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comments5.xml" ContentType="application/vnd.openxmlformats-officedocument.spreadsheetml.comments+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omments6.xml" ContentType="application/vnd.openxmlformats-officedocument.spreadsheetml.comments+xml"/>
  <Override PartName="/xl/comments7.xml" ContentType="application/vnd.openxmlformats-officedocument.spreadsheetml.comments+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omments8.xml" ContentType="application/vnd.openxmlformats-officedocument.spreadsheetml.comments+xml"/>
  <Override PartName="/xl/drawings/drawing10.xml" ContentType="application/vnd.openxmlformats-officedocument.drawing+xml"/>
  <Override PartName="/xl/charts/chart14.xml" ContentType="application/vnd.openxmlformats-officedocument.drawingml.chart+xml"/>
  <Override PartName="/xl/drawings/drawing11.xml" ContentType="application/vnd.openxmlformats-officedocument.drawing+xml"/>
  <Override PartName="/xl/charts/chart15.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autoCompressPictures="0"/>
  <mc:AlternateContent xmlns:mc="http://schemas.openxmlformats.org/markup-compatibility/2006">
    <mc:Choice Requires="x15">
      <x15ac:absPath xmlns:x15ac="http://schemas.microsoft.com/office/spreadsheetml/2010/11/ac" url="https://theredsea-my.sharepoint.com/personal/wlombard_redseaglobal_com/Documents/P01 - Marina Village/4. Team Folder/000 Mnt CM reports/4. AYC/No.49_OCT-26/"/>
    </mc:Choice>
  </mc:AlternateContent>
  <xr:revisionPtr revIDLastSave="8652" documentId="8_{DC1BD8A9-3D4E-4149-9B4D-7DC4330C1EBD}" xr6:coauthVersionLast="47" xr6:coauthVersionMax="47" xr10:uidLastSave="{DDEF0299-252D-47F0-AE80-A9CDE80C20D2}"/>
  <bookViews>
    <workbookView xWindow="25695" yWindow="0" windowWidth="26010" windowHeight="21705" tabRatio="802" firstSheet="6" activeTab="6" xr2:uid="{00000000-000D-0000-FFFF-FFFF00000000}"/>
  </bookViews>
  <sheets>
    <sheet name="DATA" sheetId="172" r:id="rId1"/>
    <sheet name="Data Input" sheetId="13" r:id="rId2"/>
    <sheet name="dropdowns" sheetId="11" r:id="rId3"/>
    <sheet name="MoM" sheetId="130" r:id="rId4"/>
    <sheet name="Cover" sheetId="14" r:id="rId5"/>
    <sheet name="Index" sheetId="15" r:id="rId6"/>
    <sheet name="Executive Summary" sheetId="108" r:id="rId7"/>
    <sheet name="Stakeholder Executive Review" sheetId="143" state="hidden" r:id="rId8"/>
    <sheet name="Level 01" sheetId="161" r:id="rId9"/>
    <sheet name="Early Warnings" sheetId="184" r:id="rId10"/>
    <sheet name="Early Warning (2)" sheetId="151" state="hidden" r:id="rId11"/>
    <sheet name="ACC" sheetId="145" state="hidden" r:id="rId12"/>
    <sheet name="Movement" sheetId="169" state="hidden" r:id="rId13"/>
    <sheet name="75.7M SAB EW" sheetId="170" state="hidden" r:id="rId14"/>
    <sheet name="Level 02" sheetId="162" r:id="rId15"/>
    <sheet name="FA Status" sheetId="179" r:id="rId16"/>
    <sheet name="Schedule A" sheetId="79" r:id="rId17"/>
    <sheet name="Schedule B" sheetId="81" r:id="rId18"/>
    <sheet name="Overrun Summary" sheetId="149" state="hidden" r:id="rId19"/>
    <sheet name="Schedule J" sheetId="163" r:id="rId20"/>
    <sheet name="Schedule C" sheetId="112" r:id="rId21"/>
    <sheet name="Schedule D" sheetId="100" state="hidden" r:id="rId22"/>
    <sheet name="Schedule E (SS)" sheetId="66" state="hidden" r:id="rId23"/>
    <sheet name="Schedule F (SS)" sheetId="89" state="hidden" r:id="rId24"/>
    <sheet name="Schedule E" sheetId="138" state="hidden" r:id="rId25"/>
    <sheet name="Schedule F" sheetId="30" state="hidden" r:id="rId26"/>
    <sheet name="Schedule G" sheetId="73" r:id="rId27"/>
    <sheet name="IntFinalAccnt-DEWAN" sheetId="131" state="hidden" r:id="rId28"/>
    <sheet name="Schedule H" sheetId="132" state="hidden" r:id="rId29"/>
    <sheet name="Schedule H DAE" sheetId="123" r:id="rId30"/>
    <sheet name="Schedule H HKS 1" sheetId="127" r:id="rId31"/>
    <sheet name="Schedule H HKS 2" sheetId="128" r:id="rId32"/>
    <sheet name="Schedule H ATM" sheetId="129" r:id="rId33"/>
    <sheet name="Schedule H SIC" sheetId="124" r:id="rId34"/>
    <sheet name="Schedule H ZFP" sheetId="135" r:id="rId35"/>
    <sheet name="Schedule H LIU" sheetId="137" r:id="rId36"/>
    <sheet name="Schedule H KAA" sheetId="136" r:id="rId37"/>
    <sheet name="Schedule H GBC" sheetId="125" r:id="rId38"/>
    <sheet name="Schedule H NSCC" sheetId="122" r:id="rId39"/>
    <sheet name="Schedule H SAB" sheetId="134" r:id="rId40"/>
    <sheet name="Schedule H Medtel" sheetId="139" r:id="rId41"/>
    <sheet name="Schedule H ESCCO" sheetId="140" r:id="rId42"/>
    <sheet name="Schedule H RAQTAN" sheetId="141" r:id="rId43"/>
    <sheet name="Schedule H DEPA" sheetId="142" r:id="rId44"/>
    <sheet name="Schedule H AREEN" sheetId="146" r:id="rId45"/>
    <sheet name="Schedule H ALUTEC" sheetId="147" r:id="rId46"/>
    <sheet name="Schedule H MAS (Wet Works)" sheetId="157" r:id="rId47"/>
    <sheet name="Schedule H MAS (Amphitheatre)" sheetId="158" r:id="rId48"/>
    <sheet name="Schedule H AL FANAR" sheetId="159" r:id="rId49"/>
    <sheet name="Schedule H CML" sheetId="160" r:id="rId50"/>
    <sheet name="Schedule H EURO" sheetId="164" r:id="rId51"/>
    <sheet name="Schedule H EURO CO027" sheetId="165" r:id="rId52"/>
    <sheet name="Schedule H ARMETAL" sheetId="166" r:id="rId53"/>
    <sheet name="Schedule H HAM" sheetId="167" r:id="rId54"/>
    <sheet name="Schedule H GST" sheetId="171" r:id="rId55"/>
    <sheet name="Schedule H BIRCH" sheetId="173" r:id="rId56"/>
    <sheet name="Schedule H Saudico" sheetId="175" r:id="rId57"/>
    <sheet name="Schedule H Saudico (2)" sheetId="176" r:id="rId58"/>
    <sheet name="Schedule H PeopleVine" sheetId="177" r:id="rId59"/>
    <sheet name="Schedule H Reachware" sheetId="180" r:id="rId60"/>
    <sheet name="Schedule H Deep Cleaning" sheetId="181" r:id="rId61"/>
    <sheet name="Schedule H Info Cor" sheetId="182" r:id="rId62"/>
    <sheet name="Schedule H Al Futaim" sheetId="183" r:id="rId63"/>
    <sheet name="Schedule I" sheetId="113" r:id="rId64"/>
    <sheet name="Schedule K" sheetId="121" r:id="rId65"/>
    <sheet name="Additional Budget Sum (19Dec)" sheetId="154" state="hidden" r:id="rId66"/>
    <sheet name="Additional Budget - Det (19Dec)" sheetId="155" state="hidden" r:id="rId67"/>
    <sheet name="EI - (F1 - F2)" sheetId="120" r:id="rId68"/>
    <sheet name="DVO (F1 - F2)" sheetId="126" r:id="rId69"/>
    <sheet name="For PVO (Budget Status Table)" sheetId="168" r:id="rId70"/>
    <sheet name=" Schedule J SS" sheetId="118" r:id="rId71"/>
    <sheet name="Schedule E(ss)" sheetId="106" r:id="rId72"/>
    <sheet name="Schedule L" sheetId="133" r:id="rId73"/>
    <sheet name="Cash Flow - Future" sheetId="94" r:id="rId7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Blake Lombard</author>
  </authors>
  <commentList>
    <comment ref="D30" authorId="0" shapeId="0" xr:uid="{511ADE2E-0E54-401F-89F3-396CD65FC1A4}">
      <text>
        <r>
          <rPr>
            <b/>
            <sz val="9"/>
            <color indexed="81"/>
            <rFont val="Tahoma"/>
            <family val="2"/>
          </rPr>
          <t>NOTE:</t>
        </r>
        <r>
          <rPr>
            <sz val="9"/>
            <color indexed="81"/>
            <rFont val="Tahoma"/>
            <family val="2"/>
          </rPr>
          <t xml:space="preserve">
Update Manually</t>
        </r>
      </text>
    </comment>
    <comment ref="D32" authorId="0" shapeId="0" xr:uid="{6FD9AD31-FBDA-4EE3-8CE6-90450ED25475}">
      <text>
        <r>
          <rPr>
            <b/>
            <sz val="9"/>
            <color indexed="81"/>
            <rFont val="Tahoma"/>
            <family val="2"/>
          </rPr>
          <t>NOTE:</t>
        </r>
        <r>
          <rPr>
            <sz val="9"/>
            <color indexed="81"/>
            <rFont val="Tahoma"/>
            <family val="2"/>
          </rPr>
          <t xml:space="preserve">
Update manually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Jose Chavenia</author>
  </authors>
  <commentList>
    <comment ref="I284" authorId="0" shapeId="0" xr:uid="{22D4C6E8-A04F-4210-854F-8163C89849A3}">
      <text>
        <r>
          <rPr>
            <b/>
            <sz val="9"/>
            <color indexed="81"/>
            <rFont val="Tahoma"/>
            <family val="2"/>
          </rPr>
          <t>Jose Chavenia:</t>
        </r>
        <r>
          <rPr>
            <sz val="9"/>
            <color indexed="81"/>
            <rFont val="Tahoma"/>
            <family val="2"/>
          </rPr>
          <t xml:space="preserve">
This is the correct contract code</t>
        </r>
      </text>
    </comment>
    <comment ref="I319" authorId="0" shapeId="0" xr:uid="{B4780DB5-B9D6-4819-9DA3-D67F26EBA5F9}">
      <text>
        <r>
          <rPr>
            <b/>
            <sz val="9"/>
            <color indexed="81"/>
            <rFont val="Tahoma"/>
            <family val="2"/>
          </rPr>
          <t>Jose Chavenia:</t>
        </r>
        <r>
          <rPr>
            <sz val="9"/>
            <color indexed="81"/>
            <rFont val="Tahoma"/>
            <family val="2"/>
          </rPr>
          <t xml:space="preserve">
This is the correct value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Jose Chavenia</author>
  </authors>
  <commentList>
    <comment ref="Q171" authorId="0" shapeId="0" xr:uid="{58F91E06-5727-4FEB-83DD-F0A2C8212A0B}">
      <text>
        <r>
          <rPr>
            <b/>
            <sz val="9"/>
            <color rgb="FF000000"/>
            <rFont val="Tahoma"/>
            <family val="2"/>
          </rPr>
          <t>13,737,620 transferred to MAS labour and supervision</t>
        </r>
        <r>
          <rPr>
            <sz val="9"/>
            <color rgb="FF000000"/>
            <rFont val="Tahoma"/>
            <family val="2"/>
          </rPr>
          <t xml:space="preserve">
</t>
        </r>
        <r>
          <rPr>
            <sz val="9"/>
            <color rgb="FF000000"/>
            <rFont val="Tahoma"/>
            <family val="2"/>
          </rPr>
          <t xml:space="preserve">760,869.57 moved to Scaffolding Budget
</t>
        </r>
        <r>
          <rPr>
            <sz val="9"/>
            <color rgb="FF000000"/>
            <rFont val="Tahoma"/>
            <family val="2"/>
          </rPr>
          <t xml:space="preserve">
</t>
        </r>
        <r>
          <rPr>
            <sz val="9"/>
            <color rgb="FF000000"/>
            <rFont val="Tahoma"/>
            <family val="2"/>
          </rPr>
          <t>1,471,000 Transferred to K&amp;A Extension</t>
        </r>
      </text>
    </comment>
    <comment ref="Q186" authorId="0" shapeId="0" xr:uid="{E211BC43-5885-4DDC-8EB6-3917A1742D27}">
      <text>
        <r>
          <rPr>
            <b/>
            <sz val="9"/>
            <color indexed="81"/>
            <rFont val="Tahoma"/>
            <family val="2"/>
          </rPr>
          <t>Jose Chavenia:</t>
        </r>
        <r>
          <rPr>
            <sz val="9"/>
            <color indexed="81"/>
            <rFont val="Tahoma"/>
            <family val="2"/>
          </rPr>
          <t xml:space="preserve">
-900K as of 12 Aug 2025 actual manpower</t>
        </r>
      </text>
    </comment>
    <comment ref="Q188" authorId="0" shapeId="0" xr:uid="{B0D5655C-8CD4-470F-A4E4-938C743DF083}">
      <text>
        <r>
          <rPr>
            <b/>
            <sz val="9"/>
            <color rgb="FF000000"/>
            <rFont val="Tahoma"/>
            <family val="2"/>
          </rPr>
          <t>Jose Chavenia:</t>
        </r>
        <r>
          <rPr>
            <sz val="9"/>
            <color rgb="FF000000"/>
            <rFont val="Tahoma"/>
            <family val="2"/>
          </rPr>
          <t xml:space="preserve">
</t>
        </r>
        <r>
          <rPr>
            <sz val="9"/>
            <color rgb="FF000000"/>
            <rFont val="Tahoma"/>
            <family val="2"/>
          </rPr>
          <t>BOQ value</t>
        </r>
      </text>
    </comment>
    <comment ref="Q189" authorId="0" shapeId="0" xr:uid="{A8437088-B9C7-429C-B535-D4C010ECE464}">
      <text>
        <r>
          <rPr>
            <b/>
            <sz val="9"/>
            <color rgb="FF000000"/>
            <rFont val="Tahoma"/>
            <family val="2"/>
          </rPr>
          <t>Jose Chavenia:</t>
        </r>
        <r>
          <rPr>
            <sz val="9"/>
            <color rgb="FF000000"/>
            <rFont val="Tahoma"/>
            <family val="2"/>
          </rPr>
          <t xml:space="preserve">
</t>
        </r>
        <r>
          <rPr>
            <sz val="9"/>
            <color rgb="FF000000"/>
            <rFont val="Tahoma"/>
            <family val="2"/>
          </rPr>
          <t>BOQ Value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Keith Glazier</author>
    <author>Paul Brand</author>
  </authors>
  <commentList>
    <comment ref="BP20" authorId="0" shapeId="0" xr:uid="{00000000-0006-0000-0700-000001000000}">
      <text>
        <r>
          <rPr>
            <b/>
            <sz val="9"/>
            <color indexed="81"/>
            <rFont val="Tahoma"/>
            <family val="2"/>
          </rPr>
          <t>Keith Glazier:</t>
        </r>
        <r>
          <rPr>
            <sz val="9"/>
            <color indexed="81"/>
            <rFont val="Tahoma"/>
            <family val="2"/>
          </rPr>
          <t xml:space="preserve">
If VO is not approved type "Cancelled"</t>
        </r>
      </text>
    </comment>
    <comment ref="M78" authorId="1" shapeId="0" xr:uid="{00000000-0006-0000-0700-000002000000}">
      <text>
        <r>
          <rPr>
            <b/>
            <sz val="9"/>
            <color indexed="81"/>
            <rFont val="Tahoma"/>
            <family val="2"/>
          </rPr>
          <t>Paul Brand:</t>
        </r>
        <r>
          <rPr>
            <sz val="9"/>
            <color indexed="81"/>
            <rFont val="Tahoma"/>
            <family val="2"/>
          </rPr>
          <t xml:space="preserve">
ddt: RFC 36
ddt: RFC 11
ddt:RFC 12
</t>
        </r>
      </text>
    </comment>
    <comment ref="M80" authorId="1" shapeId="0" xr:uid="{00000000-0006-0000-0700-000003000000}">
      <text>
        <r>
          <rPr>
            <b/>
            <sz val="9"/>
            <color indexed="81"/>
            <rFont val="Tahoma"/>
            <family val="2"/>
          </rPr>
          <t>Paul Brand:</t>
        </r>
        <r>
          <rPr>
            <sz val="9"/>
            <color indexed="81"/>
            <rFont val="Tahoma"/>
            <family val="2"/>
          </rPr>
          <t xml:space="preserve">
Light fittings and sanitary ware excluded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Keith Glazier</author>
  </authors>
  <commentList>
    <comment ref="R13" authorId="0" shapeId="0" xr:uid="{00000000-0006-0000-0800-000001000000}">
      <text>
        <r>
          <rPr>
            <b/>
            <sz val="9"/>
            <color indexed="81"/>
            <rFont val="Tahoma"/>
            <family val="2"/>
          </rPr>
          <t>Keith Glazier:</t>
        </r>
        <r>
          <rPr>
            <sz val="9"/>
            <color indexed="81"/>
            <rFont val="Tahoma"/>
            <family val="2"/>
          </rPr>
          <t xml:space="preserve">
</t>
        </r>
        <r>
          <rPr>
            <sz val="12"/>
            <color indexed="81"/>
            <rFont val="Tahoma"/>
            <family val="2"/>
          </rPr>
          <t>includes ALEC site office move</t>
        </r>
      </text>
    </comment>
    <comment ref="AM23" authorId="0" shapeId="0" xr:uid="{00000000-0006-0000-0800-000002000000}">
      <text>
        <r>
          <rPr>
            <b/>
            <sz val="9"/>
            <color indexed="81"/>
            <rFont val="Tahoma"/>
            <family val="2"/>
          </rPr>
          <t>Keith Glazier:</t>
        </r>
        <r>
          <rPr>
            <sz val="9"/>
            <color indexed="81"/>
            <rFont val="Tahoma"/>
            <family val="2"/>
          </rPr>
          <t xml:space="preserve">
</t>
        </r>
        <r>
          <rPr>
            <sz val="12"/>
            <color indexed="81"/>
            <rFont val="Tahoma"/>
            <family val="2"/>
          </rPr>
          <t>Use RFC estimate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Vaseef Shaikh</author>
    <author>Blake Lombard</author>
  </authors>
  <commentList>
    <comment ref="E41" authorId="0" shapeId="0" xr:uid="{507E8DE8-A4F7-4E1C-B2EA-5301DFAF82ED}">
      <text>
        <r>
          <rPr>
            <b/>
            <sz val="9"/>
            <color indexed="81"/>
            <rFont val="Tahoma"/>
            <family val="2"/>
          </rPr>
          <t>Vaseef Shaikh:</t>
        </r>
        <r>
          <rPr>
            <sz val="9"/>
            <color indexed="81"/>
            <rFont val="Tahoma"/>
            <family val="2"/>
          </rPr>
          <t xml:space="preserve">
Orginal date = 3rd of July 2022 - NSC-LTR-000045</t>
        </r>
      </text>
    </comment>
    <comment ref="E42" authorId="1" shapeId="0" xr:uid="{77A25F99-1FFF-4209-A8E6-83AF47FD06F2}">
      <text>
        <r>
          <rPr>
            <b/>
            <sz val="9"/>
            <color indexed="81"/>
            <rFont val="Tahoma"/>
            <family val="2"/>
          </rPr>
          <t>Blake Lombard:</t>
        </r>
        <r>
          <rPr>
            <sz val="9"/>
            <color indexed="81"/>
            <rFont val="Tahoma"/>
            <family val="2"/>
          </rPr>
          <t xml:space="preserve">
Original Date was dated 3 August 2022. </t>
        </r>
      </text>
    </comment>
    <comment ref="E43" authorId="1" shapeId="0" xr:uid="{322CFE3E-7822-48D1-ADBD-7159D2A3F6EF}">
      <text>
        <r>
          <rPr>
            <b/>
            <sz val="9"/>
            <color indexed="81"/>
            <rFont val="Tahoma"/>
            <family val="2"/>
          </rPr>
          <t>Blake Lombard:</t>
        </r>
        <r>
          <rPr>
            <sz val="9"/>
            <color indexed="81"/>
            <rFont val="Tahoma"/>
            <family val="2"/>
          </rPr>
          <t xml:space="preserve">
Original Date was dated 3 August 2022. </t>
        </r>
      </text>
    </comment>
    <comment ref="E44" authorId="1" shapeId="0" xr:uid="{DB47B00E-3D89-4645-95E8-E4A0080D681F}">
      <text>
        <r>
          <rPr>
            <b/>
            <sz val="9"/>
            <color indexed="81"/>
            <rFont val="Tahoma"/>
            <family val="2"/>
          </rPr>
          <t>Blake Lombard:</t>
        </r>
        <r>
          <rPr>
            <sz val="9"/>
            <color indexed="81"/>
            <rFont val="Tahoma"/>
            <family val="2"/>
          </rPr>
          <t xml:space="preserve">
Original Date was dated 3 August 2022. </t>
        </r>
      </text>
    </comment>
    <comment ref="E45" authorId="1" shapeId="0" xr:uid="{1F6F4773-2D05-4683-8172-94FDEFD6A34B}">
      <text>
        <r>
          <rPr>
            <b/>
            <sz val="9"/>
            <color indexed="81"/>
            <rFont val="Tahoma"/>
            <family val="2"/>
          </rPr>
          <t>Blake Lombard:</t>
        </r>
        <r>
          <rPr>
            <sz val="9"/>
            <color indexed="81"/>
            <rFont val="Tahoma"/>
            <family val="2"/>
          </rPr>
          <t xml:space="preserve">
Original Date was dated 3 August 2022.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Jose Chavenia</author>
  </authors>
  <commentList>
    <comment ref="AL18" authorId="0" shapeId="0" xr:uid="{06C4199D-FD5D-4ACE-AEB2-68768F52A599}">
      <text>
        <r>
          <rPr>
            <b/>
            <sz val="9"/>
            <color indexed="81"/>
            <rFont val="Tahoma"/>
            <family val="2"/>
          </rPr>
          <t>10% Advance Payment</t>
        </r>
        <r>
          <rPr>
            <sz val="9"/>
            <color indexed="81"/>
            <rFont val="Tahoma"/>
            <family val="2"/>
          </rPr>
          <t xml:space="preserve">
</t>
        </r>
      </text>
    </comment>
    <comment ref="BK18" authorId="0" shapeId="0" xr:uid="{5E215E1E-5EDE-4F91-AFE0-4CF0BAB96BAA}">
      <text>
        <r>
          <rPr>
            <b/>
            <sz val="9"/>
            <color indexed="81"/>
            <rFont val="Tahoma"/>
            <family val="2"/>
          </rPr>
          <t>Including Payment to Long Lead Items (Approved RFA)</t>
        </r>
        <r>
          <rPr>
            <sz val="9"/>
            <color indexed="81"/>
            <rFont val="Tahoma"/>
            <family val="2"/>
          </rPr>
          <t xml:space="preserve">
</t>
        </r>
      </text>
    </comment>
    <comment ref="DJ18" authorId="0" shapeId="0" xr:uid="{8DF223F6-3468-4472-AFD1-E53FA17BED88}">
      <text>
        <r>
          <rPr>
            <b/>
            <sz val="9"/>
            <color rgb="FF000000"/>
            <rFont val="Tahoma"/>
            <family val="2"/>
          </rPr>
          <t>This is Direct Payment to SAB's Subcontractors and Suppliers.</t>
        </r>
        <r>
          <rPr>
            <sz val="9"/>
            <color rgb="FF000000"/>
            <rFont val="Tahoma"/>
            <family val="2"/>
          </rPr>
          <t xml:space="preserve">
</t>
        </r>
      </text>
    </comment>
    <comment ref="DM18" authorId="0" shapeId="0" xr:uid="{B1842D8E-F75D-43B6-8C6B-A7D240E72BD8}">
      <text>
        <r>
          <rPr>
            <b/>
            <sz val="9"/>
            <color indexed="81"/>
            <rFont val="Tahoma"/>
            <family val="2"/>
          </rPr>
          <t>Jose Chavenia:</t>
        </r>
        <r>
          <rPr>
            <sz val="9"/>
            <color indexed="81"/>
            <rFont val="Tahoma"/>
            <family val="2"/>
          </rPr>
          <t xml:space="preserve">
Direct Payment</t>
        </r>
      </text>
    </comment>
    <comment ref="DP18" authorId="0" shapeId="0" xr:uid="{6468EC4B-BE22-47E6-B561-5ADD355DB62A}">
      <text>
        <r>
          <rPr>
            <b/>
            <sz val="9"/>
            <color indexed="81"/>
            <rFont val="Tahoma"/>
            <family val="2"/>
          </rPr>
          <t>Jose Chavenia:</t>
        </r>
        <r>
          <rPr>
            <sz val="9"/>
            <color indexed="81"/>
            <rFont val="Tahoma"/>
            <family val="2"/>
          </rPr>
          <t xml:space="preserve">
Direct Payments</t>
        </r>
      </text>
    </comment>
    <comment ref="DS18" authorId="0" shapeId="0" xr:uid="{BFACA69F-9688-407C-88EE-F2F8275314D4}">
      <text>
        <r>
          <rPr>
            <b/>
            <sz val="9"/>
            <color rgb="FF000000"/>
            <rFont val="Tahoma"/>
            <family val="2"/>
          </rPr>
          <t>Direct Payment made for August 2025</t>
        </r>
      </text>
    </comment>
    <comment ref="DY18" authorId="0" shapeId="0" xr:uid="{90CEC334-1EA0-40B1-A8E9-F5FE15D1F932}">
      <text>
        <r>
          <rPr>
            <b/>
            <sz val="9"/>
            <color indexed="81"/>
            <rFont val="Tahoma"/>
            <family val="2"/>
          </rPr>
          <t>Jose Chavenia:</t>
        </r>
        <r>
          <rPr>
            <sz val="9"/>
            <color indexed="81"/>
            <rFont val="Tahoma"/>
            <family val="2"/>
          </rPr>
          <t xml:space="preserve">
Direct Payments</t>
        </r>
      </text>
    </comment>
    <comment ref="EB18" authorId="0" shapeId="0" xr:uid="{075547AB-C838-452F-8BDB-F60AEDB4C7D0}">
      <text>
        <r>
          <rPr>
            <b/>
            <sz val="9"/>
            <color indexed="81"/>
            <rFont val="Tahoma"/>
            <family val="2"/>
          </rPr>
          <t>Direct Payments released in October 2025</t>
        </r>
        <r>
          <rPr>
            <sz val="9"/>
            <color indexed="81"/>
            <rFont val="Tahoma"/>
            <family val="2"/>
          </rPr>
          <t xml:space="preserve">
</t>
        </r>
      </text>
    </comment>
    <comment ref="EH18" authorId="0" shapeId="0" xr:uid="{97144844-BFC8-4EE6-B620-9C0E27C016F0}">
      <text>
        <r>
          <rPr>
            <b/>
            <sz val="9"/>
            <color indexed="81"/>
            <rFont val="Tahoma"/>
            <family val="2"/>
          </rPr>
          <t>Jose Chavenia:</t>
        </r>
        <r>
          <rPr>
            <sz val="9"/>
            <color indexed="81"/>
            <rFont val="Tahoma"/>
            <family val="2"/>
          </rPr>
          <t xml:space="preserve">
Direct Payments</t>
        </r>
      </text>
    </comment>
    <comment ref="CR25" authorId="0" shapeId="0" xr:uid="{F023141C-D038-4097-B19B-9627D7FF4EEC}">
      <text>
        <r>
          <rPr>
            <b/>
            <sz val="9"/>
            <color indexed="81"/>
            <rFont val="Tahoma"/>
            <family val="2"/>
          </rPr>
          <t>Advance Payment</t>
        </r>
        <r>
          <rPr>
            <sz val="9"/>
            <color indexed="81"/>
            <rFont val="Tahoma"/>
            <family val="2"/>
          </rPr>
          <t xml:space="preserve">
</t>
        </r>
      </text>
    </comment>
    <comment ref="CT25" authorId="0" shapeId="0" xr:uid="{23885F8B-8B00-41F7-B5CC-415211D17FEF}">
      <text>
        <r>
          <rPr>
            <b/>
            <sz val="9"/>
            <color indexed="81"/>
            <rFont val="Tahoma"/>
            <family val="2"/>
          </rPr>
          <t>Advance Payment</t>
        </r>
        <r>
          <rPr>
            <sz val="9"/>
            <color indexed="81"/>
            <rFont val="Tahoma"/>
            <family val="2"/>
          </rPr>
          <t xml:space="preserv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Vaseef Shaikh</author>
  </authors>
  <commentList>
    <comment ref="G19" authorId="0" shapeId="0" xr:uid="{9BE488CB-9289-4652-A48C-1AB633C6B8D3}">
      <text>
        <r>
          <rPr>
            <b/>
            <sz val="9"/>
            <color indexed="81"/>
            <rFont val="Tahoma"/>
            <family val="2"/>
          </rPr>
          <t>Vaseef Shaikh:</t>
        </r>
        <r>
          <rPr>
            <sz val="9"/>
            <color indexed="81"/>
            <rFont val="Tahoma"/>
            <family val="2"/>
          </rPr>
          <t xml:space="preserve">
Date of aware TBC</t>
        </r>
      </text>
    </comment>
    <comment ref="G21" authorId="0" shapeId="0" xr:uid="{D7D367A0-121A-4821-B940-2B521C58DCE7}">
      <text>
        <r>
          <rPr>
            <b/>
            <sz val="9"/>
            <color indexed="81"/>
            <rFont val="Tahoma"/>
            <family val="2"/>
          </rPr>
          <t>Vaseef Shaikh:</t>
        </r>
        <r>
          <rPr>
            <sz val="9"/>
            <color indexed="81"/>
            <rFont val="Tahoma"/>
            <family val="2"/>
          </rPr>
          <t xml:space="preserve">
Date of aware TBC</t>
        </r>
      </text>
    </comment>
    <comment ref="G22" authorId="0" shapeId="0" xr:uid="{20C1F294-AC19-4066-9E79-FA9CB34ECF5F}">
      <text>
        <r>
          <rPr>
            <b/>
            <sz val="9"/>
            <color indexed="81"/>
            <rFont val="Tahoma"/>
            <family val="2"/>
          </rPr>
          <t>Vaseef Shaikh:</t>
        </r>
        <r>
          <rPr>
            <sz val="9"/>
            <color indexed="81"/>
            <rFont val="Tahoma"/>
            <family val="2"/>
          </rPr>
          <t xml:space="preserve">
Date of Awarness TBC</t>
        </r>
      </text>
    </comment>
    <comment ref="G25" authorId="0" shapeId="0" xr:uid="{06E7D39D-B195-4AF2-B9A7-D75C3227E1E5}">
      <text>
        <r>
          <rPr>
            <b/>
            <sz val="9"/>
            <color indexed="81"/>
            <rFont val="Tahoma"/>
            <family val="2"/>
          </rPr>
          <t>Vaseef Shaikh:</t>
        </r>
        <r>
          <rPr>
            <sz val="9"/>
            <color indexed="81"/>
            <rFont val="Tahoma"/>
            <family val="2"/>
          </rPr>
          <t xml:space="preserve">
Date of Awarness TBC</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<sst xmlns="http://schemas.openxmlformats.org/spreadsheetml/2006/main" count="21797" uniqueCount="6728">
  <si>
    <t>PROGRAMME:</t>
  </si>
  <si>
    <t>MARINA VILLAGE (PROGRAMME 1_TRIPLE BAY)</t>
  </si>
  <si>
    <t>PROGRAMME CODE:</t>
  </si>
  <si>
    <t>1TB01003</t>
  </si>
  <si>
    <t>ASSET NAME:</t>
  </si>
  <si>
    <t>AMAALA YACHT CLUB</t>
  </si>
  <si>
    <t>UPDATE INFORMATION IN RED EACH MONTH</t>
  </si>
  <si>
    <t>ASSET CODE:</t>
  </si>
  <si>
    <t>1TB01003.01</t>
  </si>
  <si>
    <t>Client:</t>
  </si>
  <si>
    <t>AMAALA</t>
  </si>
  <si>
    <t>Location:</t>
  </si>
  <si>
    <t>AL WAJH SAUDI ARABIA</t>
  </si>
  <si>
    <t>REPORT NO:</t>
  </si>
  <si>
    <t>REPORTING PERIOD:</t>
  </si>
  <si>
    <t>AMAALA Ref</t>
  </si>
  <si>
    <t>AMAALA/AYC/MONTHLY REPORT 01</t>
  </si>
  <si>
    <t>Report No Short:</t>
  </si>
  <si>
    <t>Done</t>
  </si>
  <si>
    <t>Not Done</t>
  </si>
  <si>
    <t>TO DO</t>
  </si>
  <si>
    <t>√</t>
  </si>
  <si>
    <t>X</t>
  </si>
  <si>
    <t>MOM</t>
  </si>
  <si>
    <t>MINUTES OF MEETINGS</t>
  </si>
  <si>
    <t xml:space="preserve">EXECUTIVE SUMMARY </t>
  </si>
  <si>
    <t>EXECUTIVE SUMMARY DASHBOARD</t>
  </si>
  <si>
    <t>SCHEDULE A</t>
  </si>
  <si>
    <t>LEVEL 1 - EXECUTIVE SUMMARY</t>
  </si>
  <si>
    <t>SCHEDULE B</t>
  </si>
  <si>
    <t>LEVEL 2 - DETAILED SUMMARY</t>
  </si>
  <si>
    <t>SCHEDULE C</t>
  </si>
  <si>
    <t>CHANGE MANAGEMENT TRACKER</t>
  </si>
  <si>
    <t>SCHEDULE D</t>
  </si>
  <si>
    <t>RISK AND OPPORTUNITIES</t>
  </si>
  <si>
    <t>SCHEDULE E</t>
  </si>
  <si>
    <t>CLAIMS AND DISPUTES</t>
  </si>
  <si>
    <t>SCHEDULE F</t>
  </si>
  <si>
    <t>PROVISIONAL SUMS</t>
  </si>
  <si>
    <t>SCHEDULE G</t>
  </si>
  <si>
    <t>BONDS AND INSURANCE TRACKING  LOG</t>
  </si>
  <si>
    <t>SCHEDULE H</t>
  </si>
  <si>
    <t>INVOICE AND PAYMENT TRACKING LOG</t>
  </si>
  <si>
    <t>SCHEDULE I</t>
  </si>
  <si>
    <t>CASH FLOW</t>
  </si>
  <si>
    <t>SCHEDULE J</t>
  </si>
  <si>
    <t>BUDGET TRANSFER TRACKER</t>
  </si>
  <si>
    <t>SCHEDULE K</t>
  </si>
  <si>
    <t>PROCUREMENT STATUS</t>
  </si>
  <si>
    <t>Distribution</t>
  </si>
  <si>
    <t>Executive Commercial Director:</t>
  </si>
  <si>
    <t>Paul Donaghy</t>
  </si>
  <si>
    <t>Senior Commercial Director:</t>
  </si>
  <si>
    <t>Shane Fairfield</t>
  </si>
  <si>
    <t>Michael Hansen</t>
  </si>
  <si>
    <t>Associate Commercial Director:</t>
  </si>
  <si>
    <t>Blake Lombard</t>
  </si>
  <si>
    <t>Project Team</t>
  </si>
  <si>
    <t>Sudhakaran Kodicheth</t>
  </si>
  <si>
    <t>Associate Commercial Director</t>
  </si>
  <si>
    <t>Procurement Lead (Red Sea):</t>
  </si>
  <si>
    <t>Joe Honeine</t>
  </si>
  <si>
    <t>Jose Chavenia</t>
  </si>
  <si>
    <t>Initiated By:</t>
  </si>
  <si>
    <t>Approval Status</t>
  </si>
  <si>
    <t>Yes/No:</t>
  </si>
  <si>
    <t>VE</t>
  </si>
  <si>
    <t>Change Initiated by</t>
  </si>
  <si>
    <t>Approval Status Claims:</t>
  </si>
  <si>
    <t>Contractor or Sub Contractor</t>
  </si>
  <si>
    <t>Packages</t>
  </si>
  <si>
    <t>Contractor Details</t>
  </si>
  <si>
    <t>PS Drop down</t>
  </si>
  <si>
    <t>Insurances</t>
  </si>
  <si>
    <t>COST REPORT EFFECTIVE FIGURE</t>
  </si>
  <si>
    <t>Reporting Period</t>
  </si>
  <si>
    <t>REFF PO Ref</t>
  </si>
  <si>
    <t>VENDOR TYPE</t>
  </si>
  <si>
    <t>Design Dev</t>
  </si>
  <si>
    <t>APPROVED</t>
  </si>
  <si>
    <t>YES</t>
  </si>
  <si>
    <t>Contract</t>
  </si>
  <si>
    <t>Consultant</t>
  </si>
  <si>
    <t>Rejected</t>
  </si>
  <si>
    <t>ALS - Early Works</t>
  </si>
  <si>
    <t>DAE -Prf Fees</t>
  </si>
  <si>
    <t>DEWAN ARCHI</t>
  </si>
  <si>
    <t>PENDING</t>
  </si>
  <si>
    <t xml:space="preserve">Professional Indemnity </t>
  </si>
  <si>
    <t>ACTIVE</t>
  </si>
  <si>
    <t>Monthly Report No 1 - Oct'22</t>
  </si>
  <si>
    <t>Contractor</t>
  </si>
  <si>
    <t>Amaala</t>
  </si>
  <si>
    <t>REJECTED</t>
  </si>
  <si>
    <t>NO</t>
  </si>
  <si>
    <t>Approved</t>
  </si>
  <si>
    <t>JVD - Early Works</t>
  </si>
  <si>
    <t>HKL (Design Comp Fees)-Prf Fees</t>
  </si>
  <si>
    <t>HKS Design Consultant</t>
  </si>
  <si>
    <t>EXPENDED</t>
  </si>
  <si>
    <t>Third Party Liability</t>
  </si>
  <si>
    <t>NOT ACTIVE</t>
  </si>
  <si>
    <t>Monthly Report No 2 - Nov'22</t>
  </si>
  <si>
    <t>Authority</t>
  </si>
  <si>
    <t>Employer</t>
  </si>
  <si>
    <t>Pending</t>
  </si>
  <si>
    <t>ALS - Main Works</t>
  </si>
  <si>
    <t>HKL (Design Architect)-Prf Fees</t>
  </si>
  <si>
    <t>PARTIALLY EXPENDED</t>
  </si>
  <si>
    <t>Workmens Compensation</t>
  </si>
  <si>
    <t>Monthly Report No 3 - Dec'22</t>
  </si>
  <si>
    <t>REVISED &amp; RE-SUBMIT</t>
  </si>
  <si>
    <t>Approved inc. in Lump Sum</t>
  </si>
  <si>
    <t>Five Oceans Marine Survey</t>
  </si>
  <si>
    <t>ATM-Prf Fees</t>
  </si>
  <si>
    <t xml:space="preserve">ATM </t>
  </si>
  <si>
    <t>Contractors all Risk</t>
  </si>
  <si>
    <t>Monthly Report No 4 - Jan'23</t>
  </si>
  <si>
    <t>SUPERSEDED</t>
  </si>
  <si>
    <t>Approved (Authority)</t>
  </si>
  <si>
    <t>Becon Development Co</t>
  </si>
  <si>
    <t>T&amp;T-Prf Fees</t>
  </si>
  <si>
    <t xml:space="preserve">Turner &amp; Townsend </t>
  </si>
  <si>
    <t>Advance Payment Bond</t>
  </si>
  <si>
    <t>Monthly Report No 5 - Feb'23</t>
  </si>
  <si>
    <t>CANCELLED</t>
  </si>
  <si>
    <t>Approved (proceed to ERI)</t>
  </si>
  <si>
    <t>WSP Consultants</t>
  </si>
  <si>
    <t>LUI-Prf Fees</t>
  </si>
  <si>
    <t>SIC</t>
  </si>
  <si>
    <t>Performance Bond</t>
  </si>
  <si>
    <t>Monthly Report No 6 - Mar'23</t>
  </si>
  <si>
    <t>TRANSFERRED</t>
  </si>
  <si>
    <t>Five Oceans Coral Relocation</t>
  </si>
  <si>
    <t>ZFP-Prf Fees</t>
  </si>
  <si>
    <t>NSCC</t>
  </si>
  <si>
    <t>Retention Bond</t>
  </si>
  <si>
    <t>Monthly Report No 7 - Apr'23</t>
  </si>
  <si>
    <t>REVIEW COMPLETE</t>
  </si>
  <si>
    <t>KAA-Mgt Fees</t>
  </si>
  <si>
    <t>GBC</t>
  </si>
  <si>
    <t>Marine and Hull</t>
  </si>
  <si>
    <t>Monthly Report No 8 - May'23</t>
  </si>
  <si>
    <t>SOI TB Ground Improvement Works</t>
  </si>
  <si>
    <t>Foster + Partners</t>
  </si>
  <si>
    <t>Plant and Equipment</t>
  </si>
  <si>
    <t>Monthly Report No 9 - Jun'23</t>
  </si>
  <si>
    <t>NSCC - Piling</t>
  </si>
  <si>
    <t>Langan</t>
  </si>
  <si>
    <t xml:space="preserve">Vehicle </t>
  </si>
  <si>
    <t>Monthly Report No 10 - Jul'23</t>
  </si>
  <si>
    <t>GBC - Sustainability Accreditation</t>
  </si>
  <si>
    <t>Baytur</t>
  </si>
  <si>
    <t>Trade License</t>
  </si>
  <si>
    <t>Langan-Prf Fees</t>
  </si>
  <si>
    <t>ESCCO</t>
  </si>
  <si>
    <t>Executive Architect Services</t>
  </si>
  <si>
    <t>Project Stage</t>
  </si>
  <si>
    <t>Initiated By Amaala Representative</t>
  </si>
  <si>
    <t>Status</t>
  </si>
  <si>
    <t>Saudi Baytur - Main Works</t>
  </si>
  <si>
    <t>Pre Contract Variation</t>
  </si>
  <si>
    <t>BLAKE</t>
  </si>
  <si>
    <t>RFC - Pending from Contractor / Consultant</t>
  </si>
  <si>
    <t>SAB - Civil and Arch Works</t>
  </si>
  <si>
    <t>Post Contract Variation</t>
  </si>
  <si>
    <t>FOWZULLAH</t>
  </si>
  <si>
    <t>RFC - Pending from Engineer</t>
  </si>
  <si>
    <t>SAB - MEPD</t>
  </si>
  <si>
    <t>Consultant Variation</t>
  </si>
  <si>
    <t>HANEEF</t>
  </si>
  <si>
    <t>RFC - Pending to Upload on Aconex</t>
  </si>
  <si>
    <t>SAB - ICT / ELV</t>
  </si>
  <si>
    <t>Pre Contract - Consultant Variation</t>
  </si>
  <si>
    <t>JOSE</t>
  </si>
  <si>
    <t>RFC - Pending for Approval on Aconex</t>
  </si>
  <si>
    <t>Medtel - STO Façade Mock-up</t>
  </si>
  <si>
    <t>Post Contract - Consultant Variation</t>
  </si>
  <si>
    <t>MIKE . H</t>
  </si>
  <si>
    <t>RFC - Rejected</t>
  </si>
  <si>
    <t>Vertical Transport</t>
  </si>
  <si>
    <t>SHIHAM</t>
  </si>
  <si>
    <t>PVO - Pending from Contractor / Consultant</t>
  </si>
  <si>
    <t>Hard and Soft Landscaping</t>
  </si>
  <si>
    <t>VASEEF</t>
  </si>
  <si>
    <t>PVO - Pending from Engineer</t>
  </si>
  <si>
    <t>Interior Fitout</t>
  </si>
  <si>
    <t>VEDHAKUMAR</t>
  </si>
  <si>
    <t>PVO - Pending to Upload on Aconex</t>
  </si>
  <si>
    <t>Special Kitchen</t>
  </si>
  <si>
    <t>CLOSED</t>
  </si>
  <si>
    <t>PVO - Pending for Approval on Aconex</t>
  </si>
  <si>
    <t>Loose FF&amp;E items (FOH)</t>
  </si>
  <si>
    <t>OTHER</t>
  </si>
  <si>
    <t>PVO - Rejected</t>
  </si>
  <si>
    <t>Loose FF&amp;E items (BOH)</t>
  </si>
  <si>
    <t>VO - Pending from Contractor / Consultant</t>
  </si>
  <si>
    <t>OS&amp;E Items</t>
  </si>
  <si>
    <t>ACTIONEE</t>
  </si>
  <si>
    <t>VO - Pending from Engineer</t>
  </si>
  <si>
    <t>Art Work</t>
  </si>
  <si>
    <t>CLIENT</t>
  </si>
  <si>
    <t>VO - Pending to Upload on Aconex</t>
  </si>
  <si>
    <t>ENGINEER</t>
  </si>
  <si>
    <t>VO - Pending for Approval on Aconex</t>
  </si>
  <si>
    <t>Remaining budget - Professional Fees</t>
  </si>
  <si>
    <t>CONSULTANT</t>
  </si>
  <si>
    <t>VO - Rejected</t>
  </si>
  <si>
    <t>Remaining budget - Management Supervision</t>
  </si>
  <si>
    <t>DESIGN CONSULTANT</t>
  </si>
  <si>
    <t>DVO - Pending from Contractor / Consultant</t>
  </si>
  <si>
    <t>Remaining budget - Commercial Management</t>
  </si>
  <si>
    <t>CONTRACTOR</t>
  </si>
  <si>
    <t>DVO - Pending from Engineer</t>
  </si>
  <si>
    <t>Remaining budget - Construction Works</t>
  </si>
  <si>
    <t>DVO - Pending to Upload on Aconex</t>
  </si>
  <si>
    <t>Remaining budget - FF&amp;E and OSE</t>
  </si>
  <si>
    <t>DVO - Pending for Approval on Aconex</t>
  </si>
  <si>
    <t xml:space="preserve">DVO - Accepted </t>
  </si>
  <si>
    <t>External - Budget for Approval</t>
  </si>
  <si>
    <t>DVO - Rejected</t>
  </si>
  <si>
    <t>External - Pre Approved</t>
  </si>
  <si>
    <t>External - Approved - Revised Asset Budget Allocation (02/02/2023)</t>
  </si>
  <si>
    <t>Marina Hotel 3 - PS Hold</t>
  </si>
  <si>
    <t>MS - Budget Hold</t>
  </si>
  <si>
    <t>PS - Budget Hold</t>
  </si>
  <si>
    <t>SR.NO.</t>
  </si>
  <si>
    <t>PROGRAM NAME</t>
  </si>
  <si>
    <t>PROGRAM 
CODE</t>
  </si>
  <si>
    <t>PROJECT 
NAME</t>
  </si>
  <si>
    <t>PROJECT 
CODE</t>
  </si>
  <si>
    <t>ASSET</t>
  </si>
  <si>
    <t>ASSET 
CODE</t>
  </si>
  <si>
    <t>CN - Budget Hold</t>
  </si>
  <si>
    <t>FF&amp;E OSE - Budget Hold</t>
  </si>
  <si>
    <t>MARINA VILLAGE</t>
  </si>
  <si>
    <t>1.TB.01.100</t>
  </si>
  <si>
    <t>MARINA LIFESTYLE HOTEL &amp; VILLAGE</t>
  </si>
  <si>
    <t>1.TB.01.002</t>
  </si>
  <si>
    <t>MARINA LIFESTYLE BRANDED CONDOS</t>
  </si>
  <si>
    <t>1.TB.01.002.02</t>
  </si>
  <si>
    <t>CM - Budget Hold</t>
  </si>
  <si>
    <t>TRIPLE BAY CENTRAL</t>
  </si>
  <si>
    <t>1.TB.02.200</t>
  </si>
  <si>
    <t>AMAALA YATCH CLUB</t>
  </si>
  <si>
    <t>1.TB.01.003</t>
  </si>
  <si>
    <t>MARINA LIFESTYLE HOTEL</t>
  </si>
  <si>
    <t>1.TB.01.002.03</t>
  </si>
  <si>
    <t>WELLNESS CORE</t>
  </si>
  <si>
    <t>1.TB.03.300</t>
  </si>
  <si>
    <t>RED SEA MARINE LIFE INSTITUTE</t>
  </si>
  <si>
    <t>1.TB.01.005</t>
  </si>
  <si>
    <t>LUXURY VILLAGE DISTRICT</t>
  </si>
  <si>
    <t>1.TB.01.002.01</t>
  </si>
  <si>
    <t>TRIPLE BAY WIDE</t>
  </si>
  <si>
    <t>1.TB.04.400</t>
  </si>
  <si>
    <t>VILLAGE  BOUTIQUE HOTEL</t>
  </si>
  <si>
    <t>1.TB.01.006</t>
  </si>
  <si>
    <t>1.TB.01.003.01</t>
  </si>
  <si>
    <t>OCEAN GOLF</t>
  </si>
  <si>
    <t>1.TB.05.500</t>
  </si>
  <si>
    <t>MARINA HOTEL 3</t>
  </si>
  <si>
    <t>1.TB.01.009</t>
  </si>
  <si>
    <t>1.TB.01.005.01</t>
  </si>
  <si>
    <t>TRIPLE BAY EAST</t>
  </si>
  <si>
    <t>1.TB.06.600</t>
  </si>
  <si>
    <t>FLOATING DIVING CLUB</t>
  </si>
  <si>
    <t>1.TB.01.001</t>
  </si>
  <si>
    <t>VILLAGE  BOUTIQUE BRANDED CONDOS</t>
  </si>
  <si>
    <t>1.TB.01.006.01</t>
  </si>
  <si>
    <t>TRIPLE BAY SOUTH</t>
  </si>
  <si>
    <t>1.TB.07.700</t>
  </si>
  <si>
    <t>THE MARINA</t>
  </si>
  <si>
    <t>1.TB.01.031</t>
  </si>
  <si>
    <t>VILLAGE  BOUTIQUE BRANDED VILLAS</t>
  </si>
  <si>
    <t>1.TB.01.006.02</t>
  </si>
  <si>
    <t>CIVIC ASSETS</t>
  </si>
  <si>
    <t>1.TB.09.035</t>
  </si>
  <si>
    <t>1.TB.01.006.03</t>
  </si>
  <si>
    <t>1.TB.01.009.01</t>
  </si>
  <si>
    <t>1.TB.01.001.01</t>
  </si>
  <si>
    <t>1.TB.01.031.01</t>
  </si>
  <si>
    <t>INDEX</t>
  </si>
  <si>
    <t>PAGE NO</t>
  </si>
  <si>
    <t>PREPARED BY :</t>
  </si>
  <si>
    <t>REVIEWED BY :</t>
  </si>
  <si>
    <t xml:space="preserve">APPROVED BY : </t>
  </si>
  <si>
    <t>TRIPLE BAY - MARINA VILLAGE - AYC - MONTHLY REPORT</t>
  </si>
  <si>
    <t>MINUTES OF MEETING</t>
  </si>
  <si>
    <t>FINANCIAL OVERVIEW</t>
  </si>
  <si>
    <t>* PROCUREMENT STATUS (CONSTRUCTION RELATED WORKS ONLY)</t>
  </si>
  <si>
    <t>KEY PERFORMANCE INDICATORS (KPI)</t>
  </si>
  <si>
    <t>Description</t>
  </si>
  <si>
    <t>Date Reported</t>
  </si>
  <si>
    <t>Action</t>
  </si>
  <si>
    <t>Resolved</t>
  </si>
  <si>
    <t>Date</t>
  </si>
  <si>
    <r>
      <t xml:space="preserve">PVO related to NSCC :
1. Savings indicated in the NSCC's PVO to be revisited/reevaluated
2. Since it is a D&amp;B Contract and NSCC proposed design is fit for the purpose, then AMAALA may not be entitled to savings.
3. Notice to NSCC to be issued to proceed with the works to expedite the progress at site
4. Ben advised the changes to be evaluated fairly/ reasonably to pay provided they continue with the works .
</t>
    </r>
    <r>
      <rPr>
        <i/>
        <sz val="11"/>
        <color theme="1"/>
        <rFont val="Verdana"/>
        <family val="2"/>
      </rPr>
      <t>(For info, BL/MH confirmed Soil investigation report and bore hole (3 No) reports issued to NSCC during RFP stage)</t>
    </r>
    <r>
      <rPr>
        <sz val="11"/>
        <color theme="1"/>
        <rFont val="Verdana"/>
        <family val="2"/>
      </rPr>
      <t xml:space="preserve">
</t>
    </r>
  </si>
  <si>
    <t>Commercial</t>
  </si>
  <si>
    <t>In Process</t>
  </si>
  <si>
    <t>Currently 2 No of claims are under review, to be evaluated fairly.</t>
  </si>
  <si>
    <t xml:space="preserve"> * PROVISIONAL SUMS STATUS (CONSTRUCTION RELATED WORKS ONLY)</t>
  </si>
  <si>
    <t>KEY PERIOD MOVEMENTS</t>
  </si>
  <si>
    <t>PACKAGE PROGRAMME STATUS</t>
  </si>
  <si>
    <t>CHANGE MANAGEMENT OVERVIEW</t>
  </si>
  <si>
    <t>CURRENT COMMITTED VALUE VS WORKS COMPLETE</t>
  </si>
  <si>
    <t>Dewan fees to be merged in NSCC's final account settlement</t>
  </si>
  <si>
    <t>GENERAL COMMENTS</t>
  </si>
  <si>
    <t xml:space="preserve">
</t>
  </si>
  <si>
    <t>Condemned</t>
  </si>
  <si>
    <t>0% - 20%</t>
  </si>
  <si>
    <t>Poor</t>
  </si>
  <si>
    <t>21% - 39%</t>
  </si>
  <si>
    <t>Fair</t>
  </si>
  <si>
    <t>40% - 59%</t>
  </si>
  <si>
    <t>Good</t>
  </si>
  <si>
    <t>60% - 75%</t>
  </si>
  <si>
    <t>As New</t>
  </si>
  <si>
    <t>76% - 100%</t>
  </si>
  <si>
    <t>Option 1</t>
  </si>
  <si>
    <t>AED</t>
  </si>
  <si>
    <t>Option 2</t>
  </si>
  <si>
    <t>OMR</t>
  </si>
  <si>
    <t>Option 3</t>
  </si>
  <si>
    <t>BUA ft²</t>
  </si>
  <si>
    <t>GFA ft²</t>
  </si>
  <si>
    <t>BUA m²</t>
  </si>
  <si>
    <t>GFA m²</t>
  </si>
  <si>
    <t>Efficiency</t>
  </si>
  <si>
    <t>TRIPLE BAY - MARINA VILLAGE - AMAALA YACHT CLUB - MONTHLY REPORT</t>
  </si>
  <si>
    <t>Period Movement</t>
  </si>
  <si>
    <t>Contractor  / Consultant Package</t>
  </si>
  <si>
    <t>Original pkg Budget</t>
  </si>
  <si>
    <t>Revised Package Budget</t>
  </si>
  <si>
    <t>Variance</t>
  </si>
  <si>
    <t>Contract Award</t>
  </si>
  <si>
    <t>(Saving) / Additional</t>
  </si>
  <si>
    <t>DETERMINED VARIATION ORDERS (DVO)</t>
  </si>
  <si>
    <t xml:space="preserve"> Approved  / Current Budget</t>
  </si>
  <si>
    <t>Total</t>
  </si>
  <si>
    <t>Previous</t>
  </si>
  <si>
    <t>Current</t>
  </si>
  <si>
    <t>PS.003D01 - Dewan Architect</t>
  </si>
  <si>
    <t>Value of PVO (Planned)</t>
  </si>
  <si>
    <t xml:space="preserve">Contracts Awarded </t>
  </si>
  <si>
    <t>PS.003D02 - HKS Architect - Competition</t>
  </si>
  <si>
    <t>Value of DVO (Actual)</t>
  </si>
  <si>
    <t>PS.003D03 - HKS Architect - Design</t>
  </si>
  <si>
    <t>Variance % PVO vs DVO</t>
  </si>
  <si>
    <t>Committed Procurement Packages</t>
  </si>
  <si>
    <t>PS.003D04 - Applied Technology</t>
  </si>
  <si>
    <t>Count of DVO Closed</t>
  </si>
  <si>
    <t>DVO Pending &lt; 30 days</t>
  </si>
  <si>
    <t>Determined Variation Orders (DVO)</t>
  </si>
  <si>
    <t>CN.003C20 - Green Business Cert</t>
  </si>
  <si>
    <t>DVO Pending &gt; 30 &lt; 60 days</t>
  </si>
  <si>
    <t>CN.003C13 - SOI TB Gr Improvement</t>
  </si>
  <si>
    <t>DVO Pending &lt; 60 &gt; 90 days</t>
  </si>
  <si>
    <t>Committed Costs</t>
  </si>
  <si>
    <t>CN.003C13 - NSCC - Piling - AYC Only</t>
  </si>
  <si>
    <t>DVO Overdue (&gt;90 days)</t>
  </si>
  <si>
    <t>90 DAY CASH FLOWS</t>
  </si>
  <si>
    <t>FORECAST</t>
  </si>
  <si>
    <r>
      <t>Potential Variation Orders (PVO)</t>
    </r>
    <r>
      <rPr>
        <b/>
        <sz val="10"/>
        <color theme="1"/>
        <rFont val="Verdana"/>
        <family val="2"/>
      </rPr>
      <t xml:space="preserve"> </t>
    </r>
  </si>
  <si>
    <t>VARIANCE</t>
  </si>
  <si>
    <t xml:space="preserve">NSCC - Triple Bay Piling (AYC only) </t>
  </si>
  <si>
    <t>Request for Change (RFC)</t>
  </si>
  <si>
    <t>DEWAN Architecture</t>
  </si>
  <si>
    <t>SIC TB Ground Improvement Works</t>
  </si>
  <si>
    <t xml:space="preserve">Approved Claims </t>
  </si>
  <si>
    <t>TBC</t>
  </si>
  <si>
    <t>HKS - Design Competition</t>
  </si>
  <si>
    <t>Early Warnings</t>
  </si>
  <si>
    <t>HKS - Design Architect</t>
  </si>
  <si>
    <t>ATM - Rapid review</t>
  </si>
  <si>
    <t>Uncommitted Cost</t>
  </si>
  <si>
    <t>SAB - AMAALA Yacht Club Construction Contract</t>
  </si>
  <si>
    <t>Current Budget Hold</t>
  </si>
  <si>
    <t xml:space="preserve">FORMAL NOTICE OF CLAIM </t>
  </si>
  <si>
    <t>Projected Cost to Complete</t>
  </si>
  <si>
    <t>Amount Claimed</t>
  </si>
  <si>
    <t>Amount Granted</t>
  </si>
  <si>
    <t>Amount</t>
  </si>
  <si>
    <t>Number of PS packages</t>
  </si>
  <si>
    <t>PS Budget</t>
  </si>
  <si>
    <t>No expended PS pkg's</t>
  </si>
  <si>
    <t>PS Award</t>
  </si>
  <si>
    <t>Remaining to Spend</t>
  </si>
  <si>
    <t>EOT Claimed (Time only)</t>
  </si>
  <si>
    <t>EOT Granted (Time only)</t>
  </si>
  <si>
    <t>Claims Pending &lt; 60 days</t>
  </si>
  <si>
    <t>Claims Pending &gt; 60 &lt; 120 days</t>
  </si>
  <si>
    <t>PVO High Level Overview</t>
  </si>
  <si>
    <t>Claims Pending &lt; 120 &gt; 180 days</t>
  </si>
  <si>
    <t>Claims Overdue (&gt;180 days)</t>
  </si>
  <si>
    <t>RFC High Level Overview</t>
  </si>
  <si>
    <t>REQUEST FOR CHANGE (RFC)</t>
  </si>
  <si>
    <t>Period</t>
  </si>
  <si>
    <t xml:space="preserve">Total PVO's </t>
  </si>
  <si>
    <t xml:space="preserve">PVO Approved </t>
  </si>
  <si>
    <t>PVO Pending</t>
  </si>
  <si>
    <t>Cancelled (Not to Proceed)</t>
  </si>
  <si>
    <t>Superseded (PVO Replaced)</t>
  </si>
  <si>
    <t>VARIATIONS (VO)</t>
  </si>
  <si>
    <t>Commencement Date</t>
  </si>
  <si>
    <t xml:space="preserve">Original Completion Date </t>
  </si>
  <si>
    <t>EOT Received</t>
  </si>
  <si>
    <t>EOT Granted</t>
  </si>
  <si>
    <t>Revised Comp Date</t>
  </si>
  <si>
    <t>Current Committed Value (Incl PS)</t>
  </si>
  <si>
    <t>Application Received to date (incl Accrual)</t>
  </si>
  <si>
    <t>Works to Complete</t>
  </si>
  <si>
    <t>% Certified</t>
  </si>
  <si>
    <t xml:space="preserve">Total VO's </t>
  </si>
  <si>
    <t>VO's Issued / Approved</t>
  </si>
  <si>
    <t>VO Pending</t>
  </si>
  <si>
    <t>Superseded (VO Replaced)</t>
  </si>
  <si>
    <t>Completed</t>
  </si>
  <si>
    <t>Total DVO's</t>
  </si>
  <si>
    <t xml:space="preserve">DVO Approved </t>
  </si>
  <si>
    <t>DVO Pending</t>
  </si>
  <si>
    <t>No Awarded Contracts</t>
  </si>
  <si>
    <t>Superseded (DVO Replaced)</t>
  </si>
  <si>
    <t>Contractor value</t>
  </si>
  <si>
    <t>PVO Value</t>
  </si>
  <si>
    <t xml:space="preserve">Total DVO's </t>
  </si>
  <si>
    <t>C-Sub pending Amaala review</t>
  </si>
  <si>
    <t>C-Sub outstanding</t>
  </si>
  <si>
    <t>DVO's Approved</t>
  </si>
  <si>
    <t>X-CHECK</t>
  </si>
  <si>
    <t xml:space="preserve">COMMITTED </t>
  </si>
  <si>
    <t>UNCOMMITTED</t>
  </si>
  <si>
    <t>From LEVEL 2</t>
  </si>
  <si>
    <t>MUST BE ZERO</t>
  </si>
  <si>
    <t>SAR</t>
  </si>
  <si>
    <t>NOTES (if any)</t>
  </si>
  <si>
    <t>PREPARED BY:</t>
  </si>
  <si>
    <t>REVIEWED BY:</t>
  </si>
  <si>
    <t>APPROVED BY:</t>
  </si>
  <si>
    <t>From Level 2</t>
  </si>
  <si>
    <t>X-Check (MUST be ZERO)</t>
  </si>
  <si>
    <t>A</t>
  </si>
  <si>
    <t>B</t>
  </si>
  <si>
    <t>C</t>
  </si>
  <si>
    <t>D</t>
  </si>
  <si>
    <t>E = (C+D)</t>
  </si>
  <si>
    <t>F</t>
  </si>
  <si>
    <t>G</t>
  </si>
  <si>
    <t>H</t>
  </si>
  <si>
    <t>I</t>
  </si>
  <si>
    <t>K</t>
  </si>
  <si>
    <t>M</t>
  </si>
  <si>
    <t>N = (J-M)</t>
  </si>
  <si>
    <t xml:space="preserve"> CODE</t>
  </si>
  <si>
    <t>Package</t>
  </si>
  <si>
    <t>NAME</t>
  </si>
  <si>
    <t>CONTRACTOR / SUBCONTRACTOR</t>
  </si>
  <si>
    <t>APPROVED BASELINE BUDGET</t>
  </si>
  <si>
    <t>BUDGET TRANSFERS</t>
  </si>
  <si>
    <t>AWARDED CONTRACTS / BUDGET</t>
  </si>
  <si>
    <t>COMMITTED COSTS</t>
  </si>
  <si>
    <t>POTENTIAL VARIATION ORDERS (PVO)</t>
  </si>
  <si>
    <t xml:space="preserve">REQUEST FOR CHANGE (RFC) </t>
  </si>
  <si>
    <t>EARLY WARNING</t>
  </si>
  <si>
    <t>CLAIMS</t>
  </si>
  <si>
    <t xml:space="preserve">ANTICIPATED FINAL ACCOUNT
</t>
  </si>
  <si>
    <t>VARIANCE TO LATEST BUDGET</t>
  </si>
  <si>
    <t>CERTIFIED TO DATE</t>
  </si>
  <si>
    <t>WORKS TO COMPLETE</t>
  </si>
  <si>
    <t>COST REPORT NO 6</t>
  </si>
  <si>
    <t>MOVEMENT IN THE PERIOD</t>
  </si>
  <si>
    <t>MATCHING INVOICE</t>
  </si>
  <si>
    <t>PS</t>
  </si>
  <si>
    <t>PROFESSIONAL SERVICES</t>
  </si>
  <si>
    <t>PS.003D01</t>
  </si>
  <si>
    <r>
      <t xml:space="preserve"> Dewan Architects &amp; Engineers </t>
    </r>
    <r>
      <rPr>
        <b/>
        <sz val="12"/>
        <color theme="1"/>
        <rFont val="Calibri"/>
        <family val="2"/>
        <scheme val="minor"/>
      </rPr>
      <t>2200445</t>
    </r>
  </si>
  <si>
    <t>PS.003D02</t>
  </si>
  <si>
    <t>PS.003D03</t>
  </si>
  <si>
    <r>
      <t xml:space="preserve">HKS Architects Ltd - Design Architect Fees </t>
    </r>
    <r>
      <rPr>
        <b/>
        <sz val="12"/>
        <color theme="1"/>
        <rFont val="Calibri"/>
        <family val="2"/>
        <scheme val="minor"/>
      </rPr>
      <t>2200375</t>
    </r>
  </si>
  <si>
    <t>PS.003D04</t>
  </si>
  <si>
    <r>
      <t xml:space="preserve">Applied Technology and Management Inc (Dubai BR)s  </t>
    </r>
    <r>
      <rPr>
        <b/>
        <sz val="12"/>
        <color theme="1"/>
        <rFont val="Calibri"/>
        <family val="2"/>
        <scheme val="minor"/>
      </rPr>
      <t>2210167</t>
    </r>
  </si>
  <si>
    <t>PS.003D05</t>
  </si>
  <si>
    <t>PS.003F01</t>
  </si>
  <si>
    <t>PS.003F04</t>
  </si>
  <si>
    <t>SUB-TOTAL - PROFESSIONAL SERVICES</t>
  </si>
  <si>
    <t>MS</t>
  </si>
  <si>
    <t>MANAGEMENT SUPERVISION</t>
  </si>
  <si>
    <t>MS.003F02</t>
  </si>
  <si>
    <t>Khatib &amp; Alami</t>
  </si>
  <si>
    <t xml:space="preserve">SUB TOTAL </t>
  </si>
  <si>
    <t>SUB-TOTAL - MANAGEMENT SUPERVISION</t>
  </si>
  <si>
    <t>CM</t>
  </si>
  <si>
    <t>COMMERCIAL MANAGEMENT</t>
  </si>
  <si>
    <t>SUB-TOTAL - COMMERCIAL MANAGEMENT</t>
  </si>
  <si>
    <t>CN</t>
  </si>
  <si>
    <t xml:space="preserve">CONSTRUCTION WORKS   </t>
  </si>
  <si>
    <t>CN - EW</t>
  </si>
  <si>
    <t>EARLY WORKS</t>
  </si>
  <si>
    <t>LUMP SUM Value</t>
  </si>
  <si>
    <t>CORRECTION DUE TO SPLIT</t>
  </si>
  <si>
    <t>EARLY WARNING VALUE</t>
  </si>
  <si>
    <t>Check</t>
  </si>
  <si>
    <t>CN.003C20</t>
  </si>
  <si>
    <r>
      <t>Green Business Certification Inc.</t>
    </r>
    <r>
      <rPr>
        <b/>
        <sz val="12"/>
        <color theme="1"/>
        <rFont val="Calibri"/>
        <family val="2"/>
        <scheme val="minor"/>
      </rPr>
      <t>2220038</t>
    </r>
  </si>
  <si>
    <t>CN.003C13</t>
  </si>
  <si>
    <r>
      <t>SOI TB Ground Improvement Works</t>
    </r>
    <r>
      <rPr>
        <b/>
        <sz val="12"/>
        <color theme="1"/>
        <rFont val="Calibri"/>
        <family val="2"/>
        <scheme val="minor"/>
      </rPr>
      <t xml:space="preserve"> 2210224</t>
    </r>
  </si>
  <si>
    <r>
      <t>SOI TB Ground Improvement Works</t>
    </r>
    <r>
      <rPr>
        <b/>
        <sz val="12"/>
        <color theme="1"/>
        <rFont val="Calibri"/>
        <family val="2"/>
        <scheme val="minor"/>
      </rPr>
      <t xml:space="preserve"> 2210224</t>
    </r>
    <r>
      <rPr>
        <sz val="12"/>
        <color theme="1"/>
        <rFont val="Calibri"/>
        <family val="2"/>
        <scheme val="minor"/>
      </rPr>
      <t xml:space="preserve"> 
</t>
    </r>
    <r>
      <rPr>
        <b/>
        <sz val="12"/>
        <color rgb="FFFF0000"/>
        <rFont val="Calibri"/>
        <family val="2"/>
        <scheme val="minor"/>
      </rPr>
      <t>PROVISIONAL SUMS</t>
    </r>
  </si>
  <si>
    <t>SUB-TOTAL - EARLY WORKS</t>
  </si>
  <si>
    <t>CN - MW</t>
  </si>
  <si>
    <t>MAIN CONSTRUCTION WORKS</t>
  </si>
  <si>
    <t>Awarded Contracts</t>
  </si>
  <si>
    <r>
      <t xml:space="preserve">NSCC - Triple Bay Piling (AYC only) </t>
    </r>
    <r>
      <rPr>
        <b/>
        <sz val="12"/>
        <color theme="1"/>
        <rFont val="Calibri"/>
        <family val="2"/>
        <scheme val="minor"/>
      </rPr>
      <t>2220032</t>
    </r>
  </si>
  <si>
    <t>CN.003C03</t>
  </si>
  <si>
    <t>CN.003C21</t>
  </si>
  <si>
    <t>CN.003F03</t>
  </si>
  <si>
    <t>SUB TOTAL MAIN CONTRACT WORKS</t>
  </si>
  <si>
    <t>CN.031C05</t>
  </si>
  <si>
    <t xml:space="preserve">SUB TOTAL - </t>
  </si>
  <si>
    <t>SUB-TOTAL - MAIN CONSTRUCTION WORKS</t>
  </si>
  <si>
    <t>TOTAL (PS+MS+CM+CN)</t>
  </si>
  <si>
    <t>CC</t>
  </si>
  <si>
    <t>CLIENT COST</t>
  </si>
  <si>
    <t>SUB-TOTAL - CLIENT COSTS</t>
  </si>
  <si>
    <t>FF&amp;E &amp; OS&amp;E</t>
  </si>
  <si>
    <t>FF&amp;E AND OS&amp;E</t>
  </si>
  <si>
    <t>Loose FF&amp;E Items (FOH)</t>
  </si>
  <si>
    <t>Loose FF&amp;E Items (BOH)</t>
  </si>
  <si>
    <t>Art Works</t>
  </si>
  <si>
    <t>SUB-TOTAL - FF&amp;E AND OS&amp;E</t>
  </si>
  <si>
    <t>TOTAL (CC+FF&amp;E &amp; OS&amp;E)</t>
  </si>
  <si>
    <t>1TB01031.01</t>
  </si>
  <si>
    <t>GRAND TOTAL ASSET COSTS (EXCL BUDGET HOLD)</t>
  </si>
  <si>
    <t>Check - to be zero before start of month</t>
  </si>
  <si>
    <t>BUDGET HOLD</t>
  </si>
  <si>
    <t>PROFESSIONAL SERVICES - BUDGET HOLD</t>
  </si>
  <si>
    <t>PS.98</t>
  </si>
  <si>
    <t>SUB TOTAL - BUDGET HOLD PS</t>
  </si>
  <si>
    <t>MANAGEMENT - BUDGET HOLD</t>
  </si>
  <si>
    <t>MS.98</t>
  </si>
  <si>
    <t>CM.98</t>
  </si>
  <si>
    <t>MS.98 + CM.98</t>
  </si>
  <si>
    <t>SUB TOTAL - BUDGET HOLD MS &amp; CM</t>
  </si>
  <si>
    <t>CONSTRUCTION WORKS RELATED FUNDS</t>
  </si>
  <si>
    <t>CN.98</t>
  </si>
  <si>
    <t>SUB TOTAL - BUDGET HOLD CN</t>
  </si>
  <si>
    <t>FF&amp;E &amp; OSE WORKS RELATED FUNDS</t>
  </si>
  <si>
    <t>TOTAL - BUDGET HOLD (PS+MS+CM+CN+FFE+OSE)</t>
  </si>
  <si>
    <t>GRAND TOTAL ASSET COSTS (INCL BUDGET HOLD)</t>
  </si>
  <si>
    <t>X-CHECK (MUST BE ZERO)</t>
  </si>
  <si>
    <t>Request for Change</t>
  </si>
  <si>
    <t>Potential Variation Order (PVO)</t>
  </si>
  <si>
    <t>Variation Orders (VO)</t>
  </si>
  <si>
    <t>Cancelled</t>
  </si>
  <si>
    <t>Superseded</t>
  </si>
  <si>
    <t>Every day update - Hide when issuing Cost Report</t>
  </si>
  <si>
    <t>Process Completed/ Cancelled</t>
  </si>
  <si>
    <t>Transferred</t>
  </si>
  <si>
    <t>Review Complete</t>
  </si>
  <si>
    <t>Provisional Sum Expend</t>
  </si>
  <si>
    <t>Procurement Early Warning</t>
  </si>
  <si>
    <t>Intra Project Process</t>
  </si>
  <si>
    <t>Item 
No.</t>
  </si>
  <si>
    <t>Description of Change</t>
  </si>
  <si>
    <t>Change Category</t>
  </si>
  <si>
    <t>Action Pending By Amaala Representative</t>
  </si>
  <si>
    <t>PROJECT DETAILS</t>
  </si>
  <si>
    <t>EARLY WARNINGS</t>
  </si>
  <si>
    <t>RFC</t>
  </si>
  <si>
    <t>PVO</t>
  </si>
  <si>
    <t>VO</t>
  </si>
  <si>
    <t>EI</t>
  </si>
  <si>
    <t>DVO</t>
  </si>
  <si>
    <t>FUNDING</t>
  </si>
  <si>
    <t>Comments /
Current Status</t>
  </si>
  <si>
    <t>DON’T DELETE</t>
  </si>
  <si>
    <t>Initiated 
by</t>
  </si>
  <si>
    <t>Project Name</t>
  </si>
  <si>
    <t>Project Code</t>
  </si>
  <si>
    <t>Asset</t>
  </si>
  <si>
    <t>Asset Code</t>
  </si>
  <si>
    <t>PACKAGE</t>
  </si>
  <si>
    <t>Contractor / Consultant</t>
  </si>
  <si>
    <t>Nr.</t>
  </si>
  <si>
    <t xml:space="preserve">Date          </t>
  </si>
  <si>
    <t>Cost Report
 Amount
(SAR)</t>
  </si>
  <si>
    <t>Revision No</t>
  </si>
  <si>
    <t>Aconex Workflow Approval Ref.</t>
  </si>
  <si>
    <t>Time Impact
(Days)</t>
  </si>
  <si>
    <t>Tracker Amount
(SAR)</t>
  </si>
  <si>
    <t>Cost Report 
Amount
(SAR)</t>
  </si>
  <si>
    <t>Amount
(SAR)</t>
  </si>
  <si>
    <t>Aconex Reference</t>
  </si>
  <si>
    <t>CONTRACTOR'S / CONSULTANT</t>
  </si>
  <si>
    <t>ENGINEER'S REPRESENTATIVE</t>
  </si>
  <si>
    <t>EMPLOYER'S REPRESENTATIVE</t>
  </si>
  <si>
    <t>Contingency / Additional  Budget</t>
  </si>
  <si>
    <t>Submission 
Amount (SAR)</t>
  </si>
  <si>
    <t>Source</t>
  </si>
  <si>
    <t>Sequential line nr</t>
  </si>
  <si>
    <t>Insert brief description and scope of change</t>
  </si>
  <si>
    <t>Choose from dropped down menu</t>
  </si>
  <si>
    <t>Choose drop down menu</t>
  </si>
  <si>
    <t>Who initiated the change</t>
  </si>
  <si>
    <t xml:space="preserve">Insert EW no </t>
  </si>
  <si>
    <t>Date of
 EW
 Reported</t>
  </si>
  <si>
    <t>Initial cost 
assessment 
(inc build-up)</t>
  </si>
  <si>
    <t>Insert RFC no from RFC form</t>
  </si>
  <si>
    <t>Insert REV no if applicable</t>
  </si>
  <si>
    <t>Date of
 RFC
 Approved</t>
  </si>
  <si>
    <t>Approve
Rejected
Pending</t>
  </si>
  <si>
    <t>Initial Time assessment (inc build-up)</t>
  </si>
  <si>
    <t>Initial cost assessment (inc build-up)</t>
  </si>
  <si>
    <t>Insert
 PVO 
no</t>
  </si>
  <si>
    <t>Date of
 PVO
 Approved</t>
  </si>
  <si>
    <t>Insert
VO
no</t>
  </si>
  <si>
    <t>Date of
 VO
 issue</t>
  </si>
  <si>
    <t>Insert
 EI no</t>
  </si>
  <si>
    <t>Date of
 EI
 issue</t>
  </si>
  <si>
    <t>Insert
DVO
no</t>
  </si>
  <si>
    <t>Date 
 recieved from Contractor</t>
  </si>
  <si>
    <t>cost submission 
(inc build-up)</t>
  </si>
  <si>
    <t>Confirm source for additional funding</t>
  </si>
  <si>
    <t>Insert wether additional budget request is pending or approved</t>
  </si>
  <si>
    <t xml:space="preserve">Insert comments to identify:
- current status                    - outstanding actions
- if item is cancelled              - status of additional budget request
</t>
  </si>
  <si>
    <t>PR # 1</t>
  </si>
  <si>
    <r>
      <rPr>
        <sz val="10"/>
        <color rgb="FFFF0000"/>
        <rFont val="Calibri"/>
        <family val="2"/>
        <scheme val="minor"/>
      </rPr>
      <t>PROCUREMENT EARLY Warnings_</t>
    </r>
    <r>
      <rPr>
        <sz val="10"/>
        <rFont val="Calibri"/>
        <family val="2"/>
        <scheme val="minor"/>
      </rPr>
      <t>NSCC - Triple Bay Piling</t>
    </r>
  </si>
  <si>
    <t>PR # 2</t>
  </si>
  <si>
    <t>PROCUREMENT EARLY Warnings_Civil and Architectural Package</t>
  </si>
  <si>
    <t>Civil and Arch Works</t>
  </si>
  <si>
    <t>Amaala Commercial team - actioned approved budget informally due to appointment of Baytur</t>
  </si>
  <si>
    <t>PR # 3</t>
  </si>
  <si>
    <t>PROCUREMENT EARLY Warnings_Mechanical, Electrical &amp; Plumbing</t>
  </si>
  <si>
    <t>MEPD</t>
  </si>
  <si>
    <t>PR # 4</t>
  </si>
  <si>
    <t>PROCUREMENT EARLY Warnings_ICT / ELV</t>
  </si>
  <si>
    <t>ICT / ELV</t>
  </si>
  <si>
    <t>PR # 5</t>
  </si>
  <si>
    <t>PROCUREMENT EARLY Warnings_Vertical Transportation</t>
  </si>
  <si>
    <t>PR # 6.1</t>
  </si>
  <si>
    <t>PROCUREMENT EARLY Warnings_Hard &amp; Soft Scape</t>
  </si>
  <si>
    <t>PR # 6.2</t>
  </si>
  <si>
    <t>PROCUREMENT EARLY Warnings_Hard &amp; Soft Scape (Removal of Mass Concrete from Landscape package to Structural Works Contractor - PVO 001 - SAB)</t>
  </si>
  <si>
    <t>PR # 7</t>
  </si>
  <si>
    <t>PROCUREMENT EARLY Warnings_Interior Fitout</t>
  </si>
  <si>
    <t>PR # 8.1</t>
  </si>
  <si>
    <t>PROCUREMENT EARLY Warnings_Specialist Kitchen</t>
  </si>
  <si>
    <t>PR # 8.2</t>
  </si>
  <si>
    <t>PROCUREMENT EARLY Warnings_Specialist Kitchen (AMAALA Yacht Club (AYC) - Staff Canteen Redesign)</t>
  </si>
  <si>
    <t>PR # 9</t>
  </si>
  <si>
    <t>PROCUREMENT EARLY Warnings_Loose FF&amp;E (FOH)</t>
  </si>
  <si>
    <t>PR # 10</t>
  </si>
  <si>
    <t>PROCUREMENT EARLY Warnings_Loose FF&amp;E (BOH)</t>
  </si>
  <si>
    <t>PR # 12</t>
  </si>
  <si>
    <t>PROCUREMENT EARLY Warnings_Art Work</t>
  </si>
  <si>
    <t>NSCC - 001</t>
  </si>
  <si>
    <t>Design Changes from Contract to IFC - AYC</t>
  </si>
  <si>
    <t>AMA-WTRAN-000777</t>
  </si>
  <si>
    <t>AMA-WTRAN-000808</t>
  </si>
  <si>
    <t>VO 01</t>
  </si>
  <si>
    <t>AMA-WTRAN-000809</t>
  </si>
  <si>
    <t>EI 004 R2</t>
  </si>
  <si>
    <t>1TB04400-031D03-WSP-LTR-0028</t>
  </si>
  <si>
    <t>Additional Service -  Scope Gap -   Pool &amp; Water Feature, Specialist Smoke Extract &amp; Signage &amp; Way Finding</t>
  </si>
  <si>
    <t>0</t>
  </si>
  <si>
    <t>AML-WTRAN-000106</t>
  </si>
  <si>
    <t>RFC 02</t>
  </si>
  <si>
    <t>CI 001</t>
  </si>
  <si>
    <t>AML-TRANSMIT-000007</t>
  </si>
  <si>
    <t>AVI 001</t>
  </si>
  <si>
    <t>DAE-LTR-000006</t>
  </si>
  <si>
    <t>AMA-TRANSMIT-000065</t>
  </si>
  <si>
    <t>Additional Service -   Conversion of Façade / Shell from Rhino to Revit</t>
  </si>
  <si>
    <t>AML-WTRAN-000105</t>
  </si>
  <si>
    <t>RFC 03</t>
  </si>
  <si>
    <t>CI 002</t>
  </si>
  <si>
    <t>AML-WTRAN-000030</t>
  </si>
  <si>
    <t>AVI 002</t>
  </si>
  <si>
    <t>DAE-TRANSMIT-000065</t>
  </si>
  <si>
    <t>AMA-TRANSMIT-000066</t>
  </si>
  <si>
    <t>The whole change process managed by Keith's team</t>
  </si>
  <si>
    <t>Revised BIM Guidelines - AMAALA  to TRSDC</t>
  </si>
  <si>
    <t>AMA-WTRAN-000126</t>
  </si>
  <si>
    <t>RFC 04</t>
  </si>
  <si>
    <t>CI 003</t>
  </si>
  <si>
    <t>AMA-WTRAN-000187</t>
  </si>
  <si>
    <t>AVI 003</t>
  </si>
  <si>
    <t>DAE-LTR-000002</t>
  </si>
  <si>
    <t>AMA-TRANSMIT-000129</t>
  </si>
  <si>
    <t>Additional Service - Art Consultant</t>
  </si>
  <si>
    <t>AMA-WTRAN-000189</t>
  </si>
  <si>
    <t>RFC 05</t>
  </si>
  <si>
    <t>CI 004</t>
  </si>
  <si>
    <t>AMA-WTRAN-000291</t>
  </si>
  <si>
    <t>DVO 01</t>
  </si>
  <si>
    <t>AMA-WTRAN-000974</t>
  </si>
  <si>
    <t>Additional Service - FOH FF&amp;E Consultant - Intercon</t>
  </si>
  <si>
    <t>1</t>
  </si>
  <si>
    <t>AMA-WTRAN-000338</t>
  </si>
  <si>
    <t>RFC 06</t>
  </si>
  <si>
    <t>CI 005</t>
  </si>
  <si>
    <t>DVO 02</t>
  </si>
  <si>
    <t>DAE-TRANSMIT-000246</t>
  </si>
  <si>
    <t>AMA-WTRAN-001088</t>
  </si>
  <si>
    <t>Additional Service ‐ KSA Civil Defence</t>
  </si>
  <si>
    <t>AMA-WTRAN-000339</t>
  </si>
  <si>
    <t>RFC 07</t>
  </si>
  <si>
    <t>CI 006</t>
  </si>
  <si>
    <t>AMA-WTRAN-000350</t>
  </si>
  <si>
    <t>DVO 03</t>
  </si>
  <si>
    <t>DAE-WTRAN-000193</t>
  </si>
  <si>
    <t>AMA-WTRAN-001101</t>
  </si>
  <si>
    <t>Revised Sustainability Guidelines &amp; Change of Cooling System</t>
  </si>
  <si>
    <t>AMA-WTRAN-000322</t>
  </si>
  <si>
    <t>RFC 08</t>
  </si>
  <si>
    <t>CI 007</t>
  </si>
  <si>
    <t>DVO 04</t>
  </si>
  <si>
    <t>AMA-WTRAN-001110</t>
  </si>
  <si>
    <t>TNT - 013</t>
  </si>
  <si>
    <t>Additional Scope of Work - Tender Preparation &amp; BOQ  - AYC</t>
  </si>
  <si>
    <t>Turner Townsend</t>
  </si>
  <si>
    <t>AMA-WTRAN-000979</t>
  </si>
  <si>
    <t>AdditionL SPA Feature on Level 2 / 3</t>
  </si>
  <si>
    <t>AMA-WTRAN-001138</t>
  </si>
  <si>
    <t>AMA01003-WTRAN-001225</t>
  </si>
  <si>
    <t>AMA01003-WTRAN-001226</t>
  </si>
  <si>
    <t>DVO 05</t>
  </si>
  <si>
    <t>DAE01003-GENCORR-000106</t>
  </si>
  <si>
    <t>AMA01003-WTRAN-001281</t>
  </si>
  <si>
    <t>Delay in Design Submission</t>
  </si>
  <si>
    <t>AMA-WTRAN-000572</t>
  </si>
  <si>
    <t>RFC returned by Ian Williamson - WF-000149</t>
  </si>
  <si>
    <t>Extension of Time Request</t>
  </si>
  <si>
    <t>Cancelled. No EOT Claim from Dewan.</t>
  </si>
  <si>
    <t>Flood Risk Management (Porte Cochere)</t>
  </si>
  <si>
    <t>AMA-WTRAN-001140</t>
  </si>
  <si>
    <t>No cost implication to Dewan as it will be incorporated to IFC</t>
  </si>
  <si>
    <t>SIC - 001</t>
  </si>
  <si>
    <t>Vehicle Requirement - Internal Budget Transfer from AYC to LVD</t>
  </si>
  <si>
    <t>SIC - 002</t>
  </si>
  <si>
    <t>GI Works in AYC is completed.</t>
  </si>
  <si>
    <t>SIC - 005</t>
  </si>
  <si>
    <t>Extension of Time - AYC</t>
  </si>
  <si>
    <t>AMA-WTRAN-002553</t>
  </si>
  <si>
    <t>AMA04004-WTRAN-003633</t>
  </si>
  <si>
    <t>VO 14</t>
  </si>
  <si>
    <t>AMA04004-WTRAN-003634</t>
  </si>
  <si>
    <t>AMA04004-WTRAN-003865</t>
  </si>
  <si>
    <t>No cost impact, but 30 days EOT.</t>
  </si>
  <si>
    <t>PART A - Proposed Redesign services associated with AYC Piling
PART B - Redesign services associated with the change of Tunnel connection geometry between AYC &amp; MLH</t>
  </si>
  <si>
    <t xml:space="preserve">AMA-RFC-000003 </t>
  </si>
  <si>
    <t xml:space="preserve">AMA-WTRAN-001066 </t>
  </si>
  <si>
    <t xml:space="preserve">AMA01003-WTRAN-001218 </t>
  </si>
  <si>
    <t>DVO 06</t>
  </si>
  <si>
    <t>DAE01003-GENCORR-000108</t>
  </si>
  <si>
    <t>AMA01003-WTRAN-001333</t>
  </si>
  <si>
    <t>Note that these costs (Part 1) might be at NSCC expense. Also note there are two costs involved Part 1 and Part 2.</t>
  </si>
  <si>
    <t>Regeneration Kitchen - AYC</t>
  </si>
  <si>
    <t>AMA01003-RFC-000006</t>
  </si>
  <si>
    <t>Cancelled as the RFC value only includes for Design Fee. The PD requested that the Construction Cost shall be included in the RFC value.</t>
  </si>
  <si>
    <t>AMAALA Yacht Club (AYC) - Staff Canteen Redesign (DEWAN)</t>
  </si>
  <si>
    <t>AMA01003-RFC-000007</t>
  </si>
  <si>
    <t>PVO 03</t>
  </si>
  <si>
    <t>AMAALA Yacht Club (AYC) - Staff Canteen Redesign (SAB)</t>
  </si>
  <si>
    <t>NSCC - 011</t>
  </si>
  <si>
    <t>Proposed Value Enginnering for Foundation  - PART B - AYC</t>
  </si>
  <si>
    <t xml:space="preserve">AMA-WTRAN-001067 </t>
  </si>
  <si>
    <t>AMA04400-WTRAN-001512</t>
  </si>
  <si>
    <t>EI 014</t>
  </si>
  <si>
    <t>1TB04400-031D03-WSP-LTR-0071</t>
  </si>
  <si>
    <t>1TB04400-005C13-NSC-LTR-0285</t>
  </si>
  <si>
    <t>1TB04400-031D03-WSP-LTR-0097</t>
  </si>
  <si>
    <t>This will be assessed/closed along with NSCC Item 1 (VO 01/EI-04) above.</t>
  </si>
  <si>
    <t>F + P - 008</t>
  </si>
  <si>
    <t>LEED Requirements - AYC</t>
  </si>
  <si>
    <t>AMA-SUS.-WTRAN-000002</t>
  </si>
  <si>
    <t>AMA-WTRAN-000453</t>
  </si>
  <si>
    <t>VO 08</t>
  </si>
  <si>
    <t>AMA-WTRAN-000454</t>
  </si>
  <si>
    <t>AMA-WTRAN-000818</t>
  </si>
  <si>
    <t>Rate of conversion:- 1 GBP = 4.91 SAR
Value SAR 53,148 for BT to RSMLI Asset for F+P Contract.</t>
  </si>
  <si>
    <t>NSCC - 019</t>
  </si>
  <si>
    <t>Additional Scope of Work - Temporary Shoring  - AYC</t>
  </si>
  <si>
    <t>RFC 013</t>
  </si>
  <si>
    <t>AMA04400-WTRAN-001611</t>
  </si>
  <si>
    <t>WF-001912</t>
  </si>
  <si>
    <t>Works not to proceed due to design liability</t>
  </si>
  <si>
    <t>NSCC - 025</t>
  </si>
  <si>
    <t>NSCC EOT Claim 14a - Delay to dewatering and excavation works in AYC Section</t>
  </si>
  <si>
    <t>Changes in IFT as compared with IFC (Saudi Baytur Scope)</t>
  </si>
  <si>
    <t>AMA01003-WTRAN-002261</t>
  </si>
  <si>
    <t>AMA01003-WTRAN-002382</t>
  </si>
  <si>
    <t>Recoupement for payment for Façade Mock-up (STO)</t>
  </si>
  <si>
    <t>Saudi Baytur Site Establishment - Marina Precinct (Site Offices Extension)</t>
  </si>
  <si>
    <t>AMA01003-WTRAN-001496</t>
  </si>
  <si>
    <t>Removal of Mass Concrete from Landscape package to Structural Works Contractor - AYC (SAB) - PVO 1</t>
  </si>
  <si>
    <t>AMA01003-CHNGRSPS-000006</t>
  </si>
  <si>
    <t>AMA01003-WTRAN-002125</t>
  </si>
  <si>
    <t xml:space="preserve">AMA01003-WTRAN-002259 </t>
  </si>
  <si>
    <t>VO 001 / EI 001</t>
  </si>
  <si>
    <t>1TB01003-003C03-AMA-LTR-0013</t>
  </si>
  <si>
    <t>NSSC - 006</t>
  </si>
  <si>
    <t>Excavation Works - AYC</t>
  </si>
  <si>
    <t>Aizaz confirmed that no Excavation Works for NSCC in AYC Project</t>
  </si>
  <si>
    <t>NSSC - 007</t>
  </si>
  <si>
    <t>Increase in Concrete Piling Rates</t>
  </si>
  <si>
    <t>N/A</t>
  </si>
  <si>
    <t>Not Required as per CA</t>
  </si>
  <si>
    <t>PVO 10</t>
  </si>
  <si>
    <t xml:space="preserve">AMA04400-WTRAN-001766 </t>
  </si>
  <si>
    <t>VO 010</t>
  </si>
  <si>
    <t xml:space="preserve">AMA04400-WTRAN-001767 </t>
  </si>
  <si>
    <t xml:space="preserve">1TB04400-005C13-NSC-LTR-0123 </t>
  </si>
  <si>
    <t>AMA04400-WTRAN-002535</t>
  </si>
  <si>
    <t>Agreed</t>
  </si>
  <si>
    <t>NSSC - 013</t>
  </si>
  <si>
    <t>Labour Lease Agreement</t>
  </si>
  <si>
    <t>AMA04400-CHNGRSPS-000006</t>
  </si>
  <si>
    <t xml:space="preserve">AMA04400-WTRAN-001752 </t>
  </si>
  <si>
    <t>VO 012</t>
  </si>
  <si>
    <t>AMA04400-WTRAN-001744</t>
  </si>
  <si>
    <t>As advised by ED, accommodation will not be removed from Contractors</t>
  </si>
  <si>
    <t>Time Impact:</t>
  </si>
  <si>
    <t>Funding Source:</t>
  </si>
  <si>
    <t>None</t>
  </si>
  <si>
    <t>Contingency</t>
  </si>
  <si>
    <t>Seek approval from Portfolio Lead for expenditure against contingency allowance</t>
  </si>
  <si>
    <t>Low</t>
  </si>
  <si>
    <t>Add. Budget</t>
  </si>
  <si>
    <t>Budget Request form to be completed and signed off by authorised parties</t>
  </si>
  <si>
    <t>Medium</t>
  </si>
  <si>
    <t>Funding to be discussed and agreed with Portfolio Lead</t>
  </si>
  <si>
    <t>High</t>
  </si>
  <si>
    <t xml:space="preserve">PROJECT NAME: </t>
  </si>
  <si>
    <t>BLUEWATERS - RESIDENTIAL</t>
  </si>
  <si>
    <t>BLUEWATERS - WHARF RETAIL</t>
  </si>
  <si>
    <t>CHANGE TRACKER</t>
  </si>
  <si>
    <t xml:space="preserve">PROJECT NR: </t>
  </si>
  <si>
    <t>DPDP-6003</t>
  </si>
  <si>
    <t>REDP-6004</t>
  </si>
  <si>
    <t>EW</t>
  </si>
  <si>
    <t xml:space="preserve">DATE: </t>
  </si>
  <si>
    <t>Less than 14 days</t>
  </si>
  <si>
    <t>14 to 30 days</t>
  </si>
  <si>
    <t>Transferred to RFC</t>
  </si>
  <si>
    <t>Critical Path: Greater than 30 days</t>
  </si>
  <si>
    <t>Total Raised</t>
  </si>
  <si>
    <t>NPC</t>
  </si>
  <si>
    <t>DASH BOARD EW</t>
  </si>
  <si>
    <t>DASH BOARD RFC</t>
  </si>
  <si>
    <t>DASH BOARD ERI's</t>
  </si>
  <si>
    <t>VOAF</t>
  </si>
  <si>
    <t>DASH BOARD VOAF</t>
  </si>
  <si>
    <t>Cost Impact
(AED)</t>
  </si>
  <si>
    <t>Time Impact
(L,M,H)</t>
  </si>
  <si>
    <t>EW Status</t>
  </si>
  <si>
    <t>Amount
(AED)</t>
  </si>
  <si>
    <t>RFC Status</t>
  </si>
  <si>
    <t>Total EW</t>
  </si>
  <si>
    <t>Cancelled EW</t>
  </si>
  <si>
    <t>Transfer to RFC</t>
  </si>
  <si>
    <t>Mirage Pending &lt; 30 days</t>
  </si>
  <si>
    <t>Mirage Pending 30 to 60 days</t>
  </si>
  <si>
    <t>Mirage Pending &gt; 60 days</t>
  </si>
  <si>
    <t>Approved (inc. in Lump Sum)</t>
  </si>
  <si>
    <t>Meraas Pending &lt; 30 days</t>
  </si>
  <si>
    <t>Meraas Pending 30 to 60 days</t>
  </si>
  <si>
    <t>Meraas Pending &gt; 60 days</t>
  </si>
  <si>
    <t>Pending RFC</t>
  </si>
  <si>
    <t>Total ERI's Issued</t>
  </si>
  <si>
    <t>ERI's inc. in Lump Sum</t>
  </si>
  <si>
    <t>Contractor submitted Costs</t>
  </si>
  <si>
    <t>Contractor Pending &lt; 30 days</t>
  </si>
  <si>
    <t>Contractor Pending 30 to 60 days</t>
  </si>
  <si>
    <t>Contractor Pending &gt; 60 days</t>
  </si>
  <si>
    <t>QS</t>
  </si>
  <si>
    <t>PMC</t>
  </si>
  <si>
    <t>Meraas</t>
  </si>
  <si>
    <t>Disputed</t>
  </si>
  <si>
    <t>Approved (VO Issued)</t>
  </si>
  <si>
    <t>Mirage Pending &gt; 30 days</t>
  </si>
  <si>
    <t>Meraas Pending &gt; 30 days</t>
  </si>
  <si>
    <t>Contracts</t>
  </si>
  <si>
    <t>Projects</t>
  </si>
  <si>
    <t>Tendering</t>
  </si>
  <si>
    <t>Insert NPC no</t>
  </si>
  <si>
    <t>Date of
 NPC
 issue</t>
  </si>
  <si>
    <t>Initial Cost assessment (inc build-up)</t>
  </si>
  <si>
    <t>Insert EW no</t>
  </si>
  <si>
    <t>Date of
 EW
 issue</t>
  </si>
  <si>
    <t xml:space="preserve">                                                   </t>
  </si>
  <si>
    <t>Date of
 RFC
 issue</t>
  </si>
  <si>
    <t>Insert
 VOAF 
no</t>
  </si>
  <si>
    <t>Date of
 issue from QS</t>
  </si>
  <si>
    <t>Date of
 issue from PMC</t>
  </si>
  <si>
    <t>Date of
 issue from Contracts
Dept</t>
  </si>
  <si>
    <t>Date of
 issue from Projects
Dept</t>
  </si>
  <si>
    <t>Date of
 issue from Tendering
Dept</t>
  </si>
  <si>
    <t>Updated cost  (inc full 
particulars)</t>
  </si>
  <si>
    <t>Final agreed
cost with Contractor</t>
  </si>
  <si>
    <t>Insert whether additional budget request is pending or approved</t>
  </si>
  <si>
    <t xml:space="preserve">Removal of Contract Provisional Sum and transfer to PL Contingency </t>
  </si>
  <si>
    <t>A.0</t>
  </si>
  <si>
    <t>Cost Plan evolution from Broad Order of Cost to measured concept</t>
  </si>
  <si>
    <t>A.1</t>
  </si>
  <si>
    <t>incl</t>
  </si>
  <si>
    <t>Included in Schematic cost plan</t>
  </si>
  <si>
    <t>Change basement and podium hollow core slabs to cast in-situ concrete</t>
  </si>
  <si>
    <t>A.2</t>
  </si>
  <si>
    <t>Revised contingency due to increase in value (no adjustment for budget saving)</t>
  </si>
  <si>
    <t>A.3</t>
  </si>
  <si>
    <t>Contingency fixed per IDC budget</t>
  </si>
  <si>
    <t>Contractor's FF&amp;E not included within Approved Budget</t>
  </si>
  <si>
    <t>A.4</t>
  </si>
  <si>
    <t>Project Contingency - Precontract</t>
  </si>
  <si>
    <t>A.5</t>
  </si>
  <si>
    <t>Difference in Mirage fee budget to awarded (balances on overall portfolio) - Currently funded from Contingency.</t>
  </si>
  <si>
    <t>A.6</t>
  </si>
  <si>
    <t>Allocated from contingency</t>
  </si>
  <si>
    <t xml:space="preserve">Contractor's price received under budget - Determined price was low so remaining budget was retained to align anticipated package award values </t>
  </si>
  <si>
    <t>A.7</t>
  </si>
  <si>
    <t>To be included in lump sum</t>
  </si>
  <si>
    <t xml:space="preserve">EW re-introduced in line with cost reporting protocol agreed with Meraas. </t>
  </si>
  <si>
    <t>Provisional Sum of AED 200M added to contractor's price for funding of A7 above and partial contingency spend. Included in Post Contract EW</t>
  </si>
  <si>
    <t>A.8</t>
  </si>
  <si>
    <t>Included in Schedule C Provisional Sums</t>
  </si>
  <si>
    <t>Schematic Design Cost Estimate over IDC budget (adjusted for Early Warning A.39 and A.40)</t>
  </si>
  <si>
    <t>A.9</t>
  </si>
  <si>
    <t xml:space="preserve">MLC Peer Review of Omnium Schematic Design Cost Estimate (included in item A.9) </t>
  </si>
  <si>
    <t>A.10</t>
  </si>
  <si>
    <t>Potential savings to façade estimate after market testing of rates and MLC measure of Block  A and H</t>
  </si>
  <si>
    <t>A.11</t>
  </si>
  <si>
    <t>Potential reduction of costs to roofs and roof screening estimate based on MLC remeasure</t>
  </si>
  <si>
    <t>A.12</t>
  </si>
  <si>
    <t>Omission of CAR insurance from contractors Preliminaries - CAR insurance effected by Employer</t>
  </si>
  <si>
    <t>A.13</t>
  </si>
  <si>
    <t>08</t>
  </si>
  <si>
    <t>5</t>
  </si>
  <si>
    <t>Introduction of channel drains and screeds  to fall to basement</t>
  </si>
  <si>
    <t>A.14</t>
  </si>
  <si>
    <t>01</t>
  </si>
  <si>
    <t>Change not required</t>
  </si>
  <si>
    <t>Additional 4 boreholes requested to Geotechnical survey</t>
  </si>
  <si>
    <t>2</t>
  </si>
  <si>
    <t>A.15</t>
  </si>
  <si>
    <t>02</t>
  </si>
  <si>
    <t>001</t>
  </si>
  <si>
    <t>VOAF, VO and SOFA forms issued</t>
  </si>
  <si>
    <t>Target 10% reduction of costs to roofs and roof screening through VE</t>
  </si>
  <si>
    <t>A.16a</t>
  </si>
  <si>
    <t>Cancelled review VE schedule</t>
  </si>
  <si>
    <t>Omission of Aconex from contractors Preliminaries - effected by Employer (0.12% of final agreed contract lump sum)</t>
  </si>
  <si>
    <t>A.16b</t>
  </si>
  <si>
    <t>04</t>
  </si>
  <si>
    <t>4</t>
  </si>
  <si>
    <t xml:space="preserve">Cost of mock-up built off site </t>
  </si>
  <si>
    <t>3</t>
  </si>
  <si>
    <t>A.17</t>
  </si>
  <si>
    <t>09</t>
  </si>
  <si>
    <t>7</t>
  </si>
  <si>
    <t>Contractors has agreed to pay for mock-up.  Previous estimate AED 1,556,000</t>
  </si>
  <si>
    <t xml:space="preserve">Shoring adjacent to retail site boundary </t>
  </si>
  <si>
    <t>A.18</t>
  </si>
  <si>
    <t>03</t>
  </si>
  <si>
    <t>`</t>
  </si>
  <si>
    <t>Authority deviations</t>
  </si>
  <si>
    <t>A.19</t>
  </si>
  <si>
    <t>20</t>
  </si>
  <si>
    <t>RFC cancelled.  To be kept as EW pending resolution between DM and Meraas</t>
  </si>
  <si>
    <t>UKEF financing fee</t>
  </si>
  <si>
    <t>A.20</t>
  </si>
  <si>
    <t>05</t>
  </si>
  <si>
    <t>6</t>
  </si>
  <si>
    <t>Screening of lower basement level B2 from tunnel</t>
  </si>
  <si>
    <t>A.21</t>
  </si>
  <si>
    <t>32</t>
  </si>
  <si>
    <t>Podium feature pool revised design</t>
  </si>
  <si>
    <t>A.22</t>
  </si>
  <si>
    <t>38</t>
  </si>
  <si>
    <t>Podium / Mosque urban edge design including vertical transport</t>
  </si>
  <si>
    <t>A.23</t>
  </si>
  <si>
    <t>Security booths to parking entrances (5 No.)</t>
  </si>
  <si>
    <t>9</t>
  </si>
  <si>
    <t>A.24</t>
  </si>
  <si>
    <t>15</t>
  </si>
  <si>
    <t>Additional cost of full height entrance doors to apartments</t>
  </si>
  <si>
    <t>A.25</t>
  </si>
  <si>
    <t>06</t>
  </si>
  <si>
    <t>RFC Revised. Previous estimate         AED 200,000 issued 1 June 2015</t>
  </si>
  <si>
    <t>Additional cost of full height internal doors to apartments</t>
  </si>
  <si>
    <t>A.26</t>
  </si>
  <si>
    <t>07</t>
  </si>
  <si>
    <t>RFC Revised. Previous estimate         AED 505,000 issued 1 June 2015</t>
  </si>
  <si>
    <t>Glazed façade proposal to lobbies, revised toilet block and wall finishes to roof top pools to Blocks F, G, H &amp; J</t>
  </si>
  <si>
    <t>A.27</t>
  </si>
  <si>
    <t>33</t>
  </si>
  <si>
    <t>Change shower walls and doors to full height</t>
  </si>
  <si>
    <t>10</t>
  </si>
  <si>
    <t>A.28</t>
  </si>
  <si>
    <t>Current specification issued now within budget</t>
  </si>
  <si>
    <t>Change shower drain cover to concealed option</t>
  </si>
  <si>
    <t>A.29</t>
  </si>
  <si>
    <t>Introduction of Facilities Management areas to basement</t>
  </si>
  <si>
    <t>TBA</t>
  </si>
  <si>
    <t>A.30</t>
  </si>
  <si>
    <t>13</t>
  </si>
  <si>
    <t>RFC Revision 2 approved</t>
  </si>
  <si>
    <t>Potential VE - Paint finish in lieu of stone clad feature walls to apartments</t>
  </si>
  <si>
    <t>A.31</t>
  </si>
  <si>
    <t>Included with item EW A.72</t>
  </si>
  <si>
    <t>Potential VE - Replace false ceilings with paint finish to 80% of MEP areas to the basement and ground floor</t>
  </si>
  <si>
    <t>A.32</t>
  </si>
  <si>
    <t>Potential VE - Reduce supply price of cooker extract hood to apartments</t>
  </si>
  <si>
    <t>A.33</t>
  </si>
  <si>
    <t>Potential Value Engineering - Reduce number of palm trees by 10% (44 No)</t>
  </si>
  <si>
    <t>A.34</t>
  </si>
  <si>
    <t>Reduce thickness of plaster to apartment walls from 15mm to 12mm thick</t>
  </si>
  <si>
    <t>A.35</t>
  </si>
  <si>
    <t>19</t>
  </si>
  <si>
    <t>Potential VE - Reduce size of water features to apartment block podium entrances</t>
  </si>
  <si>
    <t>A.36</t>
  </si>
  <si>
    <t>Included with item EW A.75</t>
  </si>
  <si>
    <t xml:space="preserve"> Use of composite post tensioned slab contract rates in lieu of conventional PT slab rates</t>
  </si>
  <si>
    <t>A.37</t>
  </si>
  <si>
    <t>Potential Value Engineering - Current budget overrun to be recovered in detail design</t>
  </si>
  <si>
    <t>A.38</t>
  </si>
  <si>
    <t>Changes to roof design from concept to schematic (increased roof coverage and screening louvers) excluding potential VE</t>
  </si>
  <si>
    <t>11</t>
  </si>
  <si>
    <t>A.39</t>
  </si>
  <si>
    <t>Currently included in LS  offer from Alico</t>
  </si>
  <si>
    <t>Introduction of façade fins from concept to schematic design</t>
  </si>
  <si>
    <t>12</t>
  </si>
  <si>
    <t>A.40</t>
  </si>
  <si>
    <t xml:space="preserve">Value Engineering to roofs and roof screening </t>
  </si>
  <si>
    <t>A.41</t>
  </si>
  <si>
    <t>VE proposal included in EW A.39</t>
  </si>
  <si>
    <t>Additional piles</t>
  </si>
  <si>
    <t>A.42</t>
  </si>
  <si>
    <t>Inclusion of transformers in construction works budget</t>
  </si>
  <si>
    <t>A.43</t>
  </si>
  <si>
    <t>34</t>
  </si>
  <si>
    <t>RFC approved but retained as EW on Meraas instruction</t>
  </si>
  <si>
    <t>Value Engineering Proposals - Refer Schedule I</t>
  </si>
  <si>
    <t>A.44</t>
  </si>
  <si>
    <t>VE proposals included in separate items</t>
  </si>
  <si>
    <t>Residential plot contribution towards TIS Consultants costs</t>
  </si>
  <si>
    <t>A.45</t>
  </si>
  <si>
    <t>35</t>
  </si>
  <si>
    <t>RFC to be issued to Meraas with updated RFC format</t>
  </si>
  <si>
    <t>Potential Value Engineering - Omit 1 No recessed down lighters over bedhead in all bedrooms</t>
  </si>
  <si>
    <t>A.46</t>
  </si>
  <si>
    <t>Included in EW A.58 for façade MEP tender budget overrun</t>
  </si>
  <si>
    <t xml:space="preserve">Potential Value Engineering - Omit sprinklers to bathrooms smaller than 5.1m2 </t>
  </si>
  <si>
    <t>A.47</t>
  </si>
  <si>
    <t>EW cancelled as DM requirement to keep sprinklers in bathrooms</t>
  </si>
  <si>
    <t>Dewatering tender saving</t>
  </si>
  <si>
    <t>A.48</t>
  </si>
  <si>
    <t>Included in CPR award</t>
  </si>
  <si>
    <t>Introduction of plunge pools to Townhouses</t>
  </si>
  <si>
    <t>A.49</t>
  </si>
  <si>
    <t>14</t>
  </si>
  <si>
    <t>RFC Revised. Previous estimate         AED 918,000 issued 17 June 2015</t>
  </si>
  <si>
    <t>Introduction of water features to Townhouse entrances</t>
  </si>
  <si>
    <t>8</t>
  </si>
  <si>
    <t>A.50</t>
  </si>
  <si>
    <t>16</t>
  </si>
  <si>
    <t>RFC Revised. Previous estimate         AED 819,000 issued 17 June 2015</t>
  </si>
  <si>
    <t>Anticipated shoring tender saving</t>
  </si>
  <si>
    <t>A.51</t>
  </si>
  <si>
    <t>Anticipated waterproofing tender extra</t>
  </si>
  <si>
    <t>A.52</t>
  </si>
  <si>
    <t>Anticipated vertical transport tender saving</t>
  </si>
  <si>
    <t>A.53</t>
  </si>
  <si>
    <t>Additional cost of Option 1 finishes to entrance lobbies</t>
  </si>
  <si>
    <t>A.54</t>
  </si>
  <si>
    <t>17</t>
  </si>
  <si>
    <t>Previous estimate AED 8,194,000.  Design revised to within budget</t>
  </si>
  <si>
    <t>Additional costs due to increase amount of void formers contained in the external works package</t>
  </si>
  <si>
    <t>A.55</t>
  </si>
  <si>
    <t>To be included in lump sum as provisional amount</t>
  </si>
  <si>
    <t>Refer to Schedule I for VE to this item</t>
  </si>
  <si>
    <t>Current Façade Tender Over run based on lowest BAFO Bid</t>
  </si>
  <si>
    <t>A.56</t>
  </si>
  <si>
    <t>Budget overrun based on Alico offer and includes Value Engineering</t>
  </si>
  <si>
    <t>Potential VE items to Facade as per Schedule I - included in EW A.56</t>
  </si>
  <si>
    <t>A.57</t>
  </si>
  <si>
    <t>Current MEPD Tender over run based on lowest BAFO Bid</t>
  </si>
  <si>
    <t>A.58</t>
  </si>
  <si>
    <t>Budget overrun based on ASU offer and includes Category A and not Cat B Value Engineering</t>
  </si>
  <si>
    <t>Potential VE items to MEPD as per Schedule I - included in EW A.58</t>
  </si>
  <si>
    <t>A.59</t>
  </si>
  <si>
    <t>Potential reduction in quantity and profile size of vertical and horizontal roof louvers</t>
  </si>
  <si>
    <t>A.60</t>
  </si>
  <si>
    <t>18</t>
  </si>
  <si>
    <t>RFC amount (AED 12,860,000).  Refer item EW A.56 for façade tender budget overrun</t>
  </si>
  <si>
    <t>Balance of waterproofing budget not included in CPR award for podium waterproofing</t>
  </si>
  <si>
    <t>A.61</t>
  </si>
  <si>
    <t>CPR award for substructure waterproofing only</t>
  </si>
  <si>
    <t xml:space="preserve">Balance of MEP Early Works budget not included in CPR award </t>
  </si>
  <si>
    <t>A.62</t>
  </si>
  <si>
    <t>Primary structural steel for façade cladding</t>
  </si>
  <si>
    <t>A.63</t>
  </si>
  <si>
    <t>Contractor's 1st Interim Application for Extension of Time to Completion</t>
  </si>
  <si>
    <t>Delay</t>
  </si>
  <si>
    <t>A.64</t>
  </si>
  <si>
    <t>Under review.</t>
  </si>
  <si>
    <t>Cost overrun of direct works</t>
  </si>
  <si>
    <t>A.65</t>
  </si>
  <si>
    <t>Additional cost of PODs over budget provisions</t>
  </si>
  <si>
    <t>A.66</t>
  </si>
  <si>
    <t>Based on Unipod offer for full scope of work</t>
  </si>
  <si>
    <t>Cost saving on finishes and fit out</t>
  </si>
  <si>
    <t>A.67</t>
  </si>
  <si>
    <t>Tilt &amp; Turn windows to façades</t>
  </si>
  <si>
    <t>A.68</t>
  </si>
  <si>
    <t>36</t>
  </si>
  <si>
    <t>Additional façade VE proposals -Refer Schedule I</t>
  </si>
  <si>
    <t>A.69</t>
  </si>
  <si>
    <t>Direct Works VE Proposals - Refer Schedule I</t>
  </si>
  <si>
    <t>A.70</t>
  </si>
  <si>
    <t>Refer Schedule I</t>
  </si>
  <si>
    <t>Additional MEPD VE category B proposals</t>
  </si>
  <si>
    <t>A.71</t>
  </si>
  <si>
    <t>Category B VE to be confirmed</t>
  </si>
  <si>
    <t>Finishes &amp; Fit out VE Proposals - Refer Schedule I</t>
  </si>
  <si>
    <t>A.72</t>
  </si>
  <si>
    <t>Fixed Fittings &amp; Furnishings VE Proposals - Refer Schedule I</t>
  </si>
  <si>
    <t>A.73</t>
  </si>
  <si>
    <t>Cost overrun of external works</t>
  </si>
  <si>
    <t>A.74</t>
  </si>
  <si>
    <t>External Works VE Proposals - Refer Schedule I</t>
  </si>
  <si>
    <t>A.75</t>
  </si>
  <si>
    <t>Cost overrun of light fittings</t>
  </si>
  <si>
    <t>A.76</t>
  </si>
  <si>
    <t>Additional Time Lapse Cameras</t>
  </si>
  <si>
    <t>37</t>
  </si>
  <si>
    <t>Additional proffessional fees (Supervision costs) as a result of KASGC claim for extension of time. (End December 2016 - End March 2017)</t>
  </si>
  <si>
    <t>A.77</t>
  </si>
  <si>
    <t>Addition of fire rated glazed elements to façade</t>
  </si>
  <si>
    <t>A.78</t>
  </si>
  <si>
    <t>Additional C profile aluminium trims</t>
  </si>
  <si>
    <t>A.79</t>
  </si>
  <si>
    <t>Included in EW A.56</t>
  </si>
  <si>
    <t xml:space="preserve">Simplify trims to façade </t>
  </si>
  <si>
    <t>39</t>
  </si>
  <si>
    <t>Not included in Alico LS</t>
  </si>
  <si>
    <t>Omit Louvres to end of apartments</t>
  </si>
  <si>
    <t>40</t>
  </si>
  <si>
    <t>Omit Brise Soleil to Balconies</t>
  </si>
  <si>
    <t>41</t>
  </si>
  <si>
    <t>Change Timber Effect Aluminium Panels</t>
  </si>
  <si>
    <t>42</t>
  </si>
  <si>
    <t>Estimated saving AED (1,457,871) rejected by Meraas</t>
  </si>
  <si>
    <t>Change finish to Secondary Facade Frames</t>
  </si>
  <si>
    <t>43</t>
  </si>
  <si>
    <t>Estimated saving AED (1,742,958) rejected by Meraas</t>
  </si>
  <si>
    <t>Change internal cladding of primary frame</t>
  </si>
  <si>
    <t>44</t>
  </si>
  <si>
    <t>Change cladding to external face of primary fin from grooved to plain (non grooved)  finish</t>
  </si>
  <si>
    <t>46</t>
  </si>
  <si>
    <t>Estimated saving AED (1,523,814) rejected by Meraas</t>
  </si>
  <si>
    <t>Omit fibre C column and beam cladding to roofs</t>
  </si>
  <si>
    <t>48</t>
  </si>
  <si>
    <t>Reduce thickness of acoustic layer below screeds</t>
  </si>
  <si>
    <t>50</t>
  </si>
  <si>
    <t>Change from Epoxy parking floor coating to polyurethane coating</t>
  </si>
  <si>
    <t>52</t>
  </si>
  <si>
    <t>Estimated saving AED (2,219,271) to omit coating rejected by Meraas.  New RFC to be submitted with Polyurethane alternative.</t>
  </si>
  <si>
    <t>Omit anti carbonation paint to soffit of parking slabs</t>
  </si>
  <si>
    <t>53</t>
  </si>
  <si>
    <t>Omit waterproofing to faces of water supply and drainage shafts</t>
  </si>
  <si>
    <t>54</t>
  </si>
  <si>
    <t>Paint to bathroom PODS</t>
  </si>
  <si>
    <t>56</t>
  </si>
  <si>
    <t>Estimated saving AED (1,368,000) rejected by Meraas</t>
  </si>
  <si>
    <t>Change Quartz counter tops country of origin</t>
  </si>
  <si>
    <t>57</t>
  </si>
  <si>
    <t>Zanussi alternative white goods specification</t>
  </si>
  <si>
    <t>58</t>
  </si>
  <si>
    <t>Change hinges to apartment doors</t>
  </si>
  <si>
    <t>59</t>
  </si>
  <si>
    <t>Change cladding to apartments entrances</t>
  </si>
  <si>
    <t>60</t>
  </si>
  <si>
    <t>Estimated saving AED (955,455) rejected by Meraas</t>
  </si>
  <si>
    <t>Change skirting to apartment corridor to tiled skirting</t>
  </si>
  <si>
    <t>61</t>
  </si>
  <si>
    <t>Estimated saving AED (1,368,000) rejected by Meraas. RFC to be resubmitted with MDF skirting</t>
  </si>
  <si>
    <t>Roof louvers to mesh</t>
  </si>
  <si>
    <t>63</t>
  </si>
  <si>
    <t>F&amp;B Toilet extraction - Option 2</t>
  </si>
  <si>
    <t>64</t>
  </si>
  <si>
    <t>Local kitchens</t>
  </si>
  <si>
    <t>66</t>
  </si>
  <si>
    <t>Replace U channel skirting detail with MDF face mounted skirtings</t>
  </si>
  <si>
    <t>67</t>
  </si>
  <si>
    <t>Omit BOH ceilings</t>
  </si>
  <si>
    <t>68</t>
  </si>
  <si>
    <t>Replace U channel to door surrounds with 40mm timber architrave</t>
  </si>
  <si>
    <t>69</t>
  </si>
  <si>
    <t>Black granite to door thresholds and entrances</t>
  </si>
  <si>
    <t>71</t>
  </si>
  <si>
    <t>Change from Stainless steel to alumnium hinges and handles to façade windows</t>
  </si>
  <si>
    <t>A.80</t>
  </si>
  <si>
    <t>74</t>
  </si>
  <si>
    <t>To be included in the lump sum</t>
  </si>
  <si>
    <t>Remove waterproofing to underside of pods</t>
  </si>
  <si>
    <t>55</t>
  </si>
  <si>
    <t>Omit cold cathode to balconies</t>
  </si>
  <si>
    <t>23</t>
  </si>
  <si>
    <t>Change polyurethane back to epoxy in car park area</t>
  </si>
  <si>
    <t>A.81</t>
  </si>
  <si>
    <t>Raise ceiling height to avoid void protection - Apartments</t>
  </si>
  <si>
    <t>73</t>
  </si>
  <si>
    <t>Raise ceiling height to avoid void protection - Corridors</t>
  </si>
  <si>
    <t>A.82</t>
  </si>
  <si>
    <t>Additional retail conopy podium lights introduced as per drawing No: 6003-0000-NEO-2650-DG-1701-PDF-0A</t>
  </si>
  <si>
    <t>A.83</t>
  </si>
  <si>
    <t>Layout changes to DEWA substations No 1 and 5</t>
  </si>
  <si>
    <t>A.84</t>
  </si>
  <si>
    <t>Revised design to Man Safe System</t>
  </si>
  <si>
    <t>A.85</t>
  </si>
  <si>
    <t>Additional ceiling details provided highlighting additional fiber cement ceiling finishes to basement and ground floor not included with in the Fiber Cement Package</t>
  </si>
  <si>
    <t>A.86</t>
  </si>
  <si>
    <t>Reduction of Entrance Canopies size from 4.5m to 3m as per drwgs 1605/1102/setting out plans/GA plans and Aconex ref: 6003-MLD-TRANSMIT-000877; to blocks B, C, D, E, F, G, H and J</t>
  </si>
  <si>
    <t>A.87</t>
  </si>
  <si>
    <t>Risk associated with Contractor's below the line items - AED20m claimed; 25% risk factor</t>
  </si>
  <si>
    <t>A.88</t>
  </si>
  <si>
    <t>Change Door bell finish from White to Silver to match ironmongery</t>
  </si>
  <si>
    <t>A.89</t>
  </si>
  <si>
    <t>Reduce No of hinges on doors with less than 2.3m high to 3 hinges instead of 4</t>
  </si>
  <si>
    <t>A.90</t>
  </si>
  <si>
    <t>Omission of all laundry cupboard to apartments</t>
  </si>
  <si>
    <t>A.91</t>
  </si>
  <si>
    <t>Offset of RFC’s included in lump sum</t>
  </si>
  <si>
    <t>A.92</t>
  </si>
  <si>
    <t>Risk for the use of Elenco due to DCD certification</t>
  </si>
  <si>
    <t>A.93</t>
  </si>
  <si>
    <t>EW for VE items unlikely to succeed. Shown in orange</t>
  </si>
  <si>
    <t>A.94</t>
  </si>
  <si>
    <r>
      <t xml:space="preserve">Variance between ECP and lump sum for </t>
    </r>
    <r>
      <rPr>
        <u/>
        <sz val="12"/>
        <rFont val="Calibri Light"/>
        <family val="2"/>
      </rPr>
      <t xml:space="preserve">non </t>
    </r>
    <r>
      <rPr>
        <sz val="12"/>
        <rFont val="Calibri Light"/>
        <family val="2"/>
      </rPr>
      <t>awarded packages</t>
    </r>
  </si>
  <si>
    <t>A.95</t>
  </si>
  <si>
    <r>
      <t xml:space="preserve">Variance between ECP and lump sum for  </t>
    </r>
    <r>
      <rPr>
        <b/>
        <i/>
        <sz val="12"/>
        <rFont val="Calibri Light"/>
        <family val="2"/>
      </rPr>
      <t>awarded</t>
    </r>
    <r>
      <rPr>
        <sz val="12"/>
        <rFont val="Calibri Light"/>
        <family val="2"/>
      </rPr>
      <t xml:space="preserve"> packages</t>
    </r>
  </si>
  <si>
    <t>CPR</t>
  </si>
  <si>
    <t>Notes</t>
  </si>
  <si>
    <t>1. Items in yellow are included within the lump sum and have therefore been balanced off withiin the above tracker</t>
  </si>
  <si>
    <t>2. Items in orange are VE options subject to an RFC. However following informal discussions the items are expected to be rejectedand have therefore been balanced off within the above tracker</t>
  </si>
  <si>
    <t>Initiation of Changes</t>
  </si>
  <si>
    <t>Kier ASGC</t>
  </si>
  <si>
    <t>EW + RFC's per Change Management Tracker</t>
  </si>
  <si>
    <t>CPR awards Level 3 not in CMT per Meraas Instruction</t>
  </si>
  <si>
    <t>EW and RFC's less retained budget</t>
  </si>
  <si>
    <t>Balance</t>
  </si>
  <si>
    <t>Check against level 1</t>
  </si>
  <si>
    <t>Approved VE</t>
  </si>
  <si>
    <t>EW excl prov sum</t>
  </si>
  <si>
    <t>Less: Retained budget</t>
  </si>
  <si>
    <t>Less: Prov Sum</t>
  </si>
  <si>
    <t>Nett EW</t>
  </si>
  <si>
    <t>less: CPR's awarded</t>
  </si>
  <si>
    <t>RFC's</t>
  </si>
  <si>
    <t>Add: RFC's</t>
  </si>
  <si>
    <t>TOTAL RFC's &amp; EW (EXCL CPR'S)</t>
  </si>
  <si>
    <t>Add back VE pending</t>
  </si>
  <si>
    <t>Add back VE conditional</t>
  </si>
  <si>
    <t>ADD CALCULATION</t>
  </si>
  <si>
    <t>Nett EW &amp; Award CRPS</t>
  </si>
  <si>
    <t>Adjust for</t>
  </si>
  <si>
    <t>Omit because not considered in ADD cost estimate</t>
  </si>
  <si>
    <t>Added because potential VE considered separately</t>
  </si>
  <si>
    <t>Other VE Proposals - Refer Schedule I</t>
  </si>
  <si>
    <t>Part Added because potential VE considered separately</t>
  </si>
  <si>
    <t>DATE:</t>
  </si>
  <si>
    <t>CHANGE MANAGEMENT DASHBOARD</t>
  </si>
  <si>
    <t>EARLY WARNINGS (EW)</t>
  </si>
  <si>
    <t>EMPLOYERS REPRESENTATIVE INSTRUCTION (ERI)</t>
  </si>
  <si>
    <t>Value</t>
  </si>
  <si>
    <t>Total EW's Raised</t>
  </si>
  <si>
    <t>Total RFC's Raised</t>
  </si>
  <si>
    <t>Closed</t>
  </si>
  <si>
    <t>No further action</t>
  </si>
  <si>
    <t>Proceed to VOAF</t>
  </si>
  <si>
    <t>Contractors Variation Claims with full particulars</t>
  </si>
  <si>
    <t>Total Pending EW's</t>
  </si>
  <si>
    <t>Total Pending Contractor Variation Claims</t>
  </si>
  <si>
    <t>Total Pending RFC's</t>
  </si>
  <si>
    <r>
      <t xml:space="preserve">Comments:  
</t>
    </r>
    <r>
      <rPr>
        <sz val="16"/>
        <rFont val="Calibri"/>
        <family val="2"/>
        <scheme val="minor"/>
      </rPr>
      <t xml:space="preserve">
</t>
    </r>
    <r>
      <rPr>
        <b/>
        <sz val="16"/>
        <rFont val="Calibri"/>
        <family val="2"/>
        <scheme val="minor"/>
      </rPr>
      <t xml:space="preserve">
</t>
    </r>
  </si>
  <si>
    <r>
      <t xml:space="preserve">Comments:
</t>
    </r>
    <r>
      <rPr>
        <sz val="16"/>
        <rFont val="Calibri"/>
        <family val="2"/>
        <scheme val="minor"/>
      </rPr>
      <t/>
    </r>
  </si>
  <si>
    <t>TOP 5 PENDING EARLY WARNINGS</t>
  </si>
  <si>
    <t>TOP 5 PENDING RFC's</t>
  </si>
  <si>
    <t>TOP 5 ERI'S ISSUED IN PERIOD</t>
  </si>
  <si>
    <t>Item No.</t>
  </si>
  <si>
    <t>EW No.</t>
  </si>
  <si>
    <t>Cost Impact</t>
  </si>
  <si>
    <t>RFC No.</t>
  </si>
  <si>
    <t>ERI No.</t>
  </si>
  <si>
    <t>ERI Issue Date</t>
  </si>
  <si>
    <t>ERI Return Date</t>
  </si>
  <si>
    <t>RFC Ref.</t>
  </si>
  <si>
    <t>Est. Cost Impact</t>
  </si>
  <si>
    <t>Design Deviation</t>
  </si>
  <si>
    <t>Mirage</t>
  </si>
  <si>
    <t>88</t>
  </si>
  <si>
    <t>93</t>
  </si>
  <si>
    <t>94</t>
  </si>
  <si>
    <t>MERAAS VARIATION APPROVAL FORM (VOAF)</t>
  </si>
  <si>
    <t>CONTRACTOR'S VARIATIONS (CLAUSE 13.1)</t>
  </si>
  <si>
    <t>CONTRACTOR'S CLAIMS (CLAUSE 20.1)</t>
  </si>
  <si>
    <t>Total VOAF's</t>
  </si>
  <si>
    <t>Total Variations Received</t>
  </si>
  <si>
    <t>Total Claims Received</t>
  </si>
  <si>
    <t>Closed or inc. in Lump Sum</t>
  </si>
  <si>
    <t>Closed / Rejected</t>
  </si>
  <si>
    <t>Awaiting Costs (No ERI)</t>
  </si>
  <si>
    <t>Awaiting Details</t>
  </si>
  <si>
    <t>Awaiting Costs (ERI issued)</t>
  </si>
  <si>
    <t>Approved (proceed to RFC)</t>
  </si>
  <si>
    <t>Approved (Proceed to VOAF)</t>
  </si>
  <si>
    <t>Total Pending VOAF's</t>
  </si>
  <si>
    <t>Total Pending Claims</t>
  </si>
  <si>
    <r>
      <t xml:space="preserve">Comments:
</t>
    </r>
    <r>
      <rPr>
        <b/>
        <sz val="16"/>
        <rFont val="Calibri"/>
        <family val="2"/>
        <scheme val="minor"/>
      </rPr>
      <t xml:space="preserve">
</t>
    </r>
    <r>
      <rPr>
        <sz val="16"/>
        <rFont val="Calibri"/>
        <family val="2"/>
        <scheme val="minor"/>
      </rPr>
      <t/>
    </r>
  </si>
  <si>
    <r>
      <t xml:space="preserve">Comments: 
</t>
    </r>
    <r>
      <rPr>
        <sz val="16"/>
        <rFont val="Calibri"/>
        <family val="2"/>
        <scheme val="minor"/>
      </rPr>
      <t xml:space="preserve">Mirage has presented their assessment of ASGC JV's claim to Meraas
</t>
    </r>
    <r>
      <rPr>
        <b/>
        <sz val="16"/>
        <rFont val="Calibri"/>
        <family val="2"/>
        <scheme val="minor"/>
      </rPr>
      <t xml:space="preserve">
</t>
    </r>
  </si>
  <si>
    <t>TOP 5 PENDING VOAF'S</t>
  </si>
  <si>
    <t>TOP 5 CONTRACTOR'S VARIATIONS</t>
  </si>
  <si>
    <t>TOP 5 CONTRACTOR'S CLAIMS</t>
  </si>
  <si>
    <t>Action with</t>
  </si>
  <si>
    <t>VOAF No.</t>
  </si>
  <si>
    <t>Vo. Ref.</t>
  </si>
  <si>
    <t>Aconex / Letter Ref</t>
  </si>
  <si>
    <t>Time (days)</t>
  </si>
  <si>
    <t>Contractor's 1st Interim Application for Extension of Time to Completion - supplementary information and editable files</t>
  </si>
  <si>
    <t>6003-KAS-LETTER-000268</t>
  </si>
  <si>
    <t>Revised Time for Completion submission</t>
  </si>
  <si>
    <t>6003-KAS-LETTER-000379</t>
  </si>
  <si>
    <t>R&amp;O No</t>
  </si>
  <si>
    <t>Total Risk</t>
  </si>
  <si>
    <t>Total Opportunity</t>
  </si>
  <si>
    <t>Risks:</t>
  </si>
  <si>
    <t>Opportunity</t>
  </si>
  <si>
    <t xml:space="preserve">Period to Settle Claim </t>
  </si>
  <si>
    <t>Claims Summary</t>
  </si>
  <si>
    <t>Reference Documents</t>
  </si>
  <si>
    <t>Instruction Documents</t>
  </si>
  <si>
    <t>Claim Amounts (SAR)</t>
  </si>
  <si>
    <t>Extension of Time (days)</t>
  </si>
  <si>
    <t>Actionee</t>
  </si>
  <si>
    <t>Remarks</t>
  </si>
  <si>
    <t>Action Before Next Month</t>
  </si>
  <si>
    <t>Don’t Delete</t>
  </si>
  <si>
    <t>Claim No.</t>
  </si>
  <si>
    <t>Description of Claim</t>
  </si>
  <si>
    <t>Date on which Contractor became aware of the issue</t>
  </si>
  <si>
    <t>Contractor's notification with COC clause reference</t>
  </si>
  <si>
    <t>Period between aware &amp; notification</t>
  </si>
  <si>
    <t xml:space="preserve">Is period complying with the Contract </t>
  </si>
  <si>
    <t>Acknowledgement of Contractor's notification by Engineer &amp; advise to submit substantiation</t>
  </si>
  <si>
    <t>Detailed substantiation due date</t>
  </si>
  <si>
    <t>Final Detailed substantiation by Contractor</t>
  </si>
  <si>
    <t>Engineer's recommendation to Client's representative</t>
  </si>
  <si>
    <t>Change Request Form confirmation from Client</t>
  </si>
  <si>
    <t>Engineers Response to Contractor</t>
  </si>
  <si>
    <t>Period between Final  Substantiation from the Contractor to Determination</t>
  </si>
  <si>
    <t>Variation Order</t>
  </si>
  <si>
    <t>Contractor's Claim (SAR)</t>
  </si>
  <si>
    <t>Engineer's Recommendation (SAR)</t>
  </si>
  <si>
    <t>Client Representative's approval (SAR)</t>
  </si>
  <si>
    <t>Contractors Claim (Days)</t>
  </si>
  <si>
    <t>Engineer's Recommendation (Days)</t>
  </si>
  <si>
    <t>Client Representative's Approval (Days)</t>
  </si>
  <si>
    <t>PROJECT</t>
  </si>
  <si>
    <t>CODE</t>
  </si>
  <si>
    <t>CONTRACTOR'S 
NAME</t>
  </si>
  <si>
    <t>DESCRIPTION</t>
  </si>
  <si>
    <t>(A) 
In Date</t>
  </si>
  <si>
    <t>(B) 
Date</t>
  </si>
  <si>
    <t>Aconex 
Ref</t>
  </si>
  <si>
    <t>COC Clause Ref</t>
  </si>
  <si>
    <t>C = (B-A) 
In Days</t>
  </si>
  <si>
    <t>YES / NO</t>
  </si>
  <si>
    <t>(E) 
Date</t>
  </si>
  <si>
    <t>(F) 
Date</t>
  </si>
  <si>
    <t>G  = (F - E) 
DAYS</t>
  </si>
  <si>
    <t>DAYS</t>
  </si>
  <si>
    <t>AMA - CLAIM NO.</t>
  </si>
  <si>
    <t>CONT - CLAIM NO.</t>
  </si>
  <si>
    <t>DATE OF NOTIFICATION</t>
  </si>
  <si>
    <t>84 DAYS</t>
  </si>
  <si>
    <t>Delay in Issuance of IFC drawings for piling</t>
  </si>
  <si>
    <t>NSC-LTR-000029</t>
  </si>
  <si>
    <t>See the Claim No.15</t>
  </si>
  <si>
    <t>Change In Ground Condition</t>
  </si>
  <si>
    <t>YAM.-LTR-000004</t>
  </si>
  <si>
    <t>1TB00004-007C02-SAP-LTR-0043</t>
  </si>
  <si>
    <t>YAM.-LTR-000009</t>
  </si>
  <si>
    <t>1TB04004-004D01-SAP-LTR-0008</t>
  </si>
  <si>
    <t>Variance In Soil Layers</t>
  </si>
  <si>
    <t>NSC-LTR-000061</t>
  </si>
  <si>
    <t>WSP-GENCORR-000078</t>
  </si>
  <si>
    <t>Revised Co-ordinate System - SANSRS</t>
  </si>
  <si>
    <t>NSC-LTR-000075</t>
  </si>
  <si>
    <t>Delay In Benchmarks &amp; Control Points</t>
  </si>
  <si>
    <t>NSC-LTR-000093</t>
  </si>
  <si>
    <t>Rejection by Engg Rep via WSP-LTR-000030</t>
  </si>
  <si>
    <t>Consolidated Claim (Item 1 &amp; 7) - Upto 20th October 2022</t>
  </si>
  <si>
    <t>1TB04400-005C13-NSC-LTR-0145</t>
  </si>
  <si>
    <t>Delay to Dewatering and Excavation Works</t>
  </si>
  <si>
    <t>1TB04400-005C13-NSC-LTR-0267</t>
  </si>
  <si>
    <t>1TB04400-005C13-NSC-LTR-0287</t>
  </si>
  <si>
    <t>ITEM</t>
  </si>
  <si>
    <t>STATUS</t>
  </si>
  <si>
    <t>CONTRACTOR NAME</t>
  </si>
  <si>
    <t>BUDGET</t>
  </si>
  <si>
    <t>CONTRACT VALUE</t>
  </si>
  <si>
    <t>(SAVING) / EXTRA</t>
  </si>
  <si>
    <t>COMMENTS</t>
  </si>
  <si>
    <t>SOI TB Ground Improvement Works 2210224 - Provisional Sum</t>
  </si>
  <si>
    <t>TOTALS</t>
  </si>
  <si>
    <t>REF.</t>
  </si>
  <si>
    <t>CONTRACTOR / CONSULTANT</t>
  </si>
  <si>
    <t>ORIGINAL CONTRACT SUM</t>
  </si>
  <si>
    <t>REVISED CONTRACT VALUE</t>
  </si>
  <si>
    <t>TYPE OF BOND / INSURANCE</t>
  </si>
  <si>
    <t>POLICY NO</t>
  </si>
  <si>
    <t>CONTRACT REQUIRMENT</t>
  </si>
  <si>
    <t>AMOUNT PROVIDED</t>
  </si>
  <si>
    <t>VARIANCE TO CONTRACT</t>
  </si>
  <si>
    <t>EXPIRY DATE</t>
  </si>
  <si>
    <t>NR DAYS TO EXPIRE</t>
  </si>
  <si>
    <t>BANK VERIFICATION (YES / NO)</t>
  </si>
  <si>
    <t>Yes/No</t>
  </si>
  <si>
    <t>NSCC - Piling Contractor</t>
  </si>
  <si>
    <t>Piling Works</t>
  </si>
  <si>
    <t>CER-Q0322-PPI-TEIB-006976</t>
  </si>
  <si>
    <t>Yes</t>
  </si>
  <si>
    <t>Q0322-CAR-TEIB-006981/V1</t>
  </si>
  <si>
    <t>Q0322-CAR-TRIB-006981/V1</t>
  </si>
  <si>
    <t>Q0622-CPM-TEIB-007021/V1</t>
  </si>
  <si>
    <t>KCLG2200439</t>
  </si>
  <si>
    <t>unlimited</t>
  </si>
  <si>
    <t>Designers</t>
  </si>
  <si>
    <t>Dewan Architects &amp; Engineers</t>
  </si>
  <si>
    <t>AED 30,000,000</t>
  </si>
  <si>
    <t>AED 12,000,000</t>
  </si>
  <si>
    <t>HKS Architects Ltd</t>
  </si>
  <si>
    <t>£10,000,001</t>
  </si>
  <si>
    <t>£0</t>
  </si>
  <si>
    <t>£10,000,000</t>
  </si>
  <si>
    <t>Soil Improvement Contracting Company</t>
  </si>
  <si>
    <t>Saudi Arabian Baytur</t>
  </si>
  <si>
    <t>P-03-2023-6-612-019584</t>
  </si>
  <si>
    <t>P-03-2023-6-603-019583</t>
  </si>
  <si>
    <t>P-03-2023-6-611-019587</t>
  </si>
  <si>
    <t>P-03-2023-5-506-019580</t>
  </si>
  <si>
    <t>Langan International UK LTD</t>
  </si>
  <si>
    <t>WS11003838</t>
  </si>
  <si>
    <t>MKLV/PL0005771</t>
  </si>
  <si>
    <t>Medtel WN WLL</t>
  </si>
  <si>
    <t>P-02-2021-6-612-038628/R1</t>
  </si>
  <si>
    <t>P-02-2021-6-603-013533/R2</t>
  </si>
  <si>
    <t>Closed - Works Complete</t>
  </si>
  <si>
    <t>Packages to Procure</t>
  </si>
  <si>
    <t>CONTRACTS</t>
  </si>
  <si>
    <t>CONTRACTS VALUE</t>
  </si>
  <si>
    <t>PAYMENTS</t>
  </si>
  <si>
    <t>SR Nr.</t>
  </si>
  <si>
    <t>REEF 
PURCHASE REQUISITION NO. 
(PR)</t>
  </si>
  <si>
    <t>REEF 
PURCHASE ORDER NO.
(PO)</t>
  </si>
  <si>
    <t>ACONEX CONNECTED COST (ACC)
CONTRACT NO.</t>
  </si>
  <si>
    <t>SCOPE OF WORK</t>
  </si>
  <si>
    <t>CURRENT STATUS</t>
  </si>
  <si>
    <t>ORIGINAL COMPLETION DATE</t>
  </si>
  <si>
    <t>EOT RECEIVED</t>
  </si>
  <si>
    <t>REVISED COMPLETION DATE</t>
  </si>
  <si>
    <t>ORIGINAL CONTRACT</t>
  </si>
  <si>
    <t>APPROVED CLAIMS</t>
  </si>
  <si>
    <t>FINAL ACCOUNT ADJUSTMENT</t>
  </si>
  <si>
    <t>NET CUMULATIVE 
PAYMENT APPLICATION
TO DATE</t>
  </si>
  <si>
    <t>NET CUMULATIVE 
PAYMENT CERTIFICATION TO DATE</t>
  </si>
  <si>
    <t>CUMULATIVE 
PAYMENT RELEASED 
TO DATE
(Excl. VAT)</t>
  </si>
  <si>
    <t>% 
CERTIFIED TO DATE</t>
  </si>
  <si>
    <t>% 
BALANCED TO CERTIFIED</t>
  </si>
  <si>
    <t>DATE</t>
  </si>
  <si>
    <t>%</t>
  </si>
  <si>
    <t>a</t>
  </si>
  <si>
    <t>b</t>
  </si>
  <si>
    <t>c</t>
  </si>
  <si>
    <t>d</t>
  </si>
  <si>
    <t>e = a + b + c + d</t>
  </si>
  <si>
    <t>031D01</t>
  </si>
  <si>
    <t>DEWAN ARCHITECTS &amp; ENGINEERS</t>
  </si>
  <si>
    <t xml:space="preserve">Design Consultant </t>
  </si>
  <si>
    <t>OPEN</t>
  </si>
  <si>
    <t>2200010 &amp; 2200375</t>
  </si>
  <si>
    <t>031D02&amp;3</t>
  </si>
  <si>
    <t>HKS ARCHITECTS LTD</t>
  </si>
  <si>
    <t>Unknown</t>
  </si>
  <si>
    <t>031D04</t>
  </si>
  <si>
    <t xml:space="preserve">APPLIED TECHN &amp; MANAGEMENT </t>
  </si>
  <si>
    <t xml:space="preserve">Technical Review </t>
  </si>
  <si>
    <t>031D05</t>
  </si>
  <si>
    <t>3rd Party GEO Techincal Review</t>
  </si>
  <si>
    <t>003F01</t>
  </si>
  <si>
    <t>ZUHAIR FAYEZ &amp; PARTNERS</t>
  </si>
  <si>
    <t>Building Permit Assistance</t>
  </si>
  <si>
    <t>003F04</t>
  </si>
  <si>
    <t>JENSEN HUGHES</t>
  </si>
  <si>
    <t>Fire Life Saftey Design Review</t>
  </si>
  <si>
    <t>MANAGEMENT SUPERVISION SERVICES</t>
  </si>
  <si>
    <t>003F02</t>
  </si>
  <si>
    <t xml:space="preserve">KHATIB &amp; ALAMI </t>
  </si>
  <si>
    <t>CONSTRUCTION SERVICES</t>
  </si>
  <si>
    <t>003C20</t>
  </si>
  <si>
    <t>Green Business Certification</t>
  </si>
  <si>
    <t>Sustainability 3rd Party Tech Review</t>
  </si>
  <si>
    <t>003C13</t>
  </si>
  <si>
    <t>Soil Improvements &amp; Ground Works</t>
  </si>
  <si>
    <t>003C14</t>
  </si>
  <si>
    <t>Piling</t>
  </si>
  <si>
    <t>003C03</t>
  </si>
  <si>
    <t>SAB</t>
  </si>
  <si>
    <t>003C21</t>
  </si>
  <si>
    <t>MEDTEL</t>
  </si>
  <si>
    <t xml:space="preserve">Façade Mock up </t>
  </si>
  <si>
    <t>003F03</t>
  </si>
  <si>
    <t>TOTAL (SAR)</t>
  </si>
  <si>
    <t>NSCC ( BEACH + RSMLI + AYC + B&amp;M)</t>
  </si>
  <si>
    <t>STAGE 1 - PAYMENT APPLICATION</t>
  </si>
  <si>
    <t>STAGE 2 - CERTIFICATION</t>
  </si>
  <si>
    <t>STAGE 3 - PAYMENT</t>
  </si>
  <si>
    <t>PAYMENT APPLICATION</t>
  </si>
  <si>
    <t>MONTH</t>
  </si>
  <si>
    <t>NSCC 
Aconex Letter 
Ref.</t>
  </si>
  <si>
    <t>Date 
Aconex Letter</t>
  </si>
  <si>
    <t>CUMMULATIVE CLAIMED AMT 
(Excl. VAT)</t>
  </si>
  <si>
    <t>GROSS CLAIMED AMT FOR THE MONTH
(Excl. VAT)</t>
  </si>
  <si>
    <t>ADV RECOVERY</t>
  </si>
  <si>
    <t>RETENTION</t>
  </si>
  <si>
    <t>NET 
CLAIMED AMT FOR THE MONTH
(Excl. VAT)</t>
  </si>
  <si>
    <t>IPC Nr.</t>
  </si>
  <si>
    <t>WSP 
Aconex Letter 
Ref.</t>
  </si>
  <si>
    <t>Issue date of IPC per Contract (28days)</t>
  </si>
  <si>
    <t>Differ Days</t>
  </si>
  <si>
    <t>CUMMULATIVE CERTIFIED AMT 
(Excl. VAT)</t>
  </si>
  <si>
    <t>GROSS CERTIFIED AMT FOR THE MONTH
(Excl. VAT)</t>
  </si>
  <si>
    <t>NET 
CERTIFIED AMT FOR THE MONTH
(Excl. VAT)</t>
  </si>
  <si>
    <t>AMAALA ACONEX REF FOR INV APPROVAL</t>
  </si>
  <si>
    <t>DATE 
AMAALA ACONEX REF FOR INV APPROVAL</t>
  </si>
  <si>
    <t>PAID BY FINANCE DATE</t>
  </si>
  <si>
    <t>Payment Date as per Contract (56days)</t>
  </si>
  <si>
    <t>NET 
PAYMENT FOR THE MONTH
(Excl. VAT)</t>
  </si>
  <si>
    <t>VAT 
AMOUNT FOR THE MONTH</t>
  </si>
  <si>
    <t>FINAL AMT TO BE PAID FOR THE MONTH</t>
  </si>
  <si>
    <t>CUMMUALTIVE PAID AMT</t>
  </si>
  <si>
    <t>Cl. 14.6.1</t>
  </si>
  <si>
    <t>+ / -</t>
  </si>
  <si>
    <t>Cl.14.7(b)(i)</t>
  </si>
  <si>
    <t>c = a + 28</t>
  </si>
  <si>
    <t>d = c- d</t>
  </si>
  <si>
    <t>e</t>
  </si>
  <si>
    <t>f</t>
  </si>
  <si>
    <t>g = f * 10%</t>
  </si>
  <si>
    <t>h = f * 10%</t>
  </si>
  <si>
    <t>i = f + g + h</t>
  </si>
  <si>
    <t>j</t>
  </si>
  <si>
    <t>k = a + 56</t>
  </si>
  <si>
    <t>l = k - j</t>
  </si>
  <si>
    <t>m = i</t>
  </si>
  <si>
    <t>n = ( f + h ) * 15%</t>
  </si>
  <si>
    <t>O = M + N</t>
  </si>
  <si>
    <t xml:space="preserve">WSP-LTR-0033 </t>
  </si>
  <si>
    <t>WSP-LTR-0034</t>
  </si>
  <si>
    <t xml:space="preserve">WSP-LTR-0035 </t>
  </si>
  <si>
    <t>1TB04400-031D03-WSP-LTR-0076</t>
  </si>
  <si>
    <t>IPA No. 08</t>
  </si>
  <si>
    <t>1TB04400-005C13-NSC-LTR-0249</t>
  </si>
  <si>
    <t>IPA No. 09</t>
  </si>
  <si>
    <t>1TB04400-005C13-NSC-LTR-0276</t>
  </si>
  <si>
    <t>1TB04400-031D03-WSP-LTR-0095</t>
  </si>
  <si>
    <t>IPA No. 010</t>
  </si>
  <si>
    <t>IPA No. 011</t>
  </si>
  <si>
    <t>PLOT TB - 09 BEACH</t>
  </si>
  <si>
    <t>Advance Payment</t>
  </si>
  <si>
    <t>NSC-LTR-000010</t>
  </si>
  <si>
    <t>WSP-TRAN-000502</t>
  </si>
  <si>
    <t>AMA-WTRAN-000703</t>
  </si>
  <si>
    <t>NSC-GENCORR-000027</t>
  </si>
  <si>
    <t>WSP-LTR-000024</t>
  </si>
  <si>
    <t>IPA No. 02</t>
  </si>
  <si>
    <t>NSC-TRANSMIT-000067</t>
  </si>
  <si>
    <t>IPA No. 03</t>
  </si>
  <si>
    <t>IPA No. 04</t>
  </si>
  <si>
    <t>IPA No. 05</t>
  </si>
  <si>
    <t>ITB04400-005C13-NSC-LTR-0155</t>
  </si>
  <si>
    <t>IPA No. 06</t>
  </si>
  <si>
    <t>1TB04400-005C13-NSC-LTR-0175</t>
  </si>
  <si>
    <t>AMA-WTRAN-001848</t>
  </si>
  <si>
    <t>IPA No. 07</t>
  </si>
  <si>
    <t>1TB04400-005C13-NSC-LTR-0214</t>
  </si>
  <si>
    <t>PLOT TB - 04.1 MARINA RSMLI</t>
  </si>
  <si>
    <t>PLOT TB - 04.2 MARINA AYC</t>
  </si>
  <si>
    <t>PLOT TB - 04.3 MARINA B&amp;M</t>
  </si>
  <si>
    <t>TOTAL Payment To Date</t>
  </si>
  <si>
    <t>DAE 
Aconex Letter 
Ref.</t>
  </si>
  <si>
    <t>AMAALA CM TEAM 
Aconex Letter 
Ref.</t>
  </si>
  <si>
    <t>Issue date of IPC per Contract (14days)</t>
  </si>
  <si>
    <t>Payment Date as per Contract (45days)</t>
  </si>
  <si>
    <t>c = a + 14</t>
  </si>
  <si>
    <t>g = f * 0%</t>
  </si>
  <si>
    <t>h = f * 0%</t>
  </si>
  <si>
    <t>k = a + 45</t>
  </si>
  <si>
    <t>IPA - 01</t>
  </si>
  <si>
    <t>IPA - 02</t>
  </si>
  <si>
    <t>AML-WTRAN-000055</t>
  </si>
  <si>
    <t>IPA - 03</t>
  </si>
  <si>
    <t>AML-WTRAN-000080</t>
  </si>
  <si>
    <t>IPA - 04</t>
  </si>
  <si>
    <t>AML-WTRAN-000022</t>
  </si>
  <si>
    <t>IPA - 05</t>
  </si>
  <si>
    <t>AMA-WTRAN-000297</t>
  </si>
  <si>
    <t>IPA - 06</t>
  </si>
  <si>
    <t>AMA-WTRAN-000316</t>
  </si>
  <si>
    <t>IPA - 07</t>
  </si>
  <si>
    <t>AMA-WTRAN-000317</t>
  </si>
  <si>
    <t>IPA - 08</t>
  </si>
  <si>
    <t>AMA-WTRAN-000318</t>
  </si>
  <si>
    <t>IPA - 09</t>
  </si>
  <si>
    <t>DAE-TRANSMIT-000060</t>
  </si>
  <si>
    <t>AMA-WTRAN-000405</t>
  </si>
  <si>
    <t>IPA - 10</t>
  </si>
  <si>
    <t>AMA-WTRAN-000435</t>
  </si>
  <si>
    <t>IPA - 11</t>
  </si>
  <si>
    <t>AMA-WTRAN-000658</t>
  </si>
  <si>
    <t>IPA - 12</t>
  </si>
  <si>
    <t>AMA-WTRAN-000661</t>
  </si>
  <si>
    <t>IPA - 13</t>
  </si>
  <si>
    <t>AMA-WTRAN-000724</t>
  </si>
  <si>
    <t>IPA - 14</t>
  </si>
  <si>
    <t>AMA-WTRAN-000673</t>
  </si>
  <si>
    <t>IPA - 15</t>
  </si>
  <si>
    <t>AMA-WTRAN-001111</t>
  </si>
  <si>
    <t>IPA - 16</t>
  </si>
  <si>
    <t>DAE-TRANSMIT-000160</t>
  </si>
  <si>
    <t>AMA-WTRAN-001120</t>
  </si>
  <si>
    <t>IPA - 17</t>
  </si>
  <si>
    <t>IPA - 18</t>
  </si>
  <si>
    <t>AMA-WTRAN-001165</t>
  </si>
  <si>
    <t>IPA - 19</t>
  </si>
  <si>
    <t>DAE-WTRAN-000206</t>
  </si>
  <si>
    <t>AMA01003-WTRAN-001210</t>
  </si>
  <si>
    <t>IPA - 20</t>
  </si>
  <si>
    <t>DAE-WTRAN-000199</t>
  </si>
  <si>
    <t>AMA01003-WTRAN-001284</t>
  </si>
  <si>
    <t>IPA - 21</t>
  </si>
  <si>
    <t>DAE-WTRAN-000211</t>
  </si>
  <si>
    <t>AMA01003-WTRAN-001285</t>
  </si>
  <si>
    <t>IPA - 22 (INV-21)</t>
  </si>
  <si>
    <t>DAE01003-WTRAN-000215</t>
  </si>
  <si>
    <t>AMA01003-PC-000003</t>
  </si>
  <si>
    <t>IPA - 23 (INV-25)</t>
  </si>
  <si>
    <t>AMA01003-PAYAP-000021</t>
  </si>
  <si>
    <t>AMA01003-PC-000006</t>
  </si>
  <si>
    <t>AMA01003-PAYAP-000022</t>
  </si>
  <si>
    <t>AMA01003-PC-000004</t>
  </si>
  <si>
    <t>AMA01003-PAYAP-000023</t>
  </si>
  <si>
    <t>AMA01003-PC-000005</t>
  </si>
  <si>
    <t>AMA01003-PAYAP-000024</t>
  </si>
  <si>
    <t>AMA01003-PC-000002</t>
  </si>
  <si>
    <t>INTERIM FINAL ACCOUNT - DEWAN</t>
  </si>
  <si>
    <t>Item</t>
  </si>
  <si>
    <t>Stage</t>
  </si>
  <si>
    <t>Stage Fees</t>
  </si>
  <si>
    <t>Claimed</t>
  </si>
  <si>
    <t>Certified</t>
  </si>
  <si>
    <t>Paid</t>
  </si>
  <si>
    <t>Inv. No.</t>
  </si>
  <si>
    <t>Design Fees - Contract</t>
  </si>
  <si>
    <t>Stage-3</t>
  </si>
  <si>
    <t>SD - Schematic Design and Stage Gateway Approval</t>
  </si>
  <si>
    <t>Interim Submission  of deliverables at 50% Stage</t>
  </si>
  <si>
    <t>Detailed Submission  of deliverables at 100% Stage</t>
  </si>
  <si>
    <t>Employer written approval of deliverables</t>
  </si>
  <si>
    <t>Stage-4</t>
  </si>
  <si>
    <t>DD - Detailed Design and Stage Gateway Approval</t>
  </si>
  <si>
    <t>Stage-5a</t>
  </si>
  <si>
    <t>IFT - Final Design and Proposal Documentation</t>
  </si>
  <si>
    <t>5a</t>
  </si>
  <si>
    <t>Submission of Deliverables</t>
  </si>
  <si>
    <t>Stage-5b</t>
  </si>
  <si>
    <t>IFC - Tender Contract and Construction Documentation</t>
  </si>
  <si>
    <t>5b</t>
  </si>
  <si>
    <t>D-25</t>
  </si>
  <si>
    <t>ACC approval O/S</t>
  </si>
  <si>
    <t>SUB-TOTAL OF "A"</t>
  </si>
  <si>
    <t>VO - Additional Scope of Services</t>
  </si>
  <si>
    <t>Signage &amp; Wayfinding - AVI 001</t>
  </si>
  <si>
    <t>100% Schematic Design Submission (FOH)</t>
  </si>
  <si>
    <t>Fire &amp; Safety - AVI 001</t>
  </si>
  <si>
    <t>Upon Submission of Fire Engineering Brief</t>
  </si>
  <si>
    <t>Upon Submission of Initial Fire Engineering Analysis &amp; Modeling</t>
  </si>
  <si>
    <t>Upon Submission of Final Fire Engineering Analysis Report</t>
  </si>
  <si>
    <t>Pool &amp; Water Features MEP Engineering - AVI 001</t>
  </si>
  <si>
    <t>Initial Payment upon award of Services</t>
  </si>
  <si>
    <t>Upon Submission of Schematic Design - SD</t>
  </si>
  <si>
    <t>Upon Submission of Detail Design - DD</t>
  </si>
  <si>
    <t>Upon Submission of Tender Documents (a) Final Design - IFT</t>
  </si>
  <si>
    <t>Upon Submission of Tender Documents (b) Tender, Contract &amp; Construction Documentation</t>
  </si>
  <si>
    <t>VO 02 - Conversion of Façade/Shell Model from Rhino to Revit - AVI 002</t>
  </si>
  <si>
    <t>Upon Completion of the Converted Model from Rhino to Revit</t>
  </si>
  <si>
    <t>VO 03 - Additional Service ‐ KSA Civil Defence - DVO 003</t>
  </si>
  <si>
    <t>Downpayment</t>
  </si>
  <si>
    <t>After finishing the review cycle and submittal to Civil Defense</t>
  </si>
  <si>
    <t>Upon Civil Defense Approval</t>
  </si>
  <si>
    <t>VO 04 - Revised Sustainability Guidelines - DVO 004</t>
  </si>
  <si>
    <t>Lead Certification - 50% DD Submission</t>
  </si>
  <si>
    <t>Energy Model - 50% DD Submission</t>
  </si>
  <si>
    <t>VO 05 - Revised BIM Guidelines - AVI 003</t>
  </si>
  <si>
    <t>50% DD Submission</t>
  </si>
  <si>
    <t>100% DD Submission</t>
  </si>
  <si>
    <t>VO 06 Front of House FF&amp;E - DVO 002</t>
  </si>
  <si>
    <t>SD Validation</t>
  </si>
  <si>
    <t>D-21</t>
  </si>
  <si>
    <t>D-22R</t>
  </si>
  <si>
    <t>Final Design Submission - IFT</t>
  </si>
  <si>
    <t>Tender Docs &amp; IFCs</t>
  </si>
  <si>
    <t>VO 07 Art Consultancy Services - DVO 001</t>
  </si>
  <si>
    <t>Stage 1 - Preparation of Brief</t>
  </si>
  <si>
    <t>Stage 2 - Art Concept Design</t>
  </si>
  <si>
    <t>Stage 3 - Art Development Stage</t>
  </si>
  <si>
    <t>D-23R</t>
  </si>
  <si>
    <t>Stage 4 - Final Documentation/ Tender</t>
  </si>
  <si>
    <t>Stage 5 - Art Work Commission/ Fabrication</t>
  </si>
  <si>
    <t>Stage 6 - Logistic &amp; Delivery</t>
  </si>
  <si>
    <t>Stage 7 - Installation</t>
  </si>
  <si>
    <t>VO 08 SPA Additional Features - DVO 005</t>
  </si>
  <si>
    <t>LCD - Dewan</t>
  </si>
  <si>
    <t>MEP - SPA</t>
  </si>
  <si>
    <t>VO 09 Revised Piling Design - DVO 006</t>
  </si>
  <si>
    <t>LCD - Dewan (Structure)</t>
  </si>
  <si>
    <t>003D01-PC-23/ PC-26</t>
  </si>
  <si>
    <t>Revised IFCs</t>
  </si>
  <si>
    <t>LCD - Dewan (AOR)</t>
  </si>
  <si>
    <t>Submission of Revised Design</t>
  </si>
  <si>
    <t>Approval of Revised Design</t>
  </si>
  <si>
    <t>SUB-TOTAL OF "B"</t>
  </si>
  <si>
    <t>GRAND TOTAL (A + B)</t>
  </si>
  <si>
    <t>SIC - AYC</t>
  </si>
  <si>
    <t xml:space="preserve">
Aconex Letter 
Ref.</t>
  </si>
  <si>
    <t>g = f * 33%</t>
  </si>
  <si>
    <t>k = a + 30</t>
  </si>
  <si>
    <t>APA No. 01 (Adv Paym)</t>
  </si>
  <si>
    <t>IPA No. 1</t>
  </si>
  <si>
    <t>IPA No. 2</t>
  </si>
  <si>
    <t>IPA No. 3</t>
  </si>
  <si>
    <t>IPA No. 4</t>
  </si>
  <si>
    <t>IPA No. 5</t>
  </si>
  <si>
    <t>IPA No. 6</t>
  </si>
  <si>
    <t>IPA No. 7</t>
  </si>
  <si>
    <t>IPA No. 8</t>
  </si>
  <si>
    <t>IPA No. 9</t>
  </si>
  <si>
    <t>Aug &amp; Sep 22</t>
  </si>
  <si>
    <t>IPA No. 10</t>
  </si>
  <si>
    <t>IPA No. 11</t>
  </si>
  <si>
    <t>GBC (GREEN BUSINESS CERTIFICATION PO 2220038)</t>
  </si>
  <si>
    <t>Payment Date as per Contract (30days)</t>
  </si>
  <si>
    <t>PAI # 01</t>
  </si>
  <si>
    <t>IPA - 1</t>
  </si>
  <si>
    <t>IPA - 2</t>
  </si>
  <si>
    <t>IPA - 3</t>
  </si>
  <si>
    <t>IPA - 4</t>
  </si>
  <si>
    <t>IPA - 5</t>
  </si>
  <si>
    <t>IPA - 6</t>
  </si>
  <si>
    <t>IPA - 7</t>
  </si>
  <si>
    <t>IPA - 8</t>
  </si>
  <si>
    <t>IPA - 9</t>
  </si>
  <si>
    <t>AMA-WTRAN-000951</t>
  </si>
  <si>
    <t>Transaction Number</t>
  </si>
  <si>
    <t>Supplier Name</t>
  </si>
  <si>
    <t>Line Description</t>
  </si>
  <si>
    <t>New AMD Coding</t>
  </si>
  <si>
    <t>CBS</t>
  </si>
  <si>
    <t>Program Name</t>
  </si>
  <si>
    <t>Program No.</t>
  </si>
  <si>
    <t>Forecast 
May-22</t>
  </si>
  <si>
    <t>Actual 
May-22</t>
  </si>
  <si>
    <t>Difference</t>
  </si>
  <si>
    <t>Forecast 
Jun-22</t>
  </si>
  <si>
    <t>Actual 
june-22</t>
  </si>
  <si>
    <t>Forecast 
Jul-22</t>
  </si>
  <si>
    <t>Actual 
Jul-22</t>
  </si>
  <si>
    <t>Forecast 
Aug-22</t>
  </si>
  <si>
    <t>Actual 
Aug-22</t>
  </si>
  <si>
    <t>Forecast 
Sep-22</t>
  </si>
  <si>
    <t>Actual 
Sep-22</t>
  </si>
  <si>
    <t>Forecast 
Oct-22</t>
  </si>
  <si>
    <t>Actual 
Oct-22</t>
  </si>
  <si>
    <t>Forecast 
Nov-22</t>
  </si>
  <si>
    <t>Actual 
Nov-22</t>
  </si>
  <si>
    <t>Forecast 
Dec-22</t>
  </si>
  <si>
    <t>Actual 
Dec-22</t>
  </si>
  <si>
    <t>Forecast 
Jan-23</t>
  </si>
  <si>
    <t>Actual 
Jan-23</t>
  </si>
  <si>
    <t>Forecast 
Feb-23</t>
  </si>
  <si>
    <t>Actual 
Feb-23</t>
  </si>
  <si>
    <t>Forecast 
Mar-23</t>
  </si>
  <si>
    <t>Actual 
Mar-23</t>
  </si>
  <si>
    <t>Forecast 
Apr-23</t>
  </si>
  <si>
    <t>Forecast 
May-23</t>
  </si>
  <si>
    <t>Forecast 
Jun-23</t>
  </si>
  <si>
    <t xml:space="preserve">Total Cashflow Amount </t>
  </si>
  <si>
    <t>NSCC International Saudi Contracting</t>
  </si>
  <si>
    <t>Piling Works - AYC</t>
  </si>
  <si>
    <t>1TB.01.003.01</t>
  </si>
  <si>
    <t>Triple Bay Yacht Club Lead Consultant Detailed Design</t>
  </si>
  <si>
    <t>Marina Village</t>
  </si>
  <si>
    <t>Soil Improvement Contracting Co.</t>
  </si>
  <si>
    <t>Triple Bay Ground Improvement</t>
  </si>
  <si>
    <t>Green Business Certification Inc.</t>
  </si>
  <si>
    <t>Sustainability Accreditation, third party technical reviews and verification of LEED-registered AMMLA Projects</t>
  </si>
  <si>
    <t>HKS Architects Ltd - Design Competition Fees</t>
  </si>
  <si>
    <t>HKS Architects Ltd - Design Architect Services</t>
  </si>
  <si>
    <t>Triple Bay Marine Yacht Club - Design Architect Services</t>
  </si>
  <si>
    <t>Applied Technology and Management Inc (Dubai BR)</t>
  </si>
  <si>
    <t>Rapid Peer Review of AMAALA Existing Design of Yachting and Marina Facilities</t>
  </si>
  <si>
    <t>TOTAL SAR</t>
  </si>
  <si>
    <t>Budget Approved - UNOFFICIALLY</t>
  </si>
  <si>
    <t>BUDGET TRANSFER DESCRIPTION</t>
  </si>
  <si>
    <t>FROM PACKAGE</t>
  </si>
  <si>
    <t>TO PACKAGE</t>
  </si>
  <si>
    <t>BUDGET FROM PACKAGE</t>
  </si>
  <si>
    <t>BUDGET TO PACKAGE</t>
  </si>
  <si>
    <t>REPORTING PERIOD</t>
  </si>
  <si>
    <r>
      <rPr>
        <sz val="10"/>
        <rFont val="Calibri"/>
        <family val="2"/>
        <scheme val="minor"/>
      </rPr>
      <t xml:space="preserve">INTER </t>
    </r>
    <r>
      <rPr>
        <b/>
        <sz val="10"/>
        <rFont val="Calibri"/>
        <family val="2"/>
        <scheme val="minor"/>
      </rPr>
      <t>PROGRAMME TRANSFER</t>
    </r>
    <r>
      <rPr>
        <sz val="10"/>
        <rFont val="Calibri"/>
        <family val="2"/>
        <scheme val="minor"/>
      </rPr>
      <t xml:space="preserve"> - Site Logistics budget transfer 2.547% </t>
    </r>
  </si>
  <si>
    <t xml:space="preserve">All Construction Packages </t>
  </si>
  <si>
    <t>Site Logistics</t>
  </si>
  <si>
    <r>
      <rPr>
        <b/>
        <sz val="10"/>
        <rFont val="Calibri"/>
        <family val="2"/>
        <scheme val="minor"/>
      </rPr>
      <t>INTER PACKAGE TRANSFER</t>
    </r>
    <r>
      <rPr>
        <sz val="10"/>
        <rFont val="Calibri"/>
        <family val="2"/>
        <scheme val="minor"/>
      </rPr>
      <t xml:space="preserve"> - Piling NSCC to Construction Budget Hold - Contract Award</t>
    </r>
  </si>
  <si>
    <r>
      <rPr>
        <b/>
        <sz val="10"/>
        <rFont val="Calibri"/>
        <family val="2"/>
        <scheme val="minor"/>
      </rPr>
      <t>ADDITIONAL BUDGET</t>
    </r>
    <r>
      <rPr>
        <sz val="10"/>
        <rFont val="Calibri"/>
        <family val="2"/>
        <scheme val="minor"/>
      </rPr>
      <t xml:space="preserve"> - Inline with EW Reported against PTE's to Civils package</t>
    </r>
  </si>
  <si>
    <r>
      <rPr>
        <b/>
        <sz val="10"/>
        <rFont val="Calibri"/>
        <family val="2"/>
        <scheme val="minor"/>
      </rPr>
      <t>ADDITIONAL BUDGET</t>
    </r>
    <r>
      <rPr>
        <sz val="10"/>
        <rFont val="Calibri"/>
        <family val="2"/>
        <scheme val="minor"/>
      </rPr>
      <t xml:space="preserve"> - Inline with EW Reported against PTE's to MEPD package</t>
    </r>
  </si>
  <si>
    <r>
      <rPr>
        <b/>
        <sz val="10"/>
        <rFont val="Calibri"/>
        <family val="2"/>
        <scheme val="minor"/>
      </rPr>
      <t>ADDITIONAL BUDGET</t>
    </r>
    <r>
      <rPr>
        <sz val="10"/>
        <rFont val="Calibri"/>
        <family val="2"/>
        <scheme val="minor"/>
      </rPr>
      <t xml:space="preserve"> - Inline with EW Reported against PTE's to ICT / ELV package</t>
    </r>
  </si>
  <si>
    <r>
      <rPr>
        <b/>
        <sz val="10"/>
        <color theme="1"/>
        <rFont val="Calibri"/>
        <family val="2"/>
        <scheme val="minor"/>
      </rPr>
      <t>INTER PACKAGE TRANSFER</t>
    </r>
    <r>
      <rPr>
        <sz val="10"/>
        <color theme="1"/>
        <rFont val="Calibri"/>
        <family val="2"/>
        <scheme val="minor"/>
      </rPr>
      <t xml:space="preserve"> - MEPD to Civils and Arch Works - Contract Award (Baytur)</t>
    </r>
  </si>
  <si>
    <r>
      <rPr>
        <b/>
        <sz val="10"/>
        <color theme="1"/>
        <rFont val="Calibri"/>
        <family val="2"/>
        <scheme val="minor"/>
      </rPr>
      <t>INTER PACKAGE TRANSFER</t>
    </r>
    <r>
      <rPr>
        <sz val="10"/>
        <color theme="1"/>
        <rFont val="Calibri"/>
        <family val="2"/>
        <scheme val="minor"/>
      </rPr>
      <t xml:space="preserve"> - MEPD to ICT / ELV - Contract Award (Baytur)</t>
    </r>
  </si>
  <si>
    <r>
      <rPr>
        <b/>
        <sz val="10"/>
        <color theme="1"/>
        <rFont val="Calibri"/>
        <family val="2"/>
        <scheme val="minor"/>
      </rPr>
      <t>INTER PACKAGE TRANSFER</t>
    </r>
    <r>
      <rPr>
        <sz val="10"/>
        <color theme="1"/>
        <rFont val="Calibri"/>
        <family val="2"/>
        <scheme val="minor"/>
      </rPr>
      <t xml:space="preserve"> - MEPD to Budget Hold - Contract Award (Baytur) - Saving</t>
    </r>
  </si>
  <si>
    <r>
      <rPr>
        <b/>
        <sz val="10"/>
        <color theme="1"/>
        <rFont val="Calibri"/>
        <family val="2"/>
        <scheme val="minor"/>
      </rPr>
      <t>INTER PACKAGE TRANSFER</t>
    </r>
    <r>
      <rPr>
        <sz val="10"/>
        <color theme="1"/>
        <rFont val="Calibri"/>
        <family val="2"/>
        <scheme val="minor"/>
      </rPr>
      <t xml:space="preserve"> - MS Budget Hold to Khatib &amp; Alami Contract Award (MS - AYC) </t>
    </r>
  </si>
  <si>
    <r>
      <rPr>
        <b/>
        <sz val="10"/>
        <color theme="1"/>
        <rFont val="Calibri"/>
        <family val="2"/>
        <scheme val="minor"/>
      </rPr>
      <t>INTER PACKAGE TRANSFER</t>
    </r>
    <r>
      <rPr>
        <sz val="10"/>
        <color theme="1"/>
        <rFont val="Calibri"/>
        <family val="2"/>
        <scheme val="minor"/>
      </rPr>
      <t xml:space="preserve"> - PS Budget Hold to Langan Contract Award </t>
    </r>
  </si>
  <si>
    <r>
      <rPr>
        <b/>
        <sz val="10"/>
        <color theme="1"/>
        <rFont val="Calibri"/>
        <family val="2"/>
        <scheme val="minor"/>
      </rPr>
      <t>INTER PACKAGE TRANSFER</t>
    </r>
    <r>
      <rPr>
        <sz val="10"/>
        <color theme="1"/>
        <rFont val="Calibri"/>
        <family val="2"/>
        <scheme val="minor"/>
      </rPr>
      <t xml:space="preserve"> - PS Budget Hold to Zuhair Fayez Partnership Contract Award (PS - AYC) </t>
    </r>
  </si>
  <si>
    <r>
      <rPr>
        <b/>
        <sz val="10"/>
        <color theme="1"/>
        <rFont val="Calibri"/>
        <family val="2"/>
        <scheme val="minor"/>
      </rPr>
      <t>INTER PACKAGE TRANSFER</t>
    </r>
    <r>
      <rPr>
        <sz val="10"/>
        <color theme="1"/>
        <rFont val="Calibri"/>
        <family val="2"/>
        <scheme val="minor"/>
      </rPr>
      <t xml:space="preserve"> - CN Budget Hold to Medtel W.N. WLL  Contract Award (CN - AYC) </t>
    </r>
  </si>
  <si>
    <r>
      <rPr>
        <b/>
        <sz val="10"/>
        <rFont val="Calibri"/>
        <family val="2"/>
        <scheme val="minor"/>
      </rPr>
      <t>ADDITIONAL BUDGET</t>
    </r>
    <r>
      <rPr>
        <sz val="10"/>
        <rFont val="Calibri"/>
        <family val="2"/>
        <scheme val="minor"/>
      </rPr>
      <t xml:space="preserve"> - EW No.4 Reported at SAR 2,675,473 against PTE's to Vertical Transport</t>
    </r>
  </si>
  <si>
    <t>History - related to budget transfers to appoint Baytur - due to additional budget not formally being approved as of 1 Feb 2023</t>
  </si>
  <si>
    <r>
      <rPr>
        <b/>
        <sz val="10"/>
        <color theme="1"/>
        <rFont val="Calibri"/>
        <family val="2"/>
        <scheme val="minor"/>
      </rPr>
      <t>INTER PROJECT TRANSFER</t>
    </r>
    <r>
      <rPr>
        <sz val="10"/>
        <color theme="1"/>
        <rFont val="Calibri"/>
        <family val="2"/>
        <scheme val="minor"/>
      </rPr>
      <t xml:space="preserve"> - MH3 PS Budget Hold to Zuhair Fayez Partnership Contract Award (PS - AYC) </t>
    </r>
  </si>
  <si>
    <r>
      <rPr>
        <b/>
        <sz val="10"/>
        <color theme="1"/>
        <rFont val="Calibri"/>
        <family val="2"/>
        <scheme val="minor"/>
      </rPr>
      <t>INTER PROJECT TRANSFER</t>
    </r>
    <r>
      <rPr>
        <sz val="10"/>
        <color theme="1"/>
        <rFont val="Calibri"/>
        <family val="2"/>
        <scheme val="minor"/>
      </rPr>
      <t xml:space="preserve"> - MH3 PS Budget Hold to Khatib &amp; Alami Contract Award (MS - AYC) </t>
    </r>
  </si>
  <si>
    <r>
      <rPr>
        <b/>
        <sz val="10"/>
        <color theme="1"/>
        <rFont val="Calibri"/>
        <family val="2"/>
        <scheme val="minor"/>
      </rPr>
      <t>INTER PACKAGE TRANSFER</t>
    </r>
    <r>
      <rPr>
        <sz val="10"/>
        <color theme="1"/>
        <rFont val="Calibri"/>
        <family val="2"/>
        <scheme val="minor"/>
      </rPr>
      <t xml:space="preserve"> - CN Budget Hold to Saudi Baytur Contract Award </t>
    </r>
  </si>
  <si>
    <r>
      <rPr>
        <b/>
        <sz val="10"/>
        <color theme="1"/>
        <rFont val="Calibri"/>
        <family val="2"/>
        <scheme val="minor"/>
      </rPr>
      <t>INTER PACKAGE TRANSFER</t>
    </r>
    <r>
      <rPr>
        <sz val="10"/>
        <color theme="1"/>
        <rFont val="Calibri"/>
        <family val="2"/>
        <scheme val="minor"/>
      </rPr>
      <t xml:space="preserve"> - FF&amp;E OSE Budget Hold to Saudi Baytur Contract Award </t>
    </r>
  </si>
  <si>
    <r>
      <rPr>
        <b/>
        <sz val="10"/>
        <color theme="1"/>
        <rFont val="Calibri"/>
        <family val="2"/>
        <scheme val="minor"/>
      </rPr>
      <t>INTER PACKAGE TRANSFER</t>
    </r>
    <r>
      <rPr>
        <sz val="10"/>
        <color theme="1"/>
        <rFont val="Calibri"/>
        <family val="2"/>
        <scheme val="minor"/>
      </rPr>
      <t xml:space="preserve"> - PS Budget Hold to Saudi Baytur Contract Award </t>
    </r>
  </si>
  <si>
    <r>
      <rPr>
        <b/>
        <sz val="10"/>
        <color theme="1"/>
        <rFont val="Calibri"/>
        <family val="2"/>
        <scheme val="minor"/>
      </rPr>
      <t>INTER PACKAGE TRANSFER</t>
    </r>
    <r>
      <rPr>
        <sz val="10"/>
        <color theme="1"/>
        <rFont val="Calibri"/>
        <family val="2"/>
        <scheme val="minor"/>
      </rPr>
      <t xml:space="preserve"> - CM Budget Hold to Saudi Baytur Contract Award </t>
    </r>
  </si>
  <si>
    <r>
      <rPr>
        <b/>
        <sz val="10"/>
        <color theme="1"/>
        <rFont val="Calibri"/>
        <family val="2"/>
        <scheme val="minor"/>
      </rPr>
      <t>INTER PACKAGE TRANSFER</t>
    </r>
    <r>
      <rPr>
        <sz val="10"/>
        <color theme="1"/>
        <rFont val="Calibri"/>
        <family val="2"/>
        <scheme val="minor"/>
      </rPr>
      <t xml:space="preserve"> - MS Budget Hold to Saudi Baytur Contract Award </t>
    </r>
  </si>
  <si>
    <r>
      <rPr>
        <b/>
        <sz val="10"/>
        <rFont val="Calibri"/>
        <family val="2"/>
        <scheme val="minor"/>
      </rPr>
      <t>ADDITIONAL BUDGET</t>
    </r>
    <r>
      <rPr>
        <sz val="10"/>
        <rFont val="Calibri"/>
        <family val="2"/>
        <scheme val="minor"/>
      </rPr>
      <t xml:space="preserve"> - Inline with adapted Level 5 Cost Report - Revised Asset Budget Allocation - Civil and Arch Works Package</t>
    </r>
  </si>
  <si>
    <t>Refer to budget value in Item 3 above</t>
  </si>
  <si>
    <r>
      <rPr>
        <b/>
        <sz val="10"/>
        <rFont val="Calibri"/>
        <family val="2"/>
        <scheme val="minor"/>
      </rPr>
      <t>ADDITIONAL BUDGET</t>
    </r>
    <r>
      <rPr>
        <sz val="10"/>
        <rFont val="Calibri"/>
        <family val="2"/>
        <scheme val="minor"/>
      </rPr>
      <t xml:space="preserve"> - Inline with adapted Level 5 Cost Report - Revised Asset Budget Allocation - MEPD Works Package</t>
    </r>
  </si>
  <si>
    <t>Refer to budget value in Item 4 above</t>
  </si>
  <si>
    <r>
      <rPr>
        <b/>
        <sz val="10"/>
        <rFont val="Calibri"/>
        <family val="2"/>
        <scheme val="minor"/>
      </rPr>
      <t>ADDITIONAL BUDGET</t>
    </r>
    <r>
      <rPr>
        <sz val="10"/>
        <rFont val="Calibri"/>
        <family val="2"/>
        <scheme val="minor"/>
      </rPr>
      <t xml:space="preserve"> - Inline with adapted Level 5 Cost Report - Revised Asset Budget Allocation - ICT / ELV Works Package</t>
    </r>
  </si>
  <si>
    <t>Refer to budget value in Item 5 above</t>
  </si>
  <si>
    <r>
      <rPr>
        <b/>
        <sz val="10"/>
        <rFont val="Calibri"/>
        <family val="2"/>
        <scheme val="minor"/>
      </rPr>
      <t>ADDITIONAL BUDGET</t>
    </r>
    <r>
      <rPr>
        <sz val="10"/>
        <rFont val="Calibri"/>
        <family val="2"/>
        <scheme val="minor"/>
      </rPr>
      <t xml:space="preserve"> - Inline with adapted Level 5 Cost Report - Revised Asset Budget Allocation - Lifts / Vertical Transport Works Package</t>
    </r>
  </si>
  <si>
    <r>
      <rPr>
        <b/>
        <sz val="10"/>
        <rFont val="Calibri"/>
        <family val="2"/>
        <scheme val="minor"/>
      </rPr>
      <t>ADDITIONAL BUDGET</t>
    </r>
    <r>
      <rPr>
        <sz val="10"/>
        <rFont val="Calibri"/>
        <family val="2"/>
        <scheme val="minor"/>
      </rPr>
      <t xml:space="preserve"> - Inline with adapted Level 5 Cost Report - Revised Asset Budget Allocation - Hard and Soft Landscaping Works Package</t>
    </r>
  </si>
  <si>
    <r>
      <rPr>
        <b/>
        <sz val="10"/>
        <rFont val="Calibri"/>
        <family val="2"/>
        <scheme val="minor"/>
      </rPr>
      <t>ADDITIONAL BUDGET</t>
    </r>
    <r>
      <rPr>
        <sz val="10"/>
        <rFont val="Calibri"/>
        <family val="2"/>
        <scheme val="minor"/>
      </rPr>
      <t xml:space="preserve"> - Inline with adapted Level 5 Cost Report - Revised Asset Budget Allocation - Interior Fit-out Works Package</t>
    </r>
  </si>
  <si>
    <r>
      <rPr>
        <b/>
        <sz val="10"/>
        <rFont val="Calibri"/>
        <family val="2"/>
        <scheme val="minor"/>
      </rPr>
      <t>BUDGET</t>
    </r>
    <r>
      <rPr>
        <sz val="10"/>
        <rFont val="Calibri"/>
        <family val="2"/>
        <scheme val="minor"/>
      </rPr>
      <t xml:space="preserve"> </t>
    </r>
    <r>
      <rPr>
        <b/>
        <sz val="10"/>
        <rFont val="Calibri"/>
        <family val="2"/>
        <scheme val="minor"/>
      </rPr>
      <t xml:space="preserve">ALIGNMENT </t>
    </r>
    <r>
      <rPr>
        <sz val="10"/>
        <rFont val="Calibri"/>
        <family val="2"/>
        <scheme val="minor"/>
      </rPr>
      <t>- Inline with adapted Level 5 Cost Report - Revised Asset Budget Allocation - Loose FF&amp;E items (BOH) Package (reported as Early Warning No. 08)</t>
    </r>
  </si>
  <si>
    <r>
      <rPr>
        <b/>
        <sz val="10"/>
        <rFont val="Calibri"/>
        <family val="2"/>
        <scheme val="minor"/>
      </rPr>
      <t>BUDGET</t>
    </r>
    <r>
      <rPr>
        <sz val="10"/>
        <rFont val="Calibri"/>
        <family val="2"/>
        <scheme val="minor"/>
      </rPr>
      <t xml:space="preserve"> </t>
    </r>
    <r>
      <rPr>
        <b/>
        <sz val="10"/>
        <rFont val="Calibri"/>
        <family val="2"/>
        <scheme val="minor"/>
      </rPr>
      <t xml:space="preserve">ALIGNMENT </t>
    </r>
    <r>
      <rPr>
        <sz val="10"/>
        <rFont val="Calibri"/>
        <family val="2"/>
        <scheme val="minor"/>
      </rPr>
      <t>- Inline with adapted Level 5 Cost Report - Revised Asset Budget Allocation - Special Kitchen Package (reported as Early Warning No. 07)</t>
    </r>
  </si>
  <si>
    <r>
      <rPr>
        <b/>
        <sz val="10"/>
        <rFont val="Calibri"/>
        <family val="2"/>
        <scheme val="minor"/>
      </rPr>
      <t>BUDGET</t>
    </r>
    <r>
      <rPr>
        <sz val="10"/>
        <rFont val="Calibri"/>
        <family val="2"/>
        <scheme val="minor"/>
      </rPr>
      <t xml:space="preserve"> </t>
    </r>
    <r>
      <rPr>
        <b/>
        <sz val="10"/>
        <rFont val="Calibri"/>
        <family val="2"/>
        <scheme val="minor"/>
      </rPr>
      <t xml:space="preserve">ALIGNMENT </t>
    </r>
    <r>
      <rPr>
        <sz val="10"/>
        <rFont val="Calibri"/>
        <family val="2"/>
        <scheme val="minor"/>
      </rPr>
      <t>- Inline with adapted Level 5 Cost Report - Revised Asset Budget Allocation - Zeroing the Remaining budget - Construction Works (Item 2 and 8 above).</t>
    </r>
  </si>
  <si>
    <r>
      <rPr>
        <b/>
        <sz val="10"/>
        <color theme="1"/>
        <rFont val="Calibri"/>
        <family val="2"/>
        <scheme val="minor"/>
      </rPr>
      <t>INTER PROJECT TRANSFER</t>
    </r>
    <r>
      <rPr>
        <sz val="10"/>
        <color theme="1"/>
        <rFont val="Calibri"/>
        <family val="2"/>
        <scheme val="minor"/>
      </rPr>
      <t xml:space="preserve"> - MH3 PS Budget Hold to DEWAN Variations (DVO 05 &amp; DVO 06) (PS - AYC) </t>
    </r>
  </si>
  <si>
    <r>
      <t xml:space="preserve">T&amp;T submission </t>
    </r>
    <r>
      <rPr>
        <sz val="11"/>
        <color rgb="FFFF0000"/>
        <rFont val="Calibri"/>
        <family val="2"/>
        <scheme val="minor"/>
      </rPr>
      <t xml:space="preserve">#### </t>
    </r>
    <r>
      <rPr>
        <sz val="11"/>
        <color theme="1"/>
        <rFont val="Calibri"/>
        <family val="2"/>
        <scheme val="minor"/>
      </rPr>
      <t>reconciling all the errors identified in their priced BOQ</t>
    </r>
  </si>
  <si>
    <t>BASELINE BUDGET</t>
  </si>
  <si>
    <t>REVISED BASELINE BUDGET</t>
  </si>
  <si>
    <t>LATEST COST PLAN</t>
  </si>
  <si>
    <t>CONSTRUCTION WORKS</t>
  </si>
  <si>
    <t xml:space="preserve">Piling, Shoring &amp; Associated works </t>
  </si>
  <si>
    <t>Contract Awarded - EW not Applicable</t>
  </si>
  <si>
    <t>2a</t>
  </si>
  <si>
    <t>Early Works - GBC - Sustainability Accreditation 3rd Party</t>
  </si>
  <si>
    <t>Not Applicable</t>
  </si>
  <si>
    <t>2b</t>
  </si>
  <si>
    <t>Early Works - SOI TB Ground Improvement Works</t>
  </si>
  <si>
    <t>Lifts / Vertical Transport Supply</t>
  </si>
  <si>
    <t>Hard and Soft Scape</t>
  </si>
  <si>
    <t>Interior Fit-Out</t>
  </si>
  <si>
    <t>FF&amp;E and OS&amp;E</t>
  </si>
  <si>
    <t>a. Loose FF&amp;E items (FOH)</t>
  </si>
  <si>
    <t>b. Loose FF&amp;E items (BOH)</t>
  </si>
  <si>
    <t>c. OS&amp;E items</t>
  </si>
  <si>
    <t xml:space="preserve">d. Art Work </t>
  </si>
  <si>
    <t>,</t>
  </si>
  <si>
    <t>TOTAL</t>
  </si>
  <si>
    <t>PROJECT CASH FLOW</t>
  </si>
  <si>
    <t>Project Render</t>
  </si>
  <si>
    <t>Financial Status</t>
  </si>
  <si>
    <t>Contract Award value</t>
  </si>
  <si>
    <t>Current Budget as of Report Date</t>
  </si>
  <si>
    <t xml:space="preserve">CONTRACT </t>
  </si>
  <si>
    <t>SUM</t>
  </si>
  <si>
    <t>BASELINE - Cum.</t>
  </si>
  <si>
    <t>BASELINE - Net</t>
  </si>
  <si>
    <t>CUM.</t>
  </si>
  <si>
    <t>NET.</t>
  </si>
  <si>
    <t>Work Done To  Date</t>
  </si>
  <si>
    <t>i</t>
  </si>
  <si>
    <t>Provisional Sum spread</t>
  </si>
  <si>
    <t>Material on Site</t>
  </si>
  <si>
    <t>ii</t>
  </si>
  <si>
    <t>Variations</t>
  </si>
  <si>
    <t>iii</t>
  </si>
  <si>
    <t>Total Value of Works Done</t>
  </si>
  <si>
    <t>iv=i+ii+iii</t>
  </si>
  <si>
    <t>Advance Payment Recovery</t>
  </si>
  <si>
    <t>v</t>
  </si>
  <si>
    <t>vi</t>
  </si>
  <si>
    <t>Gross Amount Certified</t>
  </si>
  <si>
    <t>vii=iv+v+vi</t>
  </si>
  <si>
    <t>Retention 5% cash 5% bond</t>
  </si>
  <si>
    <t>viii</t>
  </si>
  <si>
    <t>Retention Released</t>
  </si>
  <si>
    <t>ix</t>
  </si>
  <si>
    <t>Sub-total</t>
  </si>
  <si>
    <t>x=vii+viii+ix</t>
  </si>
  <si>
    <t>Fluctuations</t>
  </si>
  <si>
    <t>xi</t>
  </si>
  <si>
    <t>Penalties</t>
  </si>
  <si>
    <t>xii</t>
  </si>
  <si>
    <t>Contra charges</t>
  </si>
  <si>
    <t>xiii</t>
  </si>
  <si>
    <t>Net Amount Certified Cumulative</t>
  </si>
  <si>
    <t>xiv=x+xi+xii+xiii</t>
  </si>
  <si>
    <t>Net Amount Certified Monthly</t>
  </si>
  <si>
    <t>xv=xiv- prev xiv</t>
  </si>
  <si>
    <t>FIXTURES, FITTINGS &amp; EQUIPMENT</t>
  </si>
  <si>
    <t>Vendor - None</t>
  </si>
  <si>
    <t>Retention 10%</t>
  </si>
  <si>
    <t>LOCAL AUTHORITIES</t>
  </si>
  <si>
    <t>CONTINGENCY</t>
  </si>
  <si>
    <t>Contingency Spend</t>
  </si>
  <si>
    <t>MISCELLANEOUS ITEMS</t>
  </si>
  <si>
    <t>Vendor - NA</t>
  </si>
  <si>
    <t>ACTUAL/FORECAST - Cum.</t>
  </si>
  <si>
    <t>ACTUAL/FORECAST  - Net</t>
  </si>
  <si>
    <t>Retention 5% Cash 5% Bond</t>
  </si>
  <si>
    <t>Vendor - N/A</t>
  </si>
  <si>
    <t>Local Authorities Fees</t>
  </si>
  <si>
    <t>Proposed Vendor XXX</t>
  </si>
  <si>
    <t>VALUE</t>
  </si>
  <si>
    <t>MPX -UPDATED FORECAST - Cum.</t>
  </si>
  <si>
    <t>MPX -UPDATED FORECAST  - Net</t>
  </si>
  <si>
    <t>DIFFERENCE  - BASELINE &amp; ACTUAL</t>
  </si>
  <si>
    <t>FROM</t>
  </si>
  <si>
    <t>TO</t>
  </si>
  <si>
    <t>S/N</t>
  </si>
  <si>
    <t>Program</t>
  </si>
  <si>
    <t>REEF PO Ref.</t>
  </si>
  <si>
    <t>Vendor Name</t>
  </si>
  <si>
    <t>Vendor Type</t>
  </si>
  <si>
    <t>CI / EI  / VO Ref.</t>
  </si>
  <si>
    <t>Date of Instruction</t>
  </si>
  <si>
    <t>AVI / DVO
 Ref.</t>
  </si>
  <si>
    <t>Date of AVI/DVO Agreement</t>
  </si>
  <si>
    <t>Value of AVV (Actual)</t>
  </si>
  <si>
    <t>No. of Calendar Days to Close AVV / DVO</t>
  </si>
  <si>
    <t>Count of AVV / DVO Closed</t>
  </si>
  <si>
    <t>Deadline Date for Closing DVO</t>
  </si>
  <si>
    <t>Remaining Days to Close Out
(Red = delay)</t>
  </si>
  <si>
    <t>P0422-CEL-TEIB-15479455/R1</t>
  </si>
  <si>
    <t>KCLG2200438</t>
  </si>
  <si>
    <t>AMA01003-PAYAP-000043</t>
  </si>
  <si>
    <t>AMA01003-PC-000007</t>
  </si>
  <si>
    <t>IPA - 29 (INV-D-33)</t>
  </si>
  <si>
    <t>AMA01003-PAYAP-000047</t>
  </si>
  <si>
    <t>AMA01003-PC-000011</t>
  </si>
  <si>
    <t>IPA - 30 (INV-D-32R)</t>
  </si>
  <si>
    <t>AMA01003-PAYAP-000051</t>
  </si>
  <si>
    <t>AMA01003-PC-000010</t>
  </si>
  <si>
    <t>IPA - 28 (INV-D-27)</t>
  </si>
  <si>
    <t>AMA01003-PAYAP-000046</t>
  </si>
  <si>
    <t>AMA01003-PC-000009</t>
  </si>
  <si>
    <t>AMA01003-PAYAP-000050</t>
  </si>
  <si>
    <t>AMA01003-PC-000008</t>
  </si>
  <si>
    <t>D-33</t>
  </si>
  <si>
    <t>D-27</t>
  </si>
  <si>
    <t>IPA No. 12</t>
  </si>
  <si>
    <t>Dec-21/Jan-23</t>
  </si>
  <si>
    <t>IPA No. 13</t>
  </si>
  <si>
    <t>1TB04400-005C13-NSC-LTR-0306</t>
  </si>
  <si>
    <t>AMA01003-WTRAN-003206</t>
  </si>
  <si>
    <t>VO 02</t>
  </si>
  <si>
    <t>1TB01003-003C03-AMA-LTR-0026</t>
  </si>
  <si>
    <t>VO 002 / EI 002</t>
  </si>
  <si>
    <t>WSP-LTR-0047</t>
  </si>
  <si>
    <t>WSP-LTR-0065</t>
  </si>
  <si>
    <t>WSP-LTR-0081</t>
  </si>
  <si>
    <t>WSP-LTR-0106</t>
  </si>
  <si>
    <t>NSC-LTR-000328</t>
  </si>
  <si>
    <t>AMA01003-WTRAN-003313</t>
  </si>
  <si>
    <t>VO  02</t>
  </si>
  <si>
    <t>VO 03</t>
  </si>
  <si>
    <t>Omission of food and welfare provision to AMAALA Staff from SAB Contract.</t>
  </si>
  <si>
    <t>Omission of Dewatering from SAB Contract.</t>
  </si>
  <si>
    <t>Omission of Surveying Equipment from SAB Contract</t>
  </si>
  <si>
    <t xml:space="preserve">Cost saving to Site Office Monthly Running Cost due to late installation of the Office Establishment by SAB. </t>
  </si>
  <si>
    <t>Kitchen &amp; Laundry Works</t>
  </si>
  <si>
    <t>CN-MW</t>
  </si>
  <si>
    <t>CN.003C08</t>
  </si>
  <si>
    <t>Jensen Hughes</t>
  </si>
  <si>
    <t>Jensen Hughes-Prf Fees</t>
  </si>
  <si>
    <r>
      <rPr>
        <b/>
        <sz val="10"/>
        <color theme="1"/>
        <rFont val="Calibri"/>
        <family val="2"/>
        <scheme val="minor"/>
      </rPr>
      <t>INTER PACKAGE TRANSFER</t>
    </r>
    <r>
      <rPr>
        <sz val="10"/>
        <color theme="1"/>
        <rFont val="Calibri"/>
        <family val="2"/>
        <scheme val="minor"/>
      </rPr>
      <t xml:space="preserve"> - Kitchen &amp; Laundry Works to Budget Hold - Contract Award (Al Raqtan) - Saving</t>
    </r>
  </si>
  <si>
    <t xml:space="preserve">30/04/2023 plus 12 years ( 2 years Maintenance Period and Extended Reporting Period 10 Years ) </t>
  </si>
  <si>
    <t>Technical Supervision</t>
  </si>
  <si>
    <t>Open</t>
  </si>
  <si>
    <t>003C08</t>
  </si>
  <si>
    <t>AL RAQTAN</t>
  </si>
  <si>
    <t>AMA01003-PAYAP-000068</t>
  </si>
  <si>
    <t>IPA - 32 (INV-D-28R)</t>
  </si>
  <si>
    <t>AMA01003-PC-000013</t>
  </si>
  <si>
    <t>Actual 
Apr-23</t>
  </si>
  <si>
    <t>Forecast 
Jul-23</t>
  </si>
  <si>
    <t>Not stated</t>
  </si>
  <si>
    <r>
      <rPr>
        <b/>
        <sz val="10"/>
        <color theme="1"/>
        <rFont val="Calibri"/>
        <family val="2"/>
        <scheme val="minor"/>
      </rPr>
      <t>INTER PACKAGE TRANSFER</t>
    </r>
    <r>
      <rPr>
        <sz val="10"/>
        <color theme="1"/>
        <rFont val="Calibri"/>
        <family val="2"/>
        <scheme val="minor"/>
      </rPr>
      <t xml:space="preserve"> - PS Budget Hold to Jensen Hughes Contract Award </t>
    </r>
  </si>
  <si>
    <t>Khatib &amp; Alami (Management Supervison)</t>
  </si>
  <si>
    <t>CN.003C13 - SOI TB Ground Improvement Works</t>
  </si>
  <si>
    <t>Parson via SAP04004-ACK-000029 requested SIC to obtain confirmation in writing from the Insurance provider for 00 months maintenance period is covered in the renewed policy. SIC is yet te response.</t>
  </si>
  <si>
    <t>Cancelled. As advised by BL, T&amp;T this is closed and T&amp;T never provided a cost submission.</t>
  </si>
  <si>
    <t>ok</t>
  </si>
  <si>
    <t>paid</t>
  </si>
  <si>
    <t>IPA No. 14</t>
  </si>
  <si>
    <t>IPA No. 15</t>
  </si>
  <si>
    <t>LANGAN International UK, LTD</t>
  </si>
  <si>
    <t>Medtel - W.N. WLL</t>
  </si>
  <si>
    <t>1TB04400-005C13-NSC-LTR-326</t>
  </si>
  <si>
    <t>Updated Consolidation of the Contractor’s Claim up to 14 April 2023 (AYC Section)</t>
  </si>
  <si>
    <t>Consolidated</t>
  </si>
  <si>
    <r>
      <t xml:space="preserve">Revised EOT  via </t>
    </r>
    <r>
      <rPr>
        <b/>
        <i/>
        <strike/>
        <u/>
        <sz val="8"/>
        <color theme="1"/>
        <rFont val="Amaala Sans"/>
      </rPr>
      <t>1TB04400-005C13-NSC-LTR-0229</t>
    </r>
    <r>
      <rPr>
        <strike/>
        <sz val="8"/>
        <color theme="1"/>
        <rFont val="Amaala Sans"/>
      </rPr>
      <t xml:space="preserve"> Dt: </t>
    </r>
    <r>
      <rPr>
        <b/>
        <i/>
        <strike/>
        <u/>
        <sz val="8"/>
        <color theme="1"/>
        <rFont val="Amaala Sans"/>
      </rPr>
      <t>19th Jan- 23</t>
    </r>
  </si>
  <si>
    <r>
      <t xml:space="preserve">NOD via </t>
    </r>
    <r>
      <rPr>
        <b/>
        <i/>
        <strike/>
        <u/>
        <sz val="8"/>
        <color theme="1"/>
        <rFont val="Amaala Sans"/>
      </rPr>
      <t>1TB04400-005C13-NSC-LTR-0241</t>
    </r>
    <r>
      <rPr>
        <strike/>
        <sz val="8"/>
        <color theme="1"/>
        <rFont val="Amaala Sans"/>
      </rPr>
      <t xml:space="preserve"> Dt: </t>
    </r>
    <r>
      <rPr>
        <b/>
        <i/>
        <strike/>
        <u/>
        <sz val="8"/>
        <color theme="1"/>
        <rFont val="Amaala Sans"/>
      </rPr>
      <t>24th Jan-23</t>
    </r>
  </si>
  <si>
    <r>
      <t xml:space="preserve">Responded via </t>
    </r>
    <r>
      <rPr>
        <b/>
        <i/>
        <strike/>
        <u/>
        <sz val="8"/>
        <color theme="1"/>
        <rFont val="Amaala Sans"/>
      </rPr>
      <t>1TB04400-005C13-NSC-LTR-0204</t>
    </r>
    <r>
      <rPr>
        <strike/>
        <sz val="8"/>
        <color theme="1"/>
        <rFont val="Amaala Sans"/>
      </rPr>
      <t xml:space="preserve"> Dt: </t>
    </r>
    <r>
      <rPr>
        <b/>
        <i/>
        <strike/>
        <u/>
        <sz val="8"/>
        <color theme="1"/>
        <rFont val="Amaala Sans"/>
      </rPr>
      <t>22nd Dec- 22</t>
    </r>
  </si>
  <si>
    <t>NSCC - 024</t>
  </si>
  <si>
    <t>AMA01003-WTRAN-003530</t>
  </si>
  <si>
    <t>No Cost Impact / CLOSED.</t>
  </si>
  <si>
    <r>
      <rPr>
        <b/>
        <sz val="10"/>
        <color theme="1"/>
        <rFont val="Calibri"/>
        <family val="2"/>
        <scheme val="minor"/>
      </rPr>
      <t>INTER PROJECT TRANSFER</t>
    </r>
    <r>
      <rPr>
        <sz val="10"/>
        <color theme="1"/>
        <rFont val="Calibri"/>
        <family val="2"/>
        <scheme val="minor"/>
      </rPr>
      <t xml:space="preserve"> - MH3 PS Budget Hold to ESCCO - VT Package ( AYC) </t>
    </r>
  </si>
  <si>
    <r>
      <rPr>
        <b/>
        <sz val="10"/>
        <color theme="1"/>
        <rFont val="Calibri"/>
        <family val="2"/>
        <scheme val="minor"/>
      </rPr>
      <t>INTER PROJECT TRANSFER</t>
    </r>
    <r>
      <rPr>
        <sz val="10"/>
        <color theme="1"/>
        <rFont val="Calibri"/>
        <family val="2"/>
        <scheme val="minor"/>
      </rPr>
      <t xml:space="preserve"> - MH3 PS Budget Hold to Jensen (PS - AYC) </t>
    </r>
  </si>
  <si>
    <r>
      <rPr>
        <b/>
        <sz val="10"/>
        <color theme="1"/>
        <rFont val="Calibri"/>
        <family val="2"/>
        <scheme val="minor"/>
      </rPr>
      <t>INTER PROJECT TRANSFER</t>
    </r>
    <r>
      <rPr>
        <sz val="10"/>
        <color theme="1"/>
        <rFont val="Calibri"/>
        <family val="2"/>
        <scheme val="minor"/>
      </rPr>
      <t xml:space="preserve"> - MH3 PS Budget Hold to Kitchen Package (CN - AYC) </t>
    </r>
  </si>
  <si>
    <r>
      <rPr>
        <b/>
        <sz val="10"/>
        <color theme="1"/>
        <rFont val="Calibri"/>
        <family val="2"/>
        <scheme val="minor"/>
      </rPr>
      <t>INTER PROJECT TRANSFER</t>
    </r>
    <r>
      <rPr>
        <sz val="10"/>
        <color theme="1"/>
        <rFont val="Calibri"/>
        <family val="2"/>
        <scheme val="minor"/>
      </rPr>
      <t xml:space="preserve"> - MH3 PS Budget Hold to Boundary Visualiztion Limited (Rosewood Team)</t>
    </r>
  </si>
  <si>
    <t>To Rosewood PS Budget Hold.</t>
  </si>
  <si>
    <t>1190082 &amp; 1200364</t>
  </si>
  <si>
    <t>1TB01003-003D01-AMA-LTR-0004</t>
  </si>
  <si>
    <t>RAQTAN</t>
  </si>
  <si>
    <t>DVO 07</t>
  </si>
  <si>
    <t>DAE01003-GENCORR-000113</t>
  </si>
  <si>
    <t>AMAALA Yacht Club (AYC) - Staff Canteen Redesign (Raqtan)</t>
  </si>
  <si>
    <t>MD2314900017</t>
  </si>
  <si>
    <t>MD2314900035</t>
  </si>
  <si>
    <t>SAB Extended Hours and Friday Works</t>
  </si>
  <si>
    <t>1TB01003-003C03-SAB-LTR-0010</t>
  </si>
  <si>
    <t>Relocation of Marina Operations to AMAALA Triple Bay Yacht Club (DEWAN)</t>
  </si>
  <si>
    <t>AMA01003-CHNGRSPS-000011</t>
  </si>
  <si>
    <t>Relocation of Marina Operations to AMAALA Triple Bay Yacht Club (SAB)</t>
  </si>
  <si>
    <t>IPA - 24 (INV-22 R)</t>
  </si>
  <si>
    <t>IPA - 25 (INV-23 R)</t>
  </si>
  <si>
    <t>IPA - 26 (INV-31)</t>
  </si>
  <si>
    <t>IPA - 27 (INV-D-24R)</t>
  </si>
  <si>
    <t>AMA01003-PAYAP-000073</t>
  </si>
  <si>
    <t>AMA01003-PC-000015</t>
  </si>
  <si>
    <t>D-35</t>
  </si>
  <si>
    <t>AMA01003-PAYAP-000074</t>
  </si>
  <si>
    <t>AMA01003-PC-000016</t>
  </si>
  <si>
    <t>IPA - 33 (INV-D-35)</t>
  </si>
  <si>
    <t>IPA - 34 (INV-D-36)</t>
  </si>
  <si>
    <t>D-24R, D-36</t>
  </si>
  <si>
    <t>D-28R, D-36</t>
  </si>
  <si>
    <t>D-32R, D-36</t>
  </si>
  <si>
    <t>IPA - 35 (INV-D-37)</t>
  </si>
  <si>
    <t>AMA01003-PAYAP-000075</t>
  </si>
  <si>
    <t>AMA01003-PC-000017</t>
  </si>
  <si>
    <t>IPA - 36 (INV-D-38)</t>
  </si>
  <si>
    <t>AMA01003-PAYAP-000082</t>
  </si>
  <si>
    <t>AMA01003-PC-000018</t>
  </si>
  <si>
    <t>IPA - 37 (INV-D-39)</t>
  </si>
  <si>
    <t>AMA01003-PAYAP-000083</t>
  </si>
  <si>
    <t>AMA01003-PC-000019</t>
  </si>
  <si>
    <t>D-37,D-38,D-39</t>
  </si>
  <si>
    <t>Jun23</t>
  </si>
  <si>
    <t>Jul23</t>
  </si>
  <si>
    <t>Aug23</t>
  </si>
  <si>
    <t>Adv. Payment</t>
  </si>
  <si>
    <t>AMA01003-PAYAP-000099</t>
  </si>
  <si>
    <t>AMA01003-PC-000014</t>
  </si>
  <si>
    <t>c = a + 21</t>
  </si>
  <si>
    <t>Cl. 14.5.1</t>
  </si>
  <si>
    <t xml:space="preserve">CONTRACTOR INVOICE ACONEX REF </t>
  </si>
  <si>
    <t>INVOICE DATE</t>
  </si>
  <si>
    <t>k</t>
  </si>
  <si>
    <t>l = j + 30</t>
  </si>
  <si>
    <t>Cl.14.6.1(b)</t>
  </si>
  <si>
    <t>m = l - k</t>
  </si>
  <si>
    <t>n = i</t>
  </si>
  <si>
    <t>o = ( f + h ) * 15%</t>
  </si>
  <si>
    <t>P = N + O</t>
  </si>
  <si>
    <t>Not specified</t>
  </si>
  <si>
    <t>DLG6701693</t>
  </si>
  <si>
    <t>Actual 
May-23</t>
  </si>
  <si>
    <t>Forecast 
Aug-23</t>
  </si>
  <si>
    <t>Raqtan - Kitchen and Laundry Works</t>
  </si>
  <si>
    <t>AMA01003-WTRAN-004073</t>
  </si>
  <si>
    <t>AMA04400-WTRAN-002873</t>
  </si>
  <si>
    <t>Closed. Included in NSCC Item No 11 (EI-14) below.</t>
  </si>
  <si>
    <t>DVO High Level Overview</t>
  </si>
  <si>
    <t>Raqtan (Kitchen &amp; Laundry)</t>
  </si>
  <si>
    <t>AMA01003-CHNGRSPS-000014</t>
  </si>
  <si>
    <t>Changes in Ext. &amp; Int. Temporary Watertight Shoring System</t>
  </si>
  <si>
    <t>RFC 01</t>
  </si>
  <si>
    <t>PVO 01</t>
  </si>
  <si>
    <r>
      <t xml:space="preserve">3 - </t>
    </r>
    <r>
      <rPr>
        <b/>
        <sz val="13"/>
        <color rgb="FFFF0000"/>
        <rFont val="Verdana"/>
        <family val="2"/>
      </rPr>
      <t xml:space="preserve">Note_Additional budget has been allocated to AYC - SAR 104,270,066. Therefore the Actual Budget over run related to the AYC totals SAR 156,819,925 OR SAR 142,172,651 Utilizing all remianing budget </t>
    </r>
  </si>
  <si>
    <t>Supply of Fill Material to SAB</t>
  </si>
  <si>
    <t>RFC 015</t>
  </si>
  <si>
    <t>AMA01003-RFC-000014</t>
  </si>
  <si>
    <t>P/100/2911/23/000075 &amp; P/100/2905/23/000076</t>
  </si>
  <si>
    <t>1TB01003-003C03-AMA-LTR-0036</t>
  </si>
  <si>
    <t>Email</t>
  </si>
  <si>
    <t>SAB01003-GENCORR-000038</t>
  </si>
  <si>
    <t>RFC 12</t>
  </si>
  <si>
    <t>AMA01003-RFC-000012</t>
  </si>
  <si>
    <t>DLG6701971</t>
  </si>
  <si>
    <t>Omission of site offices scope</t>
  </si>
  <si>
    <t>Site office Fencing &amp; Levelling</t>
  </si>
  <si>
    <t>AMA01003-RFC-000015</t>
  </si>
  <si>
    <t>RFC 014</t>
  </si>
  <si>
    <t>RFC 016</t>
  </si>
  <si>
    <t>AMA01003-RFC-000016</t>
  </si>
  <si>
    <t>PVO 04</t>
  </si>
  <si>
    <t>WSP-LTR-0113</t>
  </si>
  <si>
    <t>IPA No. 012</t>
  </si>
  <si>
    <t>NSC-LTR-000345</t>
  </si>
  <si>
    <t>WSP-LTR-0123</t>
  </si>
  <si>
    <t>SAB01003-RIA-000001</t>
  </si>
  <si>
    <t>AMA01003-WTRAN-004576</t>
  </si>
  <si>
    <t>Abdulaziz Al Raqtan &amp; Partners Company for Trading &amp; Industry</t>
  </si>
  <si>
    <t>9959-2023/8/3/2
2597-2023/8/3/2
9508-2023/8/3/2</t>
  </si>
  <si>
    <t>Not Indicated</t>
  </si>
  <si>
    <t xml:space="preserve">FLS Code Deviations - Additional FLS Documentation </t>
  </si>
  <si>
    <t>AMA01003-CHNGRSPS-000017</t>
  </si>
  <si>
    <t>AMA01003-WTRAN-004682</t>
  </si>
  <si>
    <t>AMA01003-WTRAN-004674</t>
  </si>
  <si>
    <t>1TB01003-003C03-AMA-LTR-0045</t>
  </si>
  <si>
    <t>ZFP (ZUHAIR FAYEZ PARTNERSHIP CONSULTANTS - PO 2230041)</t>
  </si>
  <si>
    <t>FAS</t>
  </si>
  <si>
    <t>AMA01003-FINSTAT-000001</t>
  </si>
  <si>
    <t>AMA01003-PC-000012</t>
  </si>
  <si>
    <t>Schedule 2.1</t>
  </si>
  <si>
    <t>c = a + 45</t>
  </si>
  <si>
    <t>d = c - b</t>
  </si>
  <si>
    <t>f = (e ) * 15%</t>
  </si>
  <si>
    <t>g = e + f</t>
  </si>
  <si>
    <t>LANGAN</t>
  </si>
  <si>
    <t>Issue date of IPC per Contract (21days)</t>
  </si>
  <si>
    <t>Cl. 24.2</t>
  </si>
  <si>
    <t>Schedule 3</t>
  </si>
  <si>
    <t>AMAALA Yacht Club (AYC) - Staff Canteen Re-design  - DVO 007</t>
  </si>
  <si>
    <t>50% revised IFC Submission</t>
  </si>
  <si>
    <t>100% revised IFC Submission</t>
  </si>
  <si>
    <t>LDC - Dewan (Arch + Structure)</t>
  </si>
  <si>
    <t>LDC - Dewan (AOR)</t>
  </si>
  <si>
    <t>MEP - S+A</t>
  </si>
  <si>
    <t>FLS - DCC+MCA</t>
  </si>
  <si>
    <t>Signage - Brimaxx</t>
  </si>
  <si>
    <t>Sustainability - Climatize</t>
  </si>
  <si>
    <t>IT - Mediatech</t>
  </si>
  <si>
    <t>Kitchen &amp; Waste Management - MCTS</t>
  </si>
  <si>
    <t>AMA01003-CHNGRSPS-000018</t>
  </si>
  <si>
    <t>AMA01003-WTRAN-004830</t>
  </si>
  <si>
    <t>1TB01003-003C03-AMA-LTR-0048</t>
  </si>
  <si>
    <t>INTER PROJECT TRANSFERS (INCOMING)</t>
  </si>
  <si>
    <t>Approved Additional Budget</t>
  </si>
  <si>
    <t>INTER PROJECT TRANSFERS (OUTGOING)</t>
  </si>
  <si>
    <t>Marina Hotel 3 - CN Hold</t>
  </si>
  <si>
    <t>PS.003D06</t>
  </si>
  <si>
    <t>MOM - Building Permit Fee</t>
  </si>
  <si>
    <t>Ministry of Municipality and Rural Affairs (Tabuk)</t>
  </si>
  <si>
    <t>Monthly Report No 10</t>
  </si>
  <si>
    <r>
      <rPr>
        <b/>
        <sz val="10"/>
        <color theme="1"/>
        <rFont val="Calibri"/>
        <family val="2"/>
        <scheme val="minor"/>
      </rPr>
      <t>INTER PACKAGE TRANSFER</t>
    </r>
    <r>
      <rPr>
        <sz val="10"/>
        <color theme="1"/>
        <rFont val="Calibri"/>
        <family val="2"/>
        <scheme val="minor"/>
      </rPr>
      <t xml:space="preserve"> - PS Budget Hold to MOMRA (Tabuk) - Building Permit</t>
    </r>
  </si>
  <si>
    <t>003D06</t>
  </si>
  <si>
    <t>MINISTRY OF MUNICIPALITY AND RURAL AFFAIRS (MUNICIPALITY OF TABUK)</t>
  </si>
  <si>
    <t>Building Permit Fee</t>
  </si>
  <si>
    <t>Direct Payment by Finance</t>
  </si>
  <si>
    <t>Actual 
Jun-23</t>
  </si>
  <si>
    <t>Forecast 
Sep-23</t>
  </si>
  <si>
    <t>ESCCO - Vertical Transportation Works</t>
  </si>
  <si>
    <t>ESCCO (Vertical Transportation)</t>
  </si>
  <si>
    <t>Monthly Report No 10 - Jul'23 (transferred the budget for Kitchen to CN-Budget Hold)</t>
  </si>
  <si>
    <t>LIU (LANGAN INTERNATIONAL UK - PO 2230042)</t>
  </si>
  <si>
    <t>AMA01003-PAYAP-000114</t>
  </si>
  <si>
    <t>AMA01003-PC-000022</t>
  </si>
  <si>
    <t>CONSULTANT ACONEX REF FOR INV APPROVAL</t>
  </si>
  <si>
    <t>LIU01003-RIA-000001</t>
  </si>
  <si>
    <t>5%WHT Included.</t>
  </si>
  <si>
    <t xml:space="preserve">g = e </t>
  </si>
  <si>
    <t>LIU</t>
  </si>
  <si>
    <t>LIU - GC Consultancy Agreement Yacht Club 2230042 - Provisional Sum</t>
  </si>
  <si>
    <t>AYC</t>
  </si>
  <si>
    <t>Adjustment to Landscape</t>
  </si>
  <si>
    <t>Adjustment to Landscape and FF&amp;E</t>
  </si>
  <si>
    <t xml:space="preserve">Revert back of the omitted dewatering from SAB (in case the Marina Basin dewatering discontinue). </t>
  </si>
  <si>
    <t>SAB accommodation outside AMAALA Construction Village (higher rates).</t>
  </si>
  <si>
    <t>Complex engineering design coordination [ Façade/SS/PS] – Engineering Consultant may be required to progress works when they stop (RBG etc).</t>
  </si>
  <si>
    <t>Potential scope gaps are inevitable despite team's best efforts due to the tender package split.</t>
  </si>
  <si>
    <t>EOT Variation exposure due to splitting packages on a very complex asset.</t>
  </si>
  <si>
    <t>J = (Sum E to I)</t>
  </si>
  <si>
    <t>(J-C)</t>
  </si>
  <si>
    <t>L = (J- K)</t>
  </si>
  <si>
    <t>Recent transfer to CN Hold</t>
  </si>
  <si>
    <t>BTR from MH3</t>
  </si>
  <si>
    <t>Transferred budget for Kitchen Package</t>
  </si>
  <si>
    <t>Transferred budget for Kitchen Package to CN</t>
  </si>
  <si>
    <t>Recent transfer to FFEOSE Hold</t>
  </si>
  <si>
    <t>transfer to Logistics</t>
  </si>
  <si>
    <t>Approved Budget Changes:</t>
  </si>
  <si>
    <t>Monthly Report No 10 - Jul'23 (incl. the previous External-Pre Approved Budget. Kitchen package budget transferred under CN in ACC).</t>
  </si>
  <si>
    <t>Transfer budget to Hard and Soft Landscaping</t>
  </si>
  <si>
    <t>Transfer budget to Interior Fitout</t>
  </si>
  <si>
    <t>AMA01003-BTR-000012</t>
  </si>
  <si>
    <t>AMA01003-RBTR-000018</t>
  </si>
  <si>
    <t>Langan-Prf Fees (Provisional)</t>
  </si>
  <si>
    <t>1TB04034-034000-AMA-BTR-CM-0001-02</t>
  </si>
  <si>
    <t>from Construction Budget</t>
  </si>
  <si>
    <t>AMA01003-RBTR-000032</t>
  </si>
  <si>
    <t>AMA01003-RBTR-000030</t>
  </si>
  <si>
    <t>AMA01003-RBTR-000033</t>
  </si>
  <si>
    <t>AMA01003-RBTR-000034</t>
  </si>
  <si>
    <t>AMA01003-RBTR-000031</t>
  </si>
  <si>
    <r>
      <rPr>
        <b/>
        <sz val="10"/>
        <color theme="1"/>
        <rFont val="Calibri"/>
        <family val="2"/>
        <scheme val="minor"/>
      </rPr>
      <t>INTER PACKAGE TRANSFER</t>
    </r>
    <r>
      <rPr>
        <sz val="10"/>
        <color theme="1"/>
        <rFont val="Calibri"/>
        <family val="2"/>
        <scheme val="minor"/>
      </rPr>
      <t xml:space="preserve"> - MS Budget Hold to PS Budget Hold</t>
    </r>
  </si>
  <si>
    <t>AMA01003-BTR-000037</t>
  </si>
  <si>
    <t>AMA01003-WTRAN-001674</t>
  </si>
  <si>
    <t>AMA01003-WTRAN-001673</t>
  </si>
  <si>
    <r>
      <rPr>
        <b/>
        <sz val="10"/>
        <color theme="1"/>
        <rFont val="Calibri"/>
        <family val="2"/>
        <scheme val="minor"/>
      </rPr>
      <t>INTER PROJECT TRANSFER</t>
    </r>
    <r>
      <rPr>
        <sz val="10"/>
        <color theme="1"/>
        <rFont val="Calibri"/>
        <family val="2"/>
        <scheme val="minor"/>
      </rPr>
      <t xml:space="preserve"> - MH3 PS Budget Hold to Dewan DVO 005 &amp; DVO 006</t>
    </r>
  </si>
  <si>
    <t>AMA01003-WTRAN-001799</t>
  </si>
  <si>
    <r>
      <rPr>
        <b/>
        <sz val="10"/>
        <color theme="1"/>
        <rFont val="Calibri"/>
        <family val="2"/>
        <scheme val="minor"/>
      </rPr>
      <t>INTER PROJECT TRANSFER</t>
    </r>
    <r>
      <rPr>
        <sz val="10"/>
        <color theme="1"/>
        <rFont val="Calibri"/>
        <family val="2"/>
        <scheme val="minor"/>
      </rPr>
      <t xml:space="preserve"> - MH3 CN Budget Hold to Medtel Contract Award</t>
    </r>
  </si>
  <si>
    <t>AMA01009-WTRAN-000645</t>
  </si>
  <si>
    <t>AMA01003-WTRAN-001952</t>
  </si>
  <si>
    <r>
      <rPr>
        <b/>
        <sz val="10"/>
        <color theme="1"/>
        <rFont val="Calibri"/>
        <family val="2"/>
        <scheme val="minor"/>
      </rPr>
      <t>INTER PROJECT TRANSFER</t>
    </r>
    <r>
      <rPr>
        <sz val="10"/>
        <color theme="1"/>
        <rFont val="Calibri"/>
        <family val="2"/>
        <scheme val="minor"/>
      </rPr>
      <t xml:space="preserve"> - MH3 PS Budget Hold to MOMRA (Building Permit Fee)</t>
    </r>
  </si>
  <si>
    <t>AMA01009-WTRAN-001073</t>
  </si>
  <si>
    <t>ESCCO - Vertical Transport</t>
  </si>
  <si>
    <t>AMA01009-WTRAN-001188</t>
  </si>
  <si>
    <t>RAQTAN - Kitchen and Laundry</t>
  </si>
  <si>
    <r>
      <rPr>
        <b/>
        <sz val="10"/>
        <color theme="1"/>
        <rFont val="Calibri"/>
        <family val="2"/>
        <scheme val="minor"/>
      </rPr>
      <t>INTER PROJECT TRANSFER</t>
    </r>
    <r>
      <rPr>
        <sz val="10"/>
        <color theme="1"/>
        <rFont val="Calibri"/>
        <family val="2"/>
        <scheme val="minor"/>
      </rPr>
      <t xml:space="preserve"> - MH3 PS Budget Hold to RAQTAN Contract Award</t>
    </r>
  </si>
  <si>
    <r>
      <rPr>
        <b/>
        <sz val="10"/>
        <color theme="1"/>
        <rFont val="Calibri"/>
        <family val="2"/>
        <scheme val="minor"/>
      </rPr>
      <t>INTER PROJECT TRANSFER</t>
    </r>
    <r>
      <rPr>
        <sz val="10"/>
        <color theme="1"/>
        <rFont val="Calibri"/>
        <family val="2"/>
        <scheme val="minor"/>
      </rPr>
      <t xml:space="preserve"> - MH3 PS Budget Hold to ESCCO Contract Award</t>
    </r>
  </si>
  <si>
    <t>BUDGET TRANSFERS (INCOMING)</t>
  </si>
  <si>
    <t>003D01-AVV-0001</t>
  </si>
  <si>
    <t>003D01-AVV-0002</t>
  </si>
  <si>
    <t>003D01-DVO-0001</t>
  </si>
  <si>
    <t>003D01-DVO-0002</t>
  </si>
  <si>
    <t>003D01-DVO-0004</t>
  </si>
  <si>
    <t>003D01-DVO-0005</t>
  </si>
  <si>
    <t>003D01-DVO-0006</t>
  </si>
  <si>
    <t>Package under Procurement</t>
  </si>
  <si>
    <t>Transfer budget to Loose FF&amp;E Items (BOH)</t>
  </si>
  <si>
    <t>Tranfer budget to Loose FF&amp;E Items (FOH)</t>
  </si>
  <si>
    <t>Transfer budget to Art Works</t>
  </si>
  <si>
    <t>PS Variations to be funded under CN Budget Hold</t>
  </si>
  <si>
    <t>Dewan DVO 007 not yet entered in ACC - Transfer budget to PS Budget Hold  from CN Budget Hold</t>
  </si>
  <si>
    <r>
      <t xml:space="preserve">Structural Concrete, Wet Trades, BOH Fit out, Pools and Water Features, Structural Steel, Glazing, Glass Balustrades, Aluminum Soffits, SFS and GRC, Render Façade, Roof Waterproofing, MEP, ICT/ELV  - (SAB) </t>
    </r>
    <r>
      <rPr>
        <b/>
        <sz val="12"/>
        <color theme="1"/>
        <rFont val="Calibri"/>
        <family val="2"/>
        <scheme val="minor"/>
      </rPr>
      <t>2230023</t>
    </r>
  </si>
  <si>
    <r>
      <t xml:space="preserve">STO Façade Mock-up -(MWN) </t>
    </r>
    <r>
      <rPr>
        <b/>
        <sz val="12"/>
        <color theme="1"/>
        <rFont val="Calibri"/>
        <family val="2"/>
        <scheme val="minor"/>
      </rPr>
      <t>2230075</t>
    </r>
  </si>
  <si>
    <r>
      <t xml:space="preserve">Vertical Transportation (ESCCO) </t>
    </r>
    <r>
      <rPr>
        <b/>
        <sz val="12"/>
        <color theme="1"/>
        <rFont val="Calibri"/>
        <family val="2"/>
        <scheme val="minor"/>
      </rPr>
      <t>2230178</t>
    </r>
  </si>
  <si>
    <r>
      <t xml:space="preserve">Langan International UK Limited </t>
    </r>
    <r>
      <rPr>
        <b/>
        <sz val="12"/>
        <color theme="1"/>
        <rFont val="Calibri"/>
        <family val="2"/>
        <scheme val="minor"/>
      </rPr>
      <t>2230042</t>
    </r>
  </si>
  <si>
    <r>
      <t xml:space="preserve">Zuhair Fayez and Partners </t>
    </r>
    <r>
      <rPr>
        <b/>
        <sz val="12"/>
        <color theme="1"/>
        <rFont val="Calibri"/>
        <family val="2"/>
        <scheme val="minor"/>
      </rPr>
      <t>2230041</t>
    </r>
  </si>
  <si>
    <r>
      <t xml:space="preserve">Jensen Hughes Saudi Arabia Co </t>
    </r>
    <r>
      <rPr>
        <b/>
        <sz val="12"/>
        <color theme="1"/>
        <rFont val="Calibri"/>
        <family val="2"/>
        <scheme val="minor"/>
      </rPr>
      <t>2230180</t>
    </r>
  </si>
  <si>
    <r>
      <t xml:space="preserve">Khatib &amp; Alami </t>
    </r>
    <r>
      <rPr>
        <b/>
        <sz val="12"/>
        <color theme="1"/>
        <rFont val="Calibri"/>
        <family val="2"/>
        <scheme val="minor"/>
      </rPr>
      <t>2230031</t>
    </r>
  </si>
  <si>
    <r>
      <t xml:space="preserve">Kitchen &amp; Laundry Works (Al Raqtan) </t>
    </r>
    <r>
      <rPr>
        <b/>
        <sz val="12"/>
        <color theme="1"/>
        <rFont val="Calibri"/>
        <family val="2"/>
        <scheme val="minor"/>
      </rPr>
      <t>2230205</t>
    </r>
  </si>
  <si>
    <t>Structural Concrete, Wet Trades, BOH Fit out, Pools and Water Features, Structural Steel,
Glazing, Glass Balustrades, Aluminum Soffits, SFS and GRC, Render Façade, Roof Waterproofing, MEP, ICT/ELV</t>
  </si>
  <si>
    <t xml:space="preserve"> (-SAR 310,140 adjustment for mass concrete transferred to SAB)  </t>
  </si>
  <si>
    <t>EW No 9 - Reported. The approved additional budget transfer funds the EW value.</t>
  </si>
  <si>
    <t>EW No 8 - Reported. The approved additional budget transfer funds the EW value.</t>
  </si>
  <si>
    <t>BTR APPROVAL REFERENCE</t>
  </si>
  <si>
    <t xml:space="preserve">SAB - Civil and Arch Works, MEPD &amp; ICT/ELV </t>
  </si>
  <si>
    <t>Site Enablement, Civil Works, Structural Concrete, Structural Steel, Back of House Finishes, Building Envelope, Mechanical Electrical &amp; Plumbing, ICT / ELV</t>
  </si>
  <si>
    <t>IPA No. 013</t>
  </si>
  <si>
    <t>NSC-LTR-000355</t>
  </si>
  <si>
    <t>WSP04400-GENCORR-000389</t>
  </si>
  <si>
    <t>Transfer budget to OS&amp;E</t>
  </si>
  <si>
    <t>Fully recovered</t>
  </si>
  <si>
    <t>Under discussion between SIC and RSG. SIC noted that SIC is required to maintain the Insurance up to acquisition of TOC (30/April/2023) under YAM04004-TRANSMIT-000469.</t>
  </si>
  <si>
    <t>Delay in the procurement of structural steelworks by SAB.</t>
  </si>
  <si>
    <t>SAB01003-VAR-OR-000002</t>
  </si>
  <si>
    <t>VO 003 / EI 003</t>
  </si>
  <si>
    <t>VO 004 / EI 004</t>
  </si>
  <si>
    <t>1TB01003-003C03-AMA-LTR-0050</t>
  </si>
  <si>
    <t>AMA01003-WTRAN-005082</t>
  </si>
  <si>
    <t>VO 04</t>
  </si>
  <si>
    <t>SAB01003-GENCORR-000042</t>
  </si>
  <si>
    <t>PVO 07</t>
  </si>
  <si>
    <t>AMA01003-WTRAN-005081</t>
  </si>
  <si>
    <t>AMA01003-RBTR-000059</t>
  </si>
  <si>
    <t>AMA01003-RBTR-000062</t>
  </si>
  <si>
    <r>
      <rPr>
        <b/>
        <sz val="10"/>
        <color theme="1"/>
        <rFont val="Calibri"/>
        <family val="2"/>
        <scheme val="minor"/>
      </rPr>
      <t>INTER PACKAGE TRANSFER</t>
    </r>
    <r>
      <rPr>
        <sz val="10"/>
        <color theme="1"/>
        <rFont val="Calibri"/>
        <family val="2"/>
        <scheme val="minor"/>
      </rPr>
      <t xml:space="preserve"> - NSC to CN Budget Hold</t>
    </r>
  </si>
  <si>
    <r>
      <rPr>
        <b/>
        <sz val="10"/>
        <color theme="1"/>
        <rFont val="Calibri"/>
        <family val="2"/>
        <scheme val="minor"/>
      </rPr>
      <t>INTER PACKAGE TRANSFER</t>
    </r>
    <r>
      <rPr>
        <sz val="10"/>
        <color theme="1"/>
        <rFont val="Calibri"/>
        <family val="2"/>
        <scheme val="minor"/>
      </rPr>
      <t xml:space="preserve"> - CN Budget Hold to SAB (DVO 001)</t>
    </r>
  </si>
  <si>
    <t>AMA01003-RBTR-000061</t>
  </si>
  <si>
    <r>
      <rPr>
        <b/>
        <sz val="10"/>
        <color theme="1"/>
        <rFont val="Calibri"/>
        <family val="2"/>
        <scheme val="minor"/>
      </rPr>
      <t>INTER PACKAGE TRANSFER</t>
    </r>
    <r>
      <rPr>
        <sz val="10"/>
        <color theme="1"/>
        <rFont val="Calibri"/>
        <family val="2"/>
        <scheme val="minor"/>
      </rPr>
      <t xml:space="preserve"> - CN Budget Hold to NSC (DVO 007)</t>
    </r>
  </si>
  <si>
    <t>AMA01003-RBTR-000060</t>
  </si>
  <si>
    <r>
      <rPr>
        <b/>
        <sz val="10"/>
        <color theme="1"/>
        <rFont val="Calibri"/>
        <family val="2"/>
        <scheme val="minor"/>
      </rPr>
      <t>INTER PACKAGE TRANSFER</t>
    </r>
    <r>
      <rPr>
        <sz val="10"/>
        <color theme="1"/>
        <rFont val="Calibri"/>
        <family val="2"/>
        <scheme val="minor"/>
      </rPr>
      <t xml:space="preserve"> - CN Budget Hold to GBC LEED Review</t>
    </r>
  </si>
  <si>
    <t>AMA01003-RBTR-000046</t>
  </si>
  <si>
    <t>Monthly Report No 11 - Aug'23</t>
  </si>
  <si>
    <t>Monthly Report No 12 - Sep'23</t>
  </si>
  <si>
    <t>Monthly Report No 13 - Oct'23</t>
  </si>
  <si>
    <t>8/1/013/1380000080</t>
  </si>
  <si>
    <t>MFP/2692440</t>
  </si>
  <si>
    <t>7/1/013/1370000095</t>
  </si>
  <si>
    <t>TB - Program 3 - Medical Wellness Project (1.TB.03.008))</t>
  </si>
  <si>
    <t>IPA No. 16</t>
  </si>
  <si>
    <t>IPA No. 17</t>
  </si>
  <si>
    <t>Jun &amp; Jul-23</t>
  </si>
  <si>
    <t>AMA01003-WTRAN-005655</t>
  </si>
  <si>
    <t>SAB01003-RIA-000002</t>
  </si>
  <si>
    <t>SAB01003-GENCORR-000041</t>
  </si>
  <si>
    <t>1TB01003-003C03-AMA-LTR-0053</t>
  </si>
  <si>
    <t>SAB01003-RIA-000003</t>
  </si>
  <si>
    <t>AMA01003-WTRAN-005721</t>
  </si>
  <si>
    <r>
      <rPr>
        <b/>
        <sz val="10"/>
        <color theme="1"/>
        <rFont val="Calibri"/>
        <family val="2"/>
        <scheme val="minor"/>
      </rPr>
      <t>INTER PROJECT TRANSFER</t>
    </r>
    <r>
      <rPr>
        <sz val="10"/>
        <color theme="1"/>
        <rFont val="Calibri"/>
        <family val="2"/>
        <scheme val="minor"/>
      </rPr>
      <t xml:space="preserve"> - CN Budget Hold to TB-Program 3 (Environmental Compliance Certificate)</t>
    </r>
  </si>
  <si>
    <t>TB - Program 3 - Medical Wellness Project (not yet processed in ACC)</t>
  </si>
  <si>
    <t>1TB01003-003D01-AMA-LTR-0006</t>
  </si>
  <si>
    <t>VO 004</t>
  </si>
  <si>
    <t>AMA01003-WTRAN-005760</t>
  </si>
  <si>
    <t>VO 05</t>
  </si>
  <si>
    <t>VO 005</t>
  </si>
  <si>
    <t>1TB01003-003C03-AMA-LTR-0062</t>
  </si>
  <si>
    <t>SAB01003-RIA-000004</t>
  </si>
  <si>
    <t>IPA - 38 (INV-D-29)</t>
  </si>
  <si>
    <t>AMA01003-PAYAP-000123</t>
  </si>
  <si>
    <t>AMA01003-PC-000023</t>
  </si>
  <si>
    <t>IPA - 39 (INV-D-30)</t>
  </si>
  <si>
    <t>AMA01003-PAYAP-000124</t>
  </si>
  <si>
    <t>AMA01003-PC-000024</t>
  </si>
  <si>
    <t>IPA - 31 (INV-D-26R/41)</t>
  </si>
  <si>
    <t>Actual 
Jul-23</t>
  </si>
  <si>
    <t>Forecast 
Oct-23</t>
  </si>
  <si>
    <t>Cashflow</t>
  </si>
  <si>
    <t xml:space="preserve">Increase in rate by Tamimi from the tender pre-agreed rate in Bus Transport Service by SAB Workers. </t>
  </si>
  <si>
    <t>RFC 020</t>
  </si>
  <si>
    <t>AMA01003-CHNGRSPS-000020</t>
  </si>
  <si>
    <t>Senior Project Director:</t>
  </si>
  <si>
    <t>Christopher Burke</t>
  </si>
  <si>
    <t>AMA01003-WTRAN-005872</t>
  </si>
  <si>
    <t xml:space="preserve">AMA01003-WTRAN-005934 </t>
  </si>
  <si>
    <t>1TB01003-003D01-AMA-LTR-0007</t>
  </si>
  <si>
    <t>DAE01003-GENCORR-000116</t>
  </si>
  <si>
    <t>DAE01003-GENCORR-000115</t>
  </si>
  <si>
    <t>AMA01003-WTRAN-006340</t>
  </si>
  <si>
    <t>DV0 002</t>
  </si>
  <si>
    <t>DVO 001</t>
  </si>
  <si>
    <t>DVO 003</t>
  </si>
  <si>
    <t>Actual 
Aug-23</t>
  </si>
  <si>
    <t>AMA01003-WTRAN-006408</t>
  </si>
  <si>
    <t>AMA01003-WTRAN-006557</t>
  </si>
  <si>
    <t>VO 06</t>
  </si>
  <si>
    <t>AMA01003-WTRAN-006611</t>
  </si>
  <si>
    <t>VO 006 / EI 006</t>
  </si>
  <si>
    <t>1TB01003-003C03-AMA-LTR-0067</t>
  </si>
  <si>
    <t>SAB01003-GENCORR-000046</t>
  </si>
  <si>
    <t>1TB01003-003C03-AMA-LTR-0065</t>
  </si>
  <si>
    <t>Extension of Time Claim Accordance to Approved Variation Order # 002 (Changes from IFT to IFC)</t>
  </si>
  <si>
    <t>1TB01003-003C03-SAB-LTR-0006</t>
  </si>
  <si>
    <t>D = A + 84 (old Contract) or 30 (new Contract)
In Date</t>
  </si>
  <si>
    <t xml:space="preserve">C = &lt;=28 DAYS (old Contract) or &lt;=20 DAYS (new Contract) </t>
  </si>
  <si>
    <t>1TB01003-003C03-SAB-LTR-0027</t>
  </si>
  <si>
    <t>(E-A)= &lt;84 DAYS (old Contract) or &lt;30 DAYS (new Contract)</t>
  </si>
  <si>
    <t>N/a</t>
  </si>
  <si>
    <t>(A) For Commercial leads use (please provide all the details, where there is no submission type 'Not submitted' or 'Not Applicable')</t>
  </si>
  <si>
    <t>Refer to Note (A)</t>
  </si>
  <si>
    <t>Type of Claim</t>
  </si>
  <si>
    <t>Notice Requirements</t>
  </si>
  <si>
    <t>Detailed Claim with Supporting Particulars</t>
  </si>
  <si>
    <t xml:space="preserve">EOT: (i) Contractor's Claim (ii) Engineer's Recommendation (iii) Employer's Assessment for Consultation / Agreement (iv) Employer's Determination </t>
  </si>
  <si>
    <t xml:space="preserve">Cost: (i) Contractor's Claim (ii) Engineer's Recommendation (iii) Employer's Assessment for Consultation / Agreement (iv) Employer's Determination </t>
  </si>
  <si>
    <t>Comments</t>
  </si>
  <si>
    <t>(i) (ii) Claim Status (iii) Action (iv) Internal Remarks</t>
  </si>
  <si>
    <t>(i) Rejection (ii) Notices</t>
  </si>
  <si>
    <t>(i) KPI</t>
  </si>
  <si>
    <t>(i) Project Summary</t>
  </si>
  <si>
    <t>Contract No.</t>
  </si>
  <si>
    <t>Scope</t>
  </si>
  <si>
    <t>Contractor / Consultant Name</t>
  </si>
  <si>
    <t>EoT</t>
  </si>
  <si>
    <t>Prolongation</t>
  </si>
  <si>
    <t>Disruption</t>
  </si>
  <si>
    <t>Acceleration</t>
  </si>
  <si>
    <t>Other Claims</t>
  </si>
  <si>
    <t>Date on which Contractor became aware of event</t>
  </si>
  <si>
    <t xml:space="preserve">Contractor's Notification of Claim
[Note, this may just be a notification without a detailed claim and supporting particulars. But Contractor may use this as an opportunity to also provide a detailed claim and supporting particulars with his notice.] </t>
  </si>
  <si>
    <t>Period between Contractor becoming aware of event and providing a notice</t>
  </si>
  <si>
    <r>
      <t xml:space="preserve">Does period comply with the Contract?
[i.e. within 20 </t>
    </r>
    <r>
      <rPr>
        <u/>
        <sz val="12"/>
        <color theme="1"/>
        <rFont val="Amaala Sans"/>
      </rPr>
      <t>Business</t>
    </r>
    <r>
      <rPr>
        <sz val="12"/>
        <color theme="1"/>
        <rFont val="Amaala Sans"/>
      </rPr>
      <t xml:space="preserve"> Days]</t>
    </r>
  </si>
  <si>
    <r>
      <t xml:space="preserve">Engineer / Employer's response to Contractor's Notice
[If detailed claim and supporting particulars </t>
    </r>
    <r>
      <rPr>
        <u/>
        <sz val="12"/>
        <color theme="1"/>
        <rFont val="Amaala Sans"/>
      </rPr>
      <t>have not</t>
    </r>
    <r>
      <rPr>
        <sz val="12"/>
        <color theme="1"/>
        <rFont val="Amaala Sans"/>
      </rPr>
      <t xml:space="preserve"> been provided along with the notice then no time limit for response. However good practice would be to respond with an acknowledgment within 10 Days and remind the Contractor of its obligation to submit a detailed claim. If detailed claim and supporting particulars </t>
    </r>
    <r>
      <rPr>
        <u/>
        <sz val="12"/>
        <color theme="1"/>
        <rFont val="Amaala Sans"/>
      </rPr>
      <t>have</t>
    </r>
    <r>
      <rPr>
        <sz val="12"/>
        <color theme="1"/>
        <rFont val="Amaala Sans"/>
      </rPr>
      <t xml:space="preserve"> been provided along with the notice then Engineer / Employer </t>
    </r>
    <r>
      <rPr>
        <u/>
        <sz val="12"/>
        <color theme="1"/>
        <rFont val="Amaala Sans"/>
      </rPr>
      <t>shall</t>
    </r>
    <r>
      <rPr>
        <sz val="12"/>
        <color theme="1"/>
        <rFont val="Amaala Sans"/>
      </rPr>
      <t xml:space="preserve"> respond within 30 Days (note, not Business Days)]</t>
    </r>
  </si>
  <si>
    <t>Detailed claim with supporting particulars provided by Contractor
[Note: Whilst there is no requirement to do so, the Contractor may have provided this along with the Notice]</t>
  </si>
  <si>
    <t>Period between Contractor becoming aware of event and providing a detailed claim with supporting particulars</t>
  </si>
  <si>
    <t>Does period comply with the Contract? 
[i.e. within 30 Business Days of Contractor becoming aware of event]</t>
  </si>
  <si>
    <t>Engineer / Employer's Detailed Comments to Contractor
[This should be within 21 Days (note, not Business Days) of Contractor's Claim]</t>
  </si>
  <si>
    <t>Resubmission / Further Particulars Provided by Contractor
[There may be more than one resubmission]
[Fill in the original submission if there is no resubmission made or TBA if expecting a Resubmission]</t>
  </si>
  <si>
    <t>Contractor's Claim (Days)</t>
  </si>
  <si>
    <t>Employer's Assessment for Consultation / Agreement</t>
  </si>
  <si>
    <t>Determination (or by Agreement) (Days)</t>
  </si>
  <si>
    <t>Employer's Assessment for Consultation / Agreement (SAR)</t>
  </si>
  <si>
    <t>Employer's Determination (or by Agreement) (SAR)</t>
  </si>
  <si>
    <t>Last Action Date / Type of Discussion 
between Employer, Engineer &amp; Contractor
[e.g. letters, workshops, emails, meetings, etc.]</t>
  </si>
  <si>
    <t>Status 1</t>
  </si>
  <si>
    <t>Status 2</t>
  </si>
  <si>
    <t>Remark</t>
  </si>
  <si>
    <t>Rejected on
Merit or
 Revise &amp; Resubmit</t>
  </si>
  <si>
    <t>Notice of Dissatisfaction
Yes or No</t>
  </si>
  <si>
    <t>Notice of Dispute
Yes or No</t>
  </si>
  <si>
    <t>Assessment Report Closure Month
(MM-YY)</t>
  </si>
  <si>
    <t>DVO/VO Closure Month
(MM-YY)</t>
  </si>
  <si>
    <t>Project Start Date</t>
  </si>
  <si>
    <t>Project Completion Date</t>
  </si>
  <si>
    <t>Revised Completion Date</t>
  </si>
  <si>
    <t>(A) Date</t>
  </si>
  <si>
    <t>Letter Reference</t>
  </si>
  <si>
    <t>(B) Date of Receipt by RSG</t>
  </si>
  <si>
    <r>
      <t xml:space="preserve">(B-A) In </t>
    </r>
    <r>
      <rPr>
        <b/>
        <u/>
        <sz val="9"/>
        <color theme="1"/>
        <rFont val="Amaala Sans"/>
      </rPr>
      <t>Business</t>
    </r>
    <r>
      <rPr>
        <b/>
        <sz val="9"/>
        <color theme="1"/>
        <rFont val="Amaala Sans"/>
      </rPr>
      <t xml:space="preserve"> Days</t>
    </r>
  </si>
  <si>
    <t>Date Issued</t>
  </si>
  <si>
    <t>(C) Date of Receipt by RSG</t>
  </si>
  <si>
    <r>
      <t xml:space="preserve">(C-A) in </t>
    </r>
    <r>
      <rPr>
        <u/>
        <sz val="9"/>
        <color theme="1"/>
        <rFont val="Amaala Sans"/>
      </rPr>
      <t>Business</t>
    </r>
    <r>
      <rPr>
        <sz val="9"/>
        <color theme="1"/>
        <rFont val="Amaala Sans"/>
      </rPr>
      <t xml:space="preserve"> Days</t>
    </r>
  </si>
  <si>
    <t>Date of Receipt by RSG</t>
  </si>
  <si>
    <t>EOT Days</t>
  </si>
  <si>
    <t>Compensable Days (Costs)</t>
  </si>
  <si>
    <t>Letter / VO Reference</t>
  </si>
  <si>
    <t>1TB01003C13</t>
  </si>
  <si>
    <t>x</t>
  </si>
  <si>
    <t>Assessment Report Issued</t>
  </si>
  <si>
    <t>Determination Issued</t>
  </si>
  <si>
    <t>Merit</t>
  </si>
  <si>
    <r>
      <t xml:space="preserve">Consolidated Claim - </t>
    </r>
    <r>
      <rPr>
        <b/>
        <sz val="12"/>
        <color rgb="FFFF0000"/>
        <rFont val="Amaala Sans"/>
      </rPr>
      <t>Prolongation Costs</t>
    </r>
    <r>
      <rPr>
        <sz val="12"/>
        <color theme="1"/>
        <rFont val="Amaala Sans"/>
      </rPr>
      <t xml:space="preserve"> (Delay in IFC's, SANSRS Coordinates)</t>
    </r>
  </si>
  <si>
    <t>1TB01003C14</t>
  </si>
  <si>
    <t>TB04400-005C13-NSC-LTR-0326</t>
  </si>
  <si>
    <t>Currently Under Review</t>
  </si>
  <si>
    <t>Under Process</t>
  </si>
  <si>
    <t>Planning Team</t>
  </si>
  <si>
    <r>
      <t xml:space="preserve">Consolidated Claim - </t>
    </r>
    <r>
      <rPr>
        <b/>
        <sz val="12"/>
        <color rgb="FFFF0000"/>
        <rFont val="Amaala Sans"/>
      </rPr>
      <t>Investigation Reports</t>
    </r>
    <r>
      <rPr>
        <sz val="12"/>
        <color theme="1"/>
        <rFont val="Amaala Sans"/>
      </rPr>
      <t xml:space="preserve"> (Unforeseen Physical Conditions)</t>
    </r>
  </si>
  <si>
    <t>Claims Team</t>
  </si>
  <si>
    <r>
      <t xml:space="preserve">Consolidated Claim - </t>
    </r>
    <r>
      <rPr>
        <b/>
        <sz val="12"/>
        <color rgb="FFFF0000"/>
        <rFont val="Amaala Sans"/>
      </rPr>
      <t>Idle Costs</t>
    </r>
    <r>
      <rPr>
        <sz val="12"/>
        <color theme="1"/>
        <rFont val="Amaala Sans"/>
      </rPr>
      <t xml:space="preserve"> </t>
    </r>
  </si>
  <si>
    <r>
      <t xml:space="preserve">Consolidated Claim - </t>
    </r>
    <r>
      <rPr>
        <b/>
        <sz val="12"/>
        <color rgb="FFFF0000"/>
        <rFont val="Amaala Sans"/>
      </rPr>
      <t>3rd Party Investigation Boreholes ACES</t>
    </r>
  </si>
  <si>
    <t>1TB01005C23</t>
  </si>
  <si>
    <t>Review related to Prolongation Costs to RSMLI</t>
  </si>
  <si>
    <t>Review related to Investigation and Reports to RSMLI</t>
  </si>
  <si>
    <t>Review related to Idle Costs related to RSMLI</t>
  </si>
  <si>
    <r>
      <t>Consolidated Claim -</t>
    </r>
    <r>
      <rPr>
        <b/>
        <sz val="12"/>
        <color rgb="FFFF0000"/>
        <rFont val="Amaala Sans"/>
      </rPr>
      <t xml:space="preserve"> 3rd Party Investigation Boreholes ACES</t>
    </r>
  </si>
  <si>
    <t>Review related to 3rd Part Investigation Boreholes - ACES to RSMLI</t>
  </si>
  <si>
    <r>
      <t>Consolidated Claim - Additional</t>
    </r>
    <r>
      <rPr>
        <b/>
        <sz val="12"/>
        <color rgb="FFFF0000"/>
        <rFont val="Amaala Sans"/>
      </rPr>
      <t xml:space="preserve"> Costs</t>
    </r>
    <r>
      <rPr>
        <sz val="12"/>
        <color theme="1"/>
        <rFont val="Amaala Sans"/>
      </rPr>
      <t xml:space="preserve"> Associated with </t>
    </r>
    <r>
      <rPr>
        <b/>
        <sz val="12"/>
        <color rgb="FFFF0000"/>
        <rFont val="Amaala Sans"/>
      </rPr>
      <t>Unforseeable Conditions</t>
    </r>
    <r>
      <rPr>
        <sz val="12"/>
        <color theme="1"/>
        <rFont val="Amaala Sans"/>
      </rPr>
      <t xml:space="preserve"> </t>
    </r>
  </si>
  <si>
    <t>1TB01002C21</t>
  </si>
  <si>
    <t>Review related to Prolongation Costs to MLH</t>
  </si>
  <si>
    <r>
      <t>Consolidated Claim -</t>
    </r>
    <r>
      <rPr>
        <b/>
        <sz val="12"/>
        <color rgb="FFFF0000"/>
        <rFont val="Amaala Sans"/>
      </rPr>
      <t xml:space="preserve"> Investigation Reports </t>
    </r>
    <r>
      <rPr>
        <sz val="12"/>
        <color theme="1"/>
        <rFont val="Amaala Sans"/>
      </rPr>
      <t>(Unforeseen Physical Conditions)</t>
    </r>
  </si>
  <si>
    <t>Review related to Investigation and Reports to MLH</t>
  </si>
  <si>
    <r>
      <t xml:space="preserve">Consolidated Claim - </t>
    </r>
    <r>
      <rPr>
        <b/>
        <sz val="12"/>
        <color rgb="FFFF0000"/>
        <rFont val="Amaala Sans"/>
      </rPr>
      <t xml:space="preserve">Idle Costs </t>
    </r>
  </si>
  <si>
    <t>Review related to Idle Costs related to MLH</t>
  </si>
  <si>
    <r>
      <t xml:space="preserve">Consolidated Claim - </t>
    </r>
    <r>
      <rPr>
        <b/>
        <sz val="12"/>
        <color rgb="FFFF0000"/>
        <rFont val="Amaala Sans"/>
      </rPr>
      <t>3rd Party Investigation</t>
    </r>
    <r>
      <rPr>
        <sz val="12"/>
        <color theme="1"/>
        <rFont val="Amaala Sans"/>
      </rPr>
      <t xml:space="preserve"> Boreholes ACES</t>
    </r>
  </si>
  <si>
    <t>Review related to 3rd Part Investigation Boreholes - ACES to MLH</t>
  </si>
  <si>
    <t>1TB02011C27</t>
  </si>
  <si>
    <t>Review related to Prolongation Costs to ROSEWOOD</t>
  </si>
  <si>
    <t>Review related to Idle Costs related to ROSEWOOD</t>
  </si>
  <si>
    <t>Engineer's Instruction No. 5, 7, 9 &amp; 10</t>
  </si>
  <si>
    <t>1TB01031C02</t>
  </si>
  <si>
    <t>SGC-GENCORR-000008</t>
  </si>
  <si>
    <t>WSP-LTR-000021</t>
  </si>
  <si>
    <t>SGC-LTR-000015</t>
  </si>
  <si>
    <t>Awaiting ContractorCommercial Submission</t>
  </si>
  <si>
    <t>EOT determined - Awaiting Contractors Commercial Submission</t>
  </si>
  <si>
    <t>Commercial Team</t>
  </si>
  <si>
    <t>Awaiting Contractors Commercial Submission</t>
  </si>
  <si>
    <t>Request for Interim Extension of Time # 1
a) Change in location of Jettie
b) Change in Location due to HAT
c) Construction of Retaining Wall
d) Force Majeure Protest at France
e) Force Majuere At KSA Border
f) Construction of Jettie Platform
g) Installation of Fence</t>
  </si>
  <si>
    <t>1TB01005C17</t>
  </si>
  <si>
    <t>1TB01005-005C17-HAH-LTR-0014</t>
  </si>
  <si>
    <t>1TB01005-005C17-AMA-LTR-0021</t>
  </si>
  <si>
    <t>Claim rejected</t>
  </si>
  <si>
    <t xml:space="preserve">Claim Rejected - However concerns related to the new platform and relocation of the jettie. </t>
  </si>
  <si>
    <t>1TB01003C03</t>
  </si>
  <si>
    <t>1TB01003-003C03-AMA-LTR-0068</t>
  </si>
  <si>
    <t xml:space="preserve">Claim Rejected Based on time - Contractor very delayed </t>
  </si>
  <si>
    <r>
      <t xml:space="preserve">Consolidated Claim - </t>
    </r>
    <r>
      <rPr>
        <b/>
        <sz val="12"/>
        <color rgb="FFFF0000"/>
        <rFont val="Amaala Sans"/>
      </rPr>
      <t>EOT &amp; Prolongation Costs</t>
    </r>
    <r>
      <rPr>
        <sz val="12"/>
        <color theme="1"/>
        <rFont val="Amaala Sans"/>
      </rPr>
      <t xml:space="preserve"> (Delay in IFC's)</t>
    </r>
  </si>
  <si>
    <t>1TB01002C01</t>
  </si>
  <si>
    <t>1TB04004-004C03-SIC-LTR-0006</t>
  </si>
  <si>
    <t>1TB04004-004C03-SAP-LTR-0010</t>
  </si>
  <si>
    <t>1TB04004-004C03-SIC-LTR-0018</t>
  </si>
  <si>
    <t>1TB04004-004C03-SAP-LTR-0027</t>
  </si>
  <si>
    <t>1TB04004-004C03-SIC-LTR-0043
1TB04004-004C03-SIC-LTR-0103</t>
  </si>
  <si>
    <t>03-Sep-2022
4-Jul-23</t>
  </si>
  <si>
    <t>1TB04004-004D01-SAP-LTR-0052</t>
  </si>
  <si>
    <t>Report and Commercial Assessment is being reviewed by Claims Team.</t>
  </si>
  <si>
    <t>AMA01003-GENCORR-000328</t>
  </si>
  <si>
    <t>SAP04004-GENCORR-000776</t>
  </si>
  <si>
    <t>FULLY PAID/ CLOSED</t>
  </si>
  <si>
    <t>AMA01003-PAYAP-000125</t>
  </si>
  <si>
    <t>IPA - 40 (INV-D-34)</t>
  </si>
  <si>
    <t>D-31, D-34</t>
  </si>
  <si>
    <t>AMA01003-PC-000025</t>
  </si>
  <si>
    <t>AMA01003-PAYAP-000126</t>
  </si>
  <si>
    <t>IPA - 41 (INV-D-40)</t>
  </si>
  <si>
    <t>AMA01003-PC-000027</t>
  </si>
  <si>
    <t>AMA01003-PAYAP-000127</t>
  </si>
  <si>
    <t>IPA - 42 (INV-D-41)</t>
  </si>
  <si>
    <t>AMA01003-PC-000028</t>
  </si>
  <si>
    <t>D-40, D-41</t>
  </si>
  <si>
    <t>PAI # 02</t>
  </si>
  <si>
    <t>IPA No. 014</t>
  </si>
  <si>
    <t>NSC-LTR-000372</t>
  </si>
  <si>
    <t>DEWAN DVO 008 - Transfer budget to PS Budget Hold from CN Budget Hold</t>
  </si>
  <si>
    <t>DEWAN DVO 009 - Transfer budget to PS Budget Hold from CN Budget Hold</t>
  </si>
  <si>
    <r>
      <rPr>
        <b/>
        <sz val="10"/>
        <color theme="1"/>
        <rFont val="Calibri"/>
        <family val="2"/>
        <scheme val="minor"/>
      </rPr>
      <t>INTER PACKAGE TRANSFER</t>
    </r>
    <r>
      <rPr>
        <sz val="10"/>
        <color theme="1"/>
        <rFont val="Calibri"/>
        <family val="2"/>
        <scheme val="minor"/>
      </rPr>
      <t xml:space="preserve"> - CN Budget Hold to GBC LEED Review (future invoice)</t>
    </r>
  </si>
  <si>
    <t>AMA01003-RBTR-000074</t>
  </si>
  <si>
    <t>AMA01100-WTRAN-003600</t>
  </si>
  <si>
    <t>Marina Village Wide MS Budget Hold</t>
  </si>
  <si>
    <r>
      <rPr>
        <b/>
        <sz val="10"/>
        <color theme="1"/>
        <rFont val="Calibri"/>
        <family val="2"/>
        <scheme val="minor"/>
      </rPr>
      <t>INTER PROJECT TRANSFER</t>
    </r>
    <r>
      <rPr>
        <sz val="10"/>
        <color theme="1"/>
        <rFont val="Calibri"/>
        <family val="2"/>
        <scheme val="minor"/>
      </rPr>
      <t xml:space="preserve"> - AYC PS Budget Hold to Marina Village Wide MS Budget Hold (for Award of WSP Sustainability Accreditation LEED Consultancy Services) </t>
    </r>
  </si>
  <si>
    <t xml:space="preserve">Structural Concrete, Wet Trades, BOH Fit out, Pools and Water Features, Structural Steel, Glazing, Glass Balustrades, Aluminum Soffits, SFS and GRC, Render Façade, Roof Waterproofing, MEP, ICT/ELV </t>
  </si>
  <si>
    <t>STO Façade Mock-up</t>
  </si>
  <si>
    <t>Kitchen and Laundry Works</t>
  </si>
  <si>
    <t>Vertical Transportation Works</t>
  </si>
  <si>
    <t>Management Supervision</t>
  </si>
  <si>
    <t>Geotechnical Consultant</t>
  </si>
  <si>
    <t>Actual 
Sep-23</t>
  </si>
  <si>
    <t>Forecast 
Dec-23</t>
  </si>
  <si>
    <t>DO NOT DELETE THIS COLUMN</t>
  </si>
  <si>
    <t>AMA01003-WTRAN-007241</t>
  </si>
  <si>
    <t>DVO 004</t>
  </si>
  <si>
    <t>DVO 005</t>
  </si>
  <si>
    <t>VO 007</t>
  </si>
  <si>
    <t>SAB01003-RIA-000005</t>
  </si>
  <si>
    <t>SAB01003-GENCORR-000051</t>
  </si>
  <si>
    <t>1TB01003-003C03-AMA-LTR-0073</t>
  </si>
  <si>
    <t>SAB01003-RIA-000006</t>
  </si>
  <si>
    <t>NSC-LTR-0382</t>
  </si>
  <si>
    <t>IPA No. 015</t>
  </si>
  <si>
    <t>1TB04400-031D03-WSP-LTR-0133</t>
  </si>
  <si>
    <t>1TB04400-031D03-WSP-LTR-0131</t>
  </si>
  <si>
    <t>AMA01003-PAYAP-000184</t>
  </si>
  <si>
    <t>AMA01003-PC-000033</t>
  </si>
  <si>
    <t>HKS01003-RIA-000001</t>
  </si>
  <si>
    <t>WHT 
AMOUNT FOR THE MONTH</t>
  </si>
  <si>
    <t>SAUDI ARABIAN BAYTUR (PO 2230023)</t>
  </si>
  <si>
    <t>MEDTEL (PO 2230075)</t>
  </si>
  <si>
    <t>AMA01003-PAYAP-000156</t>
  </si>
  <si>
    <t>AMA01003-PC-000029</t>
  </si>
  <si>
    <t>n = ( f + h ) * -5%</t>
  </si>
  <si>
    <t>o = ( f + h ) * -5% (Installation)</t>
  </si>
  <si>
    <t>AMA01003-PAYAP-000172</t>
  </si>
  <si>
    <t>IPA - 43 (INV-D-42)</t>
  </si>
  <si>
    <t>AMA01003-PC-000031</t>
  </si>
  <si>
    <t>WHT
AMOUNT FOR THE MONTH</t>
  </si>
  <si>
    <t>CN.003C09</t>
  </si>
  <si>
    <t>Fitout Works (DEPA)</t>
  </si>
  <si>
    <t>Based on the Contract Award Value to Depa</t>
  </si>
  <si>
    <t>Transfer budget to Interior Fitout (per Contract Award to DEPA).</t>
  </si>
  <si>
    <t>Transfer budget to Interior Fitout (Approved Revised Budget)</t>
  </si>
  <si>
    <t>Contract Award for Interior Fitout (DEPA)</t>
  </si>
  <si>
    <t>CN.003C09 - Interior Fitout Works (DEPA)</t>
  </si>
  <si>
    <t>n = ( f + h ) * 0%</t>
  </si>
  <si>
    <t>Actual 
Oct-23</t>
  </si>
  <si>
    <t>Forecast 
Jan-24</t>
  </si>
  <si>
    <t>PS.003D05 - Langan International UK Limited 2230042</t>
  </si>
  <si>
    <t>DEPA (Interior Fitout)</t>
  </si>
  <si>
    <t>DEPA - Interior Fitout</t>
  </si>
  <si>
    <t>PVO:</t>
  </si>
  <si>
    <t>AMA01003-WTRAN-007965</t>
  </si>
  <si>
    <t>EW No 5 - Re-reported. Transfer budget from Landscape to Interior Fitout to fund the Contract Award to DEPA.</t>
  </si>
  <si>
    <t>The current tower crane erected is not adequate for the installation of structural steelworks (SAB to ensure that this will be covered by the structural steelworks subcontractor).</t>
  </si>
  <si>
    <t>Due to the budget transfer to Interior Fitout Package to fund the Contract Award to DEPA.</t>
  </si>
  <si>
    <t>Certified Works to Date</t>
  </si>
  <si>
    <t>DEPA</t>
  </si>
  <si>
    <t>003C09</t>
  </si>
  <si>
    <t>AYC Fit-Out Package Contract Duration Amendment</t>
  </si>
  <si>
    <t>AMA01003-CHNGRSPS-000021</t>
  </si>
  <si>
    <t>Alternative Marna Operation Office Locations on AYC Basement</t>
  </si>
  <si>
    <t>Removal of Sustainability LEED AP Resource</t>
  </si>
  <si>
    <t>KAA</t>
  </si>
  <si>
    <t>RFC - Cancelled</t>
  </si>
  <si>
    <t>RFC 022</t>
  </si>
  <si>
    <t>AMA01003-CHNGRSPS-000023</t>
  </si>
  <si>
    <t>AMA01003-WTRAN-008972</t>
  </si>
  <si>
    <t xml:space="preserve">No response from SAB on the assessment hence RSG issued Determination to close this variation. </t>
  </si>
  <si>
    <t>AMA01003-WTRAN-008973</t>
  </si>
  <si>
    <t>DVO 006</t>
  </si>
  <si>
    <t>TB04400-031D03-WSP-LTR-0138</t>
  </si>
  <si>
    <t>SAB01003-GENCORR-000052</t>
  </si>
  <si>
    <t>Long Lead Items</t>
  </si>
  <si>
    <t>1TB01003-003C03-AMA-LTR-0081</t>
  </si>
  <si>
    <t>SAB01003-RIA-000007</t>
  </si>
  <si>
    <t>SAB01003-GENCORR-000053</t>
  </si>
  <si>
    <t>1TB01003-003C03-AMA-LTR-0085</t>
  </si>
  <si>
    <t>SAB01003-RIA-000008</t>
  </si>
  <si>
    <t>MWW01003-RIA-000002</t>
  </si>
  <si>
    <t>Scope gap between SAB and DEPA's Contract/Scope.</t>
  </si>
  <si>
    <t>DEPA accommodation outside AMAALA Construction Village.</t>
  </si>
  <si>
    <t>BUDGET HOLD Movement</t>
  </si>
  <si>
    <t>AMA01003-WTRAN-009442</t>
  </si>
  <si>
    <t>AMA01003-WTRAN-009443</t>
  </si>
  <si>
    <t xml:space="preserve">VO 001 </t>
  </si>
  <si>
    <t>RFC 023</t>
  </si>
  <si>
    <t>Changes in AMAALA Yacht Club Back-of-House Finishes (Basement Level)_DEPA</t>
  </si>
  <si>
    <t>Changes in AMAALA Yacht Club Back-of-House Finishes (Basement Level)_SAB</t>
  </si>
  <si>
    <t xml:space="preserve">1TB01003-003F02-AMA-LTR-0014 </t>
  </si>
  <si>
    <t>Changes in AMAALA Yacht Club Back-of-House Finishes (Ground Level)_DEPA</t>
  </si>
  <si>
    <t>RFC 024</t>
  </si>
  <si>
    <t>SAB01003-GENCORR-000059</t>
  </si>
  <si>
    <t>1TB01003-003C03-AMA-LTR-0098</t>
  </si>
  <si>
    <t>Payment Held</t>
  </si>
  <si>
    <t>j = f + g + h + i</t>
  </si>
  <si>
    <t>l</t>
  </si>
  <si>
    <t>m = k + 30</t>
  </si>
  <si>
    <t>n = m - l</t>
  </si>
  <si>
    <t>o = j</t>
  </si>
  <si>
    <t>p = ( f + h + i ) * 15%</t>
  </si>
  <si>
    <t>q = o + p</t>
  </si>
  <si>
    <t>IPA No. 016</t>
  </si>
  <si>
    <t>NSC-LTR-0394</t>
  </si>
  <si>
    <t>Sep &amp; Oct-23</t>
  </si>
  <si>
    <t>1TB04400-031D03-WSP-LTR-0141</t>
  </si>
  <si>
    <t>KAA01003-GENCORR-000052</t>
  </si>
  <si>
    <t>Feb 23 to Oct 23</t>
  </si>
  <si>
    <t>1TB01003-003F02-AMA-LTR-0013</t>
  </si>
  <si>
    <t>ESCCO (PO 2230178)</t>
  </si>
  <si>
    <t>AMA01003-PAYAP-000219</t>
  </si>
  <si>
    <t>AMA01003-PC-000038</t>
  </si>
  <si>
    <t>ESC01003-RIA-000001</t>
  </si>
  <si>
    <t>Forecast 
Nov-23</t>
  </si>
  <si>
    <t>Actual 
Nov-23</t>
  </si>
  <si>
    <t>Actual 
Dec-23</t>
  </si>
  <si>
    <t>Forecast 
Mar-24</t>
  </si>
  <si>
    <t>IPA - 44 (INV-D-43)</t>
  </si>
  <si>
    <t>AMA01003-PAYAP-000195</t>
  </si>
  <si>
    <t>Revised and Resubmit - Payment Application.</t>
  </si>
  <si>
    <t>Final Account Statement - Approved.</t>
  </si>
  <si>
    <t>AMA01003-WTRAN-005459</t>
  </si>
  <si>
    <t>Flat/curved Glass facades and glazing doors - buildability issue.</t>
  </si>
  <si>
    <t>HKS - Approved Final Account Statement (Stage 5b not carried out) - Adjustment to Committed Cost</t>
  </si>
  <si>
    <t>Façade Glazing Installations - Buildability Issue</t>
  </si>
  <si>
    <t>AMA01003-WTRAN-009964</t>
  </si>
  <si>
    <t>PVO 09</t>
  </si>
  <si>
    <t>VO 07</t>
  </si>
  <si>
    <t>PVO 02</t>
  </si>
  <si>
    <t>AMA01003-WTRAN-010223</t>
  </si>
  <si>
    <t>RFC:</t>
  </si>
  <si>
    <t>AMA01003-WTRAN-011070</t>
  </si>
  <si>
    <t>AMA01003-WTRAN-011072</t>
  </si>
  <si>
    <t>Site Grading &amp; Fencing for Employer's Offices</t>
  </si>
  <si>
    <t>AYC | Grand Stair Structure Backfill</t>
  </si>
  <si>
    <t>Omission of Joinery LED Light Fittings from SAB</t>
  </si>
  <si>
    <t>AMA01003-WTRAN-011377</t>
  </si>
  <si>
    <t>AMA01003-WTRAN-011376</t>
  </si>
  <si>
    <t>VO 09</t>
  </si>
  <si>
    <t>AMA01003-RFC-000029</t>
  </si>
  <si>
    <t>Refer to SQ 41</t>
  </si>
  <si>
    <t>AMA01003-CHNGRSPS-000027</t>
  </si>
  <si>
    <t>Alternative Marina Operations Storage location selected (DEWAN)</t>
  </si>
  <si>
    <t>Alternative Marina Operations Storage location selected (SAB)</t>
  </si>
  <si>
    <t>SAB01003-RIA-000009</t>
  </si>
  <si>
    <t>SAB01003-GENCORR-000063</t>
  </si>
  <si>
    <t>1TB01003-003C03-AMA-LTR-0117</t>
  </si>
  <si>
    <t>KAA (SAUDI CONSOLIDATED ENGINEERING COMPANY - KHATIB &amp; ALAMI - PO 2230031)</t>
  </si>
  <si>
    <t>KAA01003-GENCORR-000056</t>
  </si>
  <si>
    <t>1TB01003-003F02-AMA-LTR-0015</t>
  </si>
  <si>
    <t>KAA01003-RIA-000001</t>
  </si>
  <si>
    <t>KAA01003-RIA-000002</t>
  </si>
  <si>
    <t>IPA No. 18</t>
  </si>
  <si>
    <t>Aug &amp; Sep 23</t>
  </si>
  <si>
    <t>AMAALA Yacht Club (AYC) - FLS Additional Documentation - DVO 008</t>
  </si>
  <si>
    <t>50% Revised IFC Submission</t>
  </si>
  <si>
    <t>100% Revised IFC Submission</t>
  </si>
  <si>
    <t>IPA - 45 (INV-D-44)</t>
  </si>
  <si>
    <t>AMA01003-PAYAP-000226</t>
  </si>
  <si>
    <t>AMA01003-PC-000042</t>
  </si>
  <si>
    <t>AMA01003-PAYAP-000238</t>
  </si>
  <si>
    <t>IPA - 46 (INV-D-45)</t>
  </si>
  <si>
    <t>AMA01003-PAYAP-000240</t>
  </si>
  <si>
    <t>IPA - 47 (INV-D-46)</t>
  </si>
  <si>
    <t>Actual 
Jan-24</t>
  </si>
  <si>
    <t>Asst. Manager - Quantity Surveying:</t>
  </si>
  <si>
    <t>AMA01003-WTRAN-012342</t>
  </si>
  <si>
    <t>AMA01003-WTRAN-011785</t>
  </si>
  <si>
    <r>
      <t xml:space="preserve">It is agreed between KAA and SAB that KAA will directly invoice SAB on overtime works. 
</t>
    </r>
    <r>
      <rPr>
        <sz val="10"/>
        <rFont val="Calibri"/>
        <family val="2"/>
        <scheme val="minor"/>
      </rPr>
      <t>AMA01003-WTRAN-012086 - Cancellation of PVO</t>
    </r>
  </si>
  <si>
    <t>AMA01003-WTRAN-012379</t>
  </si>
  <si>
    <t>PVO 11</t>
  </si>
  <si>
    <t xml:space="preserve">AMAALA Yacht Club </t>
  </si>
  <si>
    <t>Triple Bay Wide Ground Improvement</t>
  </si>
  <si>
    <t>Soil Improvement Contracting</t>
  </si>
  <si>
    <t>Triple Bay Piling - Beach, RSMLI, Yacht Club and Marina Village Precinct (Hotel 1 and 2)</t>
  </si>
  <si>
    <t>Rosewood Resort</t>
  </si>
  <si>
    <t>Red Sea Marine Life Institute</t>
  </si>
  <si>
    <t>Marina Lifestyle Hotel &amp; Village</t>
  </si>
  <si>
    <t>1.TB.02.011.01</t>
  </si>
  <si>
    <t>Triple Bay Marina Basin - Design and Build Main Contract</t>
  </si>
  <si>
    <t>Marine Life Operation Facility for Marina Village</t>
  </si>
  <si>
    <t>Hassan Hamdi Al Harbi Contracting Est. (HASCO)</t>
  </si>
  <si>
    <t>The Marina</t>
  </si>
  <si>
    <t>Construction Contract - Site Enabling, Civil Works, Structural Concrete, Structural Steel, BOH Finishes, Building Envelope, MEP Including Tertiary Infrastructure &amp; ICT/ELV</t>
  </si>
  <si>
    <t>Saudi Arabian Baytur Construction Company</t>
  </si>
  <si>
    <t>Alsaad General Contracting Company</t>
  </si>
  <si>
    <t xml:space="preserve"> </t>
  </si>
  <si>
    <t>KAA01003-RESP-000313</t>
  </si>
  <si>
    <t>AMA01003-WTRAN-012826</t>
  </si>
  <si>
    <t>RFC - Approved</t>
  </si>
  <si>
    <t>AMA01003-WTRAN-012949</t>
  </si>
  <si>
    <t>PVO 14</t>
  </si>
  <si>
    <t>SAB01003-RIA-000010</t>
  </si>
  <si>
    <t>IPA No. 19</t>
  </si>
  <si>
    <t>Oct &amp; Nov 23</t>
  </si>
  <si>
    <t>Changes in AMAALA Yacht Club Back-of-House Finishes (Level 01 to L 04)_DEPA</t>
  </si>
  <si>
    <t>RAQTAN (PO 2230205)</t>
  </si>
  <si>
    <t>AMA01003-PAYAP-000190</t>
  </si>
  <si>
    <t>AMA01003-PC-000035</t>
  </si>
  <si>
    <t>Tax Invoice SIN_00657</t>
  </si>
  <si>
    <t>VO 009</t>
  </si>
  <si>
    <t>VO 008</t>
  </si>
  <si>
    <t>1TB01003-003C03-AMA-LTR-0124</t>
  </si>
  <si>
    <t xml:space="preserve">	1TB01003-003C03-AMA-LTR-0120</t>
  </si>
  <si>
    <t>1TB01003-003C03-AMA-LTR-0114</t>
  </si>
  <si>
    <t>Forecast 
May-24</t>
  </si>
  <si>
    <t>SAB01003-GENCORR-000068</t>
  </si>
  <si>
    <t>1TB01003-003C03-AMA-LTR-0136</t>
  </si>
  <si>
    <t>P/10212/5/14203/2023/00005</t>
  </si>
  <si>
    <t>Changes in AMAALA Yacht Club Back-of-House Finishes (Ground Level)_SAB</t>
  </si>
  <si>
    <t>Notice under AMA04004-NTFN-000302 is issued to SIC for the renewal of the policy.</t>
  </si>
  <si>
    <t>APPLIED TECHNOLOGY &amp; MANAGEMENT (PO 2210167)</t>
  </si>
  <si>
    <t>Potential descoping of glazed balustrades, anodised aluminium architectural systems, limestone cladding, GFRC cladding, roof enclosure, aluminium soffits, glazed façade system and associated works, rainscreen system and MEP long lead items from SAB scope.</t>
  </si>
  <si>
    <t>Early Warning (Feb 2024 Report)</t>
  </si>
  <si>
    <t>CN.100C01 (MVW)</t>
  </si>
  <si>
    <t>Contract Award to SALCO - AYC Landscape Works</t>
  </si>
  <si>
    <t>Changes to Skirting and Ceiling Finishes at Member’s Lobby</t>
  </si>
  <si>
    <t>CN.003C27</t>
  </si>
  <si>
    <t>Monthly Report No 18 - Mar'24</t>
  </si>
  <si>
    <t>Monthly Report No 14 - Nov'23</t>
  </si>
  <si>
    <t>Monthly Report No 15 - Dec'23</t>
  </si>
  <si>
    <t>Monthly Report No 16 - Jan'24</t>
  </si>
  <si>
    <t>Monthly Report No 17 - Feb'24</t>
  </si>
  <si>
    <t>Balancing - Contract Award to SALCO</t>
  </si>
  <si>
    <t>Façade &amp; Glazing Works</t>
  </si>
  <si>
    <t>Façade &amp; Glazing Works (Alutec)</t>
  </si>
  <si>
    <t>Contract Award to Alutec</t>
  </si>
  <si>
    <t>+</t>
  </si>
  <si>
    <t>SAB01003-RIA-000011</t>
  </si>
  <si>
    <t>SAB01003-GENCORR-000076</t>
  </si>
  <si>
    <t>1TB01003-003C03-AMA-LTR-0143</t>
  </si>
  <si>
    <t>AMA01003-GENCORR-000403</t>
  </si>
  <si>
    <t>AMA01003-GENCORR-000402</t>
  </si>
  <si>
    <t>Floor Finish Type CSF-1</t>
  </si>
  <si>
    <t>Passenger Elevator’s Landing Doors Finishes and Architraves</t>
  </si>
  <si>
    <t>AMA01003-WTRAN-014620</t>
  </si>
  <si>
    <t>AMA01003-WTRAN-014600</t>
  </si>
  <si>
    <t>Changes in AMAALA Yacht Club Back-of-House Finishes (Level 01 to L04)_SAB</t>
  </si>
  <si>
    <t>AMA01003-WTRAN-014599</t>
  </si>
  <si>
    <t>SAB01003-RIA-000012</t>
  </si>
  <si>
    <t>IPA No. 20</t>
  </si>
  <si>
    <t>ALUTEC</t>
  </si>
  <si>
    <t>003C27</t>
  </si>
  <si>
    <t>Actual 
Mar-24</t>
  </si>
  <si>
    <t>Forecast 
Jun-24</t>
  </si>
  <si>
    <t>PVO 15</t>
  </si>
  <si>
    <t>VO 11</t>
  </si>
  <si>
    <t>AMA01003-WTRAN-015428</t>
  </si>
  <si>
    <t>1TB01003-003C03-AMA-LTR-0153</t>
  </si>
  <si>
    <t>VO 011</t>
  </si>
  <si>
    <t>V0 03</t>
  </si>
  <si>
    <t>AMA01003-WTRAN-015545</t>
  </si>
  <si>
    <t>DEPA Accommodation Outside TB-Construction Village</t>
  </si>
  <si>
    <t>Monthly Report No 15 - May'24</t>
  </si>
  <si>
    <t>Monthly Report No 16 - Jun'24</t>
  </si>
  <si>
    <t xml:space="preserve">New Contract -  Civil and Arch Works, MEPD &amp; ICT/ELV </t>
  </si>
  <si>
    <t xml:space="preserve">New Contractor -  (Civil, Arch, MEP &amp; ICT/ELV) - Award of New Contract (Early Warning ROM)
</t>
  </si>
  <si>
    <t>New Contractor</t>
  </si>
  <si>
    <r>
      <t xml:space="preserve">HKS Architects Ltd - Design Competition Fees </t>
    </r>
    <r>
      <rPr>
        <b/>
        <sz val="12"/>
        <color theme="1"/>
        <rFont val="Calibri"/>
        <family val="2"/>
        <scheme val="minor"/>
      </rPr>
      <t>2200010</t>
    </r>
  </si>
  <si>
    <t>DCC01003-GENCORR-000002</t>
  </si>
  <si>
    <t>1TB01003-003C09-AMA-LTR-0034</t>
  </si>
  <si>
    <t>g = N//A</t>
  </si>
  <si>
    <t>Forecast 
April-24</t>
  </si>
  <si>
    <t>Actual 
April-24</t>
  </si>
  <si>
    <t>AYC Back-of-House (BOH) Doors and Fire Curtains at the Basement Level</t>
  </si>
  <si>
    <t>Outstanding Works Block Works All Levels</t>
  </si>
  <si>
    <t>VO 12</t>
  </si>
  <si>
    <t>Provision of New IBS Infra. Requirements for Indoor GSM</t>
  </si>
  <si>
    <t>AMA01003-WTRAN-016528</t>
  </si>
  <si>
    <t>Determination issued to SAB since no cost proposal received from SAB.</t>
  </si>
  <si>
    <t>Landscape Package Budget - Transfer to CN Budget (Fund used in Alutec Contract Award)</t>
  </si>
  <si>
    <t>Landscaping Budget Transfer to CN Hold (Fund the Alutec Award)</t>
  </si>
  <si>
    <t>DCC01003-RIA-000001</t>
  </si>
  <si>
    <t>p = ( o - i ) * 15%</t>
  </si>
  <si>
    <t>1TB01003-003C09-AMA-LTR-0042</t>
  </si>
  <si>
    <t>Contract Adjustment to Medtel (per agreed Final Account Statement)</t>
  </si>
  <si>
    <t>Medtel</t>
  </si>
  <si>
    <t>AMA01003-WTRAN-015429</t>
  </si>
  <si>
    <t>RQN01003-GENCORR-000011</t>
  </si>
  <si>
    <t>IPA No. 21</t>
  </si>
  <si>
    <t>AMA01003-WTRAN-016771</t>
  </si>
  <si>
    <t>PVO (AMA01003-WTRAN-016769) and VO (AMA01003-WTRAN-016770) Cancelled. DEPA to carry out all the BOH Finishes.</t>
  </si>
  <si>
    <t>PVO (AMA01003-WTRAN-016767) and VO (AMA01003-WTRAN-016768) Cancelled. DEPA to carry out all the BOH Finishes.</t>
  </si>
  <si>
    <t>Forecast 
Feb-24</t>
  </si>
  <si>
    <t>Actual 
Feb-24</t>
  </si>
  <si>
    <t>Actual 
May-24</t>
  </si>
  <si>
    <t>AMA01003-WTRAN-017014</t>
  </si>
  <si>
    <t>1TB01003-003C09-AMA-LTR-0045</t>
  </si>
  <si>
    <t>AMA01003-WTRAN-016018</t>
  </si>
  <si>
    <t>Relocation Marina Offices and Regeneration Kitchen (DEWAN)</t>
  </si>
  <si>
    <t>Relocation Marina Offices and Regeneration Kitchen (Kitchen)</t>
  </si>
  <si>
    <t>Superseded by RFC 032</t>
  </si>
  <si>
    <t>AMA01003-RFC-000007 (Part A - for the Redesign fee). Included in RFC-032.</t>
  </si>
  <si>
    <t>AYC Guest Lobby Staircase Geometry &amp; Finish Revisions (Dewan)</t>
  </si>
  <si>
    <t>AYC Guest Lobby Staircase Geometry &amp; Finish Revisions (Construction)</t>
  </si>
  <si>
    <t>Basement Extract Duct 'Blueduct' Remedial Works (Dewan)</t>
  </si>
  <si>
    <t>Basement Extract Duct 'Blueduct' Remedial Works (Construction)</t>
  </si>
  <si>
    <t>AYC Members Lobby Staircase Balustrade &amp; Finish Revisions (Dewan)</t>
  </si>
  <si>
    <t>Relocation Marina Offices and Regeneration Kitchen (Construction plus abortive Works)</t>
  </si>
  <si>
    <t>AMA01003-WTRAN-016017</t>
  </si>
  <si>
    <t>Grand Stair Balustrade Revision to Avoid Fall Hazard (Dewan)</t>
  </si>
  <si>
    <t>Grand Stair Balustrade Revision to Avoid Fall Hazard (Construction)</t>
  </si>
  <si>
    <t>AMA01003-WTRAN-017087</t>
  </si>
  <si>
    <t>AMA01003-WTRAN-017086</t>
  </si>
  <si>
    <t>1TB01003-003C03-AMA-LTR-0175</t>
  </si>
  <si>
    <t>Deduction of Accommodation Costs from SAB (up to May 2024)</t>
  </si>
  <si>
    <t>FF&amp;E and OSE Procurement Agent</t>
  </si>
  <si>
    <t>FFEOSE.003F06</t>
  </si>
  <si>
    <t>FF&amp;E and OSE Procurement Agent (Areen Design Ltd)</t>
  </si>
  <si>
    <t>Contract Award to Areen Design Ltd</t>
  </si>
  <si>
    <t>FFEOSE.003F06 - FF&amp;E and OSE Procurement Agent (Areen Design Ltd)</t>
  </si>
  <si>
    <t>DCC01003-RIA-000002</t>
  </si>
  <si>
    <t>1TB01003-003C09-AMA-LTR-0050</t>
  </si>
  <si>
    <t>1TB01003-003C08-AMA-LTR-0015</t>
  </si>
  <si>
    <t>ECC-Mgt Fees</t>
  </si>
  <si>
    <t>Euro Consult (COO 6)</t>
  </si>
  <si>
    <t>Monthly Report No 19 - Apr'24</t>
  </si>
  <si>
    <t>Monthly Report No 20 - May'24</t>
  </si>
  <si>
    <t>Monthly Report No 21 - Jun'24</t>
  </si>
  <si>
    <t>Monthly Report No 22 - Jul'24</t>
  </si>
  <si>
    <t>Monthly Report No 23 - Aug'24</t>
  </si>
  <si>
    <t>Monthly Report No 24 - Sep'24</t>
  </si>
  <si>
    <t>Monthly Report No 25 - Oct'24</t>
  </si>
  <si>
    <t>Monthly Report No 26 - Nov'24</t>
  </si>
  <si>
    <t>Monthly Report No 27 - Dec'24</t>
  </si>
  <si>
    <t>Monthly Report No 28 - Jan'25</t>
  </si>
  <si>
    <t>Contract Award to Euro Consult for Engineering Consultancy</t>
  </si>
  <si>
    <t>MS.003F07 - Euro Consult (COO 6)</t>
  </si>
  <si>
    <t>Actual 
Jun-24</t>
  </si>
  <si>
    <t>Forecast 
Sep-24</t>
  </si>
  <si>
    <t>Forecast 
Aug-24</t>
  </si>
  <si>
    <t>NSCC - 026</t>
  </si>
  <si>
    <t>Recovery of Cost (AYC Piles and Design) - Final Account</t>
  </si>
  <si>
    <t>Adjustment to DVO 09 &amp; DVO 07, Recovery of Accommodation &amp; Engineer's Fee  - Final Account</t>
  </si>
  <si>
    <t>Reduction to SAB Account due to Termination of Contract - Final Account</t>
  </si>
  <si>
    <t>AMA01003-WTRAN-017463</t>
  </si>
  <si>
    <t>AMA01003-WTRAN-017464</t>
  </si>
  <si>
    <t>AMA01003-WTRAN-017494</t>
  </si>
  <si>
    <t>AMA01003-WTRAN-017495</t>
  </si>
  <si>
    <t>AMA01003-WTRAN-017582</t>
  </si>
  <si>
    <t>AMA01003-WTRAN-017928</t>
  </si>
  <si>
    <t>PVO 009</t>
  </si>
  <si>
    <t>PVO 06</t>
  </si>
  <si>
    <t>Various Fit-out Changes (Riva Lounge "Curved Banquette Support Wall", Porte Cochere "Wall Access Panels")_SAB</t>
  </si>
  <si>
    <t>Various Fit-out Changes (Riva Lounge "Curved Banquette Support Wall", Porte Cochere "Wall Access Panels")_DEPA</t>
  </si>
  <si>
    <t>AMA01003-WTRAN-017989</t>
  </si>
  <si>
    <t>PVO 13</t>
  </si>
  <si>
    <t xml:space="preserve"> Addition of Accessories to Existing Artwork Proposal - Change Decision Pack_Artelier</t>
  </si>
  <si>
    <t xml:space="preserve"> Addition of Accessories to Existing Artwork Proposal - Change Decision Pack_Artwork Package</t>
  </si>
  <si>
    <t>Per the approved RFA Ref. Final (WF-007250) 1TB01-003F06-AMA-RFA-FE-0002- FF&amp;E and OS&amp;E Cost Plan Budget approval - AYC</t>
  </si>
  <si>
    <t>Adjustment to FF&amp;E Budget per the approved RFA Cost Plan</t>
  </si>
  <si>
    <t>Adjustment to OSE Budget per the approved RFA Cost Plan</t>
  </si>
  <si>
    <t>DEPA acknowledged these are part of their scope.</t>
  </si>
  <si>
    <t>PVO 17</t>
  </si>
  <si>
    <t>AMA01003-WTRAN-018184</t>
  </si>
  <si>
    <t>Potential Contract Cost Adjustment</t>
  </si>
  <si>
    <t>Potential cost adjustment to SAB Contract.</t>
  </si>
  <si>
    <t>Forecast 
July-24</t>
  </si>
  <si>
    <t>Actual 
July-24</t>
  </si>
  <si>
    <t>DCC01003-RIA-000003</t>
  </si>
  <si>
    <t>Forecast 
Oct-24</t>
  </si>
  <si>
    <t>PVO 18</t>
  </si>
  <si>
    <t>Approved Baseline Budget</t>
  </si>
  <si>
    <t>Approved Budget Transfers</t>
  </si>
  <si>
    <t>Current Approved Budget</t>
  </si>
  <si>
    <t>Approved Contracts + Direct Actual</t>
  </si>
  <si>
    <t>Total Approved 
Commitments</t>
  </si>
  <si>
    <t>Pending Contracts</t>
  </si>
  <si>
    <t>Pending Contract Changes (PVOs)</t>
  </si>
  <si>
    <t>Total Commitments
(Approved &amp; Pending)</t>
  </si>
  <si>
    <t>Early Warnings &amp; RFC</t>
  </si>
  <si>
    <t>EAC 
Based on Awarded Packages</t>
  </si>
  <si>
    <t>Remaining Budget Before EW</t>
  </si>
  <si>
    <t>Remaining Budget after EW</t>
  </si>
  <si>
    <t>Forecasted EAC
Including all awards</t>
  </si>
  <si>
    <t>MH3 Aconex - CN Budget Hold</t>
  </si>
  <si>
    <t>MVW</t>
  </si>
  <si>
    <t>Other Prog 1 Assets</t>
  </si>
  <si>
    <t>BTR under Process</t>
  </si>
  <si>
    <t>To match with "Approved Budget" in Aconex</t>
  </si>
  <si>
    <t>To match with "Current Commitments" in Aconex</t>
  </si>
  <si>
    <t>To match with "All Commitments" in Aconex</t>
  </si>
  <si>
    <t>Professional Services</t>
  </si>
  <si>
    <t>Commercial Management</t>
  </si>
  <si>
    <t>Construction</t>
  </si>
  <si>
    <t>Total Commitment</t>
  </si>
  <si>
    <t>Balance Budget</t>
  </si>
  <si>
    <t>To Procure</t>
  </si>
  <si>
    <t>FF&amp;E</t>
  </si>
  <si>
    <t>Total Development Budget</t>
  </si>
  <si>
    <t>COMMITTED</t>
  </si>
  <si>
    <t>UNCOMITTED</t>
  </si>
  <si>
    <t>PERIOD MOVEMENT</t>
  </si>
  <si>
    <t>C = (A + B)</t>
  </si>
  <si>
    <t>E</t>
  </si>
  <si>
    <t>F = (D + E)</t>
  </si>
  <si>
    <t>I = (F + G + H)</t>
  </si>
  <si>
    <t>J</t>
  </si>
  <si>
    <t>K = (I + J)</t>
  </si>
  <si>
    <t>N</t>
  </si>
  <si>
    <t>O = (K + N)</t>
  </si>
  <si>
    <t>P</t>
  </si>
  <si>
    <t>Q = (O - P)</t>
  </si>
  <si>
    <t>To Procure
(Forecasted Contract Award Value)</t>
  </si>
  <si>
    <t>L = (F - I)</t>
  </si>
  <si>
    <t>M = (F - (I+J))</t>
  </si>
  <si>
    <t>Adjustments to Align with ACC</t>
  </si>
  <si>
    <t>Transfer of Kitchen funds from CN-Budget Hold to FF&amp;E Budget Hold</t>
  </si>
  <si>
    <t>FFEOSE.003F02</t>
  </si>
  <si>
    <t>Included in OS&amp;E</t>
  </si>
  <si>
    <t>Included in FF&amp;E FOH</t>
  </si>
  <si>
    <t>Early Warning Description</t>
  </si>
  <si>
    <t>Impact</t>
  </si>
  <si>
    <t>Change Status</t>
  </si>
  <si>
    <t>EARLY WARNING TOTAL</t>
  </si>
  <si>
    <t>RFC 25</t>
  </si>
  <si>
    <t>RFC 26</t>
  </si>
  <si>
    <t>RFC 32</t>
  </si>
  <si>
    <t>RFC 41</t>
  </si>
  <si>
    <t>RFC 43</t>
  </si>
  <si>
    <t>RFC 44</t>
  </si>
  <si>
    <t>RFC 45</t>
  </si>
  <si>
    <t>EW 15</t>
  </si>
  <si>
    <t>EW 17</t>
  </si>
  <si>
    <t>EW 26</t>
  </si>
  <si>
    <t>PVO rejected</t>
  </si>
  <si>
    <t>PVO will be submitted upon receipt of completed IFC drawings from Dewan.</t>
  </si>
  <si>
    <t>PVO will be submitted upon receipt of completed details from Dewan/Art Consultant.</t>
  </si>
  <si>
    <t>Current Budget Hold Movement for this Month</t>
  </si>
  <si>
    <t>PROPOSED VARIATION ORDER (PVO)</t>
  </si>
  <si>
    <t>Seed Fund Transfer for FOH FF&amp;E</t>
  </si>
  <si>
    <t>Seed Fund Transfer for OS&amp;E</t>
  </si>
  <si>
    <t>Seed Fund Transfer for for OS&amp;E (Money transfer from Art Package)</t>
  </si>
  <si>
    <t>Seed Fund Transfer for OS&amp;E (Money transfer from FF&amp;E BOH)</t>
  </si>
  <si>
    <t>Closed - Payment to Tabuk Municipality</t>
  </si>
  <si>
    <t>Closed - Final account executed.</t>
  </si>
  <si>
    <t>Langan - Approved Final Account Statement -  Adjustment to Committed Cost per the Actual Reimbursable Expenses</t>
  </si>
  <si>
    <t xml:space="preserve">AMA01003-WTRAN-018985 </t>
  </si>
  <si>
    <t>1TB01003-003C03-AMA-LTR-0183</t>
  </si>
  <si>
    <t>1TB01003-003C03-SAB-LTR-0106</t>
  </si>
  <si>
    <t>Payment to Specialist Contractors (SAMIF &amp; MEDTEL)</t>
  </si>
  <si>
    <t>SAB01003-RIA-000013</t>
  </si>
  <si>
    <t>1TB01003-003C03-AMA-LTR-0188</t>
  </si>
  <si>
    <t>SAB01003-GENCORR-000103</t>
  </si>
  <si>
    <t>SAB01003-RIA-000014</t>
  </si>
  <si>
    <t>AMA01003-PC-000049</t>
  </si>
  <si>
    <t>AMA01003-PC-000048</t>
  </si>
  <si>
    <t>Early Warning / Budget Overrun</t>
  </si>
  <si>
    <t>AMA01003-WTRAN-019080</t>
  </si>
  <si>
    <t xml:space="preserve">	
1TB01003-003C09-AMA-LTR-0055</t>
  </si>
  <si>
    <t>AMA01003-WTRAN-019077</t>
  </si>
  <si>
    <t>1TB01003-003C03-AMA-LTR-0189</t>
  </si>
  <si>
    <t>AMA01003-WTRAN-019136</t>
  </si>
  <si>
    <t>AMA01003-WTRAN-019134</t>
  </si>
  <si>
    <t>AMA01003-WTRAN-019133</t>
  </si>
  <si>
    <t>AMA01003-WTRAN-019132</t>
  </si>
  <si>
    <t>VO 10</t>
  </si>
  <si>
    <t>AMA01003-WTRAN-019393</t>
  </si>
  <si>
    <t>AMA01003-WTRAN-019392</t>
  </si>
  <si>
    <t>Cancelled for DEWAN. SAB to proceed with the Design and Construction of blue duct without cost impact.</t>
  </si>
  <si>
    <t>Additional drainage works to GF and Basement Level</t>
  </si>
  <si>
    <t>Issued as a VO to Areen</t>
  </si>
  <si>
    <t>FFEOSE.003F06.02 - FF&amp;E and OSE (VO to Areen Design Ltd)</t>
  </si>
  <si>
    <t>CML-Mgt Fees</t>
  </si>
  <si>
    <t>CML</t>
  </si>
  <si>
    <t>Areen</t>
  </si>
  <si>
    <t>Independent Comissioning Agent (CML International)</t>
  </si>
  <si>
    <t>IPA No. 22</t>
  </si>
  <si>
    <t>Feb-Apr. 24</t>
  </si>
  <si>
    <t>KAA01003-GENCORR-000185</t>
  </si>
  <si>
    <t>Dec23 - Jun24</t>
  </si>
  <si>
    <t>1TB01003-003F02-AMA-LTR-0020</t>
  </si>
  <si>
    <t>On Account Payment</t>
  </si>
  <si>
    <t>RQN01003-RIA-000003</t>
  </si>
  <si>
    <t>RQN01003-GENCORR-000014</t>
  </si>
  <si>
    <t>1TB01003-003C08-AMA-LTR-0018</t>
  </si>
  <si>
    <t>RQN01003-RIA-000004</t>
  </si>
  <si>
    <t>1TB01003-003C09-AMA-LTR-0061</t>
  </si>
  <si>
    <t>Actual 
Aug-24</t>
  </si>
  <si>
    <t>Forecast 
Nov-24</t>
  </si>
  <si>
    <t>STAKEHOLDER EXECUTIVE REVIEW</t>
  </si>
  <si>
    <t>ACC</t>
  </si>
  <si>
    <t>Head of Commercial:</t>
  </si>
  <si>
    <t>Executive Project Director:</t>
  </si>
  <si>
    <t>Planning Director</t>
  </si>
  <si>
    <t>Senior Design Director:</t>
  </si>
  <si>
    <t>AMA01003-WTRAN-019712</t>
  </si>
  <si>
    <t>AMA01003-WTRAN-019655</t>
  </si>
  <si>
    <t>AMA01003-WTRAN-019654</t>
  </si>
  <si>
    <t>AMA01003-WTRAN-019545</t>
  </si>
  <si>
    <t>JHS-GENCORR-000008</t>
  </si>
  <si>
    <t>AMA01003-WTRAN-019544</t>
  </si>
  <si>
    <t>AMA01003-WTRAN-019543</t>
  </si>
  <si>
    <t>AMA01003-WTRAN-019542</t>
  </si>
  <si>
    <t>AMA01003-WTRAN-019820</t>
  </si>
  <si>
    <t>AMA01003-WTRAN-019821</t>
  </si>
  <si>
    <t>AMA01003-WTRAN-019916</t>
  </si>
  <si>
    <t>AMA01003-WTRAN-019917</t>
  </si>
  <si>
    <t>AMA01003-WTRAN-019900</t>
  </si>
  <si>
    <t>AMA01003-WTRAN-019564</t>
  </si>
  <si>
    <t>1TB01003-003C03-AMA-LTR-0201</t>
  </si>
  <si>
    <t>DVO 010</t>
  </si>
  <si>
    <t>AMA01003-WTRAN-019956</t>
  </si>
  <si>
    <t>VO 15</t>
  </si>
  <si>
    <t>VO 01 R1</t>
  </si>
  <si>
    <t>VO 02 R1</t>
  </si>
  <si>
    <t>VO 016</t>
  </si>
  <si>
    <t>1TB01003-003C03-AMA-LTR-0213</t>
  </si>
  <si>
    <t>VO 014</t>
  </si>
  <si>
    <t>AMA01003-WTRAN-019894</t>
  </si>
  <si>
    <t>VO 13</t>
  </si>
  <si>
    <t>VO 013</t>
  </si>
  <si>
    <t>1TB01003-003D01-AMA-LTR-0010</t>
  </si>
  <si>
    <t>1TB01003-003C09-AMA-LTR-0072</t>
  </si>
  <si>
    <t>1TB01003-003C09-AMA-LTR-0069</t>
  </si>
  <si>
    <t>AMA01003-WTRAN-020255</t>
  </si>
  <si>
    <t>Issuing of Civil Defence Drawings</t>
  </si>
  <si>
    <t>1TB01003-003C03-AMA-LTR-0218</t>
  </si>
  <si>
    <t>VO 015</t>
  </si>
  <si>
    <t>AMA01003-WTRAN-020174</t>
  </si>
  <si>
    <t>AMA01003-WTRAN-020424</t>
  </si>
  <si>
    <t>1TB01003-003C03-AMA-LTR-0216</t>
  </si>
  <si>
    <t>AMA01003-WTRAN-020422</t>
  </si>
  <si>
    <t>1TB01003-003C09-AMA-LTR-0065</t>
  </si>
  <si>
    <t>AMA01003-WTRAN-020465</t>
  </si>
  <si>
    <t>1TB01003-003C09-AMA-LTR-0070</t>
  </si>
  <si>
    <t>AMA01003-WTRAN-020463</t>
  </si>
  <si>
    <t>1TB01003-003C09-AMA-LTR-0066</t>
  </si>
  <si>
    <t>1TB01003-003D01-AMA-LTR-0012</t>
  </si>
  <si>
    <t>AMA01003-WTRAN-020507</t>
  </si>
  <si>
    <t>AMA01003-WTRAN-020623</t>
  </si>
  <si>
    <t>1TB01003-003D01-AMA-LTR-0011</t>
  </si>
  <si>
    <t>AMA01003-WTRAN-020576</t>
  </si>
  <si>
    <t xml:space="preserve"> 1TB01003-003C03-AMA-LTR-0221</t>
  </si>
  <si>
    <t>AMA01003-WTRAN-020624</t>
  </si>
  <si>
    <t>DVO 014</t>
  </si>
  <si>
    <t>PS.003F08</t>
  </si>
  <si>
    <r>
      <t xml:space="preserve">CML (Independent Commissioning Agent) </t>
    </r>
    <r>
      <rPr>
        <b/>
        <sz val="12"/>
        <color theme="1"/>
        <rFont val="Calibri"/>
        <family val="2"/>
        <scheme val="minor"/>
      </rPr>
      <t>COO 7</t>
    </r>
  </si>
  <si>
    <t>Contract Award to CML (Independent Commissioning Agent)</t>
  </si>
  <si>
    <t>Adjustment to GBC per actual commitment</t>
  </si>
  <si>
    <t>Under review - Awaiting SAB Submission of Supporting Documents</t>
  </si>
  <si>
    <t>SAB01003-GENCORR-000118</t>
  </si>
  <si>
    <t>1TB01003-003C03-AMA-LTR-0215</t>
  </si>
  <si>
    <t>IPA - 48 (INV-D-47)</t>
  </si>
  <si>
    <t>AMA01003-PAYAP-000344</t>
  </si>
  <si>
    <t>AMA01003-PC-000057</t>
  </si>
  <si>
    <t>1TB01003-003C09-AMA-LTR-0064</t>
  </si>
  <si>
    <t>DCC01003-RIA-000004</t>
  </si>
  <si>
    <t>DVO 011</t>
  </si>
  <si>
    <t>Actual 
Sep-24</t>
  </si>
  <si>
    <t>Forecast 
Dec-24</t>
  </si>
  <si>
    <t>Additional Primary side CHW Valve Arrangement, Flushing Bypass and BTU Meter</t>
  </si>
  <si>
    <t>EW 028</t>
  </si>
  <si>
    <t>Amphitheatre Works issued to MAS - Process not followed</t>
  </si>
  <si>
    <t>Remaining Block work, Plaster work and Paint Work to be carried out by MAS - Process not followed</t>
  </si>
  <si>
    <t>70a</t>
  </si>
  <si>
    <t>70b</t>
  </si>
  <si>
    <t>Cancellation of Amphitheatre Works issued to MAS - Process not followed</t>
  </si>
  <si>
    <t>EW 029</t>
  </si>
  <si>
    <t>71a</t>
  </si>
  <si>
    <t>71b</t>
  </si>
  <si>
    <t>Recovery of Remaining Block work, Plaster work and Paint Work to be carried out by MAS - Process not followed</t>
  </si>
  <si>
    <t xml:space="preserve">AMA01003-WTRAN-020913 </t>
  </si>
  <si>
    <t xml:space="preserve">AMA01003-WTRAN-020912 </t>
  </si>
  <si>
    <t xml:space="preserve">AMA01003-WTRAN-021467 </t>
  </si>
  <si>
    <t>SAB01003-GENCORR-000333</t>
  </si>
  <si>
    <t>DVO 012</t>
  </si>
  <si>
    <t>SAB01003-GENCORR-000334</t>
  </si>
  <si>
    <t>AMA01003-WTRAN-021710</t>
  </si>
  <si>
    <t>1TB01003-003D01-DAE-LTR-0028R1</t>
  </si>
  <si>
    <t>1TB01003-003D01-DAE-LTR-0032</t>
  </si>
  <si>
    <t>1TB01003-003D01-DAE-LTR-0033</t>
  </si>
  <si>
    <t>1TB01003-003D01-DAE-LTR-0034</t>
  </si>
  <si>
    <t>DVO 007</t>
  </si>
  <si>
    <t>1TB01003-003C09-DCC-LTR-0127</t>
  </si>
  <si>
    <t>1TB01003-003C09-DCC-LTR-0124</t>
  </si>
  <si>
    <t>DVO 002</t>
  </si>
  <si>
    <t>1TB01003-003C09-DCC-LTR-0123</t>
  </si>
  <si>
    <t>PVO 023</t>
  </si>
  <si>
    <t>VO 019</t>
  </si>
  <si>
    <t>PVO 024</t>
  </si>
  <si>
    <t>AMA01003-WTRAN-022051</t>
  </si>
  <si>
    <t>1TB01003-003D01-AMA-LTR-0014</t>
  </si>
  <si>
    <t>Cl. 22.5</t>
  </si>
  <si>
    <t xml:space="preserve">CONSULTANT INVOICE ACONEX REF </t>
  </si>
  <si>
    <t>WITHOLDING TAX
AMOUNT FOR THE MONTH</t>
  </si>
  <si>
    <t>AMA01003-PAYAP-000361</t>
  </si>
  <si>
    <t>AMA01003-PC-000060</t>
  </si>
  <si>
    <t>ADL01003-RIA-000002</t>
  </si>
  <si>
    <t>Jan to May 24</t>
  </si>
  <si>
    <t>AMA01003-PAYAP-000376</t>
  </si>
  <si>
    <t>AMA01003-PC-000063</t>
  </si>
  <si>
    <t>ADL01003-RIA-000001</t>
  </si>
  <si>
    <t>AREEN DESIGN</t>
  </si>
  <si>
    <t>APPROVED VARIATIONS ORDER</t>
  </si>
  <si>
    <t>003F06</t>
  </si>
  <si>
    <t>ATA01003-TRANSMIT-000034</t>
  </si>
  <si>
    <t>1TB01003-003C27-AMA-LTR-0015</t>
  </si>
  <si>
    <t>ATA01003-RIA-000001</t>
  </si>
  <si>
    <t>Cl. 13.5.1</t>
  </si>
  <si>
    <t>Payment Date as per Contract (21days)</t>
  </si>
  <si>
    <t>Payment Schedule</t>
  </si>
  <si>
    <t>Cl.13.6.1(b)</t>
  </si>
  <si>
    <t>DCC01003-RIA-000006</t>
  </si>
  <si>
    <t>DCC01003-GENCORR-000313</t>
  </si>
  <si>
    <t>DCC01003-GENCORR-000267</t>
  </si>
  <si>
    <t>DCC01003-GENCORR-000239</t>
  </si>
  <si>
    <t>DCC01003-GENCORR-000022</t>
  </si>
  <si>
    <t>DCC01003-GENCORR-000150</t>
  </si>
  <si>
    <t>1TB01003-003C09-AMA-LTR-0084.</t>
  </si>
  <si>
    <t>DCC01003-GENCORR-000320</t>
  </si>
  <si>
    <t>1TB01003-003C09-AMA-LTR-0085.</t>
  </si>
  <si>
    <t>ESC01003-GENCORR-000007</t>
  </si>
  <si>
    <t>SAB01003-RIA-000015</t>
  </si>
  <si>
    <t>IPA No. 01 Adv Pay</t>
  </si>
  <si>
    <t>IPA No. 017</t>
  </si>
  <si>
    <t>IPA No. 018</t>
  </si>
  <si>
    <t>1TB04400-005C13-NSC-LTR-0402-0</t>
  </si>
  <si>
    <t>1TB04400-400000-AMA-LTR-0053</t>
  </si>
  <si>
    <t>IPA No. 019</t>
  </si>
  <si>
    <t>1TB04400-005C13-NSC-LTR-0405</t>
  </si>
  <si>
    <t>1TB04400-400000-AMA-LTR-0054</t>
  </si>
  <si>
    <t>KAA01003-RIA-000003</t>
  </si>
  <si>
    <t>1TB01003-003F02-AMA-LTR-0022</t>
  </si>
  <si>
    <t>KAA01003-RESP-000335</t>
  </si>
  <si>
    <t>KAA01003-GENCORR-000315</t>
  </si>
  <si>
    <t>1TB01003-003F02-AMA-LTR-0024</t>
  </si>
  <si>
    <t>MAS</t>
  </si>
  <si>
    <t>EW 033</t>
  </si>
  <si>
    <t>EW 031</t>
  </si>
  <si>
    <t>EW 030</t>
  </si>
  <si>
    <t>EW 032</t>
  </si>
  <si>
    <t>MAS - Various Works</t>
  </si>
  <si>
    <t>PVO 012</t>
  </si>
  <si>
    <t>EW 29</t>
  </si>
  <si>
    <t>RFA appoved</t>
  </si>
  <si>
    <t>PVO to be processed.</t>
  </si>
  <si>
    <t>EW 31</t>
  </si>
  <si>
    <t>EW 32</t>
  </si>
  <si>
    <t>EW 33</t>
  </si>
  <si>
    <t>PS.003F08 - CML (Independent Commissioning Agent) COO 7</t>
  </si>
  <si>
    <t>Included in the SEED Fund issued as VO to Areen</t>
  </si>
  <si>
    <t xml:space="preserve"> AMA01003-WTRAN-022102 </t>
  </si>
  <si>
    <t xml:space="preserve">AMA01003-WTRAN-022103 </t>
  </si>
  <si>
    <t>DVO issued to NSCC</t>
  </si>
  <si>
    <t>Closed - Determination issued to NSCC (agreed).</t>
  </si>
  <si>
    <t>1TB04400-400000-AMA-LTR-0056</t>
  </si>
  <si>
    <t>Extension of Time Claim AYC - non-readiness of site (Interim Claim)</t>
  </si>
  <si>
    <t>1TB01003C08</t>
  </si>
  <si>
    <t>Abdulaziz Al Raqtan and Partners Company for Trading and Industry Company</t>
  </si>
  <si>
    <t>1TB01003-003C08-RQN-LTR-0001</t>
  </si>
  <si>
    <t>1TB01003-003C08-AMA-LTR-0017</t>
  </si>
  <si>
    <t xml:space="preserve">RQN01003-CLM-000004 </t>
  </si>
  <si>
    <t>1TB01003-003C08-AMA-LTR-0020</t>
  </si>
  <si>
    <t>RQN01003-CLM-000005</t>
  </si>
  <si>
    <t xml:space="preserve"> Interim Extension of Time For Completion No. 01</t>
  </si>
  <si>
    <t>1TB01003C09</t>
  </si>
  <si>
    <t>Fitout Works</t>
  </si>
  <si>
    <t>1TB01003-003C09-DCC-LTR-0129</t>
  </si>
  <si>
    <t>AREEN Design</t>
  </si>
  <si>
    <t>Actual 
Oct-24</t>
  </si>
  <si>
    <t>Forecast 
Jan-25</t>
  </si>
  <si>
    <t>Areen Design</t>
  </si>
  <si>
    <t xml:space="preserve">Issue date of IPC per Contract </t>
  </si>
  <si>
    <t>No Provision</t>
  </si>
  <si>
    <t>Cl.11.4.1</t>
  </si>
  <si>
    <t>Issue date of IPC per Contract</t>
  </si>
  <si>
    <t>l = j + 21</t>
  </si>
  <si>
    <t>Additional Porte Cochere Works to be carried out by MAS</t>
  </si>
  <si>
    <t>Appointment of Al Fanar for the supply of labour and supervision for remaining MEP Works (to be omitted from SAB scope).</t>
  </si>
  <si>
    <t xml:space="preserve">Appointment of MAS to carry out the amphitheatre works and balance works for wet works on behalf of SAB (to be omitted from SAB). </t>
  </si>
  <si>
    <t>AMA01003-WTRAN-022307</t>
  </si>
  <si>
    <t>AMA01003-WTRAN-022308</t>
  </si>
  <si>
    <t>AMA01003-WTRAN-022577</t>
  </si>
  <si>
    <t>AMA01003-WTRAN-022578</t>
  </si>
  <si>
    <t>MEP Manpower Supply to AYC Project on behalf of SAB.</t>
  </si>
  <si>
    <t>AMA01003-WTRAN-022646</t>
  </si>
  <si>
    <t>1TB01003-003C03-AMA-LTR-0231</t>
  </si>
  <si>
    <t>VO 18</t>
  </si>
  <si>
    <t>WF-008358AMA01003-WTRAN-022677</t>
  </si>
  <si>
    <t>VO 17</t>
  </si>
  <si>
    <t>1TB01003-003C03-AMA-LTR-0230</t>
  </si>
  <si>
    <t xml:space="preserve">AMA01003-WTRAN-022721 </t>
  </si>
  <si>
    <t xml:space="preserve">AMA01003-WTRAN-022722 </t>
  </si>
  <si>
    <t xml:space="preserve">AMA01003-WTRAN-022720 </t>
  </si>
  <si>
    <t>DVO12</t>
  </si>
  <si>
    <t>1TB01003-003D01-DAE-LTR-0036</t>
  </si>
  <si>
    <t>DVO 016</t>
  </si>
  <si>
    <t>SAB01003-GENCORR-000368</t>
  </si>
  <si>
    <t>AMA01003-WTRAN-023123</t>
  </si>
  <si>
    <t>1TB01003-003C03-AMA-LTR-0233</t>
  </si>
  <si>
    <t>AMA01003-WTRAN-023127</t>
  </si>
  <si>
    <t>AMA01003-WTRAN-023126</t>
  </si>
  <si>
    <t>AMA01003-WTRAN-023125</t>
  </si>
  <si>
    <t>VO 19</t>
  </si>
  <si>
    <t>VO 16</t>
  </si>
  <si>
    <t>VO 20</t>
  </si>
  <si>
    <t>Deployment of Seven (7) Surveyors</t>
  </si>
  <si>
    <t>VO 21</t>
  </si>
  <si>
    <t>Employer’s instruction for ID Finishes on Vertical Transportation Fixture Elements</t>
  </si>
  <si>
    <t>AYC – Disassembly and Reassembly of electronic items from VT fixtures</t>
  </si>
  <si>
    <t>Scaffolding works for Secondary Steel and Façade (Design)</t>
  </si>
  <si>
    <t>CN.003C31</t>
  </si>
  <si>
    <t>MAS - Labour Supply - Wet Works</t>
  </si>
  <si>
    <t>Al Fanar - MEP Labour Supply</t>
  </si>
  <si>
    <t>MAS - Amphitheatre</t>
  </si>
  <si>
    <t>Al Fanar</t>
  </si>
  <si>
    <t>Contract Award to MAS Executed.</t>
  </si>
  <si>
    <t>MAS - Wet Works</t>
  </si>
  <si>
    <t>CN.003C32</t>
  </si>
  <si>
    <t>MAS - Amphitheatre Works</t>
  </si>
  <si>
    <t>Contract Award to MAS (Wet Works)</t>
  </si>
  <si>
    <t>Contract Award to MAS (Amphitheatre)</t>
  </si>
  <si>
    <t>Contract Award to MAS for Amphitheatre Works</t>
  </si>
  <si>
    <t>Previously under MAS Various Works</t>
  </si>
  <si>
    <t>ARMETAL</t>
  </si>
  <si>
    <t>ARMETAL - Reflective ceiling</t>
  </si>
  <si>
    <t>Reflective Ceiling (Award to Armetal)</t>
  </si>
  <si>
    <t>EW 034</t>
  </si>
  <si>
    <t>Reflective Ceiling (Omission from SAB)</t>
  </si>
  <si>
    <t>EW 035</t>
  </si>
  <si>
    <t>CN.003C31 - MAS - Wet Works</t>
  </si>
  <si>
    <t>CN.003C32 - MAS - Amphitheatre Works</t>
  </si>
  <si>
    <t>64 Calendar days from Commencement Date</t>
  </si>
  <si>
    <t>DV 013</t>
  </si>
  <si>
    <t>AMA04400-WTRAN-003774</t>
  </si>
  <si>
    <t>Part of DVO 013 (Final Account Settlement with NSCC).</t>
  </si>
  <si>
    <t>Contract Awarded to Alutec</t>
  </si>
  <si>
    <t>Package Awarded under MVW - Budget transfer has not taken place - Request to Remove from EW</t>
  </si>
  <si>
    <t>EW 34</t>
  </si>
  <si>
    <t>EW 35</t>
  </si>
  <si>
    <t>EW 036</t>
  </si>
  <si>
    <t>EW 037</t>
  </si>
  <si>
    <t>EW 038</t>
  </si>
  <si>
    <t>EW 039</t>
  </si>
  <si>
    <t>EW 37</t>
  </si>
  <si>
    <t>EW 38</t>
  </si>
  <si>
    <t>EW 39</t>
  </si>
  <si>
    <t>EW 36</t>
  </si>
  <si>
    <t>RFA Approved</t>
  </si>
  <si>
    <t>Al Fanar MEP Manpower Supply to AYC Project on behalf of SAB.</t>
  </si>
  <si>
    <t>EW 040</t>
  </si>
  <si>
    <t>RFA</t>
  </si>
  <si>
    <t>Approved RFA</t>
  </si>
  <si>
    <t>PVO 026 in WF for Approval</t>
  </si>
  <si>
    <t>EW 40</t>
  </si>
  <si>
    <t>Contract for Al Fanar under process.</t>
  </si>
  <si>
    <t>To be discussed if this still be pursued. SAB currently not put forward a variation cost submission for this.</t>
  </si>
  <si>
    <t>RFC to be initiated upon receipt of submission from SAB.</t>
  </si>
  <si>
    <t>EI issued and awaiting DEPA to submit the cost proposal before we initiate the PVO.</t>
  </si>
  <si>
    <t>EI issued to MAS. PVO and VO will be prepared.</t>
  </si>
  <si>
    <t>EI issued to SAB. PVO and VO will be prepared.</t>
  </si>
  <si>
    <t>EI to DEPA drafted. Awaiting approval before issue to DEPA.</t>
  </si>
  <si>
    <t>EI to ESCCO drafted. Awaiting approval before issue to ESCCO.</t>
  </si>
  <si>
    <t>PVO and VO will be prepared.</t>
  </si>
  <si>
    <t>RFA to award the reflective ceiling to ARMETAL in WF for approval.</t>
  </si>
  <si>
    <t>Approved RFC</t>
  </si>
  <si>
    <t>Early Warning</t>
  </si>
  <si>
    <t>RFA under Approval</t>
  </si>
  <si>
    <t>EI issued to DEPA</t>
  </si>
  <si>
    <t>EI issued to MAS</t>
  </si>
  <si>
    <t>EI issued to SAB</t>
  </si>
  <si>
    <t>EI to DEPA drafted</t>
  </si>
  <si>
    <t>EI to ESCCO drafted</t>
  </si>
  <si>
    <t>AMAALA Program 01 - Marina Village
AMAALA Yacht Club - Project Wide Summary</t>
  </si>
  <si>
    <t>Current Approved 
ACC Budget</t>
  </si>
  <si>
    <t>100% DD Cost Plan 
(C&amp;B)</t>
  </si>
  <si>
    <t>Total - Estimate At Completion</t>
  </si>
  <si>
    <t>Early Warning Variance
(Budget - EAC)</t>
  </si>
  <si>
    <t>GEA</t>
  </si>
  <si>
    <t>m2</t>
  </si>
  <si>
    <t>External Area</t>
  </si>
  <si>
    <t>Work Elements/ Assets</t>
  </si>
  <si>
    <t>Ground Improvement (SIC)</t>
  </si>
  <si>
    <t>Piling Works (NSCC)</t>
  </si>
  <si>
    <t>Sustainability Accreditation (GBC)</t>
  </si>
  <si>
    <t>Structural Concrete, Wet Trades, BOH Fit out, Pools and Water Features, Structural Steel, Glazing, Glass Balustrades, Aluminum Soffits, SFS and GRC, Render Façade, Roof Waterproofing, MEP and ICT/ELV (SAB)</t>
  </si>
  <si>
    <t>STO Façade Mock-up (MEDTEL)</t>
  </si>
  <si>
    <t>Vertical Transporation (ESCCO)</t>
  </si>
  <si>
    <t>Kitchen and Laundry Equipment (RAQTAN)</t>
  </si>
  <si>
    <t>Fitout (DEPA)</t>
  </si>
  <si>
    <t>Aluminum and Glazing Works (ALUTEC)</t>
  </si>
  <si>
    <t>Manpower for Wet Works (MAS)</t>
  </si>
  <si>
    <t>Amphitheatre Works (MAS)</t>
  </si>
  <si>
    <t>Total Building Works</t>
  </si>
  <si>
    <r>
      <t xml:space="preserve">Total Construction Works </t>
    </r>
    <r>
      <rPr>
        <i/>
        <sz val="15"/>
        <color theme="1"/>
        <rFont val="Noto Sans "/>
      </rPr>
      <t>(excl. Preliminaries)</t>
    </r>
  </si>
  <si>
    <t>Preliminaries</t>
  </si>
  <si>
    <t>Included</t>
  </si>
  <si>
    <r>
      <t xml:space="preserve">Total Construction Works </t>
    </r>
    <r>
      <rPr>
        <i/>
        <sz val="12"/>
        <color theme="0"/>
        <rFont val="Noto Sans "/>
      </rPr>
      <t>(incl. Preliminaries)</t>
    </r>
  </si>
  <si>
    <t xml:space="preserve">Loose FF&amp;E / OSE/ Artwork </t>
  </si>
  <si>
    <t>Total Construction Works</t>
  </si>
  <si>
    <t>Risks/Contingencies</t>
  </si>
  <si>
    <t xml:space="preserve">Total Development Works </t>
  </si>
  <si>
    <r>
      <t xml:space="preserve">Proposed VE Initiatives </t>
    </r>
    <r>
      <rPr>
        <i/>
        <sz val="11"/>
        <color rgb="FF000000"/>
        <rFont val="Noto Sans "/>
      </rPr>
      <t>(excl. Risks/ Contingencies)</t>
    </r>
  </si>
  <si>
    <r>
      <t xml:space="preserve">Total Development Works including VE
</t>
    </r>
    <r>
      <rPr>
        <i/>
        <sz val="12"/>
        <color theme="0"/>
        <rFont val="Noto Sans "/>
      </rPr>
      <t>(excl. Risks/ Contingencies)</t>
    </r>
  </si>
  <si>
    <r>
      <t xml:space="preserve">Proposed VE Initiatives </t>
    </r>
    <r>
      <rPr>
        <i/>
        <sz val="11"/>
        <color rgb="FF000000"/>
        <rFont val="Noto Sans "/>
      </rPr>
      <t>(incl. Risks/ Contingencies)</t>
    </r>
  </si>
  <si>
    <r>
      <t xml:space="preserve">Total Development Works including VE
</t>
    </r>
    <r>
      <rPr>
        <i/>
        <sz val="12"/>
        <color theme="0"/>
        <rFont val="Noto Sans "/>
      </rPr>
      <t>(incl. Risks/ Contingencies)</t>
    </r>
  </si>
  <si>
    <t>Building Works - SAR/m2</t>
  </si>
  <si>
    <t>Construction Works - SAR/m2 excl. FFE</t>
  </si>
  <si>
    <t>Construction Works - SAR/m2 incl. FFE</t>
  </si>
  <si>
    <t>Construction Works including VE - SAR/m2</t>
  </si>
  <si>
    <t>ERB_Rev 03_20240514</t>
  </si>
  <si>
    <t>DONOT DELETE</t>
  </si>
  <si>
    <t>CONST</t>
  </si>
  <si>
    <t>PRELIMS</t>
  </si>
  <si>
    <t>FFE-LOOSE</t>
  </si>
  <si>
    <t>CHCK</t>
  </si>
  <si>
    <t>ID - FOH CP OVERRUN</t>
  </si>
  <si>
    <t>ID - FOH CP OVERRUN (INCL PRELIMS)</t>
  </si>
  <si>
    <t>ID OVERRUN</t>
  </si>
  <si>
    <t>Ref</t>
  </si>
  <si>
    <t>Overrun Items Descriptions</t>
  </si>
  <si>
    <t xml:space="preserve">Variance </t>
  </si>
  <si>
    <t>Current BT Summary Breakdown</t>
  </si>
  <si>
    <t>Estimated Commitment Date</t>
  </si>
  <si>
    <t>Budget V Cost</t>
  </si>
  <si>
    <t>Early Warning for Future Awards</t>
  </si>
  <si>
    <t>1.a</t>
  </si>
  <si>
    <t>1.b</t>
  </si>
  <si>
    <t>1.c</t>
  </si>
  <si>
    <t>Early Warning on Awarded Packages</t>
  </si>
  <si>
    <t>2.a</t>
  </si>
  <si>
    <t>2.b</t>
  </si>
  <si>
    <t>2.c</t>
  </si>
  <si>
    <t>2.d</t>
  </si>
  <si>
    <t>2.e</t>
  </si>
  <si>
    <t>2.f</t>
  </si>
  <si>
    <t>2.g</t>
  </si>
  <si>
    <t>2.h</t>
  </si>
  <si>
    <t>2.i</t>
  </si>
  <si>
    <t>2.j</t>
  </si>
  <si>
    <t>Total Overrun</t>
  </si>
  <si>
    <t>CN Budget Hold</t>
  </si>
  <si>
    <r>
      <t xml:space="preserve">Alteration to finishes due to Façade Layout Changes - </t>
    </r>
    <r>
      <rPr>
        <sz val="10"/>
        <color rgb="FFFF0000"/>
        <rFont val="Calibri"/>
        <family val="2"/>
        <scheme val="minor"/>
      </rPr>
      <t>Process not Followed</t>
    </r>
  </si>
  <si>
    <t>2.k</t>
  </si>
  <si>
    <t>2.l</t>
  </si>
  <si>
    <t>Final Account</t>
  </si>
  <si>
    <t>Management to Advise</t>
  </si>
  <si>
    <t>Not yet in ACC</t>
  </si>
  <si>
    <t>Adjustment to PVO 005 per Approved DVO 005 - DEPA</t>
  </si>
  <si>
    <t>Adjustment to PVO 006 per Approved DVO 006 - DEPA</t>
  </si>
  <si>
    <t>MAS Amphitheatre Works</t>
  </si>
  <si>
    <t>Pending Downstream Contracts - Not yet approved in ACC.</t>
  </si>
  <si>
    <t>Approved RFC, pending PVO</t>
  </si>
  <si>
    <r>
      <t xml:space="preserve">Construction (CN) Budget Hold - </t>
    </r>
    <r>
      <rPr>
        <b/>
        <sz val="11"/>
        <color theme="1"/>
        <rFont val="Noto Sans "/>
      </rPr>
      <t xml:space="preserve">REMAINING </t>
    </r>
  </si>
  <si>
    <t>2.m</t>
  </si>
  <si>
    <t>2.n</t>
  </si>
  <si>
    <t>2.o</t>
  </si>
  <si>
    <t>2.p</t>
  </si>
  <si>
    <t>2.q</t>
  </si>
  <si>
    <t>2.r</t>
  </si>
  <si>
    <t>2.s</t>
  </si>
  <si>
    <t>2.t</t>
  </si>
  <si>
    <t>2.u</t>
  </si>
  <si>
    <t>2.v</t>
  </si>
  <si>
    <t>2.w</t>
  </si>
  <si>
    <t>2.x</t>
  </si>
  <si>
    <t>2.y</t>
  </si>
  <si>
    <t>AMA01003-WTRAN-023539</t>
  </si>
  <si>
    <t>VO 23</t>
  </si>
  <si>
    <t>ATA01003-TRANSMIT-000046</t>
  </si>
  <si>
    <t>DCC01003-RIA-000007</t>
  </si>
  <si>
    <t>DCC01003-RIA-000008</t>
  </si>
  <si>
    <t>DCC01003-GENCORR-000380</t>
  </si>
  <si>
    <t>1TB01003-003C09-AMA-LTR-0091</t>
  </si>
  <si>
    <t>RQN01003-GENCORR-000018</t>
  </si>
  <si>
    <t>1TB01003-003C08-AMA-LTR-0023</t>
  </si>
  <si>
    <t>ESC01003-RIA-000002</t>
  </si>
  <si>
    <t>1TB01003-003F03-AMA-LTR-0022</t>
  </si>
  <si>
    <t>KAA01003-GENCORR-000338</t>
  </si>
  <si>
    <t>1TB01003-003F02-AMA-LTR-0026</t>
  </si>
  <si>
    <t>IPA No. 23</t>
  </si>
  <si>
    <t>Actual 
Nov-24</t>
  </si>
  <si>
    <t>Forecast 
Feb-25</t>
  </si>
  <si>
    <t>DVO 009</t>
  </si>
  <si>
    <t>AMA01003-WTRAN-024110</t>
  </si>
  <si>
    <t>AMA01003-WTRAN-024095</t>
  </si>
  <si>
    <t>VO 021</t>
  </si>
  <si>
    <t>1TB01003-003C03-AMA-LTR-0237</t>
  </si>
  <si>
    <t>AMA01003-WTRAN-024066</t>
  </si>
  <si>
    <t>1TB01003-003C03-AMA-LTR-0234</t>
  </si>
  <si>
    <t>VO 020</t>
  </si>
  <si>
    <t xml:space="preserve">AMA01003-WTRAN-023813	</t>
  </si>
  <si>
    <t>CN.003C34</t>
  </si>
  <si>
    <t>Contract Award to Al Fanar (Labour Supply)</t>
  </si>
  <si>
    <t>Contract Awarded to Al Fanar</t>
  </si>
  <si>
    <t>Installation of MDF Platform / Ceiling</t>
  </si>
  <si>
    <t>EW 041</t>
  </si>
  <si>
    <t>Column Dry Wall Cladding and Partitions</t>
  </si>
  <si>
    <t>EI 04</t>
  </si>
  <si>
    <t>EW 042</t>
  </si>
  <si>
    <t>Column Dry Wall Cladding and Partitions (Blockworks Omission)</t>
  </si>
  <si>
    <t>EW 043</t>
  </si>
  <si>
    <t xml:space="preserve">Replace the existing FOH electrical faceplates in designated areas of the Project with upgraded units meeting specifications. </t>
  </si>
  <si>
    <t>Replace the existing FOH electrical faceplates in designated areas of the Project with upgraded units meeting specifications. 
(Omission from SAB)</t>
  </si>
  <si>
    <t>EW 044</t>
  </si>
  <si>
    <t>EW 045</t>
  </si>
  <si>
    <t>LPG Works (Al Fanar)</t>
  </si>
  <si>
    <t>LPG Works (Omission from SAB)</t>
  </si>
  <si>
    <t>Al Fanar MEP Manpower Supply to AYC Project on behalf of SAB - Adjustment</t>
  </si>
  <si>
    <t>EW 046</t>
  </si>
  <si>
    <t>EW 047</t>
  </si>
  <si>
    <t>EW 048</t>
  </si>
  <si>
    <t>Al Fanar Allowance for Purhcasing Materials</t>
  </si>
  <si>
    <t>Allowance for SAB (Grankraft) works on mockup (same as advance payment amount)</t>
  </si>
  <si>
    <t>EW 049</t>
  </si>
  <si>
    <t>Additional Costs related to Aluminium Soffits &amp; Cladding - Alcatop</t>
  </si>
  <si>
    <t>EW 050</t>
  </si>
  <si>
    <t>EW 051</t>
  </si>
  <si>
    <t>Additional Costs related to Structural Metal Work - SAMIF</t>
  </si>
  <si>
    <t>EW 052</t>
  </si>
  <si>
    <t>EW 053</t>
  </si>
  <si>
    <t>Contract Award to Al Fanar</t>
  </si>
  <si>
    <t>MEP Labour and Material Supply (Al Fanar)</t>
  </si>
  <si>
    <t>Reflective Metal Cladding (AR Metal) - Contract under process</t>
  </si>
  <si>
    <t>PS Budget Hold</t>
  </si>
  <si>
    <t>MS Budget Hold</t>
  </si>
  <si>
    <t>MAS-Amphi</t>
  </si>
  <si>
    <t>DVO 01 &amp; 02 Adjustment</t>
  </si>
  <si>
    <t>2.z</t>
  </si>
  <si>
    <t>2.aa</t>
  </si>
  <si>
    <t>2.ab</t>
  </si>
  <si>
    <t>2.ac</t>
  </si>
  <si>
    <t>2.ad</t>
  </si>
  <si>
    <t>2.ae</t>
  </si>
  <si>
    <t>2.af</t>
  </si>
  <si>
    <t>2.ag</t>
  </si>
  <si>
    <t>AMA01003-WTRAN-024654</t>
  </si>
  <si>
    <t>Adjustment to GBCI account (per final invoice)</t>
  </si>
  <si>
    <t>Adjustment to GBCI account per the final invoice paid.</t>
  </si>
  <si>
    <t>DVO issue to SAB, awaiting signature and stamping.</t>
  </si>
  <si>
    <t>SAB noted that some locations of the proposed drainage are not applicable. Issued to Jaya/MEP Team to clarify.</t>
  </si>
  <si>
    <t xml:space="preserve">Assesment issued to SAB.
</t>
  </si>
  <si>
    <t>DVO issued to SAB and in dispute. Higher Management to advise.</t>
  </si>
  <si>
    <t>Reminder sent to SAB on cost proposal.</t>
  </si>
  <si>
    <t>Dismantling and Reinstatement of Cold Rooms (Chiller 1, Chiller 2, and Chiller 3) including coordination</t>
  </si>
  <si>
    <t>EW 054</t>
  </si>
  <si>
    <t>Dismantling and Reinstatement of Cold Rooms (Chiller 1, Chiller 2, and Chiller 3) including coordination - Backcharge</t>
  </si>
  <si>
    <t>EW 055</t>
  </si>
  <si>
    <t>AMA01003-WTRAN-025027</t>
  </si>
  <si>
    <t>AMA01003-WTRAN-025026</t>
  </si>
  <si>
    <t>PVO 008</t>
  </si>
  <si>
    <t>2.ah</t>
  </si>
  <si>
    <t>2.aj</t>
  </si>
  <si>
    <t>DCC01003-RIA-000009</t>
  </si>
  <si>
    <t>DCC01003-GENCORR-000452</t>
  </si>
  <si>
    <t>TB01003-003C09-AMA-LTR-0099</t>
  </si>
  <si>
    <t>ATA01003-GENCORR-000006</t>
  </si>
  <si>
    <t>1TB01003-003C27-AMA-LTR-0017</t>
  </si>
  <si>
    <t>TB01003-003C27-AMA-LTR-0016</t>
  </si>
  <si>
    <t>RQN01003-RIA-000005</t>
  </si>
  <si>
    <t>ADL01003-GENCORR-000011</t>
  </si>
  <si>
    <t>May to Sep 24</t>
  </si>
  <si>
    <t>1TB01003-003F06-AMA-LTR-0004</t>
  </si>
  <si>
    <t>RQN01003-GENCORR-000023</t>
  </si>
  <si>
    <t>1TB01003-003C08-AMA-LTR-0026</t>
  </si>
  <si>
    <t>ESC01003-GENCORR-000013</t>
  </si>
  <si>
    <t>1TB01003-003F03-AMA-LTR-0024</t>
  </si>
  <si>
    <t>IPA No. 020</t>
  </si>
  <si>
    <t>1TB04400-400000-AMA-LTR-0057</t>
  </si>
  <si>
    <t>1TB04400-005C13-NSC-LTR-0408</t>
  </si>
  <si>
    <t>KAA01003-RIA-000006</t>
  </si>
  <si>
    <t>KAA01003-RIA-000007</t>
  </si>
  <si>
    <t>IPA No. 24</t>
  </si>
  <si>
    <t>Jun &amp; Jul-24</t>
  </si>
  <si>
    <t>IPA - 48 (INV-D-53)</t>
  </si>
  <si>
    <t>AMA01003-PAYAP-000399</t>
  </si>
  <si>
    <t>AMA01003-PC-000077</t>
  </si>
  <si>
    <t xml:space="preserve">MAS </t>
  </si>
  <si>
    <t>Wet Works</t>
  </si>
  <si>
    <t>003C31</t>
  </si>
  <si>
    <t>003C32</t>
  </si>
  <si>
    <t>Amphitheatre Works</t>
  </si>
  <si>
    <t>MAS (PO 2240427)</t>
  </si>
  <si>
    <t>MAS (PO 2240461)</t>
  </si>
  <si>
    <t>MEC01003-TRANSMIT-000001</t>
  </si>
  <si>
    <t>1TB01003-003C31-AMA-LTR-0005</t>
  </si>
  <si>
    <t>VAT
AMOUNT FOR THE MONTH</t>
  </si>
  <si>
    <t xml:space="preserve">o = n * 15% </t>
  </si>
  <si>
    <t>MEC01003-TRANSMIT-000002</t>
  </si>
  <si>
    <t>1TB01003-003C32-AMA-LTR-0006</t>
  </si>
  <si>
    <t>g = f * 25%</t>
  </si>
  <si>
    <t>Actual 
Dec-24</t>
  </si>
  <si>
    <t>Forecast 
Mar-25</t>
  </si>
  <si>
    <t>Aluminium Technology Auxiliary Industries (ALUTEC)</t>
  </si>
  <si>
    <t>QNBKSA/2024/00037</t>
  </si>
  <si>
    <t>QNBKSA/2024/00040</t>
  </si>
  <si>
    <t>P124100703003258</t>
  </si>
  <si>
    <t>P120100202000731/02</t>
  </si>
  <si>
    <t>P124100704003255</t>
  </si>
  <si>
    <t>P120100503000499/02</t>
  </si>
  <si>
    <t>PL-PSC04009133494/14</t>
  </si>
  <si>
    <t>AREEN Design LTD</t>
  </si>
  <si>
    <t>DVO 09</t>
  </si>
  <si>
    <t>CN.003C34 - Al Fanar - MEP Labour Supply</t>
  </si>
  <si>
    <t>DVO 015</t>
  </si>
  <si>
    <t>JANUARY</t>
  </si>
  <si>
    <t>PVO 001</t>
  </si>
  <si>
    <t>AMA01003-WTRAN-025580</t>
  </si>
  <si>
    <t>AMA01003-WTRAN-025347</t>
  </si>
  <si>
    <t>AMA01003-WTRAN-025346</t>
  </si>
  <si>
    <t>AMA01003-WTRAN-025698</t>
  </si>
  <si>
    <t>VO 22</t>
  </si>
  <si>
    <t>Early Warnings:</t>
  </si>
  <si>
    <t>EW 056</t>
  </si>
  <si>
    <t>Aluminum Flashing for Alutec</t>
  </si>
  <si>
    <t>EW 057</t>
  </si>
  <si>
    <t>MEC01003-RIA-000001</t>
  </si>
  <si>
    <t>MEC01003-TRANSMIT-000009</t>
  </si>
  <si>
    <t>IPA-2</t>
  </si>
  <si>
    <t>1TB01003-003C31-AMA-LTR-0006</t>
  </si>
  <si>
    <t>MEC01003-TRANSMIT-000010</t>
  </si>
  <si>
    <t>1TB01003-003C32-AMA-LTR-0007</t>
  </si>
  <si>
    <t>ATA01003-GENCORR-000010</t>
  </si>
  <si>
    <t>1TB01003-003C27-AMA-LTR-0021</t>
  </si>
  <si>
    <t>DCC01003-RIA-000010</t>
  </si>
  <si>
    <t>1TB01003-003C03-AMA-LTR-0242</t>
  </si>
  <si>
    <t xml:space="preserve"> Elevator Systems Contracting Company (ESCCO) </t>
  </si>
  <si>
    <t>SAR 2,675,473.00</t>
  </si>
  <si>
    <t>44CHB2 0393/23-01</t>
  </si>
  <si>
    <t>41CHB2 0392/23-01</t>
  </si>
  <si>
    <t>A-SALM-1-C-08-017</t>
  </si>
  <si>
    <t>Contractor's All Risk</t>
  </si>
  <si>
    <t>-</t>
  </si>
  <si>
    <t>By Amaala</t>
  </si>
  <si>
    <t>Contractor's Plant and Machinery</t>
  </si>
  <si>
    <t>P-W01-24-40120-194852</t>
  </si>
  <si>
    <t>Motor Vehicle (if applicable)</t>
  </si>
  <si>
    <t>Marine Cargo Insurance</t>
  </si>
  <si>
    <t>P-W01-24-101-149908</t>
  </si>
  <si>
    <t>Performance Guarantee</t>
  </si>
  <si>
    <t>23OGTE49102417</t>
  </si>
  <si>
    <t>Adv. Payment Guarantee</t>
  </si>
  <si>
    <t>23OGTE49102391</t>
  </si>
  <si>
    <t>DEPA Saudi Arabia for Contracting and Interior Decoration Co. Ltd</t>
  </si>
  <si>
    <t>AYC Construction</t>
  </si>
  <si>
    <t>SAR 75,969,227.00</t>
  </si>
  <si>
    <t>P0124-API-TEIB-00063186</t>
  </si>
  <si>
    <t>SAR 3,750,000</t>
  </si>
  <si>
    <t>SAR 37,480,000</t>
  </si>
  <si>
    <t xml:space="preserve"> Yes </t>
  </si>
  <si>
    <t>P0124-CGL-TEIB-00052416</t>
  </si>
  <si>
    <t>SAR 20,407,400</t>
  </si>
  <si>
    <t>P0124-CEL-TCRO-00063722
Q0124-CEL-TCRO-019751/V1</t>
  </si>
  <si>
    <t xml:space="preserve"> N/a </t>
  </si>
  <si>
    <t>P0124-CPM-TCRO-00063230
P0124-CPM-TCRO-00063230/E1</t>
  </si>
  <si>
    <t>SAR 89,494</t>
  </si>
  <si>
    <t>A-GIGR-1-C-13-002</t>
  </si>
  <si>
    <t>SAR 10,000,000</t>
  </si>
  <si>
    <t>Marine Cargo Insurance (if applicable)</t>
  </si>
  <si>
    <t>P0124-MCD-TEIB-00007022
P0124-MCD-TEIB-00007022/E1</t>
  </si>
  <si>
    <t>SAR 305,594,100</t>
  </si>
  <si>
    <t>CML International Saudi LLC</t>
  </si>
  <si>
    <t>Third Party Public Liability Insurance</t>
  </si>
  <si>
    <t xml:space="preserve">P-C01-24-50010-011312 </t>
  </si>
  <si>
    <t>Workmen's Compensation / Employers Liability Insurance</t>
  </si>
  <si>
    <t>P-C01-24-60710-011127</t>
  </si>
  <si>
    <t>Professional Indemnity Insurance</t>
  </si>
  <si>
    <t>Euro Consult for Engineering Consultancy</t>
  </si>
  <si>
    <t>P/CRO1/2024/PIAE/0000016</t>
  </si>
  <si>
    <t>P/CR01/2024/PL/0000087</t>
  </si>
  <si>
    <t>Motor Vehicle Insurance</t>
  </si>
  <si>
    <t>P/1110/l/MT/MCC/25/20/R01</t>
  </si>
  <si>
    <t>MAS ENGINEERING &amp; CONSTRUCTION COMPANY LTD</t>
  </si>
  <si>
    <t>Comprehensive Plant and Equipment Insurance</t>
  </si>
  <si>
    <t>1/1/1/36/8/23/264</t>
  </si>
  <si>
    <t>Workmen’s Compensation &amp; Employer’s Liability Insurance and/or GOSI</t>
  </si>
  <si>
    <t>1/1/1/35/1/23/686</t>
  </si>
  <si>
    <t>Motor Vehicle Liability Insurance</t>
  </si>
  <si>
    <t>ALFANAR COMPANY</t>
  </si>
  <si>
    <t>1/EP/30174/0/6</t>
  </si>
  <si>
    <t>Workmen’s Compensation &amp; Employer’s Liability Insurance</t>
  </si>
  <si>
    <t>1/VF/40268/0/0</t>
  </si>
  <si>
    <t>Cl. 19.4</t>
  </si>
  <si>
    <t>1TB01003-003C34-AMA-LTR-0009</t>
  </si>
  <si>
    <t>Alfanar VAT No : 300050206400003</t>
  </si>
  <si>
    <t>Sep to Oct 2024</t>
  </si>
  <si>
    <t>Cl. 24.5 (Schedule 3)</t>
  </si>
  <si>
    <t>Cl.19.7
(Payment Schedule)</t>
  </si>
  <si>
    <t>1TB01003-003F08-AMA-LTR-0005</t>
  </si>
  <si>
    <t>CIL01003-GENCORR-000027</t>
  </si>
  <si>
    <t>CIL01003-GENCORR-000058</t>
  </si>
  <si>
    <t>1TB01003-003F08-AMA-LTR-0006</t>
  </si>
  <si>
    <t>003C34</t>
  </si>
  <si>
    <t>Provision of Manpower Services</t>
  </si>
  <si>
    <t>Included in VO</t>
  </si>
  <si>
    <t>Independent Commissioning Agent</t>
  </si>
  <si>
    <t>003F08</t>
  </si>
  <si>
    <t>Check:</t>
  </si>
  <si>
    <t>Extension of Khatib &amp; Alami Call-Off Order (Allowance)</t>
  </si>
  <si>
    <t>SIC - 006</t>
  </si>
  <si>
    <t>SIC Contract (Works not Done)</t>
  </si>
  <si>
    <t>SOI TB Ground Improvement Works (PS)</t>
  </si>
  <si>
    <t>SIC Contract (PS - Not done)</t>
  </si>
  <si>
    <t>EW 058</t>
  </si>
  <si>
    <t>EW 059</t>
  </si>
  <si>
    <t>DEPA EOT 01 Prolongation Cost (Estimated)</t>
  </si>
  <si>
    <t>EW 060</t>
  </si>
  <si>
    <t>ABU DHABI PRECAST - GRC Cladding</t>
  </si>
  <si>
    <t>Abu Dhabi Precast</t>
  </si>
  <si>
    <t>Abu Dhabi Precast - GRC Cladding Contract Award</t>
  </si>
  <si>
    <t>EW 061</t>
  </si>
  <si>
    <t>EW 062</t>
  </si>
  <si>
    <t>EW 063</t>
  </si>
  <si>
    <t>Cost to Complete (SAB Amount) - Including Contingencies</t>
  </si>
  <si>
    <t>DEPA to submit the actual cost upon agreement of the time imact for EOT 001.</t>
  </si>
  <si>
    <t>Contract Award to ARMETAL</t>
  </si>
  <si>
    <t>Al Rahji Takaful - Owner Controlled Insurance Program</t>
  </si>
  <si>
    <t>Al Rahji Takaful</t>
  </si>
  <si>
    <t>Owner Controlled Insurance Program</t>
  </si>
  <si>
    <t>MAS Labour</t>
  </si>
  <si>
    <t>MAS Amphitheatre</t>
  </si>
  <si>
    <t>Al Fanar Labour</t>
  </si>
  <si>
    <t>EuroConsult</t>
  </si>
  <si>
    <t>Actual 
Jan-25</t>
  </si>
  <si>
    <t>GRC Cladding omitted from SAB awarded to Abu Dhabi Precast.</t>
  </si>
  <si>
    <t>DVO 021</t>
  </si>
  <si>
    <t>Development Budget</t>
  </si>
  <si>
    <t>Commitments</t>
  </si>
  <si>
    <t>Contract Awards</t>
  </si>
  <si>
    <t>DVO's</t>
  </si>
  <si>
    <t>Potential Out-Turn Costs</t>
  </si>
  <si>
    <t>PVO's</t>
  </si>
  <si>
    <t>Balance to Procure</t>
  </si>
  <si>
    <t>CTC - Site</t>
  </si>
  <si>
    <t>CTC - Procurement</t>
  </si>
  <si>
    <t>Uncommitted Packages</t>
  </si>
  <si>
    <t>Anticipated Final Account</t>
  </si>
  <si>
    <t>Variance to Budget</t>
  </si>
  <si>
    <t>Last Month Anticipated Final Account</t>
  </si>
  <si>
    <t xml:space="preserve">Variance to Last Month </t>
  </si>
  <si>
    <t>Reasons for Variance - from last month</t>
  </si>
  <si>
    <t>Sub-category</t>
  </si>
  <si>
    <t>Name</t>
  </si>
  <si>
    <t>Previous Approved Budget</t>
  </si>
  <si>
    <t>Currently Approved Budget</t>
  </si>
  <si>
    <t>Committed</t>
  </si>
  <si>
    <t xml:space="preserve">PVO's </t>
  </si>
  <si>
    <t xml:space="preserve">Sub-Total </t>
  </si>
  <si>
    <t>Program 1 - AMAALA Yacht Club</t>
  </si>
  <si>
    <t>Program 1 - AYC</t>
  </si>
  <si>
    <t>Program 1-AYC</t>
  </si>
  <si>
    <t>Management supervision</t>
  </si>
  <si>
    <t>Sub-Total Professional Fees</t>
  </si>
  <si>
    <t>Management Services</t>
  </si>
  <si>
    <t>Nothing to Report</t>
  </si>
  <si>
    <t>Early Works Constructions</t>
  </si>
  <si>
    <t>Construction Works</t>
  </si>
  <si>
    <t xml:space="preserve">Early Works Construction </t>
  </si>
  <si>
    <t>Civil and Mechanical Works  - (SAB) 2230023</t>
  </si>
  <si>
    <t>Loose FF&amp;E Items (FOH &amp; BOH) - Areen Design Ltd</t>
  </si>
  <si>
    <t>OS&amp;E Items  - Areen Design Ltd</t>
  </si>
  <si>
    <t>Sub-Total Management Services</t>
  </si>
  <si>
    <t>Sub-Total Commercial Management</t>
  </si>
  <si>
    <t>Sub-Total Early Works</t>
  </si>
  <si>
    <t>Sub-Total Construction Works</t>
  </si>
  <si>
    <t>Sub-Total FF&amp;E</t>
  </si>
  <si>
    <t>Total 
AMAALA Yacht Club</t>
  </si>
  <si>
    <t>1/WC/30611/0/0</t>
  </si>
  <si>
    <t>AMA01003-WTRAN-026512</t>
  </si>
  <si>
    <t>AMA01003-WTRAN-026900</t>
  </si>
  <si>
    <t>AMA01003-WTRAN-026899</t>
  </si>
  <si>
    <t>AMA01003-WTRAN-026898</t>
  </si>
  <si>
    <t>AMA01003-WTRAN-027536</t>
  </si>
  <si>
    <t>1TB01003-003C34-AMA-LTR-0015</t>
  </si>
  <si>
    <t>AMA01003-WTRAN-027568</t>
  </si>
  <si>
    <t>AMA01003-WTRAN-027820</t>
  </si>
  <si>
    <t>AMA01003-WTRAN-027785</t>
  </si>
  <si>
    <t>Determination</t>
  </si>
  <si>
    <t xml:space="preserve">Determination
</t>
  </si>
  <si>
    <t>AMA01003-WTRAN-027805</t>
  </si>
  <si>
    <t>AMA01003-WTRAN-027783</t>
  </si>
  <si>
    <t>AMA01003-WTRAN-027782</t>
  </si>
  <si>
    <t>AMA01003-WTRAN-026099</t>
  </si>
  <si>
    <t>1TB01003-003C09-AMA-LTR-0103</t>
  </si>
  <si>
    <t>1TB01003-003F02-AMA-LTR-0030</t>
  </si>
  <si>
    <t>1TB01003-003C09-AMA-LTR-0111</t>
  </si>
  <si>
    <t xml:space="preserve">	1TB01003-003F03-AMA-LTR-0025</t>
  </si>
  <si>
    <t>AMA01003-WTRAN-026104</t>
  </si>
  <si>
    <t>1TB01003-003C03-AMA-LTR-0256</t>
  </si>
  <si>
    <t>EW 064</t>
  </si>
  <si>
    <t>Back-of-House Finishes (EI 006)_DEPA</t>
  </si>
  <si>
    <t>Back-of-House Finishes (EI 006)_SAB</t>
  </si>
  <si>
    <t>EW 065</t>
  </si>
  <si>
    <t>AMA01003-WTRAN-027856</t>
  </si>
  <si>
    <t>1TB01003-003C09-AMA-LTR-0112</t>
  </si>
  <si>
    <t>Additional Manpower and Supervision Supply</t>
  </si>
  <si>
    <t>AMA01003-WTRAN-028102</t>
  </si>
  <si>
    <t>AMA01003-WTRAN-028101</t>
  </si>
  <si>
    <t>Monthly Report No 29 - Feb'25</t>
  </si>
  <si>
    <t>ECC-Mgt Fees (Accom &amp; Transpo)</t>
  </si>
  <si>
    <t>Euro Consult (COO 27)</t>
  </si>
  <si>
    <t>Contract Award to Euro Consulta (Accom &amp; Transpo)</t>
  </si>
  <si>
    <t>INTER PROGRAM TRANSFER</t>
  </si>
  <si>
    <t>IDC98998.98 (20-Jan-2025)</t>
  </si>
  <si>
    <t>MS.003F09 - Euro Consult (COO 27)</t>
  </si>
  <si>
    <t>CIL01003-GENCORR-000072</t>
  </si>
  <si>
    <t>1TB01003-003F08-AMA-LTR-0007</t>
  </si>
  <si>
    <t>IPA-01</t>
  </si>
  <si>
    <t>IPA-3</t>
  </si>
  <si>
    <t>MEC01003-TRANSMIT-000013</t>
  </si>
  <si>
    <t>1TB01003-003C31-AMA-LTR-0010</t>
  </si>
  <si>
    <t>ATA01003-RIA-000003</t>
  </si>
  <si>
    <t>ATA01003-RIA-000002</t>
  </si>
  <si>
    <t>DCC01003-GENCORR-000540</t>
  </si>
  <si>
    <t>1TB01003-003C09-AMA-LTR-0106</t>
  </si>
  <si>
    <t>DCC01003-RIA-000011</t>
  </si>
  <si>
    <t>RQN01003-RIA-000006</t>
  </si>
  <si>
    <t>SAB01003-RIA-000017</t>
  </si>
  <si>
    <t>1TB01003-003C03-AMA-LTR-0261</t>
  </si>
  <si>
    <t>SAB01003-GENCORR-000437</t>
  </si>
  <si>
    <t>Actual 
Feb-25</t>
  </si>
  <si>
    <t>Forecast 
May-25</t>
  </si>
  <si>
    <t>HASSAN ALLAM - External Scaffoldings</t>
  </si>
  <si>
    <t>HAS - External Scaffolding Works</t>
  </si>
  <si>
    <t>HAS</t>
  </si>
  <si>
    <t>EW 066</t>
  </si>
  <si>
    <t>HAS -  External Scaffolding Works (Contract Award)</t>
  </si>
  <si>
    <t>Reflective stainless steel omitted from SAB awarded to ARMETAL.</t>
  </si>
  <si>
    <t>External Scaffolding awarded to Hassan Allam</t>
  </si>
  <si>
    <t>Remider of renewal issued to ESCCO.</t>
  </si>
  <si>
    <t>Approval of the renewed policy under process.</t>
  </si>
  <si>
    <t>Consolidated into one change event under Item 58</t>
  </si>
  <si>
    <t>Changes to Members Lobby and Guest Lobby Staircase Ballustrades</t>
  </si>
  <si>
    <t>Monthly Report No 30 - March'25</t>
  </si>
  <si>
    <t>AMA-RBTR-000006</t>
  </si>
  <si>
    <t>DEWAN Variation DVO 001</t>
  </si>
  <si>
    <t>Appointment of Art Consultant for Design Services</t>
  </si>
  <si>
    <t>Langan International UK, Ltd. for Geotechnical Consultancy Services - Peer Review.</t>
  </si>
  <si>
    <t>AMA01003-RBTR-000019</t>
  </si>
  <si>
    <t>Contract Award to Saudi Baytur</t>
  </si>
  <si>
    <t>AMA01003-RBTR-000038</t>
  </si>
  <si>
    <t>MS to PS Hold to fund the Contract Award to Langan</t>
  </si>
  <si>
    <t>Contract Award of KHATIB &amp; ALAMI (KAA) for Supervision Consultancy Services</t>
  </si>
  <si>
    <t>Contract Award to Zuhair Fayez (ZFP)</t>
  </si>
  <si>
    <t>DEWAN DVO 005</t>
  </si>
  <si>
    <t>DEWAN DVO 006</t>
  </si>
  <si>
    <t>Contract Award to Medtel</t>
  </si>
  <si>
    <t>Municipality Fees (Ministry of Municipalities and Rural Affairs - Tabuk) to obtain Building Permit</t>
  </si>
  <si>
    <t>AMA01003-WTRAN-000996</t>
  </si>
  <si>
    <t>Contract Award to Jensen Hughes</t>
  </si>
  <si>
    <t>Contract Award to ESCCO</t>
  </si>
  <si>
    <t>Contract Award to Raqtan</t>
  </si>
  <si>
    <t>NSCC DVO 009 Changes in Piling Works Redesign</t>
  </si>
  <si>
    <t>AMA99999-WTRAN-003032</t>
  </si>
  <si>
    <t>Additional Budget</t>
  </si>
  <si>
    <t>Additional Budget (Budget Transfer Request for AMD Phase 1 Rev 3)</t>
  </si>
  <si>
    <t xml:space="preserve">Payment of LEED Design Review fees under invoice #91671322 </t>
  </si>
  <si>
    <t>Variation</t>
  </si>
  <si>
    <t xml:space="preserve"> DVO 004 (Changes in External and Internal Temporary Watertight Shoring System) from the SAB account to CN Budget Hold.</t>
  </si>
  <si>
    <t>AMA01003-RBTR-000095</t>
  </si>
  <si>
    <t>DEWAN DVO 007 -  Staff Canteen Redesign</t>
  </si>
  <si>
    <t>NSCC DVO 007 - Changes in Ready-Mix Concrete Supply Rates to Piling Works in AMAALA Yacht Club Project.</t>
  </si>
  <si>
    <t>SAB DVO 001 - Additional Mass Concrete Works</t>
  </si>
  <si>
    <t>AMA01003-RBTR-000136</t>
  </si>
  <si>
    <t>Variation / Final Account</t>
  </si>
  <si>
    <t xml:space="preserve">HKS - Final Settlement </t>
  </si>
  <si>
    <t>GBC - BTR for future GBCI invoices (Construction Review)</t>
  </si>
  <si>
    <t>AMA01003-RBTR-000098</t>
  </si>
  <si>
    <t>SAB DVO 003 - Omission of Dewatering from SAB Contract</t>
  </si>
  <si>
    <t>WSP COO 002 (Sustainability Accreditation LEED Consultancy Services)</t>
  </si>
  <si>
    <t>Marina Village Wide - MS Budget Hold</t>
  </si>
  <si>
    <t>AMA01003-RBTR-000082</t>
  </si>
  <si>
    <t>DEWAN DVO 008 (Fire &amp; Life Safety (FLS) Code Deviation - Additional FLS Documentation)</t>
  </si>
  <si>
    <t>SAB DVO 002 (Changes from IFT to IFC Documents)</t>
  </si>
  <si>
    <t>AMA01003-RBTR-000080</t>
  </si>
  <si>
    <t>AMA01003-RBTR-000086</t>
  </si>
  <si>
    <t>Contract Award to Depa Saudi Arabia for Contracting and Interior Decoration Co. Ltd.</t>
  </si>
  <si>
    <t>AMA01003-RBTR-000090</t>
  </si>
  <si>
    <t xml:space="preserve">DEWAN PVO 004 (Design Fee - Relocation of Marina Operations Office to AMAALA Yacht Club) </t>
  </si>
  <si>
    <t>SAB DVO 006 (Omission of Service Vehicles from SAB Contract)</t>
  </si>
  <si>
    <t>AMA01003-RBTR-000105</t>
  </si>
  <si>
    <t>SAB DVO 005 (Omission of Sto Facade Mock-up scope from SAB)</t>
  </si>
  <si>
    <t>AMA01003-RBTR-000106</t>
  </si>
  <si>
    <t>AMA01003-RBTR-000141</t>
  </si>
  <si>
    <t>Saudi Arabian Baytur (SAB) for AYC Site Offices Extension (PVO 004).</t>
  </si>
  <si>
    <t>AMA01003-RBTR-000134</t>
  </si>
  <si>
    <t>DEPA PVO – 01 amounting to Negative SAR 486,713.10 to DEPA Saudi Arabia for “Changes in the AYC Back-of-House (BOH) Finishes – Basement Level ''</t>
  </si>
  <si>
    <t>AMA01003-RBTR-000114</t>
  </si>
  <si>
    <t>SAB Changes in the Basement Level Back-of-House (BOH) Finishes to Amaala Yacht Club Project (PVO 009)</t>
  </si>
  <si>
    <t>AMA01003-RBTR-000135</t>
  </si>
  <si>
    <t>DEPA PVO – 02 amounting to Negative SAR 212,913.40 to DEPA Saudi Arabia for “Descope of Back of House Finishes - Ground Level</t>
  </si>
  <si>
    <t>AMA01003-RBTR-000113</t>
  </si>
  <si>
    <t>SAB Changes in the Ground Floor Level Back-of-House (BOH) Finishes to Amaala Yacht Club Project (PVO 010)</t>
  </si>
  <si>
    <t>AMA01003-RBTR-000123</t>
  </si>
  <si>
    <t>K&amp;A DVO 001 (Removal of K&amp;A's Sustainability LEED AP Resource)</t>
  </si>
  <si>
    <t>AMA01003-RBTR-000138</t>
  </si>
  <si>
    <t xml:space="preserve">SAB PVO 012 (Omission of Joinery LED Lights from SAB from SAB Contract) </t>
  </si>
  <si>
    <t>AMA01003-RBTR-000144</t>
  </si>
  <si>
    <t>AMA01003-RBTR-000148</t>
  </si>
  <si>
    <t xml:space="preserve">MEDTEL Final Account Statement </t>
  </si>
  <si>
    <t>AMA01003-RBTR-000154</t>
  </si>
  <si>
    <t>SAB PVO 004 (DVO 07) AYC Site Office - Adjustment P3</t>
  </si>
  <si>
    <t>SAB PVO 004 (DVO 07) AYC Site Office - Adjustment P2</t>
  </si>
  <si>
    <t>AMA01003-RBTR-000160</t>
  </si>
  <si>
    <t>AMA01003-RBTR-000180</t>
  </si>
  <si>
    <t>SAB Cancellation PVO 10 "Changes to BOH Finishes to Ground Floor – SAB Adjustments" to Amaala Yacht Club Project (PVO 010)</t>
  </si>
  <si>
    <t>AMA01003-RBTR-000177</t>
  </si>
  <si>
    <t>SAB Cancellation PVO 09 "Changes in the AYC Back-of-House (BOH) Finishes -Basement Level" to Amaala Yacht Club Project (PVO 009)</t>
  </si>
  <si>
    <t>DEPA PVO – 05 amounting to SAR 131,832.80to DEPA Saudi Arabia for “Changes in Skirting and Ceiling Finishes at Member's Lobby''</t>
  </si>
  <si>
    <t>AMA01003-RBTR-000159</t>
  </si>
  <si>
    <t>AMA01003-RBTR-000178</t>
  </si>
  <si>
    <t>Areen - Provisional Sum of Areen Design Ltd Contract (003F06) for FFE &amp; OSE Procurement Agent Service</t>
  </si>
  <si>
    <t>AMA01003-RBTR-000179</t>
  </si>
  <si>
    <t>Areen Contract Award of Areen Design Ltd (003F06) - FFE &amp; OSE Procurement Agent Services for AYC.</t>
  </si>
  <si>
    <t>This Budget Transfer is raised for approval to transfer budget for the provisional Sum of Areen Design Ltd Contract (003F06) for FFE &amp; OSE Procurement Agent Services.</t>
  </si>
  <si>
    <t>AMA01003-RBTR-000186</t>
  </si>
  <si>
    <t>Areen Provisional Sums</t>
  </si>
  <si>
    <t>DEPA cancellation of the approved PVO - 01 (Changes in the AYC Back-of-House (BOH) Finishes – Basement Level) PVO 02 (Descope of Back of House Finishes - Ground Level)</t>
  </si>
  <si>
    <t>AMA01003-RBTR-000176</t>
  </si>
  <si>
    <t>AMA01003-RBTR-000200</t>
  </si>
  <si>
    <t>This Budget Transfer is raised for approval RFA for Seed Funds for FFE &amp; OSE Procurement Agent Services.</t>
  </si>
  <si>
    <t>AMA01003-RBTR-000201</t>
  </si>
  <si>
    <t>AMA01003-RBTR-000206</t>
  </si>
  <si>
    <t>This Budget Transfer Request is raised for approval to transfer a budget for the approved PVO 013 (Riva Curved Banquet Support Wall &amp; Porte Cochere Wall Panel Access) from the SAB account to CN Budget Hold.</t>
  </si>
  <si>
    <t>AMA01003-RBTR-000207</t>
  </si>
  <si>
    <t>This Budget Transfer is raised for approval to transfer the budget for the approved PVO – 06 amounting to SAR 1,021,958 DEPA Saudi Arabia for “BOH Doors &amp; Fire Curtains at Basement Level''</t>
  </si>
  <si>
    <t>AMA01003-RBTR-000240</t>
  </si>
  <si>
    <t>This BTR is raised based on the approved Final Account Statement - Langan</t>
  </si>
  <si>
    <t>AMA01003-RBTR-000234</t>
  </si>
  <si>
    <t>DEWAN - This Budget Transfer Request is raised for approval to transfer a budget for the approved PVO 009</t>
  </si>
  <si>
    <t>AMA01003-RBTR-000235</t>
  </si>
  <si>
    <t>DEWAN PVO 07 - Members Lobby Staircase Balustrade &amp; Finish Revisions</t>
  </si>
  <si>
    <t>DEWAN PVO 06 - Guest Lobby Staircase Geometry &amp; Finish Revisions</t>
  </si>
  <si>
    <t>AMA01003-RBTR-000236</t>
  </si>
  <si>
    <t>AMA01003-RBTR-000233</t>
  </si>
  <si>
    <t>AMA01003-RBTR-000232</t>
  </si>
  <si>
    <t>PVO 09 - Staff Canteen and Marina Operation Office (From CN)</t>
  </si>
  <si>
    <t>New Contract Award (F07) - ECC - Statutory Compliance Contract</t>
  </si>
  <si>
    <t>AMA01003-RBTR-000242</t>
  </si>
  <si>
    <t>AMA01003-RBTR-000241</t>
  </si>
  <si>
    <t>AMA01003-RBTR-000257</t>
  </si>
  <si>
    <t>AMA01003-RBTR-000254</t>
  </si>
  <si>
    <t>SAB PVO 11 -Site Office Levelling and Fencing</t>
  </si>
  <si>
    <t>DEWAN PVO 012 - Grand Stair Balustrade Redesign (Design Works)</t>
  </si>
  <si>
    <t>DEPA PVO 004 (DEPA) Riva Curved Banquet Support Wall &amp; Porte Cochere Wall Panel Access</t>
  </si>
  <si>
    <t>AMA01003-RBTR-000255</t>
  </si>
  <si>
    <t>SAB PVO 018 - Changes in Floor Finish Type CSF-1</t>
  </si>
  <si>
    <t>AMA01003-RBTR-000256</t>
  </si>
  <si>
    <t>SAB PVO 017 - Facade Glazing and Glazing Doors Omission from SAB Scope</t>
  </si>
  <si>
    <t>AMA01003-RBTR-000277</t>
  </si>
  <si>
    <t>Contract Award to CML (Provisional Sum)</t>
  </si>
  <si>
    <t>Contract Award to CML (Main Contract)</t>
  </si>
  <si>
    <t>AMA01003-RBTR-000281</t>
  </si>
  <si>
    <t>AMA01003-RBTR-000270</t>
  </si>
  <si>
    <t>DEPA PVO 02 - Descope of Back of House Finishes - Ground Level</t>
  </si>
  <si>
    <t>DEPA PVO 07 - Accommodation Outside TB-Construction Village (Senior and Executive Staff)</t>
  </si>
  <si>
    <t>AMA01003-RBTR-000269</t>
  </si>
  <si>
    <t>SAB PVO 012 - Omission of Joinery LED Lights (Adjustment)</t>
  </si>
  <si>
    <t>AMA01003-RBTR-000267</t>
  </si>
  <si>
    <t>DEPA PVO 001 R1 &amp; PVO 002 R1 - Adjustment</t>
  </si>
  <si>
    <t>AMA01003-RBTR-000278</t>
  </si>
  <si>
    <t>AMA99999-WTRAN-003079</t>
  </si>
  <si>
    <t>CN-Budget Hold to fund future GBCI - LEED invoices for Design and Construction Review</t>
  </si>
  <si>
    <t>GBCI invoices (Construction Review) - Adjustment</t>
  </si>
  <si>
    <t>AMA01003-RBTR-000285</t>
  </si>
  <si>
    <t>DEWAN PVO 013 - Addition of Accessories to Existing Artwork Proposal</t>
  </si>
  <si>
    <t>AMA01003-RBTR-000293</t>
  </si>
  <si>
    <t>AMA01003-RBTR-000292</t>
  </si>
  <si>
    <t>NSCC Final Account Settlement with NSCC (TB Piling Works)</t>
  </si>
  <si>
    <t>AMA01003-RBTR-000303</t>
  </si>
  <si>
    <t>SAB DVO 12 (PVO 13) - Adjustment</t>
  </si>
  <si>
    <t>AMA01003-RBTR-000302</t>
  </si>
  <si>
    <t>SAB PVO-021 - Additional Storm Water Drainage Works to GF and Basement</t>
  </si>
  <si>
    <t>AMA01003-RBTR-000310</t>
  </si>
  <si>
    <t xml:space="preserve">SAB PVO-015 - Omission of Back-of-House (BOH) Finishes in L01 to L04 from SAB Contract </t>
  </si>
  <si>
    <t>AMA01003-RBTR-000311</t>
  </si>
  <si>
    <t>AMA01003-RBTR-000330</t>
  </si>
  <si>
    <t>SAB PVO 22 (Addl Primary Side CHW Valve Arrangement) &amp; PVO 23 (Provision of new IBS Infra Reqt for Indoor GSM)</t>
  </si>
  <si>
    <t>AMA01003-RBTR-000329</t>
  </si>
  <si>
    <t>DEWAN PVO 04, 05, 06 &amp; 07 (Adjustments)</t>
  </si>
  <si>
    <t>AMA01003-RBTR-000328</t>
  </si>
  <si>
    <t>DEPA PVO 05 P2 &amp; PVO 06 P2 (Adjustment)</t>
  </si>
  <si>
    <t>AMA01003-RBTR-000327</t>
  </si>
  <si>
    <t>Contract Award to MAS Manpower</t>
  </si>
  <si>
    <t>AMA01003-RBTR-000333</t>
  </si>
  <si>
    <t>DEWAN DVO 11 (PVO 012 - Grand Stair Balustrade Redesign (Design Works) - Adjustment</t>
  </si>
  <si>
    <t>AMA01003-RBTR-000339</t>
  </si>
  <si>
    <t>SAB PVO 026 - Supply of Labour and Supervision by Al Fanar for MEP Works in AMAALA Yacht Club on behalf of Saudi Arabian Baytur (SAB)</t>
  </si>
  <si>
    <t>AMA01003-RBTR-000341</t>
  </si>
  <si>
    <t>GBCI Final invoices (Construction Review) - Adjustment</t>
  </si>
  <si>
    <t>DEWAN  PVO 07 (P3 ) and RFC 008 (Adjustment)</t>
  </si>
  <si>
    <t>AMA01003-RBTR-000346</t>
  </si>
  <si>
    <t>DEPA DVO 01 (PVO 01) &amp; DVO 02 (PVO 02) - Adjustment</t>
  </si>
  <si>
    <t>AMA01003-RBTR-000349</t>
  </si>
  <si>
    <t>AMA01003-RBTR-000356</t>
  </si>
  <si>
    <t>DEWAN DVO 13 / PVO 09 - Staff Canteen and Marina Operation Office (DEWAN) - Adjustment</t>
  </si>
  <si>
    <t>AMA01003-RBTR-000357</t>
  </si>
  <si>
    <t>DEPA DVO 03 / PVO 003 - Changes in Back-of-House (BOH) Finishes Areas in AYC (L01 to L04)</t>
  </si>
  <si>
    <t>ESCCO PVO 001 - Disassembly and Reassembly of Electronic Items from VT Fixtures</t>
  </si>
  <si>
    <t>AMA01003-RBTR-000377</t>
  </si>
  <si>
    <t>AMA01003-RBTR-000368</t>
  </si>
  <si>
    <t>AMA01003-RBTR-000370</t>
  </si>
  <si>
    <t>DEPA PVO 008 - ID Finishes on Vertical Transport Fixture Elements</t>
  </si>
  <si>
    <t>AMA01003-RBTR-000369</t>
  </si>
  <si>
    <t>SAB PVO 027 - Omission of Reflective Metal Cladding from Saudi Arabian Baytur (SAB) Contract</t>
  </si>
  <si>
    <t>AMA01003-RBTR-000378</t>
  </si>
  <si>
    <t>Amaala Owner Controlled Insurance Program (Al Rajhi Takaful)</t>
  </si>
  <si>
    <t>Budget Transfer Request (BTR) of SAR 26,781,117 from overall Contingency Control Account 1.DC.98998.98.98 to AMAALA Yacht Club, split between (a) Construction (CN) Control Account 1.TB01.003.01.CN &amp; FF&amp;E &amp; OSE Control Account 1.TB01</t>
  </si>
  <si>
    <t>AMA99999-WTRAN-004123</t>
  </si>
  <si>
    <t>Contract Award (C33) Yacht Club – Reflective Ceiling Works Package (ARMETAL)</t>
  </si>
  <si>
    <t>AMA01003-RBTR-000382</t>
  </si>
  <si>
    <t>AMA01003-RBTR-000393</t>
  </si>
  <si>
    <t xml:space="preserve">Euro Consult For Engineering Consultancy - Accommodation and Transportation </t>
  </si>
  <si>
    <t>AMA01003-RBTR-000429</t>
  </si>
  <si>
    <t>AL Fanar PVO 001 - Al Fanar's Construction Manpower Services Extension</t>
  </si>
  <si>
    <t>DEPA PVO 009 (Installation of MDF Ceiling) &amp; PVO 010 (AYC Column Cladding)</t>
  </si>
  <si>
    <t>AMA01003-RBTR-000396</t>
  </si>
  <si>
    <t>SAB DVO 018 / PVO-015 - Omission of Back-of-House (BOH) Finishes in L01 to L04 from SAB Contract</t>
  </si>
  <si>
    <t>AMA01003-RBTR-000390</t>
  </si>
  <si>
    <t>AMA01003-RBTR-000412</t>
  </si>
  <si>
    <t xml:space="preserve">Contract Award (003C35) - Abu Dhabi Precast LLC </t>
  </si>
  <si>
    <t>MAS PVO 001 - Amphitheatre Works (MAS)</t>
  </si>
  <si>
    <t>AMA01003-RBTR-000403</t>
  </si>
  <si>
    <t>AMA01003-RBTR-000410</t>
  </si>
  <si>
    <t>DEPA DVO 04 (PVO 04) &amp; DVO 07 (PVO 07) - Adjustment</t>
  </si>
  <si>
    <t>AMA01003-RBTR-000411</t>
  </si>
  <si>
    <t>MAS PVO 001 - Additional Manpower and Supervision Supply</t>
  </si>
  <si>
    <t>SAB DVO 13 / PVO 17 PVO 017 - Facade Glazing and Glazing Doors Omission from SAB Scope - Adjustment</t>
  </si>
  <si>
    <t>AMA01003-RBTR-000427</t>
  </si>
  <si>
    <t>Budget Transfer to support financing SAB</t>
  </si>
  <si>
    <t>1TB01003.01.IAT.I-BTR-0009</t>
  </si>
  <si>
    <t>Marina Village Wide - CN Budget Hold</t>
  </si>
  <si>
    <t>AMA01003-RBTR-000428</t>
  </si>
  <si>
    <t>to Provisional Sum</t>
  </si>
  <si>
    <t>Euro Consult For Engineering Consultancy - Accommodation and Transportation</t>
  </si>
  <si>
    <t>AMA01003-RBTR-000426</t>
  </si>
  <si>
    <t>BTR for Cancellation of SAB PVO 21, 22 &amp; 23</t>
  </si>
  <si>
    <t>Areen - FF&amp;E OS&amp;E Items</t>
  </si>
  <si>
    <t>DEPA Interior Fitout</t>
  </si>
  <si>
    <t>DEWAN Earlier VOs included in the ACC Baseline Budget (Not in ACC BTRs - to balance the remaing PS Budget Hold)</t>
  </si>
  <si>
    <t>AVV 001 -Additional Design and Technical Consultancy - Water Feature/ Smoke Extract/ Signage.</t>
  </si>
  <si>
    <t>AVV 002 -Additional Design and Technical Services - Conversion of the Cpncept Rhino Model into Revit.</t>
  </si>
  <si>
    <t>AVV 003 -Revised BIM Guidelines.</t>
  </si>
  <si>
    <t>DVO 004 Revised Sustainability Guidelines and Change Cooling System</t>
  </si>
  <si>
    <t>DVO 003 DEWAN Appointment of KSA Civil Defense Registered Consultant.</t>
  </si>
  <si>
    <t>DVO 002 Front of House FF&amp;E Consultant - Intercon</t>
  </si>
  <si>
    <t>Variation/to PS Hold</t>
  </si>
  <si>
    <t>CN.003C35</t>
  </si>
  <si>
    <t>AMA01003-WTRAN-029047</t>
  </si>
  <si>
    <t>Committed PVOs</t>
  </si>
  <si>
    <t>D.1</t>
  </si>
  <si>
    <t>D.2</t>
  </si>
  <si>
    <t>COMMITTED PVO (CPVO)</t>
  </si>
  <si>
    <t>Balancing</t>
  </si>
  <si>
    <t>Balancing for CN Budget Hold</t>
  </si>
  <si>
    <t>EW 067</t>
  </si>
  <si>
    <t>Approved Contract Changes
(DVOs+PVOs)</t>
  </si>
  <si>
    <t>ACY01003-RIA-000001</t>
  </si>
  <si>
    <t>MEC01003-RIA-000002</t>
  </si>
  <si>
    <t>MEC01003-RIA-000003</t>
  </si>
  <si>
    <t>ATA01003-RIA-000004</t>
  </si>
  <si>
    <t>Actual 
Mar-25</t>
  </si>
  <si>
    <t>Forecast 
Jun-25</t>
  </si>
  <si>
    <t>REMARKS</t>
  </si>
  <si>
    <t>1TB01003-003F08-AMA-LTR-0008</t>
  </si>
  <si>
    <t>CIL01003-GENCORR-000078</t>
  </si>
  <si>
    <t>1TB01003-003C34-AMA-LTR-0019</t>
  </si>
  <si>
    <t>IPA-02</t>
  </si>
  <si>
    <t>24 Nov 24 to 24 Feb 25</t>
  </si>
  <si>
    <t>ACY01003-GENCORR-000009</t>
  </si>
  <si>
    <t>ATA01003-GENCORR-000016</t>
  </si>
  <si>
    <t>ATA01003-GENCORR-000019</t>
  </si>
  <si>
    <t>1TB01003-003C27-AMA-LTR-0034</t>
  </si>
  <si>
    <t>1TB01003-003F06-AMA-LTR-0005</t>
  </si>
  <si>
    <t>ADL01003-GENCORR-000024</t>
  </si>
  <si>
    <t>Seed Fund 2</t>
  </si>
  <si>
    <t>Seed Fund1</t>
  </si>
  <si>
    <t>AMA01003-GENCORR-001016</t>
  </si>
  <si>
    <t>Oct to Dec 24</t>
  </si>
  <si>
    <t>1TB01003-003C09-AMA-LTR-0116</t>
  </si>
  <si>
    <t>DCC01003-GENCORR-000605</t>
  </si>
  <si>
    <t>DCC01003-GENCORR-000609</t>
  </si>
  <si>
    <t>1TB01003-003C09-AMA-LTR-0118</t>
  </si>
  <si>
    <t>1TB01003-003F03-AMA-LTR-0032</t>
  </si>
  <si>
    <t>ESC01003-GENCORR-000016</t>
  </si>
  <si>
    <t>1TB01003-003F02-AMA-LTR-0031</t>
  </si>
  <si>
    <t>KAA01003-GENCORR-000415</t>
  </si>
  <si>
    <t>Executive Summary</t>
  </si>
  <si>
    <t xml:space="preserve">Less: Remaining - Budget Hold </t>
  </si>
  <si>
    <t xml:space="preserve">GRAND TOTAL </t>
  </si>
  <si>
    <t>COST REPORT EXECUTIVE SUMMARY - LEVEL 1</t>
  </si>
  <si>
    <t>COST REPORT EXECUTIVE SUMMARY - LEVEL 2</t>
  </si>
  <si>
    <t>Contract awarded to Armetal.</t>
  </si>
  <si>
    <t>Contract award to Abu Dhabi Precast.</t>
  </si>
  <si>
    <t>Contract Award to HAS</t>
  </si>
  <si>
    <t>AMA01003-RBTR-000565</t>
  </si>
  <si>
    <t>New Contract Award (D24) - Hassan Allam Construction Saudi Limited - Scaffolding Services</t>
  </si>
  <si>
    <t>Employer’s Instruction No.01 -  Supply of additional Kitchen Shelf Opening Hatch (Servery Hatches)</t>
  </si>
  <si>
    <t>1TB01003-003C31-AMA-LTR-0012</t>
  </si>
  <si>
    <t>VO 001</t>
  </si>
  <si>
    <t>Employers Instruction No. 07 – Supply and Installation of Millworks to Show Kitchens</t>
  </si>
  <si>
    <t>EW 068</t>
  </si>
  <si>
    <t>Employers Instruction No. 08 – Installation of Ceilings to Cold Rooms</t>
  </si>
  <si>
    <t>EW 069</t>
  </si>
  <si>
    <t>Employers Instruction No. 09 – Honeycomb Limestone System and External Doors</t>
  </si>
  <si>
    <t>EW 070</t>
  </si>
  <si>
    <t>Employer's Instruction No. 10 - Changes In the Balustrade Materials at the Member's Lobby and Guest Foyer</t>
  </si>
  <si>
    <t>EW 071</t>
  </si>
  <si>
    <t>EW 072</t>
  </si>
  <si>
    <t>Employer’s Instruction for Variation – Panic Alarm System for ADA toilets</t>
  </si>
  <si>
    <t>GRC Repair Works</t>
  </si>
  <si>
    <t>EW 073</t>
  </si>
  <si>
    <t>EW 074</t>
  </si>
  <si>
    <t>EW 075</t>
  </si>
  <si>
    <t>Omission of Interior Designer Selected Light Fittings (included in the FF&amp;E)</t>
  </si>
  <si>
    <t>EW 076</t>
  </si>
  <si>
    <t>Omission of Swimming Pool Lights (supplied by Al Fanar)</t>
  </si>
  <si>
    <t>EW 077</t>
  </si>
  <si>
    <t>AMA01003-RBTR-000477</t>
  </si>
  <si>
    <t>BTR for New Contract - M Mohammad Alharbi Medical Company- Direct Payment on Bhalf of Saudi Arabian Baytur</t>
  </si>
  <si>
    <t>BTR for New Contract - Al Anan Travels and Tours - Direct Payment on Bhalf of Saudi Arabian Baytur</t>
  </si>
  <si>
    <t>AMA01003-RBTR-000485</t>
  </si>
  <si>
    <t>BTR for New Contract - Al drees Petroleum- Direct Payment on Bhalf of Saudi Arabian Baytur</t>
  </si>
  <si>
    <t>AMA01003-RBTR-000484</t>
  </si>
  <si>
    <t>BTR for New Contract - Salim Hamed Cleaning- Direct Payment on Bhalf of Saudi Arabian Baytur</t>
  </si>
  <si>
    <t>AMA01003-RBTR-000476</t>
  </si>
  <si>
    <t>AMA01003-RBTR-000483</t>
  </si>
  <si>
    <t>BTR for New Contract - Clean Coast for Contracting- Direct Payment on Bhalf of Saudi Arabian Baytur</t>
  </si>
  <si>
    <t>AMA01003-RBTR-000490</t>
  </si>
  <si>
    <t>BTR for New Contract - Sami General Contracting Est- Direct Payment on Bhalf of Saudi Arabian Baytur</t>
  </si>
  <si>
    <t>AMA01003-RBTR-000482</t>
  </si>
  <si>
    <t>BTR for New Contract - Eastern Horizons Foundation Transportation Comp- Direct Payment on Bhalf of Saudi Arabian Baytur</t>
  </si>
  <si>
    <t>AMA01003-RBTR-000480</t>
  </si>
  <si>
    <t>BTR for New Contract - Jak Generation Cont Co LLC- Direct Payment on Bhalf of Saudi Arabian Baytur</t>
  </si>
  <si>
    <t>AMA01003-RBTR-000481</t>
  </si>
  <si>
    <t>BTR for New Contract - Intelligent General Cont Co Equipment - Industrial Forklift &amp; 5ton- Direct Payment on Bhalf of Saudi Arabian Baytur</t>
  </si>
  <si>
    <t>AMA01003-RBTR-000486</t>
  </si>
  <si>
    <t>New Contract - Al Rai Modern Water Factory - Direct Payment on Bhalf of Saudi Arabian Baytur</t>
  </si>
  <si>
    <t>AMA01003-RBTR-000478</t>
  </si>
  <si>
    <t>BTR for New Contract - Madar Building material Co- Direct Payment on Bhalf of Saudi Arabian Baytur</t>
  </si>
  <si>
    <t>AMA01003-RBTR-000479</t>
  </si>
  <si>
    <t>BTR for New Contract - Juffali Technical Equipment Company- Direct Payment on Bhalf of Saudi Arabian Baytur</t>
  </si>
  <si>
    <t>AMA01003-RBTR-000488</t>
  </si>
  <si>
    <t>BTR for New Contract - Factory of USG Middle East Ltd. Co - Direct Payment on Bhalf of Saudi Arabian Baytur</t>
  </si>
  <si>
    <t>AMA01003-RBTR-000487</t>
  </si>
  <si>
    <t>BTR for New Contract - Abu Dhabi Precast - Direct Payment on Bhalf of Saudi Arabian Baytur</t>
  </si>
  <si>
    <t>AMA01003-RBTR-000489</t>
  </si>
  <si>
    <t>BTR for New Contract - Saad Al Essa - Metal Industry- Direct Payment on Bhalf of Saudi Arabian Baytur</t>
  </si>
  <si>
    <t>AMA01003-RBTR-000566</t>
  </si>
  <si>
    <t>BTR for DVO 001 / PVO 001 - Amphitheatre Works (MAS)</t>
  </si>
  <si>
    <t>AMA01003-RBTR-000549</t>
  </si>
  <si>
    <t>BTR for New Contract Award (003C72) - SAUDI MANPOWER SOLUTIONS CO - Direct Payment on Behalf of Saudi Arabian Baytur</t>
  </si>
  <si>
    <t>AMA01003-RBTR-000551</t>
  </si>
  <si>
    <t>BTR for New Contract Award (003C59) - Fosam Company LTD - Direct Payment on Behalf of Saudi Arabian Baytur</t>
  </si>
  <si>
    <t>AMA01003-RBTR-000552</t>
  </si>
  <si>
    <t>BTR for New Contract Award (003C56) - Glow Arabia Trading - Direct Payment on Behalf of Saudi Arabian Baytur</t>
  </si>
  <si>
    <t>AMA01003-RBTR-000553</t>
  </si>
  <si>
    <t>BTR for New Contract Award (003C54) - NEXTWARE INTERNATIONAL SUPPLY - Direct Payment on Behalf of Saudi Arabian Baytur</t>
  </si>
  <si>
    <t>AMA01003-RBTR-000554</t>
  </si>
  <si>
    <t>BTR for New Contract Award (003C51) - BROOQ ALAMAAN TRAD COMPANY - Direct Payment on Behalf of Saudi Arabian Baytur</t>
  </si>
  <si>
    <t>AMA01003-RBTR-000555</t>
  </si>
  <si>
    <t>BTR for New Contract Award (003C50) - Abeer Munawer Al Shamari - Direct Payment on Behalf of Saudi Arabian Baytur</t>
  </si>
  <si>
    <t>AMA01003-RBTR-000556</t>
  </si>
  <si>
    <t>BTR for New Contract Award (003C49) - Yaz Development Contracting - Direct Payment on Behalf of Saudi Arabian Baytur</t>
  </si>
  <si>
    <t>AMA01003-RBTR-000557</t>
  </si>
  <si>
    <t xml:space="preserve"> BTR for New Contract Award (003C48) -National Fire Fighting Manufactureing Company - Naffco - Direct Payment on Behalf of Saudi Arabian Baytur</t>
  </si>
  <si>
    <t>AMA01003-RBTR-000558</t>
  </si>
  <si>
    <t>BTR for New Contract Award (003C47) -GESR Alarab - Direct Payment on Behalf of Saudi Arabian Baytur - Direct Payment on Behalf of Saudi Arabian Baytur</t>
  </si>
  <si>
    <t>AMA01003-RBTR-000559</t>
  </si>
  <si>
    <t>BTR for New Contract Award (003C46) -Jameel Mohamed Hussain Alqatafa Cont Est - Direct Payment on Behalf of Saudi Arabian Baytur</t>
  </si>
  <si>
    <t>AMA01003-RBTR-000560</t>
  </si>
  <si>
    <t>AMA01003-RBTR-000561</t>
  </si>
  <si>
    <t xml:space="preserve"> BTR for New Contract Award (003C44) - Medtel WN - Direct Payment on Behalf of Saudi Arabian Baytur</t>
  </si>
  <si>
    <t>AMA01003-RBTR-000562</t>
  </si>
  <si>
    <t>BTR for New Contract Award (003C41) - Raddad Al adinah - Direct Payment on Behalf of Saudi Arabian Baytur</t>
  </si>
  <si>
    <t>AMA01003-RBTR-000563</t>
  </si>
  <si>
    <t>BTR for New Contract Award (003C40) - Noreom - Direct Payment on Behalf of Saudi Arabian Baytur</t>
  </si>
  <si>
    <t>AMA01003-RBTR-000564</t>
  </si>
  <si>
    <t>BTR for new Contract award - 003C39 - Isam Kabani &amp; Partners - Direct Payment on Behalf of Saudi Arabian Baytur</t>
  </si>
  <si>
    <t>AMA01003-RBTR-000548</t>
  </si>
  <si>
    <t>BTR for New Contract Award (003C116) - ARABIAN TESTING EVOLUTION COMPANY Direct Payment on Behalf of Saudi Arabian Baytur</t>
  </si>
  <si>
    <t>BTR for New Contract Award (003C115) - Ahmed Bin Salem Bin Dagher Al-Balawi EST - (Water + Diesel supply ) - Direct Payment on Behalf of Saudi Arabian Baytur</t>
  </si>
  <si>
    <t>AMA01003-RBTR-000550</t>
  </si>
  <si>
    <t>Prelims - Mohammad Alharbi Medical Company</t>
  </si>
  <si>
    <t>Prelims - Clean Coast for Contracting</t>
  </si>
  <si>
    <t>Prelims - Salim Hamed Cleaning</t>
  </si>
  <si>
    <t>Prelims - Al drees Petroleum</t>
  </si>
  <si>
    <t>Prelims - Al Anan Travels and Tours</t>
  </si>
  <si>
    <t>Prelims - Intelligent General Cont Co Equipment</t>
  </si>
  <si>
    <t>Prelims - Al Rai Modern Water Factory</t>
  </si>
  <si>
    <t>Direct Works - Madar Building material Co</t>
  </si>
  <si>
    <t>Direct Works -  USG Middle East Ltd. Co</t>
  </si>
  <si>
    <t>Direct Works - Abu Dhabi Precast</t>
  </si>
  <si>
    <t>Direct Works - SAMIF</t>
  </si>
  <si>
    <t>Direct Works - Naffco</t>
  </si>
  <si>
    <t>BTR for New Contract Award (003C45) - Virtual Projects DMCC - Direct Payment on Behalf of Saudi Arabian Baytur</t>
  </si>
  <si>
    <t xml:space="preserve">Prelims - Virtual Projects DMCC </t>
  </si>
  <si>
    <t>Direct Works - MEDTEL</t>
  </si>
  <si>
    <t xml:space="preserve">Direct Works - Noreom </t>
  </si>
  <si>
    <t>Direct Works - Isam Kabani &amp; Partners</t>
  </si>
  <si>
    <t>Prelims - Ahmed Bin Salem Bin Dagher</t>
  </si>
  <si>
    <t>Termination and Settlement Agreement - Abu Dhabi Precast Contract</t>
  </si>
  <si>
    <t>Prelims - Sami General Contracting</t>
  </si>
  <si>
    <t>Prelims - Eastern Horizons Foundation Transportation Comp</t>
  </si>
  <si>
    <t>Prelims - Jak Generation Cont Co LLC</t>
  </si>
  <si>
    <t>Direct Works - Juffali Technical Equipment Company</t>
  </si>
  <si>
    <t>Direct Works - SAUDI MANPOWER SOLUTIONS CO</t>
  </si>
  <si>
    <t>Direct Works - Fosam Company LTD</t>
  </si>
  <si>
    <t xml:space="preserve">Direct Works - Glow Arabia Trading </t>
  </si>
  <si>
    <t>Prelims - NEXTWARE INTERNATIONAL SUPPLY</t>
  </si>
  <si>
    <t>Direct Works - BROOQ ALAMAAN TRAD COMPANY</t>
  </si>
  <si>
    <t>Direct Works - Abeer Munawer Al Shamari</t>
  </si>
  <si>
    <t>Direct Works - Yaz Development Contracting</t>
  </si>
  <si>
    <t>Direct Works - GESR Alarab</t>
  </si>
  <si>
    <t>Direct Works - Jameel Mohamed Hussain Alqatafa Cont Est</t>
  </si>
  <si>
    <t>Prelims - Raddad Al adinah</t>
  </si>
  <si>
    <t>Direct Works - ARABIAN TESTING EVOLUTION COMPANY</t>
  </si>
  <si>
    <t>Direct Payment to SAB's Subcontractors and Suppliers</t>
  </si>
  <si>
    <t>Direct Payment - Prelims</t>
  </si>
  <si>
    <t>Direct Payment - Works</t>
  </si>
  <si>
    <t>Direct Payments</t>
  </si>
  <si>
    <t>Direct Payment to the SAB's Subcontractors and Suppliers</t>
  </si>
  <si>
    <t>Direct Payments for SAB's Subcontractors and Suppliers</t>
  </si>
  <si>
    <t>AMA01003-WTRAN-029814</t>
  </si>
  <si>
    <t>AMA01003-WTRAN-029815</t>
  </si>
  <si>
    <t>EW 078</t>
  </si>
  <si>
    <t>MASS - GRC Works</t>
  </si>
  <si>
    <t>AMA01003-WTRAN-028740</t>
  </si>
  <si>
    <t>PVO 011</t>
  </si>
  <si>
    <t>PVO 015</t>
  </si>
  <si>
    <t>PVO 013</t>
  </si>
  <si>
    <t>PVO 014</t>
  </si>
  <si>
    <t>Reminder of renewal issued.</t>
  </si>
  <si>
    <t>P/CR01/2024/WE/0000047/R01</t>
  </si>
  <si>
    <t>26 months from a date to be agreed Plus 10 Years Extended Reporting Period. (Reminder of renewal issued)</t>
  </si>
  <si>
    <t>AMA01003-RBTR-000570</t>
  </si>
  <si>
    <t xml:space="preserve"> BTR for New Contract Award (003C83) - Yaz Development Contracting - Direct Payment on Behalf of Saudi Arabian Baytur</t>
  </si>
  <si>
    <t>AMA01003-RBTR-000608</t>
  </si>
  <si>
    <t>BTR for New Contract Award (003C87) - Bahamdoon Trading Co - Direct Payment on Behalf of Saudi Arabian Baytur</t>
  </si>
  <si>
    <t>AMA01003-RBTR-000605</t>
  </si>
  <si>
    <t xml:space="preserve"> BTR for New Contract Award (003C86) - Wood Expert - Direct Payment on Behalf of Saudi Arabian Baytur</t>
  </si>
  <si>
    <t>AMA01003-RBTR-000606</t>
  </si>
  <si>
    <t>BTR for New Contract Award (003C85) - Lumi Rentals Co - Direct Payment on Behalf of Saudi Arabian Baytur</t>
  </si>
  <si>
    <t>AMA01003-RBTR-000607</t>
  </si>
  <si>
    <t>BTR for New Contract Award (003C84) - Energy &amp; Building Masters - Direct Payment on Behalf of Saudi Arabian Baytur</t>
  </si>
  <si>
    <t>AMA01003-BTR-000584</t>
  </si>
  <si>
    <t>BTR for New Contract Award (003C77) - Arab Co for Laboratories &amp; Soil (ACES) - Direct Payment on Behalf of Saudi Arabian Baytur</t>
  </si>
  <si>
    <t>AMA01003-RBTR-000610</t>
  </si>
  <si>
    <t>BTR for New Contract Award (003C75) - Filter Expert Trading - Direct Payment on Behalf of Saudi Arabian Baytur</t>
  </si>
  <si>
    <t>AMA01003-RBTR-000611</t>
  </si>
  <si>
    <t>BTR for New Contract Award (003C74) - Abu Nayyan Trading - Direct Payment on Behalf of Saudi Arabian Baytur</t>
  </si>
  <si>
    <t>BTR for New Contract Award (003C99) - The international company for building materials LTD Binex - Direct Payment on Behalf of Saudi Arabian Baytur</t>
  </si>
  <si>
    <t>AMA01003-RBTR-000691</t>
  </si>
  <si>
    <t>AMA01003-RBTR-000692</t>
  </si>
  <si>
    <t>BTR for New Contract Award (003C98) - Juffali Technical Equipment Company - Direct Payment on Behalf of Saudi Arabian Baytur</t>
  </si>
  <si>
    <t>AMA01003-RBTR-000679</t>
  </si>
  <si>
    <t xml:space="preserve"> BTR for New Contract Award (003C97) - Glow Arabia Trading - Direct Payment on Behalf of Saudi Arabian Baytur</t>
  </si>
  <si>
    <t>AMA01003-RBTR-000693</t>
  </si>
  <si>
    <t>BTR for New Contract Award (003C96) - FACTORY OF USG MIDDLE EAST LTD. CO - Direct Payment on Behalf of Saudi Arabian Baytur</t>
  </si>
  <si>
    <t>AMA01003-RBTR-000694</t>
  </si>
  <si>
    <t xml:space="preserve"> BTR for New Contract Award (003C95) - Yaz Development Contracting - Direct Payment on Behalf of Saudi Arabian Baytur</t>
  </si>
  <si>
    <t>AMA01003-RBTR-000695</t>
  </si>
  <si>
    <t>BTR for New Contract Award (003C94) - National Fire Fighting Manufacturing Company - NAFFCO - Direct Payment on Behalf of Saudi Arabian Baytur</t>
  </si>
  <si>
    <t>AMA01003-RBTR-000696</t>
  </si>
  <si>
    <t>BTR for New Contract Award (003C93) - GESR ALARAB - Direct Payment on Behalf of Saudi Arabian Baytur</t>
  </si>
  <si>
    <t>AMA01003-RBTR-000697</t>
  </si>
  <si>
    <t>BTR for New Contract Award (003C92) - Al Hayat Investment -Water features and pool works - Direct Payment on Behalf of Saudi Arabian Baytur</t>
  </si>
  <si>
    <t>AMA01003-RBTR-000698</t>
  </si>
  <si>
    <t>BTR for New Contract Award (003C91) - Medtel - Façade Rain screen - Direct Payment on Behalf of Saudi Arabian Baytur</t>
  </si>
  <si>
    <t>AMA01003-RBTR-000699</t>
  </si>
  <si>
    <t>BTR for New Contract Award (003C90) - SAAD Al ESSA Metal industry - Direct Payment on Behalf of Saudi Arabian Baytur</t>
  </si>
  <si>
    <t>AMA01003-RBTR-000700</t>
  </si>
  <si>
    <t>BTR for New Contract Award (003C89) - ISAM KABBANI AND PARTNERS FOR CONSTRUCTION - Direct Payment on Behalf of Saudi Arabian Baytur</t>
  </si>
  <si>
    <t>AMA01003-RBTR-000677</t>
  </si>
  <si>
    <t>BTR for New Contract Award (003C113) - Saint Gobain (Sodamco industrial) - Direct Payment on Behalf of Saudi Arabian Baytur</t>
  </si>
  <si>
    <t>AMA01003-RBTR-000678</t>
  </si>
  <si>
    <t>BTR for New Contract Award (003C112) - Ihsan Muhammed Thakir Idress Trading - Direct Payment on Behalf of Saudi Arabian Baytur</t>
  </si>
  <si>
    <t>AMA01003-RBTR-000680</t>
  </si>
  <si>
    <t>BTR for New Contract Award (003C111) - Ramzi Abbas Mohd. Sayed Est. - Direct Payment on Behalf of Saudi Arabian Baytur</t>
  </si>
  <si>
    <t>AMA01003-RBTR-000681</t>
  </si>
  <si>
    <t xml:space="preserve"> BTR for New Contract Award (003C110) - AAMTAC Compant LTD - Direct Payment on Behalf of Saudi Arabian Baytur</t>
  </si>
  <si>
    <t>AMA01003-RBTR-000682</t>
  </si>
  <si>
    <t>BTR for New Contract Award (003C108) - M Mohammad Alharbi Medical company (Al Bashri) - Direct Payment on Behalf of Saudi Arabian Baytur</t>
  </si>
  <si>
    <t>AMA01003-RBTR-000683</t>
  </si>
  <si>
    <t xml:space="preserve"> BTR for New Contract Award (003C107) - SAUDI MANPOWER SOLUTIONS CO - Direct Payment on Behalf of Saudi Arabian Baytur</t>
  </si>
  <si>
    <t>AMA01003-RBTR-000684</t>
  </si>
  <si>
    <t>BTR for New Contract Award (003C106) - Al Drees Petroleum - Fuel for Vehicles - Direct Payment on Behalf of Saudi Arabian Baytur</t>
  </si>
  <si>
    <t>AMA01003-RBTR-000685</t>
  </si>
  <si>
    <t>BTR for New Contract Award (003C105) - Clean Coast for Contracting - (Water + Diesel supply ) - Direct Payment on Behalf of Saudi Arabian Baytur</t>
  </si>
  <si>
    <t>AMA01003-RBTR-000687</t>
  </si>
  <si>
    <t>BTR for New Contract Award (003C104) - SAMI GENERAL CONTRACTING EST.- Sewage Removal - Direct Payment on Behalf of Saudi Arabian Baytur</t>
  </si>
  <si>
    <t>AMA01003-RBTR-000686</t>
  </si>
  <si>
    <t>BTR for New Contract Award (003C103) - JAK GENERATION GEN CONT CO LLC - Direct Payment on Behalf of Saudi Arabian Baytur</t>
  </si>
  <si>
    <t>AMA01003-RBTR-000688</t>
  </si>
  <si>
    <t>BTR for New Contract Award (003C102) - Intelligent General Cont. co. - Equipment - Industrial Forklift &amp;5ton - Direct Payment on Behalf of Saudi Arabian Baytur</t>
  </si>
  <si>
    <t>AMA01003-RBTR-000689</t>
  </si>
  <si>
    <t>BTR for New Contract Award (003C101) - AL RAYI WATER PLANT FACTORY - Direct Payment on Behalf of Saudi Arabian Baytur</t>
  </si>
  <si>
    <t>AMA01003-RBTR-000690</t>
  </si>
  <si>
    <t>BTR for New Contract Award (003C100) - Fosam Company LTD - Direct Payment on Behalf of Saudi Arabian Baytur</t>
  </si>
  <si>
    <t>Direct Works - Al Hayat</t>
  </si>
  <si>
    <t>Direct Works -Saint Gobain</t>
  </si>
  <si>
    <t>Prelims - Al Rayi Water</t>
  </si>
  <si>
    <t>CHECK:</t>
  </si>
  <si>
    <t>ZERO ALWAYS</t>
  </si>
  <si>
    <t>Direct Works - Wood Expert</t>
  </si>
  <si>
    <t>Prelims - Lumi Rentals</t>
  </si>
  <si>
    <t>Prelims - Bahamdoon Trading</t>
  </si>
  <si>
    <t>Direct Works - Energy &amp; Building Master</t>
  </si>
  <si>
    <t>Direct Works - ACES</t>
  </si>
  <si>
    <t>Prelims - Filter Expert Trading</t>
  </si>
  <si>
    <t>Prelims - Abu Nayyan</t>
  </si>
  <si>
    <t>Direct Works - International Company for Building Materials LTD</t>
  </si>
  <si>
    <t>Prelims - Ihsan Muhammed Thakir Idress Trading</t>
  </si>
  <si>
    <t>Prelims - Ramzi Abbas Mohd. Sayed Est.</t>
  </si>
  <si>
    <t>Direct Works- AAMTAC Company LTD</t>
  </si>
  <si>
    <t>Omission of Limestone from SAB</t>
  </si>
  <si>
    <t>AMA01003-WTRAN-030619</t>
  </si>
  <si>
    <t>AMA01003-WTRAN-030617</t>
  </si>
  <si>
    <t>BTR for New Contract Award (003C118) - (March) DOSAR Al Najd - Direct Payment on Behalf of Saudi Arabian Baytur</t>
  </si>
  <si>
    <t>KAA01003-RIA-000008</t>
  </si>
  <si>
    <t>AMA01003-RBTR-000707</t>
  </si>
  <si>
    <t>Direct Works - DOSAR Al Najd</t>
  </si>
  <si>
    <t>BTR for New Contract Award (003C109) - (March) GLSAN CONTRACTING COMPANY - Direct Payment on Behalf of Saudi Arabian Baytur</t>
  </si>
  <si>
    <t>Prelims - GLSAN Contracting Company</t>
  </si>
  <si>
    <t>AMA01003-RBTR-000708</t>
  </si>
  <si>
    <t>AMA01003-WTRAN-030818</t>
  </si>
  <si>
    <t>AMA01003-WTRAN-030819</t>
  </si>
  <si>
    <t>Employer's Instruction No. 017 - Grand Stair Handrail (Alcatop)</t>
  </si>
  <si>
    <t>IPA - 48 (INV-D-54)</t>
  </si>
  <si>
    <t>AMA01003-PAYAP-000512</t>
  </si>
  <si>
    <t>AMA01003-PC-000101</t>
  </si>
  <si>
    <t>IPA - 48 (INV-D-55)</t>
  </si>
  <si>
    <t>AMA01003-PAYAP-000568</t>
  </si>
  <si>
    <t>AMA01003-PC-000110</t>
  </si>
  <si>
    <t>IPA - 48 (INV-D-47R)</t>
  </si>
  <si>
    <t>AMA01003-PAYAP-000492</t>
  </si>
  <si>
    <t>AMA01003-PC-000092</t>
  </si>
  <si>
    <t>MEC01003-RIA-000005</t>
  </si>
  <si>
    <t>MEC01003-RIA-000004</t>
  </si>
  <si>
    <t>ACY01003-RIA-000002</t>
  </si>
  <si>
    <t>CIL01003-RIA-000001</t>
  </si>
  <si>
    <t>CIL01003-RIA-000002</t>
  </si>
  <si>
    <t>ADL01003-RIA-000007</t>
  </si>
  <si>
    <t>IPA-4</t>
  </si>
  <si>
    <t>MEC01003-RIA-000006</t>
  </si>
  <si>
    <t>1TB01003-003C31-AMA-LTR-0013</t>
  </si>
  <si>
    <t>MEC01003-TRANSMIT-000015</t>
  </si>
  <si>
    <t>This will be incorporated in the SIC Final Account. Awaiting confirmation from Prog 2 Commercial.</t>
  </si>
  <si>
    <t>Awaiting confirmation from Programme 2 Commercial.</t>
  </si>
  <si>
    <t>Time assessment issued. Awaiting DEPA's submission of prolongation cost.</t>
  </si>
  <si>
    <t>ZERO: CHECK</t>
  </si>
  <si>
    <t>MASS - GRC Repair Works</t>
  </si>
  <si>
    <t>Forecast 
Apr-25</t>
  </si>
  <si>
    <t>Actual 
Apr-25</t>
  </si>
  <si>
    <t>Forecast 
Jul-25</t>
  </si>
  <si>
    <t>Additional Costs related to Abu Dhabi Precast - GRC Cladding</t>
  </si>
  <si>
    <t>BTR for DVO 001 / PVO 001 - ESCCO DVO 001</t>
  </si>
  <si>
    <t>ZERO CHECK:</t>
  </si>
  <si>
    <t>GRC Cladding to Abu Dhabi Precast (Withdrawn)</t>
  </si>
  <si>
    <t>Agreed. No Cost Impact.</t>
  </si>
  <si>
    <t>Agreed DVO to be issued.</t>
  </si>
  <si>
    <t xml:space="preserve">Extention of time 001 under Clause 6.3 Conditions of Contract </t>
  </si>
  <si>
    <t>1TB01003F03</t>
  </si>
  <si>
    <t>Elevator Systems Contracting Company (ESCCO)</t>
  </si>
  <si>
    <t>ESCO1003-TRANSMIT-000121
1TB01003-003F03-ESC-LTR-0011</t>
  </si>
  <si>
    <t>ESC01003-GENCORR-000019 dated 03 Feb 25
ESC01003-GENCORR-000020</t>
  </si>
  <si>
    <t>AMA01003-GENCORR-000985</t>
  </si>
  <si>
    <t>Assessment Report issued to ESCCO.</t>
  </si>
  <si>
    <t>Awaiting DEPA agreement.</t>
  </si>
  <si>
    <t>AMA01003-WTRAN-031302</t>
  </si>
  <si>
    <t>BTR for PVO 001 - Aluminum Flashing</t>
  </si>
  <si>
    <t>BTR for PVO 011 - Installation of Ceilings to Storage Rooms</t>
  </si>
  <si>
    <t>AMA01003-WTRAN-031613</t>
  </si>
  <si>
    <t>1TB01003-003C09-AMA-LTR-0129</t>
  </si>
  <si>
    <t>1TB01003-003C09-AMA-LTR-0127</t>
  </si>
  <si>
    <t>AMA01003-WTRAN-031610</t>
  </si>
  <si>
    <t>1TB01003-003C27-AMA-LTR-0038</t>
  </si>
  <si>
    <t>BTR for PVO 013 - Supply and Installation of Honeycomb Limestones</t>
  </si>
  <si>
    <t>AMA01003-RBTR-000726</t>
  </si>
  <si>
    <t>BTR for New Contract Award (003C82) - GSR - (Jan/Feb) Direct Payment on Behalf of Saudi Arabian Baytur</t>
  </si>
  <si>
    <t>AMA01003-RBTR-000727</t>
  </si>
  <si>
    <t>AFA - (Jan/Feb) Direct Payment on Behalf of Saudi Arabian Baytur (1)</t>
  </si>
  <si>
    <t>AMA01003-RBTR-000728</t>
  </si>
  <si>
    <t>GLS - (Jan/Feb) Direct Payment on Behalf of Saudi Arabian Baytur</t>
  </si>
  <si>
    <t xml:space="preserve"> BTR for New Contract Award (003C67) - DGH - (Jan/Feb) Direct Payment on Behalf of Saudi Arabian Baytur</t>
  </si>
  <si>
    <t>AMA01003-RBTR-000729</t>
  </si>
  <si>
    <t>Clause 11.11 (Backcharging by Employer) - Supply of Electricians by Al Fanar for ESCCO’s Vertical Transportation Installations</t>
  </si>
  <si>
    <t>EW 079</t>
  </si>
  <si>
    <t>AMA01003-WTRAN-031937</t>
  </si>
  <si>
    <t>AMA01003-WTRAN-031936</t>
  </si>
  <si>
    <t>AMA01003-WTRAN-031938</t>
  </si>
  <si>
    <t xml:space="preserve">Descope FF12.04 Millwork &amp; Procure Globe via Depa </t>
  </si>
  <si>
    <t>AMA01003-RFC-000050</t>
  </si>
  <si>
    <t>PVO 016</t>
  </si>
  <si>
    <t>AMA01003-RBTR-000748</t>
  </si>
  <si>
    <t xml:space="preserve"> BTR for New Contract Award (003C150) - Al Rajhi Takaful - AMAALA - OCIP Premium Declaration 9 for 16 October 2024 - 15 January 2025</t>
  </si>
  <si>
    <t>BTR for New Contract Award - JEN - Third-Party Authority for Fire and Life Safety Review &amp; Certification Endorsement (Call off Order No: 030)</t>
  </si>
  <si>
    <t>AMA01003-RBTR-000741</t>
  </si>
  <si>
    <t>PS.003F10</t>
  </si>
  <si>
    <r>
      <t xml:space="preserve">Jensen Hughes Saudi Arabia Co </t>
    </r>
    <r>
      <rPr>
        <b/>
        <sz val="12"/>
        <color theme="1"/>
        <rFont val="Calibri"/>
        <family val="2"/>
        <scheme val="minor"/>
      </rPr>
      <t>2250184</t>
    </r>
  </si>
  <si>
    <t>AMA01003-WTRAN-032154</t>
  </si>
  <si>
    <t>AMA01003-WTRAN-032153</t>
  </si>
  <si>
    <t>AMA01003-WTRAN-032317</t>
  </si>
  <si>
    <t>1TB01003-003C09-AMA-LTR-0132</t>
  </si>
  <si>
    <t>DVO 018</t>
  </si>
  <si>
    <t>Extension of Areen Design Limited Services as FF&amp;E and OS&amp;E Procurement Agent for the AMAALA Yacht Club (AYC) Project.</t>
  </si>
  <si>
    <t>AMA01003-WTRAN-032522</t>
  </si>
  <si>
    <t>1TB01003-003C09-AMA-LTR-0133</t>
  </si>
  <si>
    <t xml:space="preserve"> BTR for PVO 012 - Supply and Installation of Additional Millwork to the Show Kitchens</t>
  </si>
  <si>
    <t>AMA01003-RBTR-000757</t>
  </si>
  <si>
    <t xml:space="preserve"> BTR for PVO 001 - Supply and Installation of Additional Kitchen Shelf Opening Hatches</t>
  </si>
  <si>
    <t>AMA01003-RBTR-000758</t>
  </si>
  <si>
    <t>AMA01003-RBTR-000760</t>
  </si>
  <si>
    <t>BTR for PVO 028 - Changes in materials of Grand Stair Handrail</t>
  </si>
  <si>
    <t>BTR for PVO 009 / DVO 009 - Installation of MEF Platform/Ceiling</t>
  </si>
  <si>
    <t>CIL01003-RIA-000003</t>
  </si>
  <si>
    <t>CIL01003-RIA-000004</t>
  </si>
  <si>
    <t>CIL01003-GENCORR-000082</t>
  </si>
  <si>
    <t>1TB01003-003F08-AMA-LTR-0009</t>
  </si>
  <si>
    <t>CIL01003-GENCORR-000087</t>
  </si>
  <si>
    <t>1TB01003-003F08-AMA-LTR-0010</t>
  </si>
  <si>
    <t>IPA-03</t>
  </si>
  <si>
    <t>ACY01003-GENCORR-000014</t>
  </si>
  <si>
    <t>25 Feb to 24 Mar 25</t>
  </si>
  <si>
    <t>1TB01003-003C34-AMA-LTR-0020</t>
  </si>
  <si>
    <t>ACY01003-GENCORR-000016</t>
  </si>
  <si>
    <t>IPA-04</t>
  </si>
  <si>
    <t>25 Mar to 24 Apr 25</t>
  </si>
  <si>
    <t>1TB01003-003C34-AMA-LTR-0022</t>
  </si>
  <si>
    <t>ACY01003-RIA-000003</t>
  </si>
  <si>
    <t>IPA-5</t>
  </si>
  <si>
    <t>1TB01003-003C31-AMA-LTR-0014</t>
  </si>
  <si>
    <t>IPA-6</t>
  </si>
  <si>
    <t>MEC01003-TRANSMIT-000020</t>
  </si>
  <si>
    <t>MEC01003-TRANSMIT-000018</t>
  </si>
  <si>
    <t>MEC01003-RIA-000007</t>
  </si>
  <si>
    <t>1TB01003-003C27-AMA-LTR-0036</t>
  </si>
  <si>
    <t>ATA01003-GENCORR-000021</t>
  </si>
  <si>
    <t>1TB01003-003C27-AMA-LTR-0041</t>
  </si>
  <si>
    <t>ATA01003-GENCORR-000026</t>
  </si>
  <si>
    <t>ADL01003-RIA-000005</t>
  </si>
  <si>
    <t>ADL01003-RIA-000006</t>
  </si>
  <si>
    <t>ADL01003-GENCORR-000026</t>
  </si>
  <si>
    <t>1TB01003-003F06-AMA-LTR-0007</t>
  </si>
  <si>
    <t>ADL01003-RIA-000008</t>
  </si>
  <si>
    <t>AMA01003-WTRAN-032742</t>
  </si>
  <si>
    <t>1TB01003-003C08-AMA-LTR-0033</t>
  </si>
  <si>
    <t>EW 080</t>
  </si>
  <si>
    <t>ESC01003-RIA-000003</t>
  </si>
  <si>
    <t>ESC01003-RIA-000004</t>
  </si>
  <si>
    <t>1TB01003-003F02-AMA-LTR-0032</t>
  </si>
  <si>
    <t>No 24 to Mar 25</t>
  </si>
  <si>
    <t>KAA01003-GENCORR-000461</t>
  </si>
  <si>
    <t>KAA01003-RIA-000009</t>
  </si>
  <si>
    <t>KAA01003-GENCORR-000470</t>
  </si>
  <si>
    <t>1TB01003-003F02-AMA-LTR-0033</t>
  </si>
  <si>
    <t>KAA01003-RIA-000010</t>
  </si>
  <si>
    <t>PS.003F10 - Langan-Prf Fees COO 30</t>
  </si>
  <si>
    <t>Check Payment Certified at Zero:</t>
  </si>
  <si>
    <t>Actual 
May-25</t>
  </si>
  <si>
    <t>May Direct Payment</t>
  </si>
  <si>
    <t>1TB01003-003F07-AMA-LTR-0005</t>
  </si>
  <si>
    <t>ECC01003-GENCORR-000001</t>
  </si>
  <si>
    <t>ECC01003-GENCORR-000003</t>
  </si>
  <si>
    <t>1TB01003-003F07-AMA-LTR-0006</t>
  </si>
  <si>
    <t>1TB01003-003F07-AMA-LTR-0007</t>
  </si>
  <si>
    <t>ECC01003-GENCORR-000006</t>
  </si>
  <si>
    <t>ECC01003-RIA-000001</t>
  </si>
  <si>
    <t>ECC01003-RIA-000002</t>
  </si>
  <si>
    <t>EURO CONSULT</t>
  </si>
  <si>
    <t>Statutory Compliance</t>
  </si>
  <si>
    <t>Forecast 
Aug-25</t>
  </si>
  <si>
    <t>Supply of MEP Materials by Al Fanar</t>
  </si>
  <si>
    <t>Triple Bay Portfolio</t>
  </si>
  <si>
    <t>Cost Report Executive Summary</t>
  </si>
  <si>
    <t>Programme 1 - Amaala Yacht Club</t>
  </si>
  <si>
    <t>AMA01003-WTRAN-033125</t>
  </si>
  <si>
    <t>Extension of Khatib &amp; Alami Construction Supervision Services, until 31 December 2025.</t>
  </si>
  <si>
    <t>EW 081</t>
  </si>
  <si>
    <t>AMA01003-WTRAN-033505</t>
  </si>
  <si>
    <t>Seed Fund 3</t>
  </si>
  <si>
    <t>ADL01003-GENCORR-000030</t>
  </si>
  <si>
    <t>AMA01003-WTRAN-032895</t>
  </si>
  <si>
    <t>CHECK</t>
  </si>
  <si>
    <t>1TB01003-003C09-AMA-LTR-0138</t>
  </si>
  <si>
    <t>1TB01003-003C03-AMA-LTR-0285</t>
  </si>
  <si>
    <t>Supply and Installation of Steel Support Framing for Roller Shutter Door</t>
  </si>
  <si>
    <t>Pre ei drafted and issued to delivery team</t>
  </si>
  <si>
    <t>DCC01003-RIA-000012</t>
  </si>
  <si>
    <t>DCC01003-RIA-000013</t>
  </si>
  <si>
    <t>IPA-13</t>
  </si>
  <si>
    <t>1TB01003-003C09-AMA-LTR-0125</t>
  </si>
  <si>
    <t>DCC01003-GENCORR-000699</t>
  </si>
  <si>
    <t>IPA-14</t>
  </si>
  <si>
    <t>1TB01003-003C09-AMA-LTR-0135</t>
  </si>
  <si>
    <t>DCC01003-GENCORR-000767</t>
  </si>
  <si>
    <t>CIL01003-RIA-000006</t>
  </si>
  <si>
    <t>CIL01003-RIA-000005</t>
  </si>
  <si>
    <t>ACY01003-RIA-000004</t>
  </si>
  <si>
    <t>IPA-05</t>
  </si>
  <si>
    <t>1TB01003-003C34-AMA-LTR-0024</t>
  </si>
  <si>
    <t>ACY01003-GENCORR-000017</t>
  </si>
  <si>
    <t>1TB01003-003C31-AMA-LTR-0015</t>
  </si>
  <si>
    <t>ATA01003-RIA-000005</t>
  </si>
  <si>
    <t xml:space="preserve"> ATA01003-RIA-000006</t>
  </si>
  <si>
    <t>ATA01003-RIA-000007</t>
  </si>
  <si>
    <t>ATA01003-RIA-000008</t>
  </si>
  <si>
    <t>ATA01003-GENCORR-000029</t>
  </si>
  <si>
    <t>1TB01003-003C27-AMA-LTR-0042</t>
  </si>
  <si>
    <t>Additional Labour for Al Fanar (July to Oct 2025)</t>
  </si>
  <si>
    <t>119a</t>
  </si>
  <si>
    <t>Potential savings against MAS labour supply agreement</t>
  </si>
  <si>
    <t>EW 082</t>
  </si>
  <si>
    <t>AMA01003-WTRAN-033844</t>
  </si>
  <si>
    <t>AMA01003-WTRAN-033281</t>
  </si>
  <si>
    <t>1TB01003-003C34-AMA-LTR-0023</t>
  </si>
  <si>
    <t>ECC01003-GENCORR-000005</t>
  </si>
  <si>
    <t>1TB01003-003F09-AMA-LTR-0001</t>
  </si>
  <si>
    <t>ECC01003-GENCORR-000009</t>
  </si>
  <si>
    <t>1TB01003-003F09-AMA-LTR-0002</t>
  </si>
  <si>
    <t>CIL01003-GENCORR-000102</t>
  </si>
  <si>
    <t>1TB01003-003F08-AMA-LTR-0011</t>
  </si>
  <si>
    <t>ATA01003-GENCORR-000031</t>
  </si>
  <si>
    <t>AMA01003-WTRAN-033846</t>
  </si>
  <si>
    <t>AMA01003-WTRAN-033845</t>
  </si>
  <si>
    <t>AMA01003-WTRAN-033876</t>
  </si>
  <si>
    <t>MEC01003-RIA-000009</t>
  </si>
  <si>
    <t>DCC01003-RIA-000014</t>
  </si>
  <si>
    <t>ACY01003-RIA-000005</t>
  </si>
  <si>
    <t>DCC01003-RIA-000015</t>
  </si>
  <si>
    <t>1TB01003-003F02-AMA-LTR-0034</t>
  </si>
  <si>
    <t>KAA01003-GENCORR-000484</t>
  </si>
  <si>
    <t>CIL01003-RIA-000007</t>
  </si>
  <si>
    <t>AMA01003-WTRAN-034305</t>
  </si>
  <si>
    <t>VO 25</t>
  </si>
  <si>
    <t>AMA01003-WTRAN-033937</t>
  </si>
  <si>
    <t>AMA01003-WTRAN-034325</t>
  </si>
  <si>
    <t>AMA01003-WTRAN-034324</t>
  </si>
  <si>
    <t>VO 24</t>
  </si>
  <si>
    <t>AMA01003-WTRAN-033936</t>
  </si>
  <si>
    <t>Metal Mesh Grating as per CML requirements in MEP shafts</t>
  </si>
  <si>
    <t>1TB01003-003C09-AMA-LTR-0142</t>
  </si>
  <si>
    <t>1TB01003-003C03-AMA-LTR-0292</t>
  </si>
  <si>
    <t>1TB01003-003C03-AMA-LTR-0291</t>
  </si>
  <si>
    <t>Extension of CML Independent Commissioning Agent Services - Construction Phase</t>
  </si>
  <si>
    <t>DVO:</t>
  </si>
  <si>
    <t>AMA01003-WTRAN-034664</t>
  </si>
  <si>
    <t>DVO issued</t>
  </si>
  <si>
    <t>Determination drafted 7/21/2025</t>
  </si>
  <si>
    <t>DVO 1ssued</t>
  </si>
  <si>
    <t>DVO issued 21/7/25</t>
  </si>
  <si>
    <t>AMA01003-RBTR-000779</t>
  </si>
  <si>
    <t>AMA01003-RBTR-000768</t>
  </si>
  <si>
    <t xml:space="preserve"> BTR for (April) Direct Payment on Behalf of Saudi Arabian Baytur</t>
  </si>
  <si>
    <t>AMA01003-RBTR-000780</t>
  </si>
  <si>
    <t>BTR for VAT Adjustment for New Contract Award (003C7)</t>
  </si>
  <si>
    <t>AMA01003-RBTR-000767</t>
  </si>
  <si>
    <t>BTR for (April) Direct Payment on Behalf of Saudi Arabian Baytur</t>
  </si>
  <si>
    <t>AMA01003-RBTR-000774</t>
  </si>
  <si>
    <t xml:space="preserve">Inter Program Budget Transfer from 1.RI.12.073.01.CN to 1.TB.01.003.01.CN </t>
  </si>
  <si>
    <t>AMA01003-RBTR-000799</t>
  </si>
  <si>
    <t>DEPA PVO 016</t>
  </si>
  <si>
    <t>DEPA PVO 015</t>
  </si>
  <si>
    <t xml:space="preserve">Al fanar -PVO 002 </t>
  </si>
  <si>
    <t>BTR for New Contract Award (003C152) - LFS - (Apr) Direct Payment on Behalf of Saudi Arabian Baytur</t>
  </si>
  <si>
    <t>AMA01003-RBTR-000791</t>
  </si>
  <si>
    <t>AMA01003-RBTR-000792</t>
  </si>
  <si>
    <t>PVO 029 (Mesh Grating and Platform)</t>
  </si>
  <si>
    <t>AMA01003-RBTR-000788</t>
  </si>
  <si>
    <t>PVO 027 / DVO 022 (Omission of Reflective Ceiling)_adjustment</t>
  </si>
  <si>
    <t>AMA01003-RBTR-000800</t>
  </si>
  <si>
    <t>PVO 010 / DVO 010 (Addl Wall and Column Partitions)_adjustment</t>
  </si>
  <si>
    <t>Prelims - Masa Equipment Est</t>
  </si>
  <si>
    <t>Prelims - Al Tala'a International Transportation Co</t>
  </si>
  <si>
    <t>Direct Works - Alcatop</t>
  </si>
  <si>
    <t>Direct Works - Saveto Saudi Vetonit Co Ltd</t>
  </si>
  <si>
    <t>Prelims - Saudi Brokers</t>
  </si>
  <si>
    <t>Direct Works - Top Construction Co Ltd</t>
  </si>
  <si>
    <t xml:space="preserve">Direct Works - TBK Metal </t>
  </si>
  <si>
    <t>Prelims - Aknan Al Bena</t>
  </si>
  <si>
    <t>BTR for (May) Direct Payment on Behalf of Saudi Arabian Baytur</t>
  </si>
  <si>
    <t>Direct Works - Lakeshore</t>
  </si>
  <si>
    <t>PVO 030 - Direct Payments (Jan, Feb and Mar 2025 invoices)</t>
  </si>
  <si>
    <t>Direct Payments to SAB's Subcontractors and Suppliers (Jan, Feb and Mar 2025).</t>
  </si>
  <si>
    <t>Direct Payments to SAB's Subcontractors and Suppliers (May 2025).</t>
  </si>
  <si>
    <t>EW 083</t>
  </si>
  <si>
    <t>EW 084</t>
  </si>
  <si>
    <t>EW 085</t>
  </si>
  <si>
    <t>EW 086</t>
  </si>
  <si>
    <t>PVO to prepare</t>
  </si>
  <si>
    <t>ECC01003-RIA-000003</t>
  </si>
  <si>
    <t>EURO CONSULT (Accommodation &amp; Transporation)</t>
  </si>
  <si>
    <t>003F07</t>
  </si>
  <si>
    <t>003F09</t>
  </si>
  <si>
    <t>ATA01003-RIA-000009</t>
  </si>
  <si>
    <t>ADL01003-RIA-000009</t>
  </si>
  <si>
    <t>1TB01003-003F06-AMA-LTR-0008</t>
  </si>
  <si>
    <t>IPA-15</t>
  </si>
  <si>
    <t>DCC01003-GENCORR-000870</t>
  </si>
  <si>
    <t>1TB01003-003C09-AMA-LTR-0140</t>
  </si>
  <si>
    <t>RQN01003-GENCORR-000034</t>
  </si>
  <si>
    <t>1TB01003-003C08-AMA-LTR-0034</t>
  </si>
  <si>
    <t>RQN01003-RIA-000007</t>
  </si>
  <si>
    <t>KAA01003-RIA-000011</t>
  </si>
  <si>
    <t>KAA01003-GENCORR-000498</t>
  </si>
  <si>
    <t>Actual 
Jun-25</t>
  </si>
  <si>
    <t>Forecast 
Sep-25</t>
  </si>
  <si>
    <t>EuroConsult (Accom and Transport)</t>
  </si>
  <si>
    <t>Hassan Allam</t>
  </si>
  <si>
    <t>ARMetal</t>
  </si>
  <si>
    <t>Scaffolding Services</t>
  </si>
  <si>
    <t>Armetal</t>
  </si>
  <si>
    <t>Stainless Steel Reflective Ceiling</t>
  </si>
  <si>
    <t>003C37</t>
  </si>
  <si>
    <t xml:space="preserve">	1250075</t>
  </si>
  <si>
    <t>003C33</t>
  </si>
  <si>
    <t>ARMETAL (PO 2250084)</t>
  </si>
  <si>
    <t>Issue date of IPC per Contract (15 days)</t>
  </si>
  <si>
    <t>Cl. 12.3.3</t>
  </si>
  <si>
    <t>Cl.12.4.1</t>
  </si>
  <si>
    <t>AMI01003-TRANSMIT-000004</t>
  </si>
  <si>
    <t>35% Mobilization</t>
  </si>
  <si>
    <t>1TB01003-003C33-AMA-LTR-0006</t>
  </si>
  <si>
    <t>AMI01003-RIA-000001</t>
  </si>
  <si>
    <t>AMI01003-TRANSMIT-000007</t>
  </si>
  <si>
    <t>Shopdrawings &amp; Delivered Raw Materials</t>
  </si>
  <si>
    <t>1TB01003-003C32-AMA-LTR-0009</t>
  </si>
  <si>
    <t>AMI01003-RIA-000002</t>
  </si>
  <si>
    <t>HASSAN ALLAM (PO 2250145)</t>
  </si>
  <si>
    <t>Issue date of IPC per Contract (21 days)</t>
  </si>
  <si>
    <t>c = a + 15</t>
  </si>
  <si>
    <t>Cl.19.7</t>
  </si>
  <si>
    <t>Payment Date as per Contract (30 days)</t>
  </si>
  <si>
    <t>HAM01003-GENCORR-000002</t>
  </si>
  <si>
    <t>1TB01003-003C37-AMA-LTR-0006</t>
  </si>
  <si>
    <t>Al Fanar Manpower Extension up to October 2025</t>
  </si>
  <si>
    <t>Areen procurement services extension</t>
  </si>
  <si>
    <t>Direct Payments to SAB Suppliers and Subcontractors</t>
  </si>
  <si>
    <t>CML ICA services extension</t>
  </si>
  <si>
    <t>K&amp;A Construction Supervision extension</t>
  </si>
  <si>
    <t>AMA01003-WTRAN-035323</t>
  </si>
  <si>
    <t>1TB01003-003F06-AMA-LTR-0010</t>
  </si>
  <si>
    <t>PVO's (uncommitted)</t>
  </si>
  <si>
    <t>Encashment of Performance Bond</t>
  </si>
  <si>
    <t>Encashment of Advance Bond</t>
  </si>
  <si>
    <t>EW 087</t>
  </si>
  <si>
    <t>EW 088</t>
  </si>
  <si>
    <t xml:space="preserve">Triple Bay Portfolio
Cost Report Executive Summary
Programme 1 - Amaala Yacht Club
</t>
  </si>
  <si>
    <t xml:space="preserve">Modification to Members Lobby &amp; Guest Foyer Staircase Finishes </t>
  </si>
  <si>
    <t>AMA01003-RFC-000053</t>
  </si>
  <si>
    <t>AMA01003-WTRAN-035537</t>
  </si>
  <si>
    <t>AMA01003-WTRAN-035536</t>
  </si>
  <si>
    <t>AMA01003-RBTR-000834</t>
  </si>
  <si>
    <t>JULY</t>
  </si>
  <si>
    <t>DVO initiated</t>
  </si>
  <si>
    <t>DVO issued on 30/Jul/25</t>
  </si>
  <si>
    <t>Pre EI issued and signed by HOC - dated 20 March 2025. Works to be carried out by SAMIF</t>
  </si>
  <si>
    <t>Reminder issue on 30/7</t>
  </si>
  <si>
    <t>AMA01003-RBTR-000834 / AMA01003-RBTR-000833</t>
  </si>
  <si>
    <t>AMA01003-RBTR-000799 / AMA01003-RBTR-000835</t>
  </si>
  <si>
    <t>AMA01003-WTRAN-036019</t>
  </si>
  <si>
    <t>AMA01003-WTRAN-036030</t>
  </si>
  <si>
    <t>1TB01003-003F02-AMA-LTR-0037</t>
  </si>
  <si>
    <t xml:space="preserve">003F08 - CML - PVO 001 - SAR 822,640.54 </t>
  </si>
  <si>
    <t>AMA01003-RBTR-000844</t>
  </si>
  <si>
    <t xml:space="preserve">	1TB01003.01.FFEOSE.003F06.02-ADL - Variation</t>
  </si>
  <si>
    <t>Savings on DVO 023 against PVO value (Iroko Handrail)</t>
  </si>
  <si>
    <t>AMA01003-WTRAN-036214</t>
  </si>
  <si>
    <t>1TB01003-003F02-AMA-LTR-0036</t>
  </si>
  <si>
    <t>IPA-16</t>
  </si>
  <si>
    <t>DCC01003-GENCORR-000983</t>
  </si>
  <si>
    <t>1TB01003-003C09-AMA-LTR-0146</t>
  </si>
  <si>
    <t>DCC01003-RIA-000016</t>
  </si>
  <si>
    <t>ADL01003-GENCORR-000041</t>
  </si>
  <si>
    <t>1TB01003-003F06-AMA-LTR-0009</t>
  </si>
  <si>
    <t>ADL01003-RIA-000010</t>
  </si>
  <si>
    <t>1TB01003-003C27-AMA-LTR-0045</t>
  </si>
  <si>
    <t>IPA-7</t>
  </si>
  <si>
    <t>IPA-8</t>
  </si>
  <si>
    <t>MEC01003-TRANSMIT-000022</t>
  </si>
  <si>
    <t>1TB01003-003C31-AMA-LTR-0017</t>
  </si>
  <si>
    <t>MEC01003-RIA-000010</t>
  </si>
  <si>
    <t>MEC01003-TRANSMIT-000023</t>
  </si>
  <si>
    <t>1TB01003-003C31-AMA-LTR-0018</t>
  </si>
  <si>
    <t>MEC01003-RIA-000011</t>
  </si>
  <si>
    <t>IPA-06</t>
  </si>
  <si>
    <t>ACY01003-GENCORR-000021</t>
  </si>
  <si>
    <t>1TB01003-003C34-AMA-LTR-0029</t>
  </si>
  <si>
    <t>ACY01003-RIA-000006</t>
  </si>
  <si>
    <t>CIL01003-GENCORR-000105</t>
  </si>
  <si>
    <t>1TB01003-003F08-AMA-LTR-0012</t>
  </si>
  <si>
    <t>CIL01003-RIA-000008</t>
  </si>
  <si>
    <t>CIL01003-GENCORR-000112</t>
  </si>
  <si>
    <t>ECC01003-GENCORR-000011</t>
  </si>
  <si>
    <t>1TB01003-003F07-AMA-LTR-0008</t>
  </si>
  <si>
    <t>ECC01003-RIA-000004</t>
  </si>
  <si>
    <t>ECC01003-RIA-000005</t>
  </si>
  <si>
    <t>AMA01003-WTRAN-036403</t>
  </si>
  <si>
    <t>AMA01003-RBTR-000855</t>
  </si>
  <si>
    <t>AMA01003-RBTR-000854</t>
  </si>
  <si>
    <t>BTR for K&amp;A PVO 003 (Extension)</t>
  </si>
  <si>
    <t>AMA01003-RBTR-000856</t>
  </si>
  <si>
    <t>262.a</t>
  </si>
  <si>
    <t>262.b</t>
  </si>
  <si>
    <t>Powder coating of wiring accessories (to suit ID requirements)</t>
  </si>
  <si>
    <t>EW 089</t>
  </si>
  <si>
    <t>TOTAL PAYMENT:</t>
  </si>
  <si>
    <t>Less:</t>
  </si>
  <si>
    <t>Encashed Performance Bond:</t>
  </si>
  <si>
    <t>Encashed Advance Bond:</t>
  </si>
  <si>
    <t>NET PAYMENT MADE:</t>
  </si>
  <si>
    <t>1TB01003-003C09-AMA-LTR-0151</t>
  </si>
  <si>
    <t>DV 002</t>
  </si>
  <si>
    <t>DV 001</t>
  </si>
  <si>
    <t>MEP Material Supply by Al Fanar (Al Fanar DVO 002; SAR 9,188,438.51)</t>
  </si>
  <si>
    <t>Al Fanar manpower deployment extension up to July 2025 (DVO 001; SAR 31,270,936)</t>
  </si>
  <si>
    <t>Al Fanar manpower deployment extension up to Oct 2025 (DVO 003; SAR 13,280,713.77)</t>
  </si>
  <si>
    <t>AMA01003-WTRAN-036496</t>
  </si>
  <si>
    <t>1TB01003-003F08-AMA-LTR-0013</t>
  </si>
  <si>
    <t>Tamimi (SAB Accommodation Payment)</t>
  </si>
  <si>
    <t>Tamimi</t>
  </si>
  <si>
    <t>EW 090</t>
  </si>
  <si>
    <t>EW 091</t>
  </si>
  <si>
    <t>Payment to Tamimi Accommodation</t>
  </si>
  <si>
    <t>EW 092</t>
  </si>
  <si>
    <t>Direct Payments to SAB's Subcontractors and Suppliers (August 2025).</t>
  </si>
  <si>
    <t>Direct Payments to SAB's Subcontractors and Suppliers (September 2025).</t>
  </si>
  <si>
    <t>Direct Payments to SAB's Subcontractors and Suppliers (October 2025).</t>
  </si>
  <si>
    <t>BTR for PVO 003 (Al Fanar)</t>
  </si>
  <si>
    <t>AMA01003-RBTR-000859</t>
  </si>
  <si>
    <t>EW 093</t>
  </si>
  <si>
    <t>EW 094</t>
  </si>
  <si>
    <t>EW 095</t>
  </si>
  <si>
    <t>EW 096</t>
  </si>
  <si>
    <t>EW 097</t>
  </si>
  <si>
    <t>EW 098</t>
  </si>
  <si>
    <t>EW 100</t>
  </si>
  <si>
    <t>EW 101</t>
  </si>
  <si>
    <t>EW 102</t>
  </si>
  <si>
    <t>EW 103</t>
  </si>
  <si>
    <t>EW 104</t>
  </si>
  <si>
    <t>EW 105</t>
  </si>
  <si>
    <t>EI 13: Supply and Install Access Doors</t>
  </si>
  <si>
    <t>EW 106</t>
  </si>
  <si>
    <t>AMA01003-WTRAN-036949</t>
  </si>
  <si>
    <t>1TB01003-003C34-AMA-LTR-0030</t>
  </si>
  <si>
    <t xml:space="preserve">AMA01003-WTRAN-037047 </t>
  </si>
  <si>
    <t>AMA01003-WTRAN-037046</t>
  </si>
  <si>
    <t>Savings on DVO 011 against PVO value (DEPA)</t>
  </si>
  <si>
    <t>EW 107</t>
  </si>
  <si>
    <t>EI 07: Change in Sprinkler Cover Colour</t>
  </si>
  <si>
    <t>EI 05: Change in Powder Coating of Air Outlest</t>
  </si>
  <si>
    <t>EW 108</t>
  </si>
  <si>
    <t>EW 109</t>
  </si>
  <si>
    <t>BTR for (May) Direct Payment on Behalf of Saudi Arabian Baytur, Tower Crane Dismantling.</t>
  </si>
  <si>
    <t>AMA01003-RBTR-000863</t>
  </si>
  <si>
    <t>Delivery of Fabricated SST Panels to the Jobsite</t>
  </si>
  <si>
    <t>AMI01003-GENCORR-000025</t>
  </si>
  <si>
    <t>1TB01003-003C32-AMA-LTR-0010</t>
  </si>
  <si>
    <t>ECC01003-RIA-000006</t>
  </si>
  <si>
    <t>1TB01003-003F08-AMA-LTR-0014</t>
  </si>
  <si>
    <t>IPA-08</t>
  </si>
  <si>
    <t>ACY01003-GENCORR-000028</t>
  </si>
  <si>
    <t>1TB01003-003C34-AMA-LTR-0032</t>
  </si>
  <si>
    <t>MEC01003-TRANSMIT-000024</t>
  </si>
  <si>
    <t>1TB01003-003C31-AMA-LTR-0019</t>
  </si>
  <si>
    <t>ATA01003-RIA-000010</t>
  </si>
  <si>
    <t>ATA01003-GENCORR-000036</t>
  </si>
  <si>
    <t>1TB01003-003C27-AMA-LTR-0048</t>
  </si>
  <si>
    <t>ADL01003-GENCORR-000044</t>
  </si>
  <si>
    <t>Jan to Jul 25</t>
  </si>
  <si>
    <t>DCC01003-RIA-000017</t>
  </si>
  <si>
    <t>IPA-17</t>
  </si>
  <si>
    <t>DCC01003-GENCORR-001032</t>
  </si>
  <si>
    <t>1TB01003-003C09-AMA-LTR-0153</t>
  </si>
  <si>
    <t>KAA01003-RIA-000012</t>
  </si>
  <si>
    <t>KAA01003-GENCORR-000517</t>
  </si>
  <si>
    <t>AMA01003-RFC-000054</t>
  </si>
  <si>
    <t>Replacement of buggy ramp handrail with road studs.</t>
  </si>
  <si>
    <t>Check Zero</t>
  </si>
  <si>
    <t>Actual 
Jul-25</t>
  </si>
  <si>
    <t>Forecast 
Oct-25</t>
  </si>
  <si>
    <t>EW 110</t>
  </si>
  <si>
    <t>Notice of Backcharge to SAB - Altenative Labour Support to Abu Dhabi Precast (IMAR &amp; Fibrex)</t>
  </si>
  <si>
    <t>AMA01003-WTRAN-038231</t>
  </si>
  <si>
    <t>Direct Payments to SAB's Subcontractors and Suppliers (Apr &amp; May 2025).</t>
  </si>
  <si>
    <t>Formula for Direct Payment</t>
  </si>
  <si>
    <t>AMA01003-WTRAN-037741</t>
  </si>
  <si>
    <t>AMA01003-WTRAN-037630</t>
  </si>
  <si>
    <t>Overrun on DVO 001 against PVO value (CML)</t>
  </si>
  <si>
    <t>On process</t>
  </si>
  <si>
    <t>Overrun on DVO 003 against PVO value (Al Fanar)</t>
  </si>
  <si>
    <t>AMA01003-WTRAN-038781</t>
  </si>
  <si>
    <t>BTR for (Jun &amp; Jul) Direct Payment on Behalf of Saudi Arabian Baytur</t>
  </si>
  <si>
    <t>GRP Ladder - Direct Works</t>
  </si>
  <si>
    <t>Fast Steps</t>
  </si>
  <si>
    <t>Copper tube , flare nuts</t>
  </si>
  <si>
    <t>Fall protection rails</t>
  </si>
  <si>
    <t>Pest Control</t>
  </si>
  <si>
    <t>Waterproofing and Moisture Protection packers</t>
  </si>
  <si>
    <t>Cleaning?</t>
  </si>
  <si>
    <t>Nurse</t>
  </si>
  <si>
    <t>Salaries for July 2025</t>
  </si>
  <si>
    <t>SAB Salaries for July 2025</t>
  </si>
  <si>
    <t>Railings</t>
  </si>
  <si>
    <t>Rental surveyor with Equipment</t>
  </si>
  <si>
    <t>Land Surveyor Crew June</t>
  </si>
  <si>
    <t>Land Surveyor Crew July</t>
  </si>
  <si>
    <t>Rental charges for forklift</t>
  </si>
  <si>
    <t>Supply of sweet water and diesel</t>
  </si>
  <si>
    <t>Rebar cutter</t>
  </si>
  <si>
    <t>Salaries for April 2025</t>
  </si>
  <si>
    <t>Maintenance spare parts for Generator and Heavy Equipment</t>
  </si>
  <si>
    <t>Plywood</t>
  </si>
  <si>
    <t>EFFISUS Waterproofing</t>
  </si>
  <si>
    <t>Pest Control for June 2025</t>
  </si>
  <si>
    <t>Fast Stepls</t>
  </si>
  <si>
    <t>GRP ladder</t>
  </si>
  <si>
    <t>Supply, Installation and Commissioning of Fire Fighting System IPC 05?</t>
  </si>
  <si>
    <t>Weberep</t>
  </si>
  <si>
    <t>Transportation of sewage</t>
  </si>
  <si>
    <t>ELV Engineer for August and September 2025</t>
  </si>
  <si>
    <t>Petty cash for June 2025</t>
  </si>
  <si>
    <t>FIS EM Plus</t>
  </si>
  <si>
    <t>Surveying team</t>
  </si>
  <si>
    <t>Waterprrofing and Moisture Protection - Injection Packers</t>
  </si>
  <si>
    <t>Rental charge for forklift</t>
  </si>
  <si>
    <t>Testing and commissioning for Fire Alarm System</t>
  </si>
  <si>
    <t>Tanseeq LLC</t>
  </si>
  <si>
    <t>Road Stud</t>
  </si>
  <si>
    <t>Direct Works - Fast Steps</t>
  </si>
  <si>
    <t>Direct Works - TANSEEQ</t>
  </si>
  <si>
    <t>Direct Payments to SAB's Subcontractors and Suppliers (June and July 2025).</t>
  </si>
  <si>
    <t>1TB01003-003C03-AMA-LTR-0301</t>
  </si>
  <si>
    <t>AMA01003-RBTR-000873</t>
  </si>
  <si>
    <t>AMA01003-RBTR-000875</t>
  </si>
  <si>
    <t>AMA01003-RBTR-000874</t>
  </si>
  <si>
    <t>AMA01003-WTRAN-038897</t>
  </si>
  <si>
    <t>1TB01003-003C03-AMA-LTR-0300</t>
  </si>
  <si>
    <t>CIL01003-GENCORR-000119</t>
  </si>
  <si>
    <t>1TB01003-003F08-AMA-LTR-0015</t>
  </si>
  <si>
    <t>CIL01003-RIA-0000010</t>
  </si>
  <si>
    <t>CIL01003-RIA-000009</t>
  </si>
  <si>
    <t>KAA01003-GENCORR-000529</t>
  </si>
  <si>
    <t>1TB01003-003F02-AMA-LTR-0040</t>
  </si>
  <si>
    <t>CIL01003-GENCORR-000123</t>
  </si>
  <si>
    <t>1TB01003-003F08-AMA-LTR-0016</t>
  </si>
  <si>
    <t>ADL01003-GENCORR-000049</t>
  </si>
  <si>
    <t>1TB01003-003F06-AMA-LTR-0012</t>
  </si>
  <si>
    <t>1TB01003-003F06-AMA-LTR-0011</t>
  </si>
  <si>
    <t>IPA-10</t>
  </si>
  <si>
    <t>MEC01003-RIA-000013</t>
  </si>
  <si>
    <t>PVO 031 - Direct Payments (Apr and May 2025 invoices)</t>
  </si>
  <si>
    <t>Balance Works for ICT System (NESMA)</t>
  </si>
  <si>
    <t>EW 111</t>
  </si>
  <si>
    <t>Actual 
Aug-25</t>
  </si>
  <si>
    <t>Forecast 
Nov-25</t>
  </si>
  <si>
    <t>AMA01003-RBTR-000880</t>
  </si>
  <si>
    <t>IPA-18</t>
  </si>
  <si>
    <t>DCC01003-GENCORR-001060</t>
  </si>
  <si>
    <t>1TB01003-003C09-AMA-LTR-0159</t>
  </si>
  <si>
    <t>DCC01003-RIA-000019</t>
  </si>
  <si>
    <t>ADL01003-RIA-000012</t>
  </si>
  <si>
    <t>1TB01003-003C34-AMA-LTR-0035</t>
  </si>
  <si>
    <t>EI 07</t>
  </si>
  <si>
    <t>1TB01003-003C34-AMA-LTR-0034</t>
  </si>
  <si>
    <t>EI 06</t>
  </si>
  <si>
    <t>1TB01003-003C34-AMA-LTR-0031</t>
  </si>
  <si>
    <t>CIL01003-RIA-0000011</t>
  </si>
  <si>
    <t>IPA-11</t>
  </si>
  <si>
    <t>1TB01003-003C31-AMA-LTR-0021</t>
  </si>
  <si>
    <t>MEC01003-TRANSMIT-000032</t>
  </si>
  <si>
    <t>IPA-9</t>
  </si>
  <si>
    <t>EI 05: Clearance of blocked drainage at Basement</t>
  </si>
  <si>
    <t>EI 05: See item No. 139</t>
  </si>
  <si>
    <t>ESC01003-RIA-000006</t>
  </si>
  <si>
    <t>1TB01003-003F03-AMA-LTR-0039</t>
  </si>
  <si>
    <t>ESC01003-GENCORR-000028</t>
  </si>
  <si>
    <t>IPA-19</t>
  </si>
  <si>
    <t>1TB01003-003C09-AMA-LTR-0160</t>
  </si>
  <si>
    <t>DCC01003-GENCORR-001067</t>
  </si>
  <si>
    <t>DCC01003-RIA-000020</t>
  </si>
  <si>
    <t>KAA01003-RIA-000015</t>
  </si>
  <si>
    <t>1TB01003-003C27-AMA-LTR-0050</t>
  </si>
  <si>
    <t>ATA01003-GENCORR-000039</t>
  </si>
  <si>
    <t>ATA01003-RIA-000012</t>
  </si>
  <si>
    <t>AMI01003-GENCORR-000033</t>
  </si>
  <si>
    <t>1TB01003-003C32-AMA-LTR-0011</t>
  </si>
  <si>
    <t>AMI01003-RIA-000004</t>
  </si>
  <si>
    <t>Control Account</t>
  </si>
  <si>
    <t xml:space="preserve">Current Approved Budget </t>
  </si>
  <si>
    <t>Total Approved Commitments</t>
  </si>
  <si>
    <t>Pending  Contracts</t>
  </si>
  <si>
    <t>This PVO</t>
  </si>
  <si>
    <t>Other PVOs in circulation</t>
  </si>
  <si>
    <t>Total Pending PVOs</t>
  </si>
  <si>
    <t>Remaining Budget</t>
  </si>
  <si>
    <t>D = B + C</t>
  </si>
  <si>
    <t>G = D + E + F</t>
  </si>
  <si>
    <t>J = H+I</t>
  </si>
  <si>
    <t>K = A-G-J</t>
  </si>
  <si>
    <t>Professional Services (PS)</t>
  </si>
  <si>
    <t>Management Supervision (MS)</t>
  </si>
  <si>
    <t>Commercial Management (CM)</t>
  </si>
  <si>
    <t>Construction (CN)</t>
  </si>
  <si>
    <t>Client Cost (CC)</t>
  </si>
  <si>
    <t>FF&amp;E &amp; OSE</t>
  </si>
  <si>
    <t>Savings</t>
  </si>
  <si>
    <t>Others</t>
  </si>
  <si>
    <t>Approved Contract</t>
  </si>
  <si>
    <t>EW 112</t>
  </si>
  <si>
    <t>Omission of Internal Windows (Kitchen Service Hatches) from SAB - Supply and install by RAQTAN</t>
  </si>
  <si>
    <t>EI 06: Change in Powder Coating of Air Outlets</t>
  </si>
  <si>
    <t>EW 113</t>
  </si>
  <si>
    <t>EW 114</t>
  </si>
  <si>
    <t>No EI issued to RAQTAN - check with JAYA.</t>
  </si>
  <si>
    <t xml:space="preserve">This EI was drafted and issued by delivery on the 15th September 2024, Processes were not followed.
No need for PVO/VO. This will be dealt with in the Final Account. 
</t>
  </si>
  <si>
    <t>EW 115</t>
  </si>
  <si>
    <t>EW 116</t>
  </si>
  <si>
    <t>EW 117</t>
  </si>
  <si>
    <t>Approved 
DVOs &amp; Committed PVOs</t>
  </si>
  <si>
    <t>Approved PVOs (Not Yet Committed in ACC)</t>
  </si>
  <si>
    <t xml:space="preserve">PS.003F07 </t>
  </si>
  <si>
    <t>PS.003F09</t>
  </si>
  <si>
    <t>1TB01003-003C08-AMA-DVO-CM-0001</t>
  </si>
  <si>
    <t xml:space="preserve"> oct 2025</t>
  </si>
  <si>
    <t>Provision for the additional CCTV Cameras for Yacht Lounge Bars (cut off and making good).</t>
  </si>
  <si>
    <t>PVO 017</t>
  </si>
  <si>
    <t>RQN01003-GENCORR-000038</t>
  </si>
  <si>
    <t>1TB01003-003C08-AMA-LTR-0038</t>
  </si>
  <si>
    <t>RQN01003-RIA-000008</t>
  </si>
  <si>
    <t>ATA01003-GENCORR-000042</t>
  </si>
  <si>
    <t>1TB01003-003C27-AMA-LTR-0051</t>
  </si>
  <si>
    <t>ATA01003-RIA-000013</t>
  </si>
  <si>
    <t>EW 118</t>
  </si>
  <si>
    <t>KAA01003-GENCORR-000522</t>
  </si>
  <si>
    <t>1TB01003-003F02-AMA-LTR-0039</t>
  </si>
  <si>
    <t>1TB01003-003F02-AMA-LTR-0038</t>
  </si>
  <si>
    <t>MEC01003-TRANSMIT-000025</t>
  </si>
  <si>
    <t>1TB01003-003C31-AMA-LTR-0020</t>
  </si>
  <si>
    <t>MEC01003-TRANSMIT-000016</t>
  </si>
  <si>
    <t>1TB01003-003C32-AMA-LTR-0014</t>
  </si>
  <si>
    <t>Materials</t>
  </si>
  <si>
    <t>25 April to 25 MAy 25</t>
  </si>
  <si>
    <t>Dec, Jan &amp; Feb Adjustment</t>
  </si>
  <si>
    <t>IPA-07</t>
  </si>
  <si>
    <t>ACY01003-GENCORR-000032</t>
  </si>
  <si>
    <t>from 25 May to 24 Aug &amp; materials</t>
  </si>
  <si>
    <t>1TB01003-003C34-AMA-LTR-0038</t>
  </si>
  <si>
    <t>ECC01003-GENCORR-000013</t>
  </si>
  <si>
    <t>June to August 25</t>
  </si>
  <si>
    <t>1TB01003-003F09-AMA-LTR-0003</t>
  </si>
  <si>
    <t>1TB01003-003C37-AMA-LTR-0007</t>
  </si>
  <si>
    <t>EI 05: Powder coating of ID light fittings (to suit ID requirements)</t>
  </si>
  <si>
    <t>Extension of MAS Manpower Services (Nov to Dec 2025) - TB01003-003C31-AMA-RFA-CM-0002</t>
  </si>
  <si>
    <t>EI 14: Installation of Decorative Lights</t>
  </si>
  <si>
    <t xml:space="preserve">EI 16: Change in Aged Mirror finish to members' bar &amp; Signature Restaurant </t>
  </si>
  <si>
    <t>EI-15: Removing and replace tiling around faulty Urinal Sensors</t>
  </si>
  <si>
    <t>EI-17: Road Markings Paint Application</t>
  </si>
  <si>
    <t>EI-18: Consolidated Fit-Out Instructions (Ceiling, LPG, Capping, Beech Ovens &amp; Hood Cladding)</t>
  </si>
  <si>
    <t>EI-19: Replacement of Vanity Top Soap Dispensers and Rectification of Existing Vanity Units</t>
  </si>
  <si>
    <t>EI-20: Rectification of the Damaged Ceilings Based on the Various Damage Reports</t>
  </si>
  <si>
    <t>EI-03: Cooled Glass Display Case at Café (CPD10).</t>
  </si>
  <si>
    <t>EI-18 : Amendment of Secondary Steel Structure vs Honeycomb Limestone Cladding</t>
  </si>
  <si>
    <t>EI-03: External Glass Door Application at Chart Model Room Staircase</t>
  </si>
  <si>
    <t>EW 119</t>
  </si>
  <si>
    <t>EW 120</t>
  </si>
  <si>
    <t>EW 121</t>
  </si>
  <si>
    <t>EW 122</t>
  </si>
  <si>
    <t>EW 123</t>
  </si>
  <si>
    <t>EW 124</t>
  </si>
  <si>
    <t>EW 125</t>
  </si>
  <si>
    <t xml:space="preserve"> PVO 022</t>
  </si>
  <si>
    <t>VO 022</t>
  </si>
  <si>
    <t>EW 063 - Adjustment</t>
  </si>
  <si>
    <t>VO 023</t>
  </si>
  <si>
    <t>SAB has not been notified of submitting a variation cost for this. This will be dealt with in the final account reconciliation with SAB; therefore, there is no need to process a PVO/VO.</t>
  </si>
  <si>
    <t>RAQTAN has not been notified of submitting a variation cost for this. This will be dealt with in the final account reconciliation with RAQTAN; therefore, there is no need to process a PVO/VO.</t>
  </si>
  <si>
    <t>This is related to VO 014 and will be included in the DVO 014 reconciliation with DEPA. Therefore, there is no need to process a PVO/VO.</t>
  </si>
  <si>
    <t>This will be dealt with in the final account reconciliation with SAB; therefore, there is no need to process a PVO/VO.</t>
  </si>
  <si>
    <t>Works completed. DEPA has not been notified of submitting a variation cost for this. This will be dealt with in the final account reconciliation with DEPA; therefore, there is no need to process a PVO/VO.</t>
  </si>
  <si>
    <t>EI issued</t>
  </si>
  <si>
    <t>Included in the approved RFA for Cost to Complete (Grankraft). This amount is being used to make direct payments to SAB's suppliers and subcontractors. This will be dealt with in the final account reconciliation with SAB; therefore, there is no need to process a PVO/VO.</t>
  </si>
  <si>
    <t>Included in the approved RFA for Cost to Complete (Alcatop).  This amount is being used to make direct payments to SAB's suppliers and subcontractors. This will be dealt with in the final account reconciliation with SAB; therefore, there is no need to process a PVO/VO.</t>
  </si>
  <si>
    <t>Included in the approved RFA for Cost to Complete (Abu Dhabi Precast).  This amount is being used to make direct payments to SAB's suppliers and subcontractors. This will be dealt with in the final account reconciliation with SAB; therefore, there is no need to process a PVO/VO.</t>
  </si>
  <si>
    <t>Included in the approved RFA for Cost to Complete (SAMIF).  This amount is being used to make direct payments to SAB's suppliers and subcontractors. This will be dealt with in the final account reconciliation with SAB; therefore, there is no need to process a PVO/VO.</t>
  </si>
  <si>
    <t>Works completed. RAQTAN has not been notified of submitting a variation cost for this. This will be dealt with in the final account reconciliation with RAQTAN; therefore, there is no need to process a PVO/VO.</t>
  </si>
  <si>
    <t>Included in the approved RFA for SAB Cost to Complete (Limestone). This will be dealt with in the final account reconciliation with SAB; therefore, there is no need to process a PVO/VO.</t>
  </si>
  <si>
    <t>Included in the approved RFA for SAB Cost to Complete (SAB Cost).  This amount is being used to make direct payments to SAB's suppliers and subcontractors. This will be dealt with in the final account reconciliation with SAB; therefore, there is no need to process a PVO/VO.</t>
  </si>
  <si>
    <t>This will be included in the material supply DVO with Al Fanar; therefore, there is no need to process a PVO/VO.</t>
  </si>
  <si>
    <t>BC issued</t>
  </si>
  <si>
    <t>This will be dealt with in the final account reconciliation with RAQTAN; therefore, there is no need to process a PVO/VO.</t>
  </si>
  <si>
    <t>This amount is the estimated payment to Tamimi for SAB's accommodation. This will be dealt during the final account.</t>
  </si>
  <si>
    <t>This will be part of the direct payments negative PVO. Therefore, there is no need to process a separate PVO/VO for this item.</t>
  </si>
  <si>
    <t>PVO to prepare, though this has no cost impact.</t>
  </si>
  <si>
    <t>Works completed. No notice and claim for DEPA, therefore no no need to process a PVO/VO.</t>
  </si>
  <si>
    <t>Savings on DVO 001 against PVO value (RAQTAN)</t>
  </si>
  <si>
    <t>AMA01003-RIA-000092</t>
  </si>
  <si>
    <t>AMI01003-RIA-000003</t>
  </si>
  <si>
    <t>ACY01003-RIA-000007</t>
  </si>
  <si>
    <t>ACY01003-RIA-000008</t>
  </si>
  <si>
    <t>MEC01003-RIA-000008</t>
  </si>
  <si>
    <t>VO 024</t>
  </si>
  <si>
    <t>MEC01003-RIA-000012</t>
  </si>
  <si>
    <t>ADL01003-RIA-000011</t>
  </si>
  <si>
    <t>DCC01003-RIA-000018</t>
  </si>
  <si>
    <t>KAA01003-RIA-000013</t>
  </si>
  <si>
    <t>a) 13.28M – approved PVO for Al Fanar Manpower Extension up to 31 Oct 25.</t>
  </si>
  <si>
    <t>b) 1.28M – adjustment due to variance in PVO and DVO approval regarding Al Fanar Manpower Extension up to 31 Oct 25.</t>
  </si>
  <si>
    <t>c) 1.02M – adjustment due to the variance in Early Warning and PVO approval regarding the direct payment to SAB’s subcontractors and suppliers for April and May 2025 Invoices.</t>
  </si>
  <si>
    <t>d) 2.67M – ICT system by NESMA.</t>
  </si>
  <si>
    <t>e) 0.21M – adjustments due to various approved DVOs values compared to PVOs.</t>
  </si>
  <si>
    <t>Adjustment due to approved DVO value compared to PVO.</t>
  </si>
  <si>
    <t>Item No. - 161 - Omission of Internal Windows (Kitchen Service Hatches) from SAB - Supply and install by RAQTAN</t>
  </si>
  <si>
    <t>Item No. - 162 - EI-17: Road Markings Paint Application</t>
  </si>
  <si>
    <t>Item No. - 163 - Extension of Al Fanar Manpower Services (Nov to Dec 2025)</t>
  </si>
  <si>
    <t>Item No. - 164 - Extension of MAS Manpower Services (Nov to Dec 2025) - TB01003-003C31-AMA-RFA-CM-0002</t>
  </si>
  <si>
    <t xml:space="preserve">Item No. - 158 - EI 16: Change in Aged Mirror finish to members' bar &amp; Signature Restaurant </t>
  </si>
  <si>
    <t>Item No. - 160 - EI-15: Removing and replace tiling around faulty Urinal Sensors</t>
  </si>
  <si>
    <t>Item No. - 166 - EI-18: Consolidated Fit-Out Instructions (Ceiling, LPG, Capping, Beech Ovens &amp; Hood Cladding)</t>
  </si>
  <si>
    <t>Item No. - 167 - EI-19: Replacement of Vanity Top Soap Dispensers and Rectification of Existing Vanity Units</t>
  </si>
  <si>
    <t>Item No. - 168 - EI-20: Rectification of the Damaged Ceilings Based on the Various Damage Reports</t>
  </si>
  <si>
    <t>Item No. - 169 - EI-03: Cooled Glass Display Case at Café (CPD10).</t>
  </si>
  <si>
    <t>Item No. - 170 - EI-18 : Amendment of Secondary Steel Structure vs Honeycomb Limestone Cladding</t>
  </si>
  <si>
    <t>Item No. - 171 - EI-03: External Glass Door Application at Chart Model Room Staircase</t>
  </si>
  <si>
    <t>Item No. - 172 -  Additional Budget Approval for Al Fanar Manpower Services (Dec 2025 Completion and DLP Contingency) - 1TB01003-003C34-AMA-RFA-CM-0003</t>
  </si>
  <si>
    <t>Item No. - 102 - Cost to Complete (SAB Amount) - Including Contingencies</t>
  </si>
  <si>
    <t>f) 0.30M - EI-15, EI-16, EI-17, EI-18, EI-19 and EI-20 to DEPA</t>
  </si>
  <si>
    <t>g) 0.50M - EI-18 to SAB/SAMIF</t>
  </si>
  <si>
    <t>h) 0.05M - EI-09 to Alutec</t>
  </si>
  <si>
    <t>i) 3.05M - RFA - MAS labour up to Dec-25</t>
  </si>
  <si>
    <t>j) 5.54M - RFA - Al Fanar labour up to Dec-25</t>
  </si>
  <si>
    <t>k) 3.49M - RFA - Al Fanar labour DLP/contingency</t>
  </si>
  <si>
    <t xml:space="preserve">l) -0.40M - Adjustment to SAB's Contract Adjustment allowance (covering all EIs issued to DEPA, Alutec and SAB/SAMIF) </t>
  </si>
  <si>
    <t>m) -0.01M - Omission of Service Hatches from SAB (install by RAQTAN)</t>
  </si>
  <si>
    <t>PS.003F12</t>
  </si>
  <si>
    <t>GST-LEED Fees</t>
  </si>
  <si>
    <t>GST- Sustainability Accreditation Services</t>
  </si>
  <si>
    <t>GST - Sustainability Accreditation Services</t>
  </si>
  <si>
    <t>BTR for the award to GST Sustainability Accreditation Services</t>
  </si>
  <si>
    <t>Contract Award to GST for Sustainability Accreditations Services</t>
  </si>
  <si>
    <t>VO 025</t>
  </si>
  <si>
    <t>a) 14.56M – DVO for Al Fanar Manpower up to 31 Oct 25.</t>
  </si>
  <si>
    <t>b) 1.02M – adj due to the variance in EW and PVO regarding SAB's direct payment (Apr &amp; May 25).</t>
  </si>
  <si>
    <t>c) 2.67M – direct payment for the ICT system by NESMA.</t>
  </si>
  <si>
    <t>d) 0.25M – adj due to various approved DVOs compared to PVOs.</t>
  </si>
  <si>
    <t>e) 0.30M - EI-15, EI-16, EI-17, EI-18, EI-19 and EI-20 to DEPA</t>
  </si>
  <si>
    <t>f) 0.05M - EI-18 to SAB/SAMIF</t>
  </si>
  <si>
    <t>g) 0.05M - EI-09 to Alutec</t>
  </si>
  <si>
    <t>h) 3.05M - RFA - MAS labour up to Dec-25</t>
  </si>
  <si>
    <t>i) 5.54M - RFA - Al Fanar labour up to Dec-25</t>
  </si>
  <si>
    <t>j) 3.49M - RFA - Al Fanar labour DLP/contingency</t>
  </si>
  <si>
    <t>k) -0.40M - reduction of SAB's CP Adjustment allowance (cost of all EIs issued to DEPA, Alutec and SAB/SAMIF).</t>
  </si>
  <si>
    <t>l) -0.01M - Omission of Service Hatches from SAB.</t>
  </si>
  <si>
    <t>a) -0.05M - Adj due to variance in PVO and DVO 001 of RAQTAN and PVO and DVO 018 of SAB</t>
  </si>
  <si>
    <t>Enviro - Deep Cleaning</t>
  </si>
  <si>
    <t>Contract Award to Enviro Facility Management for Deep Cleaning</t>
  </si>
  <si>
    <t>Extension of Al Fanar Mapower Services to AMAALA Yacht Club Project through to December 2025, and DLP Contingency (January to March 2025).</t>
  </si>
  <si>
    <t>Actual 
Sep-25</t>
  </si>
  <si>
    <t>Forecast 
Dec-25</t>
  </si>
  <si>
    <t>SAB  - Employer's Instruction No. 017 - Grand Stair Handrail (Alcatop) - deducted from SAB's Cost to Complete Early Warning Cost</t>
  </si>
  <si>
    <t>SAB - Metal Mesh Grating as per CML requirements in MEP shafts - deducted from SAB's Cost to Complete Early Warning Cost</t>
  </si>
  <si>
    <t>Further MEP Material Supply by Al Fanar (excluded in the previous DVO) - Al Fanar letter 1TB01003-003C34-ACY-LTR-0057</t>
  </si>
  <si>
    <t>Further adjustment to align with the requested additional budget</t>
  </si>
  <si>
    <t>Direct Payment for NESMA for ICT System</t>
  </si>
  <si>
    <t>Contract Award for Enviro (Deep Cleaning)</t>
  </si>
  <si>
    <t>Al Fanar Mapower Services to Dec 2025, &amp; DLP (Jan to Mar25).</t>
  </si>
  <si>
    <t>Al Fanar Manpower from Jul to Oct25</t>
  </si>
  <si>
    <t>MAS Manpower Services (Nov to Dec 25)</t>
  </si>
  <si>
    <t>Contract Award for GST (Sustainability)</t>
  </si>
  <si>
    <t>Al Fanar further MEP Matls. (excluded in DVO 002)</t>
  </si>
  <si>
    <t>EW 126</t>
  </si>
  <si>
    <t>Replacement of External Doors - requested by the Operator</t>
  </si>
  <si>
    <t>Replacement of External Doors - requested by the Operator (Cluster Manager - Back of House)</t>
  </si>
  <si>
    <t>RFA to be raised.</t>
  </si>
  <si>
    <t>Item No. - 112 - Employer’s Instruction No.01 -  Supply of additional Kitchen Shelf Opening Hatch (Servery Hatches)</t>
  </si>
  <si>
    <t>Item No. - 111 - Metal Mesh Grating as per CML requirements in MEP shafts</t>
  </si>
  <si>
    <t>Item No. - 163 - Extension of Al Fanar Mapower Services to AMAALA Yacht Club Project through to December 2025, and DLP Contingency (January to March 2025).</t>
  </si>
  <si>
    <t>Item No. - 172 - Further MEP Material Supply by Al Fanar (excluded in the previous DVO) - Al Fanar letter 1TB01003-003C34-ACY-LTR-0057</t>
  </si>
  <si>
    <t>Item No. - 173 - Replacement of External Doors - requested by the Operator (Cluster Manager - Back of House)</t>
  </si>
  <si>
    <t xml:space="preserve">Adjustment due to the approved DVO value vs PVO </t>
  </si>
  <si>
    <t xml:space="preserve"> Omission Kitchen Service Hatches from SAB</t>
  </si>
  <si>
    <t>Various EIs</t>
  </si>
  <si>
    <t>Adjustment to SAB's EW cost to cover the various EIs</t>
  </si>
  <si>
    <t>Adjustment to SAB's EW cost to cover the Alcatop VOs on handrail changes and SAMIF's VO Metal Mesh Gratings</t>
  </si>
  <si>
    <t>Adj. to SAB's EW cost to cover the various EIs</t>
  </si>
  <si>
    <t>Adj. to SAB's EW cost to cover the previous Alcatop VOs and SAMIF's VOs.</t>
  </si>
  <si>
    <t xml:space="preserve">Adj. due to the approved DVOs value vs PVOs </t>
  </si>
  <si>
    <t>RFC to prepare</t>
  </si>
  <si>
    <t>October 2025 Cost Report</t>
  </si>
  <si>
    <t>Determination issued</t>
  </si>
  <si>
    <t>Revised Assessment Report issued to DEPA</t>
  </si>
  <si>
    <t>Extention of time 001 under Clause 8.4.1 Conditions of Contract</t>
  </si>
  <si>
    <t>1TB01003C27</t>
  </si>
  <si>
    <t>Aluminium Technology Auxiliary Industries (Alutec) WLL</t>
  </si>
  <si>
    <t>1TB01003-003C27-ATA-LTR-0029</t>
  </si>
  <si>
    <t>Assessment Report issued to the Claim Team.</t>
  </si>
  <si>
    <t>DEPA - Interim Extension of Time For Completion No. 02</t>
  </si>
  <si>
    <t>1TB01003-003C09-DCC-LTR-0299</t>
  </si>
  <si>
    <t>Under review by Commercial and Planning Team.</t>
  </si>
  <si>
    <t>P/05/PIT/2025/00010</t>
  </si>
  <si>
    <t>RENEWED.</t>
  </si>
  <si>
    <t>P/05/PIT/2025/00007</t>
  </si>
  <si>
    <t>TO BE RENEWED.</t>
  </si>
  <si>
    <t>Renewed, under WF for approval.</t>
  </si>
  <si>
    <t>Renewed.</t>
  </si>
  <si>
    <t>DEPA to renew. Reminder sent.</t>
  </si>
  <si>
    <t>=75,660,633.83-(13,737,620)-(760,869.57+612,731.57)-4,055,764.55-(1,655,399.8-569838*0)-82,2640.54-519,230.25-(158,817.97)-(104,000)+666,280-(21,000)-(115,000)-(50,000)</t>
  </si>
  <si>
    <t>No change</t>
  </si>
  <si>
    <t>Removed</t>
  </si>
  <si>
    <t>MAS Manpower and Supervision PVO</t>
  </si>
  <si>
    <t>Scaffolding Material in CTC</t>
  </si>
  <si>
    <t>The Scaffolding Contract Awarded to HAS at</t>
  </si>
  <si>
    <t>SAR 3,096,124.9</t>
  </si>
  <si>
    <t>???</t>
  </si>
  <si>
    <t>Negative adjustment to maintain the SAR 584.59M EAC</t>
  </si>
  <si>
    <t>=-(1655399.8-569838*0)-822640.54-519230.25-(158817.97)</t>
  </si>
  <si>
    <t>K&amp;A Extension</t>
  </si>
  <si>
    <t>CML Extension</t>
  </si>
  <si>
    <t>Areen's Extension</t>
  </si>
  <si>
    <t>Negative adjustment to maintain the previous EAC Report in Jul 2025 of SAR 594.03M (however, this is deducted with SAB's PB and APB amount of SAR 37.66 = SAR 556.37M EAC in Jul 2025).</t>
  </si>
  <si>
    <t xml:space="preserve"> Modification to Members Lobby &amp; Guest Foyer Staircase Finishes</t>
  </si>
  <si>
    <t>Powder coating of ID light fittings (to suit ID requirements)</t>
  </si>
  <si>
    <t>Installation of Decorative Lights</t>
  </si>
  <si>
    <t>Supply and Install Access Doors</t>
  </si>
  <si>
    <t>Further adjustment (for balancing of requested budget)</t>
  </si>
  <si>
    <t>Direct Payment - Jan to Mar 25</t>
  </si>
  <si>
    <t>Direct Payment - Apr to May 25</t>
  </si>
  <si>
    <t>Direct Payment - Jun to Jul 25</t>
  </si>
  <si>
    <t xml:space="preserve">Contigencies </t>
  </si>
  <si>
    <t>P124100301010016-6</t>
  </si>
  <si>
    <t>5,6</t>
  </si>
  <si>
    <t>7,12</t>
  </si>
  <si>
    <t>16,19</t>
  </si>
  <si>
    <t>20,26</t>
  </si>
  <si>
    <t>30,32</t>
  </si>
  <si>
    <t>CDPII2015000643/0009
CDPII2024000085/0001</t>
  </si>
  <si>
    <t>P-C01-24-500-000014
P/11101/D/GA/PIAE/25/31</t>
  </si>
  <si>
    <t>SAB Position:</t>
  </si>
  <si>
    <t>Payment Made to Date</t>
  </si>
  <si>
    <t>AP and PB Recovery</t>
  </si>
  <si>
    <t>August 2025 Direct Payment</t>
  </si>
  <si>
    <t>September 2025 Direct Payment</t>
  </si>
  <si>
    <t>RFA for October 2025 Direct Payment:</t>
  </si>
  <si>
    <t>SAB FFA, Oct 25 Cost Report</t>
  </si>
  <si>
    <t>Remaining for October 2025 Report</t>
  </si>
  <si>
    <t>This is based on SAB approved EAC.</t>
  </si>
  <si>
    <t>Al Fanar Manpower from July to October 2025 (per the approved DVO 003)</t>
  </si>
  <si>
    <t>Remaining budget for SAB, based on approved EAC</t>
  </si>
  <si>
    <t>Alfanar DVO 003 (Jul to Oct25), no BTR yet</t>
  </si>
  <si>
    <t>NET Budget Hold</t>
  </si>
  <si>
    <t>copied value</t>
  </si>
  <si>
    <t>October 2025 - Report</t>
  </si>
  <si>
    <t>AMA01003-WTRAN-042423</t>
  </si>
  <si>
    <t>1TB01003-003C09-AMA-LTR-0177</t>
  </si>
  <si>
    <t xml:space="preserve"> VO 014</t>
  </si>
  <si>
    <t>VO 26</t>
  </si>
  <si>
    <t>VO 27</t>
  </si>
  <si>
    <t>DVO isued on 05Nov25</t>
  </si>
  <si>
    <t>DVO issued 5/Nov/25</t>
  </si>
  <si>
    <t>PVO 23</t>
  </si>
  <si>
    <t>PVO 24</t>
  </si>
  <si>
    <t>PVO 25</t>
  </si>
  <si>
    <t>PVO 26</t>
  </si>
  <si>
    <t>PVO 27</t>
  </si>
  <si>
    <t>PVO 29</t>
  </si>
  <si>
    <t>PVO 28</t>
  </si>
  <si>
    <t>PVO 30</t>
  </si>
  <si>
    <t>PVO 31</t>
  </si>
  <si>
    <t>PVO 32</t>
  </si>
  <si>
    <t>PVO 21</t>
  </si>
  <si>
    <t>PVO 20</t>
  </si>
  <si>
    <t>PVO 22</t>
  </si>
  <si>
    <t>PVO 12</t>
  </si>
  <si>
    <t>PVO 19</t>
  </si>
  <si>
    <t>PVO 33</t>
  </si>
  <si>
    <t>VO 28</t>
  </si>
  <si>
    <t>AMA01003-WTRAN-043064</t>
  </si>
  <si>
    <t>Adjustment due to DEPA PVO 019 increased by 10K from EW</t>
  </si>
  <si>
    <t>AMA01003-RBTR-000885</t>
  </si>
  <si>
    <t>AMA01003-RBTR-000895</t>
  </si>
  <si>
    <t>AMA01003-RBTR-000901</t>
  </si>
  <si>
    <t>BTR for (Aug) Direct Payment on Behalf of Saudi Arabian Baytur</t>
  </si>
  <si>
    <t>AMA01003-RBTR-000899</t>
  </si>
  <si>
    <t>Direct Works - HRFA</t>
  </si>
  <si>
    <t>Direct Works - NESMA</t>
  </si>
  <si>
    <t>BTR for Direct Payment (August 2025)</t>
  </si>
  <si>
    <t>BTR for the award to Tabuk Investment (Enviro)</t>
  </si>
  <si>
    <t>Extraordinary Cart - Buggy Cart</t>
  </si>
  <si>
    <t>BTR for Buggy Cart</t>
  </si>
  <si>
    <t>PVO 32 for SAB - Replacement of Railings with Road Stud.</t>
  </si>
  <si>
    <t>AMA01003-RBTR-000900</t>
  </si>
  <si>
    <t>PVO 002</t>
  </si>
  <si>
    <t>AMA01003-WTRAN-043439</t>
  </si>
  <si>
    <t>1TB01003-003C09-AMA-LTR-0178</t>
  </si>
  <si>
    <t>AMA01003-WTRAN-043479</t>
  </si>
  <si>
    <t>AMA01003-WTRAN-043571</t>
  </si>
  <si>
    <t>Adjustment due variance in EW and PVO 033 (Jun and Jul 25 Direct Payment)</t>
  </si>
  <si>
    <t>AMA01003-WTRAN-043732</t>
  </si>
  <si>
    <t>Adjustment due to variance in PVO and DVO (SAB Road Studs from Railing)</t>
  </si>
  <si>
    <t>External Factors – Authorities led change</t>
  </si>
  <si>
    <t>External Factors – BoD instructed change</t>
  </si>
  <si>
    <t>External Factors – Operator’s change</t>
  </si>
  <si>
    <t>External Factors – Third party damage</t>
  </si>
  <si>
    <t>Logistics – Accommodation constraints</t>
  </si>
  <si>
    <t>Logistics – Constructability reasons</t>
  </si>
  <si>
    <t>Project Management – Cost reduction</t>
  </si>
  <si>
    <t>Project Management – Late appointment – Consultant</t>
  </si>
  <si>
    <t>Project Management – Late appointment – Contractor</t>
  </si>
  <si>
    <t>Project Management – Late appointment – Operator</t>
  </si>
  <si>
    <t>Project Management – Scope – gap / omission</t>
  </si>
  <si>
    <t>Project Management – Scope – new</t>
  </si>
  <si>
    <t>Project Management – Scope – overlap</t>
  </si>
  <si>
    <t>Provisional Sums</t>
  </si>
  <si>
    <t>Revenue related – Aesthetic enhancement</t>
  </si>
  <si>
    <t>Revenue related – Guest experience</t>
  </si>
  <si>
    <t>Revenue related – Revenue enhancement</t>
  </si>
  <si>
    <t>Supply chain – Consultant performance</t>
  </si>
  <si>
    <t>Supply chain – Contractor cashflow</t>
  </si>
  <si>
    <t>Supply chain – Contractor performance</t>
  </si>
  <si>
    <t>Design Development/Improvement</t>
  </si>
  <si>
    <t>Scope Gap</t>
  </si>
  <si>
    <t>Scope Overlap</t>
  </si>
  <si>
    <t>Provisional Sum</t>
  </si>
  <si>
    <t>Operator's Change</t>
  </si>
  <si>
    <t>Contractor's Performance</t>
  </si>
  <si>
    <t>Extension of Time (EOT)</t>
  </si>
  <si>
    <t>EOT - Contractor's Performance</t>
  </si>
  <si>
    <t>EOT due to Contractor's Performance</t>
  </si>
  <si>
    <t>OWNER</t>
  </si>
  <si>
    <t>Design Development</t>
  </si>
  <si>
    <t>Omission</t>
  </si>
  <si>
    <t>Omission - Contractor Performance</t>
  </si>
  <si>
    <t>Scope transfer - Contractor's Performance</t>
  </si>
  <si>
    <t>Prelims</t>
  </si>
  <si>
    <t>Al Fanar Company</t>
  </si>
  <si>
    <t xml:space="preserve"> Off-Hire of Service Vehicles</t>
  </si>
  <si>
    <t>AMA01003-WTRAN-041164</t>
  </si>
  <si>
    <t>Under Planning/ BTR Not Process</t>
  </si>
  <si>
    <t>AMA01003-RBTR-000908</t>
  </si>
  <si>
    <t>Adjustment - SAB PVO 032/DVO 029 - Buggy Ramp Stud</t>
  </si>
  <si>
    <t>To process</t>
  </si>
  <si>
    <t>Jensen Hughes-Prf Fees COO 30</t>
  </si>
  <si>
    <t>Adjustment for DEPA</t>
  </si>
  <si>
    <t>Adjustment for DEPA PVO 008, PVO 015 and PVO 013 (expected DVOs to be agreed)</t>
  </si>
  <si>
    <t>EW 127</t>
  </si>
  <si>
    <t>Additional Microperforated Ceiling and Wall Changes in Area 7 Business Lounge Atrium &amp; Area 10 Restaurant</t>
  </si>
  <si>
    <t>EW 128</t>
  </si>
  <si>
    <t>Allow for rectification of damaged ceiling and other finishes.</t>
  </si>
  <si>
    <t>PVO to prepare upon receipt of Final Cost</t>
  </si>
  <si>
    <t>Anticipated adjustment for DVOs value to be agreed.</t>
  </si>
  <si>
    <t>CIL01003-GENCORR-000133</t>
  </si>
  <si>
    <t>1TB01003-003F08-AMA-LTR-0017</t>
  </si>
  <si>
    <t>IPA-09</t>
  </si>
  <si>
    <t>25 Aug to 24 Sep 25</t>
  </si>
  <si>
    <t>ACY01003-GENCORR-000037</t>
  </si>
  <si>
    <t>MEC01003-TRANSMIT-000033</t>
  </si>
  <si>
    <t>1TB01003-003C32-AMA-LTR-0015</t>
  </si>
  <si>
    <t>MEC01003-RIA-000016</t>
  </si>
  <si>
    <t>IPA-12</t>
  </si>
  <si>
    <t>MEC01003-TRANSMIT-000034</t>
  </si>
  <si>
    <t>1TB01003-003C31-AMA-LTR-0022</t>
  </si>
  <si>
    <t>MEC01003-RIA-000015</t>
  </si>
  <si>
    <t>ATA01003-GENCORR-000044</t>
  </si>
  <si>
    <t>1TB01003-003C27-AMA-LTR-0054</t>
  </si>
  <si>
    <t>ADL01003-GENCORR-000051</t>
  </si>
  <si>
    <t>IPA-20</t>
  </si>
  <si>
    <t>DCC01003-GENCORR-001096</t>
  </si>
  <si>
    <t>RQN01003-GENCORR-000041</t>
  </si>
  <si>
    <t>1TB01003-003C08-AMA-LTR-0040</t>
  </si>
  <si>
    <t>KAA01003-GENCORR-000541</t>
  </si>
  <si>
    <t>1TB01003-003F02-AMA-LTR-0041</t>
  </si>
  <si>
    <t>BTR for Birch Street</t>
  </si>
  <si>
    <t xml:space="preserve">Birch Street </t>
  </si>
  <si>
    <t>Saudico Electronic Systems</t>
  </si>
  <si>
    <t>BTR for Saudico Electronic Systems</t>
  </si>
  <si>
    <t>New Contract Award</t>
  </si>
  <si>
    <t>1TB01003-003C09-AMA-LTR-0180</t>
  </si>
  <si>
    <t>1TB01003-003F06-AMA-LTR-0013</t>
  </si>
  <si>
    <t>AMA01003-WTRAN-044256</t>
  </si>
  <si>
    <t>AMA01003-WTRAN-044255</t>
  </si>
  <si>
    <t>AMA01003-WTRAN-044254</t>
  </si>
  <si>
    <t>AMA01003-WTRAN-044253</t>
  </si>
  <si>
    <t>AMA01003-WTRAN-044295</t>
  </si>
  <si>
    <t>AMA01003-RBTR-000909</t>
  </si>
  <si>
    <t>Committed, no DVO Contract Change.</t>
  </si>
  <si>
    <t>AMA01003-WTRAN-043985</t>
  </si>
  <si>
    <t>1TB01003-003C31-AMA-LTR-0023</t>
  </si>
  <si>
    <t>VO 002</t>
  </si>
  <si>
    <t xml:space="preserve"> Employer’s Instruction No. 01 – Stainless Steel Flashing at Entrance Area (North and South) of the AMAALA Yacht Club</t>
  </si>
  <si>
    <t>EW 129</t>
  </si>
  <si>
    <t>Prelims - GLSAN Contracting Company (Red Sea)</t>
  </si>
  <si>
    <t>EW 130</t>
  </si>
  <si>
    <t>DVO 027</t>
  </si>
  <si>
    <t>DVO 024</t>
  </si>
  <si>
    <t xml:space="preserve">1TB01003-003C03-AMA-LTR-0305 </t>
  </si>
  <si>
    <t>AMA01003-RBTR-000917</t>
  </si>
  <si>
    <t>AMA01003-RBTR-000916</t>
  </si>
  <si>
    <t>Actual 
Oct-25</t>
  </si>
  <si>
    <t>Check Zero:</t>
  </si>
  <si>
    <t>Awaiting info.</t>
  </si>
  <si>
    <t>AMA01003-PAYAP-001617</t>
  </si>
  <si>
    <t>IPA - 49 (INV-D-56R)</t>
  </si>
  <si>
    <t>AMA01003-PC-000391</t>
  </si>
  <si>
    <t xml:space="preserve"> Employer’s Instruction No. 005 - Replacement of Damaged Double-Curved Glass Panel at Business Atrium</t>
  </si>
  <si>
    <t>EW 131</t>
  </si>
  <si>
    <t>Backcharging:  Replacement of Damaged Double-Curved Glass Panel at Business Atrium</t>
  </si>
  <si>
    <t>EW 132</t>
  </si>
  <si>
    <t>AMA01003-WTRAN-044940</t>
  </si>
  <si>
    <t>AMA01003-WTRAN-044774</t>
  </si>
  <si>
    <t>AMA01003-WTRAN-044773</t>
  </si>
  <si>
    <t>AMA01003-WTRAN-044772</t>
  </si>
  <si>
    <t>AMA01003-WTRAN-044771</t>
  </si>
  <si>
    <t>1TB01003-003C09-AMA-LTR-0188</t>
  </si>
  <si>
    <t>1TB01003-003C09-AMA-LTR-0187</t>
  </si>
  <si>
    <t>1TB01003-003C09-AMA-LTR-0186</t>
  </si>
  <si>
    <t>1TB01003-003C09-AMA-LTR-0185</t>
  </si>
  <si>
    <t>AMA01003-WTRAN-045024</t>
  </si>
  <si>
    <t>BTR for MAS Extension up to Dec 2025</t>
  </si>
  <si>
    <t>Alutec - Aluminum and Glazing Works</t>
  </si>
  <si>
    <t>Adjustment - Alutec PVO/DVO 001 Aluminum Flashing</t>
  </si>
  <si>
    <t>AMA01003-WTRAN-045025</t>
  </si>
  <si>
    <t>Adjustment - SAB PVO/DVO 025 - Jan,Feb,Mar25 Direct Payment</t>
  </si>
  <si>
    <t>AMA01003-WTRAN-045282</t>
  </si>
  <si>
    <t>Employer’s Instruction No. 024 – Removal and Reinstallation of ST-125 Wall Cladding to VVIP Toilet</t>
  </si>
  <si>
    <t>EW 133</t>
  </si>
  <si>
    <t>Backcharging: Removal and Reinstallation of ST-125 Wall Cladding to VVIP Toilet</t>
  </si>
  <si>
    <t>EW 134</t>
  </si>
  <si>
    <t>EI 01: Extend the Senior Architect Construction Supervision Services until 31 January 2025.</t>
  </si>
  <si>
    <t>EW 135</t>
  </si>
  <si>
    <t>Employer’s Instruction No. 01 – Extension of CML Independent Commissioning Agent Services until 28 February 2026</t>
  </si>
  <si>
    <t>EW 136</t>
  </si>
  <si>
    <t>AMA01003-WTRAN-045703</t>
  </si>
  <si>
    <t>1TB01003-003C34-AMA-LTR-0043</t>
  </si>
  <si>
    <t>ATA01003-RIA-000014</t>
  </si>
  <si>
    <t>MEC01003-RIA-000017</t>
  </si>
  <si>
    <t>CIL01003-RIA-000012</t>
  </si>
  <si>
    <t>RQN01003-RIA-000009</t>
  </si>
  <si>
    <r>
      <t xml:space="preserve">Omission of Accommodation Budget from SAB (Payment for Tamimi) </t>
    </r>
    <r>
      <rPr>
        <b/>
        <sz val="10"/>
        <color rgb="FFFF0000"/>
        <rFont val="Calibri"/>
        <family val="2"/>
        <scheme val="minor"/>
      </rPr>
      <t>- to be deducted from SAB Contract Adjustment EW 063.</t>
    </r>
  </si>
  <si>
    <t>Overrun on SAB's Accommodation Budget (Payment for Tamimi) - to be deducted from SAB Contract Adjustment EW 063.</t>
  </si>
  <si>
    <t>Actual 
Nov-25</t>
  </si>
  <si>
    <t>Forecast 
Feb-26</t>
  </si>
  <si>
    <t>Reminder of renewal issued to K&amp;A.</t>
  </si>
  <si>
    <t>Reminder of renewal to be issued.</t>
  </si>
  <si>
    <t>PS.003F12 - GST - Sustainability Accreditation Services</t>
  </si>
  <si>
    <t>CN.003CF13 - Enviro - Deep Cleaning</t>
  </si>
  <si>
    <t>FFEOSE.003F11 - Extraordinary Cart</t>
  </si>
  <si>
    <t>Extraordinary Cart</t>
  </si>
  <si>
    <t>FFEOSE.003F11</t>
  </si>
  <si>
    <t>FFEOSE.003D09</t>
  </si>
  <si>
    <t>FFEOSE.003D07</t>
  </si>
  <si>
    <t>FFEOSE.003D09 - Saudico Electronic Systems</t>
  </si>
  <si>
    <t>FFEOSE.003D07 - Birch Street</t>
  </si>
  <si>
    <t>BTR for 003D10 - AlFalak Electronic</t>
  </si>
  <si>
    <t>AMA01003-RBTR-000928</t>
  </si>
  <si>
    <t>AlFalak Electronic - HPE Servers</t>
  </si>
  <si>
    <t>FFEOSE.003D10</t>
  </si>
  <si>
    <t>AMA01003-WTRAN-046218</t>
  </si>
  <si>
    <t>AMA01003-WTRAN-046177</t>
  </si>
  <si>
    <t>PVO 026</t>
  </si>
  <si>
    <t>AMA01003-WTRAN-046175</t>
  </si>
  <si>
    <t>AMA01003-WTRAN-046176</t>
  </si>
  <si>
    <t>VO 026</t>
  </si>
  <si>
    <t>Employer’s Instruction No. 022 – Replacement of Fire Pump and Jockey Pump</t>
  </si>
  <si>
    <t>Direct Payment to NAFCCO - This will be covered in the direct Payment PVO.</t>
  </si>
  <si>
    <t>Employer’s Instruction No. 024 – BMS Integration for Water Meters and BTU Meters</t>
  </si>
  <si>
    <t>Direct Payment to GLSAN - This will be covered in the direct Payment PVO.</t>
  </si>
  <si>
    <t>Employer’s Instruction No. 021 – Fire Extinguishers (Partial Levels 2, 3, 4 and Roof Areas)</t>
  </si>
  <si>
    <t>Employer's Instruction No. 020 – Replacement of the Aluminium Ceiling Panels</t>
  </si>
  <si>
    <t>EW 137</t>
  </si>
  <si>
    <t xml:space="preserve"> Type P3 Fiber Optic Lights Installation</t>
  </si>
  <si>
    <t>Direct Payment to HRFA - This will be covered in the direct Payment PVO.</t>
  </si>
  <si>
    <t>Employer’s Instruction No. 026 – Design, Manufacturing, Supply, Installation, and Commissioning of Kee Safety Kee Point</t>
  </si>
  <si>
    <t>EW 138</t>
  </si>
  <si>
    <t>Backcharge Notification: Marvel System for Ecology Unit provided by Raqtan on behalf of SAB</t>
  </si>
  <si>
    <t>EW 139</t>
  </si>
  <si>
    <t>EW 140</t>
  </si>
  <si>
    <t>Marvel System for Ecology Unit provided by Raqtan on behalf of SAB</t>
  </si>
  <si>
    <t>PVO 34</t>
  </si>
  <si>
    <t>VO 29</t>
  </si>
  <si>
    <t>PVO 027</t>
  </si>
  <si>
    <t>VO 027</t>
  </si>
  <si>
    <t>PVO 05</t>
  </si>
  <si>
    <t>AMA01003-WTRAN-046616</t>
  </si>
  <si>
    <t>AMA01003-WTRAN-046530</t>
  </si>
  <si>
    <t>AMA01003-RBTR-000929</t>
  </si>
  <si>
    <t>BTR for DEPA PVO 018</t>
  </si>
  <si>
    <t>AMA01003-RBTR-000927</t>
  </si>
  <si>
    <t>Direct Payments to SAB's Subcontractors and Suppliers (Jan and Feb 2026).</t>
  </si>
  <si>
    <t>Direct Payments to SAB's Subcontractors and Suppliers (Nov and Dec 2025).</t>
  </si>
  <si>
    <t>AMA01003-RBTR-000945</t>
  </si>
  <si>
    <t>BTR for 003D15 - SAU - Infor (SunSystems) - SAR 34,719.00</t>
  </si>
  <si>
    <t>FFEOSE.003D15</t>
  </si>
  <si>
    <t>BTR for (Jun &amp; Jul) Direct Payment on Behalf of Saudi Arabian Baytur - Adjustment for Alcatop</t>
  </si>
  <si>
    <t>AMA01003-RBTR-000946</t>
  </si>
  <si>
    <t xml:space="preserve"> January 11, 2026</t>
  </si>
  <si>
    <t>Budget Transfer required for the additional WHT value following TAX Team confirmation for the correct taxation on each scope</t>
  </si>
  <si>
    <t>AMA01003-RBTR-000965</t>
  </si>
  <si>
    <t>AMA01003-RBTR-000964</t>
  </si>
  <si>
    <t>PVO 004 Alfanar</t>
  </si>
  <si>
    <t>BTR for (Sep) Direct Payment on Behalf of Saudi Arabian Baytur</t>
  </si>
  <si>
    <t>AMA01003-RBTR-000963</t>
  </si>
  <si>
    <t>BTR for (Oct) Direct Payment on Behalf of Saudi Arabian Baytur</t>
  </si>
  <si>
    <t>AMA01003-RBTR-000962</t>
  </si>
  <si>
    <t>Emaar Suhali</t>
  </si>
  <si>
    <t>Prelims - Emaar Suhali</t>
  </si>
  <si>
    <t>AMA01003-RBTR-000961</t>
  </si>
  <si>
    <t xml:space="preserve">BTR for 003D10 - AlFalak Electronic </t>
  </si>
  <si>
    <t>AMA01003-RBTR-000953</t>
  </si>
  <si>
    <t>BTR for PVO 025 - Ceiling Finishes Changes in Area 7 Business Lounge Atrium &amp; Area 10 Restaurant.</t>
  </si>
  <si>
    <t>EW 141</t>
  </si>
  <si>
    <t>Employer’s Instruction No. 025 – Aluminum Cladding Panel Replacement at Various Locations (Discrepancy between the model and actual site conditions (construction tolerances).)</t>
  </si>
  <si>
    <t>AMA01003-WTRAN-047020</t>
  </si>
  <si>
    <t>1TB01003-003F08-AMA-LTR-0021</t>
  </si>
  <si>
    <t>Employer’s Instruction No. 029 – Replacement of Damaged Aluminum Panels</t>
  </si>
  <si>
    <t>EW 142</t>
  </si>
  <si>
    <t>Employer’s Instruction No. 029 – Replacement of Damaged Aluminum Panels (BC to Alutec)</t>
  </si>
  <si>
    <t>Employer’s Instruction No. 029 – Replacement of Damaged Aluminum Panels (BC to DEPA)</t>
  </si>
  <si>
    <t>Employer’s Instruction No. 029 – Replacement of Damaged Aluminum Panels (BC to MAS)</t>
  </si>
  <si>
    <t>Employer’s Instruction No. 029 – Replacement of Damaged Aluminum Panels (BC to SALCO)</t>
  </si>
  <si>
    <t>EW 143</t>
  </si>
  <si>
    <t>EW 144</t>
  </si>
  <si>
    <t>EW 145</t>
  </si>
  <si>
    <t>MVW Team to issue BC to SALCO.</t>
  </si>
  <si>
    <t>Employer’s Instruction No. 25 – Concealment of Linear LED Lights at Riva Lounge and Toilets</t>
  </si>
  <si>
    <t>EW 146</t>
  </si>
  <si>
    <t>Employer’s Instruction No. 030 – Changes in the Aluminum Panels Design (Accommodation of Actual Site Conditions: Adjustments are required to align with on-site realities resulting from changes within adjacent or interfacing work packages. • Aesthetic Enhancements: Revisions have been introduced to improve the visual outcome of the façade elements.)</t>
  </si>
  <si>
    <t>Employer’s Instruction No. 027 – Replacement of Amplifiers</t>
  </si>
  <si>
    <t>Direct Payment to Glsan - This will be covered in the direct Payment PVO.</t>
  </si>
  <si>
    <t>Employer’s Instruction No. 03 – Replacement for the Missing Passenger Elevator Door Locks</t>
  </si>
  <si>
    <t>Employer’s Instruction No. 03 – Replacement for the Missing Passenger Elevator Door Locks (BC to DEPA)</t>
  </si>
  <si>
    <t>AMA01003-WTRAN-047102</t>
  </si>
  <si>
    <t>1TB01003-003F02-AMA-LTR-0045</t>
  </si>
  <si>
    <t>AMA01003-WTRAN-047104</t>
  </si>
  <si>
    <t>1TB01003-003C27-AMA-LTR-0060</t>
  </si>
  <si>
    <t>Payment Release</t>
  </si>
  <si>
    <t>Completed at Site</t>
  </si>
  <si>
    <t>Stainless Steel Mesh at Louver Area</t>
  </si>
  <si>
    <t>Cost adjustment based on the Cash recovered
The impact of this adjustment to SA Baytur 003C03 for the recovered Performance Bond and Advance Payment Bond, and the alignment to the aligned Paid amount is that NO further budget, commitment or payment transactions are to be made to this contract.</t>
  </si>
  <si>
    <t>Manual Adjustment in ACC by the Payment Team</t>
  </si>
  <si>
    <t>AMA01003-RBTR-000977</t>
  </si>
  <si>
    <t>PVO 004 Extension of Khatib &amp; Alami’s Senior Architect Construction Supervision Services up to 31 January 2026</t>
  </si>
  <si>
    <t>Budget transfer required to align the budget and commitment as per the Paid amount SAR 170,592,074.13</t>
  </si>
  <si>
    <t>AMA01003-RBTR-000978</t>
  </si>
  <si>
    <t>FFEOSE.003D11</t>
  </si>
  <si>
    <t>Sevenrooms Inc</t>
  </si>
  <si>
    <t>FFEOSE.003D12</t>
  </si>
  <si>
    <t>Infor Co</t>
  </si>
  <si>
    <t>BTR for New Contract - Sevenroom Inc</t>
  </si>
  <si>
    <t>AMA01003-RBTR-000976</t>
  </si>
  <si>
    <t>Remove</t>
  </si>
  <si>
    <t>CN.003F13</t>
  </si>
  <si>
    <t>AMA01003-RBTR-000740</t>
  </si>
  <si>
    <t>AMA01003-RBTR-000739</t>
  </si>
  <si>
    <t>AMA01003-RBTR-000738</t>
  </si>
  <si>
    <t>BTR for New Contract - Infor Co (Saudi Electronics)</t>
  </si>
  <si>
    <t>Uncommitted</t>
  </si>
  <si>
    <t>no</t>
  </si>
  <si>
    <t>dvo</t>
  </si>
  <si>
    <t>FFEOSE.003D10 - AlFalak Electronic - HPE Servers</t>
  </si>
  <si>
    <t>FFEOSE.003D15 - Saudico Electronic Systems</t>
  </si>
  <si>
    <t>FFEOSE.003D11 - Sevenrooms Inc</t>
  </si>
  <si>
    <t>FFEOSE.003D12 - Saudico Electronic Systems</t>
  </si>
  <si>
    <t>Actual 
Dec-25</t>
  </si>
  <si>
    <t>Forecast 
Mar-26</t>
  </si>
  <si>
    <t xml:space="preserve">INTER PROGRAMME TRANSFER - Site Logistics budget transfer 2.547% </t>
  </si>
  <si>
    <t>EW 147</t>
  </si>
  <si>
    <t>EVO No. 003 - Supply and Installation of Façade Pressure Plate Cover Flashing</t>
  </si>
  <si>
    <t>EW 148</t>
  </si>
  <si>
    <t>EVO No. 004 -Provision of Vinyl Film with Frit Pattern to the Façade Glazing of the North and South Boutiques</t>
  </si>
  <si>
    <t>EW 149</t>
  </si>
  <si>
    <t>EVO No. 005 - Supply of Alutec Manpower to Install the External Glass Balustrade on Behalf of Alcatop</t>
  </si>
  <si>
    <t>EW 150</t>
  </si>
  <si>
    <t>EVO No. 005 - Supply of Alutec Manpower to Install the External Glass Balustrade on Behalf of Alcatop (BC to Alcatop)</t>
  </si>
  <si>
    <t>EW 151</t>
  </si>
  <si>
    <t>EW 152</t>
  </si>
  <si>
    <t>EVO 30: Application of STO Ventec System to Conceal the Paving Level Gap at the Grand Stairs</t>
  </si>
  <si>
    <t>PVO 36</t>
  </si>
  <si>
    <t>VO 30</t>
  </si>
  <si>
    <t>VO 31</t>
  </si>
  <si>
    <t>VO 32</t>
  </si>
  <si>
    <t>EVO No. 005 - Extension of Consultant’s Senior Architect (Khatib &amp; Alami) to 31 May 2026</t>
  </si>
  <si>
    <r>
      <t xml:space="preserve">EVO No. 005 - Extension of Consultant’s Senior Architect (Khatib &amp; Alami) to 31 May 2026 - </t>
    </r>
    <r>
      <rPr>
        <b/>
        <sz val="10"/>
        <rFont val="Calibri"/>
        <family val="2"/>
        <scheme val="minor"/>
      </rPr>
      <t>Backcharge</t>
    </r>
  </si>
  <si>
    <t>EW 153</t>
  </si>
  <si>
    <t>EW 154</t>
  </si>
  <si>
    <t>RFA 003: MAS labour extension up through January and February 2026</t>
  </si>
  <si>
    <t>AMA01003-WTRAN-047632</t>
  </si>
  <si>
    <t>AMA01003-WTRAN-047315</t>
  </si>
  <si>
    <t>1TB01003-003C09-AMA-LTR-0210</t>
  </si>
  <si>
    <t>Extension of CML Independent Commissioning Agent Services until 28 February 2026</t>
  </si>
  <si>
    <t>AMA01003-RBTR-000983</t>
  </si>
  <si>
    <t>AMA01003-WTRAN-047851</t>
  </si>
  <si>
    <t>AMA01003-WTRAN-047852</t>
  </si>
  <si>
    <t>Employer's Instruction No. 02 - Relocation of Passenger Elevator Control Panels for PL-1, PL-2, PL-3, PL-4 &amp; PL-5</t>
  </si>
  <si>
    <t>AMA01003-WTRAN-048185</t>
  </si>
  <si>
    <t>AMA01003-WTRAN-048184</t>
  </si>
  <si>
    <t>AMA01003-WTRAN-048183</t>
  </si>
  <si>
    <t>AMA01003-WTRAN-048182</t>
  </si>
  <si>
    <t xml:space="preserve">AMA01003-WTRAN-048181 </t>
  </si>
  <si>
    <t>1TB01003-003C03-AMA-LTR-0324</t>
  </si>
  <si>
    <t>VO 030</t>
  </si>
  <si>
    <t>1TB01003-003C27-AMA-LTR-0065</t>
  </si>
  <si>
    <t>1TB01003-003C27-AMA-LTR-0064</t>
  </si>
  <si>
    <t>1TB01003-003C27-AMA-LTR-0063</t>
  </si>
  <si>
    <t>EVO 29 Rectification of damaged waterproofing at Water Features</t>
  </si>
  <si>
    <t>VO 029</t>
  </si>
  <si>
    <t>1TB01003-003C03-AMA-LTR-0323</t>
  </si>
  <si>
    <t>EW 155</t>
  </si>
  <si>
    <t>EW 156</t>
  </si>
  <si>
    <r>
      <t xml:space="preserve">EVO 29 Rectification of damaged waterproofing at Water Features </t>
    </r>
    <r>
      <rPr>
        <b/>
        <sz val="10"/>
        <rFont val="Calibri"/>
        <family val="2"/>
        <scheme val="minor"/>
      </rPr>
      <t>(BC)</t>
    </r>
  </si>
  <si>
    <t>EW 157</t>
  </si>
  <si>
    <t xml:space="preserve">AMA01003-WTRAN-048412 </t>
  </si>
  <si>
    <t>AMA01003-WTRAN-048415</t>
  </si>
  <si>
    <t>1TB01003-003C09-AMA-LTR-0223</t>
  </si>
  <si>
    <t>1TB01003-003C34-AMA-LTR-0049</t>
  </si>
  <si>
    <t>PVO 39</t>
  </si>
  <si>
    <t xml:space="preserve"> AMA01003-WTRAN-048579 </t>
  </si>
  <si>
    <t xml:space="preserve"> AMA01003-WTRAN-048577</t>
  </si>
  <si>
    <t xml:space="preserve"> AMA01003-WTRAN-048578</t>
  </si>
  <si>
    <t>AMA01003-WTRAN-048576</t>
  </si>
  <si>
    <t xml:space="preserve"> AMA01003-WTRAN-048575</t>
  </si>
  <si>
    <t>BTR for (Nov and Dec) Direct Payment on Behalf of Saudi Arabian Baytur</t>
  </si>
  <si>
    <t>AMA01003-RBTR-000995</t>
  </si>
  <si>
    <t>Areen Extension 002</t>
  </si>
  <si>
    <t>Reachware Integration (New Award)</t>
  </si>
  <si>
    <t>AMA01003-RBTR-000994</t>
  </si>
  <si>
    <t>Reachware Integration</t>
  </si>
  <si>
    <t>To be processed</t>
  </si>
  <si>
    <t>BTR for K&amp;A's Mansoor Extension DVO vs PVO adjustment</t>
  </si>
  <si>
    <t>BTR for DEPA DVO - ID lights installation</t>
  </si>
  <si>
    <t>FFEOSE.003D14</t>
  </si>
  <si>
    <t>Forecast
Jan-26</t>
  </si>
  <si>
    <t>Actual 
Jan-26</t>
  </si>
  <si>
    <t>Forecast 
Apr-26</t>
  </si>
  <si>
    <t>FFEOSE.003D14 - Reachware Integration</t>
  </si>
  <si>
    <t>Direct Payment</t>
  </si>
  <si>
    <t>EVO issued</t>
  </si>
  <si>
    <r>
      <t xml:space="preserve">2 – Note_The anticipated final account value for the Project is </t>
    </r>
    <r>
      <rPr>
        <b/>
        <sz val="13"/>
        <color theme="1"/>
        <rFont val="Verdana"/>
        <family val="2"/>
      </rPr>
      <t xml:space="preserve">SAR 593,900,457, </t>
    </r>
    <r>
      <rPr>
        <sz val="13"/>
        <color theme="1"/>
        <rFont val="Verdana"/>
        <family val="2"/>
      </rPr>
      <t xml:space="preserve">which is higher than the approved budget of </t>
    </r>
    <r>
      <rPr>
        <b/>
        <sz val="13"/>
        <color theme="1"/>
        <rFont val="Verdana"/>
        <family val="2"/>
      </rPr>
      <t>SAR 584,656,916</t>
    </r>
    <r>
      <rPr>
        <sz val="13"/>
        <color theme="1"/>
        <rFont val="Verdana"/>
        <family val="2"/>
      </rPr>
      <t xml:space="preserve"> in ACC by </t>
    </r>
    <r>
      <rPr>
        <b/>
        <sz val="13"/>
        <color theme="1"/>
        <rFont val="Verdana"/>
        <family val="2"/>
      </rPr>
      <t>SAR 9,243,541</t>
    </r>
    <r>
      <rPr>
        <sz val="13"/>
        <color theme="1"/>
        <rFont val="Verdana"/>
        <family val="2"/>
      </rPr>
      <t>. There's a</t>
    </r>
    <r>
      <rPr>
        <sz val="13"/>
        <rFont val="Verdana"/>
        <family val="2"/>
      </rPr>
      <t xml:space="preserve"> </t>
    </r>
    <r>
      <rPr>
        <b/>
        <sz val="13"/>
        <rFont val="Verdana"/>
        <family val="2"/>
      </rPr>
      <t>SAR 2,226,314</t>
    </r>
    <r>
      <rPr>
        <b/>
        <sz val="13"/>
        <color theme="1"/>
        <rFont val="Verdana"/>
        <family val="2"/>
      </rPr>
      <t xml:space="preserve"> </t>
    </r>
    <r>
      <rPr>
        <sz val="13"/>
        <color theme="1"/>
        <rFont val="Verdana"/>
        <family val="2"/>
      </rPr>
      <t xml:space="preserve">movement in the budget compared to the previous month's Anticipated Forecast Final Account of </t>
    </r>
    <r>
      <rPr>
        <b/>
        <sz val="13"/>
        <color theme="1"/>
        <rFont val="Verdana"/>
        <family val="2"/>
      </rPr>
      <t>SAR 591,674,143</t>
    </r>
    <r>
      <rPr>
        <sz val="13"/>
        <color theme="1"/>
        <rFont val="Verdana"/>
        <family val="2"/>
      </rPr>
      <t>.</t>
    </r>
  </si>
  <si>
    <t>BC</t>
  </si>
  <si>
    <t>PVO to prepare.
This is SAB</t>
  </si>
  <si>
    <t>MARCH</t>
  </si>
  <si>
    <t>AMA01003-WTRAN-048657</t>
  </si>
  <si>
    <t>AMA01003-WTRAN-049015</t>
  </si>
  <si>
    <t>1TB01003-003C31-AMA-LTR-0028</t>
  </si>
  <si>
    <t>AMA01003-WTRAN-048719</t>
  </si>
  <si>
    <t>AMA01003-WTRAN-048178</t>
  </si>
  <si>
    <t>AMA01003-WTRAN-048720</t>
  </si>
  <si>
    <t>AMA01003-WTRAN-048129</t>
  </si>
  <si>
    <t>AMA01003-WTRAN-048721</t>
  </si>
  <si>
    <t>AMA01003-WTRAN-048131</t>
  </si>
  <si>
    <t>AMA01003-WTRAN-048722</t>
  </si>
  <si>
    <t>AMA01003-WTRAN-048137</t>
  </si>
  <si>
    <t>AMA01003-WTRAN-048616</t>
  </si>
  <si>
    <t>1TB01003-003C33-AMA-LTR-0013</t>
  </si>
  <si>
    <t>1TB01003-003C33-AMA-LTR-0014</t>
  </si>
  <si>
    <t>3.3.26</t>
  </si>
  <si>
    <t>AMA01003-WTRAN-048723</t>
  </si>
  <si>
    <t>AMA01003-WTRAN-049245</t>
  </si>
  <si>
    <t>AMA01003-WTRAN-049017</t>
  </si>
  <si>
    <t>AMA01003-WTRAN-048618</t>
  </si>
  <si>
    <t>EVO 04</t>
  </si>
  <si>
    <t>EW 158</t>
  </si>
  <si>
    <t>EW 159</t>
  </si>
  <si>
    <t>EW 160</t>
  </si>
  <si>
    <t>1TB01003-003F03-AMA-LTR-0045</t>
  </si>
  <si>
    <t>1TB01003-003F03-AMA-LTR-0044</t>
  </si>
  <si>
    <t>1TB01003-003F03-AMA-LTR-0043</t>
  </si>
  <si>
    <t>AMA01003-WTRAN-048724</t>
  </si>
  <si>
    <t>AMA01003-WTRAN-049016</t>
  </si>
  <si>
    <t>1TB01003-003C09-AMA-LTR-0227</t>
  </si>
  <si>
    <t>1TB01003-003C09-AMA-LTR-0228</t>
  </si>
  <si>
    <t>AMA01003-WTRAN-049018</t>
  </si>
  <si>
    <t>AMA01003-WTRAN-048990</t>
  </si>
  <si>
    <t>AMA01003-WTRAN-049116</t>
  </si>
  <si>
    <t>1TB01003-003F06-AMA-LTR-0015</t>
  </si>
  <si>
    <t>AMA01003-WTRAN-049012</t>
  </si>
  <si>
    <t xml:space="preserve">1TB01003-003C27-AMA-LTR-0067	</t>
  </si>
  <si>
    <t>AMA01003-WTRAN-049010</t>
  </si>
  <si>
    <t>1TB01003-003C03-AMA-LTR-0325</t>
  </si>
  <si>
    <t>1TB01003-003C09-AMA-LTR-0225</t>
  </si>
  <si>
    <t>AMA01003-WTRAN-048617</t>
  </si>
  <si>
    <t>1TB01003-003C31-AMA-LTR-0027</t>
  </si>
  <si>
    <t>AMA01003-WTRAN-049014</t>
  </si>
  <si>
    <t>AMA01003-RBTR-001001</t>
  </si>
  <si>
    <t>BTR for PVOs 001 and 002 with total amount SAR 87,500.00 (ARMETAL)</t>
  </si>
  <si>
    <t>AMA01003-RBTR-001004</t>
  </si>
  <si>
    <t>PVO-003 - Relocation of Passenger Elevator Control Panels (ESCCO)</t>
  </si>
  <si>
    <t>AMA01003-RBTR-001025</t>
  </si>
  <si>
    <t xml:space="preserve"> PVO-002 - Replacement for the Missing Passenger Elevator Door Locks (ESCCO)</t>
  </si>
  <si>
    <t>AMA01003-RBTR-001026</t>
  </si>
  <si>
    <t>AMA01003-RBTR-001028</t>
  </si>
  <si>
    <t xml:space="preserve"> PVO-003 - Supply and Installation of Facade Pressure Plate Cover Flashing (Alutec)</t>
  </si>
  <si>
    <t>PVO 004 - Provision of Vinyl Film with Frit Pattern to the Facade Glazing of the North and South Boutiques (Alutec)</t>
  </si>
  <si>
    <t>PVO 004 - MAS Labour Extension through January and February 2026</t>
  </si>
  <si>
    <t>AMA01003-RBTR-001024</t>
  </si>
  <si>
    <t>PVO-027 - Removal and Reinstallation of ST-125 Wall Cladding to VVIP Toilet (DEPA)</t>
  </si>
  <si>
    <t>AMA01003-RBTR-001027</t>
  </si>
  <si>
    <t>AMA01003-RBTR-001023</t>
  </si>
  <si>
    <t xml:space="preserve"> PVO-030 - Concealment of Linear LED Lights at Riva Lounge and Toilets (DEPA)</t>
  </si>
  <si>
    <t>KAA01003-GENCORR-000550</t>
  </si>
  <si>
    <t>1TB01003-003F02-AMA-LTR-0042</t>
  </si>
  <si>
    <t>KAA01003-GENCORR-000552</t>
  </si>
  <si>
    <t>1TB01003-003F02-AMA-LTR-0044</t>
  </si>
  <si>
    <t>KAA01003-GENCORR-000556</t>
  </si>
  <si>
    <t>1TB01003-003F02-AMA-LTR-0046</t>
  </si>
  <si>
    <t>KAA01003-RIA-000016</t>
  </si>
  <si>
    <t>KAA01003-RIA-000017</t>
  </si>
  <si>
    <t>KAA01003-RIA-000018</t>
  </si>
  <si>
    <t>ESC01003-GENCORR-000030</t>
  </si>
  <si>
    <t>1TB01003-003F03-AMA-LTR-0040</t>
  </si>
  <si>
    <t>ESC01003-GENCORR-000032</t>
  </si>
  <si>
    <t>1TB01003-003F03-AMA-LTR-0042</t>
  </si>
  <si>
    <t>ESC01003-GENCORR-000035</t>
  </si>
  <si>
    <t>ESC01003-RIA-000007</t>
  </si>
  <si>
    <t>RQN01003-GENCORR-000042</t>
  </si>
  <si>
    <t>1TB01003-003C08-AMA-LTR-0042</t>
  </si>
  <si>
    <t>RQN01003-GENCORR-000044</t>
  </si>
  <si>
    <t>1TB01003-003C08-AMA-LTR-0043</t>
  </si>
  <si>
    <t>RQN01003-RIA-000010</t>
  </si>
  <si>
    <t>IPA-21</t>
  </si>
  <si>
    <t>IPA-22</t>
  </si>
  <si>
    <t>IPA-23</t>
  </si>
  <si>
    <t>DCC01003-GENCORR-001108</t>
  </si>
  <si>
    <t>1TB01003-003C09-AMA-LTR-0197</t>
  </si>
  <si>
    <t>DCC01003-GENCORR-001130</t>
  </si>
  <si>
    <t>1TB01003-003C09-AMA-LTR-0224</t>
  </si>
  <si>
    <t>DCC01003-GENCORR-001175</t>
  </si>
  <si>
    <t>DCC01003-RIA-000022</t>
  </si>
  <si>
    <t>DCC01003-RIA-000023</t>
  </si>
  <si>
    <t>ADL01003-GENCORR-000058</t>
  </si>
  <si>
    <t>Seed Fund 4</t>
  </si>
  <si>
    <t>1TB01003-003F06-AMA-LTR-0014</t>
  </si>
  <si>
    <t>ADL01003-RIA-000013</t>
  </si>
  <si>
    <r>
      <t>o = ( f + h ) *</t>
    </r>
    <r>
      <rPr>
        <b/>
        <i/>
        <sz val="9"/>
        <color rgb="FFFF0000"/>
        <rFont val="Calibri"/>
        <family val="2"/>
        <scheme val="minor"/>
      </rPr>
      <t>- 15%</t>
    </r>
  </si>
  <si>
    <t>ATA01003-GENCORR-000050</t>
  </si>
  <si>
    <t>1TB01003-003C27-AMA-LTR-0059</t>
  </si>
  <si>
    <t>ATA01003-GENCORR-000052</t>
  </si>
  <si>
    <t>1TB01003-003C27-AMA-LTR-0061.</t>
  </si>
  <si>
    <t>ATA01003-GENCORR-000054</t>
  </si>
  <si>
    <t>1TB01003-003C27-AMA-LTR-0066</t>
  </si>
  <si>
    <t>ATA01003-GENCORR-000056</t>
  </si>
  <si>
    <t>ATA01003-RIA-000015</t>
  </si>
  <si>
    <t>ATA01003-RIA-000016</t>
  </si>
  <si>
    <t>MEC01003-TRANSMIT-000035</t>
  </si>
  <si>
    <t>1TB01003-003C31-AMA-LTR-0025</t>
  </si>
  <si>
    <t>MEC01003-TRANSMIT-000036</t>
  </si>
  <si>
    <t>1TB01003-003C31-AMA-LTR-0026</t>
  </si>
  <si>
    <t>MEC01003-GENCORR-000031</t>
  </si>
  <si>
    <t>MEC01003-RIA-000018</t>
  </si>
  <si>
    <t>MEC01003-RIA-000019</t>
  </si>
  <si>
    <t>1TB01003-003C34-AMA-LTR-0044</t>
  </si>
  <si>
    <t>ACY01003-GENCORR-000038</t>
  </si>
  <si>
    <t>Oct 25</t>
  </si>
  <si>
    <t>1TB01003-003C34-AMA-LTR-0046</t>
  </si>
  <si>
    <t>ACY01003-GENCORR-000046</t>
  </si>
  <si>
    <t>Nov &amp; Dec 25</t>
  </si>
  <si>
    <t>ACY01003-GENCORR-000049</t>
  </si>
  <si>
    <t>Jan 26</t>
  </si>
  <si>
    <t>1TB01003-003C34-AMA-LTR-0051</t>
  </si>
  <si>
    <t>ACY01003-RIA-000009</t>
  </si>
  <si>
    <t>ACY01003-RIA-000010</t>
  </si>
  <si>
    <t>ACY01003-RIA-000011</t>
  </si>
  <si>
    <t>CIL01003-GENCORR-000138</t>
  </si>
  <si>
    <t>1TB01003-003F08-AMA-LTR-0018</t>
  </si>
  <si>
    <t>CIL01003-GENCORR-000141</t>
  </si>
  <si>
    <t>1TB01003-003F08-AMA-LTR-0020</t>
  </si>
  <si>
    <t>CIL01003-GENCORR-000147</t>
  </si>
  <si>
    <t>1TB01003-003F08-AMA-LTR-0022</t>
  </si>
  <si>
    <t>CIL01003-GENCORR-000151</t>
  </si>
  <si>
    <t>CIL01003-RIA-000013</t>
  </si>
  <si>
    <t>CIL01003-RIA-000014</t>
  </si>
  <si>
    <t>CIL01003-RIA-000015</t>
  </si>
  <si>
    <t>ECC01003-RIA-000007</t>
  </si>
  <si>
    <t>Sep-25 (Final)</t>
  </si>
  <si>
    <t>HAM01003-GENCORR-000006</t>
  </si>
  <si>
    <t>1TB01003-003C37-AMA-LTR-0008</t>
  </si>
  <si>
    <t>HAM01003-RIA-000001</t>
  </si>
  <si>
    <t>AMA01003-WTRAN-049493</t>
  </si>
  <si>
    <t>AMA01003-WTRAN-049492</t>
  </si>
  <si>
    <t>Areen Extension 2</t>
  </si>
  <si>
    <t>Actual 
Feb-26</t>
  </si>
  <si>
    <t>Forecast 
May-26</t>
  </si>
  <si>
    <t xml:space="preserve">Provision of Power and Data Connectivity for KOT Printers </t>
  </si>
  <si>
    <t>EW 161</t>
  </si>
  <si>
    <t>RFC-000059</t>
  </si>
  <si>
    <t>PVO 006</t>
  </si>
  <si>
    <t>AMA01003-PAYAP-002025</t>
  </si>
  <si>
    <t>IPC-02</t>
  </si>
  <si>
    <t>AMA01003-RAOP-002041</t>
  </si>
  <si>
    <t>GST-RIA-000001</t>
  </si>
  <si>
    <t>IPC-01</t>
  </si>
  <si>
    <t>AMA01003-PAYAP-002344</t>
  </si>
  <si>
    <t>Revision requested</t>
  </si>
  <si>
    <t>IPC-03</t>
  </si>
  <si>
    <t>AMA01003-PAYAP-002377</t>
  </si>
  <si>
    <t>1TB01003-003F03-AMA-LTR-0047</t>
  </si>
  <si>
    <t>1TB01003-003C31-AMA-LTR-0029</t>
  </si>
  <si>
    <t>Included elsewhere as per approved RFA</t>
  </si>
  <si>
    <r>
      <t xml:space="preserve">Proposed F&amp;B changes to enhance operational functionality and the overall guest experience, as requested by the Operator
</t>
    </r>
    <r>
      <rPr>
        <b/>
        <sz val="10"/>
        <rFont val="Calibri"/>
        <family val="2"/>
        <scheme val="minor"/>
      </rPr>
      <t>Kitchen</t>
    </r>
  </si>
  <si>
    <t>Proposed F&amp;B changes to enhance operational functionality and the overall guest experience, as requested by the Operator
Fitout</t>
  </si>
  <si>
    <t>Proposed F&amp;B changes to enhance operational functionality and the overall guest experience, as requested by the Operator
MEP</t>
  </si>
  <si>
    <t>RFA-0002</t>
  </si>
  <si>
    <t>AMA01003-WTRAN-049656</t>
  </si>
  <si>
    <t>ASSET REF</t>
  </si>
  <si>
    <t>ASSET NAME</t>
  </si>
  <si>
    <t>PO NUMBER</t>
  </si>
  <si>
    <t>ACC REF</t>
  </si>
  <si>
    <t>CONTRACTOR / CONSULTANTS</t>
  </si>
  <si>
    <t>INITIAL</t>
  </si>
  <si>
    <t>CONTRACTOR / CONSULTANT / DIRECT ACTUAL</t>
  </si>
  <si>
    <t>CODE 1</t>
  </si>
  <si>
    <t>CODE 2</t>
  </si>
  <si>
    <t>CODE 3</t>
  </si>
  <si>
    <t>CODE 4</t>
  </si>
  <si>
    <t>ACC 1</t>
  </si>
  <si>
    <t>ACC 2</t>
  </si>
  <si>
    <t>ACC 3</t>
  </si>
  <si>
    <t>AMAALAYachtClub</t>
  </si>
  <si>
    <t>SOIL IMPROVE</t>
  </si>
  <si>
    <t>003D04</t>
  </si>
  <si>
    <t>APPLIED TECH</t>
  </si>
  <si>
    <t>003D01</t>
  </si>
  <si>
    <t>DEWAN</t>
  </si>
  <si>
    <t>Triple Bay Hijaz Yacht Club - Lead Consultant Services</t>
  </si>
  <si>
    <t>003D03</t>
  </si>
  <si>
    <t>HKS Architects Limited</t>
  </si>
  <si>
    <t>HKS</t>
  </si>
  <si>
    <t>Triple Bay Marine Yacht Club - Design Architect Consultancy Services</t>
  </si>
  <si>
    <t>003D02</t>
  </si>
  <si>
    <t>Design Competition</t>
  </si>
  <si>
    <t>Green Business Certification Inc</t>
  </si>
  <si>
    <t>GREEN BUSSINESS</t>
  </si>
  <si>
    <t>Direct Actuals</t>
  </si>
  <si>
    <t>Sustainability Accreditation, third party technical reviews and verification of LEED-registered AMAALA Projects</t>
  </si>
  <si>
    <t>BAYTUR</t>
  </si>
  <si>
    <t>003D05</t>
  </si>
  <si>
    <t>LANGAN INNTERNATIONAL</t>
  </si>
  <si>
    <t>Geotechnical Consultancy Services (Yacht Club) - Peer Review</t>
  </si>
  <si>
    <t>Medtel - W.N</t>
  </si>
  <si>
    <t>Sto Façade Mock-Up</t>
  </si>
  <si>
    <t>Saudi Consolidated Engineering Company - Khatib &amp; Alami</t>
  </si>
  <si>
    <t>KHATIB &amp; ALAMI</t>
  </si>
  <si>
    <t>Construction Supervision Services - AMAALA Yacht Club (Call off Order No: 003)</t>
  </si>
  <si>
    <t>Ministry of Municipality and Rural Affairs</t>
  </si>
  <si>
    <t>MINISTRY</t>
  </si>
  <si>
    <t>Permit Fees</t>
  </si>
  <si>
    <t>Zuhair Fayez Partnership Consultants (ZFP)</t>
  </si>
  <si>
    <t>ZUHAIR</t>
  </si>
  <si>
    <t>Third Party Authority for Multidisciplinary Review &amp; Certification Endorsement (Call off Order No: 004)</t>
  </si>
  <si>
    <t>Supply and Installation of the Vertical Transportation System Works (Call Off Order No.001)</t>
  </si>
  <si>
    <t>Jensen Hughes Saudi Arabia, LLC</t>
  </si>
  <si>
    <t>JENSEN</t>
  </si>
  <si>
    <t>Third-Party Authority for Fire and Life Safety Review &amp; Certification Endorsement (Call off Order No: 007)</t>
  </si>
  <si>
    <t>ABDULAZIZ</t>
  </si>
  <si>
    <t>Fit-out works for Amaala Yacht Club</t>
  </si>
  <si>
    <t>Aluminium &amp; Glazing Works for the AMAALA Yacht Club</t>
  </si>
  <si>
    <t>Euro Consult For Engineering Consultancy</t>
  </si>
  <si>
    <t>EURO</t>
  </si>
  <si>
    <t>Statutory Compliance Consultancy Services (Call Off Order No:  006) -AMAALA Yacht Club</t>
  </si>
  <si>
    <t>Areen Design Limited</t>
  </si>
  <si>
    <t>AREEN</t>
  </si>
  <si>
    <t>FF&amp;E Procurement Services</t>
  </si>
  <si>
    <t>FFEOSE</t>
  </si>
  <si>
    <t>Independent Commissioning Agent Services (ICA) (Call off Order No: 007) - AMAALA Yacht Club</t>
  </si>
  <si>
    <t>MAS Engineering &amp; Construction Company LTD</t>
  </si>
  <si>
    <t>Provision of construction manpower</t>
  </si>
  <si>
    <t>Ampitheatre Concrete Works</t>
  </si>
  <si>
    <t>Alfanar Company</t>
  </si>
  <si>
    <t>ALFANAR</t>
  </si>
  <si>
    <t>Construction Manpower Services</t>
  </si>
  <si>
    <t>Armetal Metal Industries Co. Ltd</t>
  </si>
  <si>
    <t>Stainless Steel Reflecting Ceiling Works</t>
  </si>
  <si>
    <t>003C36</t>
  </si>
  <si>
    <t>Al Rajhi Company For Cooperative Insurance</t>
  </si>
  <si>
    <t>AL RAJHI</t>
  </si>
  <si>
    <t>OCIP Insurance Premium (P0123­CAR­TCRO­00076041/E16)</t>
  </si>
  <si>
    <t>003C35</t>
  </si>
  <si>
    <t>Abu Dhabi Precast LLC</t>
  </si>
  <si>
    <t>PRECAST</t>
  </si>
  <si>
    <t>Amaala Triple Bay – Marina Hotel 3 - Building Envelope GRC Works Package_CONTRACT CANCELLED_CONTRACT VALUE AED 7,640,027.22 (SAR 7,850,127.97)</t>
  </si>
  <si>
    <t>Statutory Compliance Consultancy Services (Call Off Order No:  027)</t>
  </si>
  <si>
    <t>Hassan Allam Construction Saudi Limited</t>
  </si>
  <si>
    <t>HASSAN ALLAM</t>
  </si>
  <si>
    <t>BAYTUR_PAYMENT</t>
  </si>
  <si>
    <t>003C66</t>
  </si>
  <si>
    <t>Sami General Contracting Est.</t>
  </si>
  <si>
    <t>SAMI GENEERAL</t>
  </si>
  <si>
    <t>Payment On Behalf Of Saudi Arabian Baytur (Jan/Feb)</t>
  </si>
  <si>
    <t>003C42</t>
  </si>
  <si>
    <t>Saad Al Easa - Metal Industry</t>
  </si>
  <si>
    <t>SAAD</t>
  </si>
  <si>
    <t>003C70</t>
  </si>
  <si>
    <t>Aldrees Petroleum and Transport Services Company</t>
  </si>
  <si>
    <t>ALDREES</t>
  </si>
  <si>
    <t>003C69</t>
  </si>
  <si>
    <t>Salim Hamed Cleaning</t>
  </si>
  <si>
    <t>SALIM</t>
  </si>
  <si>
    <t>003C65</t>
  </si>
  <si>
    <t>Eastern Horizon Foundation Transportation Comp.</t>
  </si>
  <si>
    <t>EASTERN</t>
  </si>
  <si>
    <t>003C64</t>
  </si>
  <si>
    <t>JAK Generation Cont. Co. LLC</t>
  </si>
  <si>
    <t>JAK</t>
  </si>
  <si>
    <t>003C67</t>
  </si>
  <si>
    <t>Clean Coast For Contracting</t>
  </si>
  <si>
    <t>CLEAN COAST</t>
  </si>
  <si>
    <t>003C61</t>
  </si>
  <si>
    <t>Al Rai Modern Water Factory</t>
  </si>
  <si>
    <t>AL RAI</t>
  </si>
  <si>
    <t>003C57</t>
  </si>
  <si>
    <t>Juffali Technical Equipment Company</t>
  </si>
  <si>
    <t>JUFFALI TTECHNICAL</t>
  </si>
  <si>
    <t>003C63</t>
  </si>
  <si>
    <t>Intelligent General Cont. Co - Equipment - Industrial Forklift &amp; 5ton</t>
  </si>
  <si>
    <t>INTELLIGENT</t>
  </si>
  <si>
    <t>003C71</t>
  </si>
  <si>
    <t>Al-Anan Travels and Tours</t>
  </si>
  <si>
    <t>AL ANAN</t>
  </si>
  <si>
    <t>003C58</t>
  </si>
  <si>
    <t>Madar Building Material Co.</t>
  </si>
  <si>
    <t>MADAR BUIILDING</t>
  </si>
  <si>
    <t>003C53</t>
  </si>
  <si>
    <t>Factory Of USG Middle East Ltd. Co.</t>
  </si>
  <si>
    <t>FACTORY</t>
  </si>
  <si>
    <t>003C73</t>
  </si>
  <si>
    <t>M Mohammad Alharbi Medical Company</t>
  </si>
  <si>
    <t>AL HARBI</t>
  </si>
  <si>
    <t>003C39</t>
  </si>
  <si>
    <t>Issam Kabani and Partners</t>
  </si>
  <si>
    <t>ISSAM KABBANI</t>
  </si>
  <si>
    <t>003C43</t>
  </si>
  <si>
    <t>003C115</t>
  </si>
  <si>
    <t>Ahmed Bin Salem Bin Dagher Al-Balawi Est.</t>
  </si>
  <si>
    <t>AHMED BIN SALEM</t>
  </si>
  <si>
    <t>003C87</t>
  </si>
  <si>
    <t>Bahamdoon Trading Co</t>
  </si>
  <si>
    <t>BAHAMDOON</t>
  </si>
  <si>
    <t>003C84</t>
  </si>
  <si>
    <t>Energy &amp; Building Masters</t>
  </si>
  <si>
    <t>ENERGY</t>
  </si>
  <si>
    <t>003C59</t>
  </si>
  <si>
    <t>Fosam Company LTD</t>
  </si>
  <si>
    <t>FOSAM</t>
  </si>
  <si>
    <t>003C56</t>
  </si>
  <si>
    <t>Glow Arabia Trading</t>
  </si>
  <si>
    <t>GLOW</t>
  </si>
  <si>
    <t>003C54</t>
  </si>
  <si>
    <t>Nextware International Supply</t>
  </si>
  <si>
    <t>NEXTWARE</t>
  </si>
  <si>
    <t>003C86</t>
  </si>
  <si>
    <t>Wood Expert</t>
  </si>
  <si>
    <t>WOOD</t>
  </si>
  <si>
    <t>003C85</t>
  </si>
  <si>
    <t>Lumi Rental Co.</t>
  </si>
  <si>
    <t>LUMI</t>
  </si>
  <si>
    <t>003C40</t>
  </si>
  <si>
    <t>Noreom Company Limited</t>
  </si>
  <si>
    <t>NOREOM</t>
  </si>
  <si>
    <t>003C41</t>
  </si>
  <si>
    <t>Raddad Al Madinah for General
Contracting</t>
  </si>
  <si>
    <t>RADDAD</t>
  </si>
  <si>
    <t>003C44</t>
  </si>
  <si>
    <t>003C45</t>
  </si>
  <si>
    <t>Virtual Projects DMCC</t>
  </si>
  <si>
    <t>VIRTUAL</t>
  </si>
  <si>
    <t>003C46</t>
  </si>
  <si>
    <t>Jameel Mohammed Hussain Alqatafa Cont.Est.</t>
  </si>
  <si>
    <t>JAMEEL</t>
  </si>
  <si>
    <t>003C47</t>
  </si>
  <si>
    <t>Gesr Alarab</t>
  </si>
  <si>
    <t>GESR</t>
  </si>
  <si>
    <t>003C48</t>
  </si>
  <si>
    <t>National Fire Fighting Manufacturing Company - NAFFCO</t>
  </si>
  <si>
    <t>NAFFCO</t>
  </si>
  <si>
    <t>003C49</t>
  </si>
  <si>
    <t>Yaz Development Contracting</t>
  </si>
  <si>
    <t>YAZ</t>
  </si>
  <si>
    <t>003C50</t>
  </si>
  <si>
    <t>Abeer Manawer Al-Shamari Contracting Est.</t>
  </si>
  <si>
    <t>ABEER</t>
  </si>
  <si>
    <t>003C51</t>
  </si>
  <si>
    <t>Brooq Alamaan Trading Company</t>
  </si>
  <si>
    <t>BROOQ ALAAMAAN</t>
  </si>
  <si>
    <t>003C83</t>
  </si>
  <si>
    <t>003C116</t>
  </si>
  <si>
    <t>Arabian Testing Evolution Company</t>
  </si>
  <si>
    <t>ARABIAN TTESTING</t>
  </si>
  <si>
    <t>003C74</t>
  </si>
  <si>
    <t>Abu Nayyan Trading</t>
  </si>
  <si>
    <t>ABU NAYYAN</t>
  </si>
  <si>
    <t>003C75</t>
  </si>
  <si>
    <t>Filter Expert Trading</t>
  </si>
  <si>
    <t>FILTER</t>
  </si>
  <si>
    <t>003C77</t>
  </si>
  <si>
    <t>Arab Company for Laboratories and Soil Branch (ACES)</t>
  </si>
  <si>
    <t>ACES</t>
  </si>
  <si>
    <t>003C92</t>
  </si>
  <si>
    <t>Al Hayat Investment</t>
  </si>
  <si>
    <t>AL HAYAT</t>
  </si>
  <si>
    <t>Payment On Behalf Of Saudi Arabian Baytur (Mar)</t>
  </si>
  <si>
    <t>003C93</t>
  </si>
  <si>
    <t>003C94</t>
  </si>
  <si>
    <t>003C95</t>
  </si>
  <si>
    <t>003C96</t>
  </si>
  <si>
    <t>003C97</t>
  </si>
  <si>
    <t>003C98</t>
  </si>
  <si>
    <t>003C99</t>
  </si>
  <si>
    <t>The International Company For Building Materials LTD Binex</t>
  </si>
  <si>
    <t>INT COMPANY</t>
  </si>
  <si>
    <t>003C100</t>
  </si>
  <si>
    <t>003C101</t>
  </si>
  <si>
    <t>003C102</t>
  </si>
  <si>
    <t>003C103</t>
  </si>
  <si>
    <t>003C104</t>
  </si>
  <si>
    <t>003C105</t>
  </si>
  <si>
    <t>003C108</t>
  </si>
  <si>
    <t>003C110</t>
  </si>
  <si>
    <t>AAMTAC Company LTD</t>
  </si>
  <si>
    <t>AAMTAC</t>
  </si>
  <si>
    <t>003C111</t>
  </si>
  <si>
    <t>Ramzi Abbas Mohd Sayed Est</t>
  </si>
  <si>
    <t>RAMZI</t>
  </si>
  <si>
    <t>003C112</t>
  </si>
  <si>
    <t>Ihsan Muhammed Thakir Idress Trading</t>
  </si>
  <si>
    <t>IHSAN</t>
  </si>
  <si>
    <t>003C113</t>
  </si>
  <si>
    <t>Saint Gobain - Sodamco Industrial</t>
  </si>
  <si>
    <t>SAINT GOBAIN</t>
  </si>
  <si>
    <t>003C79</t>
  </si>
  <si>
    <t>Glsan Contracting Company</t>
  </si>
  <si>
    <t>GLSAN</t>
  </si>
  <si>
    <t>003F10</t>
  </si>
  <si>
    <t>Third-Party Authority for Fire and Life Safety Review &amp; Certification Endorsement (Call off Order No: 031)</t>
  </si>
  <si>
    <t>003C81</t>
  </si>
  <si>
    <t>003C89</t>
  </si>
  <si>
    <t>003C90</t>
  </si>
  <si>
    <t>003C91</t>
  </si>
  <si>
    <t>003C82</t>
  </si>
  <si>
    <t>003C80</t>
  </si>
  <si>
    <t>003CXX</t>
  </si>
  <si>
    <t>Payment On Behalf Of Saudi Arabian Baytur (Mar)_CONTRACT CANCELLED_CONTRACT VALUE SAR 22,058.81</t>
  </si>
  <si>
    <t>003C149</t>
  </si>
  <si>
    <t>003C150</t>
  </si>
  <si>
    <t>OCIP Insurance Premium - Declaration 9</t>
  </si>
  <si>
    <t>003C125</t>
  </si>
  <si>
    <t>Payment On Behalf Of Saudi Arabian Baytur (Apr)</t>
  </si>
  <si>
    <t>003C124</t>
  </si>
  <si>
    <t>003C117</t>
  </si>
  <si>
    <t>003C109</t>
  </si>
  <si>
    <t>003C76</t>
  </si>
  <si>
    <t>003C146</t>
  </si>
  <si>
    <t>Al Tala'a International Transportation Co.</t>
  </si>
  <si>
    <t>AL TALA'A</t>
  </si>
  <si>
    <t>003C144</t>
  </si>
  <si>
    <t>003C143</t>
  </si>
  <si>
    <t>003C139</t>
  </si>
  <si>
    <t>003C137</t>
  </si>
  <si>
    <t>003C138</t>
  </si>
  <si>
    <t>003C135</t>
  </si>
  <si>
    <t>003C134</t>
  </si>
  <si>
    <t>003C133</t>
  </si>
  <si>
    <t>003C132</t>
  </si>
  <si>
    <t>003C131</t>
  </si>
  <si>
    <t>Masa Equipments Est</t>
  </si>
  <si>
    <t>MASA</t>
  </si>
  <si>
    <t>003C127</t>
  </si>
  <si>
    <t>003C145</t>
  </si>
  <si>
    <t>003C120</t>
  </si>
  <si>
    <t>003C123</t>
  </si>
  <si>
    <t>003C121</t>
  </si>
  <si>
    <t>003C136</t>
  </si>
  <si>
    <t>003C148</t>
  </si>
  <si>
    <t>Top Construction Co. Ltd.</t>
  </si>
  <si>
    <t>TOP CONST</t>
  </si>
  <si>
    <t>003C119</t>
  </si>
  <si>
    <t>003C140</t>
  </si>
  <si>
    <t>003C130</t>
  </si>
  <si>
    <t>Aknan Al Bena - ABECO</t>
  </si>
  <si>
    <t>AKNAN</t>
  </si>
  <si>
    <t>003C126</t>
  </si>
  <si>
    <t>TBK Metal</t>
  </si>
  <si>
    <t>TBK</t>
  </si>
  <si>
    <t>003C141</t>
  </si>
  <si>
    <t>003C122</t>
  </si>
  <si>
    <t>Alcatop International Company for Building Material</t>
  </si>
  <si>
    <t>ALCATOP</t>
  </si>
  <si>
    <t>003C147</t>
  </si>
  <si>
    <t>Saudi Brokers</t>
  </si>
  <si>
    <t>SAUDI BROKERS</t>
  </si>
  <si>
    <t>003C128</t>
  </si>
  <si>
    <t>Saveto Saudi Vetonit Co Ltd</t>
  </si>
  <si>
    <t>SAVETO</t>
  </si>
  <si>
    <t>003C152</t>
  </si>
  <si>
    <t>Lakeside Flood Solutions</t>
  </si>
  <si>
    <t>LAKESIDE</t>
  </si>
  <si>
    <t>003C174</t>
  </si>
  <si>
    <t>Payment On Behalf Of Saudi Arabian Baytur (Jul)</t>
  </si>
  <si>
    <t>003C118</t>
  </si>
  <si>
    <t>Dosar Al Najd</t>
  </si>
  <si>
    <t>DOSAR</t>
  </si>
  <si>
    <t>003C106</t>
  </si>
  <si>
    <t>003C154</t>
  </si>
  <si>
    <t>003C180</t>
  </si>
  <si>
    <t>Payment On Behalf Of Saudi Arabian Baytur (June)</t>
  </si>
  <si>
    <t>003C181</t>
  </si>
  <si>
    <t>003C183</t>
  </si>
  <si>
    <t>003C178</t>
  </si>
  <si>
    <t>003C179</t>
  </si>
  <si>
    <t>003C190</t>
  </si>
  <si>
    <t>Juffali Technical Equipment company</t>
  </si>
  <si>
    <t>003C189</t>
  </si>
  <si>
    <t>003C187</t>
  </si>
  <si>
    <t>003C186</t>
  </si>
  <si>
    <t>003C185</t>
  </si>
  <si>
    <t>003C184</t>
  </si>
  <si>
    <t>003C204</t>
  </si>
  <si>
    <t>FAST</t>
  </si>
  <si>
    <t>003C203</t>
  </si>
  <si>
    <t>TANSEEQ</t>
  </si>
  <si>
    <t>003C202</t>
  </si>
  <si>
    <t>003C201</t>
  </si>
  <si>
    <t>003C200</t>
  </si>
  <si>
    <t>003C199</t>
  </si>
  <si>
    <t>003C198</t>
  </si>
  <si>
    <t>003C197</t>
  </si>
  <si>
    <t>003C196</t>
  </si>
  <si>
    <t>003C195</t>
  </si>
  <si>
    <t>003C193</t>
  </si>
  <si>
    <t>003C194</t>
  </si>
  <si>
    <t>003C192</t>
  </si>
  <si>
    <t>003C191</t>
  </si>
  <si>
    <t>003C205</t>
  </si>
  <si>
    <t>Payment On Behalf Of Saudi Arabian Baytur (July)</t>
  </si>
  <si>
    <t>003C206</t>
  </si>
  <si>
    <t>003C207</t>
  </si>
  <si>
    <t>003C208</t>
  </si>
  <si>
    <t>003C211</t>
  </si>
  <si>
    <t>003C212</t>
  </si>
  <si>
    <t>003C213</t>
  </si>
  <si>
    <t>003C214</t>
  </si>
  <si>
    <t>003C215</t>
  </si>
  <si>
    <t>003C216</t>
  </si>
  <si>
    <t>003C217</t>
  </si>
  <si>
    <t>003C218</t>
  </si>
  <si>
    <t>003C219</t>
  </si>
  <si>
    <t>003C220</t>
  </si>
  <si>
    <t>003C221</t>
  </si>
  <si>
    <t>003C222</t>
  </si>
  <si>
    <t>003C223</t>
  </si>
  <si>
    <t>003C224</t>
  </si>
  <si>
    <t>003C225</t>
  </si>
  <si>
    <t>003C226</t>
  </si>
  <si>
    <t>003C227</t>
  </si>
  <si>
    <t>003C228</t>
  </si>
  <si>
    <t>003C229</t>
  </si>
  <si>
    <t>003C230</t>
  </si>
  <si>
    <t>TBC 1</t>
  </si>
  <si>
    <t>003F12</t>
  </si>
  <si>
    <t>GST Building Energy Efficiency Services</t>
  </si>
  <si>
    <t>GST BUILDING</t>
  </si>
  <si>
    <t>LEED Performance Testing (BECx &amp; IAQ) (Call off Order No: 024)</t>
  </si>
  <si>
    <t>003C153</t>
  </si>
  <si>
    <t>003C155</t>
  </si>
  <si>
    <t>003C157</t>
  </si>
  <si>
    <t>003C158</t>
  </si>
  <si>
    <t>003C159</t>
  </si>
  <si>
    <t>003C160</t>
  </si>
  <si>
    <t>003C162</t>
  </si>
  <si>
    <t>003C163</t>
  </si>
  <si>
    <t>003C164</t>
  </si>
  <si>
    <t>003C165</t>
  </si>
  <si>
    <t>003C166</t>
  </si>
  <si>
    <t>003C167</t>
  </si>
  <si>
    <t>003C168</t>
  </si>
  <si>
    <t>003C170</t>
  </si>
  <si>
    <t>003C171</t>
  </si>
  <si>
    <t>003C172</t>
  </si>
  <si>
    <t>003C173</t>
  </si>
  <si>
    <t>003C175</t>
  </si>
  <si>
    <t>003C177</t>
  </si>
  <si>
    <t>003C210</t>
  </si>
  <si>
    <t>003C156</t>
  </si>
  <si>
    <t>TBC 18</t>
  </si>
  <si>
    <t>003F13</t>
  </si>
  <si>
    <t>Tabuk Investment and Tourism Company (Enviro Facility Management)</t>
  </si>
  <si>
    <t>TABUK INVEST</t>
  </si>
  <si>
    <t>Deep Cleaning Services (Call off Order No: 005)</t>
  </si>
  <si>
    <t>003C250</t>
  </si>
  <si>
    <t>Payment On Behalf Of Saudi Arabian Baytur (Aug)</t>
  </si>
  <si>
    <t>003C232</t>
  </si>
  <si>
    <t>003C233</t>
  </si>
  <si>
    <t>003C234</t>
  </si>
  <si>
    <t>003C235</t>
  </si>
  <si>
    <t>003C238</t>
  </si>
  <si>
    <t>003C237</t>
  </si>
  <si>
    <t>003C239</t>
  </si>
  <si>
    <t>003C240</t>
  </si>
  <si>
    <t>003C241</t>
  </si>
  <si>
    <t>003C242</t>
  </si>
  <si>
    <t>003C243</t>
  </si>
  <si>
    <t>003C244</t>
  </si>
  <si>
    <t>003C245</t>
  </si>
  <si>
    <t>003C246</t>
  </si>
  <si>
    <t>003C247</t>
  </si>
  <si>
    <t>003C248</t>
  </si>
  <si>
    <t>003C249</t>
  </si>
  <si>
    <t>003C251</t>
  </si>
  <si>
    <t>003C252</t>
  </si>
  <si>
    <t>HRFA Special Skills Co</t>
  </si>
  <si>
    <t>HRFA</t>
  </si>
  <si>
    <t>003C253</t>
  </si>
  <si>
    <t>Nesma United Industries Co. Ltd.</t>
  </si>
  <si>
    <t>NESMA</t>
  </si>
  <si>
    <t>003C182</t>
  </si>
  <si>
    <t>Payment On Behalf Of Saudi Arabian Baytur</t>
  </si>
  <si>
    <t>003C236</t>
  </si>
  <si>
    <t>TBC 42</t>
  </si>
  <si>
    <t>003F11</t>
  </si>
  <si>
    <t>EXTRAORDINARY</t>
  </si>
  <si>
    <t>Supply and Delivery Of Buggies</t>
  </si>
  <si>
    <t>003C272</t>
  </si>
  <si>
    <t>Payment On Behalf Of Saudi Arabian Baytur (Sep)</t>
  </si>
  <si>
    <t>003C270</t>
  </si>
  <si>
    <t>003C271</t>
  </si>
  <si>
    <t>003C269</t>
  </si>
  <si>
    <t>003C268</t>
  </si>
  <si>
    <t>003C267</t>
  </si>
  <si>
    <t>003C266</t>
  </si>
  <si>
    <t>003C265</t>
  </si>
  <si>
    <t>003C263</t>
  </si>
  <si>
    <t>003C262</t>
  </si>
  <si>
    <t>003C261</t>
  </si>
  <si>
    <t>003C260</t>
  </si>
  <si>
    <t>003C259</t>
  </si>
  <si>
    <t>003C258</t>
  </si>
  <si>
    <t>003C257</t>
  </si>
  <si>
    <t>003C256</t>
  </si>
  <si>
    <t>003C255</t>
  </si>
  <si>
    <t>003C254</t>
  </si>
  <si>
    <t>TBC 60</t>
  </si>
  <si>
    <t>003D09</t>
  </si>
  <si>
    <t>SaudiCo Electronic Systems</t>
  </si>
  <si>
    <t>SAUDI ELEC</t>
  </si>
  <si>
    <t>Supply, Installation Of Oracle Hospitality Simphony Cloud POS Solutions for Yacht Club</t>
  </si>
  <si>
    <t>TBC 72</t>
  </si>
  <si>
    <t>003D07</t>
  </si>
  <si>
    <t>Birchstreet Systems, LLC</t>
  </si>
  <si>
    <t>BIRCHSTREET</t>
  </si>
  <si>
    <t>Procurement, Inventory, &amp; Receipt Management System for Yacht Club</t>
  </si>
  <si>
    <t>003C292</t>
  </si>
  <si>
    <t>Emaar Suhail Engineering Consultant</t>
  </si>
  <si>
    <t>EMAAR</t>
  </si>
  <si>
    <t>Payment On Behalf Of Saudi Arabian Baytur (Oct)</t>
  </si>
  <si>
    <t>003C291</t>
  </si>
  <si>
    <t>003C290</t>
  </si>
  <si>
    <t>003C289</t>
  </si>
  <si>
    <t>003C288</t>
  </si>
  <si>
    <t>003C287</t>
  </si>
  <si>
    <t>003C286</t>
  </si>
  <si>
    <t>003C285</t>
  </si>
  <si>
    <t>003C284</t>
  </si>
  <si>
    <t>003C283</t>
  </si>
  <si>
    <t>003C282</t>
  </si>
  <si>
    <t>003C281</t>
  </si>
  <si>
    <t>003C280</t>
  </si>
  <si>
    <t>003C279</t>
  </si>
  <si>
    <t>003C278</t>
  </si>
  <si>
    <t>003C277</t>
  </si>
  <si>
    <t>003C276</t>
  </si>
  <si>
    <t>Medtel WN Contracting Co.</t>
  </si>
  <si>
    <t>MEDTEL_CON</t>
  </si>
  <si>
    <t>003C275</t>
  </si>
  <si>
    <t>003C274</t>
  </si>
  <si>
    <t>003C273</t>
  </si>
  <si>
    <t>TBC 143</t>
  </si>
  <si>
    <t>003D15</t>
  </si>
  <si>
    <t>Supply, Implementation Of Infor SunSystems for AMAALA Yacht Club</t>
  </si>
  <si>
    <t>003C293</t>
  </si>
  <si>
    <t>Payment On Behalf Of Saudi Arabian Baytur (Nov)</t>
  </si>
  <si>
    <t>TBC 154</t>
  </si>
  <si>
    <t>003D10</t>
  </si>
  <si>
    <t>Al Falak Electronic Equipment &amp; Supplies Co</t>
  </si>
  <si>
    <t>AL FALAK</t>
  </si>
  <si>
    <t>Providing HPE Servers</t>
  </si>
  <si>
    <t>003C299</t>
  </si>
  <si>
    <t>Payment On Behalf Of Saudi Arabian Baytur (Nov/Dec)</t>
  </si>
  <si>
    <t>003C302</t>
  </si>
  <si>
    <t>003C303</t>
  </si>
  <si>
    <t>003C301</t>
  </si>
  <si>
    <t>003C300</t>
  </si>
  <si>
    <t>003C309</t>
  </si>
  <si>
    <t>003C310</t>
  </si>
  <si>
    <t>003C294</t>
  </si>
  <si>
    <t>003C308</t>
  </si>
  <si>
    <t>003C306</t>
  </si>
  <si>
    <t>003C305</t>
  </si>
  <si>
    <t>003C304</t>
  </si>
  <si>
    <t>003C297</t>
  </si>
  <si>
    <t>003C295</t>
  </si>
  <si>
    <t>TBC 165</t>
  </si>
  <si>
    <t>003D12</t>
  </si>
  <si>
    <t>Infor (Saudi Arabia Limited)</t>
  </si>
  <si>
    <t>INFOR</t>
  </si>
  <si>
    <t>Supply,Setup and Implementation Of Infor Financial Software (SunSystems)</t>
  </si>
  <si>
    <t>TBC 167</t>
  </si>
  <si>
    <t>003D11</t>
  </si>
  <si>
    <t>Sevenrooms Inc.</t>
  </si>
  <si>
    <t>SEVEN</t>
  </si>
  <si>
    <t>Supply,Setup and Implementation Of Reservation System</t>
  </si>
  <si>
    <t>003C312</t>
  </si>
  <si>
    <t>Payment On Behalf Of Saudi Arabian Baytur (Jan)</t>
  </si>
  <si>
    <t>003C307</t>
  </si>
  <si>
    <t>Village Boutique Branded Condos</t>
  </si>
  <si>
    <t>Village Boutique Residence</t>
  </si>
  <si>
    <t>Village Boutique Hotel</t>
  </si>
  <si>
    <t>Village Boutique Hotel-Project Wide</t>
  </si>
  <si>
    <t>Rectification of damages to the interior fit‑out works (Backcharge to Alfanar)</t>
  </si>
  <si>
    <t>KAA01003-RIA-000019</t>
  </si>
  <si>
    <t>ESC01003-RIA-000009</t>
  </si>
  <si>
    <t>Rectification of Wooden steps</t>
  </si>
  <si>
    <t>AMA01003-WTRAN-050007</t>
  </si>
  <si>
    <t>CIL01003-GENCORR-000157</t>
  </si>
  <si>
    <t>1TB01003-003F08-AMA-LTR-0024</t>
  </si>
  <si>
    <t>1TB01003-003F08-AMA-LTR-0023</t>
  </si>
  <si>
    <t>ADL01003-GENCORR-000066</t>
  </si>
  <si>
    <t>1TB01003-003F06-AMA-LTR-0016</t>
  </si>
  <si>
    <t>ECC01003-GENCORR-000018</t>
  </si>
  <si>
    <t>1TB01003-003F07-AMA-LTR-0009</t>
  </si>
  <si>
    <t>ECC01003-GENCORR-000019</t>
  </si>
  <si>
    <t>1TB01003-003F09-AMA-LTR-0004</t>
  </si>
  <si>
    <t>EVO 031</t>
  </si>
  <si>
    <t>AMA01003-WTRAN-048808</t>
  </si>
  <si>
    <t>PVO 031</t>
  </si>
  <si>
    <t>VO 031</t>
  </si>
  <si>
    <t>1TB01003-003C09-AMA-LTR-0229</t>
  </si>
  <si>
    <t>EVO 31: Omission of the Doors' Edge Guards</t>
  </si>
  <si>
    <t>Supply and Installation of Additional Flashing Pressure Plate above Doors</t>
  </si>
  <si>
    <t>EVO 07</t>
  </si>
  <si>
    <t>PVO 032</t>
  </si>
  <si>
    <t>Back Charge</t>
  </si>
  <si>
    <t>EVO 04: Replacement of passenger elevator doors and accessories (Backcharge to DEPA)</t>
  </si>
  <si>
    <t>Extension of CML Independent Commissioning Agent Services until 31 May 2026</t>
  </si>
  <si>
    <t>EVO 03</t>
  </si>
  <si>
    <t>AMA01003-PAYAP-002380</t>
  </si>
  <si>
    <t>IPC 1</t>
  </si>
  <si>
    <t>1TB01003-003D07-AMA-LTR-0001</t>
  </si>
  <si>
    <t>CIL01003-RIA-000016</t>
  </si>
  <si>
    <t>AMA01003-WTRAN-050202</t>
  </si>
  <si>
    <t>Final IPC 1</t>
  </si>
  <si>
    <t>Determination issued to SAB on the 29 April 2026 under letter reference 1TB01003-003C03-AMA-LTR-0329</t>
  </si>
  <si>
    <t>Determination issued to SAB on the 29 April 2026 under letter reference 1TB01003-003C03-AMA-LTR-0330</t>
  </si>
  <si>
    <t>VO 33</t>
  </si>
  <si>
    <t>AMA01003-WTRAN-049011</t>
  </si>
  <si>
    <t>1TB01003-003C03-AMA-LTR-0326</t>
  </si>
  <si>
    <t>Determination issued to DEPA on the 29 April 2026 under letter reference 1TB01003-003C09-AMA-LTR-0233</t>
  </si>
  <si>
    <t>Determination issued to DEPA on the 29 April 2026 under letter reference 1TB01003-003C09-AMA-LTR-0235</t>
  </si>
  <si>
    <t>Determination issued to DEPA on the 29 April 2026 under letter reference 1TB01003-003C09-AMA-LTR-0236</t>
  </si>
  <si>
    <t>ACY01003-RIA-000012</t>
  </si>
  <si>
    <t>Provision of Vinyl Film with Frit Pattern to the full Façade Glazing of the North &amp; South Boutiques (Full Coverage)</t>
  </si>
  <si>
    <t>EVO No. 005 - Extension of Consultant’s Senior Architect (Khatib &amp; Alami) to 31 May 2026 - Backcharge</t>
  </si>
  <si>
    <t>VO 034</t>
  </si>
  <si>
    <t>AMA01003-WTRAN-050329</t>
  </si>
  <si>
    <t>AMI01003-GENCORR-000043</t>
  </si>
  <si>
    <t>1TB01003-003C32-AMA-LTR-0017</t>
  </si>
  <si>
    <t>1TB01003-003C27-AMA-LTR-0069</t>
  </si>
  <si>
    <t>ATA01003-GENCORR-000061</t>
  </si>
  <si>
    <t>1TB01003-003C27-AMA-LTR-0071</t>
  </si>
  <si>
    <t>BTR for DEPA PVO/DVO - Urinal Sensor</t>
  </si>
  <si>
    <t>AMA01003-RBTR-001032</t>
  </si>
  <si>
    <t>BTR for DEPA PVO - Urinal Sensor</t>
  </si>
  <si>
    <t>AMA01003-RBTR-001041</t>
  </si>
  <si>
    <t>BTR for Contract Award – SevenRooms Inc – Reservation System</t>
  </si>
  <si>
    <t>AMA01003-RBTR-001040</t>
  </si>
  <si>
    <t xml:space="preserve">PVO/DVO 016 - Descope FF12.04 Millwork &amp; Procure Globe via Depa </t>
  </si>
  <si>
    <t>SUB-TOTAL</t>
  </si>
  <si>
    <t>SOI TB Ground Improvement Works (SIC)</t>
  </si>
  <si>
    <t>SAB - Civil and Arch Works, MEPD &amp; ICT/ELV (Baytur)</t>
  </si>
  <si>
    <t>Special Kitchen (Al Raqtan)</t>
  </si>
  <si>
    <t>Check EW (from Schedule A)</t>
  </si>
  <si>
    <t>Should Be Zero</t>
  </si>
  <si>
    <t>EW 11</t>
  </si>
  <si>
    <t>EW 13</t>
  </si>
  <si>
    <t>EW 14</t>
  </si>
  <si>
    <t>Ei Issued</t>
  </si>
  <si>
    <t>BC  issued</t>
  </si>
  <si>
    <t>MEP Cladding Works and Supply and Install Sanitary ware on Amaala Yacht Club</t>
  </si>
  <si>
    <t>MH3</t>
  </si>
  <si>
    <t>KORTEK</t>
  </si>
  <si>
    <t>009C05</t>
  </si>
  <si>
    <t>KTH - MEP Works Package - 2240072</t>
  </si>
  <si>
    <t>KORTEC</t>
  </si>
  <si>
    <t>KTH - MEP Works Package - 2240072 - KORTEK</t>
  </si>
  <si>
    <t>EVO 015</t>
  </si>
  <si>
    <t>AMA01009-WTRAN-239408</t>
  </si>
  <si>
    <t>1TB01009-009C05-AMA-LTR-0106</t>
  </si>
  <si>
    <t>EVO 005</t>
  </si>
  <si>
    <t>AMA01003-WTRAN-049140</t>
  </si>
  <si>
    <t>PVO 005</t>
  </si>
  <si>
    <t>103a</t>
  </si>
  <si>
    <t>Completion of the remaining Back of House Finishes [PART 02]</t>
  </si>
  <si>
    <t>PVO 035</t>
  </si>
  <si>
    <t>AMA01003-WTRAN-026301</t>
  </si>
  <si>
    <t>VO 035</t>
  </si>
  <si>
    <t>VO 033</t>
  </si>
  <si>
    <t>MEC01003-RIA-000020</t>
  </si>
  <si>
    <t>1TB01003-003D15-AMA-LTR-0001</t>
  </si>
  <si>
    <t>AMA01003-FINSTAT-000017</t>
  </si>
  <si>
    <t>SAUDICOE-RIA-000001</t>
  </si>
  <si>
    <t>CIL01003-RIA-000017</t>
  </si>
  <si>
    <t>Supply of Plant/Equipment and Labour for ALCATOP Works at Amaala Yacht Club (AYC) Project</t>
  </si>
  <si>
    <t>CHECK ZERO</t>
  </si>
  <si>
    <t>1.TB.01.012.01</t>
  </si>
  <si>
    <t>Four Seasons</t>
  </si>
  <si>
    <t>Alcatop</t>
  </si>
  <si>
    <t>012C33</t>
  </si>
  <si>
    <t>ALC - Alcatop Package - Fourseasons</t>
  </si>
  <si>
    <t>FOURSEASON</t>
  </si>
  <si>
    <t>1.TB.12.100</t>
  </si>
  <si>
    <t>FOURSEASONS</t>
  </si>
  <si>
    <t>1.TB.01.012</t>
  </si>
  <si>
    <t>EVO 042</t>
  </si>
  <si>
    <t>AMA02012-WTRAN-386212</t>
  </si>
  <si>
    <t>ADL01003-GENCORR-000068</t>
  </si>
  <si>
    <t>1TB01003-003F06-AMA-LTR-0017</t>
  </si>
  <si>
    <t xml:space="preserve">
Rectification of Glass Balustrade Damaged by Al Fanar
</t>
  </si>
  <si>
    <t xml:space="preserve">
Rectification of Glass Balustrade Damaged by Al Fanar (Backcharge)
</t>
  </si>
  <si>
    <t>AMA01003-FINSTAT-000018</t>
  </si>
  <si>
    <t>1TB01003-003D09-AMA-LTR-0001</t>
  </si>
  <si>
    <t>SAUDICOE-RIA-000002</t>
  </si>
  <si>
    <t>DVO 023</t>
  </si>
  <si>
    <t>DVO 028</t>
  </si>
  <si>
    <t>Extension of Areen services - 31 May 2026</t>
  </si>
  <si>
    <t>RFA 003</t>
  </si>
  <si>
    <t>IPC -01</t>
  </si>
  <si>
    <t>1TB01003-003F12-AMA-LTR-0001</t>
  </si>
  <si>
    <t>FFE and Material Improvements</t>
  </si>
  <si>
    <t>VO 36</t>
  </si>
  <si>
    <t>EVO 010</t>
  </si>
  <si>
    <t>CIL01003-GENCORR-000160</t>
  </si>
  <si>
    <t>1TB01003-003F08-AMA-LTR-0026</t>
  </si>
  <si>
    <t>DVO 033</t>
  </si>
  <si>
    <t>ATA01003-RIA-000017</t>
  </si>
  <si>
    <t>AMA01003-WTRAN-050595</t>
  </si>
  <si>
    <t>AMA01003-WTRAN-050764</t>
  </si>
  <si>
    <t>AMA01009-WTRAN-253582</t>
  </si>
  <si>
    <t>AMA01003-WTRAN-050797</t>
  </si>
  <si>
    <t>AMA01003-WTRAN-050798</t>
  </si>
  <si>
    <t>AMA01003-WTRAN-050799</t>
  </si>
  <si>
    <t>AMA01003-WTRAN-050802</t>
  </si>
  <si>
    <t>Al Futtaim Pioneer</t>
  </si>
  <si>
    <t>Al Futtaim Pioneer Elevators</t>
  </si>
  <si>
    <t>Al Futtaim</t>
  </si>
  <si>
    <t>Al Futtaim Pioneer Elevators - Al Futtaim Pioneer</t>
  </si>
  <si>
    <t>AL FUTTAIM</t>
  </si>
  <si>
    <t xml:space="preserve"> Request for Approval (RFA) to Appoint Al Futtaim Contracting (AFC) to Take Over the Remaining Elevator Works at the AMAALA Yacht Club Project</t>
  </si>
  <si>
    <t>RFA 06</t>
  </si>
  <si>
    <t>AMA01003-WTRAN-050877</t>
  </si>
  <si>
    <t>Back Charge to Essco related to snagging and elevator compliance
Note SAR 370,875 will be ommitted from DEPA scope based on approved PVO to fund from Al Futtaim appointment</t>
  </si>
  <si>
    <t>AMA01003-WTRAN-050878</t>
  </si>
  <si>
    <t>Supply and Installation of Vinyl Film, Gaskets, Touchless Door Sensors, Master Key Cylinders, and Conversion of Manual Sliding Doors to Automatic</t>
  </si>
  <si>
    <t>ECC01003-RIA-000009</t>
  </si>
  <si>
    <t>ECC01003-RIA-000008</t>
  </si>
  <si>
    <t>ESC01003-RIA-000010</t>
  </si>
  <si>
    <t>AMA01003-WTRAN-050928</t>
  </si>
  <si>
    <t>AMA01003-WTRAN-050932</t>
  </si>
  <si>
    <t>Food &amp; Beverage (F&amp;B) Design Changes (MEP) – AMAALA Yacht Club</t>
  </si>
  <si>
    <t>EVO 008</t>
  </si>
  <si>
    <t>DVO-03</t>
  </si>
  <si>
    <t>MEP Additional works during snagging</t>
  </si>
  <si>
    <t>ADL01003-RIA-000015</t>
  </si>
  <si>
    <t>AMA01003-WTRAN-050977</t>
  </si>
  <si>
    <t>AMA01003-WTRAN-050975</t>
  </si>
  <si>
    <t>AMA01003-WTRAN-050976</t>
  </si>
  <si>
    <t>AMA01003-WTRAN-050978</t>
  </si>
  <si>
    <t>AMA01003-WTRAN-050982</t>
  </si>
  <si>
    <t>AMA01003-WTRAN-050983</t>
  </si>
  <si>
    <t>AMA01003-WTRAN-050984</t>
  </si>
  <si>
    <t>AMA01003-WTRAN-050994</t>
  </si>
  <si>
    <t>ADL01003-RIA-000016</t>
  </si>
  <si>
    <t xml:space="preserve">1TB01003-AMA01003-RFC-000059 - Provision of Power and Data Connectivity for KOT Printers </t>
  </si>
  <si>
    <t>AMA01003-RBTR-001054</t>
  </si>
  <si>
    <t>AMA01003-RBTR-001053</t>
  </si>
  <si>
    <t>OCIP Direct Payment no 11 AMAALA Yacht Club</t>
  </si>
  <si>
    <t>AMA01003-RBTR-001052</t>
  </si>
  <si>
    <t>AMA01003-RBTR-001057</t>
  </si>
  <si>
    <t>PeopleVine Implementation for Yacht Club-AMAALA</t>
  </si>
  <si>
    <t>AMA01003-WTRAN-051195</t>
  </si>
  <si>
    <t>AMA01003-WTRAN-051194</t>
  </si>
  <si>
    <t>Adjustment DVO &amp; PVO 26 (Direct Payments - April and May 26)</t>
  </si>
  <si>
    <t>AMA01003-WTRAN-050879</t>
  </si>
  <si>
    <t>1TB01003-003F02-AMA-LTR-0047</t>
  </si>
  <si>
    <t>Adjustment DVO &amp; PVO 25 (Direct Payments - Jan, Feb and Mar 26)</t>
  </si>
  <si>
    <t>Adjustment DVO &amp; PVO 12 (DEPA's Millworks to Show Kitchen)</t>
  </si>
  <si>
    <t>Extension of Consultant’s Senior Architect (Khatib &amp; Alami) to 31 August 2026</t>
  </si>
  <si>
    <t>EVO 006</t>
  </si>
  <si>
    <t>Adjusment PVO &amp; DVO 001 Armetal</t>
  </si>
  <si>
    <t>Adjusment PVO &amp; DVO 002 Armetal</t>
  </si>
  <si>
    <t>Adjustment DVO &amp; PVO 26 (Direct Payments - Jun and Jul 26)</t>
  </si>
  <si>
    <t>Extension of CML Independent Commissioning Agent Services until 30 June 2026</t>
  </si>
  <si>
    <t>EVO 004</t>
  </si>
  <si>
    <t>Adjusment PVO &amp; DVO 002 ESCCO</t>
  </si>
  <si>
    <t>Adjusment PVO &amp; DVO 003 ESCCO</t>
  </si>
  <si>
    <t>1TB01003-003C27-AMA-LTR-0074</t>
  </si>
  <si>
    <t>DVO 019</t>
  </si>
  <si>
    <t>PeopleVine</t>
  </si>
  <si>
    <t>BTR to be processed.</t>
  </si>
  <si>
    <t>FFEOSE.003D16</t>
  </si>
  <si>
    <t>PeopleVine Implementation</t>
  </si>
  <si>
    <t>Commercial carrying out a Determination under approval Ref to WF-021494</t>
  </si>
  <si>
    <t>Commercial carrying out a Determination under approval Ref to WF-021495</t>
  </si>
  <si>
    <t>DV0 025</t>
  </si>
  <si>
    <t>Commercial carrying out a Determination under approval Ref to WF-021496</t>
  </si>
  <si>
    <t>DVO 017</t>
  </si>
  <si>
    <t>Commercial carrying out a Determination under approval Ref to WF-021497</t>
  </si>
  <si>
    <t>VO 036</t>
  </si>
  <si>
    <t>EVO 037</t>
  </si>
  <si>
    <t>VO 37</t>
  </si>
  <si>
    <t>Supply and installation of internal vinyl film at four (4) locations across Levels 1, 2, and 3</t>
  </si>
  <si>
    <t>Rectification of ceiling holes, including the application of spray acoustic paint</t>
  </si>
  <si>
    <t>EVO 038</t>
  </si>
  <si>
    <t>VO 38</t>
  </si>
  <si>
    <t>AMA01003-PAYAP-002542</t>
  </si>
  <si>
    <t>1TB01003-003D16-AMA-LTR-0001</t>
  </si>
  <si>
    <t>DCC01003-RIA-000025</t>
  </si>
  <si>
    <t>AMA01003-WTRAN-051284</t>
  </si>
  <si>
    <t>1TB01003-003F08-AMA-LTR-0025</t>
  </si>
  <si>
    <t>AMA01003-WTRAN-051347</t>
  </si>
  <si>
    <t>AMA01003-WTRAN-051403</t>
  </si>
  <si>
    <t>EVO 036</t>
  </si>
  <si>
    <t>F Albalawi - Rejected. To be done in-house - Design team</t>
  </si>
  <si>
    <t>AMA01003-WTRAN-051402</t>
  </si>
  <si>
    <t>AMA01003-RIA-000254</t>
  </si>
  <si>
    <t>Al Fanar Extension #4 (remaining materials, tranasfer material, manpower and equipment)</t>
  </si>
  <si>
    <t>TOTAL PACKAGES</t>
  </si>
  <si>
    <t>VALUE – OPEN (SAR)</t>
  </si>
  <si>
    <t>VALUE – CLOSED (SAR)</t>
  </si>
  <si>
    <t>TOTAL ANTICIPATED FA (SAR)</t>
  </si>
  <si>
    <t>No.</t>
  </si>
  <si>
    <t>ACC Code</t>
  </si>
  <si>
    <t>Package / Description</t>
  </si>
  <si>
    <t>Type</t>
  </si>
  <si>
    <t>Committed Cost
(Schedule B – Col K)</t>
  </si>
  <si>
    <t>Uncommitted Cost
(AFA – Committed)</t>
  </si>
  <si>
    <t>Anticipated Final
Account (Sch B – Q)</t>
  </si>
  <si>
    <t>Responsible</t>
  </si>
  <si>
    <t>Forecast Date
(FA Closure)</t>
  </si>
  <si>
    <t>Days Remaining
to Close</t>
  </si>
  <si>
    <t>Works Ongoing</t>
  </si>
  <si>
    <t>FAS Signed (Closed)</t>
  </si>
  <si>
    <t>Mike H</t>
  </si>
  <si>
    <t>PS.003F07</t>
  </si>
  <si>
    <t>Azam Shaikh</t>
  </si>
  <si>
    <t>CN.003C14</t>
  </si>
  <si>
    <t>Fayez Aldosari</t>
  </si>
  <si>
    <t>CN.003C33</t>
  </si>
  <si>
    <t>CN.003C36</t>
  </si>
  <si>
    <t>No FAS Required (Direct Payment)</t>
  </si>
  <si>
    <t>CN.003C37</t>
  </si>
  <si>
    <t>No FAS Required (PO)</t>
  </si>
  <si>
    <t>CN.009C05</t>
  </si>
  <si>
    <t>CN.012C33</t>
  </si>
  <si>
    <t>Alcatop Package (Four Seasons) – ongoing.</t>
  </si>
  <si>
    <t>Al Futtaim Pioneer Elevators – ongoing.</t>
  </si>
  <si>
    <t>TOTAL – AMAALA YACHT CLUB FINAL ACCOUNTS</t>
  </si>
  <si>
    <t>DIRECT PAYMENTS ON BEHALF OF SAB (CN.003C03) — NO FINAL ACCOUNT REQUIRED</t>
  </si>
  <si>
    <t>Direct Payments on behalf of SAB (Jan–Aug) — consolidated</t>
  </si>
  <si>
    <t>Various subcontractors / suppliers (paid on behalf of SAB)</t>
  </si>
  <si>
    <t>Direct Actual</t>
  </si>
  <si>
    <t>–</t>
  </si>
  <si>
    <t>No FA Req.</t>
  </si>
  <si>
    <t>Consolidated total of 196 direct-payment lines (Jan–Aug), paid on behalf of SAB. Recovered through SAB; no separate final account required.</t>
  </si>
  <si>
    <t>SUB-TOTAL – DIRECT PAYMENTS (NO FA)</t>
  </si>
  <si>
    <t>Add: Remaining Budget Hold (PS+MS+CM+CN) — per Schedule B</t>
  </si>
  <si>
    <t>Unallocated budget hold retained in Schedule B grand total (incl. budget hold).</t>
  </si>
  <si>
    <t>GRAND TOTAL — ties to Schedule B Grand Total Asset Costs (incl. Budget Hold)</t>
  </si>
  <si>
    <t>Contract Cancelled</t>
  </si>
  <si>
    <t>Works Ongoing - FAS highly unlikely - SAB non exisistant</t>
  </si>
  <si>
    <t>Works Ongoing - F&amp;B changes</t>
  </si>
  <si>
    <t xml:space="preserve">Works Ongoing - Provision allowed for EOT's </t>
  </si>
  <si>
    <t>Works Ongoing + Provision for EOT's</t>
  </si>
  <si>
    <t xml:space="preserve">Works Ongoing further extension provided. </t>
  </si>
  <si>
    <t>No final account required</t>
  </si>
  <si>
    <t>Not Required</t>
  </si>
  <si>
    <t>Procurement team to close Final Account</t>
  </si>
  <si>
    <t xml:space="preserve">Works Ongoing </t>
  </si>
  <si>
    <t>Works Ongoing and back charges</t>
  </si>
  <si>
    <t>Malik / Hazem Ali</t>
  </si>
  <si>
    <t>Works ongoing</t>
  </si>
  <si>
    <t>Works done under MH3</t>
  </si>
  <si>
    <t>Ved Kumar</t>
  </si>
  <si>
    <t>Christopher Lewis</t>
  </si>
  <si>
    <t>Add: Direct Payments on behalf of SAB (no FA)</t>
  </si>
  <si>
    <t>Add: Interproject / Budget Transfer packages (no FA)</t>
  </si>
  <si>
    <t>Sub-total – AYC Final Accounts (real packages, excl. below-the-line &amp; Budget Hold)</t>
  </si>
  <si>
    <t>Note: Items below the line require no AYC final account, but form part of total asset cost and are added back below to reconcile to Schedule B.</t>
  </si>
  <si>
    <t>Payments made by the Client on behalf of SAB; recovered through the SAB main contract account. No separate final account required.</t>
  </si>
  <si>
    <t>SUB-TOTAL – BUDGET TRANSFER (NO FA)</t>
  </si>
  <si>
    <t>Input received from other contractors; budget to be transferred back to the originating package. No final account to be completed under AYC.</t>
  </si>
  <si>
    <t>INTERPROJECT / BUDGET TRANSFER PACKAGES — NO AYC FINAL ACCOUNT REQUIRED</t>
  </si>
  <si>
    <t>VALUE – NOT REQ. (SAR)</t>
  </si>
  <si>
    <t>NOT REQUIRED</t>
  </si>
  <si>
    <t>AMA01003-WTRAN-051506</t>
  </si>
  <si>
    <t>PVO 003</t>
  </si>
  <si>
    <t>Replacement of Glass fin, (L0-N1) BC to Al fanar</t>
  </si>
  <si>
    <t>EVO 11</t>
  </si>
  <si>
    <t>Al Fanar - Interim Forecast Final Account Alignment</t>
  </si>
  <si>
    <t xml:space="preserve">RFA </t>
  </si>
  <si>
    <t>AMA01003-WTRAN-051509</t>
  </si>
  <si>
    <t>AMA01003-WTRAN-051511</t>
  </si>
  <si>
    <t>VO 35</t>
  </si>
  <si>
    <t>1TB01003-003C09-AMA-LTR-0055</t>
  </si>
  <si>
    <t>AMA01003-WTRAN-051510</t>
  </si>
  <si>
    <t>AMA01003-WTRAN-051512</t>
  </si>
  <si>
    <t>AMA01003-WTRAN-051589</t>
  </si>
  <si>
    <t>Abdulrahman</t>
  </si>
  <si>
    <t>CIL01003-GENCORR-000163</t>
  </si>
  <si>
    <t>KAA01003-GENCORR-000574</t>
  </si>
  <si>
    <t>1TB01003-003F02-AMA-LTR-0048</t>
  </si>
  <si>
    <t xml:space="preserve">No FAS requried </t>
  </si>
  <si>
    <t>Final Account - Euro Consult</t>
  </si>
  <si>
    <t>FA Statement</t>
  </si>
  <si>
    <t>AMA01003-WTRAN-051652</t>
  </si>
  <si>
    <t>AMA01003-WTRAN-051811</t>
  </si>
  <si>
    <t>AMA01003-WTRAN-051812</t>
  </si>
  <si>
    <t>AMA01003-WTRAN-051857</t>
  </si>
  <si>
    <t>AMA01003-WTRAN-051855</t>
  </si>
  <si>
    <t>AMA01003-WTRAN-051856</t>
  </si>
  <si>
    <t>Add Aluminum Profile to Relocate Water Feature LED Lighting</t>
  </si>
  <si>
    <t>VO 39</t>
  </si>
  <si>
    <t xml:space="preserve">Abdulrahman </t>
  </si>
  <si>
    <t>DVO-31</t>
  </si>
  <si>
    <t>MEC01003-TRANSMIT-000038</t>
  </si>
  <si>
    <t>EVO 011</t>
  </si>
  <si>
    <t>AMA01003-WTRAN-049427</t>
  </si>
  <si>
    <t>1TB01003-003C09-AMA-LTR-0209</t>
  </si>
  <si>
    <t>ACY01003-GENCORR-000069</t>
  </si>
  <si>
    <t>Commercial carrying out a Determination under approval Ref to WF-021806</t>
  </si>
  <si>
    <t>PVO-07</t>
  </si>
  <si>
    <t>EVO 005 R1</t>
  </si>
  <si>
    <t>MAS Additional Labour Requirement - Extension (13 May to 31 July 2026)</t>
  </si>
  <si>
    <t>AMA01003-WTRAN-052162</t>
  </si>
  <si>
    <t>AMA01003-WTRAN-050929</t>
  </si>
  <si>
    <t>DVO 030</t>
  </si>
  <si>
    <t>Commercial carrying out a Determination under approval Ref to WF-021839</t>
  </si>
  <si>
    <t>Determination under approval</t>
  </si>
  <si>
    <t>Commercial carrying out a Determination under approval Ref to WF-021840</t>
  </si>
  <si>
    <t>AMA01003-WTRAN-050930</t>
  </si>
  <si>
    <t>Commercial carrying out a determination for approval under WF-021842</t>
  </si>
  <si>
    <t>Commercial carrying out a determination for approval under WF-021843</t>
  </si>
  <si>
    <t>Commercial carrying out a determination for approval under WF-021841</t>
  </si>
  <si>
    <t>JensenHuges</t>
  </si>
  <si>
    <t>Final Account - Jensen Huges Saudi Arabia LLC  - COO#07</t>
  </si>
  <si>
    <t>Final Account - Jensen Huges Saudi Arabia LLC  - COO#030</t>
  </si>
  <si>
    <t>BIRCHSTR-RAI-000001</t>
  </si>
  <si>
    <t>GST-RIA-000003</t>
  </si>
  <si>
    <t>CIL01003-RIA-000018</t>
  </si>
  <si>
    <t xml:space="preserve">BTR for DVO - CML Extension up to May 26 </t>
  </si>
  <si>
    <t>BTR for DVO - DEPA BOH Finishes (Part 2)</t>
  </si>
  <si>
    <t>BTR for DVO - K&amp;A Extension up to May 26</t>
  </si>
  <si>
    <t>BTR for DVO - DEPA Member's Lobby Staircase Finishes part 2</t>
  </si>
  <si>
    <t>Adjustment to PVO per approved DVO - DEPA EI 16 Access Doors</t>
  </si>
  <si>
    <t>Adjustment to PVO 23 &amp; 24 per approved DVOs</t>
  </si>
  <si>
    <r>
      <t>Food &amp; Beverage (F&amp;B) Design Changes (MEP) –</t>
    </r>
    <r>
      <rPr>
        <sz val="10"/>
        <color rgb="FFFF0000"/>
        <rFont val="Calibri"/>
        <family val="2"/>
        <scheme val="minor"/>
      </rPr>
      <t xml:space="preserve"> Duplicate of Al Fanar, if this is approved Cancel Al Fanar</t>
    </r>
  </si>
  <si>
    <t>EVO 016</t>
  </si>
  <si>
    <t>TRA - Zatca Integration with Reachware</t>
  </si>
  <si>
    <t>003D14</t>
  </si>
  <si>
    <t>TRA</t>
  </si>
  <si>
    <t xml:space="preserve">Reachware installation </t>
  </si>
  <si>
    <t>IPC 01</t>
  </si>
  <si>
    <t>Email - Invoices</t>
  </si>
  <si>
    <t>1TB01003-003D14-AMA-LTR-0001</t>
  </si>
  <si>
    <t>EFM01003-GENCORR-000001</t>
  </si>
  <si>
    <t>1TB01003-003F13-AMA-LTR-0001</t>
  </si>
  <si>
    <t>AMA01003-WTRAN-052163</t>
  </si>
  <si>
    <t>AMA01003-WTRAN-052428</t>
  </si>
  <si>
    <t>FA</t>
  </si>
  <si>
    <t>AMA01003-WTRAN-052427</t>
  </si>
  <si>
    <t>Extension of CML Independent Commissioning Agent Services until 31 August 2026</t>
  </si>
  <si>
    <t>EVO 05</t>
  </si>
  <si>
    <t>1.TB.01.006.99</t>
  </si>
  <si>
    <t>VBH_PROJECT WIDE</t>
  </si>
  <si>
    <t>006C22</t>
  </si>
  <si>
    <t>Shandong Tiejun Electric Power Engineering Co. LTD. Branch</t>
  </si>
  <si>
    <t>SHANDONG</t>
  </si>
  <si>
    <t>TEIJUN VBH</t>
  </si>
  <si>
    <t>Supply &amp; Installation of Additional Kitchen Equipment at AYC</t>
  </si>
  <si>
    <t xml:space="preserve">TEIJUN </t>
  </si>
  <si>
    <t>EVO 059</t>
  </si>
  <si>
    <t>Cancelled, works give to MSFT under VBH trhough Teijun refer to line item 325</t>
  </si>
  <si>
    <t>CIL01003-GENCORR-000165</t>
  </si>
  <si>
    <t>1TB01003-003F08-AMA-LTR-0029</t>
  </si>
  <si>
    <t>AMA01003-VAR-OR-000001</t>
  </si>
  <si>
    <t>1TB01003-003F08-AMA-LTR-0027</t>
  </si>
  <si>
    <t>DVO-04</t>
  </si>
  <si>
    <t>1.TB.01.009.99</t>
  </si>
  <si>
    <t>IMAR Overseas Saudi Arabia Co. W.L.L.</t>
  </si>
  <si>
    <t>009C09</t>
  </si>
  <si>
    <t>IMAR</t>
  </si>
  <si>
    <t>IMAR MH3</t>
  </si>
  <si>
    <t>Supply of Renderers for the Amaala Yacht Club (AYC) Project</t>
  </si>
  <si>
    <t>RFA 005</t>
  </si>
  <si>
    <t>AMA01009-WTRAN-187015</t>
  </si>
  <si>
    <t>EI 03</t>
  </si>
  <si>
    <t>1TB01009-009C09-AMA-LTR-0052</t>
  </si>
  <si>
    <t>AMA01009-WTRAN-267915</t>
  </si>
  <si>
    <t>FIBREX LLC</t>
  </si>
  <si>
    <t>009C35</t>
  </si>
  <si>
    <t>Fibrex LLC</t>
  </si>
  <si>
    <t>FIBREX</t>
  </si>
  <si>
    <t>FIBREX MH3</t>
  </si>
  <si>
    <t>Supply of Façade Installers for the Amaala Yacht Club (AYC) Project</t>
  </si>
  <si>
    <t>AMA01009-WTRAN-267912</t>
  </si>
  <si>
    <t>ATA01003-RIA-000019</t>
  </si>
  <si>
    <t>AMA01009-WTRAN-268175</t>
  </si>
  <si>
    <t>1TB01009-009C35-AMA-LTR-0043</t>
  </si>
  <si>
    <t>AMA01006-WTRAN-144963</t>
  </si>
  <si>
    <t>PVO 059</t>
  </si>
  <si>
    <t>WF-045814</t>
  </si>
  <si>
    <t>VO 059</t>
  </si>
  <si>
    <t>1TB01006-006C22-AMA-LTR-0211</t>
  </si>
  <si>
    <t>AMA01009-WTRAN-268928</t>
  </si>
  <si>
    <t>AMA01009-WTRAN-268926</t>
  </si>
  <si>
    <t>All Push Bar fire Exit doors repaint</t>
  </si>
  <si>
    <t>AMA01003-WTRAN-052517</t>
  </si>
  <si>
    <t>AMA01003-WTRAN-052518</t>
  </si>
  <si>
    <t>AMA01003-WTRAN-052688</t>
  </si>
  <si>
    <t>AMA01003-WTRAN-052725</t>
  </si>
  <si>
    <t>1TB01003-003F06-AMA-LTR-0018</t>
  </si>
  <si>
    <t>AMA01003-WTRAN-052724</t>
  </si>
  <si>
    <t>1TB01003-003C34-AMA-LTR-0062</t>
  </si>
  <si>
    <t xml:space="preserve">AMA01003-WTRAN-052726
</t>
  </si>
  <si>
    <t>1TB01003-003C03-AMA-LTR-0334</t>
  </si>
  <si>
    <t>AMA01003-WTRAN-052727</t>
  </si>
  <si>
    <t>1TB01003-003C27-AMA-LTR-0077</t>
  </si>
  <si>
    <t>AMA01003-WTRAN-052728</t>
  </si>
  <si>
    <t>1TB01003-003C09-AMA-LTR-0254</t>
  </si>
  <si>
    <t>AMA01003-WTRAN-052734</t>
  </si>
  <si>
    <t>AMA01003-WTRAN-052754</t>
  </si>
  <si>
    <t>AMA01003-WTRAN-052755</t>
  </si>
  <si>
    <t>AMA01003-WTRAN-052756</t>
  </si>
  <si>
    <t>AMA01003-WTRAN-052760</t>
  </si>
  <si>
    <t xml:space="preserve">Moved back error to ;ast report - PVO only raised now </t>
  </si>
  <si>
    <t>Enhancement Works from Site Walkthrough (30-Jun-26): Chart &amp; Model Globe, Operator Library Books, AMAALA Lounge Lighting, VVIP Loose Furniture, Board Room Table, Level 02 Private
Dining, and FF&amp;E Wind-Damage Making-Good.</t>
  </si>
  <si>
    <t>EVO 040</t>
  </si>
  <si>
    <t>IPA-24</t>
  </si>
  <si>
    <t>DCC01003-GENCORR-001206</t>
  </si>
  <si>
    <t>1TB01003-003C09-AMA-LTR-0259</t>
  </si>
  <si>
    <t>AMI01003-GENCORR-000057</t>
  </si>
  <si>
    <t>1TB01003-003C32-AMA-LTR-0019</t>
  </si>
  <si>
    <t>KAA01003-RIA-000020</t>
  </si>
  <si>
    <t>CIL01003-RIA-000019</t>
  </si>
  <si>
    <t>BTR for DVO - Alfanar PVO 009</t>
  </si>
  <si>
    <t>BTR under process</t>
  </si>
  <si>
    <t xml:space="preserve">Adjustment - DEPA PVO &amp; DVO 025 </t>
  </si>
  <si>
    <t>Item No. - 255 - Final Account - Jensen Huges Saudi Arabia LLC  - COO#07</t>
  </si>
  <si>
    <t>Adjustment - Final Account - Jensen Huges Saudi Arabia LLC  - COO#07</t>
  </si>
  <si>
    <t>Item No. - 256 - Final Account - Jensen Huges Saudi Arabia LLC  - COO#030</t>
  </si>
  <si>
    <t>Adjustment - Final Account - Jensen Huges Saudi Arabia LLC  - COO#030</t>
  </si>
  <si>
    <t>Item No. - 211 - EVO 30: Application of STO Ventec System to Conceal the Paving Level Gap at the Grand Stairs</t>
  </si>
  <si>
    <t>BTR for DVO - EVO 30: Application of STO Ventec System to Conceal the Paving Level Gap at the Grand Stairs</t>
  </si>
  <si>
    <t>1TB01003-003F08-AMA-LTR-0028</t>
  </si>
  <si>
    <t>Recovery of Costs for Extended CML Testing &amp; Commissioning Services Resulting from GLSAN (SAB’s ELV Specialist) Delays in ELV Works.</t>
  </si>
  <si>
    <r>
      <t xml:space="preserve">Recovery of Costs for Extended </t>
    </r>
    <r>
      <rPr>
        <b/>
        <sz val="10"/>
        <rFont val="Calibri"/>
        <family val="2"/>
        <scheme val="minor"/>
      </rPr>
      <t>CML</t>
    </r>
    <r>
      <rPr>
        <sz val="10"/>
        <rFont val="Calibri"/>
        <family val="2"/>
        <scheme val="minor"/>
      </rPr>
      <t xml:space="preserve"> Testing &amp; Commissioning Services Resulting from Alfanar Delays in ELV Commissioning Works.</t>
    </r>
  </si>
  <si>
    <t>EVO 041</t>
  </si>
  <si>
    <t>VO 041</t>
  </si>
  <si>
    <t>Retention release</t>
  </si>
  <si>
    <t>ATA01003-GENCORR-000067</t>
  </si>
  <si>
    <t>1TB01003-003C27-AMA-LTR-0085</t>
  </si>
  <si>
    <t>1TB01003-003C27-AMA-LTR-0072</t>
  </si>
  <si>
    <t>Provision of Temporary and Permanent Ceiling Access Panels</t>
  </si>
  <si>
    <t>DVO 029</t>
  </si>
  <si>
    <t>DVO 026</t>
  </si>
  <si>
    <t>DVO 032</t>
  </si>
  <si>
    <t>Amphitheatre Construction Works - Final Account</t>
  </si>
  <si>
    <t>FAS under WF Approval</t>
  </si>
  <si>
    <t>AMA01003-WTRAN-053606</t>
  </si>
  <si>
    <t>PVO 043</t>
  </si>
  <si>
    <t>Infor Saudi Arabia Limited</t>
  </si>
  <si>
    <t>IPC 01 - Final</t>
  </si>
  <si>
    <t>1TB01003-003D12-AMA-LTR-0001</t>
  </si>
  <si>
    <t>Commercial carried out a determination in line with letter ref 1TB01003-003C09-AMA-LTR-0257 dated 22 july 2026</t>
  </si>
  <si>
    <t>ACY01003-RIA-000013</t>
  </si>
  <si>
    <t>Cancelled - works to be awarded to KORTEK - uinder MH3</t>
  </si>
  <si>
    <t>RFA for Extension of Al Fanar’s manpower deployment from 1 August 2026 to 22 September 2026</t>
  </si>
  <si>
    <t>1TB01003-003F08-AMA-LTR-0032</t>
  </si>
  <si>
    <t>ACY01003-GENCORR-000078</t>
  </si>
  <si>
    <t>1TB01003-003C34-AMA-LTR-0067</t>
  </si>
  <si>
    <t>AMA01009-WTRAN-281418</t>
  </si>
  <si>
    <t>AMA01003-WTRAN-053446</t>
  </si>
  <si>
    <t>AMA01003-WTRAN-053447</t>
  </si>
  <si>
    <t>AMA01003-WTRAN-053448</t>
  </si>
  <si>
    <t>AMA01003-WTRAN-053449</t>
  </si>
  <si>
    <t>AMA01003-WTRAN-053450</t>
  </si>
  <si>
    <t>AMA01003-WTRAN-053445</t>
  </si>
  <si>
    <t>AMA01003-WTRAN-053656</t>
  </si>
  <si>
    <t>AMA01003-WTRAN-053818</t>
  </si>
  <si>
    <t>AMA01003-WTRAN-053852</t>
  </si>
  <si>
    <t>AMA01003-WTRAN-053899</t>
  </si>
  <si>
    <t>S Fairfield: No corresponding back charge attached- Response Issued to M Hansen 19 Aug 2026</t>
  </si>
  <si>
    <t>AMA01003-WTRAN-053794</t>
  </si>
  <si>
    <t>AMA01003-WTRAN-054006</t>
  </si>
  <si>
    <t>F Albalawi: Rejected</t>
  </si>
  <si>
    <t>EW 01 - MAS</t>
  </si>
  <si>
    <t>P Donaghy: Please confirm if they owe us accommodation charges
P Donaghy: So is there outstanding accommodation on the other contract? Yes or No?</t>
  </si>
  <si>
    <t>Commercial actioning a determination under Aconex WF-097994 dated 19 aug 2026</t>
  </si>
  <si>
    <t>CIL01003-RIA-000020</t>
  </si>
  <si>
    <t>ATA01003-RIA-000020</t>
  </si>
  <si>
    <t>AMI01003-RIA-000006</t>
  </si>
  <si>
    <t>IPC 01 - Adv</t>
  </si>
  <si>
    <t>FUE01003-
GENCORR-000001</t>
  </si>
  <si>
    <t>1TB01003-003C328-AMA-LTR-0006</t>
  </si>
  <si>
    <t>Direct Payments Made by AMAALA on Behalf of Saudi Arabian Baytur to Subcontractors and Suppliers (August 2025 to May 2026)</t>
  </si>
  <si>
    <t xml:space="preserve">RFA's </t>
  </si>
  <si>
    <t>Number of RFA's</t>
  </si>
  <si>
    <t>PVO 044</t>
  </si>
  <si>
    <t>FADAA-RIA-000001</t>
  </si>
  <si>
    <t>AMA01003-RIA-000255</t>
  </si>
  <si>
    <t>Determination approved internally and issued to SAB under Aconex Ref Letter 1TB01003-003C03-AMA-LTR-0338 dated 19 Aug 2026</t>
  </si>
  <si>
    <t>Commercial issued a determination under ref letter 1TB01003-003C09-AMA-LTR-0260 dated 19 July 2026</t>
  </si>
  <si>
    <t>Commercial issued a determination under ref letter 1TB01003-003C09-AMA-LTR-0261 dated 18 aug 2026</t>
  </si>
  <si>
    <t xml:space="preserve">Determination was approved and issued to the contractor under Aconex Letter Ref 1TB01003-003C27-AMA-LTR-0083 dated 18 Aug 2026
</t>
  </si>
  <si>
    <t>Determination was approved and issued to the contractor under Letter ref 1TB01003-003C34-AMA-LTR-0065</t>
  </si>
  <si>
    <t>DCC01003-RIA-000026</t>
  </si>
  <si>
    <t>AMA01003-WTRAN-054009</t>
  </si>
  <si>
    <t>AMA01003-WTRAN-054059</t>
  </si>
  <si>
    <t>PVO 010</t>
  </si>
  <si>
    <t>AMA01003-WTRAN-054369</t>
  </si>
  <si>
    <t>VO 038</t>
  </si>
  <si>
    <t>WF-022563</t>
  </si>
  <si>
    <t>1TB01003-003C03-AMA-LTR-0340</t>
  </si>
  <si>
    <t xml:space="preserve">Commercial carried out a determination approved and issued to the contractor under Ref Letter 1TB01003-003C27-AMA-LTR-0084
</t>
  </si>
  <si>
    <t>AMA01003-RBTR-001109</t>
  </si>
  <si>
    <t>BTR for DEPA PVO 033 F&amp;B Design Changes</t>
  </si>
  <si>
    <t>BTR for adjustment to DEPA PVO 027 per DVO 027</t>
  </si>
  <si>
    <t>Inter-Project Transfer to MH3 Fibrex Façade Installer</t>
  </si>
  <si>
    <t>BTR for adjustment to Alutec PVO 02, 03 &amp; 04 per DVO 02, 03 &amp; 04</t>
  </si>
  <si>
    <t>AMA01003-RBTR-001108</t>
  </si>
  <si>
    <t>Inter-Project Transfer to MH3 IMAR Façade Installer</t>
  </si>
  <si>
    <t>WF-098900</t>
  </si>
  <si>
    <t>WF-099497</t>
  </si>
  <si>
    <t>MAS - Amphitheatre &amp; Labour Supply Works</t>
  </si>
  <si>
    <t>September 2026</t>
  </si>
  <si>
    <t>SEPTEMBER 2026</t>
  </si>
  <si>
    <t>Contract Awarded</t>
  </si>
  <si>
    <t>OCIP Insurance</t>
  </si>
  <si>
    <t>003C314</t>
  </si>
  <si>
    <t>RJT- OCIP Insurance Premium - Declaration 11</t>
  </si>
  <si>
    <t>CN.003C314</t>
  </si>
  <si>
    <t>003C328</t>
  </si>
  <si>
    <t>CN.003C328</t>
  </si>
  <si>
    <t>FAS Signed (Closed) - With HQ action</t>
  </si>
  <si>
    <t>DVO 034</t>
  </si>
  <si>
    <t>IPA - 22</t>
  </si>
  <si>
    <t>CIL01003-GENCORR-000171</t>
  </si>
  <si>
    <t>1TB01003-003F08-AMA-LTR-0033</t>
  </si>
  <si>
    <t>IPC 02</t>
  </si>
  <si>
    <t>FUE01003-
GENCORR-000004</t>
  </si>
  <si>
    <t>IPC 2</t>
  </si>
  <si>
    <t>Rectification of the GRC panel sealant coating - Supply of painters</t>
  </si>
  <si>
    <t>Pre EI 006</t>
  </si>
  <si>
    <t>CIL01003-RIA-000021</t>
  </si>
  <si>
    <t>ACY01003-RIA-000014</t>
  </si>
  <si>
    <t>ACY01003-GENCORR-000084</t>
  </si>
  <si>
    <t>1TB01003-003C34-AMA-LTR-0070</t>
  </si>
  <si>
    <t>AMA01003-WTRAN-054831</t>
  </si>
  <si>
    <t>1TB01003-003C34-AMA-LTR-0069</t>
  </si>
  <si>
    <t>AMA01003-WTRAN-054832</t>
  </si>
  <si>
    <t>MAS Additional Labour Requirement - Extension (13 May to 31 July 2026) - Back charge SAB</t>
  </si>
  <si>
    <t>PVO 045</t>
  </si>
  <si>
    <t>AMA01009-WTRAN-295472 </t>
  </si>
  <si>
    <t>WF-022726</t>
  </si>
  <si>
    <t>Commercial carrying out a determination in line with the approved aconex ref 1TB01003-003C03-AMA-LTR-0341 dated 15 Sep 2026</t>
  </si>
  <si>
    <t>WF-022727</t>
  </si>
  <si>
    <t>Commercial carrying out a determination in line with approved aconex letter ref 1TB01003-003C09-AMA-LTR-0265</t>
  </si>
  <si>
    <t>WF-022728</t>
  </si>
  <si>
    <t>Commercial carrying out a determination in line with the approved aconex ref 1TB01003-003C27-AMA-LTR-0086 dated 15 Sep 2026</t>
  </si>
  <si>
    <t>Saudi Consolidated Engineering Company - Khatib &amp; Alami Final account</t>
  </si>
  <si>
    <t>WF-022724</t>
  </si>
  <si>
    <t>GST01003-GENCORR-000004</t>
  </si>
  <si>
    <t>1TB01003-003F12-AMA-LTR-0002</t>
  </si>
  <si>
    <t>IPC-04</t>
  </si>
  <si>
    <t xml:space="preserve">Email </t>
  </si>
  <si>
    <t>1TB01003-003F06-AMA-LTR-0020</t>
  </si>
  <si>
    <t>AMA01003-WTRAN-054573</t>
  </si>
  <si>
    <t>AMA01003-WTRAN-054575</t>
  </si>
  <si>
    <t>AMA01003-WTRAN-054830</t>
  </si>
  <si>
    <t>AMA01003-WTRAN-054833</t>
  </si>
  <si>
    <t>AMA01003-WTRAN-054834</t>
  </si>
  <si>
    <t>AMA01003-WTRAN-055032</t>
  </si>
  <si>
    <t>AMA01003-WTRAN-055034</t>
  </si>
  <si>
    <t>AMA01003-WTRAN-055035</t>
  </si>
  <si>
    <t>AMA01003-WTRAN-055036</t>
  </si>
  <si>
    <t>AMA01003-WTRAN-055033</t>
  </si>
  <si>
    <t>AMA01003-WTRAN-055100</t>
  </si>
  <si>
    <t>Operation Systems</t>
  </si>
  <si>
    <t>003D20</t>
  </si>
  <si>
    <t>Samtiah Arabis Ltd - Operation systems</t>
  </si>
  <si>
    <t>Samtiah Arabia - Operations systems</t>
  </si>
  <si>
    <t xml:space="preserve">BTR for appointment of Samtiah Arabia </t>
  </si>
  <si>
    <t>AMA01003-RBTR-001156</t>
  </si>
  <si>
    <t>Early Warnings/Contract Award</t>
  </si>
  <si>
    <t>Contract Award to Al-Futtaim</t>
  </si>
  <si>
    <t>Al-futtaim</t>
  </si>
  <si>
    <t>RJT OICP Insurance Premium</t>
  </si>
  <si>
    <t>Ajustment - AREEN PVO and DVO 003</t>
  </si>
  <si>
    <t>AMA01003-WTRAN-055132</t>
  </si>
  <si>
    <t>AMA01003-WTRAN-055133</t>
  </si>
  <si>
    <t>AMA01003-WTRAN-055127</t>
  </si>
  <si>
    <t>AMA01003-WTRAN-055131</t>
  </si>
  <si>
    <t xml:space="preserve">Emergency Variation order was issued on the 18th Feb 2026. PVO, DVO to be processed </t>
  </si>
  <si>
    <t xml:space="preserve">No action has been taken in 5 months, hence cancelled </t>
  </si>
  <si>
    <t>Item No. - 195 - Employer’s Instruction No. 029 – Replacement of Damaged Aluminum Panels (BC to Alutec)</t>
  </si>
  <si>
    <t>Alutec DVO 003: EI-29 Replacement of Damaged Aluminum Panels (BC to Alutec)</t>
  </si>
  <si>
    <t>Al Futtaim elevator contract awarded (SAR 691,955 against RFC SAR 850,000); Alutec external doors EW cancelled (SAR 780,000); Al Fanar manpower extension PVO 012 (SAR 842,550); KAA final account saving (SAR 49,207).</t>
  </si>
  <si>
    <r>
      <t>1 - Note_The original budget for the AMAALA Yacht Club Project was SAR 316,346,485. In July 2023 an additional budget of SAR 139,440,201 was allocated, giving a revised budget of SAR 455,786,687. In January 2025, March 2025 and June 2025 further allocations of SAR 26,781,117, SAR 40,000,000 and SAR 62,089,112 respectively were received, bringing the approved budget to SAR 584,656,916. Inter-project transfers to Marina Hotel 3 of SAR 164,010 (Fibrex) and SAR 645,355 (IMAR façade installer), both BTRs under process, bring the current budget to SAR 583,847,551</t>
    </r>
    <r>
      <rPr>
        <b/>
        <sz val="13"/>
        <color theme="1"/>
        <rFont val="Verdana"/>
        <family val="2"/>
      </rPr>
      <t>.</t>
    </r>
  </si>
  <si>
    <t>2 – Note_The anticipated final account for the Project is SAR 580,828,863, which is SAR 3,018,688 (0.52%) lower than the current budget of SAR 583,847,551. This is a reduction of SAR 862,445 against the previous month's anticipated final account of SAR 581,691,308.</t>
  </si>
  <si>
    <t>MONTHLY REPORT NO. 49</t>
  </si>
  <si>
    <t>OCTOBER 2026</t>
  </si>
  <si>
    <t xml:space="preserve"> NO. 49</t>
  </si>
  <si>
    <t>October 2026</t>
  </si>
  <si>
    <t>CIL01003-RIA-000022</t>
  </si>
  <si>
    <t>WF-022771</t>
  </si>
  <si>
    <t>Commercial issued a determination under approval WF WF-022784 ref letter1TB01003-003C31-AMA-LTR-0033 dated 29 Sep 2026</t>
  </si>
  <si>
    <t>VO 039</t>
  </si>
  <si>
    <t>1TB01003-003C03-AMA-LTR-0342</t>
  </si>
  <si>
    <t>1TB01003-003C34-AMA-LTR-0071</t>
  </si>
  <si>
    <t>Payment of SAB's Sub-Contractors through DEPA – GLSAN, Blue Wellness and BMC</t>
  </si>
  <si>
    <t xml:space="preserve">RFC ### </t>
  </si>
  <si>
    <t>RFC DRAFT-005640</t>
  </si>
  <si>
    <t>PVO 042</t>
  </si>
  <si>
    <t>VO 042</t>
  </si>
  <si>
    <t>Back-charge to SAB – Payment of SAB's Sub-Contractors through DEPA and Nesma</t>
  </si>
  <si>
    <t>PVO 046</t>
  </si>
  <si>
    <t>VO 040</t>
  </si>
  <si>
    <t>AMA01003-WTRAN-055241</t>
  </si>
  <si>
    <t>AMA01003-WTRAN-055242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</si>
</sst>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8">
    <numFmt numFmtId="41" formatCode="_-* #,##0_-;\-* #,##0_-;_-* &quot;-&quot;_-;_-@_-"/>
    <numFmt numFmtId="43" formatCode="_-* #,##0.00_-;\-* #,##0.00_-;_-* &quot;-&quot;??_-;_-@_-"/>
    <numFmt numFmtId="164" formatCode="&quot;$&quot;#,##0_);\(&quot;$&quot;#,##0\)"/>
    <numFmt numFmtId="165" formatCode="&quot;$&quot;#,##0_);[Red]\(&quot;$&quot;#,##0\)"/>
    <numFmt numFmtId="166" formatCode="&quot;$&quot;#,##0.00_);\(&quot;$&quot;#,##0.00\)"/>
    <numFmt numFmtId="167" formatCode="&quot;$&quot;#,##0.00_);[Red]\(&quot;$&quot;#,##0.00\)"/>
    <numFmt numFmtId="168" formatCode="_(&quot;$&quot;* #,##0_);_(&quot;$&quot;* \(#,##0\);_(&quot;$&quot;* &quot;-&quot;_);_(@_)"/>
    <numFmt numFmtId="169" formatCode="_(* #,##0_);_(* \(#,##0\);_(* &quot;-&quot;_);_(@_)"/>
    <numFmt numFmtId="170" formatCode="_(&quot;$&quot;* #,##0.00_);_(&quot;$&quot;* \(#,##0.00\);_(&quot;$&quot;* &quot;-&quot;??_);_(@_)"/>
    <numFmt numFmtId="171" formatCode="_(* #,##0.00_);_(* \(#,##0.00\);_(* &quot;-&quot;??_);_(@_)"/>
    <numFmt numFmtId="172" formatCode="_-&quot;$&quot;* #,##0_-;\-&quot;$&quot;* #,##0_-;_-&quot;$&quot;* &quot;-&quot;_-;_-@_-"/>
    <numFmt numFmtId="173" formatCode="_-&quot;$&quot;* #,##0.00_-;\-&quot;$&quot;* #,##0.00_-;_-&quot;$&quot;* &quot;-&quot;??_-;_-@_-"/>
    <numFmt numFmtId="174" formatCode="&quot;£&quot;#,##0;[Red]\-&quot;£&quot;#,##0"/>
    <numFmt numFmtId="175" formatCode="&quot;£&quot;#,##0.00;\-&quot;£&quot;#,##0.00"/>
    <numFmt numFmtId="176" formatCode="&quot;£&quot;#,##0.00;[Red]\-&quot;£&quot;#,##0.00"/>
    <numFmt numFmtId="177" formatCode="_-&quot;£&quot;* #,##0_-;\-&quot;£&quot;* #,##0_-;_-&quot;£&quot;* &quot;-&quot;_-;_-@_-"/>
    <numFmt numFmtId="178" formatCode="_-&quot;£&quot;* #,##0.00_-;\-&quot;£&quot;* #,##0.00_-;_-&quot;£&quot;* &quot;-&quot;??_-;_-@_-"/>
    <numFmt numFmtId="179" formatCode="_(* #,##0_);_(* \(#,##0\);_(* &quot;-&quot;??_);_(@_)"/>
    <numFmt numFmtId="180" formatCode="0.0"/>
    <numFmt numFmtId="181" formatCode="_-&quot;₩&quot;* #,##0_-;\-&quot;₩&quot;* #,##0_-;_-&quot;₩&quot;* &quot;-&quot;_-;_-@_-"/>
    <numFmt numFmtId="182" formatCode="_ &quot;₩&quot;* #,##0_ ;_ &quot;₩&quot;* \-#,##0_ ;_ &quot;₩&quot;* &quot;-&quot;_ ;_ @_ "/>
    <numFmt numFmtId="183" formatCode="_-&quot;₩&quot;* #,##0.00_-;\-&quot;₩&quot;* #,##0.00_-;_-&quot;₩&quot;* &quot;-&quot;??_-;_-@_-"/>
    <numFmt numFmtId="184" formatCode="_ &quot;₩&quot;* #,##0.00_ ;_ &quot;₩&quot;* \-#,##0.00_ ;_ &quot;₩&quot;* &quot;-&quot;??_ ;_ @_ "/>
    <numFmt numFmtId="185" formatCode="#,##0&quot; m2&quot;_);\(#,##0&quot; m2&quot;\)"/>
    <numFmt numFmtId="186" formatCode="_ * #,##0_ ;_ * \-#,##0_ ;_ * &quot;-&quot;_ ;_ @_ "/>
    <numFmt numFmtId="187" formatCode="_ * #,##0.00_ ;_ * \-#,##0.00_ ;_ * &quot;-&quot;??_ ;_ @_ "/>
    <numFmt numFmtId="188" formatCode=";;;"/>
    <numFmt numFmtId="189" formatCode="0.000\ &quot;KW&quot;"/>
    <numFmt numFmtId="190" formatCode="General_)"/>
    <numFmt numFmtId="191" formatCode="_(* #,##0.0_);_(* \(#,##0.0\);_(* &quot;-&quot;_);_(@_)"/>
    <numFmt numFmtId="192" formatCode="_(* #,##0.00_);_(* \(#,##0.00\);_(* &quot;-&quot;_);_(@_)"/>
    <numFmt numFmtId="193" formatCode="000"/>
    <numFmt numFmtId="194" formatCode="0.00000"/>
    <numFmt numFmtId="195" formatCode="_(* #,##0.000_);_(* \(#,##0.000\);_(* &quot;-&quot;??_);_(@_)"/>
    <numFmt numFmtId="196" formatCode="_-* #,##0.00\ _с_о_м_-;\-* #,##0.00\ _с_о_м_-;_-* &quot;-&quot;??\ _с_о_м_-;_-@_-"/>
    <numFmt numFmtId="197" formatCode="#,##0;[Red]#,##0"/>
    <numFmt numFmtId="198" formatCode="&quot;Yes&quot;;&quot;Yes&quot;;&quot;No&quot;"/>
    <numFmt numFmtId="199" formatCode="#,##0;\(#,##0\)"/>
    <numFmt numFmtId="200" formatCode="&quot;₩&quot;#,##0.00;[Red]&quot;₩&quot;&quot;₩&quot;&quot;₩&quot;&quot;₩&quot;&quot;₩&quot;\!\-#,##0.00"/>
    <numFmt numFmtId="201" formatCode="#,##0.00\ &quot;kr&quot;;[Red]\-#,##0.00\ &quot;kr&quot;"/>
    <numFmt numFmtId="202" formatCode="#,##0&quot; No.&quot;_);\(#,##0&quot; No.&quot;\)"/>
    <numFmt numFmtId="203" formatCode="_-* #,##0\ _k_r_-;\-* #,##0\ _k_r_-;_-* &quot;-&quot;\ _k_r_-;_-@_-"/>
    <numFmt numFmtId="204" formatCode="_-[$€-2]* #,##0.00_-;\-[$€-2]* #,##0.00_-;_-[$€-2]* &quot;-&quot;??_-"/>
    <numFmt numFmtId="205" formatCode="_(&quot;$&quot;* #,##0.0_);_(&quot;$&quot;* \(#,##0.0\);_(&quot;$&quot;* &quot;-&quot;??_);_(@_)"/>
    <numFmt numFmtId="206" formatCode="&quot;ج.م.&quot;#,##0_-;&quot;ج.م.&quot;#,##0\-"/>
    <numFmt numFmtId="207" formatCode="#,##0.000;[Red]\-#,##0.000"/>
    <numFmt numFmtId="208" formatCode="#,##0.00000;[Red]&quot;-&quot;#,##0.00000"/>
    <numFmt numFmtId="209" formatCode="0.00_)"/>
    <numFmt numFmtId="210" formatCode="[$-409]d\-mmm\-yy;@"/>
    <numFmt numFmtId="211" formatCode="_-* #,##0.00\ _F_-;\-* #,##0.00\ _F_-;_-* &quot;-&quot;??\ _F_-;_-@_-"/>
    <numFmt numFmtId="212" formatCode="0.0000%"/>
    <numFmt numFmtId="213" formatCode="m/d/yy\ h:mm:ss"/>
    <numFmt numFmtId="214" formatCode="_(* #,##0.000_);_(* \(#,##0.000\);_(* &quot;-&quot;_);_(@_)"/>
    <numFmt numFmtId="215" formatCode="_ * #,##0.00_)_£_ ;_ * \(#,##0.00\)_£_ ;_ * &quot;-&quot;??_)_£_ ;_ @_ "/>
    <numFmt numFmtId="216" formatCode="&quot;₩&quot;#,##0;&quot;₩&quot;&quot;₩&quot;&quot;₩&quot;&quot;₩&quot;\-#,##0"/>
    <numFmt numFmtId="217" formatCode="#,##0;[Red]&quot;△&quot;#,##0"/>
    <numFmt numFmtId="218" formatCode="0.00_);[Red]\(0.00\)"/>
    <numFmt numFmtId="219" formatCode="#,##0;[Red]&quot;-&quot;#,##0"/>
    <numFmt numFmtId="220" formatCode="#,##0_ "/>
    <numFmt numFmtId="221" formatCode="&quot;  &quot;@"/>
    <numFmt numFmtId="222" formatCode="&quot;₩&quot;#,##0;[Red]&quot;₩&quot;&quot;₩&quot;&quot;₩&quot;&quot;₩&quot;\-#,##0"/>
    <numFmt numFmtId="223" formatCode="&quot;\&quot;#,##0.00;[Red]&quot;\&quot;\-#,##0.00"/>
    <numFmt numFmtId="224" formatCode="&quot;\&quot;#,##0;[Red]&quot;\&quot;\-#,##0"/>
    <numFmt numFmtId="225" formatCode="_-* #,##0.00_-;&quot;₩&quot;&quot;₩&quot;\-* #,##0.00_-;_-* &quot;-&quot;??_-;_-@_-"/>
    <numFmt numFmtId="226" formatCode="_-&quot;₩&quot;* #,##0.00_-;&quot;₩&quot;&quot;₩&quot;\-&quot;₩&quot;* #,##0.00_-;_-&quot;₩&quot;* &quot;-&quot;??_-;_-@_-"/>
    <numFmt numFmtId="227" formatCode="&quot;₩&quot;#,##0.00;&quot;₩&quot;&quot;₩&quot;&quot;₩&quot;&quot;₩&quot;\-#,##0.00"/>
    <numFmt numFmtId="228" formatCode="[$-F800]dddd\,\ mmmm\ dd\,\ yyyy"/>
    <numFmt numFmtId="229" formatCode="_-* #,##0_-;\-* #,##0_-;_-* &quot;-&quot;??_-;_-@_-"/>
    <numFmt numFmtId="230" formatCode="#,##0.0\ ;\(#,##0.0\)"/>
    <numFmt numFmtId="231" formatCode="\$#,##0.0;&quot;($&quot;#,##0.0\)"/>
    <numFmt numFmtId="232" formatCode="&quot;$&quot;#,##0.00;\(&quot;$&quot;#,##0.00\)"/>
    <numFmt numFmtId="233" formatCode="&quot;$&quot;_(#,##0.00_);&quot;$&quot;\(#,##0.00\)"/>
    <numFmt numFmtId="234" formatCode="#,##0.0_);[Red]\(#,##0.0\)"/>
    <numFmt numFmtId="235" formatCode="&quot;$&quot;#,##0"/>
    <numFmt numFmtId="236" formatCode="#,##0.0_);\(#,##0.0\)"/>
    <numFmt numFmtId="237" formatCode="#,##0.000_);\(#,##0.000\)"/>
    <numFmt numFmtId="238" formatCode="[$-809]d\ mmmm\ yyyy;@"/>
    <numFmt numFmtId="239" formatCode="@&quot; ($)&quot;"/>
    <numFmt numFmtId="240" formatCode="@&quot; (%)&quot;"/>
    <numFmt numFmtId="241" formatCode="@&quot; (¥)&quot;"/>
    <numFmt numFmtId="242" formatCode="@&quot; (€)&quot;"/>
    <numFmt numFmtId="243" formatCode="@&quot; (x)&quot;"/>
    <numFmt numFmtId="244" formatCode="0.0_)\%;\(0.0\)\%;0.0_)\%;@_)_%"/>
    <numFmt numFmtId="245" formatCode="#,##0.0_)_%;\(#,##0.0\)_%;0.0_)_%;@_)_%"/>
    <numFmt numFmtId="246" formatCode="#,##0.0_x;\(#,##0.0\)_x;0.0_x;@_x"/>
    <numFmt numFmtId="247" formatCode="#,##0.0_x_x;\(#,##0.0\)_x_x;0.0_x_x;@_x_x"/>
    <numFmt numFmtId="248" formatCode="#,##0.0_x_x_x;\(#,##0.0\)_x_x_x;0.0_x_x_x;@_x_x_x"/>
    <numFmt numFmtId="249" formatCode="#,##0.0_x_x_x_x;\(#,##0.0\)_x_x_x_x;0.0_x_x_x_x;@_x_x_x_x"/>
    <numFmt numFmtId="250" formatCode="#,##0.00_x;\(#,##0.00\)_x;0.00_x;@_x"/>
    <numFmt numFmtId="251" formatCode="#,##0.00_x_x;\(#,##0.00\)_x_x;0_x_x;@_x_x"/>
    <numFmt numFmtId="252" formatCode="#,##0.00_x_x_x;\(#,##0.00\)_x_x_x;0.00_x_x_x;@_x_x_x"/>
    <numFmt numFmtId="253" formatCode="#,##0.00_x_x_x_x;\(#,##0.00\)_x_x_x_x;0.00_x_x_x_x;@_x_x_x_x"/>
    <numFmt numFmtId="254" formatCode="#,##0_x;\(#,##0\)_x;0_x;@_x"/>
    <numFmt numFmtId="255" formatCode="#,##0_x_x;\(#,##0\)_x_x;0_x_x;@_x_x"/>
    <numFmt numFmtId="256" formatCode="#,##0_x_x_x;\(#,##0\)_x_x_x;0_x_x_x;@_x_x_x"/>
    <numFmt numFmtId="257" formatCode="#,##0_x_x_x_x;\(#,##0\)_x_x_x_x;0_x_x_x_x;@_x_x_x_x"/>
    <numFmt numFmtId="258" formatCode="#,##0_x_x_x_x_x;\(#,##0\)_x_x_x_x;0_x_x_x_x;@_x_x_x_x"/>
    <numFmt numFmtId="259" formatCode="#,##0.0_);\(#,##0.0\);#,##0.0_);@_)"/>
    <numFmt numFmtId="260" formatCode="&quot;$&quot;_(#,##0.00_);&quot;$&quot;\(#,##0.00\);&quot;$&quot;_(0.00_);@_)"/>
    <numFmt numFmtId="261" formatCode="#,##0.00_);\(#,##0.00\);0.00_);@_)"/>
    <numFmt numFmtId="262" formatCode="\€_(#,##0.00_);\€\(#,##0.00\);\€_(0.00_);@_)"/>
    <numFmt numFmtId="263" formatCode="#,##0.0_)\x;\(#,##0.0\)\x"/>
    <numFmt numFmtId="264" formatCode="#,##0.0_)_x;\(#,##0.0\)_x"/>
    <numFmt numFmtId="265" formatCode="#,##0_)_x;\(#,##0\)_x;0_)_x;@_)_x"/>
    <numFmt numFmtId="266" formatCode="0.0_)\%;\(0.0\)\%"/>
    <numFmt numFmtId="267" formatCode="#,##0.0_)_%;\(#,##0.0\)_%"/>
    <numFmt numFmtId="268" formatCode="_(\$* #,##0.00_);_(\$* \(#,##0.00\);_(\$* \-??_);_(@_)"/>
    <numFmt numFmtId="269" formatCode="_(\$* #,##0_);_(\$* \(#,##0\);_(\$* \-_);_(@_)"/>
    <numFmt numFmtId="270" formatCode="&quot;£ &quot;#,##0_);[Red]&quot;(£ &quot;#,##0\)"/>
    <numFmt numFmtId="271" formatCode="&quot;¥ &quot;#,##0_);[Red]&quot;(¥ &quot;#,##0\)"/>
    <numFmt numFmtId="272" formatCode="_(* #,##0_);_(* \(#,##0\);_(* \-?????_);_(@_)"/>
    <numFmt numFmtId="273" formatCode="#,##0.0"/>
    <numFmt numFmtId="274" formatCode="[$-409]mmmm\ d\,\ yyyy;@"/>
    <numFmt numFmtId="275" formatCode="_(* #,##0.0_);_(* \(#,##0.0\);_(* &quot;--- &quot;_)"/>
    <numFmt numFmtId="276" formatCode="#,##0_);\(#,##0\);&quot;-&quot;_)"/>
    <numFmt numFmtId="277" formatCode="#,##0.0000000000_);\(#,##0.00000000000\)"/>
    <numFmt numFmtId="278" formatCode="0.0_)"/>
    <numFmt numFmtId="279" formatCode="&quot;•  &quot;@"/>
    <numFmt numFmtId="280" formatCode="0.000_)"/>
    <numFmt numFmtId="281" formatCode="#,##0_%_);\(#,##0\)_%;#,##0_%_);@_%_)"/>
    <numFmt numFmtId="282" formatCode="&quot;of CapEx in &quot;0"/>
    <numFmt numFmtId="283" formatCode="_-* #,##0.00\ _k_r_-;\-* #,##0.00\ _k_r_-;_-* &quot;-&quot;??\ _k_r_-;_-@_-"/>
    <numFmt numFmtId="284" formatCode="#,##0.00_ ;[Red]\-#,##0.00\ "/>
    <numFmt numFmtId="285" formatCode="_-&quot;£&quot;* #,##0_-;\-&quot;£&quot;* #,##0_-;_-&quot;£&quot;* &quot;-&quot;??_-;_-@_-"/>
    <numFmt numFmtId="286" formatCode="mm/dd/yy;@"/>
    <numFmt numFmtId="287" formatCode="_(* #,##0.00_);_(* \(#,##0.00\);_(* \-??_);_(@_)"/>
    <numFmt numFmtId="288" formatCode="_(&quot;OR&quot;\ * #,##0.00_);_(&quot;OR&quot;\ * \(#,##0.00\);_(&quot;OR&quot;\ * &quot;-&quot;??_);_(@_)"/>
    <numFmt numFmtId="289" formatCode="0;[Red]0"/>
    <numFmt numFmtId="290" formatCode="_-* #,##0.00_-;_-* #,##0.00\-;_-* &quot;-&quot;??_-;_-@_-"/>
    <numFmt numFmtId="291" formatCode="mm/dd/yy"/>
    <numFmt numFmtId="292" formatCode="0###0"/>
    <numFmt numFmtId="293" formatCode="_-* #,##0\ _D_M_-;\-* #,##0\ _D_M_-;_-* &quot;-&quot;??\ _D_M_-;_-@_-"/>
    <numFmt numFmtId="294" formatCode="_-* #,##0.000_-;\-* #,##0.000_-;_-* &quot;-&quot;??_-;_-@_-"/>
    <numFmt numFmtId="295" formatCode="dd/mm/yy;@"/>
    <numFmt numFmtId="296" formatCode="_([$$-409]* #,##0.00_);_([$$-409]* \(#,##0.00\);_([$$-409]* &quot;-&quot;??_);_(@_)"/>
    <numFmt numFmtId="297" formatCode="#,##0.00000"/>
    <numFmt numFmtId="298" formatCode="#,##0.0\x_);\(#,##0.0\x\)"/>
    <numFmt numFmtId="299" formatCode="&quot;$&quot;#,##0;[Red]\(&quot;$&quot;#,##0\)"/>
    <numFmt numFmtId="300" formatCode="&quot;$&quot;#,##0.0;\(&quot;$&quot;#,##0.00\)"/>
    <numFmt numFmtId="301" formatCode="&quot;Dhs &quot;* #,##0,&quot; K&quot;_);\(&quot;Dhs &quot;* #,##0,&quot; K&quot;\)"/>
    <numFmt numFmtId="302" formatCode="&quot;Dhs &quot;* #,##0,,&quot; M&quot;_);\(&quot;Dhs &quot;\ #,##0,,&quot; M&quot;\)"/>
    <numFmt numFmtId="303" formatCode="&quot;$&quot;#,##0_%_);\(&quot;$&quot;#,##0\)_%;&quot;$&quot;#,##0_%_);@_%_)"/>
    <numFmt numFmtId="304" formatCode="_(&quot;$&quot;* #,##0.000_);_(&quot;$&quot;* \(#,##0.000\);_(&quot;$&quot;* &quot;-&quot;??_);_(@_)"/>
    <numFmt numFmtId="305" formatCode="&quot;$&quot;#,##0.0_);\(&quot;$&quot;#,##0.0\)"/>
    <numFmt numFmtId="306" formatCode="&quot;$&quot;#,##0.000_);\(&quot;$&quot;#,##0.000\)"/>
    <numFmt numFmtId="307" formatCode="_(* #,##0.0_);_(* \(#,##0.0\);_(* &quot;-&quot;?_);_(@_)"/>
    <numFmt numFmtId="308" formatCode="m/d/yy_%_)"/>
    <numFmt numFmtId="309" formatCode="#,##0.0;\(###0.0\)"/>
    <numFmt numFmtId="310" formatCode="#,##0_);[Red]\(#,##0\);;@"/>
    <numFmt numFmtId="311" formatCode="\$#,##0_);&quot;($&quot;#,##0\)"/>
    <numFmt numFmtId="312" formatCode="0_%_);\(0\)_%;0_%_);@_%_)"/>
    <numFmt numFmtId="313" formatCode="###0\P"/>
    <numFmt numFmtId="314" formatCode="[Blue]&quot;P&quot;;;[Red]&quot;O&quot;"/>
    <numFmt numFmtId="315" formatCode="General\ &quot;.&quot;"/>
    <numFmt numFmtId="316" formatCode="#,##0_);[Red]\(#,##0\);\-_)"/>
    <numFmt numFmtId="317" formatCode="mmmm\ dd\,\ yyyy"/>
    <numFmt numFmtId="318" formatCode="0.0_)%;[Red]\(0.0%\);0.0_)%"/>
    <numFmt numFmtId="319" formatCode="[Red][&gt;1]&quot;&gt;100 %&quot;;[Red]\(0.0%\);0.0_)%"/>
    <numFmt numFmtId="320" formatCode="General\ ;[Red]\(General\)"/>
    <numFmt numFmtId="321" formatCode="\ #,##0\ \ \ ;\(#,##0\)\ \ ;\—\ \ \ \ "/>
    <numFmt numFmtId="322" formatCode="0.0\%_);\(0.0\%\);0.0\%_);@_%_)"/>
    <numFmt numFmtId="323" formatCode="#."/>
    <numFmt numFmtId="324" formatCode="#,##0.0000000_);\(#,##0.0000000\)"/>
    <numFmt numFmtId="325" formatCode="0.0_);\(0.0\)"/>
    <numFmt numFmtId="326" formatCode="#,##0.00\ _$;[Red]\-#,##0.00\ _$"/>
    <numFmt numFmtId="327" formatCode="#,##0&quot;m2&quot;"/>
    <numFmt numFmtId="328" formatCode="mmmm\ d\,\ yyyy"/>
    <numFmt numFmtId="329" formatCode="#,##0.000"/>
    <numFmt numFmtId="330" formatCode="0.0000000%"/>
    <numFmt numFmtId="331" formatCode="0.000000%"/>
    <numFmt numFmtId="332" formatCode="_ &quot;S/&quot;* #,##0_ ;_ &quot;S/&quot;* \-#,##0_ ;_ &quot;S/&quot;* &quot;-&quot;_ ;_ @_ "/>
    <numFmt numFmtId="333" formatCode="_ &quot;S/&quot;* #,##0.00_ ;_ &quot;S/&quot;* \-#,##0.00_ ;_ &quot;S/&quot;* &quot;-&quot;??_ ;_ @_ "/>
    <numFmt numFmtId="334" formatCode="mmm\-yyyy"/>
    <numFmt numFmtId="335" formatCode="0.0\x"/>
    <numFmt numFmtId="336" formatCode="0\x"/>
    <numFmt numFmtId="337" formatCode="0.0%_);\(0.0%\)"/>
    <numFmt numFmtId="338" formatCode="##_);[Red]\(##\);"/>
    <numFmt numFmtId="339" formatCode="###0.00_);[Red]\(###0.00\);"/>
    <numFmt numFmtId="340" formatCode="#,##0.00;[Red]#,##0.00"/>
    <numFmt numFmtId="341" formatCode="_(* #,##0_);_(* \(#,##0\);_(* \-_);_(@_)"/>
    <numFmt numFmtId="342" formatCode="&quot;Yes&quot;;;&quot;No&quot;"/>
    <numFmt numFmtId="343" formatCode="&quot;On&quot;;;&quot;Off&quot;"/>
    <numFmt numFmtId="344" formatCode="0.0%;\(0.0%\)"/>
    <numFmt numFmtId="345" formatCode="0%;\(0%\)"/>
    <numFmt numFmtId="346" formatCode="\+&quot;$&quot;0;\(&quot;$&quot;0\)"/>
    <numFmt numFmtId="347" formatCode="0.00000000000000000%"/>
    <numFmt numFmtId="348" formatCode="_(#,##0_);_(\-#,##0_)"/>
    <numFmt numFmtId="349" formatCode="_(#,##0.00_);_(\-#,##0.00_)"/>
    <numFmt numFmtId="350" formatCode="_(#,##0.0_);_(\-#,##0.0_)"/>
    <numFmt numFmtId="351" formatCode="#,##0.00&quot;&quot;;\(#,##0.00\)&quot;&quot;"/>
    <numFmt numFmtId="352" formatCode="#,##0&quot;&quot;;\(#,##0\)&quot;&quot;"/>
    <numFmt numFmtId="353" formatCode="#,##0.00&quot; GBp&quot;;\(#,##0.00\)&quot; GBp&quot;"/>
    <numFmt numFmtId="354" formatCode="mmm\ yy"/>
    <numFmt numFmtId="355" formatCode="_(* #,##0_);_(* \(#,##0\)"/>
    <numFmt numFmtId="356" formatCode="#,##0.00&quot; USD&quot;;\(#,##0.00\)&quot; USD&quot;"/>
    <numFmt numFmtId="357" formatCode="#,##0.00&quot; HKD&quot;;\(#,##0.00\)&quot; HKD&quot;"/>
    <numFmt numFmtId="358" formatCode="#,##0;[Red]\(#,##0\)"/>
    <numFmt numFmtId="359" formatCode="[$€-2]\ #,##0.00_);\([$€-2]\ #,##0.00\)"/>
    <numFmt numFmtId="360" formatCode="_(d\ mmmm\ yyyy_);;"/>
    <numFmt numFmtId="361" formatCode="_(\ &quot;RFC 0&quot;####0\ &quot;&quot;_);\(&quot;RFC 0&quot;###00\ &quot;&quot;\);"/>
    <numFmt numFmtId="362" formatCode="&quot;SAR&quot;\ #,##0.00;\(&quot;SAR&quot;\ #,##0.00\)"/>
    <numFmt numFmtId="363" formatCode="&quot;SAR&quot;\ #,##0;\(&quot;SAR&quot;\ #,##0\)"/>
    <numFmt numFmtId="364" formatCode="_(\ #,##0\ &quot;days&quot;_);\(#,##0\ &quot;days&quot;\);"/>
    <numFmt numFmtId="365" formatCode="[$SAR]\ #,##0_);[Red]\([$SAR]\ #,##0\)"/>
    <numFmt numFmtId="366" formatCode="_(d\ mmm\ yyyy_);;"/>
    <numFmt numFmtId="367" formatCode="[$USD]\ #,##0_);\([$USD]\ #,##0\)"/>
    <numFmt numFmtId="368" formatCode="_(\ &quot;PVO 0&quot;####0\ &quot;&quot;_);\(&quot;PVO 0&quot;###00\ &quot;&quot;\);"/>
    <numFmt numFmtId="369" formatCode="[$-409]mmm\-yy;@"/>
  </numFmts>
  <fonts count="683">
    <font>
      <sz val="10"/>
      <color theme="1"/>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font>
    <font>
      <sz val="11"/>
      <color theme="1"/>
      <name val="Calibri"/>
      <family val="2"/>
      <scheme val="minor"/>
    </font>
    <font>
      <sz val="11"/>
      <color theme="1"/>
      <name val="Times New Roman"/>
      <family val="2"/>
    </font>
    <font>
      <sz val="12"/>
      <color theme="1"/>
      <name val="Calibri"/>
      <family val="2"/>
      <scheme val="minor"/>
    </font>
    <font>
      <b/>
      <sz val="11"/>
      <color theme="1"/>
      <name val="Calibri"/>
      <family val="2"/>
      <scheme val="minor"/>
    </font>
    <font>
      <sz val="11"/>
      <name val="Calibri"/>
      <family val="2"/>
      <scheme val="minor"/>
    </font>
    <font>
      <sz val="10"/>
      <name val="Arial"/>
      <family val="2"/>
    </font>
    <font>
      <sz val="10"/>
      <color theme="1"/>
      <name val="Arial"/>
      <family val="2"/>
    </font>
    <font>
      <sz val="12"/>
      <name val="돋움체"/>
      <family val="3"/>
      <charset val="129"/>
    </font>
    <font>
      <sz val="12"/>
      <name val="바탕체"/>
      <family val="1"/>
      <charset val="129"/>
    </font>
    <font>
      <sz val="10"/>
      <name val="MS Sans Serif"/>
      <family val="2"/>
    </font>
    <font>
      <sz val="11"/>
      <color indexed="8"/>
      <name val="Calibri"/>
      <family val="2"/>
    </font>
    <font>
      <sz val="11"/>
      <color indexed="8"/>
      <name val="맑은 고딕"/>
      <family val="3"/>
      <charset val="129"/>
    </font>
    <font>
      <sz val="11"/>
      <color indexed="9"/>
      <name val="Calibri"/>
      <family val="2"/>
    </font>
    <font>
      <sz val="11"/>
      <color indexed="9"/>
      <name val="맑은 고딕"/>
      <family val="3"/>
      <charset val="129"/>
    </font>
    <font>
      <sz val="11"/>
      <name val="μ¸¿o"/>
      <family val="1"/>
      <charset val="129"/>
    </font>
    <font>
      <sz val="12"/>
      <name val="¹ÙÅÁÃ¼"/>
      <family val="1"/>
    </font>
    <font>
      <sz val="12"/>
      <name val="¹UAAA¼"/>
      <family val="3"/>
      <charset val="129"/>
    </font>
    <font>
      <sz val="8"/>
      <name val="Times New Roman"/>
      <family val="1"/>
    </font>
    <font>
      <sz val="11"/>
      <color indexed="20"/>
      <name val="Calibri"/>
      <family val="2"/>
    </font>
    <font>
      <b/>
      <sz val="11"/>
      <name val="Arial"/>
      <family val="2"/>
    </font>
    <font>
      <sz val="11"/>
      <name val="µ¸¿òÃ¼"/>
      <family val="3"/>
      <charset val="129"/>
    </font>
    <font>
      <sz val="11"/>
      <name val="돋움"/>
      <family val="3"/>
      <charset val="129"/>
    </font>
    <font>
      <sz val="9"/>
      <name val="Times New Roman"/>
      <family val="1"/>
    </font>
    <font>
      <b/>
      <sz val="11"/>
      <color indexed="52"/>
      <name val="Calibri"/>
      <family val="2"/>
    </font>
    <font>
      <b/>
      <sz val="10"/>
      <name val="Helv"/>
      <family val="2"/>
    </font>
    <font>
      <b/>
      <sz val="11"/>
      <color indexed="9"/>
      <name val="Calibri"/>
      <family val="2"/>
    </font>
    <font>
      <b/>
      <sz val="8"/>
      <name val="Arial"/>
      <family val="2"/>
    </font>
    <font>
      <sz val="10"/>
      <name val="Times New Roman"/>
      <family val="1"/>
    </font>
    <font>
      <sz val="10"/>
      <name val="MS Serif"/>
      <family val="1"/>
    </font>
    <font>
      <sz val="10"/>
      <name val="Courier"/>
      <family val="3"/>
    </font>
    <font>
      <b/>
      <sz val="10"/>
      <name val="Arial"/>
      <family val="2"/>
    </font>
    <font>
      <sz val="12"/>
      <name val="Arial"/>
      <family val="2"/>
    </font>
    <font>
      <sz val="10"/>
      <color indexed="8"/>
      <name val="Arial"/>
      <family val="2"/>
    </font>
    <font>
      <sz val="9"/>
      <name val="Arial"/>
      <family val="2"/>
    </font>
    <font>
      <b/>
      <sz val="12"/>
      <name val="Times New Roman"/>
      <family val="1"/>
    </font>
    <font>
      <b/>
      <sz val="11"/>
      <color indexed="8"/>
      <name val="Calibri"/>
      <family val="2"/>
    </font>
    <font>
      <sz val="10"/>
      <color indexed="16"/>
      <name val="MS Serif"/>
      <family val="1"/>
    </font>
    <font>
      <i/>
      <sz val="11"/>
      <color indexed="23"/>
      <name val="Calibri"/>
      <family val="2"/>
    </font>
    <font>
      <sz val="1"/>
      <color indexed="8"/>
      <name val="Courier"/>
      <family val="3"/>
    </font>
    <font>
      <i/>
      <sz val="1"/>
      <color indexed="8"/>
      <name val="Courier"/>
      <family val="3"/>
    </font>
    <font>
      <sz val="11"/>
      <color indexed="17"/>
      <name val="Calibri"/>
      <family val="2"/>
    </font>
    <font>
      <sz val="8"/>
      <name val="Arial"/>
      <family val="2"/>
    </font>
    <font>
      <b/>
      <sz val="9.5"/>
      <name val="Courier"/>
      <family val="3"/>
    </font>
    <font>
      <b/>
      <sz val="9.85"/>
      <name val="Times New Roman"/>
      <family val="1"/>
    </font>
    <font>
      <b/>
      <sz val="12"/>
      <name val="Arial"/>
      <family val="2"/>
    </font>
    <font>
      <b/>
      <i/>
      <sz val="12"/>
      <name val="Arial"/>
      <family val="2"/>
    </font>
    <font>
      <b/>
      <sz val="18"/>
      <name val="Arial"/>
      <family val="2"/>
    </font>
    <font>
      <b/>
      <sz val="11"/>
      <color indexed="56"/>
      <name val="Calibri"/>
      <family val="2"/>
    </font>
    <font>
      <u/>
      <sz val="8.8000000000000007"/>
      <color indexed="12"/>
      <name val="Calibri"/>
      <family val="2"/>
    </font>
    <font>
      <u/>
      <sz val="9"/>
      <color indexed="12"/>
      <name val="Arial"/>
      <family val="2"/>
    </font>
    <font>
      <sz val="11"/>
      <color indexed="62"/>
      <name val="Calibri"/>
      <family val="2"/>
    </font>
    <font>
      <sz val="11"/>
      <color indexed="52"/>
      <name val="Calibri"/>
      <family val="2"/>
    </font>
    <font>
      <b/>
      <sz val="11"/>
      <name val="Helv"/>
      <family val="2"/>
    </font>
    <font>
      <sz val="10"/>
      <name val="Arabic Transparent"/>
      <charset val="178"/>
    </font>
    <font>
      <sz val="11"/>
      <color indexed="60"/>
      <name val="Calibri"/>
      <family val="2"/>
    </font>
    <font>
      <sz val="7"/>
      <name val="Small Fonts"/>
      <family val="2"/>
    </font>
    <font>
      <b/>
      <i/>
      <sz val="16"/>
      <name val="Helv"/>
    </font>
    <font>
      <sz val="12"/>
      <name val="Arial MT"/>
    </font>
    <font>
      <b/>
      <sz val="11"/>
      <color indexed="63"/>
      <name val="Calibri"/>
      <family val="2"/>
    </font>
    <font>
      <b/>
      <sz val="10"/>
      <name val="Arial CE"/>
      <family val="2"/>
      <charset val="238"/>
    </font>
    <font>
      <sz val="10"/>
      <name val="Tms Rmn"/>
      <charset val="178"/>
    </font>
    <font>
      <sz val="8"/>
      <name val="Helv"/>
      <family val="2"/>
    </font>
    <font>
      <sz val="14"/>
      <name val="Arial"/>
      <family val="2"/>
    </font>
    <font>
      <i/>
      <sz val="10"/>
      <name val="Arial"/>
      <family val="2"/>
    </font>
    <font>
      <b/>
      <sz val="9"/>
      <name val="Arial"/>
      <family val="2"/>
    </font>
    <font>
      <sz val="18"/>
      <name val="Arial"/>
      <family val="2"/>
    </font>
    <font>
      <u/>
      <sz val="9"/>
      <color indexed="36"/>
      <name val="Arial"/>
      <family val="2"/>
    </font>
    <font>
      <sz val="10"/>
      <name val="Helv"/>
      <charset val="204"/>
    </font>
    <font>
      <b/>
      <sz val="8"/>
      <color indexed="8"/>
      <name val="Helv"/>
      <family val="2"/>
    </font>
    <font>
      <b/>
      <u/>
      <sz val="13"/>
      <name val="굴림체"/>
      <family val="3"/>
      <charset val="129"/>
    </font>
    <font>
      <sz val="12"/>
      <name val="굴림체"/>
      <family val="3"/>
      <charset val="129"/>
    </font>
    <font>
      <b/>
      <sz val="18"/>
      <color indexed="56"/>
      <name val="Cambria"/>
      <family val="2"/>
    </font>
    <font>
      <b/>
      <sz val="7"/>
      <name val="Tms Rmn"/>
      <family val="1"/>
    </font>
    <font>
      <b/>
      <u/>
      <sz val="12"/>
      <name val="Times New Roman"/>
      <family val="1"/>
    </font>
    <font>
      <sz val="11"/>
      <color indexed="10"/>
      <name val="Calibri"/>
      <family val="2"/>
    </font>
    <font>
      <sz val="11"/>
      <color indexed="10"/>
      <name val="맑은 고딕"/>
      <family val="3"/>
      <charset val="129"/>
    </font>
    <font>
      <b/>
      <sz val="11"/>
      <color indexed="52"/>
      <name val="맑은 고딕"/>
      <family val="3"/>
      <charset val="129"/>
    </font>
    <font>
      <b/>
      <sz val="1"/>
      <color indexed="8"/>
      <name val="Courier"/>
      <family val="3"/>
    </font>
    <font>
      <sz val="10"/>
      <name val="굴림체"/>
      <family val="3"/>
      <charset val="129"/>
    </font>
    <font>
      <sz val="11"/>
      <color indexed="20"/>
      <name val="맑은 고딕"/>
      <family val="3"/>
      <charset val="129"/>
    </font>
    <font>
      <u/>
      <sz val="11"/>
      <color indexed="36"/>
      <name val="돋움"/>
      <family val="3"/>
      <charset val="129"/>
    </font>
    <font>
      <sz val="14"/>
      <name val="뼻뮝"/>
      <family val="3"/>
      <charset val="129"/>
    </font>
    <font>
      <sz val="14"/>
      <name val="뼻뮝"/>
      <family val="1"/>
      <charset val="129"/>
    </font>
    <font>
      <sz val="11"/>
      <name val="굴림체"/>
      <family val="3"/>
      <charset val="129"/>
    </font>
    <font>
      <sz val="11"/>
      <color indexed="60"/>
      <name val="맑은 고딕"/>
      <family val="3"/>
      <charset val="129"/>
    </font>
    <font>
      <sz val="12"/>
      <name val="뼻뮝"/>
      <family val="1"/>
      <charset val="129"/>
    </font>
    <font>
      <i/>
      <sz val="11"/>
      <color indexed="23"/>
      <name val="맑은 고딕"/>
      <family val="3"/>
      <charset val="129"/>
    </font>
    <font>
      <b/>
      <sz val="11"/>
      <color indexed="9"/>
      <name val="맑은 고딕"/>
      <family val="3"/>
      <charset val="129"/>
    </font>
    <font>
      <b/>
      <sz val="12"/>
      <color indexed="16"/>
      <name val="굴림체"/>
      <family val="3"/>
      <charset val="129"/>
    </font>
    <font>
      <sz val="12"/>
      <name val="Times New Roman"/>
      <family val="1"/>
    </font>
    <font>
      <sz val="10"/>
      <name val="명조"/>
      <family val="3"/>
      <charset val="129"/>
    </font>
    <font>
      <sz val="11"/>
      <color indexed="52"/>
      <name val="맑은 고딕"/>
      <family val="3"/>
      <charset val="129"/>
    </font>
    <font>
      <sz val="10"/>
      <name val="바탕체"/>
      <family val="1"/>
      <charset val="129"/>
    </font>
    <font>
      <b/>
      <sz val="11"/>
      <color indexed="8"/>
      <name val="맑은 고딕"/>
      <family val="3"/>
      <charset val="129"/>
    </font>
    <font>
      <sz val="11"/>
      <color indexed="62"/>
      <name val="맑은 고딕"/>
      <family val="3"/>
      <charset val="129"/>
    </font>
    <font>
      <b/>
      <sz val="18"/>
      <color indexed="56"/>
      <name val="맑은 고딕"/>
      <family val="3"/>
      <charset val="129"/>
    </font>
    <font>
      <b/>
      <sz val="15"/>
      <color indexed="56"/>
      <name val="맑은 고딕"/>
      <family val="3"/>
      <charset val="129"/>
    </font>
    <font>
      <b/>
      <sz val="13"/>
      <color indexed="56"/>
      <name val="맑은 고딕"/>
      <family val="3"/>
      <charset val="129"/>
    </font>
    <font>
      <b/>
      <sz val="11"/>
      <color indexed="56"/>
      <name val="맑은 고딕"/>
      <family val="3"/>
      <charset val="129"/>
    </font>
    <font>
      <sz val="11"/>
      <color indexed="17"/>
      <name val="맑은 고딕"/>
      <family val="3"/>
      <charset val="129"/>
    </font>
    <font>
      <b/>
      <sz val="11"/>
      <color indexed="63"/>
      <name val="맑은 고딕"/>
      <family val="3"/>
      <charset val="129"/>
    </font>
    <font>
      <sz val="12"/>
      <name val="바탕체"/>
      <family val="1"/>
    </font>
    <font>
      <sz val="10"/>
      <name val="굴림체"/>
      <family val="3"/>
    </font>
    <font>
      <sz val="12"/>
      <name val="新細明體"/>
      <family val="1"/>
      <charset val="136"/>
    </font>
    <font>
      <sz val="12"/>
      <name val="Courier"/>
      <family val="3"/>
    </font>
    <font>
      <sz val="11"/>
      <name val="Arial Unicode MS"/>
      <family val="3"/>
    </font>
    <font>
      <u/>
      <sz val="12"/>
      <color indexed="12"/>
      <name val="Times New Roman"/>
      <family val="1"/>
    </font>
    <font>
      <u/>
      <sz val="12"/>
      <color indexed="36"/>
      <name val="Times New Roman"/>
      <family val="1"/>
    </font>
    <font>
      <sz val="10"/>
      <name val="Calibri"/>
      <family val="2"/>
      <scheme val="minor"/>
    </font>
    <font>
      <b/>
      <sz val="10"/>
      <name val="Calibri"/>
      <family val="2"/>
      <scheme val="minor"/>
    </font>
    <font>
      <b/>
      <sz val="10"/>
      <color theme="1"/>
      <name val="Calibri"/>
      <family val="2"/>
      <scheme val="minor"/>
    </font>
    <font>
      <sz val="10"/>
      <color theme="1"/>
      <name val="Calibri"/>
      <family val="2"/>
      <scheme val="minor"/>
    </font>
    <font>
      <sz val="8"/>
      <color indexed="12"/>
      <name val="Arial"/>
      <family val="2"/>
    </font>
    <font>
      <sz val="8"/>
      <name val="Tms Rmn"/>
    </font>
    <font>
      <sz val="8"/>
      <name val="Times"/>
      <family val="1"/>
    </font>
    <font>
      <sz val="12"/>
      <color indexed="12"/>
      <name val="Times New Roman"/>
      <family val="1"/>
    </font>
    <font>
      <sz val="14"/>
      <name val="?? ??"/>
      <family val="1"/>
      <charset val="128"/>
    </font>
    <font>
      <u/>
      <sz val="8.4"/>
      <color indexed="12"/>
      <name val="Arial"/>
      <family val="2"/>
    </font>
    <font>
      <sz val="11"/>
      <color indexed="8"/>
      <name val="Arial"/>
      <family val="2"/>
    </font>
    <font>
      <sz val="10"/>
      <name val="Helv"/>
      <family val="2"/>
    </font>
    <font>
      <sz val="10"/>
      <name val="Arial"/>
      <family val="2"/>
      <charset val="204"/>
    </font>
    <font>
      <sz val="10"/>
      <name val="MS Sans Serif"/>
      <family val="2"/>
      <charset val="178"/>
    </font>
    <font>
      <sz val="10"/>
      <name val="Helv"/>
    </font>
    <font>
      <b/>
      <sz val="22"/>
      <color indexed="18"/>
      <name val="Arial"/>
      <family val="2"/>
    </font>
    <font>
      <b/>
      <sz val="14"/>
      <color indexed="18"/>
      <name val="Arial"/>
      <family val="2"/>
    </font>
    <font>
      <sz val="9"/>
      <color indexed="8"/>
      <name val="Arial"/>
      <family val="2"/>
    </font>
    <font>
      <b/>
      <sz val="10"/>
      <color indexed="18"/>
      <name val="Arial"/>
      <family val="2"/>
    </font>
    <font>
      <b/>
      <u val="singleAccounting"/>
      <sz val="10"/>
      <color indexed="18"/>
      <name val="Arial"/>
      <family val="2"/>
    </font>
    <font>
      <sz val="10"/>
      <name val="Courier New"/>
      <family val="3"/>
    </font>
    <font>
      <sz val="11"/>
      <name val="‚l‚r ƒSƒVƒbƒN"/>
      <charset val="128"/>
    </font>
    <font>
      <b/>
      <sz val="11"/>
      <name val="Book Antiqua"/>
      <family val="1"/>
    </font>
    <font>
      <sz val="14"/>
      <name val="Times New Roman"/>
      <family val="1"/>
    </font>
    <font>
      <sz val="18"/>
      <name val="Times New Roman"/>
      <family val="1"/>
    </font>
    <font>
      <sz val="11"/>
      <color indexed="8"/>
      <name val="宋体"/>
      <charset val="134"/>
    </font>
    <font>
      <sz val="11"/>
      <color theme="0"/>
      <name val="Calibri"/>
      <family val="2"/>
      <scheme val="minor"/>
    </font>
    <font>
      <sz val="11"/>
      <color indexed="42"/>
      <name val="宋体"/>
      <charset val="134"/>
    </font>
    <font>
      <sz val="14"/>
      <name val="AngsanaUPC"/>
      <family val="1"/>
    </font>
    <font>
      <sz val="8"/>
      <color indexed="8"/>
      <name val="Times New Roman"/>
      <family val="1"/>
    </font>
    <font>
      <sz val="12"/>
      <color indexed="8"/>
      <name val="Times New Roman"/>
      <family val="1"/>
    </font>
    <font>
      <sz val="14"/>
      <color indexed="12"/>
      <name val="Times New Roman"/>
      <family val="1"/>
    </font>
    <font>
      <sz val="11"/>
      <color rgb="FF9C0006"/>
      <name val="Calibri"/>
      <family val="2"/>
      <scheme val="minor"/>
    </font>
    <font>
      <sz val="8"/>
      <color indexed="13"/>
      <name val="Arial"/>
      <family val="2"/>
    </font>
    <font>
      <sz val="10"/>
      <color indexed="8"/>
      <name val="Book Antiqua"/>
      <family val="1"/>
    </font>
    <font>
      <sz val="8"/>
      <color indexed="12"/>
      <name val="Times"/>
      <family val="1"/>
    </font>
    <font>
      <sz val="12"/>
      <name val="Tms Rmn"/>
    </font>
    <font>
      <sz val="10"/>
      <color indexed="8"/>
      <name val="Calibri"/>
      <family val="2"/>
    </font>
    <font>
      <b/>
      <sz val="10"/>
      <name val="Switzerland"/>
      <family val="2"/>
    </font>
    <font>
      <b/>
      <sz val="12"/>
      <name val="Switzerland"/>
      <family val="2"/>
    </font>
    <font>
      <b/>
      <sz val="8"/>
      <name val="Switzerland"/>
      <family val="2"/>
    </font>
    <font>
      <b/>
      <i/>
      <sz val="10"/>
      <name val="Switzerland"/>
      <family val="2"/>
    </font>
    <font>
      <b/>
      <i/>
      <sz val="12"/>
      <name val="Switzerland"/>
      <family val="2"/>
    </font>
    <font>
      <b/>
      <i/>
      <sz val="8"/>
      <name val="Switzerland"/>
      <family val="2"/>
    </font>
    <font>
      <b/>
      <sz val="10"/>
      <name val="Times New Roman"/>
      <family val="1"/>
    </font>
    <font>
      <sz val="10"/>
      <name val="Times New Roman"/>
      <family val="1"/>
      <charset val="178"/>
    </font>
    <font>
      <b/>
      <sz val="10"/>
      <color indexed="8"/>
      <name val="Times New Roman"/>
      <family val="1"/>
    </font>
    <font>
      <sz val="12"/>
      <name val="¹ÙÅÁÃ¼"/>
      <charset val="129"/>
    </font>
    <font>
      <b/>
      <sz val="11"/>
      <color rgb="FFFA7D00"/>
      <name val="Calibri"/>
      <family val="2"/>
      <scheme val="minor"/>
    </font>
    <font>
      <sz val="8"/>
      <name val="Helvetica-Narrow"/>
      <family val="2"/>
    </font>
    <font>
      <sz val="10"/>
      <color indexed="18"/>
      <name val="Times New Roman"/>
      <family val="1"/>
    </font>
    <font>
      <b/>
      <sz val="11"/>
      <color theme="0"/>
      <name val="Calibri"/>
      <family val="2"/>
      <scheme val="minor"/>
    </font>
    <font>
      <b/>
      <sz val="8"/>
      <name val="GillSans"/>
      <family val="2"/>
    </font>
    <font>
      <sz val="10"/>
      <name val="Tms Rmn"/>
    </font>
    <font>
      <b/>
      <u val="singleAccounting"/>
      <sz val="8"/>
      <color indexed="8"/>
      <name val="Arial"/>
      <family val="2"/>
    </font>
    <font>
      <sz val="11"/>
      <name val="Tms Rmn"/>
      <family val="1"/>
    </font>
    <font>
      <sz val="11"/>
      <color theme="1"/>
      <name val="Century Gothic"/>
      <family val="2"/>
    </font>
    <font>
      <sz val="11"/>
      <name val="Book Antiqua"/>
      <family val="1"/>
    </font>
    <font>
      <sz val="8"/>
      <name val="Palatino"/>
      <family val="1"/>
    </font>
    <font>
      <sz val="11"/>
      <color theme="1"/>
      <name val="Arial"/>
      <family val="2"/>
    </font>
    <font>
      <sz val="11"/>
      <color theme="1"/>
      <name val="Arial Narrow"/>
      <family val="2"/>
    </font>
    <font>
      <sz val="10"/>
      <color theme="1"/>
      <name val="Century Gothic"/>
      <family val="2"/>
    </font>
    <font>
      <sz val="10"/>
      <name val="Eras Medium ITC"/>
      <family val="2"/>
    </font>
    <font>
      <sz val="10"/>
      <name val="BERNHARD"/>
    </font>
    <font>
      <b/>
      <i/>
      <sz val="10"/>
      <name val="Arial"/>
      <family val="2"/>
    </font>
    <font>
      <i/>
      <sz val="9"/>
      <name val="MS Sans Serif"/>
      <family val="2"/>
    </font>
    <font>
      <b/>
      <sz val="11"/>
      <name val="Times New Roman"/>
      <family val="1"/>
    </font>
    <font>
      <sz val="11"/>
      <name val="Courier"/>
      <family val="3"/>
    </font>
    <font>
      <b/>
      <u/>
      <sz val="11"/>
      <name val="Times New Roman"/>
      <family val="1"/>
    </font>
    <font>
      <sz val="7"/>
      <name val="Arial"/>
      <family val="2"/>
    </font>
    <font>
      <sz val="12"/>
      <color indexed="8"/>
      <name val="Book Antiqua"/>
      <family val="1"/>
    </font>
    <font>
      <sz val="10"/>
      <name val="Arial Narrow"/>
      <family val="2"/>
    </font>
    <font>
      <sz val="12"/>
      <name val="Helv"/>
      <family val="2"/>
    </font>
    <font>
      <i/>
      <sz val="10"/>
      <name val="Arial Narrow"/>
      <family val="2"/>
    </font>
    <font>
      <i/>
      <sz val="11"/>
      <color rgb="FF7F7F7F"/>
      <name val="Calibri"/>
      <family val="2"/>
      <scheme val="minor"/>
    </font>
    <font>
      <u/>
      <sz val="10"/>
      <color indexed="36"/>
      <name val="Arial"/>
      <family val="2"/>
    </font>
    <font>
      <u/>
      <sz val="10"/>
      <color indexed="39"/>
      <name val="Arial"/>
      <family val="2"/>
    </font>
    <font>
      <sz val="9"/>
      <color indexed="12"/>
      <name val="Arial"/>
      <family val="2"/>
    </font>
    <font>
      <b/>
      <sz val="8"/>
      <color indexed="12"/>
      <name val="Arial"/>
      <family val="2"/>
    </font>
    <font>
      <b/>
      <u val="singleAccounting"/>
      <sz val="9"/>
      <name val="Times New Roman"/>
      <family val="1"/>
    </font>
    <font>
      <b/>
      <sz val="10"/>
      <color indexed="8"/>
      <name val="Wingdings 2"/>
      <family val="1"/>
      <charset val="2"/>
    </font>
    <font>
      <b/>
      <sz val="12"/>
      <color indexed="8"/>
      <name val="Arial"/>
      <family val="2"/>
    </font>
    <font>
      <b/>
      <sz val="10.5"/>
      <color indexed="8"/>
      <name val="Arial"/>
      <family val="2"/>
    </font>
    <font>
      <i/>
      <sz val="10"/>
      <color indexed="8"/>
      <name val="Arial"/>
      <family val="2"/>
    </font>
    <font>
      <sz val="10"/>
      <color indexed="12"/>
      <name val="Arial"/>
      <family val="2"/>
    </font>
    <font>
      <sz val="10"/>
      <color indexed="10"/>
      <name val="Tahoma"/>
      <family val="2"/>
    </font>
    <font>
      <sz val="14"/>
      <color indexed="18"/>
      <name val="Times New Roman"/>
      <family val="1"/>
    </font>
    <font>
      <b/>
      <sz val="10"/>
      <color indexed="8"/>
      <name val="Tahoma"/>
      <family val="2"/>
    </font>
    <font>
      <u/>
      <sz val="11"/>
      <color indexed="12"/>
      <name val="Book Antiqua"/>
      <family val="1"/>
    </font>
    <font>
      <b/>
      <i/>
      <sz val="14"/>
      <name val="Tms Rmn"/>
    </font>
    <font>
      <i/>
      <sz val="8"/>
      <name val="Tms Rmn"/>
    </font>
    <font>
      <sz val="11"/>
      <name val="Times New Roman"/>
      <family val="1"/>
    </font>
    <font>
      <sz val="10"/>
      <color indexed="10"/>
      <name val="Arial"/>
      <family val="2"/>
    </font>
    <font>
      <sz val="10"/>
      <name val="Geneva"/>
      <family val="2"/>
    </font>
    <font>
      <sz val="11"/>
      <color rgb="FF006100"/>
      <name val="Calibri"/>
      <family val="2"/>
      <scheme val="minor"/>
    </font>
    <font>
      <b/>
      <sz val="10"/>
      <color indexed="17"/>
      <name val="Helvetica"/>
      <family val="2"/>
    </font>
    <font>
      <sz val="12"/>
      <color indexed="9"/>
      <name val="Times New Roman"/>
      <family val="1"/>
    </font>
    <font>
      <b/>
      <sz val="12"/>
      <name val="Arial"/>
      <family val="2"/>
      <charset val="178"/>
    </font>
    <font>
      <b/>
      <sz val="15"/>
      <color indexed="56"/>
      <name val="Calibri"/>
      <family val="2"/>
    </font>
    <font>
      <b/>
      <sz val="15"/>
      <color theme="3"/>
      <name val="Calibri"/>
      <family val="2"/>
      <scheme val="minor"/>
    </font>
    <font>
      <b/>
      <sz val="13"/>
      <color indexed="56"/>
      <name val="Calibri"/>
      <family val="2"/>
    </font>
    <font>
      <b/>
      <sz val="13"/>
      <color theme="3"/>
      <name val="Calibri"/>
      <family val="2"/>
      <scheme val="minor"/>
    </font>
    <font>
      <b/>
      <sz val="11"/>
      <color theme="3"/>
      <name val="Calibri"/>
      <family val="2"/>
      <scheme val="minor"/>
    </font>
    <font>
      <b/>
      <sz val="12"/>
      <name val="Tms Rmn"/>
    </font>
    <font>
      <b/>
      <sz val="11"/>
      <name val="Tms Rmn"/>
    </font>
    <font>
      <b/>
      <sz val="8"/>
      <name val="MS Sans Serif"/>
      <family val="2"/>
    </font>
    <font>
      <u/>
      <sz val="10"/>
      <color indexed="12"/>
      <name val="Arial"/>
      <family val="2"/>
    </font>
    <font>
      <u/>
      <sz val="10.8"/>
      <color indexed="12"/>
      <name val="Times New Roman"/>
      <family val="1"/>
    </font>
    <font>
      <u/>
      <sz val="7"/>
      <color theme="10"/>
      <name val="Arial"/>
      <family val="2"/>
    </font>
    <font>
      <sz val="11"/>
      <color rgb="FF3F3F76"/>
      <name val="Calibri"/>
      <family val="2"/>
      <scheme val="minor"/>
    </font>
    <font>
      <sz val="10"/>
      <color indexed="12"/>
      <name val="Times New Roman"/>
      <family val="1"/>
    </font>
    <font>
      <sz val="10"/>
      <color indexed="10"/>
      <name val="Times New Roman"/>
      <family val="1"/>
    </font>
    <font>
      <i/>
      <sz val="10"/>
      <color indexed="12"/>
      <name val="Times New Roman"/>
      <family val="1"/>
    </font>
    <font>
      <sz val="1"/>
      <color indexed="9"/>
      <name val="Symbol"/>
      <family val="1"/>
      <charset val="2"/>
    </font>
    <font>
      <i/>
      <sz val="8"/>
      <name val="Times New Roman"/>
      <family val="1"/>
    </font>
    <font>
      <sz val="10"/>
      <name val="GillSans Light"/>
      <family val="2"/>
    </font>
    <font>
      <b/>
      <sz val="13"/>
      <name val="Times New Roman"/>
      <family val="1"/>
    </font>
    <font>
      <b/>
      <i/>
      <sz val="12"/>
      <name val="Times New Roman"/>
      <family val="1"/>
    </font>
    <font>
      <i/>
      <sz val="12"/>
      <name val="Times New Roman"/>
      <family val="1"/>
    </font>
    <font>
      <b/>
      <sz val="14"/>
      <name val="Helv"/>
      <family val="2"/>
    </font>
    <font>
      <b/>
      <sz val="11"/>
      <color indexed="10"/>
      <name val="Arial"/>
      <family val="2"/>
    </font>
    <font>
      <b/>
      <sz val="11"/>
      <color indexed="16"/>
      <name val="Arial"/>
      <family val="2"/>
    </font>
    <font>
      <sz val="11"/>
      <color rgb="FFFA7D00"/>
      <name val="Calibri"/>
      <family val="2"/>
      <scheme val="minor"/>
    </font>
    <font>
      <sz val="9"/>
      <name val="SwitzerlandLight"/>
      <family val="2"/>
    </font>
    <font>
      <b/>
      <u/>
      <sz val="10"/>
      <name val="Times New Roman"/>
      <family val="1"/>
    </font>
    <font>
      <b/>
      <i/>
      <sz val="10"/>
      <color indexed="12"/>
      <name val="Tahoma"/>
      <family val="2"/>
    </font>
    <font>
      <sz val="10"/>
      <color indexed="12"/>
      <name val="Tahoma"/>
      <family val="2"/>
    </font>
    <font>
      <sz val="10"/>
      <color indexed="12"/>
      <name val="Arial Narrow"/>
      <family val="2"/>
    </font>
    <font>
      <sz val="11"/>
      <color rgb="FF9C6500"/>
      <name val="Calibri"/>
      <family val="2"/>
      <scheme val="minor"/>
    </font>
    <font>
      <b/>
      <u val="singleAccounting"/>
      <sz val="8"/>
      <color indexed="8"/>
      <name val="Verdana"/>
      <family val="2"/>
    </font>
    <font>
      <b/>
      <sz val="10"/>
      <color indexed="9"/>
      <name val="Arial"/>
      <family val="2"/>
    </font>
    <font>
      <b/>
      <sz val="12"/>
      <color indexed="8"/>
      <name val="Verdana"/>
      <family val="2"/>
    </font>
    <font>
      <sz val="12"/>
      <color indexed="8"/>
      <name val="Calibri"/>
      <family val="2"/>
    </font>
    <font>
      <sz val="12"/>
      <name val="Times New Roman"/>
      <family val="1"/>
      <charset val="178"/>
    </font>
    <font>
      <sz val="10"/>
      <name val="Garamond"/>
      <family val="1"/>
    </font>
    <font>
      <sz val="11"/>
      <color indexed="8"/>
      <name val="Century Gothic"/>
      <family val="2"/>
    </font>
    <font>
      <sz val="12"/>
      <name val="SWISS"/>
    </font>
    <font>
      <sz val="9"/>
      <name val="Tms Rmn"/>
    </font>
    <font>
      <sz val="12"/>
      <name val="Times"/>
      <family val="1"/>
    </font>
    <font>
      <b/>
      <sz val="10"/>
      <color indexed="12"/>
      <name val="Arial Narrow"/>
      <family val="2"/>
    </font>
    <font>
      <b/>
      <sz val="13.5"/>
      <name val="MS Sans Serif"/>
      <family val="2"/>
    </font>
    <font>
      <b/>
      <sz val="11"/>
      <color rgb="FF3F3F3F"/>
      <name val="Calibri"/>
      <family val="2"/>
      <scheme val="minor"/>
    </font>
    <font>
      <sz val="8"/>
      <color indexed="17"/>
      <name val="Arial"/>
      <family val="2"/>
    </font>
    <font>
      <b/>
      <sz val="26"/>
      <name val="Times New Roman"/>
      <family val="1"/>
    </font>
    <font>
      <sz val="10"/>
      <color indexed="16"/>
      <name val="Helvetica-Black"/>
    </font>
    <font>
      <b/>
      <sz val="9"/>
      <name val="Frutiger 45 Light"/>
      <family val="2"/>
    </font>
    <font>
      <i/>
      <sz val="12"/>
      <color indexed="8"/>
      <name val="Times New Roman"/>
      <family val="1"/>
    </font>
    <font>
      <sz val="10"/>
      <color indexed="8"/>
      <name val="Helvetica"/>
      <family val="2"/>
    </font>
    <font>
      <sz val="12"/>
      <name val="Book Antiqua"/>
      <family val="1"/>
    </font>
    <font>
      <sz val="8"/>
      <color indexed="18"/>
      <name val="Arial"/>
      <family val="2"/>
    </font>
    <font>
      <b/>
      <sz val="10"/>
      <name val="MS Sans Serif"/>
      <family val="2"/>
    </font>
    <font>
      <b/>
      <sz val="12"/>
      <color indexed="8"/>
      <name val="Times New Roman"/>
      <family val="1"/>
    </font>
    <font>
      <sz val="10"/>
      <color indexed="20"/>
      <name val="Times New Roman"/>
      <family val="1"/>
    </font>
    <font>
      <sz val="8"/>
      <name val="Wingdings"/>
      <charset val="2"/>
    </font>
    <font>
      <sz val="8"/>
      <color indexed="12"/>
      <name val="Helvetica"/>
      <family val="2"/>
    </font>
    <font>
      <b/>
      <sz val="9"/>
      <name val="Helvetica"/>
      <family val="2"/>
    </font>
    <font>
      <sz val="10"/>
      <color indexed="36"/>
      <name val="Arial"/>
      <family val="2"/>
    </font>
    <font>
      <sz val="8"/>
      <name val="Helv"/>
    </font>
    <font>
      <sz val="10"/>
      <color indexed="8"/>
      <name val="Times New Roman"/>
      <family val="1"/>
    </font>
    <font>
      <b/>
      <sz val="8"/>
      <color indexed="9"/>
      <name val="Verdana"/>
      <family val="2"/>
    </font>
    <font>
      <i/>
      <sz val="10"/>
      <name val="Times New Roman"/>
      <family val="1"/>
    </font>
    <font>
      <sz val="8"/>
      <name val="MS Sans Serif"/>
      <family val="2"/>
    </font>
    <font>
      <sz val="10"/>
      <color indexed="9"/>
      <name val="Arial"/>
      <family val="2"/>
    </font>
    <font>
      <sz val="24"/>
      <color indexed="9"/>
      <name val="Arial"/>
      <family val="2"/>
    </font>
    <font>
      <b/>
      <sz val="11"/>
      <color indexed="9"/>
      <name val="Arial"/>
      <family val="2"/>
    </font>
    <font>
      <b/>
      <i/>
      <sz val="8"/>
      <color indexed="9"/>
      <name val="Arial"/>
      <family val="2"/>
    </font>
    <font>
      <sz val="8"/>
      <color indexed="9"/>
      <name val="Arial"/>
      <family val="2"/>
    </font>
    <font>
      <b/>
      <sz val="12"/>
      <color indexed="63"/>
      <name val="Arial"/>
      <family val="2"/>
    </font>
    <font>
      <i/>
      <sz val="8"/>
      <name val="Arial"/>
      <family val="2"/>
    </font>
    <font>
      <sz val="11"/>
      <color rgb="FFFF0000"/>
      <name val="Calibri"/>
      <family val="2"/>
      <scheme val="minor"/>
    </font>
    <font>
      <b/>
      <sz val="11"/>
      <color rgb="FFFF0000"/>
      <name val="Calibri"/>
      <family val="2"/>
      <scheme val="minor"/>
    </font>
    <font>
      <b/>
      <sz val="12"/>
      <name val="Calibri"/>
      <family val="2"/>
      <scheme val="minor"/>
    </font>
    <font>
      <b/>
      <sz val="10"/>
      <color theme="1"/>
      <name val="Calibri"/>
      <family val="2"/>
    </font>
    <font>
      <sz val="10"/>
      <name val="Arial"/>
      <family val="2"/>
    </font>
    <font>
      <b/>
      <sz val="11"/>
      <name val="Calibri"/>
      <family val="2"/>
      <scheme val="minor"/>
    </font>
    <font>
      <b/>
      <sz val="11"/>
      <color theme="1"/>
      <name val="Calibri"/>
      <family val="2"/>
    </font>
    <font>
      <sz val="14"/>
      <color theme="1"/>
      <name val="Calibri"/>
      <family val="2"/>
      <scheme val="minor"/>
    </font>
    <font>
      <sz val="12"/>
      <name val="Calibri"/>
      <family val="2"/>
      <scheme val="minor"/>
    </font>
    <font>
      <sz val="8"/>
      <name val="Calibri"/>
      <family val="2"/>
    </font>
    <font>
      <u/>
      <sz val="10"/>
      <color theme="10"/>
      <name val="Calibri"/>
      <family val="2"/>
    </font>
    <font>
      <u/>
      <sz val="10"/>
      <color theme="11"/>
      <name val="Calibri"/>
      <family val="2"/>
    </font>
    <font>
      <b/>
      <sz val="12"/>
      <color theme="1"/>
      <name val="Calibri"/>
      <family val="2"/>
      <scheme val="minor"/>
    </font>
    <font>
      <sz val="9"/>
      <color indexed="81"/>
      <name val="Tahoma"/>
      <family val="2"/>
    </font>
    <font>
      <b/>
      <sz val="9"/>
      <color indexed="81"/>
      <name val="Tahoma"/>
      <family val="2"/>
    </font>
    <font>
      <sz val="10"/>
      <name val="Calibri"/>
      <family val="2"/>
    </font>
    <font>
      <sz val="11"/>
      <name val="Calibri Light"/>
      <family val="2"/>
    </font>
    <font>
      <sz val="48"/>
      <name val="Arial"/>
      <family val="2"/>
    </font>
    <font>
      <b/>
      <sz val="48"/>
      <name val="Arial"/>
      <family val="2"/>
    </font>
    <font>
      <b/>
      <sz val="13"/>
      <color theme="1"/>
      <name val="Calibri"/>
      <family val="2"/>
      <scheme val="minor"/>
    </font>
    <font>
      <b/>
      <sz val="13"/>
      <name val="Calibri"/>
      <family val="2"/>
      <scheme val="minor"/>
    </font>
    <font>
      <sz val="13"/>
      <color theme="1"/>
      <name val="Calibri"/>
      <family val="2"/>
      <scheme val="minor"/>
    </font>
    <font>
      <sz val="13"/>
      <name val="Calibri"/>
      <family val="2"/>
      <scheme val="minor"/>
    </font>
    <font>
      <sz val="13"/>
      <color rgb="FFFF0000"/>
      <name val="Calibri"/>
      <family val="2"/>
      <scheme val="minor"/>
    </font>
    <font>
      <b/>
      <sz val="12"/>
      <color rgb="FFFF0000"/>
      <name val="Calibri"/>
      <family val="2"/>
      <scheme val="minor"/>
    </font>
    <font>
      <sz val="12"/>
      <color rgb="FFFF0000"/>
      <name val="Calibri"/>
      <family val="2"/>
      <scheme val="minor"/>
    </font>
    <font>
      <b/>
      <sz val="16"/>
      <color theme="1"/>
      <name val="Calibri"/>
      <family val="2"/>
      <scheme val="minor"/>
    </font>
    <font>
      <sz val="11"/>
      <color theme="1"/>
      <name val="Calibri Light"/>
      <family val="2"/>
    </font>
    <font>
      <b/>
      <sz val="11"/>
      <color theme="1"/>
      <name val="Calibri Light"/>
      <family val="2"/>
    </font>
    <font>
      <b/>
      <sz val="9.5"/>
      <color theme="1"/>
      <name val="Calibri Light"/>
      <family val="2"/>
    </font>
    <font>
      <sz val="9.5"/>
      <name val="Calibri Light"/>
      <family val="2"/>
    </font>
    <font>
      <sz val="9"/>
      <name val="Calibri Light"/>
      <family val="2"/>
    </font>
    <font>
      <b/>
      <sz val="16"/>
      <color theme="1"/>
      <name val="Calibri Light"/>
      <family val="2"/>
    </font>
    <font>
      <sz val="10"/>
      <color rgb="FFFF0000"/>
      <name val="Calibri"/>
      <family val="2"/>
    </font>
    <font>
      <b/>
      <sz val="10"/>
      <color rgb="FFFF0000"/>
      <name val="Calibri"/>
      <family val="2"/>
    </font>
    <font>
      <b/>
      <sz val="11"/>
      <name val="Calibri Light"/>
      <family val="2"/>
    </font>
    <font>
      <sz val="11"/>
      <color theme="3" tint="0.39997558519241921"/>
      <name val="Calibri Light"/>
      <family val="2"/>
    </font>
    <font>
      <sz val="12"/>
      <name val="Calibri Light"/>
      <family val="2"/>
    </font>
    <font>
      <sz val="12"/>
      <color theme="1"/>
      <name val="Calibri"/>
      <family val="2"/>
    </font>
    <font>
      <b/>
      <sz val="12"/>
      <name val="Calibri Light"/>
      <family val="2"/>
    </font>
    <font>
      <sz val="12"/>
      <color theme="1"/>
      <name val="Calibri Light"/>
      <family val="2"/>
    </font>
    <font>
      <sz val="11"/>
      <name val="Arial"/>
      <family val="2"/>
    </font>
    <font>
      <sz val="9.5"/>
      <name val="Arial"/>
      <family val="2"/>
    </font>
    <font>
      <sz val="12"/>
      <color indexed="8"/>
      <name val="Arial"/>
      <family val="2"/>
    </font>
    <font>
      <sz val="12"/>
      <name val="Helv"/>
    </font>
    <font>
      <b/>
      <u/>
      <sz val="10"/>
      <color indexed="10"/>
      <name val="Arial"/>
      <family val="2"/>
    </font>
    <font>
      <u val="double"/>
      <sz val="14"/>
      <color indexed="8"/>
      <name val="Arial"/>
      <family val="2"/>
    </font>
    <font>
      <b/>
      <sz val="10"/>
      <name val="Calibri"/>
      <family val="2"/>
    </font>
    <font>
      <sz val="12"/>
      <color theme="0"/>
      <name val="Calibri Light"/>
      <family val="2"/>
    </font>
    <font>
      <b/>
      <sz val="16"/>
      <name val="Calibri"/>
      <family val="2"/>
      <scheme val="minor"/>
    </font>
    <font>
      <b/>
      <i/>
      <sz val="22"/>
      <name val="Calibri"/>
      <family val="2"/>
      <scheme val="minor"/>
    </font>
    <font>
      <b/>
      <sz val="22"/>
      <name val="Calibri"/>
      <family val="2"/>
      <scheme val="minor"/>
    </font>
    <font>
      <b/>
      <i/>
      <sz val="48"/>
      <name val="Calibri"/>
      <family val="2"/>
      <scheme val="minor"/>
    </font>
    <font>
      <sz val="10"/>
      <color theme="1"/>
      <name val="Trebuchet MS"/>
      <family val="2"/>
    </font>
    <font>
      <u/>
      <sz val="12"/>
      <name val="Calibri Light"/>
      <family val="2"/>
    </font>
    <font>
      <b/>
      <i/>
      <sz val="12"/>
      <name val="Calibri Light"/>
      <family val="2"/>
    </font>
    <font>
      <b/>
      <u/>
      <sz val="11"/>
      <name val="Calibri Light"/>
      <family val="2"/>
    </font>
    <font>
      <b/>
      <sz val="6.95"/>
      <color indexed="8"/>
      <name val="Times New Roman"/>
      <family val="1"/>
    </font>
    <font>
      <b/>
      <sz val="36"/>
      <name val="Arial"/>
      <family val="2"/>
    </font>
    <font>
      <b/>
      <sz val="36"/>
      <color theme="0"/>
      <name val="Arial"/>
      <family val="2"/>
    </font>
    <font>
      <sz val="24"/>
      <name val="Arial"/>
      <family val="2"/>
    </font>
    <font>
      <b/>
      <sz val="24"/>
      <color theme="0"/>
      <name val="Arial"/>
      <family val="2"/>
    </font>
    <font>
      <b/>
      <sz val="72"/>
      <color rgb="FFFF0000"/>
      <name val="Arial"/>
      <family val="2"/>
    </font>
    <font>
      <sz val="72"/>
      <color rgb="FFFF0000"/>
      <name val="Calibri"/>
      <family val="2"/>
      <scheme val="minor"/>
    </font>
    <font>
      <b/>
      <sz val="28"/>
      <color theme="0"/>
      <name val="Arial"/>
      <family val="2"/>
    </font>
    <font>
      <b/>
      <sz val="22"/>
      <color theme="0"/>
      <name val="Arial"/>
      <family val="2"/>
    </font>
    <font>
      <b/>
      <sz val="16"/>
      <color theme="0"/>
      <name val="Arial"/>
      <family val="2"/>
    </font>
    <font>
      <b/>
      <sz val="20"/>
      <color theme="0"/>
      <name val="Arial"/>
      <family val="2"/>
    </font>
    <font>
      <sz val="16"/>
      <name val="Arial"/>
      <family val="2"/>
    </font>
    <font>
      <sz val="18"/>
      <color theme="0"/>
      <name val="Arial"/>
      <family val="2"/>
    </font>
    <font>
      <sz val="14"/>
      <color theme="0"/>
      <name val="Arial"/>
      <family val="2"/>
    </font>
    <font>
      <b/>
      <sz val="20"/>
      <color theme="1"/>
      <name val="Calibri"/>
      <family val="2"/>
      <scheme val="minor"/>
    </font>
    <font>
      <sz val="16"/>
      <name val="Calibri"/>
      <family val="2"/>
      <scheme val="minor"/>
    </font>
    <font>
      <sz val="16"/>
      <color theme="1"/>
      <name val="Calibri"/>
      <family val="2"/>
      <scheme val="minor"/>
    </font>
    <font>
      <b/>
      <sz val="20"/>
      <name val="Calibri"/>
      <family val="2"/>
      <scheme val="minor"/>
    </font>
    <font>
      <sz val="12"/>
      <color indexed="81"/>
      <name val="Tahoma"/>
      <family val="2"/>
    </font>
    <font>
      <b/>
      <sz val="10"/>
      <color theme="0"/>
      <name val="Calibri"/>
      <family val="2"/>
    </font>
    <font>
      <sz val="10"/>
      <color theme="0"/>
      <name val="Calibri"/>
      <family val="2"/>
    </font>
    <font>
      <sz val="11"/>
      <name val="Arial Narrow"/>
      <family val="2"/>
    </font>
    <font>
      <b/>
      <sz val="18"/>
      <name val="Calibri"/>
      <family val="2"/>
      <scheme val="minor"/>
    </font>
    <font>
      <sz val="10"/>
      <name val="Verdana"/>
      <family val="2"/>
    </font>
    <font>
      <sz val="11"/>
      <color rgb="FFFFFF00"/>
      <name val="Calibri"/>
      <family val="2"/>
      <scheme val="minor"/>
    </font>
    <font>
      <b/>
      <sz val="10"/>
      <color theme="0"/>
      <name val="Arial"/>
      <family val="2"/>
    </font>
    <font>
      <b/>
      <sz val="12"/>
      <color rgb="FFFFFF00"/>
      <name val="Calibri"/>
      <family val="2"/>
      <scheme val="minor"/>
    </font>
    <font>
      <b/>
      <sz val="11"/>
      <color rgb="FFFFFF00"/>
      <name val="Calibri"/>
      <family val="2"/>
      <scheme val="minor"/>
    </font>
    <font>
      <u/>
      <sz val="12"/>
      <color theme="1"/>
      <name val="Calibri"/>
      <family val="2"/>
      <scheme val="minor"/>
    </font>
    <font>
      <sz val="8"/>
      <color theme="3" tint="0.39997558519241921"/>
      <name val="Calibri"/>
      <family val="2"/>
    </font>
    <font>
      <sz val="8"/>
      <color theme="1"/>
      <name val="Calibri"/>
      <family val="2"/>
    </font>
    <font>
      <b/>
      <u/>
      <sz val="10"/>
      <color theme="1"/>
      <name val="Calibri"/>
      <family val="2"/>
    </font>
    <font>
      <b/>
      <sz val="9"/>
      <name val="Amaala Sans"/>
    </font>
    <font>
      <b/>
      <sz val="8"/>
      <color theme="0"/>
      <name val="Amaala Sans"/>
    </font>
    <font>
      <b/>
      <sz val="8"/>
      <name val="Amaala Sans"/>
    </font>
    <font>
      <sz val="8"/>
      <color theme="0"/>
      <name val="Amaala Sans"/>
    </font>
    <font>
      <b/>
      <sz val="9"/>
      <color theme="0"/>
      <name val="Amaala Sans"/>
    </font>
    <font>
      <b/>
      <sz val="8"/>
      <color theme="1"/>
      <name val="Amaala Sans"/>
    </font>
    <font>
      <b/>
      <sz val="7"/>
      <color theme="1"/>
      <name val="Amaala Sans"/>
    </font>
    <font>
      <sz val="8"/>
      <color theme="1"/>
      <name val="Amaala Sans"/>
    </font>
    <font>
      <sz val="7"/>
      <color theme="0"/>
      <name val="Amaala Sans"/>
    </font>
    <font>
      <sz val="7"/>
      <name val="Amaala Sans"/>
    </font>
    <font>
      <sz val="9"/>
      <name val="Calibri"/>
      <family val="2"/>
      <scheme val="minor"/>
    </font>
    <font>
      <b/>
      <sz val="9"/>
      <color theme="1"/>
      <name val="Calibri"/>
      <family val="2"/>
      <scheme val="minor"/>
    </font>
    <font>
      <i/>
      <sz val="9"/>
      <color theme="1"/>
      <name val="Calibri"/>
      <family val="2"/>
      <scheme val="minor"/>
    </font>
    <font>
      <sz val="9"/>
      <color theme="1"/>
      <name val="Calibri"/>
      <family val="2"/>
      <scheme val="minor"/>
    </font>
    <font>
      <b/>
      <sz val="9"/>
      <name val="Calibri"/>
      <family val="2"/>
      <scheme val="minor"/>
    </font>
    <font>
      <b/>
      <sz val="8"/>
      <name val="Calibri"/>
      <family val="2"/>
      <scheme val="minor"/>
    </font>
    <font>
      <b/>
      <sz val="9"/>
      <color theme="0"/>
      <name val="Calibri"/>
      <family val="2"/>
      <scheme val="minor"/>
    </font>
    <font>
      <sz val="9"/>
      <color theme="0"/>
      <name val="Open Sans"/>
      <family val="2"/>
    </font>
    <font>
      <b/>
      <sz val="12"/>
      <color theme="0"/>
      <name val="Calibri"/>
      <family val="2"/>
      <scheme val="minor"/>
    </font>
    <font>
      <sz val="12"/>
      <color theme="0"/>
      <name val="Calibri"/>
      <family val="2"/>
      <scheme val="minor"/>
    </font>
    <font>
      <b/>
      <sz val="12"/>
      <color rgb="FFFF0000"/>
      <name val="Calibri"/>
      <family val="2"/>
    </font>
    <font>
      <b/>
      <sz val="10"/>
      <color theme="0"/>
      <name val="Calibri"/>
      <family val="2"/>
      <scheme val="minor"/>
    </font>
    <font>
      <sz val="10"/>
      <color theme="0"/>
      <name val="Calibri"/>
      <family val="2"/>
      <scheme val="minor"/>
    </font>
    <font>
      <b/>
      <sz val="13"/>
      <color theme="1"/>
      <name val="Verdana"/>
      <family val="2"/>
    </font>
    <font>
      <sz val="10"/>
      <color theme="1"/>
      <name val="Verdana"/>
      <family val="2"/>
    </font>
    <font>
      <b/>
      <sz val="11"/>
      <color theme="1"/>
      <name val="Verdana"/>
      <family val="2"/>
    </font>
    <font>
      <b/>
      <sz val="10"/>
      <color theme="1"/>
      <name val="Verdana"/>
      <family val="2"/>
    </font>
    <font>
      <sz val="10"/>
      <color theme="0"/>
      <name val="Verdana"/>
      <family val="2"/>
    </font>
    <font>
      <b/>
      <sz val="14"/>
      <color theme="1"/>
      <name val="Verdana"/>
      <family val="2"/>
    </font>
    <font>
      <i/>
      <sz val="10"/>
      <color theme="1"/>
      <name val="Verdana"/>
      <family val="2"/>
    </font>
    <font>
      <b/>
      <u/>
      <sz val="10"/>
      <color theme="1"/>
      <name val="Verdana"/>
      <family val="2"/>
    </font>
    <font>
      <sz val="11"/>
      <color theme="1"/>
      <name val="Verdana"/>
      <family val="2"/>
    </font>
    <font>
      <sz val="11"/>
      <color rgb="FF000000"/>
      <name val="Verdana"/>
      <family val="2"/>
    </font>
    <font>
      <sz val="11"/>
      <color rgb="FFFF0000"/>
      <name val="Verdana"/>
      <family val="2"/>
    </font>
    <font>
      <sz val="11"/>
      <color rgb="FFFFFFFF"/>
      <name val="Verdana"/>
      <family val="2"/>
    </font>
    <font>
      <b/>
      <sz val="16"/>
      <color theme="1"/>
      <name val="Verdana"/>
      <family val="2"/>
    </font>
    <font>
      <sz val="11"/>
      <color theme="0"/>
      <name val="Verdana"/>
      <family val="2"/>
    </font>
    <font>
      <b/>
      <sz val="11"/>
      <name val="Verdana"/>
      <family val="2"/>
    </font>
    <font>
      <sz val="11"/>
      <name val="Verdana"/>
      <family val="2"/>
    </font>
    <font>
      <b/>
      <sz val="11"/>
      <color theme="0"/>
      <name val="Verdana"/>
      <family val="2"/>
    </font>
    <font>
      <b/>
      <sz val="20"/>
      <color theme="1"/>
      <name val="Verdana"/>
      <family val="2"/>
    </font>
    <font>
      <i/>
      <sz val="13"/>
      <color theme="1"/>
      <name val="Verdana"/>
      <family val="2"/>
    </font>
    <font>
      <sz val="13"/>
      <color theme="1"/>
      <name val="Verdana"/>
      <family val="2"/>
    </font>
    <font>
      <b/>
      <sz val="13"/>
      <name val="Verdana"/>
      <family val="2"/>
    </font>
    <font>
      <sz val="13"/>
      <name val="Verdana"/>
      <family val="2"/>
    </font>
    <font>
      <sz val="13"/>
      <color rgb="FFFF0000"/>
      <name val="Verdana"/>
      <family val="2"/>
    </font>
    <font>
      <b/>
      <sz val="12"/>
      <color theme="1"/>
      <name val="Verdana"/>
      <family val="2"/>
    </font>
    <font>
      <sz val="12"/>
      <color theme="1"/>
      <name val="Verdana"/>
      <family val="2"/>
    </font>
    <font>
      <b/>
      <sz val="12"/>
      <name val="Verdana"/>
      <family val="2"/>
    </font>
    <font>
      <b/>
      <sz val="12"/>
      <color rgb="FFFF0000"/>
      <name val="Verdana"/>
      <family val="2"/>
    </font>
    <font>
      <sz val="14"/>
      <color theme="1"/>
      <name val="Verdana"/>
      <family val="2"/>
    </font>
    <font>
      <b/>
      <sz val="12"/>
      <color theme="0"/>
      <name val="Verdana"/>
      <family val="2"/>
    </font>
    <font>
      <sz val="12"/>
      <name val="Verdana"/>
      <family val="2"/>
    </font>
    <font>
      <sz val="12"/>
      <color rgb="FFFF0000"/>
      <name val="Verdana"/>
      <family val="2"/>
    </font>
    <font>
      <sz val="12"/>
      <color theme="0"/>
      <name val="Verdana"/>
      <family val="2"/>
    </font>
    <font>
      <i/>
      <sz val="11"/>
      <color theme="1"/>
      <name val="Verdana"/>
      <family val="2"/>
    </font>
    <font>
      <b/>
      <sz val="11"/>
      <color rgb="FFFF0000"/>
      <name val="Verdana"/>
      <family val="2"/>
    </font>
    <font>
      <b/>
      <sz val="10"/>
      <name val="Verdana"/>
      <family val="2"/>
    </font>
    <font>
      <b/>
      <sz val="14"/>
      <color theme="0"/>
      <name val="Verdana"/>
      <family val="2"/>
    </font>
    <font>
      <b/>
      <sz val="9"/>
      <color theme="1"/>
      <name val="Verdana"/>
      <family val="2"/>
    </font>
    <font>
      <b/>
      <sz val="20"/>
      <color rgb="FF000000"/>
      <name val="Verdana"/>
      <family val="2"/>
    </font>
    <font>
      <b/>
      <sz val="10"/>
      <color rgb="FFFF0000"/>
      <name val="Verdana"/>
      <family val="2"/>
    </font>
    <font>
      <b/>
      <sz val="8"/>
      <color theme="0"/>
      <name val="Verdana"/>
      <family val="2"/>
    </font>
    <font>
      <b/>
      <sz val="8"/>
      <color theme="1"/>
      <name val="Verdana"/>
      <family val="2"/>
    </font>
    <font>
      <sz val="8"/>
      <color indexed="8"/>
      <name val="Verdana"/>
      <family val="2"/>
    </font>
    <font>
      <sz val="8"/>
      <name val="Verdana"/>
      <family val="2"/>
    </font>
    <font>
      <b/>
      <sz val="8"/>
      <color indexed="8"/>
      <name val="Verdana"/>
      <family val="2"/>
    </font>
    <font>
      <sz val="11"/>
      <color theme="0"/>
      <name val="Calibri Light"/>
      <family val="2"/>
    </font>
    <font>
      <b/>
      <sz val="10"/>
      <color theme="1"/>
      <name val="Calibri Light"/>
      <family val="2"/>
    </font>
    <font>
      <strike/>
      <sz val="10"/>
      <name val="Calibri"/>
      <family val="2"/>
      <scheme val="minor"/>
    </font>
    <font>
      <sz val="10"/>
      <color rgb="FFFF0000"/>
      <name val="Calibri"/>
      <family val="2"/>
      <scheme val="minor"/>
    </font>
    <font>
      <sz val="7"/>
      <name val="Calibri"/>
      <family val="2"/>
      <scheme val="minor"/>
    </font>
    <font>
      <sz val="9"/>
      <color theme="1"/>
      <name val="Calibri Light"/>
      <family val="2"/>
    </font>
    <font>
      <b/>
      <sz val="9"/>
      <color theme="1"/>
      <name val="Calibri Light"/>
      <family val="2"/>
    </font>
    <font>
      <b/>
      <sz val="9"/>
      <color rgb="FFFF0000"/>
      <name val="Open Sans"/>
      <family val="2"/>
    </font>
    <font>
      <sz val="8"/>
      <color theme="0"/>
      <name val="Calibri"/>
      <family val="2"/>
    </font>
    <font>
      <b/>
      <sz val="9"/>
      <color rgb="FFFF0000"/>
      <name val="Calibri Light"/>
      <family val="2"/>
    </font>
    <font>
      <strike/>
      <sz val="10"/>
      <name val="Calibri"/>
      <family val="2"/>
    </font>
    <font>
      <b/>
      <i/>
      <sz val="9"/>
      <name val="Calibri"/>
      <family val="2"/>
      <scheme val="minor"/>
    </font>
    <font>
      <b/>
      <sz val="10"/>
      <color rgb="FF000000"/>
      <name val="Verdana"/>
      <family val="2"/>
    </font>
    <font>
      <b/>
      <sz val="12"/>
      <color rgb="FFFF0000"/>
      <name val="Open Sans"/>
      <family val="2"/>
    </font>
    <font>
      <b/>
      <sz val="9"/>
      <color rgb="FFFF0000"/>
      <name val="Amaala Sans"/>
    </font>
    <font>
      <b/>
      <sz val="9"/>
      <color theme="0"/>
      <name val="Calibri Light"/>
      <family val="2"/>
    </font>
    <font>
      <sz val="70"/>
      <color rgb="FF000000"/>
      <name val="Verdana"/>
      <family val="2"/>
    </font>
    <font>
      <u val="singleAccounting"/>
      <sz val="11"/>
      <color theme="1"/>
      <name val="Verdana"/>
      <family val="2"/>
    </font>
    <font>
      <sz val="10"/>
      <color rgb="FF000000"/>
      <name val="Verdana"/>
      <family val="2"/>
    </font>
    <font>
      <sz val="10"/>
      <color rgb="FFFF0000"/>
      <name val="Verdana"/>
      <family val="2"/>
    </font>
    <font>
      <sz val="10"/>
      <color rgb="FFFFFFFF"/>
      <name val="Verdana"/>
      <family val="2"/>
    </font>
    <font>
      <b/>
      <sz val="10"/>
      <color theme="0"/>
      <name val="Verdana"/>
      <family val="2"/>
    </font>
    <font>
      <b/>
      <u/>
      <sz val="10"/>
      <color theme="0"/>
      <name val="Verdana"/>
      <family val="2"/>
    </font>
    <font>
      <strike/>
      <sz val="8"/>
      <color theme="1"/>
      <name val="Amaala Sans"/>
    </font>
    <font>
      <b/>
      <sz val="10"/>
      <color theme="1"/>
      <name val="Arial Narrow"/>
      <family val="2"/>
    </font>
    <font>
      <sz val="10"/>
      <color theme="1"/>
      <name val="Arial Narrow"/>
      <family val="2"/>
    </font>
    <font>
      <i/>
      <sz val="10"/>
      <color rgb="FF0000FF"/>
      <name val="Arial Narrow"/>
      <family val="2"/>
    </font>
    <font>
      <strike/>
      <sz val="10"/>
      <color rgb="FFFF0000"/>
      <name val="Calibri"/>
      <family val="2"/>
      <scheme val="minor"/>
    </font>
    <font>
      <sz val="8"/>
      <color theme="1"/>
      <name val="Verdana"/>
      <family val="2"/>
    </font>
    <font>
      <b/>
      <i/>
      <sz val="9"/>
      <color theme="1"/>
      <name val="Calibri"/>
      <family val="2"/>
      <scheme val="minor"/>
    </font>
    <font>
      <b/>
      <i/>
      <sz val="22"/>
      <color theme="1"/>
      <name val="Calibri"/>
      <family val="2"/>
      <scheme val="minor"/>
    </font>
    <font>
      <b/>
      <sz val="22"/>
      <color theme="1"/>
      <name val="Calibri"/>
      <family val="2"/>
      <scheme val="minor"/>
    </font>
    <font>
      <sz val="10"/>
      <color theme="0"/>
      <name val="Arial"/>
      <family val="2"/>
    </font>
    <font>
      <sz val="9"/>
      <color theme="1"/>
      <name val="Verdana"/>
      <family val="2"/>
    </font>
    <font>
      <sz val="9"/>
      <name val="Verdana"/>
      <family val="2"/>
    </font>
    <font>
      <b/>
      <i/>
      <strike/>
      <u/>
      <sz val="8"/>
      <color theme="1"/>
      <name val="Amaala Sans"/>
    </font>
    <font>
      <b/>
      <sz val="13"/>
      <color rgb="FFFF0000"/>
      <name val="Verdana"/>
      <family val="2"/>
    </font>
    <font>
      <b/>
      <u/>
      <sz val="10"/>
      <name val="Calibri"/>
      <family val="2"/>
      <scheme val="minor"/>
    </font>
    <font>
      <b/>
      <u/>
      <sz val="10"/>
      <color theme="1"/>
      <name val="Calibri"/>
      <family val="2"/>
      <scheme val="minor"/>
    </font>
    <font>
      <sz val="11"/>
      <color rgb="FF333333"/>
      <name val="Arial"/>
      <family val="2"/>
    </font>
    <font>
      <sz val="11"/>
      <color theme="1"/>
      <name val="Amaala Sans"/>
    </font>
    <font>
      <sz val="11"/>
      <color theme="0" tint="-0.34998626667073579"/>
      <name val="Amaala Sans"/>
    </font>
    <font>
      <b/>
      <sz val="12"/>
      <color theme="1"/>
      <name val="Amaala Sans"/>
    </font>
    <font>
      <sz val="12"/>
      <color theme="1"/>
      <name val="Amaala Sans"/>
    </font>
    <font>
      <sz val="14"/>
      <name val="Amaala Sans"/>
    </font>
    <font>
      <sz val="12"/>
      <name val="Amaala Sans"/>
    </font>
    <font>
      <b/>
      <sz val="10"/>
      <name val="Amaala Sans"/>
    </font>
    <font>
      <b/>
      <sz val="10"/>
      <color theme="0" tint="-0.34998626667073579"/>
      <name val="Amaala Sans"/>
    </font>
    <font>
      <sz val="10"/>
      <name val="Amaala Sans"/>
    </font>
    <font>
      <sz val="11"/>
      <color theme="0"/>
      <name val="Amaala Sans"/>
    </font>
    <font>
      <sz val="12"/>
      <color theme="0"/>
      <name val="Amaala Sans"/>
    </font>
    <font>
      <b/>
      <sz val="10"/>
      <color theme="1"/>
      <name val="Amaala Sans"/>
    </font>
    <font>
      <u/>
      <sz val="12"/>
      <color theme="1"/>
      <name val="Amaala Sans"/>
    </font>
    <font>
      <sz val="10"/>
      <color theme="1"/>
      <name val="Amaala Sans"/>
    </font>
    <font>
      <sz val="10"/>
      <color theme="0"/>
      <name val="Amaala Sans"/>
    </font>
    <font>
      <b/>
      <sz val="9"/>
      <color theme="1"/>
      <name val="Amaala Sans"/>
    </font>
    <font>
      <b/>
      <u/>
      <sz val="9"/>
      <color theme="1"/>
      <name val="Amaala Sans"/>
    </font>
    <font>
      <sz val="9"/>
      <color theme="1"/>
      <name val="Amaala Sans"/>
    </font>
    <font>
      <u/>
      <sz val="9"/>
      <color theme="1"/>
      <name val="Amaala Sans"/>
    </font>
    <font>
      <b/>
      <sz val="12"/>
      <color rgb="FFFF0000"/>
      <name val="Amaala Sans"/>
    </font>
    <font>
      <b/>
      <sz val="8"/>
      <name val="Verdana"/>
      <family val="2"/>
    </font>
    <font>
      <b/>
      <u/>
      <sz val="10"/>
      <color rgb="FFFF0000"/>
      <name val="Calibri"/>
      <family val="2"/>
    </font>
    <font>
      <b/>
      <sz val="13"/>
      <color theme="1"/>
      <name val="Amaala Sans"/>
    </font>
    <font>
      <sz val="9"/>
      <color rgb="FF000000"/>
      <name val="Verdana"/>
      <family val="2"/>
    </font>
    <font>
      <b/>
      <sz val="9"/>
      <name val="Verdana"/>
      <family val="2"/>
    </font>
    <font>
      <strike/>
      <sz val="10"/>
      <color theme="1"/>
      <name val="Calibri"/>
      <family val="2"/>
    </font>
    <font>
      <b/>
      <u val="singleAccounting"/>
      <sz val="10"/>
      <color theme="1"/>
      <name val="Verdana"/>
      <family val="2"/>
    </font>
    <font>
      <sz val="10"/>
      <color theme="1"/>
      <name val="Verdana"/>
      <family val="2"/>
    </font>
    <font>
      <b/>
      <sz val="9"/>
      <name val="Calibri"/>
      <family val="2"/>
    </font>
    <font>
      <sz val="9"/>
      <name val="Calibri"/>
      <family val="2"/>
    </font>
    <font>
      <u/>
      <sz val="9"/>
      <color theme="1"/>
      <name val="Calibri"/>
      <family val="2"/>
    </font>
    <font>
      <sz val="10"/>
      <name val="Calibri"/>
      <family val="2"/>
      <scheme val="minor"/>
    </font>
    <font>
      <sz val="11"/>
      <color rgb="FF0070C0"/>
      <name val="Calibri"/>
      <family val="2"/>
      <scheme val="minor"/>
    </font>
    <font>
      <sz val="12"/>
      <color rgb="FF0070C0"/>
      <name val="Verdana"/>
      <family val="2"/>
    </font>
    <font>
      <b/>
      <u/>
      <sz val="12"/>
      <color theme="1"/>
      <name val="Verdana"/>
      <family val="2"/>
    </font>
    <font>
      <sz val="9"/>
      <color theme="0"/>
      <name val="Verdana"/>
      <family val="2"/>
    </font>
    <font>
      <sz val="12"/>
      <color theme="1"/>
      <name val="Verdana"/>
      <family val="2"/>
    </font>
    <font>
      <sz val="10"/>
      <color theme="1"/>
      <name val="Calibri"/>
      <family val="2"/>
      <scheme val="minor"/>
    </font>
    <font>
      <b/>
      <u/>
      <sz val="10"/>
      <name val="Calibri"/>
      <family val="2"/>
      <scheme val="minor"/>
    </font>
    <font>
      <b/>
      <sz val="10"/>
      <name val="Calibri"/>
      <family val="2"/>
      <scheme val="minor"/>
    </font>
    <font>
      <sz val="10"/>
      <name val="Calibri"/>
      <family val="2"/>
      <scheme val="minor"/>
    </font>
    <font>
      <b/>
      <sz val="9"/>
      <color rgb="FFFF0000"/>
      <name val="Calibri"/>
      <family val="2"/>
      <scheme val="minor"/>
    </font>
    <font>
      <b/>
      <i/>
      <sz val="9"/>
      <color rgb="FFFF0000"/>
      <name val="Calibri"/>
      <family val="2"/>
      <scheme val="minor"/>
    </font>
    <font>
      <sz val="11"/>
      <color theme="1"/>
      <name val="Noto Sans "/>
    </font>
    <font>
      <b/>
      <sz val="14"/>
      <color theme="0"/>
      <name val="Noto Sans "/>
    </font>
    <font>
      <sz val="11"/>
      <color theme="0" tint="-0.34998626667073579"/>
      <name val="Noto Sans "/>
    </font>
    <font>
      <b/>
      <sz val="15"/>
      <name val="Noto Sans "/>
    </font>
    <font>
      <b/>
      <sz val="11"/>
      <name val="Noto Sans "/>
    </font>
    <font>
      <b/>
      <sz val="15"/>
      <color theme="1"/>
      <name val="Noto Sans "/>
    </font>
    <font>
      <b/>
      <sz val="11"/>
      <color theme="1"/>
      <name val="Noto Sans "/>
    </font>
    <font>
      <sz val="15"/>
      <color theme="1"/>
      <name val="Noto Sans "/>
    </font>
    <font>
      <b/>
      <sz val="16"/>
      <color theme="0"/>
      <name val="Noto Sans "/>
    </font>
    <font>
      <sz val="16"/>
      <color theme="1"/>
      <name val="Noto Sans "/>
    </font>
    <font>
      <i/>
      <sz val="15"/>
      <color theme="1"/>
      <name val="Noto Sans "/>
    </font>
    <font>
      <sz val="12"/>
      <color theme="1"/>
      <name val="Noto Sans "/>
    </font>
    <font>
      <i/>
      <sz val="12"/>
      <color theme="0"/>
      <name val="Noto Sans "/>
    </font>
    <font>
      <sz val="14"/>
      <color theme="1"/>
      <name val="Noto Sans "/>
    </font>
    <font>
      <b/>
      <sz val="14"/>
      <color rgb="FF000000"/>
      <name val="Noto Sans "/>
    </font>
    <font>
      <i/>
      <sz val="11"/>
      <color rgb="FF000000"/>
      <name val="Noto Sans "/>
    </font>
    <font>
      <b/>
      <sz val="11"/>
      <color rgb="FF000000"/>
      <name val="Noto Sans "/>
    </font>
    <font>
      <b/>
      <sz val="15"/>
      <color rgb="FF000000"/>
      <name val="Noto Sans "/>
    </font>
    <font>
      <b/>
      <sz val="16"/>
      <color rgb="FF000000"/>
      <name val="Noto Sans "/>
    </font>
    <font>
      <sz val="11"/>
      <color theme="8"/>
      <name val="Noto Sans "/>
    </font>
    <font>
      <sz val="14"/>
      <color theme="0"/>
      <name val="Noto Sans "/>
    </font>
    <font>
      <sz val="11"/>
      <color theme="0"/>
      <name val="Noto Sans "/>
    </font>
    <font>
      <b/>
      <sz val="11"/>
      <color theme="0"/>
      <name val="Noto Sans "/>
    </font>
    <font>
      <sz val="11"/>
      <color theme="0" tint="-4.9989318521683403E-2"/>
      <name val="Noto Sans "/>
    </font>
    <font>
      <b/>
      <sz val="11"/>
      <color theme="0" tint="-4.9989318521683403E-2"/>
      <name val="Noto Sans "/>
    </font>
    <font>
      <b/>
      <sz val="11"/>
      <color rgb="FFFFFFFF"/>
      <name val="Noto Sans "/>
    </font>
    <font>
      <sz val="11"/>
      <color theme="0" tint="-0.14999847407452621"/>
      <name val="Noto Sans "/>
    </font>
    <font>
      <b/>
      <sz val="11"/>
      <color theme="0"/>
      <name val="Amaala Sans"/>
    </font>
    <font>
      <b/>
      <sz val="11"/>
      <color theme="1"/>
      <name val="Amaala Sans"/>
    </font>
    <font>
      <b/>
      <sz val="11"/>
      <color rgb="FF000000"/>
      <name val="Amaala Sans"/>
    </font>
    <font>
      <b/>
      <sz val="11"/>
      <color rgb="FFFF0000"/>
      <name val="Amaala Sans"/>
    </font>
    <font>
      <sz val="11"/>
      <color rgb="FF000000"/>
      <name val="Amaala Sans"/>
    </font>
    <font>
      <b/>
      <sz val="8"/>
      <color rgb="FF000000"/>
      <name val="Amaala Sans"/>
    </font>
    <font>
      <sz val="11"/>
      <color rgb="FF9C5700"/>
      <name val="Calibri"/>
      <family val="2"/>
      <scheme val="minor"/>
    </font>
    <font>
      <sz val="11"/>
      <color rgb="FF9C5700"/>
      <name val="Amaala Sans"/>
    </font>
    <font>
      <u/>
      <sz val="10"/>
      <name val="Calibri"/>
      <family val="2"/>
      <scheme val="minor"/>
    </font>
    <font>
      <sz val="11"/>
      <name val="Amaala Sans"/>
    </font>
    <font>
      <b/>
      <u/>
      <sz val="12"/>
      <color theme="1"/>
      <name val="Calibri"/>
      <family val="2"/>
      <scheme val="minor"/>
    </font>
    <font>
      <i/>
      <sz val="11"/>
      <color theme="1"/>
      <name val="Amaala Sans"/>
    </font>
    <font>
      <b/>
      <u/>
      <sz val="12"/>
      <color theme="1"/>
      <name val="Calibri"/>
      <family val="2"/>
    </font>
    <font>
      <b/>
      <sz val="11"/>
      <color rgb="FF9C5700"/>
      <name val="Amaala Sans"/>
    </font>
    <font>
      <b/>
      <u val="singleAccounting"/>
      <sz val="9"/>
      <name val="Verdana"/>
      <family val="2"/>
    </font>
    <font>
      <b/>
      <u/>
      <sz val="11"/>
      <color theme="1"/>
      <name val="Amaala Sans"/>
    </font>
    <font>
      <b/>
      <sz val="9"/>
      <color rgb="FF000000"/>
      <name val="Tahoma"/>
      <family val="2"/>
    </font>
    <font>
      <sz val="9"/>
      <color rgb="FF000000"/>
      <name val="Tahoma"/>
      <family val="2"/>
    </font>
    <font>
      <sz val="10"/>
      <color rgb="FFFFFF00"/>
      <name val="Verdana"/>
      <family val="2"/>
    </font>
    <font>
      <b/>
      <sz val="10"/>
      <color rgb="FFFFFF00"/>
      <name val="Verdana"/>
      <family val="2"/>
    </font>
    <font>
      <b/>
      <u/>
      <sz val="9"/>
      <name val="Calibri"/>
      <family val="2"/>
      <scheme val="minor"/>
    </font>
    <font>
      <u/>
      <sz val="9"/>
      <name val="Calibri"/>
      <family val="2"/>
      <scheme val="minor"/>
    </font>
    <font>
      <b/>
      <sz val="8"/>
      <color theme="1"/>
      <name val="Noto Sans"/>
      <family val="2"/>
    </font>
    <font>
      <sz val="7"/>
      <color theme="1"/>
      <name val="Noto Sans"/>
      <family val="2"/>
    </font>
    <font>
      <b/>
      <sz val="7"/>
      <color theme="1"/>
      <name val="Noto Sans"/>
      <family val="2"/>
    </font>
    <font>
      <sz val="8"/>
      <color theme="1"/>
      <name val="Noto Sans"/>
      <family val="2"/>
    </font>
    <font>
      <sz val="8"/>
      <color rgb="FF000000"/>
      <name val="Amaala Sans"/>
    </font>
    <font>
      <b/>
      <sz val="15"/>
      <color theme="1"/>
      <name val="Calibri"/>
      <family val="2"/>
    </font>
    <font>
      <sz val="14"/>
      <color theme="1"/>
      <name val="Calibri"/>
      <family val="2"/>
    </font>
    <font>
      <b/>
      <u/>
      <sz val="12"/>
      <color theme="0"/>
      <name val="Calibri"/>
      <family val="2"/>
      <scheme val="minor"/>
    </font>
    <font>
      <b/>
      <sz val="10"/>
      <color rgb="FFFF0000"/>
      <name val="Calibri"/>
      <family val="2"/>
      <scheme val="minor"/>
    </font>
    <font>
      <sz val="7"/>
      <color rgb="FF000000"/>
      <name val="Amaala Sans"/>
    </font>
    <font>
      <sz val="14"/>
      <color theme="0"/>
      <name val="Calibri"/>
      <family val="2"/>
      <scheme val="minor"/>
    </font>
    <font>
      <sz val="10"/>
      <name val="Calibri"/>
      <family val="2"/>
      <scheme val="minor"/>
    </font>
    <font>
      <sz val="6"/>
      <color rgb="FF000000"/>
      <name val="Amaala Sans"/>
    </font>
    <font>
      <b/>
      <sz val="9"/>
      <color theme="1"/>
      <name val="Calibri"/>
      <family val="2"/>
    </font>
    <font>
      <sz val="9"/>
      <color theme="1"/>
      <name val="Calibri"/>
      <family val="2"/>
    </font>
    <font>
      <sz val="10"/>
      <name val="Calibri"/>
      <family val="2"/>
      <scheme val="minor"/>
    </font>
    <font>
      <sz val="10"/>
      <name val="Calibri"/>
      <family val="2"/>
      <scheme val="minor"/>
    </font>
    <font>
      <sz val="9"/>
      <name val="Calibri"/>
      <family val="2"/>
      <scheme val="minor"/>
    </font>
    <font>
      <sz val="9"/>
      <name val="Calibri"/>
      <family val="2"/>
      <scheme val="minor"/>
    </font>
    <font>
      <b/>
      <sz val="11"/>
      <color rgb="FF000000"/>
      <name val="Arial"/>
      <family val="2"/>
    </font>
    <font>
      <b/>
      <sz val="10"/>
      <color rgb="FF000000"/>
      <name val="Arial"/>
      <family val="2"/>
    </font>
    <font>
      <sz val="10"/>
      <color rgb="FF000000"/>
      <name val="Arial"/>
      <family val="2"/>
    </font>
    <font>
      <i/>
      <sz val="10"/>
      <color rgb="FF595959"/>
      <name val="Arial"/>
      <family val="2"/>
    </font>
    <font>
      <b/>
      <sz val="12"/>
      <color rgb="FFFFFFFF"/>
      <name val="Arial"/>
      <family val="2"/>
    </font>
    <font>
      <b/>
      <i/>
      <sz val="9"/>
      <color rgb="FF595959"/>
      <name val="Arial"/>
      <family val="2"/>
    </font>
    <font>
      <b/>
      <sz val="10"/>
      <color rgb="FFFF0000"/>
      <name val="Arial"/>
      <family val="2"/>
    </font>
    <font>
      <sz val="10"/>
      <name val="Calibri"/>
      <family val="2"/>
      <scheme val="minor"/>
    </font>
    <font>
      <sz val="10"/>
      <name val="Calibri"/>
      <family val="2"/>
      <scheme val="minor"/>
    </font>
    <font>
      <sz val="10"/>
      <color theme="1"/>
      <name val="Verdana"/>
      <family val="2"/>
    </font>
    <font>
      <sz val="10"/>
      <color theme="1"/>
      <name val="Calibri"/>
      <family val="2"/>
      <scheme val="minor"/>
    </font>
    <font>
      <sz val="10"/>
      <color rgb="FF7030A0"/>
      <name val="Verdana"/>
      <family val="2"/>
    </font>
    <font>
      <b/>
      <sz val="10"/>
      <color rgb="FF7030A0"/>
      <name val="Verdana"/>
      <family val="2"/>
    </font>
    <font>
      <sz val="9"/>
      <name val="Verdana"/>
      <family val="2"/>
    </font>
    <font>
      <sz val="12"/>
      <name val="Verdana"/>
      <family val="2"/>
    </font>
    <font>
      <b/>
      <sz val="12"/>
      <color theme="0"/>
      <name val="Verdana"/>
      <family val="2"/>
    </font>
    <font>
      <sz val="11"/>
      <name val="Calibri"/>
      <family val="2"/>
      <scheme val="minor"/>
    </font>
    <font>
      <sz val="11"/>
      <color rgb="FF0070C0"/>
      <name val="Calibri"/>
      <family val="2"/>
      <scheme val="minor"/>
    </font>
    <font>
      <b/>
      <sz val="14"/>
      <color rgb="FF1F3864"/>
      <name val="Calibri"/>
      <family val="2"/>
    </font>
    <font>
      <b/>
      <sz val="9"/>
      <color rgb="FFFFFFFF"/>
      <name val="Calibri"/>
      <family val="2"/>
    </font>
    <font>
      <b/>
      <sz val="13"/>
      <color rgb="FF1F3864"/>
      <name val="Calibri"/>
      <family val="2"/>
    </font>
    <font>
      <b/>
      <sz val="10"/>
      <color rgb="FF000000"/>
      <name val="Calibri"/>
      <family val="2"/>
    </font>
    <font>
      <sz val="10"/>
      <color rgb="FF000000"/>
      <name val="Calibri"/>
      <family val="2"/>
    </font>
    <font>
      <sz val="10"/>
      <color rgb="FF1F3864"/>
      <name val="Calibri"/>
      <family val="2"/>
    </font>
    <font>
      <b/>
      <sz val="10"/>
      <color rgb="FFC00000"/>
      <name val="Calibri"/>
      <family val="2"/>
    </font>
    <font>
      <b/>
      <sz val="10"/>
      <color rgb="FFFFFFFF"/>
      <name val="Calibri"/>
      <family val="2"/>
    </font>
    <font>
      <i/>
      <sz val="8"/>
      <color rgb="FF808080"/>
      <name val="Calibri"/>
      <family val="2"/>
    </font>
    <font>
      <i/>
      <sz val="9"/>
      <color rgb="FF595959"/>
      <name val="Calibri"/>
      <family val="2"/>
    </font>
    <font>
      <b/>
      <sz val="10"/>
      <color rgb="FFCBD52B"/>
      <name val="Calibri"/>
      <family val="2"/>
    </font>
    <font>
      <sz val="9"/>
      <color rgb="FFFFFFFF"/>
      <name val="Calibri"/>
      <family val="2"/>
    </font>
    <font>
      <i/>
      <sz val="9"/>
      <color rgb="FF000000"/>
      <name val="Calibri"/>
      <family val="2"/>
    </font>
    <font>
      <i/>
      <sz val="9"/>
      <color rgb="FF1F3864"/>
      <name val="Calibri"/>
      <family val="2"/>
    </font>
    <font>
      <b/>
      <sz val="12"/>
      <color rgb="FF1F3864"/>
      <name val="Calibri"/>
      <family val="2"/>
    </font>
    <font>
      <b/>
      <sz val="11"/>
      <color rgb="FF404040"/>
      <name val="Calibri"/>
      <family val="2"/>
    </font>
    <font>
      <i/>
      <sz val="8"/>
      <color rgb="FF808080"/>
      <name val="Calibri"/>
      <family val="2"/>
    </font>
    <font>
      <sz val="9"/>
      <name val="Calibri"/>
      <family val="2"/>
      <scheme val="minor"/>
    </font>
    <font>
      <sz val="10"/>
      <name val="Calibri"/>
      <family val="2"/>
      <scheme val="minor"/>
    </font>
    <font>
      <sz val="10"/>
      <color theme="1"/>
      <name val="Verdana"/>
    </font>
  </fonts>
  <fills count="2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0.249977111117893"/>
        <bgColor indexed="64"/>
      </patternFill>
    </fill>
    <fill>
      <patternFill patternType="solid">
        <fgColor theme="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31"/>
        <bgColor indexed="31"/>
      </patternFill>
    </fill>
    <fill>
      <patternFill patternType="solid">
        <fgColor indexed="44"/>
        <bgColor indexed="44"/>
      </patternFill>
    </fill>
    <fill>
      <patternFill patternType="solid">
        <fgColor indexed="62"/>
      </patternFill>
    </fill>
    <fill>
      <patternFill patternType="solid">
        <fgColor indexed="26"/>
        <bgColor indexed="26"/>
      </patternFill>
    </fill>
    <fill>
      <patternFill patternType="solid">
        <fgColor indexed="22"/>
        <bgColor indexed="22"/>
      </patternFill>
    </fill>
    <fill>
      <patternFill patternType="solid">
        <fgColor indexed="55"/>
        <bgColor indexed="55"/>
      </patternFill>
    </fill>
    <fill>
      <patternFill patternType="solid">
        <fgColor indexed="10"/>
      </patternFill>
    </fill>
    <fill>
      <patternFill patternType="solid">
        <fgColor indexed="42"/>
        <bgColor indexed="42"/>
      </patternFill>
    </fill>
    <fill>
      <patternFill patternType="solid">
        <fgColor indexed="57"/>
      </patternFill>
    </fill>
    <fill>
      <patternFill patternType="solid">
        <fgColor indexed="27"/>
        <bgColor indexed="27"/>
      </patternFill>
    </fill>
    <fill>
      <patternFill patternType="solid">
        <fgColor indexed="47"/>
        <bgColor indexed="47"/>
      </patternFill>
    </fill>
    <fill>
      <patternFill patternType="solid">
        <fgColor indexed="53"/>
      </patternFill>
    </fill>
    <fill>
      <patternFill patternType="solid">
        <fgColor indexed="22"/>
      </patternFill>
    </fill>
    <fill>
      <patternFill patternType="solid">
        <fgColor indexed="55"/>
      </patternFill>
    </fill>
    <fill>
      <patternFill patternType="solid">
        <fgColor indexed="41"/>
        <bgColor indexed="64"/>
      </patternFill>
    </fill>
    <fill>
      <patternFill patternType="solid">
        <fgColor indexed="11"/>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22"/>
        <bgColor indexed="64"/>
      </patternFill>
    </fill>
    <fill>
      <patternFill patternType="solid">
        <fgColor indexed="9"/>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patternFill>
    </fill>
    <fill>
      <patternFill patternType="solid">
        <fgColor indexed="26"/>
      </patternFill>
    </fill>
    <fill>
      <patternFill patternType="solid">
        <fgColor indexed="9"/>
      </patternFill>
    </fill>
    <fill>
      <patternFill patternType="solid">
        <fgColor indexed="43"/>
        <bgColor indexed="64"/>
      </patternFill>
    </fill>
    <fill>
      <patternFill patternType="solid">
        <fgColor indexed="13"/>
        <bgColor indexed="64"/>
      </patternFill>
    </fill>
    <fill>
      <patternFill patternType="solid">
        <fgColor indexed="48"/>
      </patternFill>
    </fill>
    <fill>
      <patternFill patternType="solid">
        <fgColor indexed="49"/>
        <bgColor indexed="64"/>
      </patternFill>
    </fill>
    <fill>
      <patternFill patternType="solid">
        <fgColor indexed="18"/>
        <bgColor indexed="32"/>
      </patternFill>
    </fill>
    <fill>
      <patternFill patternType="solid">
        <fgColor indexed="60"/>
        <bgColor indexed="64"/>
      </patternFill>
    </fill>
    <fill>
      <patternFill patternType="solid">
        <fgColor indexed="55"/>
        <bgColor indexed="64"/>
      </patternFill>
    </fill>
    <fill>
      <patternFill patternType="solid">
        <fgColor indexed="41"/>
        <bgColor indexed="9"/>
      </patternFill>
    </fill>
    <fill>
      <patternFill patternType="solid">
        <fgColor rgb="FFFAD7A4"/>
        <bgColor indexed="64"/>
      </patternFill>
    </fill>
    <fill>
      <patternFill patternType="solid">
        <fgColor indexed="15"/>
        <bgColor indexed="35"/>
      </patternFill>
    </fill>
    <fill>
      <patternFill patternType="solid">
        <fgColor indexed="48"/>
        <bgColor indexed="30"/>
      </patternFill>
    </fill>
    <fill>
      <patternFill patternType="solid">
        <fgColor indexed="42"/>
        <bgColor indexed="27"/>
      </patternFill>
    </fill>
    <fill>
      <patternFill patternType="solid">
        <fgColor indexed="13"/>
      </patternFill>
    </fill>
    <fill>
      <patternFill patternType="solid">
        <fgColor indexed="13"/>
        <bgColor indexed="34"/>
      </patternFill>
    </fill>
    <fill>
      <patternFill patternType="solid">
        <fgColor indexed="26"/>
        <bgColor indexed="41"/>
      </patternFill>
    </fill>
    <fill>
      <patternFill patternType="solid">
        <fgColor indexed="62"/>
        <bgColor indexed="64"/>
      </patternFill>
    </fill>
    <fill>
      <patternFill patternType="solid">
        <fgColor indexed="63"/>
        <bgColor indexed="64"/>
      </patternFill>
    </fill>
    <fill>
      <patternFill patternType="lightGray">
        <fgColor indexed="38"/>
        <bgColor indexed="23"/>
      </patternFill>
    </fill>
    <fill>
      <patternFill patternType="solid">
        <fgColor indexed="38"/>
        <bgColor indexed="64"/>
      </patternFill>
    </fill>
    <fill>
      <patternFill patternType="solid">
        <fgColor indexed="42"/>
        <bgColor indexed="64"/>
      </patternFill>
    </fill>
    <fill>
      <patternFill patternType="solid">
        <fgColor indexed="44"/>
        <bgColor indexed="64"/>
      </patternFill>
    </fill>
    <fill>
      <patternFill patternType="solid">
        <fgColor indexed="22"/>
        <bgColor indexed="31"/>
      </patternFill>
    </fill>
    <fill>
      <patternFill patternType="darkVertical"/>
    </fill>
    <fill>
      <patternFill patternType="solid">
        <fgColor indexed="8"/>
        <bgColor indexed="64"/>
      </patternFill>
    </fill>
    <fill>
      <patternFill patternType="solid">
        <fgColor indexed="56"/>
        <bgColor indexed="64"/>
      </patternFill>
    </fill>
    <fill>
      <patternFill patternType="gray0625"/>
    </fill>
    <fill>
      <patternFill patternType="solid">
        <fgColor indexed="37"/>
        <bgColor indexed="64"/>
      </patternFill>
    </fill>
    <fill>
      <patternFill patternType="solid">
        <fgColor indexed="59"/>
        <bgColor indexed="64"/>
      </patternFill>
    </fill>
    <fill>
      <patternFill patternType="solid">
        <fgColor indexed="31"/>
        <bgColor indexed="64"/>
      </patternFill>
    </fill>
    <fill>
      <patternFill patternType="solid">
        <fgColor indexed="54"/>
        <bgColor indexed="64"/>
      </patternFill>
    </fill>
    <fill>
      <patternFill patternType="solid">
        <fgColor rgb="FFFFFF00"/>
        <bgColor indexed="64"/>
      </patternFill>
    </fill>
    <fill>
      <patternFill patternType="solid">
        <fgColor theme="0" tint="-0.14999847407452621"/>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rgb="FFFFFF99"/>
        <bgColor indexed="64"/>
      </patternFill>
    </fill>
    <fill>
      <patternFill patternType="solid">
        <fgColor rgb="FF92D050"/>
        <bgColor indexed="64"/>
      </patternFill>
    </fill>
    <fill>
      <patternFill patternType="solid">
        <fgColor rgb="FFC5BE97"/>
        <bgColor indexed="64"/>
      </patternFill>
    </fill>
    <fill>
      <patternFill patternType="solid">
        <fgColor rgb="FF8D8451"/>
        <bgColor indexed="64"/>
      </patternFill>
    </fill>
    <fill>
      <patternFill patternType="solid">
        <fgColor theme="5"/>
        <bgColor indexed="64"/>
      </patternFill>
    </fill>
    <fill>
      <patternFill patternType="solid">
        <fgColor rgb="FF6784FD"/>
        <bgColor indexed="64"/>
      </patternFill>
    </fill>
    <fill>
      <patternFill patternType="solid">
        <fgColor theme="9" tint="0.39997558519241921"/>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rgb="FFFFC000"/>
        <bgColor indexed="64"/>
      </patternFill>
    </fill>
    <fill>
      <patternFill patternType="solid">
        <fgColor theme="0" tint="-0.34998626667073579"/>
        <bgColor indexed="64"/>
      </patternFill>
    </fill>
    <fill>
      <patternFill patternType="mediumGray">
        <fgColor indexed="20"/>
      </patternFill>
    </fill>
    <fill>
      <patternFill patternType="mediumGray">
        <fgColor indexed="18"/>
      </patternFill>
    </fill>
    <fill>
      <patternFill patternType="mediumGray">
        <fgColor indexed="57"/>
      </patternFill>
    </fill>
    <fill>
      <patternFill patternType="mediumGray">
        <fgColor indexed="19"/>
      </patternFill>
    </fill>
    <fill>
      <patternFill patternType="solid">
        <fgColor indexed="15"/>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5" tint="0.39997558519241921"/>
        <bgColor indexed="64"/>
      </patternFill>
    </fill>
    <fill>
      <patternFill patternType="solid">
        <fgColor theme="4" tint="0.39997558519241921"/>
        <bgColor indexed="64"/>
      </patternFill>
    </fill>
    <fill>
      <patternFill patternType="solid">
        <fgColor theme="2"/>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1"/>
        <bgColor indexed="64"/>
      </patternFill>
    </fill>
    <fill>
      <patternFill patternType="solid">
        <fgColor rgb="FFBFC8D6"/>
        <bgColor indexed="64"/>
      </patternFill>
    </fill>
    <fill>
      <patternFill patternType="solid">
        <fgColor rgb="FFBBC632"/>
        <bgColor indexed="64"/>
      </patternFill>
    </fill>
    <fill>
      <patternFill patternType="solid">
        <fgColor rgb="FF464E5E"/>
        <bgColor indexed="64"/>
      </patternFill>
    </fill>
    <fill>
      <patternFill patternType="solid">
        <fgColor rgb="FFCBD32B"/>
        <bgColor indexed="64"/>
      </patternFill>
    </fill>
    <fill>
      <patternFill patternType="solid">
        <fgColor rgb="FFF36722"/>
        <bgColor indexed="64"/>
      </patternFill>
    </fill>
    <fill>
      <patternFill patternType="solid">
        <fgColor rgb="FF2CAE9E"/>
        <bgColor indexed="64"/>
      </patternFill>
    </fill>
    <fill>
      <patternFill patternType="solid">
        <fgColor rgb="FF038DCE"/>
        <bgColor indexed="64"/>
      </patternFill>
    </fill>
    <fill>
      <patternFill patternType="solid">
        <fgColor rgb="FFB482DA"/>
        <bgColor indexed="64"/>
      </patternFill>
    </fill>
    <fill>
      <patternFill patternType="solid">
        <fgColor rgb="FFFF0000"/>
        <bgColor indexed="64"/>
      </patternFill>
    </fill>
    <fill>
      <patternFill patternType="solid">
        <fgColor rgb="FFFF7979"/>
        <bgColor indexed="64"/>
      </patternFill>
    </fill>
    <fill>
      <patternFill patternType="solid">
        <fgColor rgb="FFECEFB3"/>
        <bgColor indexed="64"/>
      </patternFill>
    </fill>
    <fill>
      <patternFill patternType="solid">
        <fgColor rgb="FFFABEA0"/>
        <bgColor indexed="64"/>
      </patternFill>
    </fill>
    <fill>
      <patternFill patternType="solid">
        <fgColor rgb="FFA9E9E1"/>
        <bgColor indexed="64"/>
      </patternFill>
    </fill>
    <fill>
      <patternFill patternType="solid">
        <fgColor rgb="FF6FD1FD"/>
        <bgColor indexed="64"/>
      </patternFill>
    </fill>
    <fill>
      <patternFill patternType="solid">
        <fgColor rgb="FFE2CFF1"/>
        <bgColor indexed="64"/>
      </patternFill>
    </fill>
    <fill>
      <patternFill patternType="solid">
        <fgColor rgb="FFA6A6A6"/>
        <bgColor indexed="64"/>
      </patternFill>
    </fill>
    <fill>
      <patternFill patternType="solid">
        <fgColor rgb="FFF2DCDB"/>
        <bgColor indexed="64"/>
      </patternFill>
    </fill>
    <fill>
      <patternFill patternType="solid">
        <fgColor rgb="FFD1D1D1"/>
        <bgColor indexed="64"/>
      </patternFill>
    </fill>
    <fill>
      <patternFill patternType="solid">
        <fgColor rgb="FFF2F2F2"/>
        <bgColor rgb="FF000000"/>
      </patternFill>
    </fill>
    <fill>
      <patternFill patternType="solid">
        <fgColor rgb="FFF2F2F2"/>
        <bgColor indexed="64"/>
      </patternFill>
    </fill>
    <fill>
      <patternFill patternType="solid">
        <fgColor rgb="FFCBD52B"/>
        <bgColor indexed="64"/>
      </patternFill>
    </fill>
    <fill>
      <patternFill patternType="solid">
        <fgColor rgb="FF2CAE9E"/>
        <bgColor rgb="FF000000"/>
      </patternFill>
    </fill>
    <fill>
      <patternFill patternType="solid">
        <fgColor rgb="FFBC914E"/>
        <bgColor indexed="64"/>
      </patternFill>
    </fill>
    <fill>
      <patternFill patternType="solid">
        <fgColor rgb="FF508A6C"/>
        <bgColor indexed="64"/>
      </patternFill>
    </fill>
    <fill>
      <patternFill patternType="solid">
        <fgColor rgb="FF038DCE"/>
        <bgColor rgb="FF000000"/>
      </patternFill>
    </fill>
    <fill>
      <patternFill patternType="solid">
        <fgColor rgb="FFEEF3F8"/>
        <bgColor indexed="64"/>
      </patternFill>
    </fill>
    <fill>
      <patternFill patternType="solid">
        <fgColor rgb="FFF8EDEC"/>
        <bgColor indexed="64"/>
      </patternFill>
    </fill>
    <fill>
      <patternFill patternType="solid">
        <fgColor rgb="FFF2F0F6"/>
        <bgColor indexed="64"/>
      </patternFill>
    </fill>
    <fill>
      <patternFill patternType="solid">
        <fgColor rgb="FFCDACE6"/>
        <bgColor indexed="64"/>
      </patternFill>
    </fill>
    <fill>
      <patternFill patternType="solid">
        <fgColor rgb="FFF3EBF9"/>
        <bgColor indexed="64"/>
      </patternFill>
    </fill>
    <fill>
      <patternFill patternType="solid">
        <fgColor rgb="FFD1F3EF"/>
        <bgColor indexed="64"/>
      </patternFill>
    </fill>
    <fill>
      <patternFill patternType="solid">
        <fgColor rgb="FF7030A0"/>
        <bgColor indexed="64"/>
      </patternFill>
    </fill>
    <fill>
      <patternFill patternType="solid">
        <fgColor rgb="FFE2E2E2"/>
        <bgColor indexed="64"/>
      </patternFill>
    </fill>
    <fill>
      <patternFill patternType="solid">
        <fgColor rgb="FFE2E2E2"/>
        <bgColor rgb="FF000000"/>
      </patternFill>
    </fill>
    <fill>
      <patternFill patternType="solid">
        <fgColor theme="8" tint="0.39997558519241921"/>
        <bgColor indexed="64"/>
      </patternFill>
    </fill>
    <fill>
      <patternFill patternType="solid">
        <fgColor rgb="FFD9DE73"/>
        <bgColor indexed="64"/>
      </patternFill>
    </fill>
    <fill>
      <patternFill patternType="solid">
        <fgColor rgb="FFDCC4EE"/>
        <bgColor indexed="64"/>
      </patternFill>
    </fill>
    <fill>
      <patternFill patternType="solid">
        <fgColor theme="8" tint="0.79998168889431442"/>
        <bgColor indexed="64"/>
      </patternFill>
    </fill>
    <fill>
      <patternFill patternType="solid">
        <fgColor rgb="FFF9B28F"/>
        <bgColor indexed="64"/>
      </patternFill>
    </fill>
    <fill>
      <patternFill patternType="solid">
        <fgColor rgb="FFD9D9D9"/>
        <bgColor indexed="64"/>
      </patternFill>
    </fill>
    <fill>
      <patternFill patternType="solid">
        <fgColor rgb="FFFFFFFF"/>
        <bgColor indexed="64"/>
      </patternFill>
    </fill>
    <fill>
      <patternFill patternType="solid">
        <fgColor theme="3"/>
        <bgColor indexed="64"/>
      </patternFill>
    </fill>
    <fill>
      <patternFill patternType="solid">
        <fgColor theme="8" tint="0.59999389629810485"/>
        <bgColor indexed="64"/>
      </patternFill>
    </fill>
    <fill>
      <patternFill patternType="solid">
        <fgColor rgb="FF0070C0"/>
        <bgColor indexed="64"/>
      </patternFill>
    </fill>
    <fill>
      <patternFill patternType="solid">
        <fgColor rgb="FF7030A0"/>
        <bgColor rgb="FF000000"/>
      </patternFill>
    </fill>
    <fill>
      <patternFill patternType="solid">
        <fgColor rgb="FFFBC6AB"/>
        <bgColor indexed="64"/>
      </patternFill>
    </fill>
    <fill>
      <patternFill patternType="solid">
        <fgColor rgb="FFEAEDA5"/>
        <bgColor indexed="64"/>
      </patternFill>
    </fill>
    <fill>
      <patternFill patternType="solid">
        <fgColor rgb="FFDCC5ED"/>
        <bgColor indexed="64"/>
      </patternFill>
    </fill>
    <fill>
      <patternFill patternType="solid">
        <fgColor rgb="FFF3F5CB"/>
        <bgColor indexed="64"/>
      </patternFill>
    </fill>
    <fill>
      <patternFill patternType="solid">
        <fgColor rgb="FFCCA69C"/>
        <bgColor indexed="64"/>
      </patternFill>
    </fill>
    <fill>
      <patternFill patternType="solid">
        <fgColor rgb="FFDDEBF7"/>
        <bgColor indexed="64"/>
      </patternFill>
    </fill>
    <fill>
      <patternFill patternType="solid">
        <fgColor rgb="FF51494A"/>
        <bgColor indexed="64"/>
      </patternFill>
    </fill>
    <fill>
      <patternFill patternType="solid">
        <fgColor rgb="FFF8A57C"/>
        <bgColor indexed="64"/>
      </patternFill>
    </fill>
    <fill>
      <patternFill patternType="solid">
        <fgColor rgb="FFF7F8DC"/>
        <bgColor indexed="64"/>
      </patternFill>
    </fill>
    <fill>
      <patternFill patternType="solid">
        <fgColor rgb="FFD1E3F3"/>
        <bgColor indexed="64"/>
      </patternFill>
    </fill>
    <fill>
      <patternFill patternType="solid">
        <fgColor rgb="FFFAC1A4"/>
        <bgColor indexed="64"/>
      </patternFill>
    </fill>
    <fill>
      <patternFill patternType="solid">
        <fgColor rgb="FF9AE6DD"/>
        <bgColor indexed="64"/>
      </patternFill>
    </fill>
    <fill>
      <patternFill patternType="solid">
        <fgColor rgb="FFFF8F8F"/>
        <bgColor indexed="64"/>
      </patternFill>
    </fill>
    <fill>
      <patternFill patternType="solid">
        <fgColor rgb="FF7EDED3"/>
        <bgColor rgb="FF000000"/>
      </patternFill>
    </fill>
    <fill>
      <patternFill patternType="solid">
        <fgColor rgb="FFBCEEE8"/>
        <bgColor indexed="64"/>
      </patternFill>
    </fill>
    <fill>
      <patternFill patternType="solid">
        <fgColor rgb="FF00FFFF"/>
        <bgColor indexed="64"/>
      </patternFill>
    </fill>
    <fill>
      <patternFill patternType="solid">
        <fgColor theme="0" tint="-0.499984740745262"/>
        <bgColor indexed="64"/>
      </patternFill>
    </fill>
    <fill>
      <patternFill patternType="solid">
        <fgColor rgb="FF00B0F0"/>
        <bgColor indexed="64"/>
      </patternFill>
    </fill>
    <fill>
      <patternFill patternType="solid">
        <fgColor rgb="FFA7FFCF"/>
        <bgColor indexed="64"/>
      </patternFill>
    </fill>
    <fill>
      <patternFill patternType="solid">
        <fgColor rgb="FFBD92DE"/>
        <bgColor indexed="64"/>
      </patternFill>
    </fill>
    <fill>
      <patternFill patternType="solid">
        <fgColor rgb="FF00B050"/>
        <bgColor indexed="64"/>
      </patternFill>
    </fill>
    <fill>
      <patternFill patternType="solid">
        <fgColor theme="7" tint="0.79998168889431442"/>
        <bgColor indexed="64"/>
      </patternFill>
    </fill>
    <fill>
      <patternFill patternType="solid">
        <fgColor theme="6" tint="-0.249977111117893"/>
        <bgColor indexed="64"/>
      </patternFill>
    </fill>
    <fill>
      <patternFill patternType="solid">
        <fgColor theme="7" tint="0.59999389629810485"/>
        <bgColor indexed="64"/>
      </patternFill>
    </fill>
    <fill>
      <patternFill patternType="solid">
        <fgColor rgb="FFFFF6DD"/>
        <bgColor indexed="64"/>
      </patternFill>
    </fill>
    <fill>
      <patternFill patternType="solid">
        <fgColor rgb="FFE8ECA2"/>
        <bgColor indexed="64"/>
      </patternFill>
    </fill>
    <fill>
      <patternFill patternType="solid">
        <fgColor rgb="FFFBC8AF"/>
        <bgColor indexed="64"/>
      </patternFill>
    </fill>
    <fill>
      <patternFill patternType="solid">
        <fgColor rgb="FFC2F0EB"/>
        <bgColor indexed="64"/>
      </patternFill>
    </fill>
    <fill>
      <patternFill patternType="solid">
        <fgColor rgb="FFA8E3FE"/>
        <bgColor indexed="64"/>
      </patternFill>
    </fill>
    <fill>
      <patternFill patternType="solid">
        <fgColor rgb="FFFF6600"/>
        <bgColor indexed="64"/>
      </patternFill>
    </fill>
    <fill>
      <patternFill patternType="solid">
        <fgColor rgb="FFFFF7E1"/>
        <bgColor indexed="64"/>
      </patternFill>
    </fill>
    <fill>
      <patternFill patternType="solid">
        <fgColor theme="1" tint="0.499984740745262"/>
        <bgColor indexed="64"/>
      </patternFill>
    </fill>
    <fill>
      <patternFill patternType="solid">
        <fgColor rgb="FF808080"/>
        <bgColor indexed="64"/>
      </patternFill>
    </fill>
    <fill>
      <patternFill patternType="solid">
        <fgColor rgb="FFF36722"/>
        <bgColor rgb="FF000000"/>
      </patternFill>
    </fill>
    <fill>
      <patternFill patternType="solid">
        <fgColor theme="0" tint="-0.249977111117893"/>
        <bgColor indexed="64"/>
      </patternFill>
    </fill>
    <fill>
      <patternFill patternType="solid">
        <fgColor rgb="FF996600"/>
        <bgColor indexed="64"/>
      </patternFill>
    </fill>
    <fill>
      <patternFill patternType="solid">
        <fgColor rgb="FFD68F00"/>
        <bgColor indexed="64"/>
      </patternFill>
    </fill>
    <fill>
      <patternFill patternType="solid">
        <fgColor theme="0" tint="-4.9989318521683403E-2"/>
        <bgColor rgb="FF000000"/>
      </patternFill>
    </fill>
    <fill>
      <patternFill patternType="solid">
        <fgColor theme="0"/>
        <bgColor rgb="FF000000"/>
      </patternFill>
    </fill>
    <fill>
      <patternFill patternType="solid">
        <fgColor rgb="FFFFEB9C"/>
        <bgColor rgb="FF000000"/>
      </patternFill>
    </fill>
    <fill>
      <patternFill patternType="solid">
        <fgColor rgb="FFFFE7E7"/>
        <bgColor indexed="64"/>
      </patternFill>
    </fill>
    <fill>
      <patternFill patternType="solid">
        <fgColor rgb="FFFFF6D1"/>
        <bgColor indexed="64"/>
      </patternFill>
    </fill>
    <fill>
      <patternFill patternType="solid">
        <fgColor theme="6" tint="0.59999389629810485"/>
        <bgColor indexed="64"/>
      </patternFill>
    </fill>
    <fill>
      <patternFill patternType="solid">
        <fgColor rgb="FFCBD52B"/>
      </patternFill>
    </fill>
    <fill>
      <patternFill patternType="solid">
        <fgColor rgb="FFDCE6F1"/>
      </patternFill>
    </fill>
    <fill>
      <patternFill patternType="solid">
        <fgColor rgb="FFD9D9D9"/>
      </patternFill>
    </fill>
    <fill>
      <patternFill patternType="solid">
        <fgColor rgb="FF1F3864"/>
      </patternFill>
    </fill>
    <fill>
      <patternFill patternType="solid">
        <fgColor rgb="FFF36722"/>
      </patternFill>
    </fill>
    <fill>
      <patternFill patternType="solid">
        <fgColor rgb="FF2CAE9E"/>
      </patternFill>
    </fill>
    <fill>
      <patternFill patternType="solid">
        <fgColor rgb="FFFFF2CC"/>
      </patternFill>
    </fill>
    <fill>
      <patternFill patternType="solid">
        <fgColor rgb="FFE2EFDA"/>
      </patternFill>
    </fill>
    <fill>
      <patternFill patternType="solid">
        <fgColor rgb="FF7F7F7F"/>
      </patternFill>
    </fill>
    <fill>
      <patternFill patternType="solid">
        <fgColor rgb="FFEDEDED"/>
      </patternFill>
    </fill>
    <fill>
      <patternFill patternType="solid">
        <fgColor rgb="FFBFBFBF"/>
      </patternFill>
    </fill>
    <fill>
      <patternFill patternType="solid">
        <fgColor rgb="FF595959"/>
      </patternFill>
    </fill>
    <fill>
      <patternFill patternType="solid">
        <fgColor rgb="FFEDE2F6"/>
      </patternFill>
    </fill>
    <fill>
      <patternFill patternType="solid">
        <fgColor rgb="FF7030A0"/>
      </patternFill>
    </fill>
    <fill>
      <patternFill patternType="solid">
        <fgColor rgb="FFE2EFDA"/>
        <bgColor indexed="64"/>
      </patternFill>
    </fill>
  </fills>
  <borders count="58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medium">
        <color auto="1"/>
      </left>
      <right style="medium">
        <color auto="1"/>
      </right>
      <top style="medium">
        <color auto="1"/>
      </top>
      <bottom style="medium">
        <color auto="1"/>
      </bottom>
      <diagonal/>
    </border>
    <border>
      <left/>
      <right/>
      <top style="double">
        <color auto="1"/>
      </top>
      <bottom style="double">
        <color auto="1"/>
      </bottom>
      <diagonal/>
    </border>
    <border>
      <left/>
      <right/>
      <top style="medium">
        <color auto="1"/>
      </top>
      <bottom style="medium">
        <color auto="1"/>
      </bottom>
      <diagonal/>
    </border>
    <border>
      <left/>
      <right/>
      <top style="thin">
        <color auto="1"/>
      </top>
      <bottom style="thin">
        <color auto="1"/>
      </bottom>
      <diagonal/>
    </border>
    <border>
      <left/>
      <right/>
      <top/>
      <bottom style="medium">
        <color indexed="30"/>
      </bottom>
      <diagonal/>
    </border>
    <border>
      <left/>
      <right/>
      <top/>
      <bottom style="double">
        <color indexed="52"/>
      </bottom>
      <diagonal/>
    </border>
    <border>
      <left/>
      <right/>
      <top/>
      <bottom style="medium">
        <color auto="1"/>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8"/>
      </left>
      <right style="thin">
        <color indexed="8"/>
      </right>
      <top/>
      <bottom style="thin">
        <color indexed="8"/>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right/>
      <top/>
      <bottom style="thick">
        <color indexed="8"/>
      </bottom>
      <diagonal/>
    </border>
    <border>
      <left/>
      <right style="thick">
        <color indexed="8"/>
      </right>
      <top/>
      <bottom/>
      <diagonal/>
    </border>
    <border>
      <left style="thin">
        <color indexed="8"/>
      </left>
      <right style="thin">
        <color indexed="8"/>
      </right>
      <top/>
      <bottom/>
      <diagonal/>
    </border>
    <border>
      <left style="thin">
        <color indexed="8"/>
      </left>
      <right/>
      <top/>
      <bottom/>
      <diagonal/>
    </border>
    <border>
      <left style="thin">
        <color indexed="8"/>
      </left>
      <right/>
      <top style="thin">
        <color indexed="8"/>
      </top>
      <bottom style="thin">
        <color indexed="8"/>
      </bottom>
      <diagonal/>
    </border>
    <border>
      <left/>
      <right style="thin">
        <color indexed="8"/>
      </right>
      <top/>
      <bottom/>
      <diagonal/>
    </border>
    <border>
      <left/>
      <right style="thin">
        <color indexed="8"/>
      </right>
      <top style="thin">
        <color indexed="8"/>
      </top>
      <bottom style="thin">
        <color indexed="8"/>
      </bottom>
      <diagonal/>
    </border>
    <border>
      <left/>
      <right/>
      <top style="thin">
        <color indexed="8"/>
      </top>
      <bottom style="thin">
        <color indexed="8"/>
      </bottom>
      <diagonal/>
    </border>
    <border>
      <left style="thin">
        <color indexed="8"/>
      </left>
      <right style="thin">
        <color indexed="8"/>
      </right>
      <top style="thin">
        <color indexed="8"/>
      </top>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medium">
        <color auto="1"/>
      </left>
      <right/>
      <top style="medium">
        <color auto="1"/>
      </top>
      <bottom/>
      <diagonal/>
    </border>
    <border>
      <left/>
      <right/>
      <top style="hair">
        <color indexed="8"/>
      </top>
      <bottom style="hair">
        <color indexed="8"/>
      </bottom>
      <diagonal/>
    </border>
    <border>
      <left/>
      <right/>
      <top style="thin">
        <color auto="1"/>
      </top>
      <bottom style="double">
        <color auto="1"/>
      </bottom>
      <diagonal/>
    </border>
    <border>
      <left style="hair">
        <color auto="1"/>
      </left>
      <right style="hair">
        <color auto="1"/>
      </right>
      <top style="hair">
        <color auto="1"/>
      </top>
      <bottom style="thin">
        <color auto="1"/>
      </bottom>
      <diagonal/>
    </border>
    <border>
      <left/>
      <right/>
      <top/>
      <bottom style="hair">
        <color auto="1"/>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style="double">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right style="medium">
        <color auto="1"/>
      </right>
      <top/>
      <bottom/>
      <diagonal/>
    </border>
    <border>
      <left/>
      <right/>
      <top style="thin">
        <color auto="1"/>
      </top>
      <bottom/>
      <diagonal/>
    </border>
    <border>
      <left/>
      <right/>
      <top/>
      <bottom style="medium">
        <color indexed="18"/>
      </bottom>
      <diagonal/>
    </border>
    <border>
      <left style="thin">
        <color auto="1"/>
      </left>
      <right style="thin">
        <color auto="1"/>
      </right>
      <top style="thin">
        <color auto="1"/>
      </top>
      <bottom style="thin">
        <color auto="1"/>
      </bottom>
      <diagonal/>
    </border>
    <border>
      <left/>
      <right/>
      <top/>
      <bottom style="thin">
        <color auto="1"/>
      </bottom>
      <diagonal/>
    </border>
    <border>
      <left/>
      <right/>
      <top/>
      <bottom style="medium">
        <color auto="1"/>
      </bottom>
      <diagonal/>
    </border>
    <border>
      <left/>
      <right/>
      <top/>
      <bottom style="medium">
        <color indexed="8"/>
      </bottom>
      <diagonal/>
    </border>
    <border>
      <left style="medium">
        <color auto="1"/>
      </left>
      <right/>
      <top/>
      <bottom/>
      <diagonal/>
    </border>
    <border>
      <left style="medium">
        <color auto="1"/>
      </left>
      <right style="thin">
        <color auto="1"/>
      </right>
      <top style="medium">
        <color auto="1"/>
      </top>
      <bottom style="thin">
        <color auto="1"/>
      </bottom>
      <diagonal/>
    </border>
    <border>
      <left/>
      <right/>
      <top/>
      <bottom style="dotted">
        <color auto="1"/>
      </bottom>
      <diagonal/>
    </border>
    <border>
      <left/>
      <right/>
      <top/>
      <bottom style="double">
        <color auto="1"/>
      </bottom>
      <diagonal/>
    </border>
    <border>
      <left style="hair">
        <color indexed="8"/>
      </left>
      <right style="hair">
        <color indexed="8"/>
      </right>
      <top style="hair">
        <color indexed="8"/>
      </top>
      <bottom style="hair">
        <color indexed="8"/>
      </bottom>
      <diagonal/>
    </border>
    <border>
      <left/>
      <right/>
      <top/>
      <bottom style="hair">
        <color indexed="22"/>
      </bottom>
      <diagonal/>
    </border>
    <border>
      <left/>
      <right/>
      <top style="thin">
        <color auto="1"/>
      </top>
      <bottom style="thin">
        <color auto="1"/>
      </bottom>
      <diagonal/>
    </border>
    <border>
      <left style="hair">
        <color auto="1"/>
      </left>
      <right style="hair">
        <color auto="1"/>
      </right>
      <top style="hair">
        <color auto="1"/>
      </top>
      <bottom style="hair">
        <color auto="1"/>
      </bottom>
      <diagonal/>
    </border>
    <border>
      <left/>
      <right/>
      <top style="thin">
        <color indexed="8"/>
      </top>
      <bottom style="double">
        <color indexed="8"/>
      </bottom>
      <diagonal/>
    </border>
    <border>
      <left style="thin">
        <color auto="1"/>
      </left>
      <right style="thin">
        <color auto="1"/>
      </right>
      <top/>
      <bottom style="hair">
        <color auto="1"/>
      </bottom>
      <diagonal/>
    </border>
    <border>
      <left/>
      <right/>
      <top style="hair">
        <color indexed="8"/>
      </top>
      <bottom style="thin">
        <color indexed="8"/>
      </bottom>
      <diagonal/>
    </border>
    <border>
      <left/>
      <right/>
      <top style="thick">
        <color auto="1"/>
      </top>
      <bottom/>
      <diagonal/>
    </border>
    <border>
      <left/>
      <right style="thin">
        <color auto="1"/>
      </right>
      <top/>
      <bottom/>
      <diagonal/>
    </border>
    <border>
      <left/>
      <right/>
      <top style="hair">
        <color auto="1"/>
      </top>
      <bottom style="hair">
        <color auto="1"/>
      </bottom>
      <diagonal/>
    </border>
    <border>
      <left/>
      <right/>
      <top/>
      <bottom style="medium">
        <color indexed="45"/>
      </bottom>
      <diagonal/>
    </border>
    <border>
      <left/>
      <right/>
      <top/>
      <bottom style="thin">
        <color indexed="45"/>
      </bottom>
      <diagonal/>
    </border>
    <border>
      <left/>
      <right/>
      <top style="medium">
        <color indexed="45"/>
      </top>
      <bottom/>
      <diagonal/>
    </border>
    <border>
      <left/>
      <right/>
      <top/>
      <bottom style="double">
        <color indexed="45"/>
      </bottom>
      <diagonal/>
    </border>
    <border>
      <left/>
      <right/>
      <top style="medium">
        <color indexed="8"/>
      </top>
      <bottom style="medium">
        <color indexed="8"/>
      </bottom>
      <diagonal/>
    </border>
    <border>
      <left style="thin">
        <color indexed="55"/>
      </left>
      <right style="thin">
        <color indexed="55"/>
      </right>
      <top style="thin">
        <color indexed="55"/>
      </top>
      <bottom style="thin">
        <color indexed="55"/>
      </bottom>
      <diagonal/>
    </border>
    <border>
      <left/>
      <right/>
      <top style="thin">
        <color indexed="55"/>
      </top>
      <bottom style="thin">
        <color indexed="55"/>
      </bottom>
      <diagonal/>
    </border>
    <border>
      <left style="thin">
        <color indexed="55"/>
      </left>
      <right/>
      <top style="thin">
        <color indexed="55"/>
      </top>
      <bottom style="thin">
        <color indexed="55"/>
      </bottom>
      <diagonal/>
    </border>
    <border>
      <left/>
      <right style="thin">
        <color indexed="55"/>
      </right>
      <top style="thin">
        <color indexed="55"/>
      </top>
      <bottom style="thin">
        <color indexed="55"/>
      </bottom>
      <diagonal/>
    </border>
    <border>
      <left style="thin">
        <color indexed="22"/>
      </left>
      <right/>
      <top style="thin">
        <color indexed="22"/>
      </top>
      <bottom style="thin">
        <color indexed="22"/>
      </bottom>
      <diagonal/>
    </border>
    <border>
      <left/>
      <right/>
      <top style="thin">
        <color indexed="22"/>
      </top>
      <bottom style="thin">
        <color indexed="22"/>
      </bottom>
      <diagonal/>
    </border>
    <border>
      <left/>
      <right style="thin">
        <color indexed="22"/>
      </right>
      <top style="thin">
        <color indexed="22"/>
      </top>
      <bottom style="thin">
        <color indexed="22"/>
      </bottom>
      <diagonal/>
    </border>
    <border>
      <left style="thin">
        <color indexed="22"/>
      </left>
      <right/>
      <top/>
      <bottom/>
      <diagonal/>
    </border>
    <border>
      <left/>
      <right style="thin">
        <color indexed="22"/>
      </right>
      <top/>
      <bottom/>
      <diagonal/>
    </border>
    <border>
      <left/>
      <right/>
      <top style="thin">
        <color indexed="22"/>
      </top>
      <bottom/>
      <diagonal/>
    </border>
    <border>
      <left style="thin">
        <color indexed="22"/>
      </left>
      <right/>
      <top style="thin">
        <color indexed="22"/>
      </top>
      <bottom/>
      <diagonal/>
    </border>
    <border>
      <left/>
      <right style="thin">
        <color indexed="22"/>
      </right>
      <top style="thin">
        <color indexed="22"/>
      </top>
      <bottom/>
      <diagonal/>
    </border>
    <border>
      <left style="thin">
        <color indexed="22"/>
      </left>
      <right/>
      <top/>
      <bottom style="thin">
        <color indexed="22"/>
      </bottom>
      <diagonal/>
    </border>
    <border>
      <left/>
      <right style="thin">
        <color indexed="22"/>
      </right>
      <top/>
      <bottom style="thin">
        <color indexed="22"/>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medium">
        <color theme="3" tint="-0.249977111117893"/>
      </left>
      <right/>
      <top style="medium">
        <color theme="3" tint="-0.249977111117893"/>
      </top>
      <bottom/>
      <diagonal/>
    </border>
    <border>
      <left/>
      <right/>
      <top style="medium">
        <color theme="3" tint="-0.249977111117893"/>
      </top>
      <bottom/>
      <diagonal/>
    </border>
    <border>
      <left/>
      <right style="medium">
        <color theme="3" tint="-0.249977111117893"/>
      </right>
      <top style="medium">
        <color theme="3" tint="-0.249977111117893"/>
      </top>
      <bottom/>
      <diagonal/>
    </border>
    <border>
      <left style="medium">
        <color theme="3" tint="-0.249977111117893"/>
      </left>
      <right/>
      <top/>
      <bottom/>
      <diagonal/>
    </border>
    <border>
      <left/>
      <right style="medium">
        <color theme="3" tint="-0.249977111117893"/>
      </right>
      <top/>
      <bottom/>
      <diagonal/>
    </border>
    <border>
      <left style="medium">
        <color theme="3" tint="-0.249977111117893"/>
      </left>
      <right/>
      <top/>
      <bottom style="medium">
        <color theme="3" tint="-0.249977111117893"/>
      </bottom>
      <diagonal/>
    </border>
    <border>
      <left/>
      <right/>
      <top/>
      <bottom style="medium">
        <color theme="3" tint="-0.249977111117893"/>
      </bottom>
      <diagonal/>
    </border>
    <border>
      <left/>
      <right style="medium">
        <color theme="3" tint="-0.249977111117893"/>
      </right>
      <top/>
      <bottom style="medium">
        <color theme="3" tint="-0.249977111117893"/>
      </bottom>
      <diagonal/>
    </border>
    <border>
      <left/>
      <right/>
      <top style="thin">
        <color auto="1"/>
      </top>
      <bottom/>
      <diagonal/>
    </border>
    <border>
      <left style="thin">
        <color auto="1"/>
      </left>
      <right/>
      <top style="medium">
        <color auto="1"/>
      </top>
      <bottom style="thin">
        <color auto="1"/>
      </bottom>
      <diagonal/>
    </border>
    <border>
      <left style="medium">
        <color auto="1"/>
      </left>
      <right style="thin">
        <color auto="1"/>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style="medium">
        <color auto="1"/>
      </bottom>
      <diagonal/>
    </border>
    <border>
      <left/>
      <right/>
      <top style="medium">
        <color auto="1"/>
      </top>
      <bottom/>
      <diagonal/>
    </border>
    <border>
      <left/>
      <right style="medium">
        <color auto="1"/>
      </right>
      <top style="medium">
        <color auto="1"/>
      </top>
      <bottom/>
      <diagonal/>
    </border>
    <border>
      <left/>
      <right style="thin">
        <color auto="1"/>
      </right>
      <top style="thin">
        <color auto="1"/>
      </top>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hair">
        <color auto="1"/>
      </bottom>
      <diagonal/>
    </border>
    <border>
      <left/>
      <right style="thin">
        <color auto="1"/>
      </right>
      <top/>
      <bottom style="hair">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right style="thin">
        <color auto="1"/>
      </right>
      <top style="hair">
        <color auto="1"/>
      </top>
      <bottom/>
      <diagonal/>
    </border>
    <border>
      <left style="medium">
        <color auto="1"/>
      </left>
      <right style="medium">
        <color auto="1"/>
      </right>
      <top style="medium">
        <color auto="1"/>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hair">
        <color indexed="64"/>
      </top>
      <bottom style="hair">
        <color indexed="64"/>
      </bottom>
      <diagonal/>
    </border>
    <border>
      <left style="thin">
        <color indexed="64"/>
      </left>
      <right style="medium">
        <color indexed="64"/>
      </right>
      <top/>
      <bottom style="thin">
        <color indexed="64"/>
      </bottom>
      <diagonal/>
    </border>
    <border>
      <left style="medium">
        <color indexed="64"/>
      </left>
      <right style="medium">
        <color indexed="64"/>
      </right>
      <top/>
      <bottom/>
      <diagonal/>
    </border>
    <border>
      <left style="thin">
        <color auto="1"/>
      </left>
      <right style="thin">
        <color auto="1"/>
      </right>
      <top style="double">
        <color auto="1"/>
      </top>
      <bottom style="thin">
        <color auto="1"/>
      </bottom>
      <diagonal/>
    </border>
    <border>
      <left/>
      <right/>
      <top style="hair">
        <color auto="1"/>
      </top>
      <bottom style="hair">
        <color auto="1"/>
      </bottom>
      <diagonal/>
    </border>
    <border>
      <left/>
      <right/>
      <top style="hair">
        <color auto="1"/>
      </top>
      <bottom style="thin">
        <color auto="1"/>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top style="medium">
        <color indexed="64"/>
      </top>
      <bottom/>
      <diagonal/>
    </border>
    <border>
      <left/>
      <right style="medium">
        <color indexed="64"/>
      </right>
      <top/>
      <bottom style="thin">
        <color indexed="64"/>
      </bottom>
      <diagonal/>
    </border>
    <border>
      <left style="thin">
        <color indexed="64"/>
      </left>
      <right style="hair">
        <color indexed="64"/>
      </right>
      <top style="thin">
        <color indexed="64"/>
      </top>
      <bottom/>
      <diagonal/>
    </border>
    <border>
      <left style="hair">
        <color indexed="64"/>
      </left>
      <right style="medium">
        <color indexed="64"/>
      </right>
      <top style="thin">
        <color indexed="64"/>
      </top>
      <bottom/>
      <diagonal/>
    </border>
    <border>
      <left style="hair">
        <color indexed="64"/>
      </left>
      <right style="medium">
        <color indexed="64"/>
      </right>
      <top style="thin">
        <color indexed="64"/>
      </top>
      <bottom style="thin">
        <color indexed="64"/>
      </bottom>
      <diagonal/>
    </border>
    <border>
      <left style="medium">
        <color indexed="64"/>
      </left>
      <right style="thin">
        <color indexed="64"/>
      </right>
      <top/>
      <bottom style="hair">
        <color indexed="64"/>
      </bottom>
      <diagonal/>
    </border>
    <border>
      <left/>
      <right style="medium">
        <color indexed="64"/>
      </right>
      <top/>
      <bottom style="hair">
        <color indexed="64"/>
      </bottom>
      <diagonal/>
    </border>
    <border>
      <left style="hair">
        <color indexed="64"/>
      </left>
      <right style="medium">
        <color indexed="64"/>
      </right>
      <top/>
      <bottom style="hair">
        <color indexed="64"/>
      </bottom>
      <diagonal/>
    </border>
    <border>
      <left style="medium">
        <color indexed="64"/>
      </left>
      <right style="medium">
        <color indexed="64"/>
      </right>
      <top/>
      <bottom style="hair">
        <color indexed="64"/>
      </bottom>
      <diagonal/>
    </border>
    <border>
      <left style="medium">
        <color indexed="64"/>
      </left>
      <right/>
      <top style="medium">
        <color auto="1"/>
      </top>
      <bottom style="hair">
        <color indexed="64"/>
      </bottom>
      <diagonal/>
    </border>
    <border>
      <left/>
      <right/>
      <top style="medium">
        <color auto="1"/>
      </top>
      <bottom style="hair">
        <color indexed="64"/>
      </bottom>
      <diagonal/>
    </border>
    <border>
      <left/>
      <right style="medium">
        <color indexed="64"/>
      </right>
      <top style="medium">
        <color auto="1"/>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medium">
        <color indexed="64"/>
      </right>
      <top style="hair">
        <color indexed="64"/>
      </top>
      <bottom style="hair">
        <color indexed="64"/>
      </bottom>
      <diagonal/>
    </border>
    <border>
      <left style="medium">
        <color indexed="64"/>
      </left>
      <right/>
      <top style="hair">
        <color indexed="64"/>
      </top>
      <bottom/>
      <diagonal/>
    </border>
    <border>
      <left/>
      <right/>
      <top style="hair">
        <color auto="1"/>
      </top>
      <bottom/>
      <diagonal/>
    </border>
    <border>
      <left/>
      <right style="medium">
        <color indexed="64"/>
      </right>
      <top style="hair">
        <color indexed="64"/>
      </top>
      <bottom/>
      <diagonal/>
    </border>
    <border>
      <left style="thin">
        <color auto="1"/>
      </left>
      <right/>
      <top style="hair">
        <color auto="1"/>
      </top>
      <bottom style="thin">
        <color auto="1"/>
      </bottom>
      <diagonal/>
    </border>
    <border>
      <left style="hair">
        <color indexed="64"/>
      </left>
      <right style="medium">
        <color indexed="64"/>
      </right>
      <top/>
      <bottom style="medium">
        <color indexed="64"/>
      </bottom>
      <diagonal/>
    </border>
    <border>
      <left style="hair">
        <color indexed="64"/>
      </left>
      <right style="medium">
        <color indexed="64"/>
      </right>
      <top style="hair">
        <color auto="1"/>
      </top>
      <bottom style="hair">
        <color auto="1"/>
      </bottom>
      <diagonal/>
    </border>
    <border>
      <left style="thin">
        <color auto="1"/>
      </left>
      <right style="thin">
        <color auto="1"/>
      </right>
      <top style="hair">
        <color auto="1"/>
      </top>
      <bottom style="thin">
        <color auto="1"/>
      </bottom>
      <diagonal/>
    </border>
    <border>
      <left style="medium">
        <color auto="1"/>
      </left>
      <right/>
      <top style="thin">
        <color auto="1"/>
      </top>
      <bottom style="thin">
        <color auto="1"/>
      </bottom>
      <diagonal/>
    </border>
    <border>
      <left style="medium">
        <color auto="1"/>
      </left>
      <right style="hair">
        <color auto="1"/>
      </right>
      <top style="hair">
        <color auto="1"/>
      </top>
      <bottom style="hair">
        <color auto="1"/>
      </bottom>
      <diagonal/>
    </border>
    <border>
      <left style="thin">
        <color auto="1"/>
      </left>
      <right style="medium">
        <color auto="1"/>
      </right>
      <top/>
      <bottom style="hair">
        <color auto="1"/>
      </bottom>
      <diagonal/>
    </border>
    <border>
      <left style="medium">
        <color auto="1"/>
      </left>
      <right style="medium">
        <color auto="1"/>
      </right>
      <top style="hair">
        <color auto="1"/>
      </top>
      <bottom/>
      <diagonal/>
    </border>
    <border>
      <left style="medium">
        <color indexed="64"/>
      </left>
      <right style="medium">
        <color indexed="64"/>
      </right>
      <top style="medium">
        <color indexed="64"/>
      </top>
      <bottom style="thin">
        <color indexed="64"/>
      </bottom>
      <diagonal/>
    </border>
    <border>
      <left style="medium">
        <color auto="1"/>
      </left>
      <right style="thin">
        <color auto="1"/>
      </right>
      <top style="thin">
        <color indexed="64"/>
      </top>
      <bottom style="hair">
        <color indexed="64"/>
      </bottom>
      <diagonal/>
    </border>
    <border>
      <left style="medium">
        <color indexed="64"/>
      </left>
      <right style="thin">
        <color auto="1"/>
      </right>
      <top style="hair">
        <color auto="1"/>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bottom/>
      <diagonal/>
    </border>
    <border>
      <left style="hair">
        <color indexed="64"/>
      </left>
      <right style="medium">
        <color indexed="64"/>
      </right>
      <top/>
      <bottom/>
      <diagonal/>
    </border>
    <border>
      <left style="thin">
        <color indexed="64"/>
      </left>
      <right style="thin">
        <color indexed="64"/>
      </right>
      <top style="hair">
        <color indexed="64"/>
      </top>
      <bottom/>
      <diagonal/>
    </border>
    <border>
      <left style="medium">
        <color indexed="64"/>
      </left>
      <right/>
      <top/>
      <bottom style="thin">
        <color indexed="64"/>
      </bottom>
      <diagonal/>
    </border>
    <border>
      <left style="thin">
        <color indexed="23"/>
      </left>
      <right style="thin">
        <color indexed="23"/>
      </right>
      <top style="thin">
        <color indexed="23"/>
      </top>
      <bottom style="thin">
        <color indexed="23"/>
      </bottom>
      <diagonal/>
    </border>
    <border>
      <left style="thin">
        <color indexed="64"/>
      </left>
      <right style="medium">
        <color auto="1"/>
      </right>
      <top style="thin">
        <color indexed="64"/>
      </top>
      <bottom style="hair">
        <color auto="1"/>
      </bottom>
      <diagonal/>
    </border>
    <border>
      <left/>
      <right style="medium">
        <color auto="1"/>
      </right>
      <top style="thin">
        <color indexed="64"/>
      </top>
      <bottom style="hair">
        <color auto="1"/>
      </bottom>
      <diagonal/>
    </border>
    <border>
      <left style="medium">
        <color indexed="64"/>
      </left>
      <right/>
      <top/>
      <bottom style="hair">
        <color indexed="64"/>
      </bottom>
      <diagonal/>
    </border>
    <border>
      <left style="medium">
        <color indexed="64"/>
      </left>
      <right/>
      <top style="thin">
        <color indexed="64"/>
      </top>
      <bottom style="hair">
        <color indexed="64"/>
      </bottom>
      <diagonal/>
    </border>
    <border>
      <left style="medium">
        <color indexed="64"/>
      </left>
      <right style="medium">
        <color indexed="64"/>
      </right>
      <top style="thin">
        <color indexed="64"/>
      </top>
      <bottom style="hair">
        <color indexed="64"/>
      </bottom>
      <diagonal/>
    </border>
    <border>
      <left style="medium">
        <color indexed="64"/>
      </left>
      <right/>
      <top style="medium">
        <color indexed="64"/>
      </top>
      <bottom style="thin">
        <color auto="1"/>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thin">
        <color indexed="64"/>
      </bottom>
      <diagonal/>
    </border>
    <border>
      <left style="medium">
        <color indexed="64"/>
      </left>
      <right/>
      <top style="thin">
        <color indexed="64"/>
      </top>
      <bottom/>
      <diagonal/>
    </border>
    <border>
      <left/>
      <right style="thin">
        <color indexed="64"/>
      </right>
      <top style="medium">
        <color indexed="64"/>
      </top>
      <bottom style="thin">
        <color indexed="64"/>
      </bottom>
      <diagonal/>
    </border>
    <border>
      <left/>
      <right style="thin">
        <color indexed="64"/>
      </right>
      <top style="medium">
        <color indexed="64"/>
      </top>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hair">
        <color indexed="64"/>
      </right>
      <top style="thin">
        <color indexed="64"/>
      </top>
      <bottom style="hair">
        <color indexed="64"/>
      </bottom>
      <diagonal/>
    </border>
    <border>
      <left style="hair">
        <color auto="1"/>
      </left>
      <right style="hair">
        <color auto="1"/>
      </right>
      <top style="thin">
        <color indexed="64"/>
      </top>
      <bottom style="hair">
        <color auto="1"/>
      </bottom>
      <diagonal/>
    </border>
    <border>
      <left style="hair">
        <color indexed="64"/>
      </left>
      <right style="medium">
        <color indexed="64"/>
      </right>
      <top style="thin">
        <color indexed="64"/>
      </top>
      <bottom style="hair">
        <color indexed="64"/>
      </bottom>
      <diagonal/>
    </border>
    <border>
      <left style="hair">
        <color auto="1"/>
      </left>
      <right/>
      <top style="hair">
        <color auto="1"/>
      </top>
      <bottom/>
      <diagonal/>
    </border>
    <border>
      <left/>
      <right style="hair">
        <color auto="1"/>
      </right>
      <top style="hair">
        <color auto="1"/>
      </top>
      <bottom/>
      <diagonal/>
    </border>
    <border>
      <left style="hair">
        <color auto="1"/>
      </left>
      <right/>
      <top/>
      <bottom style="hair">
        <color auto="1"/>
      </bottom>
      <diagonal/>
    </border>
    <border>
      <left/>
      <right style="hair">
        <color auto="1"/>
      </right>
      <top/>
      <bottom style="hair">
        <color auto="1"/>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hair">
        <color auto="1"/>
      </left>
      <right/>
      <top style="thin">
        <color indexed="64"/>
      </top>
      <bottom/>
      <diagonal/>
    </border>
    <border>
      <left/>
      <right style="hair">
        <color auto="1"/>
      </right>
      <top style="thin">
        <color indexed="64"/>
      </top>
      <bottom/>
      <diagonal/>
    </border>
    <border>
      <left style="hair">
        <color auto="1"/>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style="hair">
        <color auto="1"/>
      </top>
      <bottom style="hair">
        <color auto="1"/>
      </bottom>
      <diagonal/>
    </border>
    <border>
      <left/>
      <right style="hair">
        <color auto="1"/>
      </right>
      <top style="hair">
        <color auto="1"/>
      </top>
      <bottom style="hair">
        <color auto="1"/>
      </bottom>
      <diagonal/>
    </border>
    <border>
      <left style="medium">
        <color indexed="64"/>
      </left>
      <right style="hair">
        <color indexed="64"/>
      </right>
      <top style="hair">
        <color indexed="64"/>
      </top>
      <bottom/>
      <diagonal/>
    </border>
    <border>
      <left style="medium">
        <color indexed="64"/>
      </left>
      <right style="hair">
        <color auto="1"/>
      </right>
      <top/>
      <bottom style="hair">
        <color indexed="64"/>
      </bottom>
      <diagonal/>
    </border>
    <border>
      <left style="hair">
        <color auto="1"/>
      </left>
      <right/>
      <top/>
      <bottom style="medium">
        <color indexed="64"/>
      </bottom>
      <diagonal/>
    </border>
    <border>
      <left/>
      <right style="hair">
        <color indexed="64"/>
      </right>
      <top/>
      <bottom style="medium">
        <color indexed="64"/>
      </bottom>
      <diagonal/>
    </border>
    <border>
      <left style="medium">
        <color indexed="64"/>
      </left>
      <right style="hair">
        <color indexed="64"/>
      </right>
      <top/>
      <bottom style="medium">
        <color indexed="64"/>
      </bottom>
      <diagonal/>
    </border>
    <border>
      <left style="medium">
        <color auto="1"/>
      </left>
      <right style="thin">
        <color auto="1"/>
      </right>
      <top style="medium">
        <color auto="1"/>
      </top>
      <bottom style="hair">
        <color auto="1"/>
      </bottom>
      <diagonal/>
    </border>
    <border>
      <left style="thin">
        <color auto="1"/>
      </left>
      <right style="thin">
        <color auto="1"/>
      </right>
      <top style="medium">
        <color auto="1"/>
      </top>
      <bottom style="hair">
        <color auto="1"/>
      </bottom>
      <diagonal/>
    </border>
    <border>
      <left style="thin">
        <color auto="1"/>
      </left>
      <right style="medium">
        <color auto="1"/>
      </right>
      <top style="medium">
        <color auto="1"/>
      </top>
      <bottom style="hair">
        <color auto="1"/>
      </bottom>
      <diagonal/>
    </border>
    <border>
      <left style="thin">
        <color indexed="64"/>
      </left>
      <right style="thin">
        <color indexed="64"/>
      </right>
      <top/>
      <bottom style="hair">
        <color indexed="64"/>
      </bottom>
      <diagonal/>
    </border>
    <border>
      <left style="thin">
        <color auto="1"/>
      </left>
      <right style="medium">
        <color auto="1"/>
      </right>
      <top style="hair">
        <color auto="1"/>
      </top>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indexed="64"/>
      </left>
      <right/>
      <top/>
      <bottom style="hair">
        <color indexed="64"/>
      </bottom>
      <diagonal/>
    </border>
    <border>
      <left style="thin">
        <color indexed="64"/>
      </left>
      <right/>
      <top style="thin">
        <color indexed="64"/>
      </top>
      <bottom style="hair">
        <color auto="1"/>
      </bottom>
      <diagonal/>
    </border>
    <border>
      <left/>
      <right/>
      <top style="thin">
        <color indexed="64"/>
      </top>
      <bottom style="hair">
        <color auto="1"/>
      </bottom>
      <diagonal/>
    </border>
    <border>
      <left style="thin">
        <color indexed="64"/>
      </left>
      <right style="thin">
        <color indexed="64"/>
      </right>
      <top style="thin">
        <color indexed="64"/>
      </top>
      <bottom style="hair">
        <color auto="1"/>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mediumDashDotDot">
        <color rgb="FFFF0000"/>
      </right>
      <top style="thin">
        <color indexed="64"/>
      </top>
      <bottom style="hair">
        <color auto="1"/>
      </bottom>
      <diagonal/>
    </border>
    <border>
      <left/>
      <right style="mediumDashDotDot">
        <color rgb="FFFF0000"/>
      </right>
      <top/>
      <bottom/>
      <diagonal/>
    </border>
    <border>
      <left/>
      <right style="mediumDashDotDot">
        <color rgb="FFFF0000"/>
      </right>
      <top style="hair">
        <color auto="1"/>
      </top>
      <bottom style="hair">
        <color auto="1"/>
      </bottom>
      <diagonal/>
    </border>
    <border>
      <left style="thin">
        <color auto="1"/>
      </left>
      <right style="thin">
        <color auto="1"/>
      </right>
      <top style="thin">
        <color auto="1"/>
      </top>
      <bottom/>
      <diagonal/>
    </border>
    <border>
      <left style="medium">
        <color auto="1"/>
      </left>
      <right style="medium">
        <color auto="1"/>
      </right>
      <top style="thin">
        <color auto="1"/>
      </top>
      <bottom style="thin">
        <color auto="1"/>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medium">
        <color auto="1"/>
      </left>
      <right/>
      <top style="medium">
        <color auto="1"/>
      </top>
      <bottom style="thin">
        <color theme="0" tint="-0.24994659260841701"/>
      </bottom>
      <diagonal/>
    </border>
    <border>
      <left/>
      <right/>
      <top style="medium">
        <color auto="1"/>
      </top>
      <bottom style="thin">
        <color theme="0" tint="-0.24994659260841701"/>
      </bottom>
      <diagonal/>
    </border>
    <border>
      <left/>
      <right style="thin">
        <color theme="0" tint="-0.24994659260841701"/>
      </right>
      <top style="medium">
        <color auto="1"/>
      </top>
      <bottom style="thin">
        <color theme="0" tint="-0.24994659260841701"/>
      </bottom>
      <diagonal/>
    </border>
    <border>
      <left style="thin">
        <color theme="0" tint="-0.24994659260841701"/>
      </left>
      <right style="thin">
        <color theme="0" tint="-0.24994659260841701"/>
      </right>
      <top style="medium">
        <color auto="1"/>
      </top>
      <bottom style="thin">
        <color theme="0" tint="-0.24994659260841701"/>
      </bottom>
      <diagonal/>
    </border>
    <border>
      <left style="thin">
        <color theme="0" tint="-0.24994659260841701"/>
      </left>
      <right style="medium">
        <color auto="1"/>
      </right>
      <top style="medium">
        <color auto="1"/>
      </top>
      <bottom style="thin">
        <color theme="0" tint="-0.24994659260841701"/>
      </bottom>
      <diagonal/>
    </border>
    <border>
      <left style="medium">
        <color auto="1"/>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auto="1"/>
      </right>
      <top style="thin">
        <color theme="0" tint="-0.24994659260841701"/>
      </top>
      <bottom style="thin">
        <color theme="0" tint="-0.24994659260841701"/>
      </bottom>
      <diagonal/>
    </border>
    <border>
      <left style="medium">
        <color auto="1"/>
      </left>
      <right style="thin">
        <color theme="0" tint="-0.24994659260841701"/>
      </right>
      <top style="thin">
        <color theme="0" tint="-0.24994659260841701"/>
      </top>
      <bottom style="thin">
        <color theme="0" tint="-0.24994659260841701"/>
      </bottom>
      <diagonal/>
    </border>
    <border>
      <left style="medium">
        <color auto="1"/>
      </left>
      <right style="medium">
        <color theme="0" tint="-0.34998626667073579"/>
      </right>
      <top style="thin">
        <color theme="0" tint="-0.24994659260841701"/>
      </top>
      <bottom/>
      <diagonal/>
    </border>
    <border>
      <left style="medium">
        <color theme="0" tint="-0.34998626667073579"/>
      </left>
      <right style="medium">
        <color theme="0" tint="-0.34998626667073579"/>
      </right>
      <top style="thin">
        <color theme="0" tint="-0.24994659260841701"/>
      </top>
      <bottom/>
      <diagonal/>
    </border>
    <border>
      <left style="medium">
        <color theme="0" tint="-0.34998626667073579"/>
      </left>
      <right style="medium">
        <color auto="1"/>
      </right>
      <top style="thin">
        <color theme="0" tint="-0.24994659260841701"/>
      </top>
      <bottom/>
      <diagonal/>
    </border>
    <border>
      <left style="medium">
        <color auto="1"/>
      </left>
      <right style="medium">
        <color theme="0" tint="-0.34998626667073579"/>
      </right>
      <top style="thin">
        <color theme="0" tint="-0.24994659260841701"/>
      </top>
      <bottom style="medium">
        <color theme="0" tint="-0.34998626667073579"/>
      </bottom>
      <diagonal/>
    </border>
    <border>
      <left style="medium">
        <color theme="0" tint="-0.34998626667073579"/>
      </left>
      <right style="medium">
        <color theme="0" tint="-0.34998626667073579"/>
      </right>
      <top style="thin">
        <color theme="0" tint="-0.24994659260841701"/>
      </top>
      <bottom style="medium">
        <color theme="0" tint="-0.34998626667073579"/>
      </bottom>
      <diagonal/>
    </border>
    <border>
      <left style="medium">
        <color theme="0" tint="-0.34998626667073579"/>
      </left>
      <right style="medium">
        <color auto="1"/>
      </right>
      <top style="thin">
        <color theme="0" tint="-0.24994659260841701"/>
      </top>
      <bottom style="medium">
        <color theme="0" tint="-0.34998626667073579"/>
      </bottom>
      <diagonal/>
    </border>
    <border>
      <left style="medium">
        <color auto="1"/>
      </left>
      <right style="thin">
        <color theme="0" tint="-0.24994659260841701"/>
      </right>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medium">
        <color theme="0" tint="-0.34998626667073579"/>
      </left>
      <right style="thin">
        <color theme="0" tint="-0.24994659260841701"/>
      </right>
      <top style="thin">
        <color theme="0" tint="-0.24994659260841701"/>
      </top>
      <bottom style="thin">
        <color theme="0" tint="-0.24994659260841701"/>
      </bottom>
      <diagonal/>
    </border>
    <border>
      <left style="medium">
        <color theme="0" tint="-0.34998626667073579"/>
      </left>
      <right style="thin">
        <color theme="0" tint="-0.24994659260841701"/>
      </right>
      <top style="thin">
        <color theme="0" tint="-0.24994659260841701"/>
      </top>
      <bottom style="medium">
        <color auto="1"/>
      </bottom>
      <diagonal/>
    </border>
    <border>
      <left style="thin">
        <color theme="0" tint="-0.24994659260841701"/>
      </left>
      <right style="thin">
        <color theme="0" tint="-0.24994659260841701"/>
      </right>
      <top style="thin">
        <color theme="0" tint="-0.24994659260841701"/>
      </top>
      <bottom style="medium">
        <color auto="1"/>
      </bottom>
      <diagonal/>
    </border>
    <border>
      <left style="thin">
        <color theme="0" tint="-0.24994659260841701"/>
      </left>
      <right style="medium">
        <color auto="1"/>
      </right>
      <top style="thin">
        <color theme="0" tint="-0.24994659260841701"/>
      </top>
      <bottom style="medium">
        <color auto="1"/>
      </bottom>
      <diagonal/>
    </border>
    <border>
      <left style="thin">
        <color auto="1"/>
      </left>
      <right style="thin">
        <color theme="0" tint="-4.9989318521683403E-2"/>
      </right>
      <top style="thin">
        <color theme="0" tint="-4.9989318521683403E-2"/>
      </top>
      <bottom style="thin">
        <color theme="0" tint="-4.9989318521683403E-2"/>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theme="0" tint="-4.9989318521683403E-2"/>
      </left>
      <right style="thin">
        <color auto="1"/>
      </right>
      <top style="thin">
        <color theme="0" tint="-4.9989318521683403E-2"/>
      </top>
      <bottom style="thin">
        <color theme="0" tint="-4.9989318521683403E-2"/>
      </bottom>
      <diagonal/>
    </border>
    <border>
      <left style="thin">
        <color theme="0" tint="-4.9989318521683403E-2"/>
      </left>
      <right/>
      <top style="thin">
        <color theme="0" tint="-4.9989318521683403E-2"/>
      </top>
      <bottom style="thin">
        <color theme="0" tint="-4.9989318521683403E-2"/>
      </bottom>
      <diagonal/>
    </border>
    <border>
      <left/>
      <right style="thin">
        <color theme="0" tint="-4.9989318521683403E-2"/>
      </right>
      <top style="thin">
        <color theme="0" tint="-4.9989318521683403E-2"/>
      </top>
      <bottom style="thin">
        <color theme="0" tint="-4.9989318521683403E-2"/>
      </bottom>
      <diagonal/>
    </border>
    <border>
      <left style="thin">
        <color auto="1"/>
      </left>
      <right style="thin">
        <color theme="0" tint="-4.9989318521683403E-2"/>
      </right>
      <top style="thin">
        <color theme="0" tint="-4.9989318521683403E-2"/>
      </top>
      <bottom style="thin">
        <color auto="1"/>
      </bottom>
      <diagonal/>
    </border>
    <border>
      <left style="thin">
        <color theme="0" tint="-4.9989318521683403E-2"/>
      </left>
      <right style="thin">
        <color theme="0" tint="-4.9989318521683403E-2"/>
      </right>
      <top style="thin">
        <color theme="0" tint="-4.9989318521683403E-2"/>
      </top>
      <bottom style="thin">
        <color auto="1"/>
      </bottom>
      <diagonal/>
    </border>
    <border>
      <left style="thin">
        <color theme="0" tint="-4.9989318521683403E-2"/>
      </left>
      <right style="thin">
        <color auto="1"/>
      </right>
      <top style="thin">
        <color theme="0" tint="-4.9989318521683403E-2"/>
      </top>
      <bottom style="thin">
        <color auto="1"/>
      </bottom>
      <diagonal/>
    </border>
    <border>
      <left style="thin">
        <color theme="0" tint="-0.14999847407452621"/>
      </left>
      <right/>
      <top style="thin">
        <color theme="0" tint="-0.14999847407452621"/>
      </top>
      <bottom style="thin">
        <color theme="0" tint="-0.14999847407452621"/>
      </bottom>
      <diagonal/>
    </border>
    <border>
      <left/>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9847407452621"/>
      </top>
      <bottom/>
      <diagonal/>
    </border>
    <border>
      <left style="thin">
        <color theme="0" tint="-0.14999847407452621"/>
      </left>
      <right style="thin">
        <color theme="0" tint="-0.14999847407452621"/>
      </right>
      <top style="thin">
        <color theme="0" tint="-0.14999847407452621"/>
      </top>
      <bottom/>
      <diagonal/>
    </border>
    <border>
      <left style="thin">
        <color theme="0" tint="-0.14999847407452621"/>
      </left>
      <right style="thin">
        <color theme="0" tint="-0.14999847407452621"/>
      </right>
      <top/>
      <bottom style="thin">
        <color theme="0" tint="-0.14999847407452621"/>
      </bottom>
      <diagonal/>
    </border>
    <border>
      <left style="thin">
        <color theme="0" tint="-0.14999847407452621"/>
      </left>
      <right style="thin">
        <color theme="0" tint="-0.14999847407452621"/>
      </right>
      <top style="thin">
        <color theme="0" tint="-0.14996795556505021"/>
      </top>
      <bottom style="medium">
        <color theme="0" tint="-0.14996795556505021"/>
      </bottom>
      <diagonal/>
    </border>
    <border>
      <left style="thin">
        <color theme="0" tint="-0.14999847407452621"/>
      </left>
      <right/>
      <top/>
      <bottom/>
      <diagonal/>
    </border>
    <border>
      <left/>
      <right/>
      <top/>
      <bottom style="thin">
        <color theme="0" tint="-0.14999847407452621"/>
      </bottom>
      <diagonal/>
    </border>
    <border>
      <left style="thin">
        <color theme="0" tint="-0.14999847407452621"/>
      </left>
      <right style="thin">
        <color theme="0" tint="-0.14999847407452621"/>
      </right>
      <top style="thin">
        <color theme="0" tint="-0.14996795556505021"/>
      </top>
      <bottom/>
      <diagonal/>
    </border>
    <border>
      <left style="thin">
        <color theme="0" tint="-0.14999847407452621"/>
      </left>
      <right/>
      <top/>
      <bottom style="thin">
        <color theme="0" tint="-0.14999847407452621"/>
      </bottom>
      <diagonal/>
    </border>
    <border>
      <left style="thin">
        <color theme="0" tint="-0.14999847407452621"/>
      </left>
      <right style="thin">
        <color theme="0" tint="-0.14996795556505021"/>
      </right>
      <top style="thin">
        <color theme="0" tint="-0.14996795556505021"/>
      </top>
      <bottom style="thin">
        <color theme="0" tint="-0.14996795556505021"/>
      </bottom>
      <diagonal/>
    </border>
    <border>
      <left style="thin">
        <color theme="1"/>
      </left>
      <right style="medium">
        <color theme="1"/>
      </right>
      <top style="hair">
        <color theme="1"/>
      </top>
      <bottom style="hair">
        <color theme="1"/>
      </bottom>
      <diagonal/>
    </border>
    <border>
      <left style="thin">
        <color theme="0" tint="-0.14999847407452621"/>
      </left>
      <right/>
      <top style="thin">
        <color theme="0" tint="-0.14999847407452621"/>
      </top>
      <bottom/>
      <diagonal/>
    </border>
    <border>
      <left style="thin">
        <color theme="0" tint="-0.14996795556505021"/>
      </left>
      <right/>
      <top style="thin">
        <color theme="0" tint="-0.14996795556505021"/>
      </top>
      <bottom/>
      <diagonal/>
    </border>
    <border>
      <left/>
      <right/>
      <top style="thin">
        <color theme="0" tint="-0.14996795556505021"/>
      </top>
      <bottom/>
      <diagonal/>
    </border>
    <border>
      <left/>
      <right style="thin">
        <color theme="0" tint="-0.14996795556505021"/>
      </right>
      <top style="thin">
        <color theme="0" tint="-0.14996795556505021"/>
      </top>
      <bottom/>
      <diagonal/>
    </border>
    <border>
      <left/>
      <right style="thin">
        <color theme="0" tint="-0.14996795556505021"/>
      </right>
      <top/>
      <bottom style="thin">
        <color theme="0" tint="-0.14996795556505021"/>
      </bottom>
      <diagonal/>
    </border>
    <border>
      <left style="thin">
        <color theme="0" tint="-0.14996795556505021"/>
      </left>
      <right/>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top style="thin">
        <color theme="0" tint="-0.14996795556505021"/>
      </top>
      <bottom style="thin">
        <color theme="0" tint="-0.14996795556505021"/>
      </bottom>
      <diagonal/>
    </border>
    <border>
      <left/>
      <right style="thin">
        <color theme="0" tint="-0.14996795556505021"/>
      </right>
      <top style="thin">
        <color theme="0" tint="-0.14996795556505021"/>
      </top>
      <bottom style="medium">
        <color auto="1"/>
      </bottom>
      <diagonal/>
    </border>
    <border>
      <left style="thin">
        <color theme="0" tint="-0.14996795556505021"/>
      </left>
      <right/>
      <top style="thin">
        <color theme="0" tint="-0.14996795556505021"/>
      </top>
      <bottom style="medium">
        <color auto="1"/>
      </bottom>
      <diagonal/>
    </border>
    <border>
      <left/>
      <right/>
      <top style="thin">
        <color theme="0" tint="-0.14996795556505021"/>
      </top>
      <bottom style="thin">
        <color theme="0" tint="-0.14996795556505021"/>
      </bottom>
      <diagonal/>
    </border>
    <border>
      <left/>
      <right/>
      <top style="thin">
        <color theme="0" tint="-0.14996795556505021"/>
      </top>
      <bottom style="medium">
        <color auto="1"/>
      </bottom>
      <diagonal/>
    </border>
    <border>
      <left style="thin">
        <color theme="0" tint="-0.14993743705557422"/>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3743705557422"/>
      </right>
      <top style="thin">
        <color theme="0" tint="-0.14996795556505021"/>
      </top>
      <bottom style="thin">
        <color theme="0" tint="-0.14996795556505021"/>
      </bottom>
      <diagonal/>
    </border>
    <border>
      <left style="thin">
        <color theme="0" tint="-0.14993743705557422"/>
      </left>
      <right/>
      <top style="thin">
        <color theme="0" tint="-0.14996795556505021"/>
      </top>
      <bottom style="thin">
        <color theme="0" tint="-0.14996795556505021"/>
      </bottom>
      <diagonal/>
    </border>
    <border>
      <left/>
      <right style="thin">
        <color theme="0" tint="-0.14993743705557422"/>
      </right>
      <top style="thin">
        <color theme="0" tint="-0.14996795556505021"/>
      </top>
      <bottom style="thin">
        <color theme="0" tint="-0.14996795556505021"/>
      </bottom>
      <diagonal/>
    </border>
    <border>
      <left style="thin">
        <color theme="0" tint="-0.14993743705557422"/>
      </left>
      <right/>
      <top style="thin">
        <color theme="0" tint="-0.14996795556505021"/>
      </top>
      <bottom style="medium">
        <color auto="1"/>
      </bottom>
      <diagonal/>
    </border>
    <border>
      <left/>
      <right style="thin">
        <color theme="0" tint="-0.14993743705557422"/>
      </right>
      <top style="thin">
        <color theme="0" tint="-0.14996795556505021"/>
      </top>
      <bottom style="medium">
        <color auto="1"/>
      </bottom>
      <diagonal/>
    </border>
    <border>
      <left style="thin">
        <color theme="0" tint="-0.14996795556505021"/>
      </left>
      <right style="thin">
        <color theme="0" tint="-0.14990691854609822"/>
      </right>
      <top style="thin">
        <color theme="0" tint="-0.14996795556505021"/>
      </top>
      <bottom style="thin">
        <color theme="0" tint="-0.14996795556505021"/>
      </bottom>
      <diagonal/>
    </border>
    <border>
      <left/>
      <right style="thin">
        <color theme="0" tint="-0.14990691854609822"/>
      </right>
      <top style="thin">
        <color theme="0" tint="-0.14996795556505021"/>
      </top>
      <bottom style="thin">
        <color theme="0" tint="-0.14996795556505021"/>
      </bottom>
      <diagonal/>
    </border>
    <border>
      <left/>
      <right style="thin">
        <color theme="0" tint="-0.14990691854609822"/>
      </right>
      <top style="thin">
        <color theme="0" tint="-0.14996795556505021"/>
      </top>
      <bottom style="medium">
        <color auto="1"/>
      </bottom>
      <diagonal/>
    </border>
    <border>
      <left style="thin">
        <color theme="0" tint="-0.14996795556505021"/>
      </left>
      <right style="thin">
        <color theme="0" tint="-0.14996795556505021"/>
      </right>
      <top style="thin">
        <color indexed="64"/>
      </top>
      <bottom style="double">
        <color indexed="64"/>
      </bottom>
      <diagonal/>
    </border>
    <border>
      <left style="thin">
        <color theme="0" tint="-0.14993743705557422"/>
      </left>
      <right/>
      <top style="thin">
        <color theme="0" tint="-0.14996795556505021"/>
      </top>
      <bottom/>
      <diagonal/>
    </border>
    <border>
      <left/>
      <right style="thin">
        <color theme="0" tint="-0.14993743705557422"/>
      </right>
      <top style="thin">
        <color theme="0" tint="-0.14996795556505021"/>
      </top>
      <bottom/>
      <diagonal/>
    </border>
    <border>
      <left/>
      <right style="thin">
        <color theme="0" tint="-0.14990691854609822"/>
      </right>
      <top style="thin">
        <color theme="0" tint="-0.14996795556505021"/>
      </top>
      <bottom/>
      <diagonal/>
    </border>
    <border>
      <left style="thin">
        <color theme="0" tint="-0.14993743705557422"/>
      </left>
      <right/>
      <top/>
      <bottom style="thin">
        <color theme="0" tint="-0.14996795556505021"/>
      </bottom>
      <diagonal/>
    </border>
    <border>
      <left/>
      <right style="thin">
        <color theme="0" tint="-0.14993743705557422"/>
      </right>
      <top/>
      <bottom style="thin">
        <color theme="0" tint="-0.14996795556505021"/>
      </bottom>
      <diagonal/>
    </border>
    <border>
      <left/>
      <right style="thin">
        <color theme="0" tint="-0.14990691854609822"/>
      </right>
      <top/>
      <bottom style="thin">
        <color theme="0" tint="-0.14996795556505021"/>
      </bottom>
      <diagonal/>
    </border>
    <border>
      <left/>
      <right/>
      <top/>
      <bottom style="thin">
        <color theme="0" tint="-0.14996795556505021"/>
      </bottom>
      <diagonal/>
    </border>
    <border>
      <left style="thin">
        <color theme="0" tint="-0.14996795556505021"/>
      </left>
      <right/>
      <top style="thin">
        <color indexed="64"/>
      </top>
      <bottom style="double">
        <color indexed="64"/>
      </bottom>
      <diagonal/>
    </border>
    <border>
      <left style="thin">
        <color theme="0" tint="-0.14993743705557422"/>
      </left>
      <right style="thin">
        <color theme="0" tint="-0.14996795556505021"/>
      </right>
      <top style="thin">
        <color indexed="64"/>
      </top>
      <bottom style="double">
        <color indexed="64"/>
      </bottom>
      <diagonal/>
    </border>
    <border>
      <left style="thin">
        <color theme="0" tint="-0.14996795556505021"/>
      </left>
      <right style="thin">
        <color theme="0" tint="-0.14993743705557422"/>
      </right>
      <top style="thin">
        <color indexed="64"/>
      </top>
      <bottom style="double">
        <color indexed="64"/>
      </bottom>
      <diagonal/>
    </border>
    <border>
      <left/>
      <right style="thin">
        <color theme="0" tint="-0.14996795556505021"/>
      </right>
      <top style="thin">
        <color indexed="64"/>
      </top>
      <bottom style="double">
        <color indexed="64"/>
      </bottom>
      <diagonal/>
    </border>
    <border>
      <left style="thin">
        <color theme="0" tint="-0.14996795556505021"/>
      </left>
      <right style="thin">
        <color theme="0" tint="-0.14996795556505021"/>
      </right>
      <top/>
      <bottom/>
      <diagonal/>
    </border>
    <border>
      <left style="medium">
        <color theme="0" tint="-0.1498764000366222"/>
      </left>
      <right/>
      <top style="medium">
        <color theme="0" tint="-0.14990691854609822"/>
      </top>
      <bottom style="thin">
        <color theme="0" tint="-0.14996795556505021"/>
      </bottom>
      <diagonal/>
    </border>
    <border>
      <left style="medium">
        <color theme="0" tint="-0.14993743705557422"/>
      </left>
      <right/>
      <top style="thin">
        <color theme="0" tint="-0.14996795556505021"/>
      </top>
      <bottom style="thin">
        <color theme="0" tint="-0.14990691854609822"/>
      </bottom>
      <diagonal/>
    </border>
    <border>
      <left/>
      <right/>
      <top style="thin">
        <color theme="0" tint="-0.14996795556505021"/>
      </top>
      <bottom style="thin">
        <color theme="0" tint="-0.14990691854609822"/>
      </bottom>
      <diagonal/>
    </border>
    <border>
      <left style="medium">
        <color theme="0" tint="-0.14993743705557422"/>
      </left>
      <right/>
      <top style="thin">
        <color theme="0" tint="-0.14990691854609822"/>
      </top>
      <bottom style="thin">
        <color theme="0" tint="-0.14990691854609822"/>
      </bottom>
      <diagonal/>
    </border>
    <border>
      <left/>
      <right/>
      <top style="thin">
        <color theme="0" tint="-0.14990691854609822"/>
      </top>
      <bottom style="thin">
        <color theme="0" tint="-0.14990691854609822"/>
      </bottom>
      <diagonal/>
    </border>
    <border>
      <left style="thin">
        <color theme="0" tint="-0.14999847407452621"/>
      </left>
      <right/>
      <top style="thin">
        <color theme="0" tint="-0.14990691854609822"/>
      </top>
      <bottom style="thin">
        <color theme="0" tint="-0.14990691854609822"/>
      </bottom>
      <diagonal/>
    </border>
    <border>
      <left style="medium">
        <color theme="0" tint="-0.14993743705557422"/>
      </left>
      <right/>
      <top style="medium">
        <color theme="0" tint="-0.14990691854609822"/>
      </top>
      <bottom/>
      <diagonal/>
    </border>
    <border>
      <left/>
      <right/>
      <top style="medium">
        <color theme="0" tint="-0.14990691854609822"/>
      </top>
      <bottom/>
      <diagonal/>
    </border>
    <border>
      <left/>
      <right style="medium">
        <color theme="0" tint="-0.14990691854609822"/>
      </right>
      <top style="medium">
        <color theme="0" tint="-0.14990691854609822"/>
      </top>
      <bottom style="thin">
        <color theme="0" tint="-0.14996795556505021"/>
      </bottom>
      <diagonal/>
    </border>
    <border>
      <left/>
      <right style="medium">
        <color theme="0" tint="-0.14990691854609822"/>
      </right>
      <top style="thin">
        <color theme="0" tint="-0.14990691854609822"/>
      </top>
      <bottom style="thin">
        <color theme="0" tint="-0.14990691854609822"/>
      </bottom>
      <diagonal/>
    </border>
    <border>
      <left style="thin">
        <color theme="0" tint="-0.14996795556505021"/>
      </left>
      <right style="thin">
        <color theme="0" tint="-0.14996795556505021"/>
      </right>
      <top style="thin">
        <color theme="0" tint="-0.14999847407452621"/>
      </top>
      <bottom style="thin">
        <color theme="0" tint="-0.14996795556505021"/>
      </bottom>
      <diagonal/>
    </border>
    <border>
      <left style="thin">
        <color theme="0" tint="-0.14990691854609822"/>
      </left>
      <right/>
      <top style="thin">
        <color theme="0" tint="-0.14996795556505021"/>
      </top>
      <bottom style="thin">
        <color indexed="64"/>
      </bottom>
      <diagonal/>
    </border>
    <border>
      <left/>
      <right style="thin">
        <color theme="0" tint="-0.14996795556505021"/>
      </right>
      <top style="thin">
        <color theme="0" tint="-0.14996795556505021"/>
      </top>
      <bottom style="thin">
        <color indexed="64"/>
      </bottom>
      <diagonal/>
    </border>
    <border>
      <left style="thin">
        <color theme="0" tint="-0.14999847407452621"/>
      </left>
      <right/>
      <top style="thin">
        <color indexed="64"/>
      </top>
      <bottom style="double">
        <color indexed="64"/>
      </bottom>
      <diagonal/>
    </border>
    <border>
      <left/>
      <right style="medium">
        <color theme="0" tint="-0.14990691854609822"/>
      </right>
      <top style="thin">
        <color indexed="64"/>
      </top>
      <bottom style="double">
        <color indexed="64"/>
      </bottom>
      <diagonal/>
    </border>
    <border>
      <left/>
      <right/>
      <top/>
      <bottom style="thin">
        <color rgb="FF000000"/>
      </bottom>
      <diagonal/>
    </border>
    <border>
      <left style="thin">
        <color theme="0" tint="-0.14999847407452621"/>
      </left>
      <right style="thin">
        <color theme="0" tint="-0.14996795556505021"/>
      </right>
      <top style="thin">
        <color theme="0" tint="-0.14999847407452621"/>
      </top>
      <bottom style="thin">
        <color theme="0" tint="-0.14999847407452621"/>
      </bottom>
      <diagonal/>
    </border>
    <border>
      <left style="thin">
        <color auto="1"/>
      </left>
      <right style="thin">
        <color auto="1"/>
      </right>
      <top style="hair">
        <color indexed="64"/>
      </top>
      <bottom style="medium">
        <color auto="1"/>
      </bottom>
      <diagonal/>
    </border>
    <border>
      <left style="thin">
        <color auto="1"/>
      </left>
      <right/>
      <top style="hair">
        <color indexed="64"/>
      </top>
      <bottom style="medium">
        <color auto="1"/>
      </bottom>
      <diagonal/>
    </border>
    <border>
      <left style="medium">
        <color auto="1"/>
      </left>
      <right style="thin">
        <color auto="1"/>
      </right>
      <top style="hair">
        <color indexed="64"/>
      </top>
      <bottom style="medium">
        <color auto="1"/>
      </bottom>
      <diagonal/>
    </border>
    <border>
      <left style="thin">
        <color auto="1"/>
      </left>
      <right style="medium">
        <color auto="1"/>
      </right>
      <top style="hair">
        <color indexed="64"/>
      </top>
      <bottom style="medium">
        <color auto="1"/>
      </bottom>
      <diagonal/>
    </border>
    <border>
      <left/>
      <right style="thin">
        <color auto="1"/>
      </right>
      <top style="hair">
        <color indexed="64"/>
      </top>
      <bottom style="medium">
        <color auto="1"/>
      </bottom>
      <diagonal/>
    </border>
    <border>
      <left/>
      <right style="medium">
        <color indexed="64"/>
      </right>
      <top style="hair">
        <color indexed="64"/>
      </top>
      <bottom style="medium">
        <color auto="1"/>
      </bottom>
      <diagonal/>
    </border>
    <border>
      <left style="medium">
        <color indexed="64"/>
      </left>
      <right style="medium">
        <color indexed="64"/>
      </right>
      <top style="hair">
        <color indexed="64"/>
      </top>
      <bottom style="medium">
        <color auto="1"/>
      </bottom>
      <diagonal/>
    </border>
    <border>
      <left style="thin">
        <color theme="0" tint="-0.14990691854609822"/>
      </left>
      <right/>
      <top style="thin">
        <color theme="0" tint="-0.14996795556505021"/>
      </top>
      <bottom style="thin">
        <color theme="0" tint="-0.14996795556505021"/>
      </bottom>
      <diagonal/>
    </border>
    <border>
      <left style="medium">
        <color auto="1"/>
      </left>
      <right style="thin">
        <color indexed="64"/>
      </right>
      <top/>
      <bottom style="medium">
        <color indexed="64"/>
      </bottom>
      <diagonal/>
    </border>
    <border>
      <left style="thin">
        <color theme="0" tint="-0.14990691854609822"/>
      </left>
      <right/>
      <top style="thin">
        <color theme="0" tint="-0.14996795556505021"/>
      </top>
      <bottom/>
      <diagonal/>
    </border>
    <border>
      <left/>
      <right style="medium">
        <color theme="0" tint="-0.14993743705557422"/>
      </right>
      <top style="medium">
        <color theme="0" tint="-0.14993743705557422"/>
      </top>
      <bottom/>
      <diagonal/>
    </border>
    <border>
      <left style="thin">
        <color theme="0" tint="-0.14999847407452621"/>
      </left>
      <right style="medium">
        <color theme="0" tint="-0.14993743705557422"/>
      </right>
      <top style="thin">
        <color theme="0" tint="-0.14999847407452621"/>
      </top>
      <bottom style="thin">
        <color theme="0" tint="-0.14999847407452621"/>
      </bottom>
      <diagonal/>
    </border>
    <border>
      <left/>
      <right style="medium">
        <color theme="0" tint="-0.14993743705557422"/>
      </right>
      <top style="thin">
        <color theme="0" tint="-0.14996795556505021"/>
      </top>
      <bottom style="medium">
        <color theme="0" tint="-0.14993743705557422"/>
      </bottom>
      <diagonal/>
    </border>
    <border>
      <left style="thin">
        <color theme="0" tint="-0.14993743705557422"/>
      </left>
      <right style="thin">
        <color theme="0" tint="-0.14993743705557422"/>
      </right>
      <top style="thin">
        <color theme="0" tint="-0.14999847407452621"/>
      </top>
      <bottom style="thin">
        <color theme="0" tint="-0.14999847407452621"/>
      </bottom>
      <diagonal/>
    </border>
    <border>
      <left/>
      <right/>
      <top style="medium">
        <color theme="0" tint="-0.14993743705557422"/>
      </top>
      <bottom style="medium">
        <color theme="0" tint="-0.14993743705557422"/>
      </bottom>
      <diagonal/>
    </border>
    <border>
      <left style="medium">
        <color theme="0" tint="-0.14990691854609822"/>
      </left>
      <right/>
      <top style="medium">
        <color theme="0" tint="-0.14993743705557422"/>
      </top>
      <bottom style="medium">
        <color theme="0" tint="-0.14993743705557422"/>
      </bottom>
      <diagonal/>
    </border>
    <border>
      <left/>
      <right/>
      <top/>
      <bottom style="medium">
        <color theme="0" tint="-0.14993743705557422"/>
      </bottom>
      <diagonal/>
    </border>
    <border>
      <left style="medium">
        <color auto="1"/>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auto="1"/>
      </top>
      <bottom style="hair">
        <color auto="1"/>
      </bottom>
      <diagonal/>
    </border>
    <border>
      <left style="thin">
        <color theme="0" tint="-0.14993743705557422"/>
      </left>
      <right/>
      <top style="medium">
        <color indexed="64"/>
      </top>
      <bottom style="medium">
        <color indexed="64"/>
      </bottom>
      <diagonal/>
    </border>
    <border>
      <left/>
      <right style="thin">
        <color theme="0" tint="-0.14993743705557422"/>
      </right>
      <top style="medium">
        <color indexed="64"/>
      </top>
      <bottom style="medium">
        <color indexed="64"/>
      </bottom>
      <diagonal/>
    </border>
    <border>
      <left style="thin">
        <color theme="0" tint="-0.14993743705557422"/>
      </left>
      <right/>
      <top style="thin">
        <color indexed="64"/>
      </top>
      <bottom style="double">
        <color indexed="64"/>
      </bottom>
      <diagonal/>
    </border>
    <border>
      <left style="thin">
        <color theme="1"/>
      </left>
      <right style="thin">
        <color theme="1"/>
      </right>
      <top style="thin">
        <color theme="1"/>
      </top>
      <bottom style="thin">
        <color theme="1"/>
      </bottom>
      <diagonal/>
    </border>
    <border>
      <left style="thin">
        <color theme="0" tint="-0.24994659260841701"/>
      </left>
      <right style="thin">
        <color theme="0" tint="-0.24994659260841701"/>
      </right>
      <top style="thin">
        <color theme="0" tint="-0.24994659260841701"/>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auto="1"/>
      </right>
      <top style="thin">
        <color indexed="64"/>
      </top>
      <bottom style="medium">
        <color indexed="64"/>
      </bottom>
      <diagonal/>
    </border>
    <border>
      <left style="thin">
        <color auto="1"/>
      </left>
      <right style="thin">
        <color auto="1"/>
      </right>
      <top style="thin">
        <color auto="1"/>
      </top>
      <bottom style="medium">
        <color auto="1"/>
      </bottom>
      <diagonal/>
    </border>
    <border>
      <left/>
      <right style="thin">
        <color theme="0" tint="-0.14993743705557422"/>
      </right>
      <top style="thin">
        <color indexed="64"/>
      </top>
      <bottom style="double">
        <color indexed="64"/>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medium">
        <color auto="1"/>
      </right>
      <top style="thin">
        <color auto="1"/>
      </top>
      <bottom style="medium">
        <color auto="1"/>
      </bottom>
      <diagonal/>
    </border>
    <border>
      <left style="thin">
        <color indexed="64"/>
      </left>
      <right style="thin">
        <color indexed="64"/>
      </right>
      <top style="thin">
        <color indexed="64"/>
      </top>
      <bottom style="thin">
        <color indexed="64"/>
      </bottom>
      <diagonal/>
    </border>
    <border>
      <left/>
      <right style="thin">
        <color indexed="64"/>
      </right>
      <top style="medium">
        <color indexed="64"/>
      </top>
      <bottom style="hair">
        <color indexed="64"/>
      </bottom>
      <diagonal/>
    </border>
    <border>
      <left/>
      <right style="thin">
        <color indexed="64"/>
      </right>
      <top style="hair">
        <color indexed="64"/>
      </top>
      <bottom style="hair">
        <color indexed="64"/>
      </bottom>
      <diagonal/>
    </border>
    <border>
      <left style="medium">
        <color theme="6" tint="-0.24994659260841701"/>
      </left>
      <right style="medium">
        <color theme="6" tint="-0.24994659260841701"/>
      </right>
      <top style="medium">
        <color theme="6" tint="-0.24994659260841701"/>
      </top>
      <bottom style="medium">
        <color theme="6" tint="-0.2499465926084170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medium">
        <color indexed="64"/>
      </right>
      <top style="hair">
        <color indexed="64"/>
      </top>
      <bottom style="hair">
        <color indexed="64"/>
      </bottom>
      <diagonal/>
    </border>
    <border>
      <left style="thin">
        <color auto="1"/>
      </left>
      <right/>
      <top style="medium">
        <color auto="1"/>
      </top>
      <bottom style="medium">
        <color auto="1"/>
      </bottom>
      <diagonal/>
    </border>
    <border>
      <left style="medium">
        <color auto="1"/>
      </left>
      <right/>
      <top style="thin">
        <color auto="1"/>
      </top>
      <bottom style="medium">
        <color auto="1"/>
      </bottom>
      <diagonal/>
    </border>
    <border>
      <left style="thick">
        <color auto="1"/>
      </left>
      <right style="thick">
        <color auto="1"/>
      </right>
      <top style="thick">
        <color auto="1"/>
      </top>
      <bottom style="medium">
        <color auto="1"/>
      </bottom>
      <diagonal/>
    </border>
    <border>
      <left style="thick">
        <color auto="1"/>
      </left>
      <right style="thick">
        <color auto="1"/>
      </right>
      <top style="medium">
        <color indexed="64"/>
      </top>
      <bottom style="thin">
        <color indexed="64"/>
      </bottom>
      <diagonal/>
    </border>
    <border>
      <left style="thick">
        <color auto="1"/>
      </left>
      <right style="thick">
        <color auto="1"/>
      </right>
      <top style="thin">
        <color indexed="64"/>
      </top>
      <bottom style="thin">
        <color indexed="64"/>
      </bottom>
      <diagonal/>
    </border>
    <border>
      <left style="thick">
        <color auto="1"/>
      </left>
      <right style="thick">
        <color auto="1"/>
      </right>
      <top/>
      <bottom style="thin">
        <color indexed="64"/>
      </bottom>
      <diagonal/>
    </border>
    <border>
      <left style="thin">
        <color theme="0" tint="-0.14996795556505021"/>
      </left>
      <right/>
      <top style="thin">
        <color theme="0" tint="-0.14999847407452621"/>
      </top>
      <bottom style="medium">
        <color indexed="64"/>
      </bottom>
      <diagonal/>
    </border>
    <border>
      <left/>
      <right style="thin">
        <color theme="0" tint="-0.14996795556505021"/>
      </right>
      <top style="thin">
        <color theme="0" tint="-0.14999847407452621"/>
      </top>
      <bottom style="medium">
        <color indexed="64"/>
      </bottom>
      <diagonal/>
    </border>
    <border>
      <left style="thin">
        <color auto="1"/>
      </left>
      <right style="thin">
        <color theme="0" tint="-4.9989318521683403E-2"/>
      </right>
      <top/>
      <bottom style="thin">
        <color theme="0" tint="-4.9989318521683403E-2"/>
      </bottom>
      <diagonal/>
    </border>
    <border>
      <left style="thin">
        <color theme="0" tint="-4.9989318521683403E-2"/>
      </left>
      <right style="thin">
        <color theme="0" tint="-4.9989318521683403E-2"/>
      </right>
      <top/>
      <bottom style="thin">
        <color theme="0" tint="-4.9989318521683403E-2"/>
      </bottom>
      <diagonal/>
    </border>
    <border>
      <left style="thin">
        <color theme="0" tint="-4.9989318521683403E-2"/>
      </left>
      <right/>
      <top/>
      <bottom style="thin">
        <color theme="0" tint="-4.9989318521683403E-2"/>
      </bottom>
      <diagonal/>
    </border>
    <border>
      <left style="thin">
        <color theme="0" tint="-4.9989318521683403E-2"/>
      </left>
      <right style="thin">
        <color auto="1"/>
      </right>
      <top/>
      <bottom style="thin">
        <color theme="0" tint="-4.9989318521683403E-2"/>
      </bottom>
      <diagonal/>
    </border>
    <border>
      <left style="thin">
        <color theme="0" tint="-4.9989318521683403E-2"/>
      </left>
      <right style="thin">
        <color theme="0" tint="-4.9989318521683403E-2"/>
      </right>
      <top style="thin">
        <color theme="0" tint="-4.9989318521683403E-2"/>
      </top>
      <bottom/>
      <diagonal/>
    </border>
    <border>
      <left style="thin">
        <color theme="0" tint="-4.9989318521683403E-2"/>
      </left>
      <right/>
      <top style="thin">
        <color theme="0" tint="-4.9989318521683403E-2"/>
      </top>
      <bottom style="thin">
        <color auto="1"/>
      </bottom>
      <diagonal/>
    </border>
    <border>
      <left style="thin">
        <color theme="0" tint="-4.9989318521683403E-2"/>
      </left>
      <right style="thin">
        <color auto="1"/>
      </right>
      <top style="thin">
        <color theme="0" tint="-4.9989318521683403E-2"/>
      </top>
      <bottom/>
      <diagonal/>
    </border>
    <border>
      <left style="thin">
        <color auto="1"/>
      </left>
      <right/>
      <top style="medium">
        <color auto="1"/>
      </top>
      <bottom style="thin">
        <color theme="0" tint="-4.9989318521683403E-2"/>
      </bottom>
      <diagonal/>
    </border>
    <border>
      <left/>
      <right/>
      <top style="medium">
        <color auto="1"/>
      </top>
      <bottom style="thin">
        <color theme="0" tint="-4.9989318521683403E-2"/>
      </bottom>
      <diagonal/>
    </border>
    <border>
      <left/>
      <right style="thin">
        <color auto="1"/>
      </right>
      <top style="medium">
        <color auto="1"/>
      </top>
      <bottom style="thin">
        <color theme="0" tint="-4.9989318521683403E-2"/>
      </bottom>
      <diagonal/>
    </border>
    <border>
      <left/>
      <right/>
      <top/>
      <bottom style="thick">
        <color auto="1"/>
      </bottom>
      <diagonal/>
    </border>
    <border>
      <left style="thin">
        <color theme="1"/>
      </left>
      <right style="thin">
        <color theme="1"/>
      </right>
      <top style="medium">
        <color theme="1"/>
      </top>
      <bottom/>
      <diagonal/>
    </border>
    <border>
      <left style="thin">
        <color theme="1"/>
      </left>
      <right style="thin">
        <color theme="1"/>
      </right>
      <top/>
      <bottom/>
      <diagonal/>
    </border>
    <border>
      <left style="thin">
        <color theme="1"/>
      </left>
      <right style="thin">
        <color theme="1"/>
      </right>
      <top/>
      <bottom style="medium">
        <color theme="1"/>
      </bottom>
      <diagonal/>
    </border>
    <border>
      <left style="thin">
        <color theme="1"/>
      </left>
      <right style="thin">
        <color theme="1"/>
      </right>
      <top/>
      <bottom style="thin">
        <color theme="1"/>
      </bottom>
      <diagonal/>
    </border>
    <border>
      <left style="medium">
        <color theme="0" tint="-0.14993743705557422"/>
      </left>
      <right/>
      <top/>
      <bottom style="medium">
        <color theme="0" tint="-0.14990691854609822"/>
      </bottom>
      <diagonal/>
    </border>
    <border>
      <left/>
      <right/>
      <top/>
      <bottom style="medium">
        <color theme="0" tint="-0.14990691854609822"/>
      </bottom>
      <diagonal/>
    </border>
    <border>
      <left/>
      <right style="thin">
        <color theme="0" tint="-0.14999847407452621"/>
      </right>
      <top/>
      <bottom style="medium">
        <color theme="0" tint="-0.14990691854609822"/>
      </bottom>
      <diagonal/>
    </border>
    <border>
      <left style="thin">
        <color theme="0" tint="-0.14999847407452621"/>
      </left>
      <right/>
      <top/>
      <bottom style="medium">
        <color theme="0" tint="-0.14990691854609822"/>
      </bottom>
      <diagonal/>
    </border>
    <border>
      <left/>
      <right style="medium">
        <color theme="0" tint="-0.14990691854609822"/>
      </right>
      <top/>
      <bottom style="medium">
        <color theme="0" tint="-0.14990691854609822"/>
      </bottom>
      <diagonal/>
    </border>
    <border>
      <left/>
      <right style="thin">
        <color theme="0" tint="-0.1498764000366222"/>
      </right>
      <top style="thin">
        <color theme="0" tint="-0.14990691854609822"/>
      </top>
      <bottom style="thin">
        <color theme="0" tint="-0.14990691854609822"/>
      </bottom>
      <diagonal/>
    </border>
    <border>
      <left style="medium">
        <color theme="5" tint="-0.24994659260841701"/>
      </left>
      <right style="medium">
        <color theme="5" tint="-0.24994659260841701"/>
      </right>
      <top style="medium">
        <color theme="5" tint="-0.24994659260841701"/>
      </top>
      <bottom style="medium">
        <color theme="5" tint="-0.24994659260841701"/>
      </bottom>
      <diagonal/>
    </border>
    <border>
      <left/>
      <right style="thin">
        <color theme="0" tint="-0.14999847407452621"/>
      </right>
      <top style="thin">
        <color theme="0" tint="-0.14990691854609822"/>
      </top>
      <bottom style="thin">
        <color theme="0" tint="-0.14990691854609822"/>
      </bottom>
      <diagonal/>
    </border>
    <border>
      <left style="thin">
        <color theme="0" tint="-0.14990691854609822"/>
      </left>
      <right/>
      <top style="medium">
        <color indexed="64"/>
      </top>
      <bottom style="medium">
        <color indexed="64"/>
      </bottom>
      <diagonal/>
    </border>
    <border>
      <left style="medium">
        <color theme="0" tint="-0.34998626667073579"/>
      </left>
      <right style="thin">
        <color theme="0" tint="-0.24994659260841701"/>
      </right>
      <top/>
      <bottom style="thin">
        <color theme="0" tint="-0.24994659260841701"/>
      </bottom>
      <diagonal/>
    </border>
    <border>
      <left/>
      <right/>
      <top style="medium">
        <color theme="0" tint="-0.14993743705557422"/>
      </top>
      <bottom/>
      <diagonal/>
    </border>
    <border>
      <left/>
      <right style="thin">
        <color theme="0" tint="-0.14999847407452621"/>
      </right>
      <top style="thin">
        <color theme="0" tint="-0.14999847407452621"/>
      </top>
      <bottom style="thin">
        <color theme="0" tint="-0.14999847407452621"/>
      </bottom>
      <diagonal/>
    </border>
    <border>
      <left/>
      <right/>
      <top style="thin">
        <color theme="0" tint="-0.14996795556505021"/>
      </top>
      <bottom style="medium">
        <color theme="0" tint="-0.14993743705557422"/>
      </bottom>
      <diagonal/>
    </border>
    <border>
      <left style="thin">
        <color theme="0" tint="-0.14993743705557422"/>
      </left>
      <right style="thin">
        <color theme="0" tint="-0.14993743705557422"/>
      </right>
      <top style="medium">
        <color auto="1"/>
      </top>
      <bottom/>
      <diagonal/>
    </border>
    <border>
      <left style="thin">
        <color theme="0" tint="-0.14993743705557422"/>
      </left>
      <right style="medium">
        <color auto="1"/>
      </right>
      <top style="medium">
        <color auto="1"/>
      </top>
      <bottom/>
      <diagonal/>
    </border>
    <border>
      <left style="medium">
        <color auto="1"/>
      </left>
      <right/>
      <top style="thin">
        <color theme="0" tint="-0.14999847407452621"/>
      </top>
      <bottom style="thin">
        <color theme="0" tint="-0.14999847407452621"/>
      </bottom>
      <diagonal/>
    </border>
    <border>
      <left style="thin">
        <color theme="0" tint="-0.14993743705557422"/>
      </left>
      <right style="medium">
        <color auto="1"/>
      </right>
      <top style="thin">
        <color theme="0" tint="-0.14999847407452621"/>
      </top>
      <bottom style="thin">
        <color theme="0" tint="-0.14999847407452621"/>
      </bottom>
      <diagonal/>
    </border>
    <border>
      <left style="medium">
        <color auto="1"/>
      </left>
      <right/>
      <top style="thin">
        <color theme="0" tint="-0.14999847407452621"/>
      </top>
      <bottom/>
      <diagonal/>
    </border>
    <border>
      <left style="thin">
        <color theme="0" tint="-0.14993743705557422"/>
      </left>
      <right style="thin">
        <color theme="0" tint="-0.14993743705557422"/>
      </right>
      <top style="thin">
        <color theme="0" tint="-0.14999847407452621"/>
      </top>
      <bottom/>
      <diagonal/>
    </border>
    <border>
      <left style="thin">
        <color theme="0" tint="-0.14993743705557422"/>
      </left>
      <right style="medium">
        <color auto="1"/>
      </right>
      <top style="thin">
        <color theme="0" tint="-0.14999847407452621"/>
      </top>
      <bottom/>
      <diagonal/>
    </border>
    <border>
      <left style="thin">
        <color theme="0" tint="-0.14993743705557422"/>
      </left>
      <right style="thin">
        <color theme="0" tint="-0.14993743705557422"/>
      </right>
      <top style="thin">
        <color auto="1"/>
      </top>
      <bottom style="medium">
        <color auto="1"/>
      </bottom>
      <diagonal/>
    </border>
    <border>
      <left style="medium">
        <color auto="1"/>
      </left>
      <right style="medium">
        <color theme="0" tint="-0.14996795556505021"/>
      </right>
      <top/>
      <bottom/>
      <diagonal/>
    </border>
    <border>
      <left style="medium">
        <color theme="0" tint="-0.14996795556505021"/>
      </left>
      <right style="medium">
        <color theme="0" tint="-0.14996795556505021"/>
      </right>
      <top/>
      <bottom/>
      <diagonal/>
    </border>
    <border>
      <left style="medium">
        <color theme="0" tint="-0.14996795556505021"/>
      </left>
      <right/>
      <top/>
      <bottom/>
      <diagonal/>
    </border>
    <border>
      <left style="medium">
        <color theme="0" tint="-0.24994659260841701"/>
      </left>
      <right style="medium">
        <color theme="0" tint="-0.24994659260841701"/>
      </right>
      <top/>
      <bottom/>
      <diagonal/>
    </border>
    <border>
      <left/>
      <right style="medium">
        <color theme="0" tint="-0.14996795556505021"/>
      </right>
      <top/>
      <bottom/>
      <diagonal/>
    </border>
    <border>
      <left/>
      <right style="medium">
        <color theme="0" tint="-0.24994659260841701"/>
      </right>
      <top/>
      <bottom/>
      <diagonal/>
    </border>
    <border>
      <left style="medium">
        <color theme="0" tint="-0.24994659260841701"/>
      </left>
      <right style="medium">
        <color theme="0" tint="-0.14996795556505021"/>
      </right>
      <top/>
      <bottom/>
      <diagonal/>
    </border>
    <border>
      <left/>
      <right style="medium">
        <color theme="1"/>
      </right>
      <top/>
      <bottom/>
      <diagonal/>
    </border>
    <border>
      <left/>
      <right style="medium">
        <color theme="0" tint="-0.24994659260841701"/>
      </right>
      <top/>
      <bottom style="medium">
        <color auto="1"/>
      </bottom>
      <diagonal/>
    </border>
    <border>
      <left style="medium">
        <color theme="0" tint="-0.24994659260841701"/>
      </left>
      <right style="medium">
        <color theme="0" tint="-0.24994659260841701"/>
      </right>
      <top/>
      <bottom style="medium">
        <color theme="1"/>
      </bottom>
      <diagonal/>
    </border>
    <border>
      <left/>
      <right style="medium">
        <color theme="1"/>
      </right>
      <top/>
      <bottom style="medium">
        <color theme="1"/>
      </bottom>
      <diagonal/>
    </border>
    <border>
      <left style="medium">
        <color theme="0" tint="-0.24994659260841701"/>
      </left>
      <right style="medium">
        <color theme="0" tint="-0.24994659260841701"/>
      </right>
      <top/>
      <bottom style="medium">
        <color auto="1"/>
      </bottom>
      <diagonal/>
    </border>
    <border>
      <left/>
      <right style="medium">
        <color theme="0" tint="-0.14996795556505021"/>
      </right>
      <top/>
      <bottom style="medium">
        <color auto="1"/>
      </bottom>
      <diagonal/>
    </border>
    <border>
      <left style="medium">
        <color theme="0" tint="-0.14996795556505021"/>
      </left>
      <right/>
      <top/>
      <bottom style="medium">
        <color auto="1"/>
      </bottom>
      <diagonal/>
    </border>
    <border>
      <left style="medium">
        <color auto="1"/>
      </left>
      <right style="medium">
        <color theme="0" tint="-0.24994659260841701"/>
      </right>
      <top/>
      <bottom/>
      <diagonal/>
    </border>
    <border>
      <left style="medium">
        <color theme="0" tint="-0.24994659260841701"/>
      </left>
      <right/>
      <top/>
      <bottom/>
      <diagonal/>
    </border>
    <border>
      <left style="medium">
        <color auto="1"/>
      </left>
      <right style="medium">
        <color theme="0" tint="-0.24994659260841701"/>
      </right>
      <top/>
      <bottom style="medium">
        <color auto="1"/>
      </bottom>
      <diagonal/>
    </border>
    <border>
      <left style="medium">
        <color theme="0" tint="-0.24994659260841701"/>
      </left>
      <right/>
      <top/>
      <bottom style="medium">
        <color auto="1"/>
      </bottom>
      <diagonal/>
    </border>
    <border>
      <left style="thin">
        <color indexed="64"/>
      </left>
      <right/>
      <top/>
      <bottom style="medium">
        <color indexed="64"/>
      </bottom>
      <diagonal/>
    </border>
    <border>
      <left/>
      <right/>
      <top/>
      <bottom style="medium">
        <color indexed="64"/>
      </bottom>
      <diagonal/>
    </border>
    <border>
      <left/>
      <right style="thin">
        <color auto="1"/>
      </right>
      <top/>
      <bottom style="medium">
        <color indexed="64"/>
      </bottom>
      <diagonal/>
    </border>
    <border>
      <left style="thin">
        <color auto="1"/>
      </left>
      <right style="thin">
        <color auto="1"/>
      </right>
      <top/>
      <bottom style="medium">
        <color auto="1"/>
      </bottom>
      <diagonal/>
    </border>
    <border>
      <left style="thin">
        <color theme="0" tint="-0.14999847407452621"/>
      </left>
      <right/>
      <top style="thin">
        <color theme="0" tint="-0.14990691854609822"/>
      </top>
      <bottom style="thin">
        <color theme="0" tint="-0.14996795556505021"/>
      </bottom>
      <diagonal/>
    </border>
    <border>
      <left/>
      <right style="medium">
        <color theme="0" tint="-0.14990691854609822"/>
      </right>
      <top style="thin">
        <color theme="0" tint="-0.14990691854609822"/>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thin">
        <color theme="0" tint="-0.14996795556505021"/>
      </right>
      <top style="thin">
        <color theme="0" tint="-0.14999847407452621"/>
      </top>
      <bottom/>
      <diagonal/>
    </border>
    <border>
      <left style="thin">
        <color auto="1"/>
      </left>
      <right style="thin">
        <color theme="0" tint="-4.9989318521683403E-2"/>
      </right>
      <top style="medium">
        <color auto="1"/>
      </top>
      <bottom style="thin">
        <color theme="0" tint="-4.9989318521683403E-2"/>
      </bottom>
      <diagonal/>
    </border>
    <border>
      <left style="thin">
        <color theme="0" tint="-4.9989318521683403E-2"/>
      </left>
      <right style="thin">
        <color theme="0" tint="-4.9989318521683403E-2"/>
      </right>
      <top style="medium">
        <color auto="1"/>
      </top>
      <bottom style="thin">
        <color theme="0" tint="-4.9989318521683403E-2"/>
      </bottom>
      <diagonal/>
    </border>
    <border>
      <left style="thin">
        <color theme="0" tint="-4.9989318521683403E-2"/>
      </left>
      <right/>
      <top style="medium">
        <color auto="1"/>
      </top>
      <bottom style="thin">
        <color theme="0" tint="-4.9989318521683403E-2"/>
      </bottom>
      <diagonal/>
    </border>
    <border>
      <left style="thin">
        <color theme="0" tint="-4.9989318521683403E-2"/>
      </left>
      <right style="thin">
        <color auto="1"/>
      </right>
      <top style="medium">
        <color auto="1"/>
      </top>
      <bottom style="thin">
        <color theme="0" tint="-4.9989318521683403E-2"/>
      </bottom>
      <diagonal/>
    </border>
    <border>
      <left style="thin">
        <color auto="1"/>
      </left>
      <right style="thin">
        <color auto="1"/>
      </right>
      <top style="thin">
        <color auto="1"/>
      </top>
      <bottom style="double">
        <color auto="1"/>
      </bottom>
      <diagonal/>
    </border>
    <border>
      <left/>
      <right style="thin">
        <color auto="1"/>
      </right>
      <top style="thin">
        <color auto="1"/>
      </top>
      <bottom style="hair">
        <color auto="1"/>
      </bottom>
      <diagonal/>
    </border>
    <border>
      <left style="thin">
        <color auto="1"/>
      </left>
      <right style="medium">
        <color auto="1"/>
      </right>
      <top/>
      <bottom style="medium">
        <color auto="1"/>
      </bottom>
      <diagonal/>
    </border>
    <border>
      <left/>
      <right style="thin">
        <color theme="0" tint="-4.9989318521683403E-2"/>
      </right>
      <top style="thin">
        <color theme="0" tint="-4.9989318521683403E-2"/>
      </top>
      <bottom/>
      <diagonal/>
    </border>
    <border>
      <left style="medium">
        <color auto="1"/>
      </left>
      <right/>
      <top style="thin">
        <color auto="1"/>
      </top>
      <bottom/>
      <diagonal/>
    </border>
    <border>
      <left style="thick">
        <color auto="1"/>
      </left>
      <right style="thick">
        <color auto="1"/>
      </right>
      <top style="thin">
        <color indexed="64"/>
      </top>
      <bottom/>
      <diagonal/>
    </border>
    <border>
      <left/>
      <right style="medium">
        <color indexed="64"/>
      </right>
      <top style="thin">
        <color indexed="64"/>
      </top>
      <bottom/>
      <diagonal/>
    </border>
    <border>
      <left style="thick">
        <color auto="1"/>
      </left>
      <right style="thick">
        <color auto="1"/>
      </right>
      <top style="medium">
        <color auto="1"/>
      </top>
      <bottom style="medium">
        <color auto="1"/>
      </bottom>
      <diagonal/>
    </border>
    <border>
      <left/>
      <right style="medium">
        <color theme="0" tint="-0.14990691854609822"/>
      </right>
      <top/>
      <bottom/>
      <diagonal/>
    </border>
    <border>
      <left style="medium">
        <color indexed="64"/>
      </left>
      <right style="thin">
        <color theme="0" tint="-0.24994659260841701"/>
      </right>
      <top style="medium">
        <color indexed="64"/>
      </top>
      <bottom style="medium">
        <color indexed="64"/>
      </bottom>
      <diagonal/>
    </border>
    <border>
      <left style="thin">
        <color theme="0" tint="-0.24994659260841701"/>
      </left>
      <right style="medium">
        <color indexed="64"/>
      </right>
      <top style="medium">
        <color indexed="64"/>
      </top>
      <bottom style="medium">
        <color indexed="64"/>
      </bottom>
      <diagonal/>
    </border>
    <border>
      <left style="thin">
        <color theme="0" tint="-0.24994659260841701"/>
      </left>
      <right style="thin">
        <color theme="0" tint="-0.24994659260841701"/>
      </right>
      <top/>
      <bottom/>
      <diagonal/>
    </border>
    <border>
      <left style="thin">
        <color theme="0" tint="-0.24994659260841701"/>
      </left>
      <right/>
      <top/>
      <bottom/>
      <diagonal/>
    </border>
    <border>
      <left/>
      <right style="thin">
        <color theme="0" tint="-0.24994659260841701"/>
      </right>
      <top/>
      <bottom/>
      <diagonal/>
    </border>
    <border>
      <left/>
      <right style="thin">
        <color theme="0" tint="-0.24994659260841701"/>
      </right>
      <top/>
      <bottom style="thin">
        <color theme="0" tint="-0.24994659260841701"/>
      </bottom>
      <diagonal/>
    </border>
    <border>
      <left style="medium">
        <color auto="1"/>
      </left>
      <right style="thin">
        <color theme="0" tint="-0.14996795556505021"/>
      </right>
      <top style="thin">
        <color theme="0" tint="-0.14999847407452621"/>
      </top>
      <bottom style="thin">
        <color theme="0" tint="-0.14996795556505021"/>
      </bottom>
      <diagonal/>
    </border>
    <border>
      <left style="thin">
        <color theme="0" tint="-0.14996795556505021"/>
      </left>
      <right style="thin">
        <color theme="0" tint="-0.14996795556505021"/>
      </right>
      <top style="thin">
        <color theme="0" tint="-0.14996795556505021"/>
      </top>
      <bottom/>
      <diagonal/>
    </border>
    <border>
      <left style="thin">
        <color theme="0" tint="-0.14996795556505021"/>
      </left>
      <right style="medium">
        <color auto="1"/>
      </right>
      <top style="thin">
        <color theme="0" tint="-0.14999847407452621"/>
      </top>
      <bottom style="thin">
        <color theme="0" tint="-0.14996795556505021"/>
      </bottom>
      <diagonal/>
    </border>
    <border>
      <left/>
      <right style="thin">
        <color auto="1"/>
      </right>
      <top style="hair">
        <color auto="1"/>
      </top>
      <bottom style="thin">
        <color indexed="64"/>
      </bottom>
      <diagonal/>
    </border>
    <border>
      <left style="medium">
        <color indexed="64"/>
      </left>
      <right style="medium">
        <color indexed="64"/>
      </right>
      <top style="thin">
        <color indexed="64"/>
      </top>
      <bottom style="medium">
        <color indexed="64"/>
      </bottom>
      <diagonal/>
    </border>
    <border>
      <left style="thin">
        <color theme="0" tint="-0.1498764000366222"/>
      </left>
      <right/>
      <top style="thin">
        <color auto="1"/>
      </top>
      <bottom style="double">
        <color auto="1"/>
      </bottom>
      <diagonal/>
    </border>
    <border>
      <left style="thin">
        <color theme="0" tint="-0.14993743705557422"/>
      </left>
      <right style="medium">
        <color auto="1"/>
      </right>
      <top style="thin">
        <color auto="1"/>
      </top>
      <bottom style="medium">
        <color auto="1"/>
      </bottom>
      <diagonal/>
    </border>
    <border>
      <left style="thin">
        <color theme="0" tint="-0.14999847407452621"/>
      </left>
      <right style="thin">
        <color theme="0" tint="-0.14999847407452621"/>
      </right>
      <top/>
      <bottom/>
      <diagonal/>
    </border>
    <border>
      <left style="thin">
        <color theme="0" tint="-0.14999847407452621"/>
      </left>
      <right style="thin">
        <color theme="0" tint="-0.14999847407452621"/>
      </right>
      <top/>
      <bottom style="thin">
        <color theme="0" tint="-0.14996795556505021"/>
      </bottom>
      <diagonal/>
    </border>
    <border>
      <left style="thin">
        <color theme="0" tint="-0.14999847407452621"/>
      </left>
      <right/>
      <top style="thin">
        <color theme="0" tint="-0.14990691854609822"/>
      </top>
      <bottom/>
      <diagonal/>
    </border>
    <border>
      <left/>
      <right style="medium">
        <color theme="0" tint="-0.14990691854609822"/>
      </right>
      <top style="thin">
        <color theme="0" tint="-0.14990691854609822"/>
      </top>
      <bottom/>
      <diagonal/>
    </border>
    <border>
      <left style="medium">
        <color auto="1"/>
      </left>
      <right style="thin">
        <color theme="0" tint="-0.14996795556505021"/>
      </right>
      <top style="thin">
        <color theme="0" tint="-0.14996795556505021"/>
      </top>
      <bottom/>
      <diagonal/>
    </border>
    <border>
      <left style="thin">
        <color theme="0" tint="-0.14996795556505021"/>
      </left>
      <right style="medium">
        <color auto="1"/>
      </right>
      <top style="thin">
        <color theme="0" tint="-0.14996795556505021"/>
      </top>
      <bottom/>
      <diagonal/>
    </border>
    <border>
      <left style="medium">
        <color auto="1"/>
      </left>
      <right style="thin">
        <color theme="0" tint="-0.14996795556505021"/>
      </right>
      <top style="thin">
        <color theme="0" tint="-0.14996795556505021"/>
      </top>
      <bottom style="thin">
        <color theme="0" tint="-0.14996795556505021"/>
      </bottom>
      <diagonal/>
    </border>
    <border>
      <left style="thin">
        <color theme="0" tint="-0.14996795556505021"/>
      </left>
      <right style="medium">
        <color auto="1"/>
      </right>
      <top style="thin">
        <color theme="0" tint="-0.14996795556505021"/>
      </top>
      <bottom style="thin">
        <color theme="0" tint="-0.14996795556505021"/>
      </bottom>
      <diagonal/>
    </border>
    <border>
      <left style="thin">
        <color theme="0"/>
      </left>
      <right style="medium">
        <color theme="0"/>
      </right>
      <top style="medium">
        <color theme="0"/>
      </top>
      <bottom style="medium">
        <color theme="0"/>
      </bottom>
      <diagonal/>
    </border>
    <border>
      <left style="medium">
        <color theme="0"/>
      </left>
      <right/>
      <top style="medium">
        <color theme="0"/>
      </top>
      <bottom style="medium">
        <color theme="0"/>
      </bottom>
      <diagonal/>
    </border>
    <border>
      <left/>
      <right style="thin">
        <color theme="0"/>
      </right>
      <top style="medium">
        <color theme="0"/>
      </top>
      <bottom style="medium">
        <color theme="0"/>
      </bottom>
      <diagonal/>
    </border>
    <border>
      <left style="thin">
        <color theme="0"/>
      </left>
      <right/>
      <top style="medium">
        <color theme="0"/>
      </top>
      <bottom style="medium">
        <color theme="0"/>
      </bottom>
      <diagonal/>
    </border>
    <border>
      <left/>
      <right style="medium">
        <color theme="0"/>
      </right>
      <top style="medium">
        <color theme="0"/>
      </top>
      <bottom style="medium">
        <color theme="0"/>
      </bottom>
      <diagonal/>
    </border>
    <border>
      <left/>
      <right/>
      <top style="medium">
        <color theme="0"/>
      </top>
      <bottom style="medium">
        <color theme="0"/>
      </bottom>
      <diagonal/>
    </border>
    <border>
      <left style="thin">
        <color theme="0"/>
      </left>
      <right style="medium">
        <color theme="0"/>
      </right>
      <top style="medium">
        <color theme="0"/>
      </top>
      <bottom style="thin">
        <color theme="0"/>
      </bottom>
      <diagonal/>
    </border>
    <border>
      <left/>
      <right/>
      <top style="medium">
        <color theme="0"/>
      </top>
      <bottom style="thin">
        <color theme="0"/>
      </bottom>
      <diagonal/>
    </border>
    <border>
      <left style="medium">
        <color theme="0"/>
      </left>
      <right style="medium">
        <color theme="0"/>
      </right>
      <top style="medium">
        <color theme="0"/>
      </top>
      <bottom style="thin">
        <color theme="0"/>
      </bottom>
      <diagonal/>
    </border>
    <border>
      <left/>
      <right style="thin">
        <color theme="0"/>
      </right>
      <top style="medium">
        <color theme="0"/>
      </top>
      <bottom style="thin">
        <color theme="0"/>
      </bottom>
      <diagonal/>
    </border>
    <border>
      <left style="thin">
        <color theme="0"/>
      </left>
      <right style="medium">
        <color theme="0"/>
      </right>
      <top style="thin">
        <color theme="0"/>
      </top>
      <bottom style="thin">
        <color theme="0"/>
      </bottom>
      <diagonal/>
    </border>
    <border>
      <left style="medium">
        <color theme="0"/>
      </left>
      <right style="medium">
        <color theme="0"/>
      </right>
      <top style="thin">
        <color theme="0"/>
      </top>
      <bottom style="thin">
        <color theme="0"/>
      </bottom>
      <diagonal/>
    </border>
    <border>
      <left/>
      <right style="thin">
        <color theme="0"/>
      </right>
      <top/>
      <bottom style="thin">
        <color theme="0"/>
      </bottom>
      <diagonal/>
    </border>
    <border>
      <left style="medium">
        <color theme="0"/>
      </left>
      <right style="thin">
        <color theme="0"/>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style="medium">
        <color theme="0"/>
      </right>
      <top style="hair">
        <color theme="0"/>
      </top>
      <bottom style="hair">
        <color theme="0"/>
      </bottom>
      <diagonal/>
    </border>
    <border>
      <left/>
      <right/>
      <top style="hair">
        <color theme="0"/>
      </top>
      <bottom style="hair">
        <color theme="0"/>
      </bottom>
      <diagonal/>
    </border>
    <border>
      <left style="medium">
        <color theme="0"/>
      </left>
      <right style="medium">
        <color theme="0"/>
      </right>
      <top style="hair">
        <color theme="0"/>
      </top>
      <bottom style="hair">
        <color theme="0"/>
      </bottom>
      <diagonal/>
    </border>
    <border>
      <left/>
      <right style="thin">
        <color theme="0"/>
      </right>
      <top style="hair">
        <color theme="0"/>
      </top>
      <bottom style="hair">
        <color theme="0"/>
      </bottom>
      <diagonal/>
    </border>
    <border>
      <left style="thin">
        <color theme="0"/>
      </left>
      <right style="medium">
        <color theme="0"/>
      </right>
      <top style="hair">
        <color theme="0"/>
      </top>
      <bottom/>
      <diagonal/>
    </border>
    <border>
      <left/>
      <right/>
      <top style="hair">
        <color theme="0"/>
      </top>
      <bottom/>
      <diagonal/>
    </border>
    <border>
      <left style="medium">
        <color theme="0"/>
      </left>
      <right style="medium">
        <color theme="0"/>
      </right>
      <top style="hair">
        <color theme="0"/>
      </top>
      <bottom/>
      <diagonal/>
    </border>
    <border>
      <left/>
      <right style="thin">
        <color theme="0"/>
      </right>
      <top style="hair">
        <color theme="0"/>
      </top>
      <bottom/>
      <diagonal/>
    </border>
    <border>
      <left/>
      <right style="medium">
        <color theme="0"/>
      </right>
      <top/>
      <bottom/>
      <diagonal/>
    </border>
    <border>
      <left style="medium">
        <color theme="0"/>
      </left>
      <right style="medium">
        <color theme="0"/>
      </right>
      <top/>
      <bottom/>
      <diagonal/>
    </border>
    <border>
      <left/>
      <right/>
      <top/>
      <bottom style="hair">
        <color theme="0"/>
      </bottom>
      <diagonal/>
    </border>
    <border>
      <left style="medium">
        <color theme="0"/>
      </left>
      <right style="medium">
        <color theme="0"/>
      </right>
      <top/>
      <bottom style="hair">
        <color theme="0"/>
      </bottom>
      <diagonal/>
    </border>
    <border>
      <left style="thin">
        <color theme="0"/>
      </left>
      <right/>
      <top style="hair">
        <color theme="0"/>
      </top>
      <bottom/>
      <diagonal/>
    </border>
    <border>
      <left style="medium">
        <color theme="0"/>
      </left>
      <right style="thin">
        <color theme="0"/>
      </right>
      <top style="hair">
        <color theme="0"/>
      </top>
      <bottom/>
      <diagonal/>
    </border>
    <border>
      <left style="thin">
        <color theme="0"/>
      </left>
      <right style="medium">
        <color theme="0"/>
      </right>
      <top style="hair">
        <color theme="0"/>
      </top>
      <bottom style="thin">
        <color theme="0"/>
      </bottom>
      <diagonal/>
    </border>
    <border>
      <left/>
      <right style="thin">
        <color theme="0"/>
      </right>
      <top style="hair">
        <color theme="0"/>
      </top>
      <bottom style="thin">
        <color theme="0"/>
      </bottom>
      <diagonal/>
    </border>
    <border>
      <left style="thin">
        <color theme="0"/>
      </left>
      <right/>
      <top style="hair">
        <color theme="0"/>
      </top>
      <bottom style="thin">
        <color theme="0"/>
      </bottom>
      <diagonal/>
    </border>
    <border>
      <left style="medium">
        <color theme="0"/>
      </left>
      <right style="thin">
        <color theme="0"/>
      </right>
      <top style="hair">
        <color theme="0"/>
      </top>
      <bottom style="thin">
        <color theme="0"/>
      </bottom>
      <diagonal/>
    </border>
    <border>
      <left style="thin">
        <color theme="0"/>
      </left>
      <right style="thin">
        <color theme="0"/>
      </right>
      <top/>
      <bottom style="thin">
        <color theme="0"/>
      </bottom>
      <diagonal/>
    </border>
    <border>
      <left style="thin">
        <color theme="0"/>
      </left>
      <right style="thin">
        <color theme="0"/>
      </right>
      <top/>
      <bottom/>
      <diagonal/>
    </border>
    <border>
      <left style="thin">
        <color theme="0"/>
      </left>
      <right style="thin">
        <color theme="0"/>
      </right>
      <top style="thin">
        <color theme="0"/>
      </top>
      <bottom style="thin">
        <color theme="0"/>
      </bottom>
      <diagonal/>
    </border>
    <border>
      <left style="thin">
        <color theme="0"/>
      </left>
      <right/>
      <top style="hair">
        <color auto="1"/>
      </top>
      <bottom style="hair">
        <color auto="1"/>
      </bottom>
      <diagonal/>
    </border>
    <border>
      <left style="medium">
        <color theme="0"/>
      </left>
      <right style="thin">
        <color theme="0"/>
      </right>
      <top style="hair">
        <color auto="1"/>
      </top>
      <bottom style="hair">
        <color auto="1"/>
      </bottom>
      <diagonal/>
    </border>
    <border>
      <left style="thin">
        <color theme="0"/>
      </left>
      <right/>
      <top style="thin">
        <color theme="0"/>
      </top>
      <bottom style="thin">
        <color theme="0"/>
      </bottom>
      <diagonal/>
    </border>
    <border>
      <left style="thin">
        <color theme="0"/>
      </left>
      <right/>
      <top/>
      <bottom style="hair">
        <color auto="1"/>
      </bottom>
      <diagonal/>
    </border>
    <border>
      <left style="medium">
        <color theme="0"/>
      </left>
      <right style="thin">
        <color theme="0"/>
      </right>
      <top/>
      <bottom style="hair">
        <color auto="1"/>
      </bottom>
      <diagonal/>
    </border>
    <border>
      <left/>
      <right style="thin">
        <color theme="0"/>
      </right>
      <top style="hair">
        <color auto="1"/>
      </top>
      <bottom style="hair">
        <color auto="1"/>
      </bottom>
      <diagonal/>
    </border>
    <border>
      <left/>
      <right/>
      <top style="medium">
        <color theme="0" tint="-0.14996795556505021"/>
      </top>
      <bottom/>
      <diagonal/>
    </border>
    <border>
      <left/>
      <right style="thin">
        <color theme="0" tint="-0.14996795556505021"/>
      </right>
      <top style="thin">
        <color theme="0" tint="-0.14999847407452621"/>
      </top>
      <bottom style="thin">
        <color theme="0" tint="-0.14999847407452621"/>
      </bottom>
      <diagonal/>
    </border>
    <border>
      <left style="thin">
        <color theme="0" tint="-0.14999847407452621"/>
      </left>
      <right style="thin">
        <color theme="0" tint="-0.14996795556505021"/>
      </right>
      <top style="thin">
        <color theme="0" tint="-0.14996795556505021"/>
      </top>
      <bottom style="medium">
        <color theme="0" tint="-0.14996795556505021"/>
      </bottom>
      <diagonal/>
    </border>
    <border>
      <left style="thin">
        <color theme="0" tint="-0.14993743705557422"/>
      </left>
      <right/>
      <top/>
      <bottom style="thin">
        <color theme="0" tint="-0.14999847407452621"/>
      </bottom>
      <diagonal/>
    </border>
    <border>
      <left/>
      <right style="thin">
        <color theme="0" tint="-0.14993743705557422"/>
      </right>
      <top/>
      <bottom style="thin">
        <color theme="0" tint="-0.14999847407452621"/>
      </bottom>
      <diagonal/>
    </border>
    <border>
      <left style="thin">
        <color theme="0" tint="-0.14993743705557422"/>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3743705557422"/>
      </right>
      <top style="thin">
        <color theme="0" tint="-0.14999847407452621"/>
      </top>
      <bottom style="thin">
        <color theme="0" tint="-0.14999847407452621"/>
      </bottom>
      <diagonal/>
    </border>
    <border>
      <left style="thin">
        <color theme="0" tint="-0.14999847407452621"/>
      </left>
      <right style="thin">
        <color theme="0" tint="-0.14993743705557422"/>
      </right>
      <top/>
      <bottom style="thin">
        <color theme="0" tint="-0.14999847407452621"/>
      </bottom>
      <diagonal/>
    </border>
    <border>
      <left style="thin">
        <color theme="0" tint="-0.14993743705557422"/>
      </left>
      <right style="thin">
        <color theme="0" tint="-0.14999847407452621"/>
      </right>
      <top style="thin">
        <color theme="0" tint="-0.14999847407452621"/>
      </top>
      <bottom/>
      <diagonal/>
    </border>
    <border>
      <left style="thin">
        <color theme="0" tint="-0.14993743705557422"/>
      </left>
      <right style="thin">
        <color theme="0" tint="-0.14999847407452621"/>
      </right>
      <top style="thin">
        <color theme="0" tint="-0.14996795556505021"/>
      </top>
      <bottom/>
      <diagonal/>
    </border>
    <border>
      <left style="thin">
        <color theme="0" tint="-0.14999847407452621"/>
      </left>
      <right style="thin">
        <color theme="0" tint="-0.14993743705557422"/>
      </right>
      <top style="thin">
        <color theme="0" tint="-0.14999847407452621"/>
      </top>
      <bottom/>
      <diagonal/>
    </border>
    <border>
      <left style="thin">
        <color theme="0" tint="-0.14993743705557422"/>
      </left>
      <right style="thin">
        <color theme="0" tint="-0.14999847407452621"/>
      </right>
      <top style="thin">
        <color theme="0" tint="-0.14996795556505021"/>
      </top>
      <bottom style="medium">
        <color theme="0" tint="-0.14993743705557422"/>
      </bottom>
      <diagonal/>
    </border>
    <border>
      <left style="thin">
        <color theme="0" tint="-0.14999847407452621"/>
      </left>
      <right style="thin">
        <color theme="0" tint="-0.14999847407452621"/>
      </right>
      <top style="thin">
        <color theme="0" tint="-0.14996795556505021"/>
      </top>
      <bottom style="medium">
        <color theme="0" tint="-0.14993743705557422"/>
      </bottom>
      <diagonal/>
    </border>
    <border>
      <left style="thin">
        <color theme="0" tint="-0.14999847407452621"/>
      </left>
      <right style="thin">
        <color theme="0" tint="-0.14993743705557422"/>
      </right>
      <top style="thin">
        <color theme="0" tint="-0.14996795556505021"/>
      </top>
      <bottom style="medium">
        <color theme="0" tint="-0.14993743705557422"/>
      </bottom>
      <diagonal/>
    </border>
    <border>
      <left style="thin">
        <color theme="0" tint="-0.14993743705557422"/>
      </left>
      <right style="thin">
        <color theme="0" tint="-0.14999847407452621"/>
      </right>
      <top/>
      <bottom style="thin">
        <color theme="0" tint="-0.14999847407452621"/>
      </bottom>
      <diagonal/>
    </border>
    <border>
      <left style="thin">
        <color theme="0" tint="-0.14993743705557422"/>
      </left>
      <right style="thin">
        <color theme="0" tint="-0.14996795556505021"/>
      </right>
      <top style="thin">
        <color theme="0" tint="-0.14999847407452621"/>
      </top>
      <bottom/>
      <diagonal/>
    </border>
    <border>
      <left style="thin">
        <color theme="0" tint="-0.14996795556505021"/>
      </left>
      <right style="thin">
        <color theme="0" tint="-0.14993743705557422"/>
      </right>
      <top style="thin">
        <color theme="0" tint="-0.14999847407452621"/>
      </top>
      <bottom/>
      <diagonal/>
    </border>
    <border>
      <left style="thin">
        <color theme="0" tint="-0.14993743705557422"/>
      </left>
      <right style="thin">
        <color theme="0" tint="-0.14996795556505021"/>
      </right>
      <top/>
      <bottom style="medium">
        <color theme="0" tint="-0.14993743705557422"/>
      </bottom>
      <diagonal/>
    </border>
    <border>
      <left style="thin">
        <color theme="0" tint="-0.14996795556505021"/>
      </left>
      <right style="thin">
        <color theme="0" tint="-0.14996795556505021"/>
      </right>
      <top/>
      <bottom style="medium">
        <color theme="0" tint="-0.14993743705557422"/>
      </bottom>
      <diagonal/>
    </border>
    <border>
      <left style="thin">
        <color theme="0" tint="-0.14996795556505021"/>
      </left>
      <right style="thin">
        <color theme="0" tint="-0.14993743705557422"/>
      </right>
      <top/>
      <bottom style="medium">
        <color theme="0" tint="-0.14993743705557422"/>
      </bottom>
      <diagonal/>
    </border>
    <border>
      <left style="medium">
        <color auto="1"/>
      </left>
      <right style="thin">
        <color theme="0" tint="-0.14996795556505021"/>
      </right>
      <top/>
      <bottom style="thin">
        <color theme="0" tint="-0.14996795556505021"/>
      </bottom>
      <diagonal/>
    </border>
    <border>
      <left style="thin">
        <color theme="0" tint="-0.14996795556505021"/>
      </left>
      <right style="medium">
        <color auto="1"/>
      </right>
      <top/>
      <bottom style="thin">
        <color theme="0" tint="-0.14996795556505021"/>
      </bottom>
      <diagonal/>
    </border>
    <border>
      <left style="medium">
        <color theme="0"/>
      </left>
      <right/>
      <top/>
      <bottom/>
      <diagonal/>
    </border>
    <border>
      <left/>
      <right/>
      <top style="thin">
        <color indexed="64"/>
      </top>
      <bottom style="double">
        <color indexed="64"/>
      </bottom>
      <diagonal/>
    </border>
    <border>
      <left style="thin">
        <color theme="0" tint="-0.14999847407452621"/>
      </left>
      <right/>
      <top style="thin">
        <color theme="0" tint="-0.14990691854609822"/>
      </top>
      <bottom style="thin">
        <color indexed="64"/>
      </bottom>
      <diagonal/>
    </border>
    <border>
      <left/>
      <right style="medium">
        <color theme="0" tint="-0.14990691854609822"/>
      </right>
      <top style="thin">
        <color theme="0" tint="-0.14990691854609822"/>
      </top>
      <bottom style="thin">
        <color indexed="64"/>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thin">
        <color indexed="64"/>
      </left>
      <right style="thin">
        <color indexed="64"/>
      </right>
      <top style="medium">
        <color indexed="64"/>
      </top>
      <bottom style="thin">
        <color theme="0" tint="-0.34998626667073579"/>
      </bottom>
      <diagonal/>
    </border>
    <border>
      <left style="thin">
        <color indexed="64"/>
      </left>
      <right style="medium">
        <color indexed="64"/>
      </right>
      <top style="medium">
        <color indexed="64"/>
      </top>
      <bottom style="thin">
        <color theme="0" tint="-0.34998626667073579"/>
      </bottom>
      <diagonal/>
    </border>
    <border>
      <left style="thin">
        <color indexed="64"/>
      </left>
      <right style="thin">
        <color indexed="64"/>
      </right>
      <top style="thin">
        <color theme="0" tint="-0.34998626667073579"/>
      </top>
      <bottom style="medium">
        <color indexed="64"/>
      </bottom>
      <diagonal/>
    </border>
    <border>
      <left style="thin">
        <color indexed="64"/>
      </left>
      <right style="medium">
        <color indexed="64"/>
      </right>
      <top style="thin">
        <color theme="0" tint="-0.34998626667073579"/>
      </top>
      <bottom style="medium">
        <color indexed="64"/>
      </bottom>
      <diagonal/>
    </border>
    <border>
      <left style="medium">
        <color indexed="64"/>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thin">
        <color indexed="64"/>
      </right>
      <top/>
      <bottom style="thin">
        <color theme="0" tint="-0.14993743705557422"/>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theme="0" tint="-0.14993743705557422"/>
      </top>
      <bottom style="thin">
        <color theme="0" tint="-0.14996795556505021"/>
      </bottom>
      <diagonal/>
    </border>
    <border>
      <left style="thin">
        <color indexed="64"/>
      </left>
      <right style="thin">
        <color indexed="64"/>
      </right>
      <top style="thin">
        <color theme="0" tint="-0.14993743705557422"/>
      </top>
      <bottom style="thin">
        <color theme="0" tint="-0.14993743705557422"/>
      </bottom>
      <diagonal/>
    </border>
    <border>
      <left style="thin">
        <color indexed="64"/>
      </left>
      <right style="thin">
        <color indexed="64"/>
      </right>
      <top style="thin">
        <color theme="0" tint="-0.14996795556505021"/>
      </top>
      <bottom style="thin">
        <color theme="0" tint="-0.14993743705557422"/>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theme="0" tint="-0.14993743705557422"/>
      </top>
      <bottom style="medium">
        <color indexed="64"/>
      </bottom>
      <diagonal/>
    </border>
    <border>
      <left style="thin">
        <color indexed="64"/>
      </left>
      <right style="medium">
        <color indexed="64"/>
      </right>
      <top style="thin">
        <color theme="0" tint="-0.14993743705557422"/>
      </top>
      <bottom style="medium">
        <color indexed="64"/>
      </bottom>
      <diagonal/>
    </border>
    <border>
      <left style="thick">
        <color auto="1"/>
      </left>
      <right/>
      <top style="thick">
        <color auto="1"/>
      </top>
      <bottom/>
      <diagonal/>
    </border>
    <border>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style="thick">
        <color auto="1"/>
      </right>
      <top/>
      <bottom style="thick">
        <color auto="1"/>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theme="1"/>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medium">
        <color rgb="FF808080"/>
      </top>
      <bottom style="medium">
        <color rgb="FF808080"/>
      </bottom>
      <diagonal/>
    </border>
  </borders>
  <cellStyleXfs count="27978">
    <xf numFmtId="0" fontId="0" fillId="0" borderId="0"/>
    <xf numFmtId="0" fontId="61" fillId="0" borderId="0"/>
    <xf numFmtId="0" fontId="62" fillId="0" borderId="0"/>
    <xf numFmtId="171" fontId="61" fillId="0" borderId="0" applyFont="0" applyFill="0" applyBorder="0" applyAlignment="0" applyProtection="0"/>
    <xf numFmtId="9" fontId="61" fillId="0" borderId="0" applyFont="0" applyFill="0" applyBorder="0" applyAlignment="0" applyProtection="0"/>
    <xf numFmtId="43" fontId="66" fillId="0" borderId="0" applyFont="0" applyFill="0" applyBorder="0" applyAlignment="0" applyProtection="0"/>
    <xf numFmtId="3" fontId="68" fillId="0" borderId="9"/>
    <xf numFmtId="0" fontId="69" fillId="0" borderId="0"/>
    <xf numFmtId="0" fontId="69"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69" fillId="0" borderId="0"/>
    <xf numFmtId="0" fontId="70" fillId="0" borderId="0"/>
    <xf numFmtId="0" fontId="70" fillId="0" borderId="0"/>
    <xf numFmtId="0" fontId="70" fillId="0" borderId="0"/>
    <xf numFmtId="3" fontId="68" fillId="0" borderId="9"/>
    <xf numFmtId="3" fontId="68" fillId="0" borderId="9"/>
    <xf numFmtId="0" fontId="71" fillId="35" borderId="0" applyNumberFormat="0" applyBorder="0" applyAlignment="0" applyProtection="0"/>
    <xf numFmtId="0" fontId="71" fillId="36" borderId="0" applyNumberFormat="0" applyBorder="0" applyAlignment="0" applyProtection="0"/>
    <xf numFmtId="0" fontId="71" fillId="37" borderId="0" applyNumberFormat="0" applyBorder="0" applyAlignment="0" applyProtection="0"/>
    <xf numFmtId="0" fontId="71" fillId="38" borderId="0" applyNumberFormat="0" applyBorder="0" applyAlignment="0" applyProtection="0"/>
    <xf numFmtId="0" fontId="71" fillId="39" borderId="0" applyNumberFormat="0" applyBorder="0" applyAlignment="0" applyProtection="0"/>
    <xf numFmtId="0" fontId="71" fillId="40" borderId="0" applyNumberFormat="0" applyBorder="0" applyAlignment="0" applyProtection="0"/>
    <xf numFmtId="0" fontId="72" fillId="35" borderId="0" applyNumberFormat="0" applyBorder="0" applyAlignment="0" applyProtection="0">
      <alignment vertical="center"/>
    </xf>
    <xf numFmtId="0" fontId="72" fillId="36" borderId="0" applyNumberFormat="0" applyBorder="0" applyAlignment="0" applyProtection="0">
      <alignment vertical="center"/>
    </xf>
    <xf numFmtId="0" fontId="72" fillId="37" borderId="0" applyNumberFormat="0" applyBorder="0" applyAlignment="0" applyProtection="0">
      <alignment vertical="center"/>
    </xf>
    <xf numFmtId="0" fontId="72" fillId="38" borderId="0" applyNumberFormat="0" applyBorder="0" applyAlignment="0" applyProtection="0">
      <alignment vertical="center"/>
    </xf>
    <xf numFmtId="0" fontId="72" fillId="39" borderId="0" applyNumberFormat="0" applyBorder="0" applyAlignment="0" applyProtection="0">
      <alignment vertical="center"/>
    </xf>
    <xf numFmtId="0" fontId="72" fillId="40" borderId="0" applyNumberFormat="0" applyBorder="0" applyAlignment="0" applyProtection="0">
      <alignment vertical="center"/>
    </xf>
    <xf numFmtId="0" fontId="71" fillId="41" borderId="0" applyNumberFormat="0" applyBorder="0" applyAlignment="0" applyProtection="0"/>
    <xf numFmtId="0" fontId="71" fillId="42" borderId="0" applyNumberFormat="0" applyBorder="0" applyAlignment="0" applyProtection="0"/>
    <xf numFmtId="0" fontId="71" fillId="43" borderId="0" applyNumberFormat="0" applyBorder="0" applyAlignment="0" applyProtection="0"/>
    <xf numFmtId="0" fontId="71" fillId="38" borderId="0" applyNumberFormat="0" applyBorder="0" applyAlignment="0" applyProtection="0"/>
    <xf numFmtId="0" fontId="71" fillId="41" borderId="0" applyNumberFormat="0" applyBorder="0" applyAlignment="0" applyProtection="0"/>
    <xf numFmtId="0" fontId="71" fillId="44" borderId="0" applyNumberFormat="0" applyBorder="0" applyAlignment="0" applyProtection="0"/>
    <xf numFmtId="0" fontId="72" fillId="41" borderId="0" applyNumberFormat="0" applyBorder="0" applyAlignment="0" applyProtection="0">
      <alignment vertical="center"/>
    </xf>
    <xf numFmtId="0" fontId="72" fillId="42" borderId="0" applyNumberFormat="0" applyBorder="0" applyAlignment="0" applyProtection="0">
      <alignment vertical="center"/>
    </xf>
    <xf numFmtId="0" fontId="72" fillId="43" borderId="0" applyNumberFormat="0" applyBorder="0" applyAlignment="0" applyProtection="0">
      <alignment vertical="center"/>
    </xf>
    <xf numFmtId="0" fontId="72" fillId="38" borderId="0" applyNumberFormat="0" applyBorder="0" applyAlignment="0" applyProtection="0">
      <alignment vertical="center"/>
    </xf>
    <xf numFmtId="0" fontId="72" fillId="41" borderId="0" applyNumberFormat="0" applyBorder="0" applyAlignment="0" applyProtection="0">
      <alignment vertical="center"/>
    </xf>
    <xf numFmtId="0" fontId="72" fillId="44" borderId="0" applyNumberFormat="0" applyBorder="0" applyAlignment="0" applyProtection="0">
      <alignment vertical="center"/>
    </xf>
    <xf numFmtId="9" fontId="69" fillId="0" borderId="0">
      <protection locked="0"/>
    </xf>
    <xf numFmtId="0" fontId="73" fillId="45" borderId="0" applyNumberFormat="0" applyBorder="0" applyAlignment="0" applyProtection="0"/>
    <xf numFmtId="0" fontId="73" fillId="42" borderId="0" applyNumberFormat="0" applyBorder="0" applyAlignment="0" applyProtection="0"/>
    <xf numFmtId="0" fontId="73" fillId="43" borderId="0" applyNumberFormat="0" applyBorder="0" applyAlignment="0" applyProtection="0"/>
    <xf numFmtId="0" fontId="73" fillId="46" borderId="0" applyNumberFormat="0" applyBorder="0" applyAlignment="0" applyProtection="0"/>
    <xf numFmtId="0" fontId="73" fillId="47" borderId="0" applyNumberFormat="0" applyBorder="0" applyAlignment="0" applyProtection="0"/>
    <xf numFmtId="0" fontId="73" fillId="48" borderId="0" applyNumberFormat="0" applyBorder="0" applyAlignment="0" applyProtection="0"/>
    <xf numFmtId="0" fontId="74" fillId="45" borderId="0" applyNumberFormat="0" applyBorder="0" applyAlignment="0" applyProtection="0">
      <alignment vertical="center"/>
    </xf>
    <xf numFmtId="0" fontId="74" fillId="42" borderId="0" applyNumberFormat="0" applyBorder="0" applyAlignment="0" applyProtection="0">
      <alignment vertical="center"/>
    </xf>
    <xf numFmtId="0" fontId="74" fillId="43" borderId="0" applyNumberFormat="0" applyBorder="0" applyAlignment="0" applyProtection="0">
      <alignment vertical="center"/>
    </xf>
    <xf numFmtId="0" fontId="74" fillId="46" borderId="0" applyNumberFormat="0" applyBorder="0" applyAlignment="0" applyProtection="0">
      <alignment vertical="center"/>
    </xf>
    <xf numFmtId="0" fontId="74" fillId="47" borderId="0" applyNumberFormat="0" applyBorder="0" applyAlignment="0" applyProtection="0">
      <alignment vertical="center"/>
    </xf>
    <xf numFmtId="0" fontId="74" fillId="48" borderId="0" applyNumberFormat="0" applyBorder="0" applyAlignment="0" applyProtection="0">
      <alignment vertical="center"/>
    </xf>
    <xf numFmtId="0" fontId="71" fillId="49" borderId="0" applyNumberFormat="0" applyBorder="0" applyAlignment="0" applyProtection="0"/>
    <xf numFmtId="0" fontId="71" fillId="49" borderId="0" applyNumberFormat="0" applyBorder="0" applyAlignment="0" applyProtection="0"/>
    <xf numFmtId="0" fontId="73" fillId="50" borderId="0" applyNumberFormat="0" applyBorder="0" applyAlignment="0" applyProtection="0"/>
    <xf numFmtId="0" fontId="73" fillId="51" borderId="0" applyNumberFormat="0" applyBorder="0" applyAlignment="0" applyProtection="0"/>
    <xf numFmtId="0" fontId="71" fillId="52" borderId="0" applyNumberFormat="0" applyBorder="0" applyAlignment="0" applyProtection="0"/>
    <xf numFmtId="0" fontId="71" fillId="53" borderId="0" applyNumberFormat="0" applyBorder="0" applyAlignment="0" applyProtection="0"/>
    <xf numFmtId="0" fontId="73" fillId="54" borderId="0" applyNumberFormat="0" applyBorder="0" applyAlignment="0" applyProtection="0"/>
    <xf numFmtId="0" fontId="73" fillId="55" borderId="0" applyNumberFormat="0" applyBorder="0" applyAlignment="0" applyProtection="0"/>
    <xf numFmtId="0" fontId="71" fillId="52" borderId="0" applyNumberFormat="0" applyBorder="0" applyAlignment="0" applyProtection="0"/>
    <xf numFmtId="0" fontId="71" fillId="56" borderId="0" applyNumberFormat="0" applyBorder="0" applyAlignment="0" applyProtection="0"/>
    <xf numFmtId="0" fontId="73" fillId="53" borderId="0" applyNumberFormat="0" applyBorder="0" applyAlignment="0" applyProtection="0"/>
    <xf numFmtId="0" fontId="73" fillId="57" borderId="0" applyNumberFormat="0" applyBorder="0" applyAlignment="0" applyProtection="0"/>
    <xf numFmtId="0" fontId="71" fillId="49" borderId="0" applyNumberFormat="0" applyBorder="0" applyAlignment="0" applyProtection="0"/>
    <xf numFmtId="0" fontId="71" fillId="53" borderId="0" applyNumberFormat="0" applyBorder="0" applyAlignment="0" applyProtection="0"/>
    <xf numFmtId="0" fontId="73" fillId="53" borderId="0" applyNumberFormat="0" applyBorder="0" applyAlignment="0" applyProtection="0"/>
    <xf numFmtId="0" fontId="73" fillId="46" borderId="0" applyNumberFormat="0" applyBorder="0" applyAlignment="0" applyProtection="0"/>
    <xf numFmtId="0" fontId="71" fillId="58" borderId="0" applyNumberFormat="0" applyBorder="0" applyAlignment="0" applyProtection="0"/>
    <xf numFmtId="0" fontId="71" fillId="49" borderId="0" applyNumberFormat="0" applyBorder="0" applyAlignment="0" applyProtection="0"/>
    <xf numFmtId="0" fontId="73" fillId="50" borderId="0" applyNumberFormat="0" applyBorder="0" applyAlignment="0" applyProtection="0"/>
    <xf numFmtId="0" fontId="73" fillId="47" borderId="0" applyNumberFormat="0" applyBorder="0" applyAlignment="0" applyProtection="0"/>
    <xf numFmtId="0" fontId="71" fillId="52" borderId="0" applyNumberFormat="0" applyBorder="0" applyAlignment="0" applyProtection="0"/>
    <xf numFmtId="0" fontId="71" fillId="59" borderId="0" applyNumberFormat="0" applyBorder="0" applyAlignment="0" applyProtection="0"/>
    <xf numFmtId="0" fontId="73" fillId="59" borderId="0" applyNumberFormat="0" applyBorder="0" applyAlignment="0" applyProtection="0"/>
    <xf numFmtId="0" fontId="73" fillId="60" borderId="0" applyNumberFormat="0" applyBorder="0" applyAlignment="0" applyProtection="0"/>
    <xf numFmtId="181" fontId="75" fillId="0" borderId="0" applyFont="0" applyFill="0" applyBorder="0" applyAlignment="0" applyProtection="0"/>
    <xf numFmtId="182" fontId="76" fillId="0" borderId="0" applyFont="0" applyFill="0" applyBorder="0" applyAlignment="0" applyProtection="0"/>
    <xf numFmtId="0" fontId="77" fillId="0" borderId="0" applyFont="0" applyFill="0" applyBorder="0" applyAlignment="0" applyProtection="0"/>
    <xf numFmtId="183" fontId="75" fillId="0" borderId="0" applyFont="0" applyFill="0" applyBorder="0" applyAlignment="0" applyProtection="0"/>
    <xf numFmtId="184" fontId="76" fillId="0" borderId="0" applyFont="0" applyFill="0" applyBorder="0" applyAlignment="0" applyProtection="0"/>
    <xf numFmtId="0" fontId="77" fillId="0" borderId="0" applyFont="0" applyFill="0" applyBorder="0" applyAlignment="0" applyProtection="0"/>
    <xf numFmtId="0" fontId="70" fillId="0" borderId="0"/>
    <xf numFmtId="185" fontId="66" fillId="0" borderId="12" applyFont="0" applyFill="0" applyBorder="0" applyAlignment="0" applyProtection="0"/>
    <xf numFmtId="185" fontId="66" fillId="0" borderId="12" applyFont="0" applyFill="0" applyBorder="0" applyAlignment="0" applyProtection="0"/>
    <xf numFmtId="185" fontId="66" fillId="0" borderId="12" applyFont="0" applyFill="0" applyBorder="0" applyAlignment="0" applyProtection="0"/>
    <xf numFmtId="185" fontId="66" fillId="0" borderId="12" applyFont="0" applyFill="0" applyBorder="0" applyAlignment="0" applyProtection="0"/>
    <xf numFmtId="0" fontId="78" fillId="0" borderId="0">
      <alignment horizontal="center" wrapText="1"/>
      <protection locked="0"/>
    </xf>
    <xf numFmtId="41" fontId="75" fillId="0" borderId="0" applyFont="0" applyFill="0" applyBorder="0" applyAlignment="0" applyProtection="0"/>
    <xf numFmtId="186" fontId="76" fillId="0" borderId="0" applyFont="0" applyFill="0" applyBorder="0" applyAlignment="0" applyProtection="0"/>
    <xf numFmtId="0" fontId="69" fillId="0" borderId="0" applyFont="0" applyFill="0" applyBorder="0" applyAlignment="0" applyProtection="0"/>
    <xf numFmtId="43" fontId="75" fillId="0" borderId="0" applyFont="0" applyFill="0" applyBorder="0" applyAlignment="0" applyProtection="0"/>
    <xf numFmtId="187" fontId="76" fillId="0" borderId="0" applyFont="0" applyFill="0" applyBorder="0" applyAlignment="0" applyProtection="0"/>
    <xf numFmtId="0" fontId="77" fillId="0" borderId="0" applyFont="0" applyFill="0" applyBorder="0" applyAlignment="0" applyProtection="0"/>
    <xf numFmtId="0" fontId="79" fillId="36" borderId="0" applyNumberFormat="0" applyBorder="0" applyAlignment="0" applyProtection="0"/>
    <xf numFmtId="188" fontId="80" fillId="0" borderId="0" applyFont="0" applyFill="0" applyBorder="0" applyAlignment="0" applyProtection="0">
      <alignment horizontal="right"/>
    </xf>
    <xf numFmtId="0" fontId="75" fillId="0" borderId="0"/>
    <xf numFmtId="0" fontId="77" fillId="0" borderId="0"/>
    <xf numFmtId="0" fontId="81" fillId="0" borderId="0"/>
    <xf numFmtId="0" fontId="66" fillId="0" borderId="0"/>
    <xf numFmtId="14" fontId="66" fillId="0" borderId="0" applyFill="0" applyBorder="0" applyAlignment="0"/>
    <xf numFmtId="189" fontId="82" fillId="0" borderId="0" applyFill="0" applyBorder="0" applyAlignment="0"/>
    <xf numFmtId="190" fontId="83" fillId="0" borderId="0" applyFill="0" applyBorder="0" applyAlignment="0"/>
    <xf numFmtId="0" fontId="83" fillId="0" borderId="0" applyFill="0" applyBorder="0" applyAlignment="0"/>
    <xf numFmtId="191" fontId="66" fillId="0" borderId="0" applyFill="0" applyBorder="0" applyAlignment="0"/>
    <xf numFmtId="192" fontId="66" fillId="0" borderId="0" applyFill="0" applyBorder="0" applyAlignment="0"/>
    <xf numFmtId="14" fontId="66" fillId="0" borderId="0" applyFill="0" applyBorder="0" applyAlignment="0"/>
    <xf numFmtId="193" fontId="66" fillId="0" borderId="0" applyFill="0" applyBorder="0" applyAlignment="0"/>
    <xf numFmtId="190" fontId="83" fillId="0" borderId="0" applyFill="0" applyBorder="0" applyAlignment="0"/>
    <xf numFmtId="0" fontId="84" fillId="61" borderId="13" applyNumberFormat="0" applyAlignment="0" applyProtection="0"/>
    <xf numFmtId="0" fontId="85" fillId="0" borderId="0"/>
    <xf numFmtId="0" fontId="66" fillId="0" borderId="0"/>
    <xf numFmtId="0" fontId="86" fillId="62" borderId="14" applyNumberFormat="0" applyAlignment="0" applyProtection="0"/>
    <xf numFmtId="0" fontId="87" fillId="63" borderId="9">
      <alignment horizontal="center" vertical="center" wrapText="1"/>
    </xf>
    <xf numFmtId="169" fontId="66" fillId="0" borderId="0" applyFont="0" applyFill="0" applyBorder="0" applyAlignment="0" applyProtection="0"/>
    <xf numFmtId="41" fontId="66" fillId="0" borderId="0" applyFont="0" applyFill="0" applyBorder="0" applyAlignment="0" applyProtection="0"/>
    <xf numFmtId="14" fontId="66" fillId="0" borderId="0" applyFont="0" applyFill="0" applyBorder="0" applyAlignment="0" applyProtection="0"/>
    <xf numFmtId="171" fontId="66" fillId="0" borderId="0" applyFont="0" applyFill="0" applyBorder="0" applyAlignment="0" applyProtection="0"/>
    <xf numFmtId="41" fontId="66" fillId="0" borderId="0" applyFont="0" applyFill="0" applyBorder="0" applyAlignment="0" applyProtection="0"/>
    <xf numFmtId="43" fontId="66" fillId="0" borderId="0" applyFont="0" applyFill="0" applyBorder="0" applyAlignment="0" applyProtection="0"/>
    <xf numFmtId="171" fontId="66" fillId="0" borderId="0" applyFont="0" applyFill="0" applyBorder="0" applyAlignment="0" applyProtection="0"/>
    <xf numFmtId="43" fontId="66" fillId="0" borderId="0" applyFont="0" applyFill="0" applyBorder="0" applyAlignment="0" applyProtection="0"/>
    <xf numFmtId="171" fontId="66" fillId="0" borderId="0" applyFont="0" applyFill="0" applyBorder="0" applyAlignment="0" applyProtection="0"/>
    <xf numFmtId="43" fontId="66" fillId="0" borderId="0" applyFont="0" applyFill="0" applyBorder="0" applyAlignment="0" applyProtection="0"/>
    <xf numFmtId="171" fontId="66" fillId="0" borderId="0" applyFont="0" applyFill="0" applyBorder="0" applyAlignment="0" applyProtection="0"/>
    <xf numFmtId="43" fontId="66" fillId="0" borderId="0" applyFont="0" applyFill="0" applyBorder="0" applyAlignment="0" applyProtection="0"/>
    <xf numFmtId="43" fontId="61" fillId="0" borderId="0" applyFont="0" applyFill="0" applyBorder="0" applyAlignment="0" applyProtection="0"/>
    <xf numFmtId="43" fontId="66" fillId="0" borderId="0" applyFont="0" applyFill="0" applyBorder="0" applyAlignment="0" applyProtection="0"/>
    <xf numFmtId="43" fontId="61" fillId="0" borderId="0" applyFont="0" applyFill="0" applyBorder="0" applyAlignment="0" applyProtection="0"/>
    <xf numFmtId="43" fontId="71"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194" fontId="66" fillId="0" borderId="0" applyFont="0" applyFill="0" applyBorder="0" applyAlignment="0" applyProtection="0"/>
    <xf numFmtId="178" fontId="66" fillId="0" borderId="0" applyFont="0" applyFill="0" applyBorder="0" applyAlignment="0" applyProtection="0"/>
    <xf numFmtId="178" fontId="66" fillId="0" borderId="0" applyFont="0" applyFill="0" applyBorder="0" applyAlignment="0" applyProtection="0"/>
    <xf numFmtId="0" fontId="66" fillId="0" borderId="0" applyFont="0" applyFill="0" applyBorder="0" applyAlignment="0" applyProtection="0"/>
    <xf numFmtId="195" fontId="71" fillId="0" borderId="0" applyFont="0" applyFill="0" applyBorder="0" applyAlignment="0" applyProtection="0"/>
    <xf numFmtId="196" fontId="71" fillId="0" borderId="0" applyFont="0" applyFill="0" applyBorder="0" applyAlignment="0" applyProtection="0"/>
    <xf numFmtId="43"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195" fontId="66" fillId="0" borderId="0" applyFont="0" applyFill="0" applyBorder="0" applyAlignment="0" applyProtection="0"/>
    <xf numFmtId="43"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178" fontId="66" fillId="0" borderId="0" applyFont="0" applyFill="0" applyBorder="0" applyAlignment="0" applyProtection="0"/>
    <xf numFmtId="197" fontId="66" fillId="0" borderId="0" applyFont="0" applyFill="0" applyBorder="0" applyAlignment="0" applyProtection="0"/>
    <xf numFmtId="197" fontId="66" fillId="0" borderId="0" applyFont="0" applyFill="0" applyBorder="0" applyAlignment="0" applyProtection="0"/>
    <xf numFmtId="197" fontId="66" fillId="0" borderId="0" applyFont="0" applyFill="0" applyBorder="0" applyAlignment="0" applyProtection="0"/>
    <xf numFmtId="197"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197" fontId="66" fillId="0" borderId="0" applyFont="0" applyFill="0" applyBorder="0" applyAlignment="0" applyProtection="0"/>
    <xf numFmtId="0" fontId="66" fillId="0" borderId="0" applyFont="0" applyFill="0" applyBorder="0" applyAlignment="0" applyProtection="0"/>
    <xf numFmtId="178"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178" fontId="66" fillId="0" borderId="0" applyFont="0" applyFill="0" applyBorder="0" applyAlignment="0" applyProtection="0"/>
    <xf numFmtId="198" fontId="66" fillId="0" borderId="0" applyFont="0" applyFill="0" applyBorder="0" applyAlignment="0" applyProtection="0"/>
    <xf numFmtId="0" fontId="66" fillId="0" borderId="0" applyFont="0" applyFill="0" applyBorder="0" applyAlignment="0" applyProtection="0"/>
    <xf numFmtId="197" fontId="66" fillId="0" borderId="0" applyFont="0" applyFill="0" applyBorder="0" applyAlignment="0" applyProtection="0"/>
    <xf numFmtId="197" fontId="66" fillId="0" borderId="0" applyFont="0" applyFill="0" applyBorder="0" applyAlignment="0" applyProtection="0"/>
    <xf numFmtId="197"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198" fontId="66" fillId="0" borderId="0" applyFont="0" applyFill="0" applyBorder="0" applyAlignment="0" applyProtection="0"/>
    <xf numFmtId="198"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178" fontId="66" fillId="0" borderId="0" applyFont="0" applyFill="0" applyBorder="0" applyAlignment="0" applyProtection="0"/>
    <xf numFmtId="194" fontId="66" fillId="0" borderId="0" applyFont="0" applyFill="0" applyBorder="0" applyAlignment="0" applyProtection="0"/>
    <xf numFmtId="194"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43" fontId="61"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171" fontId="70"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0"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0" fontId="66" fillId="0" borderId="0" applyFont="0" applyFill="0" applyBorder="0" applyAlignment="0" applyProtection="0"/>
    <xf numFmtId="43" fontId="66" fillId="0" borderId="0" applyFont="0" applyFill="0" applyBorder="0" applyAlignment="0" applyProtection="0"/>
    <xf numFmtId="0" fontId="66" fillId="0" borderId="0" applyFont="0" applyFill="0" applyBorder="0" applyAlignment="0" applyProtection="0"/>
    <xf numFmtId="43" fontId="66" fillId="0" borderId="0" applyFont="0" applyFill="0" applyBorder="0" applyAlignment="0" applyProtection="0"/>
    <xf numFmtId="0"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0" fontId="66" fillId="0" borderId="0" applyFont="0" applyFill="0" applyBorder="0" applyAlignment="0" applyProtection="0"/>
    <xf numFmtId="43" fontId="66" fillId="0" borderId="0" applyFont="0" applyFill="0" applyBorder="0" applyAlignment="0" applyProtection="0"/>
    <xf numFmtId="171" fontId="66" fillId="0" borderId="0" applyFont="0" applyFill="0" applyBorder="0" applyAlignment="0" applyProtection="0"/>
    <xf numFmtId="43" fontId="66" fillId="0" borderId="0" applyFont="0" applyFill="0" applyBorder="0" applyAlignment="0" applyProtection="0"/>
    <xf numFmtId="199" fontId="88" fillId="0" borderId="0"/>
    <xf numFmtId="3" fontId="66" fillId="0" borderId="0" applyFont="0" applyFill="0" applyBorder="0" applyAlignment="0" applyProtection="0"/>
    <xf numFmtId="0" fontId="89" fillId="0" borderId="0" applyNumberFormat="0" applyAlignment="0">
      <alignment horizontal="left"/>
    </xf>
    <xf numFmtId="0" fontId="90" fillId="0" borderId="0" applyNumberFormat="0" applyAlignment="0"/>
    <xf numFmtId="190" fontId="83"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200" fontId="82" fillId="0" borderId="0" applyFont="0" applyFill="0" applyBorder="0" applyAlignment="0" applyProtection="0"/>
    <xf numFmtId="201" fontId="82" fillId="0" borderId="0"/>
    <xf numFmtId="202" fontId="91" fillId="64" borderId="9" applyNumberFormat="0">
      <alignment horizontal="center" vertical="center"/>
      <protection locked="0"/>
    </xf>
    <xf numFmtId="0" fontId="92" fillId="0" borderId="0" applyProtection="0"/>
    <xf numFmtId="14" fontId="93" fillId="0" borderId="0" applyFill="0" applyBorder="0" applyAlignment="0"/>
    <xf numFmtId="0" fontId="94" fillId="0" borderId="15" applyProtection="0">
      <alignment horizontal="center" vertical="top" wrapText="1"/>
    </xf>
    <xf numFmtId="38" fontId="70" fillId="0" borderId="16">
      <alignment vertical="center"/>
    </xf>
    <xf numFmtId="0" fontId="95" fillId="0" borderId="0" applyNumberFormat="0" applyFont="0"/>
    <xf numFmtId="203" fontId="82" fillId="0" borderId="0"/>
    <xf numFmtId="0" fontId="96" fillId="65" borderId="0" applyNumberFormat="0" applyBorder="0" applyAlignment="0" applyProtection="0"/>
    <xf numFmtId="0" fontId="96" fillId="66" borderId="0" applyNumberFormat="0" applyBorder="0" applyAlignment="0" applyProtection="0"/>
    <xf numFmtId="0" fontId="96" fillId="67" borderId="0" applyNumberFormat="0" applyBorder="0" applyAlignment="0" applyProtection="0"/>
    <xf numFmtId="14" fontId="66" fillId="0" borderId="0" applyFill="0" applyBorder="0" applyAlignment="0"/>
    <xf numFmtId="190" fontId="83" fillId="0" borderId="0" applyFill="0" applyBorder="0" applyAlignment="0"/>
    <xf numFmtId="14" fontId="66" fillId="0" borderId="0" applyFill="0" applyBorder="0" applyAlignment="0"/>
    <xf numFmtId="193" fontId="66" fillId="0" borderId="0" applyFill="0" applyBorder="0" applyAlignment="0"/>
    <xf numFmtId="190" fontId="83" fillId="0" borderId="0" applyFill="0" applyBorder="0" applyAlignment="0"/>
    <xf numFmtId="0" fontId="97" fillId="0" borderId="0" applyNumberFormat="0" applyAlignment="0">
      <alignment horizontal="left"/>
    </xf>
    <xf numFmtId="204" fontId="82" fillId="0" borderId="0" applyFont="0" applyFill="0" applyBorder="0" applyAlignment="0" applyProtection="0"/>
    <xf numFmtId="0" fontId="98" fillId="0" borderId="0" applyNumberFormat="0" applyFill="0" applyBorder="0" applyAlignment="0" applyProtection="0"/>
    <xf numFmtId="0" fontId="99" fillId="0" borderId="0">
      <protection locked="0"/>
    </xf>
    <xf numFmtId="0" fontId="99" fillId="0" borderId="0">
      <protection locked="0"/>
    </xf>
    <xf numFmtId="0" fontId="100" fillId="0" borderId="0">
      <protection locked="0"/>
    </xf>
    <xf numFmtId="0" fontId="99" fillId="0" borderId="0">
      <protection locked="0"/>
    </xf>
    <xf numFmtId="0" fontId="99" fillId="0" borderId="0">
      <protection locked="0"/>
    </xf>
    <xf numFmtId="0" fontId="99" fillId="0" borderId="0">
      <protection locked="0"/>
    </xf>
    <xf numFmtId="0" fontId="100" fillId="0" borderId="0">
      <protection locked="0"/>
    </xf>
    <xf numFmtId="2" fontId="92" fillId="0" borderId="0" applyProtection="0"/>
    <xf numFmtId="0" fontId="101" fillId="37" borderId="0" applyNumberFormat="0" applyBorder="0" applyAlignment="0" applyProtection="0"/>
    <xf numFmtId="38" fontId="102" fillId="68" borderId="0" applyNumberFormat="0" applyBorder="0" applyAlignment="0" applyProtection="0"/>
    <xf numFmtId="38" fontId="103" fillId="69" borderId="0" applyNumberFormat="0" applyBorder="0" applyAlignment="0" applyProtection="0"/>
    <xf numFmtId="205" fontId="80" fillId="0" borderId="0" applyNumberFormat="0" applyFill="0" applyBorder="0" applyProtection="0">
      <alignment horizontal="right"/>
    </xf>
    <xf numFmtId="0" fontId="104" fillId="0" borderId="0">
      <alignment horizontal="left"/>
    </xf>
    <xf numFmtId="0" fontId="105" fillId="0" borderId="17" applyNumberFormat="0" applyAlignment="0" applyProtection="0">
      <alignment horizontal="left" vertical="center"/>
    </xf>
    <xf numFmtId="0" fontId="105" fillId="0" borderId="18">
      <alignment horizontal="left" vertical="center"/>
    </xf>
    <xf numFmtId="0" fontId="106" fillId="0" borderId="0">
      <alignment vertical="center"/>
    </xf>
    <xf numFmtId="0" fontId="107" fillId="0" borderId="0" applyNumberFormat="0" applyFill="0" applyBorder="0" applyAlignment="0" applyProtection="0"/>
    <xf numFmtId="0" fontId="105" fillId="0" borderId="0" applyNumberFormat="0" applyFill="0" applyBorder="0" applyAlignment="0" applyProtection="0"/>
    <xf numFmtId="0" fontId="108" fillId="0" borderId="19" applyNumberFormat="0" applyFill="0" applyAlignment="0" applyProtection="0"/>
    <xf numFmtId="0" fontId="108" fillId="0" borderId="0" applyNumberFormat="0" applyFill="0" applyBorder="0" applyAlignment="0" applyProtection="0"/>
    <xf numFmtId="0" fontId="107" fillId="0" borderId="0" applyProtection="0"/>
    <xf numFmtId="0" fontId="105" fillId="0" borderId="0" applyProtection="0"/>
    <xf numFmtId="0" fontId="109" fillId="0" borderId="0" applyNumberFormat="0" applyFill="0" applyBorder="0" applyAlignment="0" applyProtection="0">
      <alignment vertical="top"/>
      <protection locked="0"/>
    </xf>
    <xf numFmtId="0" fontId="110" fillId="0" borderId="0" applyNumberFormat="0" applyFill="0" applyBorder="0" applyAlignment="0" applyProtection="0">
      <alignment vertical="top"/>
      <protection locked="0"/>
    </xf>
    <xf numFmtId="10" fontId="102" fillId="70" borderId="9" applyNumberFormat="0" applyBorder="0" applyAlignment="0" applyProtection="0"/>
    <xf numFmtId="10" fontId="103" fillId="69" borderId="9" applyNumberFormat="0" applyBorder="0" applyAlignment="0" applyProtection="0"/>
    <xf numFmtId="0" fontId="111" fillId="40" borderId="13" applyNumberFormat="0" applyAlignment="0" applyProtection="0"/>
    <xf numFmtId="0" fontId="111" fillId="40" borderId="13" applyNumberFormat="0" applyAlignment="0" applyProtection="0"/>
    <xf numFmtId="0" fontId="111" fillId="40" borderId="13" applyNumberFormat="0" applyAlignment="0" applyProtection="0"/>
    <xf numFmtId="0" fontId="111" fillId="40" borderId="13" applyNumberFormat="0" applyAlignment="0" applyProtection="0"/>
    <xf numFmtId="0" fontId="111" fillId="40" borderId="13" applyNumberFormat="0" applyAlignment="0" applyProtection="0"/>
    <xf numFmtId="0" fontId="111" fillId="40" borderId="13" applyNumberFormat="0" applyAlignment="0" applyProtection="0"/>
    <xf numFmtId="0" fontId="111" fillId="40" borderId="13" applyNumberFormat="0" applyAlignment="0" applyProtection="0"/>
    <xf numFmtId="0" fontId="111" fillId="40" borderId="13" applyNumberFormat="0" applyAlignment="0" applyProtection="0"/>
    <xf numFmtId="0" fontId="111" fillId="40" borderId="13" applyNumberFormat="0" applyAlignment="0" applyProtection="0"/>
    <xf numFmtId="206" fontId="66" fillId="71" borderId="0"/>
    <xf numFmtId="14" fontId="66" fillId="0" borderId="0" applyFill="0" applyBorder="0" applyAlignment="0"/>
    <xf numFmtId="190" fontId="83" fillId="0" borderId="0" applyFill="0" applyBorder="0" applyAlignment="0"/>
    <xf numFmtId="14" fontId="66" fillId="0" borderId="0" applyFill="0" applyBorder="0" applyAlignment="0"/>
    <xf numFmtId="193" fontId="66" fillId="0" borderId="0" applyFill="0" applyBorder="0" applyAlignment="0"/>
    <xf numFmtId="190" fontId="83" fillId="0" borderId="0" applyFill="0" applyBorder="0" applyAlignment="0"/>
    <xf numFmtId="0" fontId="112" fillId="0" borderId="20" applyNumberFormat="0" applyFill="0" applyAlignment="0" applyProtection="0"/>
    <xf numFmtId="206" fontId="66" fillId="72" borderId="0"/>
    <xf numFmtId="170"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113" fillId="0" borderId="21"/>
    <xf numFmtId="0" fontId="95" fillId="0" borderId="21"/>
    <xf numFmtId="0" fontId="66" fillId="0" borderId="0" applyFont="0" applyFill="0" applyBorder="0" applyAlignment="0" applyProtection="0"/>
    <xf numFmtId="0" fontId="66" fillId="0" borderId="0" applyFont="0" applyFill="0" applyBorder="0" applyAlignment="0" applyProtection="0"/>
    <xf numFmtId="0" fontId="114" fillId="0" borderId="0" applyNumberFormat="0">
      <alignment horizontal="right"/>
    </xf>
    <xf numFmtId="0" fontId="115" fillId="73" borderId="0" applyNumberFormat="0" applyBorder="0" applyAlignment="0" applyProtection="0"/>
    <xf numFmtId="37" fontId="116" fillId="0" borderId="0"/>
    <xf numFmtId="0" fontId="66" fillId="0" borderId="0"/>
    <xf numFmtId="207" fontId="66" fillId="0" borderId="0"/>
    <xf numFmtId="208" fontId="82" fillId="0" borderId="0"/>
    <xf numFmtId="207" fontId="66" fillId="0" borderId="0"/>
    <xf numFmtId="209" fontId="117"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1" fillId="0" borderId="0"/>
    <xf numFmtId="0" fontId="66" fillId="0" borderId="0"/>
    <xf numFmtId="0" fontId="66" fillId="0" borderId="0"/>
    <xf numFmtId="0" fontId="66" fillId="0" borderId="0"/>
    <xf numFmtId="0" fontId="66" fillId="0" borderId="0"/>
    <xf numFmtId="0" fontId="66" fillId="0" borderId="0"/>
    <xf numFmtId="0" fontId="71" fillId="0" borderId="0"/>
    <xf numFmtId="37" fontId="118" fillId="0" borderId="0"/>
    <xf numFmtId="0" fontId="71" fillId="0" borderId="0"/>
    <xf numFmtId="0" fontId="66" fillId="0" borderId="0"/>
    <xf numFmtId="0" fontId="66" fillId="0" borderId="0"/>
    <xf numFmtId="0" fontId="71" fillId="0" borderId="0"/>
    <xf numFmtId="0" fontId="71" fillId="0" borderId="0"/>
    <xf numFmtId="0" fontId="71"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2"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70" fillId="0" borderId="0"/>
    <xf numFmtId="210" fontId="61" fillId="0" borderId="0"/>
    <xf numFmtId="0" fontId="66" fillId="0" borderId="0"/>
    <xf numFmtId="0" fontId="66" fillId="0" borderId="0"/>
    <xf numFmtId="0" fontId="93"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alignment horizontal="justify" vertical="top" wrapText="1"/>
    </xf>
    <xf numFmtId="0" fontId="71" fillId="0" borderId="0"/>
    <xf numFmtId="0" fontId="66" fillId="0" borderId="0"/>
    <xf numFmtId="0" fontId="71" fillId="0" borderId="0"/>
    <xf numFmtId="0" fontId="71" fillId="0" borderId="0"/>
    <xf numFmtId="0" fontId="71" fillId="0" borderId="0"/>
    <xf numFmtId="0" fontId="71" fillId="0" borderId="0"/>
    <xf numFmtId="0" fontId="71" fillId="0" borderId="0"/>
    <xf numFmtId="0" fontId="66"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74" borderId="22" applyNumberFormat="0" applyFont="0" applyAlignment="0" applyProtection="0"/>
    <xf numFmtId="0" fontId="119" fillId="61" borderId="23" applyNumberFormat="0" applyAlignment="0" applyProtection="0"/>
    <xf numFmtId="14" fontId="78" fillId="0" borderId="0">
      <alignment horizontal="center" wrapText="1"/>
      <protection locked="0"/>
    </xf>
    <xf numFmtId="0" fontId="66" fillId="0" borderId="0" applyFont="0" applyFill="0" applyBorder="0" applyAlignment="0" applyProtection="0"/>
    <xf numFmtId="192" fontId="66" fillId="0" borderId="0" applyFont="0" applyFill="0" applyBorder="0" applyAlignment="0" applyProtection="0"/>
    <xf numFmtId="211" fontId="66" fillId="0" borderId="0" applyFont="0" applyFill="0" applyBorder="0" applyAlignment="0" applyProtection="0"/>
    <xf numFmtId="10" fontId="66" fillId="0" borderId="0" applyFont="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70" fillId="0" borderId="0" applyFont="0" applyFill="0" applyBorder="0" applyAlignment="0" applyProtection="0"/>
    <xf numFmtId="9" fontId="70" fillId="0" borderId="0" applyFont="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0" fontId="120" fillId="0" borderId="0" applyFont="0"/>
    <xf numFmtId="14" fontId="66" fillId="0" borderId="0" applyFill="0" applyBorder="0" applyAlignment="0"/>
    <xf numFmtId="190" fontId="83" fillId="0" borderId="0" applyFill="0" applyBorder="0" applyAlignment="0"/>
    <xf numFmtId="14" fontId="66" fillId="0" borderId="0" applyFill="0" applyBorder="0" applyAlignment="0"/>
    <xf numFmtId="193" fontId="66" fillId="0" borderId="0" applyFill="0" applyBorder="0" applyAlignment="0"/>
    <xf numFmtId="190" fontId="83" fillId="0" borderId="0" applyFill="0" applyBorder="0" applyAlignment="0"/>
    <xf numFmtId="0" fontId="121" fillId="0" borderId="0"/>
    <xf numFmtId="0" fontId="70" fillId="0" borderId="0" applyNumberFormat="0" applyFont="0" applyFill="0" applyBorder="0" applyAlignment="0" applyProtection="0">
      <alignment horizontal="left"/>
    </xf>
    <xf numFmtId="14" fontId="122" fillId="0" borderId="0" applyNumberFormat="0" applyFill="0" applyBorder="0" applyAlignment="0" applyProtection="0">
      <alignment horizontal="left"/>
    </xf>
    <xf numFmtId="212" fontId="66" fillId="0" borderId="0" applyFont="0" applyFill="0" applyBorder="0" applyAlignment="0" applyProtection="0"/>
    <xf numFmtId="0" fontId="66" fillId="0" borderId="24" applyNumberFormat="0" applyFont="0" applyFill="0" applyAlignment="0" applyProtection="0"/>
    <xf numFmtId="0" fontId="66" fillId="0" borderId="24" applyNumberFormat="0" applyFont="0" applyFill="0" applyAlignment="0" applyProtection="0"/>
    <xf numFmtId="0" fontId="66" fillId="0" borderId="25" applyNumberFormat="0" applyFont="0" applyFill="0" applyAlignment="0" applyProtection="0"/>
    <xf numFmtId="0" fontId="66" fillId="0" borderId="25" applyNumberFormat="0" applyFont="0" applyFill="0" applyAlignment="0" applyProtection="0"/>
    <xf numFmtId="0" fontId="66" fillId="0" borderId="26" applyNumberFormat="0" applyFont="0" applyFill="0" applyAlignment="0" applyProtection="0"/>
    <xf numFmtId="0" fontId="66" fillId="0" borderId="26" applyNumberFormat="0" applyFont="0" applyFill="0" applyAlignment="0" applyProtection="0"/>
    <xf numFmtId="0" fontId="66" fillId="0" borderId="27" applyNumberFormat="0" applyFont="0" applyFill="0" applyAlignment="0" applyProtection="0"/>
    <xf numFmtId="0" fontId="66" fillId="0" borderId="27" applyNumberFormat="0" applyFont="0" applyFill="0" applyAlignment="0" applyProtection="0"/>
    <xf numFmtId="0" fontId="66" fillId="0" borderId="28" applyNumberFormat="0" applyFont="0" applyFill="0" applyAlignment="0" applyProtection="0"/>
    <xf numFmtId="0" fontId="66" fillId="75" borderId="0" applyNumberFormat="0" applyFont="0" applyBorder="0" applyAlignment="0" applyProtection="0"/>
    <xf numFmtId="0" fontId="66" fillId="0" borderId="29" applyNumberFormat="0" applyFont="0" applyFill="0" applyAlignment="0" applyProtection="0"/>
    <xf numFmtId="0" fontId="66" fillId="0" borderId="30" applyNumberFormat="0" applyFont="0" applyFill="0" applyAlignment="0" applyProtection="0"/>
    <xf numFmtId="46" fontId="66" fillId="0" borderId="0" applyFont="0" applyFill="0" applyBorder="0" applyAlignment="0" applyProtection="0"/>
    <xf numFmtId="0" fontId="93" fillId="0" borderId="0" applyNumberFormat="0" applyFill="0" applyBorder="0" applyAlignment="0" applyProtection="0"/>
    <xf numFmtId="0" fontId="66" fillId="0" borderId="31" applyNumberFormat="0" applyFont="0" applyFill="0" applyAlignment="0" applyProtection="0"/>
    <xf numFmtId="0" fontId="66" fillId="0" borderId="32" applyNumberFormat="0" applyFont="0" applyFill="0" applyAlignment="0" applyProtection="0"/>
    <xf numFmtId="0" fontId="66" fillId="0" borderId="22" applyNumberFormat="0" applyFont="0" applyFill="0" applyAlignment="0" applyProtection="0"/>
    <xf numFmtId="0" fontId="66" fillId="0" borderId="33" applyNumberFormat="0" applyFont="0" applyFill="0" applyAlignment="0" applyProtection="0"/>
    <xf numFmtId="0" fontId="66" fillId="0" borderId="22" applyNumberFormat="0" applyFont="0" applyFill="0" applyAlignment="0" applyProtection="0"/>
    <xf numFmtId="0" fontId="66" fillId="0" borderId="0" applyNumberFormat="0" applyFont="0" applyFill="0" applyBorder="0" applyProtection="0">
      <alignment horizontal="center"/>
    </xf>
    <xf numFmtId="0" fontId="123" fillId="0" borderId="0" applyNumberFormat="0" applyFill="0" applyBorder="0" applyAlignment="0" applyProtection="0"/>
    <xf numFmtId="0" fontId="124" fillId="0" borderId="0" applyNumberFormat="0" applyFill="0" applyBorder="0" applyAlignment="0" applyProtection="0"/>
    <xf numFmtId="0" fontId="125" fillId="0" borderId="0" applyNumberFormat="0" applyFill="0" applyBorder="0" applyProtection="0">
      <alignment horizontal="left"/>
    </xf>
    <xf numFmtId="0" fontId="66" fillId="75" borderId="0" applyNumberFormat="0" applyFont="0" applyBorder="0" applyAlignment="0" applyProtection="0"/>
    <xf numFmtId="0" fontId="126" fillId="0" borderId="0" applyNumberFormat="0" applyFill="0" applyBorder="0" applyAlignment="0" applyProtection="0"/>
    <xf numFmtId="0" fontId="93" fillId="0" borderId="0" applyNumberFormat="0" applyFill="0" applyBorder="0" applyAlignment="0" applyProtection="0"/>
    <xf numFmtId="0" fontId="66" fillId="0" borderId="34" applyNumberFormat="0" applyFont="0" applyFill="0" applyAlignment="0" applyProtection="0"/>
    <xf numFmtId="0" fontId="66" fillId="0" borderId="35" applyNumberFormat="0" applyFont="0" applyFill="0" applyAlignment="0" applyProtection="0"/>
    <xf numFmtId="213" fontId="66" fillId="0" borderId="0" applyFont="0" applyFill="0" applyBorder="0" applyAlignment="0" applyProtection="0"/>
    <xf numFmtId="0" fontId="66" fillId="0" borderId="36" applyNumberFormat="0" applyFont="0" applyFill="0" applyAlignment="0" applyProtection="0"/>
    <xf numFmtId="0" fontId="66" fillId="0" borderId="37" applyNumberFormat="0" applyFont="0" applyFill="0" applyAlignment="0" applyProtection="0"/>
    <xf numFmtId="0" fontId="66" fillId="0" borderId="38" applyNumberFormat="0" applyFont="0" applyFill="0" applyAlignment="0" applyProtection="0"/>
    <xf numFmtId="0" fontId="66" fillId="0" borderId="39" applyNumberFormat="0" applyFont="0" applyFill="0" applyAlignment="0" applyProtection="0"/>
    <xf numFmtId="0" fontId="66" fillId="0" borderId="40" applyNumberFormat="0" applyFont="0" applyFill="0" applyAlignment="0" applyProtection="0"/>
    <xf numFmtId="0" fontId="69" fillId="0" borderId="0"/>
    <xf numFmtId="14" fontId="91" fillId="76" borderId="41" applyBorder="0"/>
    <xf numFmtId="0" fontId="127" fillId="0" borderId="0" applyNumberFormat="0" applyFill="0" applyBorder="0" applyAlignment="0" applyProtection="0">
      <alignment vertical="top"/>
      <protection locked="0"/>
    </xf>
    <xf numFmtId="0" fontId="70" fillId="0" borderId="0"/>
    <xf numFmtId="0" fontId="70" fillId="0" borderId="0"/>
    <xf numFmtId="0" fontId="70" fillId="0" borderId="0"/>
    <xf numFmtId="0" fontId="128" fillId="0" borderId="0"/>
    <xf numFmtId="0" fontId="113" fillId="0" borderId="0"/>
    <xf numFmtId="40" fontId="129" fillId="0" borderId="0" applyBorder="0">
      <alignment horizontal="right"/>
    </xf>
    <xf numFmtId="49" fontId="93" fillId="0" borderId="0" applyFill="0" applyBorder="0" applyAlignment="0"/>
    <xf numFmtId="214" fontId="66" fillId="0" borderId="0" applyFill="0" applyBorder="0" applyAlignment="0"/>
    <xf numFmtId="215" fontId="66" fillId="0" borderId="0" applyFill="0" applyBorder="0" applyAlignment="0"/>
    <xf numFmtId="0" fontId="130" fillId="0" borderId="0" applyFill="0" applyBorder="0" applyProtection="0">
      <alignment horizontal="centerContinuous" vertical="center"/>
    </xf>
    <xf numFmtId="0" fontId="131" fillId="69" borderId="0" applyFill="0" applyBorder="0" applyProtection="0">
      <alignment horizontal="center" vertical="center"/>
    </xf>
    <xf numFmtId="0" fontId="132" fillId="0" borderId="0" applyNumberFormat="0" applyFill="0" applyBorder="0" applyAlignment="0" applyProtection="0"/>
    <xf numFmtId="0" fontId="132" fillId="0" borderId="0" applyNumberFormat="0" applyFill="0" applyBorder="0" applyAlignment="0" applyProtection="0"/>
    <xf numFmtId="0" fontId="132" fillId="0" borderId="0" applyNumberFormat="0" applyFill="0" applyBorder="0" applyAlignment="0" applyProtection="0"/>
    <xf numFmtId="0" fontId="132" fillId="0" borderId="0" applyNumberFormat="0" applyFill="0" applyBorder="0" applyAlignment="0" applyProtection="0"/>
    <xf numFmtId="0" fontId="132" fillId="0" borderId="0" applyNumberFormat="0" applyFill="0" applyBorder="0" applyAlignment="0" applyProtection="0"/>
    <xf numFmtId="0" fontId="132" fillId="0" borderId="0" applyNumberFormat="0" applyFill="0" applyBorder="0" applyAlignment="0" applyProtection="0"/>
    <xf numFmtId="0" fontId="132" fillId="0" borderId="0" applyNumberFormat="0" applyFill="0" applyBorder="0" applyAlignment="0" applyProtection="0"/>
    <xf numFmtId="0" fontId="132" fillId="0" borderId="0" applyNumberFormat="0" applyFill="0" applyBorder="0" applyAlignment="0" applyProtection="0"/>
    <xf numFmtId="0" fontId="132" fillId="0" borderId="0" applyNumberFormat="0" applyFill="0" applyBorder="0" applyAlignment="0" applyProtection="0"/>
    <xf numFmtId="37" fontId="133" fillId="77" borderId="42" applyNumberFormat="0" applyFont="0" applyFill="0" applyAlignment="0" applyProtection="0">
      <protection locked="0"/>
    </xf>
    <xf numFmtId="37" fontId="133" fillId="77" borderId="42" applyNumberFormat="0" applyFont="0" applyFill="0" applyAlignment="0" applyProtection="0">
      <protection locked="0"/>
    </xf>
    <xf numFmtId="0" fontId="92" fillId="0" borderId="43" applyProtection="0"/>
    <xf numFmtId="0" fontId="134" fillId="0" borderId="0" applyNumberFormat="0">
      <alignment vertical="center"/>
    </xf>
    <xf numFmtId="177" fontId="66" fillId="0" borderId="0" applyFont="0" applyFill="0" applyBorder="0" applyAlignment="0" applyProtection="0"/>
    <xf numFmtId="178" fontId="66" fillId="0" borderId="0" applyFont="0" applyFill="0" applyBorder="0" applyAlignment="0" applyProtection="0"/>
    <xf numFmtId="0" fontId="135" fillId="0" borderId="0" applyNumberFormat="0" applyFill="0" applyBorder="0" applyAlignment="0" applyProtection="0"/>
    <xf numFmtId="0" fontId="74" fillId="51" borderId="0" applyNumberFormat="0" applyBorder="0" applyAlignment="0" applyProtection="0">
      <alignment vertical="center"/>
    </xf>
    <xf numFmtId="0" fontId="74" fillId="55" borderId="0" applyNumberFormat="0" applyBorder="0" applyAlignment="0" applyProtection="0">
      <alignment vertical="center"/>
    </xf>
    <xf numFmtId="0" fontId="74" fillId="57" borderId="0" applyNumberFormat="0" applyBorder="0" applyAlignment="0" applyProtection="0">
      <alignment vertical="center"/>
    </xf>
    <xf numFmtId="0" fontId="74" fillId="46" borderId="0" applyNumberFormat="0" applyBorder="0" applyAlignment="0" applyProtection="0">
      <alignment vertical="center"/>
    </xf>
    <xf numFmtId="0" fontId="74" fillId="47" borderId="0" applyNumberFormat="0" applyBorder="0" applyAlignment="0" applyProtection="0">
      <alignment vertical="center"/>
    </xf>
    <xf numFmtId="0" fontId="74" fillId="60" borderId="0" applyNumberFormat="0" applyBorder="0" applyAlignment="0" applyProtection="0">
      <alignment vertical="center"/>
    </xf>
    <xf numFmtId="0" fontId="136" fillId="0" borderId="0" applyNumberFormat="0" applyFill="0" applyBorder="0" applyAlignment="0" applyProtection="0">
      <alignment vertical="center"/>
    </xf>
    <xf numFmtId="0" fontId="137" fillId="61" borderId="13" applyNumberFormat="0" applyAlignment="0" applyProtection="0">
      <alignment vertical="center"/>
    </xf>
    <xf numFmtId="216" fontId="69" fillId="0" borderId="0">
      <protection locked="0"/>
    </xf>
    <xf numFmtId="0" fontId="138" fillId="0" borderId="0">
      <protection locked="0"/>
    </xf>
    <xf numFmtId="0" fontId="138" fillId="0" borderId="0">
      <protection locked="0"/>
    </xf>
    <xf numFmtId="217" fontId="139" fillId="0" borderId="10" applyFont="0" applyFill="0" applyBorder="0" applyAlignment="0">
      <alignment horizontal="left" vertical="center"/>
    </xf>
    <xf numFmtId="0" fontId="140" fillId="36" borderId="0" applyNumberFormat="0" applyBorder="0" applyAlignment="0" applyProtection="0">
      <alignment vertical="center"/>
    </xf>
    <xf numFmtId="0" fontId="99" fillId="0" borderId="0">
      <protection locked="0"/>
    </xf>
    <xf numFmtId="3" fontId="70" fillId="0" borderId="44">
      <alignment horizontal="center"/>
    </xf>
    <xf numFmtId="3" fontId="70" fillId="0" borderId="44">
      <alignment horizontal="center"/>
    </xf>
    <xf numFmtId="3" fontId="70" fillId="0" borderId="44">
      <alignment horizontal="center"/>
    </xf>
    <xf numFmtId="3" fontId="70" fillId="0" borderId="44">
      <alignment horizontal="center"/>
    </xf>
    <xf numFmtId="37" fontId="68" fillId="0" borderId="0"/>
    <xf numFmtId="0" fontId="99" fillId="0" borderId="0">
      <protection locked="0"/>
    </xf>
    <xf numFmtId="0" fontId="141" fillId="0" borderId="0" applyNumberFormat="0" applyFill="0" applyBorder="0" applyAlignment="0" applyProtection="0">
      <alignment vertical="top"/>
      <protection locked="0"/>
    </xf>
    <xf numFmtId="40" fontId="142" fillId="0" borderId="0" applyFont="0" applyFill="0" applyBorder="0" applyAlignment="0" applyProtection="0"/>
    <xf numFmtId="38" fontId="143" fillId="0" borderId="0" applyFont="0" applyFill="0" applyBorder="0" applyAlignment="0" applyProtection="0"/>
    <xf numFmtId="0" fontId="66" fillId="74" borderId="22" applyNumberFormat="0" applyFont="0" applyAlignment="0" applyProtection="0">
      <alignment vertical="center"/>
    </xf>
    <xf numFmtId="0" fontId="143" fillId="0" borderId="0" applyFont="0" applyFill="0" applyBorder="0" applyAlignment="0" applyProtection="0"/>
    <xf numFmtId="0" fontId="142" fillId="0" borderId="0" applyFont="0" applyFill="0" applyBorder="0" applyAlignment="0" applyProtection="0"/>
    <xf numFmtId="9" fontId="144" fillId="69" borderId="0" applyFill="0" applyBorder="0" applyProtection="0">
      <alignment horizontal="right"/>
    </xf>
    <xf numFmtId="10" fontId="144" fillId="0" borderId="0" applyFill="0" applyBorder="0" applyProtection="0">
      <alignment horizontal="right"/>
    </xf>
    <xf numFmtId="0" fontId="145" fillId="73" borderId="0" applyNumberFormat="0" applyBorder="0" applyAlignment="0" applyProtection="0">
      <alignment vertical="center"/>
    </xf>
    <xf numFmtId="0" fontId="146" fillId="0" borderId="0"/>
    <xf numFmtId="0" fontId="147" fillId="0" borderId="0" applyNumberFormat="0" applyFill="0" applyBorder="0" applyAlignment="0" applyProtection="0">
      <alignment vertical="center"/>
    </xf>
    <xf numFmtId="0" fontId="148" fillId="62" borderId="14" applyNumberFormat="0" applyAlignment="0" applyProtection="0">
      <alignment vertical="center"/>
    </xf>
    <xf numFmtId="218" fontId="68" fillId="0" borderId="0"/>
    <xf numFmtId="219" fontId="149" fillId="0" borderId="0">
      <alignment vertical="center"/>
    </xf>
    <xf numFmtId="220" fontId="66" fillId="0" borderId="0" applyFont="0" applyFill="0" applyBorder="0" applyAlignment="0" applyProtection="0"/>
    <xf numFmtId="0" fontId="150" fillId="0" borderId="0" applyFont="0" applyFill="0" applyBorder="0" applyAlignment="0" applyProtection="0"/>
    <xf numFmtId="0" fontId="66" fillId="0" borderId="0"/>
    <xf numFmtId="0" fontId="69" fillId="0" borderId="0"/>
    <xf numFmtId="0" fontId="151" fillId="0" borderId="45"/>
    <xf numFmtId="0" fontId="152" fillId="0" borderId="20" applyNumberFormat="0" applyFill="0" applyAlignment="0" applyProtection="0">
      <alignment vertical="center"/>
    </xf>
    <xf numFmtId="221" fontId="153" fillId="0" borderId="9" applyBorder="0">
      <alignment vertical="center"/>
    </xf>
    <xf numFmtId="0" fontId="154" fillId="0" borderId="46" applyNumberFormat="0" applyFill="0" applyAlignment="0" applyProtection="0">
      <alignment vertical="center"/>
    </xf>
    <xf numFmtId="0" fontId="155" fillId="40" borderId="13" applyNumberFormat="0" applyAlignment="0" applyProtection="0">
      <alignment vertical="center"/>
    </xf>
    <xf numFmtId="4" fontId="99" fillId="0" borderId="0">
      <protection locked="0"/>
    </xf>
    <xf numFmtId="222" fontId="69" fillId="0" borderId="0">
      <protection locked="0"/>
    </xf>
    <xf numFmtId="0" fontId="156" fillId="0" borderId="0" applyNumberFormat="0" applyFill="0" applyBorder="0" applyAlignment="0" applyProtection="0">
      <alignment vertical="center"/>
    </xf>
    <xf numFmtId="0" fontId="157" fillId="0" borderId="47" applyNumberFormat="0" applyFill="0" applyAlignment="0" applyProtection="0">
      <alignment vertical="center"/>
    </xf>
    <xf numFmtId="0" fontId="158" fillId="0" borderId="48" applyNumberFormat="0" applyFill="0" applyAlignment="0" applyProtection="0">
      <alignment vertical="center"/>
    </xf>
    <xf numFmtId="0" fontId="159" fillId="0" borderId="19" applyNumberFormat="0" applyFill="0" applyAlignment="0" applyProtection="0">
      <alignment vertical="center"/>
    </xf>
    <xf numFmtId="0" fontId="159" fillId="0" borderId="0" applyNumberFormat="0" applyFill="0" applyBorder="0" applyAlignment="0" applyProtection="0">
      <alignment vertical="center"/>
    </xf>
    <xf numFmtId="0" fontId="160" fillId="37" borderId="0" applyNumberFormat="0" applyBorder="0" applyAlignment="0" applyProtection="0">
      <alignment vertical="center"/>
    </xf>
    <xf numFmtId="0" fontId="69" fillId="0" borderId="0"/>
    <xf numFmtId="0" fontId="161" fillId="61" borderId="23" applyNumberFormat="0" applyAlignment="0" applyProtection="0">
      <alignment vertical="center"/>
    </xf>
    <xf numFmtId="219" fontId="69" fillId="0" borderId="0" applyFont="0" applyFill="0" applyBorder="0" applyAlignment="0" applyProtection="0"/>
    <xf numFmtId="0" fontId="82" fillId="69" borderId="0" applyFill="0" applyBorder="0" applyProtection="0">
      <alignment horizontal="right"/>
    </xf>
    <xf numFmtId="0" fontId="69" fillId="0" borderId="0" applyFont="0" applyFill="0" applyBorder="0" applyAlignment="0" applyProtection="0"/>
    <xf numFmtId="223" fontId="162" fillId="0" borderId="0" applyFont="0" applyFill="0" applyBorder="0" applyAlignment="0" applyProtection="0"/>
    <xf numFmtId="224" fontId="162" fillId="0" borderId="0" applyFont="0" applyFill="0" applyBorder="0" applyAlignment="0" applyProtection="0"/>
    <xf numFmtId="225" fontId="69" fillId="0" borderId="0">
      <protection locked="0"/>
    </xf>
    <xf numFmtId="0" fontId="66" fillId="0" borderId="0"/>
    <xf numFmtId="0" fontId="163" fillId="0" borderId="0"/>
    <xf numFmtId="0" fontId="99" fillId="0" borderId="49">
      <protection locked="0"/>
    </xf>
    <xf numFmtId="226" fontId="69" fillId="0" borderId="0">
      <protection locked="0"/>
    </xf>
    <xf numFmtId="227" fontId="69" fillId="0" borderId="0">
      <protection locked="0"/>
    </xf>
    <xf numFmtId="0" fontId="164" fillId="0" borderId="0"/>
    <xf numFmtId="41" fontId="164" fillId="0" borderId="0" applyFont="0" applyFill="0" applyBorder="0" applyAlignment="0" applyProtection="0"/>
    <xf numFmtId="43" fontId="164" fillId="0" borderId="0" applyFont="0" applyFill="0" applyBorder="0" applyAlignment="0" applyProtection="0"/>
    <xf numFmtId="0" fontId="165" fillId="0" borderId="0"/>
    <xf numFmtId="0" fontId="166" fillId="0" borderId="0"/>
    <xf numFmtId="172" fontId="150" fillId="0" borderId="0" applyFont="0" applyFill="0" applyBorder="0" applyAlignment="0" applyProtection="0"/>
    <xf numFmtId="172" fontId="164" fillId="0" borderId="0" applyFont="0" applyFill="0" applyBorder="0" applyAlignment="0" applyProtection="0"/>
    <xf numFmtId="173" fontId="164" fillId="0" borderId="0" applyFont="0" applyFill="0" applyBorder="0" applyAlignment="0" applyProtection="0"/>
    <xf numFmtId="0" fontId="167" fillId="0" borderId="0" applyNumberFormat="0" applyFill="0" applyBorder="0" applyAlignment="0" applyProtection="0">
      <alignment vertical="top"/>
      <protection locked="0"/>
    </xf>
    <xf numFmtId="0" fontId="168" fillId="0" borderId="0" applyNumberFormat="0" applyFill="0" applyBorder="0" applyAlignment="0" applyProtection="0">
      <alignment vertical="top"/>
      <protection locked="0"/>
    </xf>
    <xf numFmtId="9" fontId="173" fillId="0" borderId="0">
      <alignment horizontal="right"/>
    </xf>
    <xf numFmtId="230" fontId="94" fillId="0" borderId="0"/>
    <xf numFmtId="0" fontId="78" fillId="0" borderId="0">
      <alignment horizontal="right"/>
    </xf>
    <xf numFmtId="231" fontId="174" fillId="0" borderId="0">
      <alignment horizontal="right"/>
    </xf>
    <xf numFmtId="232" fontId="78" fillId="0" borderId="0">
      <alignment horizontal="right"/>
    </xf>
    <xf numFmtId="166" fontId="150" fillId="0" borderId="0" applyFont="0" applyFill="0" applyBorder="0" applyAlignment="0" applyProtection="0"/>
    <xf numFmtId="233" fontId="66" fillId="0" borderId="0"/>
    <xf numFmtId="167" fontId="175" fillId="0" borderId="0"/>
    <xf numFmtId="234" fontId="94" fillId="0" borderId="0"/>
    <xf numFmtId="235" fontId="150" fillId="0" borderId="0">
      <alignment horizontal="right"/>
    </xf>
    <xf numFmtId="166" fontId="150" fillId="0" borderId="0">
      <alignment horizontal="right"/>
    </xf>
    <xf numFmtId="37" fontId="66" fillId="0" borderId="0"/>
    <xf numFmtId="0" fontId="150" fillId="0" borderId="0"/>
    <xf numFmtId="0" fontId="150" fillId="0" borderId="0"/>
    <xf numFmtId="0" fontId="150" fillId="0" borderId="0" applyFont="0" applyFill="0" applyBorder="0" applyAlignment="0" applyProtection="0"/>
    <xf numFmtId="9" fontId="150" fillId="0" borderId="0"/>
    <xf numFmtId="0" fontId="150" fillId="0" borderId="0"/>
    <xf numFmtId="10" fontId="150" fillId="0" borderId="0"/>
    <xf numFmtId="37" fontId="150" fillId="0" borderId="12" applyFont="0" applyFill="0" applyBorder="0" applyAlignment="0" applyProtection="0"/>
    <xf numFmtId="37" fontId="150" fillId="0" borderId="12" applyFont="0" applyFill="0" applyBorder="0" applyAlignment="0" applyProtection="0"/>
    <xf numFmtId="37" fontId="150" fillId="0" borderId="12" applyFont="0" applyFill="0" applyBorder="0" applyAlignment="0" applyProtection="0"/>
    <xf numFmtId="0" fontId="150" fillId="0" borderId="0" applyNumberFormat="0"/>
    <xf numFmtId="236" fontId="88" fillId="0" borderId="0"/>
    <xf numFmtId="237" fontId="150" fillId="0" borderId="53"/>
    <xf numFmtId="237" fontId="150" fillId="0" borderId="53"/>
    <xf numFmtId="39" fontId="88" fillId="0" borderId="0" applyFont="0" applyFill="0" applyBorder="0" applyAlignment="0" applyProtection="0"/>
    <xf numFmtId="237" fontId="150" fillId="0" borderId="0" applyFont="0" applyFill="0" applyBorder="0" applyAlignment="0" applyProtection="0"/>
    <xf numFmtId="236" fontId="176" fillId="0" borderId="0" applyFont="0" applyFill="0" applyBorder="0" applyAlignment="0" applyProtection="0"/>
    <xf numFmtId="39" fontId="150" fillId="0" borderId="0" applyFont="0" applyFill="0" applyBorder="0" applyAlignment="0" applyProtection="0"/>
    <xf numFmtId="237" fontId="150" fillId="0" borderId="0" applyFont="0" applyFill="0" applyBorder="0" applyAlignment="0" applyProtection="0"/>
    <xf numFmtId="166" fontId="150" fillId="0" borderId="0"/>
    <xf numFmtId="2" fontId="150" fillId="0" borderId="0"/>
    <xf numFmtId="41" fontId="66" fillId="0" borderId="0" applyFont="0" applyFill="0" applyBorder="0" applyAlignment="0" applyProtection="0"/>
    <xf numFmtId="238" fontId="69" fillId="0" borderId="0"/>
    <xf numFmtId="238" fontId="69" fillId="0" borderId="0"/>
    <xf numFmtId="238" fontId="69" fillId="0" borderId="0"/>
    <xf numFmtId="238" fontId="69" fillId="0" borderId="0"/>
    <xf numFmtId="238" fontId="69" fillId="0" borderId="0"/>
    <xf numFmtId="238" fontId="69" fillId="0" borderId="0"/>
    <xf numFmtId="238" fontId="69" fillId="0" borderId="0"/>
    <xf numFmtId="238" fontId="69" fillId="0" borderId="0"/>
    <xf numFmtId="238" fontId="69" fillId="0" borderId="0"/>
    <xf numFmtId="238" fontId="69" fillId="0" borderId="0"/>
    <xf numFmtId="238" fontId="69" fillId="0" borderId="0"/>
    <xf numFmtId="238" fontId="69" fillId="0" borderId="0"/>
    <xf numFmtId="238" fontId="69" fillId="0" borderId="0"/>
    <xf numFmtId="238" fontId="69" fillId="0" borderId="0"/>
    <xf numFmtId="238" fontId="69" fillId="0" borderId="0"/>
    <xf numFmtId="238" fontId="69" fillId="0" borderId="0"/>
    <xf numFmtId="238" fontId="69" fillId="0" borderId="0"/>
    <xf numFmtId="238" fontId="69" fillId="0" borderId="0"/>
    <xf numFmtId="238" fontId="69" fillId="0" borderId="0"/>
    <xf numFmtId="238" fontId="69" fillId="0" borderId="0"/>
    <xf numFmtId="238" fontId="69" fillId="0" borderId="0"/>
    <xf numFmtId="238" fontId="69" fillId="0" borderId="0"/>
    <xf numFmtId="238" fontId="69" fillId="0" borderId="0"/>
    <xf numFmtId="238" fontId="69" fillId="0" borderId="0"/>
    <xf numFmtId="238" fontId="69" fillId="0" borderId="0"/>
    <xf numFmtId="238" fontId="69" fillId="0" borderId="0"/>
    <xf numFmtId="238" fontId="69" fillId="0" borderId="0"/>
    <xf numFmtId="238" fontId="69" fillId="0" borderId="0"/>
    <xf numFmtId="238" fontId="69" fillId="0" borderId="0"/>
    <xf numFmtId="238" fontId="69" fillId="0" borderId="0"/>
    <xf numFmtId="238" fontId="69" fillId="0" borderId="0"/>
    <xf numFmtId="238" fontId="69" fillId="0" borderId="0"/>
    <xf numFmtId="238" fontId="69" fillId="0" borderId="0"/>
    <xf numFmtId="238" fontId="69" fillId="0" borderId="0"/>
    <xf numFmtId="238" fontId="69" fillId="0" borderId="0"/>
    <xf numFmtId="238" fontId="69" fillId="0" borderId="0"/>
    <xf numFmtId="238" fontId="69" fillId="0" borderId="0"/>
    <xf numFmtId="238" fontId="69" fillId="0" borderId="0"/>
    <xf numFmtId="238" fontId="69" fillId="0" borderId="0"/>
    <xf numFmtId="238" fontId="69" fillId="0" borderId="0"/>
    <xf numFmtId="238" fontId="69" fillId="0" borderId="0"/>
    <xf numFmtId="238" fontId="69" fillId="0" borderId="0"/>
    <xf numFmtId="238" fontId="69" fillId="0" borderId="0"/>
    <xf numFmtId="238" fontId="69" fillId="0" borderId="0"/>
    <xf numFmtId="238" fontId="69" fillId="0" borderId="0"/>
    <xf numFmtId="238" fontId="69" fillId="0" borderId="0"/>
    <xf numFmtId="238" fontId="69" fillId="0" borderId="0"/>
    <xf numFmtId="238" fontId="69" fillId="0" borderId="0"/>
    <xf numFmtId="238" fontId="69" fillId="0" borderId="0"/>
    <xf numFmtId="238" fontId="69" fillId="0" borderId="0"/>
    <xf numFmtId="238" fontId="69" fillId="0" borderId="0"/>
    <xf numFmtId="238" fontId="69" fillId="0" borderId="0"/>
    <xf numFmtId="238" fontId="69" fillId="0" borderId="0"/>
    <xf numFmtId="238" fontId="69" fillId="0" borderId="0"/>
    <xf numFmtId="238" fontId="69" fillId="0" borderId="0"/>
    <xf numFmtId="238" fontId="69" fillId="0" borderId="0"/>
    <xf numFmtId="238" fontId="69" fillId="0" borderId="0"/>
    <xf numFmtId="238" fontId="69" fillId="0" borderId="0"/>
    <xf numFmtId="238" fontId="69" fillId="0" borderId="0"/>
    <xf numFmtId="238" fontId="69" fillId="0" borderId="0"/>
    <xf numFmtId="238" fontId="69" fillId="0" borderId="0"/>
    <xf numFmtId="238" fontId="69" fillId="0" borderId="0"/>
    <xf numFmtId="238" fontId="177" fillId="0" borderId="0"/>
    <xf numFmtId="0" fontId="178" fillId="0" borderId="0" applyNumberFormat="0" applyFill="0" applyBorder="0" applyAlignment="0" applyProtection="0">
      <alignment vertical="top"/>
      <protection locked="0"/>
    </xf>
    <xf numFmtId="238" fontId="66" fillId="0" borderId="0"/>
    <xf numFmtId="0" fontId="66" fillId="0" borderId="0"/>
    <xf numFmtId="239" fontId="66" fillId="0" borderId="0" applyFont="0" applyFill="0" applyBorder="0" applyProtection="0">
      <alignment wrapText="1"/>
    </xf>
    <xf numFmtId="240" fontId="66" fillId="0" borderId="0" applyFont="0" applyFill="0" applyBorder="0" applyProtection="0">
      <alignment horizontal="left" wrapText="1"/>
    </xf>
    <xf numFmtId="0" fontId="66" fillId="0" borderId="0" applyFont="0" applyFill="0" applyBorder="0" applyProtection="0">
      <alignment wrapText="1"/>
    </xf>
    <xf numFmtId="241" fontId="66" fillId="0" borderId="0" applyFont="0" applyFill="0" applyBorder="0" applyProtection="0">
      <alignment wrapText="1"/>
    </xf>
    <xf numFmtId="242" fontId="66" fillId="0" borderId="0" applyFont="0" applyFill="0" applyBorder="0" applyProtection="0">
      <alignment wrapText="1"/>
    </xf>
    <xf numFmtId="243" fontId="66" fillId="0" borderId="0" applyFont="0" applyFill="0" applyBorder="0" applyProtection="0">
      <alignment wrapText="1"/>
    </xf>
    <xf numFmtId="244" fontId="66" fillId="0" borderId="0" applyFont="0" applyFill="0" applyBorder="0" applyAlignment="0" applyProtection="0"/>
    <xf numFmtId="245" fontId="66" fillId="0" borderId="0" applyFont="0" applyFill="0" applyBorder="0" applyAlignment="0" applyProtection="0"/>
    <xf numFmtId="246" fontId="66" fillId="0" borderId="0" applyFont="0" applyFill="0" applyBorder="0" applyProtection="0">
      <alignment horizontal="right"/>
    </xf>
    <xf numFmtId="247" fontId="66" fillId="0" borderId="0" applyFont="0" applyFill="0" applyBorder="0" applyProtection="0">
      <alignment horizontal="right"/>
    </xf>
    <xf numFmtId="248" fontId="66" fillId="0" borderId="0" applyFont="0" applyFill="0" applyBorder="0" applyProtection="0">
      <alignment horizontal="right"/>
    </xf>
    <xf numFmtId="249" fontId="66" fillId="0" borderId="0" applyFont="0" applyFill="0" applyBorder="0" applyProtection="0">
      <alignment horizontal="right"/>
    </xf>
    <xf numFmtId="250" fontId="66" fillId="0" borderId="0" applyFont="0" applyFill="0" applyBorder="0" applyProtection="0">
      <alignment horizontal="right"/>
    </xf>
    <xf numFmtId="251" fontId="66" fillId="0" borderId="0" applyFont="0" applyFill="0" applyBorder="0" applyProtection="0">
      <alignment horizontal="right"/>
    </xf>
    <xf numFmtId="252" fontId="66" fillId="0" borderId="0" applyFont="0" applyFill="0" applyBorder="0" applyProtection="0">
      <alignment horizontal="right"/>
    </xf>
    <xf numFmtId="253" fontId="66" fillId="0" borderId="0" applyFont="0" applyFill="0" applyBorder="0" applyProtection="0">
      <alignment horizontal="right"/>
    </xf>
    <xf numFmtId="254" fontId="66" fillId="0" borderId="0" applyFont="0" applyFill="0" applyBorder="0" applyProtection="0">
      <alignment horizontal="right"/>
    </xf>
    <xf numFmtId="255" fontId="66" fillId="0" borderId="0" applyFont="0" applyFill="0" applyBorder="0" applyProtection="0">
      <alignment horizontal="right"/>
    </xf>
    <xf numFmtId="256" fontId="66" fillId="0" borderId="0" applyFont="0" applyFill="0" applyBorder="0" applyProtection="0">
      <alignment horizontal="right"/>
    </xf>
    <xf numFmtId="0" fontId="179" fillId="0" borderId="0" applyFill="0" applyBorder="0" applyProtection="0">
      <alignment horizontal="right"/>
    </xf>
    <xf numFmtId="257" fontId="66" fillId="0" borderId="0" applyFont="0" applyFill="0" applyBorder="0" applyProtection="0">
      <alignment horizontal="right"/>
    </xf>
    <xf numFmtId="257" fontId="66" fillId="0" borderId="0" applyFont="0" applyFill="0" applyBorder="0" applyProtection="0">
      <alignment horizontal="right"/>
    </xf>
    <xf numFmtId="258" fontId="94" fillId="0" borderId="0">
      <alignment horizontal="right"/>
      <protection locked="0"/>
    </xf>
    <xf numFmtId="238" fontId="70" fillId="0" borderId="0"/>
    <xf numFmtId="238" fontId="70" fillId="0" borderId="0"/>
    <xf numFmtId="238" fontId="70" fillId="0" borderId="0"/>
    <xf numFmtId="238" fontId="70" fillId="0" borderId="0"/>
    <xf numFmtId="238" fontId="70" fillId="0" borderId="0"/>
    <xf numFmtId="238" fontId="70" fillId="0" borderId="0"/>
    <xf numFmtId="238" fontId="70" fillId="0" borderId="0"/>
    <xf numFmtId="238" fontId="70" fillId="0" borderId="0"/>
    <xf numFmtId="238" fontId="70" fillId="0" borderId="0"/>
    <xf numFmtId="238" fontId="70" fillId="0" borderId="0"/>
    <xf numFmtId="238" fontId="70" fillId="0" borderId="0"/>
    <xf numFmtId="238" fontId="70" fillId="0" borderId="0"/>
    <xf numFmtId="238" fontId="70" fillId="0" borderId="0"/>
    <xf numFmtId="238" fontId="70" fillId="0" borderId="0"/>
    <xf numFmtId="238" fontId="70" fillId="0" borderId="0"/>
    <xf numFmtId="238" fontId="70" fillId="0" borderId="0"/>
    <xf numFmtId="238" fontId="70" fillId="0" borderId="0"/>
    <xf numFmtId="238" fontId="70" fillId="0" borderId="0"/>
    <xf numFmtId="238" fontId="70" fillId="0" borderId="0"/>
    <xf numFmtId="238" fontId="70" fillId="0" borderId="0"/>
    <xf numFmtId="238" fontId="70" fillId="0" borderId="0"/>
    <xf numFmtId="238" fontId="70" fillId="0" borderId="0"/>
    <xf numFmtId="238" fontId="70" fillId="0" borderId="0"/>
    <xf numFmtId="238" fontId="70" fillId="0" borderId="0"/>
    <xf numFmtId="238" fontId="70" fillId="0" borderId="0"/>
    <xf numFmtId="238" fontId="70" fillId="0" borderId="0"/>
    <xf numFmtId="238" fontId="70" fillId="0" borderId="0"/>
    <xf numFmtId="238" fontId="70" fillId="0" borderId="0"/>
    <xf numFmtId="238" fontId="70" fillId="0" borderId="0"/>
    <xf numFmtId="238" fontId="70" fillId="0" borderId="0"/>
    <xf numFmtId="238" fontId="70" fillId="0" borderId="0"/>
    <xf numFmtId="238" fontId="70" fillId="0" borderId="0"/>
    <xf numFmtId="238" fontId="128" fillId="0" borderId="0"/>
    <xf numFmtId="238" fontId="70" fillId="0" borderId="0"/>
    <xf numFmtId="238" fontId="70" fillId="0" borderId="0"/>
    <xf numFmtId="238" fontId="70" fillId="0" borderId="0"/>
    <xf numFmtId="238" fontId="70" fillId="0" borderId="0"/>
    <xf numFmtId="238" fontId="70" fillId="0" borderId="0"/>
    <xf numFmtId="238" fontId="70" fillId="0" borderId="0"/>
    <xf numFmtId="238" fontId="70" fillId="0" borderId="0"/>
    <xf numFmtId="238" fontId="70" fillId="0" borderId="0"/>
    <xf numFmtId="238" fontId="70" fillId="0" borderId="0"/>
    <xf numFmtId="238" fontId="70" fillId="0" borderId="0"/>
    <xf numFmtId="238" fontId="70" fillId="0" borderId="0"/>
    <xf numFmtId="238" fontId="70" fillId="0" borderId="0"/>
    <xf numFmtId="238" fontId="70" fillId="0" borderId="0"/>
    <xf numFmtId="238" fontId="70" fillId="0" borderId="0"/>
    <xf numFmtId="238" fontId="70" fillId="0" borderId="0"/>
    <xf numFmtId="238" fontId="70" fillId="0" borderId="0"/>
    <xf numFmtId="238" fontId="70" fillId="0" borderId="0"/>
    <xf numFmtId="238" fontId="70" fillId="0" borderId="0"/>
    <xf numFmtId="238" fontId="70" fillId="0" borderId="0"/>
    <xf numFmtId="238" fontId="70" fillId="0" borderId="0"/>
    <xf numFmtId="238" fontId="70" fillId="0" borderId="0"/>
    <xf numFmtId="238" fontId="70" fillId="0" borderId="0"/>
    <xf numFmtId="238" fontId="70" fillId="0" borderId="0"/>
    <xf numFmtId="238" fontId="70" fillId="0" borderId="0"/>
    <xf numFmtId="238" fontId="70" fillId="0" borderId="0"/>
    <xf numFmtId="238" fontId="70" fillId="0" borderId="0"/>
    <xf numFmtId="238" fontId="70" fillId="0" borderId="0"/>
    <xf numFmtId="238" fontId="70" fillId="0" borderId="0"/>
    <xf numFmtId="238" fontId="70" fillId="0" borderId="0"/>
    <xf numFmtId="238" fontId="70" fillId="0" borderId="0"/>
    <xf numFmtId="238" fontId="70" fillId="0" borderId="0"/>
    <xf numFmtId="238" fontId="70" fillId="0" borderId="0"/>
    <xf numFmtId="238" fontId="70" fillId="0" borderId="0"/>
    <xf numFmtId="238" fontId="70" fillId="0" borderId="0"/>
    <xf numFmtId="238" fontId="70" fillId="0" borderId="0"/>
    <xf numFmtId="238" fontId="70" fillId="0" borderId="0"/>
    <xf numFmtId="238" fontId="70" fillId="0" borderId="0"/>
    <xf numFmtId="238" fontId="70" fillId="0" borderId="0"/>
    <xf numFmtId="238" fontId="70" fillId="0" borderId="0"/>
    <xf numFmtId="238" fontId="70" fillId="0" borderId="0"/>
    <xf numFmtId="238" fontId="70" fillId="0" borderId="0"/>
    <xf numFmtId="238" fontId="70" fillId="0" borderId="0"/>
    <xf numFmtId="238" fontId="70" fillId="0" borderId="0"/>
    <xf numFmtId="238" fontId="70" fillId="0" borderId="0"/>
    <xf numFmtId="238" fontId="70" fillId="0" borderId="0"/>
    <xf numFmtId="238" fontId="70" fillId="0" borderId="0"/>
    <xf numFmtId="238" fontId="70" fillId="0" borderId="0"/>
    <xf numFmtId="238" fontId="70" fillId="0" borderId="0"/>
    <xf numFmtId="238" fontId="70" fillId="0" borderId="0"/>
    <xf numFmtId="238" fontId="70" fillId="0" borderId="0"/>
    <xf numFmtId="238" fontId="70" fillId="0" borderId="0"/>
    <xf numFmtId="238" fontId="70" fillId="0" borderId="0"/>
    <xf numFmtId="238" fontId="70" fillId="0" borderId="0"/>
    <xf numFmtId="238" fontId="70" fillId="0" borderId="0"/>
    <xf numFmtId="238" fontId="70" fillId="0" borderId="0"/>
    <xf numFmtId="238" fontId="70" fillId="0" borderId="0"/>
    <xf numFmtId="238" fontId="70" fillId="0" borderId="0"/>
    <xf numFmtId="238" fontId="70" fillId="0" borderId="0"/>
    <xf numFmtId="238" fontId="70" fillId="0" borderId="0"/>
    <xf numFmtId="238" fontId="70" fillId="0" borderId="0"/>
    <xf numFmtId="238" fontId="70" fillId="0" borderId="0"/>
    <xf numFmtId="238" fontId="70" fillId="0" borderId="0"/>
    <xf numFmtId="238" fontId="70" fillId="0" borderId="0"/>
    <xf numFmtId="238" fontId="70" fillId="0" borderId="0"/>
    <xf numFmtId="238" fontId="128" fillId="0" borderId="0"/>
    <xf numFmtId="238" fontId="180" fillId="0" borderId="0"/>
    <xf numFmtId="238" fontId="180" fillId="0" borderId="0"/>
    <xf numFmtId="238" fontId="180" fillId="0" borderId="0"/>
    <xf numFmtId="238" fontId="180" fillId="0" borderId="0"/>
    <xf numFmtId="238" fontId="180" fillId="0" borderId="0"/>
    <xf numFmtId="238" fontId="128" fillId="0" borderId="0"/>
    <xf numFmtId="238" fontId="180" fillId="0" borderId="0"/>
    <xf numFmtId="238" fontId="128" fillId="0" borderId="0"/>
    <xf numFmtId="236" fontId="66" fillId="0" borderId="0" applyFont="0" applyFill="0" applyBorder="0" applyAlignment="0" applyProtection="0"/>
    <xf numFmtId="236" fontId="66" fillId="0" borderId="0" applyFont="0" applyFill="0" applyBorder="0" applyAlignment="0" applyProtection="0"/>
    <xf numFmtId="259" fontId="66" fillId="0" borderId="0" applyFont="0" applyFill="0" applyBorder="0" applyAlignment="0" applyProtection="0"/>
    <xf numFmtId="236" fontId="66" fillId="0" borderId="0" applyFont="0" applyFill="0" applyBorder="0" applyAlignment="0" applyProtection="0"/>
    <xf numFmtId="259" fontId="66" fillId="0" borderId="0" applyFont="0" applyFill="0" applyBorder="0" applyAlignment="0" applyProtection="0"/>
    <xf numFmtId="0" fontId="94" fillId="0" borderId="0" applyFont="0" applyFill="0" applyBorder="0" applyAlignment="0" applyProtection="0"/>
    <xf numFmtId="236" fontId="66" fillId="0" borderId="0" applyFont="0" applyFill="0" applyBorder="0" applyAlignment="0" applyProtection="0"/>
    <xf numFmtId="236" fontId="66" fillId="0" borderId="0" applyFont="0" applyFill="0" applyBorder="0" applyAlignment="0" applyProtection="0"/>
    <xf numFmtId="236" fontId="66" fillId="0" borderId="0" applyFont="0" applyFill="0" applyBorder="0" applyAlignment="0" applyProtection="0"/>
    <xf numFmtId="238" fontId="128" fillId="0" borderId="0"/>
    <xf numFmtId="238" fontId="128" fillId="0" borderId="0"/>
    <xf numFmtId="238" fontId="128" fillId="0" borderId="0"/>
    <xf numFmtId="238" fontId="181" fillId="0" borderId="0"/>
    <xf numFmtId="238" fontId="128" fillId="0" borderId="0"/>
    <xf numFmtId="238" fontId="181" fillId="0" borderId="0"/>
    <xf numFmtId="238" fontId="128" fillId="0" borderId="0"/>
    <xf numFmtId="238" fontId="128" fillId="0" borderId="0"/>
    <xf numFmtId="238" fontId="181" fillId="0" borderId="0"/>
    <xf numFmtId="233" fontId="66" fillId="0" borderId="0" applyFont="0" applyFill="0" applyBorder="0" applyAlignment="0" applyProtection="0"/>
    <xf numFmtId="233" fontId="66" fillId="0" borderId="0" applyFont="0" applyFill="0" applyBorder="0" applyAlignment="0" applyProtection="0"/>
    <xf numFmtId="260" fontId="66" fillId="0" borderId="0" applyFont="0" applyFill="0" applyBorder="0" applyAlignment="0" applyProtection="0"/>
    <xf numFmtId="233" fontId="66" fillId="0" borderId="0" applyFont="0" applyFill="0" applyBorder="0" applyAlignment="0" applyProtection="0"/>
    <xf numFmtId="260" fontId="66" fillId="0" borderId="0" applyFont="0" applyFill="0" applyBorder="0" applyAlignment="0" applyProtection="0"/>
    <xf numFmtId="0" fontId="94" fillId="0" borderId="0" applyFont="0" applyFill="0" applyBorder="0" applyAlignment="0" applyProtection="0"/>
    <xf numFmtId="233" fontId="66" fillId="0" borderId="0" applyFont="0" applyFill="0" applyBorder="0" applyAlignment="0" applyProtection="0"/>
    <xf numFmtId="233" fontId="66" fillId="0" borderId="0" applyFont="0" applyFill="0" applyBorder="0" applyAlignment="0" applyProtection="0"/>
    <xf numFmtId="233" fontId="66" fillId="0" borderId="0" applyFont="0" applyFill="0" applyBorder="0" applyAlignment="0" applyProtection="0"/>
    <xf numFmtId="236" fontId="66" fillId="0" borderId="0" applyFont="0" applyFill="0" applyBorder="0" applyAlignment="0" applyProtection="0"/>
    <xf numFmtId="236" fontId="66" fillId="0" borderId="0" applyFont="0" applyFill="0" applyBorder="0" applyAlignment="0" applyProtection="0"/>
    <xf numFmtId="39" fontId="66" fillId="0" borderId="0" applyFont="0" applyFill="0" applyBorder="0" applyAlignment="0" applyProtection="0"/>
    <xf numFmtId="39" fontId="66" fillId="0" borderId="0" applyFont="0" applyFill="0" applyBorder="0" applyAlignment="0" applyProtection="0"/>
    <xf numFmtId="236" fontId="66" fillId="0" borderId="0" applyFont="0" applyFill="0" applyBorder="0" applyAlignment="0" applyProtection="0"/>
    <xf numFmtId="261" fontId="66" fillId="0" borderId="0" applyFont="0" applyFill="0" applyBorder="0" applyAlignment="0" applyProtection="0"/>
    <xf numFmtId="39" fontId="66" fillId="0" borderId="0" applyFont="0" applyFill="0" applyBorder="0" applyAlignment="0" applyProtection="0"/>
    <xf numFmtId="261" fontId="66" fillId="0" borderId="0" applyFont="0" applyFill="0" applyBorder="0" applyAlignment="0" applyProtection="0"/>
    <xf numFmtId="39" fontId="66" fillId="0" borderId="0" applyFont="0" applyFill="0" applyBorder="0" applyAlignment="0" applyProtection="0"/>
    <xf numFmtId="0" fontId="94" fillId="0" borderId="0" applyFont="0" applyFill="0" applyBorder="0" applyAlignment="0" applyProtection="0"/>
    <xf numFmtId="39" fontId="66" fillId="0" borderId="0" applyFont="0" applyFill="0" applyBorder="0" applyAlignment="0" applyProtection="0"/>
    <xf numFmtId="39" fontId="94" fillId="0" borderId="0" applyFont="0" applyFill="0" applyBorder="0" applyProtection="0">
      <alignment horizontal="right"/>
    </xf>
    <xf numFmtId="39" fontId="66" fillId="0" borderId="0" applyFont="0" applyFill="0" applyBorder="0" applyAlignment="0" applyProtection="0"/>
    <xf numFmtId="39" fontId="66" fillId="0" borderId="0" applyFont="0" applyFill="0" applyBorder="0" applyAlignment="0" applyProtection="0"/>
    <xf numFmtId="39" fontId="66" fillId="0" borderId="0" applyFont="0" applyFill="0" applyBorder="0" applyAlignment="0" applyProtection="0"/>
    <xf numFmtId="39" fontId="66" fillId="0" borderId="0" applyFont="0" applyFill="0" applyBorder="0" applyAlignment="0" applyProtection="0"/>
    <xf numFmtId="0" fontId="66" fillId="0" borderId="0">
      <alignment vertical="top"/>
    </xf>
    <xf numFmtId="238" fontId="182" fillId="0" borderId="0"/>
    <xf numFmtId="238" fontId="150" fillId="0" borderId="0"/>
    <xf numFmtId="262" fontId="66" fillId="0" borderId="0" applyFont="0" applyFill="0" applyBorder="0" applyAlignment="0" applyProtection="0"/>
    <xf numFmtId="238" fontId="180" fillId="0" borderId="0"/>
    <xf numFmtId="0" fontId="183" fillId="0" borderId="0"/>
    <xf numFmtId="0" fontId="184" fillId="0" borderId="0" applyNumberFormat="0" applyFill="0" applyBorder="0" applyAlignment="0" applyProtection="0"/>
    <xf numFmtId="0" fontId="184" fillId="0" borderId="0" applyNumberFormat="0" applyFill="0" applyBorder="0" applyAlignment="0" applyProtection="0"/>
    <xf numFmtId="0" fontId="66" fillId="73" borderId="0" applyNumberFormat="0" applyFont="0" applyAlignment="0" applyProtection="0"/>
    <xf numFmtId="263" fontId="66" fillId="0" borderId="0" applyFont="0" applyFill="0" applyBorder="0" applyAlignment="0" applyProtection="0"/>
    <xf numFmtId="263" fontId="66" fillId="0" borderId="0" applyFont="0" applyFill="0" applyBorder="0" applyAlignment="0" applyProtection="0"/>
    <xf numFmtId="0" fontId="66" fillId="0" borderId="0" applyFont="0" applyFill="0" applyBorder="0" applyAlignment="0" applyProtection="0"/>
    <xf numFmtId="263" fontId="66" fillId="0" borderId="0" applyFont="0" applyFill="0" applyBorder="0" applyAlignment="0" applyProtection="0"/>
    <xf numFmtId="0" fontId="66" fillId="0" borderId="0" applyFont="0" applyFill="0" applyBorder="0" applyAlignment="0" applyProtection="0"/>
    <xf numFmtId="0" fontId="94" fillId="0" borderId="0" applyFont="0" applyFill="0" applyBorder="0" applyAlignment="0" applyProtection="0"/>
    <xf numFmtId="263" fontId="66" fillId="0" borderId="0" applyFont="0" applyFill="0" applyBorder="0" applyAlignment="0" applyProtection="0"/>
    <xf numFmtId="263" fontId="66" fillId="0" borderId="0" applyFont="0" applyFill="0" applyBorder="0" applyAlignment="0" applyProtection="0"/>
    <xf numFmtId="263" fontId="66" fillId="0" borderId="0" applyFont="0" applyFill="0" applyBorder="0" applyAlignment="0" applyProtection="0"/>
    <xf numFmtId="264" fontId="66" fillId="0" borderId="0" applyFont="0" applyFill="0" applyBorder="0" applyAlignment="0" applyProtection="0"/>
    <xf numFmtId="264" fontId="66" fillId="0" borderId="0" applyFont="0" applyFill="0" applyBorder="0" applyAlignment="0" applyProtection="0"/>
    <xf numFmtId="265" fontId="66" fillId="0" borderId="0" applyFont="0" applyFill="0" applyBorder="0" applyProtection="0">
      <alignment horizontal="right"/>
    </xf>
    <xf numFmtId="264" fontId="66" fillId="0" borderId="0" applyFont="0" applyFill="0" applyBorder="0" applyAlignment="0" applyProtection="0"/>
    <xf numFmtId="265" fontId="66" fillId="0" borderId="0" applyFont="0" applyFill="0" applyBorder="0" applyProtection="0">
      <alignment horizontal="right"/>
    </xf>
    <xf numFmtId="0" fontId="94" fillId="0" borderId="0" applyFont="0" applyFill="0" applyBorder="0" applyAlignment="0" applyProtection="0"/>
    <xf numFmtId="264" fontId="66" fillId="0" borderId="0" applyFont="0" applyFill="0" applyBorder="0" applyAlignment="0" applyProtection="0"/>
    <xf numFmtId="264" fontId="66" fillId="0" borderId="0" applyFont="0" applyFill="0" applyBorder="0" applyAlignment="0" applyProtection="0"/>
    <xf numFmtId="264" fontId="66" fillId="0" borderId="0" applyFont="0" applyFill="0" applyBorder="0" applyAlignment="0" applyProtection="0"/>
    <xf numFmtId="266" fontId="66" fillId="0" borderId="0" applyFont="0" applyFill="0" applyBorder="0" applyAlignment="0" applyProtection="0"/>
    <xf numFmtId="266" fontId="66" fillId="0" borderId="0" applyFont="0" applyFill="0" applyBorder="0" applyAlignment="0" applyProtection="0"/>
    <xf numFmtId="266" fontId="66" fillId="0" borderId="0" applyFont="0" applyFill="0" applyBorder="0" applyAlignment="0" applyProtection="0"/>
    <xf numFmtId="0" fontId="94" fillId="0" borderId="0" applyFont="0" applyFill="0" applyBorder="0" applyAlignment="0" applyProtection="0"/>
    <xf numFmtId="267" fontId="66" fillId="0" borderId="0" applyFont="0" applyFill="0" applyBorder="0" applyAlignment="0" applyProtection="0"/>
    <xf numFmtId="267" fontId="66" fillId="0" borderId="0" applyFont="0" applyFill="0" applyBorder="0" applyAlignment="0" applyProtection="0"/>
    <xf numFmtId="267" fontId="66" fillId="0" borderId="0" applyFont="0" applyFill="0" applyBorder="0" applyAlignment="0" applyProtection="0"/>
    <xf numFmtId="0" fontId="94" fillId="0" borderId="0" applyFont="0" applyFill="0" applyBorder="0" applyAlignment="0" applyProtection="0"/>
    <xf numFmtId="238" fontId="128" fillId="0" borderId="0"/>
    <xf numFmtId="0" fontId="185" fillId="0" borderId="0" applyNumberFormat="0" applyFill="0" applyBorder="0" applyProtection="0">
      <alignment vertical="top"/>
    </xf>
    <xf numFmtId="0" fontId="185" fillId="0" borderId="0" applyNumberFormat="0" applyFill="0" applyBorder="0" applyAlignment="0" applyProtection="0"/>
    <xf numFmtId="0" fontId="185" fillId="0" borderId="0" applyNumberFormat="0" applyFill="0" applyBorder="0" applyAlignment="0" applyProtection="0"/>
    <xf numFmtId="0" fontId="185" fillId="0" borderId="0" applyNumberFormat="0" applyFill="0" applyBorder="0" applyProtection="0">
      <alignment vertical="top"/>
    </xf>
    <xf numFmtId="0" fontId="185" fillId="0" borderId="0" applyNumberFormat="0" applyFill="0" applyBorder="0" applyProtection="0">
      <alignment vertical="top"/>
    </xf>
    <xf numFmtId="0" fontId="185" fillId="0" borderId="0" applyNumberFormat="0" applyFill="0" applyBorder="0" applyAlignment="0" applyProtection="0"/>
    <xf numFmtId="0" fontId="186" fillId="0" borderId="0" applyNumberFormat="0" applyFill="0" applyBorder="0" applyAlignment="0" applyProtection="0"/>
    <xf numFmtId="0" fontId="186" fillId="0" borderId="0" applyNumberFormat="0" applyFill="0" applyBorder="0" applyAlignment="0" applyProtection="0"/>
    <xf numFmtId="0" fontId="186" fillId="0" borderId="0" applyNumberFormat="0" applyFill="0" applyBorder="0" applyAlignment="0" applyProtection="0"/>
    <xf numFmtId="0" fontId="186" fillId="0" borderId="42" applyNumberFormat="0" applyFill="0" applyAlignment="0" applyProtection="0"/>
    <xf numFmtId="0" fontId="186" fillId="0" borderId="42" applyNumberFormat="0" applyFill="0" applyAlignment="0" applyProtection="0"/>
    <xf numFmtId="0" fontId="186" fillId="0" borderId="42" applyNumberFormat="0" applyFill="0" applyAlignment="0" applyProtection="0"/>
    <xf numFmtId="0" fontId="186" fillId="0" borderId="42" applyNumberFormat="0" applyFill="0" applyAlignment="0" applyProtection="0"/>
    <xf numFmtId="0" fontId="186" fillId="0" borderId="42" applyNumberFormat="0" applyFill="0" applyAlignment="0" applyProtection="0"/>
    <xf numFmtId="0" fontId="186" fillId="0" borderId="42" applyNumberFormat="0" applyFill="0" applyAlignment="0" applyProtection="0"/>
    <xf numFmtId="0" fontId="186" fillId="0" borderId="42" applyNumberFormat="0" applyFill="0" applyAlignment="0" applyProtection="0"/>
    <xf numFmtId="0" fontId="186" fillId="0" borderId="42" applyNumberFormat="0" applyFill="0" applyAlignment="0" applyProtection="0"/>
    <xf numFmtId="0" fontId="186" fillId="0" borderId="36" applyNumberFormat="0" applyFill="0" applyAlignment="0" applyProtection="0"/>
    <xf numFmtId="0" fontId="186" fillId="0" borderId="36" applyNumberFormat="0" applyFill="0" applyAlignment="0" applyProtection="0"/>
    <xf numFmtId="0" fontId="186" fillId="0" borderId="36" applyNumberFormat="0" applyFill="0" applyAlignment="0" applyProtection="0"/>
    <xf numFmtId="0" fontId="186" fillId="0" borderId="36" applyNumberFormat="0" applyFill="0" applyAlignment="0" applyProtection="0"/>
    <xf numFmtId="0" fontId="186" fillId="0" borderId="36" applyNumberFormat="0" applyFill="0" applyAlignment="0" applyProtection="0"/>
    <xf numFmtId="0" fontId="186" fillId="0" borderId="36" applyNumberFormat="0" applyFill="0" applyAlignment="0" applyProtection="0"/>
    <xf numFmtId="0" fontId="186" fillId="0" borderId="36" applyNumberFormat="0" applyFill="0" applyAlignment="0" applyProtection="0"/>
    <xf numFmtId="0" fontId="186" fillId="0" borderId="36" applyNumberFormat="0" applyFill="0" applyAlignment="0" applyProtection="0"/>
    <xf numFmtId="0" fontId="187" fillId="0" borderId="54" applyNumberFormat="0" applyFill="0" applyProtection="0">
      <alignment horizontal="center"/>
    </xf>
    <xf numFmtId="0" fontId="187" fillId="0" borderId="54" applyNumberFormat="0" applyFill="0" applyProtection="0">
      <alignment horizontal="center"/>
    </xf>
    <xf numFmtId="0" fontId="187" fillId="0" borderId="54" applyNumberFormat="0" applyFill="0" applyProtection="0">
      <alignment horizontal="center"/>
    </xf>
    <xf numFmtId="0" fontId="187" fillId="0" borderId="54" applyNumberFormat="0" applyFill="0" applyProtection="0">
      <alignment horizontal="center"/>
    </xf>
    <xf numFmtId="0" fontId="187" fillId="0" borderId="54" applyNumberFormat="0" applyFill="0" applyProtection="0">
      <alignment horizontal="center"/>
    </xf>
    <xf numFmtId="0" fontId="187" fillId="0" borderId="54" applyNumberFormat="0" applyFill="0" applyProtection="0">
      <alignment horizontal="center"/>
    </xf>
    <xf numFmtId="0" fontId="66" fillId="0" borderId="26" applyNumberFormat="0" applyFont="0" applyFill="0" applyAlignment="0" applyProtection="0"/>
    <xf numFmtId="0" fontId="66" fillId="0" borderId="26" applyNumberFormat="0" applyFont="0" applyFill="0" applyAlignment="0" applyProtection="0"/>
    <xf numFmtId="0" fontId="66" fillId="0" borderId="26" applyNumberFormat="0" applyFont="0" applyFill="0" applyAlignment="0" applyProtection="0"/>
    <xf numFmtId="0" fontId="187" fillId="0" borderId="0" applyNumberFormat="0" applyFill="0" applyBorder="0" applyProtection="0">
      <alignment horizontal="left"/>
    </xf>
    <xf numFmtId="0" fontId="187" fillId="0" borderId="0" applyNumberFormat="0" applyFill="0" applyBorder="0" applyProtection="0">
      <alignment horizontal="left"/>
    </xf>
    <xf numFmtId="0" fontId="188" fillId="0" borderId="0" applyNumberFormat="0" applyFill="0" applyBorder="0" applyProtection="0">
      <alignment horizontal="centerContinuous"/>
    </xf>
    <xf numFmtId="0" fontId="188" fillId="0" borderId="0" applyNumberFormat="0" applyFill="0" applyProtection="0">
      <alignment horizontal="centerContinuous"/>
    </xf>
    <xf numFmtId="0" fontId="188" fillId="0" borderId="0" applyNumberFormat="0" applyFill="0" applyProtection="0">
      <alignment horizontal="centerContinuous"/>
    </xf>
    <xf numFmtId="0" fontId="188" fillId="0" borderId="0" applyNumberFormat="0" applyFill="0" applyBorder="0" applyProtection="0">
      <alignment horizontal="centerContinuous"/>
    </xf>
    <xf numFmtId="0" fontId="186" fillId="0" borderId="0" applyNumberFormat="0" applyFill="0" applyBorder="0" applyAlignment="0" applyProtection="0"/>
    <xf numFmtId="238" fontId="180" fillId="0" borderId="0"/>
    <xf numFmtId="238" fontId="128" fillId="0" borderId="0"/>
    <xf numFmtId="268" fontId="102" fillId="0" borderId="0" applyFill="0" applyBorder="0" applyAlignment="0" applyProtection="0"/>
    <xf numFmtId="269" fontId="102" fillId="0" borderId="0" applyFill="0" applyBorder="0" applyAlignment="0" applyProtection="0"/>
    <xf numFmtId="270" fontId="102" fillId="0" borderId="0" applyFill="0" applyBorder="0" applyAlignment="0" applyProtection="0"/>
    <xf numFmtId="271" fontId="102" fillId="0" borderId="0" applyFill="0" applyBorder="0" applyAlignment="0" applyProtection="0"/>
    <xf numFmtId="0" fontId="189" fillId="0" borderId="0">
      <alignment vertical="center"/>
    </xf>
    <xf numFmtId="0" fontId="190" fillId="0" borderId="0"/>
    <xf numFmtId="0" fontId="88" fillId="0" borderId="0"/>
    <xf numFmtId="0" fontId="70" fillId="0" borderId="0"/>
    <xf numFmtId="9" fontId="102" fillId="0" borderId="0"/>
    <xf numFmtId="238" fontId="66" fillId="0" borderId="0"/>
    <xf numFmtId="0" fontId="70" fillId="0" borderId="0"/>
    <xf numFmtId="10" fontId="70" fillId="0" borderId="0"/>
    <xf numFmtId="233" fontId="94" fillId="0" borderId="0"/>
    <xf numFmtId="0" fontId="191" fillId="0" borderId="26" applyFont="0" applyFill="0" applyBorder="0" applyAlignment="0" applyProtection="0"/>
    <xf numFmtId="0" fontId="191" fillId="0" borderId="26" applyFont="0" applyFill="0" applyBorder="0" applyAlignment="0" applyProtection="0"/>
    <xf numFmtId="3" fontId="88" fillId="0" borderId="0" applyFont="0" applyFill="0" applyBorder="0" applyAlignment="0" applyProtection="0"/>
    <xf numFmtId="0" fontId="70" fillId="0" borderId="0"/>
    <xf numFmtId="0" fontId="70" fillId="0" borderId="0"/>
    <xf numFmtId="0" fontId="70" fillId="0" borderId="0"/>
    <xf numFmtId="0" fontId="70" fillId="0" borderId="0"/>
    <xf numFmtId="199" fontId="150" fillId="0" borderId="0"/>
    <xf numFmtId="199" fontId="150" fillId="0" borderId="0"/>
    <xf numFmtId="0" fontId="70" fillId="0" borderId="0"/>
    <xf numFmtId="0" fontId="70" fillId="0" borderId="0"/>
    <xf numFmtId="3" fontId="88" fillId="0" borderId="0" applyFont="0" applyFill="0" applyBorder="0" applyAlignment="0" applyProtection="0"/>
    <xf numFmtId="0" fontId="150" fillId="0" borderId="0" applyNumberFormat="0"/>
    <xf numFmtId="236" fontId="102" fillId="0" borderId="0"/>
    <xf numFmtId="272" fontId="66" fillId="0" borderId="0" applyFont="0" applyAlignment="0"/>
    <xf numFmtId="0" fontId="88" fillId="0" borderId="0" applyNumberFormat="0" applyFill="0" applyBorder="0" applyAlignment="0" applyProtection="0">
      <alignment horizontal="left"/>
    </xf>
    <xf numFmtId="236" fontId="150" fillId="0" borderId="0"/>
    <xf numFmtId="0" fontId="192" fillId="0" borderId="0" applyNumberFormat="0" applyFill="0" applyBorder="0" applyAlignment="0" applyProtection="0"/>
    <xf numFmtId="0" fontId="193" fillId="0" borderId="0" applyNumberFormat="0" applyFill="0" applyBorder="0" applyAlignment="0" applyProtection="0">
      <alignment horizontal="centerContinuous"/>
    </xf>
    <xf numFmtId="273" fontId="102" fillId="0" borderId="0" applyAlignment="0"/>
    <xf numFmtId="238" fontId="71" fillId="37" borderId="0" applyNumberFormat="0" applyBorder="0" applyAlignment="0" applyProtection="0"/>
    <xf numFmtId="238" fontId="71" fillId="36" borderId="0" applyNumberFormat="0" applyBorder="0" applyAlignment="0" applyProtection="0"/>
    <xf numFmtId="238" fontId="71" fillId="74" borderId="0" applyNumberFormat="0" applyBorder="0" applyAlignment="0" applyProtection="0"/>
    <xf numFmtId="238" fontId="71" fillId="39" borderId="0" applyNumberFormat="0" applyBorder="0" applyAlignment="0" applyProtection="0"/>
    <xf numFmtId="238" fontId="71" fillId="75" borderId="0" applyNumberFormat="0" applyBorder="0" applyAlignment="0" applyProtection="0"/>
    <xf numFmtId="238" fontId="71" fillId="39" borderId="0" applyNumberFormat="0" applyBorder="0" applyAlignment="0" applyProtection="0"/>
    <xf numFmtId="238" fontId="71" fillId="35" borderId="0" applyNumberFormat="0" applyBorder="0" applyAlignment="0" applyProtection="0"/>
    <xf numFmtId="238" fontId="71" fillId="35" borderId="0" applyNumberFormat="0" applyBorder="0" applyAlignment="0" applyProtection="0"/>
    <xf numFmtId="238" fontId="71" fillId="35" borderId="0" applyNumberFormat="0" applyBorder="0" applyAlignment="0" applyProtection="0"/>
    <xf numFmtId="238" fontId="71" fillId="35" borderId="0" applyNumberFormat="0" applyBorder="0" applyAlignment="0" applyProtection="0"/>
    <xf numFmtId="238" fontId="71" fillId="35" borderId="0" applyNumberFormat="0" applyBorder="0" applyAlignment="0" applyProtection="0"/>
    <xf numFmtId="238" fontId="71" fillId="35" borderId="0" applyNumberFormat="0" applyBorder="0" applyAlignment="0" applyProtection="0"/>
    <xf numFmtId="238" fontId="71" fillId="35" borderId="0" applyNumberFormat="0" applyBorder="0" applyAlignment="0" applyProtection="0"/>
    <xf numFmtId="238" fontId="71" fillId="35" borderId="0" applyNumberFormat="0" applyBorder="0" applyAlignment="0" applyProtection="0"/>
    <xf numFmtId="238" fontId="71" fillId="35" borderId="0" applyNumberFormat="0" applyBorder="0" applyAlignment="0" applyProtection="0"/>
    <xf numFmtId="238" fontId="71" fillId="35" borderId="0" applyNumberFormat="0" applyBorder="0" applyAlignment="0" applyProtection="0"/>
    <xf numFmtId="0" fontId="61" fillId="10" borderId="0" applyNumberFormat="0" applyBorder="0" applyAlignment="0" applyProtection="0"/>
    <xf numFmtId="0" fontId="61" fillId="10" borderId="0" applyNumberFormat="0" applyBorder="0" applyAlignment="0" applyProtection="0"/>
    <xf numFmtId="0" fontId="61" fillId="10" borderId="0" applyNumberFormat="0" applyBorder="0" applyAlignment="0" applyProtection="0"/>
    <xf numFmtId="0" fontId="61" fillId="10" borderId="0" applyNumberFormat="0" applyBorder="0" applyAlignment="0" applyProtection="0"/>
    <xf numFmtId="0" fontId="61" fillId="10" borderId="0" applyNumberFormat="0" applyBorder="0" applyAlignment="0" applyProtection="0"/>
    <xf numFmtId="0" fontId="61" fillId="10" borderId="0" applyNumberFormat="0" applyBorder="0" applyAlignment="0" applyProtection="0"/>
    <xf numFmtId="0" fontId="61" fillId="10" borderId="0" applyNumberFormat="0" applyBorder="0" applyAlignment="0" applyProtection="0"/>
    <xf numFmtId="0" fontId="61" fillId="10" borderId="0" applyNumberFormat="0" applyBorder="0" applyAlignment="0" applyProtection="0"/>
    <xf numFmtId="0" fontId="61" fillId="10" borderId="0" applyNumberFormat="0" applyBorder="0" applyAlignment="0" applyProtection="0"/>
    <xf numFmtId="0" fontId="61" fillId="10" borderId="0" applyNumberFormat="0" applyBorder="0" applyAlignment="0" applyProtection="0"/>
    <xf numFmtId="274" fontId="61" fillId="10" borderId="0" applyNumberFormat="0" applyBorder="0" applyAlignment="0" applyProtection="0"/>
    <xf numFmtId="274" fontId="61" fillId="10" borderId="0" applyNumberFormat="0" applyBorder="0" applyAlignment="0" applyProtection="0"/>
    <xf numFmtId="274" fontId="61" fillId="10" borderId="0" applyNumberFormat="0" applyBorder="0" applyAlignment="0" applyProtection="0"/>
    <xf numFmtId="274" fontId="61" fillId="10" borderId="0" applyNumberFormat="0" applyBorder="0" applyAlignment="0" applyProtection="0"/>
    <xf numFmtId="274" fontId="61" fillId="10" borderId="0" applyNumberFormat="0" applyBorder="0" applyAlignment="0" applyProtection="0"/>
    <xf numFmtId="274" fontId="61" fillId="10" borderId="0" applyNumberFormat="0" applyBorder="0" applyAlignment="0" applyProtection="0"/>
    <xf numFmtId="274" fontId="61" fillId="10" borderId="0" applyNumberFormat="0" applyBorder="0" applyAlignment="0" applyProtection="0"/>
    <xf numFmtId="274" fontId="61" fillId="10" borderId="0" applyNumberFormat="0" applyBorder="0" applyAlignment="0" applyProtection="0"/>
    <xf numFmtId="274" fontId="61" fillId="10" borderId="0" applyNumberFormat="0" applyBorder="0" applyAlignment="0" applyProtection="0"/>
    <xf numFmtId="274" fontId="61" fillId="10" borderId="0" applyNumberFormat="0" applyBorder="0" applyAlignment="0" applyProtection="0"/>
    <xf numFmtId="274" fontId="61" fillId="10" borderId="0" applyNumberFormat="0" applyBorder="0" applyAlignment="0" applyProtection="0"/>
    <xf numFmtId="274" fontId="61" fillId="10" borderId="0" applyNumberFormat="0" applyBorder="0" applyAlignment="0" applyProtection="0"/>
    <xf numFmtId="274" fontId="61" fillId="10" borderId="0" applyNumberFormat="0" applyBorder="0" applyAlignment="0" applyProtection="0"/>
    <xf numFmtId="274" fontId="61" fillId="10" borderId="0" applyNumberFormat="0" applyBorder="0" applyAlignment="0" applyProtection="0"/>
    <xf numFmtId="274" fontId="61" fillId="10" borderId="0" applyNumberFormat="0" applyBorder="0" applyAlignment="0" applyProtection="0"/>
    <xf numFmtId="274" fontId="61" fillId="10" borderId="0" applyNumberFormat="0" applyBorder="0" applyAlignment="0" applyProtection="0"/>
    <xf numFmtId="274" fontId="61" fillId="10" borderId="0" applyNumberFormat="0" applyBorder="0" applyAlignment="0" applyProtection="0"/>
    <xf numFmtId="274" fontId="61" fillId="10" borderId="0" applyNumberFormat="0" applyBorder="0" applyAlignment="0" applyProtection="0"/>
    <xf numFmtId="274" fontId="61" fillId="10" borderId="0" applyNumberFormat="0" applyBorder="0" applyAlignment="0" applyProtection="0"/>
    <xf numFmtId="274" fontId="61" fillId="10" borderId="0" applyNumberFormat="0" applyBorder="0" applyAlignment="0" applyProtection="0"/>
    <xf numFmtId="274" fontId="61" fillId="10" borderId="0" applyNumberFormat="0" applyBorder="0" applyAlignment="0" applyProtection="0"/>
    <xf numFmtId="274" fontId="61" fillId="10" borderId="0" applyNumberFormat="0" applyBorder="0" applyAlignment="0" applyProtection="0"/>
    <xf numFmtId="274" fontId="61" fillId="10" borderId="0" applyNumberFormat="0" applyBorder="0" applyAlignment="0" applyProtection="0"/>
    <xf numFmtId="274" fontId="61" fillId="10" borderId="0" applyNumberFormat="0" applyBorder="0" applyAlignment="0" applyProtection="0"/>
    <xf numFmtId="274" fontId="61" fillId="10" borderId="0" applyNumberFormat="0" applyBorder="0" applyAlignment="0" applyProtection="0"/>
    <xf numFmtId="274" fontId="61" fillId="10" borderId="0" applyNumberFormat="0" applyBorder="0" applyAlignment="0" applyProtection="0"/>
    <xf numFmtId="274" fontId="61" fillId="10" borderId="0" applyNumberFormat="0" applyBorder="0" applyAlignment="0" applyProtection="0"/>
    <xf numFmtId="274" fontId="61" fillId="10" borderId="0" applyNumberFormat="0" applyBorder="0" applyAlignment="0" applyProtection="0"/>
    <xf numFmtId="274" fontId="61" fillId="10" borderId="0" applyNumberFormat="0" applyBorder="0" applyAlignment="0" applyProtection="0"/>
    <xf numFmtId="274" fontId="61" fillId="10" borderId="0" applyNumberFormat="0" applyBorder="0" applyAlignment="0" applyProtection="0"/>
    <xf numFmtId="274" fontId="61" fillId="10" borderId="0" applyNumberFormat="0" applyBorder="0" applyAlignment="0" applyProtection="0"/>
    <xf numFmtId="274" fontId="61" fillId="10" borderId="0" applyNumberFormat="0" applyBorder="0" applyAlignment="0" applyProtection="0"/>
    <xf numFmtId="274" fontId="61" fillId="10" borderId="0" applyNumberFormat="0" applyBorder="0" applyAlignment="0" applyProtection="0"/>
    <xf numFmtId="274" fontId="61" fillId="10" borderId="0" applyNumberFormat="0" applyBorder="0" applyAlignment="0" applyProtection="0"/>
    <xf numFmtId="274" fontId="61" fillId="10" borderId="0" applyNumberFormat="0" applyBorder="0" applyAlignment="0" applyProtection="0"/>
    <xf numFmtId="274" fontId="61" fillId="10" borderId="0" applyNumberFormat="0" applyBorder="0" applyAlignment="0" applyProtection="0"/>
    <xf numFmtId="274" fontId="61" fillId="10" borderId="0" applyNumberFormat="0" applyBorder="0" applyAlignment="0" applyProtection="0"/>
    <xf numFmtId="274" fontId="61" fillId="10" borderId="0" applyNumberFormat="0" applyBorder="0" applyAlignment="0" applyProtection="0"/>
    <xf numFmtId="274" fontId="61" fillId="10" borderId="0" applyNumberFormat="0" applyBorder="0" applyAlignment="0" applyProtection="0"/>
    <xf numFmtId="274" fontId="61" fillId="10" borderId="0" applyNumberFormat="0" applyBorder="0" applyAlignment="0" applyProtection="0"/>
    <xf numFmtId="274" fontId="61" fillId="10" borderId="0" applyNumberFormat="0" applyBorder="0" applyAlignment="0" applyProtection="0"/>
    <xf numFmtId="274" fontId="61" fillId="10" borderId="0" applyNumberFormat="0" applyBorder="0" applyAlignment="0" applyProtection="0"/>
    <xf numFmtId="274" fontId="71" fillId="35" borderId="0" applyNumberFormat="0" applyBorder="0" applyAlignment="0" applyProtection="0"/>
    <xf numFmtId="0" fontId="61" fillId="10" borderId="0" applyNumberFormat="0" applyBorder="0" applyAlignment="0" applyProtection="0"/>
    <xf numFmtId="0" fontId="61" fillId="10" borderId="0" applyNumberFormat="0" applyBorder="0" applyAlignment="0" applyProtection="0"/>
    <xf numFmtId="0" fontId="61" fillId="10" borderId="0" applyNumberFormat="0" applyBorder="0" applyAlignment="0" applyProtection="0"/>
    <xf numFmtId="0" fontId="61" fillId="10" borderId="0" applyNumberFormat="0" applyBorder="0" applyAlignment="0" applyProtection="0"/>
    <xf numFmtId="0" fontId="61" fillId="10" borderId="0" applyNumberFormat="0" applyBorder="0" applyAlignment="0" applyProtection="0"/>
    <xf numFmtId="0" fontId="61" fillId="10" borderId="0" applyNumberFormat="0" applyBorder="0" applyAlignment="0" applyProtection="0"/>
    <xf numFmtId="0" fontId="61" fillId="10" borderId="0" applyNumberFormat="0" applyBorder="0" applyAlignment="0" applyProtection="0"/>
    <xf numFmtId="0" fontId="61" fillId="10" borderId="0" applyNumberFormat="0" applyBorder="0" applyAlignment="0" applyProtection="0"/>
    <xf numFmtId="0" fontId="61" fillId="10" borderId="0" applyNumberFormat="0" applyBorder="0" applyAlignment="0" applyProtection="0"/>
    <xf numFmtId="0" fontId="61" fillId="10" borderId="0" applyNumberFormat="0" applyBorder="0" applyAlignment="0" applyProtection="0"/>
    <xf numFmtId="0" fontId="61" fillId="10" borderId="0" applyNumberFormat="0" applyBorder="0" applyAlignment="0" applyProtection="0"/>
    <xf numFmtId="0" fontId="61" fillId="10" borderId="0" applyNumberFormat="0" applyBorder="0" applyAlignment="0" applyProtection="0"/>
    <xf numFmtId="0" fontId="61" fillId="10" borderId="0" applyNumberFormat="0" applyBorder="0" applyAlignment="0" applyProtection="0"/>
    <xf numFmtId="0" fontId="61" fillId="10" borderId="0" applyNumberFormat="0" applyBorder="0" applyAlignment="0" applyProtection="0"/>
    <xf numFmtId="0" fontId="61" fillId="10" borderId="0" applyNumberFormat="0" applyBorder="0" applyAlignment="0" applyProtection="0"/>
    <xf numFmtId="0" fontId="61" fillId="10" borderId="0" applyNumberFormat="0" applyBorder="0" applyAlignment="0" applyProtection="0"/>
    <xf numFmtId="0" fontId="61" fillId="10" borderId="0" applyNumberFormat="0" applyBorder="0" applyAlignment="0" applyProtection="0"/>
    <xf numFmtId="0" fontId="61" fillId="10" borderId="0" applyNumberFormat="0" applyBorder="0" applyAlignment="0" applyProtection="0"/>
    <xf numFmtId="0" fontId="61" fillId="10" borderId="0" applyNumberFormat="0" applyBorder="0" applyAlignment="0" applyProtection="0"/>
    <xf numFmtId="0" fontId="61" fillId="10" borderId="0" applyNumberFormat="0" applyBorder="0" applyAlignment="0" applyProtection="0"/>
    <xf numFmtId="0" fontId="61" fillId="10" borderId="0" applyNumberFormat="0" applyBorder="0" applyAlignment="0" applyProtection="0"/>
    <xf numFmtId="0" fontId="61" fillId="10" borderId="0" applyNumberFormat="0" applyBorder="0" applyAlignment="0" applyProtection="0"/>
    <xf numFmtId="0" fontId="61" fillId="10" borderId="0" applyNumberFormat="0" applyBorder="0" applyAlignment="0" applyProtection="0"/>
    <xf numFmtId="0" fontId="61" fillId="10" borderId="0" applyNumberFormat="0" applyBorder="0" applyAlignment="0" applyProtection="0"/>
    <xf numFmtId="0" fontId="61" fillId="10" borderId="0" applyNumberFormat="0" applyBorder="0" applyAlignment="0" applyProtection="0"/>
    <xf numFmtId="0" fontId="61" fillId="10" borderId="0" applyNumberFormat="0" applyBorder="0" applyAlignment="0" applyProtection="0"/>
    <xf numFmtId="0" fontId="61" fillId="10" borderId="0" applyNumberFormat="0" applyBorder="0" applyAlignment="0" applyProtection="0"/>
    <xf numFmtId="0" fontId="61" fillId="10" borderId="0" applyNumberFormat="0" applyBorder="0" applyAlignment="0" applyProtection="0"/>
    <xf numFmtId="0" fontId="61" fillId="10" borderId="0" applyNumberFormat="0" applyBorder="0" applyAlignment="0" applyProtection="0"/>
    <xf numFmtId="0" fontId="61" fillId="10" borderId="0" applyNumberFormat="0" applyBorder="0" applyAlignment="0" applyProtection="0"/>
    <xf numFmtId="0" fontId="61" fillId="10" borderId="0" applyNumberFormat="0" applyBorder="0" applyAlignment="0" applyProtection="0"/>
    <xf numFmtId="0" fontId="61" fillId="10" borderId="0" applyNumberFormat="0" applyBorder="0" applyAlignment="0" applyProtection="0"/>
    <xf numFmtId="0" fontId="71" fillId="35" borderId="0" applyNumberFormat="0" applyBorder="0" applyAlignment="0" applyProtection="0"/>
    <xf numFmtId="238" fontId="71" fillId="35" borderId="0" applyNumberFormat="0" applyBorder="0" applyAlignment="0" applyProtection="0"/>
    <xf numFmtId="238" fontId="71" fillId="35" borderId="0" applyNumberFormat="0" applyBorder="0" applyAlignment="0" applyProtection="0"/>
    <xf numFmtId="238" fontId="71" fillId="35" borderId="0" applyNumberFormat="0" applyBorder="0" applyAlignment="0" applyProtection="0"/>
    <xf numFmtId="238" fontId="71" fillId="35" borderId="0" applyNumberFormat="0" applyBorder="0" applyAlignment="0" applyProtection="0"/>
    <xf numFmtId="238" fontId="71" fillId="35" borderId="0" applyNumberFormat="0" applyBorder="0" applyAlignment="0" applyProtection="0"/>
    <xf numFmtId="238" fontId="71" fillId="35" borderId="0" applyNumberFormat="0" applyBorder="0" applyAlignment="0" applyProtection="0"/>
    <xf numFmtId="238" fontId="71" fillId="35" borderId="0" applyNumberFormat="0" applyBorder="0" applyAlignment="0" applyProtection="0"/>
    <xf numFmtId="238" fontId="71" fillId="35" borderId="0" applyNumberFormat="0" applyBorder="0" applyAlignment="0" applyProtection="0"/>
    <xf numFmtId="238" fontId="71" fillId="35" borderId="0" applyNumberFormat="0" applyBorder="0" applyAlignment="0" applyProtection="0"/>
    <xf numFmtId="238" fontId="71" fillId="35" borderId="0" applyNumberFormat="0" applyBorder="0" applyAlignment="0" applyProtection="0"/>
    <xf numFmtId="238" fontId="71" fillId="35" borderId="0" applyNumberFormat="0" applyBorder="0" applyAlignment="0" applyProtection="0"/>
    <xf numFmtId="238" fontId="71" fillId="35" borderId="0" applyNumberFormat="0" applyBorder="0" applyAlignment="0" applyProtection="0"/>
    <xf numFmtId="238" fontId="71" fillId="35" borderId="0" applyNumberFormat="0" applyBorder="0" applyAlignment="0" applyProtection="0"/>
    <xf numFmtId="238" fontId="71" fillId="35" borderId="0" applyNumberFormat="0" applyBorder="0" applyAlignment="0" applyProtection="0"/>
    <xf numFmtId="238" fontId="71" fillId="35" borderId="0" applyNumberFormat="0" applyBorder="0" applyAlignment="0" applyProtection="0"/>
    <xf numFmtId="238" fontId="71" fillId="35" borderId="0" applyNumberFormat="0" applyBorder="0" applyAlignment="0" applyProtection="0"/>
    <xf numFmtId="238" fontId="71" fillId="35" borderId="0" applyNumberFormat="0" applyBorder="0" applyAlignment="0" applyProtection="0"/>
    <xf numFmtId="238" fontId="71" fillId="35" borderId="0" applyNumberFormat="0" applyBorder="0" applyAlignment="0" applyProtection="0"/>
    <xf numFmtId="238" fontId="71" fillId="35" borderId="0" applyNumberFormat="0" applyBorder="0" applyAlignment="0" applyProtection="0"/>
    <xf numFmtId="238" fontId="71" fillId="35" borderId="0" applyNumberFormat="0" applyBorder="0" applyAlignment="0" applyProtection="0"/>
    <xf numFmtId="238" fontId="71" fillId="35" borderId="0" applyNumberFormat="0" applyBorder="0" applyAlignment="0" applyProtection="0"/>
    <xf numFmtId="238" fontId="71" fillId="35" borderId="0" applyNumberFormat="0" applyBorder="0" applyAlignment="0" applyProtection="0"/>
    <xf numFmtId="238" fontId="71" fillId="35" borderId="0" applyNumberFormat="0" applyBorder="0" applyAlignment="0" applyProtection="0"/>
    <xf numFmtId="238" fontId="71" fillId="35" borderId="0" applyNumberFormat="0" applyBorder="0" applyAlignment="0" applyProtection="0"/>
    <xf numFmtId="238" fontId="71" fillId="35" borderId="0" applyNumberFormat="0" applyBorder="0" applyAlignment="0" applyProtection="0"/>
    <xf numFmtId="238" fontId="71" fillId="35" borderId="0" applyNumberFormat="0" applyBorder="0" applyAlignment="0" applyProtection="0"/>
    <xf numFmtId="238" fontId="71" fillId="35" borderId="0" applyNumberFormat="0" applyBorder="0" applyAlignment="0" applyProtection="0"/>
    <xf numFmtId="238" fontId="71" fillId="35" borderId="0" applyNumberFormat="0" applyBorder="0" applyAlignment="0" applyProtection="0"/>
    <xf numFmtId="238" fontId="71" fillId="35" borderId="0" applyNumberFormat="0" applyBorder="0" applyAlignment="0" applyProtection="0"/>
    <xf numFmtId="238" fontId="71" fillId="35" borderId="0" applyNumberFormat="0" applyBorder="0" applyAlignment="0" applyProtection="0"/>
    <xf numFmtId="238" fontId="71" fillId="35" borderId="0" applyNumberFormat="0" applyBorder="0" applyAlignment="0" applyProtection="0"/>
    <xf numFmtId="238" fontId="71" fillId="35" borderId="0" applyNumberFormat="0" applyBorder="0" applyAlignment="0" applyProtection="0"/>
    <xf numFmtId="238" fontId="71" fillId="35" borderId="0" applyNumberFormat="0" applyBorder="0" applyAlignment="0" applyProtection="0"/>
    <xf numFmtId="238" fontId="71" fillId="35" borderId="0" applyNumberFormat="0" applyBorder="0" applyAlignment="0" applyProtection="0"/>
    <xf numFmtId="238" fontId="71" fillId="35" borderId="0" applyNumberFormat="0" applyBorder="0" applyAlignment="0" applyProtection="0"/>
    <xf numFmtId="238" fontId="71" fillId="35" borderId="0" applyNumberFormat="0" applyBorder="0" applyAlignment="0" applyProtection="0"/>
    <xf numFmtId="238" fontId="71" fillId="35" borderId="0" applyNumberFormat="0" applyBorder="0" applyAlignment="0" applyProtection="0"/>
    <xf numFmtId="238" fontId="71" fillId="35" borderId="0" applyNumberFormat="0" applyBorder="0" applyAlignment="0" applyProtection="0"/>
    <xf numFmtId="238" fontId="71" fillId="35" borderId="0" applyNumberFormat="0" applyBorder="0" applyAlignment="0" applyProtection="0"/>
    <xf numFmtId="238" fontId="71" fillId="35" borderId="0" applyNumberFormat="0" applyBorder="0" applyAlignment="0" applyProtection="0"/>
    <xf numFmtId="238" fontId="71" fillId="35" borderId="0" applyNumberFormat="0" applyBorder="0" applyAlignment="0" applyProtection="0"/>
    <xf numFmtId="238" fontId="71" fillId="35" borderId="0" applyNumberFormat="0" applyBorder="0" applyAlignment="0" applyProtection="0"/>
    <xf numFmtId="238" fontId="71" fillId="35" borderId="0" applyNumberFormat="0" applyBorder="0" applyAlignment="0" applyProtection="0"/>
    <xf numFmtId="238" fontId="71" fillId="36" borderId="0" applyNumberFormat="0" applyBorder="0" applyAlignment="0" applyProtection="0"/>
    <xf numFmtId="238" fontId="71" fillId="36" borderId="0" applyNumberFormat="0" applyBorder="0" applyAlignment="0" applyProtection="0"/>
    <xf numFmtId="238" fontId="71" fillId="36" borderId="0" applyNumberFormat="0" applyBorder="0" applyAlignment="0" applyProtection="0"/>
    <xf numFmtId="238" fontId="71" fillId="36" borderId="0" applyNumberFormat="0" applyBorder="0" applyAlignment="0" applyProtection="0"/>
    <xf numFmtId="238" fontId="71" fillId="36" borderId="0" applyNumberFormat="0" applyBorder="0" applyAlignment="0" applyProtection="0"/>
    <xf numFmtId="238" fontId="71" fillId="36" borderId="0" applyNumberFormat="0" applyBorder="0" applyAlignment="0" applyProtection="0"/>
    <xf numFmtId="238" fontId="71" fillId="36" borderId="0" applyNumberFormat="0" applyBorder="0" applyAlignment="0" applyProtection="0"/>
    <xf numFmtId="238" fontId="71" fillId="36" borderId="0" applyNumberFormat="0" applyBorder="0" applyAlignment="0" applyProtection="0"/>
    <xf numFmtId="238" fontId="71" fillId="36" borderId="0" applyNumberFormat="0" applyBorder="0" applyAlignment="0" applyProtection="0"/>
    <xf numFmtId="238" fontId="71" fillId="36" borderId="0" applyNumberFormat="0" applyBorder="0" applyAlignment="0" applyProtection="0"/>
    <xf numFmtId="0" fontId="61" fillId="14" borderId="0" applyNumberFormat="0" applyBorder="0" applyAlignment="0" applyProtection="0"/>
    <xf numFmtId="0" fontId="61" fillId="14" borderId="0" applyNumberFormat="0" applyBorder="0" applyAlignment="0" applyProtection="0"/>
    <xf numFmtId="0" fontId="61" fillId="14" borderId="0" applyNumberFormat="0" applyBorder="0" applyAlignment="0" applyProtection="0"/>
    <xf numFmtId="0" fontId="61" fillId="14" borderId="0" applyNumberFormat="0" applyBorder="0" applyAlignment="0" applyProtection="0"/>
    <xf numFmtId="0" fontId="61" fillId="14" borderId="0" applyNumberFormat="0" applyBorder="0" applyAlignment="0" applyProtection="0"/>
    <xf numFmtId="0" fontId="61" fillId="14" borderId="0" applyNumberFormat="0" applyBorder="0" applyAlignment="0" applyProtection="0"/>
    <xf numFmtId="0" fontId="61" fillId="14" borderId="0" applyNumberFormat="0" applyBorder="0" applyAlignment="0" applyProtection="0"/>
    <xf numFmtId="0" fontId="61" fillId="14" borderId="0" applyNumberFormat="0" applyBorder="0" applyAlignment="0" applyProtection="0"/>
    <xf numFmtId="0" fontId="61" fillId="14" borderId="0" applyNumberFormat="0" applyBorder="0" applyAlignment="0" applyProtection="0"/>
    <xf numFmtId="0" fontId="61" fillId="14" borderId="0" applyNumberFormat="0" applyBorder="0" applyAlignment="0" applyProtection="0"/>
    <xf numFmtId="274" fontId="61" fillId="14" borderId="0" applyNumberFormat="0" applyBorder="0" applyAlignment="0" applyProtection="0"/>
    <xf numFmtId="274" fontId="61" fillId="14" borderId="0" applyNumberFormat="0" applyBorder="0" applyAlignment="0" applyProtection="0"/>
    <xf numFmtId="274" fontId="61" fillId="14" borderId="0" applyNumberFormat="0" applyBorder="0" applyAlignment="0" applyProtection="0"/>
    <xf numFmtId="274" fontId="61" fillId="14" borderId="0" applyNumberFormat="0" applyBorder="0" applyAlignment="0" applyProtection="0"/>
    <xf numFmtId="274" fontId="61" fillId="14" borderId="0" applyNumberFormat="0" applyBorder="0" applyAlignment="0" applyProtection="0"/>
    <xf numFmtId="274" fontId="61" fillId="14" borderId="0" applyNumberFormat="0" applyBorder="0" applyAlignment="0" applyProtection="0"/>
    <xf numFmtId="274" fontId="61" fillId="14" borderId="0" applyNumberFormat="0" applyBorder="0" applyAlignment="0" applyProtection="0"/>
    <xf numFmtId="274" fontId="61" fillId="14" borderId="0" applyNumberFormat="0" applyBorder="0" applyAlignment="0" applyProtection="0"/>
    <xf numFmtId="274" fontId="61" fillId="14" borderId="0" applyNumberFormat="0" applyBorder="0" applyAlignment="0" applyProtection="0"/>
    <xf numFmtId="274" fontId="61" fillId="14" borderId="0" applyNumberFormat="0" applyBorder="0" applyAlignment="0" applyProtection="0"/>
    <xf numFmtId="274" fontId="61" fillId="14" borderId="0" applyNumberFormat="0" applyBorder="0" applyAlignment="0" applyProtection="0"/>
    <xf numFmtId="274" fontId="61" fillId="14" borderId="0" applyNumberFormat="0" applyBorder="0" applyAlignment="0" applyProtection="0"/>
    <xf numFmtId="274" fontId="61" fillId="14" borderId="0" applyNumberFormat="0" applyBorder="0" applyAlignment="0" applyProtection="0"/>
    <xf numFmtId="274" fontId="61" fillId="14" borderId="0" applyNumberFormat="0" applyBorder="0" applyAlignment="0" applyProtection="0"/>
    <xf numFmtId="274" fontId="61" fillId="14" borderId="0" applyNumberFormat="0" applyBorder="0" applyAlignment="0" applyProtection="0"/>
    <xf numFmtId="274" fontId="61" fillId="14" borderId="0" applyNumberFormat="0" applyBorder="0" applyAlignment="0" applyProtection="0"/>
    <xf numFmtId="274" fontId="61" fillId="14" borderId="0" applyNumberFormat="0" applyBorder="0" applyAlignment="0" applyProtection="0"/>
    <xf numFmtId="274" fontId="61" fillId="14" borderId="0" applyNumberFormat="0" applyBorder="0" applyAlignment="0" applyProtection="0"/>
    <xf numFmtId="274" fontId="61" fillId="14" borderId="0" applyNumberFormat="0" applyBorder="0" applyAlignment="0" applyProtection="0"/>
    <xf numFmtId="274" fontId="61" fillId="14" borderId="0" applyNumberFormat="0" applyBorder="0" applyAlignment="0" applyProtection="0"/>
    <xf numFmtId="274" fontId="61" fillId="14" borderId="0" applyNumberFormat="0" applyBorder="0" applyAlignment="0" applyProtection="0"/>
    <xf numFmtId="274" fontId="61" fillId="14" borderId="0" applyNumberFormat="0" applyBorder="0" applyAlignment="0" applyProtection="0"/>
    <xf numFmtId="274" fontId="61" fillId="14" borderId="0" applyNumberFormat="0" applyBorder="0" applyAlignment="0" applyProtection="0"/>
    <xf numFmtId="274" fontId="61" fillId="14" borderId="0" applyNumberFormat="0" applyBorder="0" applyAlignment="0" applyProtection="0"/>
    <xf numFmtId="274" fontId="61" fillId="14" borderId="0" applyNumberFormat="0" applyBorder="0" applyAlignment="0" applyProtection="0"/>
    <xf numFmtId="274" fontId="61" fillId="14" borderId="0" applyNumberFormat="0" applyBorder="0" applyAlignment="0" applyProtection="0"/>
    <xf numFmtId="274" fontId="61" fillId="14" borderId="0" applyNumberFormat="0" applyBorder="0" applyAlignment="0" applyProtection="0"/>
    <xf numFmtId="274" fontId="61" fillId="14" borderId="0" applyNumberFormat="0" applyBorder="0" applyAlignment="0" applyProtection="0"/>
    <xf numFmtId="274" fontId="61" fillId="14" borderId="0" applyNumberFormat="0" applyBorder="0" applyAlignment="0" applyProtection="0"/>
    <xf numFmtId="274" fontId="61" fillId="14" borderId="0" applyNumberFormat="0" applyBorder="0" applyAlignment="0" applyProtection="0"/>
    <xf numFmtId="274" fontId="61" fillId="14" borderId="0" applyNumberFormat="0" applyBorder="0" applyAlignment="0" applyProtection="0"/>
    <xf numFmtId="274" fontId="61" fillId="14" borderId="0" applyNumberFormat="0" applyBorder="0" applyAlignment="0" applyProtection="0"/>
    <xf numFmtId="274" fontId="61" fillId="14" borderId="0" applyNumberFormat="0" applyBorder="0" applyAlignment="0" applyProtection="0"/>
    <xf numFmtId="274" fontId="61" fillId="14" borderId="0" applyNumberFormat="0" applyBorder="0" applyAlignment="0" applyProtection="0"/>
    <xf numFmtId="274" fontId="61" fillId="14" borderId="0" applyNumberFormat="0" applyBorder="0" applyAlignment="0" applyProtection="0"/>
    <xf numFmtId="274" fontId="61" fillId="14" borderId="0" applyNumberFormat="0" applyBorder="0" applyAlignment="0" applyProtection="0"/>
    <xf numFmtId="274" fontId="61" fillId="14" borderId="0" applyNumberFormat="0" applyBorder="0" applyAlignment="0" applyProtection="0"/>
    <xf numFmtId="274" fontId="61" fillId="14" borderId="0" applyNumberFormat="0" applyBorder="0" applyAlignment="0" applyProtection="0"/>
    <xf numFmtId="274" fontId="61" fillId="14" borderId="0" applyNumberFormat="0" applyBorder="0" applyAlignment="0" applyProtection="0"/>
    <xf numFmtId="274" fontId="61" fillId="14" borderId="0" applyNumberFormat="0" applyBorder="0" applyAlignment="0" applyProtection="0"/>
    <xf numFmtId="274" fontId="61" fillId="14" borderId="0" applyNumberFormat="0" applyBorder="0" applyAlignment="0" applyProtection="0"/>
    <xf numFmtId="274" fontId="61" fillId="14" borderId="0" applyNumberFormat="0" applyBorder="0" applyAlignment="0" applyProtection="0"/>
    <xf numFmtId="274" fontId="71" fillId="36" borderId="0" applyNumberFormat="0" applyBorder="0" applyAlignment="0" applyProtection="0"/>
    <xf numFmtId="0" fontId="61" fillId="14" borderId="0" applyNumberFormat="0" applyBorder="0" applyAlignment="0" applyProtection="0"/>
    <xf numFmtId="0" fontId="61" fillId="14" borderId="0" applyNumberFormat="0" applyBorder="0" applyAlignment="0" applyProtection="0"/>
    <xf numFmtId="0" fontId="61" fillId="14" borderId="0" applyNumberFormat="0" applyBorder="0" applyAlignment="0" applyProtection="0"/>
    <xf numFmtId="0" fontId="61" fillId="14" borderId="0" applyNumberFormat="0" applyBorder="0" applyAlignment="0" applyProtection="0"/>
    <xf numFmtId="0" fontId="61" fillId="14" borderId="0" applyNumberFormat="0" applyBorder="0" applyAlignment="0" applyProtection="0"/>
    <xf numFmtId="0" fontId="61" fillId="14" borderId="0" applyNumberFormat="0" applyBorder="0" applyAlignment="0" applyProtection="0"/>
    <xf numFmtId="0" fontId="61" fillId="14" borderId="0" applyNumberFormat="0" applyBorder="0" applyAlignment="0" applyProtection="0"/>
    <xf numFmtId="0" fontId="61" fillId="14" borderId="0" applyNumberFormat="0" applyBorder="0" applyAlignment="0" applyProtection="0"/>
    <xf numFmtId="0" fontId="61" fillId="14" borderId="0" applyNumberFormat="0" applyBorder="0" applyAlignment="0" applyProtection="0"/>
    <xf numFmtId="0" fontId="61" fillId="14" borderId="0" applyNumberFormat="0" applyBorder="0" applyAlignment="0" applyProtection="0"/>
    <xf numFmtId="0" fontId="61" fillId="14" borderId="0" applyNumberFormat="0" applyBorder="0" applyAlignment="0" applyProtection="0"/>
    <xf numFmtId="0" fontId="61" fillId="14" borderId="0" applyNumberFormat="0" applyBorder="0" applyAlignment="0" applyProtection="0"/>
    <xf numFmtId="0" fontId="61" fillId="14" borderId="0" applyNumberFormat="0" applyBorder="0" applyAlignment="0" applyProtection="0"/>
    <xf numFmtId="0" fontId="61" fillId="14" borderId="0" applyNumberFormat="0" applyBorder="0" applyAlignment="0" applyProtection="0"/>
    <xf numFmtId="0" fontId="61" fillId="14" borderId="0" applyNumberFormat="0" applyBorder="0" applyAlignment="0" applyProtection="0"/>
    <xf numFmtId="0" fontId="61" fillId="14" borderId="0" applyNumberFormat="0" applyBorder="0" applyAlignment="0" applyProtection="0"/>
    <xf numFmtId="0" fontId="61" fillId="14" borderId="0" applyNumberFormat="0" applyBorder="0" applyAlignment="0" applyProtection="0"/>
    <xf numFmtId="0" fontId="61" fillId="14" borderId="0" applyNumberFormat="0" applyBorder="0" applyAlignment="0" applyProtection="0"/>
    <xf numFmtId="0" fontId="61" fillId="14" borderId="0" applyNumberFormat="0" applyBorder="0" applyAlignment="0" applyProtection="0"/>
    <xf numFmtId="0" fontId="61" fillId="14" borderId="0" applyNumberFormat="0" applyBorder="0" applyAlignment="0" applyProtection="0"/>
    <xf numFmtId="0" fontId="61" fillId="14" borderId="0" applyNumberFormat="0" applyBorder="0" applyAlignment="0" applyProtection="0"/>
    <xf numFmtId="0" fontId="61" fillId="14" borderId="0" applyNumberFormat="0" applyBorder="0" applyAlignment="0" applyProtection="0"/>
    <xf numFmtId="0" fontId="61" fillId="14" borderId="0" applyNumberFormat="0" applyBorder="0" applyAlignment="0" applyProtection="0"/>
    <xf numFmtId="0" fontId="61" fillId="14" borderId="0" applyNumberFormat="0" applyBorder="0" applyAlignment="0" applyProtection="0"/>
    <xf numFmtId="0" fontId="61" fillId="14" borderId="0" applyNumberFormat="0" applyBorder="0" applyAlignment="0" applyProtection="0"/>
    <xf numFmtId="0" fontId="61" fillId="14" borderId="0" applyNumberFormat="0" applyBorder="0" applyAlignment="0" applyProtection="0"/>
    <xf numFmtId="0" fontId="61" fillId="14" borderId="0" applyNumberFormat="0" applyBorder="0" applyAlignment="0" applyProtection="0"/>
    <xf numFmtId="0" fontId="61" fillId="14" borderId="0" applyNumberFormat="0" applyBorder="0" applyAlignment="0" applyProtection="0"/>
    <xf numFmtId="0" fontId="61" fillId="14" borderId="0" applyNumberFormat="0" applyBorder="0" applyAlignment="0" applyProtection="0"/>
    <xf numFmtId="0" fontId="61" fillId="14" borderId="0" applyNumberFormat="0" applyBorder="0" applyAlignment="0" applyProtection="0"/>
    <xf numFmtId="0" fontId="61" fillId="14" borderId="0" applyNumberFormat="0" applyBorder="0" applyAlignment="0" applyProtection="0"/>
    <xf numFmtId="0" fontId="61" fillId="14" borderId="0" applyNumberFormat="0" applyBorder="0" applyAlignment="0" applyProtection="0"/>
    <xf numFmtId="0" fontId="71" fillId="36" borderId="0" applyNumberFormat="0" applyBorder="0" applyAlignment="0" applyProtection="0"/>
    <xf numFmtId="238" fontId="71" fillId="36" borderId="0" applyNumberFormat="0" applyBorder="0" applyAlignment="0" applyProtection="0"/>
    <xf numFmtId="238" fontId="71" fillId="36" borderId="0" applyNumberFormat="0" applyBorder="0" applyAlignment="0" applyProtection="0"/>
    <xf numFmtId="238" fontId="71" fillId="36" borderId="0" applyNumberFormat="0" applyBorder="0" applyAlignment="0" applyProtection="0"/>
    <xf numFmtId="238" fontId="71" fillId="36" borderId="0" applyNumberFormat="0" applyBorder="0" applyAlignment="0" applyProtection="0"/>
    <xf numFmtId="238" fontId="71" fillId="36" borderId="0" applyNumberFormat="0" applyBorder="0" applyAlignment="0" applyProtection="0"/>
    <xf numFmtId="238" fontId="71" fillId="36" borderId="0" applyNumberFormat="0" applyBorder="0" applyAlignment="0" applyProtection="0"/>
    <xf numFmtId="238" fontId="71" fillId="36" borderId="0" applyNumberFormat="0" applyBorder="0" applyAlignment="0" applyProtection="0"/>
    <xf numFmtId="238" fontId="71" fillId="36" borderId="0" applyNumberFormat="0" applyBorder="0" applyAlignment="0" applyProtection="0"/>
    <xf numFmtId="238" fontId="71" fillId="36" borderId="0" applyNumberFormat="0" applyBorder="0" applyAlignment="0" applyProtection="0"/>
    <xf numFmtId="238" fontId="71" fillId="36" borderId="0" applyNumberFormat="0" applyBorder="0" applyAlignment="0" applyProtection="0"/>
    <xf numFmtId="238" fontId="71" fillId="36" borderId="0" applyNumberFormat="0" applyBorder="0" applyAlignment="0" applyProtection="0"/>
    <xf numFmtId="238" fontId="71" fillId="36" borderId="0" applyNumberFormat="0" applyBorder="0" applyAlignment="0" applyProtection="0"/>
    <xf numFmtId="238" fontId="71" fillId="36" borderId="0" applyNumberFormat="0" applyBorder="0" applyAlignment="0" applyProtection="0"/>
    <xf numFmtId="238" fontId="71" fillId="36" borderId="0" applyNumberFormat="0" applyBorder="0" applyAlignment="0" applyProtection="0"/>
    <xf numFmtId="238" fontId="71" fillId="36" borderId="0" applyNumberFormat="0" applyBorder="0" applyAlignment="0" applyProtection="0"/>
    <xf numFmtId="238" fontId="71" fillId="36" borderId="0" applyNumberFormat="0" applyBorder="0" applyAlignment="0" applyProtection="0"/>
    <xf numFmtId="238" fontId="71" fillId="36" borderId="0" applyNumberFormat="0" applyBorder="0" applyAlignment="0" applyProtection="0"/>
    <xf numFmtId="238" fontId="71" fillId="36" borderId="0" applyNumberFormat="0" applyBorder="0" applyAlignment="0" applyProtection="0"/>
    <xf numFmtId="238" fontId="71" fillId="36" borderId="0" applyNumberFormat="0" applyBorder="0" applyAlignment="0" applyProtection="0"/>
    <xf numFmtId="238" fontId="71" fillId="36" borderId="0" applyNumberFormat="0" applyBorder="0" applyAlignment="0" applyProtection="0"/>
    <xf numFmtId="238" fontId="71" fillId="36" borderId="0" applyNumberFormat="0" applyBorder="0" applyAlignment="0" applyProtection="0"/>
    <xf numFmtId="238" fontId="71" fillId="36" borderId="0" applyNumberFormat="0" applyBorder="0" applyAlignment="0" applyProtection="0"/>
    <xf numFmtId="238" fontId="71" fillId="36" borderId="0" applyNumberFormat="0" applyBorder="0" applyAlignment="0" applyProtection="0"/>
    <xf numFmtId="238" fontId="71" fillId="36" borderId="0" applyNumberFormat="0" applyBorder="0" applyAlignment="0" applyProtection="0"/>
    <xf numFmtId="238" fontId="71" fillId="36" borderId="0" applyNumberFormat="0" applyBorder="0" applyAlignment="0" applyProtection="0"/>
    <xf numFmtId="238" fontId="71" fillId="36" borderId="0" applyNumberFormat="0" applyBorder="0" applyAlignment="0" applyProtection="0"/>
    <xf numFmtId="238" fontId="71" fillId="36" borderId="0" applyNumberFormat="0" applyBorder="0" applyAlignment="0" applyProtection="0"/>
    <xf numFmtId="238" fontId="71" fillId="36" borderId="0" applyNumberFormat="0" applyBorder="0" applyAlignment="0" applyProtection="0"/>
    <xf numFmtId="238" fontId="71" fillId="36" borderId="0" applyNumberFormat="0" applyBorder="0" applyAlignment="0" applyProtection="0"/>
    <xf numFmtId="238" fontId="71" fillId="36" borderId="0" applyNumberFormat="0" applyBorder="0" applyAlignment="0" applyProtection="0"/>
    <xf numFmtId="238" fontId="71" fillId="36" borderId="0" applyNumberFormat="0" applyBorder="0" applyAlignment="0" applyProtection="0"/>
    <xf numFmtId="238" fontId="71" fillId="36" borderId="0" applyNumberFormat="0" applyBorder="0" applyAlignment="0" applyProtection="0"/>
    <xf numFmtId="238" fontId="71" fillId="36" borderId="0" applyNumberFormat="0" applyBorder="0" applyAlignment="0" applyProtection="0"/>
    <xf numFmtId="238" fontId="71" fillId="36" borderId="0" applyNumberFormat="0" applyBorder="0" applyAlignment="0" applyProtection="0"/>
    <xf numFmtId="238" fontId="71" fillId="36" borderId="0" applyNumberFormat="0" applyBorder="0" applyAlignment="0" applyProtection="0"/>
    <xf numFmtId="238" fontId="71" fillId="36" borderId="0" applyNumberFormat="0" applyBorder="0" applyAlignment="0" applyProtection="0"/>
    <xf numFmtId="238" fontId="71" fillId="36" borderId="0" applyNumberFormat="0" applyBorder="0" applyAlignment="0" applyProtection="0"/>
    <xf numFmtId="238" fontId="71" fillId="36" borderId="0" applyNumberFormat="0" applyBorder="0" applyAlignment="0" applyProtection="0"/>
    <xf numFmtId="238" fontId="71" fillId="36" borderId="0" applyNumberFormat="0" applyBorder="0" applyAlignment="0" applyProtection="0"/>
    <xf numFmtId="238" fontId="71" fillId="36" borderId="0" applyNumberFormat="0" applyBorder="0" applyAlignment="0" applyProtection="0"/>
    <xf numFmtId="238" fontId="71" fillId="36" borderId="0" applyNumberFormat="0" applyBorder="0" applyAlignment="0" applyProtection="0"/>
    <xf numFmtId="238" fontId="71" fillId="36" borderId="0" applyNumberFormat="0" applyBorder="0" applyAlignment="0" applyProtection="0"/>
    <xf numFmtId="238" fontId="71" fillId="36" borderId="0" applyNumberFormat="0" applyBorder="0" applyAlignment="0" applyProtection="0"/>
    <xf numFmtId="238" fontId="71" fillId="37" borderId="0" applyNumberFormat="0" applyBorder="0" applyAlignment="0" applyProtection="0"/>
    <xf numFmtId="238" fontId="71" fillId="37" borderId="0" applyNumberFormat="0" applyBorder="0" applyAlignment="0" applyProtection="0"/>
    <xf numFmtId="238" fontId="71" fillId="37" borderId="0" applyNumberFormat="0" applyBorder="0" applyAlignment="0" applyProtection="0"/>
    <xf numFmtId="238" fontId="71" fillId="37" borderId="0" applyNumberFormat="0" applyBorder="0" applyAlignment="0" applyProtection="0"/>
    <xf numFmtId="238" fontId="71" fillId="37" borderId="0" applyNumberFormat="0" applyBorder="0" applyAlignment="0" applyProtection="0"/>
    <xf numFmtId="238" fontId="71" fillId="37" borderId="0" applyNumberFormat="0" applyBorder="0" applyAlignment="0" applyProtection="0"/>
    <xf numFmtId="238" fontId="71" fillId="37" borderId="0" applyNumberFormat="0" applyBorder="0" applyAlignment="0" applyProtection="0"/>
    <xf numFmtId="238" fontId="71" fillId="37" borderId="0" applyNumberFormat="0" applyBorder="0" applyAlignment="0" applyProtection="0"/>
    <xf numFmtId="238" fontId="71" fillId="37" borderId="0" applyNumberFormat="0" applyBorder="0" applyAlignment="0" applyProtection="0"/>
    <xf numFmtId="238" fontId="71" fillId="37" borderId="0" applyNumberFormat="0" applyBorder="0" applyAlignment="0" applyProtection="0"/>
    <xf numFmtId="0" fontId="61" fillId="18" borderId="0" applyNumberFormat="0" applyBorder="0" applyAlignment="0" applyProtection="0"/>
    <xf numFmtId="0" fontId="61" fillId="18" borderId="0" applyNumberFormat="0" applyBorder="0" applyAlignment="0" applyProtection="0"/>
    <xf numFmtId="0" fontId="61" fillId="18" borderId="0" applyNumberFormat="0" applyBorder="0" applyAlignment="0" applyProtection="0"/>
    <xf numFmtId="0" fontId="61" fillId="18" borderId="0" applyNumberFormat="0" applyBorder="0" applyAlignment="0" applyProtection="0"/>
    <xf numFmtId="0" fontId="61" fillId="18" borderId="0" applyNumberFormat="0" applyBorder="0" applyAlignment="0" applyProtection="0"/>
    <xf numFmtId="0" fontId="61" fillId="18" borderId="0" applyNumberFormat="0" applyBorder="0" applyAlignment="0" applyProtection="0"/>
    <xf numFmtId="0" fontId="61" fillId="18" borderId="0" applyNumberFormat="0" applyBorder="0" applyAlignment="0" applyProtection="0"/>
    <xf numFmtId="0" fontId="61" fillId="18" borderId="0" applyNumberFormat="0" applyBorder="0" applyAlignment="0" applyProtection="0"/>
    <xf numFmtId="0" fontId="61" fillId="18" borderId="0" applyNumberFormat="0" applyBorder="0" applyAlignment="0" applyProtection="0"/>
    <xf numFmtId="0" fontId="61" fillId="18" borderId="0" applyNumberFormat="0" applyBorder="0" applyAlignment="0" applyProtection="0"/>
    <xf numFmtId="274" fontId="61" fillId="18" borderId="0" applyNumberFormat="0" applyBorder="0" applyAlignment="0" applyProtection="0"/>
    <xf numFmtId="274" fontId="61" fillId="18" borderId="0" applyNumberFormat="0" applyBorder="0" applyAlignment="0" applyProtection="0"/>
    <xf numFmtId="274" fontId="61" fillId="18" borderId="0" applyNumberFormat="0" applyBorder="0" applyAlignment="0" applyProtection="0"/>
    <xf numFmtId="274" fontId="61" fillId="18" borderId="0" applyNumberFormat="0" applyBorder="0" applyAlignment="0" applyProtection="0"/>
    <xf numFmtId="274" fontId="61" fillId="18" borderId="0" applyNumberFormat="0" applyBorder="0" applyAlignment="0" applyProtection="0"/>
    <xf numFmtId="274" fontId="61" fillId="18" borderId="0" applyNumberFormat="0" applyBorder="0" applyAlignment="0" applyProtection="0"/>
    <xf numFmtId="274" fontId="61" fillId="18" borderId="0" applyNumberFormat="0" applyBorder="0" applyAlignment="0" applyProtection="0"/>
    <xf numFmtId="274" fontId="61" fillId="18" borderId="0" applyNumberFormat="0" applyBorder="0" applyAlignment="0" applyProtection="0"/>
    <xf numFmtId="274" fontId="61" fillId="18" borderId="0" applyNumberFormat="0" applyBorder="0" applyAlignment="0" applyProtection="0"/>
    <xf numFmtId="274" fontId="61" fillId="18" borderId="0" applyNumberFormat="0" applyBorder="0" applyAlignment="0" applyProtection="0"/>
    <xf numFmtId="274" fontId="61" fillId="18" borderId="0" applyNumberFormat="0" applyBorder="0" applyAlignment="0" applyProtection="0"/>
    <xf numFmtId="274" fontId="61" fillId="18" borderId="0" applyNumberFormat="0" applyBorder="0" applyAlignment="0" applyProtection="0"/>
    <xf numFmtId="274" fontId="61" fillId="18" borderId="0" applyNumberFormat="0" applyBorder="0" applyAlignment="0" applyProtection="0"/>
    <xf numFmtId="274" fontId="61" fillId="18" borderId="0" applyNumberFormat="0" applyBorder="0" applyAlignment="0" applyProtection="0"/>
    <xf numFmtId="274" fontId="61" fillId="18" borderId="0" applyNumberFormat="0" applyBorder="0" applyAlignment="0" applyProtection="0"/>
    <xf numFmtId="274" fontId="61" fillId="18" borderId="0" applyNumberFormat="0" applyBorder="0" applyAlignment="0" applyProtection="0"/>
    <xf numFmtId="274" fontId="61" fillId="18" borderId="0" applyNumberFormat="0" applyBorder="0" applyAlignment="0" applyProtection="0"/>
    <xf numFmtId="274" fontId="61" fillId="18" borderId="0" applyNumberFormat="0" applyBorder="0" applyAlignment="0" applyProtection="0"/>
    <xf numFmtId="274" fontId="61" fillId="18" borderId="0" applyNumberFormat="0" applyBorder="0" applyAlignment="0" applyProtection="0"/>
    <xf numFmtId="274" fontId="61" fillId="18" borderId="0" applyNumberFormat="0" applyBorder="0" applyAlignment="0" applyProtection="0"/>
    <xf numFmtId="274" fontId="61" fillId="18" borderId="0" applyNumberFormat="0" applyBorder="0" applyAlignment="0" applyProtection="0"/>
    <xf numFmtId="274" fontId="61" fillId="18" borderId="0" applyNumberFormat="0" applyBorder="0" applyAlignment="0" applyProtection="0"/>
    <xf numFmtId="274" fontId="61" fillId="18" borderId="0" applyNumberFormat="0" applyBorder="0" applyAlignment="0" applyProtection="0"/>
    <xf numFmtId="274" fontId="61" fillId="18" borderId="0" applyNumberFormat="0" applyBorder="0" applyAlignment="0" applyProtection="0"/>
    <xf numFmtId="274" fontId="61" fillId="18" borderId="0" applyNumberFormat="0" applyBorder="0" applyAlignment="0" applyProtection="0"/>
    <xf numFmtId="274" fontId="61" fillId="18" borderId="0" applyNumberFormat="0" applyBorder="0" applyAlignment="0" applyProtection="0"/>
    <xf numFmtId="274" fontId="61" fillId="18" borderId="0" applyNumberFormat="0" applyBorder="0" applyAlignment="0" applyProtection="0"/>
    <xf numFmtId="274" fontId="61" fillId="18" borderId="0" applyNumberFormat="0" applyBorder="0" applyAlignment="0" applyProtection="0"/>
    <xf numFmtId="274" fontId="61" fillId="18" borderId="0" applyNumberFormat="0" applyBorder="0" applyAlignment="0" applyProtection="0"/>
    <xf numFmtId="274" fontId="61" fillId="18" borderId="0" applyNumberFormat="0" applyBorder="0" applyAlignment="0" applyProtection="0"/>
    <xf numFmtId="274" fontId="61" fillId="18" borderId="0" applyNumberFormat="0" applyBorder="0" applyAlignment="0" applyProtection="0"/>
    <xf numFmtId="274" fontId="61" fillId="18" borderId="0" applyNumberFormat="0" applyBorder="0" applyAlignment="0" applyProtection="0"/>
    <xf numFmtId="274" fontId="61" fillId="18" borderId="0" applyNumberFormat="0" applyBorder="0" applyAlignment="0" applyProtection="0"/>
    <xf numFmtId="274" fontId="61" fillId="18" borderId="0" applyNumberFormat="0" applyBorder="0" applyAlignment="0" applyProtection="0"/>
    <xf numFmtId="274" fontId="61" fillId="18" borderId="0" applyNumberFormat="0" applyBorder="0" applyAlignment="0" applyProtection="0"/>
    <xf numFmtId="274" fontId="61" fillId="18" borderId="0" applyNumberFormat="0" applyBorder="0" applyAlignment="0" applyProtection="0"/>
    <xf numFmtId="274" fontId="61" fillId="18" borderId="0" applyNumberFormat="0" applyBorder="0" applyAlignment="0" applyProtection="0"/>
    <xf numFmtId="274" fontId="61" fillId="18" borderId="0" applyNumberFormat="0" applyBorder="0" applyAlignment="0" applyProtection="0"/>
    <xf numFmtId="274" fontId="61" fillId="18" borderId="0" applyNumberFormat="0" applyBorder="0" applyAlignment="0" applyProtection="0"/>
    <xf numFmtId="274" fontId="61" fillId="18" borderId="0" applyNumberFormat="0" applyBorder="0" applyAlignment="0" applyProtection="0"/>
    <xf numFmtId="274" fontId="61" fillId="18" borderId="0" applyNumberFormat="0" applyBorder="0" applyAlignment="0" applyProtection="0"/>
    <xf numFmtId="274" fontId="61" fillId="18" borderId="0" applyNumberFormat="0" applyBorder="0" applyAlignment="0" applyProtection="0"/>
    <xf numFmtId="274" fontId="71" fillId="37" borderId="0" applyNumberFormat="0" applyBorder="0" applyAlignment="0" applyProtection="0"/>
    <xf numFmtId="0" fontId="61" fillId="18" borderId="0" applyNumberFormat="0" applyBorder="0" applyAlignment="0" applyProtection="0"/>
    <xf numFmtId="0" fontId="61" fillId="18" borderId="0" applyNumberFormat="0" applyBorder="0" applyAlignment="0" applyProtection="0"/>
    <xf numFmtId="0" fontId="61" fillId="18" borderId="0" applyNumberFormat="0" applyBorder="0" applyAlignment="0" applyProtection="0"/>
    <xf numFmtId="0" fontId="61" fillId="18" borderId="0" applyNumberFormat="0" applyBorder="0" applyAlignment="0" applyProtection="0"/>
    <xf numFmtId="0" fontId="61" fillId="18" borderId="0" applyNumberFormat="0" applyBorder="0" applyAlignment="0" applyProtection="0"/>
    <xf numFmtId="0" fontId="61" fillId="18" borderId="0" applyNumberFormat="0" applyBorder="0" applyAlignment="0" applyProtection="0"/>
    <xf numFmtId="0" fontId="61" fillId="18" borderId="0" applyNumberFormat="0" applyBorder="0" applyAlignment="0" applyProtection="0"/>
    <xf numFmtId="0" fontId="61" fillId="18" borderId="0" applyNumberFormat="0" applyBorder="0" applyAlignment="0" applyProtection="0"/>
    <xf numFmtId="0" fontId="61" fillId="18" borderId="0" applyNumberFormat="0" applyBorder="0" applyAlignment="0" applyProtection="0"/>
    <xf numFmtId="0" fontId="61" fillId="18" borderId="0" applyNumberFormat="0" applyBorder="0" applyAlignment="0" applyProtection="0"/>
    <xf numFmtId="0" fontId="61" fillId="18" borderId="0" applyNumberFormat="0" applyBorder="0" applyAlignment="0" applyProtection="0"/>
    <xf numFmtId="0" fontId="61" fillId="18" borderId="0" applyNumberFormat="0" applyBorder="0" applyAlignment="0" applyProtection="0"/>
    <xf numFmtId="0" fontId="61" fillId="18" borderId="0" applyNumberFormat="0" applyBorder="0" applyAlignment="0" applyProtection="0"/>
    <xf numFmtId="0" fontId="61" fillId="18" borderId="0" applyNumberFormat="0" applyBorder="0" applyAlignment="0" applyProtection="0"/>
    <xf numFmtId="0" fontId="61" fillId="18" borderId="0" applyNumberFormat="0" applyBorder="0" applyAlignment="0" applyProtection="0"/>
    <xf numFmtId="0" fontId="61" fillId="18" borderId="0" applyNumberFormat="0" applyBorder="0" applyAlignment="0" applyProtection="0"/>
    <xf numFmtId="0" fontId="61" fillId="18" borderId="0" applyNumberFormat="0" applyBorder="0" applyAlignment="0" applyProtection="0"/>
    <xf numFmtId="0" fontId="61" fillId="18" borderId="0" applyNumberFormat="0" applyBorder="0" applyAlignment="0" applyProtection="0"/>
    <xf numFmtId="0" fontId="61" fillId="18" borderId="0" applyNumberFormat="0" applyBorder="0" applyAlignment="0" applyProtection="0"/>
    <xf numFmtId="0" fontId="61" fillId="18" borderId="0" applyNumberFormat="0" applyBorder="0" applyAlignment="0" applyProtection="0"/>
    <xf numFmtId="0" fontId="61" fillId="18" borderId="0" applyNumberFormat="0" applyBorder="0" applyAlignment="0" applyProtection="0"/>
    <xf numFmtId="0" fontId="61" fillId="18" borderId="0" applyNumberFormat="0" applyBorder="0" applyAlignment="0" applyProtection="0"/>
    <xf numFmtId="0" fontId="61" fillId="18" borderId="0" applyNumberFormat="0" applyBorder="0" applyAlignment="0" applyProtection="0"/>
    <xf numFmtId="0" fontId="61" fillId="18" borderId="0" applyNumberFormat="0" applyBorder="0" applyAlignment="0" applyProtection="0"/>
    <xf numFmtId="0" fontId="61" fillId="18" borderId="0" applyNumberFormat="0" applyBorder="0" applyAlignment="0" applyProtection="0"/>
    <xf numFmtId="0" fontId="61" fillId="18" borderId="0" applyNumberFormat="0" applyBorder="0" applyAlignment="0" applyProtection="0"/>
    <xf numFmtId="0" fontId="61" fillId="18" borderId="0" applyNumberFormat="0" applyBorder="0" applyAlignment="0" applyProtection="0"/>
    <xf numFmtId="0" fontId="61" fillId="18" borderId="0" applyNumberFormat="0" applyBorder="0" applyAlignment="0" applyProtection="0"/>
    <xf numFmtId="0" fontId="61" fillId="18" borderId="0" applyNumberFormat="0" applyBorder="0" applyAlignment="0" applyProtection="0"/>
    <xf numFmtId="0" fontId="61" fillId="18" borderId="0" applyNumberFormat="0" applyBorder="0" applyAlignment="0" applyProtection="0"/>
    <xf numFmtId="0" fontId="61" fillId="18" borderId="0" applyNumberFormat="0" applyBorder="0" applyAlignment="0" applyProtection="0"/>
    <xf numFmtId="0" fontId="61" fillId="18" borderId="0" applyNumberFormat="0" applyBorder="0" applyAlignment="0" applyProtection="0"/>
    <xf numFmtId="0" fontId="71" fillId="37" borderId="0" applyNumberFormat="0" applyBorder="0" applyAlignment="0" applyProtection="0"/>
    <xf numFmtId="238" fontId="71" fillId="37" borderId="0" applyNumberFormat="0" applyBorder="0" applyAlignment="0" applyProtection="0"/>
    <xf numFmtId="238" fontId="71" fillId="37" borderId="0" applyNumberFormat="0" applyBorder="0" applyAlignment="0" applyProtection="0"/>
    <xf numFmtId="238" fontId="71" fillId="37" borderId="0" applyNumberFormat="0" applyBorder="0" applyAlignment="0" applyProtection="0"/>
    <xf numFmtId="238" fontId="71" fillId="37" borderId="0" applyNumberFormat="0" applyBorder="0" applyAlignment="0" applyProtection="0"/>
    <xf numFmtId="238" fontId="71" fillId="37" borderId="0" applyNumberFormat="0" applyBorder="0" applyAlignment="0" applyProtection="0"/>
    <xf numFmtId="238" fontId="71" fillId="37" borderId="0" applyNumberFormat="0" applyBorder="0" applyAlignment="0" applyProtection="0"/>
    <xf numFmtId="238" fontId="71" fillId="37" borderId="0" applyNumberFormat="0" applyBorder="0" applyAlignment="0" applyProtection="0"/>
    <xf numFmtId="238" fontId="71" fillId="37" borderId="0" applyNumberFormat="0" applyBorder="0" applyAlignment="0" applyProtection="0"/>
    <xf numFmtId="238" fontId="71" fillId="37" borderId="0" applyNumberFormat="0" applyBorder="0" applyAlignment="0" applyProtection="0"/>
    <xf numFmtId="238" fontId="71" fillId="37" borderId="0" applyNumberFormat="0" applyBorder="0" applyAlignment="0" applyProtection="0"/>
    <xf numFmtId="238" fontId="71" fillId="37" borderId="0" applyNumberFormat="0" applyBorder="0" applyAlignment="0" applyProtection="0"/>
    <xf numFmtId="238" fontId="71" fillId="37" borderId="0" applyNumberFormat="0" applyBorder="0" applyAlignment="0" applyProtection="0"/>
    <xf numFmtId="238" fontId="71" fillId="37" borderId="0" applyNumberFormat="0" applyBorder="0" applyAlignment="0" applyProtection="0"/>
    <xf numFmtId="238" fontId="71" fillId="37" borderId="0" applyNumberFormat="0" applyBorder="0" applyAlignment="0" applyProtection="0"/>
    <xf numFmtId="238" fontId="71" fillId="37" borderId="0" applyNumberFormat="0" applyBorder="0" applyAlignment="0" applyProtection="0"/>
    <xf numFmtId="238" fontId="71" fillId="37" borderId="0" applyNumberFormat="0" applyBorder="0" applyAlignment="0" applyProtection="0"/>
    <xf numFmtId="238" fontId="71" fillId="37" borderId="0" applyNumberFormat="0" applyBorder="0" applyAlignment="0" applyProtection="0"/>
    <xf numFmtId="238" fontId="71" fillId="37" borderId="0" applyNumberFormat="0" applyBorder="0" applyAlignment="0" applyProtection="0"/>
    <xf numFmtId="238" fontId="71" fillId="37" borderId="0" applyNumberFormat="0" applyBorder="0" applyAlignment="0" applyProtection="0"/>
    <xf numFmtId="238" fontId="71" fillId="37" borderId="0" applyNumberFormat="0" applyBorder="0" applyAlignment="0" applyProtection="0"/>
    <xf numFmtId="238" fontId="71" fillId="37" borderId="0" applyNumberFormat="0" applyBorder="0" applyAlignment="0" applyProtection="0"/>
    <xf numFmtId="238" fontId="71" fillId="37" borderId="0" applyNumberFormat="0" applyBorder="0" applyAlignment="0" applyProtection="0"/>
    <xf numFmtId="238" fontId="71" fillId="37" borderId="0" applyNumberFormat="0" applyBorder="0" applyAlignment="0" applyProtection="0"/>
    <xf numFmtId="238" fontId="71" fillId="37" borderId="0" applyNumberFormat="0" applyBorder="0" applyAlignment="0" applyProtection="0"/>
    <xf numFmtId="238" fontId="71" fillId="37" borderId="0" applyNumberFormat="0" applyBorder="0" applyAlignment="0" applyProtection="0"/>
    <xf numFmtId="238" fontId="71" fillId="37" borderId="0" applyNumberFormat="0" applyBorder="0" applyAlignment="0" applyProtection="0"/>
    <xf numFmtId="238" fontId="71" fillId="37" borderId="0" applyNumberFormat="0" applyBorder="0" applyAlignment="0" applyProtection="0"/>
    <xf numFmtId="238" fontId="71" fillId="37" borderId="0" applyNumberFormat="0" applyBorder="0" applyAlignment="0" applyProtection="0"/>
    <xf numFmtId="238" fontId="71" fillId="37" borderId="0" applyNumberFormat="0" applyBorder="0" applyAlignment="0" applyProtection="0"/>
    <xf numFmtId="238" fontId="71" fillId="37" borderId="0" applyNumberFormat="0" applyBorder="0" applyAlignment="0" applyProtection="0"/>
    <xf numFmtId="238" fontId="71" fillId="37" borderId="0" applyNumberFormat="0" applyBorder="0" applyAlignment="0" applyProtection="0"/>
    <xf numFmtId="238" fontId="71" fillId="37" borderId="0" applyNumberFormat="0" applyBorder="0" applyAlignment="0" applyProtection="0"/>
    <xf numFmtId="238" fontId="71" fillId="37" borderId="0" applyNumberFormat="0" applyBorder="0" applyAlignment="0" applyProtection="0"/>
    <xf numFmtId="238" fontId="71" fillId="37" borderId="0" applyNumberFormat="0" applyBorder="0" applyAlignment="0" applyProtection="0"/>
    <xf numFmtId="238" fontId="71" fillId="37" borderId="0" applyNumberFormat="0" applyBorder="0" applyAlignment="0" applyProtection="0"/>
    <xf numFmtId="238" fontId="71" fillId="37" borderId="0" applyNumberFormat="0" applyBorder="0" applyAlignment="0" applyProtection="0"/>
    <xf numFmtId="238" fontId="71" fillId="37" borderId="0" applyNumberFormat="0" applyBorder="0" applyAlignment="0" applyProtection="0"/>
    <xf numFmtId="238" fontId="71" fillId="37" borderId="0" applyNumberFormat="0" applyBorder="0" applyAlignment="0" applyProtection="0"/>
    <xf numFmtId="238" fontId="71" fillId="37" borderId="0" applyNumberFormat="0" applyBorder="0" applyAlignment="0" applyProtection="0"/>
    <xf numFmtId="238" fontId="71" fillId="37" borderId="0" applyNumberFormat="0" applyBorder="0" applyAlignment="0" applyProtection="0"/>
    <xf numFmtId="238" fontId="71" fillId="37" borderId="0" applyNumberFormat="0" applyBorder="0" applyAlignment="0" applyProtection="0"/>
    <xf numFmtId="238" fontId="71" fillId="37" borderId="0" applyNumberFormat="0" applyBorder="0" applyAlignment="0" applyProtection="0"/>
    <xf numFmtId="238" fontId="71" fillId="37"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0" fontId="61" fillId="22" borderId="0" applyNumberFormat="0" applyBorder="0" applyAlignment="0" applyProtection="0"/>
    <xf numFmtId="0" fontId="61" fillId="22" borderId="0" applyNumberFormat="0" applyBorder="0" applyAlignment="0" applyProtection="0"/>
    <xf numFmtId="0" fontId="61" fillId="22" borderId="0" applyNumberFormat="0" applyBorder="0" applyAlignment="0" applyProtection="0"/>
    <xf numFmtId="0" fontId="61" fillId="22" borderId="0" applyNumberFormat="0" applyBorder="0" applyAlignment="0" applyProtection="0"/>
    <xf numFmtId="0" fontId="61" fillId="22" borderId="0" applyNumberFormat="0" applyBorder="0" applyAlignment="0" applyProtection="0"/>
    <xf numFmtId="0" fontId="61" fillId="22" borderId="0" applyNumberFormat="0" applyBorder="0" applyAlignment="0" applyProtection="0"/>
    <xf numFmtId="0" fontId="61" fillId="22" borderId="0" applyNumberFormat="0" applyBorder="0" applyAlignment="0" applyProtection="0"/>
    <xf numFmtId="0" fontId="61" fillId="22" borderId="0" applyNumberFormat="0" applyBorder="0" applyAlignment="0" applyProtection="0"/>
    <xf numFmtId="0" fontId="61" fillId="22" borderId="0" applyNumberFormat="0" applyBorder="0" applyAlignment="0" applyProtection="0"/>
    <xf numFmtId="0" fontId="61" fillId="22" borderId="0" applyNumberFormat="0" applyBorder="0" applyAlignment="0" applyProtection="0"/>
    <xf numFmtId="274" fontId="61" fillId="22" borderId="0" applyNumberFormat="0" applyBorder="0" applyAlignment="0" applyProtection="0"/>
    <xf numFmtId="274" fontId="61" fillId="22" borderId="0" applyNumberFormat="0" applyBorder="0" applyAlignment="0" applyProtection="0"/>
    <xf numFmtId="274" fontId="61" fillId="22" borderId="0" applyNumberFormat="0" applyBorder="0" applyAlignment="0" applyProtection="0"/>
    <xf numFmtId="274" fontId="61" fillId="22" borderId="0" applyNumberFormat="0" applyBorder="0" applyAlignment="0" applyProtection="0"/>
    <xf numFmtId="274" fontId="61" fillId="22" borderId="0" applyNumberFormat="0" applyBorder="0" applyAlignment="0" applyProtection="0"/>
    <xf numFmtId="274" fontId="61" fillId="22" borderId="0" applyNumberFormat="0" applyBorder="0" applyAlignment="0" applyProtection="0"/>
    <xf numFmtId="274" fontId="61" fillId="22" borderId="0" applyNumberFormat="0" applyBorder="0" applyAlignment="0" applyProtection="0"/>
    <xf numFmtId="274" fontId="61" fillId="22" borderId="0" applyNumberFormat="0" applyBorder="0" applyAlignment="0" applyProtection="0"/>
    <xf numFmtId="274" fontId="61" fillId="22" borderId="0" applyNumberFormat="0" applyBorder="0" applyAlignment="0" applyProtection="0"/>
    <xf numFmtId="274" fontId="61" fillId="22" borderId="0" applyNumberFormat="0" applyBorder="0" applyAlignment="0" applyProtection="0"/>
    <xf numFmtId="274" fontId="61" fillId="22" borderId="0" applyNumberFormat="0" applyBorder="0" applyAlignment="0" applyProtection="0"/>
    <xf numFmtId="274" fontId="61" fillId="22" borderId="0" applyNumberFormat="0" applyBorder="0" applyAlignment="0" applyProtection="0"/>
    <xf numFmtId="274" fontId="61" fillId="22" borderId="0" applyNumberFormat="0" applyBorder="0" applyAlignment="0" applyProtection="0"/>
    <xf numFmtId="274" fontId="61" fillId="22" borderId="0" applyNumberFormat="0" applyBorder="0" applyAlignment="0" applyProtection="0"/>
    <xf numFmtId="274" fontId="61" fillId="22" borderId="0" applyNumberFormat="0" applyBorder="0" applyAlignment="0" applyProtection="0"/>
    <xf numFmtId="274" fontId="61" fillId="22" borderId="0" applyNumberFormat="0" applyBorder="0" applyAlignment="0" applyProtection="0"/>
    <xf numFmtId="274" fontId="61" fillId="22" borderId="0" applyNumberFormat="0" applyBorder="0" applyAlignment="0" applyProtection="0"/>
    <xf numFmtId="274" fontId="61" fillId="22" borderId="0" applyNumberFormat="0" applyBorder="0" applyAlignment="0" applyProtection="0"/>
    <xf numFmtId="274" fontId="61" fillId="22" borderId="0" applyNumberFormat="0" applyBorder="0" applyAlignment="0" applyProtection="0"/>
    <xf numFmtId="274" fontId="61" fillId="22" borderId="0" applyNumberFormat="0" applyBorder="0" applyAlignment="0" applyProtection="0"/>
    <xf numFmtId="274" fontId="61" fillId="22" borderId="0" applyNumberFormat="0" applyBorder="0" applyAlignment="0" applyProtection="0"/>
    <xf numFmtId="274" fontId="61" fillId="22" borderId="0" applyNumberFormat="0" applyBorder="0" applyAlignment="0" applyProtection="0"/>
    <xf numFmtId="274" fontId="61" fillId="22" borderId="0" applyNumberFormat="0" applyBorder="0" applyAlignment="0" applyProtection="0"/>
    <xf numFmtId="274" fontId="61" fillId="22" borderId="0" applyNumberFormat="0" applyBorder="0" applyAlignment="0" applyProtection="0"/>
    <xf numFmtId="274" fontId="61" fillId="22" borderId="0" applyNumberFormat="0" applyBorder="0" applyAlignment="0" applyProtection="0"/>
    <xf numFmtId="274" fontId="61" fillId="22" borderId="0" applyNumberFormat="0" applyBorder="0" applyAlignment="0" applyProtection="0"/>
    <xf numFmtId="274" fontId="61" fillId="22" borderId="0" applyNumberFormat="0" applyBorder="0" applyAlignment="0" applyProtection="0"/>
    <xf numFmtId="274" fontId="61" fillId="22" borderId="0" applyNumberFormat="0" applyBorder="0" applyAlignment="0" applyProtection="0"/>
    <xf numFmtId="274" fontId="61" fillId="22" borderId="0" applyNumberFormat="0" applyBorder="0" applyAlignment="0" applyProtection="0"/>
    <xf numFmtId="274" fontId="61" fillId="22" borderId="0" applyNumberFormat="0" applyBorder="0" applyAlignment="0" applyProtection="0"/>
    <xf numFmtId="274" fontId="61" fillId="22" borderId="0" applyNumberFormat="0" applyBorder="0" applyAlignment="0" applyProtection="0"/>
    <xf numFmtId="274" fontId="61" fillId="22" borderId="0" applyNumberFormat="0" applyBorder="0" applyAlignment="0" applyProtection="0"/>
    <xf numFmtId="274" fontId="61" fillId="22" borderId="0" applyNumberFormat="0" applyBorder="0" applyAlignment="0" applyProtection="0"/>
    <xf numFmtId="274" fontId="61" fillId="22" borderId="0" applyNumberFormat="0" applyBorder="0" applyAlignment="0" applyProtection="0"/>
    <xf numFmtId="274" fontId="61" fillId="22" borderId="0" applyNumberFormat="0" applyBorder="0" applyAlignment="0" applyProtection="0"/>
    <xf numFmtId="274" fontId="61" fillId="22" borderId="0" applyNumberFormat="0" applyBorder="0" applyAlignment="0" applyProtection="0"/>
    <xf numFmtId="274" fontId="61" fillId="22" borderId="0" applyNumberFormat="0" applyBorder="0" applyAlignment="0" applyProtection="0"/>
    <xf numFmtId="274" fontId="61" fillId="22" borderId="0" applyNumberFormat="0" applyBorder="0" applyAlignment="0" applyProtection="0"/>
    <xf numFmtId="274" fontId="61" fillId="22" borderId="0" applyNumberFormat="0" applyBorder="0" applyAlignment="0" applyProtection="0"/>
    <xf numFmtId="274" fontId="61" fillId="22" borderId="0" applyNumberFormat="0" applyBorder="0" applyAlignment="0" applyProtection="0"/>
    <xf numFmtId="274" fontId="61" fillId="22" borderId="0" applyNumberFormat="0" applyBorder="0" applyAlignment="0" applyProtection="0"/>
    <xf numFmtId="274" fontId="61" fillId="22" borderId="0" applyNumberFormat="0" applyBorder="0" applyAlignment="0" applyProtection="0"/>
    <xf numFmtId="274" fontId="71" fillId="38" borderId="0" applyNumberFormat="0" applyBorder="0" applyAlignment="0" applyProtection="0"/>
    <xf numFmtId="0" fontId="61" fillId="22" borderId="0" applyNumberFormat="0" applyBorder="0" applyAlignment="0" applyProtection="0"/>
    <xf numFmtId="0" fontId="61" fillId="22" borderId="0" applyNumberFormat="0" applyBorder="0" applyAlignment="0" applyProtection="0"/>
    <xf numFmtId="0" fontId="61" fillId="22" borderId="0" applyNumberFormat="0" applyBorder="0" applyAlignment="0" applyProtection="0"/>
    <xf numFmtId="0" fontId="61" fillId="22" borderId="0" applyNumberFormat="0" applyBorder="0" applyAlignment="0" applyProtection="0"/>
    <xf numFmtId="0" fontId="61" fillId="22" borderId="0" applyNumberFormat="0" applyBorder="0" applyAlignment="0" applyProtection="0"/>
    <xf numFmtId="0" fontId="61" fillId="22" borderId="0" applyNumberFormat="0" applyBorder="0" applyAlignment="0" applyProtection="0"/>
    <xf numFmtId="0" fontId="61" fillId="22" borderId="0" applyNumberFormat="0" applyBorder="0" applyAlignment="0" applyProtection="0"/>
    <xf numFmtId="0" fontId="61" fillId="22" borderId="0" applyNumberFormat="0" applyBorder="0" applyAlignment="0" applyProtection="0"/>
    <xf numFmtId="0" fontId="61" fillId="22" borderId="0" applyNumberFormat="0" applyBorder="0" applyAlignment="0" applyProtection="0"/>
    <xf numFmtId="0" fontId="61" fillId="22" borderId="0" applyNumberFormat="0" applyBorder="0" applyAlignment="0" applyProtection="0"/>
    <xf numFmtId="0" fontId="61" fillId="22" borderId="0" applyNumberFormat="0" applyBorder="0" applyAlignment="0" applyProtection="0"/>
    <xf numFmtId="0" fontId="61" fillId="22" borderId="0" applyNumberFormat="0" applyBorder="0" applyAlignment="0" applyProtection="0"/>
    <xf numFmtId="0" fontId="61" fillId="22" borderId="0" applyNumberFormat="0" applyBorder="0" applyAlignment="0" applyProtection="0"/>
    <xf numFmtId="0" fontId="61" fillId="22" borderId="0" applyNumberFormat="0" applyBorder="0" applyAlignment="0" applyProtection="0"/>
    <xf numFmtId="0" fontId="61" fillId="22" borderId="0" applyNumberFormat="0" applyBorder="0" applyAlignment="0" applyProtection="0"/>
    <xf numFmtId="0" fontId="61" fillId="22" borderId="0" applyNumberFormat="0" applyBorder="0" applyAlignment="0" applyProtection="0"/>
    <xf numFmtId="0" fontId="61" fillId="22" borderId="0" applyNumberFormat="0" applyBorder="0" applyAlignment="0" applyProtection="0"/>
    <xf numFmtId="0" fontId="61" fillId="22" borderId="0" applyNumberFormat="0" applyBorder="0" applyAlignment="0" applyProtection="0"/>
    <xf numFmtId="0" fontId="61" fillId="22" borderId="0" applyNumberFormat="0" applyBorder="0" applyAlignment="0" applyProtection="0"/>
    <xf numFmtId="0" fontId="61" fillId="22" borderId="0" applyNumberFormat="0" applyBorder="0" applyAlignment="0" applyProtection="0"/>
    <xf numFmtId="0" fontId="61" fillId="22" borderId="0" applyNumberFormat="0" applyBorder="0" applyAlignment="0" applyProtection="0"/>
    <xf numFmtId="0" fontId="61" fillId="22" borderId="0" applyNumberFormat="0" applyBorder="0" applyAlignment="0" applyProtection="0"/>
    <xf numFmtId="0" fontId="61" fillId="22" borderId="0" applyNumberFormat="0" applyBorder="0" applyAlignment="0" applyProtection="0"/>
    <xf numFmtId="0" fontId="61" fillId="22" borderId="0" applyNumberFormat="0" applyBorder="0" applyAlignment="0" applyProtection="0"/>
    <xf numFmtId="0" fontId="61" fillId="22" borderId="0" applyNumberFormat="0" applyBorder="0" applyAlignment="0" applyProtection="0"/>
    <xf numFmtId="0" fontId="61" fillId="22" borderId="0" applyNumberFormat="0" applyBorder="0" applyAlignment="0" applyProtection="0"/>
    <xf numFmtId="0" fontId="61" fillId="22" borderId="0" applyNumberFormat="0" applyBorder="0" applyAlignment="0" applyProtection="0"/>
    <xf numFmtId="0" fontId="61" fillId="22" borderId="0" applyNumberFormat="0" applyBorder="0" applyAlignment="0" applyProtection="0"/>
    <xf numFmtId="0" fontId="61" fillId="22" borderId="0" applyNumberFormat="0" applyBorder="0" applyAlignment="0" applyProtection="0"/>
    <xf numFmtId="0" fontId="61" fillId="22" borderId="0" applyNumberFormat="0" applyBorder="0" applyAlignment="0" applyProtection="0"/>
    <xf numFmtId="0" fontId="61" fillId="22" borderId="0" applyNumberFormat="0" applyBorder="0" applyAlignment="0" applyProtection="0"/>
    <xf numFmtId="0" fontId="61" fillId="22" borderId="0" applyNumberFormat="0" applyBorder="0" applyAlignment="0" applyProtection="0"/>
    <xf numFmtId="0"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9" borderId="0" applyNumberFormat="0" applyBorder="0" applyAlignment="0" applyProtection="0"/>
    <xf numFmtId="238" fontId="71" fillId="39" borderId="0" applyNumberFormat="0" applyBorder="0" applyAlignment="0" applyProtection="0"/>
    <xf numFmtId="238" fontId="71" fillId="39" borderId="0" applyNumberFormat="0" applyBorder="0" applyAlignment="0" applyProtection="0"/>
    <xf numFmtId="238" fontId="71" fillId="39" borderId="0" applyNumberFormat="0" applyBorder="0" applyAlignment="0" applyProtection="0"/>
    <xf numFmtId="238" fontId="71" fillId="39" borderId="0" applyNumberFormat="0" applyBorder="0" applyAlignment="0" applyProtection="0"/>
    <xf numFmtId="238" fontId="71" fillId="39" borderId="0" applyNumberFormat="0" applyBorder="0" applyAlignment="0" applyProtection="0"/>
    <xf numFmtId="238" fontId="71" fillId="39" borderId="0" applyNumberFormat="0" applyBorder="0" applyAlignment="0" applyProtection="0"/>
    <xf numFmtId="238" fontId="71" fillId="39" borderId="0" applyNumberFormat="0" applyBorder="0" applyAlignment="0" applyProtection="0"/>
    <xf numFmtId="238" fontId="71" fillId="39" borderId="0" applyNumberFormat="0" applyBorder="0" applyAlignment="0" applyProtection="0"/>
    <xf numFmtId="238" fontId="71" fillId="39" borderId="0" applyNumberFormat="0" applyBorder="0" applyAlignment="0" applyProtection="0"/>
    <xf numFmtId="0" fontId="61" fillId="26" borderId="0" applyNumberFormat="0" applyBorder="0" applyAlignment="0" applyProtection="0"/>
    <xf numFmtId="0" fontId="61" fillId="26" borderId="0" applyNumberFormat="0" applyBorder="0" applyAlignment="0" applyProtection="0"/>
    <xf numFmtId="0" fontId="61" fillId="26" borderId="0" applyNumberFormat="0" applyBorder="0" applyAlignment="0" applyProtection="0"/>
    <xf numFmtId="0" fontId="61" fillId="26" borderId="0" applyNumberFormat="0" applyBorder="0" applyAlignment="0" applyProtection="0"/>
    <xf numFmtId="0" fontId="61" fillId="26" borderId="0" applyNumberFormat="0" applyBorder="0" applyAlignment="0" applyProtection="0"/>
    <xf numFmtId="0" fontId="61" fillId="26" borderId="0" applyNumberFormat="0" applyBorder="0" applyAlignment="0" applyProtection="0"/>
    <xf numFmtId="0" fontId="61" fillId="26" borderId="0" applyNumberFormat="0" applyBorder="0" applyAlignment="0" applyProtection="0"/>
    <xf numFmtId="0" fontId="61" fillId="26" borderId="0" applyNumberFormat="0" applyBorder="0" applyAlignment="0" applyProtection="0"/>
    <xf numFmtId="0" fontId="61" fillId="26" borderId="0" applyNumberFormat="0" applyBorder="0" applyAlignment="0" applyProtection="0"/>
    <xf numFmtId="0" fontId="61" fillId="26" borderId="0" applyNumberFormat="0" applyBorder="0" applyAlignment="0" applyProtection="0"/>
    <xf numFmtId="274" fontId="61" fillId="26" borderId="0" applyNumberFormat="0" applyBorder="0" applyAlignment="0" applyProtection="0"/>
    <xf numFmtId="274" fontId="61" fillId="26" borderId="0" applyNumberFormat="0" applyBorder="0" applyAlignment="0" applyProtection="0"/>
    <xf numFmtId="274" fontId="61" fillId="26" borderId="0" applyNumberFormat="0" applyBorder="0" applyAlignment="0" applyProtection="0"/>
    <xf numFmtId="274" fontId="61" fillId="26" borderId="0" applyNumberFormat="0" applyBorder="0" applyAlignment="0" applyProtection="0"/>
    <xf numFmtId="274" fontId="61" fillId="26" borderId="0" applyNumberFormat="0" applyBorder="0" applyAlignment="0" applyProtection="0"/>
    <xf numFmtId="274" fontId="61" fillId="26" borderId="0" applyNumberFormat="0" applyBorder="0" applyAlignment="0" applyProtection="0"/>
    <xf numFmtId="274" fontId="61" fillId="26" borderId="0" applyNumberFormat="0" applyBorder="0" applyAlignment="0" applyProtection="0"/>
    <xf numFmtId="274" fontId="61" fillId="26" borderId="0" applyNumberFormat="0" applyBorder="0" applyAlignment="0" applyProtection="0"/>
    <xf numFmtId="274" fontId="61" fillId="26" borderId="0" applyNumberFormat="0" applyBorder="0" applyAlignment="0" applyProtection="0"/>
    <xf numFmtId="274" fontId="61" fillId="26" borderId="0" applyNumberFormat="0" applyBorder="0" applyAlignment="0" applyProtection="0"/>
    <xf numFmtId="274" fontId="61" fillId="26" borderId="0" applyNumberFormat="0" applyBorder="0" applyAlignment="0" applyProtection="0"/>
    <xf numFmtId="274" fontId="61" fillId="26" borderId="0" applyNumberFormat="0" applyBorder="0" applyAlignment="0" applyProtection="0"/>
    <xf numFmtId="274" fontId="61" fillId="26" borderId="0" applyNumberFormat="0" applyBorder="0" applyAlignment="0" applyProtection="0"/>
    <xf numFmtId="274" fontId="61" fillId="26" borderId="0" applyNumberFormat="0" applyBorder="0" applyAlignment="0" applyProtection="0"/>
    <xf numFmtId="274" fontId="61" fillId="26" borderId="0" applyNumberFormat="0" applyBorder="0" applyAlignment="0" applyProtection="0"/>
    <xf numFmtId="274" fontId="61" fillId="26" borderId="0" applyNumberFormat="0" applyBorder="0" applyAlignment="0" applyProtection="0"/>
    <xf numFmtId="274" fontId="61" fillId="26" borderId="0" applyNumberFormat="0" applyBorder="0" applyAlignment="0" applyProtection="0"/>
    <xf numFmtId="274" fontId="61" fillId="26" borderId="0" applyNumberFormat="0" applyBorder="0" applyAlignment="0" applyProtection="0"/>
    <xf numFmtId="274" fontId="61" fillId="26" borderId="0" applyNumberFormat="0" applyBorder="0" applyAlignment="0" applyProtection="0"/>
    <xf numFmtId="274" fontId="61" fillId="26" borderId="0" applyNumberFormat="0" applyBorder="0" applyAlignment="0" applyProtection="0"/>
    <xf numFmtId="274" fontId="61" fillId="26" borderId="0" applyNumberFormat="0" applyBorder="0" applyAlignment="0" applyProtection="0"/>
    <xf numFmtId="274" fontId="61" fillId="26" borderId="0" applyNumberFormat="0" applyBorder="0" applyAlignment="0" applyProtection="0"/>
    <xf numFmtId="274" fontId="61" fillId="26" borderId="0" applyNumberFormat="0" applyBorder="0" applyAlignment="0" applyProtection="0"/>
    <xf numFmtId="274" fontId="61" fillId="26" borderId="0" applyNumberFormat="0" applyBorder="0" applyAlignment="0" applyProtection="0"/>
    <xf numFmtId="274" fontId="61" fillId="26" borderId="0" applyNumberFormat="0" applyBorder="0" applyAlignment="0" applyProtection="0"/>
    <xf numFmtId="274" fontId="61" fillId="26" borderId="0" applyNumberFormat="0" applyBorder="0" applyAlignment="0" applyProtection="0"/>
    <xf numFmtId="274" fontId="61" fillId="26" borderId="0" applyNumberFormat="0" applyBorder="0" applyAlignment="0" applyProtection="0"/>
    <xf numFmtId="274" fontId="61" fillId="26" borderId="0" applyNumberFormat="0" applyBorder="0" applyAlignment="0" applyProtection="0"/>
    <xf numFmtId="274" fontId="61" fillId="26" borderId="0" applyNumberFormat="0" applyBorder="0" applyAlignment="0" applyProtection="0"/>
    <xf numFmtId="274" fontId="61" fillId="26" borderId="0" applyNumberFormat="0" applyBorder="0" applyAlignment="0" applyProtection="0"/>
    <xf numFmtId="274" fontId="61" fillId="26" borderId="0" applyNumberFormat="0" applyBorder="0" applyAlignment="0" applyProtection="0"/>
    <xf numFmtId="274" fontId="61" fillId="26" borderId="0" applyNumberFormat="0" applyBorder="0" applyAlignment="0" applyProtection="0"/>
    <xf numFmtId="274" fontId="61" fillId="26" borderId="0" applyNumberFormat="0" applyBorder="0" applyAlignment="0" applyProtection="0"/>
    <xf numFmtId="274" fontId="61" fillId="26" borderId="0" applyNumberFormat="0" applyBorder="0" applyAlignment="0" applyProtection="0"/>
    <xf numFmtId="274" fontId="61" fillId="26" borderId="0" applyNumberFormat="0" applyBorder="0" applyAlignment="0" applyProtection="0"/>
    <xf numFmtId="274" fontId="61" fillId="26" borderId="0" applyNumberFormat="0" applyBorder="0" applyAlignment="0" applyProtection="0"/>
    <xf numFmtId="274" fontId="61" fillId="26" borderId="0" applyNumberFormat="0" applyBorder="0" applyAlignment="0" applyProtection="0"/>
    <xf numFmtId="274" fontId="61" fillId="26" borderId="0" applyNumberFormat="0" applyBorder="0" applyAlignment="0" applyProtection="0"/>
    <xf numFmtId="274" fontId="61" fillId="26" borderId="0" applyNumberFormat="0" applyBorder="0" applyAlignment="0" applyProtection="0"/>
    <xf numFmtId="274" fontId="61" fillId="26" borderId="0" applyNumberFormat="0" applyBorder="0" applyAlignment="0" applyProtection="0"/>
    <xf numFmtId="274" fontId="61" fillId="26" borderId="0" applyNumberFormat="0" applyBorder="0" applyAlignment="0" applyProtection="0"/>
    <xf numFmtId="274" fontId="61" fillId="26" borderId="0" applyNumberFormat="0" applyBorder="0" applyAlignment="0" applyProtection="0"/>
    <xf numFmtId="274" fontId="71" fillId="39" borderId="0" applyNumberFormat="0" applyBorder="0" applyAlignment="0" applyProtection="0"/>
    <xf numFmtId="0" fontId="61" fillId="26" borderId="0" applyNumberFormat="0" applyBorder="0" applyAlignment="0" applyProtection="0"/>
    <xf numFmtId="0" fontId="61" fillId="26" borderId="0" applyNumberFormat="0" applyBorder="0" applyAlignment="0" applyProtection="0"/>
    <xf numFmtId="0" fontId="61" fillId="26" borderId="0" applyNumberFormat="0" applyBorder="0" applyAlignment="0" applyProtection="0"/>
    <xf numFmtId="0" fontId="61" fillId="26" borderId="0" applyNumberFormat="0" applyBorder="0" applyAlignment="0" applyProtection="0"/>
    <xf numFmtId="0" fontId="61" fillId="26" borderId="0" applyNumberFormat="0" applyBorder="0" applyAlignment="0" applyProtection="0"/>
    <xf numFmtId="0" fontId="61" fillId="26" borderId="0" applyNumberFormat="0" applyBorder="0" applyAlignment="0" applyProtection="0"/>
    <xf numFmtId="0" fontId="61" fillId="26" borderId="0" applyNumberFormat="0" applyBorder="0" applyAlignment="0" applyProtection="0"/>
    <xf numFmtId="0" fontId="61" fillId="26" borderId="0" applyNumberFormat="0" applyBorder="0" applyAlignment="0" applyProtection="0"/>
    <xf numFmtId="0" fontId="61" fillId="26" borderId="0" applyNumberFormat="0" applyBorder="0" applyAlignment="0" applyProtection="0"/>
    <xf numFmtId="0" fontId="61" fillId="26" borderId="0" applyNumberFormat="0" applyBorder="0" applyAlignment="0" applyProtection="0"/>
    <xf numFmtId="0" fontId="61" fillId="26" borderId="0" applyNumberFormat="0" applyBorder="0" applyAlignment="0" applyProtection="0"/>
    <xf numFmtId="0" fontId="61" fillId="26" borderId="0" applyNumberFormat="0" applyBorder="0" applyAlignment="0" applyProtection="0"/>
    <xf numFmtId="0" fontId="61" fillId="26" borderId="0" applyNumberFormat="0" applyBorder="0" applyAlignment="0" applyProtection="0"/>
    <xf numFmtId="0" fontId="61" fillId="26" borderId="0" applyNumberFormat="0" applyBorder="0" applyAlignment="0" applyProtection="0"/>
    <xf numFmtId="0" fontId="61" fillId="26" borderId="0" applyNumberFormat="0" applyBorder="0" applyAlignment="0" applyProtection="0"/>
    <xf numFmtId="0" fontId="61" fillId="26" borderId="0" applyNumberFormat="0" applyBorder="0" applyAlignment="0" applyProtection="0"/>
    <xf numFmtId="0" fontId="61" fillId="26" borderId="0" applyNumberFormat="0" applyBorder="0" applyAlignment="0" applyProtection="0"/>
    <xf numFmtId="0" fontId="61" fillId="26" borderId="0" applyNumberFormat="0" applyBorder="0" applyAlignment="0" applyProtection="0"/>
    <xf numFmtId="0" fontId="61" fillId="26" borderId="0" applyNumberFormat="0" applyBorder="0" applyAlignment="0" applyProtection="0"/>
    <xf numFmtId="0" fontId="61" fillId="26" borderId="0" applyNumberFormat="0" applyBorder="0" applyAlignment="0" applyProtection="0"/>
    <xf numFmtId="0" fontId="61" fillId="26" borderId="0" applyNumberFormat="0" applyBorder="0" applyAlignment="0" applyProtection="0"/>
    <xf numFmtId="0" fontId="61" fillId="26" borderId="0" applyNumberFormat="0" applyBorder="0" applyAlignment="0" applyProtection="0"/>
    <xf numFmtId="0" fontId="61" fillId="26" borderId="0" applyNumberFormat="0" applyBorder="0" applyAlignment="0" applyProtection="0"/>
    <xf numFmtId="0" fontId="61" fillId="26" borderId="0" applyNumberFormat="0" applyBorder="0" applyAlignment="0" applyProtection="0"/>
    <xf numFmtId="0" fontId="61" fillId="26" borderId="0" applyNumberFormat="0" applyBorder="0" applyAlignment="0" applyProtection="0"/>
    <xf numFmtId="0" fontId="61" fillId="26" borderId="0" applyNumberFormat="0" applyBorder="0" applyAlignment="0" applyProtection="0"/>
    <xf numFmtId="0" fontId="61" fillId="26" borderId="0" applyNumberFormat="0" applyBorder="0" applyAlignment="0" applyProtection="0"/>
    <xf numFmtId="0" fontId="61" fillId="26" borderId="0" applyNumberFormat="0" applyBorder="0" applyAlignment="0" applyProtection="0"/>
    <xf numFmtId="0" fontId="61" fillId="26" borderId="0" applyNumberFormat="0" applyBorder="0" applyAlignment="0" applyProtection="0"/>
    <xf numFmtId="0" fontId="61" fillId="26" borderId="0" applyNumberFormat="0" applyBorder="0" applyAlignment="0" applyProtection="0"/>
    <xf numFmtId="0" fontId="61" fillId="26" borderId="0" applyNumberFormat="0" applyBorder="0" applyAlignment="0" applyProtection="0"/>
    <xf numFmtId="0" fontId="61" fillId="26" borderId="0" applyNumberFormat="0" applyBorder="0" applyAlignment="0" applyProtection="0"/>
    <xf numFmtId="0" fontId="71" fillId="39" borderId="0" applyNumberFormat="0" applyBorder="0" applyAlignment="0" applyProtection="0"/>
    <xf numFmtId="238" fontId="71" fillId="39" borderId="0" applyNumberFormat="0" applyBorder="0" applyAlignment="0" applyProtection="0"/>
    <xf numFmtId="238" fontId="71" fillId="39" borderId="0" applyNumberFormat="0" applyBorder="0" applyAlignment="0" applyProtection="0"/>
    <xf numFmtId="238" fontId="71" fillId="39" borderId="0" applyNumberFormat="0" applyBorder="0" applyAlignment="0" applyProtection="0"/>
    <xf numFmtId="238" fontId="71" fillId="39" borderId="0" applyNumberFormat="0" applyBorder="0" applyAlignment="0" applyProtection="0"/>
    <xf numFmtId="238" fontId="71" fillId="39" borderId="0" applyNumberFormat="0" applyBorder="0" applyAlignment="0" applyProtection="0"/>
    <xf numFmtId="238" fontId="71" fillId="39" borderId="0" applyNumberFormat="0" applyBorder="0" applyAlignment="0" applyProtection="0"/>
    <xf numFmtId="238" fontId="71" fillId="39" borderId="0" applyNumberFormat="0" applyBorder="0" applyAlignment="0" applyProtection="0"/>
    <xf numFmtId="238" fontId="71" fillId="39" borderId="0" applyNumberFormat="0" applyBorder="0" applyAlignment="0" applyProtection="0"/>
    <xf numFmtId="238" fontId="71" fillId="39" borderId="0" applyNumberFormat="0" applyBorder="0" applyAlignment="0" applyProtection="0"/>
    <xf numFmtId="238" fontId="71" fillId="39" borderId="0" applyNumberFormat="0" applyBorder="0" applyAlignment="0" applyProtection="0"/>
    <xf numFmtId="238" fontId="71" fillId="39" borderId="0" applyNumberFormat="0" applyBorder="0" applyAlignment="0" applyProtection="0"/>
    <xf numFmtId="238" fontId="71" fillId="39" borderId="0" applyNumberFormat="0" applyBorder="0" applyAlignment="0" applyProtection="0"/>
    <xf numFmtId="238" fontId="71" fillId="39" borderId="0" applyNumberFormat="0" applyBorder="0" applyAlignment="0" applyProtection="0"/>
    <xf numFmtId="238" fontId="71" fillId="39" borderId="0" applyNumberFormat="0" applyBorder="0" applyAlignment="0" applyProtection="0"/>
    <xf numFmtId="238" fontId="71" fillId="39" borderId="0" applyNumberFormat="0" applyBorder="0" applyAlignment="0" applyProtection="0"/>
    <xf numFmtId="238" fontId="71" fillId="39" borderId="0" applyNumberFormat="0" applyBorder="0" applyAlignment="0" applyProtection="0"/>
    <xf numFmtId="238" fontId="71" fillId="39" borderId="0" applyNumberFormat="0" applyBorder="0" applyAlignment="0" applyProtection="0"/>
    <xf numFmtId="238" fontId="71" fillId="39" borderId="0" applyNumberFormat="0" applyBorder="0" applyAlignment="0" applyProtection="0"/>
    <xf numFmtId="238" fontId="71" fillId="39" borderId="0" applyNumberFormat="0" applyBorder="0" applyAlignment="0" applyProtection="0"/>
    <xf numFmtId="238" fontId="71" fillId="39" borderId="0" applyNumberFormat="0" applyBorder="0" applyAlignment="0" applyProtection="0"/>
    <xf numFmtId="238" fontId="71" fillId="39" borderId="0" applyNumberFormat="0" applyBorder="0" applyAlignment="0" applyProtection="0"/>
    <xf numFmtId="238" fontId="71" fillId="39" borderId="0" applyNumberFormat="0" applyBorder="0" applyAlignment="0" applyProtection="0"/>
    <xf numFmtId="238" fontId="71" fillId="39" borderId="0" applyNumberFormat="0" applyBorder="0" applyAlignment="0" applyProtection="0"/>
    <xf numFmtId="238" fontId="71" fillId="39" borderId="0" applyNumberFormat="0" applyBorder="0" applyAlignment="0" applyProtection="0"/>
    <xf numFmtId="238" fontId="71" fillId="39" borderId="0" applyNumberFormat="0" applyBorder="0" applyAlignment="0" applyProtection="0"/>
    <xf numFmtId="238" fontId="71" fillId="39" borderId="0" applyNumberFormat="0" applyBorder="0" applyAlignment="0" applyProtection="0"/>
    <xf numFmtId="238" fontId="71" fillId="39" borderId="0" applyNumberFormat="0" applyBorder="0" applyAlignment="0" applyProtection="0"/>
    <xf numFmtId="238" fontId="71" fillId="39" borderId="0" applyNumberFormat="0" applyBorder="0" applyAlignment="0" applyProtection="0"/>
    <xf numFmtId="238" fontId="71" fillId="39" borderId="0" applyNumberFormat="0" applyBorder="0" applyAlignment="0" applyProtection="0"/>
    <xf numFmtId="238" fontId="71" fillId="39" borderId="0" applyNumberFormat="0" applyBorder="0" applyAlignment="0" applyProtection="0"/>
    <xf numFmtId="238" fontId="71" fillId="39" borderId="0" applyNumberFormat="0" applyBorder="0" applyAlignment="0" applyProtection="0"/>
    <xf numFmtId="238" fontId="71" fillId="39" borderId="0" applyNumberFormat="0" applyBorder="0" applyAlignment="0" applyProtection="0"/>
    <xf numFmtId="238" fontId="71" fillId="39" borderId="0" applyNumberFormat="0" applyBorder="0" applyAlignment="0" applyProtection="0"/>
    <xf numFmtId="238" fontId="71" fillId="39" borderId="0" applyNumberFormat="0" applyBorder="0" applyAlignment="0" applyProtection="0"/>
    <xf numFmtId="238" fontId="71" fillId="39" borderId="0" applyNumberFormat="0" applyBorder="0" applyAlignment="0" applyProtection="0"/>
    <xf numFmtId="238" fontId="71" fillId="39" borderId="0" applyNumberFormat="0" applyBorder="0" applyAlignment="0" applyProtection="0"/>
    <xf numFmtId="238" fontId="71" fillId="39" borderId="0" applyNumberFormat="0" applyBorder="0" applyAlignment="0" applyProtection="0"/>
    <xf numFmtId="238" fontId="71" fillId="39" borderId="0" applyNumberFormat="0" applyBorder="0" applyAlignment="0" applyProtection="0"/>
    <xf numFmtId="238" fontId="71" fillId="39" borderId="0" applyNumberFormat="0" applyBorder="0" applyAlignment="0" applyProtection="0"/>
    <xf numFmtId="238" fontId="71" fillId="39" borderId="0" applyNumberFormat="0" applyBorder="0" applyAlignment="0" applyProtection="0"/>
    <xf numFmtId="238" fontId="71" fillId="39" borderId="0" applyNumberFormat="0" applyBorder="0" applyAlignment="0" applyProtection="0"/>
    <xf numFmtId="238" fontId="71" fillId="39" borderId="0" applyNumberFormat="0" applyBorder="0" applyAlignment="0" applyProtection="0"/>
    <xf numFmtId="238" fontId="71" fillId="39" borderId="0" applyNumberFormat="0" applyBorder="0" applyAlignment="0" applyProtection="0"/>
    <xf numFmtId="238" fontId="71" fillId="40" borderId="0" applyNumberFormat="0" applyBorder="0" applyAlignment="0" applyProtection="0"/>
    <xf numFmtId="238" fontId="71" fillId="40" borderId="0" applyNumberFormat="0" applyBorder="0" applyAlignment="0" applyProtection="0"/>
    <xf numFmtId="238" fontId="71" fillId="40" borderId="0" applyNumberFormat="0" applyBorder="0" applyAlignment="0" applyProtection="0"/>
    <xf numFmtId="238" fontId="71" fillId="40" borderId="0" applyNumberFormat="0" applyBorder="0" applyAlignment="0" applyProtection="0"/>
    <xf numFmtId="238" fontId="71" fillId="40" borderId="0" applyNumberFormat="0" applyBorder="0" applyAlignment="0" applyProtection="0"/>
    <xf numFmtId="238" fontId="71" fillId="40" borderId="0" applyNumberFormat="0" applyBorder="0" applyAlignment="0" applyProtection="0"/>
    <xf numFmtId="238" fontId="71" fillId="40" borderId="0" applyNumberFormat="0" applyBorder="0" applyAlignment="0" applyProtection="0"/>
    <xf numFmtId="238" fontId="71" fillId="40" borderId="0" applyNumberFormat="0" applyBorder="0" applyAlignment="0" applyProtection="0"/>
    <xf numFmtId="238" fontId="71" fillId="40" borderId="0" applyNumberFormat="0" applyBorder="0" applyAlignment="0" applyProtection="0"/>
    <xf numFmtId="238" fontId="71" fillId="40" borderId="0" applyNumberFormat="0" applyBorder="0" applyAlignment="0" applyProtection="0"/>
    <xf numFmtId="0" fontId="61" fillId="30" borderId="0" applyNumberFormat="0" applyBorder="0" applyAlignment="0" applyProtection="0"/>
    <xf numFmtId="0" fontId="61" fillId="30" borderId="0" applyNumberFormat="0" applyBorder="0" applyAlignment="0" applyProtection="0"/>
    <xf numFmtId="0" fontId="61" fillId="30" borderId="0" applyNumberFormat="0" applyBorder="0" applyAlignment="0" applyProtection="0"/>
    <xf numFmtId="0" fontId="61" fillId="30" borderId="0" applyNumberFormat="0" applyBorder="0" applyAlignment="0" applyProtection="0"/>
    <xf numFmtId="0" fontId="61" fillId="30" borderId="0" applyNumberFormat="0" applyBorder="0" applyAlignment="0" applyProtection="0"/>
    <xf numFmtId="0" fontId="61" fillId="30" borderId="0" applyNumberFormat="0" applyBorder="0" applyAlignment="0" applyProtection="0"/>
    <xf numFmtId="0" fontId="61" fillId="30" borderId="0" applyNumberFormat="0" applyBorder="0" applyAlignment="0" applyProtection="0"/>
    <xf numFmtId="0" fontId="61" fillId="30" borderId="0" applyNumberFormat="0" applyBorder="0" applyAlignment="0" applyProtection="0"/>
    <xf numFmtId="0" fontId="61" fillId="30" borderId="0" applyNumberFormat="0" applyBorder="0" applyAlignment="0" applyProtection="0"/>
    <xf numFmtId="0" fontId="61" fillId="30" borderId="0" applyNumberFormat="0" applyBorder="0" applyAlignment="0" applyProtection="0"/>
    <xf numFmtId="274" fontId="61" fillId="30" borderId="0" applyNumberFormat="0" applyBorder="0" applyAlignment="0" applyProtection="0"/>
    <xf numFmtId="274" fontId="61" fillId="30" borderId="0" applyNumberFormat="0" applyBorder="0" applyAlignment="0" applyProtection="0"/>
    <xf numFmtId="274" fontId="61" fillId="30" borderId="0" applyNumberFormat="0" applyBorder="0" applyAlignment="0" applyProtection="0"/>
    <xf numFmtId="274" fontId="61" fillId="30" borderId="0" applyNumberFormat="0" applyBorder="0" applyAlignment="0" applyProtection="0"/>
    <xf numFmtId="274" fontId="61" fillId="30" borderId="0" applyNumberFormat="0" applyBorder="0" applyAlignment="0" applyProtection="0"/>
    <xf numFmtId="274" fontId="61" fillId="30" borderId="0" applyNumberFormat="0" applyBorder="0" applyAlignment="0" applyProtection="0"/>
    <xf numFmtId="274" fontId="61" fillId="30" borderId="0" applyNumberFormat="0" applyBorder="0" applyAlignment="0" applyProtection="0"/>
    <xf numFmtId="274" fontId="61" fillId="30" borderId="0" applyNumberFormat="0" applyBorder="0" applyAlignment="0" applyProtection="0"/>
    <xf numFmtId="274" fontId="61" fillId="30" borderId="0" applyNumberFormat="0" applyBorder="0" applyAlignment="0" applyProtection="0"/>
    <xf numFmtId="274" fontId="61" fillId="30" borderId="0" applyNumberFormat="0" applyBorder="0" applyAlignment="0" applyProtection="0"/>
    <xf numFmtId="274" fontId="61" fillId="30" borderId="0" applyNumberFormat="0" applyBorder="0" applyAlignment="0" applyProtection="0"/>
    <xf numFmtId="274" fontId="61" fillId="30" borderId="0" applyNumberFormat="0" applyBorder="0" applyAlignment="0" applyProtection="0"/>
    <xf numFmtId="274" fontId="61" fillId="30" borderId="0" applyNumberFormat="0" applyBorder="0" applyAlignment="0" applyProtection="0"/>
    <xf numFmtId="274" fontId="61" fillId="30" borderId="0" applyNumberFormat="0" applyBorder="0" applyAlignment="0" applyProtection="0"/>
    <xf numFmtId="274" fontId="61" fillId="30" borderId="0" applyNumberFormat="0" applyBorder="0" applyAlignment="0" applyProtection="0"/>
    <xf numFmtId="274" fontId="61" fillId="30" borderId="0" applyNumberFormat="0" applyBorder="0" applyAlignment="0" applyProtection="0"/>
    <xf numFmtId="274" fontId="61" fillId="30" borderId="0" applyNumberFormat="0" applyBorder="0" applyAlignment="0" applyProtection="0"/>
    <xf numFmtId="274" fontId="61" fillId="30" borderId="0" applyNumberFormat="0" applyBorder="0" applyAlignment="0" applyProtection="0"/>
    <xf numFmtId="274" fontId="61" fillId="30" borderId="0" applyNumberFormat="0" applyBorder="0" applyAlignment="0" applyProtection="0"/>
    <xf numFmtId="274" fontId="61" fillId="30" borderId="0" applyNumberFormat="0" applyBorder="0" applyAlignment="0" applyProtection="0"/>
    <xf numFmtId="274" fontId="61" fillId="30" borderId="0" applyNumberFormat="0" applyBorder="0" applyAlignment="0" applyProtection="0"/>
    <xf numFmtId="274" fontId="61" fillId="30" borderId="0" applyNumberFormat="0" applyBorder="0" applyAlignment="0" applyProtection="0"/>
    <xf numFmtId="274" fontId="61" fillId="30" borderId="0" applyNumberFormat="0" applyBorder="0" applyAlignment="0" applyProtection="0"/>
    <xf numFmtId="274" fontId="61" fillId="30" borderId="0" applyNumberFormat="0" applyBorder="0" applyAlignment="0" applyProtection="0"/>
    <xf numFmtId="274" fontId="61" fillId="30" borderId="0" applyNumberFormat="0" applyBorder="0" applyAlignment="0" applyProtection="0"/>
    <xf numFmtId="274" fontId="61" fillId="30" borderId="0" applyNumberFormat="0" applyBorder="0" applyAlignment="0" applyProtection="0"/>
    <xf numFmtId="274" fontId="61" fillId="30" borderId="0" applyNumberFormat="0" applyBorder="0" applyAlignment="0" applyProtection="0"/>
    <xf numFmtId="274" fontId="61" fillId="30" borderId="0" applyNumberFormat="0" applyBorder="0" applyAlignment="0" applyProtection="0"/>
    <xf numFmtId="274" fontId="61" fillId="30" borderId="0" applyNumberFormat="0" applyBorder="0" applyAlignment="0" applyProtection="0"/>
    <xf numFmtId="274" fontId="61" fillId="30" borderId="0" applyNumberFormat="0" applyBorder="0" applyAlignment="0" applyProtection="0"/>
    <xf numFmtId="274" fontId="61" fillId="30" borderId="0" applyNumberFormat="0" applyBorder="0" applyAlignment="0" applyProtection="0"/>
    <xf numFmtId="274" fontId="61" fillId="30" borderId="0" applyNumberFormat="0" applyBorder="0" applyAlignment="0" applyProtection="0"/>
    <xf numFmtId="274" fontId="61" fillId="30" borderId="0" applyNumberFormat="0" applyBorder="0" applyAlignment="0" applyProtection="0"/>
    <xf numFmtId="274" fontId="61" fillId="30" borderId="0" applyNumberFormat="0" applyBorder="0" applyAlignment="0" applyProtection="0"/>
    <xf numFmtId="274" fontId="61" fillId="30" borderId="0" applyNumberFormat="0" applyBorder="0" applyAlignment="0" applyProtection="0"/>
    <xf numFmtId="274" fontId="61" fillId="30" borderId="0" applyNumberFormat="0" applyBorder="0" applyAlignment="0" applyProtection="0"/>
    <xf numFmtId="274" fontId="61" fillId="30" borderId="0" applyNumberFormat="0" applyBorder="0" applyAlignment="0" applyProtection="0"/>
    <xf numFmtId="274" fontId="61" fillId="30" borderId="0" applyNumberFormat="0" applyBorder="0" applyAlignment="0" applyProtection="0"/>
    <xf numFmtId="274" fontId="61" fillId="30" borderId="0" applyNumberFormat="0" applyBorder="0" applyAlignment="0" applyProtection="0"/>
    <xf numFmtId="274" fontId="61" fillId="30" borderId="0" applyNumberFormat="0" applyBorder="0" applyAlignment="0" applyProtection="0"/>
    <xf numFmtId="274" fontId="61" fillId="30" borderId="0" applyNumberFormat="0" applyBorder="0" applyAlignment="0" applyProtection="0"/>
    <xf numFmtId="274" fontId="61" fillId="30" borderId="0" applyNumberFormat="0" applyBorder="0" applyAlignment="0" applyProtection="0"/>
    <xf numFmtId="274" fontId="71" fillId="40" borderId="0" applyNumberFormat="0" applyBorder="0" applyAlignment="0" applyProtection="0"/>
    <xf numFmtId="0" fontId="61" fillId="30" borderId="0" applyNumberFormat="0" applyBorder="0" applyAlignment="0" applyProtection="0"/>
    <xf numFmtId="0" fontId="61" fillId="30" borderId="0" applyNumberFormat="0" applyBorder="0" applyAlignment="0" applyProtection="0"/>
    <xf numFmtId="0" fontId="61" fillId="30" borderId="0" applyNumberFormat="0" applyBorder="0" applyAlignment="0" applyProtection="0"/>
    <xf numFmtId="0" fontId="61" fillId="30" borderId="0" applyNumberFormat="0" applyBorder="0" applyAlignment="0" applyProtection="0"/>
    <xf numFmtId="0" fontId="61" fillId="30" borderId="0" applyNumberFormat="0" applyBorder="0" applyAlignment="0" applyProtection="0"/>
    <xf numFmtId="0" fontId="61" fillId="30" borderId="0" applyNumberFormat="0" applyBorder="0" applyAlignment="0" applyProtection="0"/>
    <xf numFmtId="0" fontId="61" fillId="30" borderId="0" applyNumberFormat="0" applyBorder="0" applyAlignment="0" applyProtection="0"/>
    <xf numFmtId="0" fontId="61" fillId="30" borderId="0" applyNumberFormat="0" applyBorder="0" applyAlignment="0" applyProtection="0"/>
    <xf numFmtId="0" fontId="61" fillId="30" borderId="0" applyNumberFormat="0" applyBorder="0" applyAlignment="0" applyProtection="0"/>
    <xf numFmtId="0" fontId="61" fillId="30" borderId="0" applyNumberFormat="0" applyBorder="0" applyAlignment="0" applyProtection="0"/>
    <xf numFmtId="0" fontId="61" fillId="30" borderId="0" applyNumberFormat="0" applyBorder="0" applyAlignment="0" applyProtection="0"/>
    <xf numFmtId="0" fontId="61" fillId="30" borderId="0" applyNumberFormat="0" applyBorder="0" applyAlignment="0" applyProtection="0"/>
    <xf numFmtId="0" fontId="61" fillId="30" borderId="0" applyNumberFormat="0" applyBorder="0" applyAlignment="0" applyProtection="0"/>
    <xf numFmtId="0" fontId="61" fillId="30" borderId="0" applyNumberFormat="0" applyBorder="0" applyAlignment="0" applyProtection="0"/>
    <xf numFmtId="0" fontId="61" fillId="30" borderId="0" applyNumberFormat="0" applyBorder="0" applyAlignment="0" applyProtection="0"/>
    <xf numFmtId="0" fontId="61" fillId="30" borderId="0" applyNumberFormat="0" applyBorder="0" applyAlignment="0" applyProtection="0"/>
    <xf numFmtId="0" fontId="61" fillId="30" borderId="0" applyNumberFormat="0" applyBorder="0" applyAlignment="0" applyProtection="0"/>
    <xf numFmtId="0" fontId="61" fillId="30" borderId="0" applyNumberFormat="0" applyBorder="0" applyAlignment="0" applyProtection="0"/>
    <xf numFmtId="0" fontId="61" fillId="30" borderId="0" applyNumberFormat="0" applyBorder="0" applyAlignment="0" applyProtection="0"/>
    <xf numFmtId="0" fontId="61" fillId="30" borderId="0" applyNumberFormat="0" applyBorder="0" applyAlignment="0" applyProtection="0"/>
    <xf numFmtId="0" fontId="61" fillId="30" borderId="0" applyNumberFormat="0" applyBorder="0" applyAlignment="0" applyProtection="0"/>
    <xf numFmtId="0" fontId="61" fillId="30" borderId="0" applyNumberFormat="0" applyBorder="0" applyAlignment="0" applyProtection="0"/>
    <xf numFmtId="0" fontId="61" fillId="30" borderId="0" applyNumberFormat="0" applyBorder="0" applyAlignment="0" applyProtection="0"/>
    <xf numFmtId="0" fontId="61" fillId="30" borderId="0" applyNumberFormat="0" applyBorder="0" applyAlignment="0" applyProtection="0"/>
    <xf numFmtId="0" fontId="61" fillId="30" borderId="0" applyNumberFormat="0" applyBorder="0" applyAlignment="0" applyProtection="0"/>
    <xf numFmtId="0" fontId="61" fillId="30" borderId="0" applyNumberFormat="0" applyBorder="0" applyAlignment="0" applyProtection="0"/>
    <xf numFmtId="0" fontId="61" fillId="30" borderId="0" applyNumberFormat="0" applyBorder="0" applyAlignment="0" applyProtection="0"/>
    <xf numFmtId="0" fontId="61" fillId="30" borderId="0" applyNumberFormat="0" applyBorder="0" applyAlignment="0" applyProtection="0"/>
    <xf numFmtId="0" fontId="61" fillId="30" borderId="0" applyNumberFormat="0" applyBorder="0" applyAlignment="0" applyProtection="0"/>
    <xf numFmtId="0" fontId="61" fillId="30" borderId="0" applyNumberFormat="0" applyBorder="0" applyAlignment="0" applyProtection="0"/>
    <xf numFmtId="0" fontId="61" fillId="30" borderId="0" applyNumberFormat="0" applyBorder="0" applyAlignment="0" applyProtection="0"/>
    <xf numFmtId="0" fontId="61" fillId="30" borderId="0" applyNumberFormat="0" applyBorder="0" applyAlignment="0" applyProtection="0"/>
    <xf numFmtId="0" fontId="71" fillId="40" borderId="0" applyNumberFormat="0" applyBorder="0" applyAlignment="0" applyProtection="0"/>
    <xf numFmtId="238" fontId="71" fillId="40" borderId="0" applyNumberFormat="0" applyBorder="0" applyAlignment="0" applyProtection="0"/>
    <xf numFmtId="238" fontId="71" fillId="40" borderId="0" applyNumberFormat="0" applyBorder="0" applyAlignment="0" applyProtection="0"/>
    <xf numFmtId="238" fontId="71" fillId="40" borderId="0" applyNumberFormat="0" applyBorder="0" applyAlignment="0" applyProtection="0"/>
    <xf numFmtId="238" fontId="71" fillId="40" borderId="0" applyNumberFormat="0" applyBorder="0" applyAlignment="0" applyProtection="0"/>
    <xf numFmtId="238" fontId="71" fillId="40" borderId="0" applyNumberFormat="0" applyBorder="0" applyAlignment="0" applyProtection="0"/>
    <xf numFmtId="238" fontId="71" fillId="40" borderId="0" applyNumberFormat="0" applyBorder="0" applyAlignment="0" applyProtection="0"/>
    <xf numFmtId="238" fontId="71" fillId="40" borderId="0" applyNumberFormat="0" applyBorder="0" applyAlignment="0" applyProtection="0"/>
    <xf numFmtId="238" fontId="71" fillId="40" borderId="0" applyNumberFormat="0" applyBorder="0" applyAlignment="0" applyProtection="0"/>
    <xf numFmtId="238" fontId="71" fillId="40" borderId="0" applyNumberFormat="0" applyBorder="0" applyAlignment="0" applyProtection="0"/>
    <xf numFmtId="238" fontId="71" fillId="40" borderId="0" applyNumberFormat="0" applyBorder="0" applyAlignment="0" applyProtection="0"/>
    <xf numFmtId="238" fontId="71" fillId="40" borderId="0" applyNumberFormat="0" applyBorder="0" applyAlignment="0" applyProtection="0"/>
    <xf numFmtId="238" fontId="71" fillId="40" borderId="0" applyNumberFormat="0" applyBorder="0" applyAlignment="0" applyProtection="0"/>
    <xf numFmtId="238" fontId="71" fillId="40" borderId="0" applyNumberFormat="0" applyBorder="0" applyAlignment="0" applyProtection="0"/>
    <xf numFmtId="238" fontId="71" fillId="40" borderId="0" applyNumberFormat="0" applyBorder="0" applyAlignment="0" applyProtection="0"/>
    <xf numFmtId="238" fontId="71" fillId="40" borderId="0" applyNumberFormat="0" applyBorder="0" applyAlignment="0" applyProtection="0"/>
    <xf numFmtId="238" fontId="71" fillId="40" borderId="0" applyNumberFormat="0" applyBorder="0" applyAlignment="0" applyProtection="0"/>
    <xf numFmtId="238" fontId="71" fillId="40" borderId="0" applyNumberFormat="0" applyBorder="0" applyAlignment="0" applyProtection="0"/>
    <xf numFmtId="238" fontId="71" fillId="40" borderId="0" applyNumberFormat="0" applyBorder="0" applyAlignment="0" applyProtection="0"/>
    <xf numFmtId="238" fontId="71" fillId="40" borderId="0" applyNumberFormat="0" applyBorder="0" applyAlignment="0" applyProtection="0"/>
    <xf numFmtId="238" fontId="71" fillId="40" borderId="0" applyNumberFormat="0" applyBorder="0" applyAlignment="0" applyProtection="0"/>
    <xf numFmtId="238" fontId="71" fillId="40" borderId="0" applyNumberFormat="0" applyBorder="0" applyAlignment="0" applyProtection="0"/>
    <xf numFmtId="238" fontId="71" fillId="40" borderId="0" applyNumberFormat="0" applyBorder="0" applyAlignment="0" applyProtection="0"/>
    <xf numFmtId="238" fontId="71" fillId="40" borderId="0" applyNumberFormat="0" applyBorder="0" applyAlignment="0" applyProtection="0"/>
    <xf numFmtId="238" fontId="71" fillId="40" borderId="0" applyNumberFormat="0" applyBorder="0" applyAlignment="0" applyProtection="0"/>
    <xf numFmtId="238" fontId="71" fillId="40" borderId="0" applyNumberFormat="0" applyBorder="0" applyAlignment="0" applyProtection="0"/>
    <xf numFmtId="238" fontId="71" fillId="40" borderId="0" applyNumberFormat="0" applyBorder="0" applyAlignment="0" applyProtection="0"/>
    <xf numFmtId="238" fontId="71" fillId="40" borderId="0" applyNumberFormat="0" applyBorder="0" applyAlignment="0" applyProtection="0"/>
    <xf numFmtId="238" fontId="71" fillId="40" borderId="0" applyNumberFormat="0" applyBorder="0" applyAlignment="0" applyProtection="0"/>
    <xf numFmtId="238" fontId="71" fillId="40" borderId="0" applyNumberFormat="0" applyBorder="0" applyAlignment="0" applyProtection="0"/>
    <xf numFmtId="238" fontId="71" fillId="40" borderId="0" applyNumberFormat="0" applyBorder="0" applyAlignment="0" applyProtection="0"/>
    <xf numFmtId="238" fontId="71" fillId="40" borderId="0" applyNumberFormat="0" applyBorder="0" applyAlignment="0" applyProtection="0"/>
    <xf numFmtId="238" fontId="71" fillId="40" borderId="0" applyNumberFormat="0" applyBorder="0" applyAlignment="0" applyProtection="0"/>
    <xf numFmtId="238" fontId="71" fillId="40" borderId="0" applyNumberFormat="0" applyBorder="0" applyAlignment="0" applyProtection="0"/>
    <xf numFmtId="238" fontId="71" fillId="40" borderId="0" applyNumberFormat="0" applyBorder="0" applyAlignment="0" applyProtection="0"/>
    <xf numFmtId="238" fontId="71" fillId="40" borderId="0" applyNumberFormat="0" applyBorder="0" applyAlignment="0" applyProtection="0"/>
    <xf numFmtId="238" fontId="71" fillId="40" borderId="0" applyNumberFormat="0" applyBorder="0" applyAlignment="0" applyProtection="0"/>
    <xf numFmtId="238" fontId="71" fillId="40" borderId="0" applyNumberFormat="0" applyBorder="0" applyAlignment="0" applyProtection="0"/>
    <xf numFmtId="238" fontId="71" fillId="40" borderId="0" applyNumberFormat="0" applyBorder="0" applyAlignment="0" applyProtection="0"/>
    <xf numFmtId="238" fontId="71" fillId="40" borderId="0" applyNumberFormat="0" applyBorder="0" applyAlignment="0" applyProtection="0"/>
    <xf numFmtId="238" fontId="71" fillId="40" borderId="0" applyNumberFormat="0" applyBorder="0" applyAlignment="0" applyProtection="0"/>
    <xf numFmtId="238" fontId="71" fillId="40" borderId="0" applyNumberFormat="0" applyBorder="0" applyAlignment="0" applyProtection="0"/>
    <xf numFmtId="238" fontId="71" fillId="40" borderId="0" applyNumberFormat="0" applyBorder="0" applyAlignment="0" applyProtection="0"/>
    <xf numFmtId="238" fontId="71" fillId="40" borderId="0" applyNumberFormat="0" applyBorder="0" applyAlignment="0" applyProtection="0"/>
    <xf numFmtId="238" fontId="71" fillId="35" borderId="0" applyNumberFormat="0" applyBorder="0" applyAlignment="0" applyProtection="0"/>
    <xf numFmtId="238" fontId="71" fillId="36" borderId="0" applyNumberFormat="0" applyBorder="0" applyAlignment="0" applyProtection="0"/>
    <xf numFmtId="238" fontId="71" fillId="37" borderId="0" applyNumberFormat="0" applyBorder="0" applyAlignment="0" applyProtection="0"/>
    <xf numFmtId="238" fontId="71" fillId="38" borderId="0" applyNumberFormat="0" applyBorder="0" applyAlignment="0" applyProtection="0"/>
    <xf numFmtId="238" fontId="71" fillId="39" borderId="0" applyNumberFormat="0" applyBorder="0" applyAlignment="0" applyProtection="0"/>
    <xf numFmtId="238" fontId="71" fillId="40" borderId="0" applyNumberFormat="0" applyBorder="0" applyAlignment="0" applyProtection="0"/>
    <xf numFmtId="238" fontId="194" fillId="75" borderId="0" applyNumberFormat="0" applyBorder="0" applyAlignment="0" applyProtection="0">
      <alignment vertical="center"/>
    </xf>
    <xf numFmtId="238" fontId="194" fillId="40" borderId="0" applyNumberFormat="0" applyBorder="0" applyAlignment="0" applyProtection="0">
      <alignment vertical="center"/>
    </xf>
    <xf numFmtId="238" fontId="194" fillId="74" borderId="0" applyNumberFormat="0" applyBorder="0" applyAlignment="0" applyProtection="0">
      <alignment vertical="center"/>
    </xf>
    <xf numFmtId="238" fontId="194" fillId="75" borderId="0" applyNumberFormat="0" applyBorder="0" applyAlignment="0" applyProtection="0">
      <alignment vertical="center"/>
    </xf>
    <xf numFmtId="238" fontId="194" fillId="39" borderId="0" applyNumberFormat="0" applyBorder="0" applyAlignment="0" applyProtection="0">
      <alignment vertical="center"/>
    </xf>
    <xf numFmtId="238" fontId="194" fillId="40" borderId="0" applyNumberFormat="0" applyBorder="0" applyAlignment="0" applyProtection="0">
      <alignment vertical="center"/>
    </xf>
    <xf numFmtId="0" fontId="88" fillId="0" borderId="0" applyNumberFormat="0" applyFill="0" applyBorder="0" applyAlignment="0" applyProtection="0"/>
    <xf numFmtId="0" fontId="88" fillId="77" borderId="55"/>
    <xf numFmtId="0" fontId="88" fillId="77" borderId="55"/>
    <xf numFmtId="0" fontId="88" fillId="77" borderId="55"/>
    <xf numFmtId="238" fontId="71" fillId="73" borderId="0" applyNumberFormat="0" applyBorder="0" applyAlignment="0" applyProtection="0"/>
    <xf numFmtId="238" fontId="71" fillId="36" borderId="0" applyNumberFormat="0" applyBorder="0" applyAlignment="0" applyProtection="0"/>
    <xf numFmtId="238" fontId="71" fillId="40" borderId="0" applyNumberFormat="0" applyBorder="0" applyAlignment="0" applyProtection="0"/>
    <xf numFmtId="238" fontId="71" fillId="41" borderId="0" applyNumberFormat="0" applyBorder="0" applyAlignment="0" applyProtection="0"/>
    <xf numFmtId="238" fontId="71" fillId="61" borderId="0" applyNumberFormat="0" applyBorder="0" applyAlignment="0" applyProtection="0"/>
    <xf numFmtId="238" fontId="71" fillId="39"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0" fontId="61" fillId="11" borderId="0" applyNumberFormat="0" applyBorder="0" applyAlignment="0" applyProtection="0"/>
    <xf numFmtId="0" fontId="61" fillId="11" borderId="0" applyNumberFormat="0" applyBorder="0" applyAlignment="0" applyProtection="0"/>
    <xf numFmtId="0" fontId="61" fillId="11" borderId="0" applyNumberFormat="0" applyBorder="0" applyAlignment="0" applyProtection="0"/>
    <xf numFmtId="0" fontId="61" fillId="11" borderId="0" applyNumberFormat="0" applyBorder="0" applyAlignment="0" applyProtection="0"/>
    <xf numFmtId="0" fontId="61" fillId="11" borderId="0" applyNumberFormat="0" applyBorder="0" applyAlignment="0" applyProtection="0"/>
    <xf numFmtId="0" fontId="61" fillId="11" borderId="0" applyNumberFormat="0" applyBorder="0" applyAlignment="0" applyProtection="0"/>
    <xf numFmtId="0" fontId="61" fillId="11" borderId="0" applyNumberFormat="0" applyBorder="0" applyAlignment="0" applyProtection="0"/>
    <xf numFmtId="0" fontId="61" fillId="11" borderId="0" applyNumberFormat="0" applyBorder="0" applyAlignment="0" applyProtection="0"/>
    <xf numFmtId="0" fontId="61" fillId="11" borderId="0" applyNumberFormat="0" applyBorder="0" applyAlignment="0" applyProtection="0"/>
    <xf numFmtId="0" fontId="61" fillId="11" borderId="0" applyNumberFormat="0" applyBorder="0" applyAlignment="0" applyProtection="0"/>
    <xf numFmtId="274" fontId="61" fillId="11" borderId="0" applyNumberFormat="0" applyBorder="0" applyAlignment="0" applyProtection="0"/>
    <xf numFmtId="274" fontId="61" fillId="11" borderId="0" applyNumberFormat="0" applyBorder="0" applyAlignment="0" applyProtection="0"/>
    <xf numFmtId="274" fontId="61" fillId="11" borderId="0" applyNumberFormat="0" applyBorder="0" applyAlignment="0" applyProtection="0"/>
    <xf numFmtId="274" fontId="61" fillId="11" borderId="0" applyNumberFormat="0" applyBorder="0" applyAlignment="0" applyProtection="0"/>
    <xf numFmtId="274" fontId="61" fillId="11" borderId="0" applyNumberFormat="0" applyBorder="0" applyAlignment="0" applyProtection="0"/>
    <xf numFmtId="274" fontId="61" fillId="11" borderId="0" applyNumberFormat="0" applyBorder="0" applyAlignment="0" applyProtection="0"/>
    <xf numFmtId="274" fontId="61" fillId="11" borderId="0" applyNumberFormat="0" applyBorder="0" applyAlignment="0" applyProtection="0"/>
    <xf numFmtId="274" fontId="61" fillId="11" borderId="0" applyNumberFormat="0" applyBorder="0" applyAlignment="0" applyProtection="0"/>
    <xf numFmtId="274" fontId="61" fillId="11" borderId="0" applyNumberFormat="0" applyBorder="0" applyAlignment="0" applyProtection="0"/>
    <xf numFmtId="274" fontId="61" fillId="11" borderId="0" applyNumberFormat="0" applyBorder="0" applyAlignment="0" applyProtection="0"/>
    <xf numFmtId="274" fontId="61" fillId="11" borderId="0" applyNumberFormat="0" applyBorder="0" applyAlignment="0" applyProtection="0"/>
    <xf numFmtId="274" fontId="61" fillId="11" borderId="0" applyNumberFormat="0" applyBorder="0" applyAlignment="0" applyProtection="0"/>
    <xf numFmtId="274" fontId="61" fillId="11" borderId="0" applyNumberFormat="0" applyBorder="0" applyAlignment="0" applyProtection="0"/>
    <xf numFmtId="274" fontId="61" fillId="11" borderId="0" applyNumberFormat="0" applyBorder="0" applyAlignment="0" applyProtection="0"/>
    <xf numFmtId="274" fontId="61" fillId="11" borderId="0" applyNumberFormat="0" applyBorder="0" applyAlignment="0" applyProtection="0"/>
    <xf numFmtId="274" fontId="61" fillId="11" borderId="0" applyNumberFormat="0" applyBorder="0" applyAlignment="0" applyProtection="0"/>
    <xf numFmtId="274" fontId="61" fillId="11" borderId="0" applyNumberFormat="0" applyBorder="0" applyAlignment="0" applyProtection="0"/>
    <xf numFmtId="274" fontId="61" fillId="11" borderId="0" applyNumberFormat="0" applyBorder="0" applyAlignment="0" applyProtection="0"/>
    <xf numFmtId="274" fontId="61" fillId="11" borderId="0" applyNumberFormat="0" applyBorder="0" applyAlignment="0" applyProtection="0"/>
    <xf numFmtId="274" fontId="61" fillId="11" borderId="0" applyNumberFormat="0" applyBorder="0" applyAlignment="0" applyProtection="0"/>
    <xf numFmtId="274" fontId="61" fillId="11" borderId="0" applyNumberFormat="0" applyBorder="0" applyAlignment="0" applyProtection="0"/>
    <xf numFmtId="274" fontId="61" fillId="11" borderId="0" applyNumberFormat="0" applyBorder="0" applyAlignment="0" applyProtection="0"/>
    <xf numFmtId="274" fontId="61" fillId="11" borderId="0" applyNumberFormat="0" applyBorder="0" applyAlignment="0" applyProtection="0"/>
    <xf numFmtId="274" fontId="61" fillId="11" borderId="0" applyNumberFormat="0" applyBorder="0" applyAlignment="0" applyProtection="0"/>
    <xf numFmtId="274" fontId="61" fillId="11" borderId="0" applyNumberFormat="0" applyBorder="0" applyAlignment="0" applyProtection="0"/>
    <xf numFmtId="274" fontId="61" fillId="11" borderId="0" applyNumberFormat="0" applyBorder="0" applyAlignment="0" applyProtection="0"/>
    <xf numFmtId="274" fontId="61" fillId="11" borderId="0" applyNumberFormat="0" applyBorder="0" applyAlignment="0" applyProtection="0"/>
    <xf numFmtId="274" fontId="61" fillId="11" borderId="0" applyNumberFormat="0" applyBorder="0" applyAlignment="0" applyProtection="0"/>
    <xf numFmtId="274" fontId="61" fillId="11" borderId="0" applyNumberFormat="0" applyBorder="0" applyAlignment="0" applyProtection="0"/>
    <xf numFmtId="274" fontId="61" fillId="11" borderId="0" applyNumberFormat="0" applyBorder="0" applyAlignment="0" applyProtection="0"/>
    <xf numFmtId="274" fontId="61" fillId="11" borderId="0" applyNumberFormat="0" applyBorder="0" applyAlignment="0" applyProtection="0"/>
    <xf numFmtId="274" fontId="61" fillId="11" borderId="0" applyNumberFormat="0" applyBorder="0" applyAlignment="0" applyProtection="0"/>
    <xf numFmtId="274" fontId="61" fillId="11" borderId="0" applyNumberFormat="0" applyBorder="0" applyAlignment="0" applyProtection="0"/>
    <xf numFmtId="274" fontId="61" fillId="11" borderId="0" applyNumberFormat="0" applyBorder="0" applyAlignment="0" applyProtection="0"/>
    <xf numFmtId="274" fontId="61" fillId="11" borderId="0" applyNumberFormat="0" applyBorder="0" applyAlignment="0" applyProtection="0"/>
    <xf numFmtId="274" fontId="61" fillId="11" borderId="0" applyNumberFormat="0" applyBorder="0" applyAlignment="0" applyProtection="0"/>
    <xf numFmtId="274" fontId="61" fillId="11" borderId="0" applyNumberFormat="0" applyBorder="0" applyAlignment="0" applyProtection="0"/>
    <xf numFmtId="274" fontId="61" fillId="11" borderId="0" applyNumberFormat="0" applyBorder="0" applyAlignment="0" applyProtection="0"/>
    <xf numFmtId="274" fontId="61" fillId="11" borderId="0" applyNumberFormat="0" applyBorder="0" applyAlignment="0" applyProtection="0"/>
    <xf numFmtId="274" fontId="61" fillId="11" borderId="0" applyNumberFormat="0" applyBorder="0" applyAlignment="0" applyProtection="0"/>
    <xf numFmtId="274" fontId="61" fillId="11" borderId="0" applyNumberFormat="0" applyBorder="0" applyAlignment="0" applyProtection="0"/>
    <xf numFmtId="274" fontId="61" fillId="11" borderId="0" applyNumberFormat="0" applyBorder="0" applyAlignment="0" applyProtection="0"/>
    <xf numFmtId="274" fontId="71" fillId="41" borderId="0" applyNumberFormat="0" applyBorder="0" applyAlignment="0" applyProtection="0"/>
    <xf numFmtId="0" fontId="61" fillId="11" borderId="0" applyNumberFormat="0" applyBorder="0" applyAlignment="0" applyProtection="0"/>
    <xf numFmtId="0" fontId="61" fillId="11" borderId="0" applyNumberFormat="0" applyBorder="0" applyAlignment="0" applyProtection="0"/>
    <xf numFmtId="0" fontId="61" fillId="11" borderId="0" applyNumberFormat="0" applyBorder="0" applyAlignment="0" applyProtection="0"/>
    <xf numFmtId="0" fontId="61" fillId="11" borderId="0" applyNumberFormat="0" applyBorder="0" applyAlignment="0" applyProtection="0"/>
    <xf numFmtId="0" fontId="61" fillId="11" borderId="0" applyNumberFormat="0" applyBorder="0" applyAlignment="0" applyProtection="0"/>
    <xf numFmtId="0" fontId="61" fillId="11" borderId="0" applyNumberFormat="0" applyBorder="0" applyAlignment="0" applyProtection="0"/>
    <xf numFmtId="0" fontId="61" fillId="11" borderId="0" applyNumberFormat="0" applyBorder="0" applyAlignment="0" applyProtection="0"/>
    <xf numFmtId="0" fontId="61" fillId="11" borderId="0" applyNumberFormat="0" applyBorder="0" applyAlignment="0" applyProtection="0"/>
    <xf numFmtId="0" fontId="61" fillId="11" borderId="0" applyNumberFormat="0" applyBorder="0" applyAlignment="0" applyProtection="0"/>
    <xf numFmtId="0" fontId="61" fillId="11" borderId="0" applyNumberFormat="0" applyBorder="0" applyAlignment="0" applyProtection="0"/>
    <xf numFmtId="0" fontId="61" fillId="11" borderId="0" applyNumberFormat="0" applyBorder="0" applyAlignment="0" applyProtection="0"/>
    <xf numFmtId="0" fontId="61" fillId="11" borderId="0" applyNumberFormat="0" applyBorder="0" applyAlignment="0" applyProtection="0"/>
    <xf numFmtId="0" fontId="61" fillId="11" borderId="0" applyNumberFormat="0" applyBorder="0" applyAlignment="0" applyProtection="0"/>
    <xf numFmtId="0" fontId="61" fillId="11" borderId="0" applyNumberFormat="0" applyBorder="0" applyAlignment="0" applyProtection="0"/>
    <xf numFmtId="0" fontId="61" fillId="11" borderId="0" applyNumberFormat="0" applyBorder="0" applyAlignment="0" applyProtection="0"/>
    <xf numFmtId="0" fontId="61" fillId="11" borderId="0" applyNumberFormat="0" applyBorder="0" applyAlignment="0" applyProtection="0"/>
    <xf numFmtId="0" fontId="61" fillId="11" borderId="0" applyNumberFormat="0" applyBorder="0" applyAlignment="0" applyProtection="0"/>
    <xf numFmtId="0" fontId="61" fillId="11" borderId="0" applyNumberFormat="0" applyBorder="0" applyAlignment="0" applyProtection="0"/>
    <xf numFmtId="0" fontId="61" fillId="11" borderId="0" applyNumberFormat="0" applyBorder="0" applyAlignment="0" applyProtection="0"/>
    <xf numFmtId="0" fontId="61" fillId="11" borderId="0" applyNumberFormat="0" applyBorder="0" applyAlignment="0" applyProtection="0"/>
    <xf numFmtId="0" fontId="61" fillId="11" borderId="0" applyNumberFormat="0" applyBorder="0" applyAlignment="0" applyProtection="0"/>
    <xf numFmtId="0" fontId="61" fillId="11" borderId="0" applyNumberFormat="0" applyBorder="0" applyAlignment="0" applyProtection="0"/>
    <xf numFmtId="0" fontId="61" fillId="11" borderId="0" applyNumberFormat="0" applyBorder="0" applyAlignment="0" applyProtection="0"/>
    <xf numFmtId="0" fontId="61" fillId="11" borderId="0" applyNumberFormat="0" applyBorder="0" applyAlignment="0" applyProtection="0"/>
    <xf numFmtId="0" fontId="61" fillId="11" borderId="0" applyNumberFormat="0" applyBorder="0" applyAlignment="0" applyProtection="0"/>
    <xf numFmtId="0" fontId="61" fillId="11" borderId="0" applyNumberFormat="0" applyBorder="0" applyAlignment="0" applyProtection="0"/>
    <xf numFmtId="0" fontId="61" fillId="11" borderId="0" applyNumberFormat="0" applyBorder="0" applyAlignment="0" applyProtection="0"/>
    <xf numFmtId="0" fontId="61" fillId="11" borderId="0" applyNumberFormat="0" applyBorder="0" applyAlignment="0" applyProtection="0"/>
    <xf numFmtId="0" fontId="61" fillId="11" borderId="0" applyNumberFormat="0" applyBorder="0" applyAlignment="0" applyProtection="0"/>
    <xf numFmtId="0" fontId="61" fillId="11" borderId="0" applyNumberFormat="0" applyBorder="0" applyAlignment="0" applyProtection="0"/>
    <xf numFmtId="0" fontId="61" fillId="11" borderId="0" applyNumberFormat="0" applyBorder="0" applyAlignment="0" applyProtection="0"/>
    <xf numFmtId="0" fontId="61" fillId="11" borderId="0" applyNumberFormat="0" applyBorder="0" applyAlignment="0" applyProtection="0"/>
    <xf numFmtId="0"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2" borderId="0" applyNumberFormat="0" applyBorder="0" applyAlignment="0" applyProtection="0"/>
    <xf numFmtId="238" fontId="71" fillId="42" borderId="0" applyNumberFormat="0" applyBorder="0" applyAlignment="0" applyProtection="0"/>
    <xf numFmtId="238" fontId="71" fillId="42" borderId="0" applyNumberFormat="0" applyBorder="0" applyAlignment="0" applyProtection="0"/>
    <xf numFmtId="238" fontId="71" fillId="42" borderId="0" applyNumberFormat="0" applyBorder="0" applyAlignment="0" applyProtection="0"/>
    <xf numFmtId="238" fontId="71" fillId="42" borderId="0" applyNumberFormat="0" applyBorder="0" applyAlignment="0" applyProtection="0"/>
    <xf numFmtId="238" fontId="71" fillId="42" borderId="0" applyNumberFormat="0" applyBorder="0" applyAlignment="0" applyProtection="0"/>
    <xf numFmtId="238" fontId="71" fillId="42" borderId="0" applyNumberFormat="0" applyBorder="0" applyAlignment="0" applyProtection="0"/>
    <xf numFmtId="238" fontId="71" fillId="42" borderId="0" applyNumberFormat="0" applyBorder="0" applyAlignment="0" applyProtection="0"/>
    <xf numFmtId="238" fontId="71" fillId="42" borderId="0" applyNumberFormat="0" applyBorder="0" applyAlignment="0" applyProtection="0"/>
    <xf numFmtId="238" fontId="71" fillId="42" borderId="0" applyNumberFormat="0" applyBorder="0" applyAlignment="0" applyProtection="0"/>
    <xf numFmtId="0" fontId="61" fillId="15" borderId="0" applyNumberFormat="0" applyBorder="0" applyAlignment="0" applyProtection="0"/>
    <xf numFmtId="0" fontId="61" fillId="15" borderId="0" applyNumberFormat="0" applyBorder="0" applyAlignment="0" applyProtection="0"/>
    <xf numFmtId="0" fontId="61" fillId="15" borderId="0" applyNumberFormat="0" applyBorder="0" applyAlignment="0" applyProtection="0"/>
    <xf numFmtId="0" fontId="61" fillId="15" borderId="0" applyNumberFormat="0" applyBorder="0" applyAlignment="0" applyProtection="0"/>
    <xf numFmtId="0" fontId="61" fillId="15" borderId="0" applyNumberFormat="0" applyBorder="0" applyAlignment="0" applyProtection="0"/>
    <xf numFmtId="0" fontId="61" fillId="15" borderId="0" applyNumberFormat="0" applyBorder="0" applyAlignment="0" applyProtection="0"/>
    <xf numFmtId="0" fontId="61" fillId="15" borderId="0" applyNumberFormat="0" applyBorder="0" applyAlignment="0" applyProtection="0"/>
    <xf numFmtId="0" fontId="61" fillId="15" borderId="0" applyNumberFormat="0" applyBorder="0" applyAlignment="0" applyProtection="0"/>
    <xf numFmtId="0" fontId="61" fillId="15" borderId="0" applyNumberFormat="0" applyBorder="0" applyAlignment="0" applyProtection="0"/>
    <xf numFmtId="0" fontId="61" fillId="15" borderId="0" applyNumberFormat="0" applyBorder="0" applyAlignment="0" applyProtection="0"/>
    <xf numFmtId="274" fontId="61" fillId="15" borderId="0" applyNumberFormat="0" applyBorder="0" applyAlignment="0" applyProtection="0"/>
    <xf numFmtId="274" fontId="61" fillId="15" borderId="0" applyNumberFormat="0" applyBorder="0" applyAlignment="0" applyProtection="0"/>
    <xf numFmtId="274" fontId="61" fillId="15" borderId="0" applyNumberFormat="0" applyBorder="0" applyAlignment="0" applyProtection="0"/>
    <xf numFmtId="274" fontId="61" fillId="15" borderId="0" applyNumberFormat="0" applyBorder="0" applyAlignment="0" applyProtection="0"/>
    <xf numFmtId="274" fontId="61" fillId="15" borderId="0" applyNumberFormat="0" applyBorder="0" applyAlignment="0" applyProtection="0"/>
    <xf numFmtId="274" fontId="61" fillId="15" borderId="0" applyNumberFormat="0" applyBorder="0" applyAlignment="0" applyProtection="0"/>
    <xf numFmtId="274" fontId="61" fillId="15" borderId="0" applyNumberFormat="0" applyBorder="0" applyAlignment="0" applyProtection="0"/>
    <xf numFmtId="274" fontId="61" fillId="15" borderId="0" applyNumberFormat="0" applyBorder="0" applyAlignment="0" applyProtection="0"/>
    <xf numFmtId="274" fontId="61" fillId="15" borderId="0" applyNumberFormat="0" applyBorder="0" applyAlignment="0" applyProtection="0"/>
    <xf numFmtId="274" fontId="61" fillId="15" borderId="0" applyNumberFormat="0" applyBorder="0" applyAlignment="0" applyProtection="0"/>
    <xf numFmtId="274" fontId="61" fillId="15" borderId="0" applyNumberFormat="0" applyBorder="0" applyAlignment="0" applyProtection="0"/>
    <xf numFmtId="274" fontId="61" fillId="15" borderId="0" applyNumberFormat="0" applyBorder="0" applyAlignment="0" applyProtection="0"/>
    <xf numFmtId="274" fontId="61" fillId="15" borderId="0" applyNumberFormat="0" applyBorder="0" applyAlignment="0" applyProtection="0"/>
    <xf numFmtId="274" fontId="61" fillId="15" borderId="0" applyNumberFormat="0" applyBorder="0" applyAlignment="0" applyProtection="0"/>
    <xf numFmtId="274" fontId="61" fillId="15" borderId="0" applyNumberFormat="0" applyBorder="0" applyAlignment="0" applyProtection="0"/>
    <xf numFmtId="274" fontId="61" fillId="15" borderId="0" applyNumberFormat="0" applyBorder="0" applyAlignment="0" applyProtection="0"/>
    <xf numFmtId="274" fontId="61" fillId="15" borderId="0" applyNumberFormat="0" applyBorder="0" applyAlignment="0" applyProtection="0"/>
    <xf numFmtId="274" fontId="61" fillId="15" borderId="0" applyNumberFormat="0" applyBorder="0" applyAlignment="0" applyProtection="0"/>
    <xf numFmtId="274" fontId="61" fillId="15" borderId="0" applyNumberFormat="0" applyBorder="0" applyAlignment="0" applyProtection="0"/>
    <xf numFmtId="274" fontId="61" fillId="15" borderId="0" applyNumberFormat="0" applyBorder="0" applyAlignment="0" applyProtection="0"/>
    <xf numFmtId="274" fontId="61" fillId="15" borderId="0" applyNumberFormat="0" applyBorder="0" applyAlignment="0" applyProtection="0"/>
    <xf numFmtId="274" fontId="61" fillId="15" borderId="0" applyNumberFormat="0" applyBorder="0" applyAlignment="0" applyProtection="0"/>
    <xf numFmtId="274" fontId="61" fillId="15" borderId="0" applyNumberFormat="0" applyBorder="0" applyAlignment="0" applyProtection="0"/>
    <xf numFmtId="274" fontId="61" fillId="15" borderId="0" applyNumberFormat="0" applyBorder="0" applyAlignment="0" applyProtection="0"/>
    <xf numFmtId="274" fontId="61" fillId="15" borderId="0" applyNumberFormat="0" applyBorder="0" applyAlignment="0" applyProtection="0"/>
    <xf numFmtId="274" fontId="61" fillId="15" borderId="0" applyNumberFormat="0" applyBorder="0" applyAlignment="0" applyProtection="0"/>
    <xf numFmtId="274" fontId="61" fillId="15" borderId="0" applyNumberFormat="0" applyBorder="0" applyAlignment="0" applyProtection="0"/>
    <xf numFmtId="274" fontId="61" fillId="15" borderId="0" applyNumberFormat="0" applyBorder="0" applyAlignment="0" applyProtection="0"/>
    <xf numFmtId="274" fontId="61" fillId="15" borderId="0" applyNumberFormat="0" applyBorder="0" applyAlignment="0" applyProtection="0"/>
    <xf numFmtId="274" fontId="61" fillId="15" borderId="0" applyNumberFormat="0" applyBorder="0" applyAlignment="0" applyProtection="0"/>
    <xf numFmtId="274" fontId="61" fillId="15" borderId="0" applyNumberFormat="0" applyBorder="0" applyAlignment="0" applyProtection="0"/>
    <xf numFmtId="274" fontId="61" fillId="15" borderId="0" applyNumberFormat="0" applyBorder="0" applyAlignment="0" applyProtection="0"/>
    <xf numFmtId="274" fontId="61" fillId="15" borderId="0" applyNumberFormat="0" applyBorder="0" applyAlignment="0" applyProtection="0"/>
    <xf numFmtId="274" fontId="61" fillId="15" borderId="0" applyNumberFormat="0" applyBorder="0" applyAlignment="0" applyProtection="0"/>
    <xf numFmtId="274" fontId="61" fillId="15" borderId="0" applyNumberFormat="0" applyBorder="0" applyAlignment="0" applyProtection="0"/>
    <xf numFmtId="274" fontId="61" fillId="15" borderId="0" applyNumberFormat="0" applyBorder="0" applyAlignment="0" applyProtection="0"/>
    <xf numFmtId="274" fontId="61" fillId="15" borderId="0" applyNumberFormat="0" applyBorder="0" applyAlignment="0" applyProtection="0"/>
    <xf numFmtId="274" fontId="61" fillId="15" borderId="0" applyNumberFormat="0" applyBorder="0" applyAlignment="0" applyProtection="0"/>
    <xf numFmtId="274" fontId="61" fillId="15" borderId="0" applyNumberFormat="0" applyBorder="0" applyAlignment="0" applyProtection="0"/>
    <xf numFmtId="274" fontId="61" fillId="15" borderId="0" applyNumberFormat="0" applyBorder="0" applyAlignment="0" applyProtection="0"/>
    <xf numFmtId="274" fontId="61" fillId="15" borderId="0" applyNumberFormat="0" applyBorder="0" applyAlignment="0" applyProtection="0"/>
    <xf numFmtId="274" fontId="61" fillId="15" borderId="0" applyNumberFormat="0" applyBorder="0" applyAlignment="0" applyProtection="0"/>
    <xf numFmtId="274" fontId="71" fillId="42" borderId="0" applyNumberFormat="0" applyBorder="0" applyAlignment="0" applyProtection="0"/>
    <xf numFmtId="0" fontId="61" fillId="15" borderId="0" applyNumberFormat="0" applyBorder="0" applyAlignment="0" applyProtection="0"/>
    <xf numFmtId="0" fontId="61" fillId="15" borderId="0" applyNumberFormat="0" applyBorder="0" applyAlignment="0" applyProtection="0"/>
    <xf numFmtId="0" fontId="61" fillId="15" borderId="0" applyNumberFormat="0" applyBorder="0" applyAlignment="0" applyProtection="0"/>
    <xf numFmtId="0" fontId="61" fillId="15" borderId="0" applyNumberFormat="0" applyBorder="0" applyAlignment="0" applyProtection="0"/>
    <xf numFmtId="0" fontId="61" fillId="15" borderId="0" applyNumberFormat="0" applyBorder="0" applyAlignment="0" applyProtection="0"/>
    <xf numFmtId="0" fontId="61" fillId="15" borderId="0" applyNumberFormat="0" applyBorder="0" applyAlignment="0" applyProtection="0"/>
    <xf numFmtId="0" fontId="61" fillId="15" borderId="0" applyNumberFormat="0" applyBorder="0" applyAlignment="0" applyProtection="0"/>
    <xf numFmtId="0" fontId="61" fillId="15" borderId="0" applyNumberFormat="0" applyBorder="0" applyAlignment="0" applyProtection="0"/>
    <xf numFmtId="0" fontId="61" fillId="15" borderId="0" applyNumberFormat="0" applyBorder="0" applyAlignment="0" applyProtection="0"/>
    <xf numFmtId="0" fontId="61" fillId="15" borderId="0" applyNumberFormat="0" applyBorder="0" applyAlignment="0" applyProtection="0"/>
    <xf numFmtId="0" fontId="61" fillId="15" borderId="0" applyNumberFormat="0" applyBorder="0" applyAlignment="0" applyProtection="0"/>
    <xf numFmtId="0" fontId="61" fillId="15" borderId="0" applyNumberFormat="0" applyBorder="0" applyAlignment="0" applyProtection="0"/>
    <xf numFmtId="0" fontId="61" fillId="15" borderId="0" applyNumberFormat="0" applyBorder="0" applyAlignment="0" applyProtection="0"/>
    <xf numFmtId="0" fontId="61" fillId="15" borderId="0" applyNumberFormat="0" applyBorder="0" applyAlignment="0" applyProtection="0"/>
    <xf numFmtId="0" fontId="61" fillId="15" borderId="0" applyNumberFormat="0" applyBorder="0" applyAlignment="0" applyProtection="0"/>
    <xf numFmtId="0" fontId="61" fillId="15" borderId="0" applyNumberFormat="0" applyBorder="0" applyAlignment="0" applyProtection="0"/>
    <xf numFmtId="0" fontId="61" fillId="15" borderId="0" applyNumberFormat="0" applyBorder="0" applyAlignment="0" applyProtection="0"/>
    <xf numFmtId="0" fontId="61" fillId="15" borderId="0" applyNumberFormat="0" applyBorder="0" applyAlignment="0" applyProtection="0"/>
    <xf numFmtId="0" fontId="61" fillId="15" borderId="0" applyNumberFormat="0" applyBorder="0" applyAlignment="0" applyProtection="0"/>
    <xf numFmtId="0" fontId="61" fillId="15" borderId="0" applyNumberFormat="0" applyBorder="0" applyAlignment="0" applyProtection="0"/>
    <xf numFmtId="0" fontId="61" fillId="15" borderId="0" applyNumberFormat="0" applyBorder="0" applyAlignment="0" applyProtection="0"/>
    <xf numFmtId="0" fontId="61" fillId="15" borderId="0" applyNumberFormat="0" applyBorder="0" applyAlignment="0" applyProtection="0"/>
    <xf numFmtId="0" fontId="61" fillId="15" borderId="0" applyNumberFormat="0" applyBorder="0" applyAlignment="0" applyProtection="0"/>
    <xf numFmtId="0" fontId="61" fillId="15" borderId="0" applyNumberFormat="0" applyBorder="0" applyAlignment="0" applyProtection="0"/>
    <xf numFmtId="0" fontId="61" fillId="15" borderId="0" applyNumberFormat="0" applyBorder="0" applyAlignment="0" applyProtection="0"/>
    <xf numFmtId="0" fontId="61" fillId="15" borderId="0" applyNumberFormat="0" applyBorder="0" applyAlignment="0" applyProtection="0"/>
    <xf numFmtId="0" fontId="61" fillId="15" borderId="0" applyNumberFormat="0" applyBorder="0" applyAlignment="0" applyProtection="0"/>
    <xf numFmtId="0" fontId="61" fillId="15" borderId="0" applyNumberFormat="0" applyBorder="0" applyAlignment="0" applyProtection="0"/>
    <xf numFmtId="0" fontId="61" fillId="15" borderId="0" applyNumberFormat="0" applyBorder="0" applyAlignment="0" applyProtection="0"/>
    <xf numFmtId="0" fontId="61" fillId="15" borderId="0" applyNumberFormat="0" applyBorder="0" applyAlignment="0" applyProtection="0"/>
    <xf numFmtId="0" fontId="61" fillId="15" borderId="0" applyNumberFormat="0" applyBorder="0" applyAlignment="0" applyProtection="0"/>
    <xf numFmtId="0" fontId="61" fillId="15" borderId="0" applyNumberFormat="0" applyBorder="0" applyAlignment="0" applyProtection="0"/>
    <xf numFmtId="0" fontId="71" fillId="42" borderId="0" applyNumberFormat="0" applyBorder="0" applyAlignment="0" applyProtection="0"/>
    <xf numFmtId="238" fontId="71" fillId="42" borderId="0" applyNumberFormat="0" applyBorder="0" applyAlignment="0" applyProtection="0"/>
    <xf numFmtId="238" fontId="71" fillId="42" borderId="0" applyNumberFormat="0" applyBorder="0" applyAlignment="0" applyProtection="0"/>
    <xf numFmtId="238" fontId="71" fillId="42" borderId="0" applyNumberFormat="0" applyBorder="0" applyAlignment="0" applyProtection="0"/>
    <xf numFmtId="238" fontId="71" fillId="42" borderId="0" applyNumberFormat="0" applyBorder="0" applyAlignment="0" applyProtection="0"/>
    <xf numFmtId="238" fontId="71" fillId="42" borderId="0" applyNumberFormat="0" applyBorder="0" applyAlignment="0" applyProtection="0"/>
    <xf numFmtId="238" fontId="71" fillId="42" borderId="0" applyNumberFormat="0" applyBorder="0" applyAlignment="0" applyProtection="0"/>
    <xf numFmtId="238" fontId="71" fillId="42" borderId="0" applyNumberFormat="0" applyBorder="0" applyAlignment="0" applyProtection="0"/>
    <xf numFmtId="238" fontId="71" fillId="42" borderId="0" applyNumberFormat="0" applyBorder="0" applyAlignment="0" applyProtection="0"/>
    <xf numFmtId="238" fontId="71" fillId="42" borderId="0" applyNumberFormat="0" applyBorder="0" applyAlignment="0" applyProtection="0"/>
    <xf numFmtId="238" fontId="71" fillId="42" borderId="0" applyNumberFormat="0" applyBorder="0" applyAlignment="0" applyProtection="0"/>
    <xf numFmtId="238" fontId="71" fillId="42" borderId="0" applyNumberFormat="0" applyBorder="0" applyAlignment="0" applyProtection="0"/>
    <xf numFmtId="238" fontId="71" fillId="42" borderId="0" applyNumberFormat="0" applyBorder="0" applyAlignment="0" applyProtection="0"/>
    <xf numFmtId="238" fontId="71" fillId="42" borderId="0" applyNumberFormat="0" applyBorder="0" applyAlignment="0" applyProtection="0"/>
    <xf numFmtId="238" fontId="71" fillId="42" borderId="0" applyNumberFormat="0" applyBorder="0" applyAlignment="0" applyProtection="0"/>
    <xf numFmtId="238" fontId="71" fillId="42" borderId="0" applyNumberFormat="0" applyBorder="0" applyAlignment="0" applyProtection="0"/>
    <xf numFmtId="238" fontId="71" fillId="42" borderId="0" applyNumberFormat="0" applyBorder="0" applyAlignment="0" applyProtection="0"/>
    <xf numFmtId="238" fontId="71" fillId="42" borderId="0" applyNumberFormat="0" applyBorder="0" applyAlignment="0" applyProtection="0"/>
    <xf numFmtId="238" fontId="71" fillId="42" borderId="0" applyNumberFormat="0" applyBorder="0" applyAlignment="0" applyProtection="0"/>
    <xf numFmtId="238" fontId="71" fillId="42" borderId="0" applyNumberFormat="0" applyBorder="0" applyAlignment="0" applyProtection="0"/>
    <xf numFmtId="238" fontId="71" fillId="42" borderId="0" applyNumberFormat="0" applyBorder="0" applyAlignment="0" applyProtection="0"/>
    <xf numFmtId="238" fontId="71" fillId="42" borderId="0" applyNumberFormat="0" applyBorder="0" applyAlignment="0" applyProtection="0"/>
    <xf numFmtId="238" fontId="71" fillId="42" borderId="0" applyNumberFormat="0" applyBorder="0" applyAlignment="0" applyProtection="0"/>
    <xf numFmtId="238" fontId="71" fillId="42" borderId="0" applyNumberFormat="0" applyBorder="0" applyAlignment="0" applyProtection="0"/>
    <xf numFmtId="238" fontId="71" fillId="42" borderId="0" applyNumberFormat="0" applyBorder="0" applyAlignment="0" applyProtection="0"/>
    <xf numFmtId="238" fontId="71" fillId="42" borderId="0" applyNumberFormat="0" applyBorder="0" applyAlignment="0" applyProtection="0"/>
    <xf numFmtId="238" fontId="71" fillId="42" borderId="0" applyNumberFormat="0" applyBorder="0" applyAlignment="0" applyProtection="0"/>
    <xf numFmtId="238" fontId="71" fillId="42" borderId="0" applyNumberFormat="0" applyBorder="0" applyAlignment="0" applyProtection="0"/>
    <xf numFmtId="238" fontId="71" fillId="42" borderId="0" applyNumberFormat="0" applyBorder="0" applyAlignment="0" applyProtection="0"/>
    <xf numFmtId="238" fontId="71" fillId="42" borderId="0" applyNumberFormat="0" applyBorder="0" applyAlignment="0" applyProtection="0"/>
    <xf numFmtId="238" fontId="71" fillId="42" borderId="0" applyNumberFormat="0" applyBorder="0" applyAlignment="0" applyProtection="0"/>
    <xf numFmtId="238" fontId="71" fillId="42" borderId="0" applyNumberFormat="0" applyBorder="0" applyAlignment="0" applyProtection="0"/>
    <xf numFmtId="238" fontId="71" fillId="42" borderId="0" applyNumberFormat="0" applyBorder="0" applyAlignment="0" applyProtection="0"/>
    <xf numFmtId="238" fontId="71" fillId="42" borderId="0" applyNumberFormat="0" applyBorder="0" applyAlignment="0" applyProtection="0"/>
    <xf numFmtId="238" fontId="71" fillId="42" borderId="0" applyNumberFormat="0" applyBorder="0" applyAlignment="0" applyProtection="0"/>
    <xf numFmtId="238" fontId="71" fillId="42" borderId="0" applyNumberFormat="0" applyBorder="0" applyAlignment="0" applyProtection="0"/>
    <xf numFmtId="238" fontId="71" fillId="42" borderId="0" applyNumberFormat="0" applyBorder="0" applyAlignment="0" applyProtection="0"/>
    <xf numFmtId="238" fontId="71" fillId="42" borderId="0" applyNumberFormat="0" applyBorder="0" applyAlignment="0" applyProtection="0"/>
    <xf numFmtId="238" fontId="71" fillId="42" borderId="0" applyNumberFormat="0" applyBorder="0" applyAlignment="0" applyProtection="0"/>
    <xf numFmtId="238" fontId="71" fillId="42" borderId="0" applyNumberFormat="0" applyBorder="0" applyAlignment="0" applyProtection="0"/>
    <xf numFmtId="238" fontId="71" fillId="42" borderId="0" applyNumberFormat="0" applyBorder="0" applyAlignment="0" applyProtection="0"/>
    <xf numFmtId="238" fontId="71" fillId="42" borderId="0" applyNumberFormat="0" applyBorder="0" applyAlignment="0" applyProtection="0"/>
    <xf numFmtId="238" fontId="71" fillId="42" borderId="0" applyNumberFormat="0" applyBorder="0" applyAlignment="0" applyProtection="0"/>
    <xf numFmtId="238" fontId="71" fillId="42" borderId="0" applyNumberFormat="0" applyBorder="0" applyAlignment="0" applyProtection="0"/>
    <xf numFmtId="238" fontId="71" fillId="43" borderId="0" applyNumberFormat="0" applyBorder="0" applyAlignment="0" applyProtection="0"/>
    <xf numFmtId="238" fontId="71" fillId="43" borderId="0" applyNumberFormat="0" applyBorder="0" applyAlignment="0" applyProtection="0"/>
    <xf numFmtId="238" fontId="71" fillId="43" borderId="0" applyNumberFormat="0" applyBorder="0" applyAlignment="0" applyProtection="0"/>
    <xf numFmtId="238" fontId="71" fillId="43" borderId="0" applyNumberFormat="0" applyBorder="0" applyAlignment="0" applyProtection="0"/>
    <xf numFmtId="238" fontId="71" fillId="43" borderId="0" applyNumberFormat="0" applyBorder="0" applyAlignment="0" applyProtection="0"/>
    <xf numFmtId="238" fontId="71" fillId="43" borderId="0" applyNumberFormat="0" applyBorder="0" applyAlignment="0" applyProtection="0"/>
    <xf numFmtId="238" fontId="71" fillId="43" borderId="0" applyNumberFormat="0" applyBorder="0" applyAlignment="0" applyProtection="0"/>
    <xf numFmtId="238" fontId="71" fillId="43" borderId="0" applyNumberFormat="0" applyBorder="0" applyAlignment="0" applyProtection="0"/>
    <xf numFmtId="238" fontId="71" fillId="43" borderId="0" applyNumberFormat="0" applyBorder="0" applyAlignment="0" applyProtection="0"/>
    <xf numFmtId="238" fontId="71" fillId="43" borderId="0" applyNumberFormat="0" applyBorder="0" applyAlignment="0" applyProtection="0"/>
    <xf numFmtId="0" fontId="61" fillId="19" borderId="0" applyNumberFormat="0" applyBorder="0" applyAlignment="0" applyProtection="0"/>
    <xf numFmtId="0" fontId="61" fillId="19" borderId="0" applyNumberFormat="0" applyBorder="0" applyAlignment="0" applyProtection="0"/>
    <xf numFmtId="0" fontId="61" fillId="19" borderId="0" applyNumberFormat="0" applyBorder="0" applyAlignment="0" applyProtection="0"/>
    <xf numFmtId="0" fontId="61" fillId="19" borderId="0" applyNumberFormat="0" applyBorder="0" applyAlignment="0" applyProtection="0"/>
    <xf numFmtId="0" fontId="61" fillId="19" borderId="0" applyNumberFormat="0" applyBorder="0" applyAlignment="0" applyProtection="0"/>
    <xf numFmtId="0" fontId="61" fillId="19" borderId="0" applyNumberFormat="0" applyBorder="0" applyAlignment="0" applyProtection="0"/>
    <xf numFmtId="0" fontId="61" fillId="19" borderId="0" applyNumberFormat="0" applyBorder="0" applyAlignment="0" applyProtection="0"/>
    <xf numFmtId="0" fontId="61" fillId="19" borderId="0" applyNumberFormat="0" applyBorder="0" applyAlignment="0" applyProtection="0"/>
    <xf numFmtId="0" fontId="61" fillId="19" borderId="0" applyNumberFormat="0" applyBorder="0" applyAlignment="0" applyProtection="0"/>
    <xf numFmtId="0" fontId="61" fillId="19" borderId="0" applyNumberFormat="0" applyBorder="0" applyAlignment="0" applyProtection="0"/>
    <xf numFmtId="274" fontId="61" fillId="19" borderId="0" applyNumberFormat="0" applyBorder="0" applyAlignment="0" applyProtection="0"/>
    <xf numFmtId="274" fontId="61" fillId="19" borderId="0" applyNumberFormat="0" applyBorder="0" applyAlignment="0" applyProtection="0"/>
    <xf numFmtId="274" fontId="61" fillId="19" borderId="0" applyNumberFormat="0" applyBorder="0" applyAlignment="0" applyProtection="0"/>
    <xf numFmtId="274" fontId="61" fillId="19" borderId="0" applyNumberFormat="0" applyBorder="0" applyAlignment="0" applyProtection="0"/>
    <xf numFmtId="274" fontId="61" fillId="19" borderId="0" applyNumberFormat="0" applyBorder="0" applyAlignment="0" applyProtection="0"/>
    <xf numFmtId="274" fontId="61" fillId="19" borderId="0" applyNumberFormat="0" applyBorder="0" applyAlignment="0" applyProtection="0"/>
    <xf numFmtId="274" fontId="61" fillId="19" borderId="0" applyNumberFormat="0" applyBorder="0" applyAlignment="0" applyProtection="0"/>
    <xf numFmtId="274" fontId="61" fillId="19" borderId="0" applyNumberFormat="0" applyBorder="0" applyAlignment="0" applyProtection="0"/>
    <xf numFmtId="274" fontId="61" fillId="19" borderId="0" applyNumberFormat="0" applyBorder="0" applyAlignment="0" applyProtection="0"/>
    <xf numFmtId="274" fontId="61" fillId="19" borderId="0" applyNumberFormat="0" applyBorder="0" applyAlignment="0" applyProtection="0"/>
    <xf numFmtId="274" fontId="61" fillId="19" borderId="0" applyNumberFormat="0" applyBorder="0" applyAlignment="0" applyProtection="0"/>
    <xf numFmtId="274" fontId="61" fillId="19" borderId="0" applyNumberFormat="0" applyBorder="0" applyAlignment="0" applyProtection="0"/>
    <xf numFmtId="274" fontId="61" fillId="19" borderId="0" applyNumberFormat="0" applyBorder="0" applyAlignment="0" applyProtection="0"/>
    <xf numFmtId="274" fontId="61" fillId="19" borderId="0" applyNumberFormat="0" applyBorder="0" applyAlignment="0" applyProtection="0"/>
    <xf numFmtId="274" fontId="61" fillId="19" borderId="0" applyNumberFormat="0" applyBorder="0" applyAlignment="0" applyProtection="0"/>
    <xf numFmtId="274" fontId="61" fillId="19" borderId="0" applyNumberFormat="0" applyBorder="0" applyAlignment="0" applyProtection="0"/>
    <xf numFmtId="274" fontId="61" fillId="19" borderId="0" applyNumberFormat="0" applyBorder="0" applyAlignment="0" applyProtection="0"/>
    <xf numFmtId="274" fontId="61" fillId="19" borderId="0" applyNumberFormat="0" applyBorder="0" applyAlignment="0" applyProtection="0"/>
    <xf numFmtId="274" fontId="61" fillId="19" borderId="0" applyNumberFormat="0" applyBorder="0" applyAlignment="0" applyProtection="0"/>
    <xf numFmtId="274" fontId="61" fillId="19" borderId="0" applyNumberFormat="0" applyBorder="0" applyAlignment="0" applyProtection="0"/>
    <xf numFmtId="274" fontId="61" fillId="19" borderId="0" applyNumberFormat="0" applyBorder="0" applyAlignment="0" applyProtection="0"/>
    <xf numFmtId="274" fontId="61" fillId="19" borderId="0" applyNumberFormat="0" applyBorder="0" applyAlignment="0" applyProtection="0"/>
    <xf numFmtId="274" fontId="61" fillId="19" borderId="0" applyNumberFormat="0" applyBorder="0" applyAlignment="0" applyProtection="0"/>
    <xf numFmtId="274" fontId="61" fillId="19" borderId="0" applyNumberFormat="0" applyBorder="0" applyAlignment="0" applyProtection="0"/>
    <xf numFmtId="274" fontId="61" fillId="19" borderId="0" applyNumberFormat="0" applyBorder="0" applyAlignment="0" applyProtection="0"/>
    <xf numFmtId="274" fontId="61" fillId="19" borderId="0" applyNumberFormat="0" applyBorder="0" applyAlignment="0" applyProtection="0"/>
    <xf numFmtId="274" fontId="61" fillId="19" borderId="0" applyNumberFormat="0" applyBorder="0" applyAlignment="0" applyProtection="0"/>
    <xf numFmtId="274" fontId="61" fillId="19" borderId="0" applyNumberFormat="0" applyBorder="0" applyAlignment="0" applyProtection="0"/>
    <xf numFmtId="274" fontId="61" fillId="19" borderId="0" applyNumberFormat="0" applyBorder="0" applyAlignment="0" applyProtection="0"/>
    <xf numFmtId="274" fontId="61" fillId="19" borderId="0" applyNumberFormat="0" applyBorder="0" applyAlignment="0" applyProtection="0"/>
    <xf numFmtId="274" fontId="61" fillId="19" borderId="0" applyNumberFormat="0" applyBorder="0" applyAlignment="0" applyProtection="0"/>
    <xf numFmtId="274" fontId="61" fillId="19" borderId="0" applyNumberFormat="0" applyBorder="0" applyAlignment="0" applyProtection="0"/>
    <xf numFmtId="274" fontId="61" fillId="19" borderId="0" applyNumberFormat="0" applyBorder="0" applyAlignment="0" applyProtection="0"/>
    <xf numFmtId="274" fontId="61" fillId="19" borderId="0" applyNumberFormat="0" applyBorder="0" applyAlignment="0" applyProtection="0"/>
    <xf numFmtId="274" fontId="61" fillId="19" borderId="0" applyNumberFormat="0" applyBorder="0" applyAlignment="0" applyProtection="0"/>
    <xf numFmtId="274" fontId="61" fillId="19" borderId="0" applyNumberFormat="0" applyBorder="0" applyAlignment="0" applyProtection="0"/>
    <xf numFmtId="274" fontId="61" fillId="19" borderId="0" applyNumberFormat="0" applyBorder="0" applyAlignment="0" applyProtection="0"/>
    <xf numFmtId="274" fontId="61" fillId="19" borderId="0" applyNumberFormat="0" applyBorder="0" applyAlignment="0" applyProtection="0"/>
    <xf numFmtId="274" fontId="61" fillId="19" borderId="0" applyNumberFormat="0" applyBorder="0" applyAlignment="0" applyProtection="0"/>
    <xf numFmtId="274" fontId="61" fillId="19" borderId="0" applyNumberFormat="0" applyBorder="0" applyAlignment="0" applyProtection="0"/>
    <xf numFmtId="274" fontId="61" fillId="19" borderId="0" applyNumberFormat="0" applyBorder="0" applyAlignment="0" applyProtection="0"/>
    <xf numFmtId="274" fontId="61" fillId="19" borderId="0" applyNumberFormat="0" applyBorder="0" applyAlignment="0" applyProtection="0"/>
    <xf numFmtId="274" fontId="71" fillId="43" borderId="0" applyNumberFormat="0" applyBorder="0" applyAlignment="0" applyProtection="0"/>
    <xf numFmtId="0" fontId="61" fillId="19" borderId="0" applyNumberFormat="0" applyBorder="0" applyAlignment="0" applyProtection="0"/>
    <xf numFmtId="0" fontId="61" fillId="19" borderId="0" applyNumberFormat="0" applyBorder="0" applyAlignment="0" applyProtection="0"/>
    <xf numFmtId="0" fontId="61" fillId="19" borderId="0" applyNumberFormat="0" applyBorder="0" applyAlignment="0" applyProtection="0"/>
    <xf numFmtId="0" fontId="61" fillId="19" borderId="0" applyNumberFormat="0" applyBorder="0" applyAlignment="0" applyProtection="0"/>
    <xf numFmtId="0" fontId="61" fillId="19" borderId="0" applyNumberFormat="0" applyBorder="0" applyAlignment="0" applyProtection="0"/>
    <xf numFmtId="0" fontId="61" fillId="19" borderId="0" applyNumberFormat="0" applyBorder="0" applyAlignment="0" applyProtection="0"/>
    <xf numFmtId="0" fontId="61" fillId="19" borderId="0" applyNumberFormat="0" applyBorder="0" applyAlignment="0" applyProtection="0"/>
    <xf numFmtId="0" fontId="61" fillId="19" borderId="0" applyNumberFormat="0" applyBorder="0" applyAlignment="0" applyProtection="0"/>
    <xf numFmtId="0" fontId="61" fillId="19" borderId="0" applyNumberFormat="0" applyBorder="0" applyAlignment="0" applyProtection="0"/>
    <xf numFmtId="0" fontId="61" fillId="19" borderId="0" applyNumberFormat="0" applyBorder="0" applyAlignment="0" applyProtection="0"/>
    <xf numFmtId="0" fontId="61" fillId="19" borderId="0" applyNumberFormat="0" applyBorder="0" applyAlignment="0" applyProtection="0"/>
    <xf numFmtId="0" fontId="61" fillId="19" borderId="0" applyNumberFormat="0" applyBorder="0" applyAlignment="0" applyProtection="0"/>
    <xf numFmtId="0" fontId="61" fillId="19" borderId="0" applyNumberFormat="0" applyBorder="0" applyAlignment="0" applyProtection="0"/>
    <xf numFmtId="0" fontId="61" fillId="19" borderId="0" applyNumberFormat="0" applyBorder="0" applyAlignment="0" applyProtection="0"/>
    <xf numFmtId="0" fontId="61" fillId="19" borderId="0" applyNumberFormat="0" applyBorder="0" applyAlignment="0" applyProtection="0"/>
    <xf numFmtId="0" fontId="61" fillId="19" borderId="0" applyNumberFormat="0" applyBorder="0" applyAlignment="0" applyProtection="0"/>
    <xf numFmtId="0" fontId="61" fillId="19" borderId="0" applyNumberFormat="0" applyBorder="0" applyAlignment="0" applyProtection="0"/>
    <xf numFmtId="0" fontId="61" fillId="19" borderId="0" applyNumberFormat="0" applyBorder="0" applyAlignment="0" applyProtection="0"/>
    <xf numFmtId="0" fontId="61" fillId="19" borderId="0" applyNumberFormat="0" applyBorder="0" applyAlignment="0" applyProtection="0"/>
    <xf numFmtId="0" fontId="61" fillId="19" borderId="0" applyNumberFormat="0" applyBorder="0" applyAlignment="0" applyProtection="0"/>
    <xf numFmtId="0" fontId="61" fillId="19" borderId="0" applyNumberFormat="0" applyBorder="0" applyAlignment="0" applyProtection="0"/>
    <xf numFmtId="0" fontId="61" fillId="19" borderId="0" applyNumberFormat="0" applyBorder="0" applyAlignment="0" applyProtection="0"/>
    <xf numFmtId="0" fontId="61" fillId="19" borderId="0" applyNumberFormat="0" applyBorder="0" applyAlignment="0" applyProtection="0"/>
    <xf numFmtId="0" fontId="61" fillId="19" borderId="0" applyNumberFormat="0" applyBorder="0" applyAlignment="0" applyProtection="0"/>
    <xf numFmtId="0" fontId="61" fillId="19" borderId="0" applyNumberFormat="0" applyBorder="0" applyAlignment="0" applyProtection="0"/>
    <xf numFmtId="0" fontId="61" fillId="19" borderId="0" applyNumberFormat="0" applyBorder="0" applyAlignment="0" applyProtection="0"/>
    <xf numFmtId="0" fontId="61" fillId="19" borderId="0" applyNumberFormat="0" applyBorder="0" applyAlignment="0" applyProtection="0"/>
    <xf numFmtId="0" fontId="61" fillId="19" borderId="0" applyNumberFormat="0" applyBorder="0" applyAlignment="0" applyProtection="0"/>
    <xf numFmtId="0" fontId="61" fillId="19" borderId="0" applyNumberFormat="0" applyBorder="0" applyAlignment="0" applyProtection="0"/>
    <xf numFmtId="0" fontId="61" fillId="19" borderId="0" applyNumberFormat="0" applyBorder="0" applyAlignment="0" applyProtection="0"/>
    <xf numFmtId="0" fontId="61" fillId="19" borderId="0" applyNumberFormat="0" applyBorder="0" applyAlignment="0" applyProtection="0"/>
    <xf numFmtId="0" fontId="61" fillId="19" borderId="0" applyNumberFormat="0" applyBorder="0" applyAlignment="0" applyProtection="0"/>
    <xf numFmtId="0" fontId="71" fillId="43" borderId="0" applyNumberFormat="0" applyBorder="0" applyAlignment="0" applyProtection="0"/>
    <xf numFmtId="238" fontId="71" fillId="43" borderId="0" applyNumberFormat="0" applyBorder="0" applyAlignment="0" applyProtection="0"/>
    <xf numFmtId="238" fontId="71" fillId="43" borderId="0" applyNumberFormat="0" applyBorder="0" applyAlignment="0" applyProtection="0"/>
    <xf numFmtId="238" fontId="71" fillId="43" borderId="0" applyNumberFormat="0" applyBorder="0" applyAlignment="0" applyProtection="0"/>
    <xf numFmtId="238" fontId="71" fillId="43" borderId="0" applyNumberFormat="0" applyBorder="0" applyAlignment="0" applyProtection="0"/>
    <xf numFmtId="238" fontId="71" fillId="43" borderId="0" applyNumberFormat="0" applyBorder="0" applyAlignment="0" applyProtection="0"/>
    <xf numFmtId="238" fontId="71" fillId="43" borderId="0" applyNumberFormat="0" applyBorder="0" applyAlignment="0" applyProtection="0"/>
    <xf numFmtId="238" fontId="71" fillId="43" borderId="0" applyNumberFormat="0" applyBorder="0" applyAlignment="0" applyProtection="0"/>
    <xf numFmtId="238" fontId="71" fillId="43" borderId="0" applyNumberFormat="0" applyBorder="0" applyAlignment="0" applyProtection="0"/>
    <xf numFmtId="238" fontId="71" fillId="43" borderId="0" applyNumberFormat="0" applyBorder="0" applyAlignment="0" applyProtection="0"/>
    <xf numFmtId="238" fontId="71" fillId="43" borderId="0" applyNumberFormat="0" applyBorder="0" applyAlignment="0" applyProtection="0"/>
    <xf numFmtId="238" fontId="71" fillId="43" borderId="0" applyNumberFormat="0" applyBorder="0" applyAlignment="0" applyProtection="0"/>
    <xf numFmtId="238" fontId="71" fillId="43" borderId="0" applyNumberFormat="0" applyBorder="0" applyAlignment="0" applyProtection="0"/>
    <xf numFmtId="238" fontId="71" fillId="43" borderId="0" applyNumberFormat="0" applyBorder="0" applyAlignment="0" applyProtection="0"/>
    <xf numFmtId="238" fontId="71" fillId="43" borderId="0" applyNumberFormat="0" applyBorder="0" applyAlignment="0" applyProtection="0"/>
    <xf numFmtId="238" fontId="71" fillId="43" borderId="0" applyNumberFormat="0" applyBorder="0" applyAlignment="0" applyProtection="0"/>
    <xf numFmtId="238" fontId="71" fillId="43" borderId="0" applyNumberFormat="0" applyBorder="0" applyAlignment="0" applyProtection="0"/>
    <xf numFmtId="238" fontId="71" fillId="43" borderId="0" applyNumberFormat="0" applyBorder="0" applyAlignment="0" applyProtection="0"/>
    <xf numFmtId="238" fontId="71" fillId="43" borderId="0" applyNumberFormat="0" applyBorder="0" applyAlignment="0" applyProtection="0"/>
    <xf numFmtId="238" fontId="71" fillId="43" borderId="0" applyNumberFormat="0" applyBorder="0" applyAlignment="0" applyProtection="0"/>
    <xf numFmtId="238" fontId="71" fillId="43" borderId="0" applyNumberFormat="0" applyBorder="0" applyAlignment="0" applyProtection="0"/>
    <xf numFmtId="238" fontId="71" fillId="43" borderId="0" applyNumberFormat="0" applyBorder="0" applyAlignment="0" applyProtection="0"/>
    <xf numFmtId="238" fontId="71" fillId="43" borderId="0" applyNumberFormat="0" applyBorder="0" applyAlignment="0" applyProtection="0"/>
    <xf numFmtId="238" fontId="71" fillId="43" borderId="0" applyNumberFormat="0" applyBorder="0" applyAlignment="0" applyProtection="0"/>
    <xf numFmtId="238" fontId="71" fillId="43" borderId="0" applyNumberFormat="0" applyBorder="0" applyAlignment="0" applyProtection="0"/>
    <xf numFmtId="238" fontId="71" fillId="43" borderId="0" applyNumberFormat="0" applyBorder="0" applyAlignment="0" applyProtection="0"/>
    <xf numFmtId="238" fontId="71" fillId="43" borderId="0" applyNumberFormat="0" applyBorder="0" applyAlignment="0" applyProtection="0"/>
    <xf numFmtId="238" fontId="71" fillId="43" borderId="0" applyNumberFormat="0" applyBorder="0" applyAlignment="0" applyProtection="0"/>
    <xf numFmtId="238" fontId="71" fillId="43" borderId="0" applyNumberFormat="0" applyBorder="0" applyAlignment="0" applyProtection="0"/>
    <xf numFmtId="238" fontId="71" fillId="43" borderId="0" applyNumberFormat="0" applyBorder="0" applyAlignment="0" applyProtection="0"/>
    <xf numFmtId="238" fontId="71" fillId="43" borderId="0" applyNumberFormat="0" applyBorder="0" applyAlignment="0" applyProtection="0"/>
    <xf numFmtId="238" fontId="71" fillId="43" borderId="0" applyNumberFormat="0" applyBorder="0" applyAlignment="0" applyProtection="0"/>
    <xf numFmtId="238" fontId="71" fillId="43" borderId="0" applyNumberFormat="0" applyBorder="0" applyAlignment="0" applyProtection="0"/>
    <xf numFmtId="238" fontId="71" fillId="43" borderId="0" applyNumberFormat="0" applyBorder="0" applyAlignment="0" applyProtection="0"/>
    <xf numFmtId="238" fontId="71" fillId="43" borderId="0" applyNumberFormat="0" applyBorder="0" applyAlignment="0" applyProtection="0"/>
    <xf numFmtId="238" fontId="71" fillId="43" borderId="0" applyNumberFormat="0" applyBorder="0" applyAlignment="0" applyProtection="0"/>
    <xf numFmtId="238" fontId="71" fillId="43" borderId="0" applyNumberFormat="0" applyBorder="0" applyAlignment="0" applyProtection="0"/>
    <xf numFmtId="238" fontId="71" fillId="43" borderId="0" applyNumberFormat="0" applyBorder="0" applyAlignment="0" applyProtection="0"/>
    <xf numFmtId="238" fontId="71" fillId="43" borderId="0" applyNumberFormat="0" applyBorder="0" applyAlignment="0" applyProtection="0"/>
    <xf numFmtId="238" fontId="71" fillId="43" borderId="0" applyNumberFormat="0" applyBorder="0" applyAlignment="0" applyProtection="0"/>
    <xf numFmtId="238" fontId="71" fillId="43" borderId="0" applyNumberFormat="0" applyBorder="0" applyAlignment="0" applyProtection="0"/>
    <xf numFmtId="238" fontId="71" fillId="43" borderId="0" applyNumberFormat="0" applyBorder="0" applyAlignment="0" applyProtection="0"/>
    <xf numFmtId="238" fontId="71" fillId="43" borderId="0" applyNumberFormat="0" applyBorder="0" applyAlignment="0" applyProtection="0"/>
    <xf numFmtId="238" fontId="71" fillId="43"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0" fontId="61" fillId="23" borderId="0" applyNumberFormat="0" applyBorder="0" applyAlignment="0" applyProtection="0"/>
    <xf numFmtId="0" fontId="61" fillId="23" borderId="0" applyNumberFormat="0" applyBorder="0" applyAlignment="0" applyProtection="0"/>
    <xf numFmtId="0" fontId="61" fillId="23" borderId="0" applyNumberFormat="0" applyBorder="0" applyAlignment="0" applyProtection="0"/>
    <xf numFmtId="0" fontId="61" fillId="23" borderId="0" applyNumberFormat="0" applyBorder="0" applyAlignment="0" applyProtection="0"/>
    <xf numFmtId="0" fontId="61" fillId="23" borderId="0" applyNumberFormat="0" applyBorder="0" applyAlignment="0" applyProtection="0"/>
    <xf numFmtId="0" fontId="61" fillId="23" borderId="0" applyNumberFormat="0" applyBorder="0" applyAlignment="0" applyProtection="0"/>
    <xf numFmtId="0" fontId="61" fillId="23" borderId="0" applyNumberFormat="0" applyBorder="0" applyAlignment="0" applyProtection="0"/>
    <xf numFmtId="0" fontId="61" fillId="23" borderId="0" applyNumberFormat="0" applyBorder="0" applyAlignment="0" applyProtection="0"/>
    <xf numFmtId="0" fontId="61" fillId="23" borderId="0" applyNumberFormat="0" applyBorder="0" applyAlignment="0" applyProtection="0"/>
    <xf numFmtId="0" fontId="61" fillId="23" borderId="0" applyNumberFormat="0" applyBorder="0" applyAlignment="0" applyProtection="0"/>
    <xf numFmtId="274" fontId="61" fillId="23" borderId="0" applyNumberFormat="0" applyBorder="0" applyAlignment="0" applyProtection="0"/>
    <xf numFmtId="274" fontId="61" fillId="23" borderId="0" applyNumberFormat="0" applyBorder="0" applyAlignment="0" applyProtection="0"/>
    <xf numFmtId="274" fontId="61" fillId="23" borderId="0" applyNumberFormat="0" applyBorder="0" applyAlignment="0" applyProtection="0"/>
    <xf numFmtId="274" fontId="61" fillId="23" borderId="0" applyNumberFormat="0" applyBorder="0" applyAlignment="0" applyProtection="0"/>
    <xf numFmtId="274" fontId="61" fillId="23" borderId="0" applyNumberFormat="0" applyBorder="0" applyAlignment="0" applyProtection="0"/>
    <xf numFmtId="274" fontId="61" fillId="23" borderId="0" applyNumberFormat="0" applyBorder="0" applyAlignment="0" applyProtection="0"/>
    <xf numFmtId="274" fontId="61" fillId="23" borderId="0" applyNumberFormat="0" applyBorder="0" applyAlignment="0" applyProtection="0"/>
    <xf numFmtId="274" fontId="61" fillId="23" borderId="0" applyNumberFormat="0" applyBorder="0" applyAlignment="0" applyProtection="0"/>
    <xf numFmtId="274" fontId="61" fillId="23" borderId="0" applyNumberFormat="0" applyBorder="0" applyAlignment="0" applyProtection="0"/>
    <xf numFmtId="274" fontId="61" fillId="23" borderId="0" applyNumberFormat="0" applyBorder="0" applyAlignment="0" applyProtection="0"/>
    <xf numFmtId="274" fontId="61" fillId="23" borderId="0" applyNumberFormat="0" applyBorder="0" applyAlignment="0" applyProtection="0"/>
    <xf numFmtId="274" fontId="61" fillId="23" borderId="0" applyNumberFormat="0" applyBorder="0" applyAlignment="0" applyProtection="0"/>
    <xf numFmtId="274" fontId="61" fillId="23" borderId="0" applyNumberFormat="0" applyBorder="0" applyAlignment="0" applyProtection="0"/>
    <xf numFmtId="274" fontId="61" fillId="23" borderId="0" applyNumberFormat="0" applyBorder="0" applyAlignment="0" applyProtection="0"/>
    <xf numFmtId="274" fontId="61" fillId="23" borderId="0" applyNumberFormat="0" applyBorder="0" applyAlignment="0" applyProtection="0"/>
    <xf numFmtId="274" fontId="61" fillId="23" borderId="0" applyNumberFormat="0" applyBorder="0" applyAlignment="0" applyProtection="0"/>
    <xf numFmtId="274" fontId="61" fillId="23" borderId="0" applyNumberFormat="0" applyBorder="0" applyAlignment="0" applyProtection="0"/>
    <xf numFmtId="274" fontId="61" fillId="23" borderId="0" applyNumberFormat="0" applyBorder="0" applyAlignment="0" applyProtection="0"/>
    <xf numFmtId="274" fontId="61" fillId="23" borderId="0" applyNumberFormat="0" applyBorder="0" applyAlignment="0" applyProtection="0"/>
    <xf numFmtId="274" fontId="61" fillId="23" borderId="0" applyNumberFormat="0" applyBorder="0" applyAlignment="0" applyProtection="0"/>
    <xf numFmtId="274" fontId="61" fillId="23" borderId="0" applyNumberFormat="0" applyBorder="0" applyAlignment="0" applyProtection="0"/>
    <xf numFmtId="274" fontId="61" fillId="23" borderId="0" applyNumberFormat="0" applyBorder="0" applyAlignment="0" applyProtection="0"/>
    <xf numFmtId="274" fontId="61" fillId="23" borderId="0" applyNumberFormat="0" applyBorder="0" applyAlignment="0" applyProtection="0"/>
    <xf numFmtId="274" fontId="61" fillId="23" borderId="0" applyNumberFormat="0" applyBorder="0" applyAlignment="0" applyProtection="0"/>
    <xf numFmtId="274" fontId="61" fillId="23" borderId="0" applyNumberFormat="0" applyBorder="0" applyAlignment="0" applyProtection="0"/>
    <xf numFmtId="274" fontId="61" fillId="23" borderId="0" applyNumberFormat="0" applyBorder="0" applyAlignment="0" applyProtection="0"/>
    <xf numFmtId="274" fontId="61" fillId="23" borderId="0" applyNumberFormat="0" applyBorder="0" applyAlignment="0" applyProtection="0"/>
    <xf numFmtId="274" fontId="61" fillId="23" borderId="0" applyNumberFormat="0" applyBorder="0" applyAlignment="0" applyProtection="0"/>
    <xf numFmtId="274" fontId="61" fillId="23" borderId="0" applyNumberFormat="0" applyBorder="0" applyAlignment="0" applyProtection="0"/>
    <xf numFmtId="274" fontId="61" fillId="23" borderId="0" applyNumberFormat="0" applyBorder="0" applyAlignment="0" applyProtection="0"/>
    <xf numFmtId="274" fontId="61" fillId="23" borderId="0" applyNumberFormat="0" applyBorder="0" applyAlignment="0" applyProtection="0"/>
    <xf numFmtId="274" fontId="61" fillId="23" borderId="0" applyNumberFormat="0" applyBorder="0" applyAlignment="0" applyProtection="0"/>
    <xf numFmtId="274" fontId="61" fillId="23" borderId="0" applyNumberFormat="0" applyBorder="0" applyAlignment="0" applyProtection="0"/>
    <xf numFmtId="274" fontId="61" fillId="23" borderId="0" applyNumberFormat="0" applyBorder="0" applyAlignment="0" applyProtection="0"/>
    <xf numFmtId="274" fontId="61" fillId="23" borderId="0" applyNumberFormat="0" applyBorder="0" applyAlignment="0" applyProtection="0"/>
    <xf numFmtId="274" fontId="61" fillId="23" borderId="0" applyNumberFormat="0" applyBorder="0" applyAlignment="0" applyProtection="0"/>
    <xf numFmtId="274" fontId="61" fillId="23" borderId="0" applyNumberFormat="0" applyBorder="0" applyAlignment="0" applyProtection="0"/>
    <xf numFmtId="274" fontId="61" fillId="23" borderId="0" applyNumberFormat="0" applyBorder="0" applyAlignment="0" applyProtection="0"/>
    <xf numFmtId="274" fontId="61" fillId="23" borderId="0" applyNumberFormat="0" applyBorder="0" applyAlignment="0" applyProtection="0"/>
    <xf numFmtId="274" fontId="61" fillId="23" borderId="0" applyNumberFormat="0" applyBorder="0" applyAlignment="0" applyProtection="0"/>
    <xf numFmtId="274" fontId="61" fillId="23" borderId="0" applyNumberFormat="0" applyBorder="0" applyAlignment="0" applyProtection="0"/>
    <xf numFmtId="274" fontId="61" fillId="23" borderId="0" applyNumberFormat="0" applyBorder="0" applyAlignment="0" applyProtection="0"/>
    <xf numFmtId="274" fontId="71" fillId="38" borderId="0" applyNumberFormat="0" applyBorder="0" applyAlignment="0" applyProtection="0"/>
    <xf numFmtId="0" fontId="61" fillId="23" borderId="0" applyNumberFormat="0" applyBorder="0" applyAlignment="0" applyProtection="0"/>
    <xf numFmtId="0" fontId="61" fillId="23" borderId="0" applyNumberFormat="0" applyBorder="0" applyAlignment="0" applyProtection="0"/>
    <xf numFmtId="0" fontId="61" fillId="23" borderId="0" applyNumberFormat="0" applyBorder="0" applyAlignment="0" applyProtection="0"/>
    <xf numFmtId="0" fontId="61" fillId="23" borderId="0" applyNumberFormat="0" applyBorder="0" applyAlignment="0" applyProtection="0"/>
    <xf numFmtId="0" fontId="61" fillId="23" borderId="0" applyNumberFormat="0" applyBorder="0" applyAlignment="0" applyProtection="0"/>
    <xf numFmtId="0" fontId="61" fillId="23" borderId="0" applyNumberFormat="0" applyBorder="0" applyAlignment="0" applyProtection="0"/>
    <xf numFmtId="0" fontId="61" fillId="23" borderId="0" applyNumberFormat="0" applyBorder="0" applyAlignment="0" applyProtection="0"/>
    <xf numFmtId="0" fontId="61" fillId="23" borderId="0" applyNumberFormat="0" applyBorder="0" applyAlignment="0" applyProtection="0"/>
    <xf numFmtId="0" fontId="61" fillId="23" borderId="0" applyNumberFormat="0" applyBorder="0" applyAlignment="0" applyProtection="0"/>
    <xf numFmtId="0" fontId="61" fillId="23" borderId="0" applyNumberFormat="0" applyBorder="0" applyAlignment="0" applyProtection="0"/>
    <xf numFmtId="0" fontId="61" fillId="23" borderId="0" applyNumberFormat="0" applyBorder="0" applyAlignment="0" applyProtection="0"/>
    <xf numFmtId="0" fontId="61" fillId="23" borderId="0" applyNumberFormat="0" applyBorder="0" applyAlignment="0" applyProtection="0"/>
    <xf numFmtId="0" fontId="61" fillId="23" borderId="0" applyNumberFormat="0" applyBorder="0" applyAlignment="0" applyProtection="0"/>
    <xf numFmtId="0" fontId="61" fillId="23" borderId="0" applyNumberFormat="0" applyBorder="0" applyAlignment="0" applyProtection="0"/>
    <xf numFmtId="0" fontId="61" fillId="23" borderId="0" applyNumberFormat="0" applyBorder="0" applyAlignment="0" applyProtection="0"/>
    <xf numFmtId="0" fontId="61" fillId="23" borderId="0" applyNumberFormat="0" applyBorder="0" applyAlignment="0" applyProtection="0"/>
    <xf numFmtId="0" fontId="61" fillId="23" borderId="0" applyNumberFormat="0" applyBorder="0" applyAlignment="0" applyProtection="0"/>
    <xf numFmtId="0" fontId="61" fillId="23" borderId="0" applyNumberFormat="0" applyBorder="0" applyAlignment="0" applyProtection="0"/>
    <xf numFmtId="0" fontId="61" fillId="23" borderId="0" applyNumberFormat="0" applyBorder="0" applyAlignment="0" applyProtection="0"/>
    <xf numFmtId="0" fontId="61" fillId="23" borderId="0" applyNumberFormat="0" applyBorder="0" applyAlignment="0" applyProtection="0"/>
    <xf numFmtId="0" fontId="61" fillId="23" borderId="0" applyNumberFormat="0" applyBorder="0" applyAlignment="0" applyProtection="0"/>
    <xf numFmtId="0" fontId="61" fillId="23" borderId="0" applyNumberFormat="0" applyBorder="0" applyAlignment="0" applyProtection="0"/>
    <xf numFmtId="0" fontId="61" fillId="23" borderId="0" applyNumberFormat="0" applyBorder="0" applyAlignment="0" applyProtection="0"/>
    <xf numFmtId="0" fontId="61" fillId="23" borderId="0" applyNumberFormat="0" applyBorder="0" applyAlignment="0" applyProtection="0"/>
    <xf numFmtId="0" fontId="61" fillId="23" borderId="0" applyNumberFormat="0" applyBorder="0" applyAlignment="0" applyProtection="0"/>
    <xf numFmtId="0" fontId="61" fillId="23" borderId="0" applyNumberFormat="0" applyBorder="0" applyAlignment="0" applyProtection="0"/>
    <xf numFmtId="0" fontId="61" fillId="23" borderId="0" applyNumberFormat="0" applyBorder="0" applyAlignment="0" applyProtection="0"/>
    <xf numFmtId="0" fontId="61" fillId="23" borderId="0" applyNumberFormat="0" applyBorder="0" applyAlignment="0" applyProtection="0"/>
    <xf numFmtId="0" fontId="61" fillId="23" borderId="0" applyNumberFormat="0" applyBorder="0" applyAlignment="0" applyProtection="0"/>
    <xf numFmtId="0" fontId="61" fillId="23" borderId="0" applyNumberFormat="0" applyBorder="0" applyAlignment="0" applyProtection="0"/>
    <xf numFmtId="0" fontId="61" fillId="23" borderId="0" applyNumberFormat="0" applyBorder="0" applyAlignment="0" applyProtection="0"/>
    <xf numFmtId="0" fontId="61" fillId="23" borderId="0" applyNumberFormat="0" applyBorder="0" applyAlignment="0" applyProtection="0"/>
    <xf numFmtId="0"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38"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0" fontId="61" fillId="27" borderId="0" applyNumberFormat="0" applyBorder="0" applyAlignment="0" applyProtection="0"/>
    <xf numFmtId="0" fontId="61" fillId="27" borderId="0" applyNumberFormat="0" applyBorder="0" applyAlignment="0" applyProtection="0"/>
    <xf numFmtId="0" fontId="61" fillId="27" borderId="0" applyNumberFormat="0" applyBorder="0" applyAlignment="0" applyProtection="0"/>
    <xf numFmtId="0" fontId="61" fillId="27" borderId="0" applyNumberFormat="0" applyBorder="0" applyAlignment="0" applyProtection="0"/>
    <xf numFmtId="0" fontId="61" fillId="27" borderId="0" applyNumberFormat="0" applyBorder="0" applyAlignment="0" applyProtection="0"/>
    <xf numFmtId="0" fontId="61" fillId="27" borderId="0" applyNumberFormat="0" applyBorder="0" applyAlignment="0" applyProtection="0"/>
    <xf numFmtId="0" fontId="61" fillId="27" borderId="0" applyNumberFormat="0" applyBorder="0" applyAlignment="0" applyProtection="0"/>
    <xf numFmtId="0" fontId="61" fillId="27" borderId="0" applyNumberFormat="0" applyBorder="0" applyAlignment="0" applyProtection="0"/>
    <xf numFmtId="0" fontId="61" fillId="27" borderId="0" applyNumberFormat="0" applyBorder="0" applyAlignment="0" applyProtection="0"/>
    <xf numFmtId="0" fontId="61" fillId="27" borderId="0" applyNumberFormat="0" applyBorder="0" applyAlignment="0" applyProtection="0"/>
    <xf numFmtId="274" fontId="61" fillId="27" borderId="0" applyNumberFormat="0" applyBorder="0" applyAlignment="0" applyProtection="0"/>
    <xf numFmtId="274" fontId="61" fillId="27" borderId="0" applyNumberFormat="0" applyBorder="0" applyAlignment="0" applyProtection="0"/>
    <xf numFmtId="274" fontId="61" fillId="27" borderId="0" applyNumberFormat="0" applyBorder="0" applyAlignment="0" applyProtection="0"/>
    <xf numFmtId="274" fontId="61" fillId="27" borderId="0" applyNumberFormat="0" applyBorder="0" applyAlignment="0" applyProtection="0"/>
    <xf numFmtId="274" fontId="61" fillId="27" borderId="0" applyNumberFormat="0" applyBorder="0" applyAlignment="0" applyProtection="0"/>
    <xf numFmtId="274" fontId="61" fillId="27" borderId="0" applyNumberFormat="0" applyBorder="0" applyAlignment="0" applyProtection="0"/>
    <xf numFmtId="274" fontId="61" fillId="27" borderId="0" applyNumberFormat="0" applyBorder="0" applyAlignment="0" applyProtection="0"/>
    <xf numFmtId="274" fontId="61" fillId="27" borderId="0" applyNumberFormat="0" applyBorder="0" applyAlignment="0" applyProtection="0"/>
    <xf numFmtId="274" fontId="61" fillId="27" borderId="0" applyNumberFormat="0" applyBorder="0" applyAlignment="0" applyProtection="0"/>
    <xf numFmtId="274" fontId="61" fillId="27" borderId="0" applyNumberFormat="0" applyBorder="0" applyAlignment="0" applyProtection="0"/>
    <xf numFmtId="274" fontId="61" fillId="27" borderId="0" applyNumberFormat="0" applyBorder="0" applyAlignment="0" applyProtection="0"/>
    <xf numFmtId="274" fontId="61" fillId="27" borderId="0" applyNumberFormat="0" applyBorder="0" applyAlignment="0" applyProtection="0"/>
    <xf numFmtId="274" fontId="61" fillId="27" borderId="0" applyNumberFormat="0" applyBorder="0" applyAlignment="0" applyProtection="0"/>
    <xf numFmtId="274" fontId="61" fillId="27" borderId="0" applyNumberFormat="0" applyBorder="0" applyAlignment="0" applyProtection="0"/>
    <xf numFmtId="274" fontId="61" fillId="27" borderId="0" applyNumberFormat="0" applyBorder="0" applyAlignment="0" applyProtection="0"/>
    <xf numFmtId="274" fontId="61" fillId="27" borderId="0" applyNumberFormat="0" applyBorder="0" applyAlignment="0" applyProtection="0"/>
    <xf numFmtId="274" fontId="61" fillId="27" borderId="0" applyNumberFormat="0" applyBorder="0" applyAlignment="0" applyProtection="0"/>
    <xf numFmtId="274" fontId="61" fillId="27" borderId="0" applyNumberFormat="0" applyBorder="0" applyAlignment="0" applyProtection="0"/>
    <xf numFmtId="274" fontId="61" fillId="27" borderId="0" applyNumberFormat="0" applyBorder="0" applyAlignment="0" applyProtection="0"/>
    <xf numFmtId="274" fontId="61" fillId="27" borderId="0" applyNumberFormat="0" applyBorder="0" applyAlignment="0" applyProtection="0"/>
    <xf numFmtId="274" fontId="61" fillId="27" borderId="0" applyNumberFormat="0" applyBorder="0" applyAlignment="0" applyProtection="0"/>
    <xf numFmtId="274" fontId="61" fillId="27" borderId="0" applyNumberFormat="0" applyBorder="0" applyAlignment="0" applyProtection="0"/>
    <xf numFmtId="274" fontId="61" fillId="27" borderId="0" applyNumberFormat="0" applyBorder="0" applyAlignment="0" applyProtection="0"/>
    <xf numFmtId="274" fontId="61" fillId="27" borderId="0" applyNumberFormat="0" applyBorder="0" applyAlignment="0" applyProtection="0"/>
    <xf numFmtId="274" fontId="61" fillId="27" borderId="0" applyNumberFormat="0" applyBorder="0" applyAlignment="0" applyProtection="0"/>
    <xf numFmtId="274" fontId="61" fillId="27" borderId="0" applyNumberFormat="0" applyBorder="0" applyAlignment="0" applyProtection="0"/>
    <xf numFmtId="274" fontId="61" fillId="27" borderId="0" applyNumberFormat="0" applyBorder="0" applyAlignment="0" applyProtection="0"/>
    <xf numFmtId="274" fontId="61" fillId="27" borderId="0" applyNumberFormat="0" applyBorder="0" applyAlignment="0" applyProtection="0"/>
    <xf numFmtId="274" fontId="61" fillId="27" borderId="0" applyNumberFormat="0" applyBorder="0" applyAlignment="0" applyProtection="0"/>
    <xf numFmtId="274" fontId="61" fillId="27" borderId="0" applyNumberFormat="0" applyBorder="0" applyAlignment="0" applyProtection="0"/>
    <xf numFmtId="274" fontId="61" fillId="27" borderId="0" applyNumberFormat="0" applyBorder="0" applyAlignment="0" applyProtection="0"/>
    <xf numFmtId="274" fontId="61" fillId="27" borderId="0" applyNumberFormat="0" applyBorder="0" applyAlignment="0" applyProtection="0"/>
    <xf numFmtId="274" fontId="61" fillId="27" borderId="0" applyNumberFormat="0" applyBorder="0" applyAlignment="0" applyProtection="0"/>
    <xf numFmtId="274" fontId="61" fillId="27" borderId="0" applyNumberFormat="0" applyBorder="0" applyAlignment="0" applyProtection="0"/>
    <xf numFmtId="274" fontId="61" fillId="27" borderId="0" applyNumberFormat="0" applyBorder="0" applyAlignment="0" applyProtection="0"/>
    <xf numFmtId="274" fontId="61" fillId="27" borderId="0" applyNumberFormat="0" applyBorder="0" applyAlignment="0" applyProtection="0"/>
    <xf numFmtId="274" fontId="61" fillId="27" borderId="0" applyNumberFormat="0" applyBorder="0" applyAlignment="0" applyProtection="0"/>
    <xf numFmtId="274" fontId="61" fillId="27" borderId="0" applyNumberFormat="0" applyBorder="0" applyAlignment="0" applyProtection="0"/>
    <xf numFmtId="274" fontId="61" fillId="27" borderId="0" applyNumberFormat="0" applyBorder="0" applyAlignment="0" applyProtection="0"/>
    <xf numFmtId="274" fontId="61" fillId="27" borderId="0" applyNumberFormat="0" applyBorder="0" applyAlignment="0" applyProtection="0"/>
    <xf numFmtId="274" fontId="61" fillId="27" borderId="0" applyNumberFormat="0" applyBorder="0" applyAlignment="0" applyProtection="0"/>
    <xf numFmtId="274" fontId="61" fillId="27" borderId="0" applyNumberFormat="0" applyBorder="0" applyAlignment="0" applyProtection="0"/>
    <xf numFmtId="274" fontId="71" fillId="41" borderId="0" applyNumberFormat="0" applyBorder="0" applyAlignment="0" applyProtection="0"/>
    <xf numFmtId="0" fontId="61" fillId="27" borderId="0" applyNumberFormat="0" applyBorder="0" applyAlignment="0" applyProtection="0"/>
    <xf numFmtId="0" fontId="61" fillId="27" borderId="0" applyNumberFormat="0" applyBorder="0" applyAlignment="0" applyProtection="0"/>
    <xf numFmtId="0" fontId="61" fillId="27" borderId="0" applyNumberFormat="0" applyBorder="0" applyAlignment="0" applyProtection="0"/>
    <xf numFmtId="0" fontId="61" fillId="27" borderId="0" applyNumberFormat="0" applyBorder="0" applyAlignment="0" applyProtection="0"/>
    <xf numFmtId="0" fontId="61" fillId="27" borderId="0" applyNumberFormat="0" applyBorder="0" applyAlignment="0" applyProtection="0"/>
    <xf numFmtId="0" fontId="61" fillId="27" borderId="0" applyNumberFormat="0" applyBorder="0" applyAlignment="0" applyProtection="0"/>
    <xf numFmtId="0" fontId="61" fillId="27" borderId="0" applyNumberFormat="0" applyBorder="0" applyAlignment="0" applyProtection="0"/>
    <xf numFmtId="0" fontId="61" fillId="27" borderId="0" applyNumberFormat="0" applyBorder="0" applyAlignment="0" applyProtection="0"/>
    <xf numFmtId="0" fontId="61" fillId="27" borderId="0" applyNumberFormat="0" applyBorder="0" applyAlignment="0" applyProtection="0"/>
    <xf numFmtId="0" fontId="61" fillId="27" borderId="0" applyNumberFormat="0" applyBorder="0" applyAlignment="0" applyProtection="0"/>
    <xf numFmtId="0" fontId="61" fillId="27" borderId="0" applyNumberFormat="0" applyBorder="0" applyAlignment="0" applyProtection="0"/>
    <xf numFmtId="0" fontId="61" fillId="27" borderId="0" applyNumberFormat="0" applyBorder="0" applyAlignment="0" applyProtection="0"/>
    <xf numFmtId="0" fontId="61" fillId="27" borderId="0" applyNumberFormat="0" applyBorder="0" applyAlignment="0" applyProtection="0"/>
    <xf numFmtId="0" fontId="61" fillId="27" borderId="0" applyNumberFormat="0" applyBorder="0" applyAlignment="0" applyProtection="0"/>
    <xf numFmtId="0" fontId="61" fillId="27" borderId="0" applyNumberFormat="0" applyBorder="0" applyAlignment="0" applyProtection="0"/>
    <xf numFmtId="0" fontId="61" fillId="27" borderId="0" applyNumberFormat="0" applyBorder="0" applyAlignment="0" applyProtection="0"/>
    <xf numFmtId="0" fontId="61" fillId="27" borderId="0" applyNumberFormat="0" applyBorder="0" applyAlignment="0" applyProtection="0"/>
    <xf numFmtId="0" fontId="61" fillId="27" borderId="0" applyNumberFormat="0" applyBorder="0" applyAlignment="0" applyProtection="0"/>
    <xf numFmtId="0" fontId="61" fillId="27" borderId="0" applyNumberFormat="0" applyBorder="0" applyAlignment="0" applyProtection="0"/>
    <xf numFmtId="0" fontId="61" fillId="27" borderId="0" applyNumberFormat="0" applyBorder="0" applyAlignment="0" applyProtection="0"/>
    <xf numFmtId="0" fontId="61" fillId="27" borderId="0" applyNumberFormat="0" applyBorder="0" applyAlignment="0" applyProtection="0"/>
    <xf numFmtId="0" fontId="61" fillId="27" borderId="0" applyNumberFormat="0" applyBorder="0" applyAlignment="0" applyProtection="0"/>
    <xf numFmtId="0" fontId="61" fillId="27" borderId="0" applyNumberFormat="0" applyBorder="0" applyAlignment="0" applyProtection="0"/>
    <xf numFmtId="0" fontId="61" fillId="27" borderId="0" applyNumberFormat="0" applyBorder="0" applyAlignment="0" applyProtection="0"/>
    <xf numFmtId="0" fontId="61" fillId="27" borderId="0" applyNumberFormat="0" applyBorder="0" applyAlignment="0" applyProtection="0"/>
    <xf numFmtId="0" fontId="61" fillId="27" borderId="0" applyNumberFormat="0" applyBorder="0" applyAlignment="0" applyProtection="0"/>
    <xf numFmtId="0" fontId="61" fillId="27" borderId="0" applyNumberFormat="0" applyBorder="0" applyAlignment="0" applyProtection="0"/>
    <xf numFmtId="0" fontId="61" fillId="27" borderId="0" applyNumberFormat="0" applyBorder="0" applyAlignment="0" applyProtection="0"/>
    <xf numFmtId="0" fontId="61" fillId="27" borderId="0" applyNumberFormat="0" applyBorder="0" applyAlignment="0" applyProtection="0"/>
    <xf numFmtId="0" fontId="61" fillId="27" borderId="0" applyNumberFormat="0" applyBorder="0" applyAlignment="0" applyProtection="0"/>
    <xf numFmtId="0" fontId="61" fillId="27" borderId="0" applyNumberFormat="0" applyBorder="0" applyAlignment="0" applyProtection="0"/>
    <xf numFmtId="0" fontId="61" fillId="27" borderId="0" applyNumberFormat="0" applyBorder="0" applyAlignment="0" applyProtection="0"/>
    <xf numFmtId="0"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1" borderId="0" applyNumberFormat="0" applyBorder="0" applyAlignment="0" applyProtection="0"/>
    <xf numFmtId="238" fontId="71" fillId="44" borderId="0" applyNumberFormat="0" applyBorder="0" applyAlignment="0" applyProtection="0"/>
    <xf numFmtId="238" fontId="71" fillId="44" borderId="0" applyNumberFormat="0" applyBorder="0" applyAlignment="0" applyProtection="0"/>
    <xf numFmtId="238" fontId="71" fillId="44" borderId="0" applyNumberFormat="0" applyBorder="0" applyAlignment="0" applyProtection="0"/>
    <xf numFmtId="238" fontId="71" fillId="44" borderId="0" applyNumberFormat="0" applyBorder="0" applyAlignment="0" applyProtection="0"/>
    <xf numFmtId="238" fontId="71" fillId="44" borderId="0" applyNumberFormat="0" applyBorder="0" applyAlignment="0" applyProtection="0"/>
    <xf numFmtId="238" fontId="71" fillId="44" borderId="0" applyNumberFormat="0" applyBorder="0" applyAlignment="0" applyProtection="0"/>
    <xf numFmtId="238" fontId="71" fillId="44" borderId="0" applyNumberFormat="0" applyBorder="0" applyAlignment="0" applyProtection="0"/>
    <xf numFmtId="238" fontId="71" fillId="44" borderId="0" applyNumberFormat="0" applyBorder="0" applyAlignment="0" applyProtection="0"/>
    <xf numFmtId="238" fontId="71" fillId="44" borderId="0" applyNumberFormat="0" applyBorder="0" applyAlignment="0" applyProtection="0"/>
    <xf numFmtId="238" fontId="71" fillId="44" borderId="0" applyNumberFormat="0" applyBorder="0" applyAlignment="0" applyProtection="0"/>
    <xf numFmtId="0" fontId="61" fillId="31" borderId="0" applyNumberFormat="0" applyBorder="0" applyAlignment="0" applyProtection="0"/>
    <xf numFmtId="0" fontId="61" fillId="31" borderId="0" applyNumberFormat="0" applyBorder="0" applyAlignment="0" applyProtection="0"/>
    <xf numFmtId="0" fontId="61" fillId="31" borderId="0" applyNumberFormat="0" applyBorder="0" applyAlignment="0" applyProtection="0"/>
    <xf numFmtId="0" fontId="61" fillId="31" borderId="0" applyNumberFormat="0" applyBorder="0" applyAlignment="0" applyProtection="0"/>
    <xf numFmtId="0" fontId="61" fillId="31" borderId="0" applyNumberFormat="0" applyBorder="0" applyAlignment="0" applyProtection="0"/>
    <xf numFmtId="0" fontId="61" fillId="31" borderId="0" applyNumberFormat="0" applyBorder="0" applyAlignment="0" applyProtection="0"/>
    <xf numFmtId="0" fontId="61" fillId="31" borderId="0" applyNumberFormat="0" applyBorder="0" applyAlignment="0" applyProtection="0"/>
    <xf numFmtId="0" fontId="61" fillId="31" borderId="0" applyNumberFormat="0" applyBorder="0" applyAlignment="0" applyProtection="0"/>
    <xf numFmtId="0" fontId="61" fillId="31" borderId="0" applyNumberFormat="0" applyBorder="0" applyAlignment="0" applyProtection="0"/>
    <xf numFmtId="0" fontId="61" fillId="31" borderId="0" applyNumberFormat="0" applyBorder="0" applyAlignment="0" applyProtection="0"/>
    <xf numFmtId="274" fontId="61" fillId="31" borderId="0" applyNumberFormat="0" applyBorder="0" applyAlignment="0" applyProtection="0"/>
    <xf numFmtId="274" fontId="61" fillId="31" borderId="0" applyNumberFormat="0" applyBorder="0" applyAlignment="0" applyProtection="0"/>
    <xf numFmtId="274" fontId="61" fillId="31" borderId="0" applyNumberFormat="0" applyBorder="0" applyAlignment="0" applyProtection="0"/>
    <xf numFmtId="274" fontId="61" fillId="31" borderId="0" applyNumberFormat="0" applyBorder="0" applyAlignment="0" applyProtection="0"/>
    <xf numFmtId="274" fontId="61" fillId="31" borderId="0" applyNumberFormat="0" applyBorder="0" applyAlignment="0" applyProtection="0"/>
    <xf numFmtId="274" fontId="61" fillId="31" borderId="0" applyNumberFormat="0" applyBorder="0" applyAlignment="0" applyProtection="0"/>
    <xf numFmtId="274" fontId="61" fillId="31" borderId="0" applyNumberFormat="0" applyBorder="0" applyAlignment="0" applyProtection="0"/>
    <xf numFmtId="274" fontId="61" fillId="31" borderId="0" applyNumberFormat="0" applyBorder="0" applyAlignment="0" applyProtection="0"/>
    <xf numFmtId="274" fontId="61" fillId="31" borderId="0" applyNumberFormat="0" applyBorder="0" applyAlignment="0" applyProtection="0"/>
    <xf numFmtId="274" fontId="61" fillId="31" borderId="0" applyNumberFormat="0" applyBorder="0" applyAlignment="0" applyProtection="0"/>
    <xf numFmtId="274" fontId="61" fillId="31" borderId="0" applyNumberFormat="0" applyBorder="0" applyAlignment="0" applyProtection="0"/>
    <xf numFmtId="274" fontId="61" fillId="31" borderId="0" applyNumberFormat="0" applyBorder="0" applyAlignment="0" applyProtection="0"/>
    <xf numFmtId="274" fontId="61" fillId="31" borderId="0" applyNumberFormat="0" applyBorder="0" applyAlignment="0" applyProtection="0"/>
    <xf numFmtId="274" fontId="61" fillId="31" borderId="0" applyNumberFormat="0" applyBorder="0" applyAlignment="0" applyProtection="0"/>
    <xf numFmtId="274" fontId="61" fillId="31" borderId="0" applyNumberFormat="0" applyBorder="0" applyAlignment="0" applyProtection="0"/>
    <xf numFmtId="274" fontId="61" fillId="31" borderId="0" applyNumberFormat="0" applyBorder="0" applyAlignment="0" applyProtection="0"/>
    <xf numFmtId="274" fontId="61" fillId="31" borderId="0" applyNumberFormat="0" applyBorder="0" applyAlignment="0" applyProtection="0"/>
    <xf numFmtId="274" fontId="61" fillId="31" borderId="0" applyNumberFormat="0" applyBorder="0" applyAlignment="0" applyProtection="0"/>
    <xf numFmtId="274" fontId="61" fillId="31" borderId="0" applyNumberFormat="0" applyBorder="0" applyAlignment="0" applyProtection="0"/>
    <xf numFmtId="274" fontId="61" fillId="31" borderId="0" applyNumberFormat="0" applyBorder="0" applyAlignment="0" applyProtection="0"/>
    <xf numFmtId="274" fontId="61" fillId="31" borderId="0" applyNumberFormat="0" applyBorder="0" applyAlignment="0" applyProtection="0"/>
    <xf numFmtId="274" fontId="61" fillId="31" borderId="0" applyNumberFormat="0" applyBorder="0" applyAlignment="0" applyProtection="0"/>
    <xf numFmtId="274" fontId="61" fillId="31" borderId="0" applyNumberFormat="0" applyBorder="0" applyAlignment="0" applyProtection="0"/>
    <xf numFmtId="274" fontId="61" fillId="31" borderId="0" applyNumberFormat="0" applyBorder="0" applyAlignment="0" applyProtection="0"/>
    <xf numFmtId="274" fontId="61" fillId="31" borderId="0" applyNumberFormat="0" applyBorder="0" applyAlignment="0" applyProtection="0"/>
    <xf numFmtId="274" fontId="61" fillId="31" borderId="0" applyNumberFormat="0" applyBorder="0" applyAlignment="0" applyProtection="0"/>
    <xf numFmtId="274" fontId="61" fillId="31" borderId="0" applyNumberFormat="0" applyBorder="0" applyAlignment="0" applyProtection="0"/>
    <xf numFmtId="274" fontId="61" fillId="31" borderId="0" applyNumberFormat="0" applyBorder="0" applyAlignment="0" applyProtection="0"/>
    <xf numFmtId="274" fontId="61" fillId="31" borderId="0" applyNumberFormat="0" applyBorder="0" applyAlignment="0" applyProtection="0"/>
    <xf numFmtId="274" fontId="61" fillId="31" borderId="0" applyNumberFormat="0" applyBorder="0" applyAlignment="0" applyProtection="0"/>
    <xf numFmtId="274" fontId="61" fillId="31" borderId="0" applyNumberFormat="0" applyBorder="0" applyAlignment="0" applyProtection="0"/>
    <xf numFmtId="274" fontId="61" fillId="31" borderId="0" applyNumberFormat="0" applyBorder="0" applyAlignment="0" applyProtection="0"/>
    <xf numFmtId="274" fontId="61" fillId="31" borderId="0" applyNumberFormat="0" applyBorder="0" applyAlignment="0" applyProtection="0"/>
    <xf numFmtId="274" fontId="61" fillId="31" borderId="0" applyNumberFormat="0" applyBorder="0" applyAlignment="0" applyProtection="0"/>
    <xf numFmtId="274" fontId="61" fillId="31" borderId="0" applyNumberFormat="0" applyBorder="0" applyAlignment="0" applyProtection="0"/>
    <xf numFmtId="274" fontId="61" fillId="31" borderId="0" applyNumberFormat="0" applyBorder="0" applyAlignment="0" applyProtection="0"/>
    <xf numFmtId="274" fontId="61" fillId="31" borderId="0" applyNumberFormat="0" applyBorder="0" applyAlignment="0" applyProtection="0"/>
    <xf numFmtId="274" fontId="61" fillId="31" borderId="0" applyNumberFormat="0" applyBorder="0" applyAlignment="0" applyProtection="0"/>
    <xf numFmtId="274" fontId="61" fillId="31" borderId="0" applyNumberFormat="0" applyBorder="0" applyAlignment="0" applyProtection="0"/>
    <xf numFmtId="274" fontId="61" fillId="31" borderId="0" applyNumberFormat="0" applyBorder="0" applyAlignment="0" applyProtection="0"/>
    <xf numFmtId="274" fontId="61" fillId="31" borderId="0" applyNumberFormat="0" applyBorder="0" applyAlignment="0" applyProtection="0"/>
    <xf numFmtId="274" fontId="61" fillId="31" borderId="0" applyNumberFormat="0" applyBorder="0" applyAlignment="0" applyProtection="0"/>
    <xf numFmtId="274" fontId="71" fillId="44" borderId="0" applyNumberFormat="0" applyBorder="0" applyAlignment="0" applyProtection="0"/>
    <xf numFmtId="0" fontId="61" fillId="31" borderId="0" applyNumberFormat="0" applyBorder="0" applyAlignment="0" applyProtection="0"/>
    <xf numFmtId="0" fontId="61" fillId="31" borderId="0" applyNumberFormat="0" applyBorder="0" applyAlignment="0" applyProtection="0"/>
    <xf numFmtId="0" fontId="61" fillId="31" borderId="0" applyNumberFormat="0" applyBorder="0" applyAlignment="0" applyProtection="0"/>
    <xf numFmtId="0" fontId="61" fillId="31" borderId="0" applyNumberFormat="0" applyBorder="0" applyAlignment="0" applyProtection="0"/>
    <xf numFmtId="0" fontId="61" fillId="31" borderId="0" applyNumberFormat="0" applyBorder="0" applyAlignment="0" applyProtection="0"/>
    <xf numFmtId="0" fontId="61" fillId="31" borderId="0" applyNumberFormat="0" applyBorder="0" applyAlignment="0" applyProtection="0"/>
    <xf numFmtId="0" fontId="61" fillId="31" borderId="0" applyNumberFormat="0" applyBorder="0" applyAlignment="0" applyProtection="0"/>
    <xf numFmtId="0" fontId="61" fillId="31" borderId="0" applyNumberFormat="0" applyBorder="0" applyAlignment="0" applyProtection="0"/>
    <xf numFmtId="0" fontId="61" fillId="31" borderId="0" applyNumberFormat="0" applyBorder="0" applyAlignment="0" applyProtection="0"/>
    <xf numFmtId="0" fontId="61" fillId="31" borderId="0" applyNumberFormat="0" applyBorder="0" applyAlignment="0" applyProtection="0"/>
    <xf numFmtId="0" fontId="61" fillId="31" borderId="0" applyNumberFormat="0" applyBorder="0" applyAlignment="0" applyProtection="0"/>
    <xf numFmtId="0" fontId="61" fillId="31" borderId="0" applyNumberFormat="0" applyBorder="0" applyAlignment="0" applyProtection="0"/>
    <xf numFmtId="0" fontId="61" fillId="31" borderId="0" applyNumberFormat="0" applyBorder="0" applyAlignment="0" applyProtection="0"/>
    <xf numFmtId="0" fontId="61" fillId="31" borderId="0" applyNumberFormat="0" applyBorder="0" applyAlignment="0" applyProtection="0"/>
    <xf numFmtId="0" fontId="61" fillId="31" borderId="0" applyNumberFormat="0" applyBorder="0" applyAlignment="0" applyProtection="0"/>
    <xf numFmtId="0" fontId="61" fillId="31" borderId="0" applyNumberFormat="0" applyBorder="0" applyAlignment="0" applyProtection="0"/>
    <xf numFmtId="0" fontId="61" fillId="31" borderId="0" applyNumberFormat="0" applyBorder="0" applyAlignment="0" applyProtection="0"/>
    <xf numFmtId="0" fontId="61" fillId="31" borderId="0" applyNumberFormat="0" applyBorder="0" applyAlignment="0" applyProtection="0"/>
    <xf numFmtId="0" fontId="61" fillId="31" borderId="0" applyNumberFormat="0" applyBorder="0" applyAlignment="0" applyProtection="0"/>
    <xf numFmtId="0" fontId="61" fillId="31" borderId="0" applyNumberFormat="0" applyBorder="0" applyAlignment="0" applyProtection="0"/>
    <xf numFmtId="0" fontId="61" fillId="31" borderId="0" applyNumberFormat="0" applyBorder="0" applyAlignment="0" applyProtection="0"/>
    <xf numFmtId="0" fontId="61" fillId="31" borderId="0" applyNumberFormat="0" applyBorder="0" applyAlignment="0" applyProtection="0"/>
    <xf numFmtId="0" fontId="61" fillId="31" borderId="0" applyNumberFormat="0" applyBorder="0" applyAlignment="0" applyProtection="0"/>
    <xf numFmtId="0" fontId="61" fillId="31" borderId="0" applyNumberFormat="0" applyBorder="0" applyAlignment="0" applyProtection="0"/>
    <xf numFmtId="0" fontId="61" fillId="31" borderId="0" applyNumberFormat="0" applyBorder="0" applyAlignment="0" applyProtection="0"/>
    <xf numFmtId="0" fontId="61" fillId="31" borderId="0" applyNumberFormat="0" applyBorder="0" applyAlignment="0" applyProtection="0"/>
    <xf numFmtId="0" fontId="61" fillId="31" borderId="0" applyNumberFormat="0" applyBorder="0" applyAlignment="0" applyProtection="0"/>
    <xf numFmtId="0" fontId="61" fillId="31" borderId="0" applyNumberFormat="0" applyBorder="0" applyAlignment="0" applyProtection="0"/>
    <xf numFmtId="0" fontId="61" fillId="31" borderId="0" applyNumberFormat="0" applyBorder="0" applyAlignment="0" applyProtection="0"/>
    <xf numFmtId="0" fontId="61" fillId="31" borderId="0" applyNumberFormat="0" applyBorder="0" applyAlignment="0" applyProtection="0"/>
    <xf numFmtId="0" fontId="61" fillId="31" borderId="0" applyNumberFormat="0" applyBorder="0" applyAlignment="0" applyProtection="0"/>
    <xf numFmtId="0" fontId="61" fillId="31" borderId="0" applyNumberFormat="0" applyBorder="0" applyAlignment="0" applyProtection="0"/>
    <xf numFmtId="0" fontId="71" fillId="44" borderId="0" applyNumberFormat="0" applyBorder="0" applyAlignment="0" applyProtection="0"/>
    <xf numFmtId="238" fontId="71" fillId="44" borderId="0" applyNumberFormat="0" applyBorder="0" applyAlignment="0" applyProtection="0"/>
    <xf numFmtId="238" fontId="71" fillId="44" borderId="0" applyNumberFormat="0" applyBorder="0" applyAlignment="0" applyProtection="0"/>
    <xf numFmtId="238" fontId="71" fillId="44" borderId="0" applyNumberFormat="0" applyBorder="0" applyAlignment="0" applyProtection="0"/>
    <xf numFmtId="238" fontId="71" fillId="44" borderId="0" applyNumberFormat="0" applyBorder="0" applyAlignment="0" applyProtection="0"/>
    <xf numFmtId="238" fontId="71" fillId="44" borderId="0" applyNumberFormat="0" applyBorder="0" applyAlignment="0" applyProtection="0"/>
    <xf numFmtId="238" fontId="71" fillId="44" borderId="0" applyNumberFormat="0" applyBorder="0" applyAlignment="0" applyProtection="0"/>
    <xf numFmtId="238" fontId="71" fillId="44" borderId="0" applyNumberFormat="0" applyBorder="0" applyAlignment="0" applyProtection="0"/>
    <xf numFmtId="238" fontId="71" fillId="44" borderId="0" applyNumberFormat="0" applyBorder="0" applyAlignment="0" applyProtection="0"/>
    <xf numFmtId="238" fontId="71" fillId="44" borderId="0" applyNumberFormat="0" applyBorder="0" applyAlignment="0" applyProtection="0"/>
    <xf numFmtId="238" fontId="71" fillId="44" borderId="0" applyNumberFormat="0" applyBorder="0" applyAlignment="0" applyProtection="0"/>
    <xf numFmtId="238" fontId="71" fillId="44" borderId="0" applyNumberFormat="0" applyBorder="0" applyAlignment="0" applyProtection="0"/>
    <xf numFmtId="238" fontId="71" fillId="44" borderId="0" applyNumberFormat="0" applyBorder="0" applyAlignment="0" applyProtection="0"/>
    <xf numFmtId="238" fontId="71" fillId="44" borderId="0" applyNumberFormat="0" applyBorder="0" applyAlignment="0" applyProtection="0"/>
    <xf numFmtId="238" fontId="71" fillId="44" borderId="0" applyNumberFormat="0" applyBorder="0" applyAlignment="0" applyProtection="0"/>
    <xf numFmtId="238" fontId="71" fillId="44" borderId="0" applyNumberFormat="0" applyBorder="0" applyAlignment="0" applyProtection="0"/>
    <xf numFmtId="238" fontId="71" fillId="44" borderId="0" applyNumberFormat="0" applyBorder="0" applyAlignment="0" applyProtection="0"/>
    <xf numFmtId="238" fontId="71" fillId="44" borderId="0" applyNumberFormat="0" applyBorder="0" applyAlignment="0" applyProtection="0"/>
    <xf numFmtId="238" fontId="71" fillId="44" borderId="0" applyNumberFormat="0" applyBorder="0" applyAlignment="0" applyProtection="0"/>
    <xf numFmtId="238" fontId="71" fillId="44" borderId="0" applyNumberFormat="0" applyBorder="0" applyAlignment="0" applyProtection="0"/>
    <xf numFmtId="238" fontId="71" fillId="44" borderId="0" applyNumberFormat="0" applyBorder="0" applyAlignment="0" applyProtection="0"/>
    <xf numFmtId="238" fontId="71" fillId="44" borderId="0" applyNumberFormat="0" applyBorder="0" applyAlignment="0" applyProtection="0"/>
    <xf numFmtId="238" fontId="71" fillId="44" borderId="0" applyNumberFormat="0" applyBorder="0" applyAlignment="0" applyProtection="0"/>
    <xf numFmtId="238" fontId="71" fillId="44" borderId="0" applyNumberFormat="0" applyBorder="0" applyAlignment="0" applyProtection="0"/>
    <xf numFmtId="238" fontId="71" fillId="44" borderId="0" applyNumberFormat="0" applyBorder="0" applyAlignment="0" applyProtection="0"/>
    <xf numFmtId="238" fontId="71" fillId="44" borderId="0" applyNumberFormat="0" applyBorder="0" applyAlignment="0" applyProtection="0"/>
    <xf numFmtId="238" fontId="71" fillId="44" borderId="0" applyNumberFormat="0" applyBorder="0" applyAlignment="0" applyProtection="0"/>
    <xf numFmtId="238" fontId="71" fillId="44" borderId="0" applyNumberFormat="0" applyBorder="0" applyAlignment="0" applyProtection="0"/>
    <xf numFmtId="238" fontId="71" fillId="44" borderId="0" applyNumberFormat="0" applyBorder="0" applyAlignment="0" applyProtection="0"/>
    <xf numFmtId="238" fontId="71" fillId="44" borderId="0" applyNumberFormat="0" applyBorder="0" applyAlignment="0" applyProtection="0"/>
    <xf numFmtId="238" fontId="71" fillId="44" borderId="0" applyNumberFormat="0" applyBorder="0" applyAlignment="0" applyProtection="0"/>
    <xf numFmtId="238" fontId="71" fillId="44" borderId="0" applyNumberFormat="0" applyBorder="0" applyAlignment="0" applyProtection="0"/>
    <xf numFmtId="238" fontId="71" fillId="44" borderId="0" applyNumberFormat="0" applyBorder="0" applyAlignment="0" applyProtection="0"/>
    <xf numFmtId="238" fontId="71" fillId="44" borderId="0" applyNumberFormat="0" applyBorder="0" applyAlignment="0" applyProtection="0"/>
    <xf numFmtId="238" fontId="71" fillId="44" borderId="0" applyNumberFormat="0" applyBorder="0" applyAlignment="0" applyProtection="0"/>
    <xf numFmtId="238" fontId="71" fillId="44" borderId="0" applyNumberFormat="0" applyBorder="0" applyAlignment="0" applyProtection="0"/>
    <xf numFmtId="238" fontId="71" fillId="44" borderId="0" applyNumberFormat="0" applyBorder="0" applyAlignment="0" applyProtection="0"/>
    <xf numFmtId="238" fontId="71" fillId="44" borderId="0" applyNumberFormat="0" applyBorder="0" applyAlignment="0" applyProtection="0"/>
    <xf numFmtId="238" fontId="71" fillId="44" borderId="0" applyNumberFormat="0" applyBorder="0" applyAlignment="0" applyProtection="0"/>
    <xf numFmtId="238" fontId="71" fillId="44" borderId="0" applyNumberFormat="0" applyBorder="0" applyAlignment="0" applyProtection="0"/>
    <xf numFmtId="238" fontId="71" fillId="44" borderId="0" applyNumberFormat="0" applyBorder="0" applyAlignment="0" applyProtection="0"/>
    <xf numFmtId="238" fontId="71" fillId="44" borderId="0" applyNumberFormat="0" applyBorder="0" applyAlignment="0" applyProtection="0"/>
    <xf numFmtId="238" fontId="71" fillId="44" borderId="0" applyNumberFormat="0" applyBorder="0" applyAlignment="0" applyProtection="0"/>
    <xf numFmtId="238" fontId="71" fillId="44" borderId="0" applyNumberFormat="0" applyBorder="0" applyAlignment="0" applyProtection="0"/>
    <xf numFmtId="238" fontId="71" fillId="41" borderId="0" applyNumberFormat="0" applyBorder="0" applyAlignment="0" applyProtection="0"/>
    <xf numFmtId="238" fontId="71" fillId="42" borderId="0" applyNumberFormat="0" applyBorder="0" applyAlignment="0" applyProtection="0"/>
    <xf numFmtId="238" fontId="71" fillId="43" borderId="0" applyNumberFormat="0" applyBorder="0" applyAlignment="0" applyProtection="0"/>
    <xf numFmtId="238" fontId="71" fillId="38" borderId="0" applyNumberFormat="0" applyBorder="0" applyAlignment="0" applyProtection="0"/>
    <xf numFmtId="238" fontId="71" fillId="41" borderId="0" applyNumberFormat="0" applyBorder="0" applyAlignment="0" applyProtection="0"/>
    <xf numFmtId="238" fontId="71" fillId="44" borderId="0" applyNumberFormat="0" applyBorder="0" applyAlignment="0" applyProtection="0"/>
    <xf numFmtId="238" fontId="194" fillId="61" borderId="0" applyNumberFormat="0" applyBorder="0" applyAlignment="0" applyProtection="0">
      <alignment vertical="center"/>
    </xf>
    <xf numFmtId="238" fontId="194" fillId="42" borderId="0" applyNumberFormat="0" applyBorder="0" applyAlignment="0" applyProtection="0">
      <alignment vertical="center"/>
    </xf>
    <xf numFmtId="238" fontId="194" fillId="73" borderId="0" applyNumberFormat="0" applyBorder="0" applyAlignment="0" applyProtection="0">
      <alignment vertical="center"/>
    </xf>
    <xf numFmtId="238" fontId="194" fillId="61" borderId="0" applyNumberFormat="0" applyBorder="0" applyAlignment="0" applyProtection="0">
      <alignment vertical="center"/>
    </xf>
    <xf numFmtId="238" fontId="194" fillId="41" borderId="0" applyNumberFormat="0" applyBorder="0" applyAlignment="0" applyProtection="0">
      <alignment vertical="center"/>
    </xf>
    <xf numFmtId="238" fontId="194" fillId="40" borderId="0" applyNumberFormat="0" applyBorder="0" applyAlignment="0" applyProtection="0">
      <alignment vertical="center"/>
    </xf>
    <xf numFmtId="238" fontId="73" fillId="73" borderId="0" applyNumberFormat="0" applyBorder="0" applyAlignment="0" applyProtection="0"/>
    <xf numFmtId="238" fontId="73" fillId="36" borderId="0" applyNumberFormat="0" applyBorder="0" applyAlignment="0" applyProtection="0"/>
    <xf numFmtId="238" fontId="73" fillId="40" borderId="0" applyNumberFormat="0" applyBorder="0" applyAlignment="0" applyProtection="0"/>
    <xf numFmtId="238" fontId="73" fillId="78" borderId="0" applyNumberFormat="0" applyBorder="0" applyAlignment="0" applyProtection="0"/>
    <xf numFmtId="238" fontId="73" fillId="61" borderId="0" applyNumberFormat="0" applyBorder="0" applyAlignment="0" applyProtection="0"/>
    <xf numFmtId="238" fontId="73" fillId="47" borderId="0" applyNumberFormat="0" applyBorder="0" applyAlignment="0" applyProtection="0"/>
    <xf numFmtId="238" fontId="73" fillId="45" borderId="0" applyNumberFormat="0" applyBorder="0" applyAlignment="0" applyProtection="0"/>
    <xf numFmtId="238" fontId="73" fillId="45" borderId="0" applyNumberFormat="0" applyBorder="0" applyAlignment="0" applyProtection="0"/>
    <xf numFmtId="238" fontId="73" fillId="45" borderId="0" applyNumberFormat="0" applyBorder="0" applyAlignment="0" applyProtection="0"/>
    <xf numFmtId="238" fontId="73" fillId="45" borderId="0" applyNumberFormat="0" applyBorder="0" applyAlignment="0" applyProtection="0"/>
    <xf numFmtId="238" fontId="73" fillId="45" borderId="0" applyNumberFormat="0" applyBorder="0" applyAlignment="0" applyProtection="0"/>
    <xf numFmtId="238" fontId="73" fillId="45" borderId="0" applyNumberFormat="0" applyBorder="0" applyAlignment="0" applyProtection="0"/>
    <xf numFmtId="238" fontId="73" fillId="45" borderId="0" applyNumberFormat="0" applyBorder="0" applyAlignment="0" applyProtection="0"/>
    <xf numFmtId="238" fontId="73" fillId="45" borderId="0" applyNumberFormat="0" applyBorder="0" applyAlignment="0" applyProtection="0"/>
    <xf numFmtId="238" fontId="73" fillId="45" borderId="0" applyNumberFormat="0" applyBorder="0" applyAlignment="0" applyProtection="0"/>
    <xf numFmtId="238" fontId="73" fillId="45" borderId="0" applyNumberFormat="0" applyBorder="0" applyAlignment="0" applyProtection="0"/>
    <xf numFmtId="0" fontId="195" fillId="12" borderId="0" applyNumberFormat="0" applyBorder="0" applyAlignment="0" applyProtection="0"/>
    <xf numFmtId="0" fontId="195" fillId="12" borderId="0" applyNumberFormat="0" applyBorder="0" applyAlignment="0" applyProtection="0"/>
    <xf numFmtId="0" fontId="195" fillId="12" borderId="0" applyNumberFormat="0" applyBorder="0" applyAlignment="0" applyProtection="0"/>
    <xf numFmtId="0" fontId="195" fillId="12" borderId="0" applyNumberFormat="0" applyBorder="0" applyAlignment="0" applyProtection="0"/>
    <xf numFmtId="0" fontId="195" fillId="12" borderId="0" applyNumberFormat="0" applyBorder="0" applyAlignment="0" applyProtection="0"/>
    <xf numFmtId="0" fontId="195" fillId="12" borderId="0" applyNumberFormat="0" applyBorder="0" applyAlignment="0" applyProtection="0"/>
    <xf numFmtId="0" fontId="195" fillId="12" borderId="0" applyNumberFormat="0" applyBorder="0" applyAlignment="0" applyProtection="0"/>
    <xf numFmtId="0" fontId="195" fillId="12" borderId="0" applyNumberFormat="0" applyBorder="0" applyAlignment="0" applyProtection="0"/>
    <xf numFmtId="0" fontId="195" fillId="12" borderId="0" applyNumberFormat="0" applyBorder="0" applyAlignment="0" applyProtection="0"/>
    <xf numFmtId="0" fontId="195" fillId="12" borderId="0" applyNumberFormat="0" applyBorder="0" applyAlignment="0" applyProtection="0"/>
    <xf numFmtId="0" fontId="195" fillId="12" borderId="0" applyNumberFormat="0" applyBorder="0" applyAlignment="0" applyProtection="0"/>
    <xf numFmtId="0" fontId="195" fillId="12" borderId="0" applyNumberFormat="0" applyBorder="0" applyAlignment="0" applyProtection="0"/>
    <xf numFmtId="0" fontId="195" fillId="12" borderId="0" applyNumberFormat="0" applyBorder="0" applyAlignment="0" applyProtection="0"/>
    <xf numFmtId="0" fontId="195" fillId="12" borderId="0" applyNumberFormat="0" applyBorder="0" applyAlignment="0" applyProtection="0"/>
    <xf numFmtId="0" fontId="195" fillId="12" borderId="0" applyNumberFormat="0" applyBorder="0" applyAlignment="0" applyProtection="0"/>
    <xf numFmtId="0" fontId="195" fillId="12" borderId="0" applyNumberFormat="0" applyBorder="0" applyAlignment="0" applyProtection="0"/>
    <xf numFmtId="0" fontId="195" fillId="12" borderId="0" applyNumberFormat="0" applyBorder="0" applyAlignment="0" applyProtection="0"/>
    <xf numFmtId="0" fontId="195" fillId="12" borderId="0" applyNumberFormat="0" applyBorder="0" applyAlignment="0" applyProtection="0"/>
    <xf numFmtId="0" fontId="195" fillId="12" borderId="0" applyNumberFormat="0" applyBorder="0" applyAlignment="0" applyProtection="0"/>
    <xf numFmtId="0" fontId="195" fillId="12" borderId="0" applyNumberFormat="0" applyBorder="0" applyAlignment="0" applyProtection="0"/>
    <xf numFmtId="0" fontId="195" fillId="12" borderId="0" applyNumberFormat="0" applyBorder="0" applyAlignment="0" applyProtection="0"/>
    <xf numFmtId="0" fontId="195" fillId="12" borderId="0" applyNumberFormat="0" applyBorder="0" applyAlignment="0" applyProtection="0"/>
    <xf numFmtId="0" fontId="195" fillId="12" borderId="0" applyNumberFormat="0" applyBorder="0" applyAlignment="0" applyProtection="0"/>
    <xf numFmtId="0" fontId="195" fillId="12" borderId="0" applyNumberFormat="0" applyBorder="0" applyAlignment="0" applyProtection="0"/>
    <xf numFmtId="0" fontId="195" fillId="12" borderId="0" applyNumberFormat="0" applyBorder="0" applyAlignment="0" applyProtection="0"/>
    <xf numFmtId="0" fontId="195" fillId="12" borderId="0" applyNumberFormat="0" applyBorder="0" applyAlignment="0" applyProtection="0"/>
    <xf numFmtId="0" fontId="195" fillId="12" borderId="0" applyNumberFormat="0" applyBorder="0" applyAlignment="0" applyProtection="0"/>
    <xf numFmtId="0" fontId="195" fillId="12" borderId="0" applyNumberFormat="0" applyBorder="0" applyAlignment="0" applyProtection="0"/>
    <xf numFmtId="0" fontId="195" fillId="12" borderId="0" applyNumberFormat="0" applyBorder="0" applyAlignment="0" applyProtection="0"/>
    <xf numFmtId="0" fontId="195" fillId="12" borderId="0" applyNumberFormat="0" applyBorder="0" applyAlignment="0" applyProtection="0"/>
    <xf numFmtId="0" fontId="195" fillId="12" borderId="0" applyNumberFormat="0" applyBorder="0" applyAlignment="0" applyProtection="0"/>
    <xf numFmtId="0" fontId="195" fillId="12" borderId="0" applyNumberFormat="0" applyBorder="0" applyAlignment="0" applyProtection="0"/>
    <xf numFmtId="0" fontId="195" fillId="12" borderId="0" applyNumberFormat="0" applyBorder="0" applyAlignment="0" applyProtection="0"/>
    <xf numFmtId="0" fontId="195" fillId="12" borderId="0" applyNumberFormat="0" applyBorder="0" applyAlignment="0" applyProtection="0"/>
    <xf numFmtId="0" fontId="195" fillId="12" borderId="0" applyNumberFormat="0" applyBorder="0" applyAlignment="0" applyProtection="0"/>
    <xf numFmtId="0" fontId="195" fillId="12" borderId="0" applyNumberFormat="0" applyBorder="0" applyAlignment="0" applyProtection="0"/>
    <xf numFmtId="0" fontId="195" fillId="12" borderId="0" applyNumberFormat="0" applyBorder="0" applyAlignment="0" applyProtection="0"/>
    <xf numFmtId="0" fontId="195" fillId="12" borderId="0" applyNumberFormat="0" applyBorder="0" applyAlignment="0" applyProtection="0"/>
    <xf numFmtId="0" fontId="195" fillId="12" borderId="0" applyNumberFormat="0" applyBorder="0" applyAlignment="0" applyProtection="0"/>
    <xf numFmtId="0" fontId="195" fillId="12" borderId="0" applyNumberFormat="0" applyBorder="0" applyAlignment="0" applyProtection="0"/>
    <xf numFmtId="0" fontId="195" fillId="12" borderId="0" applyNumberFormat="0" applyBorder="0" applyAlignment="0" applyProtection="0"/>
    <xf numFmtId="0" fontId="73" fillId="45" borderId="0" applyNumberFormat="0" applyBorder="0" applyAlignment="0" applyProtection="0"/>
    <xf numFmtId="238" fontId="73" fillId="45" borderId="0" applyNumberFormat="0" applyBorder="0" applyAlignment="0" applyProtection="0"/>
    <xf numFmtId="238" fontId="73" fillId="45" borderId="0" applyNumberFormat="0" applyBorder="0" applyAlignment="0" applyProtection="0"/>
    <xf numFmtId="238" fontId="73" fillId="45" borderId="0" applyNumberFormat="0" applyBorder="0" applyAlignment="0" applyProtection="0"/>
    <xf numFmtId="238" fontId="73" fillId="45" borderId="0" applyNumberFormat="0" applyBorder="0" applyAlignment="0" applyProtection="0"/>
    <xf numFmtId="238" fontId="73" fillId="45" borderId="0" applyNumberFormat="0" applyBorder="0" applyAlignment="0" applyProtection="0"/>
    <xf numFmtId="238" fontId="73" fillId="45" borderId="0" applyNumberFormat="0" applyBorder="0" applyAlignment="0" applyProtection="0"/>
    <xf numFmtId="238" fontId="73" fillId="45" borderId="0" applyNumberFormat="0" applyBorder="0" applyAlignment="0" applyProtection="0"/>
    <xf numFmtId="238" fontId="73" fillId="45" borderId="0" applyNumberFormat="0" applyBorder="0" applyAlignment="0" applyProtection="0"/>
    <xf numFmtId="238" fontId="73" fillId="45" borderId="0" applyNumberFormat="0" applyBorder="0" applyAlignment="0" applyProtection="0"/>
    <xf numFmtId="238" fontId="73" fillId="45" borderId="0" applyNumberFormat="0" applyBorder="0" applyAlignment="0" applyProtection="0"/>
    <xf numFmtId="238" fontId="73" fillId="45" borderId="0" applyNumberFormat="0" applyBorder="0" applyAlignment="0" applyProtection="0"/>
    <xf numFmtId="238" fontId="73" fillId="45" borderId="0" applyNumberFormat="0" applyBorder="0" applyAlignment="0" applyProtection="0"/>
    <xf numFmtId="238" fontId="73" fillId="45" borderId="0" applyNumberFormat="0" applyBorder="0" applyAlignment="0" applyProtection="0"/>
    <xf numFmtId="238" fontId="73" fillId="45" borderId="0" applyNumberFormat="0" applyBorder="0" applyAlignment="0" applyProtection="0"/>
    <xf numFmtId="238" fontId="73" fillId="45" borderId="0" applyNumberFormat="0" applyBorder="0" applyAlignment="0" applyProtection="0"/>
    <xf numFmtId="238" fontId="73" fillId="45" borderId="0" applyNumberFormat="0" applyBorder="0" applyAlignment="0" applyProtection="0"/>
    <xf numFmtId="238" fontId="73" fillId="45" borderId="0" applyNumberFormat="0" applyBorder="0" applyAlignment="0" applyProtection="0"/>
    <xf numFmtId="238" fontId="73" fillId="45" borderId="0" applyNumberFormat="0" applyBorder="0" applyAlignment="0" applyProtection="0"/>
    <xf numFmtId="238" fontId="73" fillId="45" borderId="0" applyNumberFormat="0" applyBorder="0" applyAlignment="0" applyProtection="0"/>
    <xf numFmtId="238" fontId="73" fillId="45" borderId="0" applyNumberFormat="0" applyBorder="0" applyAlignment="0" applyProtection="0"/>
    <xf numFmtId="238" fontId="73" fillId="45" borderId="0" applyNumberFormat="0" applyBorder="0" applyAlignment="0" applyProtection="0"/>
    <xf numFmtId="238" fontId="73" fillId="45" borderId="0" applyNumberFormat="0" applyBorder="0" applyAlignment="0" applyProtection="0"/>
    <xf numFmtId="238" fontId="73" fillId="45" borderId="0" applyNumberFormat="0" applyBorder="0" applyAlignment="0" applyProtection="0"/>
    <xf numFmtId="238" fontId="73" fillId="45" borderId="0" applyNumberFormat="0" applyBorder="0" applyAlignment="0" applyProtection="0"/>
    <xf numFmtId="238" fontId="73" fillId="45" borderId="0" applyNumberFormat="0" applyBorder="0" applyAlignment="0" applyProtection="0"/>
    <xf numFmtId="238" fontId="73" fillId="45" borderId="0" applyNumberFormat="0" applyBorder="0" applyAlignment="0" applyProtection="0"/>
    <xf numFmtId="238" fontId="73" fillId="45" borderId="0" applyNumberFormat="0" applyBorder="0" applyAlignment="0" applyProtection="0"/>
    <xf numFmtId="238" fontId="73" fillId="45" borderId="0" applyNumberFormat="0" applyBorder="0" applyAlignment="0" applyProtection="0"/>
    <xf numFmtId="238" fontId="73" fillId="45" borderId="0" applyNumberFormat="0" applyBorder="0" applyAlignment="0" applyProtection="0"/>
    <xf numFmtId="238" fontId="73" fillId="45" borderId="0" applyNumberFormat="0" applyBorder="0" applyAlignment="0" applyProtection="0"/>
    <xf numFmtId="238" fontId="73" fillId="45" borderId="0" applyNumberFormat="0" applyBorder="0" applyAlignment="0" applyProtection="0"/>
    <xf numFmtId="238" fontId="73" fillId="45" borderId="0" applyNumberFormat="0" applyBorder="0" applyAlignment="0" applyProtection="0"/>
    <xf numFmtId="238" fontId="73" fillId="45" borderId="0" applyNumberFormat="0" applyBorder="0" applyAlignment="0" applyProtection="0"/>
    <xf numFmtId="238" fontId="73" fillId="45" borderId="0" applyNumberFormat="0" applyBorder="0" applyAlignment="0" applyProtection="0"/>
    <xf numFmtId="238" fontId="73" fillId="45" borderId="0" applyNumberFormat="0" applyBorder="0" applyAlignment="0" applyProtection="0"/>
    <xf numFmtId="238" fontId="73" fillId="45" borderId="0" applyNumberFormat="0" applyBorder="0" applyAlignment="0" applyProtection="0"/>
    <xf numFmtId="238" fontId="73" fillId="45" borderId="0" applyNumberFormat="0" applyBorder="0" applyAlignment="0" applyProtection="0"/>
    <xf numFmtId="238" fontId="73" fillId="45" borderId="0" applyNumberFormat="0" applyBorder="0" applyAlignment="0" applyProtection="0"/>
    <xf numFmtId="238" fontId="73" fillId="45" borderId="0" applyNumberFormat="0" applyBorder="0" applyAlignment="0" applyProtection="0"/>
    <xf numFmtId="238" fontId="73" fillId="45" borderId="0" applyNumberFormat="0" applyBorder="0" applyAlignment="0" applyProtection="0"/>
    <xf numFmtId="238" fontId="73" fillId="45" borderId="0" applyNumberFormat="0" applyBorder="0" applyAlignment="0" applyProtection="0"/>
    <xf numFmtId="238" fontId="73" fillId="45" borderId="0" applyNumberFormat="0" applyBorder="0" applyAlignment="0" applyProtection="0"/>
    <xf numFmtId="238" fontId="73" fillId="45" borderId="0" applyNumberFormat="0" applyBorder="0" applyAlignment="0" applyProtection="0"/>
    <xf numFmtId="238" fontId="73" fillId="42" borderId="0" applyNumberFormat="0" applyBorder="0" applyAlignment="0" applyProtection="0"/>
    <xf numFmtId="238" fontId="73" fillId="42" borderId="0" applyNumberFormat="0" applyBorder="0" applyAlignment="0" applyProtection="0"/>
    <xf numFmtId="238" fontId="73" fillId="42" borderId="0" applyNumberFormat="0" applyBorder="0" applyAlignment="0" applyProtection="0"/>
    <xf numFmtId="238" fontId="73" fillId="42" borderId="0" applyNumberFormat="0" applyBorder="0" applyAlignment="0" applyProtection="0"/>
    <xf numFmtId="238" fontId="73" fillId="42" borderId="0" applyNumberFormat="0" applyBorder="0" applyAlignment="0" applyProtection="0"/>
    <xf numFmtId="238" fontId="73" fillId="42" borderId="0" applyNumberFormat="0" applyBorder="0" applyAlignment="0" applyProtection="0"/>
    <xf numFmtId="238" fontId="73" fillId="42" borderId="0" applyNumberFormat="0" applyBorder="0" applyAlignment="0" applyProtection="0"/>
    <xf numFmtId="238" fontId="73" fillId="42" borderId="0" applyNumberFormat="0" applyBorder="0" applyAlignment="0" applyProtection="0"/>
    <xf numFmtId="238" fontId="73" fillId="42" borderId="0" applyNumberFormat="0" applyBorder="0" applyAlignment="0" applyProtection="0"/>
    <xf numFmtId="238" fontId="73" fillId="42" borderId="0" applyNumberFormat="0" applyBorder="0" applyAlignment="0" applyProtection="0"/>
    <xf numFmtId="0" fontId="195" fillId="16" borderId="0" applyNumberFormat="0" applyBorder="0" applyAlignment="0" applyProtection="0"/>
    <xf numFmtId="0" fontId="195" fillId="16" borderId="0" applyNumberFormat="0" applyBorder="0" applyAlignment="0" applyProtection="0"/>
    <xf numFmtId="0" fontId="195" fillId="16" borderId="0" applyNumberFormat="0" applyBorder="0" applyAlignment="0" applyProtection="0"/>
    <xf numFmtId="0" fontId="195" fillId="16" borderId="0" applyNumberFormat="0" applyBorder="0" applyAlignment="0" applyProtection="0"/>
    <xf numFmtId="0" fontId="195" fillId="16" borderId="0" applyNumberFormat="0" applyBorder="0" applyAlignment="0" applyProtection="0"/>
    <xf numFmtId="0" fontId="195" fillId="16" borderId="0" applyNumberFormat="0" applyBorder="0" applyAlignment="0" applyProtection="0"/>
    <xf numFmtId="0" fontId="195" fillId="16" borderId="0" applyNumberFormat="0" applyBorder="0" applyAlignment="0" applyProtection="0"/>
    <xf numFmtId="0" fontId="195" fillId="16" borderId="0" applyNumberFormat="0" applyBorder="0" applyAlignment="0" applyProtection="0"/>
    <xf numFmtId="0" fontId="195" fillId="16" borderId="0" applyNumberFormat="0" applyBorder="0" applyAlignment="0" applyProtection="0"/>
    <xf numFmtId="0" fontId="195" fillId="16" borderId="0" applyNumberFormat="0" applyBorder="0" applyAlignment="0" applyProtection="0"/>
    <xf numFmtId="0" fontId="195" fillId="16" borderId="0" applyNumberFormat="0" applyBorder="0" applyAlignment="0" applyProtection="0"/>
    <xf numFmtId="0" fontId="195" fillId="16" borderId="0" applyNumberFormat="0" applyBorder="0" applyAlignment="0" applyProtection="0"/>
    <xf numFmtId="0" fontId="195" fillId="16" borderId="0" applyNumberFormat="0" applyBorder="0" applyAlignment="0" applyProtection="0"/>
    <xf numFmtId="0" fontId="195" fillId="16" borderId="0" applyNumberFormat="0" applyBorder="0" applyAlignment="0" applyProtection="0"/>
    <xf numFmtId="0" fontId="195" fillId="16" borderId="0" applyNumberFormat="0" applyBorder="0" applyAlignment="0" applyProtection="0"/>
    <xf numFmtId="0" fontId="195" fillId="16" borderId="0" applyNumberFormat="0" applyBorder="0" applyAlignment="0" applyProtection="0"/>
    <xf numFmtId="0" fontId="195" fillId="16" borderId="0" applyNumberFormat="0" applyBorder="0" applyAlignment="0" applyProtection="0"/>
    <xf numFmtId="0" fontId="195" fillId="16" borderId="0" applyNumberFormat="0" applyBorder="0" applyAlignment="0" applyProtection="0"/>
    <xf numFmtId="0" fontId="195" fillId="16" borderId="0" applyNumberFormat="0" applyBorder="0" applyAlignment="0" applyProtection="0"/>
    <xf numFmtId="0" fontId="195" fillId="16" borderId="0" applyNumberFormat="0" applyBorder="0" applyAlignment="0" applyProtection="0"/>
    <xf numFmtId="0" fontId="195" fillId="16" borderId="0" applyNumberFormat="0" applyBorder="0" applyAlignment="0" applyProtection="0"/>
    <xf numFmtId="0" fontId="195" fillId="16" borderId="0" applyNumberFormat="0" applyBorder="0" applyAlignment="0" applyProtection="0"/>
    <xf numFmtId="0" fontId="195" fillId="16" borderId="0" applyNumberFormat="0" applyBorder="0" applyAlignment="0" applyProtection="0"/>
    <xf numFmtId="0" fontId="195" fillId="16" borderId="0" applyNumberFormat="0" applyBorder="0" applyAlignment="0" applyProtection="0"/>
    <xf numFmtId="0" fontId="195" fillId="16" borderId="0" applyNumberFormat="0" applyBorder="0" applyAlignment="0" applyProtection="0"/>
    <xf numFmtId="0" fontId="195" fillId="16" borderId="0" applyNumberFormat="0" applyBorder="0" applyAlignment="0" applyProtection="0"/>
    <xf numFmtId="0" fontId="195" fillId="16" borderId="0" applyNumberFormat="0" applyBorder="0" applyAlignment="0" applyProtection="0"/>
    <xf numFmtId="0" fontId="195" fillId="16" borderId="0" applyNumberFormat="0" applyBorder="0" applyAlignment="0" applyProtection="0"/>
    <xf numFmtId="0" fontId="195" fillId="16" borderId="0" applyNumberFormat="0" applyBorder="0" applyAlignment="0" applyProtection="0"/>
    <xf numFmtId="0" fontId="195" fillId="16" borderId="0" applyNumberFormat="0" applyBorder="0" applyAlignment="0" applyProtection="0"/>
    <xf numFmtId="0" fontId="195" fillId="16" borderId="0" applyNumberFormat="0" applyBorder="0" applyAlignment="0" applyProtection="0"/>
    <xf numFmtId="0" fontId="195" fillId="16" borderId="0" applyNumberFormat="0" applyBorder="0" applyAlignment="0" applyProtection="0"/>
    <xf numFmtId="0" fontId="195" fillId="16" borderId="0" applyNumberFormat="0" applyBorder="0" applyAlignment="0" applyProtection="0"/>
    <xf numFmtId="0" fontId="195" fillId="16" borderId="0" applyNumberFormat="0" applyBorder="0" applyAlignment="0" applyProtection="0"/>
    <xf numFmtId="0" fontId="195" fillId="16" borderId="0" applyNumberFormat="0" applyBorder="0" applyAlignment="0" applyProtection="0"/>
    <xf numFmtId="0" fontId="195" fillId="16" borderId="0" applyNumberFormat="0" applyBorder="0" applyAlignment="0" applyProtection="0"/>
    <xf numFmtId="0" fontId="195" fillId="16" borderId="0" applyNumberFormat="0" applyBorder="0" applyAlignment="0" applyProtection="0"/>
    <xf numFmtId="0" fontId="195" fillId="16" borderId="0" applyNumberFormat="0" applyBorder="0" applyAlignment="0" applyProtection="0"/>
    <xf numFmtId="0" fontId="195" fillId="16" borderId="0" applyNumberFormat="0" applyBorder="0" applyAlignment="0" applyProtection="0"/>
    <xf numFmtId="0" fontId="195" fillId="16" borderId="0" applyNumberFormat="0" applyBorder="0" applyAlignment="0" applyProtection="0"/>
    <xf numFmtId="0" fontId="195" fillId="16" borderId="0" applyNumberFormat="0" applyBorder="0" applyAlignment="0" applyProtection="0"/>
    <xf numFmtId="0" fontId="73" fillId="42" borderId="0" applyNumberFormat="0" applyBorder="0" applyAlignment="0" applyProtection="0"/>
    <xf numFmtId="238" fontId="73" fillId="42" borderId="0" applyNumberFormat="0" applyBorder="0" applyAlignment="0" applyProtection="0"/>
    <xf numFmtId="238" fontId="73" fillId="42" borderId="0" applyNumberFormat="0" applyBorder="0" applyAlignment="0" applyProtection="0"/>
    <xf numFmtId="238" fontId="73" fillId="42" borderId="0" applyNumberFormat="0" applyBorder="0" applyAlignment="0" applyProtection="0"/>
    <xf numFmtId="238" fontId="73" fillId="42" borderId="0" applyNumberFormat="0" applyBorder="0" applyAlignment="0" applyProtection="0"/>
    <xf numFmtId="238" fontId="73" fillId="42" borderId="0" applyNumberFormat="0" applyBorder="0" applyAlignment="0" applyProtection="0"/>
    <xf numFmtId="238" fontId="73" fillId="42" borderId="0" applyNumberFormat="0" applyBorder="0" applyAlignment="0" applyProtection="0"/>
    <xf numFmtId="238" fontId="73" fillId="42" borderId="0" applyNumberFormat="0" applyBorder="0" applyAlignment="0" applyProtection="0"/>
    <xf numFmtId="238" fontId="73" fillId="42" borderId="0" applyNumberFormat="0" applyBorder="0" applyAlignment="0" applyProtection="0"/>
    <xf numFmtId="238" fontId="73" fillId="42" borderId="0" applyNumberFormat="0" applyBorder="0" applyAlignment="0" applyProtection="0"/>
    <xf numFmtId="238" fontId="73" fillId="42" borderId="0" applyNumberFormat="0" applyBorder="0" applyAlignment="0" applyProtection="0"/>
    <xf numFmtId="238" fontId="73" fillId="42" borderId="0" applyNumberFormat="0" applyBorder="0" applyAlignment="0" applyProtection="0"/>
    <xf numFmtId="238" fontId="73" fillId="42" borderId="0" applyNumberFormat="0" applyBorder="0" applyAlignment="0" applyProtection="0"/>
    <xf numFmtId="238" fontId="73" fillId="42" borderId="0" applyNumberFormat="0" applyBorder="0" applyAlignment="0" applyProtection="0"/>
    <xf numFmtId="238" fontId="73" fillId="42" borderId="0" applyNumberFormat="0" applyBorder="0" applyAlignment="0" applyProtection="0"/>
    <xf numFmtId="238" fontId="73" fillId="42" borderId="0" applyNumberFormat="0" applyBorder="0" applyAlignment="0" applyProtection="0"/>
    <xf numFmtId="238" fontId="73" fillId="42" borderId="0" applyNumberFormat="0" applyBorder="0" applyAlignment="0" applyProtection="0"/>
    <xf numFmtId="238" fontId="73" fillId="42" borderId="0" applyNumberFormat="0" applyBorder="0" applyAlignment="0" applyProtection="0"/>
    <xf numFmtId="238" fontId="73" fillId="42" borderId="0" applyNumberFormat="0" applyBorder="0" applyAlignment="0" applyProtection="0"/>
    <xf numFmtId="238" fontId="73" fillId="42" borderId="0" applyNumberFormat="0" applyBorder="0" applyAlignment="0" applyProtection="0"/>
    <xf numFmtId="238" fontId="73" fillId="42" borderId="0" applyNumberFormat="0" applyBorder="0" applyAlignment="0" applyProtection="0"/>
    <xf numFmtId="238" fontId="73" fillId="42" borderId="0" applyNumberFormat="0" applyBorder="0" applyAlignment="0" applyProtection="0"/>
    <xf numFmtId="238" fontId="73" fillId="42" borderId="0" applyNumberFormat="0" applyBorder="0" applyAlignment="0" applyProtection="0"/>
    <xf numFmtId="238" fontId="73" fillId="42" borderId="0" applyNumberFormat="0" applyBorder="0" applyAlignment="0" applyProtection="0"/>
    <xf numFmtId="238" fontId="73" fillId="42" borderId="0" applyNumberFormat="0" applyBorder="0" applyAlignment="0" applyProtection="0"/>
    <xf numFmtId="238" fontId="73" fillId="42" borderId="0" applyNumberFormat="0" applyBorder="0" applyAlignment="0" applyProtection="0"/>
    <xf numFmtId="238" fontId="73" fillId="42" borderId="0" applyNumberFormat="0" applyBorder="0" applyAlignment="0" applyProtection="0"/>
    <xf numFmtId="238" fontId="73" fillId="42" borderId="0" applyNumberFormat="0" applyBorder="0" applyAlignment="0" applyProtection="0"/>
    <xf numFmtId="238" fontId="73" fillId="42" borderId="0" applyNumberFormat="0" applyBorder="0" applyAlignment="0" applyProtection="0"/>
    <xf numFmtId="238" fontId="73" fillId="42" borderId="0" applyNumberFormat="0" applyBorder="0" applyAlignment="0" applyProtection="0"/>
    <xf numFmtId="238" fontId="73" fillId="42" borderId="0" applyNumberFormat="0" applyBorder="0" applyAlignment="0" applyProtection="0"/>
    <xf numFmtId="238" fontId="73" fillId="42" borderId="0" applyNumberFormat="0" applyBorder="0" applyAlignment="0" applyProtection="0"/>
    <xf numFmtId="238" fontId="73" fillId="42" borderId="0" applyNumberFormat="0" applyBorder="0" applyAlignment="0" applyProtection="0"/>
    <xf numFmtId="238" fontId="73" fillId="42" borderId="0" applyNumberFormat="0" applyBorder="0" applyAlignment="0" applyProtection="0"/>
    <xf numFmtId="238" fontId="73" fillId="42" borderId="0" applyNumberFormat="0" applyBorder="0" applyAlignment="0" applyProtection="0"/>
    <xf numFmtId="238" fontId="73" fillId="42" borderId="0" applyNumberFormat="0" applyBorder="0" applyAlignment="0" applyProtection="0"/>
    <xf numFmtId="238" fontId="73" fillId="42" borderId="0" applyNumberFormat="0" applyBorder="0" applyAlignment="0" applyProtection="0"/>
    <xf numFmtId="238" fontId="73" fillId="42" borderId="0" applyNumberFormat="0" applyBorder="0" applyAlignment="0" applyProtection="0"/>
    <xf numFmtId="238" fontId="73" fillId="42" borderId="0" applyNumberFormat="0" applyBorder="0" applyAlignment="0" applyProtection="0"/>
    <xf numFmtId="238" fontId="73" fillId="42" borderId="0" applyNumberFormat="0" applyBorder="0" applyAlignment="0" applyProtection="0"/>
    <xf numFmtId="238" fontId="73" fillId="42" borderId="0" applyNumberFormat="0" applyBorder="0" applyAlignment="0" applyProtection="0"/>
    <xf numFmtId="238" fontId="73" fillId="42" borderId="0" applyNumberFormat="0" applyBorder="0" applyAlignment="0" applyProtection="0"/>
    <xf numFmtId="238" fontId="73" fillId="42" borderId="0" applyNumberFormat="0" applyBorder="0" applyAlignment="0" applyProtection="0"/>
    <xf numFmtId="238" fontId="73" fillId="42" borderId="0" applyNumberFormat="0" applyBorder="0" applyAlignment="0" applyProtection="0"/>
    <xf numFmtId="238" fontId="73" fillId="43" borderId="0" applyNumberFormat="0" applyBorder="0" applyAlignment="0" applyProtection="0"/>
    <xf numFmtId="238" fontId="73" fillId="43" borderId="0" applyNumberFormat="0" applyBorder="0" applyAlignment="0" applyProtection="0"/>
    <xf numFmtId="238" fontId="73" fillId="43" borderId="0" applyNumberFormat="0" applyBorder="0" applyAlignment="0" applyProtection="0"/>
    <xf numFmtId="238" fontId="73" fillId="43" borderId="0" applyNumberFormat="0" applyBorder="0" applyAlignment="0" applyProtection="0"/>
    <xf numFmtId="238" fontId="73" fillId="43" borderId="0" applyNumberFormat="0" applyBorder="0" applyAlignment="0" applyProtection="0"/>
    <xf numFmtId="238" fontId="73" fillId="43" borderId="0" applyNumberFormat="0" applyBorder="0" applyAlignment="0" applyProtection="0"/>
    <xf numFmtId="238" fontId="73" fillId="43" borderId="0" applyNumberFormat="0" applyBorder="0" applyAlignment="0" applyProtection="0"/>
    <xf numFmtId="238" fontId="73" fillId="43" borderId="0" applyNumberFormat="0" applyBorder="0" applyAlignment="0" applyProtection="0"/>
    <xf numFmtId="238" fontId="73" fillId="43" borderId="0" applyNumberFormat="0" applyBorder="0" applyAlignment="0" applyProtection="0"/>
    <xf numFmtId="238" fontId="73" fillId="43" borderId="0" applyNumberFormat="0" applyBorder="0" applyAlignment="0" applyProtection="0"/>
    <xf numFmtId="0" fontId="195" fillId="20" borderId="0" applyNumberFormat="0" applyBorder="0" applyAlignment="0" applyProtection="0"/>
    <xf numFmtId="0" fontId="195" fillId="20" borderId="0" applyNumberFormat="0" applyBorder="0" applyAlignment="0" applyProtection="0"/>
    <xf numFmtId="0" fontId="195" fillId="20" borderId="0" applyNumberFormat="0" applyBorder="0" applyAlignment="0" applyProtection="0"/>
    <xf numFmtId="0" fontId="195" fillId="20" borderId="0" applyNumberFormat="0" applyBorder="0" applyAlignment="0" applyProtection="0"/>
    <xf numFmtId="0" fontId="195" fillId="20" borderId="0" applyNumberFormat="0" applyBorder="0" applyAlignment="0" applyProtection="0"/>
    <xf numFmtId="0" fontId="195" fillId="20" borderId="0" applyNumberFormat="0" applyBorder="0" applyAlignment="0" applyProtection="0"/>
    <xf numFmtId="0" fontId="195" fillId="20" borderId="0" applyNumberFormat="0" applyBorder="0" applyAlignment="0" applyProtection="0"/>
    <xf numFmtId="0" fontId="195" fillId="20" borderId="0" applyNumberFormat="0" applyBorder="0" applyAlignment="0" applyProtection="0"/>
    <xf numFmtId="0" fontId="195" fillId="20" borderId="0" applyNumberFormat="0" applyBorder="0" applyAlignment="0" applyProtection="0"/>
    <xf numFmtId="0" fontId="195" fillId="20" borderId="0" applyNumberFormat="0" applyBorder="0" applyAlignment="0" applyProtection="0"/>
    <xf numFmtId="0" fontId="195" fillId="20" borderId="0" applyNumberFormat="0" applyBorder="0" applyAlignment="0" applyProtection="0"/>
    <xf numFmtId="0" fontId="195" fillId="20" borderId="0" applyNumberFormat="0" applyBorder="0" applyAlignment="0" applyProtection="0"/>
    <xf numFmtId="0" fontId="195" fillId="20" borderId="0" applyNumberFormat="0" applyBorder="0" applyAlignment="0" applyProtection="0"/>
    <xf numFmtId="0" fontId="195" fillId="20" borderId="0" applyNumberFormat="0" applyBorder="0" applyAlignment="0" applyProtection="0"/>
    <xf numFmtId="0" fontId="195" fillId="20" borderId="0" applyNumberFormat="0" applyBorder="0" applyAlignment="0" applyProtection="0"/>
    <xf numFmtId="0" fontId="195" fillId="20" borderId="0" applyNumberFormat="0" applyBorder="0" applyAlignment="0" applyProtection="0"/>
    <xf numFmtId="0" fontId="195" fillId="20" borderId="0" applyNumberFormat="0" applyBorder="0" applyAlignment="0" applyProtection="0"/>
    <xf numFmtId="0" fontId="195" fillId="20" borderId="0" applyNumberFormat="0" applyBorder="0" applyAlignment="0" applyProtection="0"/>
    <xf numFmtId="0" fontId="195" fillId="20" borderId="0" applyNumberFormat="0" applyBorder="0" applyAlignment="0" applyProtection="0"/>
    <xf numFmtId="0" fontId="195" fillId="20" borderId="0" applyNumberFormat="0" applyBorder="0" applyAlignment="0" applyProtection="0"/>
    <xf numFmtId="0" fontId="195" fillId="20" borderId="0" applyNumberFormat="0" applyBorder="0" applyAlignment="0" applyProtection="0"/>
    <xf numFmtId="0" fontId="195" fillId="20" borderId="0" applyNumberFormat="0" applyBorder="0" applyAlignment="0" applyProtection="0"/>
    <xf numFmtId="0" fontId="195" fillId="20" borderId="0" applyNumberFormat="0" applyBorder="0" applyAlignment="0" applyProtection="0"/>
    <xf numFmtId="0" fontId="195" fillId="20" borderId="0" applyNumberFormat="0" applyBorder="0" applyAlignment="0" applyProtection="0"/>
    <xf numFmtId="0" fontId="195" fillId="20" borderId="0" applyNumberFormat="0" applyBorder="0" applyAlignment="0" applyProtection="0"/>
    <xf numFmtId="0" fontId="195" fillId="20" borderId="0" applyNumberFormat="0" applyBorder="0" applyAlignment="0" applyProtection="0"/>
    <xf numFmtId="0" fontId="195" fillId="20" borderId="0" applyNumberFormat="0" applyBorder="0" applyAlignment="0" applyProtection="0"/>
    <xf numFmtId="0" fontId="195" fillId="20" borderId="0" applyNumberFormat="0" applyBorder="0" applyAlignment="0" applyProtection="0"/>
    <xf numFmtId="0" fontId="195" fillId="20" borderId="0" applyNumberFormat="0" applyBorder="0" applyAlignment="0" applyProtection="0"/>
    <xf numFmtId="0" fontId="195" fillId="20" borderId="0" applyNumberFormat="0" applyBorder="0" applyAlignment="0" applyProtection="0"/>
    <xf numFmtId="0" fontId="195" fillId="20" borderId="0" applyNumberFormat="0" applyBorder="0" applyAlignment="0" applyProtection="0"/>
    <xf numFmtId="0" fontId="195" fillId="20" borderId="0" applyNumberFormat="0" applyBorder="0" applyAlignment="0" applyProtection="0"/>
    <xf numFmtId="0" fontId="195" fillId="20" borderId="0" applyNumberFormat="0" applyBorder="0" applyAlignment="0" applyProtection="0"/>
    <xf numFmtId="0" fontId="195" fillId="20" borderId="0" applyNumberFormat="0" applyBorder="0" applyAlignment="0" applyProtection="0"/>
    <xf numFmtId="0" fontId="195" fillId="20" borderId="0" applyNumberFormat="0" applyBorder="0" applyAlignment="0" applyProtection="0"/>
    <xf numFmtId="0" fontId="195" fillId="20" borderId="0" applyNumberFormat="0" applyBorder="0" applyAlignment="0" applyProtection="0"/>
    <xf numFmtId="0" fontId="195" fillId="20" borderId="0" applyNumberFormat="0" applyBorder="0" applyAlignment="0" applyProtection="0"/>
    <xf numFmtId="0" fontId="195" fillId="20" borderId="0" applyNumberFormat="0" applyBorder="0" applyAlignment="0" applyProtection="0"/>
    <xf numFmtId="0" fontId="195" fillId="20" borderId="0" applyNumberFormat="0" applyBorder="0" applyAlignment="0" applyProtection="0"/>
    <xf numFmtId="0" fontId="195" fillId="20" borderId="0" applyNumberFormat="0" applyBorder="0" applyAlignment="0" applyProtection="0"/>
    <xf numFmtId="0" fontId="195" fillId="20" borderId="0" applyNumberFormat="0" applyBorder="0" applyAlignment="0" applyProtection="0"/>
    <xf numFmtId="0" fontId="73" fillId="43" borderId="0" applyNumberFormat="0" applyBorder="0" applyAlignment="0" applyProtection="0"/>
    <xf numFmtId="238" fontId="73" fillId="43" borderId="0" applyNumberFormat="0" applyBorder="0" applyAlignment="0" applyProtection="0"/>
    <xf numFmtId="238" fontId="73" fillId="43" borderId="0" applyNumberFormat="0" applyBorder="0" applyAlignment="0" applyProtection="0"/>
    <xf numFmtId="238" fontId="73" fillId="43" borderId="0" applyNumberFormat="0" applyBorder="0" applyAlignment="0" applyProtection="0"/>
    <xf numFmtId="238" fontId="73" fillId="43" borderId="0" applyNumberFormat="0" applyBorder="0" applyAlignment="0" applyProtection="0"/>
    <xf numFmtId="238" fontId="73" fillId="43" borderId="0" applyNumberFormat="0" applyBorder="0" applyAlignment="0" applyProtection="0"/>
    <xf numFmtId="238" fontId="73" fillId="43" borderId="0" applyNumberFormat="0" applyBorder="0" applyAlignment="0" applyProtection="0"/>
    <xf numFmtId="238" fontId="73" fillId="43" borderId="0" applyNumberFormat="0" applyBorder="0" applyAlignment="0" applyProtection="0"/>
    <xf numFmtId="238" fontId="73" fillId="43" borderId="0" applyNumberFormat="0" applyBorder="0" applyAlignment="0" applyProtection="0"/>
    <xf numFmtId="238" fontId="73" fillId="43" borderId="0" applyNumberFormat="0" applyBorder="0" applyAlignment="0" applyProtection="0"/>
    <xf numFmtId="238" fontId="73" fillId="43" borderId="0" applyNumberFormat="0" applyBorder="0" applyAlignment="0" applyProtection="0"/>
    <xf numFmtId="238" fontId="73" fillId="43" borderId="0" applyNumberFormat="0" applyBorder="0" applyAlignment="0" applyProtection="0"/>
    <xf numFmtId="238" fontId="73" fillId="43" borderId="0" applyNumberFormat="0" applyBorder="0" applyAlignment="0" applyProtection="0"/>
    <xf numFmtId="238" fontId="73" fillId="43" borderId="0" applyNumberFormat="0" applyBorder="0" applyAlignment="0" applyProtection="0"/>
    <xf numFmtId="238" fontId="73" fillId="43" borderId="0" applyNumberFormat="0" applyBorder="0" applyAlignment="0" applyProtection="0"/>
    <xf numFmtId="238" fontId="73" fillId="43" borderId="0" applyNumberFormat="0" applyBorder="0" applyAlignment="0" applyProtection="0"/>
    <xf numFmtId="238" fontId="73" fillId="43" borderId="0" applyNumberFormat="0" applyBorder="0" applyAlignment="0" applyProtection="0"/>
    <xf numFmtId="238" fontId="73" fillId="43" borderId="0" applyNumberFormat="0" applyBorder="0" applyAlignment="0" applyProtection="0"/>
    <xf numFmtId="238" fontId="73" fillId="43" borderId="0" applyNumberFormat="0" applyBorder="0" applyAlignment="0" applyProtection="0"/>
    <xf numFmtId="238" fontId="73" fillId="43" borderId="0" applyNumberFormat="0" applyBorder="0" applyAlignment="0" applyProtection="0"/>
    <xf numFmtId="238" fontId="73" fillId="43" borderId="0" applyNumberFormat="0" applyBorder="0" applyAlignment="0" applyProtection="0"/>
    <xf numFmtId="238" fontId="73" fillId="43" borderId="0" applyNumberFormat="0" applyBorder="0" applyAlignment="0" applyProtection="0"/>
    <xf numFmtId="238" fontId="73" fillId="43" borderId="0" applyNumberFormat="0" applyBorder="0" applyAlignment="0" applyProtection="0"/>
    <xf numFmtId="238" fontId="73" fillId="43" borderId="0" applyNumberFormat="0" applyBorder="0" applyAlignment="0" applyProtection="0"/>
    <xf numFmtId="238" fontId="73" fillId="43" borderId="0" applyNumberFormat="0" applyBorder="0" applyAlignment="0" applyProtection="0"/>
    <xf numFmtId="238" fontId="73" fillId="43" borderId="0" applyNumberFormat="0" applyBorder="0" applyAlignment="0" applyProtection="0"/>
    <xf numFmtId="238" fontId="73" fillId="43" borderId="0" applyNumberFormat="0" applyBorder="0" applyAlignment="0" applyProtection="0"/>
    <xf numFmtId="238" fontId="73" fillId="43" borderId="0" applyNumberFormat="0" applyBorder="0" applyAlignment="0" applyProtection="0"/>
    <xf numFmtId="238" fontId="73" fillId="43" borderId="0" applyNumberFormat="0" applyBorder="0" applyAlignment="0" applyProtection="0"/>
    <xf numFmtId="238" fontId="73" fillId="43" borderId="0" applyNumberFormat="0" applyBorder="0" applyAlignment="0" applyProtection="0"/>
    <xf numFmtId="238" fontId="73" fillId="43" borderId="0" applyNumberFormat="0" applyBorder="0" applyAlignment="0" applyProtection="0"/>
    <xf numFmtId="238" fontId="73" fillId="43" borderId="0" applyNumberFormat="0" applyBorder="0" applyAlignment="0" applyProtection="0"/>
    <xf numFmtId="238" fontId="73" fillId="43" borderId="0" applyNumberFormat="0" applyBorder="0" applyAlignment="0" applyProtection="0"/>
    <xf numFmtId="238" fontId="73" fillId="43" borderId="0" applyNumberFormat="0" applyBorder="0" applyAlignment="0" applyProtection="0"/>
    <xf numFmtId="238" fontId="73" fillId="43" borderId="0" applyNumberFormat="0" applyBorder="0" applyAlignment="0" applyProtection="0"/>
    <xf numFmtId="238" fontId="73" fillId="43" borderId="0" applyNumberFormat="0" applyBorder="0" applyAlignment="0" applyProtection="0"/>
    <xf numFmtId="238" fontId="73" fillId="43" borderId="0" applyNumberFormat="0" applyBorder="0" applyAlignment="0" applyProtection="0"/>
    <xf numFmtId="238" fontId="73" fillId="43" borderId="0" applyNumberFormat="0" applyBorder="0" applyAlignment="0" applyProtection="0"/>
    <xf numFmtId="238" fontId="73" fillId="43" borderId="0" applyNumberFormat="0" applyBorder="0" applyAlignment="0" applyProtection="0"/>
    <xf numFmtId="238" fontId="73" fillId="43" borderId="0" applyNumberFormat="0" applyBorder="0" applyAlignment="0" applyProtection="0"/>
    <xf numFmtId="238" fontId="73" fillId="43" borderId="0" applyNumberFormat="0" applyBorder="0" applyAlignment="0" applyProtection="0"/>
    <xf numFmtId="238" fontId="73" fillId="43" borderId="0" applyNumberFormat="0" applyBorder="0" applyAlignment="0" applyProtection="0"/>
    <xf numFmtId="238" fontId="73" fillId="43" borderId="0" applyNumberFormat="0" applyBorder="0" applyAlignment="0" applyProtection="0"/>
    <xf numFmtId="238" fontId="73" fillId="43"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0" fontId="195" fillId="24" borderId="0" applyNumberFormat="0" applyBorder="0" applyAlignment="0" applyProtection="0"/>
    <xf numFmtId="0" fontId="195" fillId="24" borderId="0" applyNumberFormat="0" applyBorder="0" applyAlignment="0" applyProtection="0"/>
    <xf numFmtId="0" fontId="195" fillId="24" borderId="0" applyNumberFormat="0" applyBorder="0" applyAlignment="0" applyProtection="0"/>
    <xf numFmtId="0" fontId="195" fillId="24" borderId="0" applyNumberFormat="0" applyBorder="0" applyAlignment="0" applyProtection="0"/>
    <xf numFmtId="0" fontId="195" fillId="24" borderId="0" applyNumberFormat="0" applyBorder="0" applyAlignment="0" applyProtection="0"/>
    <xf numFmtId="0" fontId="195" fillId="24" borderId="0" applyNumberFormat="0" applyBorder="0" applyAlignment="0" applyProtection="0"/>
    <xf numFmtId="0" fontId="195" fillId="24" borderId="0" applyNumberFormat="0" applyBorder="0" applyAlignment="0" applyProtection="0"/>
    <xf numFmtId="0" fontId="195" fillId="24" borderId="0" applyNumberFormat="0" applyBorder="0" applyAlignment="0" applyProtection="0"/>
    <xf numFmtId="0" fontId="195" fillId="24" borderId="0" applyNumberFormat="0" applyBorder="0" applyAlignment="0" applyProtection="0"/>
    <xf numFmtId="0" fontId="195" fillId="24" borderId="0" applyNumberFormat="0" applyBorder="0" applyAlignment="0" applyProtection="0"/>
    <xf numFmtId="0" fontId="195" fillId="24" borderId="0" applyNumberFormat="0" applyBorder="0" applyAlignment="0" applyProtection="0"/>
    <xf numFmtId="0" fontId="195" fillId="24" borderId="0" applyNumberFormat="0" applyBorder="0" applyAlignment="0" applyProtection="0"/>
    <xf numFmtId="0" fontId="195" fillId="24" borderId="0" applyNumberFormat="0" applyBorder="0" applyAlignment="0" applyProtection="0"/>
    <xf numFmtId="0" fontId="195" fillId="24" borderId="0" applyNumberFormat="0" applyBorder="0" applyAlignment="0" applyProtection="0"/>
    <xf numFmtId="0" fontId="195" fillId="24" borderId="0" applyNumberFormat="0" applyBorder="0" applyAlignment="0" applyProtection="0"/>
    <xf numFmtId="0" fontId="195" fillId="24" borderId="0" applyNumberFormat="0" applyBorder="0" applyAlignment="0" applyProtection="0"/>
    <xf numFmtId="0" fontId="195" fillId="24" borderId="0" applyNumberFormat="0" applyBorder="0" applyAlignment="0" applyProtection="0"/>
    <xf numFmtId="0" fontId="195" fillId="24" borderId="0" applyNumberFormat="0" applyBorder="0" applyAlignment="0" applyProtection="0"/>
    <xf numFmtId="0" fontId="195" fillId="24" borderId="0" applyNumberFormat="0" applyBorder="0" applyAlignment="0" applyProtection="0"/>
    <xf numFmtId="0" fontId="195" fillId="24" borderId="0" applyNumberFormat="0" applyBorder="0" applyAlignment="0" applyProtection="0"/>
    <xf numFmtId="0" fontId="195" fillId="24" borderId="0" applyNumberFormat="0" applyBorder="0" applyAlignment="0" applyProtection="0"/>
    <xf numFmtId="0" fontId="195" fillId="24" borderId="0" applyNumberFormat="0" applyBorder="0" applyAlignment="0" applyProtection="0"/>
    <xf numFmtId="0" fontId="195" fillId="24" borderId="0" applyNumberFormat="0" applyBorder="0" applyAlignment="0" applyProtection="0"/>
    <xf numFmtId="0" fontId="195" fillId="24" borderId="0" applyNumberFormat="0" applyBorder="0" applyAlignment="0" applyProtection="0"/>
    <xf numFmtId="0" fontId="195" fillId="24" borderId="0" applyNumberFormat="0" applyBorder="0" applyAlignment="0" applyProtection="0"/>
    <xf numFmtId="0" fontId="195" fillId="24" borderId="0" applyNumberFormat="0" applyBorder="0" applyAlignment="0" applyProtection="0"/>
    <xf numFmtId="0" fontId="195" fillId="24" borderId="0" applyNumberFormat="0" applyBorder="0" applyAlignment="0" applyProtection="0"/>
    <xf numFmtId="0" fontId="195" fillId="24" borderId="0" applyNumberFormat="0" applyBorder="0" applyAlignment="0" applyProtection="0"/>
    <xf numFmtId="0" fontId="195" fillId="24" borderId="0" applyNumberFormat="0" applyBorder="0" applyAlignment="0" applyProtection="0"/>
    <xf numFmtId="0" fontId="195" fillId="24" borderId="0" applyNumberFormat="0" applyBorder="0" applyAlignment="0" applyProtection="0"/>
    <xf numFmtId="0" fontId="195" fillId="24" borderId="0" applyNumberFormat="0" applyBorder="0" applyAlignment="0" applyProtection="0"/>
    <xf numFmtId="0" fontId="195" fillId="24" borderId="0" applyNumberFormat="0" applyBorder="0" applyAlignment="0" applyProtection="0"/>
    <xf numFmtId="0" fontId="195" fillId="24" borderId="0" applyNumberFormat="0" applyBorder="0" applyAlignment="0" applyProtection="0"/>
    <xf numFmtId="0" fontId="195" fillId="24" borderId="0" applyNumberFormat="0" applyBorder="0" applyAlignment="0" applyProtection="0"/>
    <xf numFmtId="0" fontId="195" fillId="24" borderId="0" applyNumberFormat="0" applyBorder="0" applyAlignment="0" applyProtection="0"/>
    <xf numFmtId="0" fontId="195" fillId="24" borderId="0" applyNumberFormat="0" applyBorder="0" applyAlignment="0" applyProtection="0"/>
    <xf numFmtId="0" fontId="195" fillId="24" borderId="0" applyNumberFormat="0" applyBorder="0" applyAlignment="0" applyProtection="0"/>
    <xf numFmtId="0" fontId="195" fillId="24" borderId="0" applyNumberFormat="0" applyBorder="0" applyAlignment="0" applyProtection="0"/>
    <xf numFmtId="0" fontId="195" fillId="24" borderId="0" applyNumberFormat="0" applyBorder="0" applyAlignment="0" applyProtection="0"/>
    <xf numFmtId="0" fontId="195" fillId="24" borderId="0" applyNumberFormat="0" applyBorder="0" applyAlignment="0" applyProtection="0"/>
    <xf numFmtId="0" fontId="195" fillId="24" borderId="0" applyNumberFormat="0" applyBorder="0" applyAlignment="0" applyProtection="0"/>
    <xf numFmtId="0"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0" fontId="195" fillId="28" borderId="0" applyNumberFormat="0" applyBorder="0" applyAlignment="0" applyProtection="0"/>
    <xf numFmtId="0" fontId="195" fillId="28" borderId="0" applyNumberFormat="0" applyBorder="0" applyAlignment="0" applyProtection="0"/>
    <xf numFmtId="0" fontId="195" fillId="28" borderId="0" applyNumberFormat="0" applyBorder="0" applyAlignment="0" applyProtection="0"/>
    <xf numFmtId="0" fontId="195" fillId="28" borderId="0" applyNumberFormat="0" applyBorder="0" applyAlignment="0" applyProtection="0"/>
    <xf numFmtId="0" fontId="195" fillId="28" borderId="0" applyNumberFormat="0" applyBorder="0" applyAlignment="0" applyProtection="0"/>
    <xf numFmtId="0" fontId="195" fillId="28" borderId="0" applyNumberFormat="0" applyBorder="0" applyAlignment="0" applyProtection="0"/>
    <xf numFmtId="0" fontId="195" fillId="28" borderId="0" applyNumberFormat="0" applyBorder="0" applyAlignment="0" applyProtection="0"/>
    <xf numFmtId="0" fontId="195" fillId="28" borderId="0" applyNumberFormat="0" applyBorder="0" applyAlignment="0" applyProtection="0"/>
    <xf numFmtId="0" fontId="195" fillId="28" borderId="0" applyNumberFormat="0" applyBorder="0" applyAlignment="0" applyProtection="0"/>
    <xf numFmtId="0" fontId="195" fillId="28" borderId="0" applyNumberFormat="0" applyBorder="0" applyAlignment="0" applyProtection="0"/>
    <xf numFmtId="0" fontId="195" fillId="28" borderId="0" applyNumberFormat="0" applyBorder="0" applyAlignment="0" applyProtection="0"/>
    <xf numFmtId="0" fontId="195" fillId="28" borderId="0" applyNumberFormat="0" applyBorder="0" applyAlignment="0" applyProtection="0"/>
    <xf numFmtId="0" fontId="195" fillId="28" borderId="0" applyNumberFormat="0" applyBorder="0" applyAlignment="0" applyProtection="0"/>
    <xf numFmtId="0" fontId="195" fillId="28" borderId="0" applyNumberFormat="0" applyBorder="0" applyAlignment="0" applyProtection="0"/>
    <xf numFmtId="0" fontId="195" fillId="28" borderId="0" applyNumberFormat="0" applyBorder="0" applyAlignment="0" applyProtection="0"/>
    <xf numFmtId="0" fontId="195" fillId="28" borderId="0" applyNumberFormat="0" applyBorder="0" applyAlignment="0" applyProtection="0"/>
    <xf numFmtId="0" fontId="195" fillId="28" borderId="0" applyNumberFormat="0" applyBorder="0" applyAlignment="0" applyProtection="0"/>
    <xf numFmtId="0" fontId="195" fillId="28" borderId="0" applyNumberFormat="0" applyBorder="0" applyAlignment="0" applyProtection="0"/>
    <xf numFmtId="0" fontId="195" fillId="28" borderId="0" applyNumberFormat="0" applyBorder="0" applyAlignment="0" applyProtection="0"/>
    <xf numFmtId="0" fontId="195" fillId="28" borderId="0" applyNumberFormat="0" applyBorder="0" applyAlignment="0" applyProtection="0"/>
    <xf numFmtId="0" fontId="195" fillId="28" borderId="0" applyNumberFormat="0" applyBorder="0" applyAlignment="0" applyProtection="0"/>
    <xf numFmtId="0" fontId="195" fillId="28" borderId="0" applyNumberFormat="0" applyBorder="0" applyAlignment="0" applyProtection="0"/>
    <xf numFmtId="0" fontId="195" fillId="28" borderId="0" applyNumberFormat="0" applyBorder="0" applyAlignment="0" applyProtection="0"/>
    <xf numFmtId="0" fontId="195" fillId="28" borderId="0" applyNumberFormat="0" applyBorder="0" applyAlignment="0" applyProtection="0"/>
    <xf numFmtId="0" fontId="195" fillId="28" borderId="0" applyNumberFormat="0" applyBorder="0" applyAlignment="0" applyProtection="0"/>
    <xf numFmtId="0" fontId="195" fillId="28" borderId="0" applyNumberFormat="0" applyBorder="0" applyAlignment="0" applyProtection="0"/>
    <xf numFmtId="0" fontId="195" fillId="28" borderId="0" applyNumberFormat="0" applyBorder="0" applyAlignment="0" applyProtection="0"/>
    <xf numFmtId="0" fontId="195" fillId="28" borderId="0" applyNumberFormat="0" applyBorder="0" applyAlignment="0" applyProtection="0"/>
    <xf numFmtId="0" fontId="195" fillId="28" borderId="0" applyNumberFormat="0" applyBorder="0" applyAlignment="0" applyProtection="0"/>
    <xf numFmtId="0" fontId="195" fillId="28" borderId="0" applyNumberFormat="0" applyBorder="0" applyAlignment="0" applyProtection="0"/>
    <xf numFmtId="0" fontId="195" fillId="28" borderId="0" applyNumberFormat="0" applyBorder="0" applyAlignment="0" applyProtection="0"/>
    <xf numFmtId="0" fontId="195" fillId="28" borderId="0" applyNumberFormat="0" applyBorder="0" applyAlignment="0" applyProtection="0"/>
    <xf numFmtId="0" fontId="195" fillId="28" borderId="0" applyNumberFormat="0" applyBorder="0" applyAlignment="0" applyProtection="0"/>
    <xf numFmtId="0" fontId="195" fillId="28" borderId="0" applyNumberFormat="0" applyBorder="0" applyAlignment="0" applyProtection="0"/>
    <xf numFmtId="0" fontId="195" fillId="28" borderId="0" applyNumberFormat="0" applyBorder="0" applyAlignment="0" applyProtection="0"/>
    <xf numFmtId="0" fontId="195" fillId="28" borderId="0" applyNumberFormat="0" applyBorder="0" applyAlignment="0" applyProtection="0"/>
    <xf numFmtId="0" fontId="195" fillId="28" borderId="0" applyNumberFormat="0" applyBorder="0" applyAlignment="0" applyProtection="0"/>
    <xf numFmtId="0" fontId="195" fillId="28" borderId="0" applyNumberFormat="0" applyBorder="0" applyAlignment="0" applyProtection="0"/>
    <xf numFmtId="0" fontId="195" fillId="28" borderId="0" applyNumberFormat="0" applyBorder="0" applyAlignment="0" applyProtection="0"/>
    <xf numFmtId="0" fontId="195" fillId="28" borderId="0" applyNumberFormat="0" applyBorder="0" applyAlignment="0" applyProtection="0"/>
    <xf numFmtId="0" fontId="195" fillId="28" borderId="0" applyNumberFormat="0" applyBorder="0" applyAlignment="0" applyProtection="0"/>
    <xf numFmtId="0"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8" borderId="0" applyNumberFormat="0" applyBorder="0" applyAlignment="0" applyProtection="0"/>
    <xf numFmtId="238" fontId="73" fillId="48" borderId="0" applyNumberFormat="0" applyBorder="0" applyAlignment="0" applyProtection="0"/>
    <xf numFmtId="238" fontId="73" fillId="48" borderId="0" applyNumberFormat="0" applyBorder="0" applyAlignment="0" applyProtection="0"/>
    <xf numFmtId="238" fontId="73" fillId="48" borderId="0" applyNumberFormat="0" applyBorder="0" applyAlignment="0" applyProtection="0"/>
    <xf numFmtId="238" fontId="73" fillId="48" borderId="0" applyNumberFormat="0" applyBorder="0" applyAlignment="0" applyProtection="0"/>
    <xf numFmtId="238" fontId="73" fillId="48" borderId="0" applyNumberFormat="0" applyBorder="0" applyAlignment="0" applyProtection="0"/>
    <xf numFmtId="238" fontId="73" fillId="48" borderId="0" applyNumberFormat="0" applyBorder="0" applyAlignment="0" applyProtection="0"/>
    <xf numFmtId="238" fontId="73" fillId="48" borderId="0" applyNumberFormat="0" applyBorder="0" applyAlignment="0" applyProtection="0"/>
    <xf numFmtId="238" fontId="73" fillId="48" borderId="0" applyNumberFormat="0" applyBorder="0" applyAlignment="0" applyProtection="0"/>
    <xf numFmtId="238" fontId="73" fillId="48" borderId="0" applyNumberFormat="0" applyBorder="0" applyAlignment="0" applyProtection="0"/>
    <xf numFmtId="0" fontId="195" fillId="32" borderId="0" applyNumberFormat="0" applyBorder="0" applyAlignment="0" applyProtection="0"/>
    <xf numFmtId="0" fontId="195" fillId="32" borderId="0" applyNumberFormat="0" applyBorder="0" applyAlignment="0" applyProtection="0"/>
    <xf numFmtId="0" fontId="195" fillId="32" borderId="0" applyNumberFormat="0" applyBorder="0" applyAlignment="0" applyProtection="0"/>
    <xf numFmtId="0" fontId="195" fillId="32" borderId="0" applyNumberFormat="0" applyBorder="0" applyAlignment="0" applyProtection="0"/>
    <xf numFmtId="0" fontId="195" fillId="32" borderId="0" applyNumberFormat="0" applyBorder="0" applyAlignment="0" applyProtection="0"/>
    <xf numFmtId="0" fontId="195" fillId="32" borderId="0" applyNumberFormat="0" applyBorder="0" applyAlignment="0" applyProtection="0"/>
    <xf numFmtId="0" fontId="195" fillId="32" borderId="0" applyNumberFormat="0" applyBorder="0" applyAlignment="0" applyProtection="0"/>
    <xf numFmtId="0" fontId="195" fillId="32" borderId="0" applyNumberFormat="0" applyBorder="0" applyAlignment="0" applyProtection="0"/>
    <xf numFmtId="0" fontId="195" fillId="32" borderId="0" applyNumberFormat="0" applyBorder="0" applyAlignment="0" applyProtection="0"/>
    <xf numFmtId="0" fontId="195" fillId="32" borderId="0" applyNumberFormat="0" applyBorder="0" applyAlignment="0" applyProtection="0"/>
    <xf numFmtId="0" fontId="195" fillId="32" borderId="0" applyNumberFormat="0" applyBorder="0" applyAlignment="0" applyProtection="0"/>
    <xf numFmtId="0" fontId="195" fillId="32" borderId="0" applyNumberFormat="0" applyBorder="0" applyAlignment="0" applyProtection="0"/>
    <xf numFmtId="0" fontId="195" fillId="32" borderId="0" applyNumberFormat="0" applyBorder="0" applyAlignment="0" applyProtection="0"/>
    <xf numFmtId="0" fontId="195" fillId="32" borderId="0" applyNumberFormat="0" applyBorder="0" applyAlignment="0" applyProtection="0"/>
    <xf numFmtId="0" fontId="195" fillId="32" borderId="0" applyNumberFormat="0" applyBorder="0" applyAlignment="0" applyProtection="0"/>
    <xf numFmtId="0" fontId="195" fillId="32" borderId="0" applyNumberFormat="0" applyBorder="0" applyAlignment="0" applyProtection="0"/>
    <xf numFmtId="0" fontId="195" fillId="32" borderId="0" applyNumberFormat="0" applyBorder="0" applyAlignment="0" applyProtection="0"/>
    <xf numFmtId="0" fontId="195" fillId="32" borderId="0" applyNumberFormat="0" applyBorder="0" applyAlignment="0" applyProtection="0"/>
    <xf numFmtId="0" fontId="195" fillId="32" borderId="0" applyNumberFormat="0" applyBorder="0" applyAlignment="0" applyProtection="0"/>
    <xf numFmtId="0" fontId="195" fillId="32" borderId="0" applyNumberFormat="0" applyBorder="0" applyAlignment="0" applyProtection="0"/>
    <xf numFmtId="0" fontId="195" fillId="32" borderId="0" applyNumberFormat="0" applyBorder="0" applyAlignment="0" applyProtection="0"/>
    <xf numFmtId="0" fontId="195" fillId="32" borderId="0" applyNumberFormat="0" applyBorder="0" applyAlignment="0" applyProtection="0"/>
    <xf numFmtId="0" fontId="195" fillId="32" borderId="0" applyNumberFormat="0" applyBorder="0" applyAlignment="0" applyProtection="0"/>
    <xf numFmtId="0" fontId="195" fillId="32" borderId="0" applyNumberFormat="0" applyBorder="0" applyAlignment="0" applyProtection="0"/>
    <xf numFmtId="0" fontId="195" fillId="32" borderId="0" applyNumberFormat="0" applyBorder="0" applyAlignment="0" applyProtection="0"/>
    <xf numFmtId="0" fontId="195" fillId="32" borderId="0" applyNumberFormat="0" applyBorder="0" applyAlignment="0" applyProtection="0"/>
    <xf numFmtId="0" fontId="195" fillId="32" borderId="0" applyNumberFormat="0" applyBorder="0" applyAlignment="0" applyProtection="0"/>
    <xf numFmtId="0" fontId="195" fillId="32" borderId="0" applyNumberFormat="0" applyBorder="0" applyAlignment="0" applyProtection="0"/>
    <xf numFmtId="0" fontId="195" fillId="32" borderId="0" applyNumberFormat="0" applyBorder="0" applyAlignment="0" applyProtection="0"/>
    <xf numFmtId="0" fontId="195" fillId="32" borderId="0" applyNumberFormat="0" applyBorder="0" applyAlignment="0" applyProtection="0"/>
    <xf numFmtId="0" fontId="195" fillId="32" borderId="0" applyNumberFormat="0" applyBorder="0" applyAlignment="0" applyProtection="0"/>
    <xf numFmtId="0" fontId="195" fillId="32" borderId="0" applyNumberFormat="0" applyBorder="0" applyAlignment="0" applyProtection="0"/>
    <xf numFmtId="0" fontId="195" fillId="32" borderId="0" applyNumberFormat="0" applyBorder="0" applyAlignment="0" applyProtection="0"/>
    <xf numFmtId="0" fontId="195" fillId="32" borderId="0" applyNumberFormat="0" applyBorder="0" applyAlignment="0" applyProtection="0"/>
    <xf numFmtId="0" fontId="195" fillId="32" borderId="0" applyNumberFormat="0" applyBorder="0" applyAlignment="0" applyProtection="0"/>
    <xf numFmtId="0" fontId="195" fillId="32" borderId="0" applyNumberFormat="0" applyBorder="0" applyAlignment="0" applyProtection="0"/>
    <xf numFmtId="0" fontId="195" fillId="32" borderId="0" applyNumberFormat="0" applyBorder="0" applyAlignment="0" applyProtection="0"/>
    <xf numFmtId="0" fontId="195" fillId="32" borderId="0" applyNumberFormat="0" applyBorder="0" applyAlignment="0" applyProtection="0"/>
    <xf numFmtId="0" fontId="195" fillId="32" borderId="0" applyNumberFormat="0" applyBorder="0" applyAlignment="0" applyProtection="0"/>
    <xf numFmtId="0" fontId="195" fillId="32" borderId="0" applyNumberFormat="0" applyBorder="0" applyAlignment="0" applyProtection="0"/>
    <xf numFmtId="0" fontId="195" fillId="32" borderId="0" applyNumberFormat="0" applyBorder="0" applyAlignment="0" applyProtection="0"/>
    <xf numFmtId="0" fontId="73" fillId="48" borderId="0" applyNumberFormat="0" applyBorder="0" applyAlignment="0" applyProtection="0"/>
    <xf numFmtId="238" fontId="73" fillId="48" borderId="0" applyNumberFormat="0" applyBorder="0" applyAlignment="0" applyProtection="0"/>
    <xf numFmtId="238" fontId="73" fillId="48" borderId="0" applyNumberFormat="0" applyBorder="0" applyAlignment="0" applyProtection="0"/>
    <xf numFmtId="238" fontId="73" fillId="48" borderId="0" applyNumberFormat="0" applyBorder="0" applyAlignment="0" applyProtection="0"/>
    <xf numFmtId="238" fontId="73" fillId="48" borderId="0" applyNumberFormat="0" applyBorder="0" applyAlignment="0" applyProtection="0"/>
    <xf numFmtId="238" fontId="73" fillId="48" borderId="0" applyNumberFormat="0" applyBorder="0" applyAlignment="0" applyProtection="0"/>
    <xf numFmtId="238" fontId="73" fillId="48" borderId="0" applyNumberFormat="0" applyBorder="0" applyAlignment="0" applyProtection="0"/>
    <xf numFmtId="238" fontId="73" fillId="48" borderId="0" applyNumberFormat="0" applyBorder="0" applyAlignment="0" applyProtection="0"/>
    <xf numFmtId="238" fontId="73" fillId="48" borderId="0" applyNumberFormat="0" applyBorder="0" applyAlignment="0" applyProtection="0"/>
    <xf numFmtId="238" fontId="73" fillId="48" borderId="0" applyNumberFormat="0" applyBorder="0" applyAlignment="0" applyProtection="0"/>
    <xf numFmtId="238" fontId="73" fillId="48" borderId="0" applyNumberFormat="0" applyBorder="0" applyAlignment="0" applyProtection="0"/>
    <xf numFmtId="238" fontId="73" fillId="48" borderId="0" applyNumberFormat="0" applyBorder="0" applyAlignment="0" applyProtection="0"/>
    <xf numFmtId="238" fontId="73" fillId="48" borderId="0" applyNumberFormat="0" applyBorder="0" applyAlignment="0" applyProtection="0"/>
    <xf numFmtId="238" fontId="73" fillId="48" borderId="0" applyNumberFormat="0" applyBorder="0" applyAlignment="0" applyProtection="0"/>
    <xf numFmtId="238" fontId="73" fillId="48" borderId="0" applyNumberFormat="0" applyBorder="0" applyAlignment="0" applyProtection="0"/>
    <xf numFmtId="238" fontId="73" fillId="48" borderId="0" applyNumberFormat="0" applyBorder="0" applyAlignment="0" applyProtection="0"/>
    <xf numFmtId="238" fontId="73" fillId="48" borderId="0" applyNumberFormat="0" applyBorder="0" applyAlignment="0" applyProtection="0"/>
    <xf numFmtId="238" fontId="73" fillId="48" borderId="0" applyNumberFormat="0" applyBorder="0" applyAlignment="0" applyProtection="0"/>
    <xf numFmtId="238" fontId="73" fillId="48" borderId="0" applyNumberFormat="0" applyBorder="0" applyAlignment="0" applyProtection="0"/>
    <xf numFmtId="238" fontId="73" fillId="48" borderId="0" applyNumberFormat="0" applyBorder="0" applyAlignment="0" applyProtection="0"/>
    <xf numFmtId="238" fontId="73" fillId="48" borderId="0" applyNumberFormat="0" applyBorder="0" applyAlignment="0" applyProtection="0"/>
    <xf numFmtId="238" fontId="73" fillId="48" borderId="0" applyNumberFormat="0" applyBorder="0" applyAlignment="0" applyProtection="0"/>
    <xf numFmtId="238" fontId="73" fillId="48" borderId="0" applyNumberFormat="0" applyBorder="0" applyAlignment="0" applyProtection="0"/>
    <xf numFmtId="238" fontId="73" fillId="48" borderId="0" applyNumberFormat="0" applyBorder="0" applyAlignment="0" applyProtection="0"/>
    <xf numFmtId="238" fontId="73" fillId="48" borderId="0" applyNumberFormat="0" applyBorder="0" applyAlignment="0" applyProtection="0"/>
    <xf numFmtId="238" fontId="73" fillId="48" borderId="0" applyNumberFormat="0" applyBorder="0" applyAlignment="0" applyProtection="0"/>
    <xf numFmtId="238" fontId="73" fillId="48" borderId="0" applyNumberFormat="0" applyBorder="0" applyAlignment="0" applyProtection="0"/>
    <xf numFmtId="238" fontId="73" fillId="48" borderId="0" applyNumberFormat="0" applyBorder="0" applyAlignment="0" applyProtection="0"/>
    <xf numFmtId="238" fontId="73" fillId="48" borderId="0" applyNumberFormat="0" applyBorder="0" applyAlignment="0" applyProtection="0"/>
    <xf numFmtId="238" fontId="73" fillId="48" borderId="0" applyNumberFormat="0" applyBorder="0" applyAlignment="0" applyProtection="0"/>
    <xf numFmtId="238" fontId="73" fillId="48" borderId="0" applyNumberFormat="0" applyBorder="0" applyAlignment="0" applyProtection="0"/>
    <xf numFmtId="238" fontId="73" fillId="48" borderId="0" applyNumberFormat="0" applyBorder="0" applyAlignment="0" applyProtection="0"/>
    <xf numFmtId="238" fontId="73" fillId="48" borderId="0" applyNumberFormat="0" applyBorder="0" applyAlignment="0" applyProtection="0"/>
    <xf numFmtId="238" fontId="73" fillId="48" borderId="0" applyNumberFormat="0" applyBorder="0" applyAlignment="0" applyProtection="0"/>
    <xf numFmtId="238" fontId="73" fillId="48" borderId="0" applyNumberFormat="0" applyBorder="0" applyAlignment="0" applyProtection="0"/>
    <xf numFmtId="238" fontId="73" fillId="48" borderId="0" applyNumberFormat="0" applyBorder="0" applyAlignment="0" applyProtection="0"/>
    <xf numFmtId="238" fontId="73" fillId="48" borderId="0" applyNumberFormat="0" applyBorder="0" applyAlignment="0" applyProtection="0"/>
    <xf numFmtId="238" fontId="73" fillId="48" borderId="0" applyNumberFormat="0" applyBorder="0" applyAlignment="0" applyProtection="0"/>
    <xf numFmtId="238" fontId="73" fillId="48" borderId="0" applyNumberFormat="0" applyBorder="0" applyAlignment="0" applyProtection="0"/>
    <xf numFmtId="238" fontId="73" fillId="48" borderId="0" applyNumberFormat="0" applyBorder="0" applyAlignment="0" applyProtection="0"/>
    <xf numFmtId="238" fontId="73" fillId="48" borderId="0" applyNumberFormat="0" applyBorder="0" applyAlignment="0" applyProtection="0"/>
    <xf numFmtId="238" fontId="73" fillId="48" borderId="0" applyNumberFormat="0" applyBorder="0" applyAlignment="0" applyProtection="0"/>
    <xf numFmtId="238" fontId="73" fillId="48" borderId="0" applyNumberFormat="0" applyBorder="0" applyAlignment="0" applyProtection="0"/>
    <xf numFmtId="238" fontId="73" fillId="48" borderId="0" applyNumberFormat="0" applyBorder="0" applyAlignment="0" applyProtection="0"/>
    <xf numFmtId="238" fontId="73" fillId="45" borderId="0" applyNumberFormat="0" applyBorder="0" applyAlignment="0" applyProtection="0"/>
    <xf numFmtId="238" fontId="73" fillId="42" borderId="0" applyNumberFormat="0" applyBorder="0" applyAlignment="0" applyProtection="0"/>
    <xf numFmtId="238" fontId="73" fillId="43" borderId="0" applyNumberFormat="0" applyBorder="0" applyAlignment="0" applyProtection="0"/>
    <xf numFmtId="238" fontId="73" fillId="46" borderId="0" applyNumberFormat="0" applyBorder="0" applyAlignment="0" applyProtection="0"/>
    <xf numFmtId="238" fontId="73" fillId="47" borderId="0" applyNumberFormat="0" applyBorder="0" applyAlignment="0" applyProtection="0"/>
    <xf numFmtId="238" fontId="73" fillId="48" borderId="0" applyNumberFormat="0" applyBorder="0" applyAlignment="0" applyProtection="0"/>
    <xf numFmtId="238" fontId="196" fillId="47" borderId="0" applyNumberFormat="0" applyBorder="0" applyAlignment="0" applyProtection="0">
      <alignment vertical="center"/>
    </xf>
    <xf numFmtId="238" fontId="196" fillId="42" borderId="0" applyNumberFormat="0" applyBorder="0" applyAlignment="0" applyProtection="0">
      <alignment vertical="center"/>
    </xf>
    <xf numFmtId="238" fontId="196" fillId="73" borderId="0" applyNumberFormat="0" applyBorder="0" applyAlignment="0" applyProtection="0">
      <alignment vertical="center"/>
    </xf>
    <xf numFmtId="238" fontId="196" fillId="61" borderId="0" applyNumberFormat="0" applyBorder="0" applyAlignment="0" applyProtection="0">
      <alignment vertical="center"/>
    </xf>
    <xf numFmtId="238" fontId="196" fillId="47" borderId="0" applyNumberFormat="0" applyBorder="0" applyAlignment="0" applyProtection="0">
      <alignment vertical="center"/>
    </xf>
    <xf numFmtId="238" fontId="196" fillId="40" borderId="0" applyNumberFormat="0" applyBorder="0" applyAlignment="0" applyProtection="0">
      <alignment vertical="center"/>
    </xf>
    <xf numFmtId="9" fontId="197" fillId="0" borderId="0"/>
    <xf numFmtId="37" fontId="118" fillId="0" borderId="0">
      <alignment horizontal="center"/>
    </xf>
    <xf numFmtId="0" fontId="83" fillId="0" borderId="0" applyAlignment="0">
      <alignment horizontal="right"/>
    </xf>
    <xf numFmtId="0" fontId="83" fillId="0" borderId="0" applyNumberFormat="0" applyFill="0" applyBorder="0" applyAlignment="0" applyProtection="0">
      <alignment horizontal="left"/>
    </xf>
    <xf numFmtId="169" fontId="176" fillId="0" borderId="0" applyFont="0" applyFill="0" applyBorder="0" applyAlignment="0" applyProtection="0"/>
    <xf numFmtId="238" fontId="73" fillId="51" borderId="0" applyNumberFormat="0" applyBorder="0" applyAlignment="0" applyProtection="0"/>
    <xf numFmtId="238" fontId="73" fillId="51" borderId="0" applyNumberFormat="0" applyBorder="0" applyAlignment="0" applyProtection="0"/>
    <xf numFmtId="238" fontId="73" fillId="51" borderId="0" applyNumberFormat="0" applyBorder="0" applyAlignment="0" applyProtection="0"/>
    <xf numFmtId="238" fontId="73" fillId="51" borderId="0" applyNumberFormat="0" applyBorder="0" applyAlignment="0" applyProtection="0"/>
    <xf numFmtId="238" fontId="73" fillId="51" borderId="0" applyNumberFormat="0" applyBorder="0" applyAlignment="0" applyProtection="0"/>
    <xf numFmtId="238" fontId="73" fillId="51" borderId="0" applyNumberFormat="0" applyBorder="0" applyAlignment="0" applyProtection="0"/>
    <xf numFmtId="238" fontId="73" fillId="51" borderId="0" applyNumberFormat="0" applyBorder="0" applyAlignment="0" applyProtection="0"/>
    <xf numFmtId="238" fontId="73" fillId="51" borderId="0" applyNumberFormat="0" applyBorder="0" applyAlignment="0" applyProtection="0"/>
    <xf numFmtId="238" fontId="73" fillId="51" borderId="0" applyNumberFormat="0" applyBorder="0" applyAlignment="0" applyProtection="0"/>
    <xf numFmtId="238" fontId="73" fillId="51" borderId="0" applyNumberFormat="0" applyBorder="0" applyAlignment="0" applyProtection="0"/>
    <xf numFmtId="0" fontId="195" fillId="9" borderId="0" applyNumberFormat="0" applyBorder="0" applyAlignment="0" applyProtection="0"/>
    <xf numFmtId="0" fontId="195" fillId="9" borderId="0" applyNumberFormat="0" applyBorder="0" applyAlignment="0" applyProtection="0"/>
    <xf numFmtId="0" fontId="195" fillId="9" borderId="0" applyNumberFormat="0" applyBorder="0" applyAlignment="0" applyProtection="0"/>
    <xf numFmtId="0" fontId="195" fillId="9" borderId="0" applyNumberFormat="0" applyBorder="0" applyAlignment="0" applyProtection="0"/>
    <xf numFmtId="0" fontId="195" fillId="9" borderId="0" applyNumberFormat="0" applyBorder="0" applyAlignment="0" applyProtection="0"/>
    <xf numFmtId="0" fontId="195" fillId="9" borderId="0" applyNumberFormat="0" applyBorder="0" applyAlignment="0" applyProtection="0"/>
    <xf numFmtId="0" fontId="195" fillId="9" borderId="0" applyNumberFormat="0" applyBorder="0" applyAlignment="0" applyProtection="0"/>
    <xf numFmtId="0" fontId="195" fillId="9" borderId="0" applyNumberFormat="0" applyBorder="0" applyAlignment="0" applyProtection="0"/>
    <xf numFmtId="0" fontId="195" fillId="9" borderId="0" applyNumberFormat="0" applyBorder="0" applyAlignment="0" applyProtection="0"/>
    <xf numFmtId="0" fontId="195" fillId="9" borderId="0" applyNumberFormat="0" applyBorder="0" applyAlignment="0" applyProtection="0"/>
    <xf numFmtId="0" fontId="195" fillId="9" borderId="0" applyNumberFormat="0" applyBorder="0" applyAlignment="0" applyProtection="0"/>
    <xf numFmtId="0" fontId="195" fillId="9" borderId="0" applyNumberFormat="0" applyBorder="0" applyAlignment="0" applyProtection="0"/>
    <xf numFmtId="0" fontId="195" fillId="9" borderId="0" applyNumberFormat="0" applyBorder="0" applyAlignment="0" applyProtection="0"/>
    <xf numFmtId="0" fontId="195" fillId="9" borderId="0" applyNumberFormat="0" applyBorder="0" applyAlignment="0" applyProtection="0"/>
    <xf numFmtId="0" fontId="195" fillId="9" borderId="0" applyNumberFormat="0" applyBorder="0" applyAlignment="0" applyProtection="0"/>
    <xf numFmtId="0" fontId="195" fillId="9" borderId="0" applyNumberFormat="0" applyBorder="0" applyAlignment="0" applyProtection="0"/>
    <xf numFmtId="0" fontId="195" fillId="9" borderId="0" applyNumberFormat="0" applyBorder="0" applyAlignment="0" applyProtection="0"/>
    <xf numFmtId="0" fontId="195" fillId="9" borderId="0" applyNumberFormat="0" applyBorder="0" applyAlignment="0" applyProtection="0"/>
    <xf numFmtId="0" fontId="195" fillId="9" borderId="0" applyNumberFormat="0" applyBorder="0" applyAlignment="0" applyProtection="0"/>
    <xf numFmtId="0" fontId="195" fillId="9" borderId="0" applyNumberFormat="0" applyBorder="0" applyAlignment="0" applyProtection="0"/>
    <xf numFmtId="0" fontId="195" fillId="9" borderId="0" applyNumberFormat="0" applyBorder="0" applyAlignment="0" applyProtection="0"/>
    <xf numFmtId="0" fontId="195" fillId="9" borderId="0" applyNumberFormat="0" applyBorder="0" applyAlignment="0" applyProtection="0"/>
    <xf numFmtId="0" fontId="195" fillId="9" borderId="0" applyNumberFormat="0" applyBorder="0" applyAlignment="0" applyProtection="0"/>
    <xf numFmtId="0" fontId="195" fillId="9" borderId="0" applyNumberFormat="0" applyBorder="0" applyAlignment="0" applyProtection="0"/>
    <xf numFmtId="0" fontId="195" fillId="9" borderId="0" applyNumberFormat="0" applyBorder="0" applyAlignment="0" applyProtection="0"/>
    <xf numFmtId="0" fontId="195" fillId="9" borderId="0" applyNumberFormat="0" applyBorder="0" applyAlignment="0" applyProtection="0"/>
    <xf numFmtId="0" fontId="195" fillId="9" borderId="0" applyNumberFormat="0" applyBorder="0" applyAlignment="0" applyProtection="0"/>
    <xf numFmtId="0" fontId="195" fillId="9" borderId="0" applyNumberFormat="0" applyBorder="0" applyAlignment="0" applyProtection="0"/>
    <xf numFmtId="0" fontId="195" fillId="9" borderId="0" applyNumberFormat="0" applyBorder="0" applyAlignment="0" applyProtection="0"/>
    <xf numFmtId="0" fontId="195" fillId="9" borderId="0" applyNumberFormat="0" applyBorder="0" applyAlignment="0" applyProtection="0"/>
    <xf numFmtId="0" fontId="195" fillId="9" borderId="0" applyNumberFormat="0" applyBorder="0" applyAlignment="0" applyProtection="0"/>
    <xf numFmtId="0" fontId="195" fillId="9" borderId="0" applyNumberFormat="0" applyBorder="0" applyAlignment="0" applyProtection="0"/>
    <xf numFmtId="0" fontId="195" fillId="9" borderId="0" applyNumberFormat="0" applyBorder="0" applyAlignment="0" applyProtection="0"/>
    <xf numFmtId="0" fontId="195" fillId="9" borderId="0" applyNumberFormat="0" applyBorder="0" applyAlignment="0" applyProtection="0"/>
    <xf numFmtId="0" fontId="195" fillId="9" borderId="0" applyNumberFormat="0" applyBorder="0" applyAlignment="0" applyProtection="0"/>
    <xf numFmtId="0" fontId="195" fillId="9" borderId="0" applyNumberFormat="0" applyBorder="0" applyAlignment="0" applyProtection="0"/>
    <xf numFmtId="0" fontId="195" fillId="9" borderId="0" applyNumberFormat="0" applyBorder="0" applyAlignment="0" applyProtection="0"/>
    <xf numFmtId="0" fontId="195" fillId="9" borderId="0" applyNumberFormat="0" applyBorder="0" applyAlignment="0" applyProtection="0"/>
    <xf numFmtId="0" fontId="195" fillId="9" borderId="0" applyNumberFormat="0" applyBorder="0" applyAlignment="0" applyProtection="0"/>
    <xf numFmtId="0" fontId="195" fillId="9" borderId="0" applyNumberFormat="0" applyBorder="0" applyAlignment="0" applyProtection="0"/>
    <xf numFmtId="0" fontId="195" fillId="9" borderId="0" applyNumberFormat="0" applyBorder="0" applyAlignment="0" applyProtection="0"/>
    <xf numFmtId="0" fontId="73" fillId="51" borderId="0" applyNumberFormat="0" applyBorder="0" applyAlignment="0" applyProtection="0"/>
    <xf numFmtId="238" fontId="73" fillId="51" borderId="0" applyNumberFormat="0" applyBorder="0" applyAlignment="0" applyProtection="0"/>
    <xf numFmtId="238" fontId="73" fillId="51" borderId="0" applyNumberFormat="0" applyBorder="0" applyAlignment="0" applyProtection="0"/>
    <xf numFmtId="238" fontId="73" fillId="51" borderId="0" applyNumberFormat="0" applyBorder="0" applyAlignment="0" applyProtection="0"/>
    <xf numFmtId="238" fontId="73" fillId="51" borderId="0" applyNumberFormat="0" applyBorder="0" applyAlignment="0" applyProtection="0"/>
    <xf numFmtId="238" fontId="73" fillId="51" borderId="0" applyNumberFormat="0" applyBorder="0" applyAlignment="0" applyProtection="0"/>
    <xf numFmtId="238" fontId="73" fillId="51" borderId="0" applyNumberFormat="0" applyBorder="0" applyAlignment="0" applyProtection="0"/>
    <xf numFmtId="238" fontId="73" fillId="51" borderId="0" applyNumberFormat="0" applyBorder="0" applyAlignment="0" applyProtection="0"/>
    <xf numFmtId="238" fontId="73" fillId="51" borderId="0" applyNumberFormat="0" applyBorder="0" applyAlignment="0" applyProtection="0"/>
    <xf numFmtId="238" fontId="73" fillId="51" borderId="0" applyNumberFormat="0" applyBorder="0" applyAlignment="0" applyProtection="0"/>
    <xf numFmtId="238" fontId="73" fillId="51" borderId="0" applyNumberFormat="0" applyBorder="0" applyAlignment="0" applyProtection="0"/>
    <xf numFmtId="238" fontId="73" fillId="51" borderId="0" applyNumberFormat="0" applyBorder="0" applyAlignment="0" applyProtection="0"/>
    <xf numFmtId="238" fontId="73" fillId="51" borderId="0" applyNumberFormat="0" applyBorder="0" applyAlignment="0" applyProtection="0"/>
    <xf numFmtId="238" fontId="73" fillId="51" borderId="0" applyNumberFormat="0" applyBorder="0" applyAlignment="0" applyProtection="0"/>
    <xf numFmtId="238" fontId="73" fillId="51" borderId="0" applyNumberFormat="0" applyBorder="0" applyAlignment="0" applyProtection="0"/>
    <xf numFmtId="238" fontId="73" fillId="51" borderId="0" applyNumberFormat="0" applyBorder="0" applyAlignment="0" applyProtection="0"/>
    <xf numFmtId="238" fontId="73" fillId="51" borderId="0" applyNumberFormat="0" applyBorder="0" applyAlignment="0" applyProtection="0"/>
    <xf numFmtId="238" fontId="73" fillId="51" borderId="0" applyNumberFormat="0" applyBorder="0" applyAlignment="0" applyProtection="0"/>
    <xf numFmtId="238" fontId="73" fillId="51" borderId="0" applyNumberFormat="0" applyBorder="0" applyAlignment="0" applyProtection="0"/>
    <xf numFmtId="238" fontId="73" fillId="51" borderId="0" applyNumberFormat="0" applyBorder="0" applyAlignment="0" applyProtection="0"/>
    <xf numFmtId="238" fontId="73" fillId="51" borderId="0" applyNumberFormat="0" applyBorder="0" applyAlignment="0" applyProtection="0"/>
    <xf numFmtId="238" fontId="73" fillId="51" borderId="0" applyNumberFormat="0" applyBorder="0" applyAlignment="0" applyProtection="0"/>
    <xf numFmtId="238" fontId="73" fillId="51" borderId="0" applyNumberFormat="0" applyBorder="0" applyAlignment="0" applyProtection="0"/>
    <xf numFmtId="238" fontId="73" fillId="51" borderId="0" applyNumberFormat="0" applyBorder="0" applyAlignment="0" applyProtection="0"/>
    <xf numFmtId="238" fontId="73" fillId="51" borderId="0" applyNumberFormat="0" applyBorder="0" applyAlignment="0" applyProtection="0"/>
    <xf numFmtId="238" fontId="73" fillId="51" borderId="0" applyNumberFormat="0" applyBorder="0" applyAlignment="0" applyProtection="0"/>
    <xf numFmtId="238" fontId="73" fillId="51" borderId="0" applyNumberFormat="0" applyBorder="0" applyAlignment="0" applyProtection="0"/>
    <xf numFmtId="238" fontId="73" fillId="51" borderId="0" applyNumberFormat="0" applyBorder="0" applyAlignment="0" applyProtection="0"/>
    <xf numFmtId="238" fontId="73" fillId="51" borderId="0" applyNumberFormat="0" applyBorder="0" applyAlignment="0" applyProtection="0"/>
    <xf numFmtId="238" fontId="73" fillId="51" borderId="0" applyNumberFormat="0" applyBorder="0" applyAlignment="0" applyProtection="0"/>
    <xf numFmtId="238" fontId="73" fillId="51" borderId="0" applyNumberFormat="0" applyBorder="0" applyAlignment="0" applyProtection="0"/>
    <xf numFmtId="238" fontId="73" fillId="51" borderId="0" applyNumberFormat="0" applyBorder="0" applyAlignment="0" applyProtection="0"/>
    <xf numFmtId="238" fontId="73" fillId="51" borderId="0" applyNumberFormat="0" applyBorder="0" applyAlignment="0" applyProtection="0"/>
    <xf numFmtId="238" fontId="73" fillId="51" borderId="0" applyNumberFormat="0" applyBorder="0" applyAlignment="0" applyProtection="0"/>
    <xf numFmtId="238" fontId="73" fillId="51" borderId="0" applyNumberFormat="0" applyBorder="0" applyAlignment="0" applyProtection="0"/>
    <xf numFmtId="238" fontId="73" fillId="51" borderId="0" applyNumberFormat="0" applyBorder="0" applyAlignment="0" applyProtection="0"/>
    <xf numFmtId="238" fontId="73" fillId="51" borderId="0" applyNumberFormat="0" applyBorder="0" applyAlignment="0" applyProtection="0"/>
    <xf numFmtId="238" fontId="73" fillId="51" borderId="0" applyNumberFormat="0" applyBorder="0" applyAlignment="0" applyProtection="0"/>
    <xf numFmtId="238" fontId="73" fillId="51" borderId="0" applyNumberFormat="0" applyBorder="0" applyAlignment="0" applyProtection="0"/>
    <xf numFmtId="238" fontId="73" fillId="51" borderId="0" applyNumberFormat="0" applyBorder="0" applyAlignment="0" applyProtection="0"/>
    <xf numFmtId="238" fontId="73" fillId="51" borderId="0" applyNumberFormat="0" applyBorder="0" applyAlignment="0" applyProtection="0"/>
    <xf numFmtId="238" fontId="73" fillId="51" borderId="0" applyNumberFormat="0" applyBorder="0" applyAlignment="0" applyProtection="0"/>
    <xf numFmtId="238" fontId="73" fillId="51" borderId="0" applyNumberFormat="0" applyBorder="0" applyAlignment="0" applyProtection="0"/>
    <xf numFmtId="238" fontId="73" fillId="51" borderId="0" applyNumberFormat="0" applyBorder="0" applyAlignment="0" applyProtection="0"/>
    <xf numFmtId="238" fontId="73" fillId="55" borderId="0" applyNumberFormat="0" applyBorder="0" applyAlignment="0" applyProtection="0"/>
    <xf numFmtId="238" fontId="73" fillId="55" borderId="0" applyNumberFormat="0" applyBorder="0" applyAlignment="0" applyProtection="0"/>
    <xf numFmtId="238" fontId="73" fillId="55" borderId="0" applyNumberFormat="0" applyBorder="0" applyAlignment="0" applyProtection="0"/>
    <xf numFmtId="238" fontId="73" fillId="55" borderId="0" applyNumberFormat="0" applyBorder="0" applyAlignment="0" applyProtection="0"/>
    <xf numFmtId="238" fontId="73" fillId="55" borderId="0" applyNumberFormat="0" applyBorder="0" applyAlignment="0" applyProtection="0"/>
    <xf numFmtId="238" fontId="73" fillId="55" borderId="0" applyNumberFormat="0" applyBorder="0" applyAlignment="0" applyProtection="0"/>
    <xf numFmtId="238" fontId="73" fillId="55" borderId="0" applyNumberFormat="0" applyBorder="0" applyAlignment="0" applyProtection="0"/>
    <xf numFmtId="238" fontId="73" fillId="55" borderId="0" applyNumberFormat="0" applyBorder="0" applyAlignment="0" applyProtection="0"/>
    <xf numFmtId="238" fontId="73" fillId="55" borderId="0" applyNumberFormat="0" applyBorder="0" applyAlignment="0" applyProtection="0"/>
    <xf numFmtId="238" fontId="73" fillId="55" borderId="0" applyNumberFormat="0" applyBorder="0" applyAlignment="0" applyProtection="0"/>
    <xf numFmtId="0" fontId="195" fillId="13" borderId="0" applyNumberFormat="0" applyBorder="0" applyAlignment="0" applyProtection="0"/>
    <xf numFmtId="0" fontId="195" fillId="13" borderId="0" applyNumberFormat="0" applyBorder="0" applyAlignment="0" applyProtection="0"/>
    <xf numFmtId="0" fontId="195" fillId="13" borderId="0" applyNumberFormat="0" applyBorder="0" applyAlignment="0" applyProtection="0"/>
    <xf numFmtId="0" fontId="195" fillId="13" borderId="0" applyNumberFormat="0" applyBorder="0" applyAlignment="0" applyProtection="0"/>
    <xf numFmtId="0" fontId="195" fillId="13" borderId="0" applyNumberFormat="0" applyBorder="0" applyAlignment="0" applyProtection="0"/>
    <xf numFmtId="0" fontId="195" fillId="13" borderId="0" applyNumberFormat="0" applyBorder="0" applyAlignment="0" applyProtection="0"/>
    <xf numFmtId="0" fontId="195" fillId="13" borderId="0" applyNumberFormat="0" applyBorder="0" applyAlignment="0" applyProtection="0"/>
    <xf numFmtId="0" fontId="195" fillId="13" borderId="0" applyNumberFormat="0" applyBorder="0" applyAlignment="0" applyProtection="0"/>
    <xf numFmtId="0" fontId="195" fillId="13" borderId="0" applyNumberFormat="0" applyBorder="0" applyAlignment="0" applyProtection="0"/>
    <xf numFmtId="0" fontId="195" fillId="13" borderId="0" applyNumberFormat="0" applyBorder="0" applyAlignment="0" applyProtection="0"/>
    <xf numFmtId="0" fontId="195" fillId="13" borderId="0" applyNumberFormat="0" applyBorder="0" applyAlignment="0" applyProtection="0"/>
    <xf numFmtId="0" fontId="195" fillId="13" borderId="0" applyNumberFormat="0" applyBorder="0" applyAlignment="0" applyProtection="0"/>
    <xf numFmtId="0" fontId="195" fillId="13" borderId="0" applyNumberFormat="0" applyBorder="0" applyAlignment="0" applyProtection="0"/>
    <xf numFmtId="0" fontId="195" fillId="13" borderId="0" applyNumberFormat="0" applyBorder="0" applyAlignment="0" applyProtection="0"/>
    <xf numFmtId="0" fontId="195" fillId="13" borderId="0" applyNumberFormat="0" applyBorder="0" applyAlignment="0" applyProtection="0"/>
    <xf numFmtId="0" fontId="195" fillId="13" borderId="0" applyNumberFormat="0" applyBorder="0" applyAlignment="0" applyProtection="0"/>
    <xf numFmtId="0" fontId="195" fillId="13" borderId="0" applyNumberFormat="0" applyBorder="0" applyAlignment="0" applyProtection="0"/>
    <xf numFmtId="0" fontId="195" fillId="13" borderId="0" applyNumberFormat="0" applyBorder="0" applyAlignment="0" applyProtection="0"/>
    <xf numFmtId="0" fontId="195" fillId="13" borderId="0" applyNumberFormat="0" applyBorder="0" applyAlignment="0" applyProtection="0"/>
    <xf numFmtId="0" fontId="195" fillId="13" borderId="0" applyNumberFormat="0" applyBorder="0" applyAlignment="0" applyProtection="0"/>
    <xf numFmtId="0" fontId="195" fillId="13" borderId="0" applyNumberFormat="0" applyBorder="0" applyAlignment="0" applyProtection="0"/>
    <xf numFmtId="0" fontId="195" fillId="13" borderId="0" applyNumberFormat="0" applyBorder="0" applyAlignment="0" applyProtection="0"/>
    <xf numFmtId="0" fontId="195" fillId="13" borderId="0" applyNumberFormat="0" applyBorder="0" applyAlignment="0" applyProtection="0"/>
    <xf numFmtId="0" fontId="195" fillId="13" borderId="0" applyNumberFormat="0" applyBorder="0" applyAlignment="0" applyProtection="0"/>
    <xf numFmtId="0" fontId="195" fillId="13" borderId="0" applyNumberFormat="0" applyBorder="0" applyAlignment="0" applyProtection="0"/>
    <xf numFmtId="0" fontId="195" fillId="13" borderId="0" applyNumberFormat="0" applyBorder="0" applyAlignment="0" applyProtection="0"/>
    <xf numFmtId="0" fontId="195" fillId="13" borderId="0" applyNumberFormat="0" applyBorder="0" applyAlignment="0" applyProtection="0"/>
    <xf numFmtId="0" fontId="195" fillId="13" borderId="0" applyNumberFormat="0" applyBorder="0" applyAlignment="0" applyProtection="0"/>
    <xf numFmtId="0" fontId="195" fillId="13" borderId="0" applyNumberFormat="0" applyBorder="0" applyAlignment="0" applyProtection="0"/>
    <xf numFmtId="0" fontId="195" fillId="13" borderId="0" applyNumberFormat="0" applyBorder="0" applyAlignment="0" applyProtection="0"/>
    <xf numFmtId="0" fontId="195" fillId="13" borderId="0" applyNumberFormat="0" applyBorder="0" applyAlignment="0" applyProtection="0"/>
    <xf numFmtId="0" fontId="195" fillId="13" borderId="0" applyNumberFormat="0" applyBorder="0" applyAlignment="0" applyProtection="0"/>
    <xf numFmtId="0" fontId="195" fillId="13" borderId="0" applyNumberFormat="0" applyBorder="0" applyAlignment="0" applyProtection="0"/>
    <xf numFmtId="0" fontId="195" fillId="13" borderId="0" applyNumberFormat="0" applyBorder="0" applyAlignment="0" applyProtection="0"/>
    <xf numFmtId="0" fontId="195" fillId="13" borderId="0" applyNumberFormat="0" applyBorder="0" applyAlignment="0" applyProtection="0"/>
    <xf numFmtId="0" fontId="195" fillId="13" borderId="0" applyNumberFormat="0" applyBorder="0" applyAlignment="0" applyProtection="0"/>
    <xf numFmtId="0" fontId="195" fillId="13" borderId="0" applyNumberFormat="0" applyBorder="0" applyAlignment="0" applyProtection="0"/>
    <xf numFmtId="0" fontId="195" fillId="13" borderId="0" applyNumberFormat="0" applyBorder="0" applyAlignment="0" applyProtection="0"/>
    <xf numFmtId="0" fontId="195" fillId="13" borderId="0" applyNumberFormat="0" applyBorder="0" applyAlignment="0" applyProtection="0"/>
    <xf numFmtId="0" fontId="195" fillId="13" borderId="0" applyNumberFormat="0" applyBorder="0" applyAlignment="0" applyProtection="0"/>
    <xf numFmtId="0" fontId="195" fillId="13" borderId="0" applyNumberFormat="0" applyBorder="0" applyAlignment="0" applyProtection="0"/>
    <xf numFmtId="0" fontId="73" fillId="55" borderId="0" applyNumberFormat="0" applyBorder="0" applyAlignment="0" applyProtection="0"/>
    <xf numFmtId="238" fontId="73" fillId="55" borderId="0" applyNumberFormat="0" applyBorder="0" applyAlignment="0" applyProtection="0"/>
    <xf numFmtId="238" fontId="73" fillId="55" borderId="0" applyNumberFormat="0" applyBorder="0" applyAlignment="0" applyProtection="0"/>
    <xf numFmtId="238" fontId="73" fillId="55" borderId="0" applyNumberFormat="0" applyBorder="0" applyAlignment="0" applyProtection="0"/>
    <xf numFmtId="238" fontId="73" fillId="55" borderId="0" applyNumberFormat="0" applyBorder="0" applyAlignment="0" applyProtection="0"/>
    <xf numFmtId="238" fontId="73" fillId="55" borderId="0" applyNumberFormat="0" applyBorder="0" applyAlignment="0" applyProtection="0"/>
    <xf numFmtId="238" fontId="73" fillId="55" borderId="0" applyNumberFormat="0" applyBorder="0" applyAlignment="0" applyProtection="0"/>
    <xf numFmtId="238" fontId="73" fillId="55" borderId="0" applyNumberFormat="0" applyBorder="0" applyAlignment="0" applyProtection="0"/>
    <xf numFmtId="238" fontId="73" fillId="55" borderId="0" applyNumberFormat="0" applyBorder="0" applyAlignment="0" applyProtection="0"/>
    <xf numFmtId="238" fontId="73" fillId="55" borderId="0" applyNumberFormat="0" applyBorder="0" applyAlignment="0" applyProtection="0"/>
    <xf numFmtId="238" fontId="73" fillId="55" borderId="0" applyNumberFormat="0" applyBorder="0" applyAlignment="0" applyProtection="0"/>
    <xf numFmtId="238" fontId="73" fillId="55" borderId="0" applyNumberFormat="0" applyBorder="0" applyAlignment="0" applyProtection="0"/>
    <xf numFmtId="238" fontId="73" fillId="55" borderId="0" applyNumberFormat="0" applyBorder="0" applyAlignment="0" applyProtection="0"/>
    <xf numFmtId="238" fontId="73" fillId="55" borderId="0" applyNumberFormat="0" applyBorder="0" applyAlignment="0" applyProtection="0"/>
    <xf numFmtId="238" fontId="73" fillId="55" borderId="0" applyNumberFormat="0" applyBorder="0" applyAlignment="0" applyProtection="0"/>
    <xf numFmtId="238" fontId="73" fillId="55" borderId="0" applyNumberFormat="0" applyBorder="0" applyAlignment="0" applyProtection="0"/>
    <xf numFmtId="238" fontId="73" fillId="55" borderId="0" applyNumberFormat="0" applyBorder="0" applyAlignment="0" applyProtection="0"/>
    <xf numFmtId="238" fontId="73" fillId="55" borderId="0" applyNumberFormat="0" applyBorder="0" applyAlignment="0" applyProtection="0"/>
    <xf numFmtId="238" fontId="73" fillId="55" borderId="0" applyNumberFormat="0" applyBorder="0" applyAlignment="0" applyProtection="0"/>
    <xf numFmtId="238" fontId="73" fillId="55" borderId="0" applyNumberFormat="0" applyBorder="0" applyAlignment="0" applyProtection="0"/>
    <xf numFmtId="238" fontId="73" fillId="55" borderId="0" applyNumberFormat="0" applyBorder="0" applyAlignment="0" applyProtection="0"/>
    <xf numFmtId="238" fontId="73" fillId="55" borderId="0" applyNumberFormat="0" applyBorder="0" applyAlignment="0" applyProtection="0"/>
    <xf numFmtId="238" fontId="73" fillId="55" borderId="0" applyNumberFormat="0" applyBorder="0" applyAlignment="0" applyProtection="0"/>
    <xf numFmtId="238" fontId="73" fillId="55" borderId="0" applyNumberFormat="0" applyBorder="0" applyAlignment="0" applyProtection="0"/>
    <xf numFmtId="238" fontId="73" fillId="55" borderId="0" applyNumberFormat="0" applyBorder="0" applyAlignment="0" applyProtection="0"/>
    <xf numFmtId="238" fontId="73" fillId="55" borderId="0" applyNumberFormat="0" applyBorder="0" applyAlignment="0" applyProtection="0"/>
    <xf numFmtId="238" fontId="73" fillId="55" borderId="0" applyNumberFormat="0" applyBorder="0" applyAlignment="0" applyProtection="0"/>
    <xf numFmtId="238" fontId="73" fillId="55" borderId="0" applyNumberFormat="0" applyBorder="0" applyAlignment="0" applyProtection="0"/>
    <xf numFmtId="238" fontId="73" fillId="55" borderId="0" applyNumberFormat="0" applyBorder="0" applyAlignment="0" applyProtection="0"/>
    <xf numFmtId="238" fontId="73" fillId="55" borderId="0" applyNumberFormat="0" applyBorder="0" applyAlignment="0" applyProtection="0"/>
    <xf numFmtId="238" fontId="73" fillId="55" borderId="0" applyNumberFormat="0" applyBorder="0" applyAlignment="0" applyProtection="0"/>
    <xf numFmtId="238" fontId="73" fillId="55" borderId="0" applyNumberFormat="0" applyBorder="0" applyAlignment="0" applyProtection="0"/>
    <xf numFmtId="238" fontId="73" fillId="55" borderId="0" applyNumberFormat="0" applyBorder="0" applyAlignment="0" applyProtection="0"/>
    <xf numFmtId="238" fontId="73" fillId="55" borderId="0" applyNumberFormat="0" applyBorder="0" applyAlignment="0" applyProtection="0"/>
    <xf numFmtId="238" fontId="73" fillId="55" borderId="0" applyNumberFormat="0" applyBorder="0" applyAlignment="0" applyProtection="0"/>
    <xf numFmtId="238" fontId="73" fillId="55" borderId="0" applyNumberFormat="0" applyBorder="0" applyAlignment="0" applyProtection="0"/>
    <xf numFmtId="238" fontId="73" fillId="55" borderId="0" applyNumberFormat="0" applyBorder="0" applyAlignment="0" applyProtection="0"/>
    <xf numFmtId="238" fontId="73" fillId="55" borderId="0" applyNumberFormat="0" applyBorder="0" applyAlignment="0" applyProtection="0"/>
    <xf numFmtId="238" fontId="73" fillId="55" borderId="0" applyNumberFormat="0" applyBorder="0" applyAlignment="0" applyProtection="0"/>
    <xf numFmtId="238" fontId="73" fillId="55" borderId="0" applyNumberFormat="0" applyBorder="0" applyAlignment="0" applyProtection="0"/>
    <xf numFmtId="238" fontId="73" fillId="55" borderId="0" applyNumberFormat="0" applyBorder="0" applyAlignment="0" applyProtection="0"/>
    <xf numFmtId="238" fontId="73" fillId="55" borderId="0" applyNumberFormat="0" applyBorder="0" applyAlignment="0" applyProtection="0"/>
    <xf numFmtId="238" fontId="73" fillId="55" borderId="0" applyNumberFormat="0" applyBorder="0" applyAlignment="0" applyProtection="0"/>
    <xf numFmtId="238" fontId="73" fillId="55" borderId="0" applyNumberFormat="0" applyBorder="0" applyAlignment="0" applyProtection="0"/>
    <xf numFmtId="238" fontId="73" fillId="57" borderId="0" applyNumberFormat="0" applyBorder="0" applyAlignment="0" applyProtection="0"/>
    <xf numFmtId="238" fontId="73" fillId="57" borderId="0" applyNumberFormat="0" applyBorder="0" applyAlignment="0" applyProtection="0"/>
    <xf numFmtId="238" fontId="73" fillId="57" borderId="0" applyNumberFormat="0" applyBorder="0" applyAlignment="0" applyProtection="0"/>
    <xf numFmtId="238" fontId="73" fillId="57" borderId="0" applyNumberFormat="0" applyBorder="0" applyAlignment="0" applyProtection="0"/>
    <xf numFmtId="238" fontId="73" fillId="57" borderId="0" applyNumberFormat="0" applyBorder="0" applyAlignment="0" applyProtection="0"/>
    <xf numFmtId="238" fontId="73" fillId="57" borderId="0" applyNumberFormat="0" applyBorder="0" applyAlignment="0" applyProtection="0"/>
    <xf numFmtId="238" fontId="73" fillId="57" borderId="0" applyNumberFormat="0" applyBorder="0" applyAlignment="0" applyProtection="0"/>
    <xf numFmtId="238" fontId="73" fillId="57" borderId="0" applyNumberFormat="0" applyBorder="0" applyAlignment="0" applyProtection="0"/>
    <xf numFmtId="238" fontId="73" fillId="57" borderId="0" applyNumberFormat="0" applyBorder="0" applyAlignment="0" applyProtection="0"/>
    <xf numFmtId="238" fontId="73" fillId="57" borderId="0" applyNumberFormat="0" applyBorder="0" applyAlignment="0" applyProtection="0"/>
    <xf numFmtId="0" fontId="195" fillId="17" borderId="0" applyNumberFormat="0" applyBorder="0" applyAlignment="0" applyProtection="0"/>
    <xf numFmtId="0" fontId="195" fillId="17" borderId="0" applyNumberFormat="0" applyBorder="0" applyAlignment="0" applyProtection="0"/>
    <xf numFmtId="0" fontId="195" fillId="17" borderId="0" applyNumberFormat="0" applyBorder="0" applyAlignment="0" applyProtection="0"/>
    <xf numFmtId="0" fontId="195" fillId="17" borderId="0" applyNumberFormat="0" applyBorder="0" applyAlignment="0" applyProtection="0"/>
    <xf numFmtId="0" fontId="195" fillId="17" borderId="0" applyNumberFormat="0" applyBorder="0" applyAlignment="0" applyProtection="0"/>
    <xf numFmtId="0" fontId="195" fillId="17" borderId="0" applyNumberFormat="0" applyBorder="0" applyAlignment="0" applyProtection="0"/>
    <xf numFmtId="0" fontId="195" fillId="17" borderId="0" applyNumberFormat="0" applyBorder="0" applyAlignment="0" applyProtection="0"/>
    <xf numFmtId="0" fontId="195" fillId="17" borderId="0" applyNumberFormat="0" applyBorder="0" applyAlignment="0" applyProtection="0"/>
    <xf numFmtId="0" fontId="195" fillId="17" borderId="0" applyNumberFormat="0" applyBorder="0" applyAlignment="0" applyProtection="0"/>
    <xf numFmtId="0" fontId="195" fillId="17" borderId="0" applyNumberFormat="0" applyBorder="0" applyAlignment="0" applyProtection="0"/>
    <xf numFmtId="0" fontId="195" fillId="17" borderId="0" applyNumberFormat="0" applyBorder="0" applyAlignment="0" applyProtection="0"/>
    <xf numFmtId="0" fontId="195" fillId="17" borderId="0" applyNumberFormat="0" applyBorder="0" applyAlignment="0" applyProtection="0"/>
    <xf numFmtId="0" fontId="195" fillId="17" borderId="0" applyNumberFormat="0" applyBorder="0" applyAlignment="0" applyProtection="0"/>
    <xf numFmtId="0" fontId="195" fillId="17" borderId="0" applyNumberFormat="0" applyBorder="0" applyAlignment="0" applyProtection="0"/>
    <xf numFmtId="0" fontId="195" fillId="17" borderId="0" applyNumberFormat="0" applyBorder="0" applyAlignment="0" applyProtection="0"/>
    <xf numFmtId="0" fontId="195" fillId="17" borderId="0" applyNumberFormat="0" applyBorder="0" applyAlignment="0" applyProtection="0"/>
    <xf numFmtId="0" fontId="195" fillId="17" borderId="0" applyNumberFormat="0" applyBorder="0" applyAlignment="0" applyProtection="0"/>
    <xf numFmtId="0" fontId="195" fillId="17" borderId="0" applyNumberFormat="0" applyBorder="0" applyAlignment="0" applyProtection="0"/>
    <xf numFmtId="0" fontId="195" fillId="17" borderId="0" applyNumberFormat="0" applyBorder="0" applyAlignment="0" applyProtection="0"/>
    <xf numFmtId="0" fontId="195" fillId="17" borderId="0" applyNumberFormat="0" applyBorder="0" applyAlignment="0" applyProtection="0"/>
    <xf numFmtId="0" fontId="195" fillId="17" borderId="0" applyNumberFormat="0" applyBorder="0" applyAlignment="0" applyProtection="0"/>
    <xf numFmtId="0" fontId="195" fillId="17" borderId="0" applyNumberFormat="0" applyBorder="0" applyAlignment="0" applyProtection="0"/>
    <xf numFmtId="0" fontId="195" fillId="17" borderId="0" applyNumberFormat="0" applyBorder="0" applyAlignment="0" applyProtection="0"/>
    <xf numFmtId="0" fontId="195" fillId="17" borderId="0" applyNumberFormat="0" applyBorder="0" applyAlignment="0" applyProtection="0"/>
    <xf numFmtId="0" fontId="195" fillId="17" borderId="0" applyNumberFormat="0" applyBorder="0" applyAlignment="0" applyProtection="0"/>
    <xf numFmtId="0" fontId="195" fillId="17" borderId="0" applyNumberFormat="0" applyBorder="0" applyAlignment="0" applyProtection="0"/>
    <xf numFmtId="0" fontId="195" fillId="17" borderId="0" applyNumberFormat="0" applyBorder="0" applyAlignment="0" applyProtection="0"/>
    <xf numFmtId="0" fontId="195" fillId="17" borderId="0" applyNumberFormat="0" applyBorder="0" applyAlignment="0" applyProtection="0"/>
    <xf numFmtId="0" fontId="195" fillId="17" borderId="0" applyNumberFormat="0" applyBorder="0" applyAlignment="0" applyProtection="0"/>
    <xf numFmtId="0" fontId="195" fillId="17" borderId="0" applyNumberFormat="0" applyBorder="0" applyAlignment="0" applyProtection="0"/>
    <xf numFmtId="0" fontId="195" fillId="17" borderId="0" applyNumberFormat="0" applyBorder="0" applyAlignment="0" applyProtection="0"/>
    <xf numFmtId="0" fontId="195" fillId="17" borderId="0" applyNumberFormat="0" applyBorder="0" applyAlignment="0" applyProtection="0"/>
    <xf numFmtId="0" fontId="195" fillId="17" borderId="0" applyNumberFormat="0" applyBorder="0" applyAlignment="0" applyProtection="0"/>
    <xf numFmtId="0" fontId="195" fillId="17" borderId="0" applyNumberFormat="0" applyBorder="0" applyAlignment="0" applyProtection="0"/>
    <xf numFmtId="0" fontId="195" fillId="17" borderId="0" applyNumberFormat="0" applyBorder="0" applyAlignment="0" applyProtection="0"/>
    <xf numFmtId="0" fontId="195" fillId="17" borderId="0" applyNumberFormat="0" applyBorder="0" applyAlignment="0" applyProtection="0"/>
    <xf numFmtId="0" fontId="195" fillId="17" borderId="0" applyNumberFormat="0" applyBorder="0" applyAlignment="0" applyProtection="0"/>
    <xf numFmtId="0" fontId="195" fillId="17" borderId="0" applyNumberFormat="0" applyBorder="0" applyAlignment="0" applyProtection="0"/>
    <xf numFmtId="0" fontId="195" fillId="17" borderId="0" applyNumberFormat="0" applyBorder="0" applyAlignment="0" applyProtection="0"/>
    <xf numFmtId="0" fontId="195" fillId="17" borderId="0" applyNumberFormat="0" applyBorder="0" applyAlignment="0" applyProtection="0"/>
    <xf numFmtId="0" fontId="195" fillId="17" borderId="0" applyNumberFormat="0" applyBorder="0" applyAlignment="0" applyProtection="0"/>
    <xf numFmtId="0" fontId="73" fillId="57" borderId="0" applyNumberFormat="0" applyBorder="0" applyAlignment="0" applyProtection="0"/>
    <xf numFmtId="238" fontId="73" fillId="57" borderId="0" applyNumberFormat="0" applyBorder="0" applyAlignment="0" applyProtection="0"/>
    <xf numFmtId="238" fontId="73" fillId="57" borderId="0" applyNumberFormat="0" applyBorder="0" applyAlignment="0" applyProtection="0"/>
    <xf numFmtId="238" fontId="73" fillId="57" borderId="0" applyNumberFormat="0" applyBorder="0" applyAlignment="0" applyProtection="0"/>
    <xf numFmtId="238" fontId="73" fillId="57" borderId="0" applyNumberFormat="0" applyBorder="0" applyAlignment="0" applyProtection="0"/>
    <xf numFmtId="238" fontId="73" fillId="57" borderId="0" applyNumberFormat="0" applyBorder="0" applyAlignment="0" applyProtection="0"/>
    <xf numFmtId="238" fontId="73" fillId="57" borderId="0" applyNumberFormat="0" applyBorder="0" applyAlignment="0" applyProtection="0"/>
    <xf numFmtId="238" fontId="73" fillId="57" borderId="0" applyNumberFormat="0" applyBorder="0" applyAlignment="0" applyProtection="0"/>
    <xf numFmtId="238" fontId="73" fillId="57" borderId="0" applyNumberFormat="0" applyBorder="0" applyAlignment="0" applyProtection="0"/>
    <xf numFmtId="238" fontId="73" fillId="57" borderId="0" applyNumberFormat="0" applyBorder="0" applyAlignment="0" applyProtection="0"/>
    <xf numFmtId="238" fontId="73" fillId="57" borderId="0" applyNumberFormat="0" applyBorder="0" applyAlignment="0" applyProtection="0"/>
    <xf numFmtId="238" fontId="73" fillId="57" borderId="0" applyNumberFormat="0" applyBorder="0" applyAlignment="0" applyProtection="0"/>
    <xf numFmtId="238" fontId="73" fillId="57" borderId="0" applyNumberFormat="0" applyBorder="0" applyAlignment="0" applyProtection="0"/>
    <xf numFmtId="238" fontId="73" fillId="57" borderId="0" applyNumberFormat="0" applyBorder="0" applyAlignment="0" applyProtection="0"/>
    <xf numFmtId="238" fontId="73" fillId="57" borderId="0" applyNumberFormat="0" applyBorder="0" applyAlignment="0" applyProtection="0"/>
    <xf numFmtId="238" fontId="73" fillId="57" borderId="0" applyNumberFormat="0" applyBorder="0" applyAlignment="0" applyProtection="0"/>
    <xf numFmtId="238" fontId="73" fillId="57" borderId="0" applyNumberFormat="0" applyBorder="0" applyAlignment="0" applyProtection="0"/>
    <xf numFmtId="238" fontId="73" fillId="57" borderId="0" applyNumberFormat="0" applyBorder="0" applyAlignment="0" applyProtection="0"/>
    <xf numFmtId="238" fontId="73" fillId="57" borderId="0" applyNumberFormat="0" applyBorder="0" applyAlignment="0" applyProtection="0"/>
    <xf numFmtId="238" fontId="73" fillId="57" borderId="0" applyNumberFormat="0" applyBorder="0" applyAlignment="0" applyProtection="0"/>
    <xf numFmtId="238" fontId="73" fillId="57" borderId="0" applyNumberFormat="0" applyBorder="0" applyAlignment="0" applyProtection="0"/>
    <xf numFmtId="238" fontId="73" fillId="57" borderId="0" applyNumberFormat="0" applyBorder="0" applyAlignment="0" applyProtection="0"/>
    <xf numFmtId="238" fontId="73" fillId="57" borderId="0" applyNumberFormat="0" applyBorder="0" applyAlignment="0" applyProtection="0"/>
    <xf numFmtId="238" fontId="73" fillId="57" borderId="0" applyNumberFormat="0" applyBorder="0" applyAlignment="0" applyProtection="0"/>
    <xf numFmtId="238" fontId="73" fillId="57" borderId="0" applyNumberFormat="0" applyBorder="0" applyAlignment="0" applyProtection="0"/>
    <xf numFmtId="238" fontId="73" fillId="57" borderId="0" applyNumberFormat="0" applyBorder="0" applyAlignment="0" applyProtection="0"/>
    <xf numFmtId="238" fontId="73" fillId="57" borderId="0" applyNumberFormat="0" applyBorder="0" applyAlignment="0" applyProtection="0"/>
    <xf numFmtId="238" fontId="73" fillId="57" borderId="0" applyNumberFormat="0" applyBorder="0" applyAlignment="0" applyProtection="0"/>
    <xf numFmtId="238" fontId="73" fillId="57" borderId="0" applyNumberFormat="0" applyBorder="0" applyAlignment="0" applyProtection="0"/>
    <xf numFmtId="238" fontId="73" fillId="57" borderId="0" applyNumberFormat="0" applyBorder="0" applyAlignment="0" applyProtection="0"/>
    <xf numFmtId="238" fontId="73" fillId="57" borderId="0" applyNumberFormat="0" applyBorder="0" applyAlignment="0" applyProtection="0"/>
    <xf numFmtId="238" fontId="73" fillId="57" borderId="0" applyNumberFormat="0" applyBorder="0" applyAlignment="0" applyProtection="0"/>
    <xf numFmtId="238" fontId="73" fillId="57" borderId="0" applyNumberFormat="0" applyBorder="0" applyAlignment="0" applyProtection="0"/>
    <xf numFmtId="238" fontId="73" fillId="57" borderId="0" applyNumberFormat="0" applyBorder="0" applyAlignment="0" applyProtection="0"/>
    <xf numFmtId="238" fontId="73" fillId="57" borderId="0" applyNumberFormat="0" applyBorder="0" applyAlignment="0" applyProtection="0"/>
    <xf numFmtId="238" fontId="73" fillId="57" borderId="0" applyNumberFormat="0" applyBorder="0" applyAlignment="0" applyProtection="0"/>
    <xf numFmtId="238" fontId="73" fillId="57" borderId="0" applyNumberFormat="0" applyBorder="0" applyAlignment="0" applyProtection="0"/>
    <xf numFmtId="238" fontId="73" fillId="57" borderId="0" applyNumberFormat="0" applyBorder="0" applyAlignment="0" applyProtection="0"/>
    <xf numFmtId="238" fontId="73" fillId="57" borderId="0" applyNumberFormat="0" applyBorder="0" applyAlignment="0" applyProtection="0"/>
    <xf numFmtId="238" fontId="73" fillId="57" borderId="0" applyNumberFormat="0" applyBorder="0" applyAlignment="0" applyProtection="0"/>
    <xf numFmtId="238" fontId="73" fillId="57" borderId="0" applyNumberFormat="0" applyBorder="0" applyAlignment="0" applyProtection="0"/>
    <xf numFmtId="238" fontId="73" fillId="57" borderId="0" applyNumberFormat="0" applyBorder="0" applyAlignment="0" applyProtection="0"/>
    <xf numFmtId="238" fontId="73" fillId="57" borderId="0" applyNumberFormat="0" applyBorder="0" applyAlignment="0" applyProtection="0"/>
    <xf numFmtId="238" fontId="73" fillId="57"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0" fontId="195" fillId="21" borderId="0" applyNumberFormat="0" applyBorder="0" applyAlignment="0" applyProtection="0"/>
    <xf numFmtId="0" fontId="195" fillId="21" borderId="0" applyNumberFormat="0" applyBorder="0" applyAlignment="0" applyProtection="0"/>
    <xf numFmtId="0" fontId="195" fillId="21" borderId="0" applyNumberFormat="0" applyBorder="0" applyAlignment="0" applyProtection="0"/>
    <xf numFmtId="0" fontId="195" fillId="21" borderId="0" applyNumberFormat="0" applyBorder="0" applyAlignment="0" applyProtection="0"/>
    <xf numFmtId="0" fontId="195" fillId="21" borderId="0" applyNumberFormat="0" applyBorder="0" applyAlignment="0" applyProtection="0"/>
    <xf numFmtId="0" fontId="195" fillId="21" borderId="0" applyNumberFormat="0" applyBorder="0" applyAlignment="0" applyProtection="0"/>
    <xf numFmtId="0" fontId="195" fillId="21" borderId="0" applyNumberFormat="0" applyBorder="0" applyAlignment="0" applyProtection="0"/>
    <xf numFmtId="0" fontId="195" fillId="21" borderId="0" applyNumberFormat="0" applyBorder="0" applyAlignment="0" applyProtection="0"/>
    <xf numFmtId="0" fontId="195" fillId="21" borderId="0" applyNumberFormat="0" applyBorder="0" applyAlignment="0" applyProtection="0"/>
    <xf numFmtId="0" fontId="195" fillId="21" borderId="0" applyNumberFormat="0" applyBorder="0" applyAlignment="0" applyProtection="0"/>
    <xf numFmtId="0" fontId="195" fillId="21" borderId="0" applyNumberFormat="0" applyBorder="0" applyAlignment="0" applyProtection="0"/>
    <xf numFmtId="0" fontId="195" fillId="21" borderId="0" applyNumberFormat="0" applyBorder="0" applyAlignment="0" applyProtection="0"/>
    <xf numFmtId="0" fontId="195" fillId="21" borderId="0" applyNumberFormat="0" applyBorder="0" applyAlignment="0" applyProtection="0"/>
    <xf numFmtId="0" fontId="195" fillId="21" borderId="0" applyNumberFormat="0" applyBorder="0" applyAlignment="0" applyProtection="0"/>
    <xf numFmtId="0" fontId="195" fillId="21" borderId="0" applyNumberFormat="0" applyBorder="0" applyAlignment="0" applyProtection="0"/>
    <xf numFmtId="0" fontId="195" fillId="21" borderId="0" applyNumberFormat="0" applyBorder="0" applyAlignment="0" applyProtection="0"/>
    <xf numFmtId="0" fontId="195" fillId="21" borderId="0" applyNumberFormat="0" applyBorder="0" applyAlignment="0" applyProtection="0"/>
    <xf numFmtId="0" fontId="195" fillId="21" borderId="0" applyNumberFormat="0" applyBorder="0" applyAlignment="0" applyProtection="0"/>
    <xf numFmtId="0" fontId="195" fillId="21" borderId="0" applyNumberFormat="0" applyBorder="0" applyAlignment="0" applyProtection="0"/>
    <xf numFmtId="0" fontId="195" fillId="21" borderId="0" applyNumberFormat="0" applyBorder="0" applyAlignment="0" applyProtection="0"/>
    <xf numFmtId="0" fontId="195" fillId="21" borderId="0" applyNumberFormat="0" applyBorder="0" applyAlignment="0" applyProtection="0"/>
    <xf numFmtId="0" fontId="195" fillId="21" borderId="0" applyNumberFormat="0" applyBorder="0" applyAlignment="0" applyProtection="0"/>
    <xf numFmtId="0" fontId="195" fillId="21" borderId="0" applyNumberFormat="0" applyBorder="0" applyAlignment="0" applyProtection="0"/>
    <xf numFmtId="0" fontId="195" fillId="21" borderId="0" applyNumberFormat="0" applyBorder="0" applyAlignment="0" applyProtection="0"/>
    <xf numFmtId="0" fontId="195" fillId="21" borderId="0" applyNumberFormat="0" applyBorder="0" applyAlignment="0" applyProtection="0"/>
    <xf numFmtId="0" fontId="195" fillId="21" borderId="0" applyNumberFormat="0" applyBorder="0" applyAlignment="0" applyProtection="0"/>
    <xf numFmtId="0" fontId="195" fillId="21" borderId="0" applyNumberFormat="0" applyBorder="0" applyAlignment="0" applyProtection="0"/>
    <xf numFmtId="0" fontId="195" fillId="21" borderId="0" applyNumberFormat="0" applyBorder="0" applyAlignment="0" applyProtection="0"/>
    <xf numFmtId="0" fontId="195" fillId="21" borderId="0" applyNumberFormat="0" applyBorder="0" applyAlignment="0" applyProtection="0"/>
    <xf numFmtId="0" fontId="195" fillId="21" borderId="0" applyNumberFormat="0" applyBorder="0" applyAlignment="0" applyProtection="0"/>
    <xf numFmtId="0" fontId="195" fillId="21" borderId="0" applyNumberFormat="0" applyBorder="0" applyAlignment="0" applyProtection="0"/>
    <xf numFmtId="0" fontId="195" fillId="21" borderId="0" applyNumberFormat="0" applyBorder="0" applyAlignment="0" applyProtection="0"/>
    <xf numFmtId="0" fontId="195" fillId="21" borderId="0" applyNumberFormat="0" applyBorder="0" applyAlignment="0" applyProtection="0"/>
    <xf numFmtId="0" fontId="195" fillId="21" borderId="0" applyNumberFormat="0" applyBorder="0" applyAlignment="0" applyProtection="0"/>
    <xf numFmtId="0" fontId="195" fillId="21" borderId="0" applyNumberFormat="0" applyBorder="0" applyAlignment="0" applyProtection="0"/>
    <xf numFmtId="0" fontId="195" fillId="21" borderId="0" applyNumberFormat="0" applyBorder="0" applyAlignment="0" applyProtection="0"/>
    <xf numFmtId="0" fontId="195" fillId="21" borderId="0" applyNumberFormat="0" applyBorder="0" applyAlignment="0" applyProtection="0"/>
    <xf numFmtId="0" fontId="195" fillId="21" borderId="0" applyNumberFormat="0" applyBorder="0" applyAlignment="0" applyProtection="0"/>
    <xf numFmtId="0" fontId="195" fillId="21" borderId="0" applyNumberFormat="0" applyBorder="0" applyAlignment="0" applyProtection="0"/>
    <xf numFmtId="0" fontId="195" fillId="21" borderId="0" applyNumberFormat="0" applyBorder="0" applyAlignment="0" applyProtection="0"/>
    <xf numFmtId="0" fontId="195" fillId="21" borderId="0" applyNumberFormat="0" applyBorder="0" applyAlignment="0" applyProtection="0"/>
    <xf numFmtId="0"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6"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0" fontId="195" fillId="25" borderId="0" applyNumberFormat="0" applyBorder="0" applyAlignment="0" applyProtection="0"/>
    <xf numFmtId="0" fontId="195" fillId="25" borderId="0" applyNumberFormat="0" applyBorder="0" applyAlignment="0" applyProtection="0"/>
    <xf numFmtId="0" fontId="195" fillId="25" borderId="0" applyNumberFormat="0" applyBorder="0" applyAlignment="0" applyProtection="0"/>
    <xf numFmtId="0" fontId="195" fillId="25" borderId="0" applyNumberFormat="0" applyBorder="0" applyAlignment="0" applyProtection="0"/>
    <xf numFmtId="0" fontId="195" fillId="25" borderId="0" applyNumberFormat="0" applyBorder="0" applyAlignment="0" applyProtection="0"/>
    <xf numFmtId="0" fontId="195" fillId="25" borderId="0" applyNumberFormat="0" applyBorder="0" applyAlignment="0" applyProtection="0"/>
    <xf numFmtId="0" fontId="195" fillId="25" borderId="0" applyNumberFormat="0" applyBorder="0" applyAlignment="0" applyProtection="0"/>
    <xf numFmtId="0" fontId="195" fillId="25" borderId="0" applyNumberFormat="0" applyBorder="0" applyAlignment="0" applyProtection="0"/>
    <xf numFmtId="0" fontId="195" fillId="25" borderId="0" applyNumberFormat="0" applyBorder="0" applyAlignment="0" applyProtection="0"/>
    <xf numFmtId="0" fontId="195" fillId="25" borderId="0" applyNumberFormat="0" applyBorder="0" applyAlignment="0" applyProtection="0"/>
    <xf numFmtId="0" fontId="195" fillId="25" borderId="0" applyNumberFormat="0" applyBorder="0" applyAlignment="0" applyProtection="0"/>
    <xf numFmtId="0" fontId="195" fillId="25" borderId="0" applyNumberFormat="0" applyBorder="0" applyAlignment="0" applyProtection="0"/>
    <xf numFmtId="0" fontId="195" fillId="25" borderId="0" applyNumberFormat="0" applyBorder="0" applyAlignment="0" applyProtection="0"/>
    <xf numFmtId="0" fontId="195" fillId="25" borderId="0" applyNumberFormat="0" applyBorder="0" applyAlignment="0" applyProtection="0"/>
    <xf numFmtId="0" fontId="195" fillId="25" borderId="0" applyNumberFormat="0" applyBorder="0" applyAlignment="0" applyProtection="0"/>
    <xf numFmtId="0" fontId="195" fillId="25" borderId="0" applyNumberFormat="0" applyBorder="0" applyAlignment="0" applyProtection="0"/>
    <xf numFmtId="0" fontId="195" fillId="25" borderId="0" applyNumberFormat="0" applyBorder="0" applyAlignment="0" applyProtection="0"/>
    <xf numFmtId="0" fontId="195" fillId="25" borderId="0" applyNumberFormat="0" applyBorder="0" applyAlignment="0" applyProtection="0"/>
    <xf numFmtId="0" fontId="195" fillId="25" borderId="0" applyNumberFormat="0" applyBorder="0" applyAlignment="0" applyProtection="0"/>
    <xf numFmtId="0" fontId="195" fillId="25" borderId="0" applyNumberFormat="0" applyBorder="0" applyAlignment="0" applyProtection="0"/>
    <xf numFmtId="0" fontId="195" fillId="25" borderId="0" applyNumberFormat="0" applyBorder="0" applyAlignment="0" applyProtection="0"/>
    <xf numFmtId="0" fontId="195" fillId="25" borderId="0" applyNumberFormat="0" applyBorder="0" applyAlignment="0" applyProtection="0"/>
    <xf numFmtId="0" fontId="195" fillId="25" borderId="0" applyNumberFormat="0" applyBorder="0" applyAlignment="0" applyProtection="0"/>
    <xf numFmtId="0" fontId="195" fillId="25" borderId="0" applyNumberFormat="0" applyBorder="0" applyAlignment="0" applyProtection="0"/>
    <xf numFmtId="0" fontId="195" fillId="25" borderId="0" applyNumberFormat="0" applyBorder="0" applyAlignment="0" applyProtection="0"/>
    <xf numFmtId="0" fontId="195" fillId="25" borderId="0" applyNumberFormat="0" applyBorder="0" applyAlignment="0" applyProtection="0"/>
    <xf numFmtId="0" fontId="195" fillId="25" borderId="0" applyNumberFormat="0" applyBorder="0" applyAlignment="0" applyProtection="0"/>
    <xf numFmtId="0" fontId="195" fillId="25" borderId="0" applyNumberFormat="0" applyBorder="0" applyAlignment="0" applyProtection="0"/>
    <xf numFmtId="0" fontId="195" fillId="25" borderId="0" applyNumberFormat="0" applyBorder="0" applyAlignment="0" applyProtection="0"/>
    <xf numFmtId="0" fontId="195" fillId="25" borderId="0" applyNumberFormat="0" applyBorder="0" applyAlignment="0" applyProtection="0"/>
    <xf numFmtId="0" fontId="195" fillId="25" borderId="0" applyNumberFormat="0" applyBorder="0" applyAlignment="0" applyProtection="0"/>
    <xf numFmtId="0" fontId="195" fillId="25" borderId="0" applyNumberFormat="0" applyBorder="0" applyAlignment="0" applyProtection="0"/>
    <xf numFmtId="0" fontId="195" fillId="25" borderId="0" applyNumberFormat="0" applyBorder="0" applyAlignment="0" applyProtection="0"/>
    <xf numFmtId="0" fontId="195" fillId="25" borderId="0" applyNumberFormat="0" applyBorder="0" applyAlignment="0" applyProtection="0"/>
    <xf numFmtId="0" fontId="195" fillId="25" borderId="0" applyNumberFormat="0" applyBorder="0" applyAlignment="0" applyProtection="0"/>
    <xf numFmtId="0" fontId="195" fillId="25" borderId="0" applyNumberFormat="0" applyBorder="0" applyAlignment="0" applyProtection="0"/>
    <xf numFmtId="0" fontId="195" fillId="25" borderId="0" applyNumberFormat="0" applyBorder="0" applyAlignment="0" applyProtection="0"/>
    <xf numFmtId="0" fontId="195" fillId="25" borderId="0" applyNumberFormat="0" applyBorder="0" applyAlignment="0" applyProtection="0"/>
    <xf numFmtId="0" fontId="195" fillId="25" borderId="0" applyNumberFormat="0" applyBorder="0" applyAlignment="0" applyProtection="0"/>
    <xf numFmtId="0" fontId="195" fillId="25" borderId="0" applyNumberFormat="0" applyBorder="0" applyAlignment="0" applyProtection="0"/>
    <xf numFmtId="0" fontId="195" fillId="25" borderId="0" applyNumberFormat="0" applyBorder="0" applyAlignment="0" applyProtection="0"/>
    <xf numFmtId="0"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47" borderId="0" applyNumberFormat="0" applyBorder="0" applyAlignment="0" applyProtection="0"/>
    <xf numFmtId="238" fontId="73" fillId="60" borderId="0" applyNumberFormat="0" applyBorder="0" applyAlignment="0" applyProtection="0"/>
    <xf numFmtId="238" fontId="73" fillId="60" borderId="0" applyNumberFormat="0" applyBorder="0" applyAlignment="0" applyProtection="0"/>
    <xf numFmtId="238" fontId="73" fillId="60" borderId="0" applyNumberFormat="0" applyBorder="0" applyAlignment="0" applyProtection="0"/>
    <xf numFmtId="238" fontId="73" fillId="60" borderId="0" applyNumberFormat="0" applyBorder="0" applyAlignment="0" applyProtection="0"/>
    <xf numFmtId="238" fontId="73" fillId="60" borderId="0" applyNumberFormat="0" applyBorder="0" applyAlignment="0" applyProtection="0"/>
    <xf numFmtId="238" fontId="73" fillId="60" borderId="0" applyNumberFormat="0" applyBorder="0" applyAlignment="0" applyProtection="0"/>
    <xf numFmtId="238" fontId="73" fillId="60" borderId="0" applyNumberFormat="0" applyBorder="0" applyAlignment="0" applyProtection="0"/>
    <xf numFmtId="238" fontId="73" fillId="60" borderId="0" applyNumberFormat="0" applyBorder="0" applyAlignment="0" applyProtection="0"/>
    <xf numFmtId="238" fontId="73" fillId="60" borderId="0" applyNumberFormat="0" applyBorder="0" applyAlignment="0" applyProtection="0"/>
    <xf numFmtId="238" fontId="73" fillId="60" borderId="0" applyNumberFormat="0" applyBorder="0" applyAlignment="0" applyProtection="0"/>
    <xf numFmtId="0" fontId="195" fillId="29" borderId="0" applyNumberFormat="0" applyBorder="0" applyAlignment="0" applyProtection="0"/>
    <xf numFmtId="0" fontId="195" fillId="29" borderId="0" applyNumberFormat="0" applyBorder="0" applyAlignment="0" applyProtection="0"/>
    <xf numFmtId="0" fontId="195" fillId="29" borderId="0" applyNumberFormat="0" applyBorder="0" applyAlignment="0" applyProtection="0"/>
    <xf numFmtId="0" fontId="195" fillId="29" borderId="0" applyNumberFormat="0" applyBorder="0" applyAlignment="0" applyProtection="0"/>
    <xf numFmtId="0" fontId="195" fillId="29" borderId="0" applyNumberFormat="0" applyBorder="0" applyAlignment="0" applyProtection="0"/>
    <xf numFmtId="0" fontId="195" fillId="29" borderId="0" applyNumberFormat="0" applyBorder="0" applyAlignment="0" applyProtection="0"/>
    <xf numFmtId="0" fontId="195" fillId="29" borderId="0" applyNumberFormat="0" applyBorder="0" applyAlignment="0" applyProtection="0"/>
    <xf numFmtId="0" fontId="195" fillId="29" borderId="0" applyNumberFormat="0" applyBorder="0" applyAlignment="0" applyProtection="0"/>
    <xf numFmtId="0" fontId="195" fillId="29" borderId="0" applyNumberFormat="0" applyBorder="0" applyAlignment="0" applyProtection="0"/>
    <xf numFmtId="0" fontId="195" fillId="29" borderId="0" applyNumberFormat="0" applyBorder="0" applyAlignment="0" applyProtection="0"/>
    <xf numFmtId="0" fontId="195" fillId="29" borderId="0" applyNumberFormat="0" applyBorder="0" applyAlignment="0" applyProtection="0"/>
    <xf numFmtId="0" fontId="195" fillId="29" borderId="0" applyNumberFormat="0" applyBorder="0" applyAlignment="0" applyProtection="0"/>
    <xf numFmtId="0" fontId="195" fillId="29" borderId="0" applyNumberFormat="0" applyBorder="0" applyAlignment="0" applyProtection="0"/>
    <xf numFmtId="0" fontId="195" fillId="29" borderId="0" applyNumberFormat="0" applyBorder="0" applyAlignment="0" applyProtection="0"/>
    <xf numFmtId="0" fontId="195" fillId="29" borderId="0" applyNumberFormat="0" applyBorder="0" applyAlignment="0" applyProtection="0"/>
    <xf numFmtId="0" fontId="195" fillId="29" borderId="0" applyNumberFormat="0" applyBorder="0" applyAlignment="0" applyProtection="0"/>
    <xf numFmtId="0" fontId="195" fillId="29" borderId="0" applyNumberFormat="0" applyBorder="0" applyAlignment="0" applyProtection="0"/>
    <xf numFmtId="0" fontId="195" fillId="29" borderId="0" applyNumberFormat="0" applyBorder="0" applyAlignment="0" applyProtection="0"/>
    <xf numFmtId="0" fontId="195" fillId="29" borderId="0" applyNumberFormat="0" applyBorder="0" applyAlignment="0" applyProtection="0"/>
    <xf numFmtId="0" fontId="195" fillId="29" borderId="0" applyNumberFormat="0" applyBorder="0" applyAlignment="0" applyProtection="0"/>
    <xf numFmtId="0" fontId="195" fillId="29" borderId="0" applyNumberFormat="0" applyBorder="0" applyAlignment="0" applyProtection="0"/>
    <xf numFmtId="0" fontId="195" fillId="29" borderId="0" applyNumberFormat="0" applyBorder="0" applyAlignment="0" applyProtection="0"/>
    <xf numFmtId="0" fontId="195" fillId="29" borderId="0" applyNumberFormat="0" applyBorder="0" applyAlignment="0" applyProtection="0"/>
    <xf numFmtId="0" fontId="195" fillId="29" borderId="0" applyNumberFormat="0" applyBorder="0" applyAlignment="0" applyProtection="0"/>
    <xf numFmtId="0" fontId="195" fillId="29" borderId="0" applyNumberFormat="0" applyBorder="0" applyAlignment="0" applyProtection="0"/>
    <xf numFmtId="0" fontId="195" fillId="29" borderId="0" applyNumberFormat="0" applyBorder="0" applyAlignment="0" applyProtection="0"/>
    <xf numFmtId="0" fontId="195" fillId="29" borderId="0" applyNumberFormat="0" applyBorder="0" applyAlignment="0" applyProtection="0"/>
    <xf numFmtId="0" fontId="195" fillId="29" borderId="0" applyNumberFormat="0" applyBorder="0" applyAlignment="0" applyProtection="0"/>
    <xf numFmtId="0" fontId="195" fillId="29" borderId="0" applyNumberFormat="0" applyBorder="0" applyAlignment="0" applyProtection="0"/>
    <xf numFmtId="0" fontId="195" fillId="29" borderId="0" applyNumberFormat="0" applyBorder="0" applyAlignment="0" applyProtection="0"/>
    <xf numFmtId="0" fontId="195" fillId="29" borderId="0" applyNumberFormat="0" applyBorder="0" applyAlignment="0" applyProtection="0"/>
    <xf numFmtId="0" fontId="195" fillId="29" borderId="0" applyNumberFormat="0" applyBorder="0" applyAlignment="0" applyProtection="0"/>
    <xf numFmtId="0" fontId="195" fillId="29" borderId="0" applyNumberFormat="0" applyBorder="0" applyAlignment="0" applyProtection="0"/>
    <xf numFmtId="0" fontId="195" fillId="29" borderId="0" applyNumberFormat="0" applyBorder="0" applyAlignment="0" applyProtection="0"/>
    <xf numFmtId="0" fontId="195" fillId="29" borderId="0" applyNumberFormat="0" applyBorder="0" applyAlignment="0" applyProtection="0"/>
    <xf numFmtId="0" fontId="195" fillId="29" borderId="0" applyNumberFormat="0" applyBorder="0" applyAlignment="0" applyProtection="0"/>
    <xf numFmtId="0" fontId="195" fillId="29" borderId="0" applyNumberFormat="0" applyBorder="0" applyAlignment="0" applyProtection="0"/>
    <xf numFmtId="0" fontId="195" fillId="29" borderId="0" applyNumberFormat="0" applyBorder="0" applyAlignment="0" applyProtection="0"/>
    <xf numFmtId="0" fontId="195" fillId="29" borderId="0" applyNumberFormat="0" applyBorder="0" applyAlignment="0" applyProtection="0"/>
    <xf numFmtId="0" fontId="195" fillId="29" borderId="0" applyNumberFormat="0" applyBorder="0" applyAlignment="0" applyProtection="0"/>
    <xf numFmtId="0" fontId="195" fillId="29" borderId="0" applyNumberFormat="0" applyBorder="0" applyAlignment="0" applyProtection="0"/>
    <xf numFmtId="0" fontId="73" fillId="60" borderId="0" applyNumberFormat="0" applyBorder="0" applyAlignment="0" applyProtection="0"/>
    <xf numFmtId="238" fontId="73" fillId="60" borderId="0" applyNumberFormat="0" applyBorder="0" applyAlignment="0" applyProtection="0"/>
    <xf numFmtId="238" fontId="73" fillId="60" borderId="0" applyNumberFormat="0" applyBorder="0" applyAlignment="0" applyProtection="0"/>
    <xf numFmtId="238" fontId="73" fillId="60" borderId="0" applyNumberFormat="0" applyBorder="0" applyAlignment="0" applyProtection="0"/>
    <xf numFmtId="238" fontId="73" fillId="60" borderId="0" applyNumberFormat="0" applyBorder="0" applyAlignment="0" applyProtection="0"/>
    <xf numFmtId="238" fontId="73" fillId="60" borderId="0" applyNumberFormat="0" applyBorder="0" applyAlignment="0" applyProtection="0"/>
    <xf numFmtId="238" fontId="73" fillId="60" borderId="0" applyNumberFormat="0" applyBorder="0" applyAlignment="0" applyProtection="0"/>
    <xf numFmtId="238" fontId="73" fillId="60" borderId="0" applyNumberFormat="0" applyBorder="0" applyAlignment="0" applyProtection="0"/>
    <xf numFmtId="238" fontId="73" fillId="60" borderId="0" applyNumberFormat="0" applyBorder="0" applyAlignment="0" applyProtection="0"/>
    <xf numFmtId="238" fontId="73" fillId="60" borderId="0" applyNumberFormat="0" applyBorder="0" applyAlignment="0" applyProtection="0"/>
    <xf numFmtId="238" fontId="73" fillId="60" borderId="0" applyNumberFormat="0" applyBorder="0" applyAlignment="0" applyProtection="0"/>
    <xf numFmtId="238" fontId="73" fillId="60" borderId="0" applyNumberFormat="0" applyBorder="0" applyAlignment="0" applyProtection="0"/>
    <xf numFmtId="238" fontId="73" fillId="60" borderId="0" applyNumberFormat="0" applyBorder="0" applyAlignment="0" applyProtection="0"/>
    <xf numFmtId="238" fontId="73" fillId="60" borderId="0" applyNumberFormat="0" applyBorder="0" applyAlignment="0" applyProtection="0"/>
    <xf numFmtId="238" fontId="73" fillId="60" borderId="0" applyNumberFormat="0" applyBorder="0" applyAlignment="0" applyProtection="0"/>
    <xf numFmtId="238" fontId="73" fillId="60" borderId="0" applyNumberFormat="0" applyBorder="0" applyAlignment="0" applyProtection="0"/>
    <xf numFmtId="238" fontId="73" fillId="60" borderId="0" applyNumberFormat="0" applyBorder="0" applyAlignment="0" applyProtection="0"/>
    <xf numFmtId="238" fontId="73" fillId="60" borderId="0" applyNumberFormat="0" applyBorder="0" applyAlignment="0" applyProtection="0"/>
    <xf numFmtId="238" fontId="73" fillId="60" borderId="0" applyNumberFormat="0" applyBorder="0" applyAlignment="0" applyProtection="0"/>
    <xf numFmtId="238" fontId="73" fillId="60" borderId="0" applyNumberFormat="0" applyBorder="0" applyAlignment="0" applyProtection="0"/>
    <xf numFmtId="238" fontId="73" fillId="60" borderId="0" applyNumberFormat="0" applyBorder="0" applyAlignment="0" applyProtection="0"/>
    <xf numFmtId="238" fontId="73" fillId="60" borderId="0" applyNumberFormat="0" applyBorder="0" applyAlignment="0" applyProtection="0"/>
    <xf numFmtId="238" fontId="73" fillId="60" borderId="0" applyNumberFormat="0" applyBorder="0" applyAlignment="0" applyProtection="0"/>
    <xf numFmtId="238" fontId="73" fillId="60" borderId="0" applyNumberFormat="0" applyBorder="0" applyAlignment="0" applyProtection="0"/>
    <xf numFmtId="238" fontId="73" fillId="60" borderId="0" applyNumberFormat="0" applyBorder="0" applyAlignment="0" applyProtection="0"/>
    <xf numFmtId="238" fontId="73" fillId="60" borderId="0" applyNumberFormat="0" applyBorder="0" applyAlignment="0" applyProtection="0"/>
    <xf numFmtId="238" fontId="73" fillId="60" borderId="0" applyNumberFormat="0" applyBorder="0" applyAlignment="0" applyProtection="0"/>
    <xf numFmtId="238" fontId="73" fillId="60" borderId="0" applyNumberFormat="0" applyBorder="0" applyAlignment="0" applyProtection="0"/>
    <xf numFmtId="238" fontId="73" fillId="60" borderId="0" applyNumberFormat="0" applyBorder="0" applyAlignment="0" applyProtection="0"/>
    <xf numFmtId="238" fontId="73" fillId="60" borderId="0" applyNumberFormat="0" applyBorder="0" applyAlignment="0" applyProtection="0"/>
    <xf numFmtId="238" fontId="73" fillId="60" borderId="0" applyNumberFormat="0" applyBorder="0" applyAlignment="0" applyProtection="0"/>
    <xf numFmtId="238" fontId="73" fillId="60" borderId="0" applyNumberFormat="0" applyBorder="0" applyAlignment="0" applyProtection="0"/>
    <xf numFmtId="238" fontId="73" fillId="60" borderId="0" applyNumberFormat="0" applyBorder="0" applyAlignment="0" applyProtection="0"/>
    <xf numFmtId="238" fontId="73" fillId="60" borderId="0" applyNumberFormat="0" applyBorder="0" applyAlignment="0" applyProtection="0"/>
    <xf numFmtId="238" fontId="73" fillId="60" borderId="0" applyNumberFormat="0" applyBorder="0" applyAlignment="0" applyProtection="0"/>
    <xf numFmtId="238" fontId="73" fillId="60" borderId="0" applyNumberFormat="0" applyBorder="0" applyAlignment="0" applyProtection="0"/>
    <xf numFmtId="238" fontId="73" fillId="60" borderId="0" applyNumberFormat="0" applyBorder="0" applyAlignment="0" applyProtection="0"/>
    <xf numFmtId="238" fontId="73" fillId="60" borderId="0" applyNumberFormat="0" applyBorder="0" applyAlignment="0" applyProtection="0"/>
    <xf numFmtId="238" fontId="73" fillId="60" borderId="0" applyNumberFormat="0" applyBorder="0" applyAlignment="0" applyProtection="0"/>
    <xf numFmtId="238" fontId="73" fillId="60" borderId="0" applyNumberFormat="0" applyBorder="0" applyAlignment="0" applyProtection="0"/>
    <xf numFmtId="238" fontId="73" fillId="60" borderId="0" applyNumberFormat="0" applyBorder="0" applyAlignment="0" applyProtection="0"/>
    <xf numFmtId="238" fontId="73" fillId="60" borderId="0" applyNumberFormat="0" applyBorder="0" applyAlignment="0" applyProtection="0"/>
    <xf numFmtId="238" fontId="73" fillId="60" borderId="0" applyNumberFormat="0" applyBorder="0" applyAlignment="0" applyProtection="0"/>
    <xf numFmtId="238" fontId="73" fillId="60" borderId="0" applyNumberFormat="0" applyBorder="0" applyAlignment="0" applyProtection="0"/>
    <xf numFmtId="275" fontId="102" fillId="0" borderId="0" applyFill="0" applyBorder="0" applyAlignment="0" applyProtection="0"/>
    <xf numFmtId="276" fontId="66" fillId="0" borderId="0" applyFill="0" applyBorder="0" applyProtection="0">
      <alignment vertical="center"/>
      <protection locked="0"/>
    </xf>
    <xf numFmtId="236" fontId="198" fillId="0" borderId="0"/>
    <xf numFmtId="277" fontId="150" fillId="0" borderId="0" applyFont="0" applyFill="0" applyBorder="0" applyAlignment="0" applyProtection="0"/>
    <xf numFmtId="238" fontId="78" fillId="0" borderId="0">
      <alignment horizontal="center" wrapText="1"/>
      <protection locked="0"/>
    </xf>
    <xf numFmtId="238" fontId="78" fillId="0" borderId="0">
      <alignment horizontal="center" wrapText="1"/>
      <protection locked="0"/>
    </xf>
    <xf numFmtId="238" fontId="78" fillId="0" borderId="0">
      <alignment horizontal="center" wrapText="1"/>
      <protection locked="0"/>
    </xf>
    <xf numFmtId="238" fontId="78" fillId="0" borderId="0">
      <alignment horizontal="center" wrapText="1"/>
      <protection locked="0"/>
    </xf>
    <xf numFmtId="238" fontId="78" fillId="0" borderId="0">
      <alignment horizontal="center" wrapText="1"/>
      <protection locked="0"/>
    </xf>
    <xf numFmtId="238" fontId="78" fillId="0" borderId="0">
      <alignment horizontal="center" wrapText="1"/>
      <protection locked="0"/>
    </xf>
    <xf numFmtId="238" fontId="78" fillId="0" borderId="0">
      <alignment horizontal="center" wrapText="1"/>
      <protection locked="0"/>
    </xf>
    <xf numFmtId="238" fontId="78" fillId="0" borderId="0">
      <alignment horizontal="center" wrapText="1"/>
      <protection locked="0"/>
    </xf>
    <xf numFmtId="238" fontId="78" fillId="0" borderId="0">
      <alignment horizontal="center" wrapText="1"/>
      <protection locked="0"/>
    </xf>
    <xf numFmtId="238" fontId="78" fillId="0" borderId="0">
      <alignment horizontal="center" wrapText="1"/>
      <protection locked="0"/>
    </xf>
    <xf numFmtId="238" fontId="78" fillId="0" borderId="0">
      <alignment horizontal="center" wrapText="1"/>
      <protection locked="0"/>
    </xf>
    <xf numFmtId="238" fontId="78" fillId="0" borderId="0">
      <alignment horizontal="center" wrapText="1"/>
      <protection locked="0"/>
    </xf>
    <xf numFmtId="238" fontId="78" fillId="0" borderId="0">
      <alignment horizontal="center" wrapText="1"/>
      <protection locked="0"/>
    </xf>
    <xf numFmtId="238" fontId="78" fillId="0" borderId="0">
      <alignment horizontal="center" wrapText="1"/>
      <protection locked="0"/>
    </xf>
    <xf numFmtId="238" fontId="78" fillId="0" borderId="0">
      <alignment horizontal="center" wrapText="1"/>
      <protection locked="0"/>
    </xf>
    <xf numFmtId="238" fontId="78" fillId="0" borderId="0">
      <alignment horizontal="center" wrapText="1"/>
      <protection locked="0"/>
    </xf>
    <xf numFmtId="238" fontId="78" fillId="0" borderId="0">
      <alignment horizontal="center" wrapText="1"/>
      <protection locked="0"/>
    </xf>
    <xf numFmtId="238" fontId="78" fillId="0" borderId="0">
      <alignment horizontal="center" wrapText="1"/>
      <protection locked="0"/>
    </xf>
    <xf numFmtId="238" fontId="78" fillId="0" borderId="0">
      <alignment horizontal="center" wrapText="1"/>
      <protection locked="0"/>
    </xf>
    <xf numFmtId="238" fontId="78" fillId="0" borderId="0">
      <alignment horizontal="center" wrapText="1"/>
      <protection locked="0"/>
    </xf>
    <xf numFmtId="238" fontId="78" fillId="0" borderId="0">
      <alignment horizontal="center" wrapText="1"/>
      <protection locked="0"/>
    </xf>
    <xf numFmtId="238" fontId="78" fillId="0" borderId="0">
      <alignment horizontal="center" wrapText="1"/>
      <protection locked="0"/>
    </xf>
    <xf numFmtId="238" fontId="78" fillId="0" borderId="0">
      <alignment horizontal="center" wrapText="1"/>
      <protection locked="0"/>
    </xf>
    <xf numFmtId="238" fontId="78" fillId="0" borderId="0">
      <alignment horizontal="center" wrapText="1"/>
      <protection locked="0"/>
    </xf>
    <xf numFmtId="238" fontId="78" fillId="0" borderId="0">
      <alignment horizontal="center" wrapText="1"/>
      <protection locked="0"/>
    </xf>
    <xf numFmtId="238" fontId="78" fillId="0" borderId="0">
      <alignment horizontal="center" wrapText="1"/>
      <protection locked="0"/>
    </xf>
    <xf numFmtId="238" fontId="78" fillId="0" borderId="0">
      <alignment horizontal="center" wrapText="1"/>
      <protection locked="0"/>
    </xf>
    <xf numFmtId="238" fontId="78" fillId="0" borderId="0">
      <alignment horizontal="center" wrapText="1"/>
      <protection locked="0"/>
    </xf>
    <xf numFmtId="238" fontId="78" fillId="0" borderId="0">
      <alignment horizontal="center" wrapText="1"/>
      <protection locked="0"/>
    </xf>
    <xf numFmtId="238" fontId="78" fillId="0" borderId="0">
      <alignment horizontal="center" wrapText="1"/>
      <protection locked="0"/>
    </xf>
    <xf numFmtId="238" fontId="78" fillId="0" borderId="0">
      <alignment horizontal="center" wrapText="1"/>
      <protection locked="0"/>
    </xf>
    <xf numFmtId="238" fontId="183" fillId="0" borderId="0"/>
    <xf numFmtId="238" fontId="183" fillId="0" borderId="0"/>
    <xf numFmtId="238" fontId="66" fillId="0" borderId="0" applyFill="0" applyBorder="0">
      <alignment vertical="center"/>
    </xf>
    <xf numFmtId="234" fontId="66" fillId="79" borderId="55" applyNumberFormat="0" applyFont="0" applyAlignment="0" applyProtection="0"/>
    <xf numFmtId="234" fontId="66" fillId="79" borderId="55" applyNumberFormat="0" applyFont="0" applyAlignment="0" applyProtection="0"/>
    <xf numFmtId="234" fontId="66" fillId="79" borderId="55" applyNumberFormat="0" applyFont="0" applyAlignment="0" applyProtection="0"/>
    <xf numFmtId="0" fontId="95" fillId="0" borderId="12" applyFont="0">
      <alignment horizontal="centerContinuous"/>
    </xf>
    <xf numFmtId="0" fontId="95" fillId="0" borderId="12" applyFont="0">
      <alignment horizontal="centerContinuous"/>
    </xf>
    <xf numFmtId="0" fontId="95" fillId="0" borderId="12" applyFont="0">
      <alignment horizontal="centerContinuous"/>
    </xf>
    <xf numFmtId="0" fontId="88" fillId="0" borderId="0" applyNumberFormat="0" applyFill="0" applyBorder="0" applyAlignment="0" applyProtection="0"/>
    <xf numFmtId="238" fontId="135" fillId="0" borderId="0" applyNumberFormat="0" applyFill="0" applyBorder="0" applyAlignment="0" applyProtection="0"/>
    <xf numFmtId="0" fontId="199" fillId="0" borderId="0"/>
    <xf numFmtId="9" fontId="176" fillId="0" borderId="0"/>
    <xf numFmtId="0" fontId="176" fillId="0" borderId="0"/>
    <xf numFmtId="0" fontId="176" fillId="0" borderId="0"/>
    <xf numFmtId="0" fontId="176" fillId="0" borderId="0" applyNumberFormat="0" applyFill="0" applyBorder="0" applyAlignment="0" applyProtection="0"/>
    <xf numFmtId="0" fontId="176" fillId="0" borderId="0"/>
    <xf numFmtId="0" fontId="176" fillId="0" borderId="0"/>
    <xf numFmtId="0" fontId="66" fillId="0" borderId="0"/>
    <xf numFmtId="0" fontId="200" fillId="0" borderId="0" applyNumberFormat="0" applyFill="0" applyBorder="0" applyAlignment="0" applyProtection="0"/>
    <xf numFmtId="190" fontId="88" fillId="0" borderId="11">
      <protection locked="0"/>
    </xf>
    <xf numFmtId="0" fontId="150" fillId="0" borderId="0"/>
    <xf numFmtId="238" fontId="79" fillId="36" borderId="0" applyNumberFormat="0" applyBorder="0" applyAlignment="0" applyProtection="0"/>
    <xf numFmtId="238" fontId="79" fillId="36" borderId="0" applyNumberFormat="0" applyBorder="0" applyAlignment="0" applyProtection="0"/>
    <xf numFmtId="238" fontId="79" fillId="36" borderId="0" applyNumberFormat="0" applyBorder="0" applyAlignment="0" applyProtection="0"/>
    <xf numFmtId="238" fontId="79" fillId="36" borderId="0" applyNumberFormat="0" applyBorder="0" applyAlignment="0" applyProtection="0"/>
    <xf numFmtId="238" fontId="79" fillId="36" borderId="0" applyNumberFormat="0" applyBorder="0" applyAlignment="0" applyProtection="0"/>
    <xf numFmtId="238" fontId="79" fillId="36" borderId="0" applyNumberFormat="0" applyBorder="0" applyAlignment="0" applyProtection="0"/>
    <xf numFmtId="238" fontId="79" fillId="36" borderId="0" applyNumberFormat="0" applyBorder="0" applyAlignment="0" applyProtection="0"/>
    <xf numFmtId="238" fontId="79" fillId="36" borderId="0" applyNumberFormat="0" applyBorder="0" applyAlignment="0" applyProtection="0"/>
    <xf numFmtId="238" fontId="79" fillId="36" borderId="0" applyNumberFormat="0" applyBorder="0" applyAlignment="0" applyProtection="0"/>
    <xf numFmtId="238" fontId="79" fillId="36" borderId="0" applyNumberFormat="0" applyBorder="0" applyAlignment="0" applyProtection="0"/>
    <xf numFmtId="0" fontId="201" fillId="3" borderId="0" applyNumberFormat="0" applyBorder="0" applyAlignment="0" applyProtection="0"/>
    <xf numFmtId="0" fontId="201" fillId="3" borderId="0" applyNumberFormat="0" applyBorder="0" applyAlignment="0" applyProtection="0"/>
    <xf numFmtId="0" fontId="201" fillId="3" borderId="0" applyNumberFormat="0" applyBorder="0" applyAlignment="0" applyProtection="0"/>
    <xf numFmtId="0" fontId="201" fillId="3" borderId="0" applyNumberFormat="0" applyBorder="0" applyAlignment="0" applyProtection="0"/>
    <xf numFmtId="0" fontId="201" fillId="3" borderId="0" applyNumberFormat="0" applyBorder="0" applyAlignment="0" applyProtection="0"/>
    <xf numFmtId="0" fontId="201" fillId="3" borderId="0" applyNumberFormat="0" applyBorder="0" applyAlignment="0" applyProtection="0"/>
    <xf numFmtId="0" fontId="201" fillId="3" borderId="0" applyNumberFormat="0" applyBorder="0" applyAlignment="0" applyProtection="0"/>
    <xf numFmtId="0" fontId="201" fillId="3" borderId="0" applyNumberFormat="0" applyBorder="0" applyAlignment="0" applyProtection="0"/>
    <xf numFmtId="0" fontId="201" fillId="3" borderId="0" applyNumberFormat="0" applyBorder="0" applyAlignment="0" applyProtection="0"/>
    <xf numFmtId="0" fontId="201" fillId="3" borderId="0" applyNumberFormat="0" applyBorder="0" applyAlignment="0" applyProtection="0"/>
    <xf numFmtId="0" fontId="201" fillId="3" borderId="0" applyNumberFormat="0" applyBorder="0" applyAlignment="0" applyProtection="0"/>
    <xf numFmtId="0" fontId="201" fillId="3" borderId="0" applyNumberFormat="0" applyBorder="0" applyAlignment="0" applyProtection="0"/>
    <xf numFmtId="0" fontId="201" fillId="3" borderId="0" applyNumberFormat="0" applyBorder="0" applyAlignment="0" applyProtection="0"/>
    <xf numFmtId="0" fontId="201" fillId="3" borderId="0" applyNumberFormat="0" applyBorder="0" applyAlignment="0" applyProtection="0"/>
    <xf numFmtId="0" fontId="201" fillId="3" borderId="0" applyNumberFormat="0" applyBorder="0" applyAlignment="0" applyProtection="0"/>
    <xf numFmtId="0" fontId="201" fillId="3" borderId="0" applyNumberFormat="0" applyBorder="0" applyAlignment="0" applyProtection="0"/>
    <xf numFmtId="0" fontId="201" fillId="3" borderId="0" applyNumberFormat="0" applyBorder="0" applyAlignment="0" applyProtection="0"/>
    <xf numFmtId="0" fontId="201" fillId="3" borderId="0" applyNumberFormat="0" applyBorder="0" applyAlignment="0" applyProtection="0"/>
    <xf numFmtId="0" fontId="201" fillId="3" borderId="0" applyNumberFormat="0" applyBorder="0" applyAlignment="0" applyProtection="0"/>
    <xf numFmtId="0" fontId="201" fillId="3" borderId="0" applyNumberFormat="0" applyBorder="0" applyAlignment="0" applyProtection="0"/>
    <xf numFmtId="0" fontId="201" fillId="3" borderId="0" applyNumberFormat="0" applyBorder="0" applyAlignment="0" applyProtection="0"/>
    <xf numFmtId="0" fontId="201" fillId="3" borderId="0" applyNumberFormat="0" applyBorder="0" applyAlignment="0" applyProtection="0"/>
    <xf numFmtId="0" fontId="201" fillId="3" borderId="0" applyNumberFormat="0" applyBorder="0" applyAlignment="0" applyProtection="0"/>
    <xf numFmtId="0" fontId="201" fillId="3" borderId="0" applyNumberFormat="0" applyBorder="0" applyAlignment="0" applyProtection="0"/>
    <xf numFmtId="0" fontId="201" fillId="3" borderId="0" applyNumberFormat="0" applyBorder="0" applyAlignment="0" applyProtection="0"/>
    <xf numFmtId="0" fontId="201" fillId="3" borderId="0" applyNumberFormat="0" applyBorder="0" applyAlignment="0" applyProtection="0"/>
    <xf numFmtId="0" fontId="201" fillId="3" borderId="0" applyNumberFormat="0" applyBorder="0" applyAlignment="0" applyProtection="0"/>
    <xf numFmtId="0" fontId="201" fillId="3" borderId="0" applyNumberFormat="0" applyBorder="0" applyAlignment="0" applyProtection="0"/>
    <xf numFmtId="0" fontId="201" fillId="3" borderId="0" applyNumberFormat="0" applyBorder="0" applyAlignment="0" applyProtection="0"/>
    <xf numFmtId="0" fontId="201" fillId="3" borderId="0" applyNumberFormat="0" applyBorder="0" applyAlignment="0" applyProtection="0"/>
    <xf numFmtId="0" fontId="201" fillId="3" borderId="0" applyNumberFormat="0" applyBorder="0" applyAlignment="0" applyProtection="0"/>
    <xf numFmtId="0" fontId="201" fillId="3" borderId="0" applyNumberFormat="0" applyBorder="0" applyAlignment="0" applyProtection="0"/>
    <xf numFmtId="0" fontId="201" fillId="3" borderId="0" applyNumberFormat="0" applyBorder="0" applyAlignment="0" applyProtection="0"/>
    <xf numFmtId="0" fontId="201" fillId="3" borderId="0" applyNumberFormat="0" applyBorder="0" applyAlignment="0" applyProtection="0"/>
    <xf numFmtId="0" fontId="201" fillId="3" borderId="0" applyNumberFormat="0" applyBorder="0" applyAlignment="0" applyProtection="0"/>
    <xf numFmtId="0" fontId="201" fillId="3" borderId="0" applyNumberFormat="0" applyBorder="0" applyAlignment="0" applyProtection="0"/>
    <xf numFmtId="0" fontId="201" fillId="3" borderId="0" applyNumberFormat="0" applyBorder="0" applyAlignment="0" applyProtection="0"/>
    <xf numFmtId="0" fontId="201" fillId="3" borderId="0" applyNumberFormat="0" applyBorder="0" applyAlignment="0" applyProtection="0"/>
    <xf numFmtId="0" fontId="201" fillId="3" borderId="0" applyNumberFormat="0" applyBorder="0" applyAlignment="0" applyProtection="0"/>
    <xf numFmtId="0" fontId="201" fillId="3" borderId="0" applyNumberFormat="0" applyBorder="0" applyAlignment="0" applyProtection="0"/>
    <xf numFmtId="0" fontId="201" fillId="3" borderId="0" applyNumberFormat="0" applyBorder="0" applyAlignment="0" applyProtection="0"/>
    <xf numFmtId="0" fontId="79" fillId="36" borderId="0" applyNumberFormat="0" applyBorder="0" applyAlignment="0" applyProtection="0"/>
    <xf numFmtId="238" fontId="79" fillId="36" borderId="0" applyNumberFormat="0" applyBorder="0" applyAlignment="0" applyProtection="0"/>
    <xf numFmtId="238" fontId="79" fillId="36" borderId="0" applyNumberFormat="0" applyBorder="0" applyAlignment="0" applyProtection="0"/>
    <xf numFmtId="238" fontId="79" fillId="36" borderId="0" applyNumberFormat="0" applyBorder="0" applyAlignment="0" applyProtection="0"/>
    <xf numFmtId="238" fontId="79" fillId="36" borderId="0" applyNumberFormat="0" applyBorder="0" applyAlignment="0" applyProtection="0"/>
    <xf numFmtId="238" fontId="79" fillId="36" borderId="0" applyNumberFormat="0" applyBorder="0" applyAlignment="0" applyProtection="0"/>
    <xf numFmtId="238" fontId="79" fillId="36" borderId="0" applyNumberFormat="0" applyBorder="0" applyAlignment="0" applyProtection="0"/>
    <xf numFmtId="238" fontId="79" fillId="36" borderId="0" applyNumberFormat="0" applyBorder="0" applyAlignment="0" applyProtection="0"/>
    <xf numFmtId="238" fontId="79" fillId="36" borderId="0" applyNumberFormat="0" applyBorder="0" applyAlignment="0" applyProtection="0"/>
    <xf numFmtId="238" fontId="79" fillId="36" borderId="0" applyNumberFormat="0" applyBorder="0" applyAlignment="0" applyProtection="0"/>
    <xf numFmtId="238" fontId="79" fillId="36" borderId="0" applyNumberFormat="0" applyBorder="0" applyAlignment="0" applyProtection="0"/>
    <xf numFmtId="238" fontId="79" fillId="36" borderId="0" applyNumberFormat="0" applyBorder="0" applyAlignment="0" applyProtection="0"/>
    <xf numFmtId="238" fontId="79" fillId="36" borderId="0" applyNumberFormat="0" applyBorder="0" applyAlignment="0" applyProtection="0"/>
    <xf numFmtId="238" fontId="79" fillId="36" borderId="0" applyNumberFormat="0" applyBorder="0" applyAlignment="0" applyProtection="0"/>
    <xf numFmtId="238" fontId="79" fillId="36" borderId="0" applyNumberFormat="0" applyBorder="0" applyAlignment="0" applyProtection="0"/>
    <xf numFmtId="238" fontId="79" fillId="36" borderId="0" applyNumberFormat="0" applyBorder="0" applyAlignment="0" applyProtection="0"/>
    <xf numFmtId="238" fontId="79" fillId="36" borderId="0" applyNumberFormat="0" applyBorder="0" applyAlignment="0" applyProtection="0"/>
    <xf numFmtId="238" fontId="79" fillId="36" borderId="0" applyNumberFormat="0" applyBorder="0" applyAlignment="0" applyProtection="0"/>
    <xf numFmtId="238" fontId="79" fillId="36" borderId="0" applyNumberFormat="0" applyBorder="0" applyAlignment="0" applyProtection="0"/>
    <xf numFmtId="238" fontId="79" fillId="36" borderId="0" applyNumberFormat="0" applyBorder="0" applyAlignment="0" applyProtection="0"/>
    <xf numFmtId="238" fontId="79" fillId="36" borderId="0" applyNumberFormat="0" applyBorder="0" applyAlignment="0" applyProtection="0"/>
    <xf numFmtId="238" fontId="79" fillId="36" borderId="0" applyNumberFormat="0" applyBorder="0" applyAlignment="0" applyProtection="0"/>
    <xf numFmtId="238" fontId="79" fillId="36" borderId="0" applyNumberFormat="0" applyBorder="0" applyAlignment="0" applyProtection="0"/>
    <xf numFmtId="238" fontId="79" fillId="36" borderId="0" applyNumberFormat="0" applyBorder="0" applyAlignment="0" applyProtection="0"/>
    <xf numFmtId="238" fontId="79" fillId="36" borderId="0" applyNumberFormat="0" applyBorder="0" applyAlignment="0" applyProtection="0"/>
    <xf numFmtId="238" fontId="79" fillId="36" borderId="0" applyNumberFormat="0" applyBorder="0" applyAlignment="0" applyProtection="0"/>
    <xf numFmtId="238" fontId="79" fillId="36" borderId="0" applyNumberFormat="0" applyBorder="0" applyAlignment="0" applyProtection="0"/>
    <xf numFmtId="238" fontId="79" fillId="36" borderId="0" applyNumberFormat="0" applyBorder="0" applyAlignment="0" applyProtection="0"/>
    <xf numFmtId="238" fontId="79" fillId="36" borderId="0" applyNumberFormat="0" applyBorder="0" applyAlignment="0" applyProtection="0"/>
    <xf numFmtId="238" fontId="79" fillId="36" borderId="0" applyNumberFormat="0" applyBorder="0" applyAlignment="0" applyProtection="0"/>
    <xf numFmtId="238" fontId="79" fillId="36" borderId="0" applyNumberFormat="0" applyBorder="0" applyAlignment="0" applyProtection="0"/>
    <xf numFmtId="238" fontId="79" fillId="36" borderId="0" applyNumberFormat="0" applyBorder="0" applyAlignment="0" applyProtection="0"/>
    <xf numFmtId="238" fontId="79" fillId="36" borderId="0" applyNumberFormat="0" applyBorder="0" applyAlignment="0" applyProtection="0"/>
    <xf numFmtId="238" fontId="79" fillId="36" borderId="0" applyNumberFormat="0" applyBorder="0" applyAlignment="0" applyProtection="0"/>
    <xf numFmtId="238" fontId="79" fillId="36" borderId="0" applyNumberFormat="0" applyBorder="0" applyAlignment="0" applyProtection="0"/>
    <xf numFmtId="238" fontId="79" fillId="36" borderId="0" applyNumberFormat="0" applyBorder="0" applyAlignment="0" applyProtection="0"/>
    <xf numFmtId="238" fontId="79" fillId="36" borderId="0" applyNumberFormat="0" applyBorder="0" applyAlignment="0" applyProtection="0"/>
    <xf numFmtId="238" fontId="79" fillId="36" borderId="0" applyNumberFormat="0" applyBorder="0" applyAlignment="0" applyProtection="0"/>
    <xf numFmtId="238" fontId="79" fillId="36" borderId="0" applyNumberFormat="0" applyBorder="0" applyAlignment="0" applyProtection="0"/>
    <xf numFmtId="238" fontId="79" fillId="36" borderId="0" applyNumberFormat="0" applyBorder="0" applyAlignment="0" applyProtection="0"/>
    <xf numFmtId="238" fontId="79" fillId="36" borderId="0" applyNumberFormat="0" applyBorder="0" applyAlignment="0" applyProtection="0"/>
    <xf numFmtId="238" fontId="79" fillId="36" borderId="0" applyNumberFormat="0" applyBorder="0" applyAlignment="0" applyProtection="0"/>
    <xf numFmtId="238" fontId="79" fillId="36" borderId="0" applyNumberFormat="0" applyBorder="0" applyAlignment="0" applyProtection="0"/>
    <xf numFmtId="238" fontId="79" fillId="36" borderId="0" applyNumberFormat="0" applyBorder="0" applyAlignment="0" applyProtection="0"/>
    <xf numFmtId="0" fontId="202" fillId="80" borderId="0" applyNumberFormat="0" applyBorder="0" applyAlignment="0">
      <protection hidden="1"/>
    </xf>
    <xf numFmtId="0" fontId="66" fillId="0" borderId="0" applyNumberFormat="0" applyBorder="0" applyAlignment="0"/>
    <xf numFmtId="38" fontId="203" fillId="0" borderId="0" applyNumberFormat="0" applyFill="0" applyBorder="0" applyAlignment="0" applyProtection="0"/>
    <xf numFmtId="0" fontId="66" fillId="0" borderId="0"/>
    <xf numFmtId="0" fontId="204" fillId="0" borderId="0" applyNumberFormat="0" applyFill="0" applyBorder="0" applyAlignment="0" applyProtection="0"/>
    <xf numFmtId="0" fontId="150" fillId="0" borderId="0"/>
    <xf numFmtId="238" fontId="205" fillId="0" borderId="0" applyNumberFormat="0" applyFill="0" applyAlignment="0" applyProtection="0"/>
    <xf numFmtId="0" fontId="206" fillId="0" borderId="0" applyNumberFormat="0" applyFont="0" applyBorder="0" applyAlignment="0" applyProtection="0">
      <alignment horizontal="left" vertical="top" wrapText="1"/>
    </xf>
    <xf numFmtId="274" fontId="95" fillId="0" borderId="0">
      <alignment horizontal="left"/>
    </xf>
    <xf numFmtId="238" fontId="207" fillId="0" borderId="0" applyNumberFormat="0" applyFill="0" applyBorder="0" applyAlignment="0" applyProtection="0"/>
    <xf numFmtId="0" fontId="208" fillId="0" borderId="0" applyNumberFormat="0" applyFill="0" applyBorder="0" applyAlignment="0" applyProtection="0"/>
    <xf numFmtId="238" fontId="209" fillId="0" borderId="0" applyNumberFormat="0" applyFill="0" applyBorder="0" applyAlignment="0" applyProtection="0"/>
    <xf numFmtId="238" fontId="210" fillId="0" borderId="0" applyNumberFormat="0" applyFill="0" applyBorder="0" applyAlignment="0" applyProtection="0"/>
    <xf numFmtId="238" fontId="211" fillId="0" borderId="0" applyNumberFormat="0" applyFill="0" applyBorder="0" applyAlignment="0" applyProtection="0"/>
    <xf numFmtId="238" fontId="212" fillId="0" borderId="0" applyNumberFormat="0" applyFill="0" applyBorder="0" applyAlignment="0" applyProtection="0"/>
    <xf numFmtId="0" fontId="95" fillId="0" borderId="26" applyNumberFormat="0" applyFill="0" applyAlignment="0" applyProtection="0"/>
    <xf numFmtId="0" fontId="95" fillId="0" borderId="26" applyNumberFormat="0" applyFill="0" applyAlignment="0" applyProtection="0"/>
    <xf numFmtId="236" fontId="213" fillId="0" borderId="0"/>
    <xf numFmtId="0" fontId="213" fillId="0" borderId="0">
      <alignment vertical="center"/>
    </xf>
    <xf numFmtId="238" fontId="214" fillId="0" borderId="0" applyFont="0" applyFill="0" applyBorder="0" applyAlignment="0" applyProtection="0"/>
    <xf numFmtId="278" fontId="78" fillId="0" borderId="45" applyNumberFormat="0" applyFont="0" applyFill="0" applyAlignment="0" applyProtection="0"/>
    <xf numFmtId="0" fontId="203" fillId="0" borderId="12" applyNumberFormat="0" applyFont="0" applyFill="0" applyAlignment="0" applyProtection="0"/>
    <xf numFmtId="0" fontId="203" fillId="0" borderId="12" applyNumberFormat="0" applyFont="0" applyFill="0" applyAlignment="0" applyProtection="0"/>
    <xf numFmtId="0" fontId="203" fillId="0" borderId="12" applyNumberFormat="0" applyFont="0" applyFill="0" applyAlignment="0" applyProtection="0"/>
    <xf numFmtId="0" fontId="90" fillId="0" borderId="26"/>
    <xf numFmtId="0" fontId="90" fillId="0" borderId="26"/>
    <xf numFmtId="0" fontId="203" fillId="0" borderId="56" applyNumberFormat="0" applyFont="0" applyFill="0" applyAlignment="0" applyProtection="0"/>
    <xf numFmtId="0" fontId="199" fillId="0" borderId="53"/>
    <xf numFmtId="0" fontId="199" fillId="0" borderId="53"/>
    <xf numFmtId="0" fontId="150" fillId="0" borderId="56">
      <alignment horizontal="centerContinuous"/>
    </xf>
    <xf numFmtId="0" fontId="150" fillId="0" borderId="56">
      <alignment horizontal="centerContinuous"/>
    </xf>
    <xf numFmtId="0" fontId="150" fillId="0" borderId="56">
      <alignment horizontal="centerContinuous"/>
    </xf>
    <xf numFmtId="0" fontId="66" fillId="0" borderId="57" applyBorder="0">
      <alignment horizontal="centerContinuous"/>
    </xf>
    <xf numFmtId="0" fontId="66" fillId="0" borderId="57" applyBorder="0">
      <alignment horizontal="centerContinuous"/>
    </xf>
    <xf numFmtId="0" fontId="66" fillId="0" borderId="57" applyBorder="0">
      <alignment horizontal="centerContinuous"/>
    </xf>
    <xf numFmtId="279" fontId="102" fillId="0" borderId="0" applyFill="0" applyBorder="0" applyAlignment="0" applyProtection="0"/>
    <xf numFmtId="0" fontId="215" fillId="0" borderId="0"/>
    <xf numFmtId="38" fontId="70" fillId="0" borderId="0" applyFill="0" applyBorder="0" applyAlignment="0" applyProtection="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66" fillId="0" borderId="0"/>
    <xf numFmtId="0" fontId="215" fillId="0" borderId="0"/>
    <xf numFmtId="0" fontId="215" fillId="0" borderId="0"/>
    <xf numFmtId="0" fontId="66" fillId="0" borderId="0"/>
    <xf numFmtId="0" fontId="66" fillId="0" borderId="0"/>
    <xf numFmtId="0" fontId="66" fillId="0" borderId="0"/>
    <xf numFmtId="0" fontId="215" fillId="0" borderId="0"/>
    <xf numFmtId="0" fontId="66" fillId="0" borderId="0"/>
    <xf numFmtId="0" fontId="215" fillId="0" borderId="0"/>
    <xf numFmtId="0" fontId="66" fillId="0" borderId="0"/>
    <xf numFmtId="0" fontId="66" fillId="0" borderId="0"/>
    <xf numFmtId="0" fontId="66" fillId="0" borderId="0"/>
    <xf numFmtId="0" fontId="66" fillId="0" borderId="0"/>
    <xf numFmtId="0" fontId="215" fillId="0" borderId="0"/>
    <xf numFmtId="0" fontId="66" fillId="0" borderId="0"/>
    <xf numFmtId="0" fontId="66" fillId="0" borderId="0"/>
    <xf numFmtId="0" fontId="66" fillId="0" borderId="0"/>
    <xf numFmtId="0" fontId="215" fillId="0" borderId="0"/>
    <xf numFmtId="0" fontId="215" fillId="0" borderId="0"/>
    <xf numFmtId="0" fontId="66" fillId="0" borderId="0"/>
    <xf numFmtId="0" fontId="66" fillId="0" borderId="0"/>
    <xf numFmtId="0" fontId="66" fillId="0" borderId="0"/>
    <xf numFmtId="0" fontId="66"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66" fillId="0" borderId="0" applyNumberFormat="0" applyFont="0" applyFill="0" applyBorder="0" applyProtection="0">
      <alignment horizontal="centerContinuous"/>
    </xf>
    <xf numFmtId="0" fontId="176"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199" fillId="0" borderId="0">
      <alignment horizontal="right"/>
    </xf>
    <xf numFmtId="0" fontId="199" fillId="0" borderId="0">
      <alignment horizontal="right"/>
    </xf>
    <xf numFmtId="0" fontId="215" fillId="0" borderId="0"/>
    <xf numFmtId="0" fontId="215" fillId="0" borderId="0"/>
    <xf numFmtId="0" fontId="199" fillId="0" borderId="0">
      <alignment horizontal="right"/>
    </xf>
    <xf numFmtId="0" fontId="199" fillId="0" borderId="0">
      <alignment horizontal="right"/>
    </xf>
    <xf numFmtId="0" fontId="199" fillId="0" borderId="0">
      <alignment horizontal="right"/>
    </xf>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66" fillId="0" borderId="0"/>
    <xf numFmtId="0" fontId="66" fillId="0" borderId="0"/>
    <xf numFmtId="0" fontId="66" fillId="0" borderId="0"/>
    <xf numFmtId="0" fontId="66" fillId="0" borderId="0"/>
    <xf numFmtId="0" fontId="215" fillId="0" borderId="0"/>
    <xf numFmtId="0" fontId="215" fillId="0" borderId="0"/>
    <xf numFmtId="0" fontId="215" fillId="0" borderId="0"/>
    <xf numFmtId="0" fontId="66" fillId="0" borderId="0"/>
    <xf numFmtId="0" fontId="66" fillId="0" borderId="0"/>
    <xf numFmtId="0" fontId="66" fillId="0" borderId="0"/>
    <xf numFmtId="0" fontId="66" fillId="0" borderId="0"/>
    <xf numFmtId="0" fontId="215" fillId="0" borderId="0"/>
    <xf numFmtId="0" fontId="66" fillId="0" borderId="0"/>
    <xf numFmtId="0" fontId="66" fillId="0" borderId="0"/>
    <xf numFmtId="0" fontId="66" fillId="0" borderId="0"/>
    <xf numFmtId="0" fontId="66"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238" fontId="216" fillId="0" borderId="0"/>
    <xf numFmtId="37" fontId="150" fillId="0" borderId="0">
      <alignment horizontal="center"/>
    </xf>
    <xf numFmtId="0" fontId="102" fillId="0" borderId="0"/>
    <xf numFmtId="0" fontId="95" fillId="0" borderId="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0" fontId="217" fillId="6" borderId="4" applyNumberFormat="0" applyAlignment="0" applyProtection="0"/>
    <xf numFmtId="238" fontId="84" fillId="61" borderId="13" applyNumberFormat="0" applyAlignment="0" applyProtection="0"/>
    <xf numFmtId="0" fontId="217" fillId="6" borderId="4" applyNumberFormat="0" applyAlignment="0" applyProtection="0"/>
    <xf numFmtId="238" fontId="84" fillId="61" borderId="13" applyNumberFormat="0" applyAlignment="0" applyProtection="0"/>
    <xf numFmtId="0" fontId="217" fillId="6" borderId="4" applyNumberFormat="0" applyAlignment="0" applyProtection="0"/>
    <xf numFmtId="238" fontId="84" fillId="61" borderId="13" applyNumberFormat="0" applyAlignment="0" applyProtection="0"/>
    <xf numFmtId="0" fontId="217" fillId="6" borderId="4" applyNumberFormat="0" applyAlignment="0" applyProtection="0"/>
    <xf numFmtId="238" fontId="84" fillId="61" borderId="13" applyNumberFormat="0" applyAlignment="0" applyProtection="0"/>
    <xf numFmtId="0" fontId="217" fillId="6" borderId="4" applyNumberFormat="0" applyAlignment="0" applyProtection="0"/>
    <xf numFmtId="238" fontId="84" fillId="61" borderId="13" applyNumberFormat="0" applyAlignment="0" applyProtection="0"/>
    <xf numFmtId="0" fontId="217" fillId="6" borderId="4" applyNumberFormat="0" applyAlignment="0" applyProtection="0"/>
    <xf numFmtId="238" fontId="84" fillId="61" borderId="13" applyNumberFormat="0" applyAlignment="0" applyProtection="0"/>
    <xf numFmtId="0" fontId="217" fillId="6" borderId="4" applyNumberFormat="0" applyAlignment="0" applyProtection="0"/>
    <xf numFmtId="238" fontId="84" fillId="61" borderId="13" applyNumberFormat="0" applyAlignment="0" applyProtection="0"/>
    <xf numFmtId="0" fontId="217" fillId="6" borderId="4" applyNumberFormat="0" applyAlignment="0" applyProtection="0"/>
    <xf numFmtId="238" fontId="84" fillId="61" borderId="13" applyNumberFormat="0" applyAlignment="0" applyProtection="0"/>
    <xf numFmtId="0" fontId="217" fillId="6" borderId="4" applyNumberFormat="0" applyAlignment="0" applyProtection="0"/>
    <xf numFmtId="238" fontId="84" fillId="61" borderId="13" applyNumberFormat="0" applyAlignment="0" applyProtection="0"/>
    <xf numFmtId="0" fontId="217" fillId="6" borderId="4" applyNumberFormat="0" applyAlignment="0" applyProtection="0"/>
    <xf numFmtId="238" fontId="84" fillId="61" borderId="13" applyNumberFormat="0" applyAlignment="0" applyProtection="0"/>
    <xf numFmtId="0" fontId="217" fillId="6" borderId="4" applyNumberFormat="0" applyAlignment="0" applyProtection="0"/>
    <xf numFmtId="238" fontId="84" fillId="61" borderId="13" applyNumberFormat="0" applyAlignment="0" applyProtection="0"/>
    <xf numFmtId="0" fontId="217" fillId="6" borderId="4" applyNumberFormat="0" applyAlignment="0" applyProtection="0"/>
    <xf numFmtId="238" fontId="84" fillId="61" borderId="13" applyNumberFormat="0" applyAlignment="0" applyProtection="0"/>
    <xf numFmtId="0" fontId="217" fillId="6" borderId="4" applyNumberFormat="0" applyAlignment="0" applyProtection="0"/>
    <xf numFmtId="238" fontId="84" fillId="61" borderId="13" applyNumberFormat="0" applyAlignment="0" applyProtection="0"/>
    <xf numFmtId="0" fontId="217" fillId="6" borderId="4" applyNumberFormat="0" applyAlignment="0" applyProtection="0"/>
    <xf numFmtId="238" fontId="84" fillId="61" borderId="13" applyNumberFormat="0" applyAlignment="0" applyProtection="0"/>
    <xf numFmtId="0" fontId="217" fillId="6" borderId="4" applyNumberFormat="0" applyAlignment="0" applyProtection="0"/>
    <xf numFmtId="238" fontId="84" fillId="61" borderId="13" applyNumberFormat="0" applyAlignment="0" applyProtection="0"/>
    <xf numFmtId="0" fontId="217" fillId="6" borderId="4" applyNumberFormat="0" applyAlignment="0" applyProtection="0"/>
    <xf numFmtId="238" fontId="84" fillId="61" borderId="13" applyNumberFormat="0" applyAlignment="0" applyProtection="0"/>
    <xf numFmtId="0" fontId="217" fillId="6" borderId="4" applyNumberFormat="0" applyAlignment="0" applyProtection="0"/>
    <xf numFmtId="238" fontId="84" fillId="61" borderId="13" applyNumberFormat="0" applyAlignment="0" applyProtection="0"/>
    <xf numFmtId="0" fontId="217" fillId="6" borderId="4" applyNumberFormat="0" applyAlignment="0" applyProtection="0"/>
    <xf numFmtId="238" fontId="84" fillId="61" borderId="13" applyNumberFormat="0" applyAlignment="0" applyProtection="0"/>
    <xf numFmtId="0" fontId="217" fillId="6" borderId="4" applyNumberFormat="0" applyAlignment="0" applyProtection="0"/>
    <xf numFmtId="238" fontId="84" fillId="61" borderId="13" applyNumberFormat="0" applyAlignment="0" applyProtection="0"/>
    <xf numFmtId="0" fontId="217" fillId="6" borderId="4" applyNumberFormat="0" applyAlignment="0" applyProtection="0"/>
    <xf numFmtId="238" fontId="84" fillId="61" borderId="13" applyNumberFormat="0" applyAlignment="0" applyProtection="0"/>
    <xf numFmtId="0" fontId="217" fillId="6" borderId="4" applyNumberFormat="0" applyAlignment="0" applyProtection="0"/>
    <xf numFmtId="238" fontId="84" fillId="61" borderId="13" applyNumberFormat="0" applyAlignment="0" applyProtection="0"/>
    <xf numFmtId="0" fontId="217" fillId="6" borderId="4" applyNumberFormat="0" applyAlignment="0" applyProtection="0"/>
    <xf numFmtId="238" fontId="84" fillId="61" borderId="13" applyNumberFormat="0" applyAlignment="0" applyProtection="0"/>
    <xf numFmtId="0" fontId="217" fillId="6" borderId="4" applyNumberFormat="0" applyAlignment="0" applyProtection="0"/>
    <xf numFmtId="238" fontId="84" fillId="61" borderId="13" applyNumberFormat="0" applyAlignment="0" applyProtection="0"/>
    <xf numFmtId="0" fontId="217" fillId="6" borderId="4" applyNumberFormat="0" applyAlignment="0" applyProtection="0"/>
    <xf numFmtId="238" fontId="84" fillId="61" borderId="13" applyNumberFormat="0" applyAlignment="0" applyProtection="0"/>
    <xf numFmtId="0" fontId="217" fillId="6" borderId="4" applyNumberFormat="0" applyAlignment="0" applyProtection="0"/>
    <xf numFmtId="238" fontId="84" fillId="61" borderId="13" applyNumberFormat="0" applyAlignment="0" applyProtection="0"/>
    <xf numFmtId="0" fontId="217" fillId="6" borderId="4" applyNumberFormat="0" applyAlignment="0" applyProtection="0"/>
    <xf numFmtId="238" fontId="84" fillId="61" borderId="13" applyNumberFormat="0" applyAlignment="0" applyProtection="0"/>
    <xf numFmtId="0" fontId="217" fillId="6" borderId="4" applyNumberFormat="0" applyAlignment="0" applyProtection="0"/>
    <xf numFmtId="238" fontId="84" fillId="61" borderId="13" applyNumberFormat="0" applyAlignment="0" applyProtection="0"/>
    <xf numFmtId="0" fontId="217" fillId="6" borderId="4" applyNumberFormat="0" applyAlignment="0" applyProtection="0"/>
    <xf numFmtId="238" fontId="84" fillId="61" borderId="13" applyNumberFormat="0" applyAlignment="0" applyProtection="0"/>
    <xf numFmtId="0" fontId="217" fillId="6" borderId="4" applyNumberFormat="0" applyAlignment="0" applyProtection="0"/>
    <xf numFmtId="238" fontId="84" fillId="61" borderId="13" applyNumberFormat="0" applyAlignment="0" applyProtection="0"/>
    <xf numFmtId="0" fontId="217" fillId="6" borderId="4" applyNumberFormat="0" applyAlignment="0" applyProtection="0"/>
    <xf numFmtId="238" fontId="84" fillId="61" borderId="13" applyNumberFormat="0" applyAlignment="0" applyProtection="0"/>
    <xf numFmtId="0" fontId="217" fillId="6" borderId="4" applyNumberFormat="0" applyAlignment="0" applyProtection="0"/>
    <xf numFmtId="238" fontId="84" fillId="61" borderId="13" applyNumberFormat="0" applyAlignment="0" applyProtection="0"/>
    <xf numFmtId="0" fontId="217" fillId="6" borderId="4" applyNumberFormat="0" applyAlignment="0" applyProtection="0"/>
    <xf numFmtId="238" fontId="84" fillId="61" borderId="13" applyNumberFormat="0" applyAlignment="0" applyProtection="0"/>
    <xf numFmtId="0" fontId="217" fillId="6" borderId="4" applyNumberFormat="0" applyAlignment="0" applyProtection="0"/>
    <xf numFmtId="238" fontId="84" fillId="61" borderId="13" applyNumberFormat="0" applyAlignment="0" applyProtection="0"/>
    <xf numFmtId="0" fontId="217" fillId="6" borderId="4" applyNumberFormat="0" applyAlignment="0" applyProtection="0"/>
    <xf numFmtId="238" fontId="84" fillId="61" borderId="13" applyNumberFormat="0" applyAlignment="0" applyProtection="0"/>
    <xf numFmtId="0" fontId="217" fillId="6" borderId="4" applyNumberFormat="0" applyAlignment="0" applyProtection="0"/>
    <xf numFmtId="238" fontId="84" fillId="61" borderId="13" applyNumberFormat="0" applyAlignment="0" applyProtection="0"/>
    <xf numFmtId="0" fontId="217" fillId="6" borderId="4"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0" fontId="217" fillId="6" borderId="4"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0" fontId="217" fillId="6" borderId="4"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0" fontId="217" fillId="6" borderId="4" applyNumberFormat="0" applyAlignment="0" applyProtection="0"/>
    <xf numFmtId="238" fontId="84" fillId="61" borderId="13" applyNumberFormat="0" applyAlignment="0" applyProtection="0"/>
    <xf numFmtId="0" fontId="217" fillId="6" borderId="4" applyNumberFormat="0" applyAlignment="0" applyProtection="0"/>
    <xf numFmtId="238" fontId="84" fillId="61" borderId="13" applyNumberFormat="0" applyAlignment="0" applyProtection="0"/>
    <xf numFmtId="0" fontId="217" fillId="6" borderId="4" applyNumberFormat="0" applyAlignment="0" applyProtection="0"/>
    <xf numFmtId="238" fontId="84" fillId="61" borderId="13" applyNumberFormat="0" applyAlignment="0" applyProtection="0"/>
    <xf numFmtId="0"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84" fillId="61" borderId="13" applyNumberFormat="0" applyAlignment="0" applyProtection="0"/>
    <xf numFmtId="238" fontId="218" fillId="0" borderId="0">
      <alignment vertical="center"/>
    </xf>
    <xf numFmtId="238" fontId="112" fillId="0" borderId="20" applyNumberFormat="0" applyFill="0" applyAlignment="0" applyProtection="0"/>
    <xf numFmtId="238" fontId="86" fillId="62" borderId="14" applyNumberFormat="0" applyAlignment="0" applyProtection="0"/>
    <xf numFmtId="238" fontId="112" fillId="0" borderId="20" applyNumberFormat="0" applyFill="0" applyAlignment="0" applyProtection="0"/>
    <xf numFmtId="0" fontId="174" fillId="0" borderId="0">
      <alignment horizontal="right"/>
    </xf>
    <xf numFmtId="1" fontId="219" fillId="0" borderId="0"/>
    <xf numFmtId="0" fontId="93" fillId="0" borderId="0"/>
    <xf numFmtId="238" fontId="86" fillId="62" borderId="14" applyNumberFormat="0" applyAlignment="0" applyProtection="0"/>
    <xf numFmtId="238" fontId="86" fillId="62" borderId="14" applyNumberFormat="0" applyAlignment="0" applyProtection="0"/>
    <xf numFmtId="238" fontId="86" fillId="62" borderId="14" applyNumberFormat="0" applyAlignment="0" applyProtection="0"/>
    <xf numFmtId="238" fontId="86" fillId="62" borderId="14" applyNumberFormat="0" applyAlignment="0" applyProtection="0"/>
    <xf numFmtId="238" fontId="86" fillId="62" borderId="14" applyNumberFormat="0" applyAlignment="0" applyProtection="0"/>
    <xf numFmtId="238" fontId="86" fillId="62" borderId="14" applyNumberFormat="0" applyAlignment="0" applyProtection="0"/>
    <xf numFmtId="238" fontId="86" fillId="62" borderId="14" applyNumberFormat="0" applyAlignment="0" applyProtection="0"/>
    <xf numFmtId="238" fontId="86" fillId="62" borderId="14" applyNumberFormat="0" applyAlignment="0" applyProtection="0"/>
    <xf numFmtId="238" fontId="86" fillId="62" borderId="14" applyNumberFormat="0" applyAlignment="0" applyProtection="0"/>
    <xf numFmtId="238" fontId="86" fillId="62" borderId="14" applyNumberFormat="0" applyAlignment="0" applyProtection="0"/>
    <xf numFmtId="0" fontId="220" fillId="7" borderId="7" applyNumberFormat="0" applyAlignment="0" applyProtection="0"/>
    <xf numFmtId="0" fontId="220" fillId="7" borderId="7" applyNumberFormat="0" applyAlignment="0" applyProtection="0"/>
    <xf numFmtId="0" fontId="220" fillId="7" borderId="7" applyNumberFormat="0" applyAlignment="0" applyProtection="0"/>
    <xf numFmtId="0" fontId="220" fillId="7" borderId="7" applyNumberFormat="0" applyAlignment="0" applyProtection="0"/>
    <xf numFmtId="0" fontId="220" fillId="7" borderId="7" applyNumberFormat="0" applyAlignment="0" applyProtection="0"/>
    <xf numFmtId="0" fontId="220" fillId="7" borderId="7" applyNumberFormat="0" applyAlignment="0" applyProtection="0"/>
    <xf numFmtId="0" fontId="220" fillId="7" borderId="7" applyNumberFormat="0" applyAlignment="0" applyProtection="0"/>
    <xf numFmtId="0" fontId="220" fillId="7" borderId="7" applyNumberFormat="0" applyAlignment="0" applyProtection="0"/>
    <xf numFmtId="0" fontId="220" fillId="7" borderId="7" applyNumberFormat="0" applyAlignment="0" applyProtection="0"/>
    <xf numFmtId="0" fontId="220" fillId="7" borderId="7" applyNumberFormat="0" applyAlignment="0" applyProtection="0"/>
    <xf numFmtId="0" fontId="220" fillId="7" borderId="7" applyNumberFormat="0" applyAlignment="0" applyProtection="0"/>
    <xf numFmtId="0" fontId="220" fillId="7" borderId="7" applyNumberFormat="0" applyAlignment="0" applyProtection="0"/>
    <xf numFmtId="0" fontId="220" fillId="7" borderId="7" applyNumberFormat="0" applyAlignment="0" applyProtection="0"/>
    <xf numFmtId="0" fontId="220" fillId="7" borderId="7" applyNumberFormat="0" applyAlignment="0" applyProtection="0"/>
    <xf numFmtId="0" fontId="220" fillId="7" borderId="7" applyNumberFormat="0" applyAlignment="0" applyProtection="0"/>
    <xf numFmtId="0" fontId="220" fillId="7" borderId="7" applyNumberFormat="0" applyAlignment="0" applyProtection="0"/>
    <xf numFmtId="0" fontId="220" fillId="7" borderId="7" applyNumberFormat="0" applyAlignment="0" applyProtection="0"/>
    <xf numFmtId="0" fontId="220" fillId="7" borderId="7" applyNumberFormat="0" applyAlignment="0" applyProtection="0"/>
    <xf numFmtId="0" fontId="220" fillId="7" borderId="7" applyNumberFormat="0" applyAlignment="0" applyProtection="0"/>
    <xf numFmtId="0" fontId="220" fillId="7" borderId="7" applyNumberFormat="0" applyAlignment="0" applyProtection="0"/>
    <xf numFmtId="0" fontId="220" fillId="7" borderId="7" applyNumberFormat="0" applyAlignment="0" applyProtection="0"/>
    <xf numFmtId="0" fontId="220" fillId="7" borderId="7" applyNumberFormat="0" applyAlignment="0" applyProtection="0"/>
    <xf numFmtId="0" fontId="220" fillId="7" borderId="7" applyNumberFormat="0" applyAlignment="0" applyProtection="0"/>
    <xf numFmtId="0" fontId="220" fillId="7" borderId="7" applyNumberFormat="0" applyAlignment="0" applyProtection="0"/>
    <xf numFmtId="0" fontId="220" fillId="7" borderId="7" applyNumberFormat="0" applyAlignment="0" applyProtection="0"/>
    <xf numFmtId="0" fontId="220" fillId="7" borderId="7" applyNumberFormat="0" applyAlignment="0" applyProtection="0"/>
    <xf numFmtId="0" fontId="220" fillId="7" borderId="7" applyNumberFormat="0" applyAlignment="0" applyProtection="0"/>
    <xf numFmtId="0" fontId="220" fillId="7" borderId="7" applyNumberFormat="0" applyAlignment="0" applyProtection="0"/>
    <xf numFmtId="0" fontId="220" fillId="7" borderId="7" applyNumberFormat="0" applyAlignment="0" applyProtection="0"/>
    <xf numFmtId="0" fontId="220" fillId="7" borderId="7" applyNumberFormat="0" applyAlignment="0" applyProtection="0"/>
    <xf numFmtId="0" fontId="220" fillId="7" borderId="7" applyNumberFormat="0" applyAlignment="0" applyProtection="0"/>
    <xf numFmtId="0" fontId="220" fillId="7" borderId="7" applyNumberFormat="0" applyAlignment="0" applyProtection="0"/>
    <xf numFmtId="0" fontId="220" fillId="7" borderId="7" applyNumberFormat="0" applyAlignment="0" applyProtection="0"/>
    <xf numFmtId="0" fontId="220" fillId="7" borderId="7" applyNumberFormat="0" applyAlignment="0" applyProtection="0"/>
    <xf numFmtId="0" fontId="220" fillId="7" borderId="7" applyNumberFormat="0" applyAlignment="0" applyProtection="0"/>
    <xf numFmtId="0" fontId="220" fillId="7" borderId="7" applyNumberFormat="0" applyAlignment="0" applyProtection="0"/>
    <xf numFmtId="0" fontId="220" fillId="7" borderId="7" applyNumberFormat="0" applyAlignment="0" applyProtection="0"/>
    <xf numFmtId="0" fontId="220" fillId="7" borderId="7" applyNumberFormat="0" applyAlignment="0" applyProtection="0"/>
    <xf numFmtId="0" fontId="220" fillId="7" borderId="7" applyNumberFormat="0" applyAlignment="0" applyProtection="0"/>
    <xf numFmtId="0" fontId="220" fillId="7" borderId="7" applyNumberFormat="0" applyAlignment="0" applyProtection="0"/>
    <xf numFmtId="0" fontId="220" fillId="7" borderId="7" applyNumberFormat="0" applyAlignment="0" applyProtection="0"/>
    <xf numFmtId="0" fontId="86" fillId="62" borderId="14" applyNumberFormat="0" applyAlignment="0" applyProtection="0"/>
    <xf numFmtId="238" fontId="86" fillId="62" borderId="14" applyNumberFormat="0" applyAlignment="0" applyProtection="0"/>
    <xf numFmtId="238" fontId="86" fillId="62" borderId="14" applyNumberFormat="0" applyAlignment="0" applyProtection="0"/>
    <xf numFmtId="238" fontId="86" fillId="62" borderId="14" applyNumberFormat="0" applyAlignment="0" applyProtection="0"/>
    <xf numFmtId="238" fontId="86" fillId="62" borderId="14" applyNumberFormat="0" applyAlignment="0" applyProtection="0"/>
    <xf numFmtId="238" fontId="86" fillId="62" borderId="14" applyNumberFormat="0" applyAlignment="0" applyProtection="0"/>
    <xf numFmtId="238" fontId="86" fillId="62" borderId="14" applyNumberFormat="0" applyAlignment="0" applyProtection="0"/>
    <xf numFmtId="238" fontId="86" fillId="62" borderId="14" applyNumberFormat="0" applyAlignment="0" applyProtection="0"/>
    <xf numFmtId="238" fontId="86" fillId="62" borderId="14" applyNumberFormat="0" applyAlignment="0" applyProtection="0"/>
    <xf numFmtId="238" fontId="86" fillId="62" borderId="14" applyNumberFormat="0" applyAlignment="0" applyProtection="0"/>
    <xf numFmtId="238" fontId="86" fillId="62" borderId="14" applyNumberFormat="0" applyAlignment="0" applyProtection="0"/>
    <xf numFmtId="238" fontId="86" fillId="62" borderId="14" applyNumberFormat="0" applyAlignment="0" applyProtection="0"/>
    <xf numFmtId="238" fontId="86" fillId="62" borderId="14" applyNumberFormat="0" applyAlignment="0" applyProtection="0"/>
    <xf numFmtId="238" fontId="86" fillId="62" borderId="14" applyNumberFormat="0" applyAlignment="0" applyProtection="0"/>
    <xf numFmtId="238" fontId="86" fillId="62" borderId="14" applyNumberFormat="0" applyAlignment="0" applyProtection="0"/>
    <xf numFmtId="238" fontId="86" fillId="62" borderId="14" applyNumberFormat="0" applyAlignment="0" applyProtection="0"/>
    <xf numFmtId="238" fontId="86" fillId="62" borderId="14" applyNumberFormat="0" applyAlignment="0" applyProtection="0"/>
    <xf numFmtId="238" fontId="86" fillId="62" borderId="14" applyNumberFormat="0" applyAlignment="0" applyProtection="0"/>
    <xf numFmtId="238" fontId="86" fillId="62" borderId="14" applyNumberFormat="0" applyAlignment="0" applyProtection="0"/>
    <xf numFmtId="238" fontId="86" fillId="62" borderId="14" applyNumberFormat="0" applyAlignment="0" applyProtection="0"/>
    <xf numFmtId="238" fontId="86" fillId="62" borderId="14" applyNumberFormat="0" applyAlignment="0" applyProtection="0"/>
    <xf numFmtId="238" fontId="86" fillId="62" borderId="14" applyNumberFormat="0" applyAlignment="0" applyProtection="0"/>
    <xf numFmtId="238" fontId="86" fillId="62" borderId="14" applyNumberFormat="0" applyAlignment="0" applyProtection="0"/>
    <xf numFmtId="238" fontId="86" fillId="62" borderId="14" applyNumberFormat="0" applyAlignment="0" applyProtection="0"/>
    <xf numFmtId="238" fontId="86" fillId="62" borderId="14" applyNumberFormat="0" applyAlignment="0" applyProtection="0"/>
    <xf numFmtId="238" fontId="86" fillId="62" borderId="14" applyNumberFormat="0" applyAlignment="0" applyProtection="0"/>
    <xf numFmtId="238" fontId="86" fillId="62" borderId="14" applyNumberFormat="0" applyAlignment="0" applyProtection="0"/>
    <xf numFmtId="238" fontId="86" fillId="62" borderId="14" applyNumberFormat="0" applyAlignment="0" applyProtection="0"/>
    <xf numFmtId="238" fontId="86" fillId="62" borderId="14" applyNumberFormat="0" applyAlignment="0" applyProtection="0"/>
    <xf numFmtId="238" fontId="86" fillId="62" borderId="14" applyNumberFormat="0" applyAlignment="0" applyProtection="0"/>
    <xf numFmtId="238" fontId="86" fillId="62" borderId="14" applyNumberFormat="0" applyAlignment="0" applyProtection="0"/>
    <xf numFmtId="238" fontId="86" fillId="62" borderId="14" applyNumberFormat="0" applyAlignment="0" applyProtection="0"/>
    <xf numFmtId="238" fontId="86" fillId="62" borderId="14" applyNumberFormat="0" applyAlignment="0" applyProtection="0"/>
    <xf numFmtId="238" fontId="86" fillId="62" borderId="14" applyNumberFormat="0" applyAlignment="0" applyProtection="0"/>
    <xf numFmtId="238" fontId="86" fillId="62" borderId="14" applyNumberFormat="0" applyAlignment="0" applyProtection="0"/>
    <xf numFmtId="238" fontId="86" fillId="62" borderId="14" applyNumberFormat="0" applyAlignment="0" applyProtection="0"/>
    <xf numFmtId="238" fontId="86" fillId="62" borderId="14" applyNumberFormat="0" applyAlignment="0" applyProtection="0"/>
    <xf numFmtId="238" fontId="86" fillId="62" borderId="14" applyNumberFormat="0" applyAlignment="0" applyProtection="0"/>
    <xf numFmtId="238" fontId="86" fillId="62" borderId="14" applyNumberFormat="0" applyAlignment="0" applyProtection="0"/>
    <xf numFmtId="238" fontId="86" fillId="62" borderId="14" applyNumberFormat="0" applyAlignment="0" applyProtection="0"/>
    <xf numFmtId="238" fontId="86" fillId="62" borderId="14" applyNumberFormat="0" applyAlignment="0" applyProtection="0"/>
    <xf numFmtId="238" fontId="86" fillId="62" borderId="14" applyNumberFormat="0" applyAlignment="0" applyProtection="0"/>
    <xf numFmtId="238" fontId="86" fillId="62" borderId="14" applyNumberFormat="0" applyAlignment="0" applyProtection="0"/>
    <xf numFmtId="238" fontId="86" fillId="62" borderId="14" applyNumberFormat="0" applyAlignment="0" applyProtection="0"/>
    <xf numFmtId="0" fontId="150" fillId="0" borderId="0"/>
    <xf numFmtId="0" fontId="221" fillId="0" borderId="56" applyNumberFormat="0" applyFill="0" applyProtection="0">
      <alignment horizontal="left" vertical="center"/>
    </xf>
    <xf numFmtId="238" fontId="182" fillId="0" borderId="0" applyNumberFormat="0" applyFill="0" applyBorder="0" applyAlignment="0" applyProtection="0">
      <alignment vertical="top"/>
      <protection locked="0"/>
    </xf>
    <xf numFmtId="238" fontId="73" fillId="51" borderId="0" applyNumberFormat="0" applyBorder="0" applyAlignment="0" applyProtection="0"/>
    <xf numFmtId="238" fontId="73" fillId="55" borderId="0" applyNumberFormat="0" applyBorder="0" applyAlignment="0" applyProtection="0"/>
    <xf numFmtId="238" fontId="73" fillId="57" borderId="0" applyNumberFormat="0" applyBorder="0" applyAlignment="0" applyProtection="0"/>
    <xf numFmtId="238" fontId="73" fillId="46" borderId="0" applyNumberFormat="0" applyBorder="0" applyAlignment="0" applyProtection="0"/>
    <xf numFmtId="238" fontId="73" fillId="47" borderId="0" applyNumberFormat="0" applyBorder="0" applyAlignment="0" applyProtection="0"/>
    <xf numFmtId="238" fontId="73" fillId="60" borderId="0" applyNumberFormat="0" applyBorder="0" applyAlignment="0" applyProtection="0"/>
    <xf numFmtId="180" fontId="222" fillId="0" borderId="11">
      <alignment horizontal="center" vertical="top" wrapText="1"/>
    </xf>
    <xf numFmtId="274" fontId="134" fillId="0" borderId="0">
      <alignment horizontal="left"/>
    </xf>
    <xf numFmtId="49" fontId="95" fillId="0" borderId="28" applyProtection="0">
      <alignment horizontal="center" vertical="center" wrapText="1"/>
    </xf>
    <xf numFmtId="238" fontId="222" fillId="0" borderId="11">
      <alignment horizontal="left" vertical="top" wrapText="1"/>
    </xf>
    <xf numFmtId="0" fontId="223" fillId="81" borderId="0"/>
    <xf numFmtId="180" fontId="87" fillId="0" borderId="0" applyBorder="0">
      <alignment horizontal="right"/>
    </xf>
    <xf numFmtId="180" fontId="87" fillId="0" borderId="58" applyAlignment="0"/>
    <xf numFmtId="180" fontId="87" fillId="0" borderId="58" applyAlignment="0"/>
    <xf numFmtId="280" fontId="224" fillId="0" borderId="0"/>
    <xf numFmtId="280" fontId="224" fillId="0" borderId="0"/>
    <xf numFmtId="280" fontId="224" fillId="0" borderId="0"/>
    <xf numFmtId="280" fontId="224" fillId="0" borderId="0"/>
    <xf numFmtId="280" fontId="224" fillId="0" borderId="0"/>
    <xf numFmtId="280" fontId="224" fillId="0" borderId="0"/>
    <xf numFmtId="280" fontId="224" fillId="0" borderId="0"/>
    <xf numFmtId="280" fontId="224" fillId="0" borderId="0"/>
    <xf numFmtId="3" fontId="150" fillId="0" borderId="0">
      <alignment horizontal="right"/>
    </xf>
    <xf numFmtId="273" fontId="150" fillId="0" borderId="0">
      <alignment horizontal="right"/>
    </xf>
    <xf numFmtId="4" fontId="150" fillId="0" borderId="0">
      <alignment horizontal="right"/>
    </xf>
    <xf numFmtId="169" fontId="225" fillId="0" borderId="0" applyFont="0" applyFill="0" applyBorder="0" applyAlignment="0" applyProtection="0"/>
    <xf numFmtId="169" fontId="225" fillId="0" borderId="0" applyFont="0" applyFill="0" applyBorder="0" applyAlignment="0" applyProtection="0"/>
    <xf numFmtId="169" fontId="61" fillId="0" borderId="0" applyFont="0" applyFill="0" applyBorder="0" applyAlignment="0" applyProtection="0"/>
    <xf numFmtId="169" fontId="225" fillId="0" borderId="0" applyFont="0" applyFill="0" applyBorder="0" applyAlignment="0" applyProtection="0"/>
    <xf numFmtId="169" fontId="225" fillId="0" borderId="0" applyFont="0" applyFill="0" applyBorder="0" applyAlignment="0" applyProtection="0"/>
    <xf numFmtId="169" fontId="225" fillId="0" borderId="0" applyFont="0" applyFill="0" applyBorder="0" applyAlignment="0" applyProtection="0"/>
    <xf numFmtId="169" fontId="225" fillId="0" borderId="0" applyFont="0" applyFill="0" applyBorder="0" applyAlignment="0" applyProtection="0"/>
    <xf numFmtId="169" fontId="225" fillId="0" borderId="0" applyFont="0" applyFill="0" applyBorder="0" applyAlignment="0" applyProtection="0"/>
    <xf numFmtId="169" fontId="225" fillId="0" borderId="0" applyFont="0" applyFill="0" applyBorder="0" applyAlignment="0" applyProtection="0"/>
    <xf numFmtId="169" fontId="225" fillId="0" borderId="0" applyFont="0" applyFill="0" applyBorder="0" applyAlignment="0" applyProtection="0"/>
    <xf numFmtId="203" fontId="66" fillId="0" borderId="0" applyFont="0" applyFill="0" applyBorder="0" applyAlignment="0" applyProtection="0"/>
    <xf numFmtId="203" fontId="66" fillId="0" borderId="0" applyFont="0" applyFill="0" applyBorder="0" applyAlignment="0" applyProtection="0"/>
    <xf numFmtId="203" fontId="66" fillId="0" borderId="0" applyFont="0" applyFill="0" applyBorder="0" applyAlignment="0" applyProtection="0"/>
    <xf numFmtId="203" fontId="66" fillId="0" borderId="0" applyFont="0" applyFill="0" applyBorder="0" applyAlignment="0" applyProtection="0"/>
    <xf numFmtId="203" fontId="66" fillId="0" borderId="0" applyFont="0" applyFill="0" applyBorder="0" applyAlignment="0" applyProtection="0"/>
    <xf numFmtId="203" fontId="66" fillId="0" borderId="0" applyFont="0" applyFill="0" applyBorder="0" applyAlignment="0" applyProtection="0"/>
    <xf numFmtId="203" fontId="66" fillId="0" borderId="0" applyFont="0" applyFill="0" applyBorder="0" applyAlignment="0" applyProtection="0"/>
    <xf numFmtId="203" fontId="66" fillId="0" borderId="0" applyFont="0" applyFill="0" applyBorder="0" applyAlignment="0" applyProtection="0"/>
    <xf numFmtId="203" fontId="66" fillId="0" borderId="0" applyFont="0" applyFill="0" applyBorder="0" applyAlignment="0" applyProtection="0"/>
    <xf numFmtId="203" fontId="66" fillId="0" borderId="0" applyFont="0" applyFill="0" applyBorder="0" applyAlignment="0" applyProtection="0"/>
    <xf numFmtId="203" fontId="66" fillId="0" borderId="0" applyFont="0" applyFill="0" applyBorder="0" applyAlignment="0" applyProtection="0"/>
    <xf numFmtId="203" fontId="66" fillId="0" borderId="0" applyFont="0" applyFill="0" applyBorder="0" applyAlignment="0" applyProtection="0"/>
    <xf numFmtId="203" fontId="66" fillId="0" borderId="0" applyFont="0" applyFill="0" applyBorder="0" applyAlignment="0" applyProtection="0"/>
    <xf numFmtId="203" fontId="66" fillId="0" borderId="0" applyFont="0" applyFill="0" applyBorder="0" applyAlignment="0" applyProtection="0"/>
    <xf numFmtId="203" fontId="66" fillId="0" borderId="0" applyFont="0" applyFill="0" applyBorder="0" applyAlignment="0" applyProtection="0"/>
    <xf numFmtId="203" fontId="66" fillId="0" borderId="0" applyFont="0" applyFill="0" applyBorder="0" applyAlignment="0" applyProtection="0"/>
    <xf numFmtId="203" fontId="66" fillId="0" borderId="0" applyFont="0" applyFill="0" applyBorder="0" applyAlignment="0" applyProtection="0"/>
    <xf numFmtId="203" fontId="66" fillId="0" borderId="0" applyFont="0" applyFill="0" applyBorder="0" applyAlignment="0" applyProtection="0"/>
    <xf numFmtId="203" fontId="66" fillId="0" borderId="0" applyFont="0" applyFill="0" applyBorder="0" applyAlignment="0" applyProtection="0"/>
    <xf numFmtId="203" fontId="66" fillId="0" borderId="0" applyFont="0" applyFill="0" applyBorder="0" applyAlignment="0" applyProtection="0"/>
    <xf numFmtId="203" fontId="66" fillId="0" borderId="0" applyFont="0" applyFill="0" applyBorder="0" applyAlignment="0" applyProtection="0"/>
    <xf numFmtId="203" fontId="66" fillId="0" borderId="0" applyFont="0" applyFill="0" applyBorder="0" applyAlignment="0" applyProtection="0"/>
    <xf numFmtId="203" fontId="66" fillId="0" borderId="0" applyFont="0" applyFill="0" applyBorder="0" applyAlignment="0" applyProtection="0"/>
    <xf numFmtId="203" fontId="66" fillId="0" borderId="0" applyFont="0" applyFill="0" applyBorder="0" applyAlignment="0" applyProtection="0"/>
    <xf numFmtId="203" fontId="66" fillId="0" borderId="0" applyFont="0" applyFill="0" applyBorder="0" applyAlignment="0" applyProtection="0"/>
    <xf numFmtId="203" fontId="66" fillId="0" borderId="0" applyFont="0" applyFill="0" applyBorder="0" applyAlignment="0" applyProtection="0"/>
    <xf numFmtId="203" fontId="66" fillId="0" borderId="0" applyFont="0" applyFill="0" applyBorder="0" applyAlignment="0" applyProtection="0"/>
    <xf numFmtId="203" fontId="66" fillId="0" borderId="0" applyFont="0" applyFill="0" applyBorder="0" applyAlignment="0" applyProtection="0"/>
    <xf numFmtId="203" fontId="66" fillId="0" borderId="0" applyFont="0" applyFill="0" applyBorder="0" applyAlignment="0" applyProtection="0"/>
    <xf numFmtId="203" fontId="66" fillId="0" borderId="0" applyFont="0" applyFill="0" applyBorder="0" applyAlignment="0" applyProtection="0"/>
    <xf numFmtId="203" fontId="66" fillId="0" borderId="0" applyFont="0" applyFill="0" applyBorder="0" applyAlignment="0" applyProtection="0"/>
    <xf numFmtId="203" fontId="66" fillId="0" borderId="0" applyFont="0" applyFill="0" applyBorder="0" applyAlignment="0" applyProtection="0"/>
    <xf numFmtId="203" fontId="66" fillId="0" borderId="0" applyFont="0" applyFill="0" applyBorder="0" applyAlignment="0" applyProtection="0"/>
    <xf numFmtId="203" fontId="66" fillId="0" borderId="0" applyFont="0" applyFill="0" applyBorder="0" applyAlignment="0" applyProtection="0"/>
    <xf numFmtId="203" fontId="66" fillId="0" borderId="0" applyFont="0" applyFill="0" applyBorder="0" applyAlignment="0" applyProtection="0"/>
    <xf numFmtId="169" fontId="66" fillId="0" borderId="0" applyFont="0" applyFill="0" applyBorder="0" applyAlignment="0" applyProtection="0"/>
    <xf numFmtId="203" fontId="66" fillId="0" borderId="0" applyFont="0" applyFill="0" applyBorder="0" applyAlignment="0" applyProtection="0"/>
    <xf numFmtId="203" fontId="66" fillId="0" borderId="0" applyFont="0" applyFill="0" applyBorder="0" applyAlignment="0" applyProtection="0"/>
    <xf numFmtId="203" fontId="66" fillId="0" borderId="0" applyFont="0" applyFill="0" applyBorder="0" applyAlignment="0" applyProtection="0"/>
    <xf numFmtId="203" fontId="66" fillId="0" borderId="0" applyFont="0" applyFill="0" applyBorder="0" applyAlignment="0" applyProtection="0"/>
    <xf numFmtId="203" fontId="66" fillId="0" borderId="0" applyFont="0" applyFill="0" applyBorder="0" applyAlignment="0" applyProtection="0"/>
    <xf numFmtId="203" fontId="66" fillId="0" borderId="0" applyFont="0" applyFill="0" applyBorder="0" applyAlignment="0" applyProtection="0"/>
    <xf numFmtId="169" fontId="225" fillId="0" borderId="0" applyFont="0" applyFill="0" applyBorder="0" applyAlignment="0" applyProtection="0"/>
    <xf numFmtId="169" fontId="225" fillId="0" borderId="0" applyFont="0" applyFill="0" applyBorder="0" applyAlignment="0" applyProtection="0"/>
    <xf numFmtId="169" fontId="225" fillId="0" borderId="0" applyFont="0" applyFill="0" applyBorder="0" applyAlignment="0" applyProtection="0"/>
    <xf numFmtId="169" fontId="225" fillId="0" borderId="0" applyFont="0" applyFill="0" applyBorder="0" applyAlignment="0" applyProtection="0"/>
    <xf numFmtId="169" fontId="225" fillId="0" borderId="0" applyFont="0" applyFill="0" applyBorder="0" applyAlignment="0" applyProtection="0"/>
    <xf numFmtId="169" fontId="225" fillId="0" borderId="0" applyFont="0" applyFill="0" applyBorder="0" applyAlignment="0" applyProtection="0"/>
    <xf numFmtId="169" fontId="225" fillId="0" borderId="0" applyFont="0" applyFill="0" applyBorder="0" applyAlignment="0" applyProtection="0"/>
    <xf numFmtId="169" fontId="225" fillId="0" borderId="0" applyFont="0" applyFill="0" applyBorder="0" applyAlignment="0" applyProtection="0"/>
    <xf numFmtId="169" fontId="225" fillId="0" borderId="0" applyFont="0" applyFill="0" applyBorder="0" applyAlignment="0" applyProtection="0"/>
    <xf numFmtId="169" fontId="225" fillId="0" borderId="0" applyFont="0" applyFill="0" applyBorder="0" applyAlignment="0" applyProtection="0"/>
    <xf numFmtId="169" fontId="225" fillId="0" borderId="0" applyFont="0" applyFill="0" applyBorder="0" applyAlignment="0" applyProtection="0"/>
    <xf numFmtId="238" fontId="91" fillId="51" borderId="23">
      <alignment horizontal="left" vertical="top" wrapText="1"/>
    </xf>
    <xf numFmtId="169" fontId="225" fillId="0" borderId="0" applyFont="0" applyFill="0" applyBorder="0" applyAlignment="0" applyProtection="0"/>
    <xf numFmtId="169" fontId="225" fillId="0" borderId="0" applyFont="0" applyFill="0" applyBorder="0" applyAlignment="0" applyProtection="0"/>
    <xf numFmtId="169" fontId="225" fillId="0" borderId="0" applyFont="0" applyFill="0" applyBorder="0" applyAlignment="0" applyProtection="0"/>
    <xf numFmtId="169" fontId="225" fillId="0" borderId="0" applyFont="0" applyFill="0" applyBorder="0" applyAlignment="0" applyProtection="0"/>
    <xf numFmtId="169" fontId="225" fillId="0" borderId="0" applyFont="0" applyFill="0" applyBorder="0" applyAlignment="0" applyProtection="0"/>
    <xf numFmtId="169" fontId="225" fillId="0" borderId="0" applyFont="0" applyFill="0" applyBorder="0" applyAlignment="0" applyProtection="0"/>
    <xf numFmtId="169" fontId="225" fillId="0" borderId="0" applyFont="0" applyFill="0" applyBorder="0" applyAlignment="0" applyProtection="0"/>
    <xf numFmtId="169" fontId="225" fillId="0" borderId="0" applyFont="0" applyFill="0" applyBorder="0" applyAlignment="0" applyProtection="0"/>
    <xf numFmtId="169" fontId="225" fillId="0" borderId="0" applyFont="0" applyFill="0" applyBorder="0" applyAlignment="0" applyProtection="0"/>
    <xf numFmtId="169" fontId="225" fillId="0" borderId="0" applyFont="0" applyFill="0" applyBorder="0" applyAlignment="0" applyProtection="0"/>
    <xf numFmtId="169" fontId="225" fillId="0" borderId="0" applyFont="0" applyFill="0" applyBorder="0" applyAlignment="0" applyProtection="0"/>
    <xf numFmtId="169" fontId="225" fillId="0" borderId="0" applyFont="0" applyFill="0" applyBorder="0" applyAlignment="0" applyProtection="0"/>
    <xf numFmtId="169" fontId="61" fillId="0" borderId="0" applyFont="0" applyFill="0" applyBorder="0" applyAlignment="0" applyProtection="0"/>
    <xf numFmtId="169" fontId="225" fillId="0" borderId="0" applyFont="0" applyFill="0" applyBorder="0" applyAlignment="0" applyProtection="0"/>
    <xf numFmtId="169" fontId="61" fillId="0" borderId="0" applyFont="0" applyFill="0" applyBorder="0" applyAlignment="0" applyProtection="0"/>
    <xf numFmtId="169" fontId="225" fillId="0" borderId="0" applyFont="0" applyFill="0" applyBorder="0" applyAlignment="0" applyProtection="0"/>
    <xf numFmtId="169" fontId="61" fillId="0" borderId="0" applyFont="0" applyFill="0" applyBorder="0" applyAlignment="0" applyProtection="0"/>
    <xf numFmtId="203" fontId="66" fillId="0" borderId="0" applyFont="0" applyFill="0" applyBorder="0" applyAlignment="0" applyProtection="0"/>
    <xf numFmtId="169" fontId="61" fillId="0" borderId="0" applyFont="0" applyFill="0" applyBorder="0" applyAlignment="0" applyProtection="0"/>
    <xf numFmtId="169" fontId="225" fillId="0" borderId="0" applyFont="0" applyFill="0" applyBorder="0" applyAlignment="0" applyProtection="0"/>
    <xf numFmtId="169" fontId="225" fillId="0" borderId="0" applyFont="0" applyFill="0" applyBorder="0" applyAlignment="0" applyProtection="0"/>
    <xf numFmtId="169" fontId="67" fillId="0" borderId="0" applyFont="0" applyFill="0" applyBorder="0" applyAlignment="0" applyProtection="0"/>
    <xf numFmtId="169" fontId="225" fillId="0" borderId="0" applyFont="0" applyFill="0" applyBorder="0" applyAlignment="0" applyProtection="0"/>
    <xf numFmtId="169" fontId="225" fillId="0" borderId="0" applyFont="0" applyFill="0" applyBorder="0" applyAlignment="0" applyProtection="0"/>
    <xf numFmtId="169" fontId="225" fillId="0" borderId="0" applyFont="0" applyFill="0" applyBorder="0" applyAlignment="0" applyProtection="0"/>
    <xf numFmtId="38" fontId="88" fillId="0" borderId="0"/>
    <xf numFmtId="40" fontId="226" fillId="0" borderId="0" applyFont="0" applyFill="0" applyBorder="0" applyAlignment="0" applyProtection="0"/>
    <xf numFmtId="281" fontId="227" fillId="0" borderId="0" applyFont="0" applyFill="0" applyBorder="0" applyAlignment="0" applyProtection="0">
      <alignment horizontal="right"/>
    </xf>
    <xf numFmtId="282" fontId="66" fillId="0" borderId="0" applyFont="0" applyFill="0" applyBorder="0" applyAlignment="0" applyProtection="0"/>
    <xf numFmtId="283" fontId="66" fillId="0" borderId="0" applyFont="0" applyFill="0" applyBorder="0" applyAlignment="0" applyProtection="0"/>
    <xf numFmtId="283" fontId="66" fillId="0" borderId="0" applyFont="0" applyFill="0" applyBorder="0" applyAlignment="0" applyProtection="0"/>
    <xf numFmtId="283" fontId="66" fillId="0" borderId="0" applyFont="0" applyFill="0" applyBorder="0" applyAlignment="0" applyProtection="0"/>
    <xf numFmtId="283" fontId="66" fillId="0" borderId="0" applyFont="0" applyFill="0" applyBorder="0" applyAlignment="0" applyProtection="0"/>
    <xf numFmtId="283" fontId="66" fillId="0" borderId="0" applyFont="0" applyFill="0" applyBorder="0" applyAlignment="0" applyProtection="0"/>
    <xf numFmtId="283" fontId="66" fillId="0" borderId="0" applyFont="0" applyFill="0" applyBorder="0" applyAlignment="0" applyProtection="0"/>
    <xf numFmtId="283" fontId="66" fillId="0" borderId="0" applyFont="0" applyFill="0" applyBorder="0" applyAlignment="0" applyProtection="0"/>
    <xf numFmtId="283" fontId="66" fillId="0" borderId="0" applyFont="0" applyFill="0" applyBorder="0" applyAlignment="0" applyProtection="0"/>
    <xf numFmtId="283" fontId="66" fillId="0" borderId="0" applyFont="0" applyFill="0" applyBorder="0" applyAlignment="0" applyProtection="0"/>
    <xf numFmtId="283" fontId="66" fillId="0" borderId="0" applyFont="0" applyFill="0" applyBorder="0" applyAlignment="0" applyProtection="0"/>
    <xf numFmtId="171" fontId="91" fillId="0" borderId="0" applyFont="0" applyFill="0" applyBorder="0" applyAlignment="0" applyProtection="0"/>
    <xf numFmtId="171" fontId="71" fillId="0" borderId="0" applyFont="0" applyFill="0" applyBorder="0" applyAlignment="0" applyProtection="0"/>
    <xf numFmtId="171" fontId="66" fillId="0" borderId="0" applyFont="0" applyFill="0" applyBorder="0" applyAlignment="0" applyProtection="0"/>
    <xf numFmtId="190"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0" fontId="66" fillId="0" borderId="0" applyFont="0" applyFill="0" applyBorder="0" applyAlignment="0" applyProtection="0"/>
    <xf numFmtId="283" fontId="66" fillId="0" borderId="0" applyFont="0" applyFill="0" applyBorder="0" applyAlignment="0" applyProtection="0"/>
    <xf numFmtId="283" fontId="66" fillId="0" borderId="0" applyFont="0" applyFill="0" applyBorder="0" applyAlignment="0" applyProtection="0"/>
    <xf numFmtId="283" fontId="66" fillId="0" borderId="0" applyFont="0" applyFill="0" applyBorder="0" applyAlignment="0" applyProtection="0"/>
    <xf numFmtId="283" fontId="66" fillId="0" borderId="0" applyFont="0" applyFill="0" applyBorder="0" applyAlignment="0" applyProtection="0"/>
    <xf numFmtId="283" fontId="66" fillId="0" borderId="0" applyFont="0" applyFill="0" applyBorder="0" applyAlignment="0" applyProtection="0"/>
    <xf numFmtId="283" fontId="66" fillId="0" borderId="0" applyFont="0" applyFill="0" applyBorder="0" applyAlignment="0" applyProtection="0"/>
    <xf numFmtId="283" fontId="66" fillId="0" borderId="0" applyFont="0" applyFill="0" applyBorder="0" applyAlignment="0" applyProtection="0"/>
    <xf numFmtId="283" fontId="66" fillId="0" borderId="0" applyFont="0" applyFill="0" applyBorder="0" applyAlignment="0" applyProtection="0"/>
    <xf numFmtId="283" fontId="66" fillId="0" borderId="0" applyFont="0" applyFill="0" applyBorder="0" applyAlignment="0" applyProtection="0"/>
    <xf numFmtId="283" fontId="66" fillId="0" borderId="0" applyFont="0" applyFill="0" applyBorder="0" applyAlignment="0" applyProtection="0"/>
    <xf numFmtId="283" fontId="66" fillId="0" borderId="0" applyFont="0" applyFill="0" applyBorder="0" applyAlignment="0" applyProtection="0"/>
    <xf numFmtId="283" fontId="66" fillId="0" borderId="0" applyFont="0" applyFill="0" applyBorder="0" applyAlignment="0" applyProtection="0"/>
    <xf numFmtId="283" fontId="66" fillId="0" borderId="0" applyFont="0" applyFill="0" applyBorder="0" applyAlignment="0" applyProtection="0"/>
    <xf numFmtId="283" fontId="66" fillId="0" borderId="0" applyFont="0" applyFill="0" applyBorder="0" applyAlignment="0" applyProtection="0"/>
    <xf numFmtId="283" fontId="66" fillId="0" borderId="0" applyFont="0" applyFill="0" applyBorder="0" applyAlignment="0" applyProtection="0"/>
    <xf numFmtId="283" fontId="66" fillId="0" borderId="0" applyFont="0" applyFill="0" applyBorder="0" applyAlignment="0" applyProtection="0"/>
    <xf numFmtId="283" fontId="66" fillId="0" borderId="0" applyFont="0" applyFill="0" applyBorder="0" applyAlignment="0" applyProtection="0"/>
    <xf numFmtId="283" fontId="66" fillId="0" borderId="0" applyFont="0" applyFill="0" applyBorder="0" applyAlignment="0" applyProtection="0"/>
    <xf numFmtId="283" fontId="66" fillId="0" borderId="0" applyFont="0" applyFill="0" applyBorder="0" applyAlignment="0" applyProtection="0"/>
    <xf numFmtId="283" fontId="66" fillId="0" borderId="0" applyFont="0" applyFill="0" applyBorder="0" applyAlignment="0" applyProtection="0"/>
    <xf numFmtId="283" fontId="66" fillId="0" borderId="0" applyFont="0" applyFill="0" applyBorder="0" applyAlignment="0" applyProtection="0"/>
    <xf numFmtId="283" fontId="66" fillId="0" borderId="0" applyFont="0" applyFill="0" applyBorder="0" applyAlignment="0" applyProtection="0"/>
    <xf numFmtId="283" fontId="66" fillId="0" borderId="0" applyFont="0" applyFill="0" applyBorder="0" applyAlignment="0" applyProtection="0"/>
    <xf numFmtId="283" fontId="66" fillId="0" borderId="0" applyFont="0" applyFill="0" applyBorder="0" applyAlignment="0" applyProtection="0"/>
    <xf numFmtId="283" fontId="66" fillId="0" borderId="0" applyFont="0" applyFill="0" applyBorder="0" applyAlignment="0" applyProtection="0"/>
    <xf numFmtId="283" fontId="66" fillId="0" borderId="0" applyFont="0" applyFill="0" applyBorder="0" applyAlignment="0" applyProtection="0"/>
    <xf numFmtId="283" fontId="66" fillId="0" borderId="0" applyFont="0" applyFill="0" applyBorder="0" applyAlignment="0" applyProtection="0"/>
    <xf numFmtId="283" fontId="66" fillId="0" borderId="0" applyFont="0" applyFill="0" applyBorder="0" applyAlignment="0" applyProtection="0"/>
    <xf numFmtId="283" fontId="66" fillId="0" borderId="0" applyFont="0" applyFill="0" applyBorder="0" applyAlignment="0" applyProtection="0"/>
    <xf numFmtId="283" fontId="66" fillId="0" borderId="0" applyFont="0" applyFill="0" applyBorder="0" applyAlignment="0" applyProtection="0"/>
    <xf numFmtId="171" fontId="66" fillId="0" borderId="0" applyFont="0" applyFill="0" applyBorder="0" applyAlignment="0" applyProtection="0"/>
    <xf numFmtId="171" fontId="228" fillId="0" borderId="0" applyFont="0" applyFill="0" applyBorder="0" applyAlignment="0" applyProtection="0"/>
    <xf numFmtId="171" fontId="228" fillId="0" borderId="0" applyFont="0" applyFill="0" applyBorder="0" applyAlignment="0" applyProtection="0"/>
    <xf numFmtId="171" fontId="228" fillId="0" borderId="0" applyFont="0" applyFill="0" applyBorder="0" applyAlignment="0" applyProtection="0"/>
    <xf numFmtId="171" fontId="228" fillId="0" borderId="0" applyFont="0" applyFill="0" applyBorder="0" applyAlignment="0" applyProtection="0"/>
    <xf numFmtId="171" fontId="228" fillId="0" borderId="0" applyFont="0" applyFill="0" applyBorder="0" applyAlignment="0" applyProtection="0"/>
    <xf numFmtId="171" fontId="228" fillId="0" borderId="0" applyFont="0" applyFill="0" applyBorder="0" applyAlignment="0" applyProtection="0"/>
    <xf numFmtId="171" fontId="228" fillId="0" borderId="0" applyFont="0" applyFill="0" applyBorder="0" applyAlignment="0" applyProtection="0"/>
    <xf numFmtId="171" fontId="228" fillId="0" borderId="0" applyFont="0" applyFill="0" applyBorder="0" applyAlignment="0" applyProtection="0"/>
    <xf numFmtId="171" fontId="228" fillId="0" borderId="0" applyFont="0" applyFill="0" applyBorder="0" applyAlignment="0" applyProtection="0"/>
    <xf numFmtId="43" fontId="67" fillId="0" borderId="0" applyFont="0" applyFill="0" applyBorder="0" applyAlignment="0" applyProtection="0"/>
    <xf numFmtId="43" fontId="228" fillId="0" borderId="0" applyFont="0" applyFill="0" applyBorder="0" applyAlignment="0" applyProtection="0"/>
    <xf numFmtId="171" fontId="228" fillId="0" borderId="0" applyFont="0" applyFill="0" applyBorder="0" applyAlignment="0" applyProtection="0"/>
    <xf numFmtId="43" fontId="228" fillId="0" borderId="0" applyFont="0" applyFill="0" applyBorder="0" applyAlignment="0" applyProtection="0"/>
    <xf numFmtId="43" fontId="228" fillId="0" borderId="0" applyFont="0" applyFill="0" applyBorder="0" applyAlignment="0" applyProtection="0"/>
    <xf numFmtId="43" fontId="228" fillId="0" borderId="0" applyFont="0" applyFill="0" applyBorder="0" applyAlignment="0" applyProtection="0"/>
    <xf numFmtId="171" fontId="228" fillId="0" borderId="0" applyFont="0" applyFill="0" applyBorder="0" applyAlignment="0" applyProtection="0"/>
    <xf numFmtId="43" fontId="61"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43" fontId="66" fillId="0" borderId="0" applyFont="0" applyFill="0" applyBorder="0" applyAlignment="0" applyProtection="0"/>
    <xf numFmtId="284" fontId="182" fillId="0" borderId="0" applyFont="0" applyFill="0" applyBorder="0" applyAlignment="0" applyProtection="0"/>
    <xf numFmtId="43" fontId="66" fillId="0" borderId="0" applyFont="0" applyFill="0" applyBorder="0" applyAlignment="0" applyProtection="0"/>
    <xf numFmtId="43" fontId="228" fillId="0" borderId="0" applyFont="0" applyFill="0" applyBorder="0" applyAlignment="0" applyProtection="0"/>
    <xf numFmtId="171" fontId="228" fillId="0" borderId="0" applyFont="0" applyFill="0" applyBorder="0" applyAlignment="0" applyProtection="0"/>
    <xf numFmtId="171" fontId="228" fillId="0" borderId="0" applyFont="0" applyFill="0" applyBorder="0" applyAlignment="0" applyProtection="0"/>
    <xf numFmtId="190" fontId="228" fillId="0" borderId="0" applyFont="0" applyFill="0" applyBorder="0" applyAlignment="0" applyProtection="0"/>
    <xf numFmtId="190" fontId="228" fillId="0" borderId="0" applyFont="0" applyFill="0" applyBorder="0" applyAlignment="0" applyProtection="0"/>
    <xf numFmtId="43" fontId="228" fillId="0" borderId="0" applyFont="0" applyFill="0" applyBorder="0" applyAlignment="0" applyProtection="0"/>
    <xf numFmtId="171" fontId="61"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1"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1" fillId="0" borderId="0" applyFont="0" applyFill="0" applyBorder="0" applyAlignment="0" applyProtection="0"/>
    <xf numFmtId="171" fontId="66"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43" fontId="66" fillId="0" borderId="0" applyFont="0" applyFill="0" applyBorder="0" applyAlignment="0" applyProtection="0"/>
    <xf numFmtId="238" fontId="229" fillId="0" borderId="0" applyFont="0" applyFill="0" applyBorder="0" applyAlignment="0" applyProtection="0"/>
    <xf numFmtId="171" fontId="182" fillId="0" borderId="0" applyFont="0" applyFill="0" applyBorder="0" applyAlignment="0" applyProtection="0"/>
    <xf numFmtId="43" fontId="229" fillId="0" borderId="0" applyFont="0" applyFill="0" applyBorder="0" applyAlignment="0" applyProtection="0"/>
    <xf numFmtId="171" fontId="66" fillId="0" borderId="0" applyFont="0" applyFill="0" applyBorder="0" applyAlignment="0" applyProtection="0"/>
    <xf numFmtId="43" fontId="229" fillId="0" borderId="0" applyFont="0" applyFill="0" applyBorder="0" applyAlignment="0" applyProtection="0"/>
    <xf numFmtId="171" fontId="61" fillId="0" borderId="0" applyFont="0" applyFill="0" applyBorder="0" applyAlignment="0" applyProtection="0"/>
    <xf numFmtId="43"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179" fontId="66" fillId="0" borderId="0" applyFont="0" applyFill="0" applyBorder="0" applyAlignment="0" applyProtection="0"/>
    <xf numFmtId="179" fontId="66" fillId="0" borderId="0" applyFont="0" applyFill="0" applyBorder="0" applyAlignment="0" applyProtection="0"/>
    <xf numFmtId="229" fontId="66" fillId="0" borderId="0" applyFont="0" applyFill="0" applyBorder="0" applyAlignment="0" applyProtection="0"/>
    <xf numFmtId="179"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171" fontId="61"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0"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0"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285"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286" fontId="66" fillId="0" borderId="0" applyFont="0" applyFill="0" applyBorder="0" applyAlignment="0" applyProtection="0"/>
    <xf numFmtId="238" fontId="150" fillId="0" borderId="0" applyFont="0" applyFill="0" applyBorder="0" applyAlignment="0" applyProtection="0"/>
    <xf numFmtId="43" fontId="66" fillId="0" borderId="0" applyFont="0" applyFill="0" applyBorder="0" applyAlignment="0" applyProtection="0"/>
    <xf numFmtId="171" fontId="150" fillId="0" borderId="0" applyFont="0" applyFill="0" applyBorder="0" applyAlignment="0" applyProtection="0"/>
    <xf numFmtId="238" fontId="150" fillId="0" borderId="0" applyFont="0" applyFill="0" applyBorder="0" applyAlignment="0" applyProtection="0"/>
    <xf numFmtId="171" fontId="61" fillId="0" borderId="0" applyFont="0" applyFill="0" applyBorder="0" applyAlignment="0" applyProtection="0"/>
    <xf numFmtId="0" fontId="228" fillId="0" borderId="0" applyFont="0" applyFill="0" applyBorder="0" applyAlignment="0" applyProtection="0"/>
    <xf numFmtId="166" fontId="150"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0" fontId="182"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43" fontId="182" fillId="0" borderId="0" applyFont="0" applyFill="0" applyBorder="0" applyAlignment="0" applyProtection="0"/>
    <xf numFmtId="195" fontId="182" fillId="0" borderId="0" applyFont="0" applyFill="0" applyBorder="0" applyAlignment="0" applyProtection="0"/>
    <xf numFmtId="195" fontId="182" fillId="0" borderId="0" applyFont="0" applyFill="0" applyBorder="0" applyAlignment="0" applyProtection="0"/>
    <xf numFmtId="171" fontId="150" fillId="0" borderId="0" applyFont="0" applyFill="0" applyBorder="0" applyAlignment="0" applyProtection="0"/>
    <xf numFmtId="171" fontId="71" fillId="0" borderId="0" applyFont="0" applyFill="0" applyBorder="0" applyAlignment="0" applyProtection="0"/>
    <xf numFmtId="171" fontId="71" fillId="0" borderId="0" applyFont="0" applyFill="0" applyBorder="0" applyAlignment="0" applyProtection="0"/>
    <xf numFmtId="171" fontId="71" fillId="0" borderId="0" applyFont="0" applyFill="0" applyBorder="0" applyAlignment="0" applyProtection="0"/>
    <xf numFmtId="171" fontId="71" fillId="0" borderId="0" applyFont="0" applyFill="0" applyBorder="0" applyAlignment="0" applyProtection="0"/>
    <xf numFmtId="171" fontId="66" fillId="0" borderId="0" applyFont="0" applyFill="0" applyBorder="0" applyAlignment="0" applyProtection="0"/>
    <xf numFmtId="287" fontId="66" fillId="0" borderId="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71" fillId="0" borderId="0" applyFont="0" applyFill="0" applyBorder="0" applyAlignment="0" applyProtection="0"/>
    <xf numFmtId="171" fontId="7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94" fontId="182" fillId="0" borderId="0" applyFont="0" applyFill="0" applyBorder="0" applyAlignment="0" applyProtection="0"/>
    <xf numFmtId="43" fontId="182" fillId="0" borderId="0" applyFont="0" applyFill="0" applyBorder="0" applyAlignment="0" applyProtection="0"/>
    <xf numFmtId="43" fontId="66"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288" fontId="66" fillId="0" borderId="0" applyFont="0" applyFill="0" applyBorder="0" applyAlignment="0" applyProtection="0"/>
    <xf numFmtId="194" fontId="66" fillId="0" borderId="0" applyFont="0" applyFill="0" applyBorder="0" applyAlignment="0" applyProtection="0"/>
    <xf numFmtId="289" fontId="182" fillId="0" borderId="0" applyFont="0" applyFill="0" applyBorder="0" applyAlignment="0" applyProtection="0"/>
    <xf numFmtId="289" fontId="66" fillId="0" borderId="0" applyFont="0" applyFill="0" applyBorder="0" applyAlignment="0" applyProtection="0"/>
    <xf numFmtId="238" fontId="66" fillId="0" borderId="0" applyFont="0" applyFill="0" applyBorder="0" applyAlignment="0" applyProtection="0"/>
    <xf numFmtId="0" fontId="66" fillId="0" borderId="0" applyFont="0" applyFill="0" applyBorder="0" applyAlignment="0" applyProtection="0"/>
    <xf numFmtId="286" fontId="66"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288" fontId="150" fillId="0" borderId="0" applyFont="0" applyFill="0" applyBorder="0" applyAlignment="0" applyProtection="0"/>
    <xf numFmtId="288" fontId="150" fillId="0" borderId="0" applyFont="0" applyFill="0" applyBorder="0" applyAlignment="0" applyProtection="0"/>
    <xf numFmtId="288" fontId="150" fillId="0" borderId="0" applyFont="0" applyFill="0" applyBorder="0" applyAlignment="0" applyProtection="0"/>
    <xf numFmtId="288" fontId="150" fillId="0" borderId="0" applyFont="0" applyFill="0" applyBorder="0" applyAlignment="0" applyProtection="0"/>
    <xf numFmtId="288" fontId="150" fillId="0" borderId="0" applyFont="0" applyFill="0" applyBorder="0" applyAlignment="0" applyProtection="0"/>
    <xf numFmtId="288" fontId="150" fillId="0" borderId="0" applyFont="0" applyFill="0" applyBorder="0" applyAlignment="0" applyProtection="0"/>
    <xf numFmtId="288" fontId="150" fillId="0" borderId="0" applyFont="0" applyFill="0" applyBorder="0" applyAlignment="0" applyProtection="0"/>
    <xf numFmtId="288" fontId="150" fillId="0" borderId="0" applyFont="0" applyFill="0" applyBorder="0" applyAlignment="0" applyProtection="0"/>
    <xf numFmtId="288" fontId="150" fillId="0" borderId="0" applyFont="0" applyFill="0" applyBorder="0" applyAlignment="0" applyProtection="0"/>
    <xf numFmtId="288" fontId="150" fillId="0" borderId="0" applyFont="0" applyFill="0" applyBorder="0" applyAlignment="0" applyProtection="0"/>
    <xf numFmtId="288" fontId="150" fillId="0" borderId="0" applyFont="0" applyFill="0" applyBorder="0" applyAlignment="0" applyProtection="0"/>
    <xf numFmtId="288" fontId="150" fillId="0" borderId="0" applyFont="0" applyFill="0" applyBorder="0" applyAlignment="0" applyProtection="0"/>
    <xf numFmtId="288" fontId="150" fillId="0" borderId="0" applyFont="0" applyFill="0" applyBorder="0" applyAlignment="0" applyProtection="0"/>
    <xf numFmtId="288" fontId="150" fillId="0" borderId="0" applyFont="0" applyFill="0" applyBorder="0" applyAlignment="0" applyProtection="0"/>
    <xf numFmtId="288" fontId="150" fillId="0" borderId="0" applyFont="0" applyFill="0" applyBorder="0" applyAlignment="0" applyProtection="0"/>
    <xf numFmtId="288" fontId="150" fillId="0" borderId="0" applyFont="0" applyFill="0" applyBorder="0" applyAlignment="0" applyProtection="0"/>
    <xf numFmtId="288" fontId="150" fillId="0" borderId="0" applyFont="0" applyFill="0" applyBorder="0" applyAlignment="0" applyProtection="0"/>
    <xf numFmtId="288" fontId="150" fillId="0" borderId="0" applyFont="0" applyFill="0" applyBorder="0" applyAlignment="0" applyProtection="0"/>
    <xf numFmtId="288" fontId="150" fillId="0" borderId="0" applyFont="0" applyFill="0" applyBorder="0" applyAlignment="0" applyProtection="0"/>
    <xf numFmtId="288" fontId="150" fillId="0" borderId="0" applyFont="0" applyFill="0" applyBorder="0" applyAlignment="0" applyProtection="0"/>
    <xf numFmtId="288" fontId="150" fillId="0" borderId="0" applyFont="0" applyFill="0" applyBorder="0" applyAlignment="0" applyProtection="0"/>
    <xf numFmtId="288" fontId="150" fillId="0" borderId="0" applyFont="0" applyFill="0" applyBorder="0" applyAlignment="0" applyProtection="0"/>
    <xf numFmtId="288" fontId="150" fillId="0" borderId="0" applyFont="0" applyFill="0" applyBorder="0" applyAlignment="0" applyProtection="0"/>
    <xf numFmtId="288" fontId="150" fillId="0" borderId="0" applyFont="0" applyFill="0" applyBorder="0" applyAlignment="0" applyProtection="0"/>
    <xf numFmtId="288" fontId="150" fillId="0" borderId="0" applyFont="0" applyFill="0" applyBorder="0" applyAlignment="0" applyProtection="0"/>
    <xf numFmtId="288" fontId="150" fillId="0" borderId="0" applyFont="0" applyFill="0" applyBorder="0" applyAlignment="0" applyProtection="0"/>
    <xf numFmtId="290" fontId="182" fillId="0" borderId="0" applyFont="0" applyFill="0" applyBorder="0" applyAlignment="0" applyProtection="0"/>
    <xf numFmtId="238" fontId="150" fillId="0" borderId="0" applyFont="0" applyFill="0" applyBorder="0" applyAlignment="0" applyProtection="0"/>
    <xf numFmtId="284" fontId="150" fillId="0" borderId="0" applyFont="0" applyFill="0" applyBorder="0" applyAlignment="0" applyProtection="0"/>
    <xf numFmtId="290" fontId="182" fillId="0" borderId="0" applyFont="0" applyFill="0" applyBorder="0" applyAlignment="0" applyProtection="0"/>
    <xf numFmtId="171" fontId="150" fillId="0" borderId="0" applyFont="0" applyFill="0" applyBorder="0" applyAlignment="0" applyProtection="0"/>
    <xf numFmtId="288" fontId="150" fillId="0" borderId="0" applyFont="0" applyFill="0" applyBorder="0" applyAlignment="0" applyProtection="0"/>
    <xf numFmtId="288" fontId="150" fillId="0" borderId="0" applyFont="0" applyFill="0" applyBorder="0" applyAlignment="0" applyProtection="0"/>
    <xf numFmtId="288" fontId="150" fillId="0" borderId="0" applyFont="0" applyFill="0" applyBorder="0" applyAlignment="0" applyProtection="0"/>
    <xf numFmtId="238" fontId="150" fillId="0" borderId="0" applyFont="0" applyFill="0" applyBorder="0" applyAlignment="0" applyProtection="0"/>
    <xf numFmtId="171" fontId="150" fillId="0" borderId="0" applyFont="0" applyFill="0" applyBorder="0" applyAlignment="0" applyProtection="0"/>
    <xf numFmtId="171" fontId="150" fillId="0" borderId="0" applyFont="0" applyFill="0" applyBorder="0" applyAlignment="0" applyProtection="0"/>
    <xf numFmtId="291" fontId="182" fillId="0" borderId="0" applyFont="0" applyFill="0" applyBorder="0" applyAlignment="0" applyProtection="0"/>
    <xf numFmtId="238" fontId="150" fillId="0" borderId="0" applyFont="0" applyFill="0" applyBorder="0" applyAlignment="0" applyProtection="0"/>
    <xf numFmtId="171" fontId="150" fillId="0" borderId="0" applyFont="0" applyFill="0" applyBorder="0" applyAlignment="0" applyProtection="0"/>
    <xf numFmtId="272" fontId="150"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43" fontId="230" fillId="0" borderId="0" applyFont="0" applyFill="0" applyBorder="0" applyAlignment="0" applyProtection="0"/>
    <xf numFmtId="292" fontId="150"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1" fillId="0" borderId="0" applyFont="0" applyFill="0" applyBorder="0" applyAlignment="0" applyProtection="0"/>
    <xf numFmtId="43" fontId="61"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293" fontId="66"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43" fontId="66" fillId="0" borderId="0" applyFont="0" applyFill="0" applyBorder="0" applyAlignment="0" applyProtection="0"/>
    <xf numFmtId="288" fontId="229"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43" fontId="229" fillId="0" borderId="0" applyFont="0" applyFill="0" applyBorder="0" applyAlignment="0" applyProtection="0"/>
    <xf numFmtId="171" fontId="66" fillId="0" borderId="0" applyFont="0" applyFill="0" applyBorder="0" applyAlignment="0" applyProtection="0"/>
    <xf numFmtId="291" fontId="182" fillId="0" borderId="0" applyFont="0" applyFill="0" applyBorder="0" applyAlignment="0" applyProtection="0"/>
    <xf numFmtId="291" fontId="182" fillId="0" borderId="0" applyFont="0" applyFill="0" applyBorder="0" applyAlignment="0" applyProtection="0"/>
    <xf numFmtId="291" fontId="182" fillId="0" borderId="0" applyFont="0" applyFill="0" applyBorder="0" applyAlignment="0" applyProtection="0"/>
    <xf numFmtId="291" fontId="182" fillId="0" borderId="0" applyFont="0" applyFill="0" applyBorder="0" applyAlignment="0" applyProtection="0"/>
    <xf numFmtId="291" fontId="182" fillId="0" borderId="0" applyFont="0" applyFill="0" applyBorder="0" applyAlignment="0" applyProtection="0"/>
    <xf numFmtId="291" fontId="182" fillId="0" borderId="0" applyFont="0" applyFill="0" applyBorder="0" applyAlignment="0" applyProtection="0"/>
    <xf numFmtId="291" fontId="182" fillId="0" borderId="0" applyFont="0" applyFill="0" applyBorder="0" applyAlignment="0" applyProtection="0"/>
    <xf numFmtId="291" fontId="182" fillId="0" borderId="0" applyFont="0" applyFill="0" applyBorder="0" applyAlignment="0" applyProtection="0"/>
    <xf numFmtId="291" fontId="182" fillId="0" borderId="0" applyFont="0" applyFill="0" applyBorder="0" applyAlignment="0" applyProtection="0"/>
    <xf numFmtId="291" fontId="182"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231" fillId="0" borderId="0" applyFont="0" applyFill="0" applyBorder="0" applyAlignment="0" applyProtection="0"/>
    <xf numFmtId="171" fontId="61" fillId="0" borderId="0" applyFont="0" applyFill="0" applyBorder="0" applyAlignment="0" applyProtection="0"/>
    <xf numFmtId="171"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294" fontId="66" fillId="0" borderId="0" applyFont="0" applyFill="0" applyBorder="0" applyAlignment="0" applyProtection="0"/>
    <xf numFmtId="294" fontId="66" fillId="0" borderId="0" applyFont="0" applyFill="0" applyBorder="0" applyAlignment="0" applyProtection="0"/>
    <xf numFmtId="294" fontId="66" fillId="0" borderId="0" applyFont="0" applyFill="0" applyBorder="0" applyAlignment="0" applyProtection="0"/>
    <xf numFmtId="294" fontId="66" fillId="0" borderId="0" applyFont="0" applyFill="0" applyBorder="0" applyAlignment="0" applyProtection="0"/>
    <xf numFmtId="294" fontId="66" fillId="0" borderId="0" applyFont="0" applyFill="0" applyBorder="0" applyAlignment="0" applyProtection="0"/>
    <xf numFmtId="294" fontId="66" fillId="0" borderId="0" applyFont="0" applyFill="0" applyBorder="0" applyAlignment="0" applyProtection="0"/>
    <xf numFmtId="294" fontId="66" fillId="0" borderId="0" applyFont="0" applyFill="0" applyBorder="0" applyAlignment="0" applyProtection="0"/>
    <xf numFmtId="294" fontId="66" fillId="0" borderId="0" applyFont="0" applyFill="0" applyBorder="0" applyAlignment="0" applyProtection="0"/>
    <xf numFmtId="294" fontId="66" fillId="0" borderId="0" applyFont="0" applyFill="0" applyBorder="0" applyAlignment="0" applyProtection="0"/>
    <xf numFmtId="294" fontId="66" fillId="0" borderId="0" applyFont="0" applyFill="0" applyBorder="0" applyAlignment="0" applyProtection="0"/>
    <xf numFmtId="294" fontId="66" fillId="0" borderId="0" applyFont="0" applyFill="0" applyBorder="0" applyAlignment="0" applyProtection="0"/>
    <xf numFmtId="295" fontId="66" fillId="0" borderId="0" applyFont="0" applyFill="0" applyBorder="0" applyAlignment="0" applyProtection="0"/>
    <xf numFmtId="294" fontId="66" fillId="0" borderId="0" applyFont="0" applyFill="0" applyBorder="0" applyAlignment="0" applyProtection="0"/>
    <xf numFmtId="294" fontId="66" fillId="0" borderId="0" applyFont="0" applyFill="0" applyBorder="0" applyAlignment="0" applyProtection="0"/>
    <xf numFmtId="294" fontId="66" fillId="0" borderId="0" applyFont="0" applyFill="0" applyBorder="0" applyAlignment="0" applyProtection="0"/>
    <xf numFmtId="294" fontId="66" fillId="0" borderId="0" applyFont="0" applyFill="0" applyBorder="0" applyAlignment="0" applyProtection="0"/>
    <xf numFmtId="294" fontId="66" fillId="0" borderId="0" applyFont="0" applyFill="0" applyBorder="0" applyAlignment="0" applyProtection="0"/>
    <xf numFmtId="294" fontId="66" fillId="0" borderId="0" applyFont="0" applyFill="0" applyBorder="0" applyAlignment="0" applyProtection="0"/>
    <xf numFmtId="294" fontId="66" fillId="0" borderId="0" applyFont="0" applyFill="0" applyBorder="0" applyAlignment="0" applyProtection="0"/>
    <xf numFmtId="294" fontId="66" fillId="0" borderId="0" applyFont="0" applyFill="0" applyBorder="0" applyAlignment="0" applyProtection="0"/>
    <xf numFmtId="294" fontId="66" fillId="0" borderId="0" applyFont="0" applyFill="0" applyBorder="0" applyAlignment="0" applyProtection="0"/>
    <xf numFmtId="294" fontId="66" fillId="0" borderId="0" applyFont="0" applyFill="0" applyBorder="0" applyAlignment="0" applyProtection="0"/>
    <xf numFmtId="179" fontId="66" fillId="0" borderId="0" applyFont="0" applyFill="0" applyBorder="0" applyAlignment="0" applyProtection="0"/>
    <xf numFmtId="294" fontId="66" fillId="0" borderId="0" applyFont="0" applyFill="0" applyBorder="0" applyAlignment="0" applyProtection="0"/>
    <xf numFmtId="294" fontId="66" fillId="0" borderId="0" applyFont="0" applyFill="0" applyBorder="0" applyAlignment="0" applyProtection="0"/>
    <xf numFmtId="294" fontId="66" fillId="0" borderId="0" applyFont="0" applyFill="0" applyBorder="0" applyAlignment="0" applyProtection="0"/>
    <xf numFmtId="294" fontId="66" fillId="0" borderId="0" applyFont="0" applyFill="0" applyBorder="0" applyAlignment="0" applyProtection="0"/>
    <xf numFmtId="294" fontId="66" fillId="0" borderId="0" applyFont="0" applyFill="0" applyBorder="0" applyAlignment="0" applyProtection="0"/>
    <xf numFmtId="294" fontId="66" fillId="0" borderId="0" applyFont="0" applyFill="0" applyBorder="0" applyAlignment="0" applyProtection="0"/>
    <xf numFmtId="294" fontId="66" fillId="0" borderId="0" applyFont="0" applyFill="0" applyBorder="0" applyAlignment="0" applyProtection="0"/>
    <xf numFmtId="294" fontId="66" fillId="0" borderId="0" applyFont="0" applyFill="0" applyBorder="0" applyAlignment="0" applyProtection="0"/>
    <xf numFmtId="294" fontId="66" fillId="0" borderId="0" applyFont="0" applyFill="0" applyBorder="0" applyAlignment="0" applyProtection="0"/>
    <xf numFmtId="294" fontId="66" fillId="0" borderId="0" applyFont="0" applyFill="0" applyBorder="0" applyAlignment="0" applyProtection="0"/>
    <xf numFmtId="294" fontId="66" fillId="0" borderId="0" applyFont="0" applyFill="0" applyBorder="0" applyAlignment="0" applyProtection="0"/>
    <xf numFmtId="294" fontId="66" fillId="0" borderId="0" applyFont="0" applyFill="0" applyBorder="0" applyAlignment="0" applyProtection="0"/>
    <xf numFmtId="294" fontId="66" fillId="0" borderId="0" applyFont="0" applyFill="0" applyBorder="0" applyAlignment="0" applyProtection="0"/>
    <xf numFmtId="294" fontId="66" fillId="0" borderId="0" applyFont="0" applyFill="0" applyBorder="0" applyAlignment="0" applyProtection="0"/>
    <xf numFmtId="294" fontId="66" fillId="0" borderId="0" applyFont="0" applyFill="0" applyBorder="0" applyAlignment="0" applyProtection="0"/>
    <xf numFmtId="294" fontId="66" fillId="0" borderId="0" applyFont="0" applyFill="0" applyBorder="0" applyAlignment="0" applyProtection="0"/>
    <xf numFmtId="294" fontId="66" fillId="0" borderId="0" applyFont="0" applyFill="0" applyBorder="0" applyAlignment="0" applyProtection="0"/>
    <xf numFmtId="294" fontId="66" fillId="0" borderId="0" applyFont="0" applyFill="0" applyBorder="0" applyAlignment="0" applyProtection="0"/>
    <xf numFmtId="294" fontId="66" fillId="0" borderId="0" applyFont="0" applyFill="0" applyBorder="0" applyAlignment="0" applyProtection="0"/>
    <xf numFmtId="294" fontId="66" fillId="0" borderId="0" applyFont="0" applyFill="0" applyBorder="0" applyAlignment="0" applyProtection="0"/>
    <xf numFmtId="294" fontId="66" fillId="0" borderId="0" applyFont="0" applyFill="0" applyBorder="0" applyAlignment="0" applyProtection="0"/>
    <xf numFmtId="294" fontId="66" fillId="0" borderId="0" applyFont="0" applyFill="0" applyBorder="0" applyAlignment="0" applyProtection="0"/>
    <xf numFmtId="238" fontId="182"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296"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9"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171"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209" fontId="66" fillId="0" borderId="0" applyFont="0" applyFill="0" applyBorder="0" applyAlignment="0" applyProtection="0"/>
    <xf numFmtId="209" fontId="66" fillId="0" borderId="0" applyFont="0" applyFill="0" applyBorder="0" applyAlignment="0" applyProtection="0"/>
    <xf numFmtId="171" fontId="61" fillId="0" borderId="0" applyFont="0" applyFill="0" applyBorder="0" applyAlignment="0" applyProtection="0"/>
    <xf numFmtId="288" fontId="61" fillId="0" borderId="0" applyFont="0" applyFill="0" applyBorder="0" applyAlignment="0" applyProtection="0"/>
    <xf numFmtId="41" fontId="66" fillId="0" borderId="0" applyFont="0" applyFill="0" applyBorder="0" applyAlignment="0" applyProtection="0"/>
    <xf numFmtId="0" fontId="66"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43" fontId="182"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206" fontId="66"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283"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1"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288" fontId="66"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0" fontId="66" fillId="0" borderId="0" applyFont="0" applyFill="0" applyBorder="0" applyAlignment="0" applyProtection="0"/>
    <xf numFmtId="41" fontId="66" fillId="0" borderId="0" applyFont="0" applyFill="0" applyBorder="0" applyAlignment="0" applyProtection="0"/>
    <xf numFmtId="206"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0" fontId="66"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8" fontId="66"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71"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66" fillId="0" borderId="0" applyFont="0" applyFill="0" applyBorder="0" applyAlignment="0" applyProtection="0"/>
    <xf numFmtId="43" fontId="229"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290" fontId="66" fillId="0" borderId="0" applyFont="0" applyFill="0" applyBorder="0" applyAlignment="0" applyProtection="0"/>
    <xf numFmtId="43" fontId="228" fillId="0" borderId="0" applyFont="0" applyFill="0" applyBorder="0" applyAlignment="0" applyProtection="0"/>
    <xf numFmtId="43" fontId="228" fillId="0" borderId="0" applyFont="0" applyFill="0" applyBorder="0" applyAlignment="0" applyProtection="0"/>
    <xf numFmtId="43" fontId="228"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238" fontId="66" fillId="0" borderId="0" applyFont="0" applyFill="0" applyBorder="0" applyAlignment="0" applyProtection="0"/>
    <xf numFmtId="209" fontId="66" fillId="0" borderId="0" applyFont="0" applyFill="0" applyBorder="0" applyAlignment="0" applyProtection="0"/>
    <xf numFmtId="209" fontId="66" fillId="0" borderId="0" applyFont="0" applyFill="0" applyBorder="0" applyAlignment="0" applyProtection="0"/>
    <xf numFmtId="209" fontId="66" fillId="0" borderId="0" applyFont="0" applyFill="0" applyBorder="0" applyAlignment="0" applyProtection="0"/>
    <xf numFmtId="209" fontId="66" fillId="0" borderId="0" applyFont="0" applyFill="0" applyBorder="0" applyAlignment="0" applyProtection="0"/>
    <xf numFmtId="209" fontId="66" fillId="0" borderId="0" applyFont="0" applyFill="0" applyBorder="0" applyAlignment="0" applyProtection="0"/>
    <xf numFmtId="171" fontId="182"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1" fillId="0" borderId="0" applyFont="0" applyFill="0" applyBorder="0" applyAlignment="0" applyProtection="0"/>
    <xf numFmtId="288" fontId="61"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43" fontId="93" fillId="0" borderId="0" applyFont="0" applyFill="0" applyBorder="0" applyAlignment="0" applyProtection="0"/>
    <xf numFmtId="171" fontId="61" fillId="0" borderId="0" applyFont="0" applyFill="0" applyBorder="0" applyAlignment="0" applyProtection="0"/>
    <xf numFmtId="171" fontId="228" fillId="0" borderId="0" applyFont="0" applyFill="0" applyBorder="0" applyAlignment="0" applyProtection="0"/>
    <xf numFmtId="297" fontId="229" fillId="0" borderId="0" applyFont="0" applyFill="0" applyBorder="0" applyAlignment="0" applyProtection="0"/>
    <xf numFmtId="43" fontId="66" fillId="0" borderId="0" applyFont="0" applyFill="0" applyBorder="0" applyAlignment="0" applyProtection="0"/>
    <xf numFmtId="171" fontId="118" fillId="0" borderId="0" applyFont="0" applyFill="0" applyBorder="0" applyAlignment="0" applyProtection="0"/>
    <xf numFmtId="171" fontId="228" fillId="0" borderId="0" applyFont="0" applyFill="0" applyBorder="0" applyAlignment="0" applyProtection="0"/>
    <xf numFmtId="171" fontId="228" fillId="0" borderId="0" applyFont="0" applyFill="0" applyBorder="0" applyAlignment="0" applyProtection="0"/>
    <xf numFmtId="171" fontId="228" fillId="0" borderId="0" applyFont="0" applyFill="0" applyBorder="0" applyAlignment="0" applyProtection="0"/>
    <xf numFmtId="171" fontId="228" fillId="0" borderId="0" applyFont="0" applyFill="0" applyBorder="0" applyAlignment="0" applyProtection="0"/>
    <xf numFmtId="288" fontId="228" fillId="0" borderId="0" applyFont="0" applyFill="0" applyBorder="0" applyAlignment="0" applyProtection="0"/>
    <xf numFmtId="209" fontId="228" fillId="0" borderId="0" applyFont="0" applyFill="0" applyBorder="0" applyAlignment="0" applyProtection="0"/>
    <xf numFmtId="171" fontId="228" fillId="0" borderId="0" applyFont="0" applyFill="0" applyBorder="0" applyAlignment="0" applyProtection="0"/>
    <xf numFmtId="171" fontId="228" fillId="0" borderId="0" applyFont="0" applyFill="0" applyBorder="0" applyAlignment="0" applyProtection="0"/>
    <xf numFmtId="171" fontId="228" fillId="0" borderId="0" applyFont="0" applyFill="0" applyBorder="0" applyAlignment="0" applyProtection="0"/>
    <xf numFmtId="171" fontId="228" fillId="0" borderId="0" applyFont="0" applyFill="0" applyBorder="0" applyAlignment="0" applyProtection="0"/>
    <xf numFmtId="171" fontId="228" fillId="0" borderId="0" applyFont="0" applyFill="0" applyBorder="0" applyAlignment="0" applyProtection="0"/>
    <xf numFmtId="171" fontId="228" fillId="0" borderId="0" applyFont="0" applyFill="0" applyBorder="0" applyAlignment="0" applyProtection="0"/>
    <xf numFmtId="190" fontId="228" fillId="0" borderId="0" applyFont="0" applyFill="0" applyBorder="0" applyAlignment="0" applyProtection="0"/>
    <xf numFmtId="171" fontId="228" fillId="0" borderId="0" applyFont="0" applyFill="0" applyBorder="0" applyAlignment="0" applyProtection="0"/>
    <xf numFmtId="171" fontId="228" fillId="0" borderId="0" applyFont="0" applyFill="0" applyBorder="0" applyAlignment="0" applyProtection="0"/>
    <xf numFmtId="195" fontId="182" fillId="0" borderId="0" applyFont="0" applyFill="0" applyBorder="0" applyAlignment="0" applyProtection="0"/>
    <xf numFmtId="43" fontId="228" fillId="0" borderId="0" applyFont="0" applyFill="0" applyBorder="0" applyAlignment="0" applyProtection="0"/>
    <xf numFmtId="195" fontId="182" fillId="0" borderId="0" applyFont="0" applyFill="0" applyBorder="0" applyAlignment="0" applyProtection="0"/>
    <xf numFmtId="43" fontId="228" fillId="0" borderId="0" applyFont="0" applyFill="0" applyBorder="0" applyAlignment="0" applyProtection="0"/>
    <xf numFmtId="43" fontId="228" fillId="0" borderId="0" applyFont="0" applyFill="0" applyBorder="0" applyAlignment="0" applyProtection="0"/>
    <xf numFmtId="43" fontId="228" fillId="0" borderId="0" applyFont="0" applyFill="0" applyBorder="0" applyAlignment="0" applyProtection="0"/>
    <xf numFmtId="238" fontId="228" fillId="0" borderId="0" applyFont="0" applyFill="0" applyBorder="0" applyAlignment="0" applyProtection="0"/>
    <xf numFmtId="238" fontId="228" fillId="0" borderId="0" applyFont="0" applyFill="0" applyBorder="0" applyAlignment="0" applyProtection="0"/>
    <xf numFmtId="43" fontId="228" fillId="0" borderId="0" applyFont="0" applyFill="0" applyBorder="0" applyAlignment="0" applyProtection="0"/>
    <xf numFmtId="43" fontId="228" fillId="0" borderId="0" applyFont="0" applyFill="0" applyBorder="0" applyAlignment="0" applyProtection="0"/>
    <xf numFmtId="43" fontId="228" fillId="0" borderId="0" applyFont="0" applyFill="0" applyBorder="0" applyAlignment="0" applyProtection="0"/>
    <xf numFmtId="43" fontId="228" fillId="0" borderId="0" applyFont="0" applyFill="0" applyBorder="0" applyAlignment="0" applyProtection="0"/>
    <xf numFmtId="171" fontId="182" fillId="0" borderId="0" applyFont="0" applyFill="0" applyBorder="0" applyAlignment="0" applyProtection="0"/>
    <xf numFmtId="43" fontId="228" fillId="0" borderId="0" applyFont="0" applyFill="0" applyBorder="0" applyAlignment="0" applyProtection="0"/>
    <xf numFmtId="195" fontId="182" fillId="0" borderId="0" applyFont="0" applyFill="0" applyBorder="0" applyAlignment="0" applyProtection="0"/>
    <xf numFmtId="171" fontId="228" fillId="0" borderId="0" applyFont="0" applyFill="0" applyBorder="0" applyAlignment="0" applyProtection="0"/>
    <xf numFmtId="166" fontId="228" fillId="0" borderId="0" applyFont="0" applyFill="0" applyBorder="0" applyAlignment="0" applyProtection="0"/>
    <xf numFmtId="195" fontId="182"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7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43" fontId="229" fillId="0" borderId="0" applyFont="0" applyFill="0" applyBorder="0" applyAlignment="0" applyProtection="0"/>
    <xf numFmtId="43" fontId="229" fillId="0" borderId="0" applyFont="0" applyFill="0" applyBorder="0" applyAlignment="0" applyProtection="0"/>
    <xf numFmtId="43" fontId="229" fillId="0" borderId="0" applyFont="0" applyFill="0" applyBorder="0" applyAlignment="0" applyProtection="0"/>
    <xf numFmtId="43" fontId="229" fillId="0" borderId="0" applyFont="0" applyFill="0" applyBorder="0" applyAlignment="0" applyProtection="0"/>
    <xf numFmtId="43" fontId="229" fillId="0" borderId="0" applyFont="0" applyFill="0" applyBorder="0" applyAlignment="0" applyProtection="0"/>
    <xf numFmtId="43" fontId="229" fillId="0" borderId="0" applyFont="0" applyFill="0" applyBorder="0" applyAlignment="0" applyProtection="0"/>
    <xf numFmtId="171" fontId="61" fillId="0" borderId="0" applyFont="0" applyFill="0" applyBorder="0" applyAlignment="0" applyProtection="0"/>
    <xf numFmtId="43" fontId="229" fillId="0" borderId="0" applyFont="0" applyFill="0" applyBorder="0" applyAlignment="0" applyProtection="0"/>
    <xf numFmtId="43" fontId="229" fillId="0" borderId="0" applyFont="0" applyFill="0" applyBorder="0" applyAlignment="0" applyProtection="0"/>
    <xf numFmtId="43" fontId="229" fillId="0" borderId="0" applyFont="0" applyFill="0" applyBorder="0" applyAlignment="0" applyProtection="0"/>
    <xf numFmtId="43" fontId="229" fillId="0" borderId="0" applyFont="0" applyFill="0" applyBorder="0" applyAlignment="0" applyProtection="0"/>
    <xf numFmtId="43" fontId="229" fillId="0" borderId="0" applyFont="0" applyFill="0" applyBorder="0" applyAlignment="0" applyProtection="0"/>
    <xf numFmtId="43" fontId="229"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171" fontId="61" fillId="0" borderId="0" applyFont="0" applyFill="0" applyBorder="0" applyAlignment="0" applyProtection="0"/>
    <xf numFmtId="287" fontId="66" fillId="0" borderId="0" applyFill="0" applyBorder="0" applyAlignment="0" applyProtection="0"/>
    <xf numFmtId="195" fontId="182" fillId="0" borderId="0" applyFont="0" applyFill="0" applyBorder="0" applyAlignment="0" applyProtection="0"/>
    <xf numFmtId="0" fontId="182" fillId="0" borderId="0" applyFont="0" applyFill="0" applyBorder="0" applyAlignment="0" applyProtection="0"/>
    <xf numFmtId="195" fontId="182" fillId="0" borderId="0" applyFont="0" applyFill="0" applyBorder="0" applyAlignment="0" applyProtection="0"/>
    <xf numFmtId="195" fontId="182" fillId="0" borderId="0" applyFont="0" applyFill="0" applyBorder="0" applyAlignment="0" applyProtection="0"/>
    <xf numFmtId="0" fontId="182" fillId="0" borderId="0" applyFont="0" applyFill="0" applyBorder="0" applyAlignment="0" applyProtection="0"/>
    <xf numFmtId="195" fontId="182" fillId="0" borderId="0" applyFont="0" applyFill="0" applyBorder="0" applyAlignment="0" applyProtection="0"/>
    <xf numFmtId="195" fontId="182" fillId="0" borderId="0" applyFont="0" applyFill="0" applyBorder="0" applyAlignment="0" applyProtection="0"/>
    <xf numFmtId="0" fontId="182" fillId="0" borderId="0" applyFont="0" applyFill="0" applyBorder="0" applyAlignment="0" applyProtection="0"/>
    <xf numFmtId="195" fontId="182" fillId="0" borderId="0" applyFont="0" applyFill="0" applyBorder="0" applyAlignment="0" applyProtection="0"/>
    <xf numFmtId="195" fontId="182" fillId="0" borderId="0" applyFont="0" applyFill="0" applyBorder="0" applyAlignment="0" applyProtection="0"/>
    <xf numFmtId="0" fontId="182" fillId="0" borderId="0" applyFont="0" applyFill="0" applyBorder="0" applyAlignment="0" applyProtection="0"/>
    <xf numFmtId="195" fontId="182" fillId="0" borderId="0" applyFont="0" applyFill="0" applyBorder="0" applyAlignment="0" applyProtection="0"/>
    <xf numFmtId="195" fontId="182" fillId="0" borderId="0" applyFont="0" applyFill="0" applyBorder="0" applyAlignment="0" applyProtection="0"/>
    <xf numFmtId="0" fontId="182" fillId="0" borderId="0" applyFont="0" applyFill="0" applyBorder="0" applyAlignment="0" applyProtection="0"/>
    <xf numFmtId="195" fontId="182" fillId="0" borderId="0" applyFont="0" applyFill="0" applyBorder="0" applyAlignment="0" applyProtection="0"/>
    <xf numFmtId="283" fontId="66" fillId="0" borderId="0" applyFont="0" applyFill="0" applyBorder="0" applyAlignment="0" applyProtection="0"/>
    <xf numFmtId="283" fontId="66" fillId="0" borderId="0" applyFont="0" applyFill="0" applyBorder="0" applyAlignment="0" applyProtection="0"/>
    <xf numFmtId="283" fontId="66" fillId="0" borderId="0" applyFont="0" applyFill="0" applyBorder="0" applyAlignment="0" applyProtection="0"/>
    <xf numFmtId="283" fontId="66" fillId="0" borderId="0" applyFont="0" applyFill="0" applyBorder="0" applyAlignment="0" applyProtection="0"/>
    <xf numFmtId="283" fontId="66" fillId="0" borderId="0" applyFont="0" applyFill="0" applyBorder="0" applyAlignment="0" applyProtection="0"/>
    <xf numFmtId="283" fontId="66" fillId="0" borderId="0" applyFont="0" applyFill="0" applyBorder="0" applyAlignment="0" applyProtection="0"/>
    <xf numFmtId="283" fontId="66" fillId="0" borderId="0" applyFont="0" applyFill="0" applyBorder="0" applyAlignment="0" applyProtection="0"/>
    <xf numFmtId="283" fontId="66" fillId="0" borderId="0" applyFont="0" applyFill="0" applyBorder="0" applyAlignment="0" applyProtection="0"/>
    <xf numFmtId="283" fontId="66" fillId="0" borderId="0" applyFont="0" applyFill="0" applyBorder="0" applyAlignment="0" applyProtection="0"/>
    <xf numFmtId="283" fontId="66" fillId="0" borderId="0" applyFont="0" applyFill="0" applyBorder="0" applyAlignment="0" applyProtection="0"/>
    <xf numFmtId="283" fontId="66" fillId="0" borderId="0" applyFont="0" applyFill="0" applyBorder="0" applyAlignment="0" applyProtection="0"/>
    <xf numFmtId="283" fontId="66" fillId="0" borderId="0" applyFont="0" applyFill="0" applyBorder="0" applyAlignment="0" applyProtection="0"/>
    <xf numFmtId="283" fontId="66" fillId="0" borderId="0" applyFont="0" applyFill="0" applyBorder="0" applyAlignment="0" applyProtection="0"/>
    <xf numFmtId="283" fontId="66" fillId="0" borderId="0" applyFont="0" applyFill="0" applyBorder="0" applyAlignment="0" applyProtection="0"/>
    <xf numFmtId="283" fontId="66" fillId="0" borderId="0" applyFont="0" applyFill="0" applyBorder="0" applyAlignment="0" applyProtection="0"/>
    <xf numFmtId="283" fontId="66" fillId="0" borderId="0" applyFont="0" applyFill="0" applyBorder="0" applyAlignment="0" applyProtection="0"/>
    <xf numFmtId="283" fontId="66" fillId="0" borderId="0" applyFont="0" applyFill="0" applyBorder="0" applyAlignment="0" applyProtection="0"/>
    <xf numFmtId="283" fontId="66" fillId="0" borderId="0" applyFont="0" applyFill="0" applyBorder="0" applyAlignment="0" applyProtection="0"/>
    <xf numFmtId="283" fontId="66" fillId="0" borderId="0" applyFont="0" applyFill="0" applyBorder="0" applyAlignment="0" applyProtection="0"/>
    <xf numFmtId="283" fontId="66" fillId="0" borderId="0" applyFont="0" applyFill="0" applyBorder="0" applyAlignment="0" applyProtection="0"/>
    <xf numFmtId="283" fontId="66" fillId="0" borderId="0" applyFont="0" applyFill="0" applyBorder="0" applyAlignment="0" applyProtection="0"/>
    <xf numFmtId="283" fontId="66" fillId="0" borderId="0" applyFont="0" applyFill="0" applyBorder="0" applyAlignment="0" applyProtection="0"/>
    <xf numFmtId="283" fontId="66" fillId="0" borderId="0" applyFont="0" applyFill="0" applyBorder="0" applyAlignment="0" applyProtection="0"/>
    <xf numFmtId="283" fontId="66" fillId="0" borderId="0" applyFont="0" applyFill="0" applyBorder="0" applyAlignment="0" applyProtection="0"/>
    <xf numFmtId="283" fontId="66" fillId="0" borderId="0" applyFont="0" applyFill="0" applyBorder="0" applyAlignment="0" applyProtection="0"/>
    <xf numFmtId="283" fontId="66" fillId="0" borderId="0" applyFont="0" applyFill="0" applyBorder="0" applyAlignment="0" applyProtection="0"/>
    <xf numFmtId="283" fontId="66" fillId="0" borderId="0" applyFont="0" applyFill="0" applyBorder="0" applyAlignment="0" applyProtection="0"/>
    <xf numFmtId="283" fontId="66" fillId="0" borderId="0" applyFont="0" applyFill="0" applyBorder="0" applyAlignment="0" applyProtection="0"/>
    <xf numFmtId="283" fontId="66" fillId="0" borderId="0" applyFont="0" applyFill="0" applyBorder="0" applyAlignment="0" applyProtection="0"/>
    <xf numFmtId="283" fontId="66" fillId="0" borderId="0" applyFont="0" applyFill="0" applyBorder="0" applyAlignment="0" applyProtection="0"/>
    <xf numFmtId="283" fontId="66" fillId="0" borderId="0" applyFont="0" applyFill="0" applyBorder="0" applyAlignment="0" applyProtection="0"/>
    <xf numFmtId="283" fontId="66" fillId="0" borderId="0" applyFont="0" applyFill="0" applyBorder="0" applyAlignment="0" applyProtection="0"/>
    <xf numFmtId="238" fontId="150" fillId="0" borderId="0" applyFont="0" applyFill="0" applyBorder="0" applyAlignment="0" applyProtection="0"/>
    <xf numFmtId="283" fontId="66" fillId="0" borderId="0" applyFont="0" applyFill="0" applyBorder="0" applyAlignment="0" applyProtection="0"/>
    <xf numFmtId="283" fontId="66" fillId="0" borderId="0" applyFont="0" applyFill="0" applyBorder="0" applyAlignment="0" applyProtection="0"/>
    <xf numFmtId="283" fontId="66" fillId="0" borderId="0" applyFont="0" applyFill="0" applyBorder="0" applyAlignment="0" applyProtection="0"/>
    <xf numFmtId="283" fontId="66" fillId="0" borderId="0" applyFont="0" applyFill="0" applyBorder="0" applyAlignment="0" applyProtection="0"/>
    <xf numFmtId="283" fontId="66" fillId="0" borderId="0" applyFont="0" applyFill="0" applyBorder="0" applyAlignment="0" applyProtection="0"/>
    <xf numFmtId="283" fontId="66" fillId="0" borderId="0" applyFont="0" applyFill="0" applyBorder="0" applyAlignment="0" applyProtection="0"/>
    <xf numFmtId="283" fontId="66" fillId="0" borderId="0" applyFont="0" applyFill="0" applyBorder="0" applyAlignment="0" applyProtection="0"/>
    <xf numFmtId="283" fontId="66" fillId="0" borderId="0" applyFont="0" applyFill="0" applyBorder="0" applyAlignment="0" applyProtection="0"/>
    <xf numFmtId="283" fontId="66" fillId="0" borderId="0" applyFont="0" applyFill="0" applyBorder="0" applyAlignment="0" applyProtection="0"/>
    <xf numFmtId="283" fontId="66" fillId="0" borderId="0" applyFont="0" applyFill="0" applyBorder="0" applyAlignment="0" applyProtection="0"/>
    <xf numFmtId="195" fontId="182" fillId="0" borderId="0" applyFont="0" applyFill="0" applyBorder="0" applyAlignment="0" applyProtection="0"/>
    <xf numFmtId="0" fontId="182" fillId="0" borderId="0" applyFont="0" applyFill="0" applyBorder="0" applyAlignment="0" applyProtection="0"/>
    <xf numFmtId="195" fontId="182" fillId="0" borderId="0" applyFont="0" applyFill="0" applyBorder="0" applyAlignment="0" applyProtection="0"/>
    <xf numFmtId="0" fontId="182" fillId="0" borderId="0" applyFont="0" applyFill="0" applyBorder="0" applyAlignment="0" applyProtection="0"/>
    <xf numFmtId="171" fontId="182" fillId="0" borderId="0" applyFont="0" applyFill="0" applyBorder="0" applyAlignment="0" applyProtection="0"/>
    <xf numFmtId="43" fontId="182" fillId="0" borderId="0" applyFont="0" applyFill="0" applyBorder="0" applyAlignment="0" applyProtection="0"/>
    <xf numFmtId="171" fontId="61" fillId="0" borderId="0" applyFont="0" applyFill="0" applyBorder="0" applyAlignment="0" applyProtection="0"/>
    <xf numFmtId="171" fontId="182" fillId="0" borderId="0" applyFont="0" applyFill="0" applyBorder="0" applyAlignment="0" applyProtection="0"/>
    <xf numFmtId="171" fontId="150" fillId="0" borderId="0" applyFont="0" applyFill="0" applyBorder="0" applyAlignment="0" applyProtection="0"/>
    <xf numFmtId="43" fontId="61" fillId="0" borderId="0" applyFont="0" applyFill="0" applyBorder="0" applyAlignment="0" applyProtection="0"/>
    <xf numFmtId="43" fontId="61" fillId="0" borderId="0" applyFont="0" applyFill="0" applyBorder="0" applyAlignment="0" applyProtection="0"/>
    <xf numFmtId="43" fontId="61" fillId="0" borderId="0" applyFont="0" applyFill="0" applyBorder="0" applyAlignment="0" applyProtection="0"/>
    <xf numFmtId="43" fontId="61" fillId="0" borderId="0" applyFont="0" applyFill="0" applyBorder="0" applyAlignment="0" applyProtection="0"/>
    <xf numFmtId="43" fontId="61" fillId="0" borderId="0" applyFont="0" applyFill="0" applyBorder="0" applyAlignment="0" applyProtection="0"/>
    <xf numFmtId="43" fontId="61" fillId="0" borderId="0" applyFont="0" applyFill="0" applyBorder="0" applyAlignment="0" applyProtection="0"/>
    <xf numFmtId="43" fontId="61" fillId="0" borderId="0" applyFont="0" applyFill="0" applyBorder="0" applyAlignment="0" applyProtection="0"/>
    <xf numFmtId="43" fontId="61" fillId="0" borderId="0" applyFont="0" applyFill="0" applyBorder="0" applyAlignment="0" applyProtection="0"/>
    <xf numFmtId="43" fontId="61" fillId="0" borderId="0" applyFont="0" applyFill="0" applyBorder="0" applyAlignment="0" applyProtection="0"/>
    <xf numFmtId="43" fontId="61" fillId="0" borderId="0" applyFont="0" applyFill="0" applyBorder="0" applyAlignment="0" applyProtection="0"/>
    <xf numFmtId="43" fontId="61" fillId="0" borderId="0" applyFont="0" applyFill="0" applyBorder="0" applyAlignment="0" applyProtection="0"/>
    <xf numFmtId="43" fontId="61" fillId="0" borderId="0" applyFont="0" applyFill="0" applyBorder="0" applyAlignment="0" applyProtection="0"/>
    <xf numFmtId="43" fontId="61" fillId="0" borderId="0" applyFont="0" applyFill="0" applyBorder="0" applyAlignment="0" applyProtection="0"/>
    <xf numFmtId="43" fontId="61" fillId="0" borderId="0" applyFont="0" applyFill="0" applyBorder="0" applyAlignment="0" applyProtection="0"/>
    <xf numFmtId="43" fontId="61" fillId="0" borderId="0" applyFont="0" applyFill="0" applyBorder="0" applyAlignment="0" applyProtection="0"/>
    <xf numFmtId="43" fontId="61" fillId="0" borderId="0" applyFont="0" applyFill="0" applyBorder="0" applyAlignment="0" applyProtection="0"/>
    <xf numFmtId="43" fontId="61" fillId="0" borderId="0" applyFont="0" applyFill="0" applyBorder="0" applyAlignment="0" applyProtection="0"/>
    <xf numFmtId="43" fontId="61" fillId="0" borderId="0" applyFont="0" applyFill="0" applyBorder="0" applyAlignment="0" applyProtection="0"/>
    <xf numFmtId="43" fontId="61" fillId="0" borderId="0" applyFont="0" applyFill="0" applyBorder="0" applyAlignment="0" applyProtection="0"/>
    <xf numFmtId="43" fontId="61" fillId="0" borderId="0" applyFont="0" applyFill="0" applyBorder="0" applyAlignment="0" applyProtection="0"/>
    <xf numFmtId="43" fontId="61" fillId="0" borderId="0" applyFont="0" applyFill="0" applyBorder="0" applyAlignment="0" applyProtection="0"/>
    <xf numFmtId="43" fontId="61" fillId="0" borderId="0" applyFont="0" applyFill="0" applyBorder="0" applyAlignment="0" applyProtection="0"/>
    <xf numFmtId="43" fontId="61" fillId="0" borderId="0" applyFont="0" applyFill="0" applyBorder="0" applyAlignment="0" applyProtection="0"/>
    <xf numFmtId="43" fontId="61" fillId="0" borderId="0" applyFont="0" applyFill="0" applyBorder="0" applyAlignment="0" applyProtection="0"/>
    <xf numFmtId="171" fontId="150" fillId="0" borderId="0" applyFont="0" applyFill="0" applyBorder="0" applyAlignment="0" applyProtection="0"/>
    <xf numFmtId="171" fontId="228" fillId="0" borderId="0" applyFont="0" applyFill="0" applyBorder="0" applyAlignment="0" applyProtection="0"/>
    <xf numFmtId="171" fontId="66" fillId="0" borderId="0" applyFont="0" applyFill="0" applyBorder="0" applyAlignment="0" applyProtection="0"/>
    <xf numFmtId="238" fontId="228" fillId="0" borderId="0" applyFont="0" applyFill="0" applyBorder="0" applyAlignment="0" applyProtection="0"/>
    <xf numFmtId="171" fontId="66" fillId="0" borderId="0" applyFont="0" applyFill="0" applyBorder="0" applyAlignment="0" applyProtection="0"/>
    <xf numFmtId="38" fontId="150" fillId="0" borderId="0" applyFill="0" applyBorder="0" applyProtection="0">
      <alignment horizontal="center"/>
    </xf>
    <xf numFmtId="0" fontId="232" fillId="0" borderId="0"/>
    <xf numFmtId="0" fontId="183" fillId="0" borderId="0"/>
    <xf numFmtId="0" fontId="232" fillId="0" borderId="0"/>
    <xf numFmtId="0" fontId="183" fillId="0" borderId="0"/>
    <xf numFmtId="3" fontId="233" fillId="0" borderId="0">
      <alignment horizontal="center"/>
    </xf>
    <xf numFmtId="0" fontId="234" fillId="0" borderId="0"/>
    <xf numFmtId="238" fontId="206" fillId="74" borderId="22" applyNumberFormat="0" applyFont="0" applyAlignment="0" applyProtection="0"/>
    <xf numFmtId="0" fontId="235" fillId="0" borderId="0" applyFill="0" applyBorder="0">
      <alignment horizontal="left"/>
    </xf>
    <xf numFmtId="298" fontId="66" fillId="0" borderId="0" applyFont="0" applyFill="0" applyBorder="0" applyAlignment="0" applyProtection="0"/>
    <xf numFmtId="238" fontId="89" fillId="0" borderId="0" applyNumberFormat="0" applyAlignment="0">
      <alignment horizontal="left"/>
    </xf>
    <xf numFmtId="238" fontId="89" fillId="0" borderId="0" applyNumberFormat="0" applyAlignment="0">
      <alignment horizontal="left"/>
    </xf>
    <xf numFmtId="238" fontId="89" fillId="0" borderId="0" applyNumberFormat="0" applyAlignment="0">
      <alignment horizontal="left"/>
    </xf>
    <xf numFmtId="238" fontId="89" fillId="0" borderId="0" applyNumberFormat="0" applyAlignment="0">
      <alignment horizontal="left"/>
    </xf>
    <xf numFmtId="238" fontId="89" fillId="0" borderId="0" applyNumberFormat="0" applyAlignment="0">
      <alignment horizontal="left"/>
    </xf>
    <xf numFmtId="238" fontId="89" fillId="0" borderId="0" applyNumberFormat="0" applyAlignment="0">
      <alignment horizontal="left"/>
    </xf>
    <xf numFmtId="238" fontId="89" fillId="0" borderId="0" applyNumberFormat="0" applyAlignment="0">
      <alignment horizontal="left"/>
    </xf>
    <xf numFmtId="238" fontId="89" fillId="0" borderId="0" applyNumberFormat="0" applyAlignment="0">
      <alignment horizontal="left"/>
    </xf>
    <xf numFmtId="238" fontId="89" fillId="0" borderId="0" applyNumberFormat="0" applyAlignment="0">
      <alignment horizontal="left"/>
    </xf>
    <xf numFmtId="238" fontId="89" fillId="0" borderId="0" applyNumberFormat="0" applyAlignment="0">
      <alignment horizontal="left"/>
    </xf>
    <xf numFmtId="238" fontId="89" fillId="0" borderId="0" applyNumberFormat="0" applyAlignment="0">
      <alignment horizontal="left"/>
    </xf>
    <xf numFmtId="238" fontId="89" fillId="0" borderId="0" applyNumberFormat="0" applyAlignment="0">
      <alignment horizontal="left"/>
    </xf>
    <xf numFmtId="238" fontId="89" fillId="0" borderId="0" applyNumberFormat="0" applyAlignment="0">
      <alignment horizontal="left"/>
    </xf>
    <xf numFmtId="238" fontId="89" fillId="0" borderId="0" applyNumberFormat="0" applyAlignment="0">
      <alignment horizontal="left"/>
    </xf>
    <xf numFmtId="238" fontId="89" fillId="0" borderId="0" applyNumberFormat="0" applyAlignment="0">
      <alignment horizontal="left"/>
    </xf>
    <xf numFmtId="238" fontId="89" fillId="0" borderId="0" applyNumberFormat="0" applyAlignment="0">
      <alignment horizontal="left"/>
    </xf>
    <xf numFmtId="238" fontId="89" fillId="0" borderId="0" applyNumberFormat="0" applyAlignment="0">
      <alignment horizontal="left"/>
    </xf>
    <xf numFmtId="238" fontId="89" fillId="0" borderId="0" applyNumberFormat="0" applyAlignment="0">
      <alignment horizontal="left"/>
    </xf>
    <xf numFmtId="238" fontId="89" fillId="0" borderId="0" applyNumberFormat="0" applyAlignment="0">
      <alignment horizontal="left"/>
    </xf>
    <xf numFmtId="238" fontId="89" fillId="0" borderId="0" applyNumberFormat="0" applyAlignment="0">
      <alignment horizontal="left"/>
    </xf>
    <xf numFmtId="238" fontId="89" fillId="0" borderId="0" applyNumberFormat="0" applyAlignment="0">
      <alignment horizontal="left"/>
    </xf>
    <xf numFmtId="238" fontId="89" fillId="0" borderId="0" applyNumberFormat="0" applyAlignment="0">
      <alignment horizontal="left"/>
    </xf>
    <xf numFmtId="238" fontId="89" fillId="0" borderId="0" applyNumberFormat="0" applyAlignment="0">
      <alignment horizontal="left"/>
    </xf>
    <xf numFmtId="238" fontId="89" fillId="0" borderId="0" applyNumberFormat="0" applyAlignment="0">
      <alignment horizontal="left"/>
    </xf>
    <xf numFmtId="238" fontId="89" fillId="0" borderId="0" applyNumberFormat="0" applyAlignment="0">
      <alignment horizontal="left"/>
    </xf>
    <xf numFmtId="238" fontId="89" fillId="0" borderId="0" applyNumberFormat="0" applyAlignment="0">
      <alignment horizontal="left"/>
    </xf>
    <xf numFmtId="238" fontId="89" fillId="0" borderId="0" applyNumberFormat="0" applyAlignment="0">
      <alignment horizontal="left"/>
    </xf>
    <xf numFmtId="238" fontId="89" fillId="0" borderId="0" applyNumberFormat="0" applyAlignment="0">
      <alignment horizontal="left"/>
    </xf>
    <xf numFmtId="238" fontId="89" fillId="0" borderId="0" applyNumberFormat="0" applyAlignment="0">
      <alignment horizontal="left"/>
    </xf>
    <xf numFmtId="238" fontId="89" fillId="0" borderId="0" applyNumberFormat="0" applyAlignment="0">
      <alignment horizontal="left"/>
    </xf>
    <xf numFmtId="238" fontId="89" fillId="0" borderId="0" applyNumberFormat="0" applyAlignment="0">
      <alignment horizontal="left"/>
    </xf>
    <xf numFmtId="238" fontId="90" fillId="0" borderId="0" applyNumberFormat="0" applyAlignment="0"/>
    <xf numFmtId="238" fontId="90" fillId="0" borderId="0" applyNumberFormat="0" applyAlignment="0"/>
    <xf numFmtId="238" fontId="90" fillId="0" borderId="0" applyNumberFormat="0" applyAlignment="0"/>
    <xf numFmtId="238" fontId="90" fillId="0" borderId="0" applyNumberFormat="0" applyAlignment="0"/>
    <xf numFmtId="238" fontId="90" fillId="0" borderId="0" applyNumberFormat="0" applyAlignment="0"/>
    <xf numFmtId="238" fontId="90" fillId="0" borderId="0" applyNumberFormat="0" applyAlignment="0"/>
    <xf numFmtId="238" fontId="90" fillId="0" borderId="0" applyNumberFormat="0" applyAlignment="0"/>
    <xf numFmtId="238" fontId="90" fillId="0" borderId="0" applyNumberFormat="0" applyAlignment="0"/>
    <xf numFmtId="238" fontId="90" fillId="0" borderId="0" applyNumberFormat="0" applyAlignment="0"/>
    <xf numFmtId="238" fontId="90" fillId="0" borderId="0" applyNumberFormat="0" applyAlignment="0"/>
    <xf numFmtId="238" fontId="90" fillId="0" borderId="0" applyNumberFormat="0" applyAlignment="0"/>
    <xf numFmtId="238" fontId="90" fillId="0" borderId="0" applyNumberFormat="0" applyAlignment="0"/>
    <xf numFmtId="238" fontId="90" fillId="0" borderId="0" applyNumberFormat="0" applyAlignment="0"/>
    <xf numFmtId="238" fontId="90" fillId="0" borderId="0" applyNumberFormat="0" applyAlignment="0"/>
    <xf numFmtId="238" fontId="90" fillId="0" borderId="0" applyNumberFormat="0" applyAlignment="0"/>
    <xf numFmtId="238" fontId="90" fillId="0" borderId="0" applyNumberFormat="0" applyAlignment="0"/>
    <xf numFmtId="238" fontId="90" fillId="0" borderId="0" applyNumberFormat="0" applyAlignment="0"/>
    <xf numFmtId="238" fontId="90" fillId="0" borderId="0" applyNumberFormat="0" applyAlignment="0"/>
    <xf numFmtId="238" fontId="90" fillId="0" borderId="0" applyNumberFormat="0" applyAlignment="0"/>
    <xf numFmtId="238" fontId="90" fillId="0" borderId="0" applyNumberFormat="0" applyAlignment="0"/>
    <xf numFmtId="238" fontId="90" fillId="0" borderId="0" applyNumberFormat="0" applyAlignment="0"/>
    <xf numFmtId="238" fontId="90" fillId="0" borderId="0" applyNumberFormat="0" applyAlignment="0"/>
    <xf numFmtId="238" fontId="90" fillId="0" borderId="0" applyNumberFormat="0" applyAlignment="0"/>
    <xf numFmtId="238" fontId="90" fillId="0" borderId="0" applyNumberFormat="0" applyAlignment="0"/>
    <xf numFmtId="238" fontId="90" fillId="0" borderId="0" applyNumberFormat="0" applyAlignment="0"/>
    <xf numFmtId="238" fontId="90" fillId="0" borderId="0" applyNumberFormat="0" applyAlignment="0"/>
    <xf numFmtId="238" fontId="90" fillId="0" borderId="0" applyNumberFormat="0" applyAlignment="0"/>
    <xf numFmtId="238" fontId="90" fillId="0" borderId="0" applyNumberFormat="0" applyAlignment="0"/>
    <xf numFmtId="238" fontId="90" fillId="0" borderId="0" applyNumberFormat="0" applyAlignment="0"/>
    <xf numFmtId="238" fontId="90" fillId="0" borderId="0" applyNumberFormat="0" applyAlignment="0"/>
    <xf numFmtId="238" fontId="90" fillId="0" borderId="0" applyNumberFormat="0" applyAlignment="0"/>
    <xf numFmtId="190" fontId="236" fillId="0" borderId="59" applyNumberFormat="0" applyBorder="0" applyAlignment="0" applyProtection="0">
      <protection locked="0"/>
    </xf>
    <xf numFmtId="0" fontId="150" fillId="0" borderId="21" applyNumberFormat="0" applyFont="0" applyFill="0" applyBorder="0" applyProtection="0">
      <alignment horizontal="centerContinuous"/>
    </xf>
    <xf numFmtId="0" fontId="150" fillId="0" borderId="21" applyNumberFormat="0" applyFont="0" applyFill="0" applyBorder="0" applyProtection="0">
      <alignment horizontal="centerContinuous"/>
    </xf>
    <xf numFmtId="292" fontId="237" fillId="0" borderId="0" applyFill="0">
      <alignment horizontal="left" vertical="top"/>
      <protection locked="0"/>
    </xf>
    <xf numFmtId="0" fontId="150" fillId="0" borderId="56" applyNumberFormat="0" applyFont="0" applyFill="0" applyProtection="0">
      <alignment horizontal="centerContinuous"/>
    </xf>
    <xf numFmtId="0" fontId="150" fillId="0" borderId="56" applyNumberFormat="0" applyFont="0" applyFill="0" applyProtection="0">
      <alignment horizontal="centerContinuous"/>
    </xf>
    <xf numFmtId="0" fontId="150" fillId="0" borderId="56" applyNumberFormat="0" applyFont="0" applyFill="0" applyProtection="0">
      <alignment horizontal="centerContinuous"/>
    </xf>
    <xf numFmtId="299" fontId="150" fillId="0" borderId="0">
      <alignment horizontal="right"/>
    </xf>
    <xf numFmtId="300" fontId="150" fillId="0" borderId="0">
      <alignment horizontal="right"/>
    </xf>
    <xf numFmtId="232" fontId="150" fillId="0" borderId="0">
      <alignment horizontal="right"/>
    </xf>
    <xf numFmtId="234" fontId="94" fillId="0" borderId="0"/>
    <xf numFmtId="164" fontId="238" fillId="0" borderId="0" applyFont="0" applyFill="0" applyBorder="0" applyAlignment="0" applyProtection="0">
      <alignment horizontal="center"/>
    </xf>
    <xf numFmtId="168" fontId="66" fillId="0" borderId="0">
      <alignment horizontal="right"/>
    </xf>
    <xf numFmtId="0" fontId="239" fillId="0" borderId="0" applyFont="0" applyFill="0" applyBorder="0" applyAlignment="0" applyProtection="0"/>
    <xf numFmtId="0" fontId="239" fillId="0" borderId="0" applyFont="0" applyFill="0" applyBorder="0" applyAlignment="0" applyProtection="0"/>
    <xf numFmtId="301" fontId="66" fillId="0" borderId="0" applyFont="0" applyFill="0" applyBorder="0" applyAlignment="0" applyProtection="0"/>
    <xf numFmtId="302" fontId="66" fillId="0" borderId="52" applyFont="0" applyFill="0" applyBorder="0" applyAlignment="0" applyProtection="0"/>
    <xf numFmtId="303" fontId="227" fillId="0" borderId="0" applyFont="0" applyFill="0" applyBorder="0" applyAlignment="0" applyProtection="0">
      <alignment horizontal="right"/>
    </xf>
    <xf numFmtId="170" fontId="66" fillId="0" borderId="0" applyFont="0" applyFill="0" applyBorder="0" applyAlignment="0" applyProtection="0"/>
    <xf numFmtId="170" fontId="66" fillId="0" borderId="0" applyFont="0" applyFill="0" applyBorder="0" applyAlignment="0" applyProtection="0"/>
    <xf numFmtId="170" fontId="66" fillId="0" borderId="0" applyFont="0" applyFill="0" applyBorder="0" applyAlignment="0" applyProtection="0"/>
    <xf numFmtId="170" fontId="66" fillId="0" borderId="0" applyFont="0" applyFill="0" applyBorder="0" applyAlignment="0" applyProtection="0"/>
    <xf numFmtId="170" fontId="66" fillId="0" borderId="0" applyFont="0" applyFill="0" applyBorder="0" applyAlignment="0" applyProtection="0"/>
    <xf numFmtId="170" fontId="66" fillId="0" borderId="0" applyFont="0" applyFill="0" applyBorder="0" applyAlignment="0" applyProtection="0"/>
    <xf numFmtId="170" fontId="66" fillId="0" borderId="0" applyFont="0" applyFill="0" applyBorder="0" applyAlignment="0" applyProtection="0"/>
    <xf numFmtId="170" fontId="66" fillId="0" borderId="0" applyFont="0" applyFill="0" applyBorder="0" applyAlignment="0" applyProtection="0"/>
    <xf numFmtId="170" fontId="66" fillId="0" borderId="0" applyFont="0" applyFill="0" applyBorder="0" applyAlignment="0" applyProtection="0"/>
    <xf numFmtId="170" fontId="66" fillId="0" borderId="0" applyFont="0" applyFill="0" applyBorder="0" applyAlignment="0" applyProtection="0"/>
    <xf numFmtId="170" fontId="71" fillId="0" borderId="0" applyFont="0" applyFill="0" applyBorder="0" applyAlignment="0" applyProtection="0"/>
    <xf numFmtId="170" fontId="71" fillId="0" borderId="0" applyFont="0" applyFill="0" applyBorder="0" applyAlignment="0" applyProtection="0"/>
    <xf numFmtId="170" fontId="66" fillId="0" borderId="0" applyFont="0" applyFill="0" applyBorder="0" applyAlignment="0" applyProtection="0"/>
    <xf numFmtId="170" fontId="66" fillId="0" borderId="0" applyFont="0" applyFill="0" applyBorder="0" applyAlignment="0" applyProtection="0"/>
    <xf numFmtId="170" fontId="66" fillId="0" borderId="0" applyFont="0" applyFill="0" applyBorder="0" applyAlignment="0" applyProtection="0"/>
    <xf numFmtId="170" fontId="66" fillId="0" borderId="0" applyFont="0" applyFill="0" applyBorder="0" applyAlignment="0" applyProtection="0"/>
    <xf numFmtId="170" fontId="66" fillId="0" borderId="0" applyFont="0" applyFill="0" applyBorder="0" applyAlignment="0" applyProtection="0"/>
    <xf numFmtId="170" fontId="66" fillId="0" borderId="0" applyFont="0" applyFill="0" applyBorder="0" applyAlignment="0" applyProtection="0"/>
    <xf numFmtId="170" fontId="66" fillId="0" borderId="0" applyFont="0" applyFill="0" applyBorder="0" applyAlignment="0" applyProtection="0"/>
    <xf numFmtId="170" fontId="66" fillId="0" borderId="0" applyFont="0" applyFill="0" applyBorder="0" applyAlignment="0" applyProtection="0"/>
    <xf numFmtId="170" fontId="66" fillId="0" borderId="0" applyFont="0" applyFill="0" applyBorder="0" applyAlignment="0" applyProtection="0"/>
    <xf numFmtId="170" fontId="66" fillId="0" borderId="0" applyFont="0" applyFill="0" applyBorder="0" applyAlignment="0" applyProtection="0"/>
    <xf numFmtId="170" fontId="66" fillId="0" borderId="0" applyFont="0" applyFill="0" applyBorder="0" applyAlignment="0" applyProtection="0"/>
    <xf numFmtId="170" fontId="66" fillId="0" borderId="0" applyFont="0" applyFill="0" applyBorder="0" applyAlignment="0" applyProtection="0"/>
    <xf numFmtId="170" fontId="66" fillId="0" borderId="0" applyFont="0" applyFill="0" applyBorder="0" applyAlignment="0" applyProtection="0"/>
    <xf numFmtId="170" fontId="66" fillId="0" borderId="0" applyFont="0" applyFill="0" applyBorder="0" applyAlignment="0" applyProtection="0"/>
    <xf numFmtId="170" fontId="66" fillId="0" borderId="0" applyFont="0" applyFill="0" applyBorder="0" applyAlignment="0" applyProtection="0"/>
    <xf numFmtId="170" fontId="66" fillId="0" borderId="0" applyFont="0" applyFill="0" applyBorder="0" applyAlignment="0" applyProtection="0"/>
    <xf numFmtId="170" fontId="66" fillId="0" borderId="0" applyFont="0" applyFill="0" applyBorder="0" applyAlignment="0" applyProtection="0"/>
    <xf numFmtId="170" fontId="66" fillId="0" borderId="0" applyFont="0" applyFill="0" applyBorder="0" applyAlignment="0" applyProtection="0"/>
    <xf numFmtId="170" fontId="66" fillId="0" borderId="0" applyFont="0" applyFill="0" applyBorder="0" applyAlignment="0" applyProtection="0"/>
    <xf numFmtId="170" fontId="66" fillId="0" borderId="0" applyFont="0" applyFill="0" applyBorder="0" applyAlignment="0" applyProtection="0"/>
    <xf numFmtId="170" fontId="66" fillId="0" borderId="0" applyFont="0" applyFill="0" applyBorder="0" applyAlignment="0" applyProtection="0"/>
    <xf numFmtId="170" fontId="66" fillId="0" borderId="0" applyFont="0" applyFill="0" applyBorder="0" applyAlignment="0" applyProtection="0"/>
    <xf numFmtId="170" fontId="66" fillId="0" borderId="0" applyFont="0" applyFill="0" applyBorder="0" applyAlignment="0" applyProtection="0"/>
    <xf numFmtId="170" fontId="66" fillId="0" borderId="0" applyFont="0" applyFill="0" applyBorder="0" applyAlignment="0" applyProtection="0"/>
    <xf numFmtId="170" fontId="66" fillId="0" borderId="0" applyFont="0" applyFill="0" applyBorder="0" applyAlignment="0" applyProtection="0"/>
    <xf numFmtId="170" fontId="66" fillId="0" borderId="0" applyFont="0" applyFill="0" applyBorder="0" applyAlignment="0" applyProtection="0"/>
    <xf numFmtId="170" fontId="66" fillId="0" borderId="0" applyFont="0" applyFill="0" applyBorder="0" applyAlignment="0" applyProtection="0"/>
    <xf numFmtId="170" fontId="66" fillId="0" borderId="0" applyFont="0" applyFill="0" applyBorder="0" applyAlignment="0" applyProtection="0"/>
    <xf numFmtId="170" fontId="66" fillId="0" borderId="0" applyFont="0" applyFill="0" applyBorder="0" applyAlignment="0" applyProtection="0"/>
    <xf numFmtId="170" fontId="66" fillId="0" borderId="0" applyFont="0" applyFill="0" applyBorder="0" applyAlignment="0" applyProtection="0"/>
    <xf numFmtId="170" fontId="71" fillId="0" borderId="0" applyFont="0" applyFill="0" applyBorder="0" applyAlignment="0" applyProtection="0"/>
    <xf numFmtId="170" fontId="66" fillId="0" borderId="0" applyFont="0" applyFill="0" applyBorder="0" applyAlignment="0" applyProtection="0"/>
    <xf numFmtId="170" fontId="71" fillId="0" borderId="0" applyFont="0" applyFill="0" applyBorder="0" applyAlignment="0" applyProtection="0"/>
    <xf numFmtId="170" fontId="71" fillId="0" borderId="0" applyFont="0" applyFill="0" applyBorder="0" applyAlignment="0" applyProtection="0"/>
    <xf numFmtId="170" fontId="71" fillId="0" borderId="0" applyFont="0" applyFill="0" applyBorder="0" applyAlignment="0" applyProtection="0"/>
    <xf numFmtId="170" fontId="66" fillId="0" borderId="0" applyFont="0" applyFill="0" applyBorder="0" applyAlignment="0" applyProtection="0"/>
    <xf numFmtId="170" fontId="66" fillId="0" borderId="0" applyFont="0" applyFill="0" applyBorder="0" applyAlignment="0" applyProtection="0"/>
    <xf numFmtId="170" fontId="67" fillId="0" borderId="0" applyFont="0" applyFill="0" applyBorder="0" applyAlignment="0" applyProtection="0"/>
    <xf numFmtId="304" fontId="240" fillId="69" borderId="0"/>
    <xf numFmtId="238" fontId="241" fillId="0" borderId="0"/>
    <xf numFmtId="0" fontId="150" fillId="0" borderId="0"/>
    <xf numFmtId="164" fontId="150" fillId="0" borderId="0" applyFont="0" applyFill="0" applyBorder="0" applyAlignment="0" applyProtection="0"/>
    <xf numFmtId="166" fontId="150" fillId="0" borderId="0" applyFont="0" applyFill="0" applyBorder="0" applyAlignment="0" applyProtection="0"/>
    <xf numFmtId="305" fontId="150" fillId="0" borderId="0" applyFont="0" applyFill="0" applyBorder="0" applyAlignment="0" applyProtection="0"/>
    <xf numFmtId="39" fontId="150" fillId="0" borderId="0"/>
    <xf numFmtId="306" fontId="150" fillId="0" borderId="0" applyFont="0" applyFill="0" applyBorder="0" applyAlignment="0" applyProtection="0"/>
    <xf numFmtId="307" fontId="242" fillId="0" borderId="0" applyFont="0" applyFill="0" applyBorder="0" applyAlignment="0" applyProtection="0"/>
    <xf numFmtId="238" fontId="241" fillId="0" borderId="28"/>
    <xf numFmtId="308" fontId="227" fillId="0" borderId="0" applyFont="0" applyFill="0" applyBorder="0" applyAlignment="0" applyProtection="0"/>
    <xf numFmtId="14" fontId="102" fillId="0" borderId="36">
      <alignment horizontal="right"/>
    </xf>
    <xf numFmtId="0" fontId="102" fillId="0" borderId="0"/>
    <xf numFmtId="238" fontId="182" fillId="82" borderId="60">
      <alignment horizontal="center" vertical="center"/>
    </xf>
    <xf numFmtId="1" fontId="102" fillId="0" borderId="0" applyFill="0" applyBorder="0" applyAlignment="0" applyProtection="0"/>
    <xf numFmtId="0" fontId="78" fillId="0" borderId="0"/>
    <xf numFmtId="0" fontId="78" fillId="0" borderId="0">
      <alignment horizontal="right"/>
    </xf>
    <xf numFmtId="309" fontId="174" fillId="0" borderId="0">
      <alignment horizontal="right"/>
    </xf>
    <xf numFmtId="2" fontId="70" fillId="0" borderId="0"/>
    <xf numFmtId="310" fontId="66" fillId="0" borderId="0" applyFont="0" applyFill="0">
      <alignment horizontal="left" vertical="top" wrapText="1"/>
      <protection locked="0"/>
    </xf>
    <xf numFmtId="37" fontId="90" fillId="0" borderId="36"/>
    <xf numFmtId="37" fontId="90" fillId="0" borderId="36"/>
    <xf numFmtId="37" fontId="90" fillId="0" borderId="36"/>
    <xf numFmtId="38" fontId="102" fillId="0" borderId="0" applyFill="0" applyBorder="0" applyAlignment="0" applyProtection="0"/>
    <xf numFmtId="4" fontId="102" fillId="0" borderId="0" applyFill="0" applyBorder="0" applyAlignment="0" applyProtection="0"/>
    <xf numFmtId="0" fontId="99" fillId="0" borderId="0">
      <protection locked="0"/>
    </xf>
    <xf numFmtId="0" fontId="174" fillId="0" borderId="0"/>
    <xf numFmtId="165" fontId="150" fillId="0" borderId="0">
      <alignment horizontal="center"/>
    </xf>
    <xf numFmtId="167" fontId="150" fillId="0" borderId="0" applyFill="0" applyBorder="0" applyProtection="0">
      <alignment horizontal="center"/>
    </xf>
    <xf numFmtId="164" fontId="66" fillId="0" borderId="0" applyFont="0" applyFill="0" applyBorder="0" applyAlignment="0" applyProtection="0"/>
    <xf numFmtId="305" fontId="66" fillId="0" borderId="0" applyFont="0" applyFill="0" applyBorder="0" applyAlignment="0" applyProtection="0"/>
    <xf numFmtId="311" fontId="102" fillId="0" borderId="0" applyFill="0" applyBorder="0" applyAlignment="0" applyProtection="0"/>
    <xf numFmtId="312" fontId="227" fillId="0" borderId="61" applyNumberFormat="0" applyFont="0" applyFill="0" applyAlignment="0" applyProtection="0"/>
    <xf numFmtId="167" fontId="176" fillId="0" borderId="0" applyNumberFormat="0"/>
    <xf numFmtId="0" fontId="150" fillId="0" borderId="62" applyNumberFormat="0" applyFont="0" applyFill="0" applyAlignment="0" applyProtection="0"/>
    <xf numFmtId="0" fontId="138" fillId="0" borderId="0">
      <protection locked="0"/>
    </xf>
    <xf numFmtId="0" fontId="138" fillId="0" borderId="0">
      <protection locked="0"/>
    </xf>
    <xf numFmtId="238" fontId="97" fillId="0" borderId="0" applyNumberFormat="0" applyAlignment="0">
      <alignment horizontal="left"/>
    </xf>
    <xf numFmtId="238" fontId="97" fillId="0" borderId="0" applyNumberFormat="0" applyAlignment="0">
      <alignment horizontal="left"/>
    </xf>
    <xf numFmtId="238" fontId="97" fillId="0" borderId="0" applyNumberFormat="0" applyAlignment="0">
      <alignment horizontal="left"/>
    </xf>
    <xf numFmtId="238" fontId="97" fillId="0" borderId="0" applyNumberFormat="0" applyAlignment="0">
      <alignment horizontal="left"/>
    </xf>
    <xf numFmtId="238" fontId="97" fillId="0" borderId="0" applyNumberFormat="0" applyAlignment="0">
      <alignment horizontal="left"/>
    </xf>
    <xf numFmtId="238" fontId="97" fillId="0" borderId="0" applyNumberFormat="0" applyAlignment="0">
      <alignment horizontal="left"/>
    </xf>
    <xf numFmtId="238" fontId="97" fillId="0" borderId="0" applyNumberFormat="0" applyAlignment="0">
      <alignment horizontal="left"/>
    </xf>
    <xf numFmtId="238" fontId="97" fillId="0" borderId="0" applyNumberFormat="0" applyAlignment="0">
      <alignment horizontal="left"/>
    </xf>
    <xf numFmtId="238" fontId="97" fillId="0" borderId="0" applyNumberFormat="0" applyAlignment="0">
      <alignment horizontal="left"/>
    </xf>
    <xf numFmtId="238" fontId="97" fillId="0" borderId="0" applyNumberFormat="0" applyAlignment="0">
      <alignment horizontal="left"/>
    </xf>
    <xf numFmtId="238" fontId="97" fillId="0" borderId="0" applyNumberFormat="0" applyAlignment="0">
      <alignment horizontal="left"/>
    </xf>
    <xf numFmtId="238" fontId="97" fillId="0" borderId="0" applyNumberFormat="0" applyAlignment="0">
      <alignment horizontal="left"/>
    </xf>
    <xf numFmtId="238" fontId="97" fillId="0" borderId="0" applyNumberFormat="0" applyAlignment="0">
      <alignment horizontal="left"/>
    </xf>
    <xf numFmtId="238" fontId="97" fillId="0" borderId="0" applyNumberFormat="0" applyAlignment="0">
      <alignment horizontal="left"/>
    </xf>
    <xf numFmtId="238" fontId="97" fillId="0" borderId="0" applyNumberFormat="0" applyAlignment="0">
      <alignment horizontal="left"/>
    </xf>
    <xf numFmtId="238" fontId="97" fillId="0" borderId="0" applyNumberFormat="0" applyAlignment="0">
      <alignment horizontal="left"/>
    </xf>
    <xf numFmtId="238" fontId="97" fillId="0" borderId="0" applyNumberFormat="0" applyAlignment="0">
      <alignment horizontal="left"/>
    </xf>
    <xf numFmtId="238" fontId="97" fillId="0" borderId="0" applyNumberFormat="0" applyAlignment="0">
      <alignment horizontal="left"/>
    </xf>
    <xf numFmtId="238" fontId="97" fillId="0" borderId="0" applyNumberFormat="0" applyAlignment="0">
      <alignment horizontal="left"/>
    </xf>
    <xf numFmtId="238" fontId="97" fillId="0" borderId="0" applyNumberFormat="0" applyAlignment="0">
      <alignment horizontal="left"/>
    </xf>
    <xf numFmtId="238" fontId="97" fillId="0" borderId="0" applyNumberFormat="0" applyAlignment="0">
      <alignment horizontal="left"/>
    </xf>
    <xf numFmtId="238" fontId="97" fillId="0" borderId="0" applyNumberFormat="0" applyAlignment="0">
      <alignment horizontal="left"/>
    </xf>
    <xf numFmtId="238" fontId="97" fillId="0" borderId="0" applyNumberFormat="0" applyAlignment="0">
      <alignment horizontal="left"/>
    </xf>
    <xf numFmtId="238" fontId="97" fillId="0" borderId="0" applyNumberFormat="0" applyAlignment="0">
      <alignment horizontal="left"/>
    </xf>
    <xf numFmtId="238" fontId="97" fillId="0" borderId="0" applyNumberFormat="0" applyAlignment="0">
      <alignment horizontal="left"/>
    </xf>
    <xf numFmtId="238" fontId="97" fillId="0" borderId="0" applyNumberFormat="0" applyAlignment="0">
      <alignment horizontal="left"/>
    </xf>
    <xf numFmtId="238" fontId="97" fillId="0" borderId="0" applyNumberFormat="0" applyAlignment="0">
      <alignment horizontal="left"/>
    </xf>
    <xf numFmtId="238" fontId="97" fillId="0" borderId="0" applyNumberFormat="0" applyAlignment="0">
      <alignment horizontal="left"/>
    </xf>
    <xf numFmtId="238" fontId="97" fillId="0" borderId="0" applyNumberFormat="0" applyAlignment="0">
      <alignment horizontal="left"/>
    </xf>
    <xf numFmtId="238" fontId="97" fillId="0" borderId="0" applyNumberFormat="0" applyAlignment="0">
      <alignment horizontal="left"/>
    </xf>
    <xf numFmtId="238" fontId="97" fillId="0" borderId="0" applyNumberFormat="0" applyAlignment="0">
      <alignment horizontal="left"/>
    </xf>
    <xf numFmtId="238" fontId="111" fillId="40" borderId="13" applyNumberFormat="0" applyAlignment="0" applyProtection="0"/>
    <xf numFmtId="0" fontId="102" fillId="83" borderId="63" applyNumberFormat="0" applyAlignment="0">
      <protection locked="0"/>
    </xf>
    <xf numFmtId="166" fontId="66" fillId="0" borderId="0" applyFont="0" applyFill="0" applyBorder="0" applyAlignment="0" applyProtection="0"/>
    <xf numFmtId="204" fontId="118" fillId="0" borderId="0" applyFont="0" applyFill="0" applyBorder="0" applyAlignment="0" applyProtection="0"/>
    <xf numFmtId="204" fontId="118" fillId="0" borderId="0" applyFont="0" applyFill="0" applyBorder="0" applyAlignment="0" applyProtection="0"/>
    <xf numFmtId="204" fontId="118" fillId="0" borderId="0" applyFont="0" applyFill="0" applyBorder="0" applyAlignment="0" applyProtection="0"/>
    <xf numFmtId="204" fontId="118" fillId="0" borderId="0" applyFont="0" applyFill="0" applyBorder="0" applyAlignment="0" applyProtection="0"/>
    <xf numFmtId="204" fontId="118" fillId="0" borderId="0" applyFont="0" applyFill="0" applyBorder="0" applyAlignment="0" applyProtection="0"/>
    <xf numFmtId="204" fontId="118" fillId="0" borderId="0" applyFont="0" applyFill="0" applyBorder="0" applyAlignment="0" applyProtection="0"/>
    <xf numFmtId="204" fontId="118" fillId="0" borderId="0" applyFont="0" applyFill="0" applyBorder="0" applyAlignment="0" applyProtection="0"/>
    <xf numFmtId="204" fontId="118" fillId="0" borderId="0" applyFont="0" applyFill="0" applyBorder="0" applyAlignment="0" applyProtection="0"/>
    <xf numFmtId="204" fontId="118" fillId="0" borderId="0" applyFont="0" applyFill="0" applyBorder="0" applyAlignment="0" applyProtection="0"/>
    <xf numFmtId="204" fontId="118" fillId="0" borderId="0" applyFont="0" applyFill="0" applyBorder="0" applyAlignment="0" applyProtection="0"/>
    <xf numFmtId="204" fontId="118" fillId="0" borderId="0" applyFont="0" applyFill="0" applyBorder="0" applyAlignment="0" applyProtection="0"/>
    <xf numFmtId="204" fontId="118" fillId="0" borderId="0" applyFont="0" applyFill="0" applyBorder="0" applyAlignment="0" applyProtection="0"/>
    <xf numFmtId="204" fontId="118" fillId="0" borderId="0" applyFont="0" applyFill="0" applyBorder="0" applyAlignment="0" applyProtection="0"/>
    <xf numFmtId="204" fontId="118" fillId="0" borderId="0" applyFont="0" applyFill="0" applyBorder="0" applyAlignment="0" applyProtection="0"/>
    <xf numFmtId="204" fontId="118" fillId="0" borderId="0" applyFont="0" applyFill="0" applyBorder="0" applyAlignment="0" applyProtection="0"/>
    <xf numFmtId="204" fontId="118" fillId="0" borderId="0" applyFont="0" applyFill="0" applyBorder="0" applyAlignment="0" applyProtection="0"/>
    <xf numFmtId="204" fontId="118" fillId="0" borderId="0" applyFont="0" applyFill="0" applyBorder="0" applyAlignment="0" applyProtection="0"/>
    <xf numFmtId="204" fontId="118" fillId="0" borderId="0" applyFont="0" applyFill="0" applyBorder="0" applyAlignment="0" applyProtection="0"/>
    <xf numFmtId="204" fontId="118" fillId="0" borderId="0" applyFont="0" applyFill="0" applyBorder="0" applyAlignment="0" applyProtection="0"/>
    <xf numFmtId="204" fontId="118" fillId="0" borderId="0" applyFont="0" applyFill="0" applyBorder="0" applyAlignment="0" applyProtection="0"/>
    <xf numFmtId="204" fontId="118" fillId="0" borderId="0" applyFont="0" applyFill="0" applyBorder="0" applyAlignment="0" applyProtection="0"/>
    <xf numFmtId="204" fontId="118" fillId="0" borderId="0" applyFont="0" applyFill="0" applyBorder="0" applyAlignment="0" applyProtection="0"/>
    <xf numFmtId="204" fontId="118" fillId="0" borderId="0" applyFont="0" applyFill="0" applyBorder="0" applyAlignment="0" applyProtection="0"/>
    <xf numFmtId="204" fontId="118" fillId="0" borderId="0" applyFont="0" applyFill="0" applyBorder="0" applyAlignment="0" applyProtection="0"/>
    <xf numFmtId="204" fontId="118" fillId="0" borderId="0" applyFont="0" applyFill="0" applyBorder="0" applyAlignment="0" applyProtection="0"/>
    <xf numFmtId="204" fontId="118" fillId="0" borderId="0" applyFont="0" applyFill="0" applyBorder="0" applyAlignment="0" applyProtection="0"/>
    <xf numFmtId="204" fontId="118" fillId="0" borderId="0" applyFont="0" applyFill="0" applyBorder="0" applyAlignment="0" applyProtection="0"/>
    <xf numFmtId="204" fontId="118" fillId="0" borderId="0" applyFont="0" applyFill="0" applyBorder="0" applyAlignment="0" applyProtection="0"/>
    <xf numFmtId="204" fontId="118" fillId="0" borderId="0" applyFont="0" applyFill="0" applyBorder="0" applyAlignment="0" applyProtection="0"/>
    <xf numFmtId="204" fontId="118" fillId="0" borderId="0" applyFont="0" applyFill="0" applyBorder="0" applyAlignment="0" applyProtection="0"/>
    <xf numFmtId="204" fontId="118" fillId="0" borderId="0" applyFont="0" applyFill="0" applyBorder="0" applyAlignment="0" applyProtection="0"/>
    <xf numFmtId="204" fontId="118" fillId="0" borderId="0" applyFont="0" applyFill="0" applyBorder="0" applyAlignment="0" applyProtection="0"/>
    <xf numFmtId="204" fontId="118" fillId="0" borderId="0" applyFont="0" applyFill="0" applyBorder="0" applyAlignment="0" applyProtection="0"/>
    <xf numFmtId="204" fontId="118" fillId="0" borderId="0" applyFont="0" applyFill="0" applyBorder="0" applyAlignment="0" applyProtection="0"/>
    <xf numFmtId="204" fontId="118" fillId="0" borderId="0" applyFont="0" applyFill="0" applyBorder="0" applyAlignment="0" applyProtection="0"/>
    <xf numFmtId="204" fontId="118" fillId="0" borderId="0" applyFont="0" applyFill="0" applyBorder="0" applyAlignment="0" applyProtection="0"/>
    <xf numFmtId="204" fontId="118" fillId="0" borderId="0" applyFont="0" applyFill="0" applyBorder="0" applyAlignment="0" applyProtection="0"/>
    <xf numFmtId="204" fontId="118" fillId="0" borderId="0" applyFont="0" applyFill="0" applyBorder="0" applyAlignment="0" applyProtection="0"/>
    <xf numFmtId="204" fontId="118" fillId="0" borderId="0" applyFont="0" applyFill="0" applyBorder="0" applyAlignment="0" applyProtection="0"/>
    <xf numFmtId="204" fontId="118" fillId="0" borderId="0" applyFont="0" applyFill="0" applyBorder="0" applyAlignment="0" applyProtection="0"/>
    <xf numFmtId="204" fontId="118" fillId="0" borderId="0" applyFont="0" applyFill="0" applyBorder="0" applyAlignment="0" applyProtection="0"/>
    <xf numFmtId="238" fontId="66" fillId="0" borderId="0" applyFill="0" applyBorder="0" applyAlignment="0" applyProtection="0"/>
    <xf numFmtId="0" fontId="66" fillId="0" borderId="64" applyNumberFormat="0" applyFont="0" applyFill="0" applyAlignment="0" applyProtection="0"/>
    <xf numFmtId="298" fontId="66" fillId="0" borderId="0" applyFont="0" applyFill="0" applyBorder="0" applyAlignment="0" applyProtection="0"/>
    <xf numFmtId="0" fontId="102" fillId="0" borderId="0" applyFill="0" applyBorder="0" applyAlignment="0" applyProtection="0"/>
    <xf numFmtId="238" fontId="98" fillId="0" borderId="0" applyNumberFormat="0" applyFill="0" applyBorder="0" applyAlignment="0" applyProtection="0"/>
    <xf numFmtId="238" fontId="98" fillId="0" borderId="0" applyNumberFormat="0" applyFill="0" applyBorder="0" applyAlignment="0" applyProtection="0"/>
    <xf numFmtId="238" fontId="98" fillId="0" borderId="0" applyNumberFormat="0" applyFill="0" applyBorder="0" applyAlignment="0" applyProtection="0"/>
    <xf numFmtId="238" fontId="98" fillId="0" borderId="0" applyNumberFormat="0" applyFill="0" applyBorder="0" applyAlignment="0" applyProtection="0"/>
    <xf numFmtId="238" fontId="98" fillId="0" borderId="0" applyNumberFormat="0" applyFill="0" applyBorder="0" applyAlignment="0" applyProtection="0"/>
    <xf numFmtId="238" fontId="98" fillId="0" borderId="0" applyNumberFormat="0" applyFill="0" applyBorder="0" applyAlignment="0" applyProtection="0"/>
    <xf numFmtId="238" fontId="98" fillId="0" borderId="0" applyNumberFormat="0" applyFill="0" applyBorder="0" applyAlignment="0" applyProtection="0"/>
    <xf numFmtId="238" fontId="98" fillId="0" borderId="0" applyNumberFormat="0" applyFill="0" applyBorder="0" applyAlignment="0" applyProtection="0"/>
    <xf numFmtId="238" fontId="98" fillId="0" borderId="0" applyNumberFormat="0" applyFill="0" applyBorder="0" applyAlignment="0" applyProtection="0"/>
    <xf numFmtId="238" fontId="98"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0" fontId="98" fillId="0" borderId="0" applyNumberFormat="0" applyFill="0" applyBorder="0" applyAlignment="0" applyProtection="0"/>
    <xf numFmtId="238" fontId="98" fillId="0" borderId="0" applyNumberFormat="0" applyFill="0" applyBorder="0" applyAlignment="0" applyProtection="0"/>
    <xf numFmtId="238" fontId="98" fillId="0" borderId="0" applyNumberFormat="0" applyFill="0" applyBorder="0" applyAlignment="0" applyProtection="0"/>
    <xf numFmtId="238" fontId="98" fillId="0" borderId="0" applyNumberFormat="0" applyFill="0" applyBorder="0" applyAlignment="0" applyProtection="0"/>
    <xf numFmtId="238" fontId="98" fillId="0" borderId="0" applyNumberFormat="0" applyFill="0" applyBorder="0" applyAlignment="0" applyProtection="0"/>
    <xf numFmtId="238" fontId="98" fillId="0" borderId="0" applyNumberFormat="0" applyFill="0" applyBorder="0" applyAlignment="0" applyProtection="0"/>
    <xf numFmtId="238" fontId="98" fillId="0" borderId="0" applyNumberFormat="0" applyFill="0" applyBorder="0" applyAlignment="0" applyProtection="0"/>
    <xf numFmtId="238" fontId="98" fillId="0" borderId="0" applyNumberFormat="0" applyFill="0" applyBorder="0" applyAlignment="0" applyProtection="0"/>
    <xf numFmtId="238" fontId="98" fillId="0" borderId="0" applyNumberFormat="0" applyFill="0" applyBorder="0" applyAlignment="0" applyProtection="0"/>
    <xf numFmtId="238" fontId="98" fillId="0" borderId="0" applyNumberFormat="0" applyFill="0" applyBorder="0" applyAlignment="0" applyProtection="0"/>
    <xf numFmtId="238" fontId="98" fillId="0" borderId="0" applyNumberFormat="0" applyFill="0" applyBorder="0" applyAlignment="0" applyProtection="0"/>
    <xf numFmtId="238" fontId="98" fillId="0" borderId="0" applyNumberFormat="0" applyFill="0" applyBorder="0" applyAlignment="0" applyProtection="0"/>
    <xf numFmtId="238" fontId="98" fillId="0" borderId="0" applyNumberFormat="0" applyFill="0" applyBorder="0" applyAlignment="0" applyProtection="0"/>
    <xf numFmtId="238" fontId="98" fillId="0" borderId="0" applyNumberFormat="0" applyFill="0" applyBorder="0" applyAlignment="0" applyProtection="0"/>
    <xf numFmtId="238" fontId="98" fillId="0" borderId="0" applyNumberFormat="0" applyFill="0" applyBorder="0" applyAlignment="0" applyProtection="0"/>
    <xf numFmtId="238" fontId="98" fillId="0" borderId="0" applyNumberFormat="0" applyFill="0" applyBorder="0" applyAlignment="0" applyProtection="0"/>
    <xf numFmtId="238" fontId="98" fillId="0" borderId="0" applyNumberFormat="0" applyFill="0" applyBorder="0" applyAlignment="0" applyProtection="0"/>
    <xf numFmtId="238" fontId="98" fillId="0" borderId="0" applyNumberFormat="0" applyFill="0" applyBorder="0" applyAlignment="0" applyProtection="0"/>
    <xf numFmtId="238" fontId="98" fillId="0" borderId="0" applyNumberFormat="0" applyFill="0" applyBorder="0" applyAlignment="0" applyProtection="0"/>
    <xf numFmtId="238" fontId="98" fillId="0" borderId="0" applyNumberFormat="0" applyFill="0" applyBorder="0" applyAlignment="0" applyProtection="0"/>
    <xf numFmtId="238" fontId="98" fillId="0" borderId="0" applyNumberFormat="0" applyFill="0" applyBorder="0" applyAlignment="0" applyProtection="0"/>
    <xf numFmtId="238" fontId="98" fillId="0" borderId="0" applyNumberFormat="0" applyFill="0" applyBorder="0" applyAlignment="0" applyProtection="0"/>
    <xf numFmtId="238" fontId="98" fillId="0" borderId="0" applyNumberFormat="0" applyFill="0" applyBorder="0" applyAlignment="0" applyProtection="0"/>
    <xf numFmtId="238" fontId="98" fillId="0" borderId="0" applyNumberFormat="0" applyFill="0" applyBorder="0" applyAlignment="0" applyProtection="0"/>
    <xf numFmtId="238" fontId="98" fillId="0" borderId="0" applyNumberFormat="0" applyFill="0" applyBorder="0" applyAlignment="0" applyProtection="0"/>
    <xf numFmtId="238" fontId="98" fillId="0" borderId="0" applyNumberFormat="0" applyFill="0" applyBorder="0" applyAlignment="0" applyProtection="0"/>
    <xf numFmtId="238" fontId="98" fillId="0" borderId="0" applyNumberFormat="0" applyFill="0" applyBorder="0" applyAlignment="0" applyProtection="0"/>
    <xf numFmtId="238" fontId="98" fillId="0" borderId="0" applyNumberFormat="0" applyFill="0" applyBorder="0" applyAlignment="0" applyProtection="0"/>
    <xf numFmtId="238" fontId="98" fillId="0" borderId="0" applyNumberFormat="0" applyFill="0" applyBorder="0" applyAlignment="0" applyProtection="0"/>
    <xf numFmtId="238" fontId="98" fillId="0" borderId="0" applyNumberFormat="0" applyFill="0" applyBorder="0" applyAlignment="0" applyProtection="0"/>
    <xf numFmtId="238" fontId="98" fillId="0" borderId="0" applyNumberFormat="0" applyFill="0" applyBorder="0" applyAlignment="0" applyProtection="0"/>
    <xf numFmtId="238" fontId="98" fillId="0" borderId="0" applyNumberFormat="0" applyFill="0" applyBorder="0" applyAlignment="0" applyProtection="0"/>
    <xf numFmtId="238" fontId="98" fillId="0" borderId="0" applyNumberFormat="0" applyFill="0" applyBorder="0" applyAlignment="0" applyProtection="0"/>
    <xf numFmtId="238" fontId="98" fillId="0" borderId="0" applyNumberFormat="0" applyFill="0" applyBorder="0" applyAlignment="0" applyProtection="0"/>
    <xf numFmtId="238" fontId="98" fillId="0" borderId="0" applyNumberFormat="0" applyFill="0" applyBorder="0" applyAlignment="0" applyProtection="0"/>
    <xf numFmtId="238" fontId="98" fillId="0" borderId="0" applyNumberFormat="0" applyFill="0" applyBorder="0" applyAlignment="0" applyProtection="0"/>
    <xf numFmtId="238" fontId="98" fillId="0" borderId="0" applyNumberFormat="0" applyFill="0" applyBorder="0" applyAlignment="0" applyProtection="0"/>
    <xf numFmtId="238" fontId="98" fillId="0" borderId="0" applyNumberFormat="0" applyFill="0" applyBorder="0" applyAlignment="0" applyProtection="0"/>
    <xf numFmtId="238" fontId="98" fillId="0" borderId="0" applyNumberFormat="0" applyFill="0" applyBorder="0" applyAlignment="0" applyProtection="0"/>
    <xf numFmtId="238" fontId="98" fillId="0" borderId="0" applyNumberFormat="0" applyFill="0" applyBorder="0" applyAlignment="0" applyProtection="0"/>
    <xf numFmtId="238" fontId="98" fillId="0" borderId="0" applyNumberFormat="0" applyFill="0" applyBorder="0" applyAlignment="0" applyProtection="0"/>
    <xf numFmtId="238" fontId="98" fillId="0" borderId="0" applyNumberFormat="0" applyFill="0" applyBorder="0" applyAlignment="0" applyProtection="0"/>
    <xf numFmtId="238" fontId="98" fillId="0" borderId="0" applyNumberFormat="0" applyFill="0" applyBorder="0" applyAlignment="0" applyProtection="0"/>
    <xf numFmtId="238" fontId="98" fillId="0" borderId="0" applyNumberFormat="0" applyFill="0" applyBorder="0" applyAlignment="0" applyProtection="0"/>
    <xf numFmtId="0" fontId="66" fillId="0" borderId="0"/>
    <xf numFmtId="171" fontId="66" fillId="0" borderId="0" applyBorder="0"/>
    <xf numFmtId="169" fontId="66" fillId="0" borderId="0" applyBorder="0"/>
    <xf numFmtId="170" fontId="66" fillId="0" borderId="0" applyBorder="0"/>
    <xf numFmtId="168" fontId="66" fillId="0" borderId="0" applyBorder="0"/>
    <xf numFmtId="0" fontId="244" fillId="0" borderId="0" applyNumberFormat="0" applyBorder="0"/>
    <xf numFmtId="0" fontId="245" fillId="0" borderId="0" applyNumberFormat="0" applyBorder="0"/>
    <xf numFmtId="9" fontId="66" fillId="0" borderId="0" applyBorder="0"/>
    <xf numFmtId="0" fontId="244" fillId="0" borderId="0" applyNumberFormat="0" applyBorder="0"/>
    <xf numFmtId="0" fontId="245" fillId="0" borderId="0" applyNumberFormat="0" applyBorder="0"/>
    <xf numFmtId="9" fontId="66" fillId="0" borderId="0" applyBorder="0"/>
    <xf numFmtId="0" fontId="244" fillId="0" borderId="0" applyNumberFormat="0" applyBorder="0"/>
    <xf numFmtId="0" fontId="245" fillId="0" borderId="0" applyNumberFormat="0" applyBorder="0"/>
    <xf numFmtId="9" fontId="66" fillId="0" borderId="0" applyBorder="0"/>
    <xf numFmtId="0" fontId="244" fillId="0" borderId="0" applyNumberFormat="0" applyBorder="0"/>
    <xf numFmtId="0" fontId="245" fillId="0" borderId="0" applyNumberFormat="0" applyBorder="0"/>
    <xf numFmtId="9" fontId="66" fillId="0" borderId="0" applyBorder="0"/>
    <xf numFmtId="176" fontId="66" fillId="0" borderId="0">
      <alignment horizontal="right" vertical="top"/>
    </xf>
    <xf numFmtId="235" fontId="66" fillId="0" borderId="0">
      <alignment horizontal="right" vertical="top"/>
    </xf>
    <xf numFmtId="235" fontId="66" fillId="0" borderId="0">
      <alignment horizontal="right" vertical="top"/>
    </xf>
    <xf numFmtId="175" fontId="66" fillId="0" borderId="0" applyFont="0" applyFill="0" applyBorder="0">
      <alignment horizontal="right" vertical="top"/>
    </xf>
    <xf numFmtId="313" fontId="66" fillId="0" borderId="0" applyFill="0" applyBorder="0">
      <alignment horizontal="right" vertical="top"/>
    </xf>
    <xf numFmtId="194" fontId="66" fillId="0" borderId="0" applyFill="0" applyBorder="0">
      <alignment horizontal="right" vertical="top"/>
    </xf>
    <xf numFmtId="174" fontId="66" fillId="0" borderId="0" applyFill="0" applyBorder="0">
      <alignment horizontal="right" vertical="top"/>
    </xf>
    <xf numFmtId="0" fontId="150" fillId="62" borderId="0" applyNumberFormat="0" applyFont="0" applyBorder="0" applyAlignment="0" applyProtection="0"/>
    <xf numFmtId="0" fontId="246" fillId="0" borderId="0" applyNumberFormat="0" applyFill="0" applyBorder="0" applyAlignment="0" applyProtection="0"/>
    <xf numFmtId="0" fontId="247" fillId="0" borderId="0" applyFill="0" applyBorder="0"/>
    <xf numFmtId="0" fontId="248" fillId="0" borderId="0">
      <alignment horizontal="center" wrapText="1"/>
    </xf>
    <xf numFmtId="15" fontId="93" fillId="0" borderId="0" applyFill="0" applyBorder="0" applyProtection="0">
      <alignment horizontal="center"/>
    </xf>
    <xf numFmtId="0" fontId="150" fillId="36" borderId="0" applyNumberFormat="0" applyFont="0" applyBorder="0" applyAlignment="0" applyProtection="0"/>
    <xf numFmtId="314" fontId="249" fillId="0" borderId="0" applyFill="0" applyBorder="0" applyProtection="0"/>
    <xf numFmtId="315" fontId="250" fillId="61" borderId="65" applyAlignment="0" applyProtection="0"/>
    <xf numFmtId="316" fontId="251" fillId="0" borderId="0" applyNumberFormat="0" applyFill="0" applyBorder="0" applyAlignment="0" applyProtection="0"/>
    <xf numFmtId="316" fontId="252" fillId="0" borderId="0" applyNumberFormat="0" applyFill="0" applyBorder="0" applyAlignment="0" applyProtection="0"/>
    <xf numFmtId="317" fontId="66" fillId="0" borderId="0" applyFill="0" applyBorder="0">
      <alignment vertical="top"/>
    </xf>
    <xf numFmtId="317" fontId="66" fillId="0" borderId="0" applyFill="0" applyBorder="0" applyProtection="0">
      <alignment vertical="top"/>
    </xf>
    <xf numFmtId="317" fontId="66" fillId="0" borderId="0">
      <alignment vertical="top"/>
    </xf>
    <xf numFmtId="15" fontId="253" fillId="73" borderId="66">
      <alignment horizontal="center"/>
      <protection locked="0"/>
    </xf>
    <xf numFmtId="318" fontId="253" fillId="73" borderId="66" applyAlignment="0">
      <protection locked="0"/>
    </xf>
    <xf numFmtId="0" fontId="66" fillId="0" borderId="0" applyFont="0" applyFill="0" applyBorder="0" applyAlignment="0" applyProtection="0"/>
    <xf numFmtId="316" fontId="93" fillId="0" borderId="0" applyFill="0" applyBorder="0" applyAlignment="0" applyProtection="0"/>
    <xf numFmtId="41" fontId="83" fillId="0" borderId="0" applyFill="0" applyBorder="0" applyAlignment="0" applyProtection="0">
      <alignment horizontal="right" vertical="top"/>
    </xf>
    <xf numFmtId="318" fontId="93" fillId="0" borderId="0" applyFill="0" applyBorder="0" applyAlignment="0" applyProtection="0"/>
    <xf numFmtId="319" fontId="93" fillId="0" borderId="0" applyFill="0" applyBorder="0" applyAlignment="0" applyProtection="0"/>
    <xf numFmtId="317" fontId="66" fillId="0" borderId="0"/>
    <xf numFmtId="0" fontId="150" fillId="0" borderId="36" applyNumberFormat="0" applyFont="0" applyAlignment="0" applyProtection="0"/>
    <xf numFmtId="0" fontId="83" fillId="0" borderId="0" applyFill="0" applyBorder="0">
      <alignment horizontal="left" vertical="top"/>
    </xf>
    <xf numFmtId="0" fontId="150" fillId="0" borderId="67" applyNumberFormat="0" applyFont="0" applyAlignment="0" applyProtection="0"/>
    <xf numFmtId="0" fontId="150" fillId="43" borderId="0" applyNumberFormat="0" applyFont="0" applyBorder="0" applyAlignment="0" applyProtection="0"/>
    <xf numFmtId="0" fontId="206" fillId="84" borderId="0" applyNumberFormat="0" applyFont="0" applyBorder="0" applyAlignment="0" applyProtection="0">
      <alignment horizontal="left" vertical="top" wrapText="1"/>
    </xf>
    <xf numFmtId="0" fontId="254" fillId="0" borderId="0"/>
    <xf numFmtId="0" fontId="255" fillId="85" borderId="0" applyNumberFormat="0" applyBorder="0" applyAlignment="0">
      <protection locked="0"/>
    </xf>
    <xf numFmtId="0" fontId="99" fillId="0" borderId="0">
      <protection locked="0"/>
    </xf>
    <xf numFmtId="37" fontId="88" fillId="0" borderId="0" applyNumberFormat="0" applyFill="0" applyBorder="0" applyAlignment="0" applyProtection="0"/>
    <xf numFmtId="0" fontId="102" fillId="0" borderId="0" applyFill="0" applyBorder="0" applyAlignment="0" applyProtection="0"/>
    <xf numFmtId="0" fontId="99" fillId="0" borderId="0">
      <protection locked="0"/>
    </xf>
    <xf numFmtId="0" fontId="256" fillId="86" borderId="0"/>
    <xf numFmtId="49" fontId="87" fillId="0" borderId="15">
      <alignment horizontal="center"/>
    </xf>
    <xf numFmtId="49" fontId="87" fillId="0" borderId="15">
      <alignment horizontal="center"/>
    </xf>
    <xf numFmtId="238" fontId="257" fillId="0" borderId="0" applyNumberFormat="0" applyFill="0" applyBorder="0" applyAlignment="0" applyProtection="0">
      <alignment vertical="top"/>
      <protection locked="0"/>
    </xf>
    <xf numFmtId="0" fontId="169" fillId="0" borderId="9">
      <alignment horizontal="left" wrapText="1"/>
    </xf>
    <xf numFmtId="0" fontId="258" fillId="0" borderId="0"/>
    <xf numFmtId="0" fontId="78" fillId="0" borderId="0" applyFill="0" applyBorder="0" applyProtection="0">
      <alignment horizontal="left"/>
    </xf>
    <xf numFmtId="0" fontId="259" fillId="0" borderId="0"/>
    <xf numFmtId="320" fontId="66" fillId="0" borderId="0" applyFont="0">
      <alignment horizontal="left"/>
      <protection locked="0"/>
    </xf>
    <xf numFmtId="238" fontId="88" fillId="0" borderId="52" applyNumberFormat="0" applyFill="0" applyBorder="0" applyAlignment="0" applyProtection="0">
      <protection locked="0"/>
    </xf>
    <xf numFmtId="321" fontId="260" fillId="0" borderId="0">
      <alignment horizontal="right"/>
    </xf>
    <xf numFmtId="273" fontId="261" fillId="0" borderId="68">
      <alignment horizontal="right"/>
    </xf>
    <xf numFmtId="49" fontId="102" fillId="0" borderId="0" applyFill="0" applyBorder="0"/>
    <xf numFmtId="49" fontId="102" fillId="0" borderId="0"/>
    <xf numFmtId="49" fontId="102" fillId="0" borderId="0" applyFill="0" applyBorder="0">
      <alignment horizontal="right" vertical="center"/>
    </xf>
    <xf numFmtId="49" fontId="102" fillId="0" borderId="0" applyFill="0" applyBorder="0">
      <alignment horizontal="right" vertical="center"/>
    </xf>
    <xf numFmtId="2" fontId="262" fillId="0" borderId="0">
      <alignment horizontal="left"/>
    </xf>
    <xf numFmtId="0" fontId="88" fillId="0" borderId="65" applyBorder="0"/>
    <xf numFmtId="0" fontId="88" fillId="0" borderId="65" applyBorder="0"/>
    <xf numFmtId="0" fontId="88" fillId="0" borderId="65" applyBorder="0"/>
    <xf numFmtId="238" fontId="101" fillId="37" borderId="0" applyNumberFormat="0" applyBorder="0" applyAlignment="0" applyProtection="0"/>
    <xf numFmtId="238" fontId="101" fillId="37" borderId="0" applyNumberFormat="0" applyBorder="0" applyAlignment="0" applyProtection="0"/>
    <xf numFmtId="238" fontId="101" fillId="37" borderId="0" applyNumberFormat="0" applyBorder="0" applyAlignment="0" applyProtection="0"/>
    <xf numFmtId="238" fontId="101" fillId="37" borderId="0" applyNumberFormat="0" applyBorder="0" applyAlignment="0" applyProtection="0"/>
    <xf numFmtId="238" fontId="101" fillId="37" borderId="0" applyNumberFormat="0" applyBorder="0" applyAlignment="0" applyProtection="0"/>
    <xf numFmtId="238" fontId="101" fillId="37" borderId="0" applyNumberFormat="0" applyBorder="0" applyAlignment="0" applyProtection="0"/>
    <xf numFmtId="238" fontId="101" fillId="37" borderId="0" applyNumberFormat="0" applyBorder="0" applyAlignment="0" applyProtection="0"/>
    <xf numFmtId="238" fontId="101" fillId="37" borderId="0" applyNumberFormat="0" applyBorder="0" applyAlignment="0" applyProtection="0"/>
    <xf numFmtId="238" fontId="101" fillId="37" borderId="0" applyNumberFormat="0" applyBorder="0" applyAlignment="0" applyProtection="0"/>
    <xf numFmtId="238" fontId="101" fillId="37" borderId="0" applyNumberFormat="0" applyBorder="0" applyAlignment="0" applyProtection="0"/>
    <xf numFmtId="0" fontId="263" fillId="2" borderId="0" applyNumberFormat="0" applyBorder="0" applyAlignment="0" applyProtection="0"/>
    <xf numFmtId="0" fontId="263" fillId="2" borderId="0" applyNumberFormat="0" applyBorder="0" applyAlignment="0" applyProtection="0"/>
    <xf numFmtId="0" fontId="263" fillId="2" borderId="0" applyNumberFormat="0" applyBorder="0" applyAlignment="0" applyProtection="0"/>
    <xf numFmtId="0" fontId="263" fillId="2" borderId="0" applyNumberFormat="0" applyBorder="0" applyAlignment="0" applyProtection="0"/>
    <xf numFmtId="0" fontId="263" fillId="2" borderId="0" applyNumberFormat="0" applyBorder="0" applyAlignment="0" applyProtection="0"/>
    <xf numFmtId="0" fontId="263" fillId="2" borderId="0" applyNumberFormat="0" applyBorder="0" applyAlignment="0" applyProtection="0"/>
    <xf numFmtId="0" fontId="263" fillId="2" borderId="0" applyNumberFormat="0" applyBorder="0" applyAlignment="0" applyProtection="0"/>
    <xf numFmtId="0" fontId="263" fillId="2" borderId="0" applyNumberFormat="0" applyBorder="0" applyAlignment="0" applyProtection="0"/>
    <xf numFmtId="0" fontId="263" fillId="2" borderId="0" applyNumberFormat="0" applyBorder="0" applyAlignment="0" applyProtection="0"/>
    <xf numFmtId="0" fontId="263" fillId="2" borderId="0" applyNumberFormat="0" applyBorder="0" applyAlignment="0" applyProtection="0"/>
    <xf numFmtId="0" fontId="263" fillId="2" borderId="0" applyNumberFormat="0" applyBorder="0" applyAlignment="0" applyProtection="0"/>
    <xf numFmtId="0" fontId="263" fillId="2" borderId="0" applyNumberFormat="0" applyBorder="0" applyAlignment="0" applyProtection="0"/>
    <xf numFmtId="0" fontId="263" fillId="2" borderId="0" applyNumberFormat="0" applyBorder="0" applyAlignment="0" applyProtection="0"/>
    <xf numFmtId="0" fontId="263" fillId="2" borderId="0" applyNumberFormat="0" applyBorder="0" applyAlignment="0" applyProtection="0"/>
    <xf numFmtId="0" fontId="263" fillId="2" borderId="0" applyNumberFormat="0" applyBorder="0" applyAlignment="0" applyProtection="0"/>
    <xf numFmtId="0" fontId="263" fillId="2" borderId="0" applyNumberFormat="0" applyBorder="0" applyAlignment="0" applyProtection="0"/>
    <xf numFmtId="0" fontId="263" fillId="2" borderId="0" applyNumberFormat="0" applyBorder="0" applyAlignment="0" applyProtection="0"/>
    <xf numFmtId="0" fontId="263" fillId="2" borderId="0" applyNumberFormat="0" applyBorder="0" applyAlignment="0" applyProtection="0"/>
    <xf numFmtId="0" fontId="263" fillId="2" borderId="0" applyNumberFormat="0" applyBorder="0" applyAlignment="0" applyProtection="0"/>
    <xf numFmtId="0" fontId="263" fillId="2" borderId="0" applyNumberFormat="0" applyBorder="0" applyAlignment="0" applyProtection="0"/>
    <xf numFmtId="0" fontId="263" fillId="2" borderId="0" applyNumberFormat="0" applyBorder="0" applyAlignment="0" applyProtection="0"/>
    <xf numFmtId="0" fontId="263" fillId="2" borderId="0" applyNumberFormat="0" applyBorder="0" applyAlignment="0" applyProtection="0"/>
    <xf numFmtId="0" fontId="263" fillId="2" borderId="0" applyNumberFormat="0" applyBorder="0" applyAlignment="0" applyProtection="0"/>
    <xf numFmtId="0" fontId="263" fillId="2" borderId="0" applyNumberFormat="0" applyBorder="0" applyAlignment="0" applyProtection="0"/>
    <xf numFmtId="0" fontId="263" fillId="2" borderId="0" applyNumberFormat="0" applyBorder="0" applyAlignment="0" applyProtection="0"/>
    <xf numFmtId="0" fontId="263" fillId="2" borderId="0" applyNumberFormat="0" applyBorder="0" applyAlignment="0" applyProtection="0"/>
    <xf numFmtId="0" fontId="263" fillId="2" borderId="0" applyNumberFormat="0" applyBorder="0" applyAlignment="0" applyProtection="0"/>
    <xf numFmtId="0" fontId="263" fillId="2" borderId="0" applyNumberFormat="0" applyBorder="0" applyAlignment="0" applyProtection="0"/>
    <xf numFmtId="0" fontId="263" fillId="2" borderId="0" applyNumberFormat="0" applyBorder="0" applyAlignment="0" applyProtection="0"/>
    <xf numFmtId="0" fontId="263" fillId="2" borderId="0" applyNumberFormat="0" applyBorder="0" applyAlignment="0" applyProtection="0"/>
    <xf numFmtId="0" fontId="263" fillId="2" borderId="0" applyNumberFormat="0" applyBorder="0" applyAlignment="0" applyProtection="0"/>
    <xf numFmtId="0" fontId="263" fillId="2" borderId="0" applyNumberFormat="0" applyBorder="0" applyAlignment="0" applyProtection="0"/>
    <xf numFmtId="0" fontId="263" fillId="2" borderId="0" applyNumberFormat="0" applyBorder="0" applyAlignment="0" applyProtection="0"/>
    <xf numFmtId="0" fontId="263" fillId="2" borderId="0" applyNumberFormat="0" applyBorder="0" applyAlignment="0" applyProtection="0"/>
    <xf numFmtId="0" fontId="263" fillId="2" borderId="0" applyNumberFormat="0" applyBorder="0" applyAlignment="0" applyProtection="0"/>
    <xf numFmtId="0" fontId="263" fillId="2" borderId="0" applyNumberFormat="0" applyBorder="0" applyAlignment="0" applyProtection="0"/>
    <xf numFmtId="0" fontId="263" fillId="2" borderId="0" applyNumberFormat="0" applyBorder="0" applyAlignment="0" applyProtection="0"/>
    <xf numFmtId="0" fontId="263" fillId="2" borderId="0" applyNumberFormat="0" applyBorder="0" applyAlignment="0" applyProtection="0"/>
    <xf numFmtId="0" fontId="263" fillId="2" borderId="0" applyNumberFormat="0" applyBorder="0" applyAlignment="0" applyProtection="0"/>
    <xf numFmtId="0" fontId="263" fillId="2" borderId="0" applyNumberFormat="0" applyBorder="0" applyAlignment="0" applyProtection="0"/>
    <xf numFmtId="0" fontId="263" fillId="2" borderId="0" applyNumberFormat="0" applyBorder="0" applyAlignment="0" applyProtection="0"/>
    <xf numFmtId="0" fontId="101" fillId="37" borderId="0" applyNumberFormat="0" applyBorder="0" applyAlignment="0" applyProtection="0"/>
    <xf numFmtId="238" fontId="101" fillId="37" borderId="0" applyNumberFormat="0" applyBorder="0" applyAlignment="0" applyProtection="0"/>
    <xf numFmtId="238" fontId="101" fillId="37" borderId="0" applyNumberFormat="0" applyBorder="0" applyAlignment="0" applyProtection="0"/>
    <xf numFmtId="238" fontId="101" fillId="37" borderId="0" applyNumberFormat="0" applyBorder="0" applyAlignment="0" applyProtection="0"/>
    <xf numFmtId="238" fontId="101" fillId="37" borderId="0" applyNumberFormat="0" applyBorder="0" applyAlignment="0" applyProtection="0"/>
    <xf numFmtId="238" fontId="101" fillId="37" borderId="0" applyNumberFormat="0" applyBorder="0" applyAlignment="0" applyProtection="0"/>
    <xf numFmtId="238" fontId="101" fillId="37" borderId="0" applyNumberFormat="0" applyBorder="0" applyAlignment="0" applyProtection="0"/>
    <xf numFmtId="238" fontId="101" fillId="37" borderId="0" applyNumberFormat="0" applyBorder="0" applyAlignment="0" applyProtection="0"/>
    <xf numFmtId="238" fontId="101" fillId="37" borderId="0" applyNumberFormat="0" applyBorder="0" applyAlignment="0" applyProtection="0"/>
    <xf numFmtId="238" fontId="101" fillId="37" borderId="0" applyNumberFormat="0" applyBorder="0" applyAlignment="0" applyProtection="0"/>
    <xf numFmtId="238" fontId="101" fillId="37" borderId="0" applyNumberFormat="0" applyBorder="0" applyAlignment="0" applyProtection="0"/>
    <xf numFmtId="238" fontId="101" fillId="37" borderId="0" applyNumberFormat="0" applyBorder="0" applyAlignment="0" applyProtection="0"/>
    <xf numFmtId="238" fontId="101" fillId="37" borderId="0" applyNumberFormat="0" applyBorder="0" applyAlignment="0" applyProtection="0"/>
    <xf numFmtId="238" fontId="101" fillId="37" borderId="0" applyNumberFormat="0" applyBorder="0" applyAlignment="0" applyProtection="0"/>
    <xf numFmtId="238" fontId="101" fillId="37" borderId="0" applyNumberFormat="0" applyBorder="0" applyAlignment="0" applyProtection="0"/>
    <xf numFmtId="238" fontId="101" fillId="37" borderId="0" applyNumberFormat="0" applyBorder="0" applyAlignment="0" applyProtection="0"/>
    <xf numFmtId="238" fontId="101" fillId="37" borderId="0" applyNumberFormat="0" applyBorder="0" applyAlignment="0" applyProtection="0"/>
    <xf numFmtId="238" fontId="101" fillId="37" borderId="0" applyNumberFormat="0" applyBorder="0" applyAlignment="0" applyProtection="0"/>
    <xf numFmtId="238" fontId="101" fillId="37" borderId="0" applyNumberFormat="0" applyBorder="0" applyAlignment="0" applyProtection="0"/>
    <xf numFmtId="238" fontId="101" fillId="37" borderId="0" applyNumberFormat="0" applyBorder="0" applyAlignment="0" applyProtection="0"/>
    <xf numFmtId="238" fontId="101" fillId="37" borderId="0" applyNumberFormat="0" applyBorder="0" applyAlignment="0" applyProtection="0"/>
    <xf numFmtId="238" fontId="101" fillId="37" borderId="0" applyNumberFormat="0" applyBorder="0" applyAlignment="0" applyProtection="0"/>
    <xf numFmtId="238" fontId="101" fillId="37" borderId="0" applyNumberFormat="0" applyBorder="0" applyAlignment="0" applyProtection="0"/>
    <xf numFmtId="238" fontId="101" fillId="37" borderId="0" applyNumberFormat="0" applyBorder="0" applyAlignment="0" applyProtection="0"/>
    <xf numFmtId="238" fontId="101" fillId="37" borderId="0" applyNumberFormat="0" applyBorder="0" applyAlignment="0" applyProtection="0"/>
    <xf numFmtId="238" fontId="101" fillId="37" borderId="0" applyNumberFormat="0" applyBorder="0" applyAlignment="0" applyProtection="0"/>
    <xf numFmtId="238" fontId="101" fillId="37" borderId="0" applyNumberFormat="0" applyBorder="0" applyAlignment="0" applyProtection="0"/>
    <xf numFmtId="238" fontId="101" fillId="37" borderId="0" applyNumberFormat="0" applyBorder="0" applyAlignment="0" applyProtection="0"/>
    <xf numFmtId="238" fontId="101" fillId="37" borderId="0" applyNumberFormat="0" applyBorder="0" applyAlignment="0" applyProtection="0"/>
    <xf numFmtId="238" fontId="101" fillId="37" borderId="0" applyNumberFormat="0" applyBorder="0" applyAlignment="0" applyProtection="0"/>
    <xf numFmtId="238" fontId="101" fillId="37" borderId="0" applyNumberFormat="0" applyBorder="0" applyAlignment="0" applyProtection="0"/>
    <xf numFmtId="238" fontId="101" fillId="37" borderId="0" applyNumberFormat="0" applyBorder="0" applyAlignment="0" applyProtection="0"/>
    <xf numFmtId="238" fontId="101" fillId="37" borderId="0" applyNumberFormat="0" applyBorder="0" applyAlignment="0" applyProtection="0"/>
    <xf numFmtId="238" fontId="101" fillId="37" borderId="0" applyNumberFormat="0" applyBorder="0" applyAlignment="0" applyProtection="0"/>
    <xf numFmtId="238" fontId="101" fillId="37" borderId="0" applyNumberFormat="0" applyBorder="0" applyAlignment="0" applyProtection="0"/>
    <xf numFmtId="238" fontId="101" fillId="37" borderId="0" applyNumberFormat="0" applyBorder="0" applyAlignment="0" applyProtection="0"/>
    <xf numFmtId="238" fontId="101" fillId="37" borderId="0" applyNumberFormat="0" applyBorder="0" applyAlignment="0" applyProtection="0"/>
    <xf numFmtId="238" fontId="101" fillId="37" borderId="0" applyNumberFormat="0" applyBorder="0" applyAlignment="0" applyProtection="0"/>
    <xf numFmtId="238" fontId="101" fillId="37" borderId="0" applyNumberFormat="0" applyBorder="0" applyAlignment="0" applyProtection="0"/>
    <xf numFmtId="238" fontId="101" fillId="37" borderId="0" applyNumberFormat="0" applyBorder="0" applyAlignment="0" applyProtection="0"/>
    <xf numFmtId="238" fontId="101" fillId="37" borderId="0" applyNumberFormat="0" applyBorder="0" applyAlignment="0" applyProtection="0"/>
    <xf numFmtId="238" fontId="101" fillId="37" borderId="0" applyNumberFormat="0" applyBorder="0" applyAlignment="0" applyProtection="0"/>
    <xf numFmtId="238" fontId="101" fillId="37" borderId="0" applyNumberFormat="0" applyBorder="0" applyAlignment="0" applyProtection="0"/>
    <xf numFmtId="238" fontId="101" fillId="37" borderId="0" applyNumberFormat="0" applyBorder="0" applyAlignment="0" applyProtection="0"/>
    <xf numFmtId="0" fontId="264" fillId="0" borderId="0"/>
    <xf numFmtId="0" fontId="265" fillId="0" borderId="0" applyNumberFormat="0" applyFill="0" applyProtection="0">
      <alignment horizontal="left"/>
    </xf>
    <xf numFmtId="0" fontId="102" fillId="87" borderId="0" applyNumberFormat="0" applyBorder="0" applyAlignment="0" applyProtection="0"/>
    <xf numFmtId="0" fontId="87" fillId="70" borderId="55" applyNumberFormat="0" applyFont="0" applyAlignment="0"/>
    <xf numFmtId="0" fontId="87" fillId="70" borderId="55" applyNumberFormat="0" applyFont="0" applyAlignment="0"/>
    <xf numFmtId="0" fontId="87" fillId="70" borderId="55" applyNumberFormat="0" applyFont="0" applyAlignment="0"/>
    <xf numFmtId="322" fontId="227" fillId="0" borderId="0" applyFont="0" applyFill="0" applyBorder="0" applyAlignment="0" applyProtection="0">
      <alignment horizontal="right"/>
    </xf>
    <xf numFmtId="0" fontId="102" fillId="87" borderId="0" applyNumberFormat="0" applyAlignment="0"/>
    <xf numFmtId="190" fontId="95" fillId="0" borderId="0">
      <alignment horizontal="center"/>
    </xf>
    <xf numFmtId="190" fontId="95" fillId="0" borderId="0">
      <alignment horizontal="center"/>
    </xf>
    <xf numFmtId="190" fontId="95" fillId="0" borderId="0">
      <alignment horizontal="center"/>
    </xf>
    <xf numFmtId="190" fontId="95" fillId="0" borderId="0">
      <alignment horizontal="center"/>
    </xf>
    <xf numFmtId="190" fontId="95" fillId="0" borderId="0">
      <alignment horizontal="center"/>
    </xf>
    <xf numFmtId="190" fontId="95" fillId="0" borderId="0">
      <alignment horizontal="center"/>
    </xf>
    <xf numFmtId="190" fontId="95" fillId="0" borderId="0">
      <alignment horizontal="center"/>
    </xf>
    <xf numFmtId="190" fontId="95" fillId="0" borderId="0">
      <alignment horizontal="center"/>
    </xf>
    <xf numFmtId="190" fontId="95" fillId="0" borderId="0">
      <alignment horizontal="center"/>
    </xf>
    <xf numFmtId="190" fontId="95" fillId="0" borderId="0">
      <alignment horizontal="center"/>
    </xf>
    <xf numFmtId="190" fontId="95" fillId="0" borderId="0">
      <alignment horizontal="center"/>
    </xf>
    <xf numFmtId="190" fontId="95" fillId="0" borderId="0">
      <alignment horizontal="center"/>
    </xf>
    <xf numFmtId="190" fontId="95" fillId="0" borderId="0">
      <alignment horizontal="center"/>
    </xf>
    <xf numFmtId="190" fontId="95" fillId="0" borderId="0">
      <alignment horizontal="center"/>
    </xf>
    <xf numFmtId="190" fontId="95" fillId="0" borderId="0">
      <alignment horizontal="center"/>
    </xf>
    <xf numFmtId="190" fontId="95" fillId="0" borderId="0">
      <alignment horizontal="center"/>
    </xf>
    <xf numFmtId="190" fontId="95" fillId="0" borderId="0">
      <alignment horizontal="center"/>
    </xf>
    <xf numFmtId="190" fontId="95" fillId="0" borderId="0">
      <alignment horizontal="center"/>
    </xf>
    <xf numFmtId="190" fontId="95" fillId="0" borderId="0">
      <alignment horizontal="center"/>
    </xf>
    <xf numFmtId="190" fontId="95" fillId="0" borderId="0">
      <alignment horizontal="center"/>
    </xf>
    <xf numFmtId="190" fontId="95" fillId="0" borderId="0">
      <alignment horizontal="center"/>
    </xf>
    <xf numFmtId="190" fontId="95" fillId="0" borderId="0">
      <alignment horizontal="center"/>
    </xf>
    <xf numFmtId="190" fontId="95" fillId="0" borderId="0">
      <alignment horizontal="center"/>
    </xf>
    <xf numFmtId="190" fontId="95" fillId="0" borderId="0">
      <alignment horizontal="center"/>
    </xf>
    <xf numFmtId="190" fontId="95" fillId="0" borderId="0">
      <alignment horizontal="center"/>
    </xf>
    <xf numFmtId="190" fontId="95" fillId="0" borderId="0">
      <alignment horizontal="center"/>
    </xf>
    <xf numFmtId="190" fontId="95" fillId="0" borderId="0">
      <alignment horizontal="center"/>
    </xf>
    <xf numFmtId="190" fontId="95" fillId="0" borderId="0">
      <alignment horizontal="center"/>
    </xf>
    <xf numFmtId="190" fontId="95" fillId="0" borderId="0">
      <alignment horizontal="center"/>
    </xf>
    <xf numFmtId="190" fontId="95" fillId="0" borderId="0">
      <alignment horizontal="center"/>
    </xf>
    <xf numFmtId="190" fontId="95" fillId="0" borderId="0">
      <alignment horizontal="center"/>
    </xf>
    <xf numFmtId="190" fontId="95" fillId="0" borderId="0">
      <alignment horizontal="center"/>
    </xf>
    <xf numFmtId="190" fontId="95" fillId="0" borderId="0">
      <alignment horizontal="center"/>
    </xf>
    <xf numFmtId="190" fontId="95" fillId="0" borderId="0">
      <alignment horizontal="center"/>
    </xf>
    <xf numFmtId="190" fontId="95" fillId="0" borderId="0">
      <alignment horizontal="center"/>
    </xf>
    <xf numFmtId="190" fontId="95" fillId="0" borderId="0">
      <alignment horizontal="center"/>
    </xf>
    <xf numFmtId="190" fontId="95" fillId="0" borderId="0">
      <alignment horizontal="center"/>
    </xf>
    <xf numFmtId="190" fontId="95" fillId="0" borderId="0">
      <alignment horizontal="center"/>
    </xf>
    <xf numFmtId="190" fontId="95" fillId="0" borderId="0">
      <alignment horizontal="center"/>
    </xf>
    <xf numFmtId="190" fontId="95" fillId="0" borderId="0">
      <alignment horizontal="center"/>
    </xf>
    <xf numFmtId="190" fontId="95" fillId="0" borderId="0">
      <alignment horizontal="center"/>
    </xf>
    <xf numFmtId="190" fontId="95" fillId="0" borderId="0">
      <alignment horizontal="center"/>
    </xf>
    <xf numFmtId="238" fontId="266" fillId="0" borderId="17" applyNumberFormat="0" applyAlignment="0" applyProtection="0">
      <alignment horizontal="left" vertical="center"/>
    </xf>
    <xf numFmtId="238" fontId="266" fillId="0" borderId="17" applyNumberFormat="0" applyAlignment="0" applyProtection="0">
      <alignment horizontal="left" vertical="center"/>
    </xf>
    <xf numFmtId="238" fontId="266" fillId="0" borderId="17" applyNumberFormat="0" applyAlignment="0" applyProtection="0">
      <alignment horizontal="left" vertical="center"/>
    </xf>
    <xf numFmtId="238" fontId="266" fillId="0" borderId="17" applyNumberFormat="0" applyAlignment="0" applyProtection="0">
      <alignment horizontal="left" vertical="center"/>
    </xf>
    <xf numFmtId="238" fontId="266" fillId="0" borderId="17" applyNumberFormat="0" applyAlignment="0" applyProtection="0">
      <alignment horizontal="left" vertical="center"/>
    </xf>
    <xf numFmtId="238" fontId="266" fillId="0" borderId="17" applyNumberFormat="0" applyAlignment="0" applyProtection="0">
      <alignment horizontal="left" vertical="center"/>
    </xf>
    <xf numFmtId="238" fontId="266" fillId="0" borderId="17" applyNumberFormat="0" applyAlignment="0" applyProtection="0">
      <alignment horizontal="left" vertical="center"/>
    </xf>
    <xf numFmtId="238" fontId="266" fillId="0" borderId="17" applyNumberFormat="0" applyAlignment="0" applyProtection="0">
      <alignment horizontal="left" vertical="center"/>
    </xf>
    <xf numFmtId="238" fontId="266" fillId="0" borderId="17" applyNumberFormat="0" applyAlignment="0" applyProtection="0">
      <alignment horizontal="left" vertical="center"/>
    </xf>
    <xf numFmtId="238" fontId="266" fillId="0" borderId="17" applyNumberFormat="0" applyAlignment="0" applyProtection="0">
      <alignment horizontal="left" vertical="center"/>
    </xf>
    <xf numFmtId="238" fontId="266" fillId="0" borderId="17" applyNumberFormat="0" applyAlignment="0" applyProtection="0">
      <alignment horizontal="left" vertical="center"/>
    </xf>
    <xf numFmtId="238" fontId="266" fillId="0" borderId="17" applyNumberFormat="0" applyAlignment="0" applyProtection="0">
      <alignment horizontal="left" vertical="center"/>
    </xf>
    <xf numFmtId="238" fontId="266" fillId="0" borderId="17" applyNumberFormat="0" applyAlignment="0" applyProtection="0">
      <alignment horizontal="left" vertical="center"/>
    </xf>
    <xf numFmtId="238" fontId="266" fillId="0" borderId="17" applyNumberFormat="0" applyAlignment="0" applyProtection="0">
      <alignment horizontal="left" vertical="center"/>
    </xf>
    <xf numFmtId="238" fontId="266" fillId="0" borderId="17" applyNumberFormat="0" applyAlignment="0" applyProtection="0">
      <alignment horizontal="left" vertical="center"/>
    </xf>
    <xf numFmtId="238" fontId="266" fillId="0" borderId="17" applyNumberFormat="0" applyAlignment="0" applyProtection="0">
      <alignment horizontal="left" vertical="center"/>
    </xf>
    <xf numFmtId="238" fontId="266" fillId="0" borderId="17" applyNumberFormat="0" applyAlignment="0" applyProtection="0">
      <alignment horizontal="left" vertical="center"/>
    </xf>
    <xf numFmtId="238" fontId="266" fillId="0" borderId="17" applyNumberFormat="0" applyAlignment="0" applyProtection="0">
      <alignment horizontal="left" vertical="center"/>
    </xf>
    <xf numFmtId="238" fontId="266" fillId="0" borderId="17" applyNumberFormat="0" applyAlignment="0" applyProtection="0">
      <alignment horizontal="left" vertical="center"/>
    </xf>
    <xf numFmtId="238" fontId="266" fillId="0" borderId="17" applyNumberFormat="0" applyAlignment="0" applyProtection="0">
      <alignment horizontal="left" vertical="center"/>
    </xf>
    <xf numFmtId="238" fontId="266" fillId="0" borderId="17" applyNumberFormat="0" applyAlignment="0" applyProtection="0">
      <alignment horizontal="left" vertical="center"/>
    </xf>
    <xf numFmtId="238" fontId="266" fillId="0" borderId="17" applyNumberFormat="0" applyAlignment="0" applyProtection="0">
      <alignment horizontal="left" vertical="center"/>
    </xf>
    <xf numFmtId="238" fontId="266" fillId="0" borderId="17" applyNumberFormat="0" applyAlignment="0" applyProtection="0">
      <alignment horizontal="left" vertical="center"/>
    </xf>
    <xf numFmtId="238" fontId="266" fillId="0" borderId="17" applyNumberFormat="0" applyAlignment="0" applyProtection="0">
      <alignment horizontal="left" vertical="center"/>
    </xf>
    <xf numFmtId="238" fontId="266" fillId="0" borderId="17" applyNumberFormat="0" applyAlignment="0" applyProtection="0">
      <alignment horizontal="left" vertical="center"/>
    </xf>
    <xf numFmtId="238" fontId="266" fillId="0" borderId="17" applyNumberFormat="0" applyAlignment="0" applyProtection="0">
      <alignment horizontal="left" vertical="center"/>
    </xf>
    <xf numFmtId="238" fontId="266" fillId="0" borderId="17" applyNumberFormat="0" applyAlignment="0" applyProtection="0">
      <alignment horizontal="left" vertical="center"/>
    </xf>
    <xf numFmtId="238" fontId="266" fillId="0" borderId="17" applyNumberFormat="0" applyAlignment="0" applyProtection="0">
      <alignment horizontal="left" vertical="center"/>
    </xf>
    <xf numFmtId="238" fontId="266" fillId="0" borderId="17" applyNumberFormat="0" applyAlignment="0" applyProtection="0">
      <alignment horizontal="left" vertical="center"/>
    </xf>
    <xf numFmtId="238" fontId="266" fillId="0" borderId="17" applyNumberFormat="0" applyAlignment="0" applyProtection="0">
      <alignment horizontal="left" vertical="center"/>
    </xf>
    <xf numFmtId="238" fontId="266" fillId="0" borderId="17" applyNumberFormat="0" applyAlignment="0" applyProtection="0">
      <alignment horizontal="left" vertical="center"/>
    </xf>
    <xf numFmtId="238" fontId="266" fillId="0" borderId="65">
      <alignment horizontal="left" vertical="center"/>
    </xf>
    <xf numFmtId="238" fontId="266" fillId="0" borderId="65">
      <alignment horizontal="left" vertical="center"/>
    </xf>
    <xf numFmtId="238" fontId="266" fillId="0" borderId="65">
      <alignment horizontal="left" vertical="center"/>
    </xf>
    <xf numFmtId="238" fontId="266" fillId="0" borderId="65">
      <alignment horizontal="left" vertical="center"/>
    </xf>
    <xf numFmtId="238" fontId="266" fillId="0" borderId="65">
      <alignment horizontal="left" vertical="center"/>
    </xf>
    <xf numFmtId="238" fontId="266" fillId="0" borderId="65">
      <alignment horizontal="left" vertical="center"/>
    </xf>
    <xf numFmtId="238" fontId="266" fillId="0" borderId="65">
      <alignment horizontal="left" vertical="center"/>
    </xf>
    <xf numFmtId="238" fontId="266" fillId="0" borderId="65">
      <alignment horizontal="left" vertical="center"/>
    </xf>
    <xf numFmtId="238" fontId="266" fillId="0" borderId="65">
      <alignment horizontal="left" vertical="center"/>
    </xf>
    <xf numFmtId="238" fontId="266" fillId="0" borderId="65">
      <alignment horizontal="left" vertical="center"/>
    </xf>
    <xf numFmtId="0" fontId="105" fillId="0" borderId="65">
      <alignment horizontal="left" vertical="center"/>
    </xf>
    <xf numFmtId="238" fontId="266" fillId="0" borderId="65">
      <alignment horizontal="left" vertical="center"/>
    </xf>
    <xf numFmtId="238" fontId="266" fillId="0" borderId="65">
      <alignment horizontal="left" vertical="center"/>
    </xf>
    <xf numFmtId="238" fontId="266" fillId="0" borderId="65">
      <alignment horizontal="left" vertical="center"/>
    </xf>
    <xf numFmtId="238" fontId="266" fillId="0" borderId="65">
      <alignment horizontal="left" vertical="center"/>
    </xf>
    <xf numFmtId="238" fontId="266" fillId="0" borderId="65">
      <alignment horizontal="left" vertical="center"/>
    </xf>
    <xf numFmtId="238" fontId="266" fillId="0" borderId="65">
      <alignment horizontal="left" vertical="center"/>
    </xf>
    <xf numFmtId="238" fontId="266" fillId="0" borderId="65">
      <alignment horizontal="left" vertical="center"/>
    </xf>
    <xf numFmtId="238" fontId="266" fillId="0" borderId="65">
      <alignment horizontal="left" vertical="center"/>
    </xf>
    <xf numFmtId="238" fontId="266" fillId="0" borderId="65">
      <alignment horizontal="left" vertical="center"/>
    </xf>
    <xf numFmtId="238" fontId="266" fillId="0" borderId="65">
      <alignment horizontal="left" vertical="center"/>
    </xf>
    <xf numFmtId="0" fontId="105" fillId="0" borderId="65">
      <alignment horizontal="left" vertical="center"/>
    </xf>
    <xf numFmtId="238" fontId="266" fillId="0" borderId="65">
      <alignment horizontal="left" vertical="center"/>
    </xf>
    <xf numFmtId="238" fontId="266" fillId="0" borderId="65">
      <alignment horizontal="left" vertical="center"/>
    </xf>
    <xf numFmtId="238" fontId="266" fillId="0" borderId="65">
      <alignment horizontal="left" vertical="center"/>
    </xf>
    <xf numFmtId="238" fontId="266" fillId="0" borderId="65">
      <alignment horizontal="left" vertical="center"/>
    </xf>
    <xf numFmtId="238" fontId="266" fillId="0" borderId="65">
      <alignment horizontal="left" vertical="center"/>
    </xf>
    <xf numFmtId="238" fontId="266" fillId="0" borderId="65">
      <alignment horizontal="left" vertical="center"/>
    </xf>
    <xf numFmtId="238" fontId="266" fillId="0" borderId="65">
      <alignment horizontal="left" vertical="center"/>
    </xf>
    <xf numFmtId="238" fontId="266" fillId="0" borderId="65">
      <alignment horizontal="left" vertical="center"/>
    </xf>
    <xf numFmtId="238" fontId="266" fillId="0" borderId="65">
      <alignment horizontal="left" vertical="center"/>
    </xf>
    <xf numFmtId="238" fontId="267" fillId="0" borderId="47" applyNumberFormat="0" applyFill="0" applyAlignment="0" applyProtection="0"/>
    <xf numFmtId="238" fontId="267" fillId="0" borderId="47" applyNumberFormat="0" applyFill="0" applyAlignment="0" applyProtection="0"/>
    <xf numFmtId="238" fontId="267" fillId="0" borderId="47" applyNumberFormat="0" applyFill="0" applyAlignment="0" applyProtection="0"/>
    <xf numFmtId="238" fontId="267" fillId="0" borderId="47" applyNumberFormat="0" applyFill="0" applyAlignment="0" applyProtection="0"/>
    <xf numFmtId="238" fontId="267" fillId="0" borderId="47" applyNumberFormat="0" applyFill="0" applyAlignment="0" applyProtection="0"/>
    <xf numFmtId="238" fontId="267" fillId="0" borderId="47" applyNumberFormat="0" applyFill="0" applyAlignment="0" applyProtection="0"/>
    <xf numFmtId="238" fontId="267" fillId="0" borderId="47" applyNumberFormat="0" applyFill="0" applyAlignment="0" applyProtection="0"/>
    <xf numFmtId="238" fontId="267" fillId="0" borderId="47" applyNumberFormat="0" applyFill="0" applyAlignment="0" applyProtection="0"/>
    <xf numFmtId="238" fontId="267" fillId="0" borderId="47" applyNumberFormat="0" applyFill="0" applyAlignment="0" applyProtection="0"/>
    <xf numFmtId="238" fontId="267" fillId="0" borderId="47" applyNumberFormat="0" applyFill="0" applyAlignment="0" applyProtection="0"/>
    <xf numFmtId="0" fontId="268" fillId="0" borderId="1" applyNumberFormat="0" applyFill="0" applyAlignment="0" applyProtection="0"/>
    <xf numFmtId="0" fontId="268" fillId="0" borderId="1" applyNumberFormat="0" applyFill="0" applyAlignment="0" applyProtection="0"/>
    <xf numFmtId="0" fontId="268" fillId="0" borderId="1" applyNumberFormat="0" applyFill="0" applyAlignment="0" applyProtection="0"/>
    <xf numFmtId="0" fontId="268" fillId="0" borderId="1" applyNumberFormat="0" applyFill="0" applyAlignment="0" applyProtection="0"/>
    <xf numFmtId="0" fontId="268" fillId="0" borderId="1" applyNumberFormat="0" applyFill="0" applyAlignment="0" applyProtection="0"/>
    <xf numFmtId="0" fontId="268" fillId="0" borderId="1" applyNumberFormat="0" applyFill="0" applyAlignment="0" applyProtection="0"/>
    <xf numFmtId="0" fontId="268" fillId="0" borderId="1" applyNumberFormat="0" applyFill="0" applyAlignment="0" applyProtection="0"/>
    <xf numFmtId="0" fontId="268" fillId="0" borderId="1" applyNumberFormat="0" applyFill="0" applyAlignment="0" applyProtection="0"/>
    <xf numFmtId="0" fontId="268" fillId="0" borderId="1" applyNumberFormat="0" applyFill="0" applyAlignment="0" applyProtection="0"/>
    <xf numFmtId="0" fontId="268" fillId="0" borderId="1" applyNumberFormat="0" applyFill="0" applyAlignment="0" applyProtection="0"/>
    <xf numFmtId="0" fontId="268" fillId="0" borderId="1" applyNumberFormat="0" applyFill="0" applyAlignment="0" applyProtection="0"/>
    <xf numFmtId="0" fontId="268" fillId="0" borderId="1" applyNumberFormat="0" applyFill="0" applyAlignment="0" applyProtection="0"/>
    <xf numFmtId="0" fontId="268" fillId="0" borderId="1" applyNumberFormat="0" applyFill="0" applyAlignment="0" applyProtection="0"/>
    <xf numFmtId="0" fontId="268" fillId="0" borderId="1" applyNumberFormat="0" applyFill="0" applyAlignment="0" applyProtection="0"/>
    <xf numFmtId="0" fontId="268" fillId="0" borderId="1" applyNumberFormat="0" applyFill="0" applyAlignment="0" applyProtection="0"/>
    <xf numFmtId="0" fontId="268" fillId="0" borderId="1" applyNumberFormat="0" applyFill="0" applyAlignment="0" applyProtection="0"/>
    <xf numFmtId="0" fontId="268" fillId="0" borderId="1" applyNumberFormat="0" applyFill="0" applyAlignment="0" applyProtection="0"/>
    <xf numFmtId="0" fontId="268" fillId="0" borderId="1" applyNumberFormat="0" applyFill="0" applyAlignment="0" applyProtection="0"/>
    <xf numFmtId="0" fontId="268" fillId="0" borderId="1" applyNumberFormat="0" applyFill="0" applyAlignment="0" applyProtection="0"/>
    <xf numFmtId="0" fontId="268" fillId="0" borderId="1" applyNumberFormat="0" applyFill="0" applyAlignment="0" applyProtection="0"/>
    <xf numFmtId="0" fontId="268" fillId="0" borderId="1" applyNumberFormat="0" applyFill="0" applyAlignment="0" applyProtection="0"/>
    <xf numFmtId="0" fontId="268" fillId="0" borderId="1" applyNumberFormat="0" applyFill="0" applyAlignment="0" applyProtection="0"/>
    <xf numFmtId="0" fontId="268" fillId="0" borderId="1" applyNumberFormat="0" applyFill="0" applyAlignment="0" applyProtection="0"/>
    <xf numFmtId="0" fontId="268" fillId="0" borderId="1" applyNumberFormat="0" applyFill="0" applyAlignment="0" applyProtection="0"/>
    <xf numFmtId="0" fontId="268" fillId="0" borderId="1" applyNumberFormat="0" applyFill="0" applyAlignment="0" applyProtection="0"/>
    <xf numFmtId="0" fontId="268" fillId="0" borderId="1" applyNumberFormat="0" applyFill="0" applyAlignment="0" applyProtection="0"/>
    <xf numFmtId="0" fontId="268" fillId="0" borderId="1" applyNumberFormat="0" applyFill="0" applyAlignment="0" applyProtection="0"/>
    <xf numFmtId="0" fontId="268" fillId="0" borderId="1" applyNumberFormat="0" applyFill="0" applyAlignment="0" applyProtection="0"/>
    <xf numFmtId="0" fontId="268" fillId="0" borderId="1" applyNumberFormat="0" applyFill="0" applyAlignment="0" applyProtection="0"/>
    <xf numFmtId="0" fontId="268" fillId="0" borderId="1" applyNumberFormat="0" applyFill="0" applyAlignment="0" applyProtection="0"/>
    <xf numFmtId="0" fontId="268" fillId="0" borderId="1" applyNumberFormat="0" applyFill="0" applyAlignment="0" applyProtection="0"/>
    <xf numFmtId="0" fontId="268" fillId="0" borderId="1" applyNumberFormat="0" applyFill="0" applyAlignment="0" applyProtection="0"/>
    <xf numFmtId="0" fontId="268" fillId="0" borderId="1" applyNumberFormat="0" applyFill="0" applyAlignment="0" applyProtection="0"/>
    <xf numFmtId="0" fontId="268" fillId="0" borderId="1" applyNumberFormat="0" applyFill="0" applyAlignment="0" applyProtection="0"/>
    <xf numFmtId="0" fontId="268" fillId="0" borderId="1" applyNumberFormat="0" applyFill="0" applyAlignment="0" applyProtection="0"/>
    <xf numFmtId="0" fontId="268" fillId="0" borderId="1" applyNumberFormat="0" applyFill="0" applyAlignment="0" applyProtection="0"/>
    <xf numFmtId="0" fontId="268" fillId="0" borderId="1" applyNumberFormat="0" applyFill="0" applyAlignment="0" applyProtection="0"/>
    <xf numFmtId="0" fontId="268" fillId="0" borderId="1" applyNumberFormat="0" applyFill="0" applyAlignment="0" applyProtection="0"/>
    <xf numFmtId="0" fontId="268" fillId="0" borderId="1" applyNumberFormat="0" applyFill="0" applyAlignment="0" applyProtection="0"/>
    <xf numFmtId="0" fontId="268" fillId="0" borderId="1" applyNumberFormat="0" applyFill="0" applyAlignment="0" applyProtection="0"/>
    <xf numFmtId="0" fontId="268" fillId="0" borderId="1" applyNumberFormat="0" applyFill="0" applyAlignment="0" applyProtection="0"/>
    <xf numFmtId="0" fontId="267" fillId="0" borderId="47" applyNumberFormat="0" applyFill="0" applyAlignment="0" applyProtection="0"/>
    <xf numFmtId="238" fontId="267" fillId="0" borderId="47" applyNumberFormat="0" applyFill="0" applyAlignment="0" applyProtection="0"/>
    <xf numFmtId="238" fontId="267" fillId="0" borderId="47" applyNumberFormat="0" applyFill="0" applyAlignment="0" applyProtection="0"/>
    <xf numFmtId="238" fontId="267" fillId="0" borderId="47" applyNumberFormat="0" applyFill="0" applyAlignment="0" applyProtection="0"/>
    <xf numFmtId="238" fontId="267" fillId="0" borderId="47" applyNumberFormat="0" applyFill="0" applyAlignment="0" applyProtection="0"/>
    <xf numFmtId="238" fontId="267" fillId="0" borderId="47" applyNumberFormat="0" applyFill="0" applyAlignment="0" applyProtection="0"/>
    <xf numFmtId="238" fontId="267" fillId="0" borderId="47" applyNumberFormat="0" applyFill="0" applyAlignment="0" applyProtection="0"/>
    <xf numFmtId="238" fontId="267" fillId="0" borderId="47" applyNumberFormat="0" applyFill="0" applyAlignment="0" applyProtection="0"/>
    <xf numFmtId="238" fontId="267" fillId="0" borderId="47" applyNumberFormat="0" applyFill="0" applyAlignment="0" applyProtection="0"/>
    <xf numFmtId="238" fontId="267" fillId="0" borderId="47" applyNumberFormat="0" applyFill="0" applyAlignment="0" applyProtection="0"/>
    <xf numFmtId="238" fontId="267" fillId="0" borderId="47" applyNumberFormat="0" applyFill="0" applyAlignment="0" applyProtection="0"/>
    <xf numFmtId="238" fontId="267" fillId="0" borderId="47" applyNumberFormat="0" applyFill="0" applyAlignment="0" applyProtection="0"/>
    <xf numFmtId="238" fontId="267" fillId="0" borderId="47" applyNumberFormat="0" applyFill="0" applyAlignment="0" applyProtection="0"/>
    <xf numFmtId="238" fontId="267" fillId="0" borderId="47" applyNumberFormat="0" applyFill="0" applyAlignment="0" applyProtection="0"/>
    <xf numFmtId="238" fontId="267" fillId="0" borderId="47" applyNumberFormat="0" applyFill="0" applyAlignment="0" applyProtection="0"/>
    <xf numFmtId="238" fontId="267" fillId="0" borderId="47" applyNumberFormat="0" applyFill="0" applyAlignment="0" applyProtection="0"/>
    <xf numFmtId="238" fontId="267" fillId="0" borderId="47" applyNumberFormat="0" applyFill="0" applyAlignment="0" applyProtection="0"/>
    <xf numFmtId="238" fontId="267" fillId="0" borderId="47" applyNumberFormat="0" applyFill="0" applyAlignment="0" applyProtection="0"/>
    <xf numFmtId="238" fontId="267" fillId="0" borderId="47" applyNumberFormat="0" applyFill="0" applyAlignment="0" applyProtection="0"/>
    <xf numFmtId="238" fontId="267" fillId="0" borderId="47" applyNumberFormat="0" applyFill="0" applyAlignment="0" applyProtection="0"/>
    <xf numFmtId="238" fontId="267" fillId="0" borderId="47" applyNumberFormat="0" applyFill="0" applyAlignment="0" applyProtection="0"/>
    <xf numFmtId="238" fontId="267" fillId="0" borderId="47" applyNumberFormat="0" applyFill="0" applyAlignment="0" applyProtection="0"/>
    <xf numFmtId="238" fontId="267" fillId="0" borderId="47" applyNumberFormat="0" applyFill="0" applyAlignment="0" applyProtection="0"/>
    <xf numFmtId="238" fontId="267" fillId="0" borderId="47" applyNumberFormat="0" applyFill="0" applyAlignment="0" applyProtection="0"/>
    <xf numFmtId="238" fontId="267" fillId="0" borderId="47" applyNumberFormat="0" applyFill="0" applyAlignment="0" applyProtection="0"/>
    <xf numFmtId="238" fontId="267" fillId="0" borderId="47" applyNumberFormat="0" applyFill="0" applyAlignment="0" applyProtection="0"/>
    <xf numFmtId="238" fontId="267" fillId="0" borderId="47" applyNumberFormat="0" applyFill="0" applyAlignment="0" applyProtection="0"/>
    <xf numFmtId="238" fontId="267" fillId="0" borderId="47" applyNumberFormat="0" applyFill="0" applyAlignment="0" applyProtection="0"/>
    <xf numFmtId="238" fontId="267" fillId="0" borderId="47" applyNumberFormat="0" applyFill="0" applyAlignment="0" applyProtection="0"/>
    <xf numFmtId="238" fontId="267" fillId="0" borderId="47" applyNumberFormat="0" applyFill="0" applyAlignment="0" applyProtection="0"/>
    <xf numFmtId="238" fontId="267" fillId="0" borderId="47" applyNumberFormat="0" applyFill="0" applyAlignment="0" applyProtection="0"/>
    <xf numFmtId="238" fontId="267" fillId="0" borderId="47" applyNumberFormat="0" applyFill="0" applyAlignment="0" applyProtection="0"/>
    <xf numFmtId="238" fontId="267" fillId="0" borderId="47" applyNumberFormat="0" applyFill="0" applyAlignment="0" applyProtection="0"/>
    <xf numFmtId="238" fontId="267" fillId="0" borderId="47" applyNumberFormat="0" applyFill="0" applyAlignment="0" applyProtection="0"/>
    <xf numFmtId="238" fontId="267" fillId="0" borderId="47" applyNumberFormat="0" applyFill="0" applyAlignment="0" applyProtection="0"/>
    <xf numFmtId="238" fontId="267" fillId="0" borderId="47" applyNumberFormat="0" applyFill="0" applyAlignment="0" applyProtection="0"/>
    <xf numFmtId="238" fontId="267" fillId="0" borderId="47" applyNumberFormat="0" applyFill="0" applyAlignment="0" applyProtection="0"/>
    <xf numFmtId="238" fontId="267" fillId="0" borderId="47" applyNumberFormat="0" applyFill="0" applyAlignment="0" applyProtection="0"/>
    <xf numFmtId="238" fontId="267" fillId="0" borderId="47" applyNumberFormat="0" applyFill="0" applyAlignment="0" applyProtection="0"/>
    <xf numFmtId="238" fontId="267" fillId="0" borderId="47" applyNumberFormat="0" applyFill="0" applyAlignment="0" applyProtection="0"/>
    <xf numFmtId="238" fontId="267" fillId="0" borderId="47" applyNumberFormat="0" applyFill="0" applyAlignment="0" applyProtection="0"/>
    <xf numFmtId="238" fontId="267" fillId="0" borderId="47" applyNumberFormat="0" applyFill="0" applyAlignment="0" applyProtection="0"/>
    <xf numFmtId="238" fontId="267" fillId="0" borderId="47" applyNumberFormat="0" applyFill="0" applyAlignment="0" applyProtection="0"/>
    <xf numFmtId="238" fontId="267" fillId="0" borderId="47" applyNumberFormat="0" applyFill="0" applyAlignment="0" applyProtection="0"/>
    <xf numFmtId="238" fontId="269" fillId="0" borderId="48" applyNumberFormat="0" applyFill="0" applyAlignment="0" applyProtection="0"/>
    <xf numFmtId="238" fontId="269" fillId="0" borderId="48" applyNumberFormat="0" applyFill="0" applyAlignment="0" applyProtection="0"/>
    <xf numFmtId="238" fontId="269" fillId="0" borderId="48" applyNumberFormat="0" applyFill="0" applyAlignment="0" applyProtection="0"/>
    <xf numFmtId="238" fontId="269" fillId="0" borderId="48" applyNumberFormat="0" applyFill="0" applyAlignment="0" applyProtection="0"/>
    <xf numFmtId="238" fontId="269" fillId="0" borderId="48" applyNumberFormat="0" applyFill="0" applyAlignment="0" applyProtection="0"/>
    <xf numFmtId="238" fontId="269" fillId="0" borderId="48" applyNumberFormat="0" applyFill="0" applyAlignment="0" applyProtection="0"/>
    <xf numFmtId="238" fontId="269" fillId="0" borderId="48" applyNumberFormat="0" applyFill="0" applyAlignment="0" applyProtection="0"/>
    <xf numFmtId="238" fontId="269" fillId="0" borderId="48" applyNumberFormat="0" applyFill="0" applyAlignment="0" applyProtection="0"/>
    <xf numFmtId="238" fontId="269" fillId="0" borderId="48" applyNumberFormat="0" applyFill="0" applyAlignment="0" applyProtection="0"/>
    <xf numFmtId="238" fontId="269" fillId="0" borderId="48" applyNumberFormat="0" applyFill="0" applyAlignment="0" applyProtection="0"/>
    <xf numFmtId="0" fontId="270" fillId="0" borderId="2" applyNumberFormat="0" applyFill="0" applyAlignment="0" applyProtection="0"/>
    <xf numFmtId="0" fontId="270" fillId="0" borderId="2" applyNumberFormat="0" applyFill="0" applyAlignment="0" applyProtection="0"/>
    <xf numFmtId="0" fontId="270" fillId="0" borderId="2" applyNumberFormat="0" applyFill="0" applyAlignment="0" applyProtection="0"/>
    <xf numFmtId="0" fontId="270" fillId="0" borderId="2" applyNumberFormat="0" applyFill="0" applyAlignment="0" applyProtection="0"/>
    <xf numFmtId="0" fontId="270" fillId="0" borderId="2" applyNumberFormat="0" applyFill="0" applyAlignment="0" applyProtection="0"/>
    <xf numFmtId="0" fontId="270" fillId="0" borderId="2" applyNumberFormat="0" applyFill="0" applyAlignment="0" applyProtection="0"/>
    <xf numFmtId="0" fontId="270" fillId="0" borderId="2" applyNumberFormat="0" applyFill="0" applyAlignment="0" applyProtection="0"/>
    <xf numFmtId="0" fontId="270" fillId="0" borderId="2" applyNumberFormat="0" applyFill="0" applyAlignment="0" applyProtection="0"/>
    <xf numFmtId="0" fontId="270" fillId="0" borderId="2" applyNumberFormat="0" applyFill="0" applyAlignment="0" applyProtection="0"/>
    <xf numFmtId="0" fontId="270" fillId="0" borderId="2" applyNumberFormat="0" applyFill="0" applyAlignment="0" applyProtection="0"/>
    <xf numFmtId="0" fontId="270" fillId="0" borderId="2" applyNumberFormat="0" applyFill="0" applyAlignment="0" applyProtection="0"/>
    <xf numFmtId="0" fontId="270" fillId="0" borderId="2" applyNumberFormat="0" applyFill="0" applyAlignment="0" applyProtection="0"/>
    <xf numFmtId="0" fontId="270" fillId="0" borderId="2" applyNumberFormat="0" applyFill="0" applyAlignment="0" applyProtection="0"/>
    <xf numFmtId="0" fontId="270" fillId="0" borderId="2" applyNumberFormat="0" applyFill="0" applyAlignment="0" applyProtection="0"/>
    <xf numFmtId="0" fontId="270" fillId="0" borderId="2" applyNumberFormat="0" applyFill="0" applyAlignment="0" applyProtection="0"/>
    <xf numFmtId="0" fontId="270" fillId="0" borderId="2" applyNumberFormat="0" applyFill="0" applyAlignment="0" applyProtection="0"/>
    <xf numFmtId="0" fontId="270" fillId="0" borderId="2" applyNumberFormat="0" applyFill="0" applyAlignment="0" applyProtection="0"/>
    <xf numFmtId="0" fontId="270" fillId="0" borderId="2" applyNumberFormat="0" applyFill="0" applyAlignment="0" applyProtection="0"/>
    <xf numFmtId="0" fontId="270" fillId="0" borderId="2" applyNumberFormat="0" applyFill="0" applyAlignment="0" applyProtection="0"/>
    <xf numFmtId="0" fontId="270" fillId="0" borderId="2" applyNumberFormat="0" applyFill="0" applyAlignment="0" applyProtection="0"/>
    <xf numFmtId="0" fontId="270" fillId="0" borderId="2" applyNumberFormat="0" applyFill="0" applyAlignment="0" applyProtection="0"/>
    <xf numFmtId="0" fontId="270" fillId="0" borderId="2" applyNumberFormat="0" applyFill="0" applyAlignment="0" applyProtection="0"/>
    <xf numFmtId="0" fontId="270" fillId="0" borderId="2" applyNumberFormat="0" applyFill="0" applyAlignment="0" applyProtection="0"/>
    <xf numFmtId="0" fontId="270" fillId="0" borderId="2" applyNumberFormat="0" applyFill="0" applyAlignment="0" applyProtection="0"/>
    <xf numFmtId="0" fontId="270" fillId="0" borderId="2" applyNumberFormat="0" applyFill="0" applyAlignment="0" applyProtection="0"/>
    <xf numFmtId="0" fontId="270" fillId="0" borderId="2" applyNumberFormat="0" applyFill="0" applyAlignment="0" applyProtection="0"/>
    <xf numFmtId="0" fontId="270" fillId="0" borderId="2" applyNumberFormat="0" applyFill="0" applyAlignment="0" applyProtection="0"/>
    <xf numFmtId="0" fontId="270" fillId="0" borderId="2" applyNumberFormat="0" applyFill="0" applyAlignment="0" applyProtection="0"/>
    <xf numFmtId="0" fontId="270" fillId="0" borderId="2" applyNumberFormat="0" applyFill="0" applyAlignment="0" applyProtection="0"/>
    <xf numFmtId="0" fontId="270" fillId="0" borderId="2" applyNumberFormat="0" applyFill="0" applyAlignment="0" applyProtection="0"/>
    <xf numFmtId="0" fontId="270" fillId="0" borderId="2" applyNumberFormat="0" applyFill="0" applyAlignment="0" applyProtection="0"/>
    <xf numFmtId="0" fontId="270" fillId="0" borderId="2" applyNumberFormat="0" applyFill="0" applyAlignment="0" applyProtection="0"/>
    <xf numFmtId="0" fontId="270" fillId="0" borderId="2" applyNumberFormat="0" applyFill="0" applyAlignment="0" applyProtection="0"/>
    <xf numFmtId="0" fontId="270" fillId="0" borderId="2" applyNumberFormat="0" applyFill="0" applyAlignment="0" applyProtection="0"/>
    <xf numFmtId="0" fontId="270" fillId="0" borderId="2" applyNumberFormat="0" applyFill="0" applyAlignment="0" applyProtection="0"/>
    <xf numFmtId="0" fontId="270" fillId="0" borderId="2" applyNumberFormat="0" applyFill="0" applyAlignment="0" applyProtection="0"/>
    <xf numFmtId="0" fontId="270" fillId="0" borderId="2" applyNumberFormat="0" applyFill="0" applyAlignment="0" applyProtection="0"/>
    <xf numFmtId="0" fontId="270" fillId="0" borderId="2" applyNumberFormat="0" applyFill="0" applyAlignment="0" applyProtection="0"/>
    <xf numFmtId="0" fontId="270" fillId="0" borderId="2" applyNumberFormat="0" applyFill="0" applyAlignment="0" applyProtection="0"/>
    <xf numFmtId="0" fontId="270" fillId="0" borderId="2" applyNumberFormat="0" applyFill="0" applyAlignment="0" applyProtection="0"/>
    <xf numFmtId="0" fontId="270" fillId="0" borderId="2" applyNumberFormat="0" applyFill="0" applyAlignment="0" applyProtection="0"/>
    <xf numFmtId="0" fontId="269" fillId="0" borderId="48" applyNumberFormat="0" applyFill="0" applyAlignment="0" applyProtection="0"/>
    <xf numFmtId="238" fontId="269" fillId="0" borderId="48" applyNumberFormat="0" applyFill="0" applyAlignment="0" applyProtection="0"/>
    <xf numFmtId="238" fontId="269" fillId="0" borderId="48" applyNumberFormat="0" applyFill="0" applyAlignment="0" applyProtection="0"/>
    <xf numFmtId="238" fontId="269" fillId="0" borderId="48" applyNumberFormat="0" applyFill="0" applyAlignment="0" applyProtection="0"/>
    <xf numFmtId="238" fontId="269" fillId="0" borderId="48" applyNumberFormat="0" applyFill="0" applyAlignment="0" applyProtection="0"/>
    <xf numFmtId="238" fontId="269" fillId="0" borderId="48" applyNumberFormat="0" applyFill="0" applyAlignment="0" applyProtection="0"/>
    <xf numFmtId="238" fontId="269" fillId="0" borderId="48" applyNumberFormat="0" applyFill="0" applyAlignment="0" applyProtection="0"/>
    <xf numFmtId="238" fontId="269" fillId="0" borderId="48" applyNumberFormat="0" applyFill="0" applyAlignment="0" applyProtection="0"/>
    <xf numFmtId="238" fontId="269" fillId="0" borderId="48" applyNumberFormat="0" applyFill="0" applyAlignment="0" applyProtection="0"/>
    <xf numFmtId="238" fontId="269" fillId="0" borderId="48" applyNumberFormat="0" applyFill="0" applyAlignment="0" applyProtection="0"/>
    <xf numFmtId="238" fontId="269" fillId="0" borderId="48" applyNumberFormat="0" applyFill="0" applyAlignment="0" applyProtection="0"/>
    <xf numFmtId="238" fontId="269" fillId="0" borderId="48" applyNumberFormat="0" applyFill="0" applyAlignment="0" applyProtection="0"/>
    <xf numFmtId="238" fontId="269" fillId="0" borderId="48" applyNumberFormat="0" applyFill="0" applyAlignment="0" applyProtection="0"/>
    <xf numFmtId="238" fontId="269" fillId="0" borderId="48" applyNumberFormat="0" applyFill="0" applyAlignment="0" applyProtection="0"/>
    <xf numFmtId="238" fontId="269" fillId="0" borderId="48" applyNumberFormat="0" applyFill="0" applyAlignment="0" applyProtection="0"/>
    <xf numFmtId="238" fontId="269" fillId="0" borderId="48" applyNumberFormat="0" applyFill="0" applyAlignment="0" applyProtection="0"/>
    <xf numFmtId="238" fontId="269" fillId="0" borderId="48" applyNumberFormat="0" applyFill="0" applyAlignment="0" applyProtection="0"/>
    <xf numFmtId="238" fontId="269" fillId="0" borderId="48" applyNumberFormat="0" applyFill="0" applyAlignment="0" applyProtection="0"/>
    <xf numFmtId="238" fontId="269" fillId="0" borderId="48" applyNumberFormat="0" applyFill="0" applyAlignment="0" applyProtection="0"/>
    <xf numFmtId="238" fontId="269" fillId="0" borderId="48" applyNumberFormat="0" applyFill="0" applyAlignment="0" applyProtection="0"/>
    <xf numFmtId="238" fontId="269" fillId="0" borderId="48" applyNumberFormat="0" applyFill="0" applyAlignment="0" applyProtection="0"/>
    <xf numFmtId="238" fontId="269" fillId="0" borderId="48" applyNumberFormat="0" applyFill="0" applyAlignment="0" applyProtection="0"/>
    <xf numFmtId="238" fontId="269" fillId="0" borderId="48" applyNumberFormat="0" applyFill="0" applyAlignment="0" applyProtection="0"/>
    <xf numFmtId="238" fontId="269" fillId="0" borderId="48" applyNumberFormat="0" applyFill="0" applyAlignment="0" applyProtection="0"/>
    <xf numFmtId="238" fontId="269" fillId="0" borderId="48" applyNumberFormat="0" applyFill="0" applyAlignment="0" applyProtection="0"/>
    <xf numFmtId="238" fontId="269" fillId="0" borderId="48" applyNumberFormat="0" applyFill="0" applyAlignment="0" applyProtection="0"/>
    <xf numFmtId="238" fontId="269" fillId="0" borderId="48" applyNumberFormat="0" applyFill="0" applyAlignment="0" applyProtection="0"/>
    <xf numFmtId="238" fontId="269" fillId="0" borderId="48" applyNumberFormat="0" applyFill="0" applyAlignment="0" applyProtection="0"/>
    <xf numFmtId="238" fontId="269" fillId="0" borderId="48" applyNumberFormat="0" applyFill="0" applyAlignment="0" applyProtection="0"/>
    <xf numFmtId="238" fontId="269" fillId="0" borderId="48" applyNumberFormat="0" applyFill="0" applyAlignment="0" applyProtection="0"/>
    <xf numFmtId="238" fontId="269" fillId="0" borderId="48" applyNumberFormat="0" applyFill="0" applyAlignment="0" applyProtection="0"/>
    <xf numFmtId="238" fontId="269" fillId="0" borderId="48" applyNumberFormat="0" applyFill="0" applyAlignment="0" applyProtection="0"/>
    <xf numFmtId="238" fontId="269" fillId="0" borderId="48" applyNumberFormat="0" applyFill="0" applyAlignment="0" applyProtection="0"/>
    <xf numFmtId="238" fontId="269" fillId="0" borderId="48" applyNumberFormat="0" applyFill="0" applyAlignment="0" applyProtection="0"/>
    <xf numFmtId="238" fontId="269" fillId="0" borderId="48" applyNumberFormat="0" applyFill="0" applyAlignment="0" applyProtection="0"/>
    <xf numFmtId="238" fontId="269" fillId="0" borderId="48" applyNumberFormat="0" applyFill="0" applyAlignment="0" applyProtection="0"/>
    <xf numFmtId="238" fontId="269" fillId="0" borderId="48" applyNumberFormat="0" applyFill="0" applyAlignment="0" applyProtection="0"/>
    <xf numFmtId="238" fontId="269" fillId="0" borderId="48" applyNumberFormat="0" applyFill="0" applyAlignment="0" applyProtection="0"/>
    <xf numFmtId="238" fontId="269" fillId="0" borderId="48" applyNumberFormat="0" applyFill="0" applyAlignment="0" applyProtection="0"/>
    <xf numFmtId="238" fontId="269" fillId="0" borderId="48" applyNumberFormat="0" applyFill="0" applyAlignment="0" applyProtection="0"/>
    <xf numFmtId="238" fontId="269" fillId="0" borderId="48" applyNumberFormat="0" applyFill="0" applyAlignment="0" applyProtection="0"/>
    <xf numFmtId="238" fontId="269" fillId="0" borderId="48" applyNumberFormat="0" applyFill="0" applyAlignment="0" applyProtection="0"/>
    <xf numFmtId="238" fontId="269" fillId="0" borderId="48" applyNumberFormat="0" applyFill="0" applyAlignment="0" applyProtection="0"/>
    <xf numFmtId="238" fontId="269" fillId="0" borderId="48" applyNumberFormat="0" applyFill="0" applyAlignment="0" applyProtection="0"/>
    <xf numFmtId="238" fontId="108" fillId="0" borderId="19" applyNumberFormat="0" applyFill="0" applyAlignment="0" applyProtection="0"/>
    <xf numFmtId="238" fontId="108" fillId="0" borderId="19" applyNumberFormat="0" applyFill="0" applyAlignment="0" applyProtection="0"/>
    <xf numFmtId="238" fontId="108" fillId="0" borderId="19" applyNumberFormat="0" applyFill="0" applyAlignment="0" applyProtection="0"/>
    <xf numFmtId="238" fontId="108" fillId="0" borderId="19" applyNumberFormat="0" applyFill="0" applyAlignment="0" applyProtection="0"/>
    <xf numFmtId="238" fontId="108" fillId="0" borderId="19" applyNumberFormat="0" applyFill="0" applyAlignment="0" applyProtection="0"/>
    <xf numFmtId="238" fontId="108" fillId="0" borderId="19" applyNumberFormat="0" applyFill="0" applyAlignment="0" applyProtection="0"/>
    <xf numFmtId="238" fontId="108" fillId="0" borderId="19" applyNumberFormat="0" applyFill="0" applyAlignment="0" applyProtection="0"/>
    <xf numFmtId="238" fontId="108" fillId="0" borderId="19" applyNumberFormat="0" applyFill="0" applyAlignment="0" applyProtection="0"/>
    <xf numFmtId="238" fontId="108" fillId="0" borderId="19" applyNumberFormat="0" applyFill="0" applyAlignment="0" applyProtection="0"/>
    <xf numFmtId="238" fontId="108" fillId="0" borderId="19" applyNumberFormat="0" applyFill="0" applyAlignment="0" applyProtection="0"/>
    <xf numFmtId="0" fontId="271" fillId="0" borderId="3" applyNumberFormat="0" applyFill="0" applyAlignment="0" applyProtection="0"/>
    <xf numFmtId="0" fontId="271" fillId="0" borderId="3" applyNumberFormat="0" applyFill="0" applyAlignment="0" applyProtection="0"/>
    <xf numFmtId="0" fontId="271" fillId="0" borderId="3" applyNumberFormat="0" applyFill="0" applyAlignment="0" applyProtection="0"/>
    <xf numFmtId="0" fontId="271" fillId="0" borderId="3" applyNumberFormat="0" applyFill="0" applyAlignment="0" applyProtection="0"/>
    <xf numFmtId="0" fontId="271" fillId="0" borderId="3" applyNumberFormat="0" applyFill="0" applyAlignment="0" applyProtection="0"/>
    <xf numFmtId="0" fontId="271" fillId="0" borderId="3" applyNumberFormat="0" applyFill="0" applyAlignment="0" applyProtection="0"/>
    <xf numFmtId="0" fontId="271" fillId="0" borderId="3" applyNumberFormat="0" applyFill="0" applyAlignment="0" applyProtection="0"/>
    <xf numFmtId="0" fontId="271" fillId="0" borderId="3" applyNumberFormat="0" applyFill="0" applyAlignment="0" applyProtection="0"/>
    <xf numFmtId="0" fontId="271" fillId="0" borderId="3" applyNumberFormat="0" applyFill="0" applyAlignment="0" applyProtection="0"/>
    <xf numFmtId="0" fontId="271" fillId="0" borderId="3" applyNumberFormat="0" applyFill="0" applyAlignment="0" applyProtection="0"/>
    <xf numFmtId="0" fontId="271" fillId="0" borderId="3" applyNumberFormat="0" applyFill="0" applyAlignment="0" applyProtection="0"/>
    <xf numFmtId="0" fontId="271" fillId="0" borderId="3" applyNumberFormat="0" applyFill="0" applyAlignment="0" applyProtection="0"/>
    <xf numFmtId="0" fontId="271" fillId="0" borderId="3" applyNumberFormat="0" applyFill="0" applyAlignment="0" applyProtection="0"/>
    <xf numFmtId="0" fontId="271" fillId="0" borderId="3" applyNumberFormat="0" applyFill="0" applyAlignment="0" applyProtection="0"/>
    <xf numFmtId="0" fontId="271" fillId="0" borderId="3" applyNumberFormat="0" applyFill="0" applyAlignment="0" applyProtection="0"/>
    <xf numFmtId="0" fontId="271" fillId="0" borderId="3" applyNumberFormat="0" applyFill="0" applyAlignment="0" applyProtection="0"/>
    <xf numFmtId="0" fontId="271" fillId="0" borderId="3" applyNumberFormat="0" applyFill="0" applyAlignment="0" applyProtection="0"/>
    <xf numFmtId="0" fontId="271" fillId="0" borderId="3" applyNumberFormat="0" applyFill="0" applyAlignment="0" applyProtection="0"/>
    <xf numFmtId="0" fontId="271" fillId="0" borderId="3" applyNumberFormat="0" applyFill="0" applyAlignment="0" applyProtection="0"/>
    <xf numFmtId="0" fontId="271" fillId="0" borderId="3" applyNumberFormat="0" applyFill="0" applyAlignment="0" applyProtection="0"/>
    <xf numFmtId="0" fontId="271" fillId="0" borderId="3" applyNumberFormat="0" applyFill="0" applyAlignment="0" applyProtection="0"/>
    <xf numFmtId="0" fontId="271" fillId="0" borderId="3" applyNumberFormat="0" applyFill="0" applyAlignment="0" applyProtection="0"/>
    <xf numFmtId="0" fontId="271" fillId="0" borderId="3" applyNumberFormat="0" applyFill="0" applyAlignment="0" applyProtection="0"/>
    <xf numFmtId="0" fontId="271" fillId="0" borderId="3" applyNumberFormat="0" applyFill="0" applyAlignment="0" applyProtection="0"/>
    <xf numFmtId="0" fontId="271" fillId="0" borderId="3" applyNumberFormat="0" applyFill="0" applyAlignment="0" applyProtection="0"/>
    <xf numFmtId="0" fontId="271" fillId="0" borderId="3" applyNumberFormat="0" applyFill="0" applyAlignment="0" applyProtection="0"/>
    <xf numFmtId="0" fontId="271" fillId="0" borderId="3" applyNumberFormat="0" applyFill="0" applyAlignment="0" applyProtection="0"/>
    <xf numFmtId="0" fontId="271" fillId="0" borderId="3" applyNumberFormat="0" applyFill="0" applyAlignment="0" applyProtection="0"/>
    <xf numFmtId="0" fontId="271" fillId="0" borderId="3" applyNumberFormat="0" applyFill="0" applyAlignment="0" applyProtection="0"/>
    <xf numFmtId="0" fontId="271" fillId="0" borderId="3" applyNumberFormat="0" applyFill="0" applyAlignment="0" applyProtection="0"/>
    <xf numFmtId="0" fontId="271" fillId="0" borderId="3" applyNumberFormat="0" applyFill="0" applyAlignment="0" applyProtection="0"/>
    <xf numFmtId="0" fontId="271" fillId="0" borderId="3" applyNumberFormat="0" applyFill="0" applyAlignment="0" applyProtection="0"/>
    <xf numFmtId="0" fontId="271" fillId="0" borderId="3" applyNumberFormat="0" applyFill="0" applyAlignment="0" applyProtection="0"/>
    <xf numFmtId="0" fontId="271" fillId="0" borderId="3" applyNumberFormat="0" applyFill="0" applyAlignment="0" applyProtection="0"/>
    <xf numFmtId="0" fontId="271" fillId="0" borderId="3" applyNumberFormat="0" applyFill="0" applyAlignment="0" applyProtection="0"/>
    <xf numFmtId="0" fontId="271" fillId="0" borderId="3" applyNumberFormat="0" applyFill="0" applyAlignment="0" applyProtection="0"/>
    <xf numFmtId="0" fontId="271" fillId="0" borderId="3" applyNumberFormat="0" applyFill="0" applyAlignment="0" applyProtection="0"/>
    <xf numFmtId="0" fontId="271" fillId="0" borderId="3" applyNumberFormat="0" applyFill="0" applyAlignment="0" applyProtection="0"/>
    <xf numFmtId="0" fontId="271" fillId="0" borderId="3" applyNumberFormat="0" applyFill="0" applyAlignment="0" applyProtection="0"/>
    <xf numFmtId="0" fontId="271" fillId="0" borderId="3" applyNumberFormat="0" applyFill="0" applyAlignment="0" applyProtection="0"/>
    <xf numFmtId="0" fontId="271" fillId="0" borderId="3" applyNumberFormat="0" applyFill="0" applyAlignment="0" applyProtection="0"/>
    <xf numFmtId="0" fontId="108" fillId="0" borderId="19" applyNumberFormat="0" applyFill="0" applyAlignment="0" applyProtection="0"/>
    <xf numFmtId="238" fontId="108" fillId="0" borderId="19" applyNumberFormat="0" applyFill="0" applyAlignment="0" applyProtection="0"/>
    <xf numFmtId="238" fontId="108" fillId="0" borderId="19" applyNumberFormat="0" applyFill="0" applyAlignment="0" applyProtection="0"/>
    <xf numFmtId="238" fontId="108" fillId="0" borderId="19" applyNumberFormat="0" applyFill="0" applyAlignment="0" applyProtection="0"/>
    <xf numFmtId="238" fontId="108" fillId="0" borderId="19" applyNumberFormat="0" applyFill="0" applyAlignment="0" applyProtection="0"/>
    <xf numFmtId="238" fontId="108" fillId="0" borderId="19" applyNumberFormat="0" applyFill="0" applyAlignment="0" applyProtection="0"/>
    <xf numFmtId="238" fontId="108" fillId="0" borderId="19" applyNumberFormat="0" applyFill="0" applyAlignment="0" applyProtection="0"/>
    <xf numFmtId="238" fontId="108" fillId="0" borderId="19" applyNumberFormat="0" applyFill="0" applyAlignment="0" applyProtection="0"/>
    <xf numFmtId="238" fontId="108" fillId="0" borderId="19" applyNumberFormat="0" applyFill="0" applyAlignment="0" applyProtection="0"/>
    <xf numFmtId="238" fontId="108" fillId="0" borderId="19" applyNumberFormat="0" applyFill="0" applyAlignment="0" applyProtection="0"/>
    <xf numFmtId="238" fontId="108" fillId="0" borderId="19" applyNumberFormat="0" applyFill="0" applyAlignment="0" applyProtection="0"/>
    <xf numFmtId="238" fontId="108" fillId="0" borderId="19" applyNumberFormat="0" applyFill="0" applyAlignment="0" applyProtection="0"/>
    <xf numFmtId="238" fontId="108" fillId="0" borderId="19" applyNumberFormat="0" applyFill="0" applyAlignment="0" applyProtection="0"/>
    <xf numFmtId="238" fontId="108" fillId="0" borderId="19" applyNumberFormat="0" applyFill="0" applyAlignment="0" applyProtection="0"/>
    <xf numFmtId="238" fontId="108" fillId="0" borderId="19" applyNumberFormat="0" applyFill="0" applyAlignment="0" applyProtection="0"/>
    <xf numFmtId="238" fontId="108" fillId="0" borderId="19" applyNumberFormat="0" applyFill="0" applyAlignment="0" applyProtection="0"/>
    <xf numFmtId="238" fontId="108" fillId="0" borderId="19" applyNumberFormat="0" applyFill="0" applyAlignment="0" applyProtection="0"/>
    <xf numFmtId="238" fontId="108" fillId="0" borderId="19" applyNumberFormat="0" applyFill="0" applyAlignment="0" applyProtection="0"/>
    <xf numFmtId="238" fontId="108" fillId="0" borderId="19" applyNumberFormat="0" applyFill="0" applyAlignment="0" applyProtection="0"/>
    <xf numFmtId="238" fontId="108" fillId="0" borderId="19" applyNumberFormat="0" applyFill="0" applyAlignment="0" applyProtection="0"/>
    <xf numFmtId="238" fontId="108" fillId="0" borderId="19" applyNumberFormat="0" applyFill="0" applyAlignment="0" applyProtection="0"/>
    <xf numFmtId="238" fontId="108" fillId="0" borderId="19" applyNumberFormat="0" applyFill="0" applyAlignment="0" applyProtection="0"/>
    <xf numFmtId="238" fontId="108" fillId="0" borderId="19" applyNumberFormat="0" applyFill="0" applyAlignment="0" applyProtection="0"/>
    <xf numFmtId="238" fontId="108" fillId="0" borderId="19" applyNumberFormat="0" applyFill="0" applyAlignment="0" applyProtection="0"/>
    <xf numFmtId="238" fontId="108" fillId="0" borderId="19" applyNumberFormat="0" applyFill="0" applyAlignment="0" applyProtection="0"/>
    <xf numFmtId="238" fontId="108" fillId="0" borderId="19" applyNumberFormat="0" applyFill="0" applyAlignment="0" applyProtection="0"/>
    <xf numFmtId="238" fontId="108" fillId="0" borderId="19" applyNumberFormat="0" applyFill="0" applyAlignment="0" applyProtection="0"/>
    <xf numFmtId="238" fontId="108" fillId="0" borderId="19" applyNumberFormat="0" applyFill="0" applyAlignment="0" applyProtection="0"/>
    <xf numFmtId="238" fontId="108" fillId="0" borderId="19" applyNumberFormat="0" applyFill="0" applyAlignment="0" applyProtection="0"/>
    <xf numFmtId="238" fontId="108" fillId="0" borderId="19" applyNumberFormat="0" applyFill="0" applyAlignment="0" applyProtection="0"/>
    <xf numFmtId="238" fontId="108" fillId="0" borderId="19" applyNumberFormat="0" applyFill="0" applyAlignment="0" applyProtection="0"/>
    <xf numFmtId="238" fontId="108" fillId="0" borderId="19" applyNumberFormat="0" applyFill="0" applyAlignment="0" applyProtection="0"/>
    <xf numFmtId="238" fontId="108" fillId="0" borderId="19" applyNumberFormat="0" applyFill="0" applyAlignment="0" applyProtection="0"/>
    <xf numFmtId="238" fontId="108" fillId="0" borderId="19" applyNumberFormat="0" applyFill="0" applyAlignment="0" applyProtection="0"/>
    <xf numFmtId="238" fontId="108" fillId="0" borderId="19" applyNumberFormat="0" applyFill="0" applyAlignment="0" applyProtection="0"/>
    <xf numFmtId="238" fontId="108" fillId="0" borderId="19" applyNumberFormat="0" applyFill="0" applyAlignment="0" applyProtection="0"/>
    <xf numFmtId="238" fontId="108" fillId="0" borderId="19" applyNumberFormat="0" applyFill="0" applyAlignment="0" applyProtection="0"/>
    <xf numFmtId="238" fontId="108" fillId="0" borderId="19" applyNumberFormat="0" applyFill="0" applyAlignment="0" applyProtection="0"/>
    <xf numFmtId="238" fontId="108" fillId="0" borderId="19" applyNumberFormat="0" applyFill="0" applyAlignment="0" applyProtection="0"/>
    <xf numFmtId="238" fontId="108" fillId="0" borderId="19" applyNumberFormat="0" applyFill="0" applyAlignment="0" applyProtection="0"/>
    <xf numFmtId="238" fontId="108" fillId="0" borderId="19" applyNumberFormat="0" applyFill="0" applyAlignment="0" applyProtection="0"/>
    <xf numFmtId="238" fontId="108" fillId="0" borderId="19" applyNumberFormat="0" applyFill="0" applyAlignment="0" applyProtection="0"/>
    <xf numFmtId="238" fontId="108" fillId="0" borderId="19" applyNumberFormat="0" applyFill="0" applyAlignment="0" applyProtection="0"/>
    <xf numFmtId="238" fontId="108" fillId="0" borderId="19" applyNumberFormat="0" applyFill="0" applyAlignment="0" applyProtection="0"/>
    <xf numFmtId="238" fontId="108" fillId="0" borderId="0" applyNumberFormat="0" applyFill="0" applyBorder="0" applyAlignment="0" applyProtection="0"/>
    <xf numFmtId="238" fontId="108" fillId="0" borderId="0" applyNumberFormat="0" applyFill="0" applyBorder="0" applyAlignment="0" applyProtection="0"/>
    <xf numFmtId="238" fontId="108" fillId="0" borderId="0" applyNumberFormat="0" applyFill="0" applyBorder="0" applyAlignment="0" applyProtection="0"/>
    <xf numFmtId="238" fontId="108" fillId="0" borderId="0" applyNumberFormat="0" applyFill="0" applyBorder="0" applyAlignment="0" applyProtection="0"/>
    <xf numFmtId="238" fontId="108" fillId="0" borderId="0" applyNumberFormat="0" applyFill="0" applyBorder="0" applyAlignment="0" applyProtection="0"/>
    <xf numFmtId="238" fontId="108" fillId="0" borderId="0" applyNumberFormat="0" applyFill="0" applyBorder="0" applyAlignment="0" applyProtection="0"/>
    <xf numFmtId="238" fontId="108" fillId="0" borderId="0" applyNumberFormat="0" applyFill="0" applyBorder="0" applyAlignment="0" applyProtection="0"/>
    <xf numFmtId="238" fontId="108" fillId="0" borderId="0" applyNumberFormat="0" applyFill="0" applyBorder="0" applyAlignment="0" applyProtection="0"/>
    <xf numFmtId="238" fontId="108" fillId="0" borderId="0" applyNumberFormat="0" applyFill="0" applyBorder="0" applyAlignment="0" applyProtection="0"/>
    <xf numFmtId="238" fontId="108" fillId="0" borderId="0" applyNumberFormat="0" applyFill="0" applyBorder="0" applyAlignment="0" applyProtection="0"/>
    <xf numFmtId="0" fontId="271" fillId="0" borderId="0" applyNumberFormat="0" applyFill="0" applyBorder="0" applyAlignment="0" applyProtection="0"/>
    <xf numFmtId="0" fontId="271" fillId="0" borderId="0" applyNumberFormat="0" applyFill="0" applyBorder="0" applyAlignment="0" applyProtection="0"/>
    <xf numFmtId="0" fontId="271" fillId="0" borderId="0" applyNumberFormat="0" applyFill="0" applyBorder="0" applyAlignment="0" applyProtection="0"/>
    <xf numFmtId="0" fontId="271" fillId="0" borderId="0" applyNumberFormat="0" applyFill="0" applyBorder="0" applyAlignment="0" applyProtection="0"/>
    <xf numFmtId="0" fontId="271" fillId="0" borderId="0" applyNumberFormat="0" applyFill="0" applyBorder="0" applyAlignment="0" applyProtection="0"/>
    <xf numFmtId="0" fontId="271" fillId="0" borderId="0" applyNumberFormat="0" applyFill="0" applyBorder="0" applyAlignment="0" applyProtection="0"/>
    <xf numFmtId="0" fontId="271" fillId="0" borderId="0" applyNumberFormat="0" applyFill="0" applyBorder="0" applyAlignment="0" applyProtection="0"/>
    <xf numFmtId="0" fontId="271" fillId="0" borderId="0" applyNumberFormat="0" applyFill="0" applyBorder="0" applyAlignment="0" applyProtection="0"/>
    <xf numFmtId="0" fontId="271" fillId="0" borderId="0" applyNumberFormat="0" applyFill="0" applyBorder="0" applyAlignment="0" applyProtection="0"/>
    <xf numFmtId="0" fontId="271" fillId="0" borderId="0" applyNumberFormat="0" applyFill="0" applyBorder="0" applyAlignment="0" applyProtection="0"/>
    <xf numFmtId="0" fontId="271" fillId="0" borderId="0" applyNumberFormat="0" applyFill="0" applyBorder="0" applyAlignment="0" applyProtection="0"/>
    <xf numFmtId="0" fontId="271" fillId="0" borderId="0" applyNumberFormat="0" applyFill="0" applyBorder="0" applyAlignment="0" applyProtection="0"/>
    <xf numFmtId="0" fontId="271" fillId="0" borderId="0" applyNumberFormat="0" applyFill="0" applyBorder="0" applyAlignment="0" applyProtection="0"/>
    <xf numFmtId="0" fontId="271" fillId="0" borderId="0" applyNumberFormat="0" applyFill="0" applyBorder="0" applyAlignment="0" applyProtection="0"/>
    <xf numFmtId="0" fontId="271" fillId="0" borderId="0" applyNumberFormat="0" applyFill="0" applyBorder="0" applyAlignment="0" applyProtection="0"/>
    <xf numFmtId="0" fontId="271" fillId="0" borderId="0" applyNumberFormat="0" applyFill="0" applyBorder="0" applyAlignment="0" applyProtection="0"/>
    <xf numFmtId="0" fontId="271" fillId="0" borderId="0" applyNumberFormat="0" applyFill="0" applyBorder="0" applyAlignment="0" applyProtection="0"/>
    <xf numFmtId="0" fontId="271" fillId="0" borderId="0" applyNumberFormat="0" applyFill="0" applyBorder="0" applyAlignment="0" applyProtection="0"/>
    <xf numFmtId="0" fontId="271" fillId="0" borderId="0" applyNumberFormat="0" applyFill="0" applyBorder="0" applyAlignment="0" applyProtection="0"/>
    <xf numFmtId="0" fontId="271" fillId="0" borderId="0" applyNumberFormat="0" applyFill="0" applyBorder="0" applyAlignment="0" applyProtection="0"/>
    <xf numFmtId="0" fontId="271" fillId="0" borderId="0" applyNumberFormat="0" applyFill="0" applyBorder="0" applyAlignment="0" applyProtection="0"/>
    <xf numFmtId="0" fontId="271" fillId="0" borderId="0" applyNumberFormat="0" applyFill="0" applyBorder="0" applyAlignment="0" applyProtection="0"/>
    <xf numFmtId="0" fontId="271" fillId="0" borderId="0" applyNumberFormat="0" applyFill="0" applyBorder="0" applyAlignment="0" applyProtection="0"/>
    <xf numFmtId="0" fontId="271" fillId="0" borderId="0" applyNumberFormat="0" applyFill="0" applyBorder="0" applyAlignment="0" applyProtection="0"/>
    <xf numFmtId="0" fontId="271" fillId="0" borderId="0" applyNumberFormat="0" applyFill="0" applyBorder="0" applyAlignment="0" applyProtection="0"/>
    <xf numFmtId="0" fontId="271" fillId="0" borderId="0" applyNumberFormat="0" applyFill="0" applyBorder="0" applyAlignment="0" applyProtection="0"/>
    <xf numFmtId="0" fontId="271" fillId="0" borderId="0" applyNumberFormat="0" applyFill="0" applyBorder="0" applyAlignment="0" applyProtection="0"/>
    <xf numFmtId="0" fontId="271" fillId="0" borderId="0" applyNumberFormat="0" applyFill="0" applyBorder="0" applyAlignment="0" applyProtection="0"/>
    <xf numFmtId="0" fontId="271" fillId="0" borderId="0" applyNumberFormat="0" applyFill="0" applyBorder="0" applyAlignment="0" applyProtection="0"/>
    <xf numFmtId="0" fontId="271" fillId="0" borderId="0" applyNumberFormat="0" applyFill="0" applyBorder="0" applyAlignment="0" applyProtection="0"/>
    <xf numFmtId="0" fontId="271" fillId="0" borderId="0" applyNumberFormat="0" applyFill="0" applyBorder="0" applyAlignment="0" applyProtection="0"/>
    <xf numFmtId="0" fontId="271" fillId="0" borderId="0" applyNumberFormat="0" applyFill="0" applyBorder="0" applyAlignment="0" applyProtection="0"/>
    <xf numFmtId="0" fontId="271" fillId="0" borderId="0" applyNumberFormat="0" applyFill="0" applyBorder="0" applyAlignment="0" applyProtection="0"/>
    <xf numFmtId="0" fontId="271" fillId="0" borderId="0" applyNumberFormat="0" applyFill="0" applyBorder="0" applyAlignment="0" applyProtection="0"/>
    <xf numFmtId="0" fontId="271" fillId="0" borderId="0" applyNumberFormat="0" applyFill="0" applyBorder="0" applyAlignment="0" applyProtection="0"/>
    <xf numFmtId="0" fontId="271" fillId="0" borderId="0" applyNumberFormat="0" applyFill="0" applyBorder="0" applyAlignment="0" applyProtection="0"/>
    <xf numFmtId="0" fontId="271" fillId="0" borderId="0" applyNumberFormat="0" applyFill="0" applyBorder="0" applyAlignment="0" applyProtection="0"/>
    <xf numFmtId="0" fontId="271" fillId="0" borderId="0" applyNumberFormat="0" applyFill="0" applyBorder="0" applyAlignment="0" applyProtection="0"/>
    <xf numFmtId="0" fontId="271" fillId="0" borderId="0" applyNumberFormat="0" applyFill="0" applyBorder="0" applyAlignment="0" applyProtection="0"/>
    <xf numFmtId="0" fontId="271" fillId="0" borderId="0" applyNumberFormat="0" applyFill="0" applyBorder="0" applyAlignment="0" applyProtection="0"/>
    <xf numFmtId="0" fontId="271" fillId="0" borderId="0" applyNumberFormat="0" applyFill="0" applyBorder="0" applyAlignment="0" applyProtection="0"/>
    <xf numFmtId="0" fontId="108" fillId="0" borderId="0" applyNumberFormat="0" applyFill="0" applyBorder="0" applyAlignment="0" applyProtection="0"/>
    <xf numFmtId="238" fontId="108" fillId="0" borderId="0" applyNumberFormat="0" applyFill="0" applyBorder="0" applyAlignment="0" applyProtection="0"/>
    <xf numFmtId="238" fontId="108" fillId="0" borderId="0" applyNumberFormat="0" applyFill="0" applyBorder="0" applyAlignment="0" applyProtection="0"/>
    <xf numFmtId="238" fontId="108" fillId="0" borderId="0" applyNumberFormat="0" applyFill="0" applyBorder="0" applyAlignment="0" applyProtection="0"/>
    <xf numFmtId="238" fontId="108" fillId="0" borderId="0" applyNumberFormat="0" applyFill="0" applyBorder="0" applyAlignment="0" applyProtection="0"/>
    <xf numFmtId="238" fontId="108" fillId="0" borderId="0" applyNumberFormat="0" applyFill="0" applyBorder="0" applyAlignment="0" applyProtection="0"/>
    <xf numFmtId="238" fontId="108" fillId="0" borderId="0" applyNumberFormat="0" applyFill="0" applyBorder="0" applyAlignment="0" applyProtection="0"/>
    <xf numFmtId="238" fontId="108" fillId="0" borderId="0" applyNumberFormat="0" applyFill="0" applyBorder="0" applyAlignment="0" applyProtection="0"/>
    <xf numFmtId="238" fontId="108" fillId="0" borderId="0" applyNumberFormat="0" applyFill="0" applyBorder="0" applyAlignment="0" applyProtection="0"/>
    <xf numFmtId="238" fontId="108" fillId="0" borderId="0" applyNumberFormat="0" applyFill="0" applyBorder="0" applyAlignment="0" applyProtection="0"/>
    <xf numFmtId="238" fontId="108" fillId="0" borderId="0" applyNumberFormat="0" applyFill="0" applyBorder="0" applyAlignment="0" applyProtection="0"/>
    <xf numFmtId="238" fontId="108" fillId="0" borderId="0" applyNumberFormat="0" applyFill="0" applyBorder="0" applyAlignment="0" applyProtection="0"/>
    <xf numFmtId="238" fontId="108" fillId="0" borderId="0" applyNumberFormat="0" applyFill="0" applyBorder="0" applyAlignment="0" applyProtection="0"/>
    <xf numFmtId="238" fontId="108" fillId="0" borderId="0" applyNumberFormat="0" applyFill="0" applyBorder="0" applyAlignment="0" applyProtection="0"/>
    <xf numFmtId="238" fontId="108" fillId="0" borderId="0" applyNumberFormat="0" applyFill="0" applyBorder="0" applyAlignment="0" applyProtection="0"/>
    <xf numFmtId="238" fontId="108" fillId="0" borderId="0" applyNumberFormat="0" applyFill="0" applyBorder="0" applyAlignment="0" applyProtection="0"/>
    <xf numFmtId="238" fontId="108" fillId="0" borderId="0" applyNumberFormat="0" applyFill="0" applyBorder="0" applyAlignment="0" applyProtection="0"/>
    <xf numFmtId="238" fontId="108" fillId="0" borderId="0" applyNumberFormat="0" applyFill="0" applyBorder="0" applyAlignment="0" applyProtection="0"/>
    <xf numFmtId="238" fontId="108" fillId="0" borderId="0" applyNumberFormat="0" applyFill="0" applyBorder="0" applyAlignment="0" applyProtection="0"/>
    <xf numFmtId="238" fontId="108" fillId="0" borderId="0" applyNumberFormat="0" applyFill="0" applyBorder="0" applyAlignment="0" applyProtection="0"/>
    <xf numFmtId="238" fontId="108" fillId="0" borderId="0" applyNumberFormat="0" applyFill="0" applyBorder="0" applyAlignment="0" applyProtection="0"/>
    <xf numFmtId="238" fontId="108" fillId="0" borderId="0" applyNumberFormat="0" applyFill="0" applyBorder="0" applyAlignment="0" applyProtection="0"/>
    <xf numFmtId="238" fontId="108" fillId="0" borderId="0" applyNumberFormat="0" applyFill="0" applyBorder="0" applyAlignment="0" applyProtection="0"/>
    <xf numFmtId="238" fontId="108" fillId="0" borderId="0" applyNumberFormat="0" applyFill="0" applyBorder="0" applyAlignment="0" applyProtection="0"/>
    <xf numFmtId="238" fontId="108" fillId="0" borderId="0" applyNumberFormat="0" applyFill="0" applyBorder="0" applyAlignment="0" applyProtection="0"/>
    <xf numFmtId="238" fontId="108" fillId="0" borderId="0" applyNumberFormat="0" applyFill="0" applyBorder="0" applyAlignment="0" applyProtection="0"/>
    <xf numFmtId="238" fontId="108" fillId="0" borderId="0" applyNumberFormat="0" applyFill="0" applyBorder="0" applyAlignment="0" applyProtection="0"/>
    <xf numFmtId="238" fontId="108" fillId="0" borderId="0" applyNumberFormat="0" applyFill="0" applyBorder="0" applyAlignment="0" applyProtection="0"/>
    <xf numFmtId="238" fontId="108" fillId="0" borderId="0" applyNumberFormat="0" applyFill="0" applyBorder="0" applyAlignment="0" applyProtection="0"/>
    <xf numFmtId="238" fontId="108" fillId="0" borderId="0" applyNumberFormat="0" applyFill="0" applyBorder="0" applyAlignment="0" applyProtection="0"/>
    <xf numFmtId="238" fontId="108" fillId="0" borderId="0" applyNumberFormat="0" applyFill="0" applyBorder="0" applyAlignment="0" applyProtection="0"/>
    <xf numFmtId="238" fontId="108" fillId="0" borderId="0" applyNumberFormat="0" applyFill="0" applyBorder="0" applyAlignment="0" applyProtection="0"/>
    <xf numFmtId="238" fontId="108" fillId="0" borderId="0" applyNumberFormat="0" applyFill="0" applyBorder="0" applyAlignment="0" applyProtection="0"/>
    <xf numFmtId="238" fontId="108" fillId="0" borderId="0" applyNumberFormat="0" applyFill="0" applyBorder="0" applyAlignment="0" applyProtection="0"/>
    <xf numFmtId="238" fontId="108" fillId="0" borderId="0" applyNumberFormat="0" applyFill="0" applyBorder="0" applyAlignment="0" applyProtection="0"/>
    <xf numFmtId="238" fontId="108" fillId="0" borderId="0" applyNumberFormat="0" applyFill="0" applyBorder="0" applyAlignment="0" applyProtection="0"/>
    <xf numFmtId="238" fontId="108" fillId="0" borderId="0" applyNumberFormat="0" applyFill="0" applyBorder="0" applyAlignment="0" applyProtection="0"/>
    <xf numFmtId="238" fontId="108" fillId="0" borderId="0" applyNumberFormat="0" applyFill="0" applyBorder="0" applyAlignment="0" applyProtection="0"/>
    <xf numFmtId="238" fontId="108" fillId="0" borderId="0" applyNumberFormat="0" applyFill="0" applyBorder="0" applyAlignment="0" applyProtection="0"/>
    <xf numFmtId="238" fontId="108" fillId="0" borderId="0" applyNumberFormat="0" applyFill="0" applyBorder="0" applyAlignment="0" applyProtection="0"/>
    <xf numFmtId="238" fontId="108" fillId="0" borderId="0" applyNumberFormat="0" applyFill="0" applyBorder="0" applyAlignment="0" applyProtection="0"/>
    <xf numFmtId="238" fontId="108" fillId="0" borderId="0" applyNumberFormat="0" applyFill="0" applyBorder="0" applyAlignment="0" applyProtection="0"/>
    <xf numFmtId="238" fontId="108" fillId="0" borderId="0" applyNumberFormat="0" applyFill="0" applyBorder="0" applyAlignment="0" applyProtection="0"/>
    <xf numFmtId="238" fontId="108" fillId="0" borderId="0" applyNumberFormat="0" applyFill="0" applyBorder="0" applyAlignment="0" applyProtection="0"/>
    <xf numFmtId="1" fontId="272" fillId="0" borderId="21">
      <alignment horizontal="center"/>
    </xf>
    <xf numFmtId="323" fontId="138" fillId="0" borderId="0">
      <protection locked="0"/>
    </xf>
    <xf numFmtId="0" fontId="273" fillId="0" borderId="45"/>
    <xf numFmtId="0" fontId="272" fillId="0" borderId="45"/>
    <xf numFmtId="236" fontId="213" fillId="68" borderId="69" applyNumberFormat="0">
      <alignment horizontal="left" vertical="center"/>
    </xf>
    <xf numFmtId="0" fontId="274" fillId="0" borderId="21">
      <alignment horizontal="center"/>
    </xf>
    <xf numFmtId="0" fontId="274" fillId="0" borderId="21">
      <alignment horizontal="center"/>
    </xf>
    <xf numFmtId="0" fontId="274" fillId="0" borderId="0">
      <alignment horizontal="center"/>
    </xf>
    <xf numFmtId="188" fontId="102" fillId="0" borderId="0"/>
    <xf numFmtId="188" fontId="102" fillId="0" borderId="0"/>
    <xf numFmtId="188" fontId="102" fillId="0" borderId="0"/>
    <xf numFmtId="188" fontId="102" fillId="0" borderId="0"/>
    <xf numFmtId="188" fontId="102" fillId="0" borderId="0"/>
    <xf numFmtId="188" fontId="102" fillId="0" borderId="0"/>
    <xf numFmtId="188" fontId="102" fillId="0" borderId="0"/>
    <xf numFmtId="188" fontId="102" fillId="0" borderId="0"/>
    <xf numFmtId="188" fontId="102" fillId="0" borderId="0"/>
    <xf numFmtId="188" fontId="102" fillId="0" borderId="0"/>
    <xf numFmtId="188" fontId="102" fillId="0" borderId="0"/>
    <xf numFmtId="188" fontId="102" fillId="0" borderId="0"/>
    <xf numFmtId="188" fontId="102" fillId="0" borderId="0"/>
    <xf numFmtId="188" fontId="102" fillId="0" borderId="0"/>
    <xf numFmtId="188" fontId="102" fillId="0" borderId="0"/>
    <xf numFmtId="188" fontId="102" fillId="0" borderId="0"/>
    <xf numFmtId="188" fontId="102" fillId="0" borderId="0"/>
    <xf numFmtId="188" fontId="102" fillId="0" borderId="0"/>
    <xf numFmtId="188" fontId="102" fillId="0" borderId="0"/>
    <xf numFmtId="188" fontId="102" fillId="0" borderId="0"/>
    <xf numFmtId="188" fontId="102" fillId="0" borderId="0"/>
    <xf numFmtId="188" fontId="102" fillId="0" borderId="0"/>
    <xf numFmtId="188" fontId="102" fillId="0" borderId="0"/>
    <xf numFmtId="188" fontId="102" fillId="0" borderId="0"/>
    <xf numFmtId="188" fontId="102" fillId="0" borderId="0"/>
    <xf numFmtId="188" fontId="102" fillId="0" borderId="0"/>
    <xf numFmtId="188" fontId="102" fillId="0" borderId="0"/>
    <xf numFmtId="188" fontId="102" fillId="0" borderId="0"/>
    <xf numFmtId="188" fontId="102" fillId="0" borderId="0"/>
    <xf numFmtId="188" fontId="102" fillId="0" borderId="0"/>
    <xf numFmtId="188" fontId="102" fillId="0" borderId="0"/>
    <xf numFmtId="188" fontId="102" fillId="0" borderId="0"/>
    <xf numFmtId="188" fontId="102" fillId="0" borderId="0"/>
    <xf numFmtId="188" fontId="102" fillId="0" borderId="0"/>
    <xf numFmtId="188" fontId="102" fillId="0" borderId="0"/>
    <xf numFmtId="188" fontId="102" fillId="0" borderId="0"/>
    <xf numFmtId="188" fontId="102" fillId="0" borderId="0"/>
    <xf numFmtId="188" fontId="102" fillId="0" borderId="0"/>
    <xf numFmtId="188" fontId="102" fillId="0" borderId="0"/>
    <xf numFmtId="188" fontId="102" fillId="0" borderId="0"/>
    <xf numFmtId="188" fontId="102" fillId="0" borderId="0"/>
    <xf numFmtId="188" fontId="102" fillId="0" borderId="0"/>
    <xf numFmtId="188" fontId="102" fillId="0" borderId="0"/>
    <xf numFmtId="188" fontId="102" fillId="0" borderId="0"/>
    <xf numFmtId="188" fontId="222" fillId="0" borderId="0" applyFont="0" applyFill="0" applyBorder="0" applyAlignment="0" applyProtection="0"/>
    <xf numFmtId="278" fontId="235" fillId="0" borderId="0" applyNumberFormat="0" applyFill="0" applyBorder="0" applyAlignment="0" applyProtection="0"/>
    <xf numFmtId="238" fontId="275" fillId="0" borderId="0" applyNumberFormat="0" applyFill="0" applyBorder="0" applyAlignment="0" applyProtection="0"/>
    <xf numFmtId="238" fontId="275" fillId="0" borderId="0" applyNumberFormat="0" applyFill="0" applyBorder="0" applyAlignment="0" applyProtection="0"/>
    <xf numFmtId="238" fontId="275" fillId="0" borderId="0" applyNumberFormat="0" applyFill="0" applyBorder="0" applyAlignment="0" applyProtection="0"/>
    <xf numFmtId="238" fontId="275" fillId="0" borderId="0" applyNumberFormat="0" applyFill="0" applyBorder="0" applyAlignment="0" applyProtection="0"/>
    <xf numFmtId="238" fontId="275" fillId="0" borderId="0" applyNumberFormat="0" applyFill="0" applyBorder="0" applyAlignment="0" applyProtection="0"/>
    <xf numFmtId="238" fontId="275" fillId="0" borderId="0" applyNumberFormat="0" applyFill="0" applyBorder="0" applyAlignment="0" applyProtection="0"/>
    <xf numFmtId="289" fontId="275" fillId="0" borderId="0" applyNumberFormat="0" applyFill="0" applyBorder="0" applyAlignment="0" applyProtection="0">
      <alignment vertical="top"/>
      <protection locked="0"/>
    </xf>
    <xf numFmtId="289" fontId="275" fillId="0" borderId="0" applyNumberFormat="0" applyFill="0" applyBorder="0" applyAlignment="0" applyProtection="0">
      <alignment vertical="top"/>
      <protection locked="0"/>
    </xf>
    <xf numFmtId="238" fontId="275" fillId="0" borderId="0" applyNumberFormat="0" applyFill="0" applyBorder="0" applyAlignment="0" applyProtection="0">
      <alignment vertical="top"/>
      <protection locked="0"/>
    </xf>
    <xf numFmtId="238" fontId="167" fillId="0" borderId="0" applyNumberFormat="0" applyFill="0" applyBorder="0" applyAlignment="0" applyProtection="0">
      <alignment vertical="top"/>
      <protection locked="0"/>
    </xf>
    <xf numFmtId="238" fontId="275" fillId="0" borderId="0" applyNumberFormat="0" applyFill="0" applyBorder="0" applyAlignment="0" applyProtection="0"/>
    <xf numFmtId="238" fontId="275" fillId="0" borderId="0" applyNumberFormat="0" applyFill="0" applyBorder="0" applyAlignment="0" applyProtection="0"/>
    <xf numFmtId="238" fontId="275" fillId="0" borderId="0" applyNumberFormat="0" applyFill="0" applyBorder="0" applyAlignment="0" applyProtection="0"/>
    <xf numFmtId="238" fontId="275" fillId="0" borderId="0" applyNumberFormat="0" applyFill="0" applyBorder="0" applyAlignment="0" applyProtection="0"/>
    <xf numFmtId="238" fontId="275" fillId="0" borderId="0" applyNumberFormat="0" applyFill="0" applyBorder="0" applyAlignment="0" applyProtection="0"/>
    <xf numFmtId="238" fontId="275" fillId="0" borderId="0" applyNumberFormat="0" applyFill="0" applyBorder="0" applyAlignment="0" applyProtection="0"/>
    <xf numFmtId="238" fontId="275" fillId="0" borderId="0" applyNumberFormat="0" applyFill="0" applyBorder="0" applyAlignment="0" applyProtection="0"/>
    <xf numFmtId="0" fontId="275" fillId="0" borderId="0" applyNumberFormat="0" applyFill="0" applyBorder="0" applyAlignment="0" applyProtection="0">
      <alignment vertical="top"/>
      <protection locked="0"/>
    </xf>
    <xf numFmtId="238" fontId="275" fillId="0" borderId="0" applyNumberFormat="0" applyFill="0" applyBorder="0" applyAlignment="0" applyProtection="0"/>
    <xf numFmtId="238" fontId="275" fillId="0" borderId="0" applyNumberFormat="0" applyFill="0" applyBorder="0" applyAlignment="0" applyProtection="0"/>
    <xf numFmtId="238" fontId="275" fillId="0" borderId="0" applyNumberFormat="0" applyFill="0" applyBorder="0" applyAlignment="0" applyProtection="0">
      <alignment vertical="top"/>
      <protection locked="0"/>
    </xf>
    <xf numFmtId="238" fontId="275" fillId="0" borderId="0" applyNumberFormat="0" applyFill="0" applyBorder="0" applyAlignment="0" applyProtection="0">
      <alignment vertical="top"/>
      <protection locked="0"/>
    </xf>
    <xf numFmtId="238" fontId="275" fillId="0" borderId="0" applyNumberFormat="0" applyFill="0" applyBorder="0" applyAlignment="0" applyProtection="0">
      <alignment vertical="top"/>
      <protection locked="0"/>
    </xf>
    <xf numFmtId="238" fontId="275" fillId="0" borderId="0" applyNumberFormat="0" applyFill="0" applyBorder="0" applyAlignment="0" applyProtection="0">
      <alignment vertical="top"/>
      <protection locked="0"/>
    </xf>
    <xf numFmtId="238" fontId="276" fillId="0" borderId="0" applyNumberFormat="0" applyFill="0" applyBorder="0" applyAlignment="0" applyProtection="0">
      <alignment vertical="top"/>
      <protection locked="0"/>
    </xf>
    <xf numFmtId="238" fontId="277" fillId="0" borderId="0" applyNumberFormat="0" applyFill="0" applyBorder="0" applyAlignment="0" applyProtection="0">
      <alignment vertical="top"/>
      <protection locked="0"/>
    </xf>
    <xf numFmtId="324" fontId="66" fillId="0" borderId="0" applyProtection="0">
      <alignment horizontal="center"/>
    </xf>
    <xf numFmtId="10" fontId="102" fillId="70" borderId="55" applyNumberFormat="0" applyBorder="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0" fontId="278" fillId="5" borderId="4" applyNumberFormat="0" applyAlignment="0" applyProtection="0"/>
    <xf numFmtId="238" fontId="111" fillId="40" borderId="13" applyNumberFormat="0" applyAlignment="0" applyProtection="0"/>
    <xf numFmtId="0" fontId="278" fillId="5" borderId="4" applyNumberFormat="0" applyAlignment="0" applyProtection="0"/>
    <xf numFmtId="238" fontId="111" fillId="40" borderId="13" applyNumberFormat="0" applyAlignment="0" applyProtection="0"/>
    <xf numFmtId="0" fontId="278" fillId="5" borderId="4" applyNumberFormat="0" applyAlignment="0" applyProtection="0"/>
    <xf numFmtId="238" fontId="111" fillId="40" borderId="13" applyNumberFormat="0" applyAlignment="0" applyProtection="0"/>
    <xf numFmtId="0" fontId="278" fillId="5" borderId="4" applyNumberFormat="0" applyAlignment="0" applyProtection="0"/>
    <xf numFmtId="238" fontId="111" fillId="40" borderId="13" applyNumberFormat="0" applyAlignment="0" applyProtection="0"/>
    <xf numFmtId="0" fontId="278" fillId="5" borderId="4" applyNumberFormat="0" applyAlignment="0" applyProtection="0"/>
    <xf numFmtId="238" fontId="111" fillId="40" borderId="13" applyNumberFormat="0" applyAlignment="0" applyProtection="0"/>
    <xf numFmtId="0" fontId="278" fillId="5" borderId="4" applyNumberFormat="0" applyAlignment="0" applyProtection="0"/>
    <xf numFmtId="238" fontId="111" fillId="40" borderId="13" applyNumberFormat="0" applyAlignment="0" applyProtection="0"/>
    <xf numFmtId="0" fontId="278" fillId="5" borderId="4" applyNumberFormat="0" applyAlignment="0" applyProtection="0"/>
    <xf numFmtId="238" fontId="111" fillId="40" borderId="13" applyNumberFormat="0" applyAlignment="0" applyProtection="0"/>
    <xf numFmtId="0" fontId="278" fillId="5" borderId="4" applyNumberFormat="0" applyAlignment="0" applyProtection="0"/>
    <xf numFmtId="238" fontId="111" fillId="40" borderId="13" applyNumberFormat="0" applyAlignment="0" applyProtection="0"/>
    <xf numFmtId="0" fontId="278" fillId="5" borderId="4" applyNumberFormat="0" applyAlignment="0" applyProtection="0"/>
    <xf numFmtId="238" fontId="111" fillId="40" borderId="13" applyNumberFormat="0" applyAlignment="0" applyProtection="0"/>
    <xf numFmtId="0" fontId="278" fillId="5" borderId="4" applyNumberFormat="0" applyAlignment="0" applyProtection="0"/>
    <xf numFmtId="238" fontId="111" fillId="40" borderId="13" applyNumberFormat="0" applyAlignment="0" applyProtection="0"/>
    <xf numFmtId="0" fontId="173" fillId="0" borderId="0" applyNumberFormat="0" applyFill="0" applyBorder="0" applyAlignment="0" applyProtection="0">
      <protection locked="0"/>
    </xf>
    <xf numFmtId="238" fontId="111" fillId="40" borderId="13" applyNumberFormat="0" applyAlignment="0" applyProtection="0"/>
    <xf numFmtId="0" fontId="278" fillId="5" borderId="4" applyNumberFormat="0" applyAlignment="0" applyProtection="0"/>
    <xf numFmtId="238" fontId="111" fillId="40" borderId="13" applyNumberFormat="0" applyAlignment="0" applyProtection="0"/>
    <xf numFmtId="0" fontId="278" fillId="5" borderId="4" applyNumberFormat="0" applyAlignment="0" applyProtection="0"/>
    <xf numFmtId="238" fontId="111" fillId="40" borderId="13" applyNumberFormat="0" applyAlignment="0" applyProtection="0"/>
    <xf numFmtId="0" fontId="278" fillId="5" borderId="4" applyNumberFormat="0" applyAlignment="0" applyProtection="0"/>
    <xf numFmtId="238" fontId="111" fillId="40" borderId="13" applyNumberFormat="0" applyAlignment="0" applyProtection="0"/>
    <xf numFmtId="0" fontId="278" fillId="5" borderId="4" applyNumberFormat="0" applyAlignment="0" applyProtection="0"/>
    <xf numFmtId="238" fontId="111" fillId="40" borderId="13" applyNumberFormat="0" applyAlignment="0" applyProtection="0"/>
    <xf numFmtId="0" fontId="278" fillId="5" borderId="4" applyNumberFormat="0" applyAlignment="0" applyProtection="0"/>
    <xf numFmtId="238" fontId="111" fillId="40" borderId="13" applyNumberFormat="0" applyAlignment="0" applyProtection="0"/>
    <xf numFmtId="0" fontId="278" fillId="5" borderId="4" applyNumberFormat="0" applyAlignment="0" applyProtection="0"/>
    <xf numFmtId="238" fontId="111" fillId="40" borderId="13" applyNumberFormat="0" applyAlignment="0" applyProtection="0"/>
    <xf numFmtId="0" fontId="278" fillId="5" borderId="4" applyNumberFormat="0" applyAlignment="0" applyProtection="0"/>
    <xf numFmtId="238" fontId="111" fillId="40" borderId="13" applyNumberFormat="0" applyAlignment="0" applyProtection="0"/>
    <xf numFmtId="0" fontId="278" fillId="5" borderId="4" applyNumberFormat="0" applyAlignment="0" applyProtection="0"/>
    <xf numFmtId="238" fontId="111" fillId="40" borderId="13" applyNumberFormat="0" applyAlignment="0" applyProtection="0"/>
    <xf numFmtId="0" fontId="278" fillId="5" borderId="4" applyNumberFormat="0" applyAlignment="0" applyProtection="0"/>
    <xf numFmtId="238" fontId="111" fillId="40" borderId="13" applyNumberFormat="0" applyAlignment="0" applyProtection="0"/>
    <xf numFmtId="0" fontId="278" fillId="5" borderId="4" applyNumberFormat="0" applyAlignment="0" applyProtection="0"/>
    <xf numFmtId="238" fontId="111" fillId="40" borderId="13" applyNumberFormat="0" applyAlignment="0" applyProtection="0"/>
    <xf numFmtId="0" fontId="173" fillId="0" borderId="0" applyNumberFormat="0" applyFill="0" applyBorder="0" applyAlignment="0" applyProtection="0">
      <protection locked="0"/>
    </xf>
    <xf numFmtId="238" fontId="111" fillId="40" borderId="13" applyNumberFormat="0" applyAlignment="0" applyProtection="0"/>
    <xf numFmtId="0" fontId="278" fillId="5" borderId="4" applyNumberFormat="0" applyAlignment="0" applyProtection="0"/>
    <xf numFmtId="238" fontId="111" fillId="40" borderId="13" applyNumberFormat="0" applyAlignment="0" applyProtection="0"/>
    <xf numFmtId="0" fontId="278" fillId="5" borderId="4" applyNumberFormat="0" applyAlignment="0" applyProtection="0"/>
    <xf numFmtId="238" fontId="111" fillId="40" borderId="13" applyNumberFormat="0" applyAlignment="0" applyProtection="0"/>
    <xf numFmtId="0" fontId="278" fillId="5" borderId="4" applyNumberFormat="0" applyAlignment="0" applyProtection="0"/>
    <xf numFmtId="238" fontId="111" fillId="40" borderId="13" applyNumberFormat="0" applyAlignment="0" applyProtection="0"/>
    <xf numFmtId="0" fontId="278" fillId="5" borderId="4" applyNumberFormat="0" applyAlignment="0" applyProtection="0"/>
    <xf numFmtId="238" fontId="111" fillId="40" borderId="13" applyNumberFormat="0" applyAlignment="0" applyProtection="0"/>
    <xf numFmtId="0" fontId="278" fillId="5" borderId="4" applyNumberFormat="0" applyAlignment="0" applyProtection="0"/>
    <xf numFmtId="238" fontId="111" fillId="40" borderId="13" applyNumberFormat="0" applyAlignment="0" applyProtection="0"/>
    <xf numFmtId="0" fontId="278" fillId="5" borderId="4" applyNumberFormat="0" applyAlignment="0" applyProtection="0"/>
    <xf numFmtId="238" fontId="111" fillId="40" borderId="13" applyNumberFormat="0" applyAlignment="0" applyProtection="0"/>
    <xf numFmtId="0" fontId="278" fillId="5" borderId="4" applyNumberFormat="0" applyAlignment="0" applyProtection="0"/>
    <xf numFmtId="238" fontId="111" fillId="40" borderId="13" applyNumberFormat="0" applyAlignment="0" applyProtection="0"/>
    <xf numFmtId="0" fontId="278" fillId="5" borderId="4" applyNumberFormat="0" applyAlignment="0" applyProtection="0"/>
    <xf numFmtId="238" fontId="111" fillId="40" borderId="13" applyNumberFormat="0" applyAlignment="0" applyProtection="0"/>
    <xf numFmtId="0" fontId="278" fillId="5" borderId="4" applyNumberFormat="0" applyAlignment="0" applyProtection="0"/>
    <xf numFmtId="238" fontId="111" fillId="40" borderId="13" applyNumberFormat="0" applyAlignment="0" applyProtection="0"/>
    <xf numFmtId="0" fontId="278" fillId="5" borderId="4" applyNumberFormat="0" applyAlignment="0" applyProtection="0"/>
    <xf numFmtId="238" fontId="111" fillId="40" borderId="13" applyNumberFormat="0" applyAlignment="0" applyProtection="0"/>
    <xf numFmtId="0" fontId="278" fillId="5" borderId="4" applyNumberFormat="0" applyAlignment="0" applyProtection="0"/>
    <xf numFmtId="238" fontId="111" fillId="40" borderId="13" applyNumberFormat="0" applyAlignment="0" applyProtection="0"/>
    <xf numFmtId="0" fontId="278" fillId="5" borderId="4" applyNumberFormat="0" applyAlignment="0" applyProtection="0"/>
    <xf numFmtId="238" fontId="111" fillId="40" borderId="13" applyNumberFormat="0" applyAlignment="0" applyProtection="0"/>
    <xf numFmtId="0" fontId="278" fillId="5" borderId="4" applyNumberFormat="0" applyAlignment="0" applyProtection="0"/>
    <xf numFmtId="238" fontId="111" fillId="40" borderId="13" applyNumberFormat="0" applyAlignment="0" applyProtection="0"/>
    <xf numFmtId="0" fontId="278" fillId="5" borderId="4" applyNumberFormat="0" applyAlignment="0" applyProtection="0"/>
    <xf numFmtId="238" fontId="111" fillId="40" borderId="13" applyNumberFormat="0" applyAlignment="0" applyProtection="0"/>
    <xf numFmtId="0" fontId="278" fillId="5" borderId="4" applyNumberFormat="0" applyAlignment="0" applyProtection="0"/>
    <xf numFmtId="238" fontId="111" fillId="40" borderId="13" applyNumberFormat="0" applyAlignment="0" applyProtection="0"/>
    <xf numFmtId="0" fontId="278" fillId="5" borderId="4"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0" fontId="278" fillId="5" borderId="4"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0" fontId="278" fillId="5" borderId="4"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0" fontId="278" fillId="5" borderId="4" applyNumberFormat="0" applyAlignment="0" applyProtection="0"/>
    <xf numFmtId="238" fontId="111" fillId="40" borderId="13" applyNumberFormat="0" applyAlignment="0" applyProtection="0"/>
    <xf numFmtId="0" fontId="278" fillId="5" borderId="4" applyNumberFormat="0" applyAlignment="0" applyProtection="0"/>
    <xf numFmtId="238" fontId="111" fillId="40" borderId="13" applyNumberFormat="0" applyAlignment="0" applyProtection="0"/>
    <xf numFmtId="0" fontId="278" fillId="5" borderId="4" applyNumberFormat="0" applyAlignment="0" applyProtection="0"/>
    <xf numFmtId="238" fontId="111" fillId="40" borderId="13" applyNumberFormat="0" applyAlignment="0" applyProtection="0"/>
    <xf numFmtId="0"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38" fontId="111" fillId="40" borderId="13" applyNumberFormat="0" applyAlignment="0" applyProtection="0"/>
    <xf numFmtId="229" fontId="66" fillId="76" borderId="55">
      <alignment horizontal="center"/>
      <protection locked="0"/>
    </xf>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29" fontId="66" fillId="76" borderId="55">
      <alignment horizontal="center"/>
      <protection locked="0"/>
    </xf>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111" fillId="40" borderId="13" applyNumberFormat="0" applyAlignment="0" applyProtection="0"/>
    <xf numFmtId="238" fontId="66" fillId="71" borderId="0"/>
    <xf numFmtId="238" fontId="66" fillId="71" borderId="0"/>
    <xf numFmtId="238" fontId="66" fillId="71" borderId="0"/>
    <xf numFmtId="238" fontId="66" fillId="71" borderId="0"/>
    <xf numFmtId="238" fontId="66" fillId="71" borderId="0"/>
    <xf numFmtId="238" fontId="66" fillId="71" borderId="0"/>
    <xf numFmtId="238" fontId="66" fillId="71" borderId="0"/>
    <xf numFmtId="238" fontId="66" fillId="71" borderId="0"/>
    <xf numFmtId="238" fontId="66" fillId="71" borderId="0"/>
    <xf numFmtId="238" fontId="66" fillId="71" borderId="0"/>
    <xf numFmtId="238" fontId="66" fillId="71" borderId="0"/>
    <xf numFmtId="238" fontId="66" fillId="71" borderId="0"/>
    <xf numFmtId="238" fontId="66" fillId="71" borderId="0"/>
    <xf numFmtId="238" fontId="66" fillId="71" borderId="0"/>
    <xf numFmtId="238" fontId="66" fillId="71" borderId="0"/>
    <xf numFmtId="238" fontId="66" fillId="71" borderId="0"/>
    <xf numFmtId="238" fontId="66" fillId="71" borderId="0"/>
    <xf numFmtId="238" fontId="66" fillId="71" borderId="0"/>
    <xf numFmtId="238" fontId="66" fillId="71" borderId="0"/>
    <xf numFmtId="238" fontId="66" fillId="71" borderId="0"/>
    <xf numFmtId="238" fontId="66" fillId="71" borderId="0"/>
    <xf numFmtId="238" fontId="66" fillId="71" borderId="0"/>
    <xf numFmtId="238" fontId="66" fillId="71" borderId="0"/>
    <xf numFmtId="238" fontId="66" fillId="71" borderId="0"/>
    <xf numFmtId="238" fontId="66" fillId="71" borderId="0"/>
    <xf numFmtId="238" fontId="66" fillId="71" borderId="0"/>
    <xf numFmtId="238" fontId="66" fillId="71" borderId="0"/>
    <xf numFmtId="238" fontId="66" fillId="71" borderId="0"/>
    <xf numFmtId="238" fontId="66" fillId="71" borderId="0"/>
    <xf numFmtId="238" fontId="66" fillId="71" borderId="0"/>
    <xf numFmtId="238" fontId="66" fillId="71" borderId="0"/>
    <xf numFmtId="37" fontId="88" fillId="69" borderId="0" applyNumberFormat="0" applyFont="0" applyBorder="0" applyAlignment="0"/>
    <xf numFmtId="0" fontId="279" fillId="0" borderId="0" applyNumberFormat="0" applyFill="0" applyBorder="0" applyAlignment="0">
      <protection locked="0"/>
    </xf>
    <xf numFmtId="0" fontId="253" fillId="0" borderId="0" applyNumberFormat="0" applyFill="0" applyBorder="0" applyAlignment="0"/>
    <xf numFmtId="325" fontId="280" fillId="0" borderId="0" applyFill="0" applyBorder="0" applyProtection="0">
      <protection locked="0"/>
    </xf>
    <xf numFmtId="195" fontId="281" fillId="69" borderId="0" applyNumberFormat="0" applyBorder="0" applyAlignment="0">
      <protection locked="0"/>
    </xf>
    <xf numFmtId="238" fontId="79" fillId="36" borderId="0" applyNumberFormat="0" applyBorder="0" applyAlignment="0" applyProtection="0"/>
    <xf numFmtId="0" fontId="174" fillId="0" borderId="0"/>
    <xf numFmtId="0" fontId="282" fillId="0" borderId="0"/>
    <xf numFmtId="278" fontId="283" fillId="0" borderId="0"/>
    <xf numFmtId="49" fontId="88" fillId="0" borderId="31" applyProtection="0">
      <alignment vertical="top" wrapText="1"/>
    </xf>
    <xf numFmtId="166" fontId="176" fillId="0" borderId="0"/>
    <xf numFmtId="236" fontId="66" fillId="0" borderId="0" applyFont="0" applyFill="0" applyBorder="0" applyAlignment="0" applyProtection="0"/>
    <xf numFmtId="0" fontId="262" fillId="0" borderId="0"/>
    <xf numFmtId="292" fontId="66" fillId="0" borderId="0" applyFont="0">
      <alignment horizontal="left"/>
    </xf>
    <xf numFmtId="292" fontId="66" fillId="0" borderId="0" applyFont="0">
      <alignment horizontal="left"/>
    </xf>
    <xf numFmtId="292" fontId="66" fillId="0" borderId="0" applyFont="0">
      <alignment horizontal="left"/>
    </xf>
    <xf numFmtId="292" fontId="66" fillId="0" borderId="0">
      <alignment horizontal="left"/>
    </xf>
    <xf numFmtId="292" fontId="66" fillId="0" borderId="0" applyFont="0">
      <alignment horizontal="left"/>
    </xf>
    <xf numFmtId="292" fontId="66" fillId="0" borderId="0">
      <alignment horizontal="left"/>
    </xf>
    <xf numFmtId="292" fontId="66" fillId="0" borderId="0" applyFont="0">
      <alignment horizontal="left"/>
    </xf>
    <xf numFmtId="292" fontId="66" fillId="0" borderId="0" applyFont="0">
      <alignment horizontal="left"/>
    </xf>
    <xf numFmtId="292" fontId="66" fillId="0" borderId="0">
      <alignment horizontal="left"/>
    </xf>
    <xf numFmtId="0" fontId="284" fillId="0" borderId="0" applyNumberFormat="0" applyFill="0" applyBorder="0" applyProtection="0">
      <alignment horizontal="left" vertical="center"/>
    </xf>
    <xf numFmtId="38" fontId="193" fillId="0" borderId="0"/>
    <xf numFmtId="38" fontId="285" fillId="0" borderId="0"/>
    <xf numFmtId="38" fontId="286" fillId="0" borderId="0"/>
    <xf numFmtId="38" fontId="287" fillId="0" borderId="0"/>
    <xf numFmtId="0" fontId="260" fillId="0" borderId="0"/>
    <xf numFmtId="0" fontId="260" fillId="0" borderId="0"/>
    <xf numFmtId="292" fontId="66" fillId="0" borderId="0" applyFont="0" applyFill="0">
      <alignment horizontal="left"/>
    </xf>
    <xf numFmtId="292" fontId="66" fillId="0" borderId="0" applyFont="0" applyFill="0">
      <alignment horizontal="left"/>
    </xf>
    <xf numFmtId="292" fontId="66" fillId="0" borderId="0" applyFont="0" applyFill="0">
      <alignment horizontal="left"/>
    </xf>
    <xf numFmtId="292" fontId="66" fillId="0" borderId="0" applyFill="0">
      <alignment horizontal="left"/>
    </xf>
    <xf numFmtId="292" fontId="66" fillId="0" borderId="0" applyFont="0" applyFill="0">
      <alignment horizontal="left"/>
    </xf>
    <xf numFmtId="292" fontId="66" fillId="0" borderId="0" applyFill="0">
      <alignment horizontal="left"/>
    </xf>
    <xf numFmtId="292" fontId="66" fillId="0" borderId="0" applyFont="0" applyFill="0">
      <alignment horizontal="left"/>
    </xf>
    <xf numFmtId="292" fontId="66" fillId="0" borderId="0" applyFont="0" applyFill="0">
      <alignment horizontal="left"/>
    </xf>
    <xf numFmtId="292" fontId="66" fillId="0" borderId="0" applyFill="0">
      <alignment horizontal="left"/>
    </xf>
    <xf numFmtId="238" fontId="288" fillId="88" borderId="28"/>
    <xf numFmtId="326" fontId="66" fillId="0" borderId="0" applyFont="0">
      <protection locked="0"/>
    </xf>
    <xf numFmtId="238" fontId="289" fillId="0" borderId="70"/>
    <xf numFmtId="238" fontId="290" fillId="89" borderId="0"/>
    <xf numFmtId="238" fontId="187" fillId="0" borderId="0"/>
    <xf numFmtId="238" fontId="91" fillId="0" borderId="0"/>
    <xf numFmtId="238" fontId="112" fillId="0" borderId="20" applyNumberFormat="0" applyFill="0" applyAlignment="0" applyProtection="0"/>
    <xf numFmtId="238" fontId="112" fillId="0" borderId="20" applyNumberFormat="0" applyFill="0" applyAlignment="0" applyProtection="0"/>
    <xf numFmtId="238" fontId="112" fillId="0" borderId="20" applyNumberFormat="0" applyFill="0" applyAlignment="0" applyProtection="0"/>
    <xf numFmtId="238" fontId="112" fillId="0" borderId="20" applyNumberFormat="0" applyFill="0" applyAlignment="0" applyProtection="0"/>
    <xf numFmtId="238" fontId="112" fillId="0" borderId="20" applyNumberFormat="0" applyFill="0" applyAlignment="0" applyProtection="0"/>
    <xf numFmtId="238" fontId="112" fillId="0" borderId="20" applyNumberFormat="0" applyFill="0" applyAlignment="0" applyProtection="0"/>
    <xf numFmtId="238" fontId="112" fillId="0" borderId="20" applyNumberFormat="0" applyFill="0" applyAlignment="0" applyProtection="0"/>
    <xf numFmtId="238" fontId="112" fillId="0" borderId="20" applyNumberFormat="0" applyFill="0" applyAlignment="0" applyProtection="0"/>
    <xf numFmtId="238" fontId="112" fillId="0" borderId="20" applyNumberFormat="0" applyFill="0" applyAlignment="0" applyProtection="0"/>
    <xf numFmtId="238" fontId="112" fillId="0" borderId="20" applyNumberFormat="0" applyFill="0" applyAlignment="0" applyProtection="0"/>
    <xf numFmtId="0" fontId="291" fillId="0" borderId="6" applyNumberFormat="0" applyFill="0" applyAlignment="0" applyProtection="0"/>
    <xf numFmtId="0" fontId="291" fillId="0" borderId="6" applyNumberFormat="0" applyFill="0" applyAlignment="0" applyProtection="0"/>
    <xf numFmtId="0" fontId="291" fillId="0" borderId="6" applyNumberFormat="0" applyFill="0" applyAlignment="0" applyProtection="0"/>
    <xf numFmtId="0" fontId="291" fillId="0" borderId="6" applyNumberFormat="0" applyFill="0" applyAlignment="0" applyProtection="0"/>
    <xf numFmtId="0" fontId="291" fillId="0" borderId="6" applyNumberFormat="0" applyFill="0" applyAlignment="0" applyProtection="0"/>
    <xf numFmtId="0" fontId="291" fillId="0" borderId="6" applyNumberFormat="0" applyFill="0" applyAlignment="0" applyProtection="0"/>
    <xf numFmtId="0" fontId="291" fillId="0" borderId="6" applyNumberFormat="0" applyFill="0" applyAlignment="0" applyProtection="0"/>
    <xf numFmtId="0" fontId="291" fillId="0" borderId="6" applyNumberFormat="0" applyFill="0" applyAlignment="0" applyProtection="0"/>
    <xf numFmtId="0" fontId="291" fillId="0" borderId="6" applyNumberFormat="0" applyFill="0" applyAlignment="0" applyProtection="0"/>
    <xf numFmtId="0" fontId="291" fillId="0" borderId="6" applyNumberFormat="0" applyFill="0" applyAlignment="0" applyProtection="0"/>
    <xf numFmtId="0" fontId="291" fillId="0" borderId="6" applyNumberFormat="0" applyFill="0" applyAlignment="0" applyProtection="0"/>
    <xf numFmtId="0" fontId="291" fillId="0" borderId="6" applyNumberFormat="0" applyFill="0" applyAlignment="0" applyProtection="0"/>
    <xf numFmtId="0" fontId="291" fillId="0" borderId="6" applyNumberFormat="0" applyFill="0" applyAlignment="0" applyProtection="0"/>
    <xf numFmtId="0" fontId="291" fillId="0" borderId="6" applyNumberFormat="0" applyFill="0" applyAlignment="0" applyProtection="0"/>
    <xf numFmtId="0" fontId="291" fillId="0" borderId="6" applyNumberFormat="0" applyFill="0" applyAlignment="0" applyProtection="0"/>
    <xf numFmtId="0" fontId="291" fillId="0" borderId="6" applyNumberFormat="0" applyFill="0" applyAlignment="0" applyProtection="0"/>
    <xf numFmtId="0" fontId="291" fillId="0" borderId="6" applyNumberFormat="0" applyFill="0" applyAlignment="0" applyProtection="0"/>
    <xf numFmtId="0" fontId="291" fillId="0" borderId="6" applyNumberFormat="0" applyFill="0" applyAlignment="0" applyProtection="0"/>
    <xf numFmtId="0" fontId="291" fillId="0" borderId="6" applyNumberFormat="0" applyFill="0" applyAlignment="0" applyProtection="0"/>
    <xf numFmtId="0" fontId="291" fillId="0" borderId="6" applyNumberFormat="0" applyFill="0" applyAlignment="0" applyProtection="0"/>
    <xf numFmtId="0" fontId="291" fillId="0" borderId="6" applyNumberFormat="0" applyFill="0" applyAlignment="0" applyProtection="0"/>
    <xf numFmtId="0" fontId="291" fillId="0" borderId="6" applyNumberFormat="0" applyFill="0" applyAlignment="0" applyProtection="0"/>
    <xf numFmtId="0" fontId="291" fillId="0" borderId="6" applyNumberFormat="0" applyFill="0" applyAlignment="0" applyProtection="0"/>
    <xf numFmtId="0" fontId="291" fillId="0" borderId="6" applyNumberFormat="0" applyFill="0" applyAlignment="0" applyProtection="0"/>
    <xf numFmtId="0" fontId="291" fillId="0" borderId="6" applyNumberFormat="0" applyFill="0" applyAlignment="0" applyProtection="0"/>
    <xf numFmtId="0" fontId="291" fillId="0" borderId="6" applyNumberFormat="0" applyFill="0" applyAlignment="0" applyProtection="0"/>
    <xf numFmtId="0" fontId="291" fillId="0" borderId="6" applyNumberFormat="0" applyFill="0" applyAlignment="0" applyProtection="0"/>
    <xf numFmtId="0" fontId="291" fillId="0" borderId="6" applyNumberFormat="0" applyFill="0" applyAlignment="0" applyProtection="0"/>
    <xf numFmtId="0" fontId="291" fillId="0" borderId="6" applyNumberFormat="0" applyFill="0" applyAlignment="0" applyProtection="0"/>
    <xf numFmtId="0" fontId="291" fillId="0" borderId="6" applyNumberFormat="0" applyFill="0" applyAlignment="0" applyProtection="0"/>
    <xf numFmtId="0" fontId="291" fillId="0" borderId="6" applyNumberFormat="0" applyFill="0" applyAlignment="0" applyProtection="0"/>
    <xf numFmtId="0" fontId="291" fillId="0" borderId="6" applyNumberFormat="0" applyFill="0" applyAlignment="0" applyProtection="0"/>
    <xf numFmtId="0" fontId="291" fillId="0" borderId="6" applyNumberFormat="0" applyFill="0" applyAlignment="0" applyProtection="0"/>
    <xf numFmtId="0" fontId="291" fillId="0" borderId="6" applyNumberFormat="0" applyFill="0" applyAlignment="0" applyProtection="0"/>
    <xf numFmtId="0" fontId="291" fillId="0" borderId="6" applyNumberFormat="0" applyFill="0" applyAlignment="0" applyProtection="0"/>
    <xf numFmtId="0" fontId="291" fillId="0" borderId="6" applyNumberFormat="0" applyFill="0" applyAlignment="0" applyProtection="0"/>
    <xf numFmtId="0" fontId="291" fillId="0" borderId="6" applyNumberFormat="0" applyFill="0" applyAlignment="0" applyProtection="0"/>
    <xf numFmtId="0" fontId="291" fillId="0" borderId="6" applyNumberFormat="0" applyFill="0" applyAlignment="0" applyProtection="0"/>
    <xf numFmtId="0" fontId="291" fillId="0" borderId="6" applyNumberFormat="0" applyFill="0" applyAlignment="0" applyProtection="0"/>
    <xf numFmtId="0" fontId="291" fillId="0" borderId="6" applyNumberFormat="0" applyFill="0" applyAlignment="0" applyProtection="0"/>
    <xf numFmtId="0" fontId="291" fillId="0" borderId="6" applyNumberFormat="0" applyFill="0" applyAlignment="0" applyProtection="0"/>
    <xf numFmtId="0" fontId="112" fillId="0" borderId="20" applyNumberFormat="0" applyFill="0" applyAlignment="0" applyProtection="0"/>
    <xf numFmtId="238" fontId="112" fillId="0" borderId="20" applyNumberFormat="0" applyFill="0" applyAlignment="0" applyProtection="0"/>
    <xf numFmtId="238" fontId="112" fillId="0" borderId="20" applyNumberFormat="0" applyFill="0" applyAlignment="0" applyProtection="0"/>
    <xf numFmtId="238" fontId="112" fillId="0" borderId="20" applyNumberFormat="0" applyFill="0" applyAlignment="0" applyProtection="0"/>
    <xf numFmtId="238" fontId="112" fillId="0" borderId="20" applyNumberFormat="0" applyFill="0" applyAlignment="0" applyProtection="0"/>
    <xf numFmtId="238" fontId="112" fillId="0" borderId="20" applyNumberFormat="0" applyFill="0" applyAlignment="0" applyProtection="0"/>
    <xf numFmtId="238" fontId="112" fillId="0" borderId="20" applyNumberFormat="0" applyFill="0" applyAlignment="0" applyProtection="0"/>
    <xf numFmtId="238" fontId="112" fillId="0" borderId="20" applyNumberFormat="0" applyFill="0" applyAlignment="0" applyProtection="0"/>
    <xf numFmtId="238" fontId="112" fillId="0" borderId="20" applyNumberFormat="0" applyFill="0" applyAlignment="0" applyProtection="0"/>
    <xf numFmtId="238" fontId="112" fillId="0" borderId="20" applyNumberFormat="0" applyFill="0" applyAlignment="0" applyProtection="0"/>
    <xf numFmtId="238" fontId="112" fillId="0" borderId="20" applyNumberFormat="0" applyFill="0" applyAlignment="0" applyProtection="0"/>
    <xf numFmtId="238" fontId="112" fillId="0" borderId="20" applyNumberFormat="0" applyFill="0" applyAlignment="0" applyProtection="0"/>
    <xf numFmtId="238" fontId="112" fillId="0" borderId="20" applyNumberFormat="0" applyFill="0" applyAlignment="0" applyProtection="0"/>
    <xf numFmtId="238" fontId="112" fillId="0" borderId="20" applyNumberFormat="0" applyFill="0" applyAlignment="0" applyProtection="0"/>
    <xf numFmtId="238" fontId="112" fillId="0" borderId="20" applyNumberFormat="0" applyFill="0" applyAlignment="0" applyProtection="0"/>
    <xf numFmtId="238" fontId="112" fillId="0" borderId="20" applyNumberFormat="0" applyFill="0" applyAlignment="0" applyProtection="0"/>
    <xf numFmtId="238" fontId="112" fillId="0" borderId="20" applyNumberFormat="0" applyFill="0" applyAlignment="0" applyProtection="0"/>
    <xf numFmtId="238" fontId="112" fillId="0" borderId="20" applyNumberFormat="0" applyFill="0" applyAlignment="0" applyProtection="0"/>
    <xf numFmtId="238" fontId="112" fillId="0" borderId="20" applyNumberFormat="0" applyFill="0" applyAlignment="0" applyProtection="0"/>
    <xf numFmtId="238" fontId="112" fillId="0" borderId="20" applyNumberFormat="0" applyFill="0" applyAlignment="0" applyProtection="0"/>
    <xf numFmtId="238" fontId="112" fillId="0" borderId="20" applyNumberFormat="0" applyFill="0" applyAlignment="0" applyProtection="0"/>
    <xf numFmtId="238" fontId="112" fillId="0" borderId="20" applyNumberFormat="0" applyFill="0" applyAlignment="0" applyProtection="0"/>
    <xf numFmtId="238" fontId="112" fillId="0" borderId="20" applyNumberFormat="0" applyFill="0" applyAlignment="0" applyProtection="0"/>
    <xf numFmtId="238" fontId="112" fillId="0" borderId="20" applyNumberFormat="0" applyFill="0" applyAlignment="0" applyProtection="0"/>
    <xf numFmtId="238" fontId="112" fillId="0" borderId="20" applyNumberFormat="0" applyFill="0" applyAlignment="0" applyProtection="0"/>
    <xf numFmtId="238" fontId="112" fillId="0" borderId="20" applyNumberFormat="0" applyFill="0" applyAlignment="0" applyProtection="0"/>
    <xf numFmtId="238" fontId="112" fillId="0" borderId="20" applyNumberFormat="0" applyFill="0" applyAlignment="0" applyProtection="0"/>
    <xf numFmtId="238" fontId="112" fillId="0" borderId="20" applyNumberFormat="0" applyFill="0" applyAlignment="0" applyProtection="0"/>
    <xf numFmtId="238" fontId="112" fillId="0" borderId="20" applyNumberFormat="0" applyFill="0" applyAlignment="0" applyProtection="0"/>
    <xf numFmtId="238" fontId="112" fillId="0" borderId="20" applyNumberFormat="0" applyFill="0" applyAlignment="0" applyProtection="0"/>
    <xf numFmtId="238" fontId="112" fillId="0" borderId="20" applyNumberFormat="0" applyFill="0" applyAlignment="0" applyProtection="0"/>
    <xf numFmtId="238" fontId="112" fillId="0" borderId="20" applyNumberFormat="0" applyFill="0" applyAlignment="0" applyProtection="0"/>
    <xf numFmtId="238" fontId="112" fillId="0" borderId="20" applyNumberFormat="0" applyFill="0" applyAlignment="0" applyProtection="0"/>
    <xf numFmtId="238" fontId="112" fillId="0" borderId="20" applyNumberFormat="0" applyFill="0" applyAlignment="0" applyProtection="0"/>
    <xf numFmtId="238" fontId="112" fillId="0" borderId="20" applyNumberFormat="0" applyFill="0" applyAlignment="0" applyProtection="0"/>
    <xf numFmtId="238" fontId="112" fillId="0" borderId="20" applyNumberFormat="0" applyFill="0" applyAlignment="0" applyProtection="0"/>
    <xf numFmtId="238" fontId="112" fillId="0" borderId="20" applyNumberFormat="0" applyFill="0" applyAlignment="0" applyProtection="0"/>
    <xf numFmtId="238" fontId="112" fillId="0" borderId="20" applyNumberFormat="0" applyFill="0" applyAlignment="0" applyProtection="0"/>
    <xf numFmtId="238" fontId="112" fillId="0" borderId="20" applyNumberFormat="0" applyFill="0" applyAlignment="0" applyProtection="0"/>
    <xf numFmtId="238" fontId="112" fillId="0" borderId="20" applyNumberFormat="0" applyFill="0" applyAlignment="0" applyProtection="0"/>
    <xf numFmtId="238" fontId="112" fillId="0" borderId="20" applyNumberFormat="0" applyFill="0" applyAlignment="0" applyProtection="0"/>
    <xf numFmtId="238" fontId="112" fillId="0" borderId="20" applyNumberFormat="0" applyFill="0" applyAlignment="0" applyProtection="0"/>
    <xf numFmtId="238" fontId="112" fillId="0" borderId="20" applyNumberFormat="0" applyFill="0" applyAlignment="0" applyProtection="0"/>
    <xf numFmtId="238" fontId="112" fillId="0" borderId="20" applyNumberFormat="0" applyFill="0" applyAlignment="0" applyProtection="0"/>
    <xf numFmtId="238" fontId="66" fillId="72" borderId="0"/>
    <xf numFmtId="238" fontId="66" fillId="72" borderId="0"/>
    <xf numFmtId="238" fontId="66" fillId="72" borderId="0"/>
    <xf numFmtId="238" fontId="66" fillId="72" borderId="0"/>
    <xf numFmtId="238" fontId="66" fillId="72" borderId="0"/>
    <xf numFmtId="238" fontId="66" fillId="72" borderId="0"/>
    <xf numFmtId="238" fontId="66" fillId="72" borderId="0"/>
    <xf numFmtId="238" fontId="66" fillId="72" borderId="0"/>
    <xf numFmtId="238" fontId="66" fillId="72" borderId="0"/>
    <xf numFmtId="238" fontId="66" fillId="72" borderId="0"/>
    <xf numFmtId="238" fontId="66" fillId="72" borderId="0"/>
    <xf numFmtId="238" fontId="66" fillId="72" borderId="0"/>
    <xf numFmtId="238" fontId="66" fillId="72" borderId="0"/>
    <xf numFmtId="238" fontId="66" fillId="72" borderId="0"/>
    <xf numFmtId="238" fontId="66" fillId="72" borderId="0"/>
    <xf numFmtId="238" fontId="66" fillId="72" borderId="0"/>
    <xf numFmtId="238" fontId="66" fillId="72" borderId="0"/>
    <xf numFmtId="238" fontId="66" fillId="72" borderId="0"/>
    <xf numFmtId="238" fontId="66" fillId="72" borderId="0"/>
    <xf numFmtId="238" fontId="66" fillId="72" borderId="0"/>
    <xf numFmtId="238" fontId="66" fillId="72" borderId="0"/>
    <xf numFmtId="238" fontId="66" fillId="72" borderId="0"/>
    <xf numFmtId="238" fontId="66" fillId="72" borderId="0"/>
    <xf numFmtId="238" fontId="66" fillId="72" borderId="0"/>
    <xf numFmtId="238" fontId="66" fillId="72" borderId="0"/>
    <xf numFmtId="238" fontId="66" fillId="72" borderId="0"/>
    <xf numFmtId="238" fontId="66" fillId="72" borderId="0"/>
    <xf numFmtId="238" fontId="66" fillId="72" borderId="0"/>
    <xf numFmtId="238" fontId="66" fillId="72" borderId="0"/>
    <xf numFmtId="238" fontId="66" fillId="72" borderId="0"/>
    <xf numFmtId="238" fontId="66" fillId="72" borderId="0"/>
    <xf numFmtId="292" fontId="66" fillId="0" borderId="0" applyFont="0" applyFill="0">
      <alignment horizontal="left"/>
    </xf>
    <xf numFmtId="292" fontId="66" fillId="0" borderId="0" applyFont="0" applyFill="0">
      <alignment horizontal="left"/>
    </xf>
    <xf numFmtId="292" fontId="66" fillId="0" borderId="0" applyFont="0" applyFill="0">
      <alignment horizontal="left"/>
    </xf>
    <xf numFmtId="292" fontId="66" fillId="0" borderId="0" applyFill="0">
      <alignment horizontal="left"/>
    </xf>
    <xf numFmtId="292" fontId="66" fillId="0" borderId="0" applyFont="0" applyFill="0">
      <alignment horizontal="left"/>
    </xf>
    <xf numFmtId="292" fontId="66" fillId="0" borderId="0" applyFill="0">
      <alignment horizontal="left"/>
    </xf>
    <xf numFmtId="292" fontId="66" fillId="0" borderId="0" applyFont="0" applyFill="0">
      <alignment horizontal="left"/>
    </xf>
    <xf numFmtId="292" fontId="66" fillId="0" borderId="0" applyFont="0" applyFill="0">
      <alignment horizontal="left"/>
    </xf>
    <xf numFmtId="292" fontId="66" fillId="0" borderId="0" applyFill="0">
      <alignment horizontal="left"/>
    </xf>
    <xf numFmtId="292" fontId="66" fillId="0" borderId="0" applyFont="0" applyFill="0">
      <alignment horizontal="left"/>
    </xf>
    <xf numFmtId="327" fontId="292" fillId="0" borderId="0"/>
    <xf numFmtId="238" fontId="293" fillId="0" borderId="31" applyProtection="0">
      <alignment horizontal="left" vertical="top" wrapText="1"/>
    </xf>
    <xf numFmtId="310" fontId="125" fillId="0" borderId="0">
      <alignment horizontal="left" vertical="top"/>
      <protection locked="0"/>
    </xf>
    <xf numFmtId="310" fontId="125" fillId="0" borderId="0">
      <alignment horizontal="left" vertical="top"/>
      <protection locked="0"/>
    </xf>
    <xf numFmtId="310" fontId="66" fillId="0" borderId="0" applyFont="0"/>
    <xf numFmtId="0" fontId="256" fillId="0" borderId="0"/>
    <xf numFmtId="0" fontId="294" fillId="0" borderId="0"/>
    <xf numFmtId="0" fontId="295" fillId="0" borderId="0"/>
    <xf numFmtId="4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182" fillId="0" borderId="0" applyFont="0" applyFill="0" applyBorder="0" applyAlignment="0" applyProtection="0"/>
    <xf numFmtId="43" fontId="66" fillId="0" borderId="0" applyFont="0" applyFill="0" applyBorder="0" applyAlignment="0" applyProtection="0"/>
    <xf numFmtId="328" fontId="66" fillId="0" borderId="0" applyFont="0" applyFill="0" applyBorder="0" applyAlignment="0" applyProtection="0"/>
    <xf numFmtId="43" fontId="182" fillId="0" borderId="0" applyFont="0" applyFill="0" applyBorder="0" applyAlignment="0" applyProtection="0"/>
    <xf numFmtId="43" fontId="182" fillId="0" borderId="0" applyFont="0" applyFill="0" applyBorder="0" applyAlignment="0" applyProtection="0"/>
    <xf numFmtId="290" fontId="66" fillId="0" borderId="0" applyFont="0" applyFill="0" applyBorder="0" applyAlignment="0" applyProtection="0"/>
    <xf numFmtId="290" fontId="182" fillId="0" borderId="0" applyFont="0" applyFill="0" applyBorder="0" applyAlignment="0" applyProtection="0"/>
    <xf numFmtId="290" fontId="182" fillId="0" borderId="0" applyFont="0" applyFill="0" applyBorder="0" applyAlignment="0" applyProtection="0"/>
    <xf numFmtId="290" fontId="182" fillId="0" borderId="0" applyFont="0" applyFill="0" applyBorder="0" applyAlignment="0" applyProtection="0"/>
    <xf numFmtId="171" fontId="66" fillId="0" borderId="0" applyFont="0" applyFill="0" applyBorder="0" applyAlignment="0" applyProtection="0"/>
    <xf numFmtId="171" fontId="71" fillId="0" borderId="0" applyFont="0" applyFill="0" applyBorder="0" applyAlignment="0" applyProtection="0"/>
    <xf numFmtId="43" fontId="66" fillId="0" borderId="0" applyFont="0" applyFill="0" applyBorder="0" applyAlignment="0" applyProtection="0"/>
    <xf numFmtId="171" fontId="150" fillId="0" borderId="0" applyFont="0" applyFill="0" applyBorder="0" applyAlignment="0" applyProtection="0"/>
    <xf numFmtId="290" fontId="182" fillId="0" borderId="0" applyFont="0" applyFill="0" applyBorder="0" applyAlignment="0" applyProtection="0"/>
    <xf numFmtId="186" fontId="66" fillId="0" borderId="0" applyFont="0" applyFill="0" applyBorder="0" applyAlignment="0" applyProtection="0"/>
    <xf numFmtId="187"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329"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238" fontId="66" fillId="0" borderId="0" applyFont="0" applyFill="0" applyBorder="0" applyAlignment="0" applyProtection="0"/>
    <xf numFmtId="0" fontId="296" fillId="0" borderId="0" applyFont="0" applyFill="0" applyBorder="0" applyAlignment="0" applyProtection="0">
      <alignment horizontal="right"/>
    </xf>
    <xf numFmtId="330" fontId="296" fillId="0" borderId="0" applyFill="0" applyProtection="0">
      <alignment horizontal="right"/>
    </xf>
    <xf numFmtId="3" fontId="238" fillId="0" borderId="0" applyFont="0" applyFill="0" applyBorder="0" applyAlignment="0" applyProtection="0">
      <alignment horizontal="center"/>
    </xf>
    <xf numFmtId="331" fontId="296" fillId="0" borderId="0" applyFont="0" applyFill="0" applyBorder="0" applyAlignment="0" applyProtection="0">
      <alignment horizontal="right"/>
    </xf>
    <xf numFmtId="292" fontId="66" fillId="0" borderId="0" applyFont="0" applyFill="0">
      <alignment horizontal="left"/>
    </xf>
    <xf numFmtId="332" fontId="66" fillId="0" borderId="0" applyFont="0" applyFill="0" applyBorder="0" applyAlignment="0" applyProtection="0"/>
    <xf numFmtId="333" fontId="66" fillId="0" borderId="0" applyFont="0" applyFill="0" applyBorder="0" applyAlignment="0" applyProtection="0"/>
    <xf numFmtId="0" fontId="99" fillId="0" borderId="0">
      <protection locked="0"/>
    </xf>
    <xf numFmtId="334" fontId="102" fillId="90" borderId="0">
      <alignment horizontal="center"/>
    </xf>
    <xf numFmtId="335" fontId="150" fillId="0" borderId="0" applyFill="0" applyBorder="0" applyProtection="0">
      <alignment horizontal="center"/>
    </xf>
    <xf numFmtId="173" fontId="94" fillId="0" borderId="0"/>
    <xf numFmtId="336" fontId="66" fillId="0" borderId="0" applyFont="0" applyFill="0" applyBorder="0" applyAlignment="0" applyProtection="0"/>
    <xf numFmtId="335" fontId="66" fillId="0" borderId="0" applyFont="0" applyFill="0" applyBorder="0" applyAlignment="0" applyProtection="0"/>
    <xf numFmtId="292" fontId="66" fillId="0" borderId="0" applyFont="0">
      <alignment horizontal="left"/>
    </xf>
    <xf numFmtId="292" fontId="66" fillId="0" borderId="0" applyFont="0">
      <alignment horizontal="left"/>
    </xf>
    <xf numFmtId="292" fontId="66" fillId="0" borderId="0" applyFont="0">
      <alignment horizontal="left"/>
    </xf>
    <xf numFmtId="292" fontId="66" fillId="0" borderId="0">
      <alignment horizontal="left"/>
    </xf>
    <xf numFmtId="292" fontId="66" fillId="0" borderId="0" applyFont="0">
      <alignment horizontal="left"/>
    </xf>
    <xf numFmtId="292" fontId="66" fillId="0" borderId="0">
      <alignment horizontal="left"/>
    </xf>
    <xf numFmtId="292" fontId="66" fillId="0" borderId="0" applyFont="0">
      <alignment horizontal="left"/>
    </xf>
    <xf numFmtId="292" fontId="66" fillId="0" borderId="0" applyFont="0">
      <alignment horizontal="left"/>
    </xf>
    <xf numFmtId="292" fontId="66" fillId="0" borderId="0">
      <alignment horizontal="left"/>
    </xf>
    <xf numFmtId="325" fontId="66" fillId="0" borderId="0" applyFont="0" applyFill="0" applyBorder="0" applyAlignment="0" applyProtection="0"/>
    <xf numFmtId="238" fontId="115" fillId="73" borderId="0" applyNumberFormat="0" applyBorder="0" applyAlignment="0" applyProtection="0"/>
    <xf numFmtId="238" fontId="115" fillId="73" borderId="0" applyNumberFormat="0" applyBorder="0" applyAlignment="0" applyProtection="0"/>
    <xf numFmtId="238" fontId="115" fillId="73" borderId="0" applyNumberFormat="0" applyBorder="0" applyAlignment="0" applyProtection="0"/>
    <xf numFmtId="238" fontId="115" fillId="73" borderId="0" applyNumberFormat="0" applyBorder="0" applyAlignment="0" applyProtection="0"/>
    <xf numFmtId="238" fontId="115" fillId="73" borderId="0" applyNumberFormat="0" applyBorder="0" applyAlignment="0" applyProtection="0"/>
    <xf numFmtId="238" fontId="115" fillId="73" borderId="0" applyNumberFormat="0" applyBorder="0" applyAlignment="0" applyProtection="0"/>
    <xf numFmtId="238" fontId="115" fillId="73" borderId="0" applyNumberFormat="0" applyBorder="0" applyAlignment="0" applyProtection="0"/>
    <xf numFmtId="238" fontId="115" fillId="73" borderId="0" applyNumberFormat="0" applyBorder="0" applyAlignment="0" applyProtection="0"/>
    <xf numFmtId="238" fontId="115" fillId="73" borderId="0" applyNumberFormat="0" applyBorder="0" applyAlignment="0" applyProtection="0"/>
    <xf numFmtId="238" fontId="115" fillId="73" borderId="0" applyNumberFormat="0" applyBorder="0" applyAlignment="0" applyProtection="0"/>
    <xf numFmtId="0" fontId="297" fillId="4" borderId="0" applyNumberFormat="0" applyBorder="0" applyAlignment="0" applyProtection="0"/>
    <xf numFmtId="0" fontId="297" fillId="4" borderId="0" applyNumberFormat="0" applyBorder="0" applyAlignment="0" applyProtection="0"/>
    <xf numFmtId="0" fontId="297" fillId="4" borderId="0" applyNumberFormat="0" applyBorder="0" applyAlignment="0" applyProtection="0"/>
    <xf numFmtId="0" fontId="297" fillId="4" borderId="0" applyNumberFormat="0" applyBorder="0" applyAlignment="0" applyProtection="0"/>
    <xf numFmtId="0" fontId="297" fillId="4" borderId="0" applyNumberFormat="0" applyBorder="0" applyAlignment="0" applyProtection="0"/>
    <xf numFmtId="0" fontId="297" fillId="4" borderId="0" applyNumberFormat="0" applyBorder="0" applyAlignment="0" applyProtection="0"/>
    <xf numFmtId="0" fontId="297" fillId="4" borderId="0" applyNumberFormat="0" applyBorder="0" applyAlignment="0" applyProtection="0"/>
    <xf numFmtId="0" fontId="297" fillId="4" borderId="0" applyNumberFormat="0" applyBorder="0" applyAlignment="0" applyProtection="0"/>
    <xf numFmtId="0" fontId="297" fillId="4" borderId="0" applyNumberFormat="0" applyBorder="0" applyAlignment="0" applyProtection="0"/>
    <xf numFmtId="0" fontId="297" fillId="4" borderId="0" applyNumberFormat="0" applyBorder="0" applyAlignment="0" applyProtection="0"/>
    <xf numFmtId="0" fontId="297" fillId="4" borderId="0" applyNumberFormat="0" applyBorder="0" applyAlignment="0" applyProtection="0"/>
    <xf numFmtId="0" fontId="297" fillId="4" borderId="0" applyNumberFormat="0" applyBorder="0" applyAlignment="0" applyProtection="0"/>
    <xf numFmtId="0" fontId="297" fillId="4" borderId="0" applyNumberFormat="0" applyBorder="0" applyAlignment="0" applyProtection="0"/>
    <xf numFmtId="0" fontId="297" fillId="4" borderId="0" applyNumberFormat="0" applyBorder="0" applyAlignment="0" applyProtection="0"/>
    <xf numFmtId="0" fontId="297" fillId="4" borderId="0" applyNumberFormat="0" applyBorder="0" applyAlignment="0" applyProtection="0"/>
    <xf numFmtId="0" fontId="297" fillId="4" borderId="0" applyNumberFormat="0" applyBorder="0" applyAlignment="0" applyProtection="0"/>
    <xf numFmtId="0" fontId="297" fillId="4" borderId="0" applyNumberFormat="0" applyBorder="0" applyAlignment="0" applyProtection="0"/>
    <xf numFmtId="0" fontId="297" fillId="4" borderId="0" applyNumberFormat="0" applyBorder="0" applyAlignment="0" applyProtection="0"/>
    <xf numFmtId="0" fontId="297" fillId="4" borderId="0" applyNumberFormat="0" applyBorder="0" applyAlignment="0" applyProtection="0"/>
    <xf numFmtId="0" fontId="297" fillId="4" borderId="0" applyNumberFormat="0" applyBorder="0" applyAlignment="0" applyProtection="0"/>
    <xf numFmtId="0" fontId="297" fillId="4" borderId="0" applyNumberFormat="0" applyBorder="0" applyAlignment="0" applyProtection="0"/>
    <xf numFmtId="0" fontId="297" fillId="4" borderId="0" applyNumberFormat="0" applyBorder="0" applyAlignment="0" applyProtection="0"/>
    <xf numFmtId="0" fontId="297" fillId="4" borderId="0" applyNumberFormat="0" applyBorder="0" applyAlignment="0" applyProtection="0"/>
    <xf numFmtId="0" fontId="297" fillId="4" borderId="0" applyNumberFormat="0" applyBorder="0" applyAlignment="0" applyProtection="0"/>
    <xf numFmtId="0" fontId="297" fillId="4" borderId="0" applyNumberFormat="0" applyBorder="0" applyAlignment="0" applyProtection="0"/>
    <xf numFmtId="0" fontId="297" fillId="4" borderId="0" applyNumberFormat="0" applyBorder="0" applyAlignment="0" applyProtection="0"/>
    <xf numFmtId="0" fontId="297" fillId="4" borderId="0" applyNumberFormat="0" applyBorder="0" applyAlignment="0" applyProtection="0"/>
    <xf numFmtId="0" fontId="297" fillId="4" borderId="0" applyNumberFormat="0" applyBorder="0" applyAlignment="0" applyProtection="0"/>
    <xf numFmtId="0" fontId="297" fillId="4" borderId="0" applyNumberFormat="0" applyBorder="0" applyAlignment="0" applyProtection="0"/>
    <xf numFmtId="0" fontId="297" fillId="4" borderId="0" applyNumberFormat="0" applyBorder="0" applyAlignment="0" applyProtection="0"/>
    <xf numFmtId="0" fontId="297" fillId="4" borderId="0" applyNumberFormat="0" applyBorder="0" applyAlignment="0" applyProtection="0"/>
    <xf numFmtId="0" fontId="297" fillId="4" borderId="0" applyNumberFormat="0" applyBorder="0" applyAlignment="0" applyProtection="0"/>
    <xf numFmtId="0" fontId="297" fillId="4" borderId="0" applyNumberFormat="0" applyBorder="0" applyAlignment="0" applyProtection="0"/>
    <xf numFmtId="0" fontId="297" fillId="4" borderId="0" applyNumberFormat="0" applyBorder="0" applyAlignment="0" applyProtection="0"/>
    <xf numFmtId="0" fontId="297" fillId="4" borderId="0" applyNumberFormat="0" applyBorder="0" applyAlignment="0" applyProtection="0"/>
    <xf numFmtId="0" fontId="297" fillId="4" borderId="0" applyNumberFormat="0" applyBorder="0" applyAlignment="0" applyProtection="0"/>
    <xf numFmtId="0" fontId="297" fillId="4" borderId="0" applyNumberFormat="0" applyBorder="0" applyAlignment="0" applyProtection="0"/>
    <xf numFmtId="0" fontId="297" fillId="4" borderId="0" applyNumberFormat="0" applyBorder="0" applyAlignment="0" applyProtection="0"/>
    <xf numFmtId="0" fontId="297" fillId="4" borderId="0" applyNumberFormat="0" applyBorder="0" applyAlignment="0" applyProtection="0"/>
    <xf numFmtId="0" fontId="297" fillId="4" borderId="0" applyNumberFormat="0" applyBorder="0" applyAlignment="0" applyProtection="0"/>
    <xf numFmtId="0" fontId="297" fillId="4" borderId="0" applyNumberFormat="0" applyBorder="0" applyAlignment="0" applyProtection="0"/>
    <xf numFmtId="0" fontId="115" fillId="73" borderId="0" applyNumberFormat="0" applyBorder="0" applyAlignment="0" applyProtection="0"/>
    <xf numFmtId="238" fontId="115" fillId="73" borderId="0" applyNumberFormat="0" applyBorder="0" applyAlignment="0" applyProtection="0"/>
    <xf numFmtId="238" fontId="115" fillId="73" borderId="0" applyNumberFormat="0" applyBorder="0" applyAlignment="0" applyProtection="0"/>
    <xf numFmtId="238" fontId="115" fillId="73" borderId="0" applyNumberFormat="0" applyBorder="0" applyAlignment="0" applyProtection="0"/>
    <xf numFmtId="238" fontId="115" fillId="73" borderId="0" applyNumberFormat="0" applyBorder="0" applyAlignment="0" applyProtection="0"/>
    <xf numFmtId="238" fontId="115" fillId="73" borderId="0" applyNumberFormat="0" applyBorder="0" applyAlignment="0" applyProtection="0"/>
    <xf numFmtId="238" fontId="115" fillId="73" borderId="0" applyNumberFormat="0" applyBorder="0" applyAlignment="0" applyProtection="0"/>
    <xf numFmtId="238" fontId="115" fillId="73" borderId="0" applyNumberFormat="0" applyBorder="0" applyAlignment="0" applyProtection="0"/>
    <xf numFmtId="238" fontId="115" fillId="73" borderId="0" applyNumberFormat="0" applyBorder="0" applyAlignment="0" applyProtection="0"/>
    <xf numFmtId="238" fontId="115" fillId="73" borderId="0" applyNumberFormat="0" applyBorder="0" applyAlignment="0" applyProtection="0"/>
    <xf numFmtId="238" fontId="115" fillId="73" borderId="0" applyNumberFormat="0" applyBorder="0" applyAlignment="0" applyProtection="0"/>
    <xf numFmtId="238" fontId="115" fillId="73" borderId="0" applyNumberFormat="0" applyBorder="0" applyAlignment="0" applyProtection="0"/>
    <xf numFmtId="238" fontId="115" fillId="73" borderId="0" applyNumberFormat="0" applyBorder="0" applyAlignment="0" applyProtection="0"/>
    <xf numFmtId="238" fontId="115" fillId="73" borderId="0" applyNumberFormat="0" applyBorder="0" applyAlignment="0" applyProtection="0"/>
    <xf numFmtId="238" fontId="115" fillId="73" borderId="0" applyNumberFormat="0" applyBorder="0" applyAlignment="0" applyProtection="0"/>
    <xf numFmtId="238" fontId="115" fillId="73" borderId="0" applyNumberFormat="0" applyBorder="0" applyAlignment="0" applyProtection="0"/>
    <xf numFmtId="238" fontId="115" fillId="73" borderId="0" applyNumberFormat="0" applyBorder="0" applyAlignment="0" applyProtection="0"/>
    <xf numFmtId="238" fontId="115" fillId="73" borderId="0" applyNumberFormat="0" applyBorder="0" applyAlignment="0" applyProtection="0"/>
    <xf numFmtId="238" fontId="115" fillId="73" borderId="0" applyNumberFormat="0" applyBorder="0" applyAlignment="0" applyProtection="0"/>
    <xf numFmtId="238" fontId="115" fillId="73" borderId="0" applyNumberFormat="0" applyBorder="0" applyAlignment="0" applyProtection="0"/>
    <xf numFmtId="238" fontId="115" fillId="73" borderId="0" applyNumberFormat="0" applyBorder="0" applyAlignment="0" applyProtection="0"/>
    <xf numFmtId="238" fontId="115" fillId="73" borderId="0" applyNumberFormat="0" applyBorder="0" applyAlignment="0" applyProtection="0"/>
    <xf numFmtId="238" fontId="115" fillId="73" borderId="0" applyNumberFormat="0" applyBorder="0" applyAlignment="0" applyProtection="0"/>
    <xf numFmtId="238" fontId="115" fillId="73" borderId="0" applyNumberFormat="0" applyBorder="0" applyAlignment="0" applyProtection="0"/>
    <xf numFmtId="238" fontId="115" fillId="73" borderId="0" applyNumberFormat="0" applyBorder="0" applyAlignment="0" applyProtection="0"/>
    <xf numFmtId="238" fontId="115" fillId="73" borderId="0" applyNumberFormat="0" applyBorder="0" applyAlignment="0" applyProtection="0"/>
    <xf numFmtId="238" fontId="115" fillId="73" borderId="0" applyNumberFormat="0" applyBorder="0" applyAlignment="0" applyProtection="0"/>
    <xf numFmtId="238" fontId="115" fillId="73" borderId="0" applyNumberFormat="0" applyBorder="0" applyAlignment="0" applyProtection="0"/>
    <xf numFmtId="238" fontId="115" fillId="73" borderId="0" applyNumberFormat="0" applyBorder="0" applyAlignment="0" applyProtection="0"/>
    <xf numFmtId="238" fontId="115" fillId="73" borderId="0" applyNumberFormat="0" applyBorder="0" applyAlignment="0" applyProtection="0"/>
    <xf numFmtId="238" fontId="115" fillId="73" borderId="0" applyNumberFormat="0" applyBorder="0" applyAlignment="0" applyProtection="0"/>
    <xf numFmtId="238" fontId="115" fillId="73" borderId="0" applyNumberFormat="0" applyBorder="0" applyAlignment="0" applyProtection="0"/>
    <xf numFmtId="238" fontId="115" fillId="73" borderId="0" applyNumberFormat="0" applyBorder="0" applyAlignment="0" applyProtection="0"/>
    <xf numFmtId="238" fontId="115" fillId="73" borderId="0" applyNumberFormat="0" applyBorder="0" applyAlignment="0" applyProtection="0"/>
    <xf numFmtId="238" fontId="115" fillId="73" borderId="0" applyNumberFormat="0" applyBorder="0" applyAlignment="0" applyProtection="0"/>
    <xf numFmtId="238" fontId="115" fillId="73" borderId="0" applyNumberFormat="0" applyBorder="0" applyAlignment="0" applyProtection="0"/>
    <xf numFmtId="238" fontId="115" fillId="73" borderId="0" applyNumberFormat="0" applyBorder="0" applyAlignment="0" applyProtection="0"/>
    <xf numFmtId="238" fontId="115" fillId="73" borderId="0" applyNumberFormat="0" applyBorder="0" applyAlignment="0" applyProtection="0"/>
    <xf numFmtId="238" fontId="115" fillId="73" borderId="0" applyNumberFormat="0" applyBorder="0" applyAlignment="0" applyProtection="0"/>
    <xf numFmtId="238" fontId="115" fillId="73" borderId="0" applyNumberFormat="0" applyBorder="0" applyAlignment="0" applyProtection="0"/>
    <xf numFmtId="238" fontId="115" fillId="73" borderId="0" applyNumberFormat="0" applyBorder="0" applyAlignment="0" applyProtection="0"/>
    <xf numFmtId="238" fontId="115" fillId="73" borderId="0" applyNumberFormat="0" applyBorder="0" applyAlignment="0" applyProtection="0"/>
    <xf numFmtId="238" fontId="115" fillId="73" borderId="0" applyNumberFormat="0" applyBorder="0" applyAlignment="0" applyProtection="0"/>
    <xf numFmtId="238" fontId="115" fillId="73" borderId="0" applyNumberFormat="0" applyBorder="0" applyAlignment="0" applyProtection="0"/>
    <xf numFmtId="238" fontId="115" fillId="73" borderId="0" applyNumberFormat="0" applyBorder="0" applyAlignment="0" applyProtection="0"/>
    <xf numFmtId="238" fontId="115" fillId="73" borderId="0" applyNumberFormat="0" applyBorder="0" applyAlignment="0" applyProtection="0"/>
    <xf numFmtId="0" fontId="298" fillId="91" borderId="0"/>
    <xf numFmtId="0" fontId="299" fillId="92" borderId="0"/>
    <xf numFmtId="0" fontId="300" fillId="0" borderId="0"/>
    <xf numFmtId="0" fontId="199" fillId="0" borderId="0">
      <alignment horizontal="left"/>
    </xf>
    <xf numFmtId="3" fontId="70" fillId="0" borderId="0"/>
    <xf numFmtId="237" fontId="296" fillId="0" borderId="0"/>
    <xf numFmtId="305" fontId="240" fillId="0" borderId="0"/>
    <xf numFmtId="337" fontId="296" fillId="0" borderId="0"/>
    <xf numFmtId="338" fontId="66" fillId="0" borderId="10" applyFont="0" applyFill="0" applyBorder="0" applyAlignment="0" applyProtection="0"/>
    <xf numFmtId="338" fontId="66" fillId="0" borderId="10" applyFont="0" applyFill="0" applyBorder="0" applyAlignment="0" applyProtection="0"/>
    <xf numFmtId="339" fontId="66" fillId="0" borderId="10" applyFont="0" applyFill="0" applyBorder="0" applyAlignment="0" applyProtection="0"/>
    <xf numFmtId="38" fontId="192"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0" fontId="61" fillId="0" borderId="0"/>
    <xf numFmtId="316" fontId="66" fillId="0" borderId="0" applyFill="0" applyBorder="0" applyAlignment="0" applyProtection="0"/>
    <xf numFmtId="316" fontId="66" fillId="0" borderId="0" applyFill="0" applyBorder="0" applyAlignment="0" applyProtection="0"/>
    <xf numFmtId="0" fontId="71" fillId="0" borderId="0"/>
    <xf numFmtId="0" fontId="61" fillId="0" borderId="0"/>
    <xf numFmtId="274" fontId="30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171" fontId="66" fillId="0" borderId="0"/>
    <xf numFmtId="43" fontId="66"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38" fontId="66"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74" fontId="71" fillId="0" borderId="0"/>
    <xf numFmtId="238" fontId="150" fillId="0" borderId="0"/>
    <xf numFmtId="171" fontId="150" fillId="0" borderId="0"/>
    <xf numFmtId="171" fontId="150" fillId="0" borderId="0"/>
    <xf numFmtId="179" fontId="150" fillId="0" borderId="0"/>
    <xf numFmtId="238" fontId="150" fillId="0" borderId="0"/>
    <xf numFmtId="284" fontId="150" fillId="0" borderId="0"/>
    <xf numFmtId="288" fontId="150" fillId="0" borderId="0"/>
    <xf numFmtId="238" fontId="150" fillId="0" borderId="0"/>
    <xf numFmtId="323" fontId="150" fillId="0" borderId="0"/>
    <xf numFmtId="238" fontId="150" fillId="0" borderId="0"/>
    <xf numFmtId="238" fontId="150" fillId="0" borderId="0"/>
    <xf numFmtId="238" fontId="150" fillId="0" borderId="0"/>
    <xf numFmtId="238" fontId="150" fillId="0" borderId="0"/>
    <xf numFmtId="238" fontId="150" fillId="0" borderId="0"/>
    <xf numFmtId="171" fontId="150" fillId="0" borderId="0"/>
    <xf numFmtId="195" fontId="150" fillId="0" borderId="0"/>
    <xf numFmtId="238" fontId="150" fillId="0" borderId="0"/>
    <xf numFmtId="238" fontId="150" fillId="0" borderId="0"/>
    <xf numFmtId="238" fontId="150" fillId="0" borderId="0"/>
    <xf numFmtId="238" fontId="150" fillId="0" borderId="0"/>
    <xf numFmtId="238" fontId="150" fillId="0" borderId="0"/>
    <xf numFmtId="238" fontId="150" fillId="0" borderId="0"/>
    <xf numFmtId="238" fontId="150"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150" fillId="0" borderId="0"/>
    <xf numFmtId="238" fontId="150" fillId="0" borderId="0"/>
    <xf numFmtId="238" fontId="150" fillId="0" borderId="0"/>
    <xf numFmtId="238" fontId="150" fillId="0" borderId="0"/>
    <xf numFmtId="238" fontId="150" fillId="0" borderId="0"/>
    <xf numFmtId="238" fontId="150" fillId="0" borderId="0"/>
    <xf numFmtId="274" fontId="66" fillId="0" borderId="0"/>
    <xf numFmtId="274" fontId="66" fillId="0" borderId="0"/>
    <xf numFmtId="274" fontId="66" fillId="0" borderId="0"/>
    <xf numFmtId="274" fontId="66" fillId="0" borderId="0"/>
    <xf numFmtId="274" fontId="66" fillId="0" borderId="0"/>
    <xf numFmtId="274" fontId="66" fillId="0" borderId="0"/>
    <xf numFmtId="274" fontId="66" fillId="0" borderId="0"/>
    <xf numFmtId="274" fontId="66" fillId="0" borderId="0"/>
    <xf numFmtId="274" fontId="66" fillId="0" borderId="0"/>
    <xf numFmtId="274" fontId="66" fillId="0" borderId="0"/>
    <xf numFmtId="0" fontId="61" fillId="0" borderId="0"/>
    <xf numFmtId="0" fontId="63" fillId="0" borderId="0"/>
    <xf numFmtId="209" fontId="66" fillId="0" borderId="0"/>
    <xf numFmtId="43" fontId="66" fillId="0" borderId="0"/>
    <xf numFmtId="238" fontId="66" fillId="0" borderId="0"/>
    <xf numFmtId="0" fontId="61" fillId="0" borderId="0"/>
    <xf numFmtId="0" fontId="71" fillId="0" borderId="0"/>
    <xf numFmtId="274" fontId="66" fillId="0" borderId="0"/>
    <xf numFmtId="274" fontId="66" fillId="0" borderId="0"/>
    <xf numFmtId="274" fontId="66" fillId="0" borderId="0"/>
    <xf numFmtId="274" fontId="66" fillId="0" borderId="0"/>
    <xf numFmtId="274" fontId="66" fillId="0" borderId="0"/>
    <xf numFmtId="274" fontId="66" fillId="0" borderId="0"/>
    <xf numFmtId="274" fontId="66" fillId="0" borderId="0"/>
    <xf numFmtId="274" fontId="66" fillId="0" borderId="0"/>
    <xf numFmtId="274" fontId="66" fillId="0" borderId="0"/>
    <xf numFmtId="274" fontId="66" fillId="0" borderId="0"/>
    <xf numFmtId="229" fontId="66" fillId="0" borderId="0"/>
    <xf numFmtId="274" fontId="66" fillId="0" borderId="0"/>
    <xf numFmtId="274" fontId="66" fillId="0" borderId="0"/>
    <xf numFmtId="274" fontId="66" fillId="0" borderId="0"/>
    <xf numFmtId="274" fontId="66" fillId="0" borderId="0"/>
    <xf numFmtId="274" fontId="66" fillId="0" borderId="0"/>
    <xf numFmtId="274" fontId="66" fillId="0" borderId="0"/>
    <xf numFmtId="274" fontId="66" fillId="0" borderId="0"/>
    <xf numFmtId="274" fontId="66" fillId="0" borderId="0"/>
    <xf numFmtId="274" fontId="66" fillId="0" borderId="0"/>
    <xf numFmtId="274" fontId="66" fillId="0" borderId="0"/>
    <xf numFmtId="229" fontId="66" fillId="0" borderId="0"/>
    <xf numFmtId="274" fontId="66" fillId="0" borderId="0"/>
    <xf numFmtId="274" fontId="66" fillId="0" borderId="0"/>
    <xf numFmtId="274" fontId="66" fillId="0" borderId="0"/>
    <xf numFmtId="274" fontId="66" fillId="0" borderId="0"/>
    <xf numFmtId="274" fontId="66" fillId="0" borderId="0"/>
    <xf numFmtId="274" fontId="66" fillId="0" borderId="0"/>
    <xf numFmtId="274" fontId="66" fillId="0" borderId="0"/>
    <xf numFmtId="0" fontId="61" fillId="0" borderId="0"/>
    <xf numFmtId="274" fontId="66" fillId="0" borderId="0"/>
    <xf numFmtId="274" fontId="66" fillId="0" borderId="0"/>
    <xf numFmtId="274" fontId="66" fillId="0" borderId="0"/>
    <xf numFmtId="274" fontId="66" fillId="0" borderId="0"/>
    <xf numFmtId="274" fontId="66" fillId="0" borderId="0"/>
    <xf numFmtId="238" fontId="150" fillId="0" borderId="0"/>
    <xf numFmtId="238" fontId="150" fillId="0" borderId="0"/>
    <xf numFmtId="238" fontId="150" fillId="0" borderId="0"/>
    <xf numFmtId="238" fontId="150" fillId="0" borderId="0"/>
    <xf numFmtId="238" fontId="150" fillId="0" borderId="0"/>
    <xf numFmtId="238" fontId="150" fillId="0" borderId="0"/>
    <xf numFmtId="238" fontId="150" fillId="0" borderId="0"/>
    <xf numFmtId="238" fontId="150" fillId="0" borderId="0"/>
    <xf numFmtId="238" fontId="150" fillId="0" borderId="0"/>
    <xf numFmtId="238" fontId="150"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0" fontId="61" fillId="0" borderId="0"/>
    <xf numFmtId="316" fontId="66" fillId="0" borderId="0" applyFill="0" applyBorder="0" applyAlignment="0" applyProtection="0"/>
    <xf numFmtId="316" fontId="66" fillId="0" borderId="0" applyFill="0" applyBorder="0" applyAlignment="0" applyProtection="0"/>
    <xf numFmtId="0" fontId="71" fillId="0" borderId="0"/>
    <xf numFmtId="0" fontId="61" fillId="0" borderId="0"/>
    <xf numFmtId="274" fontId="7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0" fontId="66" fillId="0" borderId="0"/>
    <xf numFmtId="274" fontId="61" fillId="0" borderId="0"/>
    <xf numFmtId="274" fontId="61" fillId="0" borderId="0"/>
    <xf numFmtId="274" fontId="61" fillId="0" borderId="0"/>
    <xf numFmtId="274" fontId="61" fillId="0" borderId="0"/>
    <xf numFmtId="274" fontId="61" fillId="0" borderId="0"/>
    <xf numFmtId="274" fontId="71" fillId="0" borderId="0"/>
    <xf numFmtId="238" fontId="150"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150"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150"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150"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150"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150"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150"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150"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150"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150"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74" fontId="66" fillId="0" borderId="0"/>
    <xf numFmtId="274" fontId="66" fillId="0" borderId="0"/>
    <xf numFmtId="274" fontId="66" fillId="0" borderId="0"/>
    <xf numFmtId="274" fontId="66" fillId="0" borderId="0"/>
    <xf numFmtId="274" fontId="66" fillId="0" borderId="0"/>
    <xf numFmtId="274" fontId="66" fillId="0" borderId="0"/>
    <xf numFmtId="274" fontId="66" fillId="0" borderId="0"/>
    <xf numFmtId="274" fontId="66" fillId="0" borderId="0"/>
    <xf numFmtId="274" fontId="66" fillId="0" borderId="0"/>
    <xf numFmtId="274" fontId="66" fillId="0" borderId="0"/>
    <xf numFmtId="274" fontId="66" fillId="0" borderId="0"/>
    <xf numFmtId="274" fontId="66" fillId="0" borderId="0"/>
    <xf numFmtId="274" fontId="66" fillId="0" borderId="0"/>
    <xf numFmtId="274" fontId="66" fillId="0" borderId="0"/>
    <xf numFmtId="274" fontId="66" fillId="0" borderId="0"/>
    <xf numFmtId="274" fontId="66" fillId="0" borderId="0"/>
    <xf numFmtId="274" fontId="66" fillId="0" borderId="0"/>
    <xf numFmtId="274" fontId="66" fillId="0" borderId="0"/>
    <xf numFmtId="274" fontId="66" fillId="0" borderId="0"/>
    <xf numFmtId="274" fontId="66" fillId="0" borderId="0"/>
    <xf numFmtId="274" fontId="66" fillId="0" borderId="0"/>
    <xf numFmtId="274" fontId="66" fillId="0" borderId="0"/>
    <xf numFmtId="274" fontId="66" fillId="0" borderId="0"/>
    <xf numFmtId="274" fontId="66" fillId="0" borderId="0"/>
    <xf numFmtId="274" fontId="66" fillId="0" borderId="0"/>
    <xf numFmtId="274" fontId="66" fillId="0" borderId="0"/>
    <xf numFmtId="274" fontId="66" fillId="0" borderId="0"/>
    <xf numFmtId="274" fontId="66" fillId="0" borderId="0"/>
    <xf numFmtId="274" fontId="66" fillId="0" borderId="0"/>
    <xf numFmtId="274" fontId="66" fillId="0" borderId="0"/>
    <xf numFmtId="274" fontId="66" fillId="0" borderId="0"/>
    <xf numFmtId="274" fontId="66" fillId="0" borderId="0"/>
    <xf numFmtId="274" fontId="66" fillId="0" borderId="0"/>
    <xf numFmtId="274" fontId="66" fillId="0" borderId="0"/>
    <xf numFmtId="274" fontId="66" fillId="0" borderId="0"/>
    <xf numFmtId="274" fontId="66" fillId="0" borderId="0"/>
    <xf numFmtId="274" fontId="66" fillId="0" borderId="0"/>
    <xf numFmtId="274" fontId="66" fillId="0" borderId="0"/>
    <xf numFmtId="274" fontId="66" fillId="0" borderId="0"/>
    <xf numFmtId="274" fontId="66" fillId="0" borderId="0"/>
    <xf numFmtId="274" fontId="66" fillId="0" borderId="0"/>
    <xf numFmtId="238" fontId="150"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150"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150"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150"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150"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150"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150"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150"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150"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150"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43" fontId="66" fillId="0" borderId="0"/>
    <xf numFmtId="43" fontId="66" fillId="0" borderId="0"/>
    <xf numFmtId="43" fontId="66" fillId="0" borderId="0"/>
    <xf numFmtId="43" fontId="66" fillId="0" borderId="0"/>
    <xf numFmtId="43" fontId="66" fillId="0" borderId="0"/>
    <xf numFmtId="43" fontId="66" fillId="0" borderId="0"/>
    <xf numFmtId="43" fontId="66" fillId="0" borderId="0"/>
    <xf numFmtId="43" fontId="66" fillId="0" borderId="0"/>
    <xf numFmtId="43" fontId="66" fillId="0" borderId="0"/>
    <xf numFmtId="43" fontId="66" fillId="0" borderId="0"/>
    <xf numFmtId="0" fontId="61" fillId="0" borderId="0"/>
    <xf numFmtId="43" fontId="66" fillId="0" borderId="0"/>
    <xf numFmtId="43" fontId="66" fillId="0" borderId="0"/>
    <xf numFmtId="43" fontId="66" fillId="0" borderId="0"/>
    <xf numFmtId="43" fontId="66" fillId="0" borderId="0"/>
    <xf numFmtId="43" fontId="66" fillId="0" borderId="0"/>
    <xf numFmtId="43" fontId="66" fillId="0" borderId="0"/>
    <xf numFmtId="43" fontId="66" fillId="0" borderId="0"/>
    <xf numFmtId="43" fontId="66" fillId="0" borderId="0"/>
    <xf numFmtId="43" fontId="66" fillId="0" borderId="0"/>
    <xf numFmtId="43" fontId="66" fillId="0" borderId="0"/>
    <xf numFmtId="43" fontId="66" fillId="0" borderId="0"/>
    <xf numFmtId="43" fontId="66" fillId="0" borderId="0"/>
    <xf numFmtId="43" fontId="66" fillId="0" borderId="0"/>
    <xf numFmtId="43" fontId="66" fillId="0" borderId="0"/>
    <xf numFmtId="43" fontId="66" fillId="0" borderId="0"/>
    <xf numFmtId="43" fontId="66" fillId="0" borderId="0"/>
    <xf numFmtId="43" fontId="66" fillId="0" borderId="0"/>
    <xf numFmtId="43" fontId="66" fillId="0" borderId="0"/>
    <xf numFmtId="43" fontId="66" fillId="0" borderId="0"/>
    <xf numFmtId="43" fontId="66" fillId="0" borderId="0"/>
    <xf numFmtId="43" fontId="66" fillId="0" borderId="0"/>
    <xf numFmtId="43" fontId="66" fillId="0" borderId="0"/>
    <xf numFmtId="43" fontId="66" fillId="0" borderId="0"/>
    <xf numFmtId="43" fontId="66" fillId="0" borderId="0"/>
    <xf numFmtId="43" fontId="66" fillId="0" borderId="0"/>
    <xf numFmtId="43" fontId="66" fillId="0" borderId="0"/>
    <xf numFmtId="43" fontId="66" fillId="0" borderId="0"/>
    <xf numFmtId="43" fontId="66" fillId="0" borderId="0"/>
    <xf numFmtId="43" fontId="66" fillId="0" borderId="0"/>
    <xf numFmtId="43" fontId="66" fillId="0" borderId="0"/>
    <xf numFmtId="43" fontId="66" fillId="0" borderId="0"/>
    <xf numFmtId="43" fontId="66" fillId="0" borderId="0"/>
    <xf numFmtId="238" fontId="150"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150"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150"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150"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1" fillId="0" borderId="0"/>
    <xf numFmtId="238" fontId="66" fillId="0" borderId="0"/>
    <xf numFmtId="238" fontId="66" fillId="0" borderId="0"/>
    <xf numFmtId="238" fontId="66" fillId="0" borderId="0"/>
    <xf numFmtId="1" fontId="302" fillId="0" borderId="10">
      <alignment horizontal="justify" vertical="top" wrapText="1"/>
    </xf>
    <xf numFmtId="1" fontId="302" fillId="0" borderId="10">
      <alignment horizontal="justify" vertical="top" wrapText="1"/>
    </xf>
    <xf numFmtId="41" fontId="66" fillId="0" borderId="0"/>
    <xf numFmtId="289" fontId="66" fillId="0" borderId="0"/>
    <xf numFmtId="289" fontId="66" fillId="0" borderId="0"/>
    <xf numFmtId="289" fontId="66" fillId="0" borderId="0"/>
    <xf numFmtId="288" fontId="66" fillId="0" borderId="0"/>
    <xf numFmtId="238" fontId="182" fillId="0" borderId="0"/>
    <xf numFmtId="0" fontId="66" fillId="0" borderId="0"/>
    <xf numFmtId="238" fontId="182" fillId="0" borderId="0"/>
    <xf numFmtId="238" fontId="66" fillId="0" borderId="0"/>
    <xf numFmtId="238" fontId="66" fillId="0" borderId="0"/>
    <xf numFmtId="238" fontId="66" fillId="0" borderId="0"/>
    <xf numFmtId="0" fontId="66" fillId="0" borderId="0"/>
    <xf numFmtId="238" fontId="66" fillId="0" borderId="0"/>
    <xf numFmtId="238" fontId="150" fillId="0" borderId="0"/>
    <xf numFmtId="238" fontId="229" fillId="0" borderId="0"/>
    <xf numFmtId="238" fontId="182" fillId="0" borderId="0"/>
    <xf numFmtId="238" fontId="150" fillId="0" borderId="0"/>
    <xf numFmtId="238" fontId="150" fillId="0" borderId="0"/>
    <xf numFmtId="238" fontId="229" fillId="0" borderId="0"/>
    <xf numFmtId="238" fontId="66" fillId="0" borderId="0"/>
    <xf numFmtId="194" fontId="182" fillId="0" borderId="0"/>
    <xf numFmtId="238" fontId="66" fillId="0" borderId="0"/>
    <xf numFmtId="288" fontId="66" fillId="0" borderId="0"/>
    <xf numFmtId="238" fontId="182" fillId="0" borderId="0"/>
    <xf numFmtId="238" fontId="228" fillId="0" borderId="0"/>
    <xf numFmtId="238" fontId="229" fillId="0" borderId="0"/>
    <xf numFmtId="238" fontId="66" fillId="0" borderId="0"/>
    <xf numFmtId="238" fontId="228" fillId="0" borderId="0"/>
    <xf numFmtId="238" fontId="150" fillId="0" borderId="0"/>
    <xf numFmtId="288" fontId="66" fillId="0" borderId="0"/>
    <xf numFmtId="238" fontId="66" fillId="0" borderId="0"/>
    <xf numFmtId="238" fontId="150" fillId="0" borderId="0"/>
    <xf numFmtId="238" fontId="150" fillId="0" borderId="0"/>
    <xf numFmtId="288" fontId="150" fillId="0" borderId="0"/>
    <xf numFmtId="238"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241"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238" fontId="229" fillId="0" borderId="0"/>
    <xf numFmtId="238" fontId="66" fillId="0" borderId="0"/>
    <xf numFmtId="238" fontId="66" fillId="0" borderId="0"/>
    <xf numFmtId="238" fontId="66" fillId="0" borderId="0"/>
    <xf numFmtId="238" fontId="71" fillId="0" borderId="0"/>
    <xf numFmtId="238" fontId="229" fillId="0" borderId="0"/>
    <xf numFmtId="238" fontId="229" fillId="0" borderId="0"/>
    <xf numFmtId="238" fontId="229" fillId="0" borderId="0"/>
    <xf numFmtId="238" fontId="229" fillId="0" borderId="0"/>
    <xf numFmtId="238" fontId="182" fillId="0" borderId="0"/>
    <xf numFmtId="238" fontId="182" fillId="0" borderId="0"/>
    <xf numFmtId="238" fontId="182" fillId="0" borderId="0"/>
    <xf numFmtId="238" fontId="182" fillId="0" borderId="0"/>
    <xf numFmtId="238" fontId="182" fillId="0" borderId="0"/>
    <xf numFmtId="238" fontId="182" fillId="0" borderId="0"/>
    <xf numFmtId="238" fontId="229" fillId="0" borderId="0"/>
    <xf numFmtId="238" fontId="66" fillId="0" borderId="0"/>
    <xf numFmtId="238" fontId="66" fillId="0" borderId="0"/>
    <xf numFmtId="238" fontId="229" fillId="0" borderId="0"/>
    <xf numFmtId="238" fontId="150" fillId="0" borderId="0"/>
    <xf numFmtId="238" fontId="150" fillId="0" borderId="0"/>
    <xf numFmtId="288" fontId="228" fillId="0" borderId="0"/>
    <xf numFmtId="340" fontId="228" fillId="0" borderId="0"/>
    <xf numFmtId="180" fontId="229" fillId="0" borderId="0"/>
    <xf numFmtId="43" fontId="150" fillId="0" borderId="0"/>
    <xf numFmtId="238" fontId="66" fillId="0" borderId="0"/>
    <xf numFmtId="238" fontId="66" fillId="0" borderId="0"/>
    <xf numFmtId="316" fontId="66" fillId="0" borderId="0" applyFill="0" applyBorder="0" applyAlignment="0" applyProtection="0"/>
    <xf numFmtId="316" fontId="66" fillId="0" borderId="0" applyFill="0" applyBorder="0" applyAlignment="0" applyProtection="0"/>
    <xf numFmtId="316" fontId="66" fillId="0" borderId="0" applyFill="0" applyBorder="0" applyAlignment="0" applyProtection="0"/>
    <xf numFmtId="316" fontId="66" fillId="0" borderId="0" applyFill="0" applyBorder="0" applyAlignment="0" applyProtection="0"/>
    <xf numFmtId="316" fontId="66" fillId="0" borderId="0" applyFill="0" applyBorder="0" applyAlignment="0" applyProtection="0"/>
    <xf numFmtId="316" fontId="66" fillId="0" borderId="0" applyFill="0" applyBorder="0" applyAlignment="0" applyProtection="0"/>
    <xf numFmtId="316" fontId="66" fillId="0" borderId="0" applyFill="0" applyBorder="0" applyAlignment="0" applyProtection="0"/>
    <xf numFmtId="316" fontId="66" fillId="0" borderId="0" applyFill="0" applyBorder="0" applyAlignment="0" applyProtection="0"/>
    <xf numFmtId="316" fontId="66" fillId="0" borderId="0" applyFill="0" applyBorder="0" applyAlignment="0" applyProtection="0"/>
    <xf numFmtId="316" fontId="66" fillId="0" borderId="0" applyFill="0" applyBorder="0" applyAlignment="0" applyProtection="0"/>
    <xf numFmtId="0" fontId="66" fillId="0" borderId="0"/>
    <xf numFmtId="291" fontId="66" fillId="0" borderId="0"/>
    <xf numFmtId="0" fontId="66" fillId="0" borderId="0"/>
    <xf numFmtId="316" fontId="66" fillId="0" borderId="0" applyFill="0" applyBorder="0" applyAlignment="0" applyProtection="0"/>
    <xf numFmtId="316" fontId="66" fillId="0" borderId="0" applyFill="0" applyBorder="0" applyAlignment="0" applyProtection="0"/>
    <xf numFmtId="316" fontId="66" fillId="0" borderId="0" applyFill="0" applyBorder="0" applyAlignment="0" applyProtection="0"/>
    <xf numFmtId="316" fontId="66" fillId="0" borderId="0" applyFill="0" applyBorder="0" applyAlignment="0" applyProtection="0"/>
    <xf numFmtId="238" fontId="66" fillId="0" borderId="0"/>
    <xf numFmtId="238" fontId="66" fillId="0" borderId="0"/>
    <xf numFmtId="238" fontId="66" fillId="0" borderId="0"/>
    <xf numFmtId="238" fontId="66" fillId="0" borderId="0"/>
    <xf numFmtId="238" fontId="66" fillId="0" borderId="0"/>
    <xf numFmtId="238" fontId="66" fillId="0" borderId="0"/>
    <xf numFmtId="0" fontId="63" fillId="0" borderId="0"/>
    <xf numFmtId="238" fontId="66" fillId="0" borderId="0"/>
    <xf numFmtId="238" fontId="66" fillId="0" borderId="0"/>
    <xf numFmtId="238" fontId="66" fillId="0" borderId="0"/>
    <xf numFmtId="238" fontId="66" fillId="0" borderId="0"/>
    <xf numFmtId="238" fontId="66" fillId="0" borderId="0"/>
    <xf numFmtId="238" fontId="66" fillId="0" borderId="0"/>
    <xf numFmtId="238" fontId="66" fillId="0" borderId="0"/>
    <xf numFmtId="238" fontId="66" fillId="0" borderId="0"/>
    <xf numFmtId="238" fontId="66" fillId="0" borderId="0"/>
    <xf numFmtId="238" fontId="66" fillId="0" borderId="0"/>
    <xf numFmtId="238" fontId="66" fillId="0" borderId="0"/>
    <xf numFmtId="238" fontId="66" fillId="0" borderId="0"/>
    <xf numFmtId="316" fontId="66" fillId="0" borderId="0" applyFill="0" applyBorder="0" applyAlignment="0" applyProtection="0"/>
    <xf numFmtId="238" fontId="66" fillId="0" borderId="0"/>
    <xf numFmtId="238" fontId="66" fillId="0" borderId="0"/>
    <xf numFmtId="316" fontId="66" fillId="0" borderId="0" applyFill="0" applyBorder="0" applyAlignment="0" applyProtection="0"/>
    <xf numFmtId="316" fontId="66" fillId="0" borderId="0" applyFill="0" applyBorder="0" applyAlignment="0" applyProtection="0"/>
    <xf numFmtId="316" fontId="66" fillId="0" borderId="0" applyFill="0" applyBorder="0" applyAlignment="0" applyProtection="0"/>
    <xf numFmtId="316" fontId="66" fillId="0" borderId="0" applyFill="0" applyBorder="0" applyAlignment="0" applyProtection="0"/>
    <xf numFmtId="316" fontId="66" fillId="0" borderId="0" applyFill="0" applyBorder="0" applyAlignment="0" applyProtection="0"/>
    <xf numFmtId="238" fontId="71" fillId="0" borderId="0"/>
    <xf numFmtId="238" fontId="228" fillId="0" borderId="0"/>
    <xf numFmtId="238" fontId="66" fillId="0" borderId="0"/>
    <xf numFmtId="238" fontId="150" fillId="0" borderId="0"/>
    <xf numFmtId="209" fontId="182" fillId="0" borderId="0"/>
    <xf numFmtId="238" fontId="229" fillId="0" borderId="0"/>
    <xf numFmtId="238" fontId="229" fillId="0" borderId="0"/>
    <xf numFmtId="238" fontId="229" fillId="0" borderId="0"/>
    <xf numFmtId="238" fontId="229" fillId="0" borderId="0"/>
    <xf numFmtId="238" fontId="229" fillId="0" borderId="0"/>
    <xf numFmtId="238" fontId="228" fillId="0" borderId="0"/>
    <xf numFmtId="238" fontId="66" fillId="0" borderId="0"/>
    <xf numFmtId="238" fontId="66" fillId="0" borderId="0"/>
    <xf numFmtId="180" fontId="182" fillId="0" borderId="0"/>
    <xf numFmtId="238" fontId="150" fillId="0" borderId="0"/>
    <xf numFmtId="238" fontId="150" fillId="0" borderId="0"/>
    <xf numFmtId="238" fontId="150" fillId="0" borderId="0"/>
    <xf numFmtId="238" fontId="150" fillId="0" borderId="0"/>
    <xf numFmtId="238" fontId="150" fillId="0" borderId="0"/>
    <xf numFmtId="238" fontId="150" fillId="0" borderId="0"/>
    <xf numFmtId="0" fontId="303" fillId="0" borderId="0"/>
    <xf numFmtId="316" fontId="66" fillId="0" borderId="0" applyFill="0" applyBorder="0" applyAlignment="0" applyProtection="0"/>
    <xf numFmtId="316" fontId="66" fillId="0" borderId="0" applyFill="0" applyBorder="0" applyAlignment="0" applyProtection="0"/>
    <xf numFmtId="316" fontId="66" fillId="0" borderId="0" applyFill="0" applyBorder="0" applyAlignment="0" applyProtection="0"/>
    <xf numFmtId="316" fontId="66" fillId="0" borderId="0" applyFill="0" applyBorder="0" applyAlignment="0" applyProtection="0"/>
    <xf numFmtId="316" fontId="66" fillId="0" borderId="0" applyFill="0" applyBorder="0" applyAlignment="0" applyProtection="0"/>
    <xf numFmtId="316" fontId="66" fillId="0" borderId="0" applyFill="0" applyBorder="0" applyAlignment="0" applyProtection="0"/>
    <xf numFmtId="316" fontId="66" fillId="0" borderId="0" applyFill="0" applyBorder="0" applyAlignment="0" applyProtection="0"/>
    <xf numFmtId="316" fontId="66" fillId="0" borderId="0" applyFill="0" applyBorder="0" applyAlignment="0" applyProtection="0"/>
    <xf numFmtId="316" fontId="66" fillId="0" borderId="0" applyFill="0" applyBorder="0" applyAlignment="0" applyProtection="0"/>
    <xf numFmtId="316" fontId="66" fillId="0" borderId="0" applyFill="0" applyBorder="0" applyAlignment="0" applyProtection="0"/>
    <xf numFmtId="0" fontId="61" fillId="0" borderId="0"/>
    <xf numFmtId="316" fontId="66" fillId="0" borderId="0" applyFill="0" applyBorder="0" applyAlignment="0" applyProtection="0"/>
    <xf numFmtId="316" fontId="66" fillId="0" borderId="0" applyFill="0" applyBorder="0" applyAlignment="0" applyProtection="0"/>
    <xf numFmtId="0" fontId="71" fillId="0" borderId="0"/>
    <xf numFmtId="0" fontId="61" fillId="0" borderId="0"/>
    <xf numFmtId="316" fontId="66" fillId="0" borderId="0" applyFill="0" applyBorder="0" applyAlignment="0" applyProtection="0"/>
    <xf numFmtId="316" fontId="66" fillId="0" borderId="0" applyFill="0" applyBorder="0" applyAlignment="0" applyProtection="0"/>
    <xf numFmtId="316" fontId="66" fillId="0" borderId="0" applyFill="0" applyBorder="0" applyAlignment="0" applyProtection="0"/>
    <xf numFmtId="316" fontId="66" fillId="0" borderId="0" applyFill="0" applyBorder="0" applyAlignment="0" applyProtection="0"/>
    <xf numFmtId="316" fontId="66" fillId="0" borderId="0" applyFill="0" applyBorder="0" applyAlignment="0" applyProtection="0"/>
    <xf numFmtId="316" fontId="66" fillId="0" borderId="0" applyFill="0" applyBorder="0" applyAlignment="0" applyProtection="0"/>
    <xf numFmtId="316" fontId="66" fillId="0" borderId="0" applyFill="0" applyBorder="0" applyAlignment="0" applyProtection="0"/>
    <xf numFmtId="316" fontId="66" fillId="0" borderId="0" applyFill="0" applyBorder="0" applyAlignment="0" applyProtection="0"/>
    <xf numFmtId="316" fontId="66" fillId="0" borderId="0" applyFill="0" applyBorder="0" applyAlignment="0" applyProtection="0"/>
    <xf numFmtId="316" fontId="66" fillId="0" borderId="0" applyFill="0" applyBorder="0" applyAlignment="0" applyProtection="0"/>
    <xf numFmtId="316" fontId="66" fillId="0" borderId="0" applyFill="0" applyBorder="0" applyAlignment="0" applyProtection="0"/>
    <xf numFmtId="316" fontId="66" fillId="0" borderId="0" applyFill="0" applyBorder="0" applyAlignment="0" applyProtection="0"/>
    <xf numFmtId="316" fontId="66" fillId="0" borderId="0" applyFill="0" applyBorder="0" applyAlignment="0" applyProtection="0"/>
    <xf numFmtId="316" fontId="66" fillId="0" borderId="0" applyFill="0" applyBorder="0" applyAlignment="0" applyProtection="0"/>
    <xf numFmtId="316" fontId="66" fillId="0" borderId="0" applyFill="0" applyBorder="0" applyAlignment="0" applyProtection="0"/>
    <xf numFmtId="0" fontId="61" fillId="0" borderId="0"/>
    <xf numFmtId="316" fontId="66" fillId="0" borderId="0" applyFill="0" applyBorder="0" applyAlignment="0" applyProtection="0"/>
    <xf numFmtId="316" fontId="66" fillId="0" borderId="0" applyFill="0" applyBorder="0" applyAlignment="0" applyProtection="0"/>
    <xf numFmtId="0" fontId="71" fillId="0" borderId="0"/>
    <xf numFmtId="0" fontId="61" fillId="0" borderId="0"/>
    <xf numFmtId="316" fontId="66" fillId="0" borderId="0" applyFill="0" applyBorder="0" applyAlignment="0" applyProtection="0"/>
    <xf numFmtId="316" fontId="66" fillId="0" borderId="0" applyFill="0" applyBorder="0" applyAlignment="0" applyProtection="0"/>
    <xf numFmtId="316" fontId="66" fillId="0" borderId="0" applyFill="0" applyBorder="0" applyAlignment="0" applyProtection="0"/>
    <xf numFmtId="316" fontId="66" fillId="0" borderId="0" applyFill="0" applyBorder="0" applyAlignment="0" applyProtection="0"/>
    <xf numFmtId="316" fontId="66" fillId="0" borderId="0" applyFill="0" applyBorder="0" applyAlignment="0" applyProtection="0"/>
    <xf numFmtId="316" fontId="66" fillId="0" borderId="0" applyFill="0" applyBorder="0" applyAlignment="0" applyProtection="0"/>
    <xf numFmtId="316" fontId="66" fillId="0" borderId="0" applyFill="0" applyBorder="0" applyAlignment="0" applyProtection="0"/>
    <xf numFmtId="316" fontId="66" fillId="0" borderId="0" applyFill="0" applyBorder="0" applyAlignment="0" applyProtection="0"/>
    <xf numFmtId="316" fontId="66" fillId="0" borderId="0" applyFill="0" applyBorder="0" applyAlignment="0" applyProtection="0"/>
    <xf numFmtId="316" fontId="66" fillId="0" borderId="0" applyFill="0" applyBorder="0" applyAlignment="0" applyProtection="0"/>
    <xf numFmtId="316" fontId="66" fillId="0" borderId="0" applyFill="0" applyBorder="0" applyAlignment="0" applyProtection="0"/>
    <xf numFmtId="316" fontId="66" fillId="0" borderId="0" applyFill="0" applyBorder="0" applyAlignment="0" applyProtection="0"/>
    <xf numFmtId="316" fontId="66" fillId="0" borderId="0" applyFill="0" applyBorder="0" applyAlignment="0" applyProtection="0"/>
    <xf numFmtId="0" fontId="71" fillId="0" borderId="0"/>
    <xf numFmtId="0" fontId="66" fillId="0" borderId="0"/>
    <xf numFmtId="0" fontId="66" fillId="0" borderId="0"/>
    <xf numFmtId="0" fontId="66" fillId="0" borderId="0" applyFont="0" applyFill="0" applyBorder="0" applyAlignment="0" applyProtection="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316" fontId="66" fillId="0" borderId="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304" fillId="0" borderId="0"/>
    <xf numFmtId="316" fontId="66" fillId="0" borderId="0" applyFill="0" applyBorder="0" applyAlignment="0" applyProtection="0"/>
    <xf numFmtId="0" fontId="304"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274" fontId="63" fillId="0" borderId="0"/>
    <xf numFmtId="274" fontId="63" fillId="0" borderId="0"/>
    <xf numFmtId="274" fontId="63" fillId="0" borderId="0"/>
    <xf numFmtId="274" fontId="63" fillId="0" borderId="0"/>
    <xf numFmtId="274" fontId="63" fillId="0" borderId="0"/>
    <xf numFmtId="274" fontId="63" fillId="0" borderId="0"/>
    <xf numFmtId="274" fontId="63" fillId="0" borderId="0"/>
    <xf numFmtId="274" fontId="63" fillId="0" borderId="0"/>
    <xf numFmtId="274" fontId="63" fillId="0" borderId="0"/>
    <xf numFmtId="274" fontId="63" fillId="0" borderId="0"/>
    <xf numFmtId="274" fontId="63" fillId="0" borderId="0"/>
    <xf numFmtId="274" fontId="63" fillId="0" borderId="0"/>
    <xf numFmtId="316" fontId="66" fillId="0" borderId="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304" fillId="0" borderId="0"/>
    <xf numFmtId="316" fontId="66" fillId="0" borderId="0" applyFill="0" applyBorder="0" applyAlignment="0" applyProtection="0"/>
    <xf numFmtId="0" fontId="304" fillId="0" borderId="0"/>
    <xf numFmtId="274" fontId="63" fillId="0" borderId="0"/>
    <xf numFmtId="274" fontId="63" fillId="0" borderId="0"/>
    <xf numFmtId="274" fontId="63" fillId="0" borderId="0"/>
    <xf numFmtId="274" fontId="63" fillId="0" borderId="0"/>
    <xf numFmtId="274" fontId="63" fillId="0" borderId="0"/>
    <xf numFmtId="274" fontId="63" fillId="0" borderId="0"/>
    <xf numFmtId="274" fontId="63" fillId="0" borderId="0"/>
    <xf numFmtId="274" fontId="63" fillId="0" borderId="0"/>
    <xf numFmtId="274" fontId="63" fillId="0" borderId="0"/>
    <xf numFmtId="274" fontId="63" fillId="0" borderId="0"/>
    <xf numFmtId="274" fontId="63" fillId="0" borderId="0"/>
    <xf numFmtId="274" fontId="63" fillId="0" borderId="0"/>
    <xf numFmtId="274" fontId="63" fillId="0" borderId="0"/>
    <xf numFmtId="274" fontId="63" fillId="0" borderId="0"/>
    <xf numFmtId="274" fontId="63" fillId="0" borderId="0"/>
    <xf numFmtId="274" fontId="63" fillId="0" borderId="0"/>
    <xf numFmtId="274" fontId="63" fillId="0" borderId="0"/>
    <xf numFmtId="274" fontId="63" fillId="0" borderId="0"/>
    <xf numFmtId="274" fontId="63" fillId="0" borderId="0"/>
    <xf numFmtId="274" fontId="63" fillId="0" borderId="0"/>
    <xf numFmtId="274" fontId="63" fillId="0" borderId="0"/>
    <xf numFmtId="274" fontId="63" fillId="0" borderId="0"/>
    <xf numFmtId="274" fontId="63" fillId="0" borderId="0"/>
    <xf numFmtId="274" fontId="63" fillId="0" borderId="0"/>
    <xf numFmtId="274" fontId="63" fillId="0" borderId="0"/>
    <xf numFmtId="274" fontId="63" fillId="0" borderId="0"/>
    <xf numFmtId="274" fontId="63" fillId="0" borderId="0"/>
    <xf numFmtId="274" fontId="63" fillId="0" borderId="0"/>
    <xf numFmtId="274" fontId="63" fillId="0" borderId="0"/>
    <xf numFmtId="274" fontId="63" fillId="0" borderId="0"/>
    <xf numFmtId="0" fontId="304" fillId="0" borderId="0"/>
    <xf numFmtId="0" fontId="92" fillId="0" borderId="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316" fontId="66" fillId="0" borderId="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304" fillId="0" borderId="0"/>
    <xf numFmtId="316" fontId="66" fillId="0" borderId="0" applyFill="0" applyBorder="0" applyAlignment="0" applyProtection="0"/>
    <xf numFmtId="0" fontId="304" fillId="0" borderId="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304" fillId="0" borderId="0"/>
    <xf numFmtId="0" fontId="92" fillId="0" borderId="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316" fontId="66" fillId="0" borderId="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304" fillId="0" borderId="0"/>
    <xf numFmtId="316" fontId="66" fillId="0" borderId="0" applyFill="0" applyBorder="0" applyAlignment="0" applyProtection="0"/>
    <xf numFmtId="0" fontId="304" fillId="0" borderId="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304" fillId="0" borderId="0"/>
    <xf numFmtId="0" fontId="92" fillId="0" borderId="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316" fontId="66" fillId="0" borderId="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304" fillId="0" borderId="0"/>
    <xf numFmtId="316" fontId="66" fillId="0" borderId="0" applyFill="0" applyBorder="0" applyAlignment="0" applyProtection="0"/>
    <xf numFmtId="0" fontId="304" fillId="0" borderId="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304" fillId="0" borderId="0"/>
    <xf numFmtId="274" fontId="63" fillId="0" borderId="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316" fontId="66" fillId="0" borderId="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304" fillId="0" borderId="0"/>
    <xf numFmtId="316" fontId="66" fillId="0" borderId="0" applyFill="0" applyBorder="0" applyAlignment="0" applyProtection="0"/>
    <xf numFmtId="0" fontId="304" fillId="0" borderId="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304" fillId="0" borderId="0"/>
    <xf numFmtId="0" fontId="61" fillId="0" borderId="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316" fontId="66" fillId="0" borderId="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304" fillId="0" borderId="0"/>
    <xf numFmtId="316" fontId="66" fillId="0" borderId="0" applyFill="0" applyBorder="0" applyAlignment="0" applyProtection="0"/>
    <xf numFmtId="0" fontId="304" fillId="0" borderId="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304" fillId="0" borderId="0"/>
    <xf numFmtId="0" fontId="61" fillId="0" borderId="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316" fontId="66" fillId="0" borderId="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304" fillId="0" borderId="0"/>
    <xf numFmtId="316" fontId="66" fillId="0" borderId="0" applyFill="0" applyBorder="0" applyAlignment="0" applyProtection="0"/>
    <xf numFmtId="0" fontId="304" fillId="0" borderId="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304" fillId="0" borderId="0"/>
    <xf numFmtId="0" fontId="61" fillId="0" borderId="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316" fontId="66" fillId="0" borderId="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304" fillId="0" borderId="0"/>
    <xf numFmtId="316" fontId="66" fillId="0" borderId="0" applyFill="0" applyBorder="0" applyAlignment="0" applyProtection="0"/>
    <xf numFmtId="0" fontId="304" fillId="0" borderId="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304" fillId="0" borderId="0"/>
    <xf numFmtId="0" fontId="61" fillId="0" borderId="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316" fontId="66" fillId="0" borderId="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304" fillId="0" borderId="0"/>
    <xf numFmtId="316" fontId="66" fillId="0" borderId="0" applyFill="0" applyBorder="0" applyAlignment="0" applyProtection="0"/>
    <xf numFmtId="0" fontId="304" fillId="0" borderId="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304"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6" fillId="0" borderId="0" applyFont="0" applyFill="0" applyBorder="0" applyAlignment="0" applyProtection="0"/>
    <xf numFmtId="0" fontId="66" fillId="0" borderId="0" applyFont="0" applyFill="0" applyBorder="0" applyAlignment="0" applyProtection="0"/>
    <xf numFmtId="0" fontId="304"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6" fillId="0" borderId="0"/>
    <xf numFmtId="0" fontId="61" fillId="0" borderId="0"/>
    <xf numFmtId="0" fontId="61" fillId="0" borderId="0"/>
    <xf numFmtId="0" fontId="61" fillId="0" borderId="0"/>
    <xf numFmtId="0" fontId="61" fillId="0" borderId="0"/>
    <xf numFmtId="0" fontId="61" fillId="0" borderId="0"/>
    <xf numFmtId="0" fontId="304"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304"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92" fillId="0" borderId="0"/>
    <xf numFmtId="0" fontId="61" fillId="0" borderId="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71" fillId="0" borderId="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71" fillId="0" borderId="0"/>
    <xf numFmtId="0" fontId="61" fillId="0" borderId="0"/>
    <xf numFmtId="0" fontId="66" fillId="0" borderId="0" applyFont="0" applyFill="0" applyBorder="0" applyAlignment="0" applyProtection="0"/>
    <xf numFmtId="316" fontId="66" fillId="0" borderId="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304" fillId="0" borderId="0"/>
    <xf numFmtId="316" fontId="66" fillId="0" borderId="0" applyFill="0" applyBorder="0" applyAlignment="0" applyProtection="0"/>
    <xf numFmtId="0" fontId="304" fillId="0" borderId="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304" fillId="0" borderId="0"/>
    <xf numFmtId="0" fontId="61" fillId="0" borderId="0"/>
    <xf numFmtId="0" fontId="66" fillId="0" borderId="0" applyFont="0" applyFill="0" applyBorder="0" applyAlignment="0" applyProtection="0"/>
    <xf numFmtId="316" fontId="66" fillId="0" borderId="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304" fillId="0" borderId="0"/>
    <xf numFmtId="316" fontId="66" fillId="0" borderId="0" applyFill="0" applyBorder="0" applyAlignment="0" applyProtection="0"/>
    <xf numFmtId="0" fontId="304" fillId="0" borderId="0"/>
    <xf numFmtId="0" fontId="66" fillId="0" borderId="0" applyFont="0" applyFill="0" applyBorder="0" applyAlignment="0" applyProtection="0"/>
    <xf numFmtId="0" fontId="66" fillId="0" borderId="0"/>
    <xf numFmtId="0" fontId="66" fillId="0" borderId="0"/>
    <xf numFmtId="0" fontId="304"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304"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304"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304"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6" fillId="0" borderId="0" applyFont="0" applyFill="0" applyBorder="0" applyAlignment="0" applyProtection="0"/>
    <xf numFmtId="0" fontId="61" fillId="0" borderId="0"/>
    <xf numFmtId="0" fontId="61" fillId="0" borderId="0"/>
    <xf numFmtId="0" fontId="61" fillId="0" borderId="0"/>
    <xf numFmtId="0" fontId="304"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304" fillId="0" borderId="0"/>
    <xf numFmtId="0" fontId="61" fillId="0" borderId="0"/>
    <xf numFmtId="0" fontId="61" fillId="0" borderId="0"/>
    <xf numFmtId="0" fontId="66" fillId="0" borderId="0" applyFont="0" applyFill="0" applyBorder="0" applyAlignment="0" applyProtection="0"/>
    <xf numFmtId="0" fontId="304" fillId="0" borderId="0"/>
    <xf numFmtId="0" fontId="61" fillId="0" borderId="0"/>
    <xf numFmtId="0" fontId="61" fillId="0" borderId="0"/>
    <xf numFmtId="0" fontId="61" fillId="0" borderId="0"/>
    <xf numFmtId="0" fontId="61" fillId="0" borderId="0"/>
    <xf numFmtId="0" fontId="61" fillId="0" borderId="0"/>
    <xf numFmtId="0" fontId="61" fillId="0" borderId="0"/>
    <xf numFmtId="0" fontId="230" fillId="0" borderId="0"/>
    <xf numFmtId="0" fontId="305"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304"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316" fontId="66" fillId="0" borderId="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304" fillId="0" borderId="0"/>
    <xf numFmtId="316" fontId="66" fillId="0" borderId="0" applyFill="0" applyBorder="0" applyAlignment="0" applyProtection="0"/>
    <xf numFmtId="0" fontId="304"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1" fillId="0" borderId="0"/>
    <xf numFmtId="0" fontId="61" fillId="0" borderId="0"/>
    <xf numFmtId="0" fontId="61" fillId="0" borderId="0"/>
    <xf numFmtId="0" fontId="61" fillId="0" borderId="0"/>
    <xf numFmtId="0" fontId="61" fillId="0" borderId="0"/>
    <xf numFmtId="0" fontId="304" fillId="0" borderId="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316" fontId="66" fillId="0" borderId="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304" fillId="0" borderId="0"/>
    <xf numFmtId="316" fontId="66" fillId="0" borderId="0" applyFill="0" applyBorder="0" applyAlignment="0" applyProtection="0"/>
    <xf numFmtId="0" fontId="304" fillId="0" borderId="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304" fillId="0" borderId="0"/>
    <xf numFmtId="316" fontId="66" fillId="0" borderId="0" applyFill="0" applyBorder="0" applyAlignment="0" applyProtection="0"/>
    <xf numFmtId="0" fontId="61" fillId="0" borderId="0"/>
    <xf numFmtId="316" fontId="66" fillId="0" borderId="0" applyFill="0" applyBorder="0" applyAlignment="0" applyProtection="0"/>
    <xf numFmtId="316" fontId="66" fillId="0" borderId="0" applyFill="0" applyBorder="0" applyAlignment="0" applyProtection="0"/>
    <xf numFmtId="0" fontId="304" fillId="0" borderId="0"/>
    <xf numFmtId="0" fontId="61" fillId="0" borderId="0"/>
    <xf numFmtId="0" fontId="304" fillId="0" borderId="0"/>
    <xf numFmtId="316" fontId="66" fillId="0" borderId="0" applyFill="0" applyBorder="0" applyAlignment="0" applyProtection="0"/>
    <xf numFmtId="316" fontId="66" fillId="0" borderId="0" applyFill="0" applyBorder="0" applyAlignment="0" applyProtection="0"/>
    <xf numFmtId="316" fontId="66" fillId="0" borderId="0" applyFill="0" applyBorder="0" applyAlignment="0" applyProtection="0"/>
    <xf numFmtId="0" fontId="304" fillId="0" borderId="0"/>
    <xf numFmtId="0" fontId="66" fillId="0" borderId="0"/>
    <xf numFmtId="316" fontId="66" fillId="0" borderId="0" applyFill="0" applyBorder="0" applyAlignment="0" applyProtection="0"/>
    <xf numFmtId="316" fontId="66" fillId="0" borderId="0" applyFill="0" applyBorder="0" applyAlignment="0" applyProtection="0"/>
    <xf numFmtId="0" fontId="66" fillId="0" borderId="0"/>
    <xf numFmtId="0" fontId="66" fillId="0" borderId="0"/>
    <xf numFmtId="0" fontId="304" fillId="0" borderId="0"/>
    <xf numFmtId="0" fontId="66" fillId="0" borderId="0"/>
    <xf numFmtId="0" fontId="66" fillId="0" borderId="0"/>
    <xf numFmtId="0" fontId="304" fillId="0" borderId="0"/>
    <xf numFmtId="316" fontId="66" fillId="0" borderId="0" applyFill="0" applyBorder="0" applyAlignment="0" applyProtection="0"/>
    <xf numFmtId="0" fontId="304" fillId="0" borderId="0"/>
    <xf numFmtId="0" fontId="61" fillId="0" borderId="0"/>
    <xf numFmtId="0" fontId="61" fillId="0" borderId="0"/>
    <xf numFmtId="0" fontId="304" fillId="0" borderId="0"/>
    <xf numFmtId="0" fontId="61" fillId="0" borderId="0"/>
    <xf numFmtId="0" fontId="61" fillId="0" borderId="0"/>
    <xf numFmtId="0" fontId="304" fillId="0" borderId="0"/>
    <xf numFmtId="0" fontId="61" fillId="0" borderId="0"/>
    <xf numFmtId="0" fontId="66" fillId="0" borderId="0"/>
    <xf numFmtId="0" fontId="304"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304"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304"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225" fillId="0" borderId="0"/>
    <xf numFmtId="0" fontId="230"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1"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1" fillId="0" borderId="0"/>
    <xf numFmtId="0" fontId="61" fillId="0" borderId="0"/>
    <xf numFmtId="0" fontId="60" fillId="0" borderId="0"/>
    <xf numFmtId="0" fontId="66" fillId="0" borderId="0"/>
    <xf numFmtId="0" fontId="66"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316" fontId="66" fillId="0" borderId="0" applyFill="0" applyBorder="0" applyAlignment="0" applyProtection="0"/>
    <xf numFmtId="274"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316" fontId="66" fillId="0" borderId="0" applyFill="0" applyBorder="0" applyAlignment="0" applyProtection="0"/>
    <xf numFmtId="316" fontId="66" fillId="0" borderId="0" applyFill="0" applyBorder="0" applyAlignment="0" applyProtection="0"/>
    <xf numFmtId="0" fontId="304"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274" fontId="61" fillId="0" borderId="0"/>
    <xf numFmtId="0" fontId="304"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316" fontId="66" fillId="0" borderId="0" applyFill="0" applyBorder="0" applyAlignment="0" applyProtection="0"/>
    <xf numFmtId="316" fontId="66" fillId="0" borderId="0" applyFill="0" applyBorder="0" applyAlignment="0" applyProtection="0"/>
    <xf numFmtId="316" fontId="66" fillId="0" borderId="0" applyFill="0" applyBorder="0" applyAlignment="0" applyProtection="0"/>
    <xf numFmtId="316" fontId="66" fillId="0" borderId="0" applyFill="0" applyBorder="0" applyAlignment="0" applyProtection="0"/>
    <xf numFmtId="316" fontId="66" fillId="0" borderId="0" applyFill="0" applyBorder="0" applyAlignment="0" applyProtection="0"/>
    <xf numFmtId="0" fontId="61" fillId="0" borderId="0"/>
    <xf numFmtId="316" fontId="66" fillId="0" borderId="0" applyFill="0" applyBorder="0" applyAlignment="0" applyProtection="0"/>
    <xf numFmtId="0" fontId="61" fillId="0" borderId="0"/>
    <xf numFmtId="0" fontId="61" fillId="0" borderId="0"/>
    <xf numFmtId="0" fontId="61" fillId="0" borderId="0"/>
    <xf numFmtId="0" fontId="61" fillId="0" borderId="0"/>
    <xf numFmtId="0" fontId="304"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241" fontId="66" fillId="0" borderId="0"/>
    <xf numFmtId="179" fontId="66" fillId="0" borderId="0"/>
    <xf numFmtId="178" fontId="66" fillId="0" borderId="0"/>
    <xf numFmtId="0" fontId="304" fillId="0" borderId="0"/>
    <xf numFmtId="0" fontId="304"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316" fontId="66" fillId="0" borderId="0" applyFill="0" applyBorder="0" applyAlignment="0" applyProtection="0"/>
    <xf numFmtId="316" fontId="66" fillId="0" borderId="0" applyFill="0" applyBorder="0" applyAlignment="0" applyProtection="0"/>
    <xf numFmtId="316" fontId="66" fillId="0" borderId="0" applyFill="0" applyBorder="0" applyAlignment="0" applyProtection="0"/>
    <xf numFmtId="0" fontId="66" fillId="0" borderId="0"/>
    <xf numFmtId="0" fontId="225" fillId="0" borderId="0"/>
    <xf numFmtId="0" fontId="225" fillId="0" borderId="0"/>
    <xf numFmtId="0" fontId="66" fillId="0" borderId="0"/>
    <xf numFmtId="0" fontId="66" fillId="0" borderId="0"/>
    <xf numFmtId="0" fontId="66" fillId="0" borderId="0"/>
    <xf numFmtId="0" fontId="66" fillId="0" borderId="0"/>
    <xf numFmtId="0" fontId="304" fillId="0" borderId="0"/>
    <xf numFmtId="274" fontId="66" fillId="0" borderId="0"/>
    <xf numFmtId="274" fontId="66" fillId="0" borderId="0"/>
    <xf numFmtId="274" fontId="66" fillId="0" borderId="0"/>
    <xf numFmtId="274" fontId="66" fillId="0" borderId="0"/>
    <xf numFmtId="274" fontId="66" fillId="0" borderId="0"/>
    <xf numFmtId="274" fontId="66" fillId="0" borderId="0"/>
    <xf numFmtId="274" fontId="66" fillId="0" borderId="0"/>
    <xf numFmtId="274" fontId="66" fillId="0" borderId="0"/>
    <xf numFmtId="274" fontId="66" fillId="0" borderId="0"/>
    <xf numFmtId="274" fontId="66" fillId="0" borderId="0"/>
    <xf numFmtId="274" fontId="63" fillId="0" borderId="0"/>
    <xf numFmtId="0" fontId="61" fillId="0" borderId="0"/>
    <xf numFmtId="316" fontId="66" fillId="0" borderId="0" applyFill="0" applyBorder="0" applyAlignment="0" applyProtection="0"/>
    <xf numFmtId="316" fontId="66" fillId="0" borderId="0" applyFill="0" applyBorder="0" applyAlignment="0" applyProtection="0"/>
    <xf numFmtId="0" fontId="304" fillId="0" borderId="0"/>
    <xf numFmtId="0" fontId="61" fillId="0" borderId="0"/>
    <xf numFmtId="0" fontId="304" fillId="0" borderId="0"/>
    <xf numFmtId="274" fontId="66" fillId="0" borderId="0"/>
    <xf numFmtId="274" fontId="66" fillId="0" borderId="0"/>
    <xf numFmtId="274" fontId="66" fillId="0" borderId="0"/>
    <xf numFmtId="274" fontId="66" fillId="0" borderId="0"/>
    <xf numFmtId="274" fontId="66" fillId="0" borderId="0"/>
    <xf numFmtId="274" fontId="66" fillId="0" borderId="0"/>
    <xf numFmtId="274" fontId="66" fillId="0" borderId="0"/>
    <xf numFmtId="274" fontId="66" fillId="0" borderId="0"/>
    <xf numFmtId="274" fontId="66" fillId="0" borderId="0"/>
    <xf numFmtId="274" fontId="66" fillId="0" borderId="0"/>
    <xf numFmtId="274" fontId="66" fillId="0" borderId="0"/>
    <xf numFmtId="274" fontId="66" fillId="0" borderId="0"/>
    <xf numFmtId="274" fontId="66" fillId="0" borderId="0"/>
    <xf numFmtId="274" fontId="66" fillId="0" borderId="0"/>
    <xf numFmtId="274" fontId="66" fillId="0" borderId="0"/>
    <xf numFmtId="274" fontId="66" fillId="0" borderId="0"/>
    <xf numFmtId="274" fontId="66" fillId="0" borderId="0"/>
    <xf numFmtId="274" fontId="66" fillId="0" borderId="0"/>
    <xf numFmtId="274" fontId="66" fillId="0" borderId="0"/>
    <xf numFmtId="274" fontId="66" fillId="0" borderId="0"/>
    <xf numFmtId="274" fontId="66" fillId="0" borderId="0"/>
    <xf numFmtId="274" fontId="66" fillId="0" borderId="0"/>
    <xf numFmtId="274" fontId="66" fillId="0" borderId="0"/>
    <xf numFmtId="274" fontId="66" fillId="0" borderId="0"/>
    <xf numFmtId="274" fontId="66" fillId="0" borderId="0"/>
    <xf numFmtId="274" fontId="66" fillId="0" borderId="0"/>
    <xf numFmtId="0" fontId="225" fillId="0" borderId="0"/>
    <xf numFmtId="274" fontId="66" fillId="0" borderId="0"/>
    <xf numFmtId="274" fontId="66" fillId="0" borderId="0"/>
    <xf numFmtId="274" fontId="66" fillId="0" borderId="0"/>
    <xf numFmtId="274" fontId="66" fillId="0" borderId="0"/>
    <xf numFmtId="274" fontId="66" fillId="0" borderId="0"/>
    <xf numFmtId="0" fontId="304" fillId="0" borderId="0"/>
    <xf numFmtId="316" fontId="66" fillId="0" borderId="0" applyFill="0" applyBorder="0" applyAlignment="0" applyProtection="0"/>
    <xf numFmtId="316" fontId="66" fillId="0" borderId="0" applyFill="0" applyBorder="0" applyAlignment="0" applyProtection="0"/>
    <xf numFmtId="316" fontId="66" fillId="0" borderId="0" applyFill="0" applyBorder="0" applyAlignment="0" applyProtection="0"/>
    <xf numFmtId="316" fontId="66" fillId="0" borderId="0" applyFill="0" applyBorder="0" applyAlignment="0" applyProtection="0"/>
    <xf numFmtId="316" fontId="66" fillId="0" borderId="0" applyFill="0" applyBorder="0" applyAlignment="0" applyProtection="0"/>
    <xf numFmtId="316" fontId="66" fillId="0" borderId="0" applyFill="0" applyBorder="0" applyAlignment="0" applyProtection="0"/>
    <xf numFmtId="316" fontId="66" fillId="0" borderId="0" applyFill="0" applyBorder="0" applyAlignment="0" applyProtection="0"/>
    <xf numFmtId="316" fontId="66" fillId="0" borderId="0" applyFill="0" applyBorder="0" applyAlignment="0" applyProtection="0"/>
    <xf numFmtId="316" fontId="66" fillId="0" borderId="0" applyFill="0" applyBorder="0" applyAlignment="0" applyProtection="0"/>
    <xf numFmtId="316" fontId="66" fillId="0" borderId="0" applyFill="0" applyBorder="0" applyAlignment="0" applyProtection="0"/>
    <xf numFmtId="316" fontId="66" fillId="0" borderId="0" applyFill="0" applyBorder="0" applyAlignment="0" applyProtection="0"/>
    <xf numFmtId="316" fontId="66" fillId="0" borderId="0" applyFill="0" applyBorder="0" applyAlignment="0" applyProtection="0"/>
    <xf numFmtId="316" fontId="66" fillId="0" borderId="0" applyFill="0" applyBorder="0" applyAlignment="0" applyProtection="0"/>
    <xf numFmtId="316" fontId="66" fillId="0" borderId="0" applyFill="0" applyBorder="0" applyAlignment="0" applyProtection="0"/>
    <xf numFmtId="316" fontId="66" fillId="0" borderId="0" applyFill="0" applyBorder="0" applyAlignment="0" applyProtection="0"/>
    <xf numFmtId="316" fontId="66" fillId="0" borderId="0" applyFill="0" applyBorder="0" applyAlignment="0" applyProtection="0"/>
    <xf numFmtId="316" fontId="66" fillId="0" borderId="0" applyFill="0" applyBorder="0" applyAlignment="0" applyProtection="0"/>
    <xf numFmtId="316" fontId="66" fillId="0" borderId="0" applyFill="0" applyBorder="0" applyAlignment="0" applyProtection="0"/>
    <xf numFmtId="316" fontId="66" fillId="0" borderId="0" applyFill="0" applyBorder="0" applyAlignment="0" applyProtection="0"/>
    <xf numFmtId="316" fontId="66" fillId="0" borderId="0" applyFill="0" applyBorder="0" applyAlignment="0" applyProtection="0"/>
    <xf numFmtId="316" fontId="66" fillId="0" borderId="0" applyFill="0" applyBorder="0" applyAlignment="0" applyProtection="0"/>
    <xf numFmtId="316" fontId="66" fillId="0" borderId="0" applyFill="0" applyBorder="0" applyAlignment="0" applyProtection="0"/>
    <xf numFmtId="316" fontId="66" fillId="0" borderId="0" applyFill="0" applyBorder="0" applyAlignment="0" applyProtection="0"/>
    <xf numFmtId="316" fontId="66" fillId="0" borderId="0" applyFill="0" applyBorder="0" applyAlignment="0" applyProtection="0"/>
    <xf numFmtId="316" fontId="66" fillId="0" borderId="0" applyFill="0" applyBorder="0" applyAlignment="0" applyProtection="0"/>
    <xf numFmtId="316" fontId="66" fillId="0" borderId="0" applyFill="0" applyBorder="0" applyAlignment="0" applyProtection="0"/>
    <xf numFmtId="316" fontId="66" fillId="0" borderId="0" applyFill="0" applyBorder="0" applyAlignment="0" applyProtection="0"/>
    <xf numFmtId="316" fontId="66" fillId="0" borderId="0" applyFill="0" applyBorder="0" applyAlignment="0" applyProtection="0"/>
    <xf numFmtId="316" fontId="66" fillId="0" borderId="0" applyFill="0" applyBorder="0" applyAlignment="0" applyProtection="0"/>
    <xf numFmtId="316" fontId="66" fillId="0" borderId="0" applyFill="0" applyBorder="0" applyAlignment="0" applyProtection="0"/>
    <xf numFmtId="316" fontId="66" fillId="0" borderId="0" applyFill="0" applyBorder="0" applyAlignment="0" applyProtection="0"/>
    <xf numFmtId="316" fontId="66" fillId="0" borderId="0" applyFill="0" applyBorder="0" applyAlignment="0" applyProtection="0"/>
    <xf numFmtId="316" fontId="66" fillId="0" borderId="0" applyFill="0" applyBorder="0" applyAlignment="0" applyProtection="0"/>
    <xf numFmtId="316" fontId="66" fillId="0" borderId="0" applyFill="0" applyBorder="0" applyAlignment="0" applyProtection="0"/>
    <xf numFmtId="316" fontId="66" fillId="0" borderId="0" applyFill="0" applyBorder="0" applyAlignment="0" applyProtection="0"/>
    <xf numFmtId="316" fontId="66" fillId="0" borderId="0" applyFill="0" applyBorder="0" applyAlignment="0" applyProtection="0"/>
    <xf numFmtId="316" fontId="66" fillId="0" borderId="0" applyFill="0" applyBorder="0" applyAlignment="0" applyProtection="0"/>
    <xf numFmtId="316" fontId="66" fillId="0" borderId="0" applyFill="0" applyBorder="0" applyAlignment="0" applyProtection="0"/>
    <xf numFmtId="316" fontId="66" fillId="0" borderId="0" applyFill="0" applyBorder="0" applyAlignment="0" applyProtection="0"/>
    <xf numFmtId="0" fontId="304" fillId="0" borderId="0"/>
    <xf numFmtId="0" fontId="272" fillId="0" borderId="0"/>
    <xf numFmtId="236" fontId="66" fillId="0" borderId="0" applyFont="0" applyFill="0" applyBorder="0" applyAlignment="0" applyProtection="0"/>
    <xf numFmtId="0" fontId="222" fillId="0" borderId="0"/>
    <xf numFmtId="237" fontId="240" fillId="0" borderId="0"/>
    <xf numFmtId="0" fontId="306" fillId="0" borderId="0"/>
    <xf numFmtId="0" fontId="66" fillId="0" borderId="0">
      <alignment horizontal="left"/>
    </xf>
    <xf numFmtId="236" fontId="279" fillId="0" borderId="0">
      <protection locked="0"/>
    </xf>
    <xf numFmtId="0" fontId="61" fillId="8" borderId="8" applyNumberFormat="0" applyFont="0" applyAlignment="0" applyProtection="0"/>
    <xf numFmtId="0" fontId="61" fillId="8" borderId="8" applyNumberFormat="0" applyFont="0" applyAlignment="0" applyProtection="0"/>
    <xf numFmtId="0" fontId="61" fillId="8" borderId="8" applyNumberFormat="0" applyFont="0" applyAlignment="0" applyProtection="0"/>
    <xf numFmtId="0" fontId="61" fillId="8" borderId="8" applyNumberFormat="0" applyFont="0" applyAlignment="0" applyProtection="0"/>
    <xf numFmtId="0" fontId="61" fillId="8" borderId="8" applyNumberFormat="0" applyFont="0" applyAlignment="0" applyProtection="0"/>
    <xf numFmtId="0" fontId="61" fillId="8" borderId="8" applyNumberFormat="0" applyFont="0" applyAlignment="0" applyProtection="0"/>
    <xf numFmtId="0" fontId="61" fillId="8" borderId="8" applyNumberFormat="0" applyFont="0" applyAlignment="0" applyProtection="0"/>
    <xf numFmtId="0" fontId="61" fillId="8" borderId="8" applyNumberFormat="0" applyFont="0" applyAlignment="0" applyProtection="0"/>
    <xf numFmtId="0" fontId="61" fillId="8" borderId="8" applyNumberFormat="0" applyFont="0" applyAlignment="0" applyProtection="0"/>
    <xf numFmtId="0" fontId="61" fillId="8" borderId="8" applyNumberFormat="0" applyFont="0" applyAlignment="0" applyProtection="0"/>
    <xf numFmtId="274" fontId="61" fillId="8" borderId="8" applyNumberFormat="0" applyFont="0" applyAlignment="0" applyProtection="0"/>
    <xf numFmtId="274" fontId="61" fillId="8" borderId="8" applyNumberFormat="0" applyFont="0" applyAlignment="0" applyProtection="0"/>
    <xf numFmtId="274" fontId="61" fillId="8" borderId="8" applyNumberFormat="0" applyFont="0" applyAlignment="0" applyProtection="0"/>
    <xf numFmtId="274" fontId="61" fillId="8" borderId="8" applyNumberFormat="0" applyFont="0" applyAlignment="0" applyProtection="0"/>
    <xf numFmtId="274" fontId="61" fillId="8" borderId="8" applyNumberFormat="0" applyFont="0" applyAlignment="0" applyProtection="0"/>
    <xf numFmtId="274" fontId="61" fillId="8" borderId="8" applyNumberFormat="0" applyFont="0" applyAlignment="0" applyProtection="0"/>
    <xf numFmtId="274" fontId="61" fillId="8" borderId="8" applyNumberFormat="0" applyFont="0" applyAlignment="0" applyProtection="0"/>
    <xf numFmtId="274" fontId="61" fillId="8" borderId="8" applyNumberFormat="0" applyFont="0" applyAlignment="0" applyProtection="0"/>
    <xf numFmtId="274" fontId="61" fillId="8" borderId="8" applyNumberFormat="0" applyFont="0" applyAlignment="0" applyProtection="0"/>
    <xf numFmtId="274" fontId="61" fillId="8" borderId="8" applyNumberFormat="0" applyFont="0" applyAlignment="0" applyProtection="0"/>
    <xf numFmtId="274" fontId="61" fillId="8" borderId="8" applyNumberFormat="0" applyFont="0" applyAlignment="0" applyProtection="0"/>
    <xf numFmtId="274" fontId="61" fillId="8" borderId="8" applyNumberFormat="0" applyFont="0" applyAlignment="0" applyProtection="0"/>
    <xf numFmtId="274" fontId="61" fillId="8" borderId="8" applyNumberFormat="0" applyFont="0" applyAlignment="0" applyProtection="0"/>
    <xf numFmtId="274" fontId="61" fillId="8" borderId="8" applyNumberFormat="0" applyFont="0" applyAlignment="0" applyProtection="0"/>
    <xf numFmtId="274" fontId="61" fillId="8" borderId="8" applyNumberFormat="0" applyFont="0" applyAlignment="0" applyProtection="0"/>
    <xf numFmtId="274" fontId="61" fillId="8" borderId="8" applyNumberFormat="0" applyFont="0" applyAlignment="0" applyProtection="0"/>
    <xf numFmtId="274" fontId="61" fillId="8" borderId="8" applyNumberFormat="0" applyFont="0" applyAlignment="0" applyProtection="0"/>
    <xf numFmtId="274" fontId="61" fillId="8" borderId="8" applyNumberFormat="0" applyFont="0" applyAlignment="0" applyProtection="0"/>
    <xf numFmtId="274" fontId="61" fillId="8" borderId="8" applyNumberFormat="0" applyFont="0" applyAlignment="0" applyProtection="0"/>
    <xf numFmtId="274" fontId="61" fillId="8" borderId="8" applyNumberFormat="0" applyFont="0" applyAlignment="0" applyProtection="0"/>
    <xf numFmtId="274" fontId="61" fillId="8" borderId="8" applyNumberFormat="0" applyFont="0" applyAlignment="0" applyProtection="0"/>
    <xf numFmtId="274" fontId="61" fillId="8" borderId="8" applyNumberFormat="0" applyFont="0" applyAlignment="0" applyProtection="0"/>
    <xf numFmtId="274" fontId="61" fillId="8" borderId="8" applyNumberFormat="0" applyFont="0" applyAlignment="0" applyProtection="0"/>
    <xf numFmtId="274" fontId="61" fillId="8" borderId="8" applyNumberFormat="0" applyFont="0" applyAlignment="0" applyProtection="0"/>
    <xf numFmtId="274" fontId="61" fillId="8" borderId="8" applyNumberFormat="0" applyFont="0" applyAlignment="0" applyProtection="0"/>
    <xf numFmtId="274" fontId="61" fillId="8" borderId="8" applyNumberFormat="0" applyFont="0" applyAlignment="0" applyProtection="0"/>
    <xf numFmtId="274" fontId="61" fillId="8" borderId="8" applyNumberFormat="0" applyFont="0" applyAlignment="0" applyProtection="0"/>
    <xf numFmtId="274" fontId="61" fillId="8" borderId="8" applyNumberFormat="0" applyFont="0" applyAlignment="0" applyProtection="0"/>
    <xf numFmtId="274" fontId="61" fillId="8" borderId="8" applyNumberFormat="0" applyFont="0" applyAlignment="0" applyProtection="0"/>
    <xf numFmtId="274" fontId="61" fillId="8" borderId="8" applyNumberFormat="0" applyFont="0" applyAlignment="0" applyProtection="0"/>
    <xf numFmtId="274" fontId="61" fillId="8" borderId="8" applyNumberFormat="0" applyFont="0" applyAlignment="0" applyProtection="0"/>
    <xf numFmtId="274" fontId="61" fillId="8" borderId="8" applyNumberFormat="0" applyFont="0" applyAlignment="0" applyProtection="0"/>
    <xf numFmtId="274" fontId="61" fillId="8" borderId="8" applyNumberFormat="0" applyFont="0" applyAlignment="0" applyProtection="0"/>
    <xf numFmtId="274" fontId="61" fillId="8" borderId="8" applyNumberFormat="0" applyFont="0" applyAlignment="0" applyProtection="0"/>
    <xf numFmtId="274" fontId="61" fillId="8" borderId="8" applyNumberFormat="0" applyFont="0" applyAlignment="0" applyProtection="0"/>
    <xf numFmtId="274" fontId="61" fillId="8" borderId="8" applyNumberFormat="0" applyFont="0" applyAlignment="0" applyProtection="0"/>
    <xf numFmtId="274" fontId="61" fillId="8" borderId="8" applyNumberFormat="0" applyFont="0" applyAlignment="0" applyProtection="0"/>
    <xf numFmtId="274" fontId="61" fillId="8" borderId="8" applyNumberFormat="0" applyFont="0" applyAlignment="0" applyProtection="0"/>
    <xf numFmtId="274" fontId="61" fillId="8" borderId="8" applyNumberFormat="0" applyFont="0" applyAlignment="0" applyProtection="0"/>
    <xf numFmtId="274" fontId="61" fillId="8" borderId="8" applyNumberFormat="0" applyFont="0" applyAlignment="0" applyProtection="0"/>
    <xf numFmtId="274" fontId="61" fillId="8" borderId="8" applyNumberFormat="0" applyFont="0" applyAlignment="0" applyProtection="0"/>
    <xf numFmtId="274" fontId="61" fillId="8" borderId="8" applyNumberFormat="0" applyFont="0" applyAlignment="0" applyProtection="0"/>
    <xf numFmtId="0" fontId="304" fillId="0" borderId="0"/>
    <xf numFmtId="0" fontId="61" fillId="8" borderId="8" applyNumberFormat="0" applyFont="0" applyAlignment="0" applyProtection="0"/>
    <xf numFmtId="0" fontId="61" fillId="8" borderId="8" applyNumberFormat="0" applyFont="0" applyAlignment="0" applyProtection="0"/>
    <xf numFmtId="0" fontId="61" fillId="8" borderId="8" applyNumberFormat="0" applyFont="0" applyAlignment="0" applyProtection="0"/>
    <xf numFmtId="0" fontId="61" fillId="8" borderId="8" applyNumberFormat="0" applyFont="0" applyAlignment="0" applyProtection="0"/>
    <xf numFmtId="0" fontId="61" fillId="8" borderId="8" applyNumberFormat="0" applyFont="0" applyAlignment="0" applyProtection="0"/>
    <xf numFmtId="0" fontId="61" fillId="8" borderId="8" applyNumberFormat="0" applyFont="0" applyAlignment="0" applyProtection="0"/>
    <xf numFmtId="0" fontId="61" fillId="8" borderId="8" applyNumberFormat="0" applyFont="0" applyAlignment="0" applyProtection="0"/>
    <xf numFmtId="0" fontId="61" fillId="8" borderId="8" applyNumberFormat="0" applyFont="0" applyAlignment="0" applyProtection="0"/>
    <xf numFmtId="0" fontId="61" fillId="8" borderId="8" applyNumberFormat="0" applyFont="0" applyAlignment="0" applyProtection="0"/>
    <xf numFmtId="0" fontId="61" fillId="8" borderId="8" applyNumberFormat="0" applyFont="0" applyAlignment="0" applyProtection="0"/>
    <xf numFmtId="0" fontId="61" fillId="8" borderId="8" applyNumberFormat="0" applyFont="0" applyAlignment="0" applyProtection="0"/>
    <xf numFmtId="0" fontId="61" fillId="8" borderId="8" applyNumberFormat="0" applyFont="0" applyAlignment="0" applyProtection="0"/>
    <xf numFmtId="0" fontId="61" fillId="8" borderId="8" applyNumberFormat="0" applyFont="0" applyAlignment="0" applyProtection="0"/>
    <xf numFmtId="0" fontId="61" fillId="8" borderId="8" applyNumberFormat="0" applyFont="0" applyAlignment="0" applyProtection="0"/>
    <xf numFmtId="0" fontId="61" fillId="8" borderId="8" applyNumberFormat="0" applyFont="0" applyAlignment="0" applyProtection="0"/>
    <xf numFmtId="0" fontId="61" fillId="8" borderId="8" applyNumberFormat="0" applyFont="0" applyAlignment="0" applyProtection="0"/>
    <xf numFmtId="0" fontId="61" fillId="8" borderId="8" applyNumberFormat="0" applyFont="0" applyAlignment="0" applyProtection="0"/>
    <xf numFmtId="0" fontId="61" fillId="8" borderId="8" applyNumberFormat="0" applyFont="0" applyAlignment="0" applyProtection="0"/>
    <xf numFmtId="0" fontId="61" fillId="8" borderId="8" applyNumberFormat="0" applyFont="0" applyAlignment="0" applyProtection="0"/>
    <xf numFmtId="0" fontId="61" fillId="8" borderId="8" applyNumberFormat="0" applyFont="0" applyAlignment="0" applyProtection="0"/>
    <xf numFmtId="0" fontId="61" fillId="8" borderId="8" applyNumberFormat="0" applyFont="0" applyAlignment="0" applyProtection="0"/>
    <xf numFmtId="0" fontId="61" fillId="8" borderId="8" applyNumberFormat="0" applyFont="0" applyAlignment="0" applyProtection="0"/>
    <xf numFmtId="0" fontId="61" fillId="8" borderId="8" applyNumberFormat="0" applyFont="0" applyAlignment="0" applyProtection="0"/>
    <xf numFmtId="0" fontId="61" fillId="8" borderId="8" applyNumberFormat="0" applyFont="0" applyAlignment="0" applyProtection="0"/>
    <xf numFmtId="0" fontId="61" fillId="8" borderId="8" applyNumberFormat="0" applyFont="0" applyAlignment="0" applyProtection="0"/>
    <xf numFmtId="0" fontId="61" fillId="8" borderId="8" applyNumberFormat="0" applyFont="0" applyAlignment="0" applyProtection="0"/>
    <xf numFmtId="0" fontId="61" fillId="8" borderId="8" applyNumberFormat="0" applyFont="0" applyAlignment="0" applyProtection="0"/>
    <xf numFmtId="0" fontId="61" fillId="8" borderId="8" applyNumberFormat="0" applyFont="0" applyAlignment="0" applyProtection="0"/>
    <xf numFmtId="0" fontId="61" fillId="8" borderId="8" applyNumberFormat="0" applyFont="0" applyAlignment="0" applyProtection="0"/>
    <xf numFmtId="0" fontId="61" fillId="8" borderId="8" applyNumberFormat="0" applyFont="0" applyAlignment="0" applyProtection="0"/>
    <xf numFmtId="0" fontId="61" fillId="8" borderId="8" applyNumberFormat="0" applyFont="0" applyAlignment="0" applyProtection="0"/>
    <xf numFmtId="0" fontId="61" fillId="8" borderId="8" applyNumberFormat="0" applyFont="0" applyAlignment="0" applyProtection="0"/>
    <xf numFmtId="0" fontId="304" fillId="0" borderId="0"/>
    <xf numFmtId="0" fontId="66" fillId="0" borderId="0"/>
    <xf numFmtId="3" fontId="150" fillId="0" borderId="0">
      <alignment horizontal="right"/>
    </xf>
    <xf numFmtId="1" fontId="150" fillId="0" borderId="0">
      <alignment horizontal="right"/>
    </xf>
    <xf numFmtId="3" fontId="150" fillId="0" borderId="0">
      <alignment horizontal="right"/>
    </xf>
    <xf numFmtId="3" fontId="150" fillId="0" borderId="0">
      <alignment horizontal="right"/>
    </xf>
    <xf numFmtId="3" fontId="150" fillId="0" borderId="0">
      <alignment horizontal="right"/>
    </xf>
    <xf numFmtId="3" fontId="150" fillId="0" borderId="0">
      <alignment horizontal="right"/>
    </xf>
    <xf numFmtId="3" fontId="150" fillId="0" borderId="0">
      <alignment horizontal="right"/>
    </xf>
    <xf numFmtId="3" fontId="150" fillId="0" borderId="0">
      <alignment horizontal="right"/>
    </xf>
    <xf numFmtId="3" fontId="150" fillId="0" borderId="0">
      <alignment horizontal="right"/>
    </xf>
    <xf numFmtId="3" fontId="150" fillId="0" borderId="0">
      <alignment horizontal="right"/>
    </xf>
    <xf numFmtId="3" fontId="150" fillId="0" borderId="0">
      <alignment horizontal="right"/>
    </xf>
    <xf numFmtId="3" fontId="150" fillId="0" borderId="0">
      <alignment horizontal="right"/>
    </xf>
    <xf numFmtId="3" fontId="150" fillId="0" borderId="0">
      <alignment horizontal="right"/>
    </xf>
    <xf numFmtId="3" fontId="150" fillId="0" borderId="0">
      <alignment horizontal="right"/>
    </xf>
    <xf numFmtId="3" fontId="150" fillId="0" borderId="0">
      <alignment horizontal="right"/>
    </xf>
    <xf numFmtId="3" fontId="150" fillId="0" borderId="0">
      <alignment horizontal="right"/>
    </xf>
    <xf numFmtId="3" fontId="150" fillId="0" borderId="0">
      <alignment horizontal="right"/>
    </xf>
    <xf numFmtId="3" fontId="150" fillId="0" borderId="0">
      <alignment horizontal="right"/>
    </xf>
    <xf numFmtId="3" fontId="150" fillId="0" borderId="0">
      <alignment horizontal="right"/>
    </xf>
    <xf numFmtId="3" fontId="150" fillId="0" borderId="0">
      <alignment horizontal="right"/>
    </xf>
    <xf numFmtId="3" fontId="150" fillId="0" borderId="0">
      <alignment horizontal="right"/>
    </xf>
    <xf numFmtId="3" fontId="150" fillId="0" borderId="0">
      <alignment horizontal="right"/>
    </xf>
    <xf numFmtId="3" fontId="150" fillId="0" borderId="0">
      <alignment horizontal="right"/>
    </xf>
    <xf numFmtId="3" fontId="150" fillId="0" borderId="0">
      <alignment horizontal="right"/>
    </xf>
    <xf numFmtId="3" fontId="150" fillId="0" borderId="0">
      <alignment horizontal="right"/>
    </xf>
    <xf numFmtId="3" fontId="150" fillId="0" borderId="0">
      <alignment horizontal="right"/>
    </xf>
    <xf numFmtId="3" fontId="150" fillId="0" borderId="0">
      <alignment horizontal="right"/>
    </xf>
    <xf numFmtId="3" fontId="150" fillId="0" borderId="0">
      <alignment horizontal="right"/>
    </xf>
    <xf numFmtId="3" fontId="150" fillId="0" borderId="0">
      <alignment horizontal="right"/>
    </xf>
    <xf numFmtId="3" fontId="150" fillId="0" borderId="0">
      <alignment horizontal="right"/>
    </xf>
    <xf numFmtId="3" fontId="150" fillId="0" borderId="0">
      <alignment horizontal="right"/>
    </xf>
    <xf numFmtId="3" fontId="150" fillId="0" borderId="0">
      <alignment horizontal="right"/>
    </xf>
    <xf numFmtId="3" fontId="150" fillId="0" borderId="0">
      <alignment horizontal="right"/>
    </xf>
    <xf numFmtId="3" fontId="150" fillId="0" borderId="0">
      <alignment horizontal="right"/>
    </xf>
    <xf numFmtId="3" fontId="150" fillId="0" borderId="0">
      <alignment horizontal="right"/>
    </xf>
    <xf numFmtId="3" fontId="150" fillId="0" borderId="0">
      <alignment horizontal="right"/>
    </xf>
    <xf numFmtId="3" fontId="150" fillId="0" borderId="0">
      <alignment horizontal="right"/>
    </xf>
    <xf numFmtId="3" fontId="150" fillId="0" borderId="0">
      <alignment horizontal="right"/>
    </xf>
    <xf numFmtId="3" fontId="150" fillId="0" borderId="0">
      <alignment horizontal="right"/>
    </xf>
    <xf numFmtId="3" fontId="150" fillId="0" borderId="0">
      <alignment horizontal="right"/>
    </xf>
    <xf numFmtId="3" fontId="150" fillId="0" borderId="0">
      <alignment horizontal="right"/>
    </xf>
    <xf numFmtId="3" fontId="150" fillId="0" borderId="0">
      <alignment horizontal="right"/>
    </xf>
    <xf numFmtId="3" fontId="150" fillId="0" borderId="0">
      <alignment horizontal="right"/>
    </xf>
    <xf numFmtId="180" fontId="150" fillId="0" borderId="0">
      <alignment horizontal="right"/>
    </xf>
    <xf numFmtId="2" fontId="150" fillId="0" borderId="0">
      <alignment horizontal="right"/>
    </xf>
    <xf numFmtId="3" fontId="307" fillId="0" borderId="0">
      <alignment horizontal="right"/>
    </xf>
    <xf numFmtId="171" fontId="253" fillId="0" borderId="0" applyFont="0" applyFill="0" applyBorder="0" applyAlignment="0" applyProtection="0"/>
    <xf numFmtId="0" fontId="66" fillId="0" borderId="64" applyNumberFormat="0" applyFont="0" applyFill="0" applyAlignment="0" applyProtection="0"/>
    <xf numFmtId="287" fontId="102" fillId="0" borderId="0" applyFill="0" applyBorder="0" applyAlignment="0" applyProtection="0"/>
    <xf numFmtId="341" fontId="102" fillId="0" borderId="0" applyFill="0" applyBorder="0" applyAlignment="0" applyProtection="0"/>
    <xf numFmtId="342" fontId="308" fillId="77" borderId="55"/>
    <xf numFmtId="342" fontId="308" fillId="77" borderId="55"/>
    <xf numFmtId="342" fontId="308" fillId="77" borderId="55"/>
    <xf numFmtId="343" fontId="308" fillId="77" borderId="55" applyFont="0" applyFill="0" applyBorder="0" applyAlignment="0" applyProtection="0"/>
    <xf numFmtId="343" fontId="308" fillId="77" borderId="55" applyFont="0" applyFill="0" applyBorder="0" applyAlignment="0" applyProtection="0"/>
    <xf numFmtId="343" fontId="308" fillId="77" borderId="55" applyFont="0" applyFill="0" applyBorder="0" applyAlignment="0" applyProtection="0"/>
    <xf numFmtId="0" fontId="309" fillId="0" borderId="0">
      <alignment horizontal="left"/>
    </xf>
    <xf numFmtId="0" fontId="310" fillId="6" borderId="5" applyNumberFormat="0" applyAlignment="0" applyProtection="0"/>
    <xf numFmtId="0" fontId="310" fillId="6" borderId="5" applyNumberFormat="0" applyAlignment="0" applyProtection="0"/>
    <xf numFmtId="0" fontId="310" fillId="6" borderId="5" applyNumberFormat="0" applyAlignment="0" applyProtection="0"/>
    <xf numFmtId="0" fontId="310" fillId="6" borderId="5" applyNumberFormat="0" applyAlignment="0" applyProtection="0"/>
    <xf numFmtId="0" fontId="310" fillId="6" borderId="5" applyNumberFormat="0" applyAlignment="0" applyProtection="0"/>
    <xf numFmtId="0" fontId="310" fillId="6" borderId="5" applyNumberFormat="0" applyAlignment="0" applyProtection="0"/>
    <xf numFmtId="0" fontId="310" fillId="6" borderId="5" applyNumberFormat="0" applyAlignment="0" applyProtection="0"/>
    <xf numFmtId="0" fontId="310" fillId="6" borderId="5" applyNumberFormat="0" applyAlignment="0" applyProtection="0"/>
    <xf numFmtId="0" fontId="310" fillId="6" borderId="5" applyNumberFormat="0" applyAlignment="0" applyProtection="0"/>
    <xf numFmtId="0" fontId="310" fillId="6" borderId="5" applyNumberFormat="0" applyAlignment="0" applyProtection="0"/>
    <xf numFmtId="0" fontId="310" fillId="6" borderId="5" applyNumberFormat="0" applyAlignment="0" applyProtection="0"/>
    <xf numFmtId="0" fontId="310" fillId="6" borderId="5" applyNumberFormat="0" applyAlignment="0" applyProtection="0"/>
    <xf numFmtId="0" fontId="310" fillId="6" borderId="5" applyNumberFormat="0" applyAlignment="0" applyProtection="0"/>
    <xf numFmtId="0" fontId="310" fillId="6" borderId="5" applyNumberFormat="0" applyAlignment="0" applyProtection="0"/>
    <xf numFmtId="0" fontId="310" fillId="6" borderId="5" applyNumberFormat="0" applyAlignment="0" applyProtection="0"/>
    <xf numFmtId="0" fontId="310" fillId="6" borderId="5" applyNumberFormat="0" applyAlignment="0" applyProtection="0"/>
    <xf numFmtId="0" fontId="310" fillId="6" borderId="5" applyNumberFormat="0" applyAlignment="0" applyProtection="0"/>
    <xf numFmtId="0" fontId="310" fillId="6" borderId="5" applyNumberFormat="0" applyAlignment="0" applyProtection="0"/>
    <xf numFmtId="0" fontId="310" fillId="6" borderId="5" applyNumberFormat="0" applyAlignment="0" applyProtection="0"/>
    <xf numFmtId="0" fontId="310" fillId="6" borderId="5" applyNumberFormat="0" applyAlignment="0" applyProtection="0"/>
    <xf numFmtId="0" fontId="310" fillId="6" borderId="5" applyNumberFormat="0" applyAlignment="0" applyProtection="0"/>
    <xf numFmtId="0" fontId="310" fillId="6" borderId="5" applyNumberFormat="0" applyAlignment="0" applyProtection="0"/>
    <xf numFmtId="0" fontId="310" fillId="6" borderId="5" applyNumberFormat="0" applyAlignment="0" applyProtection="0"/>
    <xf numFmtId="0" fontId="310" fillId="6" borderId="5" applyNumberFormat="0" applyAlignment="0" applyProtection="0"/>
    <xf numFmtId="0" fontId="310" fillId="6" borderId="5" applyNumberFormat="0" applyAlignment="0" applyProtection="0"/>
    <xf numFmtId="0" fontId="310" fillId="6" borderId="5" applyNumberFormat="0" applyAlignment="0" applyProtection="0"/>
    <xf numFmtId="0" fontId="310" fillId="6" borderId="5" applyNumberFormat="0" applyAlignment="0" applyProtection="0"/>
    <xf numFmtId="0" fontId="310" fillId="6" borderId="5" applyNumberFormat="0" applyAlignment="0" applyProtection="0"/>
    <xf numFmtId="0" fontId="310" fillId="6" borderId="5" applyNumberFormat="0" applyAlignment="0" applyProtection="0"/>
    <xf numFmtId="0" fontId="310" fillId="6" borderId="5" applyNumberFormat="0" applyAlignment="0" applyProtection="0"/>
    <xf numFmtId="0" fontId="310" fillId="6" borderId="5" applyNumberFormat="0" applyAlignment="0" applyProtection="0"/>
    <xf numFmtId="0" fontId="310" fillId="6" borderId="5" applyNumberFormat="0" applyAlignment="0" applyProtection="0"/>
    <xf numFmtId="0" fontId="310" fillId="6" borderId="5" applyNumberFormat="0" applyAlignment="0" applyProtection="0"/>
    <xf numFmtId="0" fontId="310" fillId="6" borderId="5" applyNumberFormat="0" applyAlignment="0" applyProtection="0"/>
    <xf numFmtId="0" fontId="310" fillId="6" borderId="5" applyNumberFormat="0" applyAlignment="0" applyProtection="0"/>
    <xf numFmtId="0" fontId="310" fillId="6" borderId="5" applyNumberFormat="0" applyAlignment="0" applyProtection="0"/>
    <xf numFmtId="0" fontId="310" fillId="6" borderId="5" applyNumberFormat="0" applyAlignment="0" applyProtection="0"/>
    <xf numFmtId="0" fontId="310" fillId="6" borderId="5" applyNumberFormat="0" applyAlignment="0" applyProtection="0"/>
    <xf numFmtId="0" fontId="310" fillId="6" borderId="5" applyNumberFormat="0" applyAlignment="0" applyProtection="0"/>
    <xf numFmtId="0" fontId="310" fillId="6" borderId="5" applyNumberFormat="0" applyAlignment="0" applyProtection="0"/>
    <xf numFmtId="0" fontId="310" fillId="6" borderId="5" applyNumberFormat="0" applyAlignment="0" applyProtection="0"/>
    <xf numFmtId="0" fontId="304" fillId="0" borderId="0"/>
    <xf numFmtId="0" fontId="150" fillId="93" borderId="0" applyNumberFormat="0" applyFont="0" applyBorder="0" applyAlignment="0"/>
    <xf numFmtId="0" fontId="311" fillId="0" borderId="0" applyNumberFormat="0" applyFill="0" applyBorder="0" applyAlignment="0">
      <protection locked="0"/>
    </xf>
    <xf numFmtId="10" fontId="150" fillId="0" borderId="71"/>
    <xf numFmtId="0" fontId="83" fillId="0" borderId="0">
      <alignment vertical="center"/>
    </xf>
    <xf numFmtId="0" fontId="150" fillId="0" borderId="0"/>
    <xf numFmtId="0" fontId="304" fillId="0" borderId="0"/>
    <xf numFmtId="166" fontId="102" fillId="94" borderId="72">
      <alignment horizontal="right" vertical="center"/>
    </xf>
    <xf numFmtId="0" fontId="304" fillId="0" borderId="0"/>
    <xf numFmtId="9" fontId="150" fillId="0" borderId="0" applyFont="0" applyFill="0" applyBorder="0" applyAlignment="0" applyProtection="0"/>
    <xf numFmtId="0" fontId="304" fillId="0" borderId="0"/>
    <xf numFmtId="0" fontId="312" fillId="0" borderId="0" applyProtection="0">
      <alignment horizontal="left"/>
    </xf>
    <xf numFmtId="1" fontId="313" fillId="0" borderId="0" applyProtection="0">
      <alignment horizontal="right" vertical="center"/>
    </xf>
    <xf numFmtId="0" fontId="295" fillId="0" borderId="0"/>
    <xf numFmtId="0" fontId="213" fillId="0" borderId="73" applyNumberFormat="0" applyAlignment="0" applyProtection="0"/>
    <xf numFmtId="0" fontId="213" fillId="0" borderId="73" applyNumberFormat="0" applyAlignment="0" applyProtection="0"/>
    <xf numFmtId="0" fontId="88" fillId="95" borderId="0" applyNumberFormat="0" applyFont="0" applyBorder="0" applyAlignment="0" applyProtection="0"/>
    <xf numFmtId="0" fontId="102" fillId="63" borderId="10" applyNumberFormat="0" applyFont="0" applyBorder="0" applyAlignment="0" applyProtection="0">
      <alignment horizontal="center"/>
    </xf>
    <xf numFmtId="0" fontId="102" fillId="96" borderId="10" applyNumberFormat="0" applyFont="0" applyBorder="0" applyAlignment="0" applyProtection="0">
      <alignment horizontal="center"/>
    </xf>
    <xf numFmtId="0" fontId="88" fillId="0" borderId="74" applyNumberFormat="0" applyAlignment="0" applyProtection="0"/>
    <xf numFmtId="0" fontId="88" fillId="0" borderId="74" applyNumberFormat="0" applyAlignment="0" applyProtection="0"/>
    <xf numFmtId="0" fontId="88" fillId="0" borderId="75" applyNumberFormat="0" applyAlignment="0" applyProtection="0"/>
    <xf numFmtId="0" fontId="88" fillId="0" borderId="75" applyNumberFormat="0" applyAlignment="0" applyProtection="0"/>
    <xf numFmtId="0" fontId="213" fillId="0" borderId="76" applyNumberFormat="0" applyAlignment="0" applyProtection="0"/>
    <xf numFmtId="0" fontId="314" fillId="0" borderId="0" applyNumberFormat="0">
      <alignment horizontal="center" vertical="center"/>
    </xf>
    <xf numFmtId="0" fontId="199" fillId="0" borderId="0"/>
    <xf numFmtId="0" fontId="315" fillId="0" borderId="0"/>
    <xf numFmtId="344" fontId="102" fillId="0" borderId="0" applyFont="0" applyFill="0" applyBorder="0" applyAlignment="0" applyProtection="0"/>
    <xf numFmtId="344" fontId="102" fillId="0" borderId="0" applyFont="0" applyFill="0" applyBorder="0" applyAlignment="0" applyProtection="0"/>
    <xf numFmtId="344" fontId="102" fillId="0" borderId="0" applyFont="0" applyFill="0" applyBorder="0" applyAlignment="0" applyProtection="0"/>
    <xf numFmtId="344" fontId="102" fillId="0" borderId="0" applyFont="0" applyFill="0" applyBorder="0" applyAlignment="0" applyProtection="0"/>
    <xf numFmtId="344" fontId="102" fillId="0" borderId="0" applyFont="0" applyFill="0" applyBorder="0" applyAlignment="0" applyProtection="0"/>
    <xf numFmtId="344" fontId="102" fillId="0" borderId="0" applyFont="0" applyFill="0" applyBorder="0" applyAlignment="0" applyProtection="0"/>
    <xf numFmtId="344" fontId="102" fillId="0" borderId="0" applyFont="0" applyFill="0" applyBorder="0" applyAlignment="0" applyProtection="0"/>
    <xf numFmtId="344" fontId="102" fillId="0" borderId="0" applyFont="0" applyFill="0" applyBorder="0" applyAlignment="0" applyProtection="0"/>
    <xf numFmtId="344" fontId="102" fillId="0" borderId="0" applyFont="0" applyFill="0" applyBorder="0" applyAlignment="0" applyProtection="0"/>
    <xf numFmtId="344" fontId="102" fillId="0" borderId="0" applyFont="0" applyFill="0" applyBorder="0" applyAlignment="0" applyProtection="0"/>
    <xf numFmtId="344" fontId="102" fillId="0" borderId="0" applyFont="0" applyFill="0" applyBorder="0" applyAlignment="0" applyProtection="0"/>
    <xf numFmtId="344" fontId="102" fillId="0" borderId="0" applyFont="0" applyFill="0" applyBorder="0" applyAlignment="0" applyProtection="0"/>
    <xf numFmtId="344" fontId="102" fillId="0" borderId="0" applyFont="0" applyFill="0" applyBorder="0" applyAlignment="0" applyProtection="0"/>
    <xf numFmtId="344" fontId="102" fillId="0" borderId="0" applyFont="0" applyFill="0" applyBorder="0" applyAlignment="0" applyProtection="0"/>
    <xf numFmtId="344" fontId="102" fillId="0" borderId="0" applyFont="0" applyFill="0" applyBorder="0" applyAlignment="0" applyProtection="0"/>
    <xf numFmtId="344" fontId="102" fillId="0" borderId="0" applyFont="0" applyFill="0" applyBorder="0" applyAlignment="0" applyProtection="0"/>
    <xf numFmtId="344" fontId="102" fillId="0" borderId="0" applyFont="0" applyFill="0" applyBorder="0" applyAlignment="0" applyProtection="0"/>
    <xf numFmtId="344" fontId="102" fillId="0" borderId="0" applyFont="0" applyFill="0" applyBorder="0" applyAlignment="0" applyProtection="0"/>
    <xf numFmtId="344" fontId="102" fillId="0" borderId="0" applyFont="0" applyFill="0" applyBorder="0" applyAlignment="0" applyProtection="0"/>
    <xf numFmtId="344" fontId="102" fillId="0" borderId="0" applyFont="0" applyFill="0" applyBorder="0" applyAlignment="0" applyProtection="0"/>
    <xf numFmtId="344" fontId="102" fillId="0" borderId="0" applyFont="0" applyFill="0" applyBorder="0" applyAlignment="0" applyProtection="0"/>
    <xf numFmtId="344" fontId="102" fillId="0" borderId="0" applyFont="0" applyFill="0" applyBorder="0" applyAlignment="0" applyProtection="0"/>
    <xf numFmtId="344" fontId="102" fillId="0" borderId="0" applyFont="0" applyFill="0" applyBorder="0" applyAlignment="0" applyProtection="0"/>
    <xf numFmtId="344" fontId="102" fillId="0" borderId="0" applyFont="0" applyFill="0" applyBorder="0" applyAlignment="0" applyProtection="0"/>
    <xf numFmtId="344" fontId="102" fillId="0" borderId="0" applyFont="0" applyFill="0" applyBorder="0" applyAlignment="0" applyProtection="0"/>
    <xf numFmtId="344" fontId="102" fillId="0" borderId="0" applyFont="0" applyFill="0" applyBorder="0" applyAlignment="0" applyProtection="0"/>
    <xf numFmtId="344" fontId="102" fillId="0" borderId="0" applyFont="0" applyFill="0" applyBorder="0" applyAlignment="0" applyProtection="0"/>
    <xf numFmtId="344" fontId="102" fillId="0" borderId="0" applyFont="0" applyFill="0" applyBorder="0" applyAlignment="0" applyProtection="0"/>
    <xf numFmtId="344" fontId="102" fillId="0" borderId="0" applyFont="0" applyFill="0" applyBorder="0" applyAlignment="0" applyProtection="0"/>
    <xf numFmtId="344" fontId="102" fillId="0" borderId="0" applyFont="0" applyFill="0" applyBorder="0" applyAlignment="0" applyProtection="0"/>
    <xf numFmtId="344" fontId="102" fillId="0" borderId="0" applyFont="0" applyFill="0" applyBorder="0" applyAlignment="0" applyProtection="0"/>
    <xf numFmtId="344" fontId="102" fillId="0" borderId="0" applyFont="0" applyFill="0" applyBorder="0" applyAlignment="0" applyProtection="0"/>
    <xf numFmtId="344" fontId="102" fillId="0" borderId="0" applyFont="0" applyFill="0" applyBorder="0" applyAlignment="0" applyProtection="0"/>
    <xf numFmtId="344" fontId="102" fillId="0" borderId="0" applyFont="0" applyFill="0" applyBorder="0" applyAlignment="0" applyProtection="0"/>
    <xf numFmtId="344" fontId="102" fillId="0" borderId="0" applyFont="0" applyFill="0" applyBorder="0" applyAlignment="0" applyProtection="0"/>
    <xf numFmtId="344" fontId="102" fillId="0" borderId="0" applyFont="0" applyFill="0" applyBorder="0" applyAlignment="0" applyProtection="0"/>
    <xf numFmtId="344" fontId="102" fillId="0" borderId="0" applyFont="0" applyFill="0" applyBorder="0" applyAlignment="0" applyProtection="0"/>
    <xf numFmtId="344" fontId="102" fillId="0" borderId="0" applyFont="0" applyFill="0" applyBorder="0" applyAlignment="0" applyProtection="0"/>
    <xf numFmtId="344" fontId="102" fillId="0" borderId="0" applyFont="0" applyFill="0" applyBorder="0" applyAlignment="0" applyProtection="0"/>
    <xf numFmtId="344" fontId="102" fillId="0" borderId="0" applyFont="0" applyFill="0" applyBorder="0" applyAlignment="0" applyProtection="0"/>
    <xf numFmtId="344" fontId="102" fillId="0" borderId="0" applyFont="0" applyFill="0" applyBorder="0" applyAlignment="0" applyProtection="0"/>
    <xf numFmtId="344" fontId="102" fillId="0" borderId="0" applyFont="0" applyFill="0" applyBorder="0" applyAlignment="0" applyProtection="0"/>
    <xf numFmtId="344" fontId="102" fillId="0" borderId="0" applyFont="0" applyFill="0" applyBorder="0" applyAlignment="0" applyProtection="0"/>
    <xf numFmtId="0" fontId="304" fillId="0" borderId="0"/>
    <xf numFmtId="0" fontId="150" fillId="0" borderId="0">
      <alignment horizontal="right"/>
    </xf>
    <xf numFmtId="10" fontId="150" fillId="0" borderId="0">
      <alignment horizontal="right"/>
    </xf>
    <xf numFmtId="337" fontId="88" fillId="0" borderId="0" applyFont="0" applyFill="0" applyBorder="0" applyAlignment="0" applyProtection="0"/>
    <xf numFmtId="337" fontId="88" fillId="0" borderId="0" applyFont="0" applyFill="0" applyBorder="0" applyAlignment="0" applyProtection="0"/>
    <xf numFmtId="0" fontId="304" fillId="0" borderId="0"/>
    <xf numFmtId="0" fontId="316" fillId="0" borderId="0" applyBorder="0"/>
    <xf numFmtId="9" fontId="88" fillId="0" borderId="0" applyFont="0" applyFill="0" applyBorder="0" applyAlignment="0" applyProtection="0"/>
    <xf numFmtId="9" fontId="66" fillId="0" borderId="0" applyFont="0" applyFill="0" applyBorder="0" applyAlignment="0" applyProtection="0"/>
    <xf numFmtId="0" fontId="304" fillId="0" borderId="0"/>
    <xf numFmtId="9" fontId="88" fillId="0" borderId="0" applyFont="0" applyFill="0" applyBorder="0" applyAlignment="0" applyProtection="0"/>
    <xf numFmtId="9" fontId="88" fillId="0" borderId="0" applyFont="0" applyFill="0" applyBorder="0" applyAlignment="0" applyProtection="0"/>
    <xf numFmtId="9" fontId="88" fillId="0" borderId="0" applyFont="0" applyFill="0" applyBorder="0" applyAlignment="0" applyProtection="0"/>
    <xf numFmtId="9" fontId="88" fillId="0" borderId="0" applyFont="0" applyFill="0" applyBorder="0" applyAlignment="0" applyProtection="0"/>
    <xf numFmtId="9" fontId="230" fillId="0" borderId="0" applyFont="0" applyFill="0" applyBorder="0" applyAlignment="0" applyProtection="0"/>
    <xf numFmtId="9" fontId="71" fillId="0" borderId="0" applyFont="0" applyFill="0" applyBorder="0" applyAlignment="0" applyProtection="0"/>
    <xf numFmtId="9" fontId="71" fillId="0" borderId="0" applyFont="0" applyFill="0" applyBorder="0" applyAlignment="0" applyProtection="0"/>
    <xf numFmtId="9" fontId="71" fillId="0" borderId="0" applyFont="0" applyFill="0" applyBorder="0" applyAlignment="0" applyProtection="0"/>
    <xf numFmtId="9" fontId="71" fillId="0" borderId="0" applyFont="0" applyFill="0" applyBorder="0" applyAlignment="0" applyProtection="0"/>
    <xf numFmtId="9" fontId="71" fillId="0" borderId="0" applyFont="0" applyFill="0" applyBorder="0" applyAlignment="0" applyProtection="0"/>
    <xf numFmtId="9" fontId="71" fillId="0" borderId="0" applyFont="0" applyFill="0" applyBorder="0" applyAlignment="0" applyProtection="0"/>
    <xf numFmtId="9" fontId="71" fillId="0" borderId="0" applyFont="0" applyFill="0" applyBorder="0" applyAlignment="0" applyProtection="0"/>
    <xf numFmtId="0" fontId="304" fillId="0" borderId="0"/>
    <xf numFmtId="9" fontId="71" fillId="0" borderId="0" applyFont="0" applyFill="0" applyBorder="0" applyAlignment="0" applyProtection="0"/>
    <xf numFmtId="9" fontId="71" fillId="0" borderId="0" applyFont="0" applyFill="0" applyBorder="0" applyAlignment="0" applyProtection="0"/>
    <xf numFmtId="9" fontId="71" fillId="0" borderId="0" applyFont="0" applyFill="0" applyBorder="0" applyAlignment="0" applyProtection="0"/>
    <xf numFmtId="9" fontId="71" fillId="0" borderId="0" applyFont="0" applyFill="0" applyBorder="0" applyAlignment="0" applyProtection="0"/>
    <xf numFmtId="9" fontId="71" fillId="0" borderId="0" applyFont="0" applyFill="0" applyBorder="0" applyAlignment="0" applyProtection="0"/>
    <xf numFmtId="9" fontId="88" fillId="0" borderId="0" applyFont="0" applyFill="0" applyBorder="0" applyAlignment="0" applyProtection="0"/>
    <xf numFmtId="10" fontId="78" fillId="0" borderId="0">
      <alignment horizontal="right"/>
    </xf>
    <xf numFmtId="0" fontId="304" fillId="0" borderId="0"/>
    <xf numFmtId="9" fontId="66" fillId="0" borderId="0" applyFont="0" applyFill="0" applyBorder="0" applyAlignment="0" applyProtection="0"/>
    <xf numFmtId="0" fontId="304" fillId="0" borderId="0"/>
    <xf numFmtId="9" fontId="66" fillId="0" borderId="0" applyFont="0" applyFill="0" applyBorder="0" applyAlignment="0" applyProtection="0"/>
    <xf numFmtId="0" fontId="304" fillId="0" borderId="0"/>
    <xf numFmtId="0" fontId="150" fillId="0" borderId="0">
      <alignment horizontal="left"/>
    </xf>
    <xf numFmtId="10" fontId="150" fillId="0" borderId="0">
      <alignment horizontal="left"/>
    </xf>
    <xf numFmtId="345" fontId="66" fillId="0" borderId="55" applyFont="0" applyFill="0" applyBorder="0" applyAlignment="0" applyProtection="0"/>
    <xf numFmtId="345" fontId="66" fillId="0" borderId="55" applyFont="0" applyFill="0" applyBorder="0" applyAlignment="0" applyProtection="0"/>
    <xf numFmtId="345" fontId="66" fillId="0" borderId="55" applyFont="0" applyFill="0" applyBorder="0" applyAlignment="0" applyProtection="0"/>
    <xf numFmtId="344" fontId="66" fillId="0" borderId="55" applyFont="0" applyFill="0" applyBorder="0" applyAlignment="0" applyProtection="0"/>
    <xf numFmtId="344" fontId="66" fillId="0" borderId="55" applyFont="0" applyFill="0" applyBorder="0" applyAlignment="0" applyProtection="0"/>
    <xf numFmtId="344" fontId="66" fillId="0" borderId="55" applyFont="0" applyFill="0" applyBorder="0" applyAlignment="0" applyProtection="0"/>
    <xf numFmtId="0" fontId="240" fillId="0" borderId="0"/>
    <xf numFmtId="346" fontId="66" fillId="0" borderId="0" applyFont="0" applyFill="0" applyBorder="0" applyAlignment="0" applyProtection="0"/>
    <xf numFmtId="0" fontId="99" fillId="0" borderId="0">
      <protection locked="0"/>
    </xf>
    <xf numFmtId="0" fontId="317" fillId="0" borderId="0" applyFont="0" applyFill="0" applyBorder="0" applyAlignment="0" applyProtection="0">
      <alignment horizontal="center"/>
    </xf>
    <xf numFmtId="0" fontId="317" fillId="0" borderId="0" applyFont="0" applyFill="0" applyBorder="0" applyAlignment="0" applyProtection="0">
      <alignment horizontal="center"/>
    </xf>
    <xf numFmtId="0" fontId="317" fillId="0" borderId="0" applyFont="0" applyFill="0" applyBorder="0" applyAlignment="0" applyProtection="0">
      <alignment horizontal="center"/>
    </xf>
    <xf numFmtId="0" fontId="304" fillId="0" borderId="0"/>
    <xf numFmtId="9" fontId="66" fillId="0" borderId="0" applyFont="0" applyFill="0" applyBorder="0" applyAlignment="0" applyProtection="0"/>
    <xf numFmtId="236" fontId="240" fillId="0" borderId="0"/>
    <xf numFmtId="166" fontId="296" fillId="0" borderId="0" applyFont="0" applyFill="0" applyBorder="0" applyAlignment="0" applyProtection="0"/>
    <xf numFmtId="1" fontId="318" fillId="97" borderId="0">
      <alignment horizontal="center"/>
    </xf>
    <xf numFmtId="10" fontId="102" fillId="0" borderId="0" applyFill="0" applyBorder="0" applyAlignment="0" applyProtection="0"/>
    <xf numFmtId="0" fontId="319" fillId="0" borderId="21">
      <alignment horizontal="center"/>
    </xf>
    <xf numFmtId="0" fontId="319" fillId="0" borderId="21">
      <alignment horizontal="center"/>
    </xf>
    <xf numFmtId="0" fontId="320" fillId="0" borderId="12"/>
    <xf numFmtId="0" fontId="320" fillId="0" borderId="12"/>
    <xf numFmtId="0" fontId="320" fillId="0" borderId="12"/>
    <xf numFmtId="0" fontId="321" fillId="0" borderId="0" applyNumberFormat="0" applyFill="0" applyBorder="0" applyAlignment="0" applyProtection="0"/>
    <xf numFmtId="10" fontId="199" fillId="0" borderId="55"/>
    <xf numFmtId="10" fontId="199" fillId="0" borderId="55"/>
    <xf numFmtId="10" fontId="199" fillId="0" borderId="55"/>
    <xf numFmtId="10" fontId="66" fillId="0" borderId="0"/>
    <xf numFmtId="2" fontId="150" fillId="0" borderId="0">
      <alignment horizontal="right"/>
    </xf>
    <xf numFmtId="347" fontId="102" fillId="0" borderId="0"/>
    <xf numFmtId="0" fontId="322" fillId="98" borderId="0" applyNumberFormat="0" applyFont="0" applyBorder="0" applyAlignment="0">
      <alignment horizontal="center"/>
    </xf>
    <xf numFmtId="236" fontId="66" fillId="99" borderId="0" applyFill="0" applyBorder="0" applyAlignment="0" applyProtection="0"/>
    <xf numFmtId="0" fontId="323" fillId="0" borderId="0"/>
    <xf numFmtId="0" fontId="324" fillId="0" borderId="77" applyNumberFormat="0" applyFill="0" applyAlignment="0" applyProtection="0"/>
    <xf numFmtId="0" fontId="324" fillId="0" borderId="77" applyNumberFormat="0" applyFill="0" applyAlignment="0" applyProtection="0"/>
    <xf numFmtId="0" fontId="325" fillId="0" borderId="0" applyNumberFormat="0" applyFill="0" applyBorder="0" applyAlignment="0"/>
    <xf numFmtId="0" fontId="284" fillId="0" borderId="0" applyNumberFormat="0" applyFill="0" applyBorder="0" applyProtection="0">
      <alignment horizontal="right" vertical="center"/>
    </xf>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274" fontId="66" fillId="0" borderId="28" applyNumberFormat="0" applyFont="0" applyFill="0" applyAlignment="0" applyProtection="0"/>
    <xf numFmtId="0" fontId="304" fillId="0" borderId="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0" fontId="304" fillId="0" borderId="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274" fontId="66" fillId="0" borderId="33" applyNumberFormat="0" applyFont="0" applyFill="0" applyAlignment="0" applyProtection="0"/>
    <xf numFmtId="0" fontId="304" fillId="0" borderId="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274" fontId="66" fillId="0" borderId="22" applyNumberFormat="0" applyFont="0" applyFill="0" applyAlignment="0" applyProtection="0"/>
    <xf numFmtId="0" fontId="304" fillId="0" borderId="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274" fontId="66" fillId="0" borderId="35" applyNumberFormat="0" applyFont="0" applyFill="0" applyAlignment="0" applyProtection="0"/>
    <xf numFmtId="0" fontId="304" fillId="0" borderId="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274" fontId="66" fillId="0" borderId="36" applyNumberFormat="0" applyFont="0" applyFill="0" applyAlignment="0" applyProtection="0"/>
    <xf numFmtId="0" fontId="304" fillId="0" borderId="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274" fontId="66" fillId="0" borderId="37" applyNumberFormat="0" applyFont="0" applyFill="0" applyAlignment="0" applyProtection="0"/>
    <xf numFmtId="0" fontId="304" fillId="0" borderId="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274" fontId="66" fillId="0" borderId="38" applyNumberFormat="0" applyFont="0" applyFill="0" applyAlignment="0" applyProtection="0"/>
    <xf numFmtId="0" fontId="304" fillId="0" borderId="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274" fontId="66" fillId="0" borderId="39" applyNumberFormat="0" applyFont="0" applyFill="0" applyAlignment="0" applyProtection="0"/>
    <xf numFmtId="0" fontId="304" fillId="0" borderId="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274" fontId="66" fillId="0" borderId="40" applyNumberFormat="0" applyFont="0" applyFill="0" applyAlignment="0" applyProtection="0"/>
    <xf numFmtId="0" fontId="304" fillId="0" borderId="0"/>
    <xf numFmtId="38" fontId="326" fillId="0" borderId="0"/>
    <xf numFmtId="0" fontId="327" fillId="0" borderId="26">
      <alignment horizontal="centerContinuous"/>
    </xf>
    <xf numFmtId="0" fontId="327" fillId="0" borderId="26">
      <alignment horizontal="centerContinuous"/>
    </xf>
    <xf numFmtId="0" fontId="327" fillId="0" borderId="26">
      <alignment horizontal="centerContinuous"/>
    </xf>
    <xf numFmtId="0" fontId="327" fillId="0" borderId="26">
      <alignment horizontal="centerContinuous"/>
    </xf>
    <xf numFmtId="0" fontId="327" fillId="0" borderId="26">
      <protection locked="0"/>
    </xf>
    <xf numFmtId="0" fontId="327" fillId="0" borderId="26">
      <protection locked="0"/>
    </xf>
    <xf numFmtId="0" fontId="304" fillId="0" borderId="0"/>
    <xf numFmtId="0" fontId="327" fillId="0" borderId="0"/>
    <xf numFmtId="236" fontId="327" fillId="0" borderId="0"/>
    <xf numFmtId="236" fontId="327" fillId="0" borderId="0"/>
    <xf numFmtId="0" fontId="304" fillId="0" borderId="0"/>
    <xf numFmtId="0" fontId="304" fillId="0" borderId="0"/>
    <xf numFmtId="0" fontId="304" fillId="0" borderId="0"/>
    <xf numFmtId="236" fontId="327" fillId="0" borderId="0"/>
    <xf numFmtId="0" fontId="304" fillId="0" borderId="0"/>
    <xf numFmtId="0" fontId="304" fillId="0" borderId="0"/>
    <xf numFmtId="236" fontId="327" fillId="0" borderId="0"/>
    <xf numFmtId="0" fontId="327" fillId="0" borderId="26">
      <alignment horizontal="centerContinuous"/>
    </xf>
    <xf numFmtId="0" fontId="327" fillId="0" borderId="26">
      <alignment horizontal="centerContinuous"/>
    </xf>
    <xf numFmtId="0" fontId="304" fillId="0" borderId="0"/>
    <xf numFmtId="0" fontId="304" fillId="0" borderId="0"/>
    <xf numFmtId="236" fontId="327" fillId="0" borderId="0"/>
    <xf numFmtId="0" fontId="304" fillId="0" borderId="0"/>
    <xf numFmtId="0" fontId="327" fillId="0" borderId="26">
      <alignment horizontal="centerContinuous"/>
    </xf>
    <xf numFmtId="0" fontId="327" fillId="0" borderId="26">
      <alignment horizontal="centerContinuous"/>
    </xf>
    <xf numFmtId="0" fontId="304" fillId="0" borderId="0"/>
    <xf numFmtId="0" fontId="327" fillId="0" borderId="26">
      <alignment horizontal="centerContinuous"/>
    </xf>
    <xf numFmtId="0" fontId="327" fillId="0" borderId="26">
      <alignment horizontal="centerContinuous"/>
    </xf>
    <xf numFmtId="0" fontId="304" fillId="0" borderId="0"/>
    <xf numFmtId="0" fontId="327" fillId="0" borderId="26">
      <alignment horizontal="centerContinuous"/>
    </xf>
    <xf numFmtId="0" fontId="327" fillId="0" borderId="26">
      <alignment horizontal="centerContinuous"/>
    </xf>
    <xf numFmtId="0" fontId="304" fillId="0" borderId="0"/>
    <xf numFmtId="0" fontId="327" fillId="0" borderId="26">
      <protection locked="0"/>
    </xf>
    <xf numFmtId="0" fontId="327" fillId="0" borderId="26">
      <protection locked="0"/>
    </xf>
    <xf numFmtId="0" fontId="327" fillId="0" borderId="26">
      <protection locked="0"/>
    </xf>
    <xf numFmtId="236" fontId="327" fillId="0" borderId="0"/>
    <xf numFmtId="0" fontId="304" fillId="0" borderId="0"/>
    <xf numFmtId="0" fontId="304" fillId="0" borderId="0"/>
    <xf numFmtId="0" fontId="327" fillId="0" borderId="26">
      <protection locked="0"/>
    </xf>
    <xf numFmtId="0" fontId="327" fillId="0" borderId="26">
      <protection locked="0"/>
    </xf>
    <xf numFmtId="0" fontId="327" fillId="0" borderId="26">
      <protection locked="0"/>
    </xf>
    <xf numFmtId="0" fontId="327" fillId="0" borderId="26">
      <protection locked="0"/>
    </xf>
    <xf numFmtId="0" fontId="327" fillId="0" borderId="26">
      <protection locked="0"/>
    </xf>
    <xf numFmtId="0" fontId="327" fillId="0" borderId="26">
      <protection locked="0"/>
    </xf>
    <xf numFmtId="0" fontId="327" fillId="0" borderId="26">
      <alignment horizontal="centerContinuous"/>
    </xf>
    <xf numFmtId="0" fontId="327" fillId="0" borderId="26">
      <alignment horizontal="centerContinuous"/>
    </xf>
    <xf numFmtId="0" fontId="327" fillId="0" borderId="26">
      <protection locked="0"/>
    </xf>
    <xf numFmtId="0" fontId="327" fillId="0" borderId="26">
      <protection locked="0"/>
    </xf>
    <xf numFmtId="0" fontId="304" fillId="0" borderId="0"/>
    <xf numFmtId="0" fontId="327" fillId="0" borderId="26">
      <protection locked="0"/>
    </xf>
    <xf numFmtId="0" fontId="327" fillId="0" borderId="26">
      <protection locked="0"/>
    </xf>
    <xf numFmtId="0" fontId="304" fillId="0" borderId="0"/>
    <xf numFmtId="0" fontId="304" fillId="0" borderId="0"/>
    <xf numFmtId="236" fontId="327" fillId="0" borderId="0"/>
    <xf numFmtId="0" fontId="304" fillId="0" borderId="0"/>
    <xf numFmtId="0" fontId="327" fillId="0" borderId="26">
      <alignment horizontal="centerContinuous"/>
    </xf>
    <xf numFmtId="0" fontId="327" fillId="0" borderId="26">
      <alignment horizontal="centerContinuous"/>
    </xf>
    <xf numFmtId="0" fontId="304" fillId="0" borderId="0"/>
    <xf numFmtId="0" fontId="327" fillId="0" borderId="26">
      <alignment horizontal="centerContinuous"/>
    </xf>
    <xf numFmtId="0" fontId="327" fillId="0" borderId="26">
      <alignment horizontal="centerContinuous"/>
    </xf>
    <xf numFmtId="0" fontId="304" fillId="0" borderId="0"/>
    <xf numFmtId="0" fontId="304" fillId="0" borderId="0"/>
    <xf numFmtId="0" fontId="66" fillId="0" borderId="26">
      <alignment horizontal="centerContinuous"/>
    </xf>
    <xf numFmtId="0" fontId="66" fillId="0" borderId="26">
      <alignment horizontal="centerContinuous"/>
    </xf>
    <xf numFmtId="0" fontId="66" fillId="0" borderId="26">
      <alignment horizontal="centerContinuous"/>
    </xf>
    <xf numFmtId="0" fontId="66" fillId="0" borderId="26">
      <alignment horizontal="centerContinuous"/>
    </xf>
    <xf numFmtId="0" fontId="304" fillId="0" borderId="0"/>
    <xf numFmtId="0" fontId="66" fillId="0" borderId="26">
      <alignment horizontal="centerContinuous"/>
    </xf>
    <xf numFmtId="0" fontId="66" fillId="0" borderId="26">
      <alignment horizontal="centerContinuous"/>
    </xf>
    <xf numFmtId="0" fontId="304" fillId="0" borderId="0"/>
    <xf numFmtId="0" fontId="66" fillId="0" borderId="26">
      <alignment horizontal="centerContinuous"/>
    </xf>
    <xf numFmtId="0" fontId="66" fillId="0" borderId="26">
      <alignment horizontal="centerContinuous"/>
    </xf>
    <xf numFmtId="0" fontId="304" fillId="0" borderId="0"/>
    <xf numFmtId="0" fontId="304" fillId="0" borderId="0"/>
    <xf numFmtId="0" fontId="327" fillId="0" borderId="26">
      <alignment horizontal="centerContinuous"/>
    </xf>
    <xf numFmtId="0" fontId="327" fillId="0" borderId="26">
      <alignment horizontal="centerContinuous"/>
    </xf>
    <xf numFmtId="0" fontId="304" fillId="0" borderId="0"/>
    <xf numFmtId="0" fontId="327" fillId="0" borderId="26">
      <alignment horizontal="centerContinuous"/>
    </xf>
    <xf numFmtId="0" fontId="327" fillId="0" borderId="26">
      <alignment horizontal="centerContinuous"/>
    </xf>
    <xf numFmtId="0" fontId="304" fillId="0" borderId="0"/>
    <xf numFmtId="0" fontId="327" fillId="0" borderId="26">
      <alignment horizontal="centerContinuous"/>
    </xf>
    <xf numFmtId="0" fontId="327" fillId="0" borderId="26">
      <alignment horizontal="centerContinuous"/>
    </xf>
    <xf numFmtId="0" fontId="304" fillId="0" borderId="0"/>
    <xf numFmtId="0" fontId="327" fillId="0" borderId="0"/>
    <xf numFmtId="0" fontId="327" fillId="0" borderId="26">
      <protection locked="0"/>
    </xf>
    <xf numFmtId="0" fontId="327" fillId="0" borderId="26">
      <protection locked="0"/>
    </xf>
    <xf numFmtId="0" fontId="304" fillId="0" borderId="0"/>
    <xf numFmtId="236" fontId="327" fillId="0" borderId="0"/>
    <xf numFmtId="236" fontId="327" fillId="0" borderId="0"/>
    <xf numFmtId="0" fontId="304" fillId="0" borderId="0"/>
    <xf numFmtId="0" fontId="304" fillId="0" borderId="0"/>
    <xf numFmtId="0" fontId="304" fillId="0" borderId="0"/>
    <xf numFmtId="236" fontId="327" fillId="0" borderId="0"/>
    <xf numFmtId="0" fontId="304" fillId="0" borderId="0"/>
    <xf numFmtId="236" fontId="327" fillId="0" borderId="0"/>
    <xf numFmtId="0" fontId="327" fillId="0" borderId="26">
      <alignment horizontal="centerContinuous"/>
    </xf>
    <xf numFmtId="0" fontId="327" fillId="0" borderId="26">
      <alignment horizontal="centerContinuous"/>
    </xf>
    <xf numFmtId="0" fontId="304" fillId="0" borderId="0"/>
    <xf numFmtId="0" fontId="304" fillId="0" borderId="0"/>
    <xf numFmtId="0" fontId="327" fillId="0" borderId="26">
      <alignment horizontal="centerContinuous"/>
    </xf>
    <xf numFmtId="0" fontId="327" fillId="0" borderId="26">
      <alignment horizontal="centerContinuous"/>
    </xf>
    <xf numFmtId="0" fontId="304" fillId="0" borderId="0"/>
    <xf numFmtId="236" fontId="327" fillId="0" borderId="0"/>
    <xf numFmtId="0" fontId="327" fillId="0" borderId="0"/>
    <xf numFmtId="0" fontId="327" fillId="0" borderId="26">
      <alignment horizontal="centerContinuous"/>
    </xf>
    <xf numFmtId="0" fontId="327" fillId="0" borderId="26">
      <alignment horizontal="centerContinuous"/>
    </xf>
    <xf numFmtId="0" fontId="304" fillId="0" borderId="0"/>
    <xf numFmtId="236" fontId="327" fillId="0" borderId="0"/>
    <xf numFmtId="236" fontId="327" fillId="0" borderId="0"/>
    <xf numFmtId="0" fontId="304" fillId="0" borderId="0"/>
    <xf numFmtId="0" fontId="304" fillId="0" borderId="0"/>
    <xf numFmtId="0" fontId="304" fillId="0" borderId="0"/>
    <xf numFmtId="236" fontId="327" fillId="0" borderId="0"/>
    <xf numFmtId="0" fontId="304" fillId="0" borderId="0"/>
    <xf numFmtId="0" fontId="327" fillId="0" borderId="26">
      <protection locked="0"/>
    </xf>
    <xf numFmtId="0" fontId="327" fillId="0" borderId="26">
      <protection locked="0"/>
    </xf>
    <xf numFmtId="0" fontId="304" fillId="0" borderId="0"/>
    <xf numFmtId="0" fontId="327" fillId="0" borderId="26">
      <alignment horizontal="centerContinuous"/>
    </xf>
    <xf numFmtId="0" fontId="327" fillId="0" borderId="26">
      <alignment horizontal="centerContinuous"/>
    </xf>
    <xf numFmtId="0" fontId="304" fillId="0" borderId="0"/>
    <xf numFmtId="0" fontId="327" fillId="0" borderId="26">
      <protection locked="0"/>
    </xf>
    <xf numFmtId="0" fontId="327" fillId="0" borderId="26">
      <protection locked="0"/>
    </xf>
    <xf numFmtId="0" fontId="304" fillId="0" borderId="0"/>
    <xf numFmtId="236" fontId="327" fillId="0" borderId="0"/>
    <xf numFmtId="0" fontId="304" fillId="0" borderId="0"/>
    <xf numFmtId="0" fontId="327" fillId="0" borderId="26">
      <alignment horizontal="centerContinuous"/>
    </xf>
    <xf numFmtId="0" fontId="327" fillId="0" borderId="26">
      <alignment horizontal="centerContinuous"/>
    </xf>
    <xf numFmtId="0" fontId="304" fillId="0" borderId="0"/>
    <xf numFmtId="0" fontId="327" fillId="0" borderId="26">
      <alignment horizontal="centerContinuous"/>
    </xf>
    <xf numFmtId="0" fontId="327" fillId="0" borderId="26">
      <alignment horizontal="centerContinuous"/>
    </xf>
    <xf numFmtId="0" fontId="304" fillId="0" borderId="0"/>
    <xf numFmtId="0" fontId="304" fillId="0" borderId="0"/>
    <xf numFmtId="0" fontId="327" fillId="0" borderId="26">
      <protection locked="0"/>
    </xf>
    <xf numFmtId="0" fontId="327" fillId="0" borderId="26">
      <protection locked="0"/>
    </xf>
    <xf numFmtId="0" fontId="304" fillId="0" borderId="0"/>
    <xf numFmtId="236" fontId="327" fillId="0" borderId="0"/>
    <xf numFmtId="0" fontId="304" fillId="0" borderId="0"/>
    <xf numFmtId="0" fontId="327" fillId="0" borderId="26">
      <protection locked="0"/>
    </xf>
    <xf numFmtId="0" fontId="327" fillId="0" borderId="26">
      <protection locked="0"/>
    </xf>
    <xf numFmtId="0" fontId="327" fillId="0" borderId="26">
      <alignment horizontal="centerContinuous"/>
    </xf>
    <xf numFmtId="0" fontId="327" fillId="0" borderId="26">
      <alignment horizontal="centerContinuous"/>
    </xf>
    <xf numFmtId="0" fontId="304" fillId="0" borderId="0"/>
    <xf numFmtId="0" fontId="304" fillId="0" borderId="0"/>
    <xf numFmtId="0" fontId="327" fillId="0" borderId="26">
      <alignment horizontal="centerContinuous"/>
    </xf>
    <xf numFmtId="0" fontId="327" fillId="0" borderId="26">
      <alignment horizontal="centerContinuous"/>
    </xf>
    <xf numFmtId="0" fontId="304" fillId="0" borderId="0"/>
    <xf numFmtId="236" fontId="327" fillId="0" borderId="0"/>
    <xf numFmtId="0" fontId="327" fillId="0" borderId="26">
      <alignment horizontal="centerContinuous"/>
    </xf>
    <xf numFmtId="0" fontId="327" fillId="0" borderId="26">
      <alignment horizontal="centerContinuous"/>
    </xf>
    <xf numFmtId="236" fontId="327" fillId="0" borderId="0"/>
    <xf numFmtId="0" fontId="304" fillId="0" borderId="0"/>
    <xf numFmtId="0" fontId="304" fillId="0" borderId="0"/>
    <xf numFmtId="0" fontId="327" fillId="0" borderId="26">
      <protection locked="0"/>
    </xf>
    <xf numFmtId="0" fontId="327" fillId="0" borderId="26">
      <protection locked="0"/>
    </xf>
    <xf numFmtId="0" fontId="304" fillId="0" borderId="0"/>
    <xf numFmtId="0" fontId="304" fillId="0" borderId="0"/>
    <xf numFmtId="236" fontId="327" fillId="0" borderId="0"/>
    <xf numFmtId="0" fontId="327" fillId="0" borderId="26">
      <alignment horizontal="centerContinuous"/>
    </xf>
    <xf numFmtId="0" fontId="327" fillId="0" borderId="26">
      <alignment horizontal="centerContinuous"/>
    </xf>
    <xf numFmtId="0" fontId="304" fillId="0" borderId="0"/>
    <xf numFmtId="0" fontId="304" fillId="0" borderId="0"/>
    <xf numFmtId="0" fontId="327" fillId="0" borderId="26">
      <alignment horizontal="centerContinuous"/>
    </xf>
    <xf numFmtId="0" fontId="327" fillId="0" borderId="26">
      <alignment horizontal="centerContinuous"/>
    </xf>
    <xf numFmtId="0" fontId="304" fillId="0" borderId="0"/>
    <xf numFmtId="0" fontId="66" fillId="0" borderId="26">
      <alignment horizontal="centerContinuous"/>
    </xf>
    <xf numFmtId="0" fontId="66" fillId="0" borderId="26">
      <alignment horizontal="centerContinuous"/>
    </xf>
    <xf numFmtId="0" fontId="304" fillId="0" borderId="0"/>
    <xf numFmtId="0" fontId="66" fillId="0" borderId="26">
      <alignment horizontal="centerContinuous"/>
    </xf>
    <xf numFmtId="0" fontId="66" fillId="0" borderId="26">
      <alignment horizontal="centerContinuous"/>
    </xf>
    <xf numFmtId="0" fontId="304" fillId="0" borderId="0"/>
    <xf numFmtId="0" fontId="66" fillId="0" borderId="26">
      <alignment horizontal="centerContinuous"/>
    </xf>
    <xf numFmtId="0" fontId="66" fillId="0" borderId="26">
      <alignment horizontal="centerContinuous"/>
    </xf>
    <xf numFmtId="0" fontId="304" fillId="0" borderId="0"/>
    <xf numFmtId="0" fontId="327" fillId="0" borderId="26">
      <protection locked="0"/>
    </xf>
    <xf numFmtId="0" fontId="327" fillId="0" borderId="26">
      <protection locked="0"/>
    </xf>
    <xf numFmtId="236" fontId="327" fillId="0" borderId="0"/>
    <xf numFmtId="0" fontId="304" fillId="0" borderId="0"/>
    <xf numFmtId="0" fontId="327" fillId="0" borderId="26">
      <alignment horizontal="centerContinuous"/>
    </xf>
    <xf numFmtId="0" fontId="327" fillId="0" borderId="26">
      <alignment horizontal="centerContinuous"/>
    </xf>
    <xf numFmtId="0" fontId="304" fillId="0" borderId="0"/>
    <xf numFmtId="0" fontId="304" fillId="0" borderId="0"/>
    <xf numFmtId="0" fontId="327" fillId="0" borderId="0"/>
    <xf numFmtId="0" fontId="327" fillId="0" borderId="26">
      <alignment horizontal="centerContinuous"/>
    </xf>
    <xf numFmtId="0" fontId="327" fillId="0" borderId="26">
      <alignment horizontal="centerContinuous"/>
    </xf>
    <xf numFmtId="0" fontId="304" fillId="0" borderId="0"/>
    <xf numFmtId="236" fontId="327" fillId="0" borderId="0"/>
    <xf numFmtId="236" fontId="327" fillId="0" borderId="0"/>
    <xf numFmtId="0" fontId="304" fillId="0" borderId="0"/>
    <xf numFmtId="0" fontId="304" fillId="0" borderId="0"/>
    <xf numFmtId="0" fontId="304" fillId="0" borderId="0"/>
    <xf numFmtId="236" fontId="327" fillId="0" borderId="0"/>
    <xf numFmtId="0" fontId="304" fillId="0" borderId="0"/>
    <xf numFmtId="0" fontId="327" fillId="0" borderId="26">
      <alignment horizontal="centerContinuous"/>
    </xf>
    <xf numFmtId="0" fontId="327" fillId="0" borderId="26">
      <alignment horizontal="centerContinuous"/>
    </xf>
    <xf numFmtId="0" fontId="327" fillId="0" borderId="26">
      <protection locked="0"/>
    </xf>
    <xf numFmtId="0" fontId="327" fillId="0" borderId="26">
      <protection locked="0"/>
    </xf>
    <xf numFmtId="0" fontId="304" fillId="0" borderId="0"/>
    <xf numFmtId="0" fontId="327" fillId="0" borderId="26">
      <alignment horizontal="centerContinuous"/>
    </xf>
    <xf numFmtId="0" fontId="327" fillId="0" borderId="26">
      <alignment horizontal="centerContinuous"/>
    </xf>
    <xf numFmtId="0" fontId="304" fillId="0" borderId="0"/>
    <xf numFmtId="0" fontId="327" fillId="0" borderId="26">
      <protection locked="0"/>
    </xf>
    <xf numFmtId="0" fontId="327" fillId="0" borderId="26">
      <protection locked="0"/>
    </xf>
    <xf numFmtId="0" fontId="304" fillId="0" borderId="0"/>
    <xf numFmtId="236" fontId="327" fillId="0" borderId="0"/>
    <xf numFmtId="0" fontId="304" fillId="0" borderId="0"/>
    <xf numFmtId="0" fontId="304" fillId="0" borderId="0"/>
    <xf numFmtId="0" fontId="327" fillId="0" borderId="26">
      <protection locked="0"/>
    </xf>
    <xf numFmtId="0" fontId="327" fillId="0" borderId="26">
      <protection locked="0"/>
    </xf>
    <xf numFmtId="0" fontId="304" fillId="0" borderId="0"/>
    <xf numFmtId="0" fontId="327" fillId="0" borderId="26">
      <alignment horizontal="centerContinuous"/>
    </xf>
    <xf numFmtId="0" fontId="327" fillId="0" borderId="26">
      <alignment horizontal="centerContinuous"/>
    </xf>
    <xf numFmtId="0" fontId="304" fillId="0" borderId="0"/>
    <xf numFmtId="0" fontId="327" fillId="0" borderId="0"/>
    <xf numFmtId="0" fontId="327" fillId="0" borderId="26">
      <protection locked="0"/>
    </xf>
    <xf numFmtId="0" fontId="327" fillId="0" borderId="26">
      <protection locked="0"/>
    </xf>
    <xf numFmtId="0" fontId="304" fillId="0" borderId="0"/>
    <xf numFmtId="0" fontId="327" fillId="0" borderId="26">
      <alignment horizontal="centerContinuous"/>
    </xf>
    <xf numFmtId="0" fontId="327" fillId="0" borderId="26">
      <alignment horizontal="centerContinuous"/>
    </xf>
    <xf numFmtId="0" fontId="304" fillId="0" borderId="0"/>
    <xf numFmtId="236" fontId="327" fillId="0" borderId="0"/>
    <xf numFmtId="236" fontId="327" fillId="0" borderId="0"/>
    <xf numFmtId="0" fontId="304" fillId="0" borderId="0"/>
    <xf numFmtId="0" fontId="304" fillId="0" borderId="0"/>
    <xf numFmtId="0" fontId="304" fillId="0" borderId="0"/>
    <xf numFmtId="236" fontId="327" fillId="0" borderId="0"/>
    <xf numFmtId="0" fontId="304" fillId="0" borderId="0"/>
    <xf numFmtId="0" fontId="304" fillId="0" borderId="0"/>
    <xf numFmtId="0" fontId="327" fillId="0" borderId="26">
      <alignment horizontal="centerContinuous"/>
    </xf>
    <xf numFmtId="0" fontId="327" fillId="0" borderId="26">
      <alignment horizontal="centerContinuous"/>
    </xf>
    <xf numFmtId="0" fontId="327" fillId="0" borderId="26">
      <alignment horizontal="centerContinuous"/>
    </xf>
    <xf numFmtId="0" fontId="327" fillId="0" borderId="26">
      <alignment horizontal="centerContinuous"/>
    </xf>
    <xf numFmtId="0" fontId="327" fillId="0" borderId="26">
      <alignment horizontal="centerContinuous"/>
    </xf>
    <xf numFmtId="0" fontId="327" fillId="0" borderId="0"/>
    <xf numFmtId="236" fontId="327" fillId="0" borderId="0"/>
    <xf numFmtId="236" fontId="327" fillId="0" borderId="0"/>
    <xf numFmtId="0" fontId="304" fillId="0" borderId="0"/>
    <xf numFmtId="0" fontId="304" fillId="0" borderId="0"/>
    <xf numFmtId="0" fontId="304" fillId="0" borderId="0"/>
    <xf numFmtId="236" fontId="327" fillId="0" borderId="0"/>
    <xf numFmtId="0" fontId="304" fillId="0" borderId="0"/>
    <xf numFmtId="0" fontId="304" fillId="0" borderId="0"/>
    <xf numFmtId="0" fontId="327" fillId="0" borderId="26">
      <alignment horizontal="centerContinuous"/>
    </xf>
    <xf numFmtId="0" fontId="327" fillId="0" borderId="26">
      <alignment horizontal="centerContinuous"/>
    </xf>
    <xf numFmtId="0" fontId="327" fillId="0" borderId="26">
      <alignment horizontal="centerContinuous"/>
    </xf>
    <xf numFmtId="0" fontId="327" fillId="0" borderId="26">
      <alignment horizontal="centerContinuous"/>
    </xf>
    <xf numFmtId="0" fontId="327" fillId="0" borderId="26">
      <alignment horizontal="centerContinuous"/>
    </xf>
    <xf numFmtId="0" fontId="327" fillId="0" borderId="26">
      <alignment horizontal="centerContinuous"/>
    </xf>
    <xf numFmtId="236" fontId="327" fillId="0" borderId="0"/>
    <xf numFmtId="0" fontId="304" fillId="0" borderId="0"/>
    <xf numFmtId="0" fontId="327" fillId="0" borderId="26">
      <alignment horizontal="centerContinuous"/>
    </xf>
    <xf numFmtId="0" fontId="327" fillId="0" borderId="26">
      <alignment horizontal="centerContinuous"/>
    </xf>
    <xf numFmtId="0" fontId="304" fillId="0" borderId="0"/>
    <xf numFmtId="236" fontId="327" fillId="0" borderId="0"/>
    <xf numFmtId="0" fontId="304" fillId="0" borderId="0"/>
    <xf numFmtId="0" fontId="327" fillId="0" borderId="26">
      <protection locked="0"/>
    </xf>
    <xf numFmtId="0" fontId="327" fillId="0" borderId="26">
      <protection locked="0"/>
    </xf>
    <xf numFmtId="0" fontId="304" fillId="0" borderId="0"/>
    <xf numFmtId="0" fontId="327" fillId="0" borderId="26">
      <protection locked="0"/>
    </xf>
    <xf numFmtId="0" fontId="327" fillId="0" borderId="26">
      <protection locked="0"/>
    </xf>
    <xf numFmtId="0" fontId="304" fillId="0" borderId="0"/>
    <xf numFmtId="0" fontId="327" fillId="0" borderId="26">
      <protection locked="0"/>
    </xf>
    <xf numFmtId="0" fontId="327" fillId="0" borderId="26">
      <protection locked="0"/>
    </xf>
    <xf numFmtId="0" fontId="304" fillId="0" borderId="0"/>
    <xf numFmtId="0" fontId="304" fillId="0" borderId="0"/>
    <xf numFmtId="0" fontId="327" fillId="0" borderId="26">
      <protection locked="0"/>
    </xf>
    <xf numFmtId="0" fontId="327" fillId="0" borderId="26">
      <protection locked="0"/>
    </xf>
    <xf numFmtId="0" fontId="304" fillId="0" borderId="0"/>
    <xf numFmtId="0" fontId="327" fillId="0" borderId="26">
      <alignment horizontal="centerContinuous"/>
    </xf>
    <xf numFmtId="0" fontId="327" fillId="0" borderId="26">
      <alignment horizontal="centerContinuous"/>
    </xf>
    <xf numFmtId="0" fontId="304" fillId="0" borderId="0"/>
    <xf numFmtId="0" fontId="327" fillId="0" borderId="26">
      <alignment horizontal="centerContinuous"/>
    </xf>
    <xf numFmtId="0" fontId="327" fillId="0" borderId="26">
      <alignment horizontal="centerContinuous"/>
    </xf>
    <xf numFmtId="0" fontId="327" fillId="0" borderId="26">
      <alignment horizontal="centerContinuous"/>
    </xf>
    <xf numFmtId="0" fontId="327" fillId="0" borderId="26">
      <protection locked="0"/>
    </xf>
    <xf numFmtId="0" fontId="327" fillId="0" borderId="26">
      <protection locked="0"/>
    </xf>
    <xf numFmtId="0" fontId="304" fillId="0" borderId="0"/>
    <xf numFmtId="0" fontId="327" fillId="0" borderId="0"/>
    <xf numFmtId="236" fontId="327" fillId="0" borderId="0"/>
    <xf numFmtId="236" fontId="327" fillId="0" borderId="0"/>
    <xf numFmtId="0" fontId="304" fillId="0" borderId="0"/>
    <xf numFmtId="0" fontId="304" fillId="0" borderId="0"/>
    <xf numFmtId="0" fontId="304" fillId="0" borderId="0"/>
    <xf numFmtId="236" fontId="327" fillId="0" borderId="0"/>
    <xf numFmtId="0" fontId="304" fillId="0" borderId="0"/>
    <xf numFmtId="0" fontId="304" fillId="0" borderId="0"/>
    <xf numFmtId="0" fontId="327" fillId="0" borderId="26">
      <alignment horizontal="centerContinuous"/>
    </xf>
    <xf numFmtId="0" fontId="327" fillId="0" borderId="26">
      <alignment horizontal="centerContinuous"/>
    </xf>
    <xf numFmtId="0" fontId="327" fillId="0" borderId="26">
      <alignment horizontal="centerContinuous"/>
    </xf>
    <xf numFmtId="0" fontId="327" fillId="0" borderId="26">
      <alignment horizontal="centerContinuous"/>
    </xf>
    <xf numFmtId="0" fontId="327" fillId="0" borderId="26">
      <alignment horizontal="centerContinuous"/>
    </xf>
    <xf numFmtId="0" fontId="327" fillId="0" borderId="26">
      <alignment horizontal="centerContinuous"/>
    </xf>
    <xf numFmtId="236" fontId="327" fillId="0" borderId="0"/>
    <xf numFmtId="0" fontId="327" fillId="0" borderId="26">
      <protection locked="0"/>
    </xf>
    <xf numFmtId="0" fontId="327" fillId="0" borderId="26">
      <protection locked="0"/>
    </xf>
    <xf numFmtId="0" fontId="304" fillId="0" borderId="0"/>
    <xf numFmtId="0" fontId="327" fillId="0" borderId="26">
      <protection locked="0"/>
    </xf>
    <xf numFmtId="0" fontId="327" fillId="0" borderId="26">
      <protection locked="0"/>
    </xf>
    <xf numFmtId="0" fontId="304" fillId="0" borderId="0"/>
    <xf numFmtId="0" fontId="304" fillId="0" borderId="0"/>
    <xf numFmtId="0" fontId="327" fillId="0" borderId="26">
      <alignment horizontal="centerContinuous"/>
    </xf>
    <xf numFmtId="0" fontId="327" fillId="0" borderId="26">
      <alignment horizontal="centerContinuous"/>
    </xf>
    <xf numFmtId="0" fontId="304" fillId="0" borderId="0"/>
    <xf numFmtId="236" fontId="327" fillId="0" borderId="0"/>
    <xf numFmtId="0" fontId="304" fillId="0" borderId="0"/>
    <xf numFmtId="0" fontId="327" fillId="0" borderId="26">
      <protection locked="0"/>
    </xf>
    <xf numFmtId="0" fontId="327" fillId="0" borderId="26">
      <protection locked="0"/>
    </xf>
    <xf numFmtId="0" fontId="304" fillId="0" borderId="0"/>
    <xf numFmtId="236" fontId="327" fillId="0" borderId="0"/>
    <xf numFmtId="0" fontId="304" fillId="0" borderId="0"/>
    <xf numFmtId="0" fontId="327" fillId="0" borderId="26">
      <protection locked="0"/>
    </xf>
    <xf numFmtId="0" fontId="327" fillId="0" borderId="26">
      <protection locked="0"/>
    </xf>
    <xf numFmtId="0" fontId="304" fillId="0" borderId="0"/>
    <xf numFmtId="0" fontId="327" fillId="0" borderId="26">
      <protection locked="0"/>
    </xf>
    <xf numFmtId="0" fontId="327" fillId="0" borderId="26">
      <protection locked="0"/>
    </xf>
    <xf numFmtId="0" fontId="304" fillId="0" borderId="0"/>
    <xf numFmtId="0" fontId="327" fillId="0" borderId="26">
      <protection locked="0"/>
    </xf>
    <xf numFmtId="0" fontId="327" fillId="0" borderId="26">
      <protection locked="0"/>
    </xf>
    <xf numFmtId="0" fontId="304" fillId="0" borderId="0"/>
    <xf numFmtId="236" fontId="327" fillId="0" borderId="0"/>
    <xf numFmtId="0" fontId="304" fillId="0" borderId="0"/>
    <xf numFmtId="0" fontId="327" fillId="0" borderId="26">
      <protection locked="0"/>
    </xf>
    <xf numFmtId="0" fontId="327" fillId="0" borderId="26">
      <protection locked="0"/>
    </xf>
    <xf numFmtId="236" fontId="327" fillId="0" borderId="0"/>
    <xf numFmtId="0" fontId="304" fillId="0" borderId="0"/>
    <xf numFmtId="236" fontId="327" fillId="0" borderId="0"/>
    <xf numFmtId="0" fontId="304" fillId="0" borderId="0"/>
    <xf numFmtId="0" fontId="304" fillId="0" borderId="0"/>
    <xf numFmtId="0" fontId="304" fillId="0" borderId="0"/>
    <xf numFmtId="0" fontId="327" fillId="0" borderId="26">
      <protection locked="0"/>
    </xf>
    <xf numFmtId="0" fontId="327" fillId="0" borderId="26">
      <protection locked="0"/>
    </xf>
    <xf numFmtId="0" fontId="304" fillId="0" borderId="0"/>
    <xf numFmtId="0" fontId="327" fillId="0" borderId="26">
      <alignment horizontal="centerContinuous"/>
    </xf>
    <xf numFmtId="0" fontId="327" fillId="0" borderId="26">
      <alignment horizontal="centerContinuous"/>
    </xf>
    <xf numFmtId="0" fontId="304" fillId="0" borderId="0"/>
    <xf numFmtId="236" fontId="327" fillId="0" borderId="0"/>
    <xf numFmtId="0" fontId="304" fillId="0" borderId="0"/>
    <xf numFmtId="0" fontId="327" fillId="0" borderId="26">
      <alignment horizontal="centerContinuous"/>
    </xf>
    <xf numFmtId="0" fontId="327" fillId="0" borderId="26">
      <alignment horizontal="centerContinuous"/>
    </xf>
    <xf numFmtId="0" fontId="304" fillId="0" borderId="0"/>
    <xf numFmtId="236" fontId="327" fillId="0" borderId="0"/>
    <xf numFmtId="0" fontId="304" fillId="0" borderId="0"/>
    <xf numFmtId="236" fontId="327" fillId="0" borderId="0"/>
    <xf numFmtId="0" fontId="304" fillId="0" borderId="0"/>
    <xf numFmtId="236" fontId="327" fillId="0" borderId="0"/>
    <xf numFmtId="0" fontId="304" fillId="0" borderId="0"/>
    <xf numFmtId="236" fontId="327" fillId="0" borderId="0"/>
    <xf numFmtId="0" fontId="304" fillId="0" borderId="0"/>
    <xf numFmtId="0" fontId="327" fillId="0" borderId="26">
      <alignment horizontal="centerContinuous"/>
    </xf>
    <xf numFmtId="0" fontId="327" fillId="0" borderId="26">
      <alignment horizontal="centerContinuous"/>
    </xf>
    <xf numFmtId="0" fontId="304" fillId="0" borderId="0"/>
    <xf numFmtId="0" fontId="327" fillId="0" borderId="26">
      <protection locked="0"/>
    </xf>
    <xf numFmtId="0" fontId="327" fillId="0" borderId="26">
      <protection locked="0"/>
    </xf>
    <xf numFmtId="0" fontId="304" fillId="0" borderId="0"/>
    <xf numFmtId="236" fontId="327" fillId="0" borderId="0"/>
    <xf numFmtId="0" fontId="304" fillId="0" borderId="0"/>
    <xf numFmtId="0" fontId="304" fillId="0" borderId="0"/>
    <xf numFmtId="0" fontId="327" fillId="0" borderId="0"/>
    <xf numFmtId="0" fontId="327" fillId="0" borderId="26">
      <protection locked="0"/>
    </xf>
    <xf numFmtId="0" fontId="327" fillId="0" borderId="26">
      <protection locked="0"/>
    </xf>
    <xf numFmtId="0" fontId="327" fillId="0" borderId="26">
      <alignment horizontal="centerContinuous"/>
    </xf>
    <xf numFmtId="0" fontId="327" fillId="0" borderId="26">
      <alignment horizontal="centerContinuous"/>
    </xf>
    <xf numFmtId="0" fontId="304" fillId="0" borderId="0"/>
    <xf numFmtId="0" fontId="327" fillId="0" borderId="26">
      <protection locked="0"/>
    </xf>
    <xf numFmtId="0" fontId="327" fillId="0" borderId="26">
      <protection locked="0"/>
    </xf>
    <xf numFmtId="0" fontId="304" fillId="0" borderId="0"/>
    <xf numFmtId="0" fontId="327" fillId="0" borderId="26">
      <protection locked="0"/>
    </xf>
    <xf numFmtId="0" fontId="327" fillId="0" borderId="26">
      <protection locked="0"/>
    </xf>
    <xf numFmtId="0" fontId="304" fillId="0" borderId="0"/>
    <xf numFmtId="0" fontId="327" fillId="0" borderId="26">
      <alignment horizontal="centerContinuous"/>
    </xf>
    <xf numFmtId="0" fontId="327" fillId="0" borderId="26">
      <alignment horizontal="centerContinuous"/>
    </xf>
    <xf numFmtId="0" fontId="327" fillId="0" borderId="26">
      <protection locked="0"/>
    </xf>
    <xf numFmtId="0" fontId="327" fillId="0" borderId="26">
      <protection locked="0"/>
    </xf>
    <xf numFmtId="0" fontId="304" fillId="0" borderId="0"/>
    <xf numFmtId="0" fontId="304" fillId="0" borderId="0"/>
    <xf numFmtId="0" fontId="327" fillId="0" borderId="26">
      <protection locked="0"/>
    </xf>
    <xf numFmtId="0" fontId="327" fillId="0" borderId="26">
      <protection locked="0"/>
    </xf>
    <xf numFmtId="0" fontId="304" fillId="0" borderId="0"/>
    <xf numFmtId="0" fontId="66" fillId="0" borderId="26">
      <protection locked="0"/>
    </xf>
    <xf numFmtId="0" fontId="66" fillId="0" borderId="26">
      <protection locked="0"/>
    </xf>
    <xf numFmtId="0" fontId="304" fillId="0" borderId="0"/>
    <xf numFmtId="0" fontId="66" fillId="0" borderId="26">
      <protection locked="0"/>
    </xf>
    <xf numFmtId="0" fontId="66" fillId="0" borderId="26">
      <protection locked="0"/>
    </xf>
    <xf numFmtId="0" fontId="304" fillId="0" borderId="0"/>
    <xf numFmtId="0" fontId="66" fillId="0" borderId="26">
      <protection locked="0"/>
    </xf>
    <xf numFmtId="0" fontId="66" fillId="0" borderId="26">
      <protection locked="0"/>
    </xf>
    <xf numFmtId="0" fontId="304" fillId="0" borderId="0"/>
    <xf numFmtId="0" fontId="304" fillId="0" borderId="0"/>
    <xf numFmtId="0" fontId="327" fillId="0" borderId="26">
      <protection locked="0"/>
    </xf>
    <xf numFmtId="0" fontId="327" fillId="0" borderId="26">
      <protection locked="0"/>
    </xf>
    <xf numFmtId="0" fontId="304" fillId="0" borderId="0"/>
    <xf numFmtId="0" fontId="327" fillId="0" borderId="26">
      <protection locked="0"/>
    </xf>
    <xf numFmtId="0" fontId="327" fillId="0" borderId="26">
      <protection locked="0"/>
    </xf>
    <xf numFmtId="0" fontId="304" fillId="0" borderId="0"/>
    <xf numFmtId="0" fontId="66" fillId="0" borderId="26">
      <protection locked="0"/>
    </xf>
    <xf numFmtId="0" fontId="66" fillId="0" borderId="26">
      <protection locked="0"/>
    </xf>
    <xf numFmtId="0" fontId="304" fillId="0" borderId="0"/>
    <xf numFmtId="0" fontId="327" fillId="0" borderId="26">
      <protection locked="0"/>
    </xf>
    <xf numFmtId="0" fontId="327" fillId="0" borderId="26">
      <protection locked="0"/>
    </xf>
    <xf numFmtId="0" fontId="304" fillId="0" borderId="0"/>
    <xf numFmtId="0" fontId="327" fillId="0" borderId="26">
      <protection locked="0"/>
    </xf>
    <xf numFmtId="0" fontId="327" fillId="0" borderId="26">
      <protection locked="0"/>
    </xf>
    <xf numFmtId="0" fontId="304" fillId="0" borderId="0"/>
    <xf numFmtId="0" fontId="327" fillId="0" borderId="26">
      <alignment horizontal="centerContinuous"/>
    </xf>
    <xf numFmtId="0" fontId="327" fillId="0" borderId="26">
      <alignment horizontal="centerContinuous"/>
    </xf>
    <xf numFmtId="0" fontId="304" fillId="0" borderId="0"/>
    <xf numFmtId="0" fontId="327" fillId="0" borderId="26">
      <alignment horizontal="centerContinuous"/>
    </xf>
    <xf numFmtId="0" fontId="327" fillId="0" borderId="26">
      <alignment horizontal="centerContinuous"/>
    </xf>
    <xf numFmtId="0" fontId="304" fillId="0" borderId="0"/>
    <xf numFmtId="0" fontId="327" fillId="0" borderId="26">
      <alignment horizontal="centerContinuous"/>
    </xf>
    <xf numFmtId="0" fontId="327" fillId="0" borderId="26">
      <alignment horizontal="centerContinuous"/>
    </xf>
    <xf numFmtId="0" fontId="304" fillId="0" borderId="0"/>
    <xf numFmtId="0" fontId="327" fillId="0" borderId="26">
      <protection locked="0"/>
    </xf>
    <xf numFmtId="0" fontId="327" fillId="0" borderId="26">
      <protection locked="0"/>
    </xf>
    <xf numFmtId="0" fontId="304" fillId="0" borderId="0"/>
    <xf numFmtId="0" fontId="327" fillId="0" borderId="26">
      <protection locked="0"/>
    </xf>
    <xf numFmtId="0" fontId="327" fillId="0" borderId="26">
      <protection locked="0"/>
    </xf>
    <xf numFmtId="0" fontId="304" fillId="0" borderId="0"/>
    <xf numFmtId="0" fontId="327" fillId="0" borderId="26">
      <alignment horizontal="centerContinuous"/>
    </xf>
    <xf numFmtId="0" fontId="327" fillId="0" borderId="26">
      <alignment horizontal="centerContinuous"/>
    </xf>
    <xf numFmtId="0" fontId="304" fillId="0" borderId="0"/>
    <xf numFmtId="0" fontId="327" fillId="0" borderId="26">
      <alignment horizontal="centerContinuous"/>
    </xf>
    <xf numFmtId="0" fontId="327" fillId="0" borderId="26">
      <alignment horizontal="centerContinuous"/>
    </xf>
    <xf numFmtId="0" fontId="304" fillId="0" borderId="0"/>
    <xf numFmtId="0" fontId="327" fillId="0" borderId="26">
      <protection locked="0"/>
    </xf>
    <xf numFmtId="0" fontId="327" fillId="0" borderId="26">
      <protection locked="0"/>
    </xf>
    <xf numFmtId="0" fontId="304" fillId="0" borderId="0"/>
    <xf numFmtId="0" fontId="327" fillId="0" borderId="26">
      <alignment horizontal="centerContinuous"/>
    </xf>
    <xf numFmtId="0" fontId="327" fillId="0" borderId="26">
      <alignment horizontal="centerContinuous"/>
    </xf>
    <xf numFmtId="0" fontId="304" fillId="0" borderId="0"/>
    <xf numFmtId="0" fontId="327" fillId="0" borderId="26">
      <alignment horizontal="centerContinuous"/>
    </xf>
    <xf numFmtId="0" fontId="327" fillId="0" borderId="26">
      <alignment horizontal="centerContinuous"/>
    </xf>
    <xf numFmtId="0" fontId="304" fillId="0" borderId="0"/>
    <xf numFmtId="0" fontId="327" fillId="0" borderId="26">
      <protection locked="0"/>
    </xf>
    <xf numFmtId="0" fontId="327" fillId="0" borderId="26">
      <protection locked="0"/>
    </xf>
    <xf numFmtId="0" fontId="304" fillId="0" borderId="0"/>
    <xf numFmtId="0" fontId="327" fillId="0" borderId="26">
      <alignment horizontal="centerContinuous"/>
    </xf>
    <xf numFmtId="0" fontId="327" fillId="0" borderId="26">
      <alignment horizontal="centerContinuous"/>
    </xf>
    <xf numFmtId="0" fontId="304" fillId="0" borderId="0"/>
    <xf numFmtId="0" fontId="327" fillId="0" borderId="26">
      <alignment horizontal="centerContinuous"/>
    </xf>
    <xf numFmtId="0" fontId="327" fillId="0" borderId="26">
      <alignment horizontal="centerContinuous"/>
    </xf>
    <xf numFmtId="0" fontId="304" fillId="0" borderId="0"/>
    <xf numFmtId="0" fontId="327" fillId="0" borderId="26">
      <alignment horizontal="centerContinuous"/>
    </xf>
    <xf numFmtId="0" fontId="327" fillId="0" borderId="26">
      <alignment horizontal="centerContinuous"/>
    </xf>
    <xf numFmtId="0" fontId="304" fillId="0" borderId="0"/>
    <xf numFmtId="0" fontId="327" fillId="0" borderId="26">
      <alignment horizontal="centerContinuous"/>
    </xf>
    <xf numFmtId="0" fontId="327" fillId="0" borderId="26">
      <alignment horizontal="centerContinuous"/>
    </xf>
    <xf numFmtId="0" fontId="304" fillId="0" borderId="0"/>
    <xf numFmtId="0" fontId="327" fillId="0" borderId="26">
      <protection locked="0"/>
    </xf>
    <xf numFmtId="0" fontId="327" fillId="0" borderId="26">
      <protection locked="0"/>
    </xf>
    <xf numFmtId="0" fontId="304" fillId="0" borderId="0"/>
    <xf numFmtId="236" fontId="327" fillId="0" borderId="0"/>
    <xf numFmtId="0" fontId="304" fillId="0" borderId="0"/>
    <xf numFmtId="236" fontId="327" fillId="0" borderId="0"/>
    <xf numFmtId="0" fontId="304" fillId="0" borderId="0"/>
    <xf numFmtId="236" fontId="327" fillId="0" borderId="0"/>
    <xf numFmtId="0" fontId="304" fillId="0" borderId="0"/>
    <xf numFmtId="236" fontId="327" fillId="0" borderId="0"/>
    <xf numFmtId="236" fontId="327" fillId="0" borderId="0"/>
    <xf numFmtId="0" fontId="304" fillId="0" borderId="0"/>
    <xf numFmtId="0" fontId="304" fillId="0" borderId="0"/>
    <xf numFmtId="236" fontId="327" fillId="0" borderId="0"/>
    <xf numFmtId="0" fontId="304" fillId="0" borderId="0"/>
    <xf numFmtId="0" fontId="327" fillId="0" borderId="26">
      <protection locked="0"/>
    </xf>
    <xf numFmtId="0" fontId="327" fillId="0" borderId="26">
      <protection locked="0"/>
    </xf>
    <xf numFmtId="236" fontId="327" fillId="0" borderId="0"/>
    <xf numFmtId="0" fontId="304" fillId="0" borderId="0"/>
    <xf numFmtId="0" fontId="304" fillId="0" borderId="0"/>
    <xf numFmtId="0" fontId="327" fillId="0" borderId="0"/>
    <xf numFmtId="0" fontId="327" fillId="0" borderId="0"/>
    <xf numFmtId="0" fontId="304" fillId="0" borderId="0"/>
    <xf numFmtId="0" fontId="304" fillId="0" borderId="0"/>
    <xf numFmtId="236" fontId="327" fillId="0" borderId="0"/>
    <xf numFmtId="0" fontId="304" fillId="0" borderId="0"/>
    <xf numFmtId="236" fontId="66" fillId="0" borderId="0"/>
    <xf numFmtId="0" fontId="304" fillId="0" borderId="0"/>
    <xf numFmtId="236" fontId="66" fillId="0" borderId="0"/>
    <xf numFmtId="0" fontId="304" fillId="0" borderId="0"/>
    <xf numFmtId="236" fontId="66" fillId="0" borderId="0"/>
    <xf numFmtId="0" fontId="304" fillId="0" borderId="0"/>
    <xf numFmtId="0" fontId="304" fillId="0" borderId="0"/>
    <xf numFmtId="236" fontId="327" fillId="0" borderId="0"/>
    <xf numFmtId="0" fontId="304" fillId="0" borderId="0"/>
    <xf numFmtId="236" fontId="327" fillId="0" borderId="0"/>
    <xf numFmtId="0" fontId="304" fillId="0" borderId="0"/>
    <xf numFmtId="236" fontId="66" fillId="0" borderId="0"/>
    <xf numFmtId="0" fontId="304" fillId="0" borderId="0"/>
    <xf numFmtId="0" fontId="327" fillId="0" borderId="0"/>
    <xf numFmtId="0" fontId="304" fillId="0" borderId="0"/>
    <xf numFmtId="236" fontId="327" fillId="0" borderId="0"/>
    <xf numFmtId="0" fontId="304" fillId="0" borderId="0"/>
    <xf numFmtId="236" fontId="327" fillId="0" borderId="0"/>
    <xf numFmtId="0" fontId="304" fillId="0" borderId="0"/>
    <xf numFmtId="0" fontId="327" fillId="0" borderId="26">
      <protection locked="0"/>
    </xf>
    <xf numFmtId="0" fontId="327" fillId="0" borderId="26">
      <protection locked="0"/>
    </xf>
    <xf numFmtId="0" fontId="304" fillId="0" borderId="0"/>
    <xf numFmtId="0" fontId="327" fillId="0" borderId="26">
      <protection locked="0"/>
    </xf>
    <xf numFmtId="0" fontId="327" fillId="0" borderId="26">
      <protection locked="0"/>
    </xf>
    <xf numFmtId="0" fontId="304" fillId="0" borderId="0"/>
    <xf numFmtId="0" fontId="327" fillId="0" borderId="26">
      <protection locked="0"/>
    </xf>
    <xf numFmtId="0" fontId="327" fillId="0" borderId="26">
      <protection locked="0"/>
    </xf>
    <xf numFmtId="0" fontId="304" fillId="0" borderId="0"/>
    <xf numFmtId="236" fontId="327" fillId="0" borderId="0"/>
    <xf numFmtId="0" fontId="304" fillId="0" borderId="0"/>
    <xf numFmtId="236" fontId="327" fillId="0" borderId="0"/>
    <xf numFmtId="0" fontId="304" fillId="0" borderId="0"/>
    <xf numFmtId="236" fontId="327" fillId="0" borderId="0"/>
    <xf numFmtId="0" fontId="304" fillId="0" borderId="0"/>
    <xf numFmtId="0" fontId="327" fillId="0" borderId="26">
      <protection locked="0"/>
    </xf>
    <xf numFmtId="0" fontId="327" fillId="0" borderId="26">
      <protection locked="0"/>
    </xf>
    <xf numFmtId="0" fontId="304" fillId="0" borderId="0"/>
    <xf numFmtId="236" fontId="327" fillId="0" borderId="0"/>
    <xf numFmtId="0" fontId="304" fillId="0" borderId="0"/>
    <xf numFmtId="0" fontId="327" fillId="0" borderId="26">
      <protection locked="0"/>
    </xf>
    <xf numFmtId="0" fontId="327" fillId="0" borderId="26">
      <protection locked="0"/>
    </xf>
    <xf numFmtId="0" fontId="304" fillId="0" borderId="0"/>
    <xf numFmtId="236" fontId="327" fillId="0" borderId="0"/>
    <xf numFmtId="0" fontId="304" fillId="0" borderId="0"/>
    <xf numFmtId="236" fontId="327" fillId="0" borderId="0"/>
    <xf numFmtId="0" fontId="304" fillId="0" borderId="0"/>
    <xf numFmtId="0" fontId="327" fillId="0" borderId="0"/>
    <xf numFmtId="0" fontId="304" fillId="0" borderId="0"/>
    <xf numFmtId="0" fontId="327" fillId="0" borderId="26">
      <protection locked="0"/>
    </xf>
    <xf numFmtId="0" fontId="327" fillId="0" borderId="26">
      <protection locked="0"/>
    </xf>
    <xf numFmtId="0" fontId="304" fillId="0" borderId="0"/>
    <xf numFmtId="0" fontId="327" fillId="0" borderId="26">
      <protection locked="0"/>
    </xf>
    <xf numFmtId="0" fontId="327" fillId="0" borderId="26">
      <protection locked="0"/>
    </xf>
    <xf numFmtId="0" fontId="304" fillId="0" borderId="0"/>
    <xf numFmtId="236" fontId="327" fillId="0" borderId="0"/>
    <xf numFmtId="0" fontId="304" fillId="0" borderId="0"/>
    <xf numFmtId="236" fontId="327" fillId="0" borderId="0"/>
    <xf numFmtId="0" fontId="304" fillId="0" borderId="0"/>
    <xf numFmtId="0" fontId="327" fillId="0" borderId="26">
      <protection locked="0"/>
    </xf>
    <xf numFmtId="0" fontId="327" fillId="0" borderId="26">
      <protection locked="0"/>
    </xf>
    <xf numFmtId="0" fontId="304" fillId="0" borderId="0"/>
    <xf numFmtId="0" fontId="327" fillId="0" borderId="26">
      <protection locked="0"/>
    </xf>
    <xf numFmtId="0" fontId="327" fillId="0" borderId="26">
      <protection locked="0"/>
    </xf>
    <xf numFmtId="0" fontId="304" fillId="0" borderId="0"/>
    <xf numFmtId="0" fontId="327" fillId="0" borderId="26">
      <protection locked="0"/>
    </xf>
    <xf numFmtId="0" fontId="327" fillId="0" borderId="26">
      <protection locked="0"/>
    </xf>
    <xf numFmtId="0" fontId="304" fillId="0" borderId="0"/>
    <xf numFmtId="0" fontId="327" fillId="0" borderId="26">
      <protection locked="0"/>
    </xf>
    <xf numFmtId="0" fontId="327" fillId="0" borderId="26">
      <protection locked="0"/>
    </xf>
    <xf numFmtId="0" fontId="304" fillId="0" borderId="0"/>
    <xf numFmtId="236" fontId="327" fillId="0" borderId="0"/>
    <xf numFmtId="0" fontId="304" fillId="0" borderId="0"/>
    <xf numFmtId="0" fontId="327" fillId="0" borderId="0"/>
    <xf numFmtId="0" fontId="327" fillId="0" borderId="26">
      <alignment horizontal="centerContinuous"/>
    </xf>
    <xf numFmtId="0" fontId="327" fillId="0" borderId="26">
      <alignment horizontal="centerContinuous"/>
    </xf>
    <xf numFmtId="0" fontId="304" fillId="0" borderId="0"/>
    <xf numFmtId="0" fontId="327" fillId="0" borderId="26">
      <protection locked="0"/>
    </xf>
    <xf numFmtId="0" fontId="327" fillId="0" borderId="26">
      <protection locked="0"/>
    </xf>
    <xf numFmtId="0" fontId="304" fillId="0" borderId="0"/>
    <xf numFmtId="0" fontId="304" fillId="0" borderId="0"/>
    <xf numFmtId="0" fontId="327" fillId="0" borderId="26">
      <protection locked="0"/>
    </xf>
    <xf numFmtId="0" fontId="327" fillId="0" borderId="26">
      <protection locked="0"/>
    </xf>
    <xf numFmtId="0" fontId="327" fillId="0" borderId="26">
      <alignment horizontal="centerContinuous"/>
    </xf>
    <xf numFmtId="0" fontId="327" fillId="0" borderId="26">
      <alignment horizontal="centerContinuous"/>
    </xf>
    <xf numFmtId="0" fontId="304" fillId="0" borderId="0"/>
    <xf numFmtId="0" fontId="327" fillId="0" borderId="0"/>
    <xf numFmtId="236" fontId="327" fillId="0" borderId="0"/>
    <xf numFmtId="236" fontId="327" fillId="0" borderId="0"/>
    <xf numFmtId="0" fontId="304" fillId="0" borderId="0"/>
    <xf numFmtId="0" fontId="304" fillId="0" borderId="0"/>
    <xf numFmtId="0" fontId="304" fillId="0" borderId="0"/>
    <xf numFmtId="236" fontId="327" fillId="0" borderId="0"/>
    <xf numFmtId="0" fontId="304" fillId="0" borderId="0"/>
    <xf numFmtId="0" fontId="304" fillId="0" borderId="0"/>
    <xf numFmtId="0" fontId="327" fillId="0" borderId="26">
      <alignment horizontal="centerContinuous"/>
    </xf>
    <xf numFmtId="0" fontId="327" fillId="0" borderId="26">
      <alignment horizontal="centerContinuous"/>
    </xf>
    <xf numFmtId="0" fontId="304" fillId="0" borderId="0"/>
    <xf numFmtId="0" fontId="327" fillId="0" borderId="26">
      <protection locked="0"/>
    </xf>
    <xf numFmtId="0" fontId="327" fillId="0" borderId="26">
      <protection locked="0"/>
    </xf>
    <xf numFmtId="0" fontId="327" fillId="0" borderId="0"/>
    <xf numFmtId="0" fontId="304" fillId="0" borderId="0"/>
    <xf numFmtId="0" fontId="304" fillId="0" borderId="0"/>
    <xf numFmtId="236" fontId="327" fillId="0" borderId="0"/>
    <xf numFmtId="0" fontId="327" fillId="0" borderId="26">
      <protection locked="0"/>
    </xf>
    <xf numFmtId="0" fontId="327" fillId="0" borderId="26">
      <protection locked="0"/>
    </xf>
    <xf numFmtId="0" fontId="327" fillId="0" borderId="26">
      <alignment horizontal="centerContinuous"/>
    </xf>
    <xf numFmtId="0" fontId="327" fillId="0" borderId="26">
      <alignment horizontal="centerContinuous"/>
    </xf>
    <xf numFmtId="0" fontId="304" fillId="0" borderId="0"/>
    <xf numFmtId="0" fontId="304" fillId="0" borderId="0"/>
    <xf numFmtId="0" fontId="327" fillId="0" borderId="26">
      <alignment horizontal="centerContinuous"/>
    </xf>
    <xf numFmtId="0" fontId="327" fillId="0" borderId="26">
      <alignment horizontal="centerContinuous"/>
    </xf>
    <xf numFmtId="0" fontId="327" fillId="0" borderId="26">
      <protection locked="0"/>
    </xf>
    <xf numFmtId="0" fontId="327" fillId="0" borderId="26">
      <protection locked="0"/>
    </xf>
    <xf numFmtId="0" fontId="304" fillId="0" borderId="0"/>
    <xf numFmtId="0" fontId="327" fillId="0" borderId="26">
      <protection locked="0"/>
    </xf>
    <xf numFmtId="0" fontId="327" fillId="0" borderId="26">
      <protection locked="0"/>
    </xf>
    <xf numFmtId="0" fontId="304" fillId="0" borderId="0"/>
    <xf numFmtId="0" fontId="304" fillId="0" borderId="0"/>
    <xf numFmtId="0" fontId="327" fillId="0" borderId="26">
      <protection locked="0"/>
    </xf>
    <xf numFmtId="0" fontId="327" fillId="0" borderId="26">
      <protection locked="0"/>
    </xf>
    <xf numFmtId="236" fontId="327" fillId="0" borderId="0"/>
    <xf numFmtId="0" fontId="304" fillId="0" borderId="0"/>
    <xf numFmtId="236" fontId="327" fillId="0" borderId="0"/>
    <xf numFmtId="0" fontId="304" fillId="0" borderId="0"/>
    <xf numFmtId="0" fontId="304" fillId="0" borderId="0"/>
    <xf numFmtId="0" fontId="327" fillId="0" borderId="26">
      <alignment horizontal="centerContinuous"/>
    </xf>
    <xf numFmtId="0" fontId="327" fillId="0" borderId="26">
      <alignment horizontal="centerContinuous"/>
    </xf>
    <xf numFmtId="0" fontId="304" fillId="0" borderId="0"/>
    <xf numFmtId="0" fontId="327" fillId="0" borderId="26">
      <alignment horizontal="centerContinuous"/>
    </xf>
    <xf numFmtId="0" fontId="327" fillId="0" borderId="26">
      <alignment horizontal="centerContinuous"/>
    </xf>
    <xf numFmtId="0" fontId="304" fillId="0" borderId="0"/>
    <xf numFmtId="0" fontId="304" fillId="0" borderId="0"/>
    <xf numFmtId="0" fontId="327" fillId="0" borderId="26">
      <protection locked="0"/>
    </xf>
    <xf numFmtId="0" fontId="327" fillId="0" borderId="26">
      <protection locked="0"/>
    </xf>
    <xf numFmtId="0" fontId="304" fillId="0" borderId="0"/>
    <xf numFmtId="236" fontId="327" fillId="0" borderId="0"/>
    <xf numFmtId="0" fontId="304" fillId="0" borderId="0"/>
    <xf numFmtId="0" fontId="327" fillId="0" borderId="26">
      <protection locked="0"/>
    </xf>
    <xf numFmtId="0" fontId="327" fillId="0" borderId="26">
      <protection locked="0"/>
    </xf>
    <xf numFmtId="0" fontId="327" fillId="0" borderId="26">
      <alignment horizontal="centerContinuous"/>
    </xf>
    <xf numFmtId="0" fontId="327" fillId="0" borderId="26">
      <alignment horizontal="centerContinuous"/>
    </xf>
    <xf numFmtId="0" fontId="304" fillId="0" borderId="0"/>
    <xf numFmtId="236" fontId="327" fillId="0" borderId="0"/>
    <xf numFmtId="0" fontId="304" fillId="0" borderId="0"/>
    <xf numFmtId="0" fontId="304" fillId="0" borderId="0"/>
    <xf numFmtId="236" fontId="327" fillId="0" borderId="0"/>
    <xf numFmtId="0" fontId="304" fillId="0" borderId="0"/>
    <xf numFmtId="0" fontId="327" fillId="0" borderId="26">
      <alignment horizontal="centerContinuous"/>
    </xf>
    <xf numFmtId="0" fontId="327" fillId="0" borderId="26">
      <alignment horizontal="centerContinuous"/>
    </xf>
    <xf numFmtId="0" fontId="327" fillId="0" borderId="26">
      <protection locked="0"/>
    </xf>
    <xf numFmtId="0" fontId="327" fillId="0" borderId="26">
      <protection locked="0"/>
    </xf>
    <xf numFmtId="0" fontId="304" fillId="0" borderId="0"/>
    <xf numFmtId="0" fontId="327" fillId="0" borderId="26">
      <alignment horizontal="centerContinuous"/>
    </xf>
    <xf numFmtId="0" fontId="327" fillId="0" borderId="26">
      <alignment horizontal="centerContinuous"/>
    </xf>
    <xf numFmtId="0" fontId="304" fillId="0" borderId="0"/>
    <xf numFmtId="0" fontId="327" fillId="0" borderId="26">
      <protection locked="0"/>
    </xf>
    <xf numFmtId="0" fontId="327" fillId="0" borderId="26">
      <protection locked="0"/>
    </xf>
    <xf numFmtId="0" fontId="304" fillId="0" borderId="0"/>
    <xf numFmtId="236" fontId="327" fillId="0" borderId="0"/>
    <xf numFmtId="0" fontId="304" fillId="0" borderId="0"/>
    <xf numFmtId="0" fontId="304" fillId="0" borderId="0"/>
    <xf numFmtId="0" fontId="327" fillId="0" borderId="26">
      <protection locked="0"/>
    </xf>
    <xf numFmtId="0" fontId="327" fillId="0" borderId="26">
      <protection locked="0"/>
    </xf>
    <xf numFmtId="0" fontId="304" fillId="0" borderId="0"/>
    <xf numFmtId="0" fontId="327" fillId="0" borderId="26">
      <alignment horizontal="centerContinuous"/>
    </xf>
    <xf numFmtId="0" fontId="327" fillId="0" borderId="26">
      <alignment horizontal="centerContinuous"/>
    </xf>
    <xf numFmtId="0" fontId="304" fillId="0" borderId="0"/>
    <xf numFmtId="0" fontId="327" fillId="0" borderId="26">
      <alignment horizontal="centerContinuous"/>
    </xf>
    <xf numFmtId="0" fontId="327" fillId="0" borderId="26">
      <alignment horizontal="centerContinuous"/>
    </xf>
    <xf numFmtId="0" fontId="304" fillId="0" borderId="0"/>
    <xf numFmtId="0" fontId="327" fillId="0" borderId="26">
      <alignment horizontal="centerContinuous"/>
    </xf>
    <xf numFmtId="0" fontId="327" fillId="0" borderId="26">
      <alignment horizontal="centerContinuous"/>
    </xf>
    <xf numFmtId="0" fontId="304" fillId="0" borderId="0"/>
    <xf numFmtId="0" fontId="327" fillId="0" borderId="26">
      <alignment horizontal="centerContinuous"/>
    </xf>
    <xf numFmtId="0" fontId="327" fillId="0" borderId="26">
      <alignment horizontal="centerContinuous"/>
    </xf>
    <xf numFmtId="0" fontId="327" fillId="0" borderId="26">
      <protection locked="0"/>
    </xf>
    <xf numFmtId="0" fontId="327" fillId="0" borderId="26">
      <protection locked="0"/>
    </xf>
    <xf numFmtId="0" fontId="304" fillId="0" borderId="0"/>
    <xf numFmtId="236" fontId="327" fillId="0" borderId="0"/>
    <xf numFmtId="0" fontId="304" fillId="0" borderId="0"/>
    <xf numFmtId="0" fontId="304" fillId="0" borderId="0"/>
    <xf numFmtId="0" fontId="327" fillId="0" borderId="26">
      <protection locked="0"/>
    </xf>
    <xf numFmtId="0" fontId="327" fillId="0" borderId="26">
      <protection locked="0"/>
    </xf>
    <xf numFmtId="0" fontId="327" fillId="0" borderId="0"/>
    <xf numFmtId="0" fontId="304" fillId="0" borderId="0"/>
    <xf numFmtId="0" fontId="304" fillId="0" borderId="0"/>
    <xf numFmtId="0" fontId="327" fillId="0" borderId="26">
      <alignment horizontal="centerContinuous"/>
    </xf>
    <xf numFmtId="0" fontId="327" fillId="0" borderId="26">
      <alignment horizontal="centerContinuous"/>
    </xf>
    <xf numFmtId="0" fontId="327" fillId="0" borderId="26">
      <protection locked="0"/>
    </xf>
    <xf numFmtId="0" fontId="327" fillId="0" borderId="26">
      <protection locked="0"/>
    </xf>
    <xf numFmtId="0" fontId="304" fillId="0" borderId="0"/>
    <xf numFmtId="0" fontId="304" fillId="0" borderId="0"/>
    <xf numFmtId="0" fontId="66" fillId="0" borderId="26">
      <alignment horizontal="centerContinuous"/>
    </xf>
    <xf numFmtId="0" fontId="66" fillId="0" borderId="26">
      <alignment horizontal="centerContinuous"/>
    </xf>
    <xf numFmtId="0" fontId="304" fillId="0" borderId="0"/>
    <xf numFmtId="0" fontId="66" fillId="0" borderId="26">
      <alignment horizontal="centerContinuous"/>
    </xf>
    <xf numFmtId="0" fontId="66" fillId="0" borderId="26">
      <alignment horizontal="centerContinuous"/>
    </xf>
    <xf numFmtId="0" fontId="66" fillId="0" borderId="26">
      <alignment horizontal="centerContinuous"/>
    </xf>
    <xf numFmtId="0" fontId="66" fillId="0" borderId="26">
      <alignment horizontal="centerContinuous"/>
    </xf>
    <xf numFmtId="0" fontId="304" fillId="0" borderId="0"/>
    <xf numFmtId="0" fontId="66" fillId="0" borderId="26">
      <alignment horizontal="centerContinuous"/>
    </xf>
    <xf numFmtId="0" fontId="66" fillId="0" borderId="26">
      <alignment horizontal="centerContinuous"/>
    </xf>
    <xf numFmtId="0" fontId="304" fillId="0" borderId="0"/>
    <xf numFmtId="0" fontId="66" fillId="0" borderId="26">
      <alignment horizontal="centerContinuous"/>
    </xf>
    <xf numFmtId="0" fontId="66" fillId="0" borderId="26">
      <alignment horizontal="centerContinuous"/>
    </xf>
    <xf numFmtId="0" fontId="304" fillId="0" borderId="0"/>
    <xf numFmtId="0" fontId="304" fillId="0" borderId="0"/>
    <xf numFmtId="0" fontId="88" fillId="0" borderId="0">
      <alignment horizontal="center"/>
    </xf>
    <xf numFmtId="0" fontId="304" fillId="0" borderId="0"/>
    <xf numFmtId="0" fontId="327" fillId="0" borderId="26">
      <protection locked="0"/>
    </xf>
    <xf numFmtId="0" fontId="327" fillId="0" borderId="0"/>
    <xf numFmtId="0" fontId="327" fillId="0" borderId="26">
      <alignment horizontal="centerContinuous"/>
    </xf>
    <xf numFmtId="0" fontId="327" fillId="0" borderId="26">
      <alignment horizontal="centerContinuous"/>
    </xf>
    <xf numFmtId="0" fontId="304" fillId="0" borderId="0"/>
    <xf numFmtId="236" fontId="327" fillId="0" borderId="0"/>
    <xf numFmtId="236" fontId="327" fillId="0" borderId="0"/>
    <xf numFmtId="0" fontId="304" fillId="0" borderId="0"/>
    <xf numFmtId="0" fontId="304" fillId="0" borderId="0"/>
    <xf numFmtId="0" fontId="304" fillId="0" borderId="0"/>
    <xf numFmtId="236" fontId="327" fillId="0" borderId="0"/>
    <xf numFmtId="0" fontId="304" fillId="0" borderId="0"/>
    <xf numFmtId="0" fontId="327" fillId="0" borderId="26">
      <protection locked="0"/>
    </xf>
    <xf numFmtId="0" fontId="327" fillId="0" borderId="26">
      <protection locked="0"/>
    </xf>
    <xf numFmtId="0" fontId="327" fillId="0" borderId="26">
      <protection locked="0"/>
    </xf>
    <xf numFmtId="0" fontId="327" fillId="0" borderId="26">
      <protection locked="0"/>
    </xf>
    <xf numFmtId="0" fontId="327" fillId="0" borderId="26">
      <protection locked="0"/>
    </xf>
    <xf numFmtId="0" fontId="327" fillId="0" borderId="26">
      <protection locked="0"/>
    </xf>
    <xf numFmtId="0" fontId="327" fillId="0" borderId="26">
      <alignment horizontal="centerContinuous"/>
    </xf>
    <xf numFmtId="0" fontId="327" fillId="0" borderId="26">
      <alignment horizontal="centerContinuous"/>
    </xf>
    <xf numFmtId="236" fontId="327" fillId="0" borderId="0"/>
    <xf numFmtId="236" fontId="327" fillId="0" borderId="0"/>
    <xf numFmtId="0" fontId="304" fillId="0" borderId="0"/>
    <xf numFmtId="0" fontId="304" fillId="0" borderId="0"/>
    <xf numFmtId="0" fontId="304" fillId="0" borderId="0"/>
    <xf numFmtId="236" fontId="327" fillId="0" borderId="0"/>
    <xf numFmtId="0" fontId="304" fillId="0" borderId="0"/>
    <xf numFmtId="0" fontId="327" fillId="0" borderId="26">
      <alignment horizontal="centerContinuous"/>
    </xf>
    <xf numFmtId="0" fontId="327" fillId="0" borderId="26">
      <alignment horizontal="centerContinuous"/>
    </xf>
    <xf numFmtId="0" fontId="304" fillId="0" borderId="0"/>
    <xf numFmtId="0" fontId="304" fillId="0" borderId="0"/>
    <xf numFmtId="0" fontId="327" fillId="0" borderId="0"/>
    <xf numFmtId="0" fontId="327" fillId="0" borderId="0"/>
    <xf numFmtId="0" fontId="327" fillId="0" borderId="26">
      <protection locked="0"/>
    </xf>
    <xf numFmtId="0" fontId="327" fillId="0" borderId="26">
      <protection locked="0"/>
    </xf>
    <xf numFmtId="0" fontId="304" fillId="0" borderId="0"/>
    <xf numFmtId="0" fontId="327" fillId="0" borderId="26">
      <alignment horizontal="centerContinuous"/>
    </xf>
    <xf numFmtId="0" fontId="327" fillId="0" borderId="26">
      <alignment horizontal="centerContinuous"/>
    </xf>
    <xf numFmtId="0" fontId="304" fillId="0" borderId="0"/>
    <xf numFmtId="236" fontId="327" fillId="0" borderId="0"/>
    <xf numFmtId="236" fontId="327" fillId="0" borderId="0"/>
    <xf numFmtId="0" fontId="304" fillId="0" borderId="0"/>
    <xf numFmtId="0" fontId="304" fillId="0" borderId="0"/>
    <xf numFmtId="0" fontId="304" fillId="0" borderId="0"/>
    <xf numFmtId="236" fontId="327" fillId="0" borderId="0"/>
    <xf numFmtId="0" fontId="304" fillId="0" borderId="0"/>
    <xf numFmtId="236" fontId="327" fillId="0" borderId="0"/>
    <xf numFmtId="236" fontId="327" fillId="0" borderId="0"/>
    <xf numFmtId="0" fontId="304" fillId="0" borderId="0"/>
    <xf numFmtId="0" fontId="304" fillId="0" borderId="0"/>
    <xf numFmtId="0" fontId="304" fillId="0" borderId="0"/>
    <xf numFmtId="236" fontId="327" fillId="0" borderId="0"/>
    <xf numFmtId="0" fontId="304" fillId="0" borderId="0"/>
    <xf numFmtId="0" fontId="327" fillId="0" borderId="26">
      <alignment horizontal="centerContinuous"/>
    </xf>
    <xf numFmtId="0" fontId="327" fillId="0" borderId="26">
      <alignment horizontal="centerContinuous"/>
    </xf>
    <xf numFmtId="236" fontId="327" fillId="0" borderId="0"/>
    <xf numFmtId="0" fontId="304" fillId="0" borderId="0"/>
    <xf numFmtId="0" fontId="304" fillId="0" borderId="0"/>
    <xf numFmtId="0" fontId="327" fillId="0" borderId="26">
      <alignment horizontal="centerContinuous"/>
    </xf>
    <xf numFmtId="0" fontId="327" fillId="0" borderId="26">
      <alignment horizontal="centerContinuous"/>
    </xf>
    <xf numFmtId="0" fontId="327" fillId="0" borderId="26">
      <protection locked="0"/>
    </xf>
    <xf numFmtId="0" fontId="327" fillId="0" borderId="26">
      <protection locked="0"/>
    </xf>
    <xf numFmtId="0" fontId="304" fillId="0" borderId="0"/>
    <xf numFmtId="0" fontId="327" fillId="0" borderId="26">
      <alignment horizontal="centerContinuous"/>
    </xf>
    <xf numFmtId="0" fontId="327" fillId="0" borderId="26">
      <alignment horizontal="centerContinuous"/>
    </xf>
    <xf numFmtId="0" fontId="304" fillId="0" borderId="0"/>
    <xf numFmtId="0" fontId="327" fillId="0" borderId="26">
      <protection locked="0"/>
    </xf>
    <xf numFmtId="0" fontId="327" fillId="0" borderId="26">
      <protection locked="0"/>
    </xf>
    <xf numFmtId="0" fontId="304" fillId="0" borderId="0"/>
    <xf numFmtId="236" fontId="327" fillId="0" borderId="0"/>
    <xf numFmtId="0" fontId="304" fillId="0" borderId="0"/>
    <xf numFmtId="0" fontId="304" fillId="0" borderId="0"/>
    <xf numFmtId="0" fontId="327" fillId="0" borderId="26">
      <protection locked="0"/>
    </xf>
    <xf numFmtId="0" fontId="327" fillId="0" borderId="26">
      <protection locked="0"/>
    </xf>
    <xf numFmtId="0" fontId="304" fillId="0" borderId="0"/>
    <xf numFmtId="0" fontId="327" fillId="0" borderId="26">
      <alignment horizontal="centerContinuous"/>
    </xf>
    <xf numFmtId="0" fontId="327" fillId="0" borderId="26">
      <alignment horizontal="centerContinuous"/>
    </xf>
    <xf numFmtId="0" fontId="304" fillId="0" borderId="0"/>
    <xf numFmtId="0" fontId="327" fillId="0" borderId="26">
      <protection locked="0"/>
    </xf>
    <xf numFmtId="236" fontId="327" fillId="0" borderId="0"/>
    <xf numFmtId="0" fontId="327" fillId="0" borderId="26">
      <alignment horizontal="centerContinuous"/>
    </xf>
    <xf numFmtId="0" fontId="327" fillId="0" borderId="26">
      <alignment horizontal="centerContinuous"/>
    </xf>
    <xf numFmtId="0" fontId="304" fillId="0" borderId="0"/>
    <xf numFmtId="0" fontId="304" fillId="0" borderId="0"/>
    <xf numFmtId="0" fontId="327" fillId="0" borderId="26">
      <protection locked="0"/>
    </xf>
    <xf numFmtId="0" fontId="327" fillId="0" borderId="26">
      <protection locked="0"/>
    </xf>
    <xf numFmtId="0" fontId="327" fillId="0" borderId="26">
      <protection locked="0"/>
    </xf>
    <xf numFmtId="0" fontId="327" fillId="0" borderId="26">
      <protection locked="0"/>
    </xf>
    <xf numFmtId="0" fontId="327" fillId="0" borderId="26">
      <protection locked="0"/>
    </xf>
    <xf numFmtId="0" fontId="327" fillId="0" borderId="26">
      <protection locked="0"/>
    </xf>
    <xf numFmtId="236" fontId="327" fillId="0" borderId="0"/>
    <xf numFmtId="0" fontId="327" fillId="0" borderId="26">
      <protection locked="0"/>
    </xf>
    <xf numFmtId="0" fontId="327" fillId="0" borderId="26">
      <protection locked="0"/>
    </xf>
    <xf numFmtId="0" fontId="304" fillId="0" borderId="0"/>
    <xf numFmtId="0" fontId="327" fillId="0" borderId="26">
      <protection locked="0"/>
    </xf>
    <xf numFmtId="0" fontId="327" fillId="0" borderId="26">
      <protection locked="0"/>
    </xf>
    <xf numFmtId="0" fontId="304" fillId="0" borderId="0"/>
    <xf numFmtId="0" fontId="304" fillId="0" borderId="0"/>
    <xf numFmtId="0" fontId="327" fillId="0" borderId="26">
      <alignment horizontal="centerContinuous"/>
    </xf>
    <xf numFmtId="0" fontId="327" fillId="0" borderId="26">
      <alignment horizontal="centerContinuous"/>
    </xf>
    <xf numFmtId="0" fontId="304" fillId="0" borderId="0"/>
    <xf numFmtId="236" fontId="327" fillId="0" borderId="0"/>
    <xf numFmtId="0" fontId="304" fillId="0" borderId="0"/>
    <xf numFmtId="236" fontId="327" fillId="0" borderId="0"/>
    <xf numFmtId="0" fontId="304" fillId="0" borderId="0"/>
    <xf numFmtId="0" fontId="327" fillId="0" borderId="26">
      <alignment horizontal="centerContinuous"/>
    </xf>
    <xf numFmtId="0" fontId="327" fillId="0" borderId="26">
      <alignment horizontal="centerContinuous"/>
    </xf>
    <xf numFmtId="0" fontId="304" fillId="0" borderId="0"/>
    <xf numFmtId="0" fontId="327" fillId="0" borderId="26">
      <alignment horizontal="centerContinuous"/>
    </xf>
    <xf numFmtId="0" fontId="327" fillId="0" borderId="26">
      <alignment horizontal="centerContinuous"/>
    </xf>
    <xf numFmtId="0" fontId="304" fillId="0" borderId="0"/>
    <xf numFmtId="0" fontId="304" fillId="0" borderId="0"/>
    <xf numFmtId="0" fontId="327" fillId="0" borderId="26">
      <alignment horizontal="centerContinuous"/>
    </xf>
    <xf numFmtId="0" fontId="327" fillId="0" borderId="26">
      <alignment horizontal="centerContinuous"/>
    </xf>
    <xf numFmtId="0" fontId="304" fillId="0" borderId="0"/>
    <xf numFmtId="0" fontId="327" fillId="0" borderId="26">
      <alignment horizontal="centerContinuous"/>
    </xf>
    <xf numFmtId="0" fontId="327" fillId="0" borderId="26">
      <alignment horizontal="centerContinuous"/>
    </xf>
    <xf numFmtId="0" fontId="304" fillId="0" borderId="0"/>
    <xf numFmtId="236" fontId="327" fillId="0" borderId="0"/>
    <xf numFmtId="0" fontId="327" fillId="0" borderId="26">
      <alignment horizontal="centerContinuous"/>
    </xf>
    <xf numFmtId="0" fontId="327" fillId="0" borderId="26">
      <alignment horizontal="centerContinuous"/>
    </xf>
    <xf numFmtId="0" fontId="304" fillId="0" borderId="0"/>
    <xf numFmtId="0" fontId="327" fillId="0" borderId="26">
      <protection locked="0"/>
    </xf>
    <xf numFmtId="0" fontId="327" fillId="0" borderId="26">
      <protection locked="0"/>
    </xf>
    <xf numFmtId="0" fontId="304" fillId="0" borderId="0"/>
    <xf numFmtId="0" fontId="304" fillId="0" borderId="0"/>
    <xf numFmtId="0" fontId="327" fillId="0" borderId="26">
      <alignment horizontal="centerContinuous"/>
    </xf>
    <xf numFmtId="0" fontId="327" fillId="0" borderId="26">
      <alignment horizontal="centerContinuous"/>
    </xf>
    <xf numFmtId="0" fontId="304" fillId="0" borderId="0"/>
    <xf numFmtId="0" fontId="327" fillId="0" borderId="26">
      <alignment horizontal="centerContinuous"/>
    </xf>
    <xf numFmtId="0" fontId="327" fillId="0" borderId="26">
      <alignment horizontal="centerContinuous"/>
    </xf>
    <xf numFmtId="0" fontId="304" fillId="0" borderId="0"/>
    <xf numFmtId="0" fontId="327" fillId="0" borderId="26">
      <alignment horizontal="centerContinuous"/>
    </xf>
    <xf numFmtId="0" fontId="327" fillId="0" borderId="26">
      <alignment horizontal="centerContinuous"/>
    </xf>
    <xf numFmtId="0" fontId="327" fillId="0" borderId="26">
      <alignment horizontal="centerContinuous"/>
    </xf>
    <xf numFmtId="0" fontId="327" fillId="0" borderId="26">
      <alignment horizontal="centerContinuous"/>
    </xf>
    <xf numFmtId="0" fontId="327" fillId="0" borderId="26">
      <protection locked="0"/>
    </xf>
    <xf numFmtId="0" fontId="327" fillId="0" borderId="26">
      <protection locked="0"/>
    </xf>
    <xf numFmtId="0" fontId="304" fillId="0" borderId="0"/>
    <xf numFmtId="0" fontId="327" fillId="0" borderId="26">
      <alignment horizontal="centerContinuous"/>
    </xf>
    <xf numFmtId="0" fontId="327" fillId="0" borderId="26">
      <alignment horizontal="centerContinuous"/>
    </xf>
    <xf numFmtId="0" fontId="304" fillId="0" borderId="0"/>
    <xf numFmtId="0" fontId="327" fillId="0" borderId="26">
      <protection locked="0"/>
    </xf>
    <xf numFmtId="0" fontId="327" fillId="0" borderId="26">
      <protection locked="0"/>
    </xf>
    <xf numFmtId="0" fontId="304" fillId="0" borderId="0"/>
    <xf numFmtId="236" fontId="327" fillId="0" borderId="0"/>
    <xf numFmtId="0" fontId="304" fillId="0" borderId="0"/>
    <xf numFmtId="0" fontId="304" fillId="0" borderId="0"/>
    <xf numFmtId="0" fontId="327" fillId="0" borderId="26">
      <protection locked="0"/>
    </xf>
    <xf numFmtId="0" fontId="327" fillId="0" borderId="26">
      <protection locked="0"/>
    </xf>
    <xf numFmtId="0" fontId="304" fillId="0" borderId="0"/>
    <xf numFmtId="0" fontId="327" fillId="0" borderId="26">
      <alignment horizontal="centerContinuous"/>
    </xf>
    <xf numFmtId="0" fontId="327" fillId="0" borderId="26">
      <alignment horizontal="centerContinuous"/>
    </xf>
    <xf numFmtId="0" fontId="304" fillId="0" borderId="0"/>
    <xf numFmtId="0" fontId="327" fillId="0" borderId="26">
      <alignment horizontal="centerContinuous"/>
    </xf>
    <xf numFmtId="0" fontId="327" fillId="0" borderId="26">
      <alignment horizontal="centerContinuous"/>
    </xf>
    <xf numFmtId="0" fontId="327" fillId="0" borderId="26">
      <protection locked="0"/>
    </xf>
    <xf numFmtId="0" fontId="327" fillId="0" borderId="26">
      <protection locked="0"/>
    </xf>
    <xf numFmtId="0" fontId="304" fillId="0" borderId="0"/>
    <xf numFmtId="0" fontId="327" fillId="0" borderId="26">
      <alignment horizontal="centerContinuous"/>
    </xf>
    <xf numFmtId="0" fontId="327" fillId="0" borderId="26">
      <alignment horizontal="centerContinuous"/>
    </xf>
    <xf numFmtId="0" fontId="304" fillId="0" borderId="0"/>
    <xf numFmtId="0" fontId="327" fillId="0" borderId="26">
      <protection locked="0"/>
    </xf>
    <xf numFmtId="0" fontId="327" fillId="0" borderId="26">
      <protection locked="0"/>
    </xf>
    <xf numFmtId="0" fontId="304" fillId="0" borderId="0"/>
    <xf numFmtId="236" fontId="327" fillId="0" borderId="0"/>
    <xf numFmtId="0" fontId="304" fillId="0" borderId="0"/>
    <xf numFmtId="0" fontId="304" fillId="0" borderId="0"/>
    <xf numFmtId="0" fontId="327" fillId="0" borderId="26">
      <protection locked="0"/>
    </xf>
    <xf numFmtId="0" fontId="327" fillId="0" borderId="26">
      <protection locked="0"/>
    </xf>
    <xf numFmtId="0" fontId="304" fillId="0" borderId="0"/>
    <xf numFmtId="0" fontId="327" fillId="0" borderId="26">
      <alignment horizontal="centerContinuous"/>
    </xf>
    <xf numFmtId="0" fontId="327" fillId="0" borderId="26">
      <alignment horizontal="centerContinuous"/>
    </xf>
    <xf numFmtId="0" fontId="304" fillId="0" borderId="0"/>
    <xf numFmtId="236" fontId="327" fillId="0" borderId="0"/>
    <xf numFmtId="0" fontId="327" fillId="0" borderId="26">
      <protection locked="0"/>
    </xf>
    <xf numFmtId="0" fontId="327" fillId="0" borderId="26">
      <protection locked="0"/>
    </xf>
    <xf numFmtId="236" fontId="66" fillId="0" borderId="0"/>
    <xf numFmtId="0" fontId="304" fillId="0" borderId="0"/>
    <xf numFmtId="236" fontId="66" fillId="0" borderId="0"/>
    <xf numFmtId="0" fontId="304" fillId="0" borderId="0"/>
    <xf numFmtId="236" fontId="66" fillId="0" borderId="0"/>
    <xf numFmtId="0" fontId="304" fillId="0" borderId="0"/>
    <xf numFmtId="0" fontId="304" fillId="0" borderId="0"/>
    <xf numFmtId="0" fontId="327" fillId="0" borderId="26">
      <alignment horizontal="centerContinuous"/>
    </xf>
    <xf numFmtId="0" fontId="327" fillId="0" borderId="26">
      <alignment horizontal="centerContinuous"/>
    </xf>
    <xf numFmtId="0" fontId="304" fillId="0" borderId="0"/>
    <xf numFmtId="236" fontId="66" fillId="0" borderId="0"/>
    <xf numFmtId="0" fontId="304" fillId="0" borderId="0"/>
    <xf numFmtId="236" fontId="327" fillId="0" borderId="0"/>
    <xf numFmtId="0" fontId="304" fillId="0" borderId="0"/>
    <xf numFmtId="236" fontId="327" fillId="0" borderId="0"/>
    <xf numFmtId="0" fontId="304" fillId="0" borderId="0"/>
    <xf numFmtId="236" fontId="327" fillId="0" borderId="0"/>
    <xf numFmtId="0" fontId="304" fillId="0" borderId="0"/>
    <xf numFmtId="0" fontId="327" fillId="0" borderId="26">
      <protection locked="0"/>
    </xf>
    <xf numFmtId="0" fontId="327" fillId="0" borderId="26">
      <protection locked="0"/>
    </xf>
    <xf numFmtId="0" fontId="304" fillId="0" borderId="0"/>
    <xf numFmtId="0" fontId="327" fillId="0" borderId="26">
      <alignment horizontal="centerContinuous"/>
    </xf>
    <xf numFmtId="0" fontId="327" fillId="0" borderId="26">
      <alignment horizontal="centerContinuous"/>
    </xf>
    <xf numFmtId="236" fontId="327" fillId="0" borderId="0"/>
    <xf numFmtId="0" fontId="304" fillId="0" borderId="0"/>
    <xf numFmtId="236" fontId="327" fillId="0" borderId="0"/>
    <xf numFmtId="0" fontId="304" fillId="0" borderId="0"/>
    <xf numFmtId="0" fontId="304" fillId="0" borderId="0"/>
    <xf numFmtId="236" fontId="327" fillId="0" borderId="0"/>
    <xf numFmtId="0" fontId="304" fillId="0" borderId="0"/>
    <xf numFmtId="0" fontId="327" fillId="0" borderId="26">
      <alignment horizontal="centerContinuous"/>
    </xf>
    <xf numFmtId="0" fontId="327" fillId="0" borderId="26">
      <alignment horizontal="centerContinuous"/>
    </xf>
    <xf numFmtId="0" fontId="304" fillId="0" borderId="0"/>
    <xf numFmtId="0" fontId="327" fillId="0" borderId="26">
      <alignment horizontal="centerContinuous"/>
    </xf>
    <xf numFmtId="0" fontId="327" fillId="0" borderId="26">
      <alignment horizontal="centerContinuous"/>
    </xf>
    <xf numFmtId="0" fontId="304" fillId="0" borderId="0"/>
    <xf numFmtId="0" fontId="327" fillId="0" borderId="26">
      <alignment horizontal="centerContinuous"/>
    </xf>
    <xf numFmtId="0" fontId="327" fillId="0" borderId="26">
      <alignment horizontal="centerContinuous"/>
    </xf>
    <xf numFmtId="0" fontId="304" fillId="0" borderId="0"/>
    <xf numFmtId="0" fontId="66" fillId="0" borderId="26">
      <protection locked="0"/>
    </xf>
    <xf numFmtId="0" fontId="66" fillId="0" borderId="26">
      <protection locked="0"/>
    </xf>
    <xf numFmtId="0" fontId="304" fillId="0" borderId="0"/>
    <xf numFmtId="0" fontId="66" fillId="0" borderId="26">
      <protection locked="0"/>
    </xf>
    <xf numFmtId="0" fontId="66" fillId="0" borderId="26">
      <protection locked="0"/>
    </xf>
    <xf numFmtId="0" fontId="304" fillId="0" borderId="0"/>
    <xf numFmtId="0" fontId="66" fillId="0" borderId="26">
      <protection locked="0"/>
    </xf>
    <xf numFmtId="0" fontId="66" fillId="0" borderId="26">
      <protection locked="0"/>
    </xf>
    <xf numFmtId="0" fontId="304" fillId="0" borderId="0"/>
    <xf numFmtId="0" fontId="304" fillId="0" borderId="0"/>
    <xf numFmtId="0" fontId="327" fillId="0" borderId="26">
      <protection locked="0"/>
    </xf>
    <xf numFmtId="0" fontId="327" fillId="0" borderId="26">
      <protection locked="0"/>
    </xf>
    <xf numFmtId="0" fontId="304" fillId="0" borderId="0"/>
    <xf numFmtId="0" fontId="66" fillId="0" borderId="26">
      <protection locked="0"/>
    </xf>
    <xf numFmtId="0" fontId="66" fillId="0" borderId="26">
      <protection locked="0"/>
    </xf>
    <xf numFmtId="0" fontId="304" fillId="0" borderId="0"/>
    <xf numFmtId="0" fontId="327" fillId="0" borderId="26">
      <protection locked="0"/>
    </xf>
    <xf numFmtId="0" fontId="327" fillId="0" borderId="26">
      <protection locked="0"/>
    </xf>
    <xf numFmtId="0" fontId="304" fillId="0" borderId="0"/>
    <xf numFmtId="0" fontId="327" fillId="0" borderId="26">
      <protection locked="0"/>
    </xf>
    <xf numFmtId="0" fontId="327" fillId="0" borderId="26">
      <protection locked="0"/>
    </xf>
    <xf numFmtId="0" fontId="304" fillId="0" borderId="0"/>
    <xf numFmtId="0" fontId="327" fillId="0" borderId="26">
      <protection locked="0"/>
    </xf>
    <xf numFmtId="0" fontId="327" fillId="0" borderId="26">
      <protection locked="0"/>
    </xf>
    <xf numFmtId="0" fontId="304" fillId="0" borderId="0"/>
    <xf numFmtId="236" fontId="327" fillId="0" borderId="0"/>
    <xf numFmtId="0" fontId="304" fillId="0" borderId="0"/>
    <xf numFmtId="0" fontId="327" fillId="0" borderId="26">
      <protection locked="0"/>
    </xf>
    <xf numFmtId="0" fontId="327" fillId="0" borderId="26">
      <protection locked="0"/>
    </xf>
    <xf numFmtId="0" fontId="304" fillId="0" borderId="0"/>
    <xf numFmtId="236" fontId="327" fillId="0" borderId="0"/>
    <xf numFmtId="0" fontId="304" fillId="0" borderId="0"/>
    <xf numFmtId="0" fontId="304" fillId="0" borderId="0"/>
    <xf numFmtId="0" fontId="327" fillId="0" borderId="26">
      <alignment horizontal="centerContinuous"/>
    </xf>
    <xf numFmtId="0" fontId="327" fillId="0" borderId="26">
      <alignment horizontal="centerContinuous"/>
    </xf>
    <xf numFmtId="0" fontId="304" fillId="0" borderId="0"/>
    <xf numFmtId="0" fontId="327" fillId="0" borderId="26">
      <alignment horizontal="centerContinuous"/>
    </xf>
    <xf numFmtId="0" fontId="327" fillId="0" borderId="26">
      <alignment horizontal="centerContinuous"/>
    </xf>
    <xf numFmtId="0" fontId="304" fillId="0" borderId="0"/>
    <xf numFmtId="0" fontId="327" fillId="0" borderId="26">
      <alignment horizontal="centerContinuous"/>
    </xf>
    <xf numFmtId="0" fontId="327" fillId="0" borderId="26">
      <alignment horizontal="centerContinuous"/>
    </xf>
    <xf numFmtId="0" fontId="327" fillId="0" borderId="26">
      <protection locked="0"/>
    </xf>
    <xf numFmtId="0" fontId="327" fillId="0" borderId="26">
      <protection locked="0"/>
    </xf>
    <xf numFmtId="236" fontId="327" fillId="0" borderId="0"/>
    <xf numFmtId="0" fontId="304" fillId="0" borderId="0"/>
    <xf numFmtId="0" fontId="327" fillId="0" borderId="26">
      <alignment horizontal="centerContinuous"/>
    </xf>
    <xf numFmtId="0" fontId="327" fillId="0" borderId="26">
      <alignment horizontal="centerContinuous"/>
    </xf>
    <xf numFmtId="0" fontId="304" fillId="0" borderId="0"/>
    <xf numFmtId="0" fontId="304" fillId="0" borderId="0"/>
    <xf numFmtId="236" fontId="327" fillId="0" borderId="0"/>
    <xf numFmtId="0" fontId="304" fillId="0" borderId="0"/>
    <xf numFmtId="0" fontId="304" fillId="0" borderId="0"/>
    <xf numFmtId="0" fontId="327" fillId="0" borderId="26">
      <alignment horizontal="centerContinuous"/>
    </xf>
    <xf numFmtId="0" fontId="327" fillId="0" borderId="26">
      <alignment horizontal="centerContinuous"/>
    </xf>
    <xf numFmtId="0" fontId="304" fillId="0" borderId="0"/>
    <xf numFmtId="0" fontId="327" fillId="0" borderId="26">
      <alignment horizontal="centerContinuous"/>
    </xf>
    <xf numFmtId="0" fontId="327" fillId="0" borderId="26">
      <alignment horizontal="centerContinuous"/>
    </xf>
    <xf numFmtId="0" fontId="304" fillId="0" borderId="0"/>
    <xf numFmtId="0" fontId="327" fillId="0" borderId="26">
      <alignment horizontal="centerContinuous"/>
    </xf>
    <xf numFmtId="0" fontId="327" fillId="0" borderId="26">
      <alignment horizontal="centerContinuous"/>
    </xf>
    <xf numFmtId="0" fontId="304" fillId="0" borderId="0"/>
    <xf numFmtId="0" fontId="327" fillId="0" borderId="26">
      <alignment horizontal="centerContinuous"/>
    </xf>
    <xf numFmtId="0" fontId="327" fillId="0" borderId="26">
      <alignment horizontal="centerContinuous"/>
    </xf>
    <xf numFmtId="0" fontId="304" fillId="0" borderId="0"/>
    <xf numFmtId="0" fontId="327" fillId="0" borderId="26">
      <alignment horizontal="centerContinuous"/>
    </xf>
    <xf numFmtId="0" fontId="327" fillId="0" borderId="26">
      <alignment horizontal="centerContinuous"/>
    </xf>
    <xf numFmtId="0" fontId="304" fillId="0" borderId="0"/>
    <xf numFmtId="0" fontId="327" fillId="0" borderId="26">
      <alignment horizontal="centerContinuous"/>
    </xf>
    <xf numFmtId="0" fontId="327" fillId="0" borderId="26">
      <alignment horizontal="centerContinuous"/>
    </xf>
    <xf numFmtId="0" fontId="327" fillId="0" borderId="26">
      <alignment horizontal="centerContinuous"/>
    </xf>
    <xf numFmtId="0" fontId="327" fillId="0" borderId="26">
      <alignment horizontal="centerContinuous"/>
    </xf>
    <xf numFmtId="0" fontId="327" fillId="0" borderId="26">
      <protection locked="0"/>
    </xf>
    <xf numFmtId="0" fontId="327" fillId="0" borderId="26">
      <protection locked="0"/>
    </xf>
    <xf numFmtId="0" fontId="304" fillId="0" borderId="0"/>
    <xf numFmtId="0" fontId="304" fillId="0" borderId="0"/>
    <xf numFmtId="236" fontId="327" fillId="0" borderId="0"/>
    <xf numFmtId="0" fontId="304" fillId="0" borderId="0"/>
    <xf numFmtId="0" fontId="304" fillId="0" borderId="0"/>
    <xf numFmtId="0" fontId="327" fillId="0" borderId="26">
      <alignment horizontal="centerContinuous"/>
    </xf>
    <xf numFmtId="0" fontId="327" fillId="0" borderId="26">
      <alignment horizontal="centerContinuous"/>
    </xf>
    <xf numFmtId="0" fontId="304" fillId="0" borderId="0"/>
    <xf numFmtId="0" fontId="327" fillId="0" borderId="26">
      <protection locked="0"/>
    </xf>
    <xf numFmtId="0" fontId="327" fillId="0" borderId="26">
      <protection locked="0"/>
    </xf>
    <xf numFmtId="0" fontId="327" fillId="0" borderId="26">
      <alignment horizontal="centerContinuous"/>
    </xf>
    <xf numFmtId="0" fontId="327" fillId="0" borderId="26">
      <alignment horizontal="centerContinuous"/>
    </xf>
    <xf numFmtId="0" fontId="304" fillId="0" borderId="0"/>
    <xf numFmtId="236" fontId="327" fillId="0" borderId="0"/>
    <xf numFmtId="0" fontId="304" fillId="0" borderId="0"/>
    <xf numFmtId="0" fontId="304" fillId="0" borderId="0"/>
    <xf numFmtId="236" fontId="327" fillId="0" borderId="0"/>
    <xf numFmtId="0" fontId="327" fillId="0" borderId="26">
      <alignment horizontal="centerContinuous"/>
    </xf>
    <xf numFmtId="0" fontId="327" fillId="0" borderId="26">
      <alignment horizontal="centerContinuous"/>
    </xf>
    <xf numFmtId="0" fontId="304" fillId="0" borderId="0"/>
    <xf numFmtId="0" fontId="327" fillId="0" borderId="26">
      <protection locked="0"/>
    </xf>
    <xf numFmtId="0" fontId="327" fillId="0" borderId="26">
      <protection locked="0"/>
    </xf>
    <xf numFmtId="0" fontId="304" fillId="0" borderId="0"/>
    <xf numFmtId="0" fontId="304" fillId="0" borderId="0"/>
    <xf numFmtId="236" fontId="327" fillId="0" borderId="0"/>
    <xf numFmtId="0" fontId="327" fillId="0" borderId="26">
      <protection locked="0"/>
    </xf>
    <xf numFmtId="0" fontId="327" fillId="0" borderId="26">
      <protection locked="0"/>
    </xf>
    <xf numFmtId="0" fontId="304" fillId="0" borderId="0"/>
    <xf numFmtId="0" fontId="327" fillId="0" borderId="26">
      <alignment horizontal="centerContinuous"/>
    </xf>
    <xf numFmtId="0" fontId="327" fillId="0" borderId="26">
      <alignment horizontal="centerContinuous"/>
    </xf>
    <xf numFmtId="0" fontId="304" fillId="0" borderId="0"/>
    <xf numFmtId="0" fontId="304" fillId="0" borderId="0"/>
    <xf numFmtId="0" fontId="327" fillId="0" borderId="26">
      <alignment horizontal="centerContinuous"/>
    </xf>
    <xf numFmtId="0" fontId="327" fillId="0" borderId="26">
      <alignment horizontal="centerContinuous"/>
    </xf>
    <xf numFmtId="0" fontId="327" fillId="0" borderId="26">
      <protection locked="0"/>
    </xf>
    <xf numFmtId="0" fontId="327" fillId="0" borderId="26">
      <protection locked="0"/>
    </xf>
    <xf numFmtId="0" fontId="304" fillId="0" borderId="0"/>
    <xf numFmtId="236" fontId="327" fillId="0" borderId="0"/>
    <xf numFmtId="0" fontId="304" fillId="0" borderId="0"/>
    <xf numFmtId="0" fontId="304" fillId="0" borderId="0"/>
    <xf numFmtId="236" fontId="327" fillId="0" borderId="0"/>
    <xf numFmtId="0" fontId="327" fillId="0" borderId="26">
      <protection locked="0"/>
    </xf>
    <xf numFmtId="0" fontId="327" fillId="0" borderId="26">
      <protection locked="0"/>
    </xf>
    <xf numFmtId="0" fontId="304" fillId="0" borderId="0"/>
    <xf numFmtId="0" fontId="304" fillId="0" borderId="0"/>
    <xf numFmtId="0" fontId="327" fillId="0" borderId="26">
      <alignment horizontal="centerContinuous"/>
    </xf>
    <xf numFmtId="0" fontId="327" fillId="0" borderId="26">
      <alignment horizontal="centerContinuous"/>
    </xf>
    <xf numFmtId="0" fontId="304" fillId="0" borderId="0"/>
    <xf numFmtId="0" fontId="327" fillId="0" borderId="26">
      <alignment horizontal="centerContinuous"/>
    </xf>
    <xf numFmtId="0" fontId="327" fillId="0" borderId="26">
      <alignment horizontal="centerContinuous"/>
    </xf>
    <xf numFmtId="0" fontId="327" fillId="0" borderId="26">
      <protection locked="0"/>
    </xf>
    <xf numFmtId="0" fontId="327" fillId="0" borderId="26">
      <protection locked="0"/>
    </xf>
    <xf numFmtId="0" fontId="304" fillId="0" borderId="0"/>
    <xf numFmtId="236" fontId="327" fillId="0" borderId="0"/>
    <xf numFmtId="0" fontId="304" fillId="0" borderId="0"/>
    <xf numFmtId="0" fontId="304" fillId="0" borderId="0"/>
    <xf numFmtId="0" fontId="327" fillId="0" borderId="26">
      <protection locked="0"/>
    </xf>
    <xf numFmtId="0" fontId="327" fillId="0" borderId="26">
      <protection locked="0"/>
    </xf>
    <xf numFmtId="236" fontId="327" fillId="0" borderId="0"/>
    <xf numFmtId="0" fontId="304" fillId="0" borderId="0"/>
    <xf numFmtId="0" fontId="327" fillId="0" borderId="26">
      <alignment horizontal="centerContinuous"/>
    </xf>
    <xf numFmtId="0" fontId="327" fillId="0" borderId="26">
      <alignment horizontal="centerContinuous"/>
    </xf>
    <xf numFmtId="0" fontId="304" fillId="0" borderId="0"/>
    <xf numFmtId="0" fontId="304" fillId="0" borderId="0"/>
    <xf numFmtId="236" fontId="327" fillId="0" borderId="0"/>
    <xf numFmtId="0" fontId="327" fillId="0" borderId="26">
      <protection locked="0"/>
    </xf>
    <xf numFmtId="0" fontId="327" fillId="0" borderId="26">
      <protection locked="0"/>
    </xf>
    <xf numFmtId="0" fontId="304" fillId="0" borderId="0"/>
    <xf numFmtId="0" fontId="327" fillId="0" borderId="26">
      <alignment horizontal="centerContinuous"/>
    </xf>
    <xf numFmtId="0" fontId="327" fillId="0" borderId="26">
      <alignment horizontal="centerContinuous"/>
    </xf>
    <xf numFmtId="0" fontId="304" fillId="0" borderId="0"/>
    <xf numFmtId="0" fontId="304" fillId="0" borderId="0"/>
    <xf numFmtId="236" fontId="327" fillId="0" borderId="0"/>
    <xf numFmtId="0" fontId="304" fillId="0" borderId="0"/>
    <xf numFmtId="0" fontId="327" fillId="0" borderId="26">
      <protection locked="0"/>
    </xf>
    <xf numFmtId="0" fontId="327" fillId="0" borderId="26">
      <protection locked="0"/>
    </xf>
    <xf numFmtId="0" fontId="327" fillId="0" borderId="26">
      <alignment horizontal="centerContinuous"/>
    </xf>
    <xf numFmtId="0" fontId="327" fillId="0" borderId="26">
      <alignment horizontal="centerContinuous"/>
    </xf>
    <xf numFmtId="0" fontId="304" fillId="0" borderId="0"/>
    <xf numFmtId="236" fontId="327" fillId="0" borderId="0"/>
    <xf numFmtId="0" fontId="304" fillId="0" borderId="0"/>
    <xf numFmtId="0" fontId="304" fillId="0" borderId="0"/>
    <xf numFmtId="236" fontId="327" fillId="0" borderId="0"/>
    <xf numFmtId="0" fontId="327" fillId="0" borderId="26">
      <alignment horizontal="centerContinuous"/>
    </xf>
    <xf numFmtId="0" fontId="327" fillId="0" borderId="26">
      <alignment horizontal="centerContinuous"/>
    </xf>
    <xf numFmtId="0" fontId="304" fillId="0" borderId="0"/>
    <xf numFmtId="0" fontId="327" fillId="0" borderId="26">
      <protection locked="0"/>
    </xf>
    <xf numFmtId="0" fontId="327" fillId="0" borderId="26">
      <protection locked="0"/>
    </xf>
    <xf numFmtId="0" fontId="304" fillId="0" borderId="0"/>
    <xf numFmtId="0" fontId="304" fillId="0" borderId="0"/>
    <xf numFmtId="0" fontId="327" fillId="0" borderId="0"/>
    <xf numFmtId="0" fontId="327" fillId="0" borderId="26">
      <alignment horizontal="centerContinuous"/>
    </xf>
    <xf numFmtId="0" fontId="327" fillId="0" borderId="26">
      <alignment horizontal="centerContinuous"/>
    </xf>
    <xf numFmtId="0" fontId="304" fillId="0" borderId="0"/>
    <xf numFmtId="0" fontId="304" fillId="0" borderId="0"/>
    <xf numFmtId="0" fontId="327" fillId="0" borderId="26">
      <alignment horizontal="centerContinuous"/>
    </xf>
    <xf numFmtId="0" fontId="327" fillId="0" borderId="26">
      <alignment horizontal="centerContinuous"/>
    </xf>
    <xf numFmtId="0" fontId="327" fillId="0" borderId="26">
      <alignment horizontal="centerContinuous"/>
    </xf>
    <xf numFmtId="0" fontId="327" fillId="0" borderId="26">
      <alignment horizontal="centerContinuous"/>
    </xf>
    <xf numFmtId="0" fontId="304" fillId="0" borderId="0"/>
    <xf numFmtId="0" fontId="304" fillId="0" borderId="0"/>
    <xf numFmtId="0" fontId="327" fillId="0" borderId="26">
      <alignment horizontal="centerContinuous"/>
    </xf>
    <xf numFmtId="0" fontId="327" fillId="0" borderId="26">
      <alignment horizontal="centerContinuous"/>
    </xf>
    <xf numFmtId="0" fontId="304" fillId="0" borderId="0"/>
    <xf numFmtId="0" fontId="327" fillId="0" borderId="26">
      <alignment horizontal="centerContinuous"/>
    </xf>
    <xf numFmtId="0" fontId="327" fillId="0" borderId="26">
      <alignment horizontal="centerContinuous"/>
    </xf>
    <xf numFmtId="0" fontId="327" fillId="0" borderId="26">
      <protection locked="0"/>
    </xf>
    <xf numFmtId="0" fontId="327" fillId="0" borderId="26">
      <protection locked="0"/>
    </xf>
    <xf numFmtId="236" fontId="66" fillId="0" borderId="0"/>
    <xf numFmtId="0" fontId="304" fillId="0" borderId="0"/>
    <xf numFmtId="236" fontId="66" fillId="0" borderId="0"/>
    <xf numFmtId="0" fontId="304" fillId="0" borderId="0"/>
    <xf numFmtId="236" fontId="66" fillId="0" borderId="0"/>
    <xf numFmtId="0" fontId="304" fillId="0" borderId="0"/>
    <xf numFmtId="0" fontId="304" fillId="0" borderId="0"/>
    <xf numFmtId="0" fontId="327" fillId="0" borderId="26">
      <alignment horizontal="centerContinuous"/>
    </xf>
    <xf numFmtId="0" fontId="327" fillId="0" borderId="26">
      <alignment horizontal="centerContinuous"/>
    </xf>
    <xf numFmtId="0" fontId="304" fillId="0" borderId="0"/>
    <xf numFmtId="236" fontId="66" fillId="0" borderId="0"/>
    <xf numFmtId="0" fontId="304" fillId="0" borderId="0"/>
    <xf numFmtId="236" fontId="327" fillId="0" borderId="0"/>
    <xf numFmtId="0" fontId="304" fillId="0" borderId="0"/>
    <xf numFmtId="236" fontId="327" fillId="0" borderId="0"/>
    <xf numFmtId="0" fontId="304" fillId="0" borderId="0"/>
    <xf numFmtId="236" fontId="327" fillId="0" borderId="0"/>
    <xf numFmtId="0" fontId="304" fillId="0" borderId="0"/>
    <xf numFmtId="0" fontId="327" fillId="0" borderId="26">
      <protection locked="0"/>
    </xf>
    <xf numFmtId="0" fontId="327" fillId="0" borderId="26">
      <protection locked="0"/>
    </xf>
    <xf numFmtId="0" fontId="304" fillId="0" borderId="0"/>
    <xf numFmtId="236" fontId="327" fillId="0" borderId="0"/>
    <xf numFmtId="0" fontId="304" fillId="0" borderId="0"/>
    <xf numFmtId="0" fontId="66" fillId="0" borderId="26">
      <protection locked="0"/>
    </xf>
    <xf numFmtId="0" fontId="66" fillId="0" borderId="26">
      <protection locked="0"/>
    </xf>
    <xf numFmtId="0" fontId="304" fillId="0" borderId="0"/>
    <xf numFmtId="0" fontId="66" fillId="0" borderId="26">
      <protection locked="0"/>
    </xf>
    <xf numFmtId="0" fontId="66" fillId="0" borderId="26">
      <protection locked="0"/>
    </xf>
    <xf numFmtId="0" fontId="304" fillId="0" borderId="0"/>
    <xf numFmtId="0" fontId="66" fillId="0" borderId="26">
      <protection locked="0"/>
    </xf>
    <xf numFmtId="0" fontId="66" fillId="0" borderId="26">
      <protection locked="0"/>
    </xf>
    <xf numFmtId="0" fontId="304" fillId="0" borderId="0"/>
    <xf numFmtId="0" fontId="304" fillId="0" borderId="0"/>
    <xf numFmtId="0" fontId="327" fillId="0" borderId="26">
      <protection locked="0"/>
    </xf>
    <xf numFmtId="0" fontId="327" fillId="0" borderId="26">
      <protection locked="0"/>
    </xf>
    <xf numFmtId="0" fontId="304" fillId="0" borderId="0"/>
    <xf numFmtId="0" fontId="66" fillId="0" borderId="26">
      <protection locked="0"/>
    </xf>
    <xf numFmtId="0" fontId="66" fillId="0" borderId="26">
      <protection locked="0"/>
    </xf>
    <xf numFmtId="0" fontId="304" fillId="0" borderId="0"/>
    <xf numFmtId="0" fontId="327" fillId="0" borderId="26">
      <protection locked="0"/>
    </xf>
    <xf numFmtId="0" fontId="327" fillId="0" borderId="26">
      <protection locked="0"/>
    </xf>
    <xf numFmtId="0" fontId="304" fillId="0" borderId="0"/>
    <xf numFmtId="0" fontId="327" fillId="0" borderId="26">
      <protection locked="0"/>
    </xf>
    <xf numFmtId="0" fontId="327" fillId="0" borderId="26">
      <protection locked="0"/>
    </xf>
    <xf numFmtId="0" fontId="304" fillId="0" borderId="0"/>
    <xf numFmtId="0" fontId="327" fillId="0" borderId="26">
      <protection locked="0"/>
    </xf>
    <xf numFmtId="0" fontId="327" fillId="0" borderId="26">
      <protection locked="0"/>
    </xf>
    <xf numFmtId="0" fontId="304" fillId="0" borderId="0"/>
    <xf numFmtId="0" fontId="327" fillId="0" borderId="26">
      <alignment horizontal="centerContinuous"/>
    </xf>
    <xf numFmtId="0" fontId="327" fillId="0" borderId="26">
      <alignment horizontal="centerContinuous"/>
    </xf>
    <xf numFmtId="0" fontId="304" fillId="0" borderId="0"/>
    <xf numFmtId="0" fontId="327" fillId="0" borderId="26">
      <alignment horizontal="centerContinuous"/>
    </xf>
    <xf numFmtId="0" fontId="327" fillId="0" borderId="26">
      <protection locked="0"/>
    </xf>
    <xf numFmtId="0" fontId="327" fillId="0" borderId="26">
      <protection locked="0"/>
    </xf>
    <xf numFmtId="236" fontId="327" fillId="0" borderId="0"/>
    <xf numFmtId="236" fontId="66" fillId="0" borderId="0"/>
    <xf numFmtId="0" fontId="304" fillId="0" borderId="0"/>
    <xf numFmtId="236" fontId="66" fillId="0" borderId="0"/>
    <xf numFmtId="0" fontId="304" fillId="0" borderId="0"/>
    <xf numFmtId="236" fontId="66" fillId="0" borderId="0"/>
    <xf numFmtId="0" fontId="304" fillId="0" borderId="0"/>
    <xf numFmtId="0" fontId="304" fillId="0" borderId="0"/>
    <xf numFmtId="236" fontId="66" fillId="0" borderId="0"/>
    <xf numFmtId="0" fontId="304" fillId="0" borderId="0"/>
    <xf numFmtId="0" fontId="66" fillId="0" borderId="26">
      <protection locked="0"/>
    </xf>
    <xf numFmtId="0" fontId="66" fillId="0" borderId="26">
      <protection locked="0"/>
    </xf>
    <xf numFmtId="0" fontId="304" fillId="0" borderId="0"/>
    <xf numFmtId="0" fontId="66" fillId="0" borderId="26">
      <protection locked="0"/>
    </xf>
    <xf numFmtId="0" fontId="66" fillId="0" borderId="26">
      <protection locked="0"/>
    </xf>
    <xf numFmtId="0" fontId="304" fillId="0" borderId="0"/>
    <xf numFmtId="0" fontId="66" fillId="0" borderId="26">
      <protection locked="0"/>
    </xf>
    <xf numFmtId="0" fontId="66" fillId="0" borderId="26">
      <protection locked="0"/>
    </xf>
    <xf numFmtId="0" fontId="304" fillId="0" borderId="0"/>
    <xf numFmtId="0" fontId="304" fillId="0" borderId="0"/>
    <xf numFmtId="0" fontId="66" fillId="0" borderId="26">
      <protection locked="0"/>
    </xf>
    <xf numFmtId="0" fontId="66" fillId="0" borderId="26">
      <protection locked="0"/>
    </xf>
    <xf numFmtId="0" fontId="304" fillId="0" borderId="0"/>
    <xf numFmtId="0" fontId="327" fillId="0" borderId="26">
      <alignment horizontal="centerContinuous"/>
    </xf>
    <xf numFmtId="0" fontId="327" fillId="0" borderId="26">
      <alignment horizontal="centerContinuous"/>
    </xf>
    <xf numFmtId="0" fontId="66" fillId="0" borderId="26">
      <alignment horizontal="centerContinuous"/>
    </xf>
    <xf numFmtId="0" fontId="66" fillId="0" borderId="26">
      <alignment horizontal="centerContinuous"/>
    </xf>
    <xf numFmtId="0" fontId="304" fillId="0" borderId="0"/>
    <xf numFmtId="0" fontId="66" fillId="0" borderId="26">
      <alignment horizontal="centerContinuous"/>
    </xf>
    <xf numFmtId="0" fontId="66" fillId="0" borderId="26">
      <alignment horizontal="centerContinuous"/>
    </xf>
    <xf numFmtId="0" fontId="304" fillId="0" borderId="0"/>
    <xf numFmtId="0" fontId="66" fillId="0" borderId="26">
      <alignment horizontal="centerContinuous"/>
    </xf>
    <xf numFmtId="0" fontId="66" fillId="0" borderId="26">
      <alignment horizontal="centerContinuous"/>
    </xf>
    <xf numFmtId="0" fontId="304" fillId="0" borderId="0"/>
    <xf numFmtId="0" fontId="304" fillId="0" borderId="0"/>
    <xf numFmtId="0" fontId="66" fillId="0" borderId="26">
      <alignment horizontal="centerContinuous"/>
    </xf>
    <xf numFmtId="0" fontId="66" fillId="0" borderId="26">
      <alignment horizontal="centerContinuous"/>
    </xf>
    <xf numFmtId="0" fontId="304" fillId="0" borderId="0"/>
    <xf numFmtId="0" fontId="327" fillId="0" borderId="26">
      <alignment horizontal="centerContinuous"/>
    </xf>
    <xf numFmtId="0" fontId="327" fillId="0" borderId="26">
      <alignment horizontal="centerContinuous"/>
    </xf>
    <xf numFmtId="0" fontId="327" fillId="0" borderId="26">
      <alignment horizontal="centerContinuous"/>
    </xf>
    <xf numFmtId="0" fontId="327" fillId="0" borderId="26">
      <alignment horizontal="centerContinuous"/>
    </xf>
    <xf numFmtId="0" fontId="327" fillId="0" borderId="26">
      <alignment horizontal="centerContinuous"/>
    </xf>
    <xf numFmtId="0" fontId="327" fillId="0" borderId="26">
      <alignment horizontal="centerContinuous"/>
    </xf>
    <xf numFmtId="0" fontId="327" fillId="0" borderId="26">
      <protection locked="0"/>
    </xf>
    <xf numFmtId="0" fontId="327" fillId="0" borderId="26">
      <protection locked="0"/>
    </xf>
    <xf numFmtId="0" fontId="304" fillId="0" borderId="0"/>
    <xf numFmtId="0" fontId="327" fillId="0" borderId="26">
      <alignment horizontal="centerContinuous"/>
    </xf>
    <xf numFmtId="0" fontId="327" fillId="0" borderId="26">
      <alignment horizontal="centerContinuous"/>
    </xf>
    <xf numFmtId="0" fontId="304" fillId="0" borderId="0"/>
    <xf numFmtId="0" fontId="327" fillId="0" borderId="26">
      <protection locked="0"/>
    </xf>
    <xf numFmtId="0" fontId="327" fillId="0" borderId="26">
      <protection locked="0"/>
    </xf>
    <xf numFmtId="0" fontId="304" fillId="0" borderId="0"/>
    <xf numFmtId="236" fontId="327" fillId="0" borderId="0"/>
    <xf numFmtId="0" fontId="304" fillId="0" borderId="0"/>
    <xf numFmtId="0" fontId="304" fillId="0" borderId="0"/>
    <xf numFmtId="0" fontId="327" fillId="0" borderId="26">
      <protection locked="0"/>
    </xf>
    <xf numFmtId="0" fontId="327" fillId="0" borderId="26">
      <protection locked="0"/>
    </xf>
    <xf numFmtId="0" fontId="304" fillId="0" borderId="0"/>
    <xf numFmtId="0" fontId="327" fillId="0" borderId="26">
      <alignment horizontal="centerContinuous"/>
    </xf>
    <xf numFmtId="0" fontId="327" fillId="0" borderId="26">
      <alignment horizontal="centerContinuous"/>
    </xf>
    <xf numFmtId="0" fontId="304" fillId="0" borderId="0"/>
    <xf numFmtId="0" fontId="327" fillId="0" borderId="26">
      <alignment horizontal="centerContinuous"/>
    </xf>
    <xf numFmtId="0" fontId="327" fillId="0" borderId="26">
      <alignment horizontal="centerContinuous"/>
    </xf>
    <xf numFmtId="0" fontId="327" fillId="0" borderId="26">
      <protection locked="0"/>
    </xf>
    <xf numFmtId="0" fontId="327" fillId="0" borderId="26">
      <protection locked="0"/>
    </xf>
    <xf numFmtId="0" fontId="304" fillId="0" borderId="0"/>
    <xf numFmtId="0" fontId="327" fillId="0" borderId="26">
      <alignment horizontal="centerContinuous"/>
    </xf>
    <xf numFmtId="0" fontId="327" fillId="0" borderId="26">
      <alignment horizontal="centerContinuous"/>
    </xf>
    <xf numFmtId="0" fontId="304" fillId="0" borderId="0"/>
    <xf numFmtId="0" fontId="327" fillId="0" borderId="26">
      <protection locked="0"/>
    </xf>
    <xf numFmtId="0" fontId="327" fillId="0" borderId="26">
      <protection locked="0"/>
    </xf>
    <xf numFmtId="0" fontId="304" fillId="0" borderId="0"/>
    <xf numFmtId="236" fontId="327" fillId="0" borderId="0"/>
    <xf numFmtId="0" fontId="304" fillId="0" borderId="0"/>
    <xf numFmtId="0" fontId="304" fillId="0" borderId="0"/>
    <xf numFmtId="0" fontId="327" fillId="0" borderId="26">
      <protection locked="0"/>
    </xf>
    <xf numFmtId="0" fontId="327" fillId="0" borderId="26">
      <protection locked="0"/>
    </xf>
    <xf numFmtId="0" fontId="304" fillId="0" borderId="0"/>
    <xf numFmtId="0" fontId="327" fillId="0" borderId="26">
      <alignment horizontal="centerContinuous"/>
    </xf>
    <xf numFmtId="0" fontId="327" fillId="0" borderId="26">
      <alignment horizontal="centerContinuous"/>
    </xf>
    <xf numFmtId="0" fontId="304" fillId="0" borderId="0"/>
    <xf numFmtId="0" fontId="327" fillId="0" borderId="26">
      <protection locked="0"/>
    </xf>
    <xf numFmtId="0" fontId="327" fillId="0" borderId="26">
      <protection locked="0"/>
    </xf>
    <xf numFmtId="0" fontId="327" fillId="0" borderId="26">
      <alignment horizontal="centerContinuous"/>
    </xf>
    <xf numFmtId="0" fontId="327" fillId="0" borderId="26">
      <alignment horizontal="centerContinuous"/>
    </xf>
    <xf numFmtId="0" fontId="304" fillId="0" borderId="0"/>
    <xf numFmtId="0" fontId="327" fillId="0" borderId="0"/>
    <xf numFmtId="236" fontId="327" fillId="0" borderId="0"/>
    <xf numFmtId="236" fontId="327" fillId="0" borderId="0"/>
    <xf numFmtId="0" fontId="304" fillId="0" borderId="0"/>
    <xf numFmtId="0" fontId="304" fillId="0" borderId="0"/>
    <xf numFmtId="0" fontId="304" fillId="0" borderId="0"/>
    <xf numFmtId="236" fontId="327" fillId="0" borderId="0"/>
    <xf numFmtId="0" fontId="304" fillId="0" borderId="0"/>
    <xf numFmtId="0" fontId="304" fillId="0" borderId="0"/>
    <xf numFmtId="0" fontId="327" fillId="0" borderId="26">
      <alignment horizontal="centerContinuous"/>
    </xf>
    <xf numFmtId="0" fontId="327" fillId="0" borderId="26">
      <alignment horizontal="centerContinuous"/>
    </xf>
    <xf numFmtId="0" fontId="327" fillId="0" borderId="26">
      <protection locked="0"/>
    </xf>
    <xf numFmtId="0" fontId="327" fillId="0" borderId="26">
      <protection locked="0"/>
    </xf>
    <xf numFmtId="0" fontId="304" fillId="0" borderId="0"/>
    <xf numFmtId="0" fontId="327" fillId="0" borderId="26">
      <alignment horizontal="centerContinuous"/>
    </xf>
    <xf numFmtId="0" fontId="327" fillId="0" borderId="26">
      <alignment horizontal="centerContinuous"/>
    </xf>
    <xf numFmtId="0" fontId="304" fillId="0" borderId="0"/>
    <xf numFmtId="0" fontId="327" fillId="0" borderId="26">
      <protection locked="0"/>
    </xf>
    <xf numFmtId="0" fontId="327" fillId="0" borderId="26">
      <protection locked="0"/>
    </xf>
    <xf numFmtId="0" fontId="304" fillId="0" borderId="0"/>
    <xf numFmtId="236" fontId="327" fillId="0" borderId="0"/>
    <xf numFmtId="0" fontId="304" fillId="0" borderId="0"/>
    <xf numFmtId="0" fontId="304" fillId="0" borderId="0"/>
    <xf numFmtId="0" fontId="327" fillId="0" borderId="26">
      <protection locked="0"/>
    </xf>
    <xf numFmtId="0" fontId="327" fillId="0" borderId="26">
      <protection locked="0"/>
    </xf>
    <xf numFmtId="0" fontId="304" fillId="0" borderId="0"/>
    <xf numFmtId="0" fontId="327" fillId="0" borderId="26">
      <alignment horizontal="centerContinuous"/>
    </xf>
    <xf numFmtId="0" fontId="327" fillId="0" borderId="26">
      <alignment horizontal="centerContinuous"/>
    </xf>
    <xf numFmtId="0" fontId="304" fillId="0" borderId="0"/>
    <xf numFmtId="0" fontId="327" fillId="0" borderId="26">
      <alignment horizontal="centerContinuous"/>
    </xf>
    <xf numFmtId="0" fontId="327" fillId="0" borderId="26">
      <alignment horizontal="centerContinuous"/>
    </xf>
    <xf numFmtId="236" fontId="327" fillId="0" borderId="0"/>
    <xf numFmtId="0" fontId="304" fillId="0" borderId="0"/>
    <xf numFmtId="0" fontId="304" fillId="0" borderId="0"/>
    <xf numFmtId="0" fontId="327" fillId="0" borderId="26">
      <alignment horizontal="centerContinuous"/>
    </xf>
    <xf numFmtId="0" fontId="327" fillId="0" borderId="26">
      <alignment horizontal="centerContinuous"/>
    </xf>
    <xf numFmtId="236" fontId="327" fillId="0" borderId="0"/>
    <xf numFmtId="0" fontId="304" fillId="0" borderId="0"/>
    <xf numFmtId="0" fontId="304" fillId="0" borderId="0"/>
    <xf numFmtId="236" fontId="327" fillId="0" borderId="0"/>
    <xf numFmtId="0" fontId="327" fillId="0" borderId="26">
      <alignment horizontal="centerContinuous"/>
    </xf>
    <xf numFmtId="0" fontId="327" fillId="0" borderId="26">
      <alignment horizontal="centerContinuous"/>
    </xf>
    <xf numFmtId="0" fontId="304" fillId="0" borderId="0"/>
    <xf numFmtId="0" fontId="304" fillId="0" borderId="0"/>
    <xf numFmtId="0" fontId="327" fillId="0" borderId="0"/>
    <xf numFmtId="0" fontId="327" fillId="0" borderId="26">
      <alignment horizontal="centerContinuous"/>
    </xf>
    <xf numFmtId="0" fontId="327" fillId="0" borderId="26">
      <alignment horizontal="centerContinuous"/>
    </xf>
    <xf numFmtId="0" fontId="304" fillId="0" borderId="0"/>
    <xf numFmtId="236" fontId="327" fillId="0" borderId="0"/>
    <xf numFmtId="236" fontId="327" fillId="0" borderId="0"/>
    <xf numFmtId="0" fontId="304" fillId="0" borderId="0"/>
    <xf numFmtId="0" fontId="304" fillId="0" borderId="0"/>
    <xf numFmtId="0" fontId="304" fillId="0" borderId="0"/>
    <xf numFmtId="236" fontId="327" fillId="0" borderId="0"/>
    <xf numFmtId="0" fontId="304" fillId="0" borderId="0"/>
    <xf numFmtId="0" fontId="327" fillId="0" borderId="0"/>
    <xf numFmtId="0" fontId="327" fillId="0" borderId="26">
      <protection locked="0"/>
    </xf>
    <xf numFmtId="0" fontId="327" fillId="0" borderId="26">
      <protection locked="0"/>
    </xf>
    <xf numFmtId="0" fontId="304" fillId="0" borderId="0"/>
    <xf numFmtId="0" fontId="327" fillId="0" borderId="26">
      <alignment horizontal="centerContinuous"/>
    </xf>
    <xf numFmtId="0" fontId="327" fillId="0" borderId="26">
      <alignment horizontal="centerContinuous"/>
    </xf>
    <xf numFmtId="0" fontId="304" fillId="0" borderId="0"/>
    <xf numFmtId="236" fontId="327" fillId="0" borderId="0"/>
    <xf numFmtId="236" fontId="327" fillId="0" borderId="0"/>
    <xf numFmtId="0" fontId="304" fillId="0" borderId="0"/>
    <xf numFmtId="0" fontId="304" fillId="0" borderId="0"/>
    <xf numFmtId="0" fontId="304" fillId="0" borderId="0"/>
    <xf numFmtId="236" fontId="327" fillId="0" borderId="0"/>
    <xf numFmtId="0" fontId="304" fillId="0" borderId="0"/>
    <xf numFmtId="0" fontId="327" fillId="0" borderId="0"/>
    <xf numFmtId="0" fontId="327" fillId="0" borderId="26">
      <alignment horizontal="centerContinuous"/>
    </xf>
    <xf numFmtId="0" fontId="327" fillId="0" borderId="26">
      <alignment horizontal="centerContinuous"/>
    </xf>
    <xf numFmtId="0" fontId="327" fillId="0" borderId="0"/>
    <xf numFmtId="236" fontId="327" fillId="0" borderId="0"/>
    <xf numFmtId="236" fontId="327" fillId="0" borderId="0"/>
    <xf numFmtId="0" fontId="304" fillId="0" borderId="0"/>
    <xf numFmtId="0" fontId="304" fillId="0" borderId="0"/>
    <xf numFmtId="0" fontId="304" fillId="0" borderId="0"/>
    <xf numFmtId="236" fontId="327" fillId="0" borderId="0"/>
    <xf numFmtId="0" fontId="304" fillId="0" borderId="0"/>
    <xf numFmtId="0" fontId="327" fillId="0" borderId="26">
      <protection locked="0"/>
    </xf>
    <xf numFmtId="0" fontId="327" fillId="0" borderId="26">
      <protection locked="0"/>
    </xf>
    <xf numFmtId="0" fontId="304" fillId="0" borderId="0"/>
    <xf numFmtId="0" fontId="304" fillId="0" borderId="0"/>
    <xf numFmtId="236" fontId="327" fillId="0" borderId="0"/>
    <xf numFmtId="236" fontId="327" fillId="0" borderId="0"/>
    <xf numFmtId="0" fontId="304" fillId="0" borderId="0"/>
    <xf numFmtId="0" fontId="304" fillId="0" borderId="0"/>
    <xf numFmtId="0" fontId="304" fillId="0" borderId="0"/>
    <xf numFmtId="236" fontId="327" fillId="0" borderId="0"/>
    <xf numFmtId="0" fontId="304" fillId="0" borderId="0"/>
    <xf numFmtId="0" fontId="327" fillId="0" borderId="0"/>
    <xf numFmtId="0" fontId="327" fillId="0" borderId="26">
      <protection locked="0"/>
    </xf>
    <xf numFmtId="0" fontId="327" fillId="0" borderId="26">
      <protection locked="0"/>
    </xf>
    <xf numFmtId="0" fontId="304" fillId="0" borderId="0"/>
    <xf numFmtId="0" fontId="327" fillId="0" borderId="26">
      <alignment horizontal="centerContinuous"/>
    </xf>
    <xf numFmtId="0" fontId="327" fillId="0" borderId="26">
      <alignment horizontal="centerContinuous"/>
    </xf>
    <xf numFmtId="0" fontId="304" fillId="0" borderId="0"/>
    <xf numFmtId="236" fontId="327" fillId="0" borderId="0"/>
    <xf numFmtId="236" fontId="327" fillId="0" borderId="0"/>
    <xf numFmtId="0" fontId="304" fillId="0" borderId="0"/>
    <xf numFmtId="0" fontId="304" fillId="0" borderId="0"/>
    <xf numFmtId="0" fontId="304" fillId="0" borderId="0"/>
    <xf numFmtId="236" fontId="327" fillId="0" borderId="0"/>
    <xf numFmtId="0" fontId="304" fillId="0" borderId="0"/>
    <xf numFmtId="0" fontId="327" fillId="0" borderId="26">
      <protection locked="0"/>
    </xf>
    <xf numFmtId="0" fontId="327" fillId="0" borderId="26">
      <protection locked="0"/>
    </xf>
    <xf numFmtId="0" fontId="327" fillId="0" borderId="26">
      <alignment horizontal="centerContinuous"/>
    </xf>
    <xf numFmtId="0" fontId="327" fillId="0" borderId="26">
      <alignment horizontal="centerContinuous"/>
    </xf>
    <xf numFmtId="0" fontId="304" fillId="0" borderId="0"/>
    <xf numFmtId="0" fontId="304" fillId="0" borderId="0"/>
    <xf numFmtId="0" fontId="327" fillId="0" borderId="26">
      <alignment horizontal="centerContinuous"/>
    </xf>
    <xf numFmtId="0" fontId="327" fillId="0" borderId="26">
      <alignment horizontal="centerContinuous"/>
    </xf>
    <xf numFmtId="0" fontId="327" fillId="0" borderId="26">
      <protection locked="0"/>
    </xf>
    <xf numFmtId="0" fontId="327" fillId="0" borderId="26">
      <protection locked="0"/>
    </xf>
    <xf numFmtId="0" fontId="304" fillId="0" borderId="0"/>
    <xf numFmtId="0" fontId="327" fillId="0" borderId="26">
      <alignment horizontal="centerContinuous"/>
    </xf>
    <xf numFmtId="0" fontId="327" fillId="0" borderId="26">
      <alignment horizontal="centerContinuous"/>
    </xf>
    <xf numFmtId="0" fontId="304" fillId="0" borderId="0"/>
    <xf numFmtId="0" fontId="327" fillId="0" borderId="26">
      <protection locked="0"/>
    </xf>
    <xf numFmtId="0" fontId="327" fillId="0" borderId="26">
      <protection locked="0"/>
    </xf>
    <xf numFmtId="0" fontId="304" fillId="0" borderId="0"/>
    <xf numFmtId="236" fontId="327" fillId="0" borderId="0"/>
    <xf numFmtId="0" fontId="304" fillId="0" borderId="0"/>
    <xf numFmtId="0" fontId="304" fillId="0" borderId="0"/>
    <xf numFmtId="0" fontId="327" fillId="0" borderId="26">
      <protection locked="0"/>
    </xf>
    <xf numFmtId="0" fontId="327" fillId="0" borderId="26">
      <protection locked="0"/>
    </xf>
    <xf numFmtId="0" fontId="304" fillId="0" borderId="0"/>
    <xf numFmtId="0" fontId="327" fillId="0" borderId="26">
      <alignment horizontal="centerContinuous"/>
    </xf>
    <xf numFmtId="0" fontId="327" fillId="0" borderId="26">
      <alignment horizontal="centerContinuous"/>
    </xf>
    <xf numFmtId="0" fontId="304" fillId="0" borderId="0"/>
    <xf numFmtId="0" fontId="327" fillId="0" borderId="26">
      <alignment horizontal="centerContinuous"/>
    </xf>
    <xf numFmtId="0" fontId="327" fillId="0" borderId="26">
      <alignment horizontal="centerContinuous"/>
    </xf>
    <xf numFmtId="0" fontId="304" fillId="0" borderId="0"/>
    <xf numFmtId="0" fontId="66" fillId="0" borderId="26">
      <alignment horizontal="centerContinuous"/>
    </xf>
    <xf numFmtId="0" fontId="66" fillId="0" borderId="26">
      <alignment horizontal="centerContinuous"/>
    </xf>
    <xf numFmtId="0" fontId="66" fillId="0" borderId="26">
      <alignment horizontal="centerContinuous"/>
    </xf>
    <xf numFmtId="0" fontId="66" fillId="0" borderId="26">
      <alignment horizontal="centerContinuous"/>
    </xf>
    <xf numFmtId="0" fontId="304" fillId="0" borderId="0"/>
    <xf numFmtId="0" fontId="66" fillId="0" borderId="26">
      <alignment horizontal="centerContinuous"/>
    </xf>
    <xf numFmtId="0" fontId="66" fillId="0" borderId="26">
      <alignment horizontal="centerContinuous"/>
    </xf>
    <xf numFmtId="0" fontId="304" fillId="0" borderId="0"/>
    <xf numFmtId="0" fontId="66" fillId="0" borderId="26">
      <alignment horizontal="centerContinuous"/>
    </xf>
    <xf numFmtId="0" fontId="66" fillId="0" borderId="26">
      <alignment horizontal="centerContinuous"/>
    </xf>
    <xf numFmtId="0" fontId="304" fillId="0" borderId="0"/>
    <xf numFmtId="0" fontId="304" fillId="0" borderId="0"/>
    <xf numFmtId="0" fontId="327" fillId="0" borderId="26">
      <alignment horizontal="centerContinuous"/>
    </xf>
    <xf numFmtId="0" fontId="327" fillId="0" borderId="26">
      <alignment horizontal="centerContinuous"/>
    </xf>
    <xf numFmtId="0" fontId="304" fillId="0" borderId="0"/>
    <xf numFmtId="0" fontId="327" fillId="0" borderId="26">
      <protection locked="0"/>
    </xf>
    <xf numFmtId="0" fontId="327" fillId="0" borderId="26">
      <protection locked="0"/>
    </xf>
    <xf numFmtId="236" fontId="327" fillId="0" borderId="0"/>
    <xf numFmtId="0" fontId="304" fillId="0" borderId="0"/>
    <xf numFmtId="0" fontId="304" fillId="0" borderId="0"/>
    <xf numFmtId="0" fontId="327" fillId="0" borderId="0"/>
    <xf numFmtId="0" fontId="327" fillId="0" borderId="26">
      <protection locked="0"/>
    </xf>
    <xf numFmtId="0" fontId="327" fillId="0" borderId="26">
      <protection locked="0"/>
    </xf>
    <xf numFmtId="0" fontId="304" fillId="0" borderId="0"/>
    <xf numFmtId="0" fontId="327" fillId="0" borderId="26">
      <alignment horizontal="centerContinuous"/>
    </xf>
    <xf numFmtId="0" fontId="327" fillId="0" borderId="26">
      <alignment horizontal="centerContinuous"/>
    </xf>
    <xf numFmtId="0" fontId="304" fillId="0" borderId="0"/>
    <xf numFmtId="236" fontId="327" fillId="0" borderId="0"/>
    <xf numFmtId="236" fontId="327" fillId="0" borderId="0"/>
    <xf numFmtId="0" fontId="304" fillId="0" borderId="0"/>
    <xf numFmtId="0" fontId="304" fillId="0" borderId="0"/>
    <xf numFmtId="0" fontId="304" fillId="0" borderId="0"/>
    <xf numFmtId="236" fontId="327" fillId="0" borderId="0"/>
    <xf numFmtId="0" fontId="304" fillId="0" borderId="0"/>
    <xf numFmtId="0" fontId="327" fillId="0" borderId="26">
      <alignment horizontal="centerContinuous"/>
    </xf>
    <xf numFmtId="0" fontId="327" fillId="0" borderId="26">
      <alignment horizontal="centerContinuous"/>
    </xf>
    <xf numFmtId="0" fontId="304" fillId="0" borderId="0"/>
    <xf numFmtId="236" fontId="327" fillId="0" borderId="0"/>
    <xf numFmtId="0" fontId="327" fillId="0" borderId="26">
      <alignment horizontal="centerContinuous"/>
    </xf>
    <xf numFmtId="0" fontId="327" fillId="0" borderId="26">
      <alignment horizontal="centerContinuous"/>
    </xf>
    <xf numFmtId="0" fontId="327" fillId="0" borderId="26">
      <protection locked="0"/>
    </xf>
    <xf numFmtId="0" fontId="327" fillId="0" borderId="26">
      <protection locked="0"/>
    </xf>
    <xf numFmtId="0" fontId="304" fillId="0" borderId="0"/>
    <xf numFmtId="0" fontId="327" fillId="0" borderId="26">
      <protection locked="0"/>
    </xf>
    <xf numFmtId="0" fontId="327" fillId="0" borderId="26">
      <protection locked="0"/>
    </xf>
    <xf numFmtId="0" fontId="304" fillId="0" borderId="0"/>
    <xf numFmtId="0" fontId="304" fillId="0" borderId="0"/>
    <xf numFmtId="236" fontId="327" fillId="0" borderId="0"/>
    <xf numFmtId="0" fontId="304" fillId="0" borderId="0"/>
    <xf numFmtId="0" fontId="327" fillId="0" borderId="26">
      <alignment horizontal="centerContinuous"/>
    </xf>
    <xf numFmtId="0" fontId="327" fillId="0" borderId="26">
      <alignment horizontal="centerContinuous"/>
    </xf>
    <xf numFmtId="0" fontId="304" fillId="0" borderId="0"/>
    <xf numFmtId="0" fontId="327" fillId="0" borderId="26">
      <alignment horizontal="centerContinuous"/>
    </xf>
    <xf numFmtId="0" fontId="327" fillId="0" borderId="26">
      <alignment horizontal="centerContinuous"/>
    </xf>
    <xf numFmtId="0" fontId="304" fillId="0" borderId="0"/>
    <xf numFmtId="0" fontId="304" fillId="0" borderId="0"/>
    <xf numFmtId="0" fontId="327" fillId="0" borderId="26">
      <protection locked="0"/>
    </xf>
    <xf numFmtId="0" fontId="327" fillId="0" borderId="26">
      <protection locked="0"/>
    </xf>
    <xf numFmtId="0" fontId="304" fillId="0" borderId="0"/>
    <xf numFmtId="236" fontId="327" fillId="0" borderId="0"/>
    <xf numFmtId="0" fontId="304" fillId="0" borderId="0"/>
    <xf numFmtId="236" fontId="327" fillId="0" borderId="0"/>
    <xf numFmtId="0" fontId="304" fillId="0" borderId="0"/>
    <xf numFmtId="236" fontId="327" fillId="0" borderId="0"/>
    <xf numFmtId="0" fontId="304" fillId="0" borderId="0"/>
    <xf numFmtId="0" fontId="327" fillId="0" borderId="26">
      <alignment horizontal="centerContinuous"/>
    </xf>
    <xf numFmtId="0" fontId="327" fillId="0" borderId="26">
      <alignment horizontal="centerContinuous"/>
    </xf>
    <xf numFmtId="0" fontId="304" fillId="0" borderId="0"/>
    <xf numFmtId="0" fontId="327" fillId="0" borderId="26">
      <alignment horizontal="centerContinuous"/>
    </xf>
    <xf numFmtId="0" fontId="327" fillId="0" borderId="26">
      <alignment horizontal="centerContinuous"/>
    </xf>
    <xf numFmtId="0" fontId="304" fillId="0" borderId="0"/>
    <xf numFmtId="0" fontId="327" fillId="0" borderId="26">
      <alignment horizontal="centerContinuous"/>
    </xf>
    <xf numFmtId="0" fontId="327" fillId="0" borderId="26">
      <alignment horizontal="centerContinuous"/>
    </xf>
    <xf numFmtId="0" fontId="327" fillId="0" borderId="26">
      <protection locked="0"/>
    </xf>
    <xf numFmtId="0" fontId="327" fillId="0" borderId="26">
      <protection locked="0"/>
    </xf>
    <xf numFmtId="0" fontId="304" fillId="0" borderId="0"/>
    <xf numFmtId="0" fontId="327" fillId="0" borderId="26">
      <alignment horizontal="centerContinuous"/>
    </xf>
    <xf numFmtId="0" fontId="327" fillId="0" borderId="26">
      <alignment horizontal="centerContinuous"/>
    </xf>
    <xf numFmtId="0" fontId="304" fillId="0" borderId="0"/>
    <xf numFmtId="0" fontId="327" fillId="0" borderId="26">
      <protection locked="0"/>
    </xf>
    <xf numFmtId="0" fontId="327" fillId="0" borderId="26">
      <protection locked="0"/>
    </xf>
    <xf numFmtId="0" fontId="304" fillId="0" borderId="0"/>
    <xf numFmtId="236" fontId="327" fillId="0" borderId="0"/>
    <xf numFmtId="0" fontId="304" fillId="0" borderId="0"/>
    <xf numFmtId="0" fontId="304" fillId="0" borderId="0"/>
    <xf numFmtId="0" fontId="327" fillId="0" borderId="26">
      <protection locked="0"/>
    </xf>
    <xf numFmtId="0" fontId="327" fillId="0" borderId="26">
      <protection locked="0"/>
    </xf>
    <xf numFmtId="0" fontId="304" fillId="0" borderId="0"/>
    <xf numFmtId="0" fontId="327" fillId="0" borderId="26">
      <alignment horizontal="centerContinuous"/>
    </xf>
    <xf numFmtId="0" fontId="327" fillId="0" borderId="26">
      <alignment horizontal="centerContinuous"/>
    </xf>
    <xf numFmtId="0" fontId="304" fillId="0" borderId="0"/>
    <xf numFmtId="0" fontId="327" fillId="0" borderId="0"/>
    <xf numFmtId="0" fontId="327" fillId="0" borderId="26">
      <alignment horizontal="centerContinuous"/>
    </xf>
    <xf numFmtId="0" fontId="327" fillId="0" borderId="26">
      <alignment horizontal="centerContinuous"/>
    </xf>
    <xf numFmtId="0" fontId="304" fillId="0" borderId="0"/>
    <xf numFmtId="0" fontId="304" fillId="0" borderId="0"/>
    <xf numFmtId="0" fontId="327" fillId="0" borderId="0"/>
    <xf numFmtId="0" fontId="327" fillId="0" borderId="26">
      <protection locked="0"/>
    </xf>
    <xf numFmtId="0" fontId="327" fillId="0" borderId="26">
      <protection locked="0"/>
    </xf>
    <xf numFmtId="0" fontId="304" fillId="0" borderId="0"/>
    <xf numFmtId="0" fontId="327" fillId="0" borderId="26">
      <alignment horizontal="centerContinuous"/>
    </xf>
    <xf numFmtId="0" fontId="327" fillId="0" borderId="26">
      <alignment horizontal="centerContinuous"/>
    </xf>
    <xf numFmtId="0" fontId="304" fillId="0" borderId="0"/>
    <xf numFmtId="236" fontId="327" fillId="0" borderId="0"/>
    <xf numFmtId="236" fontId="327" fillId="0" borderId="0"/>
    <xf numFmtId="0" fontId="304" fillId="0" borderId="0"/>
    <xf numFmtId="0" fontId="304" fillId="0" borderId="0"/>
    <xf numFmtId="0" fontId="304" fillId="0" borderId="0"/>
    <xf numFmtId="236" fontId="327" fillId="0" borderId="0"/>
    <xf numFmtId="0" fontId="304" fillId="0" borderId="0"/>
    <xf numFmtId="0" fontId="327" fillId="0" borderId="0"/>
    <xf numFmtId="0" fontId="327" fillId="0" borderId="26">
      <alignment horizontal="centerContinuous"/>
    </xf>
    <xf numFmtId="0" fontId="327" fillId="0" borderId="26">
      <alignment horizontal="centerContinuous"/>
    </xf>
    <xf numFmtId="0" fontId="304" fillId="0" borderId="0"/>
    <xf numFmtId="236" fontId="327" fillId="0" borderId="0"/>
    <xf numFmtId="236" fontId="327" fillId="0" borderId="0"/>
    <xf numFmtId="0" fontId="304" fillId="0" borderId="0"/>
    <xf numFmtId="0" fontId="304" fillId="0" borderId="0"/>
    <xf numFmtId="0" fontId="304" fillId="0" borderId="0"/>
    <xf numFmtId="236" fontId="327" fillId="0" borderId="0"/>
    <xf numFmtId="0" fontId="304" fillId="0" borderId="0"/>
    <xf numFmtId="236" fontId="327" fillId="0" borderId="0"/>
    <xf numFmtId="0" fontId="304" fillId="0" borderId="0"/>
    <xf numFmtId="0" fontId="327" fillId="0" borderId="26">
      <alignment horizontal="centerContinuous"/>
    </xf>
    <xf numFmtId="0" fontId="327" fillId="0" borderId="26">
      <alignment horizontal="centerContinuous"/>
    </xf>
    <xf numFmtId="236" fontId="327" fillId="0" borderId="0"/>
    <xf numFmtId="0" fontId="304" fillId="0" borderId="0"/>
    <xf numFmtId="0" fontId="304" fillId="0" borderId="0"/>
    <xf numFmtId="0" fontId="327" fillId="0" borderId="26">
      <alignment horizontal="centerContinuous"/>
    </xf>
    <xf numFmtId="0" fontId="327" fillId="0" borderId="26">
      <alignment horizontal="centerContinuous"/>
    </xf>
    <xf numFmtId="0" fontId="327" fillId="0" borderId="26">
      <protection locked="0"/>
    </xf>
    <xf numFmtId="0" fontId="327" fillId="0" borderId="26">
      <protection locked="0"/>
    </xf>
    <xf numFmtId="0" fontId="304" fillId="0" borderId="0"/>
    <xf numFmtId="0" fontId="304" fillId="0" borderId="0"/>
    <xf numFmtId="236" fontId="327" fillId="0" borderId="0"/>
    <xf numFmtId="0" fontId="327" fillId="0" borderId="26">
      <protection locked="0"/>
    </xf>
    <xf numFmtId="0" fontId="327" fillId="0" borderId="26">
      <protection locked="0"/>
    </xf>
    <xf numFmtId="0" fontId="304" fillId="0" borderId="0"/>
    <xf numFmtId="0" fontId="327" fillId="0" borderId="26">
      <alignment horizontal="centerContinuous"/>
    </xf>
    <xf numFmtId="0" fontId="327" fillId="0" borderId="26">
      <alignment horizontal="centerContinuous"/>
    </xf>
    <xf numFmtId="0" fontId="304" fillId="0" borderId="0"/>
    <xf numFmtId="0" fontId="327" fillId="0" borderId="26">
      <protection locked="0"/>
    </xf>
    <xf numFmtId="0" fontId="327" fillId="0" borderId="26">
      <protection locked="0"/>
    </xf>
    <xf numFmtId="0" fontId="304" fillId="0" borderId="0"/>
    <xf numFmtId="236" fontId="327" fillId="0" borderId="0"/>
    <xf numFmtId="0" fontId="304" fillId="0" borderId="0"/>
    <xf numFmtId="0" fontId="327" fillId="0" borderId="26">
      <alignment horizontal="centerContinuous"/>
    </xf>
    <xf numFmtId="0" fontId="327" fillId="0" borderId="26">
      <alignment horizontal="centerContinuous"/>
    </xf>
    <xf numFmtId="0" fontId="304" fillId="0" borderId="0"/>
    <xf numFmtId="0" fontId="327" fillId="0" borderId="26">
      <alignment horizontal="centerContinuous"/>
    </xf>
    <xf numFmtId="0" fontId="327" fillId="0" borderId="26">
      <alignment horizontal="centerContinuous"/>
    </xf>
    <xf numFmtId="0" fontId="304" fillId="0" borderId="0"/>
    <xf numFmtId="0" fontId="304" fillId="0" borderId="0"/>
    <xf numFmtId="0" fontId="327" fillId="0" borderId="26">
      <protection locked="0"/>
    </xf>
    <xf numFmtId="0" fontId="327" fillId="0" borderId="26">
      <protection locked="0"/>
    </xf>
    <xf numFmtId="0" fontId="304" fillId="0" borderId="0"/>
    <xf numFmtId="236" fontId="327" fillId="0" borderId="0"/>
    <xf numFmtId="0" fontId="304" fillId="0" borderId="0"/>
    <xf numFmtId="0" fontId="327" fillId="0" borderId="26">
      <alignment horizontal="centerContinuous"/>
    </xf>
    <xf numFmtId="0" fontId="327" fillId="0" borderId="26">
      <alignment horizontal="centerContinuous"/>
    </xf>
    <xf numFmtId="0" fontId="327" fillId="0" borderId="26">
      <protection locked="0"/>
    </xf>
    <xf numFmtId="0" fontId="327" fillId="0" borderId="26">
      <protection locked="0"/>
    </xf>
    <xf numFmtId="0" fontId="304" fillId="0" borderId="0"/>
    <xf numFmtId="0" fontId="327" fillId="0" borderId="26">
      <alignment horizontal="centerContinuous"/>
    </xf>
    <xf numFmtId="0" fontId="327" fillId="0" borderId="26">
      <alignment horizontal="centerContinuous"/>
    </xf>
    <xf numFmtId="0" fontId="304" fillId="0" borderId="0"/>
    <xf numFmtId="0" fontId="327" fillId="0" borderId="26">
      <protection locked="0"/>
    </xf>
    <xf numFmtId="0" fontId="327" fillId="0" borderId="26">
      <protection locked="0"/>
    </xf>
    <xf numFmtId="0" fontId="304" fillId="0" borderId="0"/>
    <xf numFmtId="236" fontId="327" fillId="0" borderId="0"/>
    <xf numFmtId="0" fontId="304" fillId="0" borderId="0"/>
    <xf numFmtId="0" fontId="304" fillId="0" borderId="0"/>
    <xf numFmtId="0" fontId="327" fillId="0" borderId="26">
      <protection locked="0"/>
    </xf>
    <xf numFmtId="0" fontId="327" fillId="0" borderId="26">
      <protection locked="0"/>
    </xf>
    <xf numFmtId="0" fontId="304" fillId="0" borderId="0"/>
    <xf numFmtId="0" fontId="327" fillId="0" borderId="26">
      <alignment horizontal="centerContinuous"/>
    </xf>
    <xf numFmtId="0" fontId="327" fillId="0" borderId="26">
      <alignment horizontal="centerContinuous"/>
    </xf>
    <xf numFmtId="0" fontId="304" fillId="0" borderId="0"/>
    <xf numFmtId="0" fontId="327" fillId="0" borderId="26">
      <protection locked="0"/>
    </xf>
    <xf numFmtId="236" fontId="327" fillId="0" borderId="0"/>
    <xf numFmtId="0" fontId="327" fillId="0" borderId="26">
      <alignment horizontal="centerContinuous"/>
    </xf>
    <xf numFmtId="0" fontId="327" fillId="0" borderId="26">
      <alignment horizontal="centerContinuous"/>
    </xf>
    <xf numFmtId="0" fontId="304" fillId="0" borderId="0"/>
    <xf numFmtId="0" fontId="304" fillId="0" borderId="0"/>
    <xf numFmtId="0" fontId="327" fillId="0" borderId="26">
      <protection locked="0"/>
    </xf>
    <xf numFmtId="0" fontId="327" fillId="0" borderId="26">
      <protection locked="0"/>
    </xf>
    <xf numFmtId="0" fontId="327" fillId="0" borderId="26">
      <protection locked="0"/>
    </xf>
    <xf numFmtId="0" fontId="327" fillId="0" borderId="26">
      <protection locked="0"/>
    </xf>
    <xf numFmtId="0" fontId="327" fillId="0" borderId="26">
      <protection locked="0"/>
    </xf>
    <xf numFmtId="0" fontId="327" fillId="0" borderId="26">
      <protection locked="0"/>
    </xf>
    <xf numFmtId="236" fontId="327" fillId="0" borderId="0"/>
    <xf numFmtId="0" fontId="327" fillId="0" borderId="26">
      <protection locked="0"/>
    </xf>
    <xf numFmtId="0" fontId="327" fillId="0" borderId="26">
      <protection locked="0"/>
    </xf>
    <xf numFmtId="0" fontId="304" fillId="0" borderId="0"/>
    <xf numFmtId="0" fontId="327" fillId="0" borderId="26">
      <protection locked="0"/>
    </xf>
    <xf numFmtId="0" fontId="327" fillId="0" borderId="26">
      <protection locked="0"/>
    </xf>
    <xf numFmtId="0" fontId="304" fillId="0" borderId="0"/>
    <xf numFmtId="0" fontId="304" fillId="0" borderId="0"/>
    <xf numFmtId="0" fontId="327" fillId="0" borderId="26">
      <alignment horizontal="centerContinuous"/>
    </xf>
    <xf numFmtId="0" fontId="327" fillId="0" borderId="26">
      <alignment horizontal="centerContinuous"/>
    </xf>
    <xf numFmtId="0" fontId="304" fillId="0" borderId="0"/>
    <xf numFmtId="236" fontId="327" fillId="0" borderId="0"/>
    <xf numFmtId="0" fontId="304" fillId="0" borderId="0"/>
    <xf numFmtId="236" fontId="327" fillId="0" borderId="0"/>
    <xf numFmtId="0" fontId="304" fillId="0" borderId="0"/>
    <xf numFmtId="0" fontId="327" fillId="0" borderId="26">
      <alignment horizontal="centerContinuous"/>
    </xf>
    <xf numFmtId="0" fontId="327" fillId="0" borderId="26">
      <alignment horizontal="centerContinuous"/>
    </xf>
    <xf numFmtId="0" fontId="304" fillId="0" borderId="0"/>
    <xf numFmtId="0" fontId="327" fillId="0" borderId="26">
      <alignment horizontal="centerContinuous"/>
    </xf>
    <xf numFmtId="0" fontId="327" fillId="0" borderId="26">
      <alignment horizontal="centerContinuous"/>
    </xf>
    <xf numFmtId="0" fontId="304" fillId="0" borderId="0"/>
    <xf numFmtId="0" fontId="304" fillId="0" borderId="0"/>
    <xf numFmtId="0" fontId="327" fillId="0" borderId="26">
      <alignment horizontal="centerContinuous"/>
    </xf>
    <xf numFmtId="0" fontId="327" fillId="0" borderId="26">
      <alignment horizontal="centerContinuous"/>
    </xf>
    <xf numFmtId="0" fontId="304" fillId="0" borderId="0"/>
    <xf numFmtId="0" fontId="327" fillId="0" borderId="26">
      <protection locked="0"/>
    </xf>
    <xf numFmtId="0" fontId="327" fillId="0" borderId="26">
      <protection locked="0"/>
    </xf>
    <xf numFmtId="236" fontId="327" fillId="0" borderId="0"/>
    <xf numFmtId="0" fontId="304" fillId="0" borderId="0"/>
    <xf numFmtId="0" fontId="327" fillId="0" borderId="26">
      <alignment horizontal="centerContinuous"/>
    </xf>
    <xf numFmtId="0" fontId="327" fillId="0" borderId="26">
      <alignment horizontal="centerContinuous"/>
    </xf>
    <xf numFmtId="0" fontId="304" fillId="0" borderId="0"/>
    <xf numFmtId="0" fontId="304" fillId="0" borderId="0"/>
    <xf numFmtId="0" fontId="327" fillId="0" borderId="26">
      <alignment horizontal="centerContinuous"/>
    </xf>
    <xf numFmtId="0" fontId="327" fillId="0" borderId="26">
      <alignment horizontal="centerContinuous"/>
    </xf>
    <xf numFmtId="0" fontId="304" fillId="0" borderId="0"/>
    <xf numFmtId="0" fontId="327" fillId="0" borderId="26">
      <protection locked="0"/>
    </xf>
    <xf numFmtId="0" fontId="327" fillId="0" borderId="26">
      <protection locked="0"/>
    </xf>
    <xf numFmtId="0" fontId="327" fillId="0" borderId="26">
      <alignment horizontal="centerContinuous"/>
    </xf>
    <xf numFmtId="0" fontId="327" fillId="0" borderId="26">
      <alignment horizontal="centerContinuous"/>
    </xf>
    <xf numFmtId="0" fontId="304" fillId="0" borderId="0"/>
    <xf numFmtId="236" fontId="327" fillId="0" borderId="0"/>
    <xf numFmtId="0" fontId="304" fillId="0" borderId="0"/>
    <xf numFmtId="0" fontId="304" fillId="0" borderId="0"/>
    <xf numFmtId="0" fontId="327" fillId="0" borderId="26">
      <alignment horizontal="centerContinuous"/>
    </xf>
    <xf numFmtId="0" fontId="327" fillId="0" borderId="26">
      <alignment horizontal="centerContinuous"/>
    </xf>
    <xf numFmtId="0" fontId="304" fillId="0" borderId="0"/>
    <xf numFmtId="0" fontId="327" fillId="0" borderId="26">
      <alignment horizontal="centerContinuous"/>
    </xf>
    <xf numFmtId="0" fontId="327" fillId="0" borderId="26">
      <alignment horizontal="centerContinuous"/>
    </xf>
    <xf numFmtId="0" fontId="304" fillId="0" borderId="0"/>
    <xf numFmtId="236" fontId="327" fillId="0" borderId="0"/>
    <xf numFmtId="0" fontId="304" fillId="0" borderId="0"/>
    <xf numFmtId="0" fontId="327" fillId="0" borderId="26">
      <alignment horizontal="centerContinuous"/>
    </xf>
    <xf numFmtId="0" fontId="327" fillId="0" borderId="26">
      <alignment horizontal="centerContinuous"/>
    </xf>
    <xf numFmtId="0" fontId="304" fillId="0" borderId="0"/>
    <xf numFmtId="0" fontId="327" fillId="0" borderId="26">
      <alignment horizontal="centerContinuous"/>
    </xf>
    <xf numFmtId="0" fontId="327" fillId="0" borderId="26">
      <alignment horizontal="centerContinuous"/>
    </xf>
    <xf numFmtId="0" fontId="66" fillId="0" borderId="26">
      <alignment horizontal="centerContinuous"/>
    </xf>
    <xf numFmtId="0" fontId="66" fillId="0" borderId="26">
      <alignment horizontal="centerContinuous"/>
    </xf>
    <xf numFmtId="0" fontId="304" fillId="0" borderId="0"/>
    <xf numFmtId="0" fontId="66" fillId="0" borderId="26">
      <alignment horizontal="centerContinuous"/>
    </xf>
    <xf numFmtId="0" fontId="66" fillId="0" borderId="26">
      <alignment horizontal="centerContinuous"/>
    </xf>
    <xf numFmtId="0" fontId="304" fillId="0" borderId="0"/>
    <xf numFmtId="0" fontId="66" fillId="0" borderId="26">
      <alignment horizontal="centerContinuous"/>
    </xf>
    <xf numFmtId="0" fontId="66" fillId="0" borderId="26">
      <alignment horizontal="centerContinuous"/>
    </xf>
    <xf numFmtId="0" fontId="304" fillId="0" borderId="0"/>
    <xf numFmtId="0" fontId="304" fillId="0" borderId="0"/>
    <xf numFmtId="0" fontId="66" fillId="0" borderId="26">
      <alignment horizontal="centerContinuous"/>
    </xf>
    <xf numFmtId="0" fontId="66" fillId="0" borderId="26">
      <alignment horizontal="centerContinuous"/>
    </xf>
    <xf numFmtId="0" fontId="304" fillId="0" borderId="0"/>
    <xf numFmtId="0" fontId="66" fillId="0" borderId="26">
      <alignment horizontal="centerContinuous"/>
    </xf>
    <xf numFmtId="0" fontId="66" fillId="0" borderId="26">
      <alignment horizontal="centerContinuous"/>
    </xf>
    <xf numFmtId="0" fontId="66" fillId="0" borderId="26">
      <alignment horizontal="centerContinuous"/>
    </xf>
    <xf numFmtId="0" fontId="66" fillId="0" borderId="26">
      <alignment horizontal="centerContinuous"/>
    </xf>
    <xf numFmtId="0" fontId="304" fillId="0" borderId="0"/>
    <xf numFmtId="0" fontId="66" fillId="0" borderId="26">
      <alignment horizontal="centerContinuous"/>
    </xf>
    <xf numFmtId="0" fontId="66" fillId="0" borderId="26">
      <alignment horizontal="centerContinuous"/>
    </xf>
    <xf numFmtId="0" fontId="304" fillId="0" borderId="0"/>
    <xf numFmtId="0" fontId="66" fillId="0" borderId="26">
      <alignment horizontal="centerContinuous"/>
    </xf>
    <xf numFmtId="0" fontId="66" fillId="0" borderId="26">
      <alignment horizontal="centerContinuous"/>
    </xf>
    <xf numFmtId="0" fontId="304" fillId="0" borderId="0"/>
    <xf numFmtId="0" fontId="304" fillId="0" borderId="0"/>
    <xf numFmtId="0" fontId="327" fillId="0" borderId="26">
      <protection locked="0"/>
    </xf>
    <xf numFmtId="0" fontId="327" fillId="0" borderId="26">
      <protection locked="0"/>
    </xf>
    <xf numFmtId="0" fontId="327" fillId="0" borderId="26">
      <protection locked="0"/>
    </xf>
    <xf numFmtId="0" fontId="327" fillId="0" borderId="0"/>
    <xf numFmtId="236" fontId="327" fillId="0" borderId="0"/>
    <xf numFmtId="236" fontId="327" fillId="0" borderId="0"/>
    <xf numFmtId="0" fontId="304" fillId="0" borderId="0"/>
    <xf numFmtId="0" fontId="304" fillId="0" borderId="0"/>
    <xf numFmtId="0" fontId="304" fillId="0" borderId="0"/>
    <xf numFmtId="236" fontId="327" fillId="0" borderId="0"/>
    <xf numFmtId="0" fontId="304" fillId="0" borderId="0"/>
    <xf numFmtId="0" fontId="327" fillId="0" borderId="26">
      <alignment horizontal="centerContinuous"/>
    </xf>
    <xf numFmtId="0" fontId="327" fillId="0" borderId="26">
      <alignment horizontal="centerContinuous"/>
    </xf>
    <xf numFmtId="0" fontId="304" fillId="0" borderId="0"/>
    <xf numFmtId="0" fontId="304" fillId="0" borderId="0"/>
    <xf numFmtId="0" fontId="327" fillId="0" borderId="26">
      <protection locked="0"/>
    </xf>
    <xf numFmtId="0" fontId="327" fillId="0" borderId="26">
      <protection locked="0"/>
    </xf>
    <xf numFmtId="0" fontId="327" fillId="0" borderId="26">
      <protection locked="0"/>
    </xf>
    <xf numFmtId="0" fontId="327" fillId="0" borderId="26">
      <protection locked="0"/>
    </xf>
    <xf numFmtId="0" fontId="327" fillId="0" borderId="26">
      <protection locked="0"/>
    </xf>
    <xf numFmtId="0" fontId="327" fillId="0" borderId="26">
      <protection locked="0"/>
    </xf>
    <xf numFmtId="236" fontId="327" fillId="0" borderId="0"/>
    <xf numFmtId="0" fontId="304" fillId="0" borderId="0"/>
    <xf numFmtId="0" fontId="327" fillId="0" borderId="26">
      <alignment horizontal="centerContinuous"/>
    </xf>
    <xf numFmtId="0" fontId="327" fillId="0" borderId="26">
      <alignment horizontal="centerContinuous"/>
    </xf>
    <xf numFmtId="0" fontId="304" fillId="0" borderId="0"/>
    <xf numFmtId="0" fontId="304" fillId="0" borderId="0"/>
    <xf numFmtId="0" fontId="327" fillId="0" borderId="0"/>
    <xf numFmtId="0" fontId="327" fillId="0" borderId="26">
      <protection locked="0"/>
    </xf>
    <xf numFmtId="0" fontId="327" fillId="0" borderId="26">
      <protection locked="0"/>
    </xf>
    <xf numFmtId="0" fontId="304" fillId="0" borderId="0"/>
    <xf numFmtId="0" fontId="327" fillId="0" borderId="26">
      <alignment horizontal="centerContinuous"/>
    </xf>
    <xf numFmtId="0" fontId="327" fillId="0" borderId="26">
      <alignment horizontal="centerContinuous"/>
    </xf>
    <xf numFmtId="0" fontId="304" fillId="0" borderId="0"/>
    <xf numFmtId="0" fontId="304" fillId="0" borderId="0"/>
    <xf numFmtId="0" fontId="286" fillId="0" borderId="21">
      <alignment horizontal="right"/>
    </xf>
    <xf numFmtId="0" fontId="286" fillId="0" borderId="21">
      <alignment horizontal="right"/>
    </xf>
    <xf numFmtId="0" fontId="328" fillId="100" borderId="0">
      <alignment vertical="top"/>
    </xf>
    <xf numFmtId="0" fontId="322" fillId="1" borderId="65" applyNumberFormat="0" applyFont="0" applyAlignment="0">
      <alignment horizontal="center"/>
    </xf>
    <xf numFmtId="0" fontId="322" fillId="1" borderId="65" applyNumberFormat="0" applyFont="0" applyAlignment="0">
      <alignment horizontal="center"/>
    </xf>
    <xf numFmtId="0" fontId="322" fillId="1" borderId="65" applyNumberFormat="0" applyFont="0" applyAlignment="0">
      <alignment horizontal="center"/>
    </xf>
    <xf numFmtId="0" fontId="279" fillId="101" borderId="0" applyNumberFormat="0" applyFont="0" applyBorder="0" applyAlignment="0" applyProtection="0"/>
    <xf numFmtId="0" fontId="102" fillId="0" borderId="0" applyFill="0" applyBorder="0" applyAlignment="0" applyProtection="0"/>
    <xf numFmtId="1" fontId="66" fillId="0" borderId="0"/>
    <xf numFmtId="0" fontId="329" fillId="0" borderId="0" applyNumberFormat="0" applyFill="0" applyBorder="0" applyAlignment="0" applyProtection="0"/>
    <xf numFmtId="0" fontId="330" fillId="0" borderId="0" applyNumberFormat="0" applyFill="0" applyBorder="0" applyAlignment="0">
      <alignment horizontal="center"/>
    </xf>
    <xf numFmtId="0" fontId="283" fillId="0" borderId="26"/>
    <xf numFmtId="0" fontId="283" fillId="0" borderId="26"/>
    <xf numFmtId="0" fontId="150" fillId="0" borderId="0"/>
    <xf numFmtId="0" fontId="262" fillId="0" borderId="0"/>
    <xf numFmtId="0" fontId="262" fillId="0" borderId="0"/>
    <xf numFmtId="0" fontId="262" fillId="0" borderId="0"/>
    <xf numFmtId="0" fontId="262" fillId="0" borderId="0"/>
    <xf numFmtId="0" fontId="262" fillId="0" borderId="0"/>
    <xf numFmtId="0" fontId="262" fillId="0" borderId="0"/>
    <xf numFmtId="0" fontId="262" fillId="0" borderId="0"/>
    <xf numFmtId="0" fontId="262" fillId="0" borderId="0"/>
    <xf numFmtId="0" fontId="262" fillId="0" borderId="0"/>
    <xf numFmtId="0" fontId="262" fillId="0" borderId="0"/>
    <xf numFmtId="274" fontId="66" fillId="0" borderId="0" applyFont="0" applyFill="0" applyBorder="0" applyAlignment="0" applyProtection="0"/>
    <xf numFmtId="274" fontId="66" fillId="0" borderId="0" applyFont="0" applyFill="0" applyBorder="0" applyAlignment="0" applyProtection="0"/>
    <xf numFmtId="274" fontId="66" fillId="0" borderId="0" applyFont="0" applyFill="0" applyBorder="0" applyAlignment="0" applyProtection="0"/>
    <xf numFmtId="274" fontId="66" fillId="0" borderId="0" applyFont="0" applyFill="0" applyBorder="0" applyAlignment="0" applyProtection="0"/>
    <xf numFmtId="274" fontId="66" fillId="0" borderId="0" applyFont="0" applyFill="0" applyBorder="0" applyAlignment="0" applyProtection="0"/>
    <xf numFmtId="274" fontId="66" fillId="0" borderId="0" applyFont="0" applyFill="0" applyBorder="0" applyAlignment="0" applyProtection="0"/>
    <xf numFmtId="274" fontId="66" fillId="0" borderId="0" applyFont="0" applyFill="0" applyBorder="0" applyAlignment="0" applyProtection="0"/>
    <xf numFmtId="274" fontId="66" fillId="0" borderId="0" applyFont="0" applyFill="0" applyBorder="0" applyAlignment="0" applyProtection="0"/>
    <xf numFmtId="274" fontId="66" fillId="0" borderId="0" applyFont="0" applyFill="0" applyBorder="0" applyAlignment="0" applyProtection="0"/>
    <xf numFmtId="274" fontId="66" fillId="0" borderId="0" applyFont="0" applyFill="0" applyBorder="0" applyAlignment="0" applyProtection="0"/>
    <xf numFmtId="274" fontId="66" fillId="0" borderId="0" applyFont="0" applyFill="0" applyBorder="0" applyAlignment="0" applyProtection="0"/>
    <xf numFmtId="274" fontId="66" fillId="0" borderId="0" applyFont="0" applyFill="0" applyBorder="0" applyAlignment="0" applyProtection="0"/>
    <xf numFmtId="274" fontId="66" fillId="0" borderId="0" applyFont="0" applyFill="0" applyBorder="0" applyAlignment="0" applyProtection="0"/>
    <xf numFmtId="274" fontId="66" fillId="0" borderId="0" applyFont="0" applyFill="0" applyBorder="0" applyAlignment="0" applyProtection="0"/>
    <xf numFmtId="274" fontId="66" fillId="0" borderId="0" applyFont="0" applyFill="0" applyBorder="0" applyAlignment="0" applyProtection="0"/>
    <xf numFmtId="274" fontId="66" fillId="0" borderId="0" applyFont="0" applyFill="0" applyBorder="0" applyAlignment="0" applyProtection="0"/>
    <xf numFmtId="274" fontId="66" fillId="0" borderId="0" applyFont="0" applyFill="0" applyBorder="0" applyAlignment="0" applyProtection="0"/>
    <xf numFmtId="274" fontId="66" fillId="0" borderId="0" applyFont="0" applyFill="0" applyBorder="0" applyAlignment="0" applyProtection="0"/>
    <xf numFmtId="274" fontId="66" fillId="0" borderId="0" applyFont="0" applyFill="0" applyBorder="0" applyAlignment="0" applyProtection="0"/>
    <xf numFmtId="274" fontId="66" fillId="0" borderId="0" applyFont="0" applyFill="0" applyBorder="0" applyAlignment="0" applyProtection="0"/>
    <xf numFmtId="274" fontId="66" fillId="0" borderId="0" applyFont="0" applyFill="0" applyBorder="0" applyAlignment="0" applyProtection="0"/>
    <xf numFmtId="274" fontId="66" fillId="0" borderId="0" applyFont="0" applyFill="0" applyBorder="0" applyAlignment="0" applyProtection="0"/>
    <xf numFmtId="274" fontId="66" fillId="0" borderId="0" applyFont="0" applyFill="0" applyBorder="0" applyAlignment="0" applyProtection="0"/>
    <xf numFmtId="274" fontId="66" fillId="0" borderId="0" applyFont="0" applyFill="0" applyBorder="0" applyAlignment="0" applyProtection="0"/>
    <xf numFmtId="274" fontId="66" fillId="0" borderId="0" applyFont="0" applyFill="0" applyBorder="0" applyAlignment="0" applyProtection="0"/>
    <xf numFmtId="274" fontId="66" fillId="0" borderId="0" applyFont="0" applyFill="0" applyBorder="0" applyAlignment="0" applyProtection="0"/>
    <xf numFmtId="274" fontId="66" fillId="0" borderId="0" applyFont="0" applyFill="0" applyBorder="0" applyAlignment="0" applyProtection="0"/>
    <xf numFmtId="274" fontId="66" fillId="0" borderId="0" applyFont="0" applyFill="0" applyBorder="0" applyAlignment="0" applyProtection="0"/>
    <xf numFmtId="274" fontId="66" fillId="0" borderId="0" applyFont="0" applyFill="0" applyBorder="0" applyAlignment="0" applyProtection="0"/>
    <xf numFmtId="274" fontId="66" fillId="0" borderId="0" applyFont="0" applyFill="0" applyBorder="0" applyAlignment="0" applyProtection="0"/>
    <xf numFmtId="274" fontId="66" fillId="0" borderId="0" applyFont="0" applyFill="0" applyBorder="0" applyAlignment="0" applyProtection="0"/>
    <xf numFmtId="274" fontId="66" fillId="0" borderId="0" applyFont="0" applyFill="0" applyBorder="0" applyAlignment="0" applyProtection="0"/>
    <xf numFmtId="274" fontId="66" fillId="0" borderId="0" applyFont="0" applyFill="0" applyBorder="0" applyAlignment="0" applyProtection="0"/>
    <xf numFmtId="274" fontId="66" fillId="0" borderId="0" applyFont="0" applyFill="0" applyBorder="0" applyAlignment="0" applyProtection="0"/>
    <xf numFmtId="274" fontId="66" fillId="0" borderId="0" applyFont="0" applyFill="0" applyBorder="0" applyAlignment="0" applyProtection="0"/>
    <xf numFmtId="274" fontId="66" fillId="0" borderId="0" applyFont="0" applyFill="0" applyBorder="0" applyAlignment="0" applyProtection="0"/>
    <xf numFmtId="274" fontId="66" fillId="0" borderId="0" applyFont="0" applyFill="0" applyBorder="0" applyAlignment="0" applyProtection="0"/>
    <xf numFmtId="274" fontId="66" fillId="0" borderId="0" applyFont="0" applyFill="0" applyBorder="0" applyAlignment="0" applyProtection="0"/>
    <xf numFmtId="274" fontId="66" fillId="0" borderId="0" applyFont="0" applyFill="0" applyBorder="0" applyAlignment="0" applyProtection="0"/>
    <xf numFmtId="274" fontId="66" fillId="0" borderId="0" applyFont="0" applyFill="0" applyBorder="0" applyAlignment="0" applyProtection="0"/>
    <xf numFmtId="274" fontId="66" fillId="0" borderId="0" applyFont="0" applyFill="0" applyBorder="0" applyAlignment="0" applyProtection="0"/>
    <xf numFmtId="0" fontId="304" fillId="0" borderId="0"/>
    <xf numFmtId="0" fontId="262" fillId="0" borderId="0"/>
    <xf numFmtId="0" fontId="262" fillId="0" borderId="0"/>
    <xf numFmtId="0" fontId="262" fillId="0" borderId="0"/>
    <xf numFmtId="0" fontId="262" fillId="0" borderId="0"/>
    <xf numFmtId="0" fontId="262" fillId="0" borderId="0"/>
    <xf numFmtId="0" fontId="262" fillId="0" borderId="0"/>
    <xf numFmtId="0" fontId="262" fillId="0" borderId="0"/>
    <xf numFmtId="0" fontId="262" fillId="0" borderId="0"/>
    <xf numFmtId="0" fontId="262" fillId="0" borderId="0"/>
    <xf numFmtId="0" fontId="262" fillId="0" borderId="0"/>
    <xf numFmtId="0" fontId="262" fillId="0" borderId="0"/>
    <xf numFmtId="0" fontId="262" fillId="0" borderId="0"/>
    <xf numFmtId="0" fontId="262" fillId="0" borderId="0"/>
    <xf numFmtId="0" fontId="262" fillId="0" borderId="0"/>
    <xf numFmtId="0" fontId="262" fillId="0" borderId="0"/>
    <xf numFmtId="0" fontId="262" fillId="0" borderId="0"/>
    <xf numFmtId="0" fontId="262" fillId="0" borderId="0"/>
    <xf numFmtId="0" fontId="262" fillId="0" borderId="0"/>
    <xf numFmtId="0" fontId="262" fillId="0" borderId="0"/>
    <xf numFmtId="0" fontId="262" fillId="0" borderId="0"/>
    <xf numFmtId="0" fontId="262" fillId="0" borderId="0"/>
    <xf numFmtId="0" fontId="262" fillId="0" borderId="0"/>
    <xf numFmtId="0" fontId="262" fillId="0" borderId="0"/>
    <xf numFmtId="0" fontId="262" fillId="0" borderId="0"/>
    <xf numFmtId="0" fontId="262" fillId="0" borderId="0"/>
    <xf numFmtId="0" fontId="262" fillId="0" borderId="0"/>
    <xf numFmtId="0" fontId="262" fillId="0" borderId="0"/>
    <xf numFmtId="0" fontId="262" fillId="0" borderId="0"/>
    <xf numFmtId="0" fontId="262" fillId="0" borderId="0"/>
    <xf numFmtId="0" fontId="262" fillId="0" borderId="0"/>
    <xf numFmtId="0" fontId="262" fillId="0" borderId="0"/>
    <xf numFmtId="0" fontId="262" fillId="0" borderId="0"/>
    <xf numFmtId="0" fontId="262" fillId="0" borderId="0"/>
    <xf numFmtId="0" fontId="262" fillId="0" borderId="0"/>
    <xf numFmtId="0" fontId="262" fillId="0" borderId="0"/>
    <xf numFmtId="0" fontId="262" fillId="0" borderId="0"/>
    <xf numFmtId="0" fontId="304" fillId="0" borderId="0"/>
    <xf numFmtId="0" fontId="331" fillId="69" borderId="0" applyNumberFormat="0" applyAlignment="0" applyProtection="0"/>
    <xf numFmtId="0" fontId="66" fillId="69" borderId="78" applyNumberFormat="0" applyFont="0" applyProtection="0">
      <alignment horizontal="left" vertical="center"/>
    </xf>
    <xf numFmtId="0" fontId="66" fillId="69" borderId="78" applyNumberFormat="0" applyFont="0" applyProtection="0">
      <alignment horizontal="left" vertical="center"/>
    </xf>
    <xf numFmtId="0" fontId="66" fillId="69" borderId="78" applyNumberFormat="0" applyFont="0" applyProtection="0">
      <alignment horizontal="left" vertical="center"/>
    </xf>
    <xf numFmtId="0" fontId="66" fillId="69" borderId="78" applyNumberFormat="0" applyFont="0" applyProtection="0">
      <alignment horizontal="left" vertical="center"/>
    </xf>
    <xf numFmtId="0" fontId="66" fillId="69" borderId="79" applyNumberFormat="0" applyProtection="0">
      <alignment horizontal="center" vertical="center"/>
    </xf>
    <xf numFmtId="0" fontId="66" fillId="69" borderId="79" applyNumberFormat="0" applyProtection="0">
      <alignment horizontal="center" vertical="center"/>
    </xf>
    <xf numFmtId="0" fontId="66" fillId="69" borderId="79" applyNumberFormat="0" applyProtection="0">
      <alignment horizontal="center" vertical="center"/>
    </xf>
    <xf numFmtId="0" fontId="66" fillId="69" borderId="79" applyNumberFormat="0" applyProtection="0">
      <alignment horizontal="center" vertical="center"/>
    </xf>
    <xf numFmtId="0" fontId="66" fillId="69" borderId="80" applyNumberFormat="0" applyProtection="0">
      <alignment horizontal="center" vertical="center"/>
    </xf>
    <xf numFmtId="0" fontId="66" fillId="69" borderId="80" applyNumberFormat="0" applyProtection="0">
      <alignment horizontal="center" vertical="center"/>
    </xf>
    <xf numFmtId="0" fontId="66" fillId="69" borderId="80" applyNumberFormat="0" applyProtection="0">
      <alignment horizontal="center" vertical="center"/>
    </xf>
    <xf numFmtId="0" fontId="66" fillId="69" borderId="80" applyNumberFormat="0" applyProtection="0">
      <alignment horizontal="center" vertical="center"/>
    </xf>
    <xf numFmtId="0" fontId="66" fillId="69" borderId="81" applyNumberFormat="0" applyProtection="0">
      <alignment horizontal="center" vertical="center"/>
    </xf>
    <xf numFmtId="0" fontId="66" fillId="69" borderId="81" applyNumberFormat="0" applyProtection="0">
      <alignment horizontal="center" vertical="center"/>
    </xf>
    <xf numFmtId="0" fontId="66" fillId="69" borderId="81" applyNumberFormat="0" applyProtection="0">
      <alignment horizontal="center" vertical="center"/>
    </xf>
    <xf numFmtId="0" fontId="66" fillId="69" borderId="81" applyNumberFormat="0" applyProtection="0">
      <alignment horizontal="center" vertical="center"/>
    </xf>
    <xf numFmtId="0" fontId="66" fillId="92" borderId="78" applyNumberFormat="0" applyFont="0" applyProtection="0">
      <alignment horizontal="left" vertical="center"/>
    </xf>
    <xf numFmtId="0" fontId="66" fillId="92" borderId="78" applyNumberFormat="0" applyFont="0" applyProtection="0">
      <alignment horizontal="left" vertical="center"/>
    </xf>
    <xf numFmtId="0" fontId="66" fillId="92" borderId="78" applyNumberFormat="0" applyFont="0" applyProtection="0">
      <alignment horizontal="left" vertical="center"/>
    </xf>
    <xf numFmtId="0" fontId="66" fillId="92" borderId="78" applyNumberFormat="0" applyFont="0" applyProtection="0">
      <alignment horizontal="left" vertical="center"/>
    </xf>
    <xf numFmtId="0" fontId="66" fillId="92" borderId="79" applyNumberFormat="0" applyProtection="0">
      <alignment horizontal="center" vertical="center"/>
    </xf>
    <xf numFmtId="0" fontId="66" fillId="92" borderId="79" applyNumberFormat="0" applyProtection="0">
      <alignment horizontal="center" vertical="center"/>
    </xf>
    <xf numFmtId="0" fontId="66" fillId="92" borderId="79" applyNumberFormat="0" applyProtection="0">
      <alignment horizontal="center" vertical="center"/>
    </xf>
    <xf numFmtId="0" fontId="66" fillId="92" borderId="79" applyNumberFormat="0" applyProtection="0">
      <alignment horizontal="center" vertical="center"/>
    </xf>
    <xf numFmtId="0" fontId="66" fillId="92" borderId="80" applyNumberFormat="0" applyProtection="0">
      <alignment horizontal="center" vertical="center"/>
    </xf>
    <xf numFmtId="0" fontId="66" fillId="92" borderId="80" applyNumberFormat="0" applyProtection="0">
      <alignment horizontal="center" vertical="center"/>
    </xf>
    <xf numFmtId="0" fontId="66" fillId="92" borderId="80" applyNumberFormat="0" applyProtection="0">
      <alignment horizontal="center" vertical="center"/>
    </xf>
    <xf numFmtId="0" fontId="66" fillId="92" borderId="80" applyNumberFormat="0" applyProtection="0">
      <alignment horizontal="center" vertical="center"/>
    </xf>
    <xf numFmtId="0" fontId="66" fillId="92" borderId="81" applyNumberFormat="0" applyProtection="0">
      <alignment horizontal="center" vertical="center"/>
    </xf>
    <xf numFmtId="0" fontId="66" fillId="92" borderId="81" applyNumberFormat="0" applyProtection="0">
      <alignment horizontal="center" vertical="center"/>
    </xf>
    <xf numFmtId="0" fontId="66" fillId="92" borderId="81" applyNumberFormat="0" applyProtection="0">
      <alignment horizontal="center" vertical="center"/>
    </xf>
    <xf numFmtId="0" fontId="66" fillId="92" borderId="81" applyNumberFormat="0" applyProtection="0">
      <alignment horizontal="center" vertical="center"/>
    </xf>
    <xf numFmtId="0" fontId="66" fillId="82" borderId="81" applyNumberFormat="0" applyFont="0" applyProtection="0">
      <alignment horizontal="center" vertical="center"/>
    </xf>
    <xf numFmtId="0" fontId="66" fillId="82" borderId="81" applyNumberFormat="0" applyFont="0" applyProtection="0">
      <alignment horizontal="center" vertical="center"/>
    </xf>
    <xf numFmtId="0" fontId="66" fillId="82" borderId="81" applyNumberFormat="0" applyFont="0" applyProtection="0">
      <alignment horizontal="center" vertical="center"/>
    </xf>
    <xf numFmtId="0" fontId="66" fillId="82" borderId="81" applyNumberFormat="0" applyFont="0" applyProtection="0">
      <alignment horizontal="center" vertical="center"/>
    </xf>
    <xf numFmtId="0" fontId="66" fillId="69" borderId="78" applyNumberFormat="0">
      <alignment horizontal="left" vertical="center"/>
    </xf>
    <xf numFmtId="0" fontId="66" fillId="69" borderId="78" applyNumberFormat="0">
      <alignment horizontal="left" vertical="center"/>
    </xf>
    <xf numFmtId="0" fontId="66" fillId="69" borderId="78" applyNumberFormat="0">
      <alignment horizontal="left" vertical="center"/>
    </xf>
    <xf numFmtId="0" fontId="66" fillId="69" borderId="78" applyNumberFormat="0">
      <alignment horizontal="left" vertical="center"/>
    </xf>
    <xf numFmtId="0" fontId="66" fillId="69" borderId="79" applyNumberFormat="0">
      <alignment horizontal="center" vertical="center"/>
    </xf>
    <xf numFmtId="0" fontId="66" fillId="69" borderId="79" applyNumberFormat="0">
      <alignment horizontal="center" vertical="center"/>
    </xf>
    <xf numFmtId="0" fontId="66" fillId="69" borderId="79" applyNumberFormat="0">
      <alignment horizontal="center" vertical="center"/>
    </xf>
    <xf numFmtId="0" fontId="66" fillId="69" borderId="79" applyNumberFormat="0">
      <alignment horizontal="center" vertical="center"/>
    </xf>
    <xf numFmtId="0" fontId="66" fillId="69" borderId="80" applyNumberFormat="0">
      <alignment horizontal="center" vertical="center"/>
    </xf>
    <xf numFmtId="0" fontId="66" fillId="69" borderId="80" applyNumberFormat="0">
      <alignment horizontal="center" vertical="center"/>
    </xf>
    <xf numFmtId="0" fontId="66" fillId="69" borderId="80" applyNumberFormat="0">
      <alignment horizontal="center" vertical="center"/>
    </xf>
    <xf numFmtId="0" fontId="66" fillId="69" borderId="80" applyNumberFormat="0">
      <alignment horizontal="center" vertical="center"/>
    </xf>
    <xf numFmtId="0" fontId="66" fillId="69" borderId="81" applyNumberFormat="0">
      <alignment horizontal="center" vertical="center"/>
    </xf>
    <xf numFmtId="0" fontId="66" fillId="69" borderId="81" applyNumberFormat="0">
      <alignment horizontal="center" vertical="center"/>
    </xf>
    <xf numFmtId="0" fontId="66" fillId="69" borderId="81" applyNumberFormat="0">
      <alignment horizontal="center" vertical="center"/>
    </xf>
    <xf numFmtId="0" fontId="66" fillId="69" borderId="81" applyNumberFormat="0">
      <alignment horizontal="center" vertical="center"/>
    </xf>
    <xf numFmtId="0" fontId="66" fillId="102" borderId="78" applyNumberFormat="0">
      <alignment horizontal="left" vertical="center"/>
    </xf>
    <xf numFmtId="0" fontId="66" fillId="102" borderId="78" applyNumberFormat="0">
      <alignment horizontal="left" vertical="center"/>
    </xf>
    <xf numFmtId="0" fontId="66" fillId="102" borderId="78" applyNumberFormat="0">
      <alignment horizontal="left" vertical="center"/>
    </xf>
    <xf numFmtId="0" fontId="66" fillId="102" borderId="78" applyNumberFormat="0">
      <alignment horizontal="left" vertical="center"/>
    </xf>
    <xf numFmtId="0" fontId="66" fillId="102" borderId="79" applyNumberFormat="0">
      <alignment horizontal="center" vertical="center"/>
    </xf>
    <xf numFmtId="0" fontId="66" fillId="102" borderId="79" applyNumberFormat="0">
      <alignment horizontal="center" vertical="center"/>
    </xf>
    <xf numFmtId="0" fontId="66" fillId="102" borderId="79" applyNumberFormat="0">
      <alignment horizontal="center" vertical="center"/>
    </xf>
    <xf numFmtId="0" fontId="66" fillId="102" borderId="79" applyNumberFormat="0">
      <alignment horizontal="center" vertical="center"/>
    </xf>
    <xf numFmtId="0" fontId="66" fillId="102" borderId="80" applyNumberFormat="0">
      <alignment horizontal="center" vertical="center"/>
    </xf>
    <xf numFmtId="0" fontId="66" fillId="102" borderId="80" applyNumberFormat="0">
      <alignment horizontal="center" vertical="center"/>
    </xf>
    <xf numFmtId="0" fontId="66" fillId="102" borderId="80" applyNumberFormat="0">
      <alignment horizontal="center" vertical="center"/>
    </xf>
    <xf numFmtId="0" fontId="66" fillId="102" borderId="80" applyNumberFormat="0">
      <alignment horizontal="center" vertical="center"/>
    </xf>
    <xf numFmtId="0" fontId="66" fillId="102" borderId="81" applyNumberFormat="0">
      <alignment horizontal="center" vertical="center"/>
    </xf>
    <xf numFmtId="0" fontId="66" fillId="102" borderId="81" applyNumberFormat="0">
      <alignment horizontal="center" vertical="center"/>
    </xf>
    <xf numFmtId="0" fontId="66" fillId="102" borderId="81" applyNumberFormat="0">
      <alignment horizontal="center" vertical="center"/>
    </xf>
    <xf numFmtId="0" fontId="66" fillId="102" borderId="81" applyNumberFormat="0">
      <alignment horizontal="center" vertical="center"/>
    </xf>
    <xf numFmtId="0" fontId="66" fillId="82" borderId="81" applyNumberFormat="0">
      <alignment horizontal="center" vertical="center"/>
    </xf>
    <xf numFmtId="0" fontId="66" fillId="82" borderId="81" applyNumberFormat="0">
      <alignment horizontal="center" vertical="center"/>
    </xf>
    <xf numFmtId="0" fontId="66" fillId="82" borderId="81" applyNumberFormat="0">
      <alignment horizontal="center" vertical="center"/>
    </xf>
    <xf numFmtId="0" fontId="66" fillId="82" borderId="81" applyNumberFormat="0">
      <alignment horizontal="center" vertical="center"/>
    </xf>
    <xf numFmtId="0" fontId="332" fillId="103" borderId="0" applyNumberFormat="0" applyBorder="0" applyProtection="0">
      <alignment wrapText="1"/>
    </xf>
    <xf numFmtId="0" fontId="331" fillId="69" borderId="0" applyNumberFormat="0" applyAlignment="0" applyProtection="0"/>
    <xf numFmtId="0" fontId="66" fillId="69" borderId="78" applyNumberFormat="0" applyFont="0" applyProtection="0">
      <alignment horizontal="left" vertical="center"/>
    </xf>
    <xf numFmtId="0" fontId="66" fillId="69" borderId="78" applyNumberFormat="0" applyFont="0" applyProtection="0">
      <alignment horizontal="left" vertical="center"/>
    </xf>
    <xf numFmtId="0" fontId="66" fillId="69" borderId="78" applyNumberFormat="0" applyFont="0" applyProtection="0">
      <alignment horizontal="left" vertical="center"/>
    </xf>
    <xf numFmtId="0" fontId="66" fillId="69" borderId="78" applyNumberFormat="0" applyFont="0" applyProtection="0">
      <alignment horizontal="left" vertical="center"/>
    </xf>
    <xf numFmtId="0" fontId="66" fillId="69" borderId="79" applyNumberFormat="0" applyProtection="0">
      <alignment horizontal="center" vertical="center"/>
    </xf>
    <xf numFmtId="0" fontId="66" fillId="69" borderId="79" applyNumberFormat="0" applyProtection="0">
      <alignment horizontal="center" vertical="center"/>
    </xf>
    <xf numFmtId="0" fontId="66" fillId="69" borderId="79" applyNumberFormat="0" applyProtection="0">
      <alignment horizontal="center" vertical="center"/>
    </xf>
    <xf numFmtId="0" fontId="66" fillId="69" borderId="79" applyNumberFormat="0" applyProtection="0">
      <alignment horizontal="center" vertical="center"/>
    </xf>
    <xf numFmtId="0" fontId="66" fillId="69" borderId="80" applyNumberFormat="0" applyProtection="0">
      <alignment horizontal="center" vertical="center"/>
    </xf>
    <xf numFmtId="0" fontId="66" fillId="69" borderId="80" applyNumberFormat="0" applyProtection="0">
      <alignment horizontal="center" vertical="center"/>
    </xf>
    <xf numFmtId="0" fontId="66" fillId="69" borderId="80" applyNumberFormat="0" applyProtection="0">
      <alignment horizontal="center" vertical="center"/>
    </xf>
    <xf numFmtId="0" fontId="66" fillId="69" borderId="80" applyNumberFormat="0" applyProtection="0">
      <alignment horizontal="center" vertical="center"/>
    </xf>
    <xf numFmtId="0" fontId="66" fillId="69" borderId="81" applyNumberFormat="0" applyProtection="0">
      <alignment horizontal="center" vertical="center"/>
    </xf>
    <xf numFmtId="0" fontId="66" fillId="69" borderId="81" applyNumberFormat="0" applyProtection="0">
      <alignment horizontal="center" vertical="center"/>
    </xf>
    <xf numFmtId="0" fontId="66" fillId="69" borderId="81" applyNumberFormat="0" applyProtection="0">
      <alignment horizontal="center" vertical="center"/>
    </xf>
    <xf numFmtId="0" fontId="66" fillId="69" borderId="81" applyNumberFormat="0" applyProtection="0">
      <alignment horizontal="center" vertical="center"/>
    </xf>
    <xf numFmtId="0" fontId="66" fillId="92" borderId="78" applyNumberFormat="0" applyFont="0" applyProtection="0">
      <alignment horizontal="left" vertical="center"/>
    </xf>
    <xf numFmtId="0" fontId="66" fillId="92" borderId="78" applyNumberFormat="0" applyFont="0" applyProtection="0">
      <alignment horizontal="left" vertical="center"/>
    </xf>
    <xf numFmtId="0" fontId="66" fillId="92" borderId="78" applyNumberFormat="0" applyFont="0" applyProtection="0">
      <alignment horizontal="left" vertical="center"/>
    </xf>
    <xf numFmtId="0" fontId="66" fillId="92" borderId="78" applyNumberFormat="0" applyFont="0" applyProtection="0">
      <alignment horizontal="left" vertical="center"/>
    </xf>
    <xf numFmtId="0" fontId="66" fillId="92" borderId="79" applyNumberFormat="0" applyProtection="0">
      <alignment horizontal="center" vertical="center"/>
    </xf>
    <xf numFmtId="0" fontId="66" fillId="92" borderId="79" applyNumberFormat="0" applyProtection="0">
      <alignment horizontal="center" vertical="center"/>
    </xf>
    <xf numFmtId="0" fontId="66" fillId="92" borderId="79" applyNumberFormat="0" applyProtection="0">
      <alignment horizontal="center" vertical="center"/>
    </xf>
    <xf numFmtId="0" fontId="66" fillId="92" borderId="79" applyNumberFormat="0" applyProtection="0">
      <alignment horizontal="center" vertical="center"/>
    </xf>
    <xf numFmtId="0" fontId="66" fillId="92" borderId="80" applyNumberFormat="0" applyProtection="0">
      <alignment horizontal="center" vertical="center"/>
    </xf>
    <xf numFmtId="0" fontId="66" fillId="92" borderId="80" applyNumberFormat="0" applyProtection="0">
      <alignment horizontal="center" vertical="center"/>
    </xf>
    <xf numFmtId="0" fontId="66" fillId="92" borderId="80" applyNumberFormat="0" applyProtection="0">
      <alignment horizontal="center" vertical="center"/>
    </xf>
    <xf numFmtId="0" fontId="66" fillId="92" borderId="80" applyNumberFormat="0" applyProtection="0">
      <alignment horizontal="center" vertical="center"/>
    </xf>
    <xf numFmtId="0" fontId="66" fillId="92" borderId="81" applyNumberFormat="0" applyProtection="0">
      <alignment horizontal="center" vertical="center"/>
    </xf>
    <xf numFmtId="0" fontId="66" fillId="92" borderId="81" applyNumberFormat="0" applyProtection="0">
      <alignment horizontal="center" vertical="center"/>
    </xf>
    <xf numFmtId="0" fontId="66" fillId="92" borderId="81" applyNumberFormat="0" applyProtection="0">
      <alignment horizontal="center" vertical="center"/>
    </xf>
    <xf numFmtId="0" fontId="66" fillId="92" borderId="81" applyNumberFormat="0" applyProtection="0">
      <alignment horizontal="center" vertical="center"/>
    </xf>
    <xf numFmtId="0" fontId="66" fillId="82" borderId="81" applyNumberFormat="0" applyFont="0" applyProtection="0">
      <alignment horizontal="center" vertical="center"/>
    </xf>
    <xf numFmtId="0" fontId="66" fillId="82" borderId="81" applyNumberFormat="0" applyFont="0" applyProtection="0">
      <alignment horizontal="center" vertical="center"/>
    </xf>
    <xf numFmtId="0" fontId="66" fillId="82" borderId="81" applyNumberFormat="0" applyFont="0" applyProtection="0">
      <alignment horizontal="center" vertical="center"/>
    </xf>
    <xf numFmtId="0" fontId="66" fillId="82" borderId="81" applyNumberFormat="0" applyFont="0" applyProtection="0">
      <alignment horizontal="center" vertical="center"/>
    </xf>
    <xf numFmtId="0" fontId="66" fillId="0" borderId="0">
      <alignment vertical="top"/>
    </xf>
    <xf numFmtId="0" fontId="66" fillId="0" borderId="0" applyNumberFormat="0" applyBorder="0"/>
    <xf numFmtId="0" fontId="333" fillId="92" borderId="22" applyNumberFormat="0"/>
    <xf numFmtId="0" fontId="333" fillId="92" borderId="22" applyNumberFormat="0"/>
    <xf numFmtId="0" fontId="333" fillId="92" borderId="22" applyNumberFormat="0"/>
    <xf numFmtId="0" fontId="333" fillId="92" borderId="22" applyNumberFormat="0"/>
    <xf numFmtId="0" fontId="91" fillId="0" borderId="82" applyNumberFormat="0">
      <alignment horizontal="right"/>
    </xf>
    <xf numFmtId="0" fontId="91" fillId="0" borderId="82" applyNumberFormat="0">
      <alignment horizontal="right"/>
    </xf>
    <xf numFmtId="0" fontId="91" fillId="0" borderId="82" applyNumberFormat="0">
      <alignment horizontal="right"/>
    </xf>
    <xf numFmtId="0" fontId="91" fillId="0" borderId="82" applyNumberFormat="0">
      <alignment horizontal="right"/>
    </xf>
    <xf numFmtId="0" fontId="91" fillId="0" borderId="83" applyNumberFormat="0">
      <alignment horizontal="right"/>
    </xf>
    <xf numFmtId="0" fontId="91" fillId="0" borderId="83" applyNumberFormat="0">
      <alignment horizontal="right"/>
    </xf>
    <xf numFmtId="0" fontId="91" fillId="0" borderId="83" applyNumberFormat="0">
      <alignment horizontal="right"/>
    </xf>
    <xf numFmtId="0" fontId="91" fillId="0" borderId="83" applyNumberFormat="0">
      <alignment horizontal="right"/>
    </xf>
    <xf numFmtId="0" fontId="91" fillId="0" borderId="84" applyNumberFormat="0">
      <alignment horizontal="right"/>
    </xf>
    <xf numFmtId="0" fontId="91" fillId="0" borderId="84" applyNumberFormat="0">
      <alignment horizontal="right"/>
    </xf>
    <xf numFmtId="0" fontId="91" fillId="0" borderId="84" applyNumberFormat="0">
      <alignment horizontal="right"/>
    </xf>
    <xf numFmtId="0" fontId="91" fillId="0" borderId="84" applyNumberFormat="0">
      <alignment horizontal="right"/>
    </xf>
    <xf numFmtId="348" fontId="66" fillId="0" borderId="85"/>
    <xf numFmtId="348" fontId="66" fillId="0" borderId="0" applyBorder="0"/>
    <xf numFmtId="348" fontId="66" fillId="0" borderId="86"/>
    <xf numFmtId="348" fontId="66" fillId="104" borderId="85"/>
    <xf numFmtId="348" fontId="66" fillId="104" borderId="0" applyBorder="0"/>
    <xf numFmtId="348" fontId="66" fillId="104" borderId="86"/>
    <xf numFmtId="349" fontId="66" fillId="0" borderId="86"/>
    <xf numFmtId="349" fontId="66" fillId="0" borderId="0" applyBorder="0"/>
    <xf numFmtId="0" fontId="102" fillId="96" borderId="55" applyNumberFormat="0" applyProtection="0">
      <alignment horizontal="center" wrapText="1"/>
    </xf>
    <xf numFmtId="0" fontId="102" fillId="96" borderId="55" applyNumberFormat="0" applyProtection="0">
      <alignment horizontal="center" wrapText="1"/>
    </xf>
    <xf numFmtId="0" fontId="102" fillId="96" borderId="55" applyNumberFormat="0" applyProtection="0">
      <alignment horizontal="center" wrapText="1"/>
    </xf>
    <xf numFmtId="349" fontId="66" fillId="104" borderId="0" applyBorder="0"/>
    <xf numFmtId="349" fontId="66" fillId="104" borderId="86"/>
    <xf numFmtId="349" fontId="66" fillId="104" borderId="85"/>
    <xf numFmtId="349" fontId="66" fillId="0" borderId="85"/>
    <xf numFmtId="350" fontId="66" fillId="0" borderId="86"/>
    <xf numFmtId="350" fontId="66" fillId="0" borderId="0" applyBorder="0"/>
    <xf numFmtId="350" fontId="66" fillId="104" borderId="0" applyBorder="0"/>
    <xf numFmtId="350" fontId="66" fillId="104" borderId="86"/>
    <xf numFmtId="350" fontId="66" fillId="104" borderId="85"/>
    <xf numFmtId="350" fontId="66" fillId="0" borderId="85"/>
    <xf numFmtId="0" fontId="102" fillId="0" borderId="55" applyNumberFormat="0" applyFill="0" applyProtection="0">
      <alignment horizontal="right" wrapText="1"/>
    </xf>
    <xf numFmtId="0" fontId="102" fillId="0" borderId="55" applyNumberFormat="0" applyFill="0" applyProtection="0">
      <alignment horizontal="right" wrapText="1"/>
    </xf>
    <xf numFmtId="0" fontId="102" fillId="0" borderId="55" applyNumberFormat="0" applyFill="0" applyProtection="0">
      <alignment horizontal="right" wrapText="1"/>
    </xf>
    <xf numFmtId="0" fontId="91" fillId="0" borderId="85" applyNumberFormat="0">
      <alignment horizontal="right"/>
    </xf>
    <xf numFmtId="0" fontId="91" fillId="104" borderId="85" applyNumberFormat="0">
      <alignment horizontal="right"/>
    </xf>
    <xf numFmtId="348" fontId="66" fillId="0" borderId="82"/>
    <xf numFmtId="348" fontId="66" fillId="0" borderId="82"/>
    <xf numFmtId="348" fontId="66" fillId="0" borderId="82"/>
    <xf numFmtId="348" fontId="66" fillId="0" borderId="82"/>
    <xf numFmtId="348" fontId="66" fillId="0" borderId="83"/>
    <xf numFmtId="348" fontId="66" fillId="0" borderId="83"/>
    <xf numFmtId="348" fontId="66" fillId="0" borderId="83"/>
    <xf numFmtId="348" fontId="66" fillId="0" borderId="83"/>
    <xf numFmtId="348" fontId="66" fillId="0" borderId="84"/>
    <xf numFmtId="348" fontId="66" fillId="0" borderId="84"/>
    <xf numFmtId="348" fontId="66" fillId="0" borderId="84"/>
    <xf numFmtId="348" fontId="66" fillId="0" borderId="84"/>
    <xf numFmtId="349" fontId="66" fillId="0" borderId="82"/>
    <xf numFmtId="349" fontId="66" fillId="0" borderId="82"/>
    <xf numFmtId="349" fontId="66" fillId="0" borderId="82"/>
    <xf numFmtId="349" fontId="66" fillId="0" borderId="82"/>
    <xf numFmtId="349" fontId="66" fillId="0" borderId="83"/>
    <xf numFmtId="349" fontId="66" fillId="0" borderId="83"/>
    <xf numFmtId="349" fontId="66" fillId="0" borderId="83"/>
    <xf numFmtId="349" fontId="66" fillId="0" borderId="83"/>
    <xf numFmtId="349" fontId="66" fillId="0" borderId="84"/>
    <xf numFmtId="349" fontId="66" fillId="0" borderId="84"/>
    <xf numFmtId="349" fontId="66" fillId="0" borderId="84"/>
    <xf numFmtId="349" fontId="66" fillId="0" borderId="84"/>
    <xf numFmtId="350" fontId="66" fillId="0" borderId="82"/>
    <xf numFmtId="350" fontId="66" fillId="0" borderId="82"/>
    <xf numFmtId="350" fontId="66" fillId="0" borderId="82"/>
    <xf numFmtId="350" fontId="66" fillId="0" borderId="82"/>
    <xf numFmtId="350" fontId="66" fillId="0" borderId="83"/>
    <xf numFmtId="350" fontId="66" fillId="0" borderId="83"/>
    <xf numFmtId="350" fontId="66" fillId="0" borderId="83"/>
    <xf numFmtId="350" fontId="66" fillId="0" borderId="83"/>
    <xf numFmtId="49" fontId="102" fillId="0" borderId="55" applyFill="0" applyProtection="0">
      <alignment horizontal="right" wrapText="1"/>
    </xf>
    <xf numFmtId="49" fontId="102" fillId="0" borderId="55" applyFill="0" applyProtection="0">
      <alignment horizontal="right" wrapText="1"/>
    </xf>
    <xf numFmtId="49" fontId="102" fillId="0" borderId="55" applyFill="0" applyProtection="0">
      <alignment horizontal="right" wrapText="1"/>
    </xf>
    <xf numFmtId="350" fontId="66" fillId="0" borderId="84"/>
    <xf numFmtId="350" fontId="66" fillId="0" borderId="84"/>
    <xf numFmtId="350" fontId="66" fillId="0" borderId="84"/>
    <xf numFmtId="350" fontId="66" fillId="0" borderId="84"/>
    <xf numFmtId="0" fontId="102" fillId="95" borderId="55" applyNumberFormat="0" applyProtection="0">
      <alignment horizontal="right" wrapText="1"/>
    </xf>
    <xf numFmtId="0" fontId="102" fillId="95" borderId="55" applyNumberFormat="0" applyProtection="0">
      <alignment horizontal="right" wrapText="1"/>
    </xf>
    <xf numFmtId="0" fontId="102" fillId="95" borderId="55" applyNumberFormat="0" applyProtection="0">
      <alignment horizontal="right" wrapText="1"/>
    </xf>
    <xf numFmtId="0" fontId="102" fillId="68" borderId="55" applyNumberFormat="0" applyProtection="0">
      <alignment horizontal="right" wrapText="1"/>
    </xf>
    <xf numFmtId="0" fontId="102" fillId="68" borderId="55" applyNumberFormat="0" applyProtection="0">
      <alignment horizontal="right" wrapText="1"/>
    </xf>
    <xf numFmtId="0" fontId="102" fillId="68" borderId="55" applyNumberFormat="0" applyProtection="0">
      <alignment horizontal="right" wrapText="1"/>
    </xf>
    <xf numFmtId="0" fontId="334" fillId="105" borderId="0" applyNumberFormat="0" applyBorder="0" applyProtection="0">
      <alignment horizontal="left" wrapText="1"/>
    </xf>
    <xf numFmtId="0" fontId="66" fillId="69" borderId="79" applyNumberFormat="0" applyFont="0"/>
    <xf numFmtId="0" fontId="66" fillId="69" borderId="79" applyNumberFormat="0" applyFont="0"/>
    <xf numFmtId="0" fontId="66" fillId="69" borderId="79" applyNumberFormat="0" applyFont="0"/>
    <xf numFmtId="0" fontId="66" fillId="69" borderId="79" applyNumberFormat="0" applyFont="0"/>
    <xf numFmtId="0" fontId="335" fillId="0" borderId="0" applyNumberFormat="0" applyFill="0" applyBorder="0" applyAlignment="0" applyProtection="0"/>
    <xf numFmtId="0" fontId="66" fillId="92" borderId="79" applyNumberFormat="0" applyFont="0"/>
    <xf numFmtId="0" fontId="66" fillId="92" borderId="79" applyNumberFormat="0" applyFont="0"/>
    <xf numFmtId="0" fontId="66" fillId="92" borderId="79" applyNumberFormat="0" applyFont="0"/>
    <xf numFmtId="0" fontId="66" fillId="92" borderId="79" applyNumberFormat="0" applyFont="0"/>
    <xf numFmtId="0" fontId="66" fillId="0" borderId="0" applyNumberFormat="0" applyBorder="0"/>
    <xf numFmtId="0" fontId="333" fillId="92" borderId="22" applyNumberFormat="0"/>
    <xf numFmtId="0" fontId="333" fillId="92" borderId="22" applyNumberFormat="0"/>
    <xf numFmtId="0" fontId="333" fillId="92" borderId="22" applyNumberFormat="0"/>
    <xf numFmtId="0" fontId="333" fillId="92" borderId="22" applyNumberFormat="0"/>
    <xf numFmtId="0" fontId="91" fillId="0" borderId="82" applyNumberFormat="0">
      <alignment horizontal="right"/>
    </xf>
    <xf numFmtId="0" fontId="91" fillId="0" borderId="82" applyNumberFormat="0">
      <alignment horizontal="right"/>
    </xf>
    <xf numFmtId="0" fontId="91" fillId="0" borderId="82" applyNumberFormat="0">
      <alignment horizontal="right"/>
    </xf>
    <xf numFmtId="0" fontId="91" fillId="0" borderId="82" applyNumberFormat="0">
      <alignment horizontal="right"/>
    </xf>
    <xf numFmtId="0" fontId="102" fillId="69" borderId="55" applyNumberFormat="0" applyProtection="0">
      <alignment wrapText="1"/>
    </xf>
    <xf numFmtId="0" fontId="102" fillId="69" borderId="55" applyNumberFormat="0" applyProtection="0">
      <alignment wrapText="1"/>
    </xf>
    <xf numFmtId="0" fontId="102" fillId="69" borderId="55" applyNumberFormat="0" applyProtection="0">
      <alignment wrapText="1"/>
    </xf>
    <xf numFmtId="0" fontId="91" fillId="0" borderId="83" applyNumberFormat="0">
      <alignment horizontal="right"/>
    </xf>
    <xf numFmtId="0" fontId="91" fillId="0" borderId="83" applyNumberFormat="0">
      <alignment horizontal="right"/>
    </xf>
    <xf numFmtId="0" fontId="91" fillId="0" borderId="83" applyNumberFormat="0">
      <alignment horizontal="right"/>
    </xf>
    <xf numFmtId="0" fontId="91" fillId="0" borderId="83" applyNumberFormat="0">
      <alignment horizontal="right"/>
    </xf>
    <xf numFmtId="0" fontId="91" fillId="0" borderId="84" applyNumberFormat="0">
      <alignment horizontal="right"/>
    </xf>
    <xf numFmtId="0" fontId="91" fillId="0" borderId="84" applyNumberFormat="0">
      <alignment horizontal="right"/>
    </xf>
    <xf numFmtId="0" fontId="91" fillId="0" borderId="84" applyNumberFormat="0">
      <alignment horizontal="right"/>
    </xf>
    <xf numFmtId="0" fontId="91" fillId="0" borderId="84" applyNumberFormat="0">
      <alignment horizontal="right"/>
    </xf>
    <xf numFmtId="350" fontId="66" fillId="0" borderId="86"/>
    <xf numFmtId="350" fontId="66" fillId="0" borderId="0" applyBorder="0"/>
    <xf numFmtId="350" fontId="66" fillId="104" borderId="0" applyBorder="0"/>
    <xf numFmtId="350" fontId="66" fillId="104" borderId="86"/>
    <xf numFmtId="350" fontId="66" fillId="104" borderId="85"/>
    <xf numFmtId="350" fontId="66" fillId="0" borderId="85"/>
    <xf numFmtId="0" fontId="91" fillId="0" borderId="85" applyNumberFormat="0">
      <alignment horizontal="right"/>
    </xf>
    <xf numFmtId="0" fontId="91" fillId="104" borderId="85" applyNumberFormat="0">
      <alignment horizontal="right"/>
    </xf>
    <xf numFmtId="0" fontId="102" fillId="69" borderId="55" applyNumberFormat="0" applyProtection="0">
      <alignment wrapText="1"/>
    </xf>
    <xf numFmtId="0" fontId="102" fillId="69" borderId="55" applyNumberFormat="0" applyProtection="0">
      <alignment wrapText="1"/>
    </xf>
    <xf numFmtId="0" fontId="102" fillId="69" borderId="55" applyNumberFormat="0" applyProtection="0">
      <alignment wrapText="1"/>
    </xf>
    <xf numFmtId="350" fontId="66" fillId="0" borderId="82"/>
    <xf numFmtId="350" fontId="66" fillId="0" borderId="82"/>
    <xf numFmtId="350" fontId="66" fillId="0" borderId="82"/>
    <xf numFmtId="350" fontId="66" fillId="0" borderId="82"/>
    <xf numFmtId="350" fontId="66" fillId="0" borderId="83"/>
    <xf numFmtId="350" fontId="66" fillId="0" borderId="83"/>
    <xf numFmtId="350" fontId="66" fillId="0" borderId="83"/>
    <xf numFmtId="350" fontId="66" fillId="0" borderId="83"/>
    <xf numFmtId="350" fontId="66" fillId="0" borderId="84"/>
    <xf numFmtId="350" fontId="66" fillId="0" borderId="84"/>
    <xf numFmtId="350" fontId="66" fillId="0" borderId="84"/>
    <xf numFmtId="350" fontId="66" fillId="0" borderId="84"/>
    <xf numFmtId="0" fontId="102" fillId="68" borderId="55" applyNumberFormat="0" applyProtection="0">
      <alignment wrapText="1"/>
    </xf>
    <xf numFmtId="0" fontId="102" fillId="68" borderId="55" applyNumberFormat="0" applyProtection="0">
      <alignment wrapText="1"/>
    </xf>
    <xf numFmtId="0" fontId="102" fillId="68" borderId="55" applyNumberFormat="0" applyProtection="0">
      <alignment wrapText="1"/>
    </xf>
    <xf numFmtId="0" fontId="102" fillId="95" borderId="55" applyNumberFormat="0" applyProtection="0">
      <alignment wrapText="1"/>
    </xf>
    <xf numFmtId="0" fontId="102" fillId="95" borderId="55" applyNumberFormat="0" applyProtection="0">
      <alignment wrapText="1"/>
    </xf>
    <xf numFmtId="0" fontId="102" fillId="95" borderId="55" applyNumberFormat="0" applyProtection="0">
      <alignment wrapText="1"/>
    </xf>
    <xf numFmtId="0" fontId="102" fillId="0" borderId="0" applyNumberFormat="0" applyFill="0" applyBorder="0" applyProtection="0">
      <alignment wrapText="1"/>
    </xf>
    <xf numFmtId="0" fontId="66" fillId="0" borderId="0" applyNumberFormat="0" applyBorder="0"/>
    <xf numFmtId="0" fontId="333" fillId="92" borderId="82" applyNumberFormat="0">
      <alignment horizontal="right"/>
    </xf>
    <xf numFmtId="0" fontId="333" fillId="92" borderId="82" applyNumberFormat="0">
      <alignment horizontal="right"/>
    </xf>
    <xf numFmtId="0" fontId="333" fillId="92" borderId="82" applyNumberFormat="0">
      <alignment horizontal="right"/>
    </xf>
    <xf numFmtId="0" fontId="333" fillId="92" borderId="82" applyNumberFormat="0">
      <alignment horizontal="right"/>
    </xf>
    <xf numFmtId="0" fontId="333" fillId="92" borderId="83" applyNumberFormat="0">
      <alignment horizontal="right"/>
    </xf>
    <xf numFmtId="0" fontId="333" fillId="92" borderId="83" applyNumberFormat="0">
      <alignment horizontal="right"/>
    </xf>
    <xf numFmtId="0" fontId="333" fillId="92" borderId="83" applyNumberFormat="0">
      <alignment horizontal="right"/>
    </xf>
    <xf numFmtId="0" fontId="333" fillId="92" borderId="83" applyNumberFormat="0">
      <alignment horizontal="right"/>
    </xf>
    <xf numFmtId="0" fontId="333" fillId="92" borderId="84" applyNumberFormat="0">
      <alignment horizontal="right"/>
    </xf>
    <xf numFmtId="0" fontId="333" fillId="92" borderId="84" applyNumberFormat="0">
      <alignment horizontal="right"/>
    </xf>
    <xf numFmtId="0" fontId="333" fillId="92" borderId="84" applyNumberFormat="0">
      <alignment horizontal="right"/>
    </xf>
    <xf numFmtId="0" fontId="333" fillId="92" borderId="84" applyNumberFormat="0">
      <alignment horizontal="right"/>
    </xf>
    <xf numFmtId="0" fontId="333" fillId="92" borderId="22" applyNumberFormat="0"/>
    <xf numFmtId="0" fontId="333" fillId="92" borderId="22" applyNumberFormat="0"/>
    <xf numFmtId="0" fontId="333" fillId="92" borderId="22" applyNumberFormat="0"/>
    <xf numFmtId="0" fontId="333" fillId="92" borderId="22" applyNumberFormat="0"/>
    <xf numFmtId="350" fontId="66" fillId="0" borderId="86"/>
    <xf numFmtId="350" fontId="66" fillId="0" borderId="0" applyBorder="0"/>
    <xf numFmtId="350" fontId="66" fillId="104" borderId="0" applyBorder="0"/>
    <xf numFmtId="350" fontId="66" fillId="104" borderId="86"/>
    <xf numFmtId="0" fontId="102" fillId="0" borderId="0" applyNumberFormat="0" applyFont="0" applyFill="0" applyBorder="0" applyAlignment="0" applyProtection="0"/>
    <xf numFmtId="350" fontId="66" fillId="104" borderId="85"/>
    <xf numFmtId="350" fontId="66" fillId="0" borderId="85"/>
    <xf numFmtId="0" fontId="91" fillId="0" borderId="85" applyNumberFormat="0">
      <alignment horizontal="right"/>
    </xf>
    <xf numFmtId="0" fontId="91" fillId="104" borderId="85" applyNumberFormat="0">
      <alignment horizontal="right"/>
    </xf>
    <xf numFmtId="0" fontId="66" fillId="0" borderId="87" applyNumberFormat="0"/>
    <xf numFmtId="0" fontId="66" fillId="0" borderId="87" applyNumberFormat="0"/>
    <xf numFmtId="0" fontId="66" fillId="0" borderId="87" applyNumberFormat="0"/>
    <xf numFmtId="348" fontId="66" fillId="0" borderId="86" applyFont="0" applyFill="0" applyAlignment="0" applyProtection="0"/>
    <xf numFmtId="348" fontId="66" fillId="104" borderId="85" applyFont="0" applyAlignment="0" applyProtection="0"/>
    <xf numFmtId="348" fontId="66" fillId="104" borderId="0" applyFont="0" applyBorder="0" applyAlignment="0" applyProtection="0"/>
    <xf numFmtId="348" fontId="66" fillId="104" borderId="86" applyFont="0" applyAlignment="0" applyProtection="0"/>
    <xf numFmtId="349" fontId="66" fillId="0" borderId="86" applyFont="0" applyFill="0" applyAlignment="0" applyProtection="0"/>
    <xf numFmtId="0" fontId="336" fillId="0" borderId="0" applyNumberFormat="0" applyFill="0" applyBorder="0" applyAlignment="0" applyProtection="0"/>
    <xf numFmtId="349" fontId="66" fillId="0" borderId="0" applyFont="0" applyFill="0" applyBorder="0" applyAlignment="0" applyProtection="0"/>
    <xf numFmtId="349" fontId="66" fillId="104" borderId="0" applyFont="0" applyBorder="0" applyAlignment="0" applyProtection="0"/>
    <xf numFmtId="349" fontId="66" fillId="104" borderId="86" applyFont="0" applyAlignment="0" applyProtection="0"/>
    <xf numFmtId="349" fontId="66" fillId="104" borderId="85" applyFont="0" applyAlignment="0" applyProtection="0"/>
    <xf numFmtId="349" fontId="66" fillId="0" borderId="85" applyFont="0" applyFill="0" applyAlignment="0" applyProtection="0"/>
    <xf numFmtId="0" fontId="66" fillId="69" borderId="85" applyNumberFormat="0">
      <alignment horizontal="left"/>
    </xf>
    <xf numFmtId="0" fontId="66" fillId="104" borderId="85" applyNumberFormat="0">
      <alignment horizontal="left"/>
    </xf>
    <xf numFmtId="0" fontId="66" fillId="69" borderId="85" applyNumberFormat="0">
      <alignment horizontal="right"/>
    </xf>
    <xf numFmtId="0" fontId="66" fillId="104" borderId="85" applyNumberFormat="0">
      <alignment horizontal="right"/>
    </xf>
    <xf numFmtId="0" fontId="66" fillId="69" borderId="85" applyNumberFormat="0">
      <alignment horizontal="center"/>
    </xf>
    <xf numFmtId="0" fontId="337" fillId="0" borderId="0" applyNumberFormat="0" applyFill="0" applyBorder="0" applyAlignment="0" applyProtection="0"/>
    <xf numFmtId="0" fontId="66" fillId="104" borderId="85" applyNumberFormat="0">
      <alignment horizontal="center"/>
    </xf>
    <xf numFmtId="0" fontId="66" fillId="82" borderId="0" applyNumberFormat="0" applyBorder="0"/>
    <xf numFmtId="0" fontId="66" fillId="0" borderId="87" applyNumberFormat="0"/>
    <xf numFmtId="0" fontId="66" fillId="0" borderId="87" applyNumberFormat="0"/>
    <xf numFmtId="0" fontId="66" fillId="0" borderId="87" applyNumberFormat="0"/>
    <xf numFmtId="0" fontId="66" fillId="0" borderId="85" applyNumberFormat="0"/>
    <xf numFmtId="348" fontId="66" fillId="0" borderId="83" applyFont="0" applyFill="0" applyAlignment="0" applyProtection="0"/>
    <xf numFmtId="348" fontId="66" fillId="0" borderId="83" applyFont="0" applyFill="0" applyAlignment="0" applyProtection="0"/>
    <xf numFmtId="348" fontId="66" fillId="0" borderId="83" applyFont="0" applyFill="0" applyAlignment="0" applyProtection="0"/>
    <xf numFmtId="348" fontId="66" fillId="0" borderId="83" applyFont="0" applyFill="0" applyAlignment="0" applyProtection="0"/>
    <xf numFmtId="348" fontId="66" fillId="0" borderId="84" applyFont="0" applyFill="0" applyAlignment="0" applyProtection="0"/>
    <xf numFmtId="348" fontId="66" fillId="0" borderId="84" applyFont="0" applyFill="0" applyAlignment="0" applyProtection="0"/>
    <xf numFmtId="348" fontId="66" fillId="0" borderId="84" applyFont="0" applyFill="0" applyAlignment="0" applyProtection="0"/>
    <xf numFmtId="348" fontId="66" fillId="0" borderId="84" applyFont="0" applyFill="0" applyAlignment="0" applyProtection="0"/>
    <xf numFmtId="349" fontId="66" fillId="0" borderId="82" applyFill="0" applyAlignment="0" applyProtection="0"/>
    <xf numFmtId="349" fontId="66" fillId="0" borderId="82" applyFill="0" applyAlignment="0" applyProtection="0"/>
    <xf numFmtId="349" fontId="66" fillId="0" borderId="82" applyFill="0" applyAlignment="0" applyProtection="0"/>
    <xf numFmtId="349" fontId="66" fillId="0" borderId="82" applyFill="0" applyAlignment="0" applyProtection="0"/>
    <xf numFmtId="349" fontId="66" fillId="0" borderId="83" applyFont="0" applyFill="0" applyAlignment="0" applyProtection="0"/>
    <xf numFmtId="349" fontId="66" fillId="0" borderId="83" applyFont="0" applyFill="0" applyAlignment="0" applyProtection="0"/>
    <xf numFmtId="349" fontId="66" fillId="0" borderId="83" applyFont="0" applyFill="0" applyAlignment="0" applyProtection="0"/>
    <xf numFmtId="349" fontId="66" fillId="0" borderId="83" applyFont="0" applyFill="0" applyAlignment="0" applyProtection="0"/>
    <xf numFmtId="349" fontId="66" fillId="0" borderId="84" applyFont="0" applyFill="0" applyAlignment="0" applyProtection="0"/>
    <xf numFmtId="349" fontId="66" fillId="0" borderId="84" applyFont="0" applyFill="0" applyAlignment="0" applyProtection="0"/>
    <xf numFmtId="349" fontId="66" fillId="0" borderId="84" applyFont="0" applyFill="0" applyAlignment="0" applyProtection="0"/>
    <xf numFmtId="349" fontId="66" fillId="0" borderId="84" applyFont="0" applyFill="0" applyAlignment="0" applyProtection="0"/>
    <xf numFmtId="350" fontId="66" fillId="0" borderId="82" applyFill="0" applyAlignment="0" applyProtection="0"/>
    <xf numFmtId="350" fontId="66" fillId="0" borderId="82" applyFill="0" applyAlignment="0" applyProtection="0"/>
    <xf numFmtId="350" fontId="66" fillId="0" borderId="82" applyFill="0" applyAlignment="0" applyProtection="0"/>
    <xf numFmtId="350" fontId="66" fillId="0" borderId="82" applyFill="0" applyAlignment="0" applyProtection="0"/>
    <xf numFmtId="0" fontId="66" fillId="0" borderId="0" applyNumberFormat="0" applyBorder="0"/>
    <xf numFmtId="0" fontId="66" fillId="0" borderId="55" applyNumberFormat="0">
      <alignment horizontal="center"/>
    </xf>
    <xf numFmtId="0" fontId="66" fillId="0" borderId="55" applyNumberFormat="0">
      <alignment horizontal="center"/>
    </xf>
    <xf numFmtId="0" fontId="66" fillId="0" borderId="55" applyNumberFormat="0">
      <alignment horizontal="center"/>
    </xf>
    <xf numFmtId="0" fontId="333" fillId="92" borderId="22" applyNumberFormat="0"/>
    <xf numFmtId="0" fontId="333" fillId="92" borderId="22" applyNumberFormat="0"/>
    <xf numFmtId="0" fontId="333" fillId="92" borderId="22" applyNumberFormat="0"/>
    <xf numFmtId="0" fontId="333" fillId="92" borderId="22" applyNumberFormat="0"/>
    <xf numFmtId="0" fontId="91" fillId="0" borderId="82" applyNumberFormat="0">
      <alignment horizontal="right"/>
    </xf>
    <xf numFmtId="0" fontId="91" fillId="0" borderId="82" applyNumberFormat="0">
      <alignment horizontal="right"/>
    </xf>
    <xf numFmtId="0" fontId="91" fillId="0" borderId="82" applyNumberFormat="0">
      <alignment horizontal="right"/>
    </xf>
    <xf numFmtId="0" fontId="91" fillId="0" borderId="82" applyNumberFormat="0">
      <alignment horizontal="right"/>
    </xf>
    <xf numFmtId="0" fontId="66" fillId="0" borderId="88" applyNumberFormat="0"/>
    <xf numFmtId="0" fontId="66" fillId="0" borderId="88" applyNumberFormat="0"/>
    <xf numFmtId="0" fontId="66" fillId="0" borderId="88" applyNumberFormat="0"/>
    <xf numFmtId="0" fontId="66" fillId="0" borderId="89" applyNumberFormat="0"/>
    <xf numFmtId="0" fontId="66" fillId="0" borderId="89" applyNumberFormat="0"/>
    <xf numFmtId="0" fontId="66" fillId="0" borderId="89" applyNumberFormat="0"/>
    <xf numFmtId="0" fontId="66" fillId="0" borderId="85" applyNumberFormat="0"/>
    <xf numFmtId="0" fontId="66" fillId="0" borderId="86" applyNumberFormat="0"/>
    <xf numFmtId="0" fontId="66" fillId="0" borderId="90" applyNumberFormat="0"/>
    <xf numFmtId="0" fontId="66" fillId="0" borderId="90" applyNumberFormat="0"/>
    <xf numFmtId="0" fontId="66" fillId="0" borderId="91" applyNumberFormat="0"/>
    <xf numFmtId="0" fontId="66" fillId="0" borderId="91" applyNumberFormat="0"/>
    <xf numFmtId="349" fontId="66" fillId="0" borderId="86"/>
    <xf numFmtId="349" fontId="66" fillId="0" borderId="0" applyBorder="0"/>
    <xf numFmtId="349" fontId="66" fillId="104" borderId="0" applyBorder="0"/>
    <xf numFmtId="349" fontId="66" fillId="104" borderId="86"/>
    <xf numFmtId="350" fontId="66" fillId="0" borderId="86"/>
    <xf numFmtId="350" fontId="66" fillId="0" borderId="0" applyBorder="0"/>
    <xf numFmtId="350" fontId="66" fillId="104" borderId="0" applyBorder="0"/>
    <xf numFmtId="350" fontId="66" fillId="104" borderId="86"/>
    <xf numFmtId="0" fontId="91" fillId="0" borderId="85" applyNumberFormat="0">
      <alignment horizontal="right"/>
    </xf>
    <xf numFmtId="0" fontId="91" fillId="104" borderId="85" applyNumberFormat="0">
      <alignment horizontal="right"/>
    </xf>
    <xf numFmtId="0" fontId="66" fillId="0" borderId="87" applyNumberFormat="0"/>
    <xf numFmtId="0" fontId="66" fillId="0" borderId="87" applyNumberFormat="0"/>
    <xf numFmtId="0" fontId="66" fillId="0" borderId="87" applyNumberFormat="0"/>
    <xf numFmtId="0" fontId="66" fillId="82" borderId="0" applyNumberFormat="0" applyBorder="0"/>
    <xf numFmtId="351" fontId="102" fillId="69" borderId="55" applyProtection="0">
      <alignment wrapText="1"/>
    </xf>
    <xf numFmtId="351" fontId="102" fillId="69" borderId="55" applyProtection="0">
      <alignment wrapText="1"/>
    </xf>
    <xf numFmtId="351" fontId="102" fillId="69" borderId="55" applyProtection="0">
      <alignment wrapText="1"/>
    </xf>
    <xf numFmtId="0" fontId="66" fillId="0" borderId="0" applyNumberFormat="0" applyFont="0" applyFill="0" applyBorder="0" applyAlignment="0" applyProtection="0"/>
    <xf numFmtId="0" fontId="333" fillId="92" borderId="22" applyNumberFormat="0" applyAlignment="0" applyProtection="0"/>
    <xf numFmtId="0" fontId="333" fillId="92" borderId="22" applyNumberFormat="0" applyAlignment="0" applyProtection="0"/>
    <xf numFmtId="0" fontId="333" fillId="92" borderId="22" applyNumberFormat="0" applyAlignment="0" applyProtection="0"/>
    <xf numFmtId="0" fontId="333" fillId="92" borderId="22" applyNumberFormat="0" applyAlignment="0" applyProtection="0"/>
    <xf numFmtId="352" fontId="102" fillId="69" borderId="55" applyProtection="0">
      <alignment wrapText="1"/>
    </xf>
    <xf numFmtId="352" fontId="102" fillId="69" borderId="55" applyProtection="0">
      <alignment wrapText="1"/>
    </xf>
    <xf numFmtId="352" fontId="102" fillId="69" borderId="55" applyProtection="0">
      <alignment wrapText="1"/>
    </xf>
    <xf numFmtId="0" fontId="91" fillId="0" borderId="82" applyNumberFormat="0" applyFill="0" applyProtection="0">
      <alignment horizontal="right"/>
    </xf>
    <xf numFmtId="0" fontId="91" fillId="0" borderId="82" applyNumberFormat="0" applyFill="0" applyProtection="0">
      <alignment horizontal="right"/>
    </xf>
    <xf numFmtId="0" fontId="91" fillId="0" borderId="82" applyNumberFormat="0" applyFill="0" applyProtection="0">
      <alignment horizontal="right"/>
    </xf>
    <xf numFmtId="0" fontId="91" fillId="0" borderId="82" applyNumberFormat="0" applyFill="0" applyProtection="0">
      <alignment horizontal="right"/>
    </xf>
    <xf numFmtId="0" fontId="91" fillId="0" borderId="83" applyNumberFormat="0" applyFill="0" applyProtection="0">
      <alignment horizontal="right"/>
    </xf>
    <xf numFmtId="0" fontId="91" fillId="0" borderId="83" applyNumberFormat="0" applyFill="0" applyProtection="0">
      <alignment horizontal="right"/>
    </xf>
    <xf numFmtId="0" fontId="91" fillId="0" borderId="83" applyNumberFormat="0" applyFill="0" applyProtection="0">
      <alignment horizontal="right"/>
    </xf>
    <xf numFmtId="0" fontId="91" fillId="0" borderId="83" applyNumberFormat="0" applyFill="0" applyProtection="0">
      <alignment horizontal="right"/>
    </xf>
    <xf numFmtId="0" fontId="91" fillId="0" borderId="84" applyNumberFormat="0" applyFill="0" applyProtection="0">
      <alignment horizontal="right"/>
    </xf>
    <xf numFmtId="0" fontId="91" fillId="0" borderId="84" applyNumberFormat="0" applyFill="0" applyProtection="0">
      <alignment horizontal="right"/>
    </xf>
    <xf numFmtId="0" fontId="91" fillId="0" borderId="84" applyNumberFormat="0" applyFill="0" applyProtection="0">
      <alignment horizontal="right"/>
    </xf>
    <xf numFmtId="0" fontId="91" fillId="0" borderId="84" applyNumberFormat="0" applyFill="0" applyProtection="0">
      <alignment horizontal="right"/>
    </xf>
    <xf numFmtId="350" fontId="66" fillId="0" borderId="86" applyFont="0" applyFill="0" applyAlignment="0" applyProtection="0"/>
    <xf numFmtId="350" fontId="66" fillId="0" borderId="0" applyFont="0" applyFill="0" applyBorder="0" applyAlignment="0" applyProtection="0"/>
    <xf numFmtId="350" fontId="66" fillId="104" borderId="0" applyFont="0" applyBorder="0" applyAlignment="0" applyProtection="0"/>
    <xf numFmtId="350" fontId="66" fillId="104" borderId="86" applyFont="0" applyAlignment="0" applyProtection="0"/>
    <xf numFmtId="350" fontId="66" fillId="104" borderId="85" applyFont="0" applyAlignment="0" applyProtection="0"/>
    <xf numFmtId="350" fontId="66" fillId="0" borderId="85" applyFont="0" applyFill="0" applyAlignment="0" applyProtection="0"/>
    <xf numFmtId="0" fontId="91" fillId="0" borderId="85" applyNumberFormat="0" applyFill="0" applyProtection="0">
      <alignment horizontal="right"/>
    </xf>
    <xf numFmtId="353" fontId="102" fillId="69" borderId="55" applyProtection="0">
      <alignment wrapText="1"/>
    </xf>
    <xf numFmtId="353" fontId="102" fillId="69" borderId="55" applyProtection="0">
      <alignment wrapText="1"/>
    </xf>
    <xf numFmtId="353" fontId="102" fillId="69" borderId="55" applyProtection="0">
      <alignment wrapText="1"/>
    </xf>
    <xf numFmtId="0" fontId="91" fillId="104" borderId="85" applyNumberFormat="0" applyProtection="0">
      <alignment horizontal="right"/>
    </xf>
    <xf numFmtId="350" fontId="66" fillId="0" borderId="82" applyFill="0" applyAlignment="0" applyProtection="0"/>
    <xf numFmtId="350" fontId="66" fillId="0" borderId="82" applyFill="0" applyAlignment="0" applyProtection="0"/>
    <xf numFmtId="350" fontId="66" fillId="0" borderId="82" applyFill="0" applyAlignment="0" applyProtection="0"/>
    <xf numFmtId="350" fontId="66" fillId="0" borderId="82" applyFill="0" applyAlignment="0" applyProtection="0"/>
    <xf numFmtId="350" fontId="66" fillId="0" borderId="83" applyFont="0" applyFill="0" applyAlignment="0" applyProtection="0"/>
    <xf numFmtId="350" fontId="66" fillId="0" borderId="83" applyFont="0" applyFill="0" applyAlignment="0" applyProtection="0"/>
    <xf numFmtId="350" fontId="66" fillId="0" borderId="83" applyFont="0" applyFill="0" applyAlignment="0" applyProtection="0"/>
    <xf numFmtId="350" fontId="66" fillId="0" borderId="83" applyFont="0" applyFill="0" applyAlignment="0" applyProtection="0"/>
    <xf numFmtId="350" fontId="66" fillId="0" borderId="84" applyFont="0" applyFill="0" applyAlignment="0" applyProtection="0"/>
    <xf numFmtId="350" fontId="66" fillId="0" borderId="84" applyFont="0" applyFill="0" applyAlignment="0" applyProtection="0"/>
    <xf numFmtId="350" fontId="66" fillId="0" borderId="84" applyFont="0" applyFill="0" applyAlignment="0" applyProtection="0"/>
    <xf numFmtId="350" fontId="66" fillId="0" borderId="84" applyFont="0" applyFill="0" applyAlignment="0" applyProtection="0"/>
    <xf numFmtId="354" fontId="91" fillId="0" borderId="85">
      <alignment horizontal="right"/>
    </xf>
    <xf numFmtId="354" fontId="91" fillId="104" borderId="85">
      <alignment horizontal="right"/>
    </xf>
    <xf numFmtId="349" fontId="66" fillId="0" borderId="85"/>
    <xf numFmtId="349" fontId="66" fillId="104" borderId="85"/>
    <xf numFmtId="350" fontId="66" fillId="0" borderId="86"/>
    <xf numFmtId="350" fontId="66" fillId="104" borderId="86"/>
    <xf numFmtId="355" fontId="66" fillId="0" borderId="85"/>
    <xf numFmtId="348" fontId="66" fillId="104" borderId="85"/>
    <xf numFmtId="355" fontId="66" fillId="0" borderId="86"/>
    <xf numFmtId="355" fontId="66" fillId="104" borderId="86"/>
    <xf numFmtId="0" fontId="66" fillId="0" borderId="87" applyNumberFormat="0"/>
    <xf numFmtId="0" fontId="66" fillId="0" borderId="87" applyNumberFormat="0"/>
    <xf numFmtId="0" fontId="66" fillId="0" borderId="87" applyNumberFormat="0"/>
    <xf numFmtId="356" fontId="102" fillId="69" borderId="55" applyProtection="0">
      <alignment wrapText="1"/>
    </xf>
    <xf numFmtId="356" fontId="102" fillId="69" borderId="55" applyProtection="0">
      <alignment wrapText="1"/>
    </xf>
    <xf numFmtId="356" fontId="102" fillId="69" borderId="55" applyProtection="0">
      <alignment wrapText="1"/>
    </xf>
    <xf numFmtId="350" fontId="66" fillId="0" borderId="85"/>
    <xf numFmtId="350" fontId="66" fillId="104" borderId="85"/>
    <xf numFmtId="0" fontId="66" fillId="0" borderId="0" applyNumberFormat="0" applyFont="0" applyFill="0" applyBorder="0" applyAlignment="0" applyProtection="0"/>
    <xf numFmtId="0" fontId="333" fillId="92" borderId="82" applyNumberFormat="0" applyProtection="0">
      <alignment horizontal="right"/>
    </xf>
    <xf numFmtId="0" fontId="333" fillId="92" borderId="82" applyNumberFormat="0" applyProtection="0">
      <alignment horizontal="right"/>
    </xf>
    <xf numFmtId="0" fontId="333" fillId="92" borderId="82" applyNumberFormat="0" applyProtection="0">
      <alignment horizontal="right"/>
    </xf>
    <xf numFmtId="0" fontId="333" fillId="92" borderId="82" applyNumberFormat="0" applyProtection="0">
      <alignment horizontal="right"/>
    </xf>
    <xf numFmtId="0" fontId="333" fillId="92" borderId="83" applyNumberFormat="0" applyProtection="0">
      <alignment horizontal="right"/>
    </xf>
    <xf numFmtId="0" fontId="333" fillId="92" borderId="83" applyNumberFormat="0" applyProtection="0">
      <alignment horizontal="right"/>
    </xf>
    <xf numFmtId="0" fontId="333" fillId="92" borderId="83" applyNumberFormat="0" applyProtection="0">
      <alignment horizontal="right"/>
    </xf>
    <xf numFmtId="0" fontId="333" fillId="92" borderId="83" applyNumberFormat="0" applyProtection="0">
      <alignment horizontal="right"/>
    </xf>
    <xf numFmtId="0" fontId="333" fillId="92" borderId="84" applyNumberFormat="0" applyProtection="0">
      <alignment horizontal="right"/>
    </xf>
    <xf numFmtId="0" fontId="333" fillId="92" borderId="84" applyNumberFormat="0" applyProtection="0">
      <alignment horizontal="right"/>
    </xf>
    <xf numFmtId="0" fontId="333" fillId="92" borderId="84" applyNumberFormat="0" applyProtection="0">
      <alignment horizontal="right"/>
    </xf>
    <xf numFmtId="0" fontId="333" fillId="92" borderId="84" applyNumberFormat="0" applyProtection="0">
      <alignment horizontal="right"/>
    </xf>
    <xf numFmtId="0" fontId="91" fillId="0" borderId="85" applyNumberFormat="0">
      <alignment horizontal="right"/>
    </xf>
    <xf numFmtId="0" fontId="91" fillId="104" borderId="85" applyNumberFormat="0">
      <alignment horizontal="right"/>
    </xf>
    <xf numFmtId="349" fontId="66" fillId="0" borderId="85"/>
    <xf numFmtId="349" fontId="66" fillId="104" borderId="85"/>
    <xf numFmtId="357" fontId="102" fillId="69" borderId="55" applyProtection="0">
      <alignment wrapText="1"/>
    </xf>
    <xf numFmtId="357" fontId="102" fillId="69" borderId="55" applyProtection="0">
      <alignment wrapText="1"/>
    </xf>
    <xf numFmtId="357" fontId="102" fillId="69" borderId="55" applyProtection="0">
      <alignment wrapText="1"/>
    </xf>
    <xf numFmtId="350" fontId="66" fillId="0" borderId="86"/>
    <xf numFmtId="350" fontId="66" fillId="104" borderId="86"/>
    <xf numFmtId="355" fontId="66" fillId="0" borderId="85"/>
    <xf numFmtId="348" fontId="66" fillId="104" borderId="85"/>
    <xf numFmtId="355" fontId="66" fillId="0" borderId="86"/>
    <xf numFmtId="355" fontId="66" fillId="104" borderId="86"/>
    <xf numFmtId="0" fontId="66" fillId="0" borderId="87" applyNumberFormat="0"/>
    <xf numFmtId="0" fontId="66" fillId="0" borderId="87" applyNumberFormat="0"/>
    <xf numFmtId="0" fontId="66" fillId="0" borderId="87" applyNumberFormat="0"/>
    <xf numFmtId="350" fontId="66" fillId="0" borderId="85"/>
    <xf numFmtId="350" fontId="66" fillId="104" borderId="85"/>
    <xf numFmtId="350" fontId="331" fillId="82" borderId="85"/>
    <xf numFmtId="352" fontId="102" fillId="95" borderId="55" applyProtection="0">
      <alignment wrapText="1"/>
    </xf>
    <xf numFmtId="352" fontId="102" fillId="95" borderId="55" applyProtection="0">
      <alignment wrapText="1"/>
    </xf>
    <xf numFmtId="352" fontId="102" fillId="95" borderId="55" applyProtection="0">
      <alignment wrapText="1"/>
    </xf>
    <xf numFmtId="350" fontId="331" fillId="82" borderId="86"/>
    <xf numFmtId="349" fontId="331" fillId="82" borderId="85"/>
    <xf numFmtId="348" fontId="331" fillId="82" borderId="85"/>
    <xf numFmtId="348" fontId="331" fillId="82" borderId="86"/>
    <xf numFmtId="0" fontId="331" fillId="82" borderId="85" applyNumberFormat="0">
      <alignment horizontal="right"/>
    </xf>
    <xf numFmtId="0" fontId="102" fillId="69" borderId="55" applyProtection="0">
      <alignment wrapText="1"/>
    </xf>
    <xf numFmtId="0" fontId="102" fillId="69" borderId="55" applyProtection="0">
      <alignment wrapText="1"/>
    </xf>
    <xf numFmtId="0" fontId="102" fillId="69" borderId="55" applyProtection="0">
      <alignment wrapText="1"/>
    </xf>
    <xf numFmtId="0" fontId="66" fillId="0" borderId="0" applyNumberFormat="0" applyFont="0" applyFill="0" applyBorder="0" applyAlignment="0" applyProtection="0"/>
    <xf numFmtId="0" fontId="66" fillId="0" borderId="55" applyNumberFormat="0" applyFont="0" applyFill="0" applyProtection="0">
      <alignment horizontal="center"/>
    </xf>
    <xf numFmtId="0" fontId="66" fillId="0" borderId="55" applyNumberFormat="0" applyFont="0" applyFill="0" applyProtection="0">
      <alignment horizontal="center"/>
    </xf>
    <xf numFmtId="0" fontId="66" fillId="0" borderId="55" applyNumberFormat="0" applyFont="0" applyFill="0" applyProtection="0">
      <alignment horizontal="center"/>
    </xf>
    <xf numFmtId="0" fontId="333" fillId="92" borderId="22" applyNumberFormat="0" applyAlignment="0" applyProtection="0"/>
    <xf numFmtId="0" fontId="333" fillId="92" borderId="22" applyNumberFormat="0" applyAlignment="0" applyProtection="0"/>
    <xf numFmtId="0" fontId="333" fillId="92" borderId="22" applyNumberFormat="0" applyAlignment="0" applyProtection="0"/>
    <xf numFmtId="0" fontId="333" fillId="92" borderId="22" applyNumberFormat="0" applyAlignment="0" applyProtection="0"/>
    <xf numFmtId="0" fontId="91" fillId="0" borderId="82" applyNumberFormat="0" applyFill="0" applyProtection="0">
      <alignment horizontal="right"/>
    </xf>
    <xf numFmtId="0" fontId="91" fillId="0" borderId="82" applyNumberFormat="0" applyFill="0" applyProtection="0">
      <alignment horizontal="right"/>
    </xf>
    <xf numFmtId="0" fontId="91" fillId="0" borderId="82" applyNumberFormat="0" applyFill="0" applyProtection="0">
      <alignment horizontal="right"/>
    </xf>
    <xf numFmtId="0" fontId="91" fillId="0" borderId="82" applyNumberFormat="0" applyFill="0" applyProtection="0">
      <alignment horizontal="right"/>
    </xf>
    <xf numFmtId="0" fontId="66" fillId="69" borderId="85" applyNumberFormat="0">
      <alignment horizontal="left"/>
    </xf>
    <xf numFmtId="0" fontId="66" fillId="104" borderId="85" applyNumberFormat="0">
      <alignment horizontal="left"/>
    </xf>
    <xf numFmtId="0" fontId="66" fillId="69" borderId="85" applyNumberFormat="0">
      <alignment horizontal="right"/>
    </xf>
    <xf numFmtId="0" fontId="332" fillId="103" borderId="0" applyNumberFormat="0" applyBorder="0">
      <alignment horizontal="center" wrapText="1"/>
    </xf>
    <xf numFmtId="0" fontId="66" fillId="69" borderId="85" applyNumberFormat="0">
      <alignment horizontal="center"/>
    </xf>
    <xf numFmtId="0" fontId="102" fillId="69" borderId="55" applyProtection="0">
      <alignment wrapText="1"/>
    </xf>
    <xf numFmtId="0" fontId="102" fillId="69" borderId="55" applyProtection="0">
      <alignment wrapText="1"/>
    </xf>
    <xf numFmtId="0" fontId="102" fillId="69" borderId="55" applyProtection="0">
      <alignment wrapText="1"/>
    </xf>
    <xf numFmtId="0" fontId="66" fillId="104" borderId="85" applyNumberFormat="0">
      <alignment horizontal="center"/>
    </xf>
    <xf numFmtId="0" fontId="66" fillId="0" borderId="87" applyNumberFormat="0"/>
    <xf numFmtId="0" fontId="66" fillId="0" borderId="87" applyNumberFormat="0"/>
    <xf numFmtId="0" fontId="66" fillId="0" borderId="87" applyNumberFormat="0"/>
    <xf numFmtId="0" fontId="66" fillId="0" borderId="85" applyNumberFormat="0"/>
    <xf numFmtId="0" fontId="66" fillId="0" borderId="82" applyNumberFormat="0"/>
    <xf numFmtId="0" fontId="66" fillId="0" borderId="82" applyNumberFormat="0"/>
    <xf numFmtId="0" fontId="66" fillId="0" borderId="82" applyNumberFormat="0"/>
    <xf numFmtId="0" fontId="66" fillId="0" borderId="82" applyNumberFormat="0"/>
    <xf numFmtId="0" fontId="66" fillId="0" borderId="83" applyNumberFormat="0"/>
    <xf numFmtId="0" fontId="66" fillId="0" borderId="83" applyNumberFormat="0"/>
    <xf numFmtId="0" fontId="66" fillId="0" borderId="83" applyNumberFormat="0"/>
    <xf numFmtId="0" fontId="66" fillId="0" borderId="83" applyNumberFormat="0"/>
    <xf numFmtId="0" fontId="66" fillId="104" borderId="85">
      <alignment horizontal="left"/>
    </xf>
    <xf numFmtId="0" fontId="66" fillId="69" borderId="85">
      <alignment horizontal="left"/>
    </xf>
    <xf numFmtId="350" fontId="66" fillId="104" borderId="0" applyBorder="0" applyAlignment="0" applyProtection="0"/>
    <xf numFmtId="350" fontId="66" fillId="104" borderId="86" applyFont="0" applyAlignment="0" applyProtection="0"/>
    <xf numFmtId="0" fontId="91" fillId="0" borderId="85" applyNumberFormat="0" applyFill="0" applyProtection="0">
      <alignment horizontal="right"/>
    </xf>
    <xf numFmtId="0" fontId="91" fillId="104" borderId="85" applyNumberFormat="0" applyProtection="0">
      <alignment horizontal="right"/>
    </xf>
    <xf numFmtId="0" fontId="66" fillId="0" borderId="87" applyNumberFormat="0" applyFont="0" applyFill="0" applyAlignment="0" applyProtection="0"/>
    <xf numFmtId="0" fontId="66" fillId="0" borderId="87" applyNumberFormat="0" applyFont="0" applyFill="0" applyAlignment="0" applyProtection="0"/>
    <xf numFmtId="0" fontId="66" fillId="0" borderId="87" applyNumberFormat="0" applyFont="0" applyFill="0" applyAlignment="0" applyProtection="0"/>
    <xf numFmtId="171" fontId="60" fillId="0" borderId="0" applyFont="0" applyFill="0" applyBorder="0" applyAlignment="0" applyProtection="0"/>
    <xf numFmtId="0" fontId="342" fillId="0" borderId="0"/>
    <xf numFmtId="0" fontId="61" fillId="0" borderId="0"/>
    <xf numFmtId="0" fontId="59" fillId="0" borderId="0"/>
    <xf numFmtId="171" fontId="59" fillId="0" borderId="0" applyFont="0" applyFill="0" applyBorder="0" applyAlignment="0" applyProtection="0"/>
    <xf numFmtId="9" fontId="59" fillId="0" borderId="0" applyFont="0" applyFill="0" applyBorder="0" applyAlignment="0" applyProtection="0"/>
    <xf numFmtId="0" fontId="62" fillId="0" borderId="0"/>
    <xf numFmtId="171" fontId="62" fillId="0" borderId="0" applyFont="0" applyFill="0" applyBorder="0" applyAlignment="0" applyProtection="0"/>
    <xf numFmtId="171" fontId="59" fillId="0" borderId="0" applyFont="0" applyFill="0" applyBorder="0" applyAlignment="0" applyProtection="0"/>
    <xf numFmtId="43" fontId="60" fillId="0" borderId="0" applyFon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43" fontId="60" fillId="0" borderId="0" applyFont="0" applyFill="0" applyBorder="0" applyAlignment="0" applyProtection="0"/>
    <xf numFmtId="0" fontId="58" fillId="0" borderId="0"/>
    <xf numFmtId="171" fontId="58" fillId="0" borderId="0" applyFont="0" applyFill="0" applyBorder="0" applyAlignment="0" applyProtection="0"/>
    <xf numFmtId="171" fontId="58" fillId="0" borderId="0" applyFont="0" applyFill="0" applyBorder="0" applyAlignment="0" applyProtection="0"/>
    <xf numFmtId="0" fontId="58" fillId="0" borderId="0"/>
    <xf numFmtId="0" fontId="57" fillId="0" borderId="0"/>
    <xf numFmtId="171" fontId="57" fillId="0" borderId="0" applyFont="0" applyFill="0" applyBorder="0" applyAlignment="0" applyProtection="0"/>
    <xf numFmtId="9" fontId="57" fillId="0" borderId="0" applyFon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0" fontId="56" fillId="0" borderId="0"/>
    <xf numFmtId="171" fontId="56" fillId="0" borderId="0" applyFont="0" applyFill="0" applyBorder="0" applyAlignment="0" applyProtection="0"/>
    <xf numFmtId="9" fontId="56" fillId="0" borderId="0" applyFont="0" applyFill="0" applyBorder="0" applyAlignment="0" applyProtection="0"/>
    <xf numFmtId="3" fontId="68" fillId="0" borderId="92"/>
    <xf numFmtId="3" fontId="68" fillId="0" borderId="92"/>
    <xf numFmtId="3" fontId="68" fillId="0" borderId="92"/>
    <xf numFmtId="185" fontId="66" fillId="0" borderId="56" applyFont="0" applyFill="0" applyBorder="0" applyAlignment="0" applyProtection="0"/>
    <xf numFmtId="185" fontId="66" fillId="0" borderId="56" applyFont="0" applyFill="0" applyBorder="0" applyAlignment="0" applyProtection="0"/>
    <xf numFmtId="185" fontId="66" fillId="0" borderId="56" applyFont="0" applyFill="0" applyBorder="0" applyAlignment="0" applyProtection="0"/>
    <xf numFmtId="185" fontId="66" fillId="0" borderId="56"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202" fontId="91" fillId="64" borderId="92" applyNumberFormat="0">
      <alignment horizontal="center" vertical="center"/>
      <protection locked="0"/>
    </xf>
    <xf numFmtId="0" fontId="105" fillId="0" borderId="110" applyNumberFormat="0" applyAlignment="0" applyProtection="0">
      <alignment horizontal="left" vertical="center"/>
    </xf>
    <xf numFmtId="0" fontId="105" fillId="0" borderId="93">
      <alignment horizontal="left" vertical="center"/>
    </xf>
    <xf numFmtId="10" fontId="102" fillId="70" borderId="92" applyNumberFormat="0" applyBorder="0" applyAlignment="0" applyProtection="0"/>
    <xf numFmtId="10" fontId="103" fillId="69" borderId="92" applyNumberFormat="0" applyBorder="0" applyAlignment="0" applyProtection="0"/>
    <xf numFmtId="0" fontId="113" fillId="0" borderId="57"/>
    <xf numFmtId="0" fontId="95" fillId="0" borderId="57"/>
    <xf numFmtId="0" fontId="56" fillId="0" borderId="0"/>
    <xf numFmtId="210" fontId="56" fillId="0" borderId="0"/>
    <xf numFmtId="217" fontId="139" fillId="0" borderId="115" applyFont="0" applyFill="0" applyBorder="0" applyAlignment="0">
      <alignment horizontal="left" vertical="center"/>
    </xf>
    <xf numFmtId="221" fontId="153" fillId="0" borderId="92" applyBorder="0">
      <alignment vertical="center"/>
    </xf>
    <xf numFmtId="37" fontId="150" fillId="0" borderId="56" applyFont="0" applyFill="0" applyBorder="0" applyAlignment="0" applyProtection="0"/>
    <xf numFmtId="37" fontId="150" fillId="0" borderId="56" applyFont="0" applyFill="0" applyBorder="0" applyAlignment="0" applyProtection="0"/>
    <xf numFmtId="37" fontId="150" fillId="0" borderId="56" applyFont="0" applyFill="0" applyBorder="0" applyAlignment="0" applyProtection="0"/>
    <xf numFmtId="237" fontId="150" fillId="0" borderId="102"/>
    <xf numFmtId="237" fontId="150" fillId="0" borderId="102"/>
    <xf numFmtId="0" fontId="56" fillId="10" borderId="0" applyNumberFormat="0" applyBorder="0" applyAlignment="0" applyProtection="0"/>
    <xf numFmtId="0" fontId="56" fillId="10" borderId="0" applyNumberFormat="0" applyBorder="0" applyAlignment="0" applyProtection="0"/>
    <xf numFmtId="0" fontId="56" fillId="10" borderId="0" applyNumberFormat="0" applyBorder="0" applyAlignment="0" applyProtection="0"/>
    <xf numFmtId="0" fontId="56" fillId="10" borderId="0" applyNumberFormat="0" applyBorder="0" applyAlignment="0" applyProtection="0"/>
    <xf numFmtId="0" fontId="56" fillId="10" borderId="0" applyNumberFormat="0" applyBorder="0" applyAlignment="0" applyProtection="0"/>
    <xf numFmtId="0" fontId="56" fillId="10" borderId="0" applyNumberFormat="0" applyBorder="0" applyAlignment="0" applyProtection="0"/>
    <xf numFmtId="0" fontId="56" fillId="10" borderId="0" applyNumberFormat="0" applyBorder="0" applyAlignment="0" applyProtection="0"/>
    <xf numFmtId="0" fontId="56" fillId="10" borderId="0" applyNumberFormat="0" applyBorder="0" applyAlignment="0" applyProtection="0"/>
    <xf numFmtId="0" fontId="56" fillId="10" borderId="0" applyNumberFormat="0" applyBorder="0" applyAlignment="0" applyProtection="0"/>
    <xf numFmtId="0" fontId="56" fillId="10" borderId="0" applyNumberFormat="0" applyBorder="0" applyAlignment="0" applyProtection="0"/>
    <xf numFmtId="274" fontId="56" fillId="10" borderId="0" applyNumberFormat="0" applyBorder="0" applyAlignment="0" applyProtection="0"/>
    <xf numFmtId="274" fontId="56" fillId="10" borderId="0" applyNumberFormat="0" applyBorder="0" applyAlignment="0" applyProtection="0"/>
    <xf numFmtId="274" fontId="56" fillId="10" borderId="0" applyNumberFormat="0" applyBorder="0" applyAlignment="0" applyProtection="0"/>
    <xf numFmtId="274" fontId="56" fillId="10" borderId="0" applyNumberFormat="0" applyBorder="0" applyAlignment="0" applyProtection="0"/>
    <xf numFmtId="274" fontId="56" fillId="10" borderId="0" applyNumberFormat="0" applyBorder="0" applyAlignment="0" applyProtection="0"/>
    <xf numFmtId="274" fontId="56" fillId="10" borderId="0" applyNumberFormat="0" applyBorder="0" applyAlignment="0" applyProtection="0"/>
    <xf numFmtId="274" fontId="56" fillId="10" borderId="0" applyNumberFormat="0" applyBorder="0" applyAlignment="0" applyProtection="0"/>
    <xf numFmtId="274" fontId="56" fillId="10" borderId="0" applyNumberFormat="0" applyBorder="0" applyAlignment="0" applyProtection="0"/>
    <xf numFmtId="274" fontId="56" fillId="10" borderId="0" applyNumberFormat="0" applyBorder="0" applyAlignment="0" applyProtection="0"/>
    <xf numFmtId="274" fontId="56" fillId="10" borderId="0" applyNumberFormat="0" applyBorder="0" applyAlignment="0" applyProtection="0"/>
    <xf numFmtId="274" fontId="56" fillId="10" borderId="0" applyNumberFormat="0" applyBorder="0" applyAlignment="0" applyProtection="0"/>
    <xf numFmtId="274" fontId="56" fillId="10" borderId="0" applyNumberFormat="0" applyBorder="0" applyAlignment="0" applyProtection="0"/>
    <xf numFmtId="274" fontId="56" fillId="10" borderId="0" applyNumberFormat="0" applyBorder="0" applyAlignment="0" applyProtection="0"/>
    <xf numFmtId="274" fontId="56" fillId="10" borderId="0" applyNumberFormat="0" applyBorder="0" applyAlignment="0" applyProtection="0"/>
    <xf numFmtId="274" fontId="56" fillId="10" borderId="0" applyNumberFormat="0" applyBorder="0" applyAlignment="0" applyProtection="0"/>
    <xf numFmtId="274" fontId="56" fillId="10" borderId="0" applyNumberFormat="0" applyBorder="0" applyAlignment="0" applyProtection="0"/>
    <xf numFmtId="274" fontId="56" fillId="10" borderId="0" applyNumberFormat="0" applyBorder="0" applyAlignment="0" applyProtection="0"/>
    <xf numFmtId="274" fontId="56" fillId="10" borderId="0" applyNumberFormat="0" applyBorder="0" applyAlignment="0" applyProtection="0"/>
    <xf numFmtId="274" fontId="56" fillId="10" borderId="0" applyNumberFormat="0" applyBorder="0" applyAlignment="0" applyProtection="0"/>
    <xf numFmtId="274" fontId="56" fillId="10" borderId="0" applyNumberFormat="0" applyBorder="0" applyAlignment="0" applyProtection="0"/>
    <xf numFmtId="274" fontId="56" fillId="10" borderId="0" applyNumberFormat="0" applyBorder="0" applyAlignment="0" applyProtection="0"/>
    <xf numFmtId="274" fontId="56" fillId="10" borderId="0" applyNumberFormat="0" applyBorder="0" applyAlignment="0" applyProtection="0"/>
    <xf numFmtId="274" fontId="56" fillId="10" borderId="0" applyNumberFormat="0" applyBorder="0" applyAlignment="0" applyProtection="0"/>
    <xf numFmtId="274" fontId="56" fillId="10" borderId="0" applyNumberFormat="0" applyBorder="0" applyAlignment="0" applyProtection="0"/>
    <xf numFmtId="274" fontId="56" fillId="10" borderId="0" applyNumberFormat="0" applyBorder="0" applyAlignment="0" applyProtection="0"/>
    <xf numFmtId="274" fontId="56" fillId="10" borderId="0" applyNumberFormat="0" applyBorder="0" applyAlignment="0" applyProtection="0"/>
    <xf numFmtId="274" fontId="56" fillId="10" borderId="0" applyNumberFormat="0" applyBorder="0" applyAlignment="0" applyProtection="0"/>
    <xf numFmtId="274" fontId="56" fillId="10" borderId="0" applyNumberFormat="0" applyBorder="0" applyAlignment="0" applyProtection="0"/>
    <xf numFmtId="274" fontId="56" fillId="10" borderId="0" applyNumberFormat="0" applyBorder="0" applyAlignment="0" applyProtection="0"/>
    <xf numFmtId="274" fontId="56" fillId="10" borderId="0" applyNumberFormat="0" applyBorder="0" applyAlignment="0" applyProtection="0"/>
    <xf numFmtId="274" fontId="56" fillId="10" borderId="0" applyNumberFormat="0" applyBorder="0" applyAlignment="0" applyProtection="0"/>
    <xf numFmtId="274" fontId="56" fillId="10" borderId="0" applyNumberFormat="0" applyBorder="0" applyAlignment="0" applyProtection="0"/>
    <xf numFmtId="274" fontId="56" fillId="10" borderId="0" applyNumberFormat="0" applyBorder="0" applyAlignment="0" applyProtection="0"/>
    <xf numFmtId="274" fontId="56" fillId="10" borderId="0" applyNumberFormat="0" applyBorder="0" applyAlignment="0" applyProtection="0"/>
    <xf numFmtId="274" fontId="56" fillId="10" borderId="0" applyNumberFormat="0" applyBorder="0" applyAlignment="0" applyProtection="0"/>
    <xf numFmtId="274" fontId="56" fillId="10" borderId="0" applyNumberFormat="0" applyBorder="0" applyAlignment="0" applyProtection="0"/>
    <xf numFmtId="274" fontId="56" fillId="10" borderId="0" applyNumberFormat="0" applyBorder="0" applyAlignment="0" applyProtection="0"/>
    <xf numFmtId="274" fontId="56" fillId="10" borderId="0" applyNumberFormat="0" applyBorder="0" applyAlignment="0" applyProtection="0"/>
    <xf numFmtId="274" fontId="56" fillId="10" borderId="0" applyNumberFormat="0" applyBorder="0" applyAlignment="0" applyProtection="0"/>
    <xf numFmtId="274" fontId="56" fillId="10" borderId="0" applyNumberFormat="0" applyBorder="0" applyAlignment="0" applyProtection="0"/>
    <xf numFmtId="274" fontId="56" fillId="10" borderId="0" applyNumberFormat="0" applyBorder="0" applyAlignment="0" applyProtection="0"/>
    <xf numFmtId="274" fontId="56" fillId="10" borderId="0" applyNumberFormat="0" applyBorder="0" applyAlignment="0" applyProtection="0"/>
    <xf numFmtId="0" fontId="56" fillId="10" borderId="0" applyNumberFormat="0" applyBorder="0" applyAlignment="0" applyProtection="0"/>
    <xf numFmtId="0" fontId="56" fillId="10" borderId="0" applyNumberFormat="0" applyBorder="0" applyAlignment="0" applyProtection="0"/>
    <xf numFmtId="0" fontId="56" fillId="10" borderId="0" applyNumberFormat="0" applyBorder="0" applyAlignment="0" applyProtection="0"/>
    <xf numFmtId="0" fontId="56" fillId="10" borderId="0" applyNumberFormat="0" applyBorder="0" applyAlignment="0" applyProtection="0"/>
    <xf numFmtId="0" fontId="56" fillId="10" borderId="0" applyNumberFormat="0" applyBorder="0" applyAlignment="0" applyProtection="0"/>
    <xf numFmtId="0" fontId="56" fillId="10" borderId="0" applyNumberFormat="0" applyBorder="0" applyAlignment="0" applyProtection="0"/>
    <xf numFmtId="0" fontId="56" fillId="10" borderId="0" applyNumberFormat="0" applyBorder="0" applyAlignment="0" applyProtection="0"/>
    <xf numFmtId="0" fontId="56" fillId="10" borderId="0" applyNumberFormat="0" applyBorder="0" applyAlignment="0" applyProtection="0"/>
    <xf numFmtId="0" fontId="56" fillId="10" borderId="0" applyNumberFormat="0" applyBorder="0" applyAlignment="0" applyProtection="0"/>
    <xf numFmtId="0" fontId="56" fillId="10" borderId="0" applyNumberFormat="0" applyBorder="0" applyAlignment="0" applyProtection="0"/>
    <xf numFmtId="0" fontId="56" fillId="10" borderId="0" applyNumberFormat="0" applyBorder="0" applyAlignment="0" applyProtection="0"/>
    <xf numFmtId="0" fontId="56" fillId="10" borderId="0" applyNumberFormat="0" applyBorder="0" applyAlignment="0" applyProtection="0"/>
    <xf numFmtId="0" fontId="56" fillId="10" borderId="0" applyNumberFormat="0" applyBorder="0" applyAlignment="0" applyProtection="0"/>
    <xf numFmtId="0" fontId="56" fillId="10" borderId="0" applyNumberFormat="0" applyBorder="0" applyAlignment="0" applyProtection="0"/>
    <xf numFmtId="0" fontId="56" fillId="10" borderId="0" applyNumberFormat="0" applyBorder="0" applyAlignment="0" applyProtection="0"/>
    <xf numFmtId="0" fontId="56" fillId="10" borderId="0" applyNumberFormat="0" applyBorder="0" applyAlignment="0" applyProtection="0"/>
    <xf numFmtId="0" fontId="56" fillId="10" borderId="0" applyNumberFormat="0" applyBorder="0" applyAlignment="0" applyProtection="0"/>
    <xf numFmtId="0" fontId="56" fillId="10" borderId="0" applyNumberFormat="0" applyBorder="0" applyAlignment="0" applyProtection="0"/>
    <xf numFmtId="0" fontId="56" fillId="10" borderId="0" applyNumberFormat="0" applyBorder="0" applyAlignment="0" applyProtection="0"/>
    <xf numFmtId="0" fontId="56" fillId="10" borderId="0" applyNumberFormat="0" applyBorder="0" applyAlignment="0" applyProtection="0"/>
    <xf numFmtId="0" fontId="56" fillId="10" borderId="0" applyNumberFormat="0" applyBorder="0" applyAlignment="0" applyProtection="0"/>
    <xf numFmtId="0" fontId="56" fillId="10" borderId="0" applyNumberFormat="0" applyBorder="0" applyAlignment="0" applyProtection="0"/>
    <xf numFmtId="0" fontId="56" fillId="10" borderId="0" applyNumberFormat="0" applyBorder="0" applyAlignment="0" applyProtection="0"/>
    <xf numFmtId="0" fontId="56" fillId="10" borderId="0" applyNumberFormat="0" applyBorder="0" applyAlignment="0" applyProtection="0"/>
    <xf numFmtId="0" fontId="56" fillId="10" borderId="0" applyNumberFormat="0" applyBorder="0" applyAlignment="0" applyProtection="0"/>
    <xf numFmtId="0" fontId="56" fillId="10" borderId="0" applyNumberFormat="0" applyBorder="0" applyAlignment="0" applyProtection="0"/>
    <xf numFmtId="0" fontId="56" fillId="10" borderId="0" applyNumberFormat="0" applyBorder="0" applyAlignment="0" applyProtection="0"/>
    <xf numFmtId="0" fontId="56" fillId="10" borderId="0" applyNumberFormat="0" applyBorder="0" applyAlignment="0" applyProtection="0"/>
    <xf numFmtId="0" fontId="56" fillId="10" borderId="0" applyNumberFormat="0" applyBorder="0" applyAlignment="0" applyProtection="0"/>
    <xf numFmtId="0" fontId="56" fillId="10" borderId="0" applyNumberFormat="0" applyBorder="0" applyAlignment="0" applyProtection="0"/>
    <xf numFmtId="0" fontId="56" fillId="10" borderId="0" applyNumberFormat="0" applyBorder="0" applyAlignment="0" applyProtection="0"/>
    <xf numFmtId="0" fontId="56" fillId="10" borderId="0" applyNumberFormat="0" applyBorder="0" applyAlignment="0" applyProtection="0"/>
    <xf numFmtId="0" fontId="56" fillId="14" borderId="0" applyNumberFormat="0" applyBorder="0" applyAlignment="0" applyProtection="0"/>
    <xf numFmtId="0" fontId="56" fillId="14" borderId="0" applyNumberFormat="0" applyBorder="0" applyAlignment="0" applyProtection="0"/>
    <xf numFmtId="0" fontId="56" fillId="14" borderId="0" applyNumberFormat="0" applyBorder="0" applyAlignment="0" applyProtection="0"/>
    <xf numFmtId="0" fontId="56" fillId="14" borderId="0" applyNumberFormat="0" applyBorder="0" applyAlignment="0" applyProtection="0"/>
    <xf numFmtId="0" fontId="56" fillId="14" borderId="0" applyNumberFormat="0" applyBorder="0" applyAlignment="0" applyProtection="0"/>
    <xf numFmtId="0" fontId="56" fillId="14" borderId="0" applyNumberFormat="0" applyBorder="0" applyAlignment="0" applyProtection="0"/>
    <xf numFmtId="0" fontId="56" fillId="14" borderId="0" applyNumberFormat="0" applyBorder="0" applyAlignment="0" applyProtection="0"/>
    <xf numFmtId="0" fontId="56" fillId="14" borderId="0" applyNumberFormat="0" applyBorder="0" applyAlignment="0" applyProtection="0"/>
    <xf numFmtId="0" fontId="56" fillId="14" borderId="0" applyNumberFormat="0" applyBorder="0" applyAlignment="0" applyProtection="0"/>
    <xf numFmtId="0" fontId="56" fillId="14" borderId="0" applyNumberFormat="0" applyBorder="0" applyAlignment="0" applyProtection="0"/>
    <xf numFmtId="274" fontId="56" fillId="14" borderId="0" applyNumberFormat="0" applyBorder="0" applyAlignment="0" applyProtection="0"/>
    <xf numFmtId="274" fontId="56" fillId="14" borderId="0" applyNumberFormat="0" applyBorder="0" applyAlignment="0" applyProtection="0"/>
    <xf numFmtId="274" fontId="56" fillId="14" borderId="0" applyNumberFormat="0" applyBorder="0" applyAlignment="0" applyProtection="0"/>
    <xf numFmtId="274" fontId="56" fillId="14" borderId="0" applyNumberFormat="0" applyBorder="0" applyAlignment="0" applyProtection="0"/>
    <xf numFmtId="274" fontId="56" fillId="14" borderId="0" applyNumberFormat="0" applyBorder="0" applyAlignment="0" applyProtection="0"/>
    <xf numFmtId="274" fontId="56" fillId="14" borderId="0" applyNumberFormat="0" applyBorder="0" applyAlignment="0" applyProtection="0"/>
    <xf numFmtId="274" fontId="56" fillId="14" borderId="0" applyNumberFormat="0" applyBorder="0" applyAlignment="0" applyProtection="0"/>
    <xf numFmtId="274" fontId="56" fillId="14" borderId="0" applyNumberFormat="0" applyBorder="0" applyAlignment="0" applyProtection="0"/>
    <xf numFmtId="274" fontId="56" fillId="14" borderId="0" applyNumberFormat="0" applyBorder="0" applyAlignment="0" applyProtection="0"/>
    <xf numFmtId="274" fontId="56" fillId="14" borderId="0" applyNumberFormat="0" applyBorder="0" applyAlignment="0" applyProtection="0"/>
    <xf numFmtId="274" fontId="56" fillId="14" borderId="0" applyNumberFormat="0" applyBorder="0" applyAlignment="0" applyProtection="0"/>
    <xf numFmtId="274" fontId="56" fillId="14" borderId="0" applyNumberFormat="0" applyBorder="0" applyAlignment="0" applyProtection="0"/>
    <xf numFmtId="274" fontId="56" fillId="14" borderId="0" applyNumberFormat="0" applyBorder="0" applyAlignment="0" applyProtection="0"/>
    <xf numFmtId="274" fontId="56" fillId="14" borderId="0" applyNumberFormat="0" applyBorder="0" applyAlignment="0" applyProtection="0"/>
    <xf numFmtId="274" fontId="56" fillId="14" borderId="0" applyNumberFormat="0" applyBorder="0" applyAlignment="0" applyProtection="0"/>
    <xf numFmtId="274" fontId="56" fillId="14" borderId="0" applyNumberFormat="0" applyBorder="0" applyAlignment="0" applyProtection="0"/>
    <xf numFmtId="274" fontId="56" fillId="14" borderId="0" applyNumberFormat="0" applyBorder="0" applyAlignment="0" applyProtection="0"/>
    <xf numFmtId="274" fontId="56" fillId="14" borderId="0" applyNumberFormat="0" applyBorder="0" applyAlignment="0" applyProtection="0"/>
    <xf numFmtId="274" fontId="56" fillId="14" borderId="0" applyNumberFormat="0" applyBorder="0" applyAlignment="0" applyProtection="0"/>
    <xf numFmtId="274" fontId="56" fillId="14" borderId="0" applyNumberFormat="0" applyBorder="0" applyAlignment="0" applyProtection="0"/>
    <xf numFmtId="274" fontId="56" fillId="14" borderId="0" applyNumberFormat="0" applyBorder="0" applyAlignment="0" applyProtection="0"/>
    <xf numFmtId="274" fontId="56" fillId="14" borderId="0" applyNumberFormat="0" applyBorder="0" applyAlignment="0" applyProtection="0"/>
    <xf numFmtId="274" fontId="56" fillId="14" borderId="0" applyNumberFormat="0" applyBorder="0" applyAlignment="0" applyProtection="0"/>
    <xf numFmtId="274" fontId="56" fillId="14" borderId="0" applyNumberFormat="0" applyBorder="0" applyAlignment="0" applyProtection="0"/>
    <xf numFmtId="274" fontId="56" fillId="14" borderId="0" applyNumberFormat="0" applyBorder="0" applyAlignment="0" applyProtection="0"/>
    <xf numFmtId="274" fontId="56" fillId="14" borderId="0" applyNumberFormat="0" applyBorder="0" applyAlignment="0" applyProtection="0"/>
    <xf numFmtId="274" fontId="56" fillId="14" borderId="0" applyNumberFormat="0" applyBorder="0" applyAlignment="0" applyProtection="0"/>
    <xf numFmtId="274" fontId="56" fillId="14" borderId="0" applyNumberFormat="0" applyBorder="0" applyAlignment="0" applyProtection="0"/>
    <xf numFmtId="274" fontId="56" fillId="14" borderId="0" applyNumberFormat="0" applyBorder="0" applyAlignment="0" applyProtection="0"/>
    <xf numFmtId="274" fontId="56" fillId="14" borderId="0" applyNumberFormat="0" applyBorder="0" applyAlignment="0" applyProtection="0"/>
    <xf numFmtId="274" fontId="56" fillId="14" borderId="0" applyNumberFormat="0" applyBorder="0" applyAlignment="0" applyProtection="0"/>
    <xf numFmtId="274" fontId="56" fillId="14" borderId="0" applyNumberFormat="0" applyBorder="0" applyAlignment="0" applyProtection="0"/>
    <xf numFmtId="274" fontId="56" fillId="14" borderId="0" applyNumberFormat="0" applyBorder="0" applyAlignment="0" applyProtection="0"/>
    <xf numFmtId="274" fontId="56" fillId="14" borderId="0" applyNumberFormat="0" applyBorder="0" applyAlignment="0" applyProtection="0"/>
    <xf numFmtId="274" fontId="56" fillId="14" borderId="0" applyNumberFormat="0" applyBorder="0" applyAlignment="0" applyProtection="0"/>
    <xf numFmtId="274" fontId="56" fillId="14" borderId="0" applyNumberFormat="0" applyBorder="0" applyAlignment="0" applyProtection="0"/>
    <xf numFmtId="274" fontId="56" fillId="14" borderId="0" applyNumberFormat="0" applyBorder="0" applyAlignment="0" applyProtection="0"/>
    <xf numFmtId="274" fontId="56" fillId="14" borderId="0" applyNumberFormat="0" applyBorder="0" applyAlignment="0" applyProtection="0"/>
    <xf numFmtId="274" fontId="56" fillId="14" borderId="0" applyNumberFormat="0" applyBorder="0" applyAlignment="0" applyProtection="0"/>
    <xf numFmtId="274" fontId="56" fillId="14" borderId="0" applyNumberFormat="0" applyBorder="0" applyAlignment="0" applyProtection="0"/>
    <xf numFmtId="274" fontId="56" fillId="14" borderId="0" applyNumberFormat="0" applyBorder="0" applyAlignment="0" applyProtection="0"/>
    <xf numFmtId="274" fontId="56" fillId="14" borderId="0" applyNumberFormat="0" applyBorder="0" applyAlignment="0" applyProtection="0"/>
    <xf numFmtId="0" fontId="56" fillId="14" borderId="0" applyNumberFormat="0" applyBorder="0" applyAlignment="0" applyProtection="0"/>
    <xf numFmtId="0" fontId="56" fillId="14" borderId="0" applyNumberFormat="0" applyBorder="0" applyAlignment="0" applyProtection="0"/>
    <xf numFmtId="0" fontId="56" fillId="14" borderId="0" applyNumberFormat="0" applyBorder="0" applyAlignment="0" applyProtection="0"/>
    <xf numFmtId="0" fontId="56" fillId="14" borderId="0" applyNumberFormat="0" applyBorder="0" applyAlignment="0" applyProtection="0"/>
    <xf numFmtId="0" fontId="56" fillId="14" borderId="0" applyNumberFormat="0" applyBorder="0" applyAlignment="0" applyProtection="0"/>
    <xf numFmtId="0" fontId="56" fillId="14" borderId="0" applyNumberFormat="0" applyBorder="0" applyAlignment="0" applyProtection="0"/>
    <xf numFmtId="0" fontId="56" fillId="14" borderId="0" applyNumberFormat="0" applyBorder="0" applyAlignment="0" applyProtection="0"/>
    <xf numFmtId="0" fontId="56" fillId="14" borderId="0" applyNumberFormat="0" applyBorder="0" applyAlignment="0" applyProtection="0"/>
    <xf numFmtId="0" fontId="56" fillId="14" borderId="0" applyNumberFormat="0" applyBorder="0" applyAlignment="0" applyProtection="0"/>
    <xf numFmtId="0" fontId="56" fillId="14" borderId="0" applyNumberFormat="0" applyBorder="0" applyAlignment="0" applyProtection="0"/>
    <xf numFmtId="0" fontId="56" fillId="14" borderId="0" applyNumberFormat="0" applyBorder="0" applyAlignment="0" applyProtection="0"/>
    <xf numFmtId="0" fontId="56" fillId="14" borderId="0" applyNumberFormat="0" applyBorder="0" applyAlignment="0" applyProtection="0"/>
    <xf numFmtId="0" fontId="56" fillId="14" borderId="0" applyNumberFormat="0" applyBorder="0" applyAlignment="0" applyProtection="0"/>
    <xf numFmtId="0" fontId="56" fillId="14" borderId="0" applyNumberFormat="0" applyBorder="0" applyAlignment="0" applyProtection="0"/>
    <xf numFmtId="0" fontId="56" fillId="14" borderId="0" applyNumberFormat="0" applyBorder="0" applyAlignment="0" applyProtection="0"/>
    <xf numFmtId="0" fontId="56" fillId="14" borderId="0" applyNumberFormat="0" applyBorder="0" applyAlignment="0" applyProtection="0"/>
    <xf numFmtId="0" fontId="56" fillId="14" borderId="0" applyNumberFormat="0" applyBorder="0" applyAlignment="0" applyProtection="0"/>
    <xf numFmtId="0" fontId="56" fillId="14" borderId="0" applyNumberFormat="0" applyBorder="0" applyAlignment="0" applyProtection="0"/>
    <xf numFmtId="0" fontId="56" fillId="14" borderId="0" applyNumberFormat="0" applyBorder="0" applyAlignment="0" applyProtection="0"/>
    <xf numFmtId="0" fontId="56" fillId="14" borderId="0" applyNumberFormat="0" applyBorder="0" applyAlignment="0" applyProtection="0"/>
    <xf numFmtId="0" fontId="56" fillId="14" borderId="0" applyNumberFormat="0" applyBorder="0" applyAlignment="0" applyProtection="0"/>
    <xf numFmtId="0" fontId="56" fillId="14" borderId="0" applyNumberFormat="0" applyBorder="0" applyAlignment="0" applyProtection="0"/>
    <xf numFmtId="0" fontId="56" fillId="14" borderId="0" applyNumberFormat="0" applyBorder="0" applyAlignment="0" applyProtection="0"/>
    <xf numFmtId="0" fontId="56" fillId="14" borderId="0" applyNumberFormat="0" applyBorder="0" applyAlignment="0" applyProtection="0"/>
    <xf numFmtId="0" fontId="56" fillId="14" borderId="0" applyNumberFormat="0" applyBorder="0" applyAlignment="0" applyProtection="0"/>
    <xf numFmtId="0" fontId="56" fillId="14" borderId="0" applyNumberFormat="0" applyBorder="0" applyAlignment="0" applyProtection="0"/>
    <xf numFmtId="0" fontId="56" fillId="14" borderId="0" applyNumberFormat="0" applyBorder="0" applyAlignment="0" applyProtection="0"/>
    <xf numFmtId="0" fontId="56" fillId="14" borderId="0" applyNumberFormat="0" applyBorder="0" applyAlignment="0" applyProtection="0"/>
    <xf numFmtId="0" fontId="56" fillId="14" borderId="0" applyNumberFormat="0" applyBorder="0" applyAlignment="0" applyProtection="0"/>
    <xf numFmtId="0" fontId="56" fillId="14" borderId="0" applyNumberFormat="0" applyBorder="0" applyAlignment="0" applyProtection="0"/>
    <xf numFmtId="0" fontId="56" fillId="14" borderId="0" applyNumberFormat="0" applyBorder="0" applyAlignment="0" applyProtection="0"/>
    <xf numFmtId="0" fontId="56" fillId="14" borderId="0" applyNumberFormat="0" applyBorder="0" applyAlignment="0" applyProtection="0"/>
    <xf numFmtId="0" fontId="56" fillId="18" borderId="0" applyNumberFormat="0" applyBorder="0" applyAlignment="0" applyProtection="0"/>
    <xf numFmtId="0" fontId="56" fillId="18" borderId="0" applyNumberFormat="0" applyBorder="0" applyAlignment="0" applyProtection="0"/>
    <xf numFmtId="0" fontId="56" fillId="18" borderId="0" applyNumberFormat="0" applyBorder="0" applyAlignment="0" applyProtection="0"/>
    <xf numFmtId="0" fontId="56" fillId="18" borderId="0" applyNumberFormat="0" applyBorder="0" applyAlignment="0" applyProtection="0"/>
    <xf numFmtId="0" fontId="56" fillId="18" borderId="0" applyNumberFormat="0" applyBorder="0" applyAlignment="0" applyProtection="0"/>
    <xf numFmtId="0" fontId="56" fillId="18" borderId="0" applyNumberFormat="0" applyBorder="0" applyAlignment="0" applyProtection="0"/>
    <xf numFmtId="0" fontId="56" fillId="18" borderId="0" applyNumberFormat="0" applyBorder="0" applyAlignment="0" applyProtection="0"/>
    <xf numFmtId="0" fontId="56" fillId="18" borderId="0" applyNumberFormat="0" applyBorder="0" applyAlignment="0" applyProtection="0"/>
    <xf numFmtId="0" fontId="56" fillId="18" borderId="0" applyNumberFormat="0" applyBorder="0" applyAlignment="0" applyProtection="0"/>
    <xf numFmtId="0" fontId="56" fillId="18" borderId="0" applyNumberFormat="0" applyBorder="0" applyAlignment="0" applyProtection="0"/>
    <xf numFmtId="274" fontId="56" fillId="18" borderId="0" applyNumberFormat="0" applyBorder="0" applyAlignment="0" applyProtection="0"/>
    <xf numFmtId="274" fontId="56" fillId="18" borderId="0" applyNumberFormat="0" applyBorder="0" applyAlignment="0" applyProtection="0"/>
    <xf numFmtId="274" fontId="56" fillId="18" borderId="0" applyNumberFormat="0" applyBorder="0" applyAlignment="0" applyProtection="0"/>
    <xf numFmtId="274" fontId="56" fillId="18" borderId="0" applyNumberFormat="0" applyBorder="0" applyAlignment="0" applyProtection="0"/>
    <xf numFmtId="274" fontId="56" fillId="18" borderId="0" applyNumberFormat="0" applyBorder="0" applyAlignment="0" applyProtection="0"/>
    <xf numFmtId="274" fontId="56" fillId="18" borderId="0" applyNumberFormat="0" applyBorder="0" applyAlignment="0" applyProtection="0"/>
    <xf numFmtId="274" fontId="56" fillId="18" borderId="0" applyNumberFormat="0" applyBorder="0" applyAlignment="0" applyProtection="0"/>
    <xf numFmtId="274" fontId="56" fillId="18" borderId="0" applyNumberFormat="0" applyBorder="0" applyAlignment="0" applyProtection="0"/>
    <xf numFmtId="274" fontId="56" fillId="18" borderId="0" applyNumberFormat="0" applyBorder="0" applyAlignment="0" applyProtection="0"/>
    <xf numFmtId="274" fontId="56" fillId="18" borderId="0" applyNumberFormat="0" applyBorder="0" applyAlignment="0" applyProtection="0"/>
    <xf numFmtId="274" fontId="56" fillId="18" borderId="0" applyNumberFormat="0" applyBorder="0" applyAlignment="0" applyProtection="0"/>
    <xf numFmtId="274" fontId="56" fillId="18" borderId="0" applyNumberFormat="0" applyBorder="0" applyAlignment="0" applyProtection="0"/>
    <xf numFmtId="274" fontId="56" fillId="18" borderId="0" applyNumberFormat="0" applyBorder="0" applyAlignment="0" applyProtection="0"/>
    <xf numFmtId="274" fontId="56" fillId="18" borderId="0" applyNumberFormat="0" applyBorder="0" applyAlignment="0" applyProtection="0"/>
    <xf numFmtId="274" fontId="56" fillId="18" borderId="0" applyNumberFormat="0" applyBorder="0" applyAlignment="0" applyProtection="0"/>
    <xf numFmtId="274" fontId="56" fillId="18" borderId="0" applyNumberFormat="0" applyBorder="0" applyAlignment="0" applyProtection="0"/>
    <xf numFmtId="274" fontId="56" fillId="18" borderId="0" applyNumberFormat="0" applyBorder="0" applyAlignment="0" applyProtection="0"/>
    <xf numFmtId="274" fontId="56" fillId="18" borderId="0" applyNumberFormat="0" applyBorder="0" applyAlignment="0" applyProtection="0"/>
    <xf numFmtId="274" fontId="56" fillId="18" borderId="0" applyNumberFormat="0" applyBorder="0" applyAlignment="0" applyProtection="0"/>
    <xf numFmtId="274" fontId="56" fillId="18" borderId="0" applyNumberFormat="0" applyBorder="0" applyAlignment="0" applyProtection="0"/>
    <xf numFmtId="274" fontId="56" fillId="18" borderId="0" applyNumberFormat="0" applyBorder="0" applyAlignment="0" applyProtection="0"/>
    <xf numFmtId="274" fontId="56" fillId="18" borderId="0" applyNumberFormat="0" applyBorder="0" applyAlignment="0" applyProtection="0"/>
    <xf numFmtId="274" fontId="56" fillId="18" borderId="0" applyNumberFormat="0" applyBorder="0" applyAlignment="0" applyProtection="0"/>
    <xf numFmtId="274" fontId="56" fillId="18" borderId="0" applyNumberFormat="0" applyBorder="0" applyAlignment="0" applyProtection="0"/>
    <xf numFmtId="274" fontId="56" fillId="18" borderId="0" applyNumberFormat="0" applyBorder="0" applyAlignment="0" applyProtection="0"/>
    <xf numFmtId="274" fontId="56" fillId="18" borderId="0" applyNumberFormat="0" applyBorder="0" applyAlignment="0" applyProtection="0"/>
    <xf numFmtId="274" fontId="56" fillId="18" borderId="0" applyNumberFormat="0" applyBorder="0" applyAlignment="0" applyProtection="0"/>
    <xf numFmtId="274" fontId="56" fillId="18" borderId="0" applyNumberFormat="0" applyBorder="0" applyAlignment="0" applyProtection="0"/>
    <xf numFmtId="274" fontId="56" fillId="18" borderId="0" applyNumberFormat="0" applyBorder="0" applyAlignment="0" applyProtection="0"/>
    <xf numFmtId="274" fontId="56" fillId="18" borderId="0" applyNumberFormat="0" applyBorder="0" applyAlignment="0" applyProtection="0"/>
    <xf numFmtId="274" fontId="56" fillId="18" borderId="0" applyNumberFormat="0" applyBorder="0" applyAlignment="0" applyProtection="0"/>
    <xf numFmtId="274" fontId="56" fillId="18" borderId="0" applyNumberFormat="0" applyBorder="0" applyAlignment="0" applyProtection="0"/>
    <xf numFmtId="274" fontId="56" fillId="18" borderId="0" applyNumberFormat="0" applyBorder="0" applyAlignment="0" applyProtection="0"/>
    <xf numFmtId="274" fontId="56" fillId="18" borderId="0" applyNumberFormat="0" applyBorder="0" applyAlignment="0" applyProtection="0"/>
    <xf numFmtId="274" fontId="56" fillId="18" borderId="0" applyNumberFormat="0" applyBorder="0" applyAlignment="0" applyProtection="0"/>
    <xf numFmtId="274" fontId="56" fillId="18" borderId="0" applyNumberFormat="0" applyBorder="0" applyAlignment="0" applyProtection="0"/>
    <xf numFmtId="274" fontId="56" fillId="18" borderId="0" applyNumberFormat="0" applyBorder="0" applyAlignment="0" applyProtection="0"/>
    <xf numFmtId="274" fontId="56" fillId="18" borderId="0" applyNumberFormat="0" applyBorder="0" applyAlignment="0" applyProtection="0"/>
    <xf numFmtId="274" fontId="56" fillId="18" borderId="0" applyNumberFormat="0" applyBorder="0" applyAlignment="0" applyProtection="0"/>
    <xf numFmtId="274" fontId="56" fillId="18" borderId="0" applyNumberFormat="0" applyBorder="0" applyAlignment="0" applyProtection="0"/>
    <xf numFmtId="274" fontId="56" fillId="18" borderId="0" applyNumberFormat="0" applyBorder="0" applyAlignment="0" applyProtection="0"/>
    <xf numFmtId="274" fontId="56" fillId="18" borderId="0" applyNumberFormat="0" applyBorder="0" applyAlignment="0" applyProtection="0"/>
    <xf numFmtId="0" fontId="56" fillId="18" borderId="0" applyNumberFormat="0" applyBorder="0" applyAlignment="0" applyProtection="0"/>
    <xf numFmtId="0" fontId="56" fillId="18" borderId="0" applyNumberFormat="0" applyBorder="0" applyAlignment="0" applyProtection="0"/>
    <xf numFmtId="0" fontId="56" fillId="18" borderId="0" applyNumberFormat="0" applyBorder="0" applyAlignment="0" applyProtection="0"/>
    <xf numFmtId="0" fontId="56" fillId="18" borderId="0" applyNumberFormat="0" applyBorder="0" applyAlignment="0" applyProtection="0"/>
    <xf numFmtId="0" fontId="56" fillId="18" borderId="0" applyNumberFormat="0" applyBorder="0" applyAlignment="0" applyProtection="0"/>
    <xf numFmtId="0" fontId="56" fillId="18" borderId="0" applyNumberFormat="0" applyBorder="0" applyAlignment="0" applyProtection="0"/>
    <xf numFmtId="0" fontId="56" fillId="18" borderId="0" applyNumberFormat="0" applyBorder="0" applyAlignment="0" applyProtection="0"/>
    <xf numFmtId="0" fontId="56" fillId="18" borderId="0" applyNumberFormat="0" applyBorder="0" applyAlignment="0" applyProtection="0"/>
    <xf numFmtId="0" fontId="56" fillId="18" borderId="0" applyNumberFormat="0" applyBorder="0" applyAlignment="0" applyProtection="0"/>
    <xf numFmtId="0" fontId="56" fillId="18" borderId="0" applyNumberFormat="0" applyBorder="0" applyAlignment="0" applyProtection="0"/>
    <xf numFmtId="0" fontId="56" fillId="18" borderId="0" applyNumberFormat="0" applyBorder="0" applyAlignment="0" applyProtection="0"/>
    <xf numFmtId="0" fontId="56" fillId="18" borderId="0" applyNumberFormat="0" applyBorder="0" applyAlignment="0" applyProtection="0"/>
    <xf numFmtId="0" fontId="56" fillId="18" borderId="0" applyNumberFormat="0" applyBorder="0" applyAlignment="0" applyProtection="0"/>
    <xf numFmtId="0" fontId="56" fillId="18" borderId="0" applyNumberFormat="0" applyBorder="0" applyAlignment="0" applyProtection="0"/>
    <xf numFmtId="0" fontId="56" fillId="18" borderId="0" applyNumberFormat="0" applyBorder="0" applyAlignment="0" applyProtection="0"/>
    <xf numFmtId="0" fontId="56" fillId="18" borderId="0" applyNumberFormat="0" applyBorder="0" applyAlignment="0" applyProtection="0"/>
    <xf numFmtId="0" fontId="56" fillId="18" borderId="0" applyNumberFormat="0" applyBorder="0" applyAlignment="0" applyProtection="0"/>
    <xf numFmtId="0" fontId="56" fillId="18" borderId="0" applyNumberFormat="0" applyBorder="0" applyAlignment="0" applyProtection="0"/>
    <xf numFmtId="0" fontId="56" fillId="18" borderId="0" applyNumberFormat="0" applyBorder="0" applyAlignment="0" applyProtection="0"/>
    <xf numFmtId="0" fontId="56" fillId="18" borderId="0" applyNumberFormat="0" applyBorder="0" applyAlignment="0" applyProtection="0"/>
    <xf numFmtId="0" fontId="56" fillId="18" borderId="0" applyNumberFormat="0" applyBorder="0" applyAlignment="0" applyProtection="0"/>
    <xf numFmtId="0" fontId="56" fillId="18" borderId="0" applyNumberFormat="0" applyBorder="0" applyAlignment="0" applyProtection="0"/>
    <xf numFmtId="0" fontId="56" fillId="18" borderId="0" applyNumberFormat="0" applyBorder="0" applyAlignment="0" applyProtection="0"/>
    <xf numFmtId="0" fontId="56" fillId="18" borderId="0" applyNumberFormat="0" applyBorder="0" applyAlignment="0" applyProtection="0"/>
    <xf numFmtId="0" fontId="56" fillId="18" borderId="0" applyNumberFormat="0" applyBorder="0" applyAlignment="0" applyProtection="0"/>
    <xf numFmtId="0" fontId="56" fillId="18" borderId="0" applyNumberFormat="0" applyBorder="0" applyAlignment="0" applyProtection="0"/>
    <xf numFmtId="0" fontId="56" fillId="18" borderId="0" applyNumberFormat="0" applyBorder="0" applyAlignment="0" applyProtection="0"/>
    <xf numFmtId="0" fontId="56" fillId="18" borderId="0" applyNumberFormat="0" applyBorder="0" applyAlignment="0" applyProtection="0"/>
    <xf numFmtId="0" fontId="56" fillId="18" borderId="0" applyNumberFormat="0" applyBorder="0" applyAlignment="0" applyProtection="0"/>
    <xf numFmtId="0" fontId="56" fillId="18" borderId="0" applyNumberFormat="0" applyBorder="0" applyAlignment="0" applyProtection="0"/>
    <xf numFmtId="0" fontId="56" fillId="18" borderId="0" applyNumberFormat="0" applyBorder="0" applyAlignment="0" applyProtection="0"/>
    <xf numFmtId="0" fontId="56" fillId="18" borderId="0" applyNumberFormat="0" applyBorder="0" applyAlignment="0" applyProtection="0"/>
    <xf numFmtId="0" fontId="56" fillId="22" borderId="0" applyNumberFormat="0" applyBorder="0" applyAlignment="0" applyProtection="0"/>
    <xf numFmtId="0" fontId="56" fillId="22" borderId="0" applyNumberFormat="0" applyBorder="0" applyAlignment="0" applyProtection="0"/>
    <xf numFmtId="0" fontId="56" fillId="22" borderId="0" applyNumberFormat="0" applyBorder="0" applyAlignment="0" applyProtection="0"/>
    <xf numFmtId="0" fontId="56" fillId="22" borderId="0" applyNumberFormat="0" applyBorder="0" applyAlignment="0" applyProtection="0"/>
    <xf numFmtId="0" fontId="56" fillId="22" borderId="0" applyNumberFormat="0" applyBorder="0" applyAlignment="0" applyProtection="0"/>
    <xf numFmtId="0" fontId="56" fillId="22" borderId="0" applyNumberFormat="0" applyBorder="0" applyAlignment="0" applyProtection="0"/>
    <xf numFmtId="0" fontId="56" fillId="22" borderId="0" applyNumberFormat="0" applyBorder="0" applyAlignment="0" applyProtection="0"/>
    <xf numFmtId="0" fontId="56" fillId="22" borderId="0" applyNumberFormat="0" applyBorder="0" applyAlignment="0" applyProtection="0"/>
    <xf numFmtId="0" fontId="56" fillId="22" borderId="0" applyNumberFormat="0" applyBorder="0" applyAlignment="0" applyProtection="0"/>
    <xf numFmtId="0" fontId="56" fillId="22" borderId="0" applyNumberFormat="0" applyBorder="0" applyAlignment="0" applyProtection="0"/>
    <xf numFmtId="274" fontId="56" fillId="22" borderId="0" applyNumberFormat="0" applyBorder="0" applyAlignment="0" applyProtection="0"/>
    <xf numFmtId="274" fontId="56" fillId="22" borderId="0" applyNumberFormat="0" applyBorder="0" applyAlignment="0" applyProtection="0"/>
    <xf numFmtId="274" fontId="56" fillId="22" borderId="0" applyNumberFormat="0" applyBorder="0" applyAlignment="0" applyProtection="0"/>
    <xf numFmtId="274" fontId="56" fillId="22" borderId="0" applyNumberFormat="0" applyBorder="0" applyAlignment="0" applyProtection="0"/>
    <xf numFmtId="274" fontId="56" fillId="22" borderId="0" applyNumberFormat="0" applyBorder="0" applyAlignment="0" applyProtection="0"/>
    <xf numFmtId="274" fontId="56" fillId="22" borderId="0" applyNumberFormat="0" applyBorder="0" applyAlignment="0" applyProtection="0"/>
    <xf numFmtId="274" fontId="56" fillId="22" borderId="0" applyNumberFormat="0" applyBorder="0" applyAlignment="0" applyProtection="0"/>
    <xf numFmtId="274" fontId="56" fillId="22" borderId="0" applyNumberFormat="0" applyBorder="0" applyAlignment="0" applyProtection="0"/>
    <xf numFmtId="274" fontId="56" fillId="22" borderId="0" applyNumberFormat="0" applyBorder="0" applyAlignment="0" applyProtection="0"/>
    <xf numFmtId="274" fontId="56" fillId="22" borderId="0" applyNumberFormat="0" applyBorder="0" applyAlignment="0" applyProtection="0"/>
    <xf numFmtId="274" fontId="56" fillId="22" borderId="0" applyNumberFormat="0" applyBorder="0" applyAlignment="0" applyProtection="0"/>
    <xf numFmtId="274" fontId="56" fillId="22" borderId="0" applyNumberFormat="0" applyBorder="0" applyAlignment="0" applyProtection="0"/>
    <xf numFmtId="274" fontId="56" fillId="22" borderId="0" applyNumberFormat="0" applyBorder="0" applyAlignment="0" applyProtection="0"/>
    <xf numFmtId="274" fontId="56" fillId="22" borderId="0" applyNumberFormat="0" applyBorder="0" applyAlignment="0" applyProtection="0"/>
    <xf numFmtId="274" fontId="56" fillId="22" borderId="0" applyNumberFormat="0" applyBorder="0" applyAlignment="0" applyProtection="0"/>
    <xf numFmtId="274" fontId="56" fillId="22" borderId="0" applyNumberFormat="0" applyBorder="0" applyAlignment="0" applyProtection="0"/>
    <xf numFmtId="274" fontId="56" fillId="22" borderId="0" applyNumberFormat="0" applyBorder="0" applyAlignment="0" applyProtection="0"/>
    <xf numFmtId="274" fontId="56" fillId="22" borderId="0" applyNumberFormat="0" applyBorder="0" applyAlignment="0" applyProtection="0"/>
    <xf numFmtId="274" fontId="56" fillId="22" borderId="0" applyNumberFormat="0" applyBorder="0" applyAlignment="0" applyProtection="0"/>
    <xf numFmtId="274" fontId="56" fillId="22" borderId="0" applyNumberFormat="0" applyBorder="0" applyAlignment="0" applyProtection="0"/>
    <xf numFmtId="274" fontId="56" fillId="22" borderId="0" applyNumberFormat="0" applyBorder="0" applyAlignment="0" applyProtection="0"/>
    <xf numFmtId="274" fontId="56" fillId="22" borderId="0" applyNumberFormat="0" applyBorder="0" applyAlignment="0" applyProtection="0"/>
    <xf numFmtId="274" fontId="56" fillId="22" borderId="0" applyNumberFormat="0" applyBorder="0" applyAlignment="0" applyProtection="0"/>
    <xf numFmtId="274" fontId="56" fillId="22" borderId="0" applyNumberFormat="0" applyBorder="0" applyAlignment="0" applyProtection="0"/>
    <xf numFmtId="274" fontId="56" fillId="22" borderId="0" applyNumberFormat="0" applyBorder="0" applyAlignment="0" applyProtection="0"/>
    <xf numFmtId="274" fontId="56" fillId="22" borderId="0" applyNumberFormat="0" applyBorder="0" applyAlignment="0" applyProtection="0"/>
    <xf numFmtId="274" fontId="56" fillId="22" borderId="0" applyNumberFormat="0" applyBorder="0" applyAlignment="0" applyProtection="0"/>
    <xf numFmtId="274" fontId="56" fillId="22" borderId="0" applyNumberFormat="0" applyBorder="0" applyAlignment="0" applyProtection="0"/>
    <xf numFmtId="274" fontId="56" fillId="22" borderId="0" applyNumberFormat="0" applyBorder="0" applyAlignment="0" applyProtection="0"/>
    <xf numFmtId="274" fontId="56" fillId="22" borderId="0" applyNumberFormat="0" applyBorder="0" applyAlignment="0" applyProtection="0"/>
    <xf numFmtId="274" fontId="56" fillId="22" borderId="0" applyNumberFormat="0" applyBorder="0" applyAlignment="0" applyProtection="0"/>
    <xf numFmtId="274" fontId="56" fillId="22" borderId="0" applyNumberFormat="0" applyBorder="0" applyAlignment="0" applyProtection="0"/>
    <xf numFmtId="274" fontId="56" fillId="22" borderId="0" applyNumberFormat="0" applyBorder="0" applyAlignment="0" applyProtection="0"/>
    <xf numFmtId="274" fontId="56" fillId="22" borderId="0" applyNumberFormat="0" applyBorder="0" applyAlignment="0" applyProtection="0"/>
    <xf numFmtId="274" fontId="56" fillId="22" borderId="0" applyNumberFormat="0" applyBorder="0" applyAlignment="0" applyProtection="0"/>
    <xf numFmtId="274" fontId="56" fillId="22" borderId="0" applyNumberFormat="0" applyBorder="0" applyAlignment="0" applyProtection="0"/>
    <xf numFmtId="274" fontId="56" fillId="22" borderId="0" applyNumberFormat="0" applyBorder="0" applyAlignment="0" applyProtection="0"/>
    <xf numFmtId="274" fontId="56" fillId="22" borderId="0" applyNumberFormat="0" applyBorder="0" applyAlignment="0" applyProtection="0"/>
    <xf numFmtId="274" fontId="56" fillId="22" borderId="0" applyNumberFormat="0" applyBorder="0" applyAlignment="0" applyProtection="0"/>
    <xf numFmtId="274" fontId="56" fillId="22" borderId="0" applyNumberFormat="0" applyBorder="0" applyAlignment="0" applyProtection="0"/>
    <xf numFmtId="274" fontId="56" fillId="22" borderId="0" applyNumberFormat="0" applyBorder="0" applyAlignment="0" applyProtection="0"/>
    <xf numFmtId="274" fontId="56" fillId="22" borderId="0" applyNumberFormat="0" applyBorder="0" applyAlignment="0" applyProtection="0"/>
    <xf numFmtId="0" fontId="56" fillId="22" borderId="0" applyNumberFormat="0" applyBorder="0" applyAlignment="0" applyProtection="0"/>
    <xf numFmtId="0" fontId="56" fillId="22" borderId="0" applyNumberFormat="0" applyBorder="0" applyAlignment="0" applyProtection="0"/>
    <xf numFmtId="0" fontId="56" fillId="22" borderId="0" applyNumberFormat="0" applyBorder="0" applyAlignment="0" applyProtection="0"/>
    <xf numFmtId="0" fontId="56" fillId="22" borderId="0" applyNumberFormat="0" applyBorder="0" applyAlignment="0" applyProtection="0"/>
    <xf numFmtId="0" fontId="56" fillId="22" borderId="0" applyNumberFormat="0" applyBorder="0" applyAlignment="0" applyProtection="0"/>
    <xf numFmtId="0" fontId="56" fillId="22" borderId="0" applyNumberFormat="0" applyBorder="0" applyAlignment="0" applyProtection="0"/>
    <xf numFmtId="0" fontId="56" fillId="22" borderId="0" applyNumberFormat="0" applyBorder="0" applyAlignment="0" applyProtection="0"/>
    <xf numFmtId="0" fontId="56" fillId="22" borderId="0" applyNumberFormat="0" applyBorder="0" applyAlignment="0" applyProtection="0"/>
    <xf numFmtId="0" fontId="56" fillId="22" borderId="0" applyNumberFormat="0" applyBorder="0" applyAlignment="0" applyProtection="0"/>
    <xf numFmtId="0" fontId="56" fillId="22" borderId="0" applyNumberFormat="0" applyBorder="0" applyAlignment="0" applyProtection="0"/>
    <xf numFmtId="0" fontId="56" fillId="22" borderId="0" applyNumberFormat="0" applyBorder="0" applyAlignment="0" applyProtection="0"/>
    <xf numFmtId="0" fontId="56" fillId="22" borderId="0" applyNumberFormat="0" applyBorder="0" applyAlignment="0" applyProtection="0"/>
    <xf numFmtId="0" fontId="56" fillId="22" borderId="0" applyNumberFormat="0" applyBorder="0" applyAlignment="0" applyProtection="0"/>
    <xf numFmtId="0" fontId="56" fillId="22" borderId="0" applyNumberFormat="0" applyBorder="0" applyAlignment="0" applyProtection="0"/>
    <xf numFmtId="0" fontId="56" fillId="22" borderId="0" applyNumberFormat="0" applyBorder="0" applyAlignment="0" applyProtection="0"/>
    <xf numFmtId="0" fontId="56" fillId="22" borderId="0" applyNumberFormat="0" applyBorder="0" applyAlignment="0" applyProtection="0"/>
    <xf numFmtId="0" fontId="56" fillId="22" borderId="0" applyNumberFormat="0" applyBorder="0" applyAlignment="0" applyProtection="0"/>
    <xf numFmtId="0" fontId="56" fillId="22" borderId="0" applyNumberFormat="0" applyBorder="0" applyAlignment="0" applyProtection="0"/>
    <xf numFmtId="0" fontId="56" fillId="22" borderId="0" applyNumberFormat="0" applyBorder="0" applyAlignment="0" applyProtection="0"/>
    <xf numFmtId="0" fontId="56" fillId="22" borderId="0" applyNumberFormat="0" applyBorder="0" applyAlignment="0" applyProtection="0"/>
    <xf numFmtId="0" fontId="56" fillId="22" borderId="0" applyNumberFormat="0" applyBorder="0" applyAlignment="0" applyProtection="0"/>
    <xf numFmtId="0" fontId="56" fillId="22" borderId="0" applyNumberFormat="0" applyBorder="0" applyAlignment="0" applyProtection="0"/>
    <xf numFmtId="0" fontId="56" fillId="22" borderId="0" applyNumberFormat="0" applyBorder="0" applyAlignment="0" applyProtection="0"/>
    <xf numFmtId="0" fontId="56" fillId="22" borderId="0" applyNumberFormat="0" applyBorder="0" applyAlignment="0" applyProtection="0"/>
    <xf numFmtId="0" fontId="56" fillId="22" borderId="0" applyNumberFormat="0" applyBorder="0" applyAlignment="0" applyProtection="0"/>
    <xf numFmtId="0" fontId="56" fillId="22" borderId="0" applyNumberFormat="0" applyBorder="0" applyAlignment="0" applyProtection="0"/>
    <xf numFmtId="0" fontId="56" fillId="22" borderId="0" applyNumberFormat="0" applyBorder="0" applyAlignment="0" applyProtection="0"/>
    <xf numFmtId="0" fontId="56" fillId="22" borderId="0" applyNumberFormat="0" applyBorder="0" applyAlignment="0" applyProtection="0"/>
    <xf numFmtId="0" fontId="56" fillId="22" borderId="0" applyNumberFormat="0" applyBorder="0" applyAlignment="0" applyProtection="0"/>
    <xf numFmtId="0" fontId="56" fillId="22" borderId="0" applyNumberFormat="0" applyBorder="0" applyAlignment="0" applyProtection="0"/>
    <xf numFmtId="0" fontId="56" fillId="22" borderId="0" applyNumberFormat="0" applyBorder="0" applyAlignment="0" applyProtection="0"/>
    <xf numFmtId="0" fontId="56" fillId="22" borderId="0" applyNumberFormat="0" applyBorder="0" applyAlignment="0" applyProtection="0"/>
    <xf numFmtId="0" fontId="56" fillId="26" borderId="0" applyNumberFormat="0" applyBorder="0" applyAlignment="0" applyProtection="0"/>
    <xf numFmtId="0" fontId="56" fillId="26" borderId="0" applyNumberFormat="0" applyBorder="0" applyAlignment="0" applyProtection="0"/>
    <xf numFmtId="0" fontId="56" fillId="26" borderId="0" applyNumberFormat="0" applyBorder="0" applyAlignment="0" applyProtection="0"/>
    <xf numFmtId="0" fontId="56" fillId="26" borderId="0" applyNumberFormat="0" applyBorder="0" applyAlignment="0" applyProtection="0"/>
    <xf numFmtId="0" fontId="56" fillId="26" borderId="0" applyNumberFormat="0" applyBorder="0" applyAlignment="0" applyProtection="0"/>
    <xf numFmtId="0" fontId="56" fillId="26" borderId="0" applyNumberFormat="0" applyBorder="0" applyAlignment="0" applyProtection="0"/>
    <xf numFmtId="0" fontId="56" fillId="26" borderId="0" applyNumberFormat="0" applyBorder="0" applyAlignment="0" applyProtection="0"/>
    <xf numFmtId="0" fontId="56" fillId="26" borderId="0" applyNumberFormat="0" applyBorder="0" applyAlignment="0" applyProtection="0"/>
    <xf numFmtId="0" fontId="56" fillId="26" borderId="0" applyNumberFormat="0" applyBorder="0" applyAlignment="0" applyProtection="0"/>
    <xf numFmtId="0" fontId="56" fillId="26" borderId="0" applyNumberFormat="0" applyBorder="0" applyAlignment="0" applyProtection="0"/>
    <xf numFmtId="274" fontId="56" fillId="26" borderId="0" applyNumberFormat="0" applyBorder="0" applyAlignment="0" applyProtection="0"/>
    <xf numFmtId="274" fontId="56" fillId="26" borderId="0" applyNumberFormat="0" applyBorder="0" applyAlignment="0" applyProtection="0"/>
    <xf numFmtId="274" fontId="56" fillId="26" borderId="0" applyNumberFormat="0" applyBorder="0" applyAlignment="0" applyProtection="0"/>
    <xf numFmtId="274" fontId="56" fillId="26" borderId="0" applyNumberFormat="0" applyBorder="0" applyAlignment="0" applyProtection="0"/>
    <xf numFmtId="274" fontId="56" fillId="26" borderId="0" applyNumberFormat="0" applyBorder="0" applyAlignment="0" applyProtection="0"/>
    <xf numFmtId="274" fontId="56" fillId="26" borderId="0" applyNumberFormat="0" applyBorder="0" applyAlignment="0" applyProtection="0"/>
    <xf numFmtId="274" fontId="56" fillId="26" borderId="0" applyNumberFormat="0" applyBorder="0" applyAlignment="0" applyProtection="0"/>
    <xf numFmtId="274" fontId="56" fillId="26" borderId="0" applyNumberFormat="0" applyBorder="0" applyAlignment="0" applyProtection="0"/>
    <xf numFmtId="274" fontId="56" fillId="26" borderId="0" applyNumberFormat="0" applyBorder="0" applyAlignment="0" applyProtection="0"/>
    <xf numFmtId="274" fontId="56" fillId="26" borderId="0" applyNumberFormat="0" applyBorder="0" applyAlignment="0" applyProtection="0"/>
    <xf numFmtId="274" fontId="56" fillId="26" borderId="0" applyNumberFormat="0" applyBorder="0" applyAlignment="0" applyProtection="0"/>
    <xf numFmtId="274" fontId="56" fillId="26" borderId="0" applyNumberFormat="0" applyBorder="0" applyAlignment="0" applyProtection="0"/>
    <xf numFmtId="274" fontId="56" fillId="26" borderId="0" applyNumberFormat="0" applyBorder="0" applyAlignment="0" applyProtection="0"/>
    <xf numFmtId="274" fontId="56" fillId="26" borderId="0" applyNumberFormat="0" applyBorder="0" applyAlignment="0" applyProtection="0"/>
    <xf numFmtId="274" fontId="56" fillId="26" borderId="0" applyNumberFormat="0" applyBorder="0" applyAlignment="0" applyProtection="0"/>
    <xf numFmtId="274" fontId="56" fillId="26" borderId="0" applyNumberFormat="0" applyBorder="0" applyAlignment="0" applyProtection="0"/>
    <xf numFmtId="274" fontId="56" fillId="26" borderId="0" applyNumberFormat="0" applyBorder="0" applyAlignment="0" applyProtection="0"/>
    <xf numFmtId="274" fontId="56" fillId="26" borderId="0" applyNumberFormat="0" applyBorder="0" applyAlignment="0" applyProtection="0"/>
    <xf numFmtId="274" fontId="56" fillId="26" borderId="0" applyNumberFormat="0" applyBorder="0" applyAlignment="0" applyProtection="0"/>
    <xf numFmtId="274" fontId="56" fillId="26" borderId="0" applyNumberFormat="0" applyBorder="0" applyAlignment="0" applyProtection="0"/>
    <xf numFmtId="274" fontId="56" fillId="26" borderId="0" applyNumberFormat="0" applyBorder="0" applyAlignment="0" applyProtection="0"/>
    <xf numFmtId="274" fontId="56" fillId="26" borderId="0" applyNumberFormat="0" applyBorder="0" applyAlignment="0" applyProtection="0"/>
    <xf numFmtId="274" fontId="56" fillId="26" borderId="0" applyNumberFormat="0" applyBorder="0" applyAlignment="0" applyProtection="0"/>
    <xf numFmtId="274" fontId="56" fillId="26" borderId="0" applyNumberFormat="0" applyBorder="0" applyAlignment="0" applyProtection="0"/>
    <xf numFmtId="274" fontId="56" fillId="26" borderId="0" applyNumberFormat="0" applyBorder="0" applyAlignment="0" applyProtection="0"/>
    <xf numFmtId="274" fontId="56" fillId="26" borderId="0" applyNumberFormat="0" applyBorder="0" applyAlignment="0" applyProtection="0"/>
    <xf numFmtId="274" fontId="56" fillId="26" borderId="0" applyNumberFormat="0" applyBorder="0" applyAlignment="0" applyProtection="0"/>
    <xf numFmtId="274" fontId="56" fillId="26" borderId="0" applyNumberFormat="0" applyBorder="0" applyAlignment="0" applyProtection="0"/>
    <xf numFmtId="274" fontId="56" fillId="26" borderId="0" applyNumberFormat="0" applyBorder="0" applyAlignment="0" applyProtection="0"/>
    <xf numFmtId="274" fontId="56" fillId="26" borderId="0" applyNumberFormat="0" applyBorder="0" applyAlignment="0" applyProtection="0"/>
    <xf numFmtId="274" fontId="56" fillId="26" borderId="0" applyNumberFormat="0" applyBorder="0" applyAlignment="0" applyProtection="0"/>
    <xf numFmtId="274" fontId="56" fillId="26" borderId="0" applyNumberFormat="0" applyBorder="0" applyAlignment="0" applyProtection="0"/>
    <xf numFmtId="274" fontId="56" fillId="26" borderId="0" applyNumberFormat="0" applyBorder="0" applyAlignment="0" applyProtection="0"/>
    <xf numFmtId="274" fontId="56" fillId="26" borderId="0" applyNumberFormat="0" applyBorder="0" applyAlignment="0" applyProtection="0"/>
    <xf numFmtId="274" fontId="56" fillId="26" borderId="0" applyNumberFormat="0" applyBorder="0" applyAlignment="0" applyProtection="0"/>
    <xf numFmtId="274" fontId="56" fillId="26" borderId="0" applyNumberFormat="0" applyBorder="0" applyAlignment="0" applyProtection="0"/>
    <xf numFmtId="274" fontId="56" fillId="26" borderId="0" applyNumberFormat="0" applyBorder="0" applyAlignment="0" applyProtection="0"/>
    <xf numFmtId="274" fontId="56" fillId="26" borderId="0" applyNumberFormat="0" applyBorder="0" applyAlignment="0" applyProtection="0"/>
    <xf numFmtId="274" fontId="56" fillId="26" borderId="0" applyNumberFormat="0" applyBorder="0" applyAlignment="0" applyProtection="0"/>
    <xf numFmtId="274" fontId="56" fillId="26" borderId="0" applyNumberFormat="0" applyBorder="0" applyAlignment="0" applyProtection="0"/>
    <xf numFmtId="274" fontId="56" fillId="26" borderId="0" applyNumberFormat="0" applyBorder="0" applyAlignment="0" applyProtection="0"/>
    <xf numFmtId="274" fontId="56" fillId="26" borderId="0" applyNumberFormat="0" applyBorder="0" applyAlignment="0" applyProtection="0"/>
    <xf numFmtId="0" fontId="56" fillId="26" borderId="0" applyNumberFormat="0" applyBorder="0" applyAlignment="0" applyProtection="0"/>
    <xf numFmtId="0" fontId="56" fillId="26" borderId="0" applyNumberFormat="0" applyBorder="0" applyAlignment="0" applyProtection="0"/>
    <xf numFmtId="0" fontId="56" fillId="26" borderId="0" applyNumberFormat="0" applyBorder="0" applyAlignment="0" applyProtection="0"/>
    <xf numFmtId="0" fontId="56" fillId="26" borderId="0" applyNumberFormat="0" applyBorder="0" applyAlignment="0" applyProtection="0"/>
    <xf numFmtId="0" fontId="56" fillId="26" borderId="0" applyNumberFormat="0" applyBorder="0" applyAlignment="0" applyProtection="0"/>
    <xf numFmtId="0" fontId="56" fillId="26" borderId="0" applyNumberFormat="0" applyBorder="0" applyAlignment="0" applyProtection="0"/>
    <xf numFmtId="0" fontId="56" fillId="26" borderId="0" applyNumberFormat="0" applyBorder="0" applyAlignment="0" applyProtection="0"/>
    <xf numFmtId="0" fontId="56" fillId="26" borderId="0" applyNumberFormat="0" applyBorder="0" applyAlignment="0" applyProtection="0"/>
    <xf numFmtId="0" fontId="56" fillId="26" borderId="0" applyNumberFormat="0" applyBorder="0" applyAlignment="0" applyProtection="0"/>
    <xf numFmtId="0" fontId="56" fillId="26" borderId="0" applyNumberFormat="0" applyBorder="0" applyAlignment="0" applyProtection="0"/>
    <xf numFmtId="0" fontId="56" fillId="26" borderId="0" applyNumberFormat="0" applyBorder="0" applyAlignment="0" applyProtection="0"/>
    <xf numFmtId="0" fontId="56" fillId="26" borderId="0" applyNumberFormat="0" applyBorder="0" applyAlignment="0" applyProtection="0"/>
    <xf numFmtId="0" fontId="56" fillId="26" borderId="0" applyNumberFormat="0" applyBorder="0" applyAlignment="0" applyProtection="0"/>
    <xf numFmtId="0" fontId="56" fillId="26" borderId="0" applyNumberFormat="0" applyBorder="0" applyAlignment="0" applyProtection="0"/>
    <xf numFmtId="0" fontId="56" fillId="26" borderId="0" applyNumberFormat="0" applyBorder="0" applyAlignment="0" applyProtection="0"/>
    <xf numFmtId="0" fontId="56" fillId="26" borderId="0" applyNumberFormat="0" applyBorder="0" applyAlignment="0" applyProtection="0"/>
    <xf numFmtId="0" fontId="56" fillId="26" borderId="0" applyNumberFormat="0" applyBorder="0" applyAlignment="0" applyProtection="0"/>
    <xf numFmtId="0" fontId="56" fillId="26" borderId="0" applyNumberFormat="0" applyBorder="0" applyAlignment="0" applyProtection="0"/>
    <xf numFmtId="0" fontId="56" fillId="26" borderId="0" applyNumberFormat="0" applyBorder="0" applyAlignment="0" applyProtection="0"/>
    <xf numFmtId="0" fontId="56" fillId="26" borderId="0" applyNumberFormat="0" applyBorder="0" applyAlignment="0" applyProtection="0"/>
    <xf numFmtId="0" fontId="56" fillId="26" borderId="0" applyNumberFormat="0" applyBorder="0" applyAlignment="0" applyProtection="0"/>
    <xf numFmtId="0" fontId="56" fillId="26" borderId="0" applyNumberFormat="0" applyBorder="0" applyAlignment="0" applyProtection="0"/>
    <xf numFmtId="0" fontId="56" fillId="26" borderId="0" applyNumberFormat="0" applyBorder="0" applyAlignment="0" applyProtection="0"/>
    <xf numFmtId="0" fontId="56" fillId="26" borderId="0" applyNumberFormat="0" applyBorder="0" applyAlignment="0" applyProtection="0"/>
    <xf numFmtId="0" fontId="56" fillId="26" borderId="0" applyNumberFormat="0" applyBorder="0" applyAlignment="0" applyProtection="0"/>
    <xf numFmtId="0" fontId="56" fillId="26" borderId="0" applyNumberFormat="0" applyBorder="0" applyAlignment="0" applyProtection="0"/>
    <xf numFmtId="0" fontId="56" fillId="26" borderId="0" applyNumberFormat="0" applyBorder="0" applyAlignment="0" applyProtection="0"/>
    <xf numFmtId="0" fontId="56" fillId="26" borderId="0" applyNumberFormat="0" applyBorder="0" applyAlignment="0" applyProtection="0"/>
    <xf numFmtId="0" fontId="56" fillId="26" borderId="0" applyNumberFormat="0" applyBorder="0" applyAlignment="0" applyProtection="0"/>
    <xf numFmtId="0" fontId="56" fillId="26" borderId="0" applyNumberFormat="0" applyBorder="0" applyAlignment="0" applyProtection="0"/>
    <xf numFmtId="0" fontId="56" fillId="26" borderId="0" applyNumberFormat="0" applyBorder="0" applyAlignment="0" applyProtection="0"/>
    <xf numFmtId="0" fontId="56" fillId="26" borderId="0" applyNumberFormat="0" applyBorder="0" applyAlignment="0" applyProtection="0"/>
    <xf numFmtId="0" fontId="56" fillId="30" borderId="0" applyNumberFormat="0" applyBorder="0" applyAlignment="0" applyProtection="0"/>
    <xf numFmtId="0" fontId="56" fillId="30" borderId="0" applyNumberFormat="0" applyBorder="0" applyAlignment="0" applyProtection="0"/>
    <xf numFmtId="0" fontId="56" fillId="30" borderId="0" applyNumberFormat="0" applyBorder="0" applyAlignment="0" applyProtection="0"/>
    <xf numFmtId="0" fontId="56" fillId="30" borderId="0" applyNumberFormat="0" applyBorder="0" applyAlignment="0" applyProtection="0"/>
    <xf numFmtId="0" fontId="56" fillId="30" borderId="0" applyNumberFormat="0" applyBorder="0" applyAlignment="0" applyProtection="0"/>
    <xf numFmtId="0" fontId="56" fillId="30" borderId="0" applyNumberFormat="0" applyBorder="0" applyAlignment="0" applyProtection="0"/>
    <xf numFmtId="0" fontId="56" fillId="30" borderId="0" applyNumberFormat="0" applyBorder="0" applyAlignment="0" applyProtection="0"/>
    <xf numFmtId="0" fontId="56" fillId="30" borderId="0" applyNumberFormat="0" applyBorder="0" applyAlignment="0" applyProtection="0"/>
    <xf numFmtId="0" fontId="56" fillId="30" borderId="0" applyNumberFormat="0" applyBorder="0" applyAlignment="0" applyProtection="0"/>
    <xf numFmtId="0" fontId="56" fillId="30" borderId="0" applyNumberFormat="0" applyBorder="0" applyAlignment="0" applyProtection="0"/>
    <xf numFmtId="274" fontId="56" fillId="30" borderId="0" applyNumberFormat="0" applyBorder="0" applyAlignment="0" applyProtection="0"/>
    <xf numFmtId="274" fontId="56" fillId="30" borderId="0" applyNumberFormat="0" applyBorder="0" applyAlignment="0" applyProtection="0"/>
    <xf numFmtId="274" fontId="56" fillId="30" borderId="0" applyNumberFormat="0" applyBorder="0" applyAlignment="0" applyProtection="0"/>
    <xf numFmtId="274" fontId="56" fillId="30" borderId="0" applyNumberFormat="0" applyBorder="0" applyAlignment="0" applyProtection="0"/>
    <xf numFmtId="274" fontId="56" fillId="30" borderId="0" applyNumberFormat="0" applyBorder="0" applyAlignment="0" applyProtection="0"/>
    <xf numFmtId="274" fontId="56" fillId="30" borderId="0" applyNumberFormat="0" applyBorder="0" applyAlignment="0" applyProtection="0"/>
    <xf numFmtId="274" fontId="56" fillId="30" borderId="0" applyNumberFormat="0" applyBorder="0" applyAlignment="0" applyProtection="0"/>
    <xf numFmtId="274" fontId="56" fillId="30" borderId="0" applyNumberFormat="0" applyBorder="0" applyAlignment="0" applyProtection="0"/>
    <xf numFmtId="274" fontId="56" fillId="30" borderId="0" applyNumberFormat="0" applyBorder="0" applyAlignment="0" applyProtection="0"/>
    <xf numFmtId="274" fontId="56" fillId="30" borderId="0" applyNumberFormat="0" applyBorder="0" applyAlignment="0" applyProtection="0"/>
    <xf numFmtId="274" fontId="56" fillId="30" borderId="0" applyNumberFormat="0" applyBorder="0" applyAlignment="0" applyProtection="0"/>
    <xf numFmtId="274" fontId="56" fillId="30" borderId="0" applyNumberFormat="0" applyBorder="0" applyAlignment="0" applyProtection="0"/>
    <xf numFmtId="274" fontId="56" fillId="30" borderId="0" applyNumberFormat="0" applyBorder="0" applyAlignment="0" applyProtection="0"/>
    <xf numFmtId="274" fontId="56" fillId="30" borderId="0" applyNumberFormat="0" applyBorder="0" applyAlignment="0" applyProtection="0"/>
    <xf numFmtId="274" fontId="56" fillId="30" borderId="0" applyNumberFormat="0" applyBorder="0" applyAlignment="0" applyProtection="0"/>
    <xf numFmtId="274" fontId="56" fillId="30" borderId="0" applyNumberFormat="0" applyBorder="0" applyAlignment="0" applyProtection="0"/>
    <xf numFmtId="274" fontId="56" fillId="30" borderId="0" applyNumberFormat="0" applyBorder="0" applyAlignment="0" applyProtection="0"/>
    <xf numFmtId="274" fontId="56" fillId="30" borderId="0" applyNumberFormat="0" applyBorder="0" applyAlignment="0" applyProtection="0"/>
    <xf numFmtId="274" fontId="56" fillId="30" borderId="0" applyNumberFormat="0" applyBorder="0" applyAlignment="0" applyProtection="0"/>
    <xf numFmtId="274" fontId="56" fillId="30" borderId="0" applyNumberFormat="0" applyBorder="0" applyAlignment="0" applyProtection="0"/>
    <xf numFmtId="274" fontId="56" fillId="30" borderId="0" applyNumberFormat="0" applyBorder="0" applyAlignment="0" applyProtection="0"/>
    <xf numFmtId="274" fontId="56" fillId="30" borderId="0" applyNumberFormat="0" applyBorder="0" applyAlignment="0" applyProtection="0"/>
    <xf numFmtId="274" fontId="56" fillId="30" borderId="0" applyNumberFormat="0" applyBorder="0" applyAlignment="0" applyProtection="0"/>
    <xf numFmtId="274" fontId="56" fillId="30" borderId="0" applyNumberFormat="0" applyBorder="0" applyAlignment="0" applyProtection="0"/>
    <xf numFmtId="274" fontId="56" fillId="30" borderId="0" applyNumberFormat="0" applyBorder="0" applyAlignment="0" applyProtection="0"/>
    <xf numFmtId="274" fontId="56" fillId="30" borderId="0" applyNumberFormat="0" applyBorder="0" applyAlignment="0" applyProtection="0"/>
    <xf numFmtId="274" fontId="56" fillId="30" borderId="0" applyNumberFormat="0" applyBorder="0" applyAlignment="0" applyProtection="0"/>
    <xf numFmtId="274" fontId="56" fillId="30" borderId="0" applyNumberFormat="0" applyBorder="0" applyAlignment="0" applyProtection="0"/>
    <xf numFmtId="274" fontId="56" fillId="30" borderId="0" applyNumberFormat="0" applyBorder="0" applyAlignment="0" applyProtection="0"/>
    <xf numFmtId="274" fontId="56" fillId="30" borderId="0" applyNumberFormat="0" applyBorder="0" applyAlignment="0" applyProtection="0"/>
    <xf numFmtId="274" fontId="56" fillId="30" borderId="0" applyNumberFormat="0" applyBorder="0" applyAlignment="0" applyProtection="0"/>
    <xf numFmtId="274" fontId="56" fillId="30" borderId="0" applyNumberFormat="0" applyBorder="0" applyAlignment="0" applyProtection="0"/>
    <xf numFmtId="274" fontId="56" fillId="30" borderId="0" applyNumberFormat="0" applyBorder="0" applyAlignment="0" applyProtection="0"/>
    <xf numFmtId="274" fontId="56" fillId="30" borderId="0" applyNumberFormat="0" applyBorder="0" applyAlignment="0" applyProtection="0"/>
    <xf numFmtId="274" fontId="56" fillId="30" borderId="0" applyNumberFormat="0" applyBorder="0" applyAlignment="0" applyProtection="0"/>
    <xf numFmtId="274" fontId="56" fillId="30" borderId="0" applyNumberFormat="0" applyBorder="0" applyAlignment="0" applyProtection="0"/>
    <xf numFmtId="274" fontId="56" fillId="30" borderId="0" applyNumberFormat="0" applyBorder="0" applyAlignment="0" applyProtection="0"/>
    <xf numFmtId="274" fontId="56" fillId="30" borderId="0" applyNumberFormat="0" applyBorder="0" applyAlignment="0" applyProtection="0"/>
    <xf numFmtId="274" fontId="56" fillId="30" borderId="0" applyNumberFormat="0" applyBorder="0" applyAlignment="0" applyProtection="0"/>
    <xf numFmtId="274" fontId="56" fillId="30" borderId="0" applyNumberFormat="0" applyBorder="0" applyAlignment="0" applyProtection="0"/>
    <xf numFmtId="274" fontId="56" fillId="30" borderId="0" applyNumberFormat="0" applyBorder="0" applyAlignment="0" applyProtection="0"/>
    <xf numFmtId="274" fontId="56" fillId="30" borderId="0" applyNumberFormat="0" applyBorder="0" applyAlignment="0" applyProtection="0"/>
    <xf numFmtId="0" fontId="56" fillId="30" borderId="0" applyNumberFormat="0" applyBorder="0" applyAlignment="0" applyProtection="0"/>
    <xf numFmtId="0" fontId="56" fillId="30" borderId="0" applyNumberFormat="0" applyBorder="0" applyAlignment="0" applyProtection="0"/>
    <xf numFmtId="0" fontId="56" fillId="30" borderId="0" applyNumberFormat="0" applyBorder="0" applyAlignment="0" applyProtection="0"/>
    <xf numFmtId="0" fontId="56" fillId="30" borderId="0" applyNumberFormat="0" applyBorder="0" applyAlignment="0" applyProtection="0"/>
    <xf numFmtId="0" fontId="56" fillId="30" borderId="0" applyNumberFormat="0" applyBorder="0" applyAlignment="0" applyProtection="0"/>
    <xf numFmtId="0" fontId="56" fillId="30" borderId="0" applyNumberFormat="0" applyBorder="0" applyAlignment="0" applyProtection="0"/>
    <xf numFmtId="0" fontId="56" fillId="30" borderId="0" applyNumberFormat="0" applyBorder="0" applyAlignment="0" applyProtection="0"/>
    <xf numFmtId="0" fontId="56" fillId="30" borderId="0" applyNumberFormat="0" applyBorder="0" applyAlignment="0" applyProtection="0"/>
    <xf numFmtId="0" fontId="56" fillId="30" borderId="0" applyNumberFormat="0" applyBorder="0" applyAlignment="0" applyProtection="0"/>
    <xf numFmtId="0" fontId="56" fillId="30" borderId="0" applyNumberFormat="0" applyBorder="0" applyAlignment="0" applyProtection="0"/>
    <xf numFmtId="0" fontId="56" fillId="30" borderId="0" applyNumberFormat="0" applyBorder="0" applyAlignment="0" applyProtection="0"/>
    <xf numFmtId="0" fontId="56" fillId="30" borderId="0" applyNumberFormat="0" applyBorder="0" applyAlignment="0" applyProtection="0"/>
    <xf numFmtId="0" fontId="56" fillId="30" borderId="0" applyNumberFormat="0" applyBorder="0" applyAlignment="0" applyProtection="0"/>
    <xf numFmtId="0" fontId="56" fillId="30" borderId="0" applyNumberFormat="0" applyBorder="0" applyAlignment="0" applyProtection="0"/>
    <xf numFmtId="0" fontId="56" fillId="30" borderId="0" applyNumberFormat="0" applyBorder="0" applyAlignment="0" applyProtection="0"/>
    <xf numFmtId="0" fontId="56" fillId="30" borderId="0" applyNumberFormat="0" applyBorder="0" applyAlignment="0" applyProtection="0"/>
    <xf numFmtId="0" fontId="56" fillId="30" borderId="0" applyNumberFormat="0" applyBorder="0" applyAlignment="0" applyProtection="0"/>
    <xf numFmtId="0" fontId="56" fillId="30" borderId="0" applyNumberFormat="0" applyBorder="0" applyAlignment="0" applyProtection="0"/>
    <xf numFmtId="0" fontId="56" fillId="30" borderId="0" applyNumberFormat="0" applyBorder="0" applyAlignment="0" applyProtection="0"/>
    <xf numFmtId="0" fontId="56" fillId="30" borderId="0" applyNumberFormat="0" applyBorder="0" applyAlignment="0" applyProtection="0"/>
    <xf numFmtId="0" fontId="56" fillId="30" borderId="0" applyNumberFormat="0" applyBorder="0" applyAlignment="0" applyProtection="0"/>
    <xf numFmtId="0" fontId="56" fillId="30" borderId="0" applyNumberFormat="0" applyBorder="0" applyAlignment="0" applyProtection="0"/>
    <xf numFmtId="0" fontId="56" fillId="30" borderId="0" applyNumberFormat="0" applyBorder="0" applyAlignment="0" applyProtection="0"/>
    <xf numFmtId="0" fontId="56" fillId="30" borderId="0" applyNumberFormat="0" applyBorder="0" applyAlignment="0" applyProtection="0"/>
    <xf numFmtId="0" fontId="56" fillId="30" borderId="0" applyNumberFormat="0" applyBorder="0" applyAlignment="0" applyProtection="0"/>
    <xf numFmtId="0" fontId="56" fillId="30" borderId="0" applyNumberFormat="0" applyBorder="0" applyAlignment="0" applyProtection="0"/>
    <xf numFmtId="0" fontId="56" fillId="30" borderId="0" applyNumberFormat="0" applyBorder="0" applyAlignment="0" applyProtection="0"/>
    <xf numFmtId="0" fontId="56" fillId="30" borderId="0" applyNumberFormat="0" applyBorder="0" applyAlignment="0" applyProtection="0"/>
    <xf numFmtId="0" fontId="56" fillId="30" borderId="0" applyNumberFormat="0" applyBorder="0" applyAlignment="0" applyProtection="0"/>
    <xf numFmtId="0" fontId="56" fillId="30" borderId="0" applyNumberFormat="0" applyBorder="0" applyAlignment="0" applyProtection="0"/>
    <xf numFmtId="0" fontId="56" fillId="30" borderId="0" applyNumberFormat="0" applyBorder="0" applyAlignment="0" applyProtection="0"/>
    <xf numFmtId="0" fontId="56" fillId="30" borderId="0" applyNumberFormat="0" applyBorder="0" applyAlignment="0" applyProtection="0"/>
    <xf numFmtId="0" fontId="88" fillId="77" borderId="92"/>
    <xf numFmtId="0" fontId="88" fillId="77" borderId="92"/>
    <xf numFmtId="0" fontId="88" fillId="77" borderId="92"/>
    <xf numFmtId="0" fontId="56" fillId="11" borderId="0" applyNumberFormat="0" applyBorder="0" applyAlignment="0" applyProtection="0"/>
    <xf numFmtId="0" fontId="56" fillId="11" borderId="0" applyNumberFormat="0" applyBorder="0" applyAlignment="0" applyProtection="0"/>
    <xf numFmtId="0" fontId="56" fillId="11" borderId="0" applyNumberFormat="0" applyBorder="0" applyAlignment="0" applyProtection="0"/>
    <xf numFmtId="0" fontId="56" fillId="11" borderId="0" applyNumberFormat="0" applyBorder="0" applyAlignment="0" applyProtection="0"/>
    <xf numFmtId="0" fontId="56" fillId="11" borderId="0" applyNumberFormat="0" applyBorder="0" applyAlignment="0" applyProtection="0"/>
    <xf numFmtId="0" fontId="56" fillId="11" borderId="0" applyNumberFormat="0" applyBorder="0" applyAlignment="0" applyProtection="0"/>
    <xf numFmtId="0" fontId="56" fillId="11" borderId="0" applyNumberFormat="0" applyBorder="0" applyAlignment="0" applyProtection="0"/>
    <xf numFmtId="0" fontId="56" fillId="11" borderId="0" applyNumberFormat="0" applyBorder="0" applyAlignment="0" applyProtection="0"/>
    <xf numFmtId="0" fontId="56" fillId="11" borderId="0" applyNumberFormat="0" applyBorder="0" applyAlignment="0" applyProtection="0"/>
    <xf numFmtId="0" fontId="56" fillId="11" borderId="0" applyNumberFormat="0" applyBorder="0" applyAlignment="0" applyProtection="0"/>
    <xf numFmtId="274" fontId="56" fillId="11" borderId="0" applyNumberFormat="0" applyBorder="0" applyAlignment="0" applyProtection="0"/>
    <xf numFmtId="274" fontId="56" fillId="11" borderId="0" applyNumberFormat="0" applyBorder="0" applyAlignment="0" applyProtection="0"/>
    <xf numFmtId="274" fontId="56" fillId="11" borderId="0" applyNumberFormat="0" applyBorder="0" applyAlignment="0" applyProtection="0"/>
    <xf numFmtId="274" fontId="56" fillId="11" borderId="0" applyNumberFormat="0" applyBorder="0" applyAlignment="0" applyProtection="0"/>
    <xf numFmtId="274" fontId="56" fillId="11" borderId="0" applyNumberFormat="0" applyBorder="0" applyAlignment="0" applyProtection="0"/>
    <xf numFmtId="274" fontId="56" fillId="11" borderId="0" applyNumberFormat="0" applyBorder="0" applyAlignment="0" applyProtection="0"/>
    <xf numFmtId="274" fontId="56" fillId="11" borderId="0" applyNumberFormat="0" applyBorder="0" applyAlignment="0" applyProtection="0"/>
    <xf numFmtId="274" fontId="56" fillId="11" borderId="0" applyNumberFormat="0" applyBorder="0" applyAlignment="0" applyProtection="0"/>
    <xf numFmtId="274" fontId="56" fillId="11" borderId="0" applyNumberFormat="0" applyBorder="0" applyAlignment="0" applyProtection="0"/>
    <xf numFmtId="274" fontId="56" fillId="11" borderId="0" applyNumberFormat="0" applyBorder="0" applyAlignment="0" applyProtection="0"/>
    <xf numFmtId="274" fontId="56" fillId="11" borderId="0" applyNumberFormat="0" applyBorder="0" applyAlignment="0" applyProtection="0"/>
    <xf numFmtId="274" fontId="56" fillId="11" borderId="0" applyNumberFormat="0" applyBorder="0" applyAlignment="0" applyProtection="0"/>
    <xf numFmtId="274" fontId="56" fillId="11" borderId="0" applyNumberFormat="0" applyBorder="0" applyAlignment="0" applyProtection="0"/>
    <xf numFmtId="274" fontId="56" fillId="11" borderId="0" applyNumberFormat="0" applyBorder="0" applyAlignment="0" applyProtection="0"/>
    <xf numFmtId="274" fontId="56" fillId="11" borderId="0" applyNumberFormat="0" applyBorder="0" applyAlignment="0" applyProtection="0"/>
    <xf numFmtId="274" fontId="56" fillId="11" borderId="0" applyNumberFormat="0" applyBorder="0" applyAlignment="0" applyProtection="0"/>
    <xf numFmtId="274" fontId="56" fillId="11" borderId="0" applyNumberFormat="0" applyBorder="0" applyAlignment="0" applyProtection="0"/>
    <xf numFmtId="274" fontId="56" fillId="11" borderId="0" applyNumberFormat="0" applyBorder="0" applyAlignment="0" applyProtection="0"/>
    <xf numFmtId="274" fontId="56" fillId="11" borderId="0" applyNumberFormat="0" applyBorder="0" applyAlignment="0" applyProtection="0"/>
    <xf numFmtId="274" fontId="56" fillId="11" borderId="0" applyNumberFormat="0" applyBorder="0" applyAlignment="0" applyProtection="0"/>
    <xf numFmtId="274" fontId="56" fillId="11" borderId="0" applyNumberFormat="0" applyBorder="0" applyAlignment="0" applyProtection="0"/>
    <xf numFmtId="274" fontId="56" fillId="11" borderId="0" applyNumberFormat="0" applyBorder="0" applyAlignment="0" applyProtection="0"/>
    <xf numFmtId="274" fontId="56" fillId="11" borderId="0" applyNumberFormat="0" applyBorder="0" applyAlignment="0" applyProtection="0"/>
    <xf numFmtId="274" fontId="56" fillId="11" borderId="0" applyNumberFormat="0" applyBorder="0" applyAlignment="0" applyProtection="0"/>
    <xf numFmtId="274" fontId="56" fillId="11" borderId="0" applyNumberFormat="0" applyBorder="0" applyAlignment="0" applyProtection="0"/>
    <xf numFmtId="274" fontId="56" fillId="11" borderId="0" applyNumberFormat="0" applyBorder="0" applyAlignment="0" applyProtection="0"/>
    <xf numFmtId="274" fontId="56" fillId="11" borderId="0" applyNumberFormat="0" applyBorder="0" applyAlignment="0" applyProtection="0"/>
    <xf numFmtId="274" fontId="56" fillId="11" borderId="0" applyNumberFormat="0" applyBorder="0" applyAlignment="0" applyProtection="0"/>
    <xf numFmtId="274" fontId="56" fillId="11" borderId="0" applyNumberFormat="0" applyBorder="0" applyAlignment="0" applyProtection="0"/>
    <xf numFmtId="274" fontId="56" fillId="11" borderId="0" applyNumberFormat="0" applyBorder="0" applyAlignment="0" applyProtection="0"/>
    <xf numFmtId="274" fontId="56" fillId="11" borderId="0" applyNumberFormat="0" applyBorder="0" applyAlignment="0" applyProtection="0"/>
    <xf numFmtId="274" fontId="56" fillId="11" borderId="0" applyNumberFormat="0" applyBorder="0" applyAlignment="0" applyProtection="0"/>
    <xf numFmtId="274" fontId="56" fillId="11" borderId="0" applyNumberFormat="0" applyBorder="0" applyAlignment="0" applyProtection="0"/>
    <xf numFmtId="274" fontId="56" fillId="11" borderId="0" applyNumberFormat="0" applyBorder="0" applyAlignment="0" applyProtection="0"/>
    <xf numFmtId="274" fontId="56" fillId="11" borderId="0" applyNumberFormat="0" applyBorder="0" applyAlignment="0" applyProtection="0"/>
    <xf numFmtId="274" fontId="56" fillId="11" borderId="0" applyNumberFormat="0" applyBorder="0" applyAlignment="0" applyProtection="0"/>
    <xf numFmtId="274" fontId="56" fillId="11" borderId="0" applyNumberFormat="0" applyBorder="0" applyAlignment="0" applyProtection="0"/>
    <xf numFmtId="274" fontId="56" fillId="11" borderId="0" applyNumberFormat="0" applyBorder="0" applyAlignment="0" applyProtection="0"/>
    <xf numFmtId="274" fontId="56" fillId="11" borderId="0" applyNumberFormat="0" applyBorder="0" applyAlignment="0" applyProtection="0"/>
    <xf numFmtId="274" fontId="56" fillId="11" borderId="0" applyNumberFormat="0" applyBorder="0" applyAlignment="0" applyProtection="0"/>
    <xf numFmtId="274" fontId="56" fillId="11" borderId="0" applyNumberFormat="0" applyBorder="0" applyAlignment="0" applyProtection="0"/>
    <xf numFmtId="274" fontId="56" fillId="11" borderId="0" applyNumberFormat="0" applyBorder="0" applyAlignment="0" applyProtection="0"/>
    <xf numFmtId="0" fontId="56" fillId="11" borderId="0" applyNumberFormat="0" applyBorder="0" applyAlignment="0" applyProtection="0"/>
    <xf numFmtId="0" fontId="56" fillId="11" borderId="0" applyNumberFormat="0" applyBorder="0" applyAlignment="0" applyProtection="0"/>
    <xf numFmtId="0" fontId="56" fillId="11" borderId="0" applyNumberFormat="0" applyBorder="0" applyAlignment="0" applyProtection="0"/>
    <xf numFmtId="0" fontId="56" fillId="11" borderId="0" applyNumberFormat="0" applyBorder="0" applyAlignment="0" applyProtection="0"/>
    <xf numFmtId="0" fontId="56" fillId="11" borderId="0" applyNumberFormat="0" applyBorder="0" applyAlignment="0" applyProtection="0"/>
    <xf numFmtId="0" fontId="56" fillId="11" borderId="0" applyNumberFormat="0" applyBorder="0" applyAlignment="0" applyProtection="0"/>
    <xf numFmtId="0" fontId="56" fillId="11" borderId="0" applyNumberFormat="0" applyBorder="0" applyAlignment="0" applyProtection="0"/>
    <xf numFmtId="0" fontId="56" fillId="11" borderId="0" applyNumberFormat="0" applyBorder="0" applyAlignment="0" applyProtection="0"/>
    <xf numFmtId="0" fontId="56" fillId="11" borderId="0" applyNumberFormat="0" applyBorder="0" applyAlignment="0" applyProtection="0"/>
    <xf numFmtId="0" fontId="56" fillId="11" borderId="0" applyNumberFormat="0" applyBorder="0" applyAlignment="0" applyProtection="0"/>
    <xf numFmtId="0" fontId="56" fillId="11" borderId="0" applyNumberFormat="0" applyBorder="0" applyAlignment="0" applyProtection="0"/>
    <xf numFmtId="0" fontId="56" fillId="11" borderId="0" applyNumberFormat="0" applyBorder="0" applyAlignment="0" applyProtection="0"/>
    <xf numFmtId="0" fontId="56" fillId="11" borderId="0" applyNumberFormat="0" applyBorder="0" applyAlignment="0" applyProtection="0"/>
    <xf numFmtId="0" fontId="56" fillId="11" borderId="0" applyNumberFormat="0" applyBorder="0" applyAlignment="0" applyProtection="0"/>
    <xf numFmtId="0" fontId="56" fillId="11" borderId="0" applyNumberFormat="0" applyBorder="0" applyAlignment="0" applyProtection="0"/>
    <xf numFmtId="0" fontId="56" fillId="11" borderId="0" applyNumberFormat="0" applyBorder="0" applyAlignment="0" applyProtection="0"/>
    <xf numFmtId="0" fontId="56" fillId="11" borderId="0" applyNumberFormat="0" applyBorder="0" applyAlignment="0" applyProtection="0"/>
    <xf numFmtId="0" fontId="56" fillId="11" borderId="0" applyNumberFormat="0" applyBorder="0" applyAlignment="0" applyProtection="0"/>
    <xf numFmtId="0" fontId="56" fillId="11" borderId="0" applyNumberFormat="0" applyBorder="0" applyAlignment="0" applyProtection="0"/>
    <xf numFmtId="0" fontId="56" fillId="11" borderId="0" applyNumberFormat="0" applyBorder="0" applyAlignment="0" applyProtection="0"/>
    <xf numFmtId="0" fontId="56" fillId="11" borderId="0" applyNumberFormat="0" applyBorder="0" applyAlignment="0" applyProtection="0"/>
    <xf numFmtId="0" fontId="56" fillId="11" borderId="0" applyNumberFormat="0" applyBorder="0" applyAlignment="0" applyProtection="0"/>
    <xf numFmtId="0" fontId="56" fillId="11" borderId="0" applyNumberFormat="0" applyBorder="0" applyAlignment="0" applyProtection="0"/>
    <xf numFmtId="0" fontId="56" fillId="11" borderId="0" applyNumberFormat="0" applyBorder="0" applyAlignment="0" applyProtection="0"/>
    <xf numFmtId="0" fontId="56" fillId="11" borderId="0" applyNumberFormat="0" applyBorder="0" applyAlignment="0" applyProtection="0"/>
    <xf numFmtId="0" fontId="56" fillId="11" borderId="0" applyNumberFormat="0" applyBorder="0" applyAlignment="0" applyProtection="0"/>
    <xf numFmtId="0" fontId="56" fillId="11" borderId="0" applyNumberFormat="0" applyBorder="0" applyAlignment="0" applyProtection="0"/>
    <xf numFmtId="0" fontId="56" fillId="11" borderId="0" applyNumberFormat="0" applyBorder="0" applyAlignment="0" applyProtection="0"/>
    <xf numFmtId="0" fontId="56" fillId="11" borderId="0" applyNumberFormat="0" applyBorder="0" applyAlignment="0" applyProtection="0"/>
    <xf numFmtId="0" fontId="56" fillId="11" borderId="0" applyNumberFormat="0" applyBorder="0" applyAlignment="0" applyProtection="0"/>
    <xf numFmtId="0" fontId="56" fillId="11" borderId="0" applyNumberFormat="0" applyBorder="0" applyAlignment="0" applyProtection="0"/>
    <xf numFmtId="0" fontId="56" fillId="11" borderId="0" applyNumberFormat="0" applyBorder="0" applyAlignment="0" applyProtection="0"/>
    <xf numFmtId="0" fontId="56" fillId="15" borderId="0" applyNumberFormat="0" applyBorder="0" applyAlignment="0" applyProtection="0"/>
    <xf numFmtId="0" fontId="56" fillId="15" borderId="0" applyNumberFormat="0" applyBorder="0" applyAlignment="0" applyProtection="0"/>
    <xf numFmtId="0" fontId="56" fillId="15" borderId="0" applyNumberFormat="0" applyBorder="0" applyAlignment="0" applyProtection="0"/>
    <xf numFmtId="0" fontId="56" fillId="15" borderId="0" applyNumberFormat="0" applyBorder="0" applyAlignment="0" applyProtection="0"/>
    <xf numFmtId="0" fontId="56" fillId="15" borderId="0" applyNumberFormat="0" applyBorder="0" applyAlignment="0" applyProtection="0"/>
    <xf numFmtId="0" fontId="56" fillId="15" borderId="0" applyNumberFormat="0" applyBorder="0" applyAlignment="0" applyProtection="0"/>
    <xf numFmtId="0" fontId="56" fillId="15" borderId="0" applyNumberFormat="0" applyBorder="0" applyAlignment="0" applyProtection="0"/>
    <xf numFmtId="0" fontId="56" fillId="15" borderId="0" applyNumberFormat="0" applyBorder="0" applyAlignment="0" applyProtection="0"/>
    <xf numFmtId="0" fontId="56" fillId="15" borderId="0" applyNumberFormat="0" applyBorder="0" applyAlignment="0" applyProtection="0"/>
    <xf numFmtId="0" fontId="56" fillId="15" borderId="0" applyNumberFormat="0" applyBorder="0" applyAlignment="0" applyProtection="0"/>
    <xf numFmtId="274" fontId="56" fillId="15" borderId="0" applyNumberFormat="0" applyBorder="0" applyAlignment="0" applyProtection="0"/>
    <xf numFmtId="274" fontId="56" fillId="15" borderId="0" applyNumberFormat="0" applyBorder="0" applyAlignment="0" applyProtection="0"/>
    <xf numFmtId="274" fontId="56" fillId="15" borderId="0" applyNumberFormat="0" applyBorder="0" applyAlignment="0" applyProtection="0"/>
    <xf numFmtId="274" fontId="56" fillId="15" borderId="0" applyNumberFormat="0" applyBorder="0" applyAlignment="0" applyProtection="0"/>
    <xf numFmtId="274" fontId="56" fillId="15" borderId="0" applyNumberFormat="0" applyBorder="0" applyAlignment="0" applyProtection="0"/>
    <xf numFmtId="274" fontId="56" fillId="15" borderId="0" applyNumberFormat="0" applyBorder="0" applyAlignment="0" applyProtection="0"/>
    <xf numFmtId="274" fontId="56" fillId="15" borderId="0" applyNumberFormat="0" applyBorder="0" applyAlignment="0" applyProtection="0"/>
    <xf numFmtId="274" fontId="56" fillId="15" borderId="0" applyNumberFormat="0" applyBorder="0" applyAlignment="0" applyProtection="0"/>
    <xf numFmtId="274" fontId="56" fillId="15" borderId="0" applyNumberFormat="0" applyBorder="0" applyAlignment="0" applyProtection="0"/>
    <xf numFmtId="274" fontId="56" fillId="15" borderId="0" applyNumberFormat="0" applyBorder="0" applyAlignment="0" applyProtection="0"/>
    <xf numFmtId="274" fontId="56" fillId="15" borderId="0" applyNumberFormat="0" applyBorder="0" applyAlignment="0" applyProtection="0"/>
    <xf numFmtId="274" fontId="56" fillId="15" borderId="0" applyNumberFormat="0" applyBorder="0" applyAlignment="0" applyProtection="0"/>
    <xf numFmtId="274" fontId="56" fillId="15" borderId="0" applyNumberFormat="0" applyBorder="0" applyAlignment="0" applyProtection="0"/>
    <xf numFmtId="274" fontId="56" fillId="15" borderId="0" applyNumberFormat="0" applyBorder="0" applyAlignment="0" applyProtection="0"/>
    <xf numFmtId="274" fontId="56" fillId="15" borderId="0" applyNumberFormat="0" applyBorder="0" applyAlignment="0" applyProtection="0"/>
    <xf numFmtId="274" fontId="56" fillId="15" borderId="0" applyNumberFormat="0" applyBorder="0" applyAlignment="0" applyProtection="0"/>
    <xf numFmtId="274" fontId="56" fillId="15" borderId="0" applyNumberFormat="0" applyBorder="0" applyAlignment="0" applyProtection="0"/>
    <xf numFmtId="274" fontId="56" fillId="15" borderId="0" applyNumberFormat="0" applyBorder="0" applyAlignment="0" applyProtection="0"/>
    <xf numFmtId="274" fontId="56" fillId="15" borderId="0" applyNumberFormat="0" applyBorder="0" applyAlignment="0" applyProtection="0"/>
    <xf numFmtId="274" fontId="56" fillId="15" borderId="0" applyNumberFormat="0" applyBorder="0" applyAlignment="0" applyProtection="0"/>
    <xf numFmtId="274" fontId="56" fillId="15" borderId="0" applyNumberFormat="0" applyBorder="0" applyAlignment="0" applyProtection="0"/>
    <xf numFmtId="274" fontId="56" fillId="15" borderId="0" applyNumberFormat="0" applyBorder="0" applyAlignment="0" applyProtection="0"/>
    <xf numFmtId="274" fontId="56" fillId="15" borderId="0" applyNumberFormat="0" applyBorder="0" applyAlignment="0" applyProtection="0"/>
    <xf numFmtId="274" fontId="56" fillId="15" borderId="0" applyNumberFormat="0" applyBorder="0" applyAlignment="0" applyProtection="0"/>
    <xf numFmtId="274" fontId="56" fillId="15" borderId="0" applyNumberFormat="0" applyBorder="0" applyAlignment="0" applyProtection="0"/>
    <xf numFmtId="274" fontId="56" fillId="15" borderId="0" applyNumberFormat="0" applyBorder="0" applyAlignment="0" applyProtection="0"/>
    <xf numFmtId="274" fontId="56" fillId="15" borderId="0" applyNumberFormat="0" applyBorder="0" applyAlignment="0" applyProtection="0"/>
    <xf numFmtId="274" fontId="56" fillId="15" borderId="0" applyNumberFormat="0" applyBorder="0" applyAlignment="0" applyProtection="0"/>
    <xf numFmtId="274" fontId="56" fillId="15" borderId="0" applyNumberFormat="0" applyBorder="0" applyAlignment="0" applyProtection="0"/>
    <xf numFmtId="274" fontId="56" fillId="15" borderId="0" applyNumberFormat="0" applyBorder="0" applyAlignment="0" applyProtection="0"/>
    <xf numFmtId="274" fontId="56" fillId="15" borderId="0" applyNumberFormat="0" applyBorder="0" applyAlignment="0" applyProtection="0"/>
    <xf numFmtId="274" fontId="56" fillId="15" borderId="0" applyNumberFormat="0" applyBorder="0" applyAlignment="0" applyProtection="0"/>
    <xf numFmtId="274" fontId="56" fillId="15" borderId="0" applyNumberFormat="0" applyBorder="0" applyAlignment="0" applyProtection="0"/>
    <xf numFmtId="274" fontId="56" fillId="15" borderId="0" applyNumberFormat="0" applyBorder="0" applyAlignment="0" applyProtection="0"/>
    <xf numFmtId="274" fontId="56" fillId="15" borderId="0" applyNumberFormat="0" applyBorder="0" applyAlignment="0" applyProtection="0"/>
    <xf numFmtId="274" fontId="56" fillId="15" borderId="0" applyNumberFormat="0" applyBorder="0" applyAlignment="0" applyProtection="0"/>
    <xf numFmtId="274" fontId="56" fillId="15" borderId="0" applyNumberFormat="0" applyBorder="0" applyAlignment="0" applyProtection="0"/>
    <xf numFmtId="274" fontId="56" fillId="15" borderId="0" applyNumberFormat="0" applyBorder="0" applyAlignment="0" applyProtection="0"/>
    <xf numFmtId="274" fontId="56" fillId="15" borderId="0" applyNumberFormat="0" applyBorder="0" applyAlignment="0" applyProtection="0"/>
    <xf numFmtId="274" fontId="56" fillId="15" borderId="0" applyNumberFormat="0" applyBorder="0" applyAlignment="0" applyProtection="0"/>
    <xf numFmtId="274" fontId="56" fillId="15" borderId="0" applyNumberFormat="0" applyBorder="0" applyAlignment="0" applyProtection="0"/>
    <xf numFmtId="274" fontId="56" fillId="15" borderId="0" applyNumberFormat="0" applyBorder="0" applyAlignment="0" applyProtection="0"/>
    <xf numFmtId="0" fontId="56" fillId="15" borderId="0" applyNumberFormat="0" applyBorder="0" applyAlignment="0" applyProtection="0"/>
    <xf numFmtId="0" fontId="56" fillId="15" borderId="0" applyNumberFormat="0" applyBorder="0" applyAlignment="0" applyProtection="0"/>
    <xf numFmtId="0" fontId="56" fillId="15" borderId="0" applyNumberFormat="0" applyBorder="0" applyAlignment="0" applyProtection="0"/>
    <xf numFmtId="0" fontId="56" fillId="15" borderId="0" applyNumberFormat="0" applyBorder="0" applyAlignment="0" applyProtection="0"/>
    <xf numFmtId="0" fontId="56" fillId="15" borderId="0" applyNumberFormat="0" applyBorder="0" applyAlignment="0" applyProtection="0"/>
    <xf numFmtId="0" fontId="56" fillId="15" borderId="0" applyNumberFormat="0" applyBorder="0" applyAlignment="0" applyProtection="0"/>
    <xf numFmtId="0" fontId="56" fillId="15" borderId="0" applyNumberFormat="0" applyBorder="0" applyAlignment="0" applyProtection="0"/>
    <xf numFmtId="0" fontId="56" fillId="15" borderId="0" applyNumberFormat="0" applyBorder="0" applyAlignment="0" applyProtection="0"/>
    <xf numFmtId="0" fontId="56" fillId="15" borderId="0" applyNumberFormat="0" applyBorder="0" applyAlignment="0" applyProtection="0"/>
    <xf numFmtId="0" fontId="56" fillId="15" borderId="0" applyNumberFormat="0" applyBorder="0" applyAlignment="0" applyProtection="0"/>
    <xf numFmtId="0" fontId="56" fillId="15" borderId="0" applyNumberFormat="0" applyBorder="0" applyAlignment="0" applyProtection="0"/>
    <xf numFmtId="0" fontId="56" fillId="15" borderId="0" applyNumberFormat="0" applyBorder="0" applyAlignment="0" applyProtection="0"/>
    <xf numFmtId="0" fontId="56" fillId="15" borderId="0" applyNumberFormat="0" applyBorder="0" applyAlignment="0" applyProtection="0"/>
    <xf numFmtId="0" fontId="56" fillId="15" borderId="0" applyNumberFormat="0" applyBorder="0" applyAlignment="0" applyProtection="0"/>
    <xf numFmtId="0" fontId="56" fillId="15" borderId="0" applyNumberFormat="0" applyBorder="0" applyAlignment="0" applyProtection="0"/>
    <xf numFmtId="0" fontId="56" fillId="15" borderId="0" applyNumberFormat="0" applyBorder="0" applyAlignment="0" applyProtection="0"/>
    <xf numFmtId="0" fontId="56" fillId="15" borderId="0" applyNumberFormat="0" applyBorder="0" applyAlignment="0" applyProtection="0"/>
    <xf numFmtId="0" fontId="56" fillId="15" borderId="0" applyNumberFormat="0" applyBorder="0" applyAlignment="0" applyProtection="0"/>
    <xf numFmtId="0" fontId="56" fillId="15" borderId="0" applyNumberFormat="0" applyBorder="0" applyAlignment="0" applyProtection="0"/>
    <xf numFmtId="0" fontId="56" fillId="15" borderId="0" applyNumberFormat="0" applyBorder="0" applyAlignment="0" applyProtection="0"/>
    <xf numFmtId="0" fontId="56" fillId="15" borderId="0" applyNumberFormat="0" applyBorder="0" applyAlignment="0" applyProtection="0"/>
    <xf numFmtId="0" fontId="56" fillId="15" borderId="0" applyNumberFormat="0" applyBorder="0" applyAlignment="0" applyProtection="0"/>
    <xf numFmtId="0" fontId="56" fillId="15" borderId="0" applyNumberFormat="0" applyBorder="0" applyAlignment="0" applyProtection="0"/>
    <xf numFmtId="0" fontId="56" fillId="15" borderId="0" applyNumberFormat="0" applyBorder="0" applyAlignment="0" applyProtection="0"/>
    <xf numFmtId="0" fontId="56" fillId="15" borderId="0" applyNumberFormat="0" applyBorder="0" applyAlignment="0" applyProtection="0"/>
    <xf numFmtId="0" fontId="56" fillId="15" borderId="0" applyNumberFormat="0" applyBorder="0" applyAlignment="0" applyProtection="0"/>
    <xf numFmtId="0" fontId="56" fillId="15" borderId="0" applyNumberFormat="0" applyBorder="0" applyAlignment="0" applyProtection="0"/>
    <xf numFmtId="0" fontId="56" fillId="15" borderId="0" applyNumberFormat="0" applyBorder="0" applyAlignment="0" applyProtection="0"/>
    <xf numFmtId="0" fontId="56" fillId="15" borderId="0" applyNumberFormat="0" applyBorder="0" applyAlignment="0" applyProtection="0"/>
    <xf numFmtId="0" fontId="56" fillId="15" borderId="0" applyNumberFormat="0" applyBorder="0" applyAlignment="0" applyProtection="0"/>
    <xf numFmtId="0" fontId="56" fillId="15" borderId="0" applyNumberFormat="0" applyBorder="0" applyAlignment="0" applyProtection="0"/>
    <xf numFmtId="0" fontId="56" fillId="15" borderId="0" applyNumberFormat="0" applyBorder="0" applyAlignment="0" applyProtection="0"/>
    <xf numFmtId="0" fontId="56" fillId="19" borderId="0" applyNumberFormat="0" applyBorder="0" applyAlignment="0" applyProtection="0"/>
    <xf numFmtId="0" fontId="56" fillId="19" borderId="0" applyNumberFormat="0" applyBorder="0" applyAlignment="0" applyProtection="0"/>
    <xf numFmtId="0" fontId="56" fillId="19" borderId="0" applyNumberFormat="0" applyBorder="0" applyAlignment="0" applyProtection="0"/>
    <xf numFmtId="0" fontId="56" fillId="19" borderId="0" applyNumberFormat="0" applyBorder="0" applyAlignment="0" applyProtection="0"/>
    <xf numFmtId="0" fontId="56" fillId="19" borderId="0" applyNumberFormat="0" applyBorder="0" applyAlignment="0" applyProtection="0"/>
    <xf numFmtId="0" fontId="56" fillId="19" borderId="0" applyNumberFormat="0" applyBorder="0" applyAlignment="0" applyProtection="0"/>
    <xf numFmtId="0" fontId="56" fillId="19" borderId="0" applyNumberFormat="0" applyBorder="0" applyAlignment="0" applyProtection="0"/>
    <xf numFmtId="0" fontId="56" fillId="19" borderId="0" applyNumberFormat="0" applyBorder="0" applyAlignment="0" applyProtection="0"/>
    <xf numFmtId="0" fontId="56" fillId="19" borderId="0" applyNumberFormat="0" applyBorder="0" applyAlignment="0" applyProtection="0"/>
    <xf numFmtId="0" fontId="56" fillId="19" borderId="0" applyNumberFormat="0" applyBorder="0" applyAlignment="0" applyProtection="0"/>
    <xf numFmtId="274" fontId="56" fillId="19" borderId="0" applyNumberFormat="0" applyBorder="0" applyAlignment="0" applyProtection="0"/>
    <xf numFmtId="274" fontId="56" fillId="19" borderId="0" applyNumberFormat="0" applyBorder="0" applyAlignment="0" applyProtection="0"/>
    <xf numFmtId="274" fontId="56" fillId="19" borderId="0" applyNumberFormat="0" applyBorder="0" applyAlignment="0" applyProtection="0"/>
    <xf numFmtId="274" fontId="56" fillId="19" borderId="0" applyNumberFormat="0" applyBorder="0" applyAlignment="0" applyProtection="0"/>
    <xf numFmtId="274" fontId="56" fillId="19" borderId="0" applyNumberFormat="0" applyBorder="0" applyAlignment="0" applyProtection="0"/>
    <xf numFmtId="274" fontId="56" fillId="19" borderId="0" applyNumberFormat="0" applyBorder="0" applyAlignment="0" applyProtection="0"/>
    <xf numFmtId="274" fontId="56" fillId="19" borderId="0" applyNumberFormat="0" applyBorder="0" applyAlignment="0" applyProtection="0"/>
    <xf numFmtId="274" fontId="56" fillId="19" borderId="0" applyNumberFormat="0" applyBorder="0" applyAlignment="0" applyProtection="0"/>
    <xf numFmtId="274" fontId="56" fillId="19" borderId="0" applyNumberFormat="0" applyBorder="0" applyAlignment="0" applyProtection="0"/>
    <xf numFmtId="274" fontId="56" fillId="19" borderId="0" applyNumberFormat="0" applyBorder="0" applyAlignment="0" applyProtection="0"/>
    <xf numFmtId="274" fontId="56" fillId="19" borderId="0" applyNumberFormat="0" applyBorder="0" applyAlignment="0" applyProtection="0"/>
    <xf numFmtId="274" fontId="56" fillId="19" borderId="0" applyNumberFormat="0" applyBorder="0" applyAlignment="0" applyProtection="0"/>
    <xf numFmtId="274" fontId="56" fillId="19" borderId="0" applyNumberFormat="0" applyBorder="0" applyAlignment="0" applyProtection="0"/>
    <xf numFmtId="274" fontId="56" fillId="19" borderId="0" applyNumberFormat="0" applyBorder="0" applyAlignment="0" applyProtection="0"/>
    <xf numFmtId="274" fontId="56" fillId="19" borderId="0" applyNumberFormat="0" applyBorder="0" applyAlignment="0" applyProtection="0"/>
    <xf numFmtId="274" fontId="56" fillId="19" borderId="0" applyNumberFormat="0" applyBorder="0" applyAlignment="0" applyProtection="0"/>
    <xf numFmtId="274" fontId="56" fillId="19" borderId="0" applyNumberFormat="0" applyBorder="0" applyAlignment="0" applyProtection="0"/>
    <xf numFmtId="274" fontId="56" fillId="19" borderId="0" applyNumberFormat="0" applyBorder="0" applyAlignment="0" applyProtection="0"/>
    <xf numFmtId="274" fontId="56" fillId="19" borderId="0" applyNumberFormat="0" applyBorder="0" applyAlignment="0" applyProtection="0"/>
    <xf numFmtId="274" fontId="56" fillId="19" borderId="0" applyNumberFormat="0" applyBorder="0" applyAlignment="0" applyProtection="0"/>
    <xf numFmtId="274" fontId="56" fillId="19" borderId="0" applyNumberFormat="0" applyBorder="0" applyAlignment="0" applyProtection="0"/>
    <xf numFmtId="274" fontId="56" fillId="19" borderId="0" applyNumberFormat="0" applyBorder="0" applyAlignment="0" applyProtection="0"/>
    <xf numFmtId="274" fontId="56" fillId="19" borderId="0" applyNumberFormat="0" applyBorder="0" applyAlignment="0" applyProtection="0"/>
    <xf numFmtId="274" fontId="56" fillId="19" borderId="0" applyNumberFormat="0" applyBorder="0" applyAlignment="0" applyProtection="0"/>
    <xf numFmtId="274" fontId="56" fillId="19" borderId="0" applyNumberFormat="0" applyBorder="0" applyAlignment="0" applyProtection="0"/>
    <xf numFmtId="274" fontId="56" fillId="19" borderId="0" applyNumberFormat="0" applyBorder="0" applyAlignment="0" applyProtection="0"/>
    <xf numFmtId="274" fontId="56" fillId="19" borderId="0" applyNumberFormat="0" applyBorder="0" applyAlignment="0" applyProtection="0"/>
    <xf numFmtId="274" fontId="56" fillId="19" borderId="0" applyNumberFormat="0" applyBorder="0" applyAlignment="0" applyProtection="0"/>
    <xf numFmtId="274" fontId="56" fillId="19" borderId="0" applyNumberFormat="0" applyBorder="0" applyAlignment="0" applyProtection="0"/>
    <xf numFmtId="274" fontId="56" fillId="19" borderId="0" applyNumberFormat="0" applyBorder="0" applyAlignment="0" applyProtection="0"/>
    <xf numFmtId="274" fontId="56" fillId="19" borderId="0" applyNumberFormat="0" applyBorder="0" applyAlignment="0" applyProtection="0"/>
    <xf numFmtId="274" fontId="56" fillId="19" borderId="0" applyNumberFormat="0" applyBorder="0" applyAlignment="0" applyProtection="0"/>
    <xf numFmtId="274" fontId="56" fillId="19" borderId="0" applyNumberFormat="0" applyBorder="0" applyAlignment="0" applyProtection="0"/>
    <xf numFmtId="274" fontId="56" fillId="19" borderId="0" applyNumberFormat="0" applyBorder="0" applyAlignment="0" applyProtection="0"/>
    <xf numFmtId="274" fontId="56" fillId="19" borderId="0" applyNumberFormat="0" applyBorder="0" applyAlignment="0" applyProtection="0"/>
    <xf numFmtId="274" fontId="56" fillId="19" borderId="0" applyNumberFormat="0" applyBorder="0" applyAlignment="0" applyProtection="0"/>
    <xf numFmtId="274" fontId="56" fillId="19" borderId="0" applyNumberFormat="0" applyBorder="0" applyAlignment="0" applyProtection="0"/>
    <xf numFmtId="274" fontId="56" fillId="19" borderId="0" applyNumberFormat="0" applyBorder="0" applyAlignment="0" applyProtection="0"/>
    <xf numFmtId="274" fontId="56" fillId="19" borderId="0" applyNumberFormat="0" applyBorder="0" applyAlignment="0" applyProtection="0"/>
    <xf numFmtId="274" fontId="56" fillId="19" borderId="0" applyNumberFormat="0" applyBorder="0" applyAlignment="0" applyProtection="0"/>
    <xf numFmtId="274" fontId="56" fillId="19" borderId="0" applyNumberFormat="0" applyBorder="0" applyAlignment="0" applyProtection="0"/>
    <xf numFmtId="274" fontId="56" fillId="19" borderId="0" applyNumberFormat="0" applyBorder="0" applyAlignment="0" applyProtection="0"/>
    <xf numFmtId="0" fontId="56" fillId="19" borderId="0" applyNumberFormat="0" applyBorder="0" applyAlignment="0" applyProtection="0"/>
    <xf numFmtId="0" fontId="56" fillId="19" borderId="0" applyNumberFormat="0" applyBorder="0" applyAlignment="0" applyProtection="0"/>
    <xf numFmtId="0" fontId="56" fillId="19" borderId="0" applyNumberFormat="0" applyBorder="0" applyAlignment="0" applyProtection="0"/>
    <xf numFmtId="0" fontId="56" fillId="19" borderId="0" applyNumberFormat="0" applyBorder="0" applyAlignment="0" applyProtection="0"/>
    <xf numFmtId="0" fontId="56" fillId="19" borderId="0" applyNumberFormat="0" applyBorder="0" applyAlignment="0" applyProtection="0"/>
    <xf numFmtId="0" fontId="56" fillId="19" borderId="0" applyNumberFormat="0" applyBorder="0" applyAlignment="0" applyProtection="0"/>
    <xf numFmtId="0" fontId="56" fillId="19" borderId="0" applyNumberFormat="0" applyBorder="0" applyAlignment="0" applyProtection="0"/>
    <xf numFmtId="0" fontId="56" fillId="19" borderId="0" applyNumberFormat="0" applyBorder="0" applyAlignment="0" applyProtection="0"/>
    <xf numFmtId="0" fontId="56" fillId="19" borderId="0" applyNumberFormat="0" applyBorder="0" applyAlignment="0" applyProtection="0"/>
    <xf numFmtId="0" fontId="56" fillId="19" borderId="0" applyNumberFormat="0" applyBorder="0" applyAlignment="0" applyProtection="0"/>
    <xf numFmtId="0" fontId="56" fillId="19" borderId="0" applyNumberFormat="0" applyBorder="0" applyAlignment="0" applyProtection="0"/>
    <xf numFmtId="0" fontId="56" fillId="19" borderId="0" applyNumberFormat="0" applyBorder="0" applyAlignment="0" applyProtection="0"/>
    <xf numFmtId="0" fontId="56" fillId="19" borderId="0" applyNumberFormat="0" applyBorder="0" applyAlignment="0" applyProtection="0"/>
    <xf numFmtId="0" fontId="56" fillId="19" borderId="0" applyNumberFormat="0" applyBorder="0" applyAlignment="0" applyProtection="0"/>
    <xf numFmtId="0" fontId="56" fillId="19" borderId="0" applyNumberFormat="0" applyBorder="0" applyAlignment="0" applyProtection="0"/>
    <xf numFmtId="0" fontId="56" fillId="19" borderId="0" applyNumberFormat="0" applyBorder="0" applyAlignment="0" applyProtection="0"/>
    <xf numFmtId="0" fontId="56" fillId="19" borderId="0" applyNumberFormat="0" applyBorder="0" applyAlignment="0" applyProtection="0"/>
    <xf numFmtId="0" fontId="56" fillId="19" borderId="0" applyNumberFormat="0" applyBorder="0" applyAlignment="0" applyProtection="0"/>
    <xf numFmtId="0" fontId="56" fillId="19" borderId="0" applyNumberFormat="0" applyBorder="0" applyAlignment="0" applyProtection="0"/>
    <xf numFmtId="0" fontId="56" fillId="19" borderId="0" applyNumberFormat="0" applyBorder="0" applyAlignment="0" applyProtection="0"/>
    <xf numFmtId="0" fontId="56" fillId="19" borderId="0" applyNumberFormat="0" applyBorder="0" applyAlignment="0" applyProtection="0"/>
    <xf numFmtId="0" fontId="56" fillId="19" borderId="0" applyNumberFormat="0" applyBorder="0" applyAlignment="0" applyProtection="0"/>
    <xf numFmtId="0" fontId="56" fillId="19" borderId="0" applyNumberFormat="0" applyBorder="0" applyAlignment="0" applyProtection="0"/>
    <xf numFmtId="0" fontId="56" fillId="19" borderId="0" applyNumberFormat="0" applyBorder="0" applyAlignment="0" applyProtection="0"/>
    <xf numFmtId="0" fontId="56" fillId="19" borderId="0" applyNumberFormat="0" applyBorder="0" applyAlignment="0" applyProtection="0"/>
    <xf numFmtId="0" fontId="56" fillId="19" borderId="0" applyNumberFormat="0" applyBorder="0" applyAlignment="0" applyProtection="0"/>
    <xf numFmtId="0" fontId="56" fillId="19" borderId="0" applyNumberFormat="0" applyBorder="0" applyAlignment="0" applyProtection="0"/>
    <xf numFmtId="0" fontId="56" fillId="19" borderId="0" applyNumberFormat="0" applyBorder="0" applyAlignment="0" applyProtection="0"/>
    <xf numFmtId="0" fontId="56" fillId="19" borderId="0" applyNumberFormat="0" applyBorder="0" applyAlignment="0" applyProtection="0"/>
    <xf numFmtId="0" fontId="56" fillId="19" borderId="0" applyNumberFormat="0" applyBorder="0" applyAlignment="0" applyProtection="0"/>
    <xf numFmtId="0" fontId="56" fillId="19" borderId="0" applyNumberFormat="0" applyBorder="0" applyAlignment="0" applyProtection="0"/>
    <xf numFmtId="0" fontId="56" fillId="19" borderId="0" applyNumberFormat="0" applyBorder="0" applyAlignment="0" applyProtection="0"/>
    <xf numFmtId="0" fontId="56" fillId="23" borderId="0" applyNumberFormat="0" applyBorder="0" applyAlignment="0" applyProtection="0"/>
    <xf numFmtId="0" fontId="56" fillId="23" borderId="0" applyNumberFormat="0" applyBorder="0" applyAlignment="0" applyProtection="0"/>
    <xf numFmtId="0" fontId="56" fillId="23" borderId="0" applyNumberFormat="0" applyBorder="0" applyAlignment="0" applyProtection="0"/>
    <xf numFmtId="0" fontId="56" fillId="23" borderId="0" applyNumberFormat="0" applyBorder="0" applyAlignment="0" applyProtection="0"/>
    <xf numFmtId="0" fontId="56" fillId="23" borderId="0" applyNumberFormat="0" applyBorder="0" applyAlignment="0" applyProtection="0"/>
    <xf numFmtId="0" fontId="56" fillId="23" borderId="0" applyNumberFormat="0" applyBorder="0" applyAlignment="0" applyProtection="0"/>
    <xf numFmtId="0" fontId="56" fillId="23" borderId="0" applyNumberFormat="0" applyBorder="0" applyAlignment="0" applyProtection="0"/>
    <xf numFmtId="0" fontId="56" fillId="23" borderId="0" applyNumberFormat="0" applyBorder="0" applyAlignment="0" applyProtection="0"/>
    <xf numFmtId="0" fontId="56" fillId="23" borderId="0" applyNumberFormat="0" applyBorder="0" applyAlignment="0" applyProtection="0"/>
    <xf numFmtId="0" fontId="56" fillId="23" borderId="0" applyNumberFormat="0" applyBorder="0" applyAlignment="0" applyProtection="0"/>
    <xf numFmtId="274" fontId="56" fillId="23" borderId="0" applyNumberFormat="0" applyBorder="0" applyAlignment="0" applyProtection="0"/>
    <xf numFmtId="274" fontId="56" fillId="23" borderId="0" applyNumberFormat="0" applyBorder="0" applyAlignment="0" applyProtection="0"/>
    <xf numFmtId="274" fontId="56" fillId="23" borderId="0" applyNumberFormat="0" applyBorder="0" applyAlignment="0" applyProtection="0"/>
    <xf numFmtId="274" fontId="56" fillId="23" borderId="0" applyNumberFormat="0" applyBorder="0" applyAlignment="0" applyProtection="0"/>
    <xf numFmtId="274" fontId="56" fillId="23" borderId="0" applyNumberFormat="0" applyBorder="0" applyAlignment="0" applyProtection="0"/>
    <xf numFmtId="274" fontId="56" fillId="23" borderId="0" applyNumberFormat="0" applyBorder="0" applyAlignment="0" applyProtection="0"/>
    <xf numFmtId="274" fontId="56" fillId="23" borderId="0" applyNumberFormat="0" applyBorder="0" applyAlignment="0" applyProtection="0"/>
    <xf numFmtId="274" fontId="56" fillId="23" borderId="0" applyNumberFormat="0" applyBorder="0" applyAlignment="0" applyProtection="0"/>
    <xf numFmtId="274" fontId="56" fillId="23" borderId="0" applyNumberFormat="0" applyBorder="0" applyAlignment="0" applyProtection="0"/>
    <xf numFmtId="274" fontId="56" fillId="23" borderId="0" applyNumberFormat="0" applyBorder="0" applyAlignment="0" applyProtection="0"/>
    <xf numFmtId="274" fontId="56" fillId="23" borderId="0" applyNumberFormat="0" applyBorder="0" applyAlignment="0" applyProtection="0"/>
    <xf numFmtId="274" fontId="56" fillId="23" borderId="0" applyNumberFormat="0" applyBorder="0" applyAlignment="0" applyProtection="0"/>
    <xf numFmtId="274" fontId="56" fillId="23" borderId="0" applyNumberFormat="0" applyBorder="0" applyAlignment="0" applyProtection="0"/>
    <xf numFmtId="274" fontId="56" fillId="23" borderId="0" applyNumberFormat="0" applyBorder="0" applyAlignment="0" applyProtection="0"/>
    <xf numFmtId="274" fontId="56" fillId="23" borderId="0" applyNumberFormat="0" applyBorder="0" applyAlignment="0" applyProtection="0"/>
    <xf numFmtId="274" fontId="56" fillId="23" borderId="0" applyNumberFormat="0" applyBorder="0" applyAlignment="0" applyProtection="0"/>
    <xf numFmtId="274" fontId="56" fillId="23" borderId="0" applyNumberFormat="0" applyBorder="0" applyAlignment="0" applyProtection="0"/>
    <xf numFmtId="274" fontId="56" fillId="23" borderId="0" applyNumberFormat="0" applyBorder="0" applyAlignment="0" applyProtection="0"/>
    <xf numFmtId="274" fontId="56" fillId="23" borderId="0" applyNumberFormat="0" applyBorder="0" applyAlignment="0" applyProtection="0"/>
    <xf numFmtId="274" fontId="56" fillId="23" borderId="0" applyNumberFormat="0" applyBorder="0" applyAlignment="0" applyProtection="0"/>
    <xf numFmtId="274" fontId="56" fillId="23" borderId="0" applyNumberFormat="0" applyBorder="0" applyAlignment="0" applyProtection="0"/>
    <xf numFmtId="274" fontId="56" fillId="23" borderId="0" applyNumberFormat="0" applyBorder="0" applyAlignment="0" applyProtection="0"/>
    <xf numFmtId="274" fontId="56" fillId="23" borderId="0" applyNumberFormat="0" applyBorder="0" applyAlignment="0" applyProtection="0"/>
    <xf numFmtId="274" fontId="56" fillId="23" borderId="0" applyNumberFormat="0" applyBorder="0" applyAlignment="0" applyProtection="0"/>
    <xf numFmtId="274" fontId="56" fillId="23" borderId="0" applyNumberFormat="0" applyBorder="0" applyAlignment="0" applyProtection="0"/>
    <xf numFmtId="274" fontId="56" fillId="23" borderId="0" applyNumberFormat="0" applyBorder="0" applyAlignment="0" applyProtection="0"/>
    <xf numFmtId="274" fontId="56" fillId="23" borderId="0" applyNumberFormat="0" applyBorder="0" applyAlignment="0" applyProtection="0"/>
    <xf numFmtId="274" fontId="56" fillId="23" borderId="0" applyNumberFormat="0" applyBorder="0" applyAlignment="0" applyProtection="0"/>
    <xf numFmtId="274" fontId="56" fillId="23" borderId="0" applyNumberFormat="0" applyBorder="0" applyAlignment="0" applyProtection="0"/>
    <xf numFmtId="274" fontId="56" fillId="23" borderId="0" applyNumberFormat="0" applyBorder="0" applyAlignment="0" applyProtection="0"/>
    <xf numFmtId="274" fontId="56" fillId="23" borderId="0" applyNumberFormat="0" applyBorder="0" applyAlignment="0" applyProtection="0"/>
    <xf numFmtId="274" fontId="56" fillId="23" borderId="0" applyNumberFormat="0" applyBorder="0" applyAlignment="0" applyProtection="0"/>
    <xf numFmtId="274" fontId="56" fillId="23" borderId="0" applyNumberFormat="0" applyBorder="0" applyAlignment="0" applyProtection="0"/>
    <xf numFmtId="274" fontId="56" fillId="23" borderId="0" applyNumberFormat="0" applyBorder="0" applyAlignment="0" applyProtection="0"/>
    <xf numFmtId="274" fontId="56" fillId="23" borderId="0" applyNumberFormat="0" applyBorder="0" applyAlignment="0" applyProtection="0"/>
    <xf numFmtId="274" fontId="56" fillId="23" borderId="0" applyNumberFormat="0" applyBorder="0" applyAlignment="0" applyProtection="0"/>
    <xf numFmtId="274" fontId="56" fillId="23" borderId="0" applyNumberFormat="0" applyBorder="0" applyAlignment="0" applyProtection="0"/>
    <xf numFmtId="274" fontId="56" fillId="23" borderId="0" applyNumberFormat="0" applyBorder="0" applyAlignment="0" applyProtection="0"/>
    <xf numFmtId="274" fontId="56" fillId="23" borderId="0" applyNumberFormat="0" applyBorder="0" applyAlignment="0" applyProtection="0"/>
    <xf numFmtId="274" fontId="56" fillId="23" borderId="0" applyNumberFormat="0" applyBorder="0" applyAlignment="0" applyProtection="0"/>
    <xf numFmtId="274" fontId="56" fillId="23" borderId="0" applyNumberFormat="0" applyBorder="0" applyAlignment="0" applyProtection="0"/>
    <xf numFmtId="274" fontId="56" fillId="23" borderId="0" applyNumberFormat="0" applyBorder="0" applyAlignment="0" applyProtection="0"/>
    <xf numFmtId="0" fontId="56" fillId="23" borderId="0" applyNumberFormat="0" applyBorder="0" applyAlignment="0" applyProtection="0"/>
    <xf numFmtId="0" fontId="56" fillId="23" borderId="0" applyNumberFormat="0" applyBorder="0" applyAlignment="0" applyProtection="0"/>
    <xf numFmtId="0" fontId="56" fillId="23" borderId="0" applyNumberFormat="0" applyBorder="0" applyAlignment="0" applyProtection="0"/>
    <xf numFmtId="0" fontId="56" fillId="23" borderId="0" applyNumberFormat="0" applyBorder="0" applyAlignment="0" applyProtection="0"/>
    <xf numFmtId="0" fontId="56" fillId="23" borderId="0" applyNumberFormat="0" applyBorder="0" applyAlignment="0" applyProtection="0"/>
    <xf numFmtId="0" fontId="56" fillId="23" borderId="0" applyNumberFormat="0" applyBorder="0" applyAlignment="0" applyProtection="0"/>
    <xf numFmtId="0" fontId="56" fillId="23" borderId="0" applyNumberFormat="0" applyBorder="0" applyAlignment="0" applyProtection="0"/>
    <xf numFmtId="0" fontId="56" fillId="23" borderId="0" applyNumberFormat="0" applyBorder="0" applyAlignment="0" applyProtection="0"/>
    <xf numFmtId="0" fontId="56" fillId="23" borderId="0" applyNumberFormat="0" applyBorder="0" applyAlignment="0" applyProtection="0"/>
    <xf numFmtId="0" fontId="56" fillId="23" borderId="0" applyNumberFormat="0" applyBorder="0" applyAlignment="0" applyProtection="0"/>
    <xf numFmtId="0" fontId="56" fillId="23" borderId="0" applyNumberFormat="0" applyBorder="0" applyAlignment="0" applyProtection="0"/>
    <xf numFmtId="0" fontId="56" fillId="23" borderId="0" applyNumberFormat="0" applyBorder="0" applyAlignment="0" applyProtection="0"/>
    <xf numFmtId="0" fontId="56" fillId="23" borderId="0" applyNumberFormat="0" applyBorder="0" applyAlignment="0" applyProtection="0"/>
    <xf numFmtId="0" fontId="56" fillId="23" borderId="0" applyNumberFormat="0" applyBorder="0" applyAlignment="0" applyProtection="0"/>
    <xf numFmtId="0" fontId="56" fillId="23" borderId="0" applyNumberFormat="0" applyBorder="0" applyAlignment="0" applyProtection="0"/>
    <xf numFmtId="0" fontId="56" fillId="23" borderId="0" applyNumberFormat="0" applyBorder="0" applyAlignment="0" applyProtection="0"/>
    <xf numFmtId="0" fontId="56" fillId="23" borderId="0" applyNumberFormat="0" applyBorder="0" applyAlignment="0" applyProtection="0"/>
    <xf numFmtId="0" fontId="56" fillId="23" borderId="0" applyNumberFormat="0" applyBorder="0" applyAlignment="0" applyProtection="0"/>
    <xf numFmtId="0" fontId="56" fillId="23" borderId="0" applyNumberFormat="0" applyBorder="0" applyAlignment="0" applyProtection="0"/>
    <xf numFmtId="0" fontId="56" fillId="23" borderId="0" applyNumberFormat="0" applyBorder="0" applyAlignment="0" applyProtection="0"/>
    <xf numFmtId="0" fontId="56" fillId="23" borderId="0" applyNumberFormat="0" applyBorder="0" applyAlignment="0" applyProtection="0"/>
    <xf numFmtId="0" fontId="56" fillId="23" borderId="0" applyNumberFormat="0" applyBorder="0" applyAlignment="0" applyProtection="0"/>
    <xf numFmtId="0" fontId="56" fillId="23" borderId="0" applyNumberFormat="0" applyBorder="0" applyAlignment="0" applyProtection="0"/>
    <xf numFmtId="0" fontId="56" fillId="23" borderId="0" applyNumberFormat="0" applyBorder="0" applyAlignment="0" applyProtection="0"/>
    <xf numFmtId="0" fontId="56" fillId="23" borderId="0" applyNumberFormat="0" applyBorder="0" applyAlignment="0" applyProtection="0"/>
    <xf numFmtId="0" fontId="56" fillId="23" borderId="0" applyNumberFormat="0" applyBorder="0" applyAlignment="0" applyProtection="0"/>
    <xf numFmtId="0" fontId="56" fillId="23" borderId="0" applyNumberFormat="0" applyBorder="0" applyAlignment="0" applyProtection="0"/>
    <xf numFmtId="0" fontId="56" fillId="23" borderId="0" applyNumberFormat="0" applyBorder="0" applyAlignment="0" applyProtection="0"/>
    <xf numFmtId="0" fontId="56" fillId="23" borderId="0" applyNumberFormat="0" applyBorder="0" applyAlignment="0" applyProtection="0"/>
    <xf numFmtId="0" fontId="56" fillId="23" borderId="0" applyNumberFormat="0" applyBorder="0" applyAlignment="0" applyProtection="0"/>
    <xf numFmtId="0" fontId="56" fillId="23" borderId="0" applyNumberFormat="0" applyBorder="0" applyAlignment="0" applyProtection="0"/>
    <xf numFmtId="0" fontId="56" fillId="23" borderId="0" applyNumberFormat="0" applyBorder="0" applyAlignment="0" applyProtection="0"/>
    <xf numFmtId="0" fontId="56" fillId="27" borderId="0" applyNumberFormat="0" applyBorder="0" applyAlignment="0" applyProtection="0"/>
    <xf numFmtId="0" fontId="56" fillId="27" borderId="0" applyNumberFormat="0" applyBorder="0" applyAlignment="0" applyProtection="0"/>
    <xf numFmtId="0" fontId="56" fillId="27" borderId="0" applyNumberFormat="0" applyBorder="0" applyAlignment="0" applyProtection="0"/>
    <xf numFmtId="0" fontId="56" fillId="27" borderId="0" applyNumberFormat="0" applyBorder="0" applyAlignment="0" applyProtection="0"/>
    <xf numFmtId="0" fontId="56" fillId="27" borderId="0" applyNumberFormat="0" applyBorder="0" applyAlignment="0" applyProtection="0"/>
    <xf numFmtId="0" fontId="56" fillId="27" borderId="0" applyNumberFormat="0" applyBorder="0" applyAlignment="0" applyProtection="0"/>
    <xf numFmtId="0" fontId="56" fillId="27" borderId="0" applyNumberFormat="0" applyBorder="0" applyAlignment="0" applyProtection="0"/>
    <xf numFmtId="0" fontId="56" fillId="27" borderId="0" applyNumberFormat="0" applyBorder="0" applyAlignment="0" applyProtection="0"/>
    <xf numFmtId="0" fontId="56" fillId="27" borderId="0" applyNumberFormat="0" applyBorder="0" applyAlignment="0" applyProtection="0"/>
    <xf numFmtId="0" fontId="56" fillId="27" borderId="0" applyNumberFormat="0" applyBorder="0" applyAlignment="0" applyProtection="0"/>
    <xf numFmtId="274" fontId="56" fillId="27" borderId="0" applyNumberFormat="0" applyBorder="0" applyAlignment="0" applyProtection="0"/>
    <xf numFmtId="274" fontId="56" fillId="27" borderId="0" applyNumberFormat="0" applyBorder="0" applyAlignment="0" applyProtection="0"/>
    <xf numFmtId="274" fontId="56" fillId="27" borderId="0" applyNumberFormat="0" applyBorder="0" applyAlignment="0" applyProtection="0"/>
    <xf numFmtId="274" fontId="56" fillId="27" borderId="0" applyNumberFormat="0" applyBorder="0" applyAlignment="0" applyProtection="0"/>
    <xf numFmtId="274" fontId="56" fillId="27" borderId="0" applyNumberFormat="0" applyBorder="0" applyAlignment="0" applyProtection="0"/>
    <xf numFmtId="274" fontId="56" fillId="27" borderId="0" applyNumberFormat="0" applyBorder="0" applyAlignment="0" applyProtection="0"/>
    <xf numFmtId="274" fontId="56" fillId="27" borderId="0" applyNumberFormat="0" applyBorder="0" applyAlignment="0" applyProtection="0"/>
    <xf numFmtId="274" fontId="56" fillId="27" borderId="0" applyNumberFormat="0" applyBorder="0" applyAlignment="0" applyProtection="0"/>
    <xf numFmtId="274" fontId="56" fillId="27" borderId="0" applyNumberFormat="0" applyBorder="0" applyAlignment="0" applyProtection="0"/>
    <xf numFmtId="274" fontId="56" fillId="27" borderId="0" applyNumberFormat="0" applyBorder="0" applyAlignment="0" applyProtection="0"/>
    <xf numFmtId="274" fontId="56" fillId="27" borderId="0" applyNumberFormat="0" applyBorder="0" applyAlignment="0" applyProtection="0"/>
    <xf numFmtId="274" fontId="56" fillId="27" borderId="0" applyNumberFormat="0" applyBorder="0" applyAlignment="0" applyProtection="0"/>
    <xf numFmtId="274" fontId="56" fillId="27" borderId="0" applyNumberFormat="0" applyBorder="0" applyAlignment="0" applyProtection="0"/>
    <xf numFmtId="274" fontId="56" fillId="27" borderId="0" applyNumberFormat="0" applyBorder="0" applyAlignment="0" applyProtection="0"/>
    <xf numFmtId="274" fontId="56" fillId="27" borderId="0" applyNumberFormat="0" applyBorder="0" applyAlignment="0" applyProtection="0"/>
    <xf numFmtId="274" fontId="56" fillId="27" borderId="0" applyNumberFormat="0" applyBorder="0" applyAlignment="0" applyProtection="0"/>
    <xf numFmtId="274" fontId="56" fillId="27" borderId="0" applyNumberFormat="0" applyBorder="0" applyAlignment="0" applyProtection="0"/>
    <xf numFmtId="274" fontId="56" fillId="27" borderId="0" applyNumberFormat="0" applyBorder="0" applyAlignment="0" applyProtection="0"/>
    <xf numFmtId="274" fontId="56" fillId="27" borderId="0" applyNumberFormat="0" applyBorder="0" applyAlignment="0" applyProtection="0"/>
    <xf numFmtId="274" fontId="56" fillId="27" borderId="0" applyNumberFormat="0" applyBorder="0" applyAlignment="0" applyProtection="0"/>
    <xf numFmtId="274" fontId="56" fillId="27" borderId="0" applyNumberFormat="0" applyBorder="0" applyAlignment="0" applyProtection="0"/>
    <xf numFmtId="274" fontId="56" fillId="27" borderId="0" applyNumberFormat="0" applyBorder="0" applyAlignment="0" applyProtection="0"/>
    <xf numFmtId="274" fontId="56" fillId="27" borderId="0" applyNumberFormat="0" applyBorder="0" applyAlignment="0" applyProtection="0"/>
    <xf numFmtId="274" fontId="56" fillId="27" borderId="0" applyNumberFormat="0" applyBorder="0" applyAlignment="0" applyProtection="0"/>
    <xf numFmtId="274" fontId="56" fillId="27" borderId="0" applyNumberFormat="0" applyBorder="0" applyAlignment="0" applyProtection="0"/>
    <xf numFmtId="274" fontId="56" fillId="27" borderId="0" applyNumberFormat="0" applyBorder="0" applyAlignment="0" applyProtection="0"/>
    <xf numFmtId="274" fontId="56" fillId="27" borderId="0" applyNumberFormat="0" applyBorder="0" applyAlignment="0" applyProtection="0"/>
    <xf numFmtId="274" fontId="56" fillId="27" borderId="0" applyNumberFormat="0" applyBorder="0" applyAlignment="0" applyProtection="0"/>
    <xf numFmtId="274" fontId="56" fillId="27" borderId="0" applyNumberFormat="0" applyBorder="0" applyAlignment="0" applyProtection="0"/>
    <xf numFmtId="274" fontId="56" fillId="27" borderId="0" applyNumberFormat="0" applyBorder="0" applyAlignment="0" applyProtection="0"/>
    <xf numFmtId="274" fontId="56" fillId="27" borderId="0" applyNumberFormat="0" applyBorder="0" applyAlignment="0" applyProtection="0"/>
    <xf numFmtId="274" fontId="56" fillId="27" borderId="0" applyNumberFormat="0" applyBorder="0" applyAlignment="0" applyProtection="0"/>
    <xf numFmtId="274" fontId="56" fillId="27" borderId="0" applyNumberFormat="0" applyBorder="0" applyAlignment="0" applyProtection="0"/>
    <xf numFmtId="274" fontId="56" fillId="27" borderId="0" applyNumberFormat="0" applyBorder="0" applyAlignment="0" applyProtection="0"/>
    <xf numFmtId="274" fontId="56" fillId="27" borderId="0" applyNumberFormat="0" applyBorder="0" applyAlignment="0" applyProtection="0"/>
    <xf numFmtId="274" fontId="56" fillId="27" borderId="0" applyNumberFormat="0" applyBorder="0" applyAlignment="0" applyProtection="0"/>
    <xf numFmtId="274" fontId="56" fillId="27" borderId="0" applyNumberFormat="0" applyBorder="0" applyAlignment="0" applyProtection="0"/>
    <xf numFmtId="274" fontId="56" fillId="27" borderId="0" applyNumberFormat="0" applyBorder="0" applyAlignment="0" applyProtection="0"/>
    <xf numFmtId="274" fontId="56" fillId="27" borderId="0" applyNumberFormat="0" applyBorder="0" applyAlignment="0" applyProtection="0"/>
    <xf numFmtId="274" fontId="56" fillId="27" borderId="0" applyNumberFormat="0" applyBorder="0" applyAlignment="0" applyProtection="0"/>
    <xf numFmtId="274" fontId="56" fillId="27" borderId="0" applyNumberFormat="0" applyBorder="0" applyAlignment="0" applyProtection="0"/>
    <xf numFmtId="274" fontId="56" fillId="27" borderId="0" applyNumberFormat="0" applyBorder="0" applyAlignment="0" applyProtection="0"/>
    <xf numFmtId="0" fontId="56" fillId="27" borderId="0" applyNumberFormat="0" applyBorder="0" applyAlignment="0" applyProtection="0"/>
    <xf numFmtId="0" fontId="56" fillId="27" borderId="0" applyNumberFormat="0" applyBorder="0" applyAlignment="0" applyProtection="0"/>
    <xf numFmtId="0" fontId="56" fillId="27" borderId="0" applyNumberFormat="0" applyBorder="0" applyAlignment="0" applyProtection="0"/>
    <xf numFmtId="0" fontId="56" fillId="27" borderId="0" applyNumberFormat="0" applyBorder="0" applyAlignment="0" applyProtection="0"/>
    <xf numFmtId="0" fontId="56" fillId="27" borderId="0" applyNumberFormat="0" applyBorder="0" applyAlignment="0" applyProtection="0"/>
    <xf numFmtId="0" fontId="56" fillId="27" borderId="0" applyNumberFormat="0" applyBorder="0" applyAlignment="0" applyProtection="0"/>
    <xf numFmtId="0" fontId="56" fillId="27" borderId="0" applyNumberFormat="0" applyBorder="0" applyAlignment="0" applyProtection="0"/>
    <xf numFmtId="0" fontId="56" fillId="27" borderId="0" applyNumberFormat="0" applyBorder="0" applyAlignment="0" applyProtection="0"/>
    <xf numFmtId="0" fontId="56" fillId="27" borderId="0" applyNumberFormat="0" applyBorder="0" applyAlignment="0" applyProtection="0"/>
    <xf numFmtId="0" fontId="56" fillId="27" borderId="0" applyNumberFormat="0" applyBorder="0" applyAlignment="0" applyProtection="0"/>
    <xf numFmtId="0" fontId="56" fillId="27" borderId="0" applyNumberFormat="0" applyBorder="0" applyAlignment="0" applyProtection="0"/>
    <xf numFmtId="0" fontId="56" fillId="27" borderId="0" applyNumberFormat="0" applyBorder="0" applyAlignment="0" applyProtection="0"/>
    <xf numFmtId="0" fontId="56" fillId="27" borderId="0" applyNumberFormat="0" applyBorder="0" applyAlignment="0" applyProtection="0"/>
    <xf numFmtId="0" fontId="56" fillId="27" borderId="0" applyNumberFormat="0" applyBorder="0" applyAlignment="0" applyProtection="0"/>
    <xf numFmtId="0" fontId="56" fillId="27" borderId="0" applyNumberFormat="0" applyBorder="0" applyAlignment="0" applyProtection="0"/>
    <xf numFmtId="0" fontId="56" fillId="27" borderId="0" applyNumberFormat="0" applyBorder="0" applyAlignment="0" applyProtection="0"/>
    <xf numFmtId="0" fontId="56" fillId="27" borderId="0" applyNumberFormat="0" applyBorder="0" applyAlignment="0" applyProtection="0"/>
    <xf numFmtId="0" fontId="56" fillId="27" borderId="0" applyNumberFormat="0" applyBorder="0" applyAlignment="0" applyProtection="0"/>
    <xf numFmtId="0" fontId="56" fillId="27" borderId="0" applyNumberFormat="0" applyBorder="0" applyAlignment="0" applyProtection="0"/>
    <xf numFmtId="0" fontId="56" fillId="27" borderId="0" applyNumberFormat="0" applyBorder="0" applyAlignment="0" applyProtection="0"/>
    <xf numFmtId="0" fontId="56" fillId="27" borderId="0" applyNumberFormat="0" applyBorder="0" applyAlignment="0" applyProtection="0"/>
    <xf numFmtId="0" fontId="56" fillId="27" borderId="0" applyNumberFormat="0" applyBorder="0" applyAlignment="0" applyProtection="0"/>
    <xf numFmtId="0" fontId="56" fillId="27" borderId="0" applyNumberFormat="0" applyBorder="0" applyAlignment="0" applyProtection="0"/>
    <xf numFmtId="0" fontId="56" fillId="27" borderId="0" applyNumberFormat="0" applyBorder="0" applyAlignment="0" applyProtection="0"/>
    <xf numFmtId="0" fontId="56" fillId="27" borderId="0" applyNumberFormat="0" applyBorder="0" applyAlignment="0" applyProtection="0"/>
    <xf numFmtId="0" fontId="56" fillId="27" borderId="0" applyNumberFormat="0" applyBorder="0" applyAlignment="0" applyProtection="0"/>
    <xf numFmtId="0" fontId="56" fillId="27" borderId="0" applyNumberFormat="0" applyBorder="0" applyAlignment="0" applyProtection="0"/>
    <xf numFmtId="0" fontId="56" fillId="27" borderId="0" applyNumberFormat="0" applyBorder="0" applyAlignment="0" applyProtection="0"/>
    <xf numFmtId="0" fontId="56" fillId="27" borderId="0" applyNumberFormat="0" applyBorder="0" applyAlignment="0" applyProtection="0"/>
    <xf numFmtId="0" fontId="56" fillId="27" borderId="0" applyNumberFormat="0" applyBorder="0" applyAlignment="0" applyProtection="0"/>
    <xf numFmtId="0" fontId="56" fillId="27" borderId="0" applyNumberFormat="0" applyBorder="0" applyAlignment="0" applyProtection="0"/>
    <xf numFmtId="0" fontId="56" fillId="27" borderId="0" applyNumberFormat="0" applyBorder="0" applyAlignment="0" applyProtection="0"/>
    <xf numFmtId="0" fontId="56" fillId="31" borderId="0" applyNumberFormat="0" applyBorder="0" applyAlignment="0" applyProtection="0"/>
    <xf numFmtId="0" fontId="56" fillId="31" borderId="0" applyNumberFormat="0" applyBorder="0" applyAlignment="0" applyProtection="0"/>
    <xf numFmtId="0" fontId="56" fillId="31" borderId="0" applyNumberFormat="0" applyBorder="0" applyAlignment="0" applyProtection="0"/>
    <xf numFmtId="0" fontId="56" fillId="31" borderId="0" applyNumberFormat="0" applyBorder="0" applyAlignment="0" applyProtection="0"/>
    <xf numFmtId="0" fontId="56" fillId="31" borderId="0" applyNumberFormat="0" applyBorder="0" applyAlignment="0" applyProtection="0"/>
    <xf numFmtId="0" fontId="56" fillId="31" borderId="0" applyNumberFormat="0" applyBorder="0" applyAlignment="0" applyProtection="0"/>
    <xf numFmtId="0" fontId="56" fillId="31" borderId="0" applyNumberFormat="0" applyBorder="0" applyAlignment="0" applyProtection="0"/>
    <xf numFmtId="0" fontId="56" fillId="31" borderId="0" applyNumberFormat="0" applyBorder="0" applyAlignment="0" applyProtection="0"/>
    <xf numFmtId="0" fontId="56" fillId="31" borderId="0" applyNumberFormat="0" applyBorder="0" applyAlignment="0" applyProtection="0"/>
    <xf numFmtId="0" fontId="56" fillId="31" borderId="0" applyNumberFormat="0" applyBorder="0" applyAlignment="0" applyProtection="0"/>
    <xf numFmtId="274" fontId="56" fillId="31" borderId="0" applyNumberFormat="0" applyBorder="0" applyAlignment="0" applyProtection="0"/>
    <xf numFmtId="274" fontId="56" fillId="31" borderId="0" applyNumberFormat="0" applyBorder="0" applyAlignment="0" applyProtection="0"/>
    <xf numFmtId="274" fontId="56" fillId="31" borderId="0" applyNumberFormat="0" applyBorder="0" applyAlignment="0" applyProtection="0"/>
    <xf numFmtId="274" fontId="56" fillId="31" borderId="0" applyNumberFormat="0" applyBorder="0" applyAlignment="0" applyProtection="0"/>
    <xf numFmtId="274" fontId="56" fillId="31" borderId="0" applyNumberFormat="0" applyBorder="0" applyAlignment="0" applyProtection="0"/>
    <xf numFmtId="274" fontId="56" fillId="31" borderId="0" applyNumberFormat="0" applyBorder="0" applyAlignment="0" applyProtection="0"/>
    <xf numFmtId="274" fontId="56" fillId="31" borderId="0" applyNumberFormat="0" applyBorder="0" applyAlignment="0" applyProtection="0"/>
    <xf numFmtId="274" fontId="56" fillId="31" borderId="0" applyNumberFormat="0" applyBorder="0" applyAlignment="0" applyProtection="0"/>
    <xf numFmtId="274" fontId="56" fillId="31" borderId="0" applyNumberFormat="0" applyBorder="0" applyAlignment="0" applyProtection="0"/>
    <xf numFmtId="274" fontId="56" fillId="31" borderId="0" applyNumberFormat="0" applyBorder="0" applyAlignment="0" applyProtection="0"/>
    <xf numFmtId="274" fontId="56" fillId="31" borderId="0" applyNumberFormat="0" applyBorder="0" applyAlignment="0" applyProtection="0"/>
    <xf numFmtId="274" fontId="56" fillId="31" borderId="0" applyNumberFormat="0" applyBorder="0" applyAlignment="0" applyProtection="0"/>
    <xf numFmtId="274" fontId="56" fillId="31" borderId="0" applyNumberFormat="0" applyBorder="0" applyAlignment="0" applyProtection="0"/>
    <xf numFmtId="274" fontId="56" fillId="31" borderId="0" applyNumberFormat="0" applyBorder="0" applyAlignment="0" applyProtection="0"/>
    <xf numFmtId="274" fontId="56" fillId="31" borderId="0" applyNumberFormat="0" applyBorder="0" applyAlignment="0" applyProtection="0"/>
    <xf numFmtId="274" fontId="56" fillId="31" borderId="0" applyNumberFormat="0" applyBorder="0" applyAlignment="0" applyProtection="0"/>
    <xf numFmtId="274" fontId="56" fillId="31" borderId="0" applyNumberFormat="0" applyBorder="0" applyAlignment="0" applyProtection="0"/>
    <xf numFmtId="274" fontId="56" fillId="31" borderId="0" applyNumberFormat="0" applyBorder="0" applyAlignment="0" applyProtection="0"/>
    <xf numFmtId="274" fontId="56" fillId="31" borderId="0" applyNumberFormat="0" applyBorder="0" applyAlignment="0" applyProtection="0"/>
    <xf numFmtId="274" fontId="56" fillId="31" borderId="0" applyNumberFormat="0" applyBorder="0" applyAlignment="0" applyProtection="0"/>
    <xf numFmtId="274" fontId="56" fillId="31" borderId="0" applyNumberFormat="0" applyBorder="0" applyAlignment="0" applyProtection="0"/>
    <xf numFmtId="274" fontId="56" fillId="31" borderId="0" applyNumberFormat="0" applyBorder="0" applyAlignment="0" applyProtection="0"/>
    <xf numFmtId="274" fontId="56" fillId="31" borderId="0" applyNumberFormat="0" applyBorder="0" applyAlignment="0" applyProtection="0"/>
    <xf numFmtId="274" fontId="56" fillId="31" borderId="0" applyNumberFormat="0" applyBorder="0" applyAlignment="0" applyProtection="0"/>
    <xf numFmtId="274" fontId="56" fillId="31" borderId="0" applyNumberFormat="0" applyBorder="0" applyAlignment="0" applyProtection="0"/>
    <xf numFmtId="274" fontId="56" fillId="31" borderId="0" applyNumberFormat="0" applyBorder="0" applyAlignment="0" applyProtection="0"/>
    <xf numFmtId="274" fontId="56" fillId="31" borderId="0" applyNumberFormat="0" applyBorder="0" applyAlignment="0" applyProtection="0"/>
    <xf numFmtId="274" fontId="56" fillId="31" borderId="0" applyNumberFormat="0" applyBorder="0" applyAlignment="0" applyProtection="0"/>
    <xf numFmtId="274" fontId="56" fillId="31" borderId="0" applyNumberFormat="0" applyBorder="0" applyAlignment="0" applyProtection="0"/>
    <xf numFmtId="274" fontId="56" fillId="31" borderId="0" applyNumberFormat="0" applyBorder="0" applyAlignment="0" applyProtection="0"/>
    <xf numFmtId="274" fontId="56" fillId="31" borderId="0" applyNumberFormat="0" applyBorder="0" applyAlignment="0" applyProtection="0"/>
    <xf numFmtId="274" fontId="56" fillId="31" borderId="0" applyNumberFormat="0" applyBorder="0" applyAlignment="0" applyProtection="0"/>
    <xf numFmtId="274" fontId="56" fillId="31" borderId="0" applyNumberFormat="0" applyBorder="0" applyAlignment="0" applyProtection="0"/>
    <xf numFmtId="274" fontId="56" fillId="31" borderId="0" applyNumberFormat="0" applyBorder="0" applyAlignment="0" applyProtection="0"/>
    <xf numFmtId="274" fontId="56" fillId="31" borderId="0" applyNumberFormat="0" applyBorder="0" applyAlignment="0" applyProtection="0"/>
    <xf numFmtId="274" fontId="56" fillId="31" borderId="0" applyNumberFormat="0" applyBorder="0" applyAlignment="0" applyProtection="0"/>
    <xf numFmtId="274" fontId="56" fillId="31" borderId="0" applyNumberFormat="0" applyBorder="0" applyAlignment="0" applyProtection="0"/>
    <xf numFmtId="274" fontId="56" fillId="31" borderId="0" applyNumberFormat="0" applyBorder="0" applyAlignment="0" applyProtection="0"/>
    <xf numFmtId="274" fontId="56" fillId="31" borderId="0" applyNumberFormat="0" applyBorder="0" applyAlignment="0" applyProtection="0"/>
    <xf numFmtId="274" fontId="56" fillId="31" borderId="0" applyNumberFormat="0" applyBorder="0" applyAlignment="0" applyProtection="0"/>
    <xf numFmtId="274" fontId="56" fillId="31" borderId="0" applyNumberFormat="0" applyBorder="0" applyAlignment="0" applyProtection="0"/>
    <xf numFmtId="274" fontId="56" fillId="31" borderId="0" applyNumberFormat="0" applyBorder="0" applyAlignment="0" applyProtection="0"/>
    <xf numFmtId="0" fontId="56" fillId="31" borderId="0" applyNumberFormat="0" applyBorder="0" applyAlignment="0" applyProtection="0"/>
    <xf numFmtId="0" fontId="56" fillId="31" borderId="0" applyNumberFormat="0" applyBorder="0" applyAlignment="0" applyProtection="0"/>
    <xf numFmtId="0" fontId="56" fillId="31" borderId="0" applyNumberFormat="0" applyBorder="0" applyAlignment="0" applyProtection="0"/>
    <xf numFmtId="0" fontId="56" fillId="31" borderId="0" applyNumberFormat="0" applyBorder="0" applyAlignment="0" applyProtection="0"/>
    <xf numFmtId="0" fontId="56" fillId="31" borderId="0" applyNumberFormat="0" applyBorder="0" applyAlignment="0" applyProtection="0"/>
    <xf numFmtId="0" fontId="56" fillId="31" borderId="0" applyNumberFormat="0" applyBorder="0" applyAlignment="0" applyProtection="0"/>
    <xf numFmtId="0" fontId="56" fillId="31" borderId="0" applyNumberFormat="0" applyBorder="0" applyAlignment="0" applyProtection="0"/>
    <xf numFmtId="0" fontId="56" fillId="31" borderId="0" applyNumberFormat="0" applyBorder="0" applyAlignment="0" applyProtection="0"/>
    <xf numFmtId="0" fontId="56" fillId="31" borderId="0" applyNumberFormat="0" applyBorder="0" applyAlignment="0" applyProtection="0"/>
    <xf numFmtId="0" fontId="56" fillId="31" borderId="0" applyNumberFormat="0" applyBorder="0" applyAlignment="0" applyProtection="0"/>
    <xf numFmtId="0" fontId="56" fillId="31" borderId="0" applyNumberFormat="0" applyBorder="0" applyAlignment="0" applyProtection="0"/>
    <xf numFmtId="0" fontId="56" fillId="31" borderId="0" applyNumberFormat="0" applyBorder="0" applyAlignment="0" applyProtection="0"/>
    <xf numFmtId="0" fontId="56" fillId="31" borderId="0" applyNumberFormat="0" applyBorder="0" applyAlignment="0" applyProtection="0"/>
    <xf numFmtId="0" fontId="56" fillId="31" borderId="0" applyNumberFormat="0" applyBorder="0" applyAlignment="0" applyProtection="0"/>
    <xf numFmtId="0" fontId="56" fillId="31" borderId="0" applyNumberFormat="0" applyBorder="0" applyAlignment="0" applyProtection="0"/>
    <xf numFmtId="0" fontId="56" fillId="31" borderId="0" applyNumberFormat="0" applyBorder="0" applyAlignment="0" applyProtection="0"/>
    <xf numFmtId="0" fontId="56" fillId="31" borderId="0" applyNumberFormat="0" applyBorder="0" applyAlignment="0" applyProtection="0"/>
    <xf numFmtId="0" fontId="56" fillId="31" borderId="0" applyNumberFormat="0" applyBorder="0" applyAlignment="0" applyProtection="0"/>
    <xf numFmtId="0" fontId="56" fillId="31" borderId="0" applyNumberFormat="0" applyBorder="0" applyAlignment="0" applyProtection="0"/>
    <xf numFmtId="0" fontId="56" fillId="31" borderId="0" applyNumberFormat="0" applyBorder="0" applyAlignment="0" applyProtection="0"/>
    <xf numFmtId="0" fontId="56" fillId="31" borderId="0" applyNumberFormat="0" applyBorder="0" applyAlignment="0" applyProtection="0"/>
    <xf numFmtId="0" fontId="56" fillId="31" borderId="0" applyNumberFormat="0" applyBorder="0" applyAlignment="0" applyProtection="0"/>
    <xf numFmtId="0" fontId="56" fillId="31" borderId="0" applyNumberFormat="0" applyBorder="0" applyAlignment="0" applyProtection="0"/>
    <xf numFmtId="0" fontId="56" fillId="31" borderId="0" applyNumberFormat="0" applyBorder="0" applyAlignment="0" applyProtection="0"/>
    <xf numFmtId="0" fontId="56" fillId="31" borderId="0" applyNumberFormat="0" applyBorder="0" applyAlignment="0" applyProtection="0"/>
    <xf numFmtId="0" fontId="56" fillId="31" borderId="0" applyNumberFormat="0" applyBorder="0" applyAlignment="0" applyProtection="0"/>
    <xf numFmtId="0" fontId="56" fillId="31" borderId="0" applyNumberFormat="0" applyBorder="0" applyAlignment="0" applyProtection="0"/>
    <xf numFmtId="0" fontId="56" fillId="31" borderId="0" applyNumberFormat="0" applyBorder="0" applyAlignment="0" applyProtection="0"/>
    <xf numFmtId="0" fontId="56" fillId="31" borderId="0" applyNumberFormat="0" applyBorder="0" applyAlignment="0" applyProtection="0"/>
    <xf numFmtId="0" fontId="56" fillId="31" borderId="0" applyNumberFormat="0" applyBorder="0" applyAlignment="0" applyProtection="0"/>
    <xf numFmtId="0" fontId="56" fillId="31" borderId="0" applyNumberFormat="0" applyBorder="0" applyAlignment="0" applyProtection="0"/>
    <xf numFmtId="0" fontId="56" fillId="31" borderId="0" applyNumberFormat="0" applyBorder="0" applyAlignment="0" applyProtection="0"/>
    <xf numFmtId="234" fontId="66" fillId="79" borderId="92" applyNumberFormat="0" applyFont="0" applyAlignment="0" applyProtection="0"/>
    <xf numFmtId="234" fontId="66" fillId="79" borderId="92" applyNumberFormat="0" applyFont="0" applyAlignment="0" applyProtection="0"/>
    <xf numFmtId="234" fontId="66" fillId="79" borderId="92" applyNumberFormat="0" applyFont="0" applyAlignment="0" applyProtection="0"/>
    <xf numFmtId="0" fontId="95" fillId="0" borderId="56" applyFont="0">
      <alignment horizontal="centerContinuous"/>
    </xf>
    <xf numFmtId="0" fontId="95" fillId="0" borderId="56" applyFont="0">
      <alignment horizontal="centerContinuous"/>
    </xf>
    <xf numFmtId="0" fontId="95" fillId="0" borderId="56" applyFont="0">
      <alignment horizontal="centerContinuous"/>
    </xf>
    <xf numFmtId="190" fontId="88" fillId="0" borderId="114">
      <protection locked="0"/>
    </xf>
    <xf numFmtId="0" fontId="203" fillId="0" borderId="56" applyNumberFormat="0" applyFont="0" applyFill="0" applyAlignment="0" applyProtection="0"/>
    <xf numFmtId="0" fontId="203" fillId="0" borderId="56" applyNumberFormat="0" applyFont="0" applyFill="0" applyAlignment="0" applyProtection="0"/>
    <xf numFmtId="0" fontId="203" fillId="0" borderId="56" applyNumberFormat="0" applyFont="0" applyFill="0" applyAlignment="0" applyProtection="0"/>
    <xf numFmtId="0" fontId="199" fillId="0" borderId="102"/>
    <xf numFmtId="0" fontId="199" fillId="0" borderId="102"/>
    <xf numFmtId="180" fontId="222" fillId="0" borderId="114">
      <alignment horizontal="center" vertical="top" wrapText="1"/>
    </xf>
    <xf numFmtId="238" fontId="222" fillId="0" borderId="114">
      <alignment horizontal="left" vertical="top" wrapText="1"/>
    </xf>
    <xf numFmtId="169" fontId="56" fillId="0" borderId="0" applyFont="0" applyFill="0" applyBorder="0" applyAlignment="0" applyProtection="0"/>
    <xf numFmtId="169" fontId="56" fillId="0" borderId="0" applyFont="0" applyFill="0" applyBorder="0" applyAlignment="0" applyProtection="0"/>
    <xf numFmtId="169" fontId="56" fillId="0" borderId="0" applyFont="0" applyFill="0" applyBorder="0" applyAlignment="0" applyProtection="0"/>
    <xf numFmtId="169" fontId="56" fillId="0" borderId="0" applyFont="0" applyFill="0" applyBorder="0" applyAlignment="0" applyProtection="0"/>
    <xf numFmtId="169" fontId="56" fillId="0" borderId="0" applyFont="0" applyFill="0" applyBorder="0" applyAlignment="0" applyProtection="0"/>
    <xf numFmtId="43"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288"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0" fontId="56" fillId="0" borderId="0" applyFont="0" applyFill="0" applyBorder="0" applyAlignment="0" applyProtection="0"/>
    <xf numFmtId="0" fontId="56" fillId="0" borderId="0" applyFont="0" applyFill="0" applyBorder="0" applyAlignment="0" applyProtection="0"/>
    <xf numFmtId="0" fontId="56" fillId="0" borderId="0" applyFont="0" applyFill="0" applyBorder="0" applyAlignment="0" applyProtection="0"/>
    <xf numFmtId="0" fontId="56" fillId="0" borderId="0" applyFont="0" applyFill="0" applyBorder="0" applyAlignment="0" applyProtection="0"/>
    <xf numFmtId="0" fontId="56" fillId="0" borderId="0" applyFont="0" applyFill="0" applyBorder="0" applyAlignment="0" applyProtection="0"/>
    <xf numFmtId="0" fontId="56" fillId="0" borderId="0" applyFont="0" applyFill="0" applyBorder="0" applyAlignment="0" applyProtection="0"/>
    <xf numFmtId="0" fontId="56" fillId="0" borderId="0" applyFont="0" applyFill="0" applyBorder="0" applyAlignment="0" applyProtection="0"/>
    <xf numFmtId="0" fontId="56" fillId="0" borderId="0" applyFont="0" applyFill="0" applyBorder="0" applyAlignment="0" applyProtection="0"/>
    <xf numFmtId="0" fontId="56" fillId="0" borderId="0" applyFont="0" applyFill="0" applyBorder="0" applyAlignment="0" applyProtection="0"/>
    <xf numFmtId="0" fontId="56" fillId="0" borderId="0" applyFont="0" applyFill="0" applyBorder="0" applyAlignment="0" applyProtection="0"/>
    <xf numFmtId="0" fontId="56" fillId="0" borderId="0" applyFont="0" applyFill="0" applyBorder="0" applyAlignment="0" applyProtection="0"/>
    <xf numFmtId="0" fontId="56" fillId="0" borderId="0" applyFont="0" applyFill="0" applyBorder="0" applyAlignment="0" applyProtection="0"/>
    <xf numFmtId="0" fontId="56" fillId="0" borderId="0" applyFont="0" applyFill="0" applyBorder="0" applyAlignment="0" applyProtection="0"/>
    <xf numFmtId="0" fontId="56" fillId="0" borderId="0" applyFont="0" applyFill="0" applyBorder="0" applyAlignment="0" applyProtection="0"/>
    <xf numFmtId="0" fontId="56" fillId="0" borderId="0" applyFont="0" applyFill="0" applyBorder="0" applyAlignment="0" applyProtection="0"/>
    <xf numFmtId="0" fontId="56" fillId="0" borderId="0" applyFont="0" applyFill="0" applyBorder="0" applyAlignment="0" applyProtection="0"/>
    <xf numFmtId="0" fontId="56" fillId="0" borderId="0" applyFont="0" applyFill="0" applyBorder="0" applyAlignment="0" applyProtection="0"/>
    <xf numFmtId="0" fontId="56" fillId="0" borderId="0" applyFont="0" applyFill="0" applyBorder="0" applyAlignment="0" applyProtection="0"/>
    <xf numFmtId="0" fontId="56" fillId="0" borderId="0" applyFont="0" applyFill="0" applyBorder="0" applyAlignment="0" applyProtection="0"/>
    <xf numFmtId="0" fontId="56" fillId="0" borderId="0" applyFont="0" applyFill="0" applyBorder="0" applyAlignment="0" applyProtection="0"/>
    <xf numFmtId="0" fontId="56" fillId="0" borderId="0" applyFont="0" applyFill="0" applyBorder="0" applyAlignment="0" applyProtection="0"/>
    <xf numFmtId="0" fontId="56" fillId="0" borderId="0" applyFont="0" applyFill="0" applyBorder="0" applyAlignment="0" applyProtection="0"/>
    <xf numFmtId="0" fontId="56" fillId="0" borderId="0" applyFont="0" applyFill="0" applyBorder="0" applyAlignment="0" applyProtection="0"/>
    <xf numFmtId="0" fontId="56" fillId="0" borderId="0" applyFont="0" applyFill="0" applyBorder="0" applyAlignment="0" applyProtection="0"/>
    <xf numFmtId="0" fontId="56" fillId="0" borderId="0" applyFont="0" applyFill="0" applyBorder="0" applyAlignment="0" applyProtection="0"/>
    <xf numFmtId="0" fontId="56" fillId="0" borderId="0" applyFont="0" applyFill="0" applyBorder="0" applyAlignment="0" applyProtection="0"/>
    <xf numFmtId="0" fontId="56" fillId="0" borderId="0" applyFont="0" applyFill="0" applyBorder="0" applyAlignment="0" applyProtection="0"/>
    <xf numFmtId="0" fontId="56" fillId="0" borderId="0" applyFont="0" applyFill="0" applyBorder="0" applyAlignment="0" applyProtection="0"/>
    <xf numFmtId="0" fontId="56" fillId="0" borderId="0" applyFont="0" applyFill="0" applyBorder="0" applyAlignment="0" applyProtection="0"/>
    <xf numFmtId="0" fontId="56" fillId="0" borderId="0" applyFont="0" applyFill="0" applyBorder="0" applyAlignment="0" applyProtection="0"/>
    <xf numFmtId="0" fontId="56" fillId="0" borderId="0" applyFont="0" applyFill="0" applyBorder="0" applyAlignment="0" applyProtection="0"/>
    <xf numFmtId="0" fontId="56" fillId="0" borderId="0" applyFont="0" applyFill="0" applyBorder="0" applyAlignment="0" applyProtection="0"/>
    <xf numFmtId="0" fontId="56" fillId="0" borderId="0" applyFont="0" applyFill="0" applyBorder="0" applyAlignment="0" applyProtection="0"/>
    <xf numFmtId="0" fontId="56" fillId="0" borderId="0" applyFont="0" applyFill="0" applyBorder="0" applyAlignment="0" applyProtection="0"/>
    <xf numFmtId="0"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288"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171"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0" fontId="150" fillId="0" borderId="57" applyNumberFormat="0" applyFont="0" applyFill="0" applyBorder="0" applyProtection="0">
      <alignment horizontal="centerContinuous"/>
    </xf>
    <xf numFmtId="0" fontId="150" fillId="0" borderId="57" applyNumberFormat="0" applyFont="0" applyFill="0" applyBorder="0" applyProtection="0">
      <alignment horizontal="centerContinuous"/>
    </xf>
    <xf numFmtId="238" fontId="182" fillId="82" borderId="105">
      <alignment horizontal="center" vertical="center"/>
    </xf>
    <xf numFmtId="315" fontId="250" fillId="61" borderId="93" applyAlignment="0" applyProtection="0"/>
    <xf numFmtId="0" fontId="169" fillId="0" borderId="92">
      <alignment horizontal="left" wrapText="1"/>
    </xf>
    <xf numFmtId="273" fontId="261" fillId="0" borderId="116">
      <alignment horizontal="right"/>
    </xf>
    <xf numFmtId="0" fontId="88" fillId="0" borderId="93" applyBorder="0"/>
    <xf numFmtId="0" fontId="88" fillId="0" borderId="93" applyBorder="0"/>
    <xf numFmtId="0" fontId="88" fillId="0" borderId="93" applyBorder="0"/>
    <xf numFmtId="0" fontId="87" fillId="70" borderId="92" applyNumberFormat="0" applyFont="0" applyAlignment="0"/>
    <xf numFmtId="0" fontId="87" fillId="70" borderId="92" applyNumberFormat="0" applyFont="0" applyAlignment="0"/>
    <xf numFmtId="0" fontId="87" fillId="70" borderId="92" applyNumberFormat="0" applyFont="0" applyAlignment="0"/>
    <xf numFmtId="238" fontId="266" fillId="0" borderId="110" applyNumberFormat="0" applyAlignment="0" applyProtection="0">
      <alignment horizontal="left" vertical="center"/>
    </xf>
    <xf numFmtId="238" fontId="266" fillId="0" borderId="110" applyNumberFormat="0" applyAlignment="0" applyProtection="0">
      <alignment horizontal="left" vertical="center"/>
    </xf>
    <xf numFmtId="238" fontId="266" fillId="0" borderId="110" applyNumberFormat="0" applyAlignment="0" applyProtection="0">
      <alignment horizontal="left" vertical="center"/>
    </xf>
    <xf numFmtId="238" fontId="266" fillId="0" borderId="110" applyNumberFormat="0" applyAlignment="0" applyProtection="0">
      <alignment horizontal="left" vertical="center"/>
    </xf>
    <xf numFmtId="238" fontId="266" fillId="0" borderId="110" applyNumberFormat="0" applyAlignment="0" applyProtection="0">
      <alignment horizontal="left" vertical="center"/>
    </xf>
    <xf numFmtId="238" fontId="266" fillId="0" borderId="110" applyNumberFormat="0" applyAlignment="0" applyProtection="0">
      <alignment horizontal="left" vertical="center"/>
    </xf>
    <xf numFmtId="238" fontId="266" fillId="0" borderId="110" applyNumberFormat="0" applyAlignment="0" applyProtection="0">
      <alignment horizontal="left" vertical="center"/>
    </xf>
    <xf numFmtId="238" fontId="266" fillId="0" borderId="110" applyNumberFormat="0" applyAlignment="0" applyProtection="0">
      <alignment horizontal="left" vertical="center"/>
    </xf>
    <xf numFmtId="238" fontId="266" fillId="0" borderId="110" applyNumberFormat="0" applyAlignment="0" applyProtection="0">
      <alignment horizontal="left" vertical="center"/>
    </xf>
    <xf numFmtId="238" fontId="266" fillId="0" borderId="110" applyNumberFormat="0" applyAlignment="0" applyProtection="0">
      <alignment horizontal="left" vertical="center"/>
    </xf>
    <xf numFmtId="238" fontId="266" fillId="0" borderId="110" applyNumberFormat="0" applyAlignment="0" applyProtection="0">
      <alignment horizontal="left" vertical="center"/>
    </xf>
    <xf numFmtId="238" fontId="266" fillId="0" borderId="110" applyNumberFormat="0" applyAlignment="0" applyProtection="0">
      <alignment horizontal="left" vertical="center"/>
    </xf>
    <xf numFmtId="238" fontId="266" fillId="0" borderId="110" applyNumberFormat="0" applyAlignment="0" applyProtection="0">
      <alignment horizontal="left" vertical="center"/>
    </xf>
    <xf numFmtId="238" fontId="266" fillId="0" borderId="110" applyNumberFormat="0" applyAlignment="0" applyProtection="0">
      <alignment horizontal="left" vertical="center"/>
    </xf>
    <xf numFmtId="238" fontId="266" fillId="0" borderId="110" applyNumberFormat="0" applyAlignment="0" applyProtection="0">
      <alignment horizontal="left" vertical="center"/>
    </xf>
    <xf numFmtId="238" fontId="266" fillId="0" borderId="110" applyNumberFormat="0" applyAlignment="0" applyProtection="0">
      <alignment horizontal="left" vertical="center"/>
    </xf>
    <xf numFmtId="238" fontId="266" fillId="0" borderId="110" applyNumberFormat="0" applyAlignment="0" applyProtection="0">
      <alignment horizontal="left" vertical="center"/>
    </xf>
    <xf numFmtId="238" fontId="266" fillId="0" borderId="110" applyNumberFormat="0" applyAlignment="0" applyProtection="0">
      <alignment horizontal="left" vertical="center"/>
    </xf>
    <xf numFmtId="238" fontId="266" fillId="0" borderId="110" applyNumberFormat="0" applyAlignment="0" applyProtection="0">
      <alignment horizontal="left" vertical="center"/>
    </xf>
    <xf numFmtId="238" fontId="266" fillId="0" borderId="110" applyNumberFormat="0" applyAlignment="0" applyProtection="0">
      <alignment horizontal="left" vertical="center"/>
    </xf>
    <xf numFmtId="238" fontId="266" fillId="0" borderId="110" applyNumberFormat="0" applyAlignment="0" applyProtection="0">
      <alignment horizontal="left" vertical="center"/>
    </xf>
    <xf numFmtId="238" fontId="266" fillId="0" borderId="110" applyNumberFormat="0" applyAlignment="0" applyProtection="0">
      <alignment horizontal="left" vertical="center"/>
    </xf>
    <xf numFmtId="238" fontId="266" fillId="0" borderId="110" applyNumberFormat="0" applyAlignment="0" applyProtection="0">
      <alignment horizontal="left" vertical="center"/>
    </xf>
    <xf numFmtId="238" fontId="266" fillId="0" borderId="110" applyNumberFormat="0" applyAlignment="0" applyProtection="0">
      <alignment horizontal="left" vertical="center"/>
    </xf>
    <xf numFmtId="238" fontId="266" fillId="0" borderId="110" applyNumberFormat="0" applyAlignment="0" applyProtection="0">
      <alignment horizontal="left" vertical="center"/>
    </xf>
    <xf numFmtId="238" fontId="266" fillId="0" borderId="110" applyNumberFormat="0" applyAlignment="0" applyProtection="0">
      <alignment horizontal="left" vertical="center"/>
    </xf>
    <xf numFmtId="238" fontId="266" fillId="0" borderId="110" applyNumberFormat="0" applyAlignment="0" applyProtection="0">
      <alignment horizontal="left" vertical="center"/>
    </xf>
    <xf numFmtId="238" fontId="266" fillId="0" borderId="110" applyNumberFormat="0" applyAlignment="0" applyProtection="0">
      <alignment horizontal="left" vertical="center"/>
    </xf>
    <xf numFmtId="238" fontId="266" fillId="0" borderId="110" applyNumberFormat="0" applyAlignment="0" applyProtection="0">
      <alignment horizontal="left" vertical="center"/>
    </xf>
    <xf numFmtId="238" fontId="266" fillId="0" borderId="110" applyNumberFormat="0" applyAlignment="0" applyProtection="0">
      <alignment horizontal="left" vertical="center"/>
    </xf>
    <xf numFmtId="238" fontId="266" fillId="0" borderId="110" applyNumberFormat="0" applyAlignment="0" applyProtection="0">
      <alignment horizontal="left" vertical="center"/>
    </xf>
    <xf numFmtId="238" fontId="266" fillId="0" borderId="93">
      <alignment horizontal="left" vertical="center"/>
    </xf>
    <xf numFmtId="238" fontId="266" fillId="0" borderId="93">
      <alignment horizontal="left" vertical="center"/>
    </xf>
    <xf numFmtId="238" fontId="266" fillId="0" borderId="93">
      <alignment horizontal="left" vertical="center"/>
    </xf>
    <xf numFmtId="238" fontId="266" fillId="0" borderId="93">
      <alignment horizontal="left" vertical="center"/>
    </xf>
    <xf numFmtId="238" fontId="266" fillId="0" borderId="93">
      <alignment horizontal="left" vertical="center"/>
    </xf>
    <xf numFmtId="238" fontId="266" fillId="0" borderId="93">
      <alignment horizontal="left" vertical="center"/>
    </xf>
    <xf numFmtId="238" fontId="266" fillId="0" borderId="93">
      <alignment horizontal="left" vertical="center"/>
    </xf>
    <xf numFmtId="238" fontId="266" fillId="0" borderId="93">
      <alignment horizontal="left" vertical="center"/>
    </xf>
    <xf numFmtId="238" fontId="266" fillId="0" borderId="93">
      <alignment horizontal="left" vertical="center"/>
    </xf>
    <xf numFmtId="238" fontId="266" fillId="0" borderId="93">
      <alignment horizontal="left" vertical="center"/>
    </xf>
    <xf numFmtId="0" fontId="105" fillId="0" borderId="93">
      <alignment horizontal="left" vertical="center"/>
    </xf>
    <xf numFmtId="238" fontId="266" fillId="0" borderId="93">
      <alignment horizontal="left" vertical="center"/>
    </xf>
    <xf numFmtId="238" fontId="266" fillId="0" borderId="93">
      <alignment horizontal="left" vertical="center"/>
    </xf>
    <xf numFmtId="238" fontId="266" fillId="0" borderId="93">
      <alignment horizontal="left" vertical="center"/>
    </xf>
    <xf numFmtId="238" fontId="266" fillId="0" borderId="93">
      <alignment horizontal="left" vertical="center"/>
    </xf>
    <xf numFmtId="238" fontId="266" fillId="0" borderId="93">
      <alignment horizontal="left" vertical="center"/>
    </xf>
    <xf numFmtId="238" fontId="266" fillId="0" borderId="93">
      <alignment horizontal="left" vertical="center"/>
    </xf>
    <xf numFmtId="238" fontId="266" fillId="0" borderId="93">
      <alignment horizontal="left" vertical="center"/>
    </xf>
    <xf numFmtId="238" fontId="266" fillId="0" borderId="93">
      <alignment horizontal="left" vertical="center"/>
    </xf>
    <xf numFmtId="238" fontId="266" fillId="0" borderId="93">
      <alignment horizontal="left" vertical="center"/>
    </xf>
    <xf numFmtId="238" fontId="266" fillId="0" borderId="93">
      <alignment horizontal="left" vertical="center"/>
    </xf>
    <xf numFmtId="0" fontId="105" fillId="0" borderId="93">
      <alignment horizontal="left" vertical="center"/>
    </xf>
    <xf numFmtId="238" fontId="266" fillId="0" borderId="93">
      <alignment horizontal="left" vertical="center"/>
    </xf>
    <xf numFmtId="238" fontId="266" fillId="0" borderId="93">
      <alignment horizontal="left" vertical="center"/>
    </xf>
    <xf numFmtId="238" fontId="266" fillId="0" borderId="93">
      <alignment horizontal="left" vertical="center"/>
    </xf>
    <xf numFmtId="238" fontId="266" fillId="0" borderId="93">
      <alignment horizontal="left" vertical="center"/>
    </xf>
    <xf numFmtId="238" fontId="266" fillId="0" borderId="93">
      <alignment horizontal="left" vertical="center"/>
    </xf>
    <xf numFmtId="238" fontId="266" fillId="0" borderId="93">
      <alignment horizontal="left" vertical="center"/>
    </xf>
    <xf numFmtId="238" fontId="266" fillId="0" borderId="93">
      <alignment horizontal="left" vertical="center"/>
    </xf>
    <xf numFmtId="238" fontId="266" fillId="0" borderId="93">
      <alignment horizontal="left" vertical="center"/>
    </xf>
    <xf numFmtId="238" fontId="266" fillId="0" borderId="93">
      <alignment horizontal="left" vertical="center"/>
    </xf>
    <xf numFmtId="1" fontId="272" fillId="0" borderId="57">
      <alignment horizontal="center"/>
    </xf>
    <xf numFmtId="0" fontId="274" fillId="0" borderId="57">
      <alignment horizontal="center"/>
    </xf>
    <xf numFmtId="0" fontId="274" fillId="0" borderId="57">
      <alignment horizontal="center"/>
    </xf>
    <xf numFmtId="10" fontId="102" fillId="70" borderId="92" applyNumberFormat="0" applyBorder="0" applyAlignment="0" applyProtection="0"/>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229" fontId="66" fillId="76" borderId="92">
      <alignment horizontal="center"/>
      <protection locked="0"/>
    </xf>
    <xf numFmtId="338" fontId="66" fillId="0" borderId="115" applyFont="0" applyFill="0" applyBorder="0" applyAlignment="0" applyProtection="0"/>
    <xf numFmtId="338" fontId="66" fillId="0" borderId="115" applyFont="0" applyFill="0" applyBorder="0" applyAlignment="0" applyProtection="0"/>
    <xf numFmtId="339" fontId="66" fillId="0" borderId="115" applyFont="0" applyFill="0" applyBorder="0" applyAlignment="0" applyProtection="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0" fontId="56" fillId="0" borderId="0"/>
    <xf numFmtId="0"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0" fontId="56" fillId="0" borderId="0"/>
    <xf numFmtId="0" fontId="56" fillId="0" borderId="0"/>
    <xf numFmtId="0"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0" fontId="56" fillId="0" borderId="0"/>
    <xf numFmtId="0"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0"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238" fontId="56" fillId="0" borderId="0"/>
    <xf numFmtId="1" fontId="302" fillId="0" borderId="115">
      <alignment horizontal="justify" vertical="top" wrapText="1"/>
    </xf>
    <xf numFmtId="1" fontId="302" fillId="0" borderId="115">
      <alignment horizontal="justify" vertical="top" wrapText="1"/>
    </xf>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274"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8" borderId="8" applyNumberFormat="0" applyFont="0" applyAlignment="0" applyProtection="0"/>
    <xf numFmtId="0" fontId="56" fillId="8" borderId="8" applyNumberFormat="0" applyFont="0" applyAlignment="0" applyProtection="0"/>
    <xf numFmtId="0" fontId="56" fillId="8" borderId="8" applyNumberFormat="0" applyFont="0" applyAlignment="0" applyProtection="0"/>
    <xf numFmtId="0" fontId="56" fillId="8" borderId="8" applyNumberFormat="0" applyFont="0" applyAlignment="0" applyProtection="0"/>
    <xf numFmtId="0" fontId="56" fillId="8" borderId="8" applyNumberFormat="0" applyFont="0" applyAlignment="0" applyProtection="0"/>
    <xf numFmtId="0" fontId="56" fillId="8" borderId="8" applyNumberFormat="0" applyFont="0" applyAlignment="0" applyProtection="0"/>
    <xf numFmtId="0" fontId="56" fillId="8" borderId="8" applyNumberFormat="0" applyFont="0" applyAlignment="0" applyProtection="0"/>
    <xf numFmtId="0" fontId="56" fillId="8" borderId="8" applyNumberFormat="0" applyFont="0" applyAlignment="0" applyProtection="0"/>
    <xf numFmtId="0" fontId="56" fillId="8" borderId="8" applyNumberFormat="0" applyFont="0" applyAlignment="0" applyProtection="0"/>
    <xf numFmtId="0" fontId="56" fillId="8" borderId="8" applyNumberFormat="0" applyFont="0" applyAlignment="0" applyProtection="0"/>
    <xf numFmtId="274" fontId="56" fillId="8" borderId="8" applyNumberFormat="0" applyFont="0" applyAlignment="0" applyProtection="0"/>
    <xf numFmtId="274" fontId="56" fillId="8" borderId="8" applyNumberFormat="0" applyFont="0" applyAlignment="0" applyProtection="0"/>
    <xf numFmtId="274" fontId="56" fillId="8" borderId="8" applyNumberFormat="0" applyFont="0" applyAlignment="0" applyProtection="0"/>
    <xf numFmtId="274" fontId="56" fillId="8" borderId="8" applyNumberFormat="0" applyFont="0" applyAlignment="0" applyProtection="0"/>
    <xf numFmtId="274" fontId="56" fillId="8" borderId="8" applyNumberFormat="0" applyFont="0" applyAlignment="0" applyProtection="0"/>
    <xf numFmtId="274" fontId="56" fillId="8" borderId="8" applyNumberFormat="0" applyFont="0" applyAlignment="0" applyProtection="0"/>
    <xf numFmtId="274" fontId="56" fillId="8" borderId="8" applyNumberFormat="0" applyFont="0" applyAlignment="0" applyProtection="0"/>
    <xf numFmtId="274" fontId="56" fillId="8" borderId="8" applyNumberFormat="0" applyFont="0" applyAlignment="0" applyProtection="0"/>
    <xf numFmtId="274" fontId="56" fillId="8" borderId="8" applyNumberFormat="0" applyFont="0" applyAlignment="0" applyProtection="0"/>
    <xf numFmtId="274" fontId="56" fillId="8" borderId="8" applyNumberFormat="0" applyFont="0" applyAlignment="0" applyProtection="0"/>
    <xf numFmtId="274" fontId="56" fillId="8" borderId="8" applyNumberFormat="0" applyFont="0" applyAlignment="0" applyProtection="0"/>
    <xf numFmtId="274" fontId="56" fillId="8" borderId="8" applyNumberFormat="0" applyFont="0" applyAlignment="0" applyProtection="0"/>
    <xf numFmtId="274" fontId="56" fillId="8" borderId="8" applyNumberFormat="0" applyFont="0" applyAlignment="0" applyProtection="0"/>
    <xf numFmtId="274" fontId="56" fillId="8" borderId="8" applyNumberFormat="0" applyFont="0" applyAlignment="0" applyProtection="0"/>
    <xf numFmtId="274" fontId="56" fillId="8" borderId="8" applyNumberFormat="0" applyFont="0" applyAlignment="0" applyProtection="0"/>
    <xf numFmtId="274" fontId="56" fillId="8" borderId="8" applyNumberFormat="0" applyFont="0" applyAlignment="0" applyProtection="0"/>
    <xf numFmtId="274" fontId="56" fillId="8" borderId="8" applyNumberFormat="0" applyFont="0" applyAlignment="0" applyProtection="0"/>
    <xf numFmtId="274" fontId="56" fillId="8" borderId="8" applyNumberFormat="0" applyFont="0" applyAlignment="0" applyProtection="0"/>
    <xf numFmtId="274" fontId="56" fillId="8" borderId="8" applyNumberFormat="0" applyFont="0" applyAlignment="0" applyProtection="0"/>
    <xf numFmtId="274" fontId="56" fillId="8" borderId="8" applyNumberFormat="0" applyFont="0" applyAlignment="0" applyProtection="0"/>
    <xf numFmtId="274" fontId="56" fillId="8" borderId="8" applyNumberFormat="0" applyFont="0" applyAlignment="0" applyProtection="0"/>
    <xf numFmtId="274" fontId="56" fillId="8" borderId="8" applyNumberFormat="0" applyFont="0" applyAlignment="0" applyProtection="0"/>
    <xf numFmtId="274" fontId="56" fillId="8" borderId="8" applyNumberFormat="0" applyFont="0" applyAlignment="0" applyProtection="0"/>
    <xf numFmtId="274" fontId="56" fillId="8" borderId="8" applyNumberFormat="0" applyFont="0" applyAlignment="0" applyProtection="0"/>
    <xf numFmtId="274" fontId="56" fillId="8" borderId="8" applyNumberFormat="0" applyFont="0" applyAlignment="0" applyProtection="0"/>
    <xf numFmtId="274" fontId="56" fillId="8" borderId="8" applyNumberFormat="0" applyFont="0" applyAlignment="0" applyProtection="0"/>
    <xf numFmtId="274" fontId="56" fillId="8" borderId="8" applyNumberFormat="0" applyFont="0" applyAlignment="0" applyProtection="0"/>
    <xf numFmtId="274" fontId="56" fillId="8" borderId="8" applyNumberFormat="0" applyFont="0" applyAlignment="0" applyProtection="0"/>
    <xf numFmtId="274" fontId="56" fillId="8" borderId="8" applyNumberFormat="0" applyFont="0" applyAlignment="0" applyProtection="0"/>
    <xf numFmtId="274" fontId="56" fillId="8" borderId="8" applyNumberFormat="0" applyFont="0" applyAlignment="0" applyProtection="0"/>
    <xf numFmtId="274" fontId="56" fillId="8" borderId="8" applyNumberFormat="0" applyFont="0" applyAlignment="0" applyProtection="0"/>
    <xf numFmtId="274" fontId="56" fillId="8" borderId="8" applyNumberFormat="0" applyFont="0" applyAlignment="0" applyProtection="0"/>
    <xf numFmtId="274" fontId="56" fillId="8" borderId="8" applyNumberFormat="0" applyFont="0" applyAlignment="0" applyProtection="0"/>
    <xf numFmtId="274" fontId="56" fillId="8" borderId="8" applyNumberFormat="0" applyFont="0" applyAlignment="0" applyProtection="0"/>
    <xf numFmtId="274" fontId="56" fillId="8" borderId="8" applyNumberFormat="0" applyFont="0" applyAlignment="0" applyProtection="0"/>
    <xf numFmtId="274" fontId="56" fillId="8" borderId="8" applyNumberFormat="0" applyFont="0" applyAlignment="0" applyProtection="0"/>
    <xf numFmtId="274" fontId="56" fillId="8" borderId="8" applyNumberFormat="0" applyFont="0" applyAlignment="0" applyProtection="0"/>
    <xf numFmtId="274" fontId="56" fillId="8" borderId="8" applyNumberFormat="0" applyFont="0" applyAlignment="0" applyProtection="0"/>
    <xf numFmtId="274" fontId="56" fillId="8" borderId="8" applyNumberFormat="0" applyFont="0" applyAlignment="0" applyProtection="0"/>
    <xf numFmtId="274" fontId="56" fillId="8" borderId="8" applyNumberFormat="0" applyFont="0" applyAlignment="0" applyProtection="0"/>
    <xf numFmtId="274" fontId="56" fillId="8" borderId="8" applyNumberFormat="0" applyFont="0" applyAlignment="0" applyProtection="0"/>
    <xf numFmtId="274" fontId="56" fillId="8" borderId="8" applyNumberFormat="0" applyFont="0" applyAlignment="0" applyProtection="0"/>
    <xf numFmtId="0" fontId="56" fillId="8" borderId="8" applyNumberFormat="0" applyFont="0" applyAlignment="0" applyProtection="0"/>
    <xf numFmtId="0" fontId="56" fillId="8" borderId="8" applyNumberFormat="0" applyFont="0" applyAlignment="0" applyProtection="0"/>
    <xf numFmtId="0" fontId="56" fillId="8" borderId="8" applyNumberFormat="0" applyFont="0" applyAlignment="0" applyProtection="0"/>
    <xf numFmtId="0" fontId="56" fillId="8" borderId="8" applyNumberFormat="0" applyFont="0" applyAlignment="0" applyProtection="0"/>
    <xf numFmtId="0" fontId="56" fillId="8" borderId="8" applyNumberFormat="0" applyFont="0" applyAlignment="0" applyProtection="0"/>
    <xf numFmtId="0" fontId="56" fillId="8" borderId="8" applyNumberFormat="0" applyFont="0" applyAlignment="0" applyProtection="0"/>
    <xf numFmtId="0" fontId="56" fillId="8" borderId="8" applyNumberFormat="0" applyFont="0" applyAlignment="0" applyProtection="0"/>
    <xf numFmtId="0" fontId="56" fillId="8" borderId="8" applyNumberFormat="0" applyFont="0" applyAlignment="0" applyProtection="0"/>
    <xf numFmtId="0" fontId="56" fillId="8" borderId="8" applyNumberFormat="0" applyFont="0" applyAlignment="0" applyProtection="0"/>
    <xf numFmtId="0" fontId="56" fillId="8" borderId="8" applyNumberFormat="0" applyFont="0" applyAlignment="0" applyProtection="0"/>
    <xf numFmtId="0" fontId="56" fillId="8" borderId="8" applyNumberFormat="0" applyFont="0" applyAlignment="0" applyProtection="0"/>
    <xf numFmtId="0" fontId="56" fillId="8" borderId="8" applyNumberFormat="0" applyFont="0" applyAlignment="0" applyProtection="0"/>
    <xf numFmtId="0" fontId="56" fillId="8" borderId="8" applyNumberFormat="0" applyFont="0" applyAlignment="0" applyProtection="0"/>
    <xf numFmtId="0" fontId="56" fillId="8" borderId="8" applyNumberFormat="0" applyFont="0" applyAlignment="0" applyProtection="0"/>
    <xf numFmtId="0" fontId="56" fillId="8" borderId="8" applyNumberFormat="0" applyFont="0" applyAlignment="0" applyProtection="0"/>
    <xf numFmtId="0" fontId="56" fillId="8" borderId="8" applyNumberFormat="0" applyFont="0" applyAlignment="0" applyProtection="0"/>
    <xf numFmtId="0" fontId="56" fillId="8" borderId="8" applyNumberFormat="0" applyFont="0" applyAlignment="0" applyProtection="0"/>
    <xf numFmtId="0" fontId="56" fillId="8" borderId="8" applyNumberFormat="0" applyFont="0" applyAlignment="0" applyProtection="0"/>
    <xf numFmtId="0" fontId="56" fillId="8" borderId="8" applyNumberFormat="0" applyFont="0" applyAlignment="0" applyProtection="0"/>
    <xf numFmtId="0" fontId="56" fillId="8" borderId="8" applyNumberFormat="0" applyFont="0" applyAlignment="0" applyProtection="0"/>
    <xf numFmtId="0" fontId="56" fillId="8" borderId="8" applyNumberFormat="0" applyFont="0" applyAlignment="0" applyProtection="0"/>
    <xf numFmtId="0" fontId="56" fillId="8" borderId="8" applyNumberFormat="0" applyFont="0" applyAlignment="0" applyProtection="0"/>
    <xf numFmtId="0" fontId="56" fillId="8" borderId="8" applyNumberFormat="0" applyFont="0" applyAlignment="0" applyProtection="0"/>
    <xf numFmtId="0" fontId="56" fillId="8" borderId="8" applyNumberFormat="0" applyFont="0" applyAlignment="0" applyProtection="0"/>
    <xf numFmtId="0" fontId="56" fillId="8" borderId="8" applyNumberFormat="0" applyFont="0" applyAlignment="0" applyProtection="0"/>
    <xf numFmtId="0" fontId="56" fillId="8" borderId="8" applyNumberFormat="0" applyFont="0" applyAlignment="0" applyProtection="0"/>
    <xf numFmtId="0" fontId="56" fillId="8" borderId="8" applyNumberFormat="0" applyFont="0" applyAlignment="0" applyProtection="0"/>
    <xf numFmtId="0" fontId="56" fillId="8" borderId="8" applyNumberFormat="0" applyFont="0" applyAlignment="0" applyProtection="0"/>
    <xf numFmtId="0" fontId="56" fillId="8" borderId="8" applyNumberFormat="0" applyFont="0" applyAlignment="0" applyProtection="0"/>
    <xf numFmtId="0" fontId="56" fillId="8" borderId="8" applyNumberFormat="0" applyFont="0" applyAlignment="0" applyProtection="0"/>
    <xf numFmtId="0" fontId="56" fillId="8" borderId="8" applyNumberFormat="0" applyFont="0" applyAlignment="0" applyProtection="0"/>
    <xf numFmtId="0" fontId="56" fillId="8" borderId="8" applyNumberFormat="0" applyFont="0" applyAlignment="0" applyProtection="0"/>
    <xf numFmtId="342" fontId="308" fillId="77" borderId="92"/>
    <xf numFmtId="342" fontId="308" fillId="77" borderId="92"/>
    <xf numFmtId="342" fontId="308" fillId="77" borderId="92"/>
    <xf numFmtId="343" fontId="308" fillId="77" borderId="92" applyFont="0" applyFill="0" applyBorder="0" applyAlignment="0" applyProtection="0"/>
    <xf numFmtId="343" fontId="308" fillId="77" borderId="92" applyFont="0" applyFill="0" applyBorder="0" applyAlignment="0" applyProtection="0"/>
    <xf numFmtId="343" fontId="308" fillId="77" borderId="92" applyFont="0" applyFill="0" applyBorder="0" applyAlignment="0" applyProtection="0"/>
    <xf numFmtId="0" fontId="102" fillId="63" borderId="115" applyNumberFormat="0" applyFont="0" applyBorder="0" applyAlignment="0" applyProtection="0">
      <alignment horizontal="center"/>
    </xf>
    <xf numFmtId="0" fontId="102" fillId="96" borderId="115" applyNumberFormat="0" applyFont="0" applyBorder="0" applyAlignment="0" applyProtection="0">
      <alignment horizontal="center"/>
    </xf>
    <xf numFmtId="345" fontId="66" fillId="0" borderId="92" applyFont="0" applyFill="0" applyBorder="0" applyAlignment="0" applyProtection="0"/>
    <xf numFmtId="345" fontId="66" fillId="0" borderId="92" applyFont="0" applyFill="0" applyBorder="0" applyAlignment="0" applyProtection="0"/>
    <xf numFmtId="345" fontId="66" fillId="0" borderId="92" applyFont="0" applyFill="0" applyBorder="0" applyAlignment="0" applyProtection="0"/>
    <xf numFmtId="344" fontId="66" fillId="0" borderId="92" applyFont="0" applyFill="0" applyBorder="0" applyAlignment="0" applyProtection="0"/>
    <xf numFmtId="344" fontId="66" fillId="0" borderId="92" applyFont="0" applyFill="0" applyBorder="0" applyAlignment="0" applyProtection="0"/>
    <xf numFmtId="344" fontId="66" fillId="0" borderId="92" applyFont="0" applyFill="0" applyBorder="0" applyAlignment="0" applyProtection="0"/>
    <xf numFmtId="0" fontId="319" fillId="0" borderId="57">
      <alignment horizontal="center"/>
    </xf>
    <xf numFmtId="0" fontId="319" fillId="0" borderId="57">
      <alignment horizontal="center"/>
    </xf>
    <xf numFmtId="0" fontId="320" fillId="0" borderId="56"/>
    <xf numFmtId="0" fontId="320" fillId="0" borderId="56"/>
    <xf numFmtId="0" fontId="320" fillId="0" borderId="56"/>
    <xf numFmtId="10" fontId="199" fillId="0" borderId="92"/>
    <xf numFmtId="10" fontId="199" fillId="0" borderId="92"/>
    <xf numFmtId="10" fontId="199" fillId="0" borderId="92"/>
    <xf numFmtId="0" fontId="286" fillId="0" borderId="57">
      <alignment horizontal="right"/>
    </xf>
    <xf numFmtId="0" fontId="286" fillId="0" borderId="57">
      <alignment horizontal="right"/>
    </xf>
    <xf numFmtId="0" fontId="322" fillId="1" borderId="93" applyNumberFormat="0" applyFont="0" applyAlignment="0">
      <alignment horizontal="center"/>
    </xf>
    <xf numFmtId="0" fontId="322" fillId="1" borderId="93" applyNumberFormat="0" applyFont="0" applyAlignment="0">
      <alignment horizontal="center"/>
    </xf>
    <xf numFmtId="0" fontId="322" fillId="1" borderId="93" applyNumberFormat="0" applyFont="0" applyAlignment="0">
      <alignment horizontal="center"/>
    </xf>
    <xf numFmtId="0" fontId="102" fillId="96" borderId="92" applyNumberFormat="0" applyProtection="0">
      <alignment horizontal="center" wrapText="1"/>
    </xf>
    <xf numFmtId="0" fontId="102" fillId="96" borderId="92" applyNumberFormat="0" applyProtection="0">
      <alignment horizontal="center" wrapText="1"/>
    </xf>
    <xf numFmtId="0" fontId="102" fillId="96" borderId="92" applyNumberFormat="0" applyProtection="0">
      <alignment horizontal="center" wrapText="1"/>
    </xf>
    <xf numFmtId="0" fontId="102" fillId="0" borderId="92" applyNumberFormat="0" applyFill="0" applyProtection="0">
      <alignment horizontal="right" wrapText="1"/>
    </xf>
    <xf numFmtId="0" fontId="102" fillId="0" borderId="92" applyNumberFormat="0" applyFill="0" applyProtection="0">
      <alignment horizontal="right" wrapText="1"/>
    </xf>
    <xf numFmtId="0" fontId="102" fillId="0" borderId="92" applyNumberFormat="0" applyFill="0" applyProtection="0">
      <alignment horizontal="right" wrapText="1"/>
    </xf>
    <xf numFmtId="49" fontId="102" fillId="0" borderId="92" applyFill="0" applyProtection="0">
      <alignment horizontal="right" wrapText="1"/>
    </xf>
    <xf numFmtId="49" fontId="102" fillId="0" borderId="92" applyFill="0" applyProtection="0">
      <alignment horizontal="right" wrapText="1"/>
    </xf>
    <xf numFmtId="49" fontId="102" fillId="0" borderId="92" applyFill="0" applyProtection="0">
      <alignment horizontal="right" wrapText="1"/>
    </xf>
    <xf numFmtId="0" fontId="102" fillId="95" borderId="92" applyNumberFormat="0" applyProtection="0">
      <alignment horizontal="right" wrapText="1"/>
    </xf>
    <xf numFmtId="0" fontId="102" fillId="95" borderId="92" applyNumberFormat="0" applyProtection="0">
      <alignment horizontal="right" wrapText="1"/>
    </xf>
    <xf numFmtId="0" fontId="102" fillId="95" borderId="92" applyNumberFormat="0" applyProtection="0">
      <alignment horizontal="right" wrapText="1"/>
    </xf>
    <xf numFmtId="0" fontId="102" fillId="68" borderId="92" applyNumberFormat="0" applyProtection="0">
      <alignment horizontal="right" wrapText="1"/>
    </xf>
    <xf numFmtId="0" fontId="102" fillId="68" borderId="92" applyNumberFormat="0" applyProtection="0">
      <alignment horizontal="right" wrapText="1"/>
    </xf>
    <xf numFmtId="0" fontId="102" fillId="68" borderId="92" applyNumberFormat="0" applyProtection="0">
      <alignment horizontal="right" wrapText="1"/>
    </xf>
    <xf numFmtId="0" fontId="102" fillId="69" borderId="92" applyNumberFormat="0" applyProtection="0">
      <alignment wrapText="1"/>
    </xf>
    <xf numFmtId="0" fontId="102" fillId="69" borderId="92" applyNumberFormat="0" applyProtection="0">
      <alignment wrapText="1"/>
    </xf>
    <xf numFmtId="0" fontId="102" fillId="69" borderId="92" applyNumberFormat="0" applyProtection="0">
      <alignment wrapText="1"/>
    </xf>
    <xf numFmtId="0" fontId="102" fillId="69" borderId="92" applyNumberFormat="0" applyProtection="0">
      <alignment wrapText="1"/>
    </xf>
    <xf numFmtId="0" fontId="102" fillId="69" borderId="92" applyNumberFormat="0" applyProtection="0">
      <alignment wrapText="1"/>
    </xf>
    <xf numFmtId="0" fontId="102" fillId="69" borderId="92" applyNumberFormat="0" applyProtection="0">
      <alignment wrapText="1"/>
    </xf>
    <xf numFmtId="0" fontId="102" fillId="68" borderId="92" applyNumberFormat="0" applyProtection="0">
      <alignment wrapText="1"/>
    </xf>
    <xf numFmtId="0" fontId="102" fillId="68" borderId="92" applyNumberFormat="0" applyProtection="0">
      <alignment wrapText="1"/>
    </xf>
    <xf numFmtId="0" fontId="102" fillId="68" borderId="92" applyNumberFormat="0" applyProtection="0">
      <alignment wrapText="1"/>
    </xf>
    <xf numFmtId="0" fontId="102" fillId="95" borderId="92" applyNumberFormat="0" applyProtection="0">
      <alignment wrapText="1"/>
    </xf>
    <xf numFmtId="0" fontId="102" fillId="95" borderId="92" applyNumberFormat="0" applyProtection="0">
      <alignment wrapText="1"/>
    </xf>
    <xf numFmtId="0" fontId="102" fillId="95" borderId="92" applyNumberFormat="0" applyProtection="0">
      <alignment wrapText="1"/>
    </xf>
    <xf numFmtId="0" fontId="66" fillId="0" borderId="92" applyNumberFormat="0">
      <alignment horizontal="center"/>
    </xf>
    <xf numFmtId="0" fontId="66" fillId="0" borderId="92" applyNumberFormat="0">
      <alignment horizontal="center"/>
    </xf>
    <xf numFmtId="0" fontId="66" fillId="0" borderId="92" applyNumberFormat="0">
      <alignment horizontal="center"/>
    </xf>
    <xf numFmtId="351" fontId="102" fillId="69" borderId="92" applyProtection="0">
      <alignment wrapText="1"/>
    </xf>
    <xf numFmtId="351" fontId="102" fillId="69" borderId="92" applyProtection="0">
      <alignment wrapText="1"/>
    </xf>
    <xf numFmtId="351" fontId="102" fillId="69" borderId="92" applyProtection="0">
      <alignment wrapText="1"/>
    </xf>
    <xf numFmtId="352" fontId="102" fillId="69" borderId="92" applyProtection="0">
      <alignment wrapText="1"/>
    </xf>
    <xf numFmtId="352" fontId="102" fillId="69" borderId="92" applyProtection="0">
      <alignment wrapText="1"/>
    </xf>
    <xf numFmtId="352" fontId="102" fillId="69" borderId="92" applyProtection="0">
      <alignment wrapText="1"/>
    </xf>
    <xf numFmtId="353" fontId="102" fillId="69" borderId="92" applyProtection="0">
      <alignment wrapText="1"/>
    </xf>
    <xf numFmtId="353" fontId="102" fillId="69" borderId="92" applyProtection="0">
      <alignment wrapText="1"/>
    </xf>
    <xf numFmtId="353" fontId="102" fillId="69" borderId="92" applyProtection="0">
      <alignment wrapText="1"/>
    </xf>
    <xf numFmtId="356" fontId="102" fillId="69" borderId="92" applyProtection="0">
      <alignment wrapText="1"/>
    </xf>
    <xf numFmtId="356" fontId="102" fillId="69" borderId="92" applyProtection="0">
      <alignment wrapText="1"/>
    </xf>
    <xf numFmtId="356" fontId="102" fillId="69" borderId="92" applyProtection="0">
      <alignment wrapText="1"/>
    </xf>
    <xf numFmtId="357" fontId="102" fillId="69" borderId="92" applyProtection="0">
      <alignment wrapText="1"/>
    </xf>
    <xf numFmtId="357" fontId="102" fillId="69" borderId="92" applyProtection="0">
      <alignment wrapText="1"/>
    </xf>
    <xf numFmtId="357" fontId="102" fillId="69" borderId="92" applyProtection="0">
      <alignment wrapText="1"/>
    </xf>
    <xf numFmtId="352" fontId="102" fillId="95" borderId="92" applyProtection="0">
      <alignment wrapText="1"/>
    </xf>
    <xf numFmtId="352" fontId="102" fillId="95" borderId="92" applyProtection="0">
      <alignment wrapText="1"/>
    </xf>
    <xf numFmtId="352" fontId="102" fillId="95" borderId="92" applyProtection="0">
      <alignment wrapText="1"/>
    </xf>
    <xf numFmtId="0" fontId="102" fillId="69" borderId="92" applyProtection="0">
      <alignment wrapText="1"/>
    </xf>
    <xf numFmtId="0" fontId="102" fillId="69" borderId="92" applyProtection="0">
      <alignment wrapText="1"/>
    </xf>
    <xf numFmtId="0" fontId="102" fillId="69" borderId="92" applyProtection="0">
      <alignment wrapText="1"/>
    </xf>
    <xf numFmtId="0" fontId="66" fillId="0" borderId="92" applyNumberFormat="0" applyFont="0" applyFill="0" applyProtection="0">
      <alignment horizontal="center"/>
    </xf>
    <xf numFmtId="0" fontId="66" fillId="0" borderId="92" applyNumberFormat="0" applyFont="0" applyFill="0" applyProtection="0">
      <alignment horizontal="center"/>
    </xf>
    <xf numFmtId="0" fontId="66" fillId="0" borderId="92" applyNumberFormat="0" applyFont="0" applyFill="0" applyProtection="0">
      <alignment horizontal="center"/>
    </xf>
    <xf numFmtId="0" fontId="102" fillId="69" borderId="92" applyProtection="0">
      <alignment wrapText="1"/>
    </xf>
    <xf numFmtId="0" fontId="102" fillId="69" borderId="92" applyProtection="0">
      <alignment wrapText="1"/>
    </xf>
    <xf numFmtId="0" fontId="102" fillId="69" borderId="92" applyProtection="0">
      <alignment wrapText="1"/>
    </xf>
    <xf numFmtId="0" fontId="66" fillId="0" borderId="0"/>
    <xf numFmtId="0" fontId="56" fillId="0" borderId="0"/>
    <xf numFmtId="0" fontId="56" fillId="0" borderId="0"/>
    <xf numFmtId="171" fontId="56" fillId="0" borderId="0" applyFont="0" applyFill="0" applyBorder="0" applyAlignment="0" applyProtection="0"/>
    <xf numFmtId="9" fontId="56" fillId="0" borderId="0" applyFont="0" applyFill="0" applyBorder="0" applyAlignment="0" applyProtection="0"/>
    <xf numFmtId="171" fontId="56" fillId="0" borderId="0" applyFon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0" fontId="56" fillId="0" borderId="0"/>
    <xf numFmtId="171" fontId="56" fillId="0" borderId="0" applyFont="0" applyFill="0" applyBorder="0" applyAlignment="0" applyProtection="0"/>
    <xf numFmtId="171" fontId="56" fillId="0" borderId="0" applyFont="0" applyFill="0" applyBorder="0" applyAlignment="0" applyProtection="0"/>
    <xf numFmtId="0" fontId="56" fillId="0" borderId="0"/>
    <xf numFmtId="0" fontId="56" fillId="0" borderId="0"/>
    <xf numFmtId="171" fontId="56" fillId="0" borderId="0" applyFont="0" applyFill="0" applyBorder="0" applyAlignment="0" applyProtection="0"/>
    <xf numFmtId="9" fontId="56" fillId="0" borderId="0" applyFon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0" fontId="348" fillId="0" borderId="0" applyNumberFormat="0" applyFill="0" applyBorder="0" applyAlignment="0" applyProtection="0"/>
    <xf numFmtId="0" fontId="349" fillId="0" borderId="0" applyNumberFormat="0" applyFill="0" applyBorder="0" applyAlignment="0" applyProtection="0"/>
    <xf numFmtId="0" fontId="55" fillId="0" borderId="0"/>
    <xf numFmtId="171" fontId="55" fillId="0" borderId="0" applyFont="0" applyFill="0" applyBorder="0" applyAlignment="0" applyProtection="0"/>
    <xf numFmtId="9" fontId="55" fillId="0" borderId="0" applyFont="0" applyFill="0" applyBorder="0" applyAlignment="0" applyProtection="0"/>
    <xf numFmtId="0" fontId="54" fillId="0" borderId="0"/>
    <xf numFmtId="0" fontId="53" fillId="0" borderId="0"/>
    <xf numFmtId="0" fontId="52" fillId="0" borderId="0"/>
    <xf numFmtId="171" fontId="52" fillId="0" borderId="0" applyFont="0" applyFill="0" applyBorder="0" applyAlignment="0" applyProtection="0"/>
    <xf numFmtId="9" fontId="52" fillId="0" borderId="0" applyFont="0" applyFill="0" applyBorder="0" applyAlignment="0" applyProtection="0"/>
    <xf numFmtId="0" fontId="51" fillId="0" borderId="0"/>
    <xf numFmtId="171" fontId="51" fillId="0" borderId="0" applyFont="0" applyFill="0" applyBorder="0" applyAlignment="0" applyProtection="0"/>
    <xf numFmtId="9" fontId="51" fillId="0" borderId="0" applyFont="0" applyFill="0" applyBorder="0" applyAlignment="0" applyProtection="0"/>
    <xf numFmtId="0" fontId="365" fillId="0" borderId="0"/>
    <xf numFmtId="0" fontId="51" fillId="0" borderId="0"/>
    <xf numFmtId="0" fontId="51" fillId="0" borderId="0"/>
    <xf numFmtId="171" fontId="51" fillId="0" borderId="0" applyFont="0" applyFill="0" applyBorder="0" applyAlignment="0" applyProtection="0"/>
    <xf numFmtId="359" fontId="71" fillId="0" borderId="0"/>
    <xf numFmtId="43" fontId="66" fillId="0" borderId="0" applyFont="0" applyFill="0" applyBorder="0" applyAlignment="0" applyProtection="0"/>
    <xf numFmtId="171" fontId="51" fillId="0" borderId="0" applyFont="0" applyFill="0" applyBorder="0" applyAlignment="0" applyProtection="0"/>
    <xf numFmtId="0" fontId="50" fillId="0" borderId="0"/>
    <xf numFmtId="171" fontId="50" fillId="0" borderId="0" applyFont="0" applyFill="0" applyBorder="0" applyAlignment="0" applyProtection="0"/>
    <xf numFmtId="0" fontId="50" fillId="0" borderId="0"/>
    <xf numFmtId="0" fontId="50" fillId="0" borderId="0"/>
    <xf numFmtId="0" fontId="50" fillId="0" borderId="0"/>
    <xf numFmtId="171" fontId="50" fillId="0" borderId="0" applyFont="0" applyFill="0" applyBorder="0" applyAlignment="0" applyProtection="0"/>
    <xf numFmtId="171" fontId="50" fillId="0" borderId="0" applyFont="0" applyFill="0" applyBorder="0" applyAlignment="0" applyProtection="0"/>
    <xf numFmtId="0" fontId="50" fillId="0" borderId="0"/>
    <xf numFmtId="0" fontId="50" fillId="0" borderId="0"/>
    <xf numFmtId="9" fontId="60" fillId="0" borderId="0" applyFont="0" applyFill="0" applyBorder="0" applyAlignment="0" applyProtection="0"/>
    <xf numFmtId="0" fontId="49" fillId="0" borderId="0"/>
    <xf numFmtId="171" fontId="49" fillId="0" borderId="0" applyFont="0" applyFill="0" applyBorder="0" applyAlignment="0" applyProtection="0"/>
    <xf numFmtId="9" fontId="49" fillId="0" borderId="0" applyFont="0" applyFill="0" applyBorder="0" applyAlignment="0" applyProtection="0"/>
    <xf numFmtId="171" fontId="48" fillId="0" borderId="0" applyFont="0" applyFill="0" applyBorder="0" applyAlignment="0" applyProtection="0"/>
    <xf numFmtId="359" fontId="71" fillId="0" borderId="0"/>
    <xf numFmtId="171" fontId="47" fillId="0" borderId="0" applyFont="0" applyFill="0" applyBorder="0" applyAlignment="0" applyProtection="0"/>
    <xf numFmtId="43" fontId="66" fillId="0" borderId="92" applyNumberFormat="0" applyFont="0" applyFill="0" applyAlignment="0" applyProtection="0"/>
    <xf numFmtId="0" fontId="381" fillId="121" borderId="0" applyNumberFormat="0" applyFont="0" applyBorder="0" applyAlignment="0" applyProtection="0"/>
    <xf numFmtId="179" fontId="47" fillId="0" borderId="0" applyFont="0" applyFill="0" applyBorder="0" applyAlignment="0" applyProtection="0"/>
    <xf numFmtId="171" fontId="150" fillId="0" borderId="0" applyFont="0" applyFill="0" applyBorder="0" applyAlignment="0" applyProtection="0"/>
    <xf numFmtId="0" fontId="150" fillId="0" borderId="0" applyFont="0" applyFill="0" applyBorder="0" applyAlignment="0" applyProtection="0"/>
    <xf numFmtId="170" fontId="66" fillId="0" borderId="0" applyFont="0" applyFill="0" applyBorder="0" applyAlignment="0" applyProtection="0"/>
    <xf numFmtId="170" fontId="66" fillId="0" borderId="0" applyFont="0" applyFill="0" applyBorder="0" applyAlignment="0" applyProtection="0"/>
    <xf numFmtId="170" fontId="66" fillId="0" borderId="0" applyFont="0" applyFill="0" applyBorder="0" applyAlignment="0" applyProtection="0"/>
    <xf numFmtId="2" fontId="381" fillId="122" borderId="0" applyNumberFormat="0" applyFont="0" applyBorder="0" applyAlignment="0" applyProtection="0"/>
    <xf numFmtId="2" fontId="381" fillId="123" borderId="0" applyNumberFormat="0" applyFont="0" applyBorder="0" applyAlignment="0" applyProtection="0">
      <alignment horizontal="center"/>
    </xf>
    <xf numFmtId="0" fontId="93" fillId="124" borderId="0" applyNumberFormat="0" applyFont="0" applyBorder="0" applyAlignment="0" applyProtection="0"/>
    <xf numFmtId="4" fontId="214" fillId="0" borderId="0"/>
    <xf numFmtId="0" fontId="66" fillId="0" borderId="0"/>
    <xf numFmtId="0" fontId="66" fillId="0" borderId="0"/>
    <xf numFmtId="0" fontId="66" fillId="0" borderId="0"/>
    <xf numFmtId="0" fontId="66" fillId="0" borderId="0"/>
    <xf numFmtId="0" fontId="66" fillId="95" borderId="126" applyNumberFormat="0" applyFont="0" applyFill="0" applyBorder="0" applyAlignment="0">
      <alignment horizontal="center" vertical="center"/>
    </xf>
    <xf numFmtId="190" fontId="94" fillId="125" borderId="0"/>
    <xf numFmtId="0" fontId="382" fillId="0" borderId="0"/>
    <xf numFmtId="0" fontId="382" fillId="0" borderId="0"/>
    <xf numFmtId="0" fontId="382" fillId="0" borderId="0"/>
    <xf numFmtId="0" fontId="382" fillId="0" borderId="0"/>
    <xf numFmtId="0" fontId="382" fillId="0" borderId="0"/>
    <xf numFmtId="0" fontId="382" fillId="0" borderId="0"/>
    <xf numFmtId="0" fontId="382" fillId="0" borderId="0"/>
    <xf numFmtId="0" fontId="150" fillId="0" borderId="0"/>
    <xf numFmtId="0" fontId="66" fillId="0" borderId="0"/>
    <xf numFmtId="0" fontId="305" fillId="0" borderId="0"/>
    <xf numFmtId="0" fontId="66" fillId="0" borderId="0"/>
    <xf numFmtId="0" fontId="228" fillId="0" borderId="0"/>
    <xf numFmtId="0" fontId="228" fillId="0" borderId="0"/>
    <xf numFmtId="0" fontId="66" fillId="0" borderId="0"/>
    <xf numFmtId="0" fontId="66" fillId="0" borderId="0"/>
    <xf numFmtId="0" fontId="47" fillId="0" borderId="0"/>
    <xf numFmtId="0" fontId="47" fillId="0" borderId="0"/>
    <xf numFmtId="0" fontId="47" fillId="0" borderId="0"/>
    <xf numFmtId="0" fontId="47" fillId="0" borderId="0"/>
    <xf numFmtId="0" fontId="47" fillId="8" borderId="8" applyNumberFormat="0" applyFont="0" applyAlignment="0" applyProtection="0"/>
    <xf numFmtId="0" fontId="47" fillId="8" borderId="8" applyNumberFormat="0" applyFont="0" applyAlignment="0" applyProtection="0"/>
    <xf numFmtId="0" fontId="292" fillId="0" borderId="0"/>
    <xf numFmtId="10" fontId="66" fillId="0" borderId="0" applyFont="0" applyFill="0" applyBorder="0" applyAlignment="0" applyProtection="0"/>
    <xf numFmtId="0" fontId="66" fillId="125" borderId="0"/>
    <xf numFmtId="1" fontId="88" fillId="0" borderId="0" applyBorder="0">
      <alignment horizontal="left" vertical="top" wrapText="1"/>
    </xf>
    <xf numFmtId="40" fontId="279" fillId="0" borderId="114" applyFont="0" applyFill="0" applyBorder="0" applyAlignment="0" applyProtection="0">
      <alignment vertical="top" wrapText="1"/>
      <protection locked="0"/>
    </xf>
    <xf numFmtId="0" fontId="383" fillId="0" borderId="114" applyNumberFormat="0" applyFill="0" applyBorder="0" applyAlignment="0" applyProtection="0">
      <alignment vertical="top" wrapText="1"/>
    </xf>
    <xf numFmtId="0" fontId="279" fillId="0" borderId="0" applyNumberFormat="0" applyFill="0" applyBorder="0" applyAlignment="0">
      <protection locked="0"/>
    </xf>
    <xf numFmtId="49" fontId="384" fillId="77" borderId="0">
      <alignment horizontal="left"/>
    </xf>
    <xf numFmtId="0" fontId="102" fillId="77" borderId="123" applyNumberFormat="0" applyBorder="0" applyAlignment="0">
      <alignment horizontal="center"/>
    </xf>
    <xf numFmtId="0" fontId="102" fillId="77" borderId="123" applyNumberFormat="0" applyBorder="0" applyAlignment="0">
      <alignment horizontal="center"/>
    </xf>
    <xf numFmtId="186" fontId="66" fillId="0" borderId="0" applyFont="0" applyFill="0" applyBorder="0" applyAlignment="0" applyProtection="0"/>
    <xf numFmtId="187" fontId="66" fillId="0" borderId="0" applyFont="0" applyFill="0" applyBorder="0" applyAlignment="0" applyProtection="0"/>
    <xf numFmtId="0" fontId="99" fillId="0" borderId="0">
      <protection locked="0"/>
    </xf>
    <xf numFmtId="0" fontId="66" fillId="0" borderId="0">
      <protection locked="0"/>
    </xf>
    <xf numFmtId="0" fontId="46" fillId="0" borderId="0"/>
    <xf numFmtId="0" fontId="45" fillId="0" borderId="0"/>
    <xf numFmtId="171" fontId="45" fillId="0" borderId="0" applyFont="0" applyFill="0" applyBorder="0" applyAlignment="0" applyProtection="0"/>
    <xf numFmtId="9" fontId="45" fillId="0" borderId="0" applyFont="0" applyFill="0" applyBorder="0" applyAlignment="0" applyProtection="0"/>
    <xf numFmtId="0" fontId="44" fillId="0" borderId="0"/>
    <xf numFmtId="171" fontId="229" fillId="0" borderId="0" applyFont="0" applyFill="0" applyBorder="0" applyAlignment="0" applyProtection="0"/>
    <xf numFmtId="0" fontId="66" fillId="0" borderId="0">
      <alignment horizontal="justify" vertical="top" wrapText="1"/>
    </xf>
    <xf numFmtId="43" fontId="44" fillId="0" borderId="0" applyFont="0" applyFill="0" applyBorder="0" applyAlignment="0" applyProtection="0"/>
    <xf numFmtId="171" fontId="44" fillId="0" borderId="0" applyFont="0" applyFill="0" applyBorder="0" applyAlignment="0" applyProtection="0"/>
    <xf numFmtId="0" fontId="229" fillId="0" borderId="0"/>
    <xf numFmtId="0" fontId="43" fillId="0" borderId="0"/>
    <xf numFmtId="0" fontId="43" fillId="0" borderId="0"/>
    <xf numFmtId="43" fontId="43" fillId="0" borderId="0" applyFont="0" applyFill="0" applyBorder="0" applyAlignment="0" applyProtection="0"/>
    <xf numFmtId="171" fontId="43" fillId="0" borderId="0" applyFont="0" applyFill="0" applyBorder="0" applyAlignment="0" applyProtection="0"/>
    <xf numFmtId="0" fontId="42" fillId="0" borderId="0"/>
    <xf numFmtId="0" fontId="41" fillId="0" borderId="0"/>
    <xf numFmtId="171" fontId="41" fillId="0" borderId="0" applyFont="0" applyFill="0" applyBorder="0" applyAlignment="0" applyProtection="0"/>
    <xf numFmtId="9" fontId="41" fillId="0" borderId="0" applyFont="0" applyFill="0" applyBorder="0" applyAlignment="0" applyProtection="0"/>
    <xf numFmtId="0" fontId="40" fillId="0" borderId="0"/>
    <xf numFmtId="9" fontId="229" fillId="0" borderId="0" applyFont="0" applyFill="0" applyBorder="0" applyAlignment="0" applyProtection="0"/>
    <xf numFmtId="43" fontId="40" fillId="0" borderId="0" applyFont="0" applyFill="0" applyBorder="0" applyAlignment="0" applyProtection="0"/>
    <xf numFmtId="171" fontId="40" fillId="0" borderId="0" applyFont="0" applyFill="0" applyBorder="0" applyAlignment="0" applyProtection="0"/>
    <xf numFmtId="0" fontId="39" fillId="0" borderId="0"/>
    <xf numFmtId="171" fontId="39" fillId="0" borderId="0" applyFont="0" applyFill="0" applyBorder="0" applyAlignment="0" applyProtection="0"/>
    <xf numFmtId="0" fontId="39" fillId="0" borderId="0"/>
    <xf numFmtId="0" fontId="66" fillId="0" borderId="0">
      <alignment horizontal="justify" vertical="top" wrapText="1"/>
    </xf>
    <xf numFmtId="0" fontId="228" fillId="0" borderId="0"/>
    <xf numFmtId="43" fontId="39" fillId="0" borderId="0" applyFont="0" applyFill="0" applyBorder="0" applyAlignment="0" applyProtection="0"/>
    <xf numFmtId="171" fontId="229" fillId="0" borderId="0" applyFont="0" applyFill="0" applyBorder="0" applyAlignment="0" applyProtection="0"/>
    <xf numFmtId="43" fontId="66" fillId="0" borderId="0" applyFont="0" applyFill="0" applyBorder="0" applyAlignment="0" applyProtection="0"/>
    <xf numFmtId="0" fontId="39" fillId="0" borderId="0"/>
    <xf numFmtId="171" fontId="39" fillId="0" borderId="0" applyFont="0" applyFill="0" applyBorder="0" applyAlignment="0" applyProtection="0"/>
    <xf numFmtId="0" fontId="39" fillId="0" borderId="0"/>
    <xf numFmtId="171" fontId="39" fillId="0" borderId="0" applyFont="0" applyFill="0" applyBorder="0" applyAlignment="0" applyProtection="0"/>
    <xf numFmtId="0" fontId="39" fillId="0" borderId="0"/>
    <xf numFmtId="0" fontId="39" fillId="0" borderId="0"/>
    <xf numFmtId="0" fontId="39" fillId="0" borderId="0"/>
    <xf numFmtId="0" fontId="39" fillId="0" borderId="0"/>
    <xf numFmtId="171" fontId="39" fillId="0" borderId="0" applyFont="0" applyFill="0" applyBorder="0" applyAlignment="0" applyProtection="0"/>
    <xf numFmtId="171" fontId="39" fillId="0" borderId="0" applyFont="0" applyFill="0" applyBorder="0" applyAlignment="0" applyProtection="0"/>
    <xf numFmtId="0" fontId="39" fillId="0" borderId="0"/>
    <xf numFmtId="0" fontId="39" fillId="0" borderId="0"/>
    <xf numFmtId="171" fontId="39" fillId="0" borderId="0" applyFont="0" applyFill="0" applyBorder="0" applyAlignment="0" applyProtection="0"/>
    <xf numFmtId="0" fontId="39" fillId="0" borderId="0"/>
    <xf numFmtId="171" fontId="39" fillId="0" borderId="0" applyFont="0" applyFill="0" applyBorder="0" applyAlignment="0" applyProtection="0"/>
    <xf numFmtId="0" fontId="39" fillId="0" borderId="0"/>
    <xf numFmtId="171" fontId="39" fillId="0" borderId="0" applyFont="0" applyFill="0" applyBorder="0" applyAlignment="0" applyProtection="0"/>
    <xf numFmtId="0" fontId="228" fillId="0" borderId="0"/>
    <xf numFmtId="0" fontId="228" fillId="0" borderId="0"/>
    <xf numFmtId="0" fontId="39" fillId="0" borderId="0"/>
    <xf numFmtId="171" fontId="39" fillId="0" borderId="0" applyFont="0" applyFill="0" applyBorder="0" applyAlignment="0" applyProtection="0"/>
    <xf numFmtId="0" fontId="228" fillId="0" borderId="0"/>
    <xf numFmtId="0" fontId="38" fillId="0" borderId="0"/>
    <xf numFmtId="0" fontId="391" fillId="0" borderId="0"/>
    <xf numFmtId="0" fontId="391" fillId="0" borderId="0"/>
    <xf numFmtId="0" fontId="38" fillId="0" borderId="0"/>
    <xf numFmtId="0" fontId="38" fillId="0" borderId="0"/>
    <xf numFmtId="0" fontId="38" fillId="0" borderId="0"/>
    <xf numFmtId="0" fontId="38" fillId="0" borderId="0"/>
    <xf numFmtId="0" fontId="62" fillId="0" borderId="0"/>
    <xf numFmtId="359" fontId="71" fillId="0" borderId="0"/>
    <xf numFmtId="171" fontId="37" fillId="0" borderId="0" applyFont="0" applyFill="0" applyBorder="0" applyAlignment="0" applyProtection="0"/>
    <xf numFmtId="0" fontId="37" fillId="0" borderId="0"/>
    <xf numFmtId="0" fontId="37" fillId="0" borderId="0"/>
    <xf numFmtId="0" fontId="37" fillId="0" borderId="0"/>
    <xf numFmtId="0" fontId="37" fillId="0" borderId="0"/>
    <xf numFmtId="0" fontId="180" fillId="0" borderId="0"/>
    <xf numFmtId="0" fontId="180" fillId="0" borderId="0"/>
    <xf numFmtId="0" fontId="180" fillId="0" borderId="0"/>
    <xf numFmtId="0" fontId="180" fillId="0" borderId="0"/>
    <xf numFmtId="0" fontId="128" fillId="0" borderId="0"/>
    <xf numFmtId="0" fontId="180" fillId="0" borderId="0"/>
    <xf numFmtId="0" fontId="84" fillId="61" borderId="174" applyNumberFormat="0" applyAlignment="0" applyProtection="0"/>
    <xf numFmtId="0" fontId="84" fillId="61" borderId="174" applyNumberFormat="0" applyAlignment="0" applyProtection="0"/>
    <xf numFmtId="0" fontId="84" fillId="61" borderId="174" applyNumberFormat="0" applyAlignment="0" applyProtection="0"/>
    <xf numFmtId="0" fontId="84" fillId="61" borderId="174" applyNumberFormat="0" applyAlignment="0" applyProtection="0"/>
    <xf numFmtId="0" fontId="84" fillId="61" borderId="174" applyNumberFormat="0" applyAlignment="0" applyProtection="0"/>
    <xf numFmtId="0" fontId="84" fillId="61" borderId="174" applyNumberFormat="0" applyAlignment="0" applyProtection="0"/>
    <xf numFmtId="0" fontId="84" fillId="61" borderId="174" applyNumberFormat="0" applyAlignment="0" applyProtection="0"/>
    <xf numFmtId="0" fontId="84" fillId="61" borderId="174" applyNumberFormat="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66"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66"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43" fontId="66"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43" fontId="66"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66"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171" fontId="395"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171" fontId="66"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66"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66"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0" fontId="66" fillId="0" borderId="0" applyFont="0" applyFill="0" applyBorder="0" applyAlignment="0" applyProtection="0"/>
    <xf numFmtId="171" fontId="36" fillId="0" borderId="0" applyFont="0" applyFill="0" applyBorder="0" applyAlignment="0" applyProtection="0"/>
    <xf numFmtId="0" fontId="36" fillId="0" borderId="0"/>
    <xf numFmtId="0" fontId="36" fillId="0" borderId="0"/>
    <xf numFmtId="0" fontId="36" fillId="0" borderId="0"/>
    <xf numFmtId="0" fontId="36" fillId="0" borderId="0"/>
    <xf numFmtId="0" fontId="35" fillId="0" borderId="0"/>
    <xf numFmtId="171" fontId="35" fillId="0" borderId="0" applyFont="0" applyFill="0" applyBorder="0" applyAlignment="0" applyProtection="0"/>
    <xf numFmtId="9" fontId="35" fillId="0" borderId="0" applyFont="0" applyFill="0" applyBorder="0" applyAlignment="0" applyProtection="0"/>
    <xf numFmtId="0" fontId="34" fillId="0" borderId="0"/>
    <xf numFmtId="43" fontId="34" fillId="0" borderId="0" applyFont="0" applyFill="0" applyBorder="0" applyAlignment="0" applyProtection="0"/>
    <xf numFmtId="171" fontId="34" fillId="0" borderId="0" applyFont="0" applyFill="0" applyBorder="0" applyAlignment="0" applyProtection="0"/>
    <xf numFmtId="43" fontId="34" fillId="0" borderId="0" applyFont="0" applyFill="0" applyBorder="0" applyAlignment="0" applyProtection="0"/>
    <xf numFmtId="210" fontId="416" fillId="135" borderId="128" applyFill="0">
      <alignment horizontal="right" vertical="top"/>
    </xf>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3" fillId="0" borderId="0"/>
    <xf numFmtId="9" fontId="33" fillId="0" borderId="0" applyFont="0" applyFill="0" applyBorder="0" applyAlignment="0" applyProtection="0"/>
    <xf numFmtId="0" fontId="33" fillId="0" borderId="0"/>
    <xf numFmtId="0" fontId="32" fillId="0" borderId="0"/>
    <xf numFmtId="0" fontId="66" fillId="0" borderId="0"/>
    <xf numFmtId="171" fontId="32" fillId="0" borderId="0" applyFont="0" applyFill="0" applyBorder="0" applyAlignment="0" applyProtection="0"/>
    <xf numFmtId="171" fontId="32" fillId="0" borderId="0" applyFont="0" applyFill="0" applyBorder="0" applyAlignment="0" applyProtection="0"/>
    <xf numFmtId="171" fontId="418" fillId="0" borderId="0" applyFont="0" applyFill="0" applyBorder="0" applyAlignment="0" applyProtection="0"/>
    <xf numFmtId="9" fontId="32" fillId="0" borderId="0" applyFont="0" applyFill="0" applyBorder="0" applyAlignment="0" applyProtection="0"/>
    <xf numFmtId="173" fontId="60" fillId="0" borderId="0" applyFont="0" applyFill="0" applyBorder="0" applyAlignment="0" applyProtection="0"/>
    <xf numFmtId="0" fontId="31" fillId="0" borderId="0"/>
    <xf numFmtId="0" fontId="31" fillId="0" borderId="0"/>
    <xf numFmtId="171" fontId="31" fillId="0" borderId="0" applyFont="0" applyFill="0" applyBorder="0" applyAlignment="0" applyProtection="0"/>
    <xf numFmtId="171" fontId="31" fillId="0" borderId="0" applyFont="0" applyFill="0" applyBorder="0" applyAlignment="0" applyProtection="0"/>
    <xf numFmtId="0" fontId="30" fillId="0" borderId="0"/>
    <xf numFmtId="171" fontId="30" fillId="0" borderId="0" applyFont="0" applyFill="0" applyBorder="0" applyAlignment="0" applyProtection="0"/>
    <xf numFmtId="0" fontId="29" fillId="0" borderId="0"/>
    <xf numFmtId="171" fontId="29" fillId="0" borderId="0" applyFont="0" applyFill="0" applyBorder="0" applyAlignment="0" applyProtection="0"/>
    <xf numFmtId="171" fontId="29" fillId="0" borderId="0" applyFont="0" applyFill="0" applyBorder="0" applyAlignment="0" applyProtection="0"/>
    <xf numFmtId="9" fontId="29" fillId="0" borderId="0" applyFont="0" applyFill="0" applyBorder="0" applyAlignment="0" applyProtection="0"/>
    <xf numFmtId="171" fontId="28" fillId="0" borderId="0" applyFont="0" applyFill="0" applyBorder="0" applyAlignment="0" applyProtection="0"/>
    <xf numFmtId="0" fontId="27" fillId="0" borderId="0"/>
    <xf numFmtId="0" fontId="27" fillId="0" borderId="0"/>
    <xf numFmtId="171" fontId="27" fillId="0" borderId="0" applyFont="0" applyFill="0" applyBorder="0" applyAlignment="0" applyProtection="0"/>
    <xf numFmtId="171" fontId="27" fillId="0" borderId="0" applyFont="0" applyFill="0" applyBorder="0" applyAlignment="0" applyProtection="0"/>
    <xf numFmtId="171" fontId="27" fillId="0" borderId="0" applyFont="0" applyFill="0" applyBorder="0" applyAlignment="0" applyProtection="0"/>
    <xf numFmtId="171" fontId="365" fillId="0" borderId="0" applyFont="0" applyFill="0" applyBorder="0" applyAlignment="0" applyProtection="0"/>
    <xf numFmtId="0" fontId="26" fillId="0" borderId="0"/>
    <xf numFmtId="171" fontId="26" fillId="0" borderId="0" applyFont="0" applyFill="0" applyBorder="0" applyAlignment="0" applyProtection="0"/>
    <xf numFmtId="0" fontId="93" fillId="0" borderId="0"/>
    <xf numFmtId="171" fontId="25" fillId="0" borderId="0" applyFont="0" applyFill="0" applyBorder="0" applyAlignment="0" applyProtection="0"/>
    <xf numFmtId="171" fontId="25" fillId="0" borderId="0" applyFont="0" applyFill="0" applyBorder="0" applyAlignment="0" applyProtection="0"/>
    <xf numFmtId="171" fontId="25" fillId="0" borderId="0" applyFont="0" applyFill="0" applyBorder="0" applyAlignment="0" applyProtection="0"/>
    <xf numFmtId="171" fontId="25" fillId="0" borderId="0" applyFont="0" applyFill="0" applyBorder="0" applyAlignment="0" applyProtection="0"/>
    <xf numFmtId="0" fontId="25" fillId="0" borderId="0"/>
    <xf numFmtId="171" fontId="24" fillId="0" borderId="0" applyFont="0" applyFill="0" applyBorder="0" applyAlignment="0" applyProtection="0"/>
    <xf numFmtId="9" fontId="24" fillId="0" borderId="0" applyFont="0" applyFill="0" applyBorder="0" applyAlignment="0" applyProtection="0"/>
    <xf numFmtId="171" fontId="23" fillId="0" borderId="0" applyFont="0" applyFill="0" applyBorder="0" applyAlignment="0" applyProtection="0"/>
    <xf numFmtId="0" fontId="22" fillId="0" borderId="0"/>
    <xf numFmtId="171" fontId="22" fillId="0" borderId="0" applyFont="0" applyFill="0" applyBorder="0" applyAlignment="0" applyProtection="0"/>
    <xf numFmtId="171" fontId="22" fillId="0" borderId="0" applyFont="0" applyFill="0" applyBorder="0" applyAlignment="0" applyProtection="0"/>
    <xf numFmtId="0" fontId="22" fillId="0" borderId="0"/>
    <xf numFmtId="9" fontId="22" fillId="0" borderId="0" applyFont="0" applyFill="0" applyBorder="0" applyAlignment="0" applyProtection="0"/>
    <xf numFmtId="0" fontId="348" fillId="0" borderId="0" applyNumberFormat="0" applyFill="0" applyBorder="0" applyAlignment="0" applyProtection="0"/>
    <xf numFmtId="171" fontId="21" fillId="0" borderId="0" applyFont="0" applyFill="0" applyBorder="0" applyAlignment="0" applyProtection="0"/>
    <xf numFmtId="171" fontId="21" fillId="0" borderId="0" applyFont="0" applyFill="0" applyBorder="0" applyAlignment="0" applyProtection="0"/>
    <xf numFmtId="0" fontId="21" fillId="0" borderId="0"/>
    <xf numFmtId="171" fontId="21" fillId="0" borderId="0" applyFont="0" applyFill="0" applyBorder="0" applyAlignment="0" applyProtection="0"/>
    <xf numFmtId="0" fontId="21" fillId="0" borderId="0"/>
    <xf numFmtId="171" fontId="21" fillId="0" borderId="0" applyFont="0" applyFill="0" applyBorder="0" applyAlignment="0" applyProtection="0"/>
    <xf numFmtId="171" fontId="21" fillId="0" borderId="0" applyFont="0" applyFill="0" applyBorder="0" applyAlignment="0" applyProtection="0"/>
    <xf numFmtId="9" fontId="21" fillId="0" borderId="0" applyFont="0" applyFill="0" applyBorder="0" applyAlignment="0" applyProtection="0"/>
    <xf numFmtId="171" fontId="19" fillId="0" borderId="0" applyFont="0" applyFill="0" applyBorder="0" applyAlignment="0" applyProtection="0"/>
    <xf numFmtId="0" fontId="18" fillId="0" borderId="0"/>
    <xf numFmtId="43" fontId="18" fillId="0" borderId="0" applyFont="0" applyFill="0" applyBorder="0" applyAlignment="0" applyProtection="0"/>
    <xf numFmtId="9" fontId="18" fillId="0" borderId="0" applyFont="0" applyFill="0" applyBorder="0" applyAlignment="0" applyProtection="0"/>
    <xf numFmtId="171" fontId="16" fillId="0" borderId="0" applyFont="0" applyFill="0" applyBorder="0" applyAlignment="0" applyProtection="0"/>
    <xf numFmtId="170" fontId="60" fillId="0" borderId="0" applyFont="0" applyFill="0" applyBorder="0" applyAlignment="0" applyProtection="0"/>
    <xf numFmtId="0" fontId="16" fillId="0" borderId="0"/>
    <xf numFmtId="171" fontId="16" fillId="0" borderId="0" applyFont="0" applyFill="0" applyBorder="0" applyAlignment="0" applyProtection="0"/>
    <xf numFmtId="171" fontId="16" fillId="0" borderId="0" applyFont="0" applyFill="0" applyBorder="0" applyAlignment="0" applyProtection="0"/>
    <xf numFmtId="0" fontId="15" fillId="0" borderId="0"/>
    <xf numFmtId="43" fontId="15" fillId="0" borderId="0" applyFont="0" applyFill="0" applyBorder="0" applyAlignment="0" applyProtection="0"/>
    <xf numFmtId="0" fontId="610" fillId="4" borderId="0" applyNumberFormat="0" applyBorder="0" applyAlignment="0" applyProtection="0"/>
    <xf numFmtId="0" fontId="5" fillId="0" borderId="0"/>
    <xf numFmtId="43" fontId="60" fillId="0" borderId="0"/>
    <xf numFmtId="43" fontId="4" fillId="0" borderId="0"/>
    <xf numFmtId="0" fontId="3" fillId="0" borderId="0"/>
    <xf numFmtId="0" fontId="2" fillId="0" borderId="0"/>
  </cellStyleXfs>
  <cellXfs count="6162">
    <xf numFmtId="0" fontId="0" fillId="0" borderId="0" xfId="0"/>
    <xf numFmtId="0" fontId="172" fillId="0" borderId="135" xfId="0" applyFont="1" applyBorder="1" applyAlignment="1">
      <alignment horizontal="center" vertical="center"/>
    </xf>
    <xf numFmtId="0" fontId="64" fillId="0" borderId="0" xfId="2" applyFont="1" applyAlignment="1">
      <alignment horizontal="left"/>
    </xf>
    <xf numFmtId="0" fontId="91" fillId="0" borderId="0" xfId="19278" applyFont="1" applyAlignment="1">
      <alignment horizontal="left" vertical="top" wrapText="1"/>
    </xf>
    <xf numFmtId="0" fontId="66" fillId="0" borderId="0" xfId="19278" applyFont="1"/>
    <xf numFmtId="0" fontId="342" fillId="0" borderId="0" xfId="19278"/>
    <xf numFmtId="0" fontId="172" fillId="0" borderId="0" xfId="0" applyFont="1" applyAlignment="1">
      <alignment vertical="center" wrapText="1"/>
    </xf>
    <xf numFmtId="0" fontId="172" fillId="0" borderId="0" xfId="0" applyFont="1" applyAlignment="1">
      <alignment vertical="center"/>
    </xf>
    <xf numFmtId="0" fontId="171" fillId="0" borderId="0" xfId="0" applyFont="1" applyAlignment="1">
      <alignment vertical="center" wrapText="1"/>
    </xf>
    <xf numFmtId="0" fontId="171" fillId="0" borderId="0" xfId="0" applyFont="1" applyAlignment="1">
      <alignment vertical="center"/>
    </xf>
    <xf numFmtId="0" fontId="172" fillId="0" borderId="0" xfId="0" applyFont="1" applyAlignment="1">
      <alignment vertical="top"/>
    </xf>
    <xf numFmtId="0" fontId="172" fillId="0" borderId="0" xfId="0" applyFont="1" applyAlignment="1">
      <alignment horizontal="center" vertical="center" wrapText="1"/>
    </xf>
    <xf numFmtId="0" fontId="61" fillId="0" borderId="0" xfId="0" applyFont="1" applyAlignment="1">
      <alignment vertical="center"/>
    </xf>
    <xf numFmtId="0" fontId="343" fillId="0" borderId="0" xfId="2" applyFont="1" applyAlignment="1">
      <alignment horizontal="left"/>
    </xf>
    <xf numFmtId="0" fontId="64" fillId="0" borderId="0" xfId="0" applyFont="1" applyAlignment="1">
      <alignment vertical="center"/>
    </xf>
    <xf numFmtId="0" fontId="344" fillId="0" borderId="0" xfId="0" applyFont="1" applyAlignment="1">
      <alignment vertical="center"/>
    </xf>
    <xf numFmtId="38" fontId="169" fillId="0" borderId="106" xfId="0" applyNumberFormat="1" applyFont="1" applyBorder="1" applyAlignment="1">
      <alignment vertical="top"/>
    </xf>
    <xf numFmtId="229" fontId="169" fillId="0" borderId="106" xfId="19286" applyNumberFormat="1" applyFont="1" applyBorder="1" applyAlignment="1">
      <alignment vertical="top"/>
    </xf>
    <xf numFmtId="229" fontId="169" fillId="0" borderId="106" xfId="19286" applyNumberFormat="1" applyFont="1" applyFill="1" applyBorder="1" applyAlignment="1" applyProtection="1">
      <alignment vertical="top"/>
    </xf>
    <xf numFmtId="229" fontId="169" fillId="0" borderId="107" xfId="19286" applyNumberFormat="1" applyFont="1" applyFill="1" applyBorder="1" applyAlignment="1" applyProtection="1">
      <alignment vertical="top"/>
    </xf>
    <xf numFmtId="0" fontId="355" fillId="0" borderId="0" xfId="14281" applyFont="1"/>
    <xf numFmtId="0" fontId="356" fillId="0" borderId="0" xfId="14281" quotePrefix="1" applyFont="1" applyAlignment="1">
      <alignment horizontal="center"/>
    </xf>
    <xf numFmtId="0" fontId="356" fillId="0" borderId="0" xfId="14281" applyFont="1" applyAlignment="1">
      <alignment horizontal="center"/>
    </xf>
    <xf numFmtId="210" fontId="357" fillId="0" borderId="0" xfId="2" quotePrefix="1" applyNumberFormat="1" applyFont="1" applyAlignment="1">
      <alignment horizontal="left" vertical="center"/>
    </xf>
    <xf numFmtId="38" fontId="350" fillId="0" borderId="0" xfId="2" quotePrefix="1" applyNumberFormat="1" applyFont="1" applyAlignment="1">
      <alignment horizontal="left" vertical="center"/>
    </xf>
    <xf numFmtId="38" fontId="63" fillId="0" borderId="0" xfId="2" quotePrefix="1" applyNumberFormat="1" applyFont="1" applyAlignment="1">
      <alignment horizontal="center" vertical="center"/>
    </xf>
    <xf numFmtId="38" fontId="64" fillId="0" borderId="0" xfId="2" applyNumberFormat="1" applyFont="1" applyAlignment="1">
      <alignment horizontal="left" vertical="center"/>
    </xf>
    <xf numFmtId="38" fontId="363" fillId="0" borderId="131" xfId="2" quotePrefix="1" applyNumberFormat="1" applyFont="1" applyBorder="1" applyAlignment="1">
      <alignment horizontal="center" vertical="center"/>
    </xf>
    <xf numFmtId="38" fontId="346" fillId="0" borderId="0" xfId="2" quotePrefix="1" applyNumberFormat="1" applyFont="1" applyAlignment="1">
      <alignment horizontal="center" vertical="center"/>
    </xf>
    <xf numFmtId="0" fontId="365" fillId="0" borderId="0" xfId="22674"/>
    <xf numFmtId="0" fontId="365" fillId="0" borderId="0" xfId="22674" applyAlignment="1">
      <alignment wrapText="1"/>
    </xf>
    <xf numFmtId="0" fontId="367" fillId="0" borderId="0" xfId="22674" applyFont="1" applyAlignment="1">
      <alignment horizontal="left" vertical="top"/>
    </xf>
    <xf numFmtId="1" fontId="170" fillId="0" borderId="118" xfId="135" applyNumberFormat="1" applyFont="1" applyBorder="1" applyAlignment="1">
      <alignment horizontal="center" vertical="center" wrapText="1"/>
    </xf>
    <xf numFmtId="359" fontId="354" fillId="0" borderId="0" xfId="22678" applyFont="1" applyAlignment="1" applyProtection="1">
      <alignment vertical="center"/>
      <protection locked="0"/>
    </xf>
    <xf numFmtId="359" fontId="354" fillId="0" borderId="0" xfId="22678" applyFont="1" applyAlignment="1" applyProtection="1">
      <alignment vertical="center" wrapText="1"/>
      <protection locked="0"/>
    </xf>
    <xf numFmtId="359" fontId="354" fillId="0" borderId="0" xfId="22678" applyFont="1" applyAlignment="1" applyProtection="1">
      <alignment horizontal="center" vertical="center"/>
      <protection locked="0"/>
    </xf>
    <xf numFmtId="38" fontId="354" fillId="0" borderId="0" xfId="22678" applyNumberFormat="1" applyFont="1" applyAlignment="1" applyProtection="1">
      <alignment vertical="center" wrapText="1"/>
      <protection locked="0"/>
    </xf>
    <xf numFmtId="38" fontId="354" fillId="0" borderId="0" xfId="22678" applyNumberFormat="1" applyFont="1" applyAlignment="1" applyProtection="1">
      <alignment vertical="center"/>
      <protection locked="0"/>
    </xf>
    <xf numFmtId="38" fontId="354" fillId="0" borderId="0" xfId="22678" applyNumberFormat="1" applyFont="1" applyAlignment="1" applyProtection="1">
      <alignment horizontal="center" vertical="center"/>
      <protection locked="0"/>
    </xf>
    <xf numFmtId="0" fontId="365" fillId="0" borderId="0" xfId="22674" applyAlignment="1">
      <alignment horizontal="center"/>
    </xf>
    <xf numFmtId="0" fontId="371" fillId="0" borderId="0" xfId="0" applyFont="1"/>
    <xf numFmtId="228" fontId="371" fillId="0" borderId="0" xfId="0" quotePrefix="1" applyNumberFormat="1" applyFont="1" applyAlignment="1">
      <alignment horizontal="left"/>
    </xf>
    <xf numFmtId="0" fontId="372" fillId="0" borderId="0" xfId="0" applyFont="1"/>
    <xf numFmtId="171" fontId="171" fillId="33" borderId="15" xfId="135" applyFont="1" applyFill="1" applyBorder="1" applyAlignment="1">
      <alignment horizontal="center" vertical="top" wrapText="1"/>
    </xf>
    <xf numFmtId="38" fontId="357" fillId="0" borderId="0" xfId="22681" applyNumberFormat="1" applyFont="1"/>
    <xf numFmtId="38" fontId="358" fillId="0" borderId="0" xfId="22682" applyNumberFormat="1" applyFont="1" applyBorder="1" applyAlignment="1" applyProtection="1">
      <alignment horizontal="left" vertical="center" wrapText="1" shrinkToFit="1"/>
    </xf>
    <xf numFmtId="0" fontId="357" fillId="0" borderId="0" xfId="22683" applyFont="1" applyAlignment="1">
      <alignment vertical="center"/>
    </xf>
    <xf numFmtId="0" fontId="366" fillId="0" borderId="0" xfId="22684" applyFont="1"/>
    <xf numFmtId="0" fontId="365" fillId="0" borderId="0" xfId="22685" applyFont="1"/>
    <xf numFmtId="0" fontId="365" fillId="0" borderId="0" xfId="22685" applyFont="1" applyAlignment="1">
      <alignment horizontal="center"/>
    </xf>
    <xf numFmtId="38" fontId="357" fillId="0" borderId="0" xfId="22681" applyNumberFormat="1" applyFont="1" applyAlignment="1">
      <alignment vertical="center"/>
    </xf>
    <xf numFmtId="0" fontId="368" fillId="0" borderId="0" xfId="22685" applyFont="1" applyAlignment="1">
      <alignment vertical="center"/>
    </xf>
    <xf numFmtId="0" fontId="50" fillId="0" borderId="59" xfId="22683" applyBorder="1" applyAlignment="1">
      <alignment wrapText="1"/>
    </xf>
    <xf numFmtId="0" fontId="366" fillId="0" borderId="0" xfId="22684" applyFont="1" applyAlignment="1">
      <alignment horizontal="center"/>
    </xf>
    <xf numFmtId="0" fontId="172" fillId="0" borderId="130" xfId="22685" applyFont="1" applyBorder="1" applyAlignment="1">
      <alignment horizontal="center" vertical="center" wrapText="1"/>
    </xf>
    <xf numFmtId="1" fontId="172" fillId="0" borderId="120" xfId="22685" applyNumberFormat="1" applyFont="1" applyBorder="1" applyAlignment="1">
      <alignment horizontal="center" vertical="center" wrapText="1"/>
    </xf>
    <xf numFmtId="0" fontId="370" fillId="0" borderId="0" xfId="22684" applyFont="1"/>
    <xf numFmtId="179" fontId="369" fillId="0" borderId="0" xfId="22686" applyNumberFormat="1" applyFont="1" applyFill="1" applyBorder="1" applyAlignment="1" applyProtection="1">
      <alignment horizontal="center" vertical="center"/>
      <protection locked="0"/>
    </xf>
    <xf numFmtId="1" fontId="64" fillId="0" borderId="0" xfId="22683" applyNumberFormat="1" applyFont="1" applyAlignment="1">
      <alignment horizontal="center" vertical="center" wrapText="1"/>
    </xf>
    <xf numFmtId="0" fontId="366" fillId="0" borderId="0" xfId="22684" applyFont="1" applyAlignment="1">
      <alignment wrapText="1"/>
    </xf>
    <xf numFmtId="0" fontId="366" fillId="0" borderId="59" xfId="22684" applyFont="1" applyBorder="1"/>
    <xf numFmtId="0" fontId="365" fillId="0" borderId="52" xfId="22685" applyFont="1" applyBorder="1"/>
    <xf numFmtId="0" fontId="365" fillId="0" borderId="59" xfId="22685" applyFont="1" applyBorder="1" applyAlignment="1">
      <alignment horizontal="center"/>
    </xf>
    <xf numFmtId="171" fontId="170" fillId="0" borderId="0" xfId="135" applyFont="1" applyBorder="1" applyAlignment="1">
      <alignment vertical="center" wrapText="1"/>
    </xf>
    <xf numFmtId="0" fontId="64" fillId="0" borderId="0" xfId="22683" applyFont="1" applyAlignment="1">
      <alignment vertical="center" wrapText="1"/>
    </xf>
    <xf numFmtId="1" fontId="170" fillId="0" borderId="0" xfId="135" applyNumberFormat="1" applyFont="1" applyBorder="1" applyAlignment="1">
      <alignment horizontal="center" vertical="center" wrapText="1"/>
    </xf>
    <xf numFmtId="0" fontId="354" fillId="0" borderId="0" xfId="22674" applyFont="1"/>
    <xf numFmtId="179" fontId="354" fillId="113" borderId="142" xfId="22687" applyNumberFormat="1" applyFont="1" applyFill="1" applyBorder="1" applyAlignment="1" applyProtection="1">
      <alignment horizontal="center" vertical="center" wrapText="1"/>
      <protection locked="0"/>
    </xf>
    <xf numFmtId="179" fontId="354" fillId="113" borderId="143" xfId="22687" applyNumberFormat="1" applyFont="1" applyFill="1" applyBorder="1" applyAlignment="1" applyProtection="1">
      <alignment horizontal="center" vertical="center" wrapText="1"/>
      <protection locked="0"/>
    </xf>
    <xf numFmtId="0" fontId="374" fillId="0" borderId="135" xfId="22679" applyNumberFormat="1" applyFont="1" applyFill="1" applyBorder="1" applyAlignment="1" applyProtection="1">
      <alignment horizontal="center" vertical="center" wrapText="1"/>
      <protection locked="0"/>
    </xf>
    <xf numFmtId="179" fontId="374" fillId="0" borderId="125" xfId="22686" applyNumberFormat="1" applyFont="1" applyFill="1" applyBorder="1" applyAlignment="1" applyProtection="1">
      <alignment horizontal="left" vertical="center" wrapText="1"/>
      <protection locked="0"/>
    </xf>
    <xf numFmtId="286" fontId="354" fillId="0" borderId="141" xfId="22687" applyNumberFormat="1" applyFont="1" applyFill="1" applyBorder="1" applyAlignment="1" applyProtection="1">
      <alignment horizontal="center" vertical="center" wrapText="1"/>
      <protection locked="0"/>
    </xf>
    <xf numFmtId="286" fontId="354" fillId="0" borderId="124" xfId="22687" applyNumberFormat="1" applyFont="1" applyFill="1" applyBorder="1" applyAlignment="1" applyProtection="1">
      <alignment horizontal="center" vertical="center" wrapText="1"/>
      <protection locked="0"/>
    </xf>
    <xf numFmtId="179" fontId="374" fillId="0" borderId="135" xfId="22686" applyNumberFormat="1" applyFont="1" applyFill="1" applyBorder="1" applyAlignment="1" applyProtection="1">
      <alignment horizontal="center" vertical="center" wrapText="1"/>
      <protection locked="0"/>
    </xf>
    <xf numFmtId="0" fontId="374" fillId="0" borderId="126" xfId="7727" applyNumberFormat="1" applyFont="1" applyFill="1" applyBorder="1" applyAlignment="1" applyProtection="1">
      <alignment horizontal="center" vertical="center" wrapText="1"/>
      <protection locked="0"/>
    </xf>
    <xf numFmtId="0" fontId="374" fillId="0" borderId="130" xfId="7727" applyNumberFormat="1" applyFont="1" applyFill="1" applyBorder="1" applyAlignment="1" applyProtection="1">
      <alignment horizontal="center" vertical="center" wrapText="1"/>
      <protection locked="0"/>
    </xf>
    <xf numFmtId="0" fontId="374" fillId="0" borderId="123" xfId="7727" applyNumberFormat="1" applyFont="1" applyFill="1" applyBorder="1" applyAlignment="1" applyProtection="1">
      <alignment horizontal="center" vertical="center" wrapText="1"/>
      <protection locked="0"/>
    </xf>
    <xf numFmtId="0" fontId="374" fillId="0" borderId="125" xfId="7727" applyNumberFormat="1" applyFont="1" applyFill="1" applyBorder="1" applyAlignment="1" applyProtection="1">
      <alignment horizontal="center" vertical="center" wrapText="1"/>
      <protection locked="0"/>
    </xf>
    <xf numFmtId="0" fontId="374" fillId="0" borderId="135" xfId="7727" applyNumberFormat="1" applyFont="1" applyFill="1" applyBorder="1" applyAlignment="1" applyProtection="1">
      <alignment horizontal="center" vertical="center" wrapText="1"/>
      <protection locked="0"/>
    </xf>
    <xf numFmtId="0" fontId="374" fillId="0" borderId="144" xfId="7727" applyNumberFormat="1" applyFont="1" applyFill="1" applyBorder="1" applyAlignment="1" applyProtection="1">
      <alignment horizontal="center" vertical="center" wrapText="1"/>
      <protection locked="0"/>
    </xf>
    <xf numFmtId="0" fontId="365" fillId="0" borderId="0" xfId="22674" applyAlignment="1">
      <alignment vertical="top"/>
    </xf>
    <xf numFmtId="0" fontId="375" fillId="107" borderId="145" xfId="22678" quotePrefix="1" applyNumberFormat="1" applyFont="1" applyFill="1" applyBorder="1" applyAlignment="1" applyProtection="1">
      <alignment horizontal="center" vertical="top"/>
      <protection locked="0"/>
    </xf>
    <xf numFmtId="286" fontId="375" fillId="107" borderId="146" xfId="22687" applyNumberFormat="1" applyFont="1" applyFill="1" applyBorder="1" applyAlignment="1" applyProtection="1">
      <alignment horizontal="center" vertical="top" wrapText="1"/>
      <protection locked="0"/>
    </xf>
    <xf numFmtId="286" fontId="375" fillId="107" borderId="45" xfId="22687" applyNumberFormat="1" applyFont="1" applyFill="1" applyBorder="1" applyAlignment="1" applyProtection="1">
      <alignment horizontal="center" vertical="center" wrapText="1"/>
      <protection locked="0"/>
    </xf>
    <xf numFmtId="286" fontId="375" fillId="107" borderId="145" xfId="22687" applyNumberFormat="1" applyFont="1" applyFill="1" applyBorder="1" applyAlignment="1" applyProtection="1">
      <alignment horizontal="center" vertical="top"/>
      <protection locked="0"/>
    </xf>
    <xf numFmtId="14" fontId="375" fillId="107" borderId="117" xfId="22687" applyNumberFormat="1" applyFont="1" applyFill="1" applyBorder="1" applyAlignment="1" applyProtection="1">
      <alignment horizontal="center" vertical="top"/>
      <protection locked="0"/>
    </xf>
    <xf numFmtId="179" fontId="375" fillId="107" borderId="45" xfId="22687" applyNumberFormat="1" applyFont="1" applyFill="1" applyBorder="1" applyAlignment="1" applyProtection="1">
      <alignment horizontal="center" vertical="top"/>
      <protection locked="0"/>
    </xf>
    <xf numFmtId="49" fontId="375" fillId="107" borderId="117" xfId="22678" applyNumberFormat="1" applyFont="1" applyFill="1" applyBorder="1" applyAlignment="1" applyProtection="1">
      <alignment horizontal="center" vertical="top"/>
      <protection locked="0"/>
    </xf>
    <xf numFmtId="210" fontId="375" fillId="107" borderId="117" xfId="22687" applyNumberFormat="1" applyFont="1" applyFill="1" applyBorder="1" applyAlignment="1" applyProtection="1">
      <alignment horizontal="center" vertical="top"/>
      <protection locked="0"/>
    </xf>
    <xf numFmtId="49" fontId="375" fillId="107" borderId="145" xfId="22678" applyNumberFormat="1" applyFont="1" applyFill="1" applyBorder="1" applyAlignment="1" applyProtection="1">
      <alignment horizontal="center" vertical="top"/>
      <protection locked="0"/>
    </xf>
    <xf numFmtId="14" fontId="375" fillId="107" borderId="45" xfId="22687" applyNumberFormat="1" applyFont="1" applyFill="1" applyBorder="1" applyAlignment="1" applyProtection="1">
      <alignment horizontal="center" vertical="top"/>
      <protection locked="0"/>
    </xf>
    <xf numFmtId="179" fontId="375" fillId="107" borderId="146" xfId="22687" applyNumberFormat="1" applyFont="1" applyFill="1" applyBorder="1" applyAlignment="1" applyProtection="1">
      <alignment horizontal="center" vertical="top"/>
      <protection locked="0"/>
    </xf>
    <xf numFmtId="179" fontId="375" fillId="107" borderId="147" xfId="22687" applyNumberFormat="1" applyFont="1" applyFill="1" applyBorder="1" applyAlignment="1" applyProtection="1">
      <alignment horizontal="center" vertical="top"/>
      <protection locked="0"/>
    </xf>
    <xf numFmtId="0" fontId="375" fillId="107" borderId="148" xfId="22678" applyNumberFormat="1" applyFont="1" applyFill="1" applyBorder="1" applyAlignment="1" applyProtection="1">
      <alignment horizontal="left" vertical="top" wrapText="1"/>
      <protection locked="0"/>
    </xf>
    <xf numFmtId="0" fontId="375" fillId="0" borderId="145" xfId="22678" quotePrefix="1" applyNumberFormat="1" applyFont="1" applyBorder="1" applyAlignment="1" applyProtection="1">
      <alignment horizontal="center" vertical="top"/>
      <protection locked="0"/>
    </xf>
    <xf numFmtId="286" fontId="375" fillId="0" borderId="146" xfId="22687" applyNumberFormat="1" applyFont="1" applyFill="1" applyBorder="1" applyAlignment="1" applyProtection="1">
      <alignment horizontal="center" vertical="top" wrapText="1"/>
      <protection locked="0"/>
    </xf>
    <xf numFmtId="286" fontId="375" fillId="0" borderId="45" xfId="22687" applyNumberFormat="1" applyFont="1" applyFill="1" applyBorder="1" applyAlignment="1" applyProtection="1">
      <alignment horizontal="center" vertical="center" wrapText="1"/>
      <protection locked="0"/>
    </xf>
    <xf numFmtId="286" fontId="375" fillId="0" borderId="145" xfId="22687" applyNumberFormat="1" applyFont="1" applyFill="1" applyBorder="1" applyAlignment="1" applyProtection="1">
      <alignment horizontal="center" vertical="top"/>
      <protection locked="0"/>
    </xf>
    <xf numFmtId="14" fontId="375" fillId="34" borderId="117" xfId="22687" applyNumberFormat="1" applyFont="1" applyFill="1" applyBorder="1" applyAlignment="1" applyProtection="1">
      <alignment horizontal="center" vertical="top"/>
      <protection locked="0"/>
    </xf>
    <xf numFmtId="179" fontId="375" fillId="0" borderId="45" xfId="22687" applyNumberFormat="1" applyFont="1" applyFill="1" applyBorder="1" applyAlignment="1" applyProtection="1">
      <alignment horizontal="center" vertical="top"/>
      <protection locked="0"/>
    </xf>
    <xf numFmtId="210" fontId="375" fillId="34" borderId="117" xfId="22687" applyNumberFormat="1" applyFont="1" applyFill="1" applyBorder="1" applyAlignment="1" applyProtection="1">
      <alignment horizontal="center" vertical="top"/>
      <protection locked="0"/>
    </xf>
    <xf numFmtId="49" fontId="375" fillId="0" borderId="117" xfId="22678" applyNumberFormat="1" applyFont="1" applyBorder="1" applyAlignment="1" applyProtection="1">
      <alignment horizontal="center" vertical="top"/>
      <protection locked="0"/>
    </xf>
    <xf numFmtId="49" fontId="375" fillId="0" borderId="145" xfId="22678" applyNumberFormat="1" applyFont="1" applyBorder="1" applyAlignment="1" applyProtection="1">
      <alignment horizontal="center" vertical="top"/>
      <protection locked="0"/>
    </xf>
    <xf numFmtId="14" fontId="375" fillId="0" borderId="45" xfId="22687" applyNumberFormat="1" applyFont="1" applyFill="1" applyBorder="1" applyAlignment="1" applyProtection="1">
      <alignment horizontal="center" vertical="top"/>
      <protection locked="0"/>
    </xf>
    <xf numFmtId="14" fontId="375" fillId="0" borderId="117" xfId="22687" applyNumberFormat="1" applyFont="1" applyFill="1" applyBorder="1" applyAlignment="1" applyProtection="1">
      <alignment horizontal="center" vertical="top"/>
      <protection locked="0"/>
    </xf>
    <xf numFmtId="179" fontId="375" fillId="0" borderId="146" xfId="22687" applyNumberFormat="1" applyFont="1" applyFill="1" applyBorder="1" applyAlignment="1" applyProtection="1">
      <alignment horizontal="center" vertical="top"/>
      <protection locked="0"/>
    </xf>
    <xf numFmtId="179" fontId="375" fillId="0" borderId="147" xfId="22687" applyNumberFormat="1" applyFont="1" applyFill="1" applyBorder="1" applyAlignment="1" applyProtection="1">
      <alignment horizontal="center" vertical="top"/>
      <protection locked="0"/>
    </xf>
    <xf numFmtId="0" fontId="375" fillId="0" borderId="148" xfId="22678" applyNumberFormat="1" applyFont="1" applyBorder="1" applyAlignment="1" applyProtection="1">
      <alignment horizontal="left" vertical="top" wrapText="1"/>
      <protection locked="0"/>
    </xf>
    <xf numFmtId="359" fontId="375" fillId="0" borderId="0" xfId="22678" applyFont="1" applyAlignment="1" applyProtection="1">
      <alignment vertical="center"/>
      <protection locked="0"/>
    </xf>
    <xf numFmtId="359" fontId="375" fillId="0" borderId="0" xfId="22678" applyFont="1" applyAlignment="1" applyProtection="1">
      <alignment vertical="center" wrapText="1"/>
      <protection locked="0"/>
    </xf>
    <xf numFmtId="179" fontId="377" fillId="0" borderId="0" xfId="22687" applyNumberFormat="1" applyFont="1" applyFill="1" applyBorder="1" applyAlignment="1" applyProtection="1">
      <alignment horizontal="right" vertical="center"/>
      <protection locked="0"/>
    </xf>
    <xf numFmtId="0" fontId="378" fillId="0" borderId="0" xfId="22674" applyFont="1"/>
    <xf numFmtId="0" fontId="375" fillId="0" borderId="0" xfId="22685" applyFont="1" applyAlignment="1">
      <alignment vertical="center"/>
    </xf>
    <xf numFmtId="0" fontId="378" fillId="0" borderId="0" xfId="22674" applyFont="1" applyAlignment="1">
      <alignment wrapText="1"/>
    </xf>
    <xf numFmtId="359" fontId="375" fillId="0" borderId="0" xfId="22678" applyFont="1" applyAlignment="1" applyProtection="1">
      <alignment horizontal="center" vertical="center"/>
      <protection locked="0"/>
    </xf>
    <xf numFmtId="38" fontId="378" fillId="0" borderId="0" xfId="22674" applyNumberFormat="1" applyFont="1"/>
    <xf numFmtId="38" fontId="375" fillId="0" borderId="0" xfId="22685" applyNumberFormat="1" applyFont="1" applyAlignment="1">
      <alignment vertical="center"/>
    </xf>
    <xf numFmtId="38" fontId="375" fillId="0" borderId="0" xfId="22678" applyNumberFormat="1" applyFont="1" applyAlignment="1" applyProtection="1">
      <alignment vertical="center" wrapText="1"/>
      <protection locked="0"/>
    </xf>
    <xf numFmtId="38" fontId="375" fillId="0" borderId="0" xfId="22678" applyNumberFormat="1" applyFont="1" applyAlignment="1" applyProtection="1">
      <alignment vertical="center"/>
      <protection locked="0"/>
    </xf>
    <xf numFmtId="0" fontId="63" fillId="0" borderId="0" xfId="22683" applyFont="1" applyAlignment="1">
      <alignment vertical="center"/>
    </xf>
    <xf numFmtId="38" fontId="375" fillId="0" borderId="0" xfId="22678" applyNumberFormat="1" applyFont="1" applyAlignment="1" applyProtection="1">
      <alignment horizontal="center" vertical="center"/>
      <protection locked="0"/>
    </xf>
    <xf numFmtId="179" fontId="375" fillId="0" borderId="152" xfId="22687" applyNumberFormat="1" applyFont="1" applyFill="1" applyBorder="1" applyAlignment="1" applyProtection="1">
      <alignment horizontal="center" vertical="top"/>
      <protection locked="0"/>
    </xf>
    <xf numFmtId="0" fontId="346" fillId="0" borderId="122" xfId="135" applyNumberFormat="1" applyFont="1" applyBorder="1" applyAlignment="1">
      <alignment vertical="center"/>
    </xf>
    <xf numFmtId="179" fontId="375" fillId="0" borderId="148" xfId="22687" applyNumberFormat="1" applyFont="1" applyFill="1" applyBorder="1" applyAlignment="1" applyProtection="1">
      <alignment horizontal="center" vertical="top"/>
      <protection locked="0"/>
    </xf>
    <xf numFmtId="0" fontId="346" fillId="0" borderId="153" xfId="135" applyNumberFormat="1" applyFont="1" applyBorder="1" applyAlignment="1">
      <alignment vertical="center"/>
    </xf>
    <xf numFmtId="0" fontId="346" fillId="0" borderId="131" xfId="135" applyNumberFormat="1" applyFont="1" applyBorder="1" applyAlignment="1">
      <alignment vertical="center"/>
    </xf>
    <xf numFmtId="38" fontId="340" fillId="0" borderId="15" xfId="22678" applyNumberFormat="1" applyFont="1" applyBorder="1" applyAlignment="1" applyProtection="1">
      <alignment vertical="center"/>
      <protection locked="0"/>
    </xf>
    <xf numFmtId="38" fontId="357" fillId="0" borderId="0" xfId="22691" applyNumberFormat="1" applyFont="1"/>
    <xf numFmtId="0" fontId="357" fillId="0" borderId="0" xfId="22691" applyFont="1"/>
    <xf numFmtId="179" fontId="375" fillId="0" borderId="158" xfId="22687" applyNumberFormat="1" applyFont="1" applyFill="1" applyBorder="1" applyAlignment="1" applyProtection="1">
      <alignment horizontal="center" vertical="top"/>
      <protection locked="0"/>
    </xf>
    <xf numFmtId="210" fontId="375" fillId="0" borderId="117" xfId="22687" applyNumberFormat="1" applyFont="1" applyFill="1" applyBorder="1" applyAlignment="1" applyProtection="1">
      <alignment horizontal="center" vertical="top"/>
      <protection locked="0"/>
    </xf>
    <xf numFmtId="359" fontId="379" fillId="0" borderId="0" xfId="22678" applyFont="1" applyAlignment="1" applyProtection="1">
      <alignment vertical="center"/>
      <protection locked="0"/>
    </xf>
    <xf numFmtId="359" fontId="66" fillId="120" borderId="0" xfId="22678" applyFont="1" applyFill="1" applyAlignment="1" applyProtection="1">
      <alignment vertical="center"/>
      <protection locked="0"/>
    </xf>
    <xf numFmtId="359" fontId="66" fillId="120" borderId="124" xfId="22678" applyFont="1" applyFill="1" applyBorder="1" applyAlignment="1" applyProtection="1">
      <alignment vertical="center"/>
      <protection locked="0"/>
    </xf>
    <xf numFmtId="359" fontId="380" fillId="0" borderId="0" xfId="22678" applyFont="1" applyAlignment="1" applyProtection="1">
      <alignment vertical="center"/>
      <protection locked="0"/>
    </xf>
    <xf numFmtId="359" fontId="379" fillId="0" borderId="114" xfId="22678" applyFont="1" applyBorder="1" applyAlignment="1" applyProtection="1">
      <alignment vertical="center"/>
      <protection locked="0"/>
    </xf>
    <xf numFmtId="359" fontId="379" fillId="0" borderId="0" xfId="22678" applyFont="1" applyAlignment="1" applyProtection="1">
      <alignment horizontal="left" vertical="center"/>
      <protection locked="0"/>
    </xf>
    <xf numFmtId="179" fontId="379" fillId="0" borderId="0" xfId="22694" applyNumberFormat="1" applyFont="1" applyFill="1" applyBorder="1" applyAlignment="1" applyProtection="1">
      <alignment horizontal="center" vertical="center"/>
      <protection locked="0"/>
    </xf>
    <xf numFmtId="359" fontId="379" fillId="0" borderId="115" xfId="22678" applyFont="1" applyBorder="1" applyAlignment="1" applyProtection="1">
      <alignment horizontal="center" vertical="center"/>
      <protection locked="0"/>
    </xf>
    <xf numFmtId="179" fontId="379" fillId="0" borderId="71" xfId="22694" applyNumberFormat="1" applyFont="1" applyFill="1" applyBorder="1" applyAlignment="1" applyProtection="1">
      <alignment horizontal="center" vertical="center"/>
      <protection locked="0"/>
    </xf>
    <xf numFmtId="179" fontId="379" fillId="0" borderId="71" xfId="22694" applyNumberFormat="1" applyFont="1" applyFill="1" applyBorder="1" applyAlignment="1" applyProtection="1">
      <alignment horizontal="left" vertical="center"/>
      <protection locked="0"/>
    </xf>
    <xf numFmtId="286" fontId="375" fillId="0" borderId="133" xfId="22687" applyNumberFormat="1" applyFont="1" applyFill="1" applyBorder="1" applyAlignment="1" applyProtection="1">
      <alignment horizontal="center" vertical="center" wrapText="1"/>
      <protection locked="0"/>
    </xf>
    <xf numFmtId="179" fontId="375" fillId="0" borderId="133" xfId="22687" applyNumberFormat="1" applyFont="1" applyFill="1" applyBorder="1" applyAlignment="1" applyProtection="1">
      <alignment horizontal="center" vertical="top"/>
      <protection locked="0"/>
    </xf>
    <xf numFmtId="179" fontId="375" fillId="0" borderId="127" xfId="22686" applyNumberFormat="1" applyFont="1" applyFill="1" applyBorder="1" applyAlignment="1" applyProtection="1">
      <alignment horizontal="center" vertical="center"/>
      <protection locked="0"/>
    </xf>
    <xf numFmtId="14" fontId="375" fillId="0" borderId="133" xfId="22687" applyNumberFormat="1" applyFont="1" applyFill="1" applyBorder="1" applyAlignment="1" applyProtection="1">
      <alignment horizontal="center" vertical="top"/>
      <protection locked="0"/>
    </xf>
    <xf numFmtId="179" fontId="375" fillId="0" borderId="127" xfId="22687" applyNumberFormat="1" applyFont="1" applyFill="1" applyBorder="1" applyAlignment="1" applyProtection="1">
      <alignment horizontal="center" vertical="top"/>
      <protection locked="0"/>
    </xf>
    <xf numFmtId="179" fontId="375" fillId="0" borderId="159" xfId="22687" applyNumberFormat="1" applyFont="1" applyFill="1" applyBorder="1" applyAlignment="1" applyProtection="1">
      <alignment horizontal="center" vertical="top"/>
      <protection locked="0"/>
    </xf>
    <xf numFmtId="0" fontId="375" fillId="0" borderId="153" xfId="22678" applyNumberFormat="1" applyFont="1" applyBorder="1" applyAlignment="1" applyProtection="1">
      <alignment horizontal="left" vertical="top" wrapText="1"/>
      <protection locked="0"/>
    </xf>
    <xf numFmtId="179" fontId="379" fillId="0" borderId="0" xfId="22696" applyNumberFormat="1" applyFont="1" applyFill="1" applyBorder="1" applyAlignment="1" applyProtection="1">
      <alignment horizontal="center" vertical="center"/>
      <protection locked="0"/>
    </xf>
    <xf numFmtId="359" fontId="379" fillId="0" borderId="0" xfId="22678" applyFont="1" applyAlignment="1" applyProtection="1">
      <alignment horizontal="center" vertical="center"/>
      <protection locked="0"/>
    </xf>
    <xf numFmtId="0" fontId="366" fillId="0" borderId="0" xfId="22674" applyFont="1"/>
    <xf numFmtId="0" fontId="64" fillId="0" borderId="0" xfId="0" applyFont="1" applyAlignment="1">
      <alignment horizontal="right" vertical="top"/>
    </xf>
    <xf numFmtId="228" fontId="64" fillId="0" borderId="0" xfId="0" applyNumberFormat="1" applyFont="1" applyAlignment="1">
      <alignment horizontal="right"/>
    </xf>
    <xf numFmtId="15" fontId="0" fillId="0" borderId="0" xfId="0" applyNumberFormat="1"/>
    <xf numFmtId="38" fontId="357" fillId="0" borderId="0" xfId="22751" applyNumberFormat="1" applyFont="1"/>
    <xf numFmtId="38" fontId="358" fillId="0" borderId="0" xfId="22752" applyNumberFormat="1" applyFont="1" applyBorder="1" applyAlignment="1" applyProtection="1">
      <alignment horizontal="left" vertical="center" wrapText="1" shrinkToFit="1"/>
    </xf>
    <xf numFmtId="38" fontId="359" fillId="0" borderId="0" xfId="22751" applyNumberFormat="1" applyFont="1" applyAlignment="1">
      <alignment vertical="center"/>
    </xf>
    <xf numFmtId="38" fontId="357" fillId="0" borderId="0" xfId="22751" applyNumberFormat="1" applyFont="1" applyAlignment="1">
      <alignment vertical="center"/>
    </xf>
    <xf numFmtId="38" fontId="350" fillId="0" borderId="0" xfId="22751" applyNumberFormat="1" applyFont="1"/>
    <xf numFmtId="38" fontId="63" fillId="0" borderId="0" xfId="22751" applyNumberFormat="1" applyFont="1" applyAlignment="1">
      <alignment vertical="center"/>
    </xf>
    <xf numFmtId="38" fontId="345" fillId="0" borderId="0" xfId="22751" applyNumberFormat="1" applyFont="1" applyAlignment="1">
      <alignment vertical="center"/>
    </xf>
    <xf numFmtId="38" fontId="45" fillId="0" borderId="0" xfId="22751" applyNumberFormat="1" applyAlignment="1">
      <alignment vertical="center" wrapText="1"/>
    </xf>
    <xf numFmtId="38" fontId="45" fillId="0" borderId="0" xfId="22751" applyNumberFormat="1" applyAlignment="1">
      <alignment horizontal="center" vertical="center"/>
    </xf>
    <xf numFmtId="38" fontId="65" fillId="0" borderId="0" xfId="22752" applyNumberFormat="1" applyFont="1" applyAlignment="1" applyProtection="1">
      <alignment horizontal="right" vertical="center"/>
    </xf>
    <xf numFmtId="38" fontId="45" fillId="0" borderId="0" xfId="22751" applyNumberFormat="1" applyAlignment="1">
      <alignment vertical="center"/>
    </xf>
    <xf numFmtId="38" fontId="0" fillId="0" borderId="0" xfId="22752" applyNumberFormat="1" applyFont="1" applyAlignment="1" applyProtection="1">
      <alignment vertical="center"/>
    </xf>
    <xf numFmtId="38" fontId="63" fillId="0" borderId="0" xfId="22752" quotePrefix="1" applyNumberFormat="1" applyFont="1" applyFill="1" applyAlignment="1" applyProtection="1">
      <alignment horizontal="center" vertical="center"/>
    </xf>
    <xf numFmtId="38" fontId="45" fillId="33" borderId="0" xfId="22751" applyNumberFormat="1" applyFill="1" applyAlignment="1">
      <alignment vertical="center"/>
    </xf>
    <xf numFmtId="38" fontId="64" fillId="33" borderId="0" xfId="22751" applyNumberFormat="1" applyFont="1" applyFill="1" applyAlignment="1">
      <alignment vertical="center"/>
    </xf>
    <xf numFmtId="38" fontId="0" fillId="0" borderId="0" xfId="22752" applyNumberFormat="1" applyFont="1" applyAlignment="1" applyProtection="1">
      <alignment horizontal="right" vertical="center"/>
    </xf>
    <xf numFmtId="38" fontId="0" fillId="110" borderId="0" xfId="22752" applyNumberFormat="1" applyFont="1" applyFill="1" applyAlignment="1" applyProtection="1">
      <alignment horizontal="right" vertical="center"/>
    </xf>
    <xf numFmtId="38" fontId="338" fillId="0" borderId="0" xfId="22751" applyNumberFormat="1" applyFont="1" applyAlignment="1">
      <alignment horizontal="right" vertical="center"/>
    </xf>
    <xf numFmtId="38" fontId="338" fillId="0" borderId="0" xfId="22751" applyNumberFormat="1" applyFont="1" applyAlignment="1">
      <alignment vertical="center"/>
    </xf>
    <xf numFmtId="38" fontId="360" fillId="0" borderId="0" xfId="22751" applyNumberFormat="1" applyFont="1" applyAlignment="1">
      <alignment vertical="center"/>
    </xf>
    <xf numFmtId="38" fontId="361" fillId="0" borderId="122" xfId="22751" applyNumberFormat="1" applyFont="1" applyBorder="1" applyAlignment="1">
      <alignment vertical="center"/>
    </xf>
    <xf numFmtId="38" fontId="346" fillId="0" borderId="0" xfId="22751" applyNumberFormat="1" applyFont="1" applyAlignment="1">
      <alignment vertical="center"/>
    </xf>
    <xf numFmtId="38" fontId="363" fillId="0" borderId="131" xfId="22751" applyNumberFormat="1" applyFont="1" applyBorder="1" applyAlignment="1">
      <alignment vertical="center"/>
    </xf>
    <xf numFmtId="38" fontId="65" fillId="33" borderId="0" xfId="22751" applyNumberFormat="1" applyFont="1" applyFill="1" applyAlignment="1">
      <alignment vertical="center"/>
    </xf>
    <xf numFmtId="38" fontId="338" fillId="33" borderId="131" xfId="22751" applyNumberFormat="1" applyFont="1" applyFill="1" applyBorder="1" applyAlignment="1">
      <alignment vertical="center"/>
    </xf>
    <xf numFmtId="38" fontId="350" fillId="0" borderId="126" xfId="22751" applyNumberFormat="1" applyFont="1" applyBorder="1" applyAlignment="1">
      <alignment horizontal="center" vertical="center"/>
    </xf>
    <xf numFmtId="38" fontId="350" fillId="0" borderId="126" xfId="22752" applyNumberFormat="1" applyFont="1" applyFill="1" applyBorder="1" applyAlignment="1" applyProtection="1">
      <alignment horizontal="right" vertical="center"/>
    </xf>
    <xf numFmtId="38" fontId="65" fillId="33" borderId="0" xfId="22751" applyNumberFormat="1" applyFont="1" applyFill="1" applyAlignment="1">
      <alignment horizontal="right" vertical="center"/>
    </xf>
    <xf numFmtId="38" fontId="338" fillId="33" borderId="131" xfId="22751" applyNumberFormat="1" applyFont="1" applyFill="1" applyBorder="1" applyAlignment="1">
      <alignment horizontal="right" vertical="center"/>
    </xf>
    <xf numFmtId="38" fontId="350" fillId="0" borderId="126" xfId="22751" applyNumberFormat="1" applyFont="1" applyBorder="1" applyAlignment="1">
      <alignment horizontal="left" vertical="center" wrapText="1"/>
    </xf>
    <xf numFmtId="38" fontId="63" fillId="34" borderId="132" xfId="22751" applyNumberFormat="1" applyFont="1" applyFill="1" applyBorder="1" applyAlignment="1">
      <alignment horizontal="center" vertical="center"/>
    </xf>
    <xf numFmtId="38" fontId="63" fillId="0" borderId="132" xfId="22751" applyNumberFormat="1" applyFont="1" applyBorder="1" applyAlignment="1">
      <alignment horizontal="justify" vertical="center" wrapText="1"/>
    </xf>
    <xf numFmtId="38" fontId="63" fillId="0" borderId="132" xfId="22752" applyNumberFormat="1" applyFont="1" applyBorder="1" applyAlignment="1" applyProtection="1">
      <alignment horizontal="right" vertical="center"/>
    </xf>
    <xf numFmtId="38" fontId="63" fillId="34" borderId="132" xfId="22752" applyNumberFormat="1" applyFont="1" applyFill="1" applyBorder="1" applyAlignment="1" applyProtection="1">
      <alignment horizontal="right" vertical="center"/>
    </xf>
    <xf numFmtId="38" fontId="63" fillId="34" borderId="126" xfId="22751" applyNumberFormat="1" applyFont="1" applyFill="1" applyBorder="1" applyAlignment="1">
      <alignment horizontal="center" vertical="center"/>
    </xf>
    <xf numFmtId="38" fontId="63" fillId="0" borderId="126" xfId="22751" applyNumberFormat="1" applyFont="1" applyBorder="1" applyAlignment="1">
      <alignment horizontal="justify" vertical="center" wrapText="1"/>
    </xf>
    <xf numFmtId="38" fontId="63" fillId="0" borderId="126" xfId="22752" applyNumberFormat="1" applyFont="1" applyBorder="1" applyAlignment="1" applyProtection="1">
      <alignment horizontal="right" vertical="center"/>
    </xf>
    <xf numFmtId="38" fontId="63" fillId="34" borderId="126" xfId="22752" applyNumberFormat="1" applyFont="1" applyFill="1" applyBorder="1" applyAlignment="1" applyProtection="1">
      <alignment horizontal="right" vertical="center"/>
    </xf>
    <xf numFmtId="38" fontId="338" fillId="0" borderId="131" xfId="22752" applyNumberFormat="1" applyFont="1" applyBorder="1" applyAlignment="1" applyProtection="1">
      <alignment horizontal="right" vertical="center"/>
    </xf>
    <xf numFmtId="38" fontId="45" fillId="0" borderId="0" xfId="22752" applyNumberFormat="1" applyFont="1" applyAlignment="1" applyProtection="1">
      <alignment vertical="center"/>
    </xf>
    <xf numFmtId="38" fontId="64" fillId="0" borderId="0" xfId="22751" applyNumberFormat="1" applyFont="1" applyAlignment="1">
      <alignment horizontal="right" vertical="center" wrapText="1"/>
    </xf>
    <xf numFmtId="38" fontId="65" fillId="0" borderId="0" xfId="22751" applyNumberFormat="1" applyFont="1" applyAlignment="1">
      <alignment horizontal="right" vertical="center"/>
    </xf>
    <xf numFmtId="38" fontId="338" fillId="0" borderId="131" xfId="22751" applyNumberFormat="1" applyFont="1" applyBorder="1" applyAlignment="1">
      <alignment horizontal="right" vertical="center"/>
    </xf>
    <xf numFmtId="38" fontId="338" fillId="0" borderId="0" xfId="22751" applyNumberFormat="1" applyFont="1" applyAlignment="1">
      <alignment horizontal="center" vertical="center"/>
    </xf>
    <xf numFmtId="38" fontId="65" fillId="0" borderId="0" xfId="22751" applyNumberFormat="1" applyFont="1" applyAlignment="1">
      <alignment vertical="center"/>
    </xf>
    <xf numFmtId="38" fontId="338" fillId="0" borderId="131" xfId="22751" applyNumberFormat="1" applyFont="1" applyBorder="1" applyAlignment="1">
      <alignment vertical="center"/>
    </xf>
    <xf numFmtId="38" fontId="0" fillId="0" borderId="0" xfId="22752" applyNumberFormat="1" applyFont="1" applyAlignment="1" applyProtection="1">
      <alignment horizontal="center" vertical="center"/>
    </xf>
    <xf numFmtId="179" fontId="375" fillId="107" borderId="117" xfId="22687" applyNumberFormat="1" applyFont="1" applyFill="1" applyBorder="1" applyAlignment="1" applyProtection="1">
      <alignment horizontal="left" vertical="top" wrapText="1"/>
      <protection locked="0"/>
    </xf>
    <xf numFmtId="179" fontId="365" fillId="0" borderId="0" xfId="22674" applyNumberFormat="1" applyAlignment="1">
      <alignment vertical="top"/>
    </xf>
    <xf numFmtId="38" fontId="375" fillId="0" borderId="0" xfId="22678" applyNumberFormat="1" applyFont="1" applyAlignment="1" applyProtection="1">
      <alignment horizontal="right" vertical="center"/>
      <protection locked="0"/>
    </xf>
    <xf numFmtId="38" fontId="354" fillId="0" borderId="0" xfId="22678" applyNumberFormat="1" applyFont="1" applyAlignment="1" applyProtection="1">
      <alignment horizontal="right" vertical="center"/>
      <protection locked="0"/>
    </xf>
    <xf numFmtId="210" fontId="386" fillId="107" borderId="117" xfId="22687" applyNumberFormat="1" applyFont="1" applyFill="1" applyBorder="1" applyAlignment="1" applyProtection="1">
      <alignment horizontal="center" vertical="top"/>
      <protection locked="0"/>
    </xf>
    <xf numFmtId="38" fontId="354" fillId="0" borderId="124" xfId="22678" applyNumberFormat="1" applyFont="1" applyBorder="1" applyAlignment="1" applyProtection="1">
      <alignment vertical="center"/>
      <protection locked="0"/>
    </xf>
    <xf numFmtId="38" fontId="354" fillId="0" borderId="43" xfId="22678" applyNumberFormat="1" applyFont="1" applyBorder="1" applyAlignment="1" applyProtection="1">
      <alignment vertical="center"/>
      <protection locked="0"/>
    </xf>
    <xf numFmtId="179" fontId="365" fillId="0" borderId="0" xfId="22674" applyNumberFormat="1"/>
    <xf numFmtId="38" fontId="373" fillId="0" borderId="0" xfId="22678" applyNumberFormat="1" applyFont="1" applyAlignment="1" applyProtection="1">
      <alignment horizontal="right" vertical="center"/>
      <protection locked="0"/>
    </xf>
    <xf numFmtId="38" fontId="354" fillId="0" borderId="15" xfId="22678" applyNumberFormat="1" applyFont="1" applyBorder="1" applyAlignment="1" applyProtection="1">
      <alignment vertical="center"/>
      <protection locked="0"/>
    </xf>
    <xf numFmtId="179" fontId="375" fillId="107" borderId="133" xfId="22687" applyNumberFormat="1" applyFont="1" applyFill="1" applyBorder="1" applyAlignment="1" applyProtection="1">
      <alignment horizontal="center" vertical="top"/>
      <protection locked="0"/>
    </xf>
    <xf numFmtId="14" fontId="375" fillId="107" borderId="133" xfId="22687" applyNumberFormat="1" applyFont="1" applyFill="1" applyBorder="1" applyAlignment="1" applyProtection="1">
      <alignment horizontal="center" vertical="top"/>
      <protection locked="0"/>
    </xf>
    <xf numFmtId="179" fontId="375" fillId="107" borderId="127" xfId="22687" applyNumberFormat="1" applyFont="1" applyFill="1" applyBorder="1" applyAlignment="1" applyProtection="1">
      <alignment horizontal="center" vertical="top"/>
      <protection locked="0"/>
    </xf>
    <xf numFmtId="179" fontId="375" fillId="107" borderId="159" xfId="22687" applyNumberFormat="1" applyFont="1" applyFill="1" applyBorder="1" applyAlignment="1" applyProtection="1">
      <alignment horizontal="center" vertical="top"/>
      <protection locked="0"/>
    </xf>
    <xf numFmtId="0" fontId="375" fillId="107" borderId="153" xfId="22678" applyNumberFormat="1" applyFont="1" applyFill="1" applyBorder="1" applyAlignment="1" applyProtection="1">
      <alignment horizontal="left" vertical="top" wrapText="1"/>
      <protection locked="0"/>
    </xf>
    <xf numFmtId="179" fontId="374" fillId="0" borderId="165" xfId="22686" applyNumberFormat="1" applyFont="1" applyFill="1" applyBorder="1" applyAlignment="1" applyProtection="1">
      <alignment horizontal="left" vertical="center" wrapText="1"/>
      <protection locked="0"/>
    </xf>
    <xf numFmtId="49" fontId="375" fillId="107" borderId="166" xfId="22678" applyNumberFormat="1" applyFont="1" applyFill="1" applyBorder="1" applyAlignment="1" applyProtection="1">
      <alignment horizontal="center" vertical="top"/>
      <protection locked="0"/>
    </xf>
    <xf numFmtId="229" fontId="365" fillId="0" borderId="0" xfId="19286" applyNumberFormat="1" applyFont="1" applyAlignment="1">
      <alignment vertical="top"/>
    </xf>
    <xf numFmtId="179" fontId="375" fillId="107" borderId="127" xfId="22686" applyNumberFormat="1" applyFont="1" applyFill="1" applyBorder="1" applyAlignment="1" applyProtection="1">
      <alignment horizontal="center" vertical="center"/>
      <protection locked="0"/>
    </xf>
    <xf numFmtId="286" fontId="375" fillId="107" borderId="133" xfId="22687" applyNumberFormat="1" applyFont="1" applyFill="1" applyBorder="1" applyAlignment="1" applyProtection="1">
      <alignment horizontal="center" vertical="center" wrapText="1"/>
      <protection locked="0"/>
    </xf>
    <xf numFmtId="49" fontId="375" fillId="0" borderId="129" xfId="22678" applyNumberFormat="1" applyFont="1" applyBorder="1" applyAlignment="1" applyProtection="1">
      <alignment horizontal="left" vertical="top"/>
      <protection locked="0"/>
    </xf>
    <xf numFmtId="49" fontId="375" fillId="0" borderId="133" xfId="22678" applyNumberFormat="1" applyFont="1" applyBorder="1" applyAlignment="1" applyProtection="1">
      <alignment horizontal="left" vertical="top"/>
      <protection locked="0"/>
    </xf>
    <xf numFmtId="229" fontId="365" fillId="0" borderId="0" xfId="19286" applyNumberFormat="1" applyFont="1" applyFill="1" applyAlignment="1">
      <alignment vertical="top"/>
    </xf>
    <xf numFmtId="49" fontId="375" fillId="0" borderId="168" xfId="22678" applyNumberFormat="1" applyFont="1" applyBorder="1" applyAlignment="1" applyProtection="1">
      <alignment horizontal="left" vertical="top"/>
      <protection locked="0"/>
    </xf>
    <xf numFmtId="49" fontId="375" fillId="0" borderId="169" xfId="22678" applyNumberFormat="1" applyFont="1" applyBorder="1" applyAlignment="1" applyProtection="1">
      <alignment horizontal="left" vertical="top"/>
      <protection locked="0"/>
    </xf>
    <xf numFmtId="14" fontId="375" fillId="0" borderId="155" xfId="22687" applyNumberFormat="1" applyFont="1" applyFill="1" applyBorder="1" applyAlignment="1" applyProtection="1">
      <alignment horizontal="center" vertical="top"/>
      <protection locked="0"/>
    </xf>
    <xf numFmtId="14" fontId="375" fillId="0" borderId="0" xfId="22687" applyNumberFormat="1" applyFont="1" applyFill="1" applyBorder="1" applyAlignment="1" applyProtection="1">
      <alignment horizontal="center" vertical="top"/>
      <protection locked="0"/>
    </xf>
    <xf numFmtId="49" fontId="375" fillId="107" borderId="129" xfId="22678" applyNumberFormat="1" applyFont="1" applyFill="1" applyBorder="1" applyAlignment="1" applyProtection="1">
      <alignment horizontal="left" vertical="top"/>
      <protection locked="0"/>
    </xf>
    <xf numFmtId="49" fontId="375" fillId="107" borderId="133" xfId="22678" applyNumberFormat="1" applyFont="1" applyFill="1" applyBorder="1" applyAlignment="1" applyProtection="1">
      <alignment horizontal="left" vertical="top"/>
      <protection locked="0"/>
    </xf>
    <xf numFmtId="0" fontId="375" fillId="106" borderId="145" xfId="22678" quotePrefix="1" applyNumberFormat="1" applyFont="1" applyFill="1" applyBorder="1" applyAlignment="1" applyProtection="1">
      <alignment horizontal="center" vertical="top"/>
      <protection locked="0"/>
    </xf>
    <xf numFmtId="179" fontId="375" fillId="0" borderId="170" xfId="22687" applyNumberFormat="1" applyFont="1" applyFill="1" applyBorder="1" applyAlignment="1" applyProtection="1">
      <alignment horizontal="left" vertical="top" wrapText="1"/>
      <protection locked="0"/>
    </xf>
    <xf numFmtId="286" fontId="375" fillId="0" borderId="0" xfId="22687" applyNumberFormat="1" applyFont="1" applyFill="1" applyBorder="1" applyAlignment="1" applyProtection="1">
      <alignment horizontal="center" vertical="center" wrapText="1"/>
      <protection locked="0"/>
    </xf>
    <xf numFmtId="286" fontId="375" fillId="0" borderId="104" xfId="22687" applyNumberFormat="1" applyFont="1" applyFill="1" applyBorder="1" applyAlignment="1" applyProtection="1">
      <alignment horizontal="center" vertical="top"/>
      <protection locked="0"/>
    </xf>
    <xf numFmtId="49" fontId="375" fillId="0" borderId="115" xfId="22678" quotePrefix="1" applyNumberFormat="1" applyFont="1" applyBorder="1" applyAlignment="1" applyProtection="1">
      <alignment horizontal="center" vertical="top"/>
      <protection locked="0"/>
    </xf>
    <xf numFmtId="210" fontId="375" fillId="34" borderId="170" xfId="22687" applyNumberFormat="1" applyFont="1" applyFill="1" applyBorder="1" applyAlignment="1" applyProtection="1">
      <alignment horizontal="center" vertical="top"/>
      <protection locked="0"/>
    </xf>
    <xf numFmtId="179" fontId="375" fillId="0" borderId="0" xfId="22687" applyNumberFormat="1" applyFont="1" applyFill="1" applyBorder="1" applyAlignment="1" applyProtection="1">
      <alignment horizontal="center" vertical="top"/>
      <protection locked="0"/>
    </xf>
    <xf numFmtId="179" fontId="375" fillId="0" borderId="115" xfId="22686" applyNumberFormat="1" applyFont="1" applyFill="1" applyBorder="1" applyAlignment="1" applyProtection="1">
      <alignment horizontal="center" vertical="top"/>
      <protection locked="0"/>
    </xf>
    <xf numFmtId="179" fontId="375" fillId="0" borderId="114" xfId="22686" applyNumberFormat="1" applyFont="1" applyFill="1" applyBorder="1" applyAlignment="1" applyProtection="1">
      <alignment horizontal="center" vertical="center"/>
      <protection locked="0"/>
    </xf>
    <xf numFmtId="179" fontId="375" fillId="0" borderId="139" xfId="22686" applyNumberFormat="1" applyFont="1" applyFill="1" applyBorder="1" applyAlignment="1" applyProtection="1">
      <alignment horizontal="center" vertical="top" wrapText="1"/>
      <protection locked="0"/>
    </xf>
    <xf numFmtId="49" fontId="375" fillId="0" borderId="170" xfId="22678" applyNumberFormat="1" applyFont="1" applyBorder="1" applyAlignment="1" applyProtection="1">
      <alignment horizontal="center" vertical="top"/>
      <protection locked="0"/>
    </xf>
    <xf numFmtId="179" fontId="375" fillId="0" borderId="139" xfId="22687" applyNumberFormat="1" applyFont="1" applyFill="1" applyBorder="1" applyAlignment="1" applyProtection="1">
      <alignment horizontal="center" vertical="top"/>
      <protection locked="0"/>
    </xf>
    <xf numFmtId="49" fontId="375" fillId="0" borderId="104" xfId="22678" applyNumberFormat="1" applyFont="1" applyBorder="1" applyAlignment="1" applyProtection="1">
      <alignment horizontal="center" vertical="top"/>
      <protection locked="0"/>
    </xf>
    <xf numFmtId="49" fontId="375" fillId="0" borderId="154" xfId="22678" applyNumberFormat="1" applyFont="1" applyBorder="1" applyAlignment="1" applyProtection="1">
      <alignment horizontal="left" vertical="top"/>
      <protection locked="0"/>
    </xf>
    <xf numFmtId="49" fontId="375" fillId="0" borderId="155" xfId="22678" applyNumberFormat="1" applyFont="1" applyBorder="1" applyAlignment="1" applyProtection="1">
      <alignment horizontal="left" vertical="top"/>
      <protection locked="0"/>
    </xf>
    <xf numFmtId="49" fontId="375" fillId="0" borderId="156" xfId="22678" applyNumberFormat="1" applyFont="1" applyBorder="1" applyAlignment="1" applyProtection="1">
      <alignment horizontal="left" vertical="top"/>
      <protection locked="0"/>
    </xf>
    <xf numFmtId="14" fontId="375" fillId="0" borderId="170" xfId="22687" applyNumberFormat="1" applyFont="1" applyFill="1" applyBorder="1" applyAlignment="1" applyProtection="1">
      <alignment horizontal="center" vertical="top"/>
      <protection locked="0"/>
    </xf>
    <xf numFmtId="179" fontId="375" fillId="0" borderId="52" xfId="22687" applyNumberFormat="1" applyFont="1" applyFill="1" applyBorder="1" applyAlignment="1" applyProtection="1">
      <alignment horizontal="center" vertical="top"/>
      <protection locked="0"/>
    </xf>
    <xf numFmtId="179" fontId="375" fillId="0" borderId="114" xfId="22687" applyNumberFormat="1" applyFont="1" applyFill="1" applyBorder="1" applyAlignment="1" applyProtection="1">
      <alignment horizontal="center" vertical="top"/>
      <protection locked="0"/>
    </xf>
    <xf numFmtId="179" fontId="375" fillId="0" borderId="171" xfId="22687" applyNumberFormat="1" applyFont="1" applyFill="1" applyBorder="1" applyAlignment="1" applyProtection="1">
      <alignment horizontal="center" vertical="top"/>
      <protection locked="0"/>
    </xf>
    <xf numFmtId="0" fontId="375" fillId="0" borderId="131" xfId="22678" applyNumberFormat="1" applyFont="1" applyBorder="1" applyAlignment="1" applyProtection="1">
      <alignment horizontal="left" vertical="top" wrapText="1"/>
      <protection locked="0"/>
    </xf>
    <xf numFmtId="210" fontId="375" fillId="0" borderId="121" xfId="22687" applyNumberFormat="1" applyFont="1" applyFill="1" applyBorder="1" applyAlignment="1" applyProtection="1">
      <alignment horizontal="center" vertical="top"/>
      <protection locked="0"/>
    </xf>
    <xf numFmtId="49" fontId="375" fillId="0" borderId="172" xfId="22678" quotePrefix="1" applyNumberFormat="1" applyFont="1" applyBorder="1" applyAlignment="1" applyProtection="1">
      <alignment horizontal="center" vertical="top"/>
      <protection locked="0"/>
    </xf>
    <xf numFmtId="38" fontId="375" fillId="107" borderId="133" xfId="22687" applyNumberFormat="1" applyFont="1" applyFill="1" applyBorder="1" applyAlignment="1" applyProtection="1">
      <alignment horizontal="right" vertical="top"/>
      <protection locked="0"/>
    </xf>
    <xf numFmtId="38" fontId="375" fillId="107" borderId="45" xfId="22687" applyNumberFormat="1" applyFont="1" applyFill="1" applyBorder="1" applyAlignment="1" applyProtection="1">
      <alignment horizontal="right" vertical="top"/>
      <protection locked="0"/>
    </xf>
    <xf numFmtId="38" fontId="375" fillId="0" borderId="45" xfId="22687" applyNumberFormat="1" applyFont="1" applyFill="1" applyBorder="1" applyAlignment="1" applyProtection="1">
      <alignment horizontal="right" vertical="top"/>
      <protection locked="0"/>
    </xf>
    <xf numFmtId="38" fontId="386" fillId="107" borderId="45" xfId="22687" applyNumberFormat="1" applyFont="1" applyFill="1" applyBorder="1" applyAlignment="1" applyProtection="1">
      <alignment horizontal="right" vertical="top"/>
      <protection locked="0"/>
    </xf>
    <xf numFmtId="38" fontId="375" fillId="0" borderId="133" xfId="22687" applyNumberFormat="1" applyFont="1" applyFill="1" applyBorder="1" applyAlignment="1" applyProtection="1">
      <alignment horizontal="right" vertical="top"/>
      <protection locked="0"/>
    </xf>
    <xf numFmtId="38" fontId="375" fillId="0" borderId="0" xfId="22687" applyNumberFormat="1" applyFont="1" applyFill="1" applyBorder="1" applyAlignment="1" applyProtection="1">
      <alignment horizontal="right" vertical="top"/>
      <protection locked="0"/>
    </xf>
    <xf numFmtId="38" fontId="377" fillId="0" borderId="0" xfId="22687" applyNumberFormat="1" applyFont="1" applyFill="1" applyBorder="1" applyAlignment="1" applyProtection="1">
      <alignment horizontal="right" vertical="center"/>
      <protection locked="0"/>
    </xf>
    <xf numFmtId="359" fontId="394" fillId="0" borderId="0" xfId="22810" applyFont="1" applyAlignment="1" applyProtection="1">
      <alignment vertical="center"/>
      <protection locked="0"/>
    </xf>
    <xf numFmtId="359" fontId="354" fillId="0" borderId="0" xfId="22810" applyFont="1" applyAlignment="1" applyProtection="1">
      <alignment vertical="center"/>
      <protection locked="0"/>
    </xf>
    <xf numFmtId="17" fontId="343" fillId="33" borderId="134" xfId="22771" applyNumberFormat="1" applyFont="1" applyFill="1" applyBorder="1" applyAlignment="1">
      <alignment horizontal="center"/>
    </xf>
    <xf numFmtId="171" fontId="373" fillId="114" borderId="110" xfId="22679" applyNumberFormat="1" applyFont="1" applyFill="1" applyBorder="1" applyAlignment="1" applyProtection="1">
      <alignment horizontal="center" vertical="center" wrapText="1"/>
      <protection locked="0"/>
    </xf>
    <xf numFmtId="179" fontId="373" fillId="114" borderId="0" xfId="22687" applyNumberFormat="1" applyFont="1" applyFill="1" applyBorder="1" applyAlignment="1" applyProtection="1">
      <alignment horizontal="center" vertical="center" wrapText="1"/>
      <protection locked="0"/>
    </xf>
    <xf numFmtId="179" fontId="373" fillId="114" borderId="124" xfId="22687" applyNumberFormat="1" applyFont="1" applyFill="1" applyBorder="1" applyAlignment="1" applyProtection="1">
      <alignment horizontal="center" vertical="center" wrapText="1"/>
      <protection locked="0"/>
    </xf>
    <xf numFmtId="0" fontId="374" fillId="0" borderId="124" xfId="7727" applyNumberFormat="1" applyFont="1" applyFill="1" applyBorder="1" applyAlignment="1" applyProtection="1">
      <alignment horizontal="center" vertical="center" wrapText="1"/>
      <protection locked="0"/>
    </xf>
    <xf numFmtId="179" fontId="375" fillId="107" borderId="166" xfId="22686" applyNumberFormat="1" applyFont="1" applyFill="1" applyBorder="1" applyAlignment="1" applyProtection="1">
      <alignment horizontal="center" vertical="center" wrapText="1"/>
      <protection locked="0"/>
    </xf>
    <xf numFmtId="179" fontId="375" fillId="107" borderId="145" xfId="22686" applyNumberFormat="1" applyFont="1" applyFill="1" applyBorder="1" applyAlignment="1" applyProtection="1">
      <alignment horizontal="center" vertical="center" wrapText="1"/>
      <protection locked="0"/>
    </xf>
    <xf numFmtId="179" fontId="375" fillId="0" borderId="145" xfId="22686" applyNumberFormat="1" applyFont="1" applyFill="1" applyBorder="1" applyAlignment="1" applyProtection="1">
      <alignment horizontal="center" vertical="center" wrapText="1"/>
      <protection locked="0"/>
    </xf>
    <xf numFmtId="179" fontId="375" fillId="107" borderId="145" xfId="22687" applyNumberFormat="1" applyFont="1" applyFill="1" applyBorder="1" applyAlignment="1" applyProtection="1">
      <alignment horizontal="center" vertical="center" wrapText="1"/>
      <protection locked="0"/>
    </xf>
    <xf numFmtId="179" fontId="375" fillId="0" borderId="104" xfId="22686" applyNumberFormat="1" applyFont="1" applyFill="1" applyBorder="1" applyAlignment="1" applyProtection="1">
      <alignment horizontal="center" vertical="center" wrapText="1"/>
      <protection locked="0"/>
    </xf>
    <xf numFmtId="179" fontId="375" fillId="0" borderId="115" xfId="22686" applyNumberFormat="1" applyFont="1" applyFill="1" applyBorder="1" applyAlignment="1" applyProtection="1">
      <alignment horizontal="center" vertical="center" wrapText="1"/>
      <protection locked="0"/>
    </xf>
    <xf numFmtId="179" fontId="374" fillId="0" borderId="124" xfId="7727" applyNumberFormat="1" applyFont="1" applyFill="1" applyBorder="1" applyAlignment="1" applyProtection="1">
      <alignment horizontal="center" vertical="center" wrapText="1"/>
      <protection locked="0"/>
    </xf>
    <xf numFmtId="179" fontId="375" fillId="107" borderId="117" xfId="22686" applyNumberFormat="1" applyFont="1" applyFill="1" applyBorder="1" applyAlignment="1" applyProtection="1">
      <alignment horizontal="center" vertical="center" wrapText="1"/>
      <protection locked="0"/>
    </xf>
    <xf numFmtId="179" fontId="375" fillId="0" borderId="117" xfId="22686" applyNumberFormat="1" applyFont="1" applyFill="1" applyBorder="1" applyAlignment="1" applyProtection="1">
      <alignment horizontal="center" vertical="center" wrapText="1"/>
      <protection locked="0"/>
    </xf>
    <xf numFmtId="179" fontId="375" fillId="107" borderId="117" xfId="22687" applyNumberFormat="1" applyFont="1" applyFill="1" applyBorder="1" applyAlignment="1" applyProtection="1">
      <alignment horizontal="center" vertical="center" wrapText="1"/>
      <protection locked="0"/>
    </xf>
    <xf numFmtId="179" fontId="375" fillId="0" borderId="170" xfId="22686" applyNumberFormat="1" applyFont="1" applyFill="1" applyBorder="1" applyAlignment="1" applyProtection="1">
      <alignment horizontal="center" vertical="center" wrapText="1"/>
      <protection locked="0"/>
    </xf>
    <xf numFmtId="179" fontId="373" fillId="111" borderId="0" xfId="22687" applyNumberFormat="1" applyFont="1" applyFill="1" applyBorder="1" applyAlignment="1" applyProtection="1">
      <alignment horizontal="center" vertical="center" wrapText="1"/>
      <protection locked="0"/>
    </xf>
    <xf numFmtId="179" fontId="373" fillId="111" borderId="124" xfId="22687" applyNumberFormat="1" applyFont="1" applyFill="1" applyBorder="1" applyAlignment="1" applyProtection="1">
      <alignment horizontal="center" vertical="center" wrapText="1"/>
      <protection locked="0"/>
    </xf>
    <xf numFmtId="179" fontId="375" fillId="107" borderId="166" xfId="22687" applyNumberFormat="1" applyFont="1" applyFill="1" applyBorder="1" applyAlignment="1" applyProtection="1">
      <alignment horizontal="center" vertical="top"/>
      <protection locked="0"/>
    </xf>
    <xf numFmtId="179" fontId="375" fillId="107" borderId="175" xfId="22687" applyNumberFormat="1" applyFont="1" applyFill="1" applyBorder="1" applyAlignment="1" applyProtection="1">
      <alignment horizontal="center" vertical="top"/>
      <protection locked="0"/>
    </xf>
    <xf numFmtId="179" fontId="375" fillId="107" borderId="145" xfId="22687" applyNumberFormat="1" applyFont="1" applyFill="1" applyBorder="1" applyAlignment="1" applyProtection="1">
      <alignment horizontal="center" vertical="top"/>
      <protection locked="0"/>
    </xf>
    <xf numFmtId="179" fontId="375" fillId="107" borderId="163" xfId="22687" applyNumberFormat="1" applyFont="1" applyFill="1" applyBorder="1" applyAlignment="1" applyProtection="1">
      <alignment horizontal="center" vertical="top"/>
      <protection locked="0"/>
    </xf>
    <xf numFmtId="179" fontId="375" fillId="0" borderId="145" xfId="22687" applyNumberFormat="1" applyFont="1" applyFill="1" applyBorder="1" applyAlignment="1" applyProtection="1">
      <alignment horizontal="center" vertical="top"/>
      <protection locked="0"/>
    </xf>
    <xf numFmtId="179" fontId="375" fillId="0" borderId="163" xfId="22687" applyNumberFormat="1" applyFont="1" applyFill="1" applyBorder="1" applyAlignment="1" applyProtection="1">
      <alignment horizontal="center" vertical="top"/>
      <protection locked="0"/>
    </xf>
    <xf numFmtId="179" fontId="375" fillId="0" borderId="104" xfId="22687" applyNumberFormat="1" applyFont="1" applyFill="1" applyBorder="1" applyAlignment="1" applyProtection="1">
      <alignment horizontal="center" vertical="top"/>
      <protection locked="0"/>
    </xf>
    <xf numFmtId="179" fontId="375" fillId="0" borderId="115" xfId="22687" applyNumberFormat="1" applyFont="1" applyFill="1" applyBorder="1" applyAlignment="1" applyProtection="1">
      <alignment horizontal="center" vertical="top"/>
      <protection locked="0"/>
    </xf>
    <xf numFmtId="171" fontId="373" fillId="111" borderId="109" xfId="22679" applyNumberFormat="1" applyFont="1" applyFill="1" applyBorder="1" applyAlignment="1" applyProtection="1">
      <alignment horizontal="center" vertical="center" wrapText="1"/>
      <protection locked="0"/>
    </xf>
    <xf numFmtId="179" fontId="373" fillId="111" borderId="52" xfId="22687" applyNumberFormat="1" applyFont="1" applyFill="1" applyBorder="1" applyAlignment="1" applyProtection="1">
      <alignment horizontal="center" vertical="center" wrapText="1"/>
      <protection locked="0"/>
    </xf>
    <xf numFmtId="179" fontId="373" fillId="111" borderId="141" xfId="22687" applyNumberFormat="1" applyFont="1" applyFill="1" applyBorder="1" applyAlignment="1" applyProtection="1">
      <alignment horizontal="center" vertical="center" wrapText="1"/>
      <protection locked="0"/>
    </xf>
    <xf numFmtId="179" fontId="374" fillId="0" borderId="141" xfId="7727" applyNumberFormat="1" applyFont="1" applyFill="1" applyBorder="1" applyAlignment="1" applyProtection="1">
      <alignment horizontal="center" vertical="center" wrapText="1"/>
      <protection locked="0"/>
    </xf>
    <xf numFmtId="179" fontId="375" fillId="107" borderId="176" xfId="22687" applyNumberFormat="1" applyFont="1" applyFill="1" applyBorder="1" applyAlignment="1" applyProtection="1">
      <alignment horizontal="center" vertical="top"/>
      <protection locked="0"/>
    </xf>
    <xf numFmtId="171" fontId="373" fillId="0" borderId="59" xfId="22679" applyNumberFormat="1" applyFont="1" applyFill="1" applyBorder="1" applyAlignment="1" applyProtection="1">
      <alignment horizontal="center" vertical="center"/>
      <protection locked="0"/>
    </xf>
    <xf numFmtId="179" fontId="373" fillId="0" borderId="59" xfId="22687" applyNumberFormat="1" applyFont="1" applyFill="1" applyBorder="1" applyAlignment="1" applyProtection="1">
      <alignment horizontal="center" vertical="center" wrapText="1"/>
      <protection locked="0"/>
    </xf>
    <xf numFmtId="0" fontId="374" fillId="0" borderId="173" xfId="7727" applyNumberFormat="1" applyFont="1" applyFill="1" applyBorder="1" applyAlignment="1" applyProtection="1">
      <alignment horizontal="center" vertical="center" wrapText="1"/>
      <protection locked="0"/>
    </xf>
    <xf numFmtId="14" fontId="375" fillId="0" borderId="129" xfId="22687" applyNumberFormat="1" applyFont="1" applyFill="1" applyBorder="1" applyAlignment="1" applyProtection="1">
      <alignment horizontal="center" vertical="top"/>
      <protection locked="0"/>
    </xf>
    <xf numFmtId="14" fontId="375" fillId="0" borderId="177" xfId="22687" applyNumberFormat="1" applyFont="1" applyFill="1" applyBorder="1" applyAlignment="1" applyProtection="1">
      <alignment horizontal="center" vertical="top"/>
      <protection locked="0"/>
    </xf>
    <xf numFmtId="14" fontId="375" fillId="0" borderId="59" xfId="22687" applyNumberFormat="1" applyFont="1" applyFill="1" applyBorder="1" applyAlignment="1" applyProtection="1">
      <alignment horizontal="center" vertical="top"/>
      <protection locked="0"/>
    </xf>
    <xf numFmtId="14" fontId="375" fillId="107" borderId="129" xfId="22687" applyNumberFormat="1" applyFont="1" applyFill="1" applyBorder="1" applyAlignment="1" applyProtection="1">
      <alignment horizontal="center" vertical="top"/>
      <protection locked="0"/>
    </xf>
    <xf numFmtId="14" fontId="375" fillId="0" borderId="154" xfId="22687" applyNumberFormat="1" applyFont="1" applyFill="1" applyBorder="1" applyAlignment="1" applyProtection="1">
      <alignment horizontal="center" vertical="top"/>
      <protection locked="0"/>
    </xf>
    <xf numFmtId="1" fontId="375" fillId="0" borderId="178" xfId="22687" applyNumberFormat="1" applyFont="1" applyFill="1" applyBorder="1" applyAlignment="1" applyProtection="1">
      <alignment horizontal="center" vertical="top"/>
      <protection locked="0"/>
    </xf>
    <xf numFmtId="1" fontId="375" fillId="0" borderId="179" xfId="22687" applyNumberFormat="1" applyFont="1" applyFill="1" applyBorder="1" applyAlignment="1" applyProtection="1">
      <alignment horizontal="center" vertical="top"/>
      <protection locked="0"/>
    </xf>
    <xf numFmtId="1" fontId="375" fillId="0" borderId="177" xfId="22687" applyNumberFormat="1" applyFont="1" applyFill="1" applyBorder="1" applyAlignment="1" applyProtection="1">
      <alignment horizontal="center" vertical="top"/>
      <protection locked="0"/>
    </xf>
    <xf numFmtId="1" fontId="375" fillId="0" borderId="148" xfId="22687" applyNumberFormat="1" applyFont="1" applyFill="1" applyBorder="1" applyAlignment="1" applyProtection="1">
      <alignment horizontal="center" vertical="top"/>
      <protection locked="0"/>
    </xf>
    <xf numFmtId="1" fontId="375" fillId="0" borderId="129" xfId="22687" applyNumberFormat="1" applyFont="1" applyFill="1" applyBorder="1" applyAlignment="1" applyProtection="1">
      <alignment horizontal="center" vertical="top"/>
      <protection locked="0"/>
    </xf>
    <xf numFmtId="1" fontId="375" fillId="0" borderId="153" xfId="22687" applyNumberFormat="1" applyFont="1" applyFill="1" applyBorder="1" applyAlignment="1" applyProtection="1">
      <alignment horizontal="center" vertical="top"/>
      <protection locked="0"/>
    </xf>
    <xf numFmtId="1" fontId="375" fillId="0" borderId="59" xfId="22687" applyNumberFormat="1" applyFont="1" applyFill="1" applyBorder="1" applyAlignment="1" applyProtection="1">
      <alignment horizontal="center" vertical="top"/>
      <protection locked="0"/>
    </xf>
    <xf numFmtId="1" fontId="375" fillId="0" borderId="131" xfId="22687" applyNumberFormat="1" applyFont="1" applyFill="1" applyBorder="1" applyAlignment="1" applyProtection="1">
      <alignment horizontal="center" vertical="top"/>
      <protection locked="0"/>
    </xf>
    <xf numFmtId="1" fontId="375" fillId="107" borderId="129" xfId="22687" applyNumberFormat="1" applyFont="1" applyFill="1" applyBorder="1" applyAlignment="1" applyProtection="1">
      <alignment horizontal="center" vertical="top"/>
      <protection locked="0"/>
    </xf>
    <xf numFmtId="1" fontId="375" fillId="107" borderId="153" xfId="22687" applyNumberFormat="1" applyFont="1" applyFill="1" applyBorder="1" applyAlignment="1" applyProtection="1">
      <alignment horizontal="center" vertical="top"/>
      <protection locked="0"/>
    </xf>
    <xf numFmtId="1" fontId="375" fillId="0" borderId="154" xfId="22687" applyNumberFormat="1" applyFont="1" applyFill="1" applyBorder="1" applyAlignment="1" applyProtection="1">
      <alignment horizontal="center" vertical="top"/>
      <protection locked="0"/>
    </xf>
    <xf numFmtId="1" fontId="375" fillId="0" borderId="164" xfId="22687" applyNumberFormat="1" applyFont="1" applyFill="1" applyBorder="1" applyAlignment="1" applyProtection="1">
      <alignment horizontal="center" vertical="top"/>
      <protection locked="0"/>
    </xf>
    <xf numFmtId="1" fontId="375" fillId="0" borderId="168" xfId="22687" applyNumberFormat="1" applyFont="1" applyFill="1" applyBorder="1" applyAlignment="1" applyProtection="1">
      <alignment horizontal="center" vertical="top"/>
      <protection locked="0"/>
    </xf>
    <xf numFmtId="171" fontId="373" fillId="0" borderId="0" xfId="22679" applyNumberFormat="1" applyFont="1" applyFill="1" applyBorder="1" applyAlignment="1" applyProtection="1">
      <alignment horizontal="center" vertical="center"/>
      <protection locked="0"/>
    </xf>
    <xf numFmtId="179" fontId="373" fillId="0" borderId="0" xfId="22687" applyNumberFormat="1" applyFont="1" applyFill="1" applyBorder="1" applyAlignment="1" applyProtection="1">
      <alignment horizontal="center" vertical="center" wrapText="1"/>
      <protection locked="0"/>
    </xf>
    <xf numFmtId="1" fontId="374" fillId="0" borderId="173" xfId="7727" applyNumberFormat="1" applyFont="1" applyFill="1" applyBorder="1" applyAlignment="1" applyProtection="1">
      <alignment horizontal="center" vertical="center" wrapText="1"/>
      <protection locked="0"/>
    </xf>
    <xf numFmtId="179" fontId="373" fillId="116" borderId="0" xfId="22687" applyNumberFormat="1" applyFont="1" applyFill="1" applyBorder="1" applyAlignment="1" applyProtection="1">
      <alignment horizontal="center" vertical="center" wrapText="1"/>
      <protection locked="0"/>
    </xf>
    <xf numFmtId="49" fontId="375" fillId="107" borderId="45" xfId="22678" applyNumberFormat="1" applyFont="1" applyFill="1" applyBorder="1" applyAlignment="1" applyProtection="1">
      <alignment horizontal="left" vertical="top"/>
      <protection locked="0"/>
    </xf>
    <xf numFmtId="49" fontId="375" fillId="0" borderId="0" xfId="22678" applyNumberFormat="1" applyFont="1" applyAlignment="1" applyProtection="1">
      <alignment horizontal="left" vertical="top"/>
      <protection locked="0"/>
    </xf>
    <xf numFmtId="1" fontId="374" fillId="0" borderId="124" xfId="7727" applyNumberFormat="1" applyFont="1" applyFill="1" applyBorder="1" applyAlignment="1" applyProtection="1">
      <alignment horizontal="center" vertical="center" wrapText="1"/>
      <protection locked="0"/>
    </xf>
    <xf numFmtId="1" fontId="375" fillId="0" borderId="45" xfId="22687" applyNumberFormat="1" applyFont="1" applyFill="1" applyBorder="1" applyAlignment="1" applyProtection="1">
      <alignment horizontal="center" vertical="top"/>
      <protection locked="0"/>
    </xf>
    <xf numFmtId="1" fontId="375" fillId="0" borderId="133" xfId="22687" applyNumberFormat="1" applyFont="1" applyFill="1" applyBorder="1" applyAlignment="1" applyProtection="1">
      <alignment horizontal="center" vertical="top"/>
      <protection locked="0"/>
    </xf>
    <xf numFmtId="1" fontId="375" fillId="0" borderId="0" xfId="22687" applyNumberFormat="1" applyFont="1" applyFill="1" applyBorder="1" applyAlignment="1" applyProtection="1">
      <alignment horizontal="center" vertical="top"/>
      <protection locked="0"/>
    </xf>
    <xf numFmtId="1" fontId="375" fillId="107" borderId="133" xfId="22687" applyNumberFormat="1" applyFont="1" applyFill="1" applyBorder="1" applyAlignment="1" applyProtection="1">
      <alignment horizontal="center" vertical="top"/>
      <protection locked="0"/>
    </xf>
    <xf numFmtId="1" fontId="375" fillId="0" borderId="155" xfId="22687" applyNumberFormat="1" applyFont="1" applyFill="1" applyBorder="1" applyAlignment="1" applyProtection="1">
      <alignment horizontal="center" vertical="top"/>
      <protection locked="0"/>
    </xf>
    <xf numFmtId="1" fontId="375" fillId="0" borderId="169" xfId="22687" applyNumberFormat="1" applyFont="1" applyFill="1" applyBorder="1" applyAlignment="1" applyProtection="1">
      <alignment horizontal="center" vertical="top"/>
      <protection locked="0"/>
    </xf>
    <xf numFmtId="171" fontId="373" fillId="0" borderId="110" xfId="22679" applyNumberFormat="1" applyFont="1" applyFill="1" applyBorder="1" applyAlignment="1" applyProtection="1">
      <alignment horizontal="center" vertical="center"/>
      <protection locked="0"/>
    </xf>
    <xf numFmtId="179" fontId="373" fillId="0" borderId="173" xfId="22687" applyNumberFormat="1" applyFont="1" applyFill="1" applyBorder="1" applyAlignment="1" applyProtection="1">
      <alignment horizontal="center" vertical="center" wrapText="1"/>
      <protection locked="0"/>
    </xf>
    <xf numFmtId="37" fontId="374" fillId="0" borderId="124" xfId="7727" applyNumberFormat="1" applyFont="1" applyFill="1" applyBorder="1" applyAlignment="1" applyProtection="1">
      <alignment horizontal="center" vertical="center" wrapText="1"/>
      <protection locked="0"/>
    </xf>
    <xf numFmtId="1" fontId="375" fillId="107" borderId="117" xfId="22687" applyNumberFormat="1" applyFont="1" applyFill="1" applyBorder="1" applyAlignment="1" applyProtection="1">
      <alignment horizontal="center" vertical="top"/>
      <protection locked="0"/>
    </xf>
    <xf numFmtId="1" fontId="375" fillId="107" borderId="117" xfId="22678" applyNumberFormat="1" applyFont="1" applyFill="1" applyBorder="1" applyAlignment="1" applyProtection="1">
      <alignment horizontal="left" vertical="top"/>
      <protection locked="0"/>
    </xf>
    <xf numFmtId="1" fontId="375" fillId="0" borderId="117" xfId="22678" applyNumberFormat="1" applyFont="1" applyBorder="1" applyAlignment="1" applyProtection="1">
      <alignment horizontal="left" vertical="top"/>
      <protection locked="0"/>
    </xf>
    <xf numFmtId="1" fontId="375" fillId="0" borderId="117" xfId="22687" applyNumberFormat="1" applyFont="1" applyFill="1" applyBorder="1" applyAlignment="1" applyProtection="1">
      <alignment horizontal="center" vertical="top"/>
      <protection locked="0"/>
    </xf>
    <xf numFmtId="1" fontId="375" fillId="107" borderId="127" xfId="22678" applyNumberFormat="1" applyFont="1" applyFill="1" applyBorder="1" applyAlignment="1" applyProtection="1">
      <alignment horizontal="left" vertical="top"/>
      <protection locked="0"/>
    </xf>
    <xf numFmtId="1" fontId="375" fillId="0" borderId="127" xfId="22678" applyNumberFormat="1" applyFont="1" applyBorder="1" applyAlignment="1" applyProtection="1">
      <alignment horizontal="left" vertical="top"/>
      <protection locked="0"/>
    </xf>
    <xf numFmtId="1" fontId="375" fillId="0" borderId="170" xfId="22678" applyNumberFormat="1" applyFont="1" applyBorder="1" applyAlignment="1" applyProtection="1">
      <alignment horizontal="left" vertical="top"/>
      <protection locked="0"/>
    </xf>
    <xf numFmtId="1" fontId="375" fillId="0" borderId="115" xfId="22678" applyNumberFormat="1" applyFont="1" applyBorder="1" applyAlignment="1" applyProtection="1">
      <alignment horizontal="left" vertical="top"/>
      <protection locked="0"/>
    </xf>
    <xf numFmtId="1" fontId="375" fillId="0" borderId="114" xfId="22678" applyNumberFormat="1" applyFont="1" applyBorder="1" applyAlignment="1" applyProtection="1">
      <alignment horizontal="left" vertical="top"/>
      <protection locked="0"/>
    </xf>
    <xf numFmtId="0" fontId="396" fillId="33" borderId="41" xfId="13899" applyFont="1" applyFill="1" applyBorder="1" applyAlignment="1">
      <alignment vertical="center"/>
    </xf>
    <xf numFmtId="0" fontId="396" fillId="33" borderId="111" xfId="13899" applyFont="1" applyFill="1" applyBorder="1" applyAlignment="1">
      <alignment vertical="center"/>
    </xf>
    <xf numFmtId="0" fontId="397" fillId="33" borderId="111" xfId="13899" applyFont="1" applyFill="1" applyBorder="1" applyAlignment="1">
      <alignment horizontal="left" vertical="center"/>
    </xf>
    <xf numFmtId="0" fontId="66" fillId="33" borderId="111" xfId="13899" applyFill="1" applyBorder="1"/>
    <xf numFmtId="0" fontId="66" fillId="33" borderId="112" xfId="13899" applyFill="1" applyBorder="1"/>
    <xf numFmtId="0" fontId="398" fillId="33" borderId="59" xfId="13899" applyFont="1" applyFill="1" applyBorder="1" applyAlignment="1">
      <alignment vertical="center"/>
    </xf>
    <xf numFmtId="0" fontId="398" fillId="33" borderId="0" xfId="13899" applyFont="1" applyFill="1" applyAlignment="1">
      <alignment vertical="center"/>
    </xf>
    <xf numFmtId="0" fontId="399" fillId="33" borderId="0" xfId="13899" applyFont="1" applyFill="1" applyAlignment="1">
      <alignment vertical="center"/>
    </xf>
    <xf numFmtId="43" fontId="63" fillId="33" borderId="0" xfId="19286" applyFont="1" applyFill="1" applyBorder="1" applyAlignment="1" applyProtection="1">
      <alignment horizontal="right" vertical="center"/>
    </xf>
    <xf numFmtId="0" fontId="66" fillId="33" borderId="0" xfId="13899" applyFill="1" applyAlignment="1">
      <alignment vertical="center"/>
    </xf>
    <xf numFmtId="0" fontId="66" fillId="33" borderId="52" xfId="13899" applyFill="1" applyBorder="1" applyAlignment="1">
      <alignment vertical="center"/>
    </xf>
    <xf numFmtId="0" fontId="402" fillId="33" borderId="59" xfId="373" applyFont="1" applyFill="1" applyBorder="1" applyAlignment="1" applyProtection="1">
      <alignment wrapText="1"/>
      <protection locked="0"/>
    </xf>
    <xf numFmtId="0" fontId="403" fillId="33" borderId="0" xfId="13899" applyFont="1" applyFill="1" applyAlignment="1">
      <alignment horizontal="left" vertical="center"/>
    </xf>
    <xf numFmtId="0" fontId="404" fillId="33" borderId="0" xfId="13899" applyFont="1" applyFill="1" applyAlignment="1">
      <alignment vertical="center"/>
    </xf>
    <xf numFmtId="0" fontId="405" fillId="33" borderId="0" xfId="13899" applyFont="1" applyFill="1" applyAlignment="1">
      <alignment vertical="center"/>
    </xf>
    <xf numFmtId="0" fontId="406" fillId="33" borderId="0" xfId="13899" applyFont="1" applyFill="1" applyAlignment="1">
      <alignment vertical="center"/>
    </xf>
    <xf numFmtId="0" fontId="406" fillId="33" borderId="52" xfId="13899" applyFont="1" applyFill="1" applyBorder="1" applyAlignment="1">
      <alignment vertical="center"/>
    </xf>
    <xf numFmtId="0" fontId="407" fillId="33" borderId="0" xfId="13899" applyFont="1" applyFill="1" applyAlignment="1">
      <alignment vertical="center"/>
    </xf>
    <xf numFmtId="0" fontId="408" fillId="33" borderId="0" xfId="13899" applyFont="1" applyFill="1" applyAlignment="1">
      <alignment vertical="center"/>
    </xf>
    <xf numFmtId="0" fontId="403" fillId="33" borderId="0" xfId="13899" applyFont="1" applyFill="1" applyAlignment="1">
      <alignment horizontal="center" vertical="center"/>
    </xf>
    <xf numFmtId="0" fontId="123" fillId="33" borderId="0" xfId="13899" applyFont="1" applyFill="1" applyAlignment="1">
      <alignment vertical="center"/>
    </xf>
    <xf numFmtId="0" fontId="123" fillId="33" borderId="52" xfId="13899" applyFont="1" applyFill="1" applyBorder="1" applyAlignment="1">
      <alignment vertical="center"/>
    </xf>
    <xf numFmtId="0" fontId="102" fillId="33" borderId="59" xfId="13899" applyFont="1" applyFill="1" applyBorder="1"/>
    <xf numFmtId="0" fontId="102" fillId="33" borderId="0" xfId="13899" applyFont="1" applyFill="1" applyAlignment="1">
      <alignment horizontal="center"/>
    </xf>
    <xf numFmtId="0" fontId="66" fillId="33" borderId="52" xfId="13899" applyFill="1" applyBorder="1"/>
    <xf numFmtId="0" fontId="409" fillId="33" borderId="0" xfId="13899" applyFont="1" applyFill="1" applyAlignment="1">
      <alignment horizontal="center" vertical="center"/>
    </xf>
    <xf numFmtId="0" fontId="409" fillId="33" borderId="52" xfId="13899" applyFont="1" applyFill="1" applyBorder="1" applyAlignment="1">
      <alignment horizontal="center" vertical="center"/>
    </xf>
    <xf numFmtId="0" fontId="409" fillId="107" borderId="173" xfId="13899" applyFont="1" applyFill="1" applyBorder="1" applyAlignment="1">
      <alignment horizontal="center" vertical="center"/>
    </xf>
    <xf numFmtId="0" fontId="409" fillId="107" borderId="124" xfId="13899" applyFont="1" applyFill="1" applyBorder="1" applyAlignment="1">
      <alignment horizontal="center" vertical="center"/>
    </xf>
    <xf numFmtId="0" fontId="409" fillId="34" borderId="0" xfId="13899" applyFont="1" applyFill="1" applyAlignment="1">
      <alignment horizontal="center" vertical="center"/>
    </xf>
    <xf numFmtId="0" fontId="409" fillId="34" borderId="52" xfId="13899" applyFont="1" applyFill="1" applyBorder="1" applyAlignment="1">
      <alignment horizontal="center" vertical="center"/>
    </xf>
    <xf numFmtId="0" fontId="364" fillId="134" borderId="126" xfId="0" applyFont="1" applyFill="1" applyBorder="1" applyAlignment="1">
      <alignment horizontal="center" vertical="center"/>
    </xf>
    <xf numFmtId="0" fontId="364" fillId="33" borderId="0" xfId="0" applyFont="1" applyFill="1" applyAlignment="1">
      <alignment horizontal="center" vertical="center"/>
    </xf>
    <xf numFmtId="0" fontId="364" fillId="33" borderId="52" xfId="0" applyFont="1" applyFill="1" applyBorder="1" applyAlignment="1">
      <alignment horizontal="center" vertical="center"/>
    </xf>
    <xf numFmtId="0" fontId="410" fillId="34" borderId="161" xfId="13899" applyFont="1" applyFill="1" applyBorder="1" applyAlignment="1">
      <alignment horizontal="left" vertical="center"/>
    </xf>
    <xf numFmtId="0" fontId="410" fillId="34" borderId="184" xfId="13899" applyFont="1" applyFill="1" applyBorder="1" applyAlignment="1">
      <alignment horizontal="left" vertical="center"/>
    </xf>
    <xf numFmtId="0" fontId="410" fillId="34" borderId="113" xfId="13899" applyFont="1" applyFill="1" applyBorder="1" applyAlignment="1">
      <alignment horizontal="center" vertical="center" wrapText="1"/>
    </xf>
    <xf numFmtId="0" fontId="410" fillId="34" borderId="180" xfId="13899" applyFont="1" applyFill="1" applyBorder="1" applyAlignment="1">
      <alignment horizontal="left" vertical="center"/>
    </xf>
    <xf numFmtId="0" fontId="410" fillId="34" borderId="181" xfId="13899" applyFont="1" applyFill="1" applyBorder="1" applyAlignment="1">
      <alignment horizontal="left" vertical="center" wrapText="1"/>
    </xf>
    <xf numFmtId="0" fontId="411" fillId="0" borderId="106" xfId="0" applyFont="1" applyBorder="1" applyAlignment="1">
      <alignment horizontal="center" vertical="center"/>
    </xf>
    <xf numFmtId="0" fontId="410" fillId="34" borderId="185" xfId="13899" applyFont="1" applyFill="1" applyBorder="1" applyAlignment="1">
      <alignment horizontal="center" vertical="center" wrapText="1"/>
    </xf>
    <xf numFmtId="0" fontId="410" fillId="34" borderId="173" xfId="13899" applyFont="1" applyFill="1" applyBorder="1" applyAlignment="1">
      <alignment horizontal="left" vertical="center"/>
    </xf>
    <xf numFmtId="0" fontId="410" fillId="34" borderId="124" xfId="13899" applyFont="1" applyFill="1" applyBorder="1" applyAlignment="1">
      <alignment horizontal="left" vertical="center" wrapText="1"/>
    </xf>
    <xf numFmtId="0" fontId="411" fillId="0" borderId="126" xfId="0" applyFont="1" applyBorder="1" applyAlignment="1">
      <alignment horizontal="center" vertical="center"/>
    </xf>
    <xf numFmtId="0" fontId="410" fillId="34" borderId="125" xfId="13899" applyFont="1" applyFill="1" applyBorder="1" applyAlignment="1">
      <alignment horizontal="center" vertical="center" wrapText="1"/>
    </xf>
    <xf numFmtId="0" fontId="410" fillId="34" borderId="183" xfId="13899" applyFont="1" applyFill="1" applyBorder="1" applyAlignment="1">
      <alignment horizontal="left" vertical="center" wrapText="1"/>
    </xf>
    <xf numFmtId="0" fontId="387" fillId="134" borderId="184" xfId="13899" applyFont="1" applyFill="1" applyBorder="1" applyAlignment="1">
      <alignment horizontal="left" vertical="center"/>
    </xf>
    <xf numFmtId="0" fontId="387" fillId="134" borderId="102" xfId="13899" applyFont="1" applyFill="1" applyBorder="1" applyAlignment="1">
      <alignment horizontal="left" vertical="center" wrapText="1"/>
    </xf>
    <xf numFmtId="0" fontId="387" fillId="134" borderId="113" xfId="13899" applyFont="1" applyFill="1" applyBorder="1" applyAlignment="1">
      <alignment horizontal="center" vertical="center" wrapText="1"/>
    </xf>
    <xf numFmtId="0" fontId="387" fillId="134" borderId="102" xfId="13899" applyFont="1" applyFill="1" applyBorder="1" applyAlignment="1">
      <alignment horizontal="center" vertical="center" wrapText="1"/>
    </xf>
    <xf numFmtId="0" fontId="64" fillId="134" borderId="102" xfId="0" applyFont="1" applyFill="1" applyBorder="1" applyAlignment="1">
      <alignment horizontal="center" vertical="center" wrapText="1"/>
    </xf>
    <xf numFmtId="0" fontId="364" fillId="134" borderId="102" xfId="0" applyFont="1" applyFill="1" applyBorder="1" applyAlignment="1">
      <alignment horizontal="center" vertical="center"/>
    </xf>
    <xf numFmtId="0" fontId="387" fillId="134" borderId="184" xfId="13899" applyFont="1" applyFill="1" applyBorder="1" applyAlignment="1">
      <alignment horizontal="left" vertical="center" wrapText="1"/>
    </xf>
    <xf numFmtId="0" fontId="0" fillId="134" borderId="102" xfId="0" applyFill="1" applyBorder="1" applyAlignment="1">
      <alignment vertical="center" wrapText="1"/>
    </xf>
    <xf numFmtId="0" fontId="66" fillId="134" borderId="173" xfId="13899" applyFill="1" applyBorder="1"/>
    <xf numFmtId="0" fontId="66" fillId="134" borderId="124" xfId="13899" applyFill="1" applyBorder="1"/>
    <xf numFmtId="0" fontId="66" fillId="134" borderId="125" xfId="13899" applyFill="1" applyBorder="1"/>
    <xf numFmtId="0" fontId="387" fillId="134" borderId="161" xfId="13899" applyFont="1" applyFill="1" applyBorder="1" applyAlignment="1">
      <alignment horizontal="left" vertical="center"/>
    </xf>
    <xf numFmtId="0" fontId="387" fillId="134" borderId="183" xfId="13899" applyFont="1" applyFill="1" applyBorder="1" applyAlignment="1">
      <alignment horizontal="left" vertical="center" wrapText="1"/>
    </xf>
    <xf numFmtId="0" fontId="387" fillId="33" borderId="0" xfId="13899" applyFont="1" applyFill="1" applyAlignment="1">
      <alignment horizontal="left" vertical="top"/>
    </xf>
    <xf numFmtId="0" fontId="387" fillId="33" borderId="52" xfId="13899" applyFont="1" applyFill="1" applyBorder="1" applyAlignment="1">
      <alignment horizontal="left" vertical="top"/>
    </xf>
    <xf numFmtId="0" fontId="412" fillId="33" borderId="0" xfId="13899" applyFont="1" applyFill="1" applyAlignment="1">
      <alignment horizontal="center" vertical="center"/>
    </xf>
    <xf numFmtId="0" fontId="412" fillId="33" borderId="52" xfId="13899" applyFont="1" applyFill="1" applyBorder="1" applyAlignment="1">
      <alignment horizontal="center" vertical="center"/>
    </xf>
    <xf numFmtId="0" fontId="411" fillId="33" borderId="0" xfId="0" applyFont="1" applyFill="1" applyAlignment="1">
      <alignment horizontal="center" vertical="center" wrapText="1"/>
    </xf>
    <xf numFmtId="0" fontId="411" fillId="33" borderId="52" xfId="0" applyFont="1" applyFill="1" applyBorder="1" applyAlignment="1">
      <alignment horizontal="center" vertical="center" wrapText="1"/>
    </xf>
    <xf numFmtId="0" fontId="410" fillId="33" borderId="0" xfId="22814" applyFont="1" applyFill="1" applyAlignment="1" applyProtection="1">
      <alignment horizontal="center" vertical="center" wrapText="1"/>
      <protection locked="0"/>
    </xf>
    <xf numFmtId="0" fontId="410" fillId="33" borderId="52" xfId="22814" applyFont="1" applyFill="1" applyBorder="1" applyAlignment="1" applyProtection="1">
      <alignment horizontal="center" vertical="center" wrapText="1"/>
      <protection locked="0"/>
    </xf>
    <xf numFmtId="0" fontId="410" fillId="33" borderId="110" xfId="14981" applyFont="1" applyFill="1" applyBorder="1" applyAlignment="1" applyProtection="1">
      <alignment horizontal="center" vertical="center"/>
      <protection locked="0"/>
    </xf>
    <xf numFmtId="0" fontId="410" fillId="33" borderId="0" xfId="14981" applyFont="1" applyFill="1" applyAlignment="1" applyProtection="1">
      <alignment horizontal="center" vertical="center"/>
      <protection locked="0"/>
    </xf>
    <xf numFmtId="3" fontId="411" fillId="0" borderId="106" xfId="0" applyNumberFormat="1" applyFont="1" applyBorder="1" applyAlignment="1">
      <alignment horizontal="center" vertical="center"/>
    </xf>
    <xf numFmtId="0" fontId="410" fillId="34" borderId="59" xfId="13899" applyFont="1" applyFill="1" applyBorder="1" applyAlignment="1">
      <alignment horizontal="left" vertical="center"/>
    </xf>
    <xf numFmtId="0" fontId="410" fillId="34" borderId="0" xfId="13899" applyFont="1" applyFill="1" applyAlignment="1">
      <alignment horizontal="left" vertical="center" wrapText="1"/>
    </xf>
    <xf numFmtId="0" fontId="411" fillId="0" borderId="115" xfId="0" applyFont="1" applyBorder="1" applyAlignment="1">
      <alignment horizontal="center" vertical="center"/>
    </xf>
    <xf numFmtId="0" fontId="410" fillId="34" borderId="170" xfId="13899" applyFont="1" applyFill="1" applyBorder="1" applyAlignment="1">
      <alignment horizontal="center" vertical="center" wrapText="1"/>
    </xf>
    <xf numFmtId="0" fontId="379" fillId="33" borderId="59" xfId="13899" applyFont="1" applyFill="1" applyBorder="1"/>
    <xf numFmtId="0" fontId="60" fillId="0" borderId="0" xfId="22674" applyFont="1"/>
    <xf numFmtId="0" fontId="343" fillId="0" borderId="0" xfId="27885" applyFont="1"/>
    <xf numFmtId="0" fontId="343" fillId="33" borderId="219" xfId="27885" applyFont="1" applyFill="1" applyBorder="1"/>
    <xf numFmtId="0" fontId="343" fillId="33" borderId="220" xfId="27885" applyFont="1" applyFill="1" applyBorder="1"/>
    <xf numFmtId="0" fontId="343" fillId="33" borderId="220" xfId="27885" applyFont="1" applyFill="1" applyBorder="1" applyAlignment="1">
      <alignment horizontal="center" vertical="center"/>
    </xf>
    <xf numFmtId="3" fontId="343" fillId="33" borderId="220" xfId="27886" applyNumberFormat="1" applyFont="1" applyFill="1" applyBorder="1" applyAlignment="1">
      <alignment horizontal="center" vertical="center"/>
    </xf>
    <xf numFmtId="171" fontId="343" fillId="0" borderId="0" xfId="27886" applyFont="1" applyFill="1" applyBorder="1"/>
    <xf numFmtId="0" fontId="343" fillId="33" borderId="157" xfId="27885" applyFont="1" applyFill="1" applyBorder="1"/>
    <xf numFmtId="0" fontId="343" fillId="33" borderId="134" xfId="27885" applyFont="1" applyFill="1" applyBorder="1"/>
    <xf numFmtId="0" fontId="343" fillId="33" borderId="134" xfId="27885" applyFont="1" applyFill="1" applyBorder="1" applyAlignment="1">
      <alignment horizontal="center" vertical="center"/>
    </xf>
    <xf numFmtId="0" fontId="343" fillId="33" borderId="134" xfId="27886" applyNumberFormat="1" applyFont="1" applyFill="1" applyBorder="1" applyAlignment="1">
      <alignment horizontal="center"/>
    </xf>
    <xf numFmtId="0" fontId="343" fillId="33" borderId="0" xfId="27885" applyFont="1" applyFill="1"/>
    <xf numFmtId="0" fontId="343" fillId="33" borderId="0" xfId="27885" applyFont="1" applyFill="1" applyAlignment="1">
      <alignment horizontal="center" vertical="center"/>
    </xf>
    <xf numFmtId="0" fontId="343" fillId="33" borderId="0" xfId="27886" applyNumberFormat="1" applyFont="1" applyFill="1" applyBorder="1" applyAlignment="1">
      <alignment horizontal="center"/>
    </xf>
    <xf numFmtId="171" fontId="343" fillId="107" borderId="0" xfId="27886" applyFont="1" applyFill="1" applyBorder="1" applyAlignment="1">
      <alignment horizontal="center" vertical="center"/>
    </xf>
    <xf numFmtId="0" fontId="340" fillId="0" borderId="41" xfId="27885" applyFont="1" applyBorder="1"/>
    <xf numFmtId="171" fontId="65" fillId="0" borderId="0" xfId="27886" applyFont="1"/>
    <xf numFmtId="0" fontId="65" fillId="0" borderId="0" xfId="27885" applyFont="1"/>
    <xf numFmtId="0" fontId="340" fillId="0" borderId="59" xfId="27885" applyFont="1" applyBorder="1"/>
    <xf numFmtId="0" fontId="65" fillId="0" borderId="59" xfId="27885" applyFont="1" applyBorder="1"/>
    <xf numFmtId="0" fontId="169" fillId="0" borderId="0" xfId="27885" applyFont="1" applyAlignment="1">
      <alignment horizontal="center" vertical="center"/>
    </xf>
    <xf numFmtId="171" fontId="65" fillId="0" borderId="0" xfId="27886" applyFont="1" applyBorder="1"/>
    <xf numFmtId="171" fontId="65" fillId="0" borderId="52" xfId="27886" applyFont="1" applyBorder="1"/>
    <xf numFmtId="0" fontId="65" fillId="0" borderId="59" xfId="27885" applyFont="1" applyBorder="1" applyAlignment="1">
      <alignment vertical="center"/>
    </xf>
    <xf numFmtId="0" fontId="65" fillId="0" borderId="0" xfId="27885" applyFont="1" applyAlignment="1">
      <alignment vertical="center"/>
    </xf>
    <xf numFmtId="171" fontId="65" fillId="0" borderId="0" xfId="27886" applyFont="1" applyBorder="1" applyAlignment="1">
      <alignment vertical="center"/>
    </xf>
    <xf numFmtId="171" fontId="65" fillId="0" borderId="52" xfId="27886" applyFont="1" applyBorder="1" applyAlignment="1">
      <alignment vertical="center"/>
    </xf>
    <xf numFmtId="171" fontId="65" fillId="0" borderId="0" xfId="27886" applyFont="1" applyAlignment="1">
      <alignment vertical="center"/>
    </xf>
    <xf numFmtId="171" fontId="65" fillId="0" borderId="0" xfId="27886" applyFont="1" applyFill="1" applyAlignment="1">
      <alignment horizontal="center"/>
    </xf>
    <xf numFmtId="0" fontId="65" fillId="0" borderId="114" xfId="27885" applyFont="1" applyBorder="1" applyAlignment="1">
      <alignment vertical="center"/>
    </xf>
    <xf numFmtId="171" fontId="65" fillId="0" borderId="170" xfId="27886" applyFont="1" applyBorder="1" applyAlignment="1"/>
    <xf numFmtId="0" fontId="343" fillId="0" borderId="223" xfId="27885" applyFont="1" applyBorder="1" applyAlignment="1">
      <alignment horizontal="left" vertical="center"/>
    </xf>
    <xf numFmtId="171" fontId="343" fillId="0" borderId="224" xfId="27886" applyFont="1" applyBorder="1" applyAlignment="1"/>
    <xf numFmtId="0" fontId="65" fillId="0" borderId="102" xfId="27885" applyFont="1" applyBorder="1" applyAlignment="1">
      <alignment vertical="center"/>
    </xf>
    <xf numFmtId="0" fontId="169" fillId="0" borderId="102" xfId="27885" applyFont="1" applyBorder="1" applyAlignment="1">
      <alignment horizontal="center" vertical="center"/>
    </xf>
    <xf numFmtId="171" fontId="65" fillId="107" borderId="228" xfId="27886" applyFont="1" applyFill="1" applyBorder="1" applyAlignment="1">
      <alignment horizontal="center" vertical="center"/>
    </xf>
    <xf numFmtId="171" fontId="65" fillId="0" borderId="0" xfId="27886" applyFont="1" applyFill="1" applyBorder="1"/>
    <xf numFmtId="0" fontId="343" fillId="33" borderId="127" xfId="27885" applyFont="1" applyFill="1" applyBorder="1"/>
    <xf numFmtId="38" fontId="343" fillId="33" borderId="133" xfId="27885" applyNumberFormat="1" applyFont="1" applyFill="1" applyBorder="1"/>
    <xf numFmtId="38" fontId="343" fillId="33" borderId="133" xfId="27885" applyNumberFormat="1" applyFont="1" applyFill="1" applyBorder="1" applyAlignment="1">
      <alignment horizontal="center" vertical="center"/>
    </xf>
    <xf numFmtId="171" fontId="65" fillId="33" borderId="133" xfId="27886" applyFont="1" applyFill="1" applyBorder="1" applyAlignment="1">
      <alignment horizontal="center" vertical="center" wrapText="1"/>
    </xf>
    <xf numFmtId="171" fontId="65" fillId="33" borderId="227" xfId="27886" applyFont="1" applyFill="1" applyBorder="1" applyAlignment="1">
      <alignment horizontal="center" vertical="center" wrapText="1"/>
    </xf>
    <xf numFmtId="0" fontId="65" fillId="130" borderId="127" xfId="27885" applyFont="1" applyFill="1" applyBorder="1"/>
    <xf numFmtId="38" fontId="65" fillId="130" borderId="133" xfId="27885" applyNumberFormat="1" applyFont="1" applyFill="1" applyBorder="1"/>
    <xf numFmtId="38" fontId="65" fillId="130" borderId="133" xfId="27885" applyNumberFormat="1" applyFont="1" applyFill="1" applyBorder="1" applyAlignment="1">
      <alignment horizontal="center" vertical="center"/>
    </xf>
    <xf numFmtId="171" fontId="65" fillId="130" borderId="133" xfId="27886" applyFont="1" applyFill="1" applyBorder="1" applyAlignment="1">
      <alignment horizontal="center" vertical="center"/>
    </xf>
    <xf numFmtId="171" fontId="65" fillId="130" borderId="227" xfId="27886" applyFont="1" applyFill="1" applyBorder="1" applyAlignment="1">
      <alignment horizontal="center" vertical="center"/>
    </xf>
    <xf numFmtId="273" fontId="65" fillId="127" borderId="127" xfId="27885" applyNumberFormat="1" applyFont="1" applyFill="1" applyBorder="1"/>
    <xf numFmtId="38" fontId="343" fillId="127" borderId="133" xfId="27885" applyNumberFormat="1" applyFont="1" applyFill="1" applyBorder="1" applyAlignment="1">
      <alignment horizontal="left"/>
    </xf>
    <xf numFmtId="0" fontId="343" fillId="130" borderId="127" xfId="27885" applyFont="1" applyFill="1" applyBorder="1"/>
    <xf numFmtId="38" fontId="343" fillId="130" borderId="133" xfId="27885" applyNumberFormat="1" applyFont="1" applyFill="1" applyBorder="1"/>
    <xf numFmtId="38" fontId="343" fillId="130" borderId="133" xfId="27885" applyNumberFormat="1" applyFont="1" applyFill="1" applyBorder="1" applyAlignment="1">
      <alignment horizontal="center" vertical="center"/>
    </xf>
    <xf numFmtId="171" fontId="343" fillId="130" borderId="133" xfId="27886" applyFont="1" applyFill="1" applyBorder="1" applyAlignment="1">
      <alignment horizontal="center" vertical="center"/>
    </xf>
    <xf numFmtId="171" fontId="343" fillId="130" borderId="227" xfId="27886" applyFont="1" applyFill="1" applyBorder="1" applyAlignment="1">
      <alignment horizontal="center" vertical="center"/>
    </xf>
    <xf numFmtId="171" fontId="343" fillId="33" borderId="133" xfId="27886" applyFont="1" applyFill="1" applyBorder="1" applyAlignment="1">
      <alignment horizontal="center" vertical="center" wrapText="1"/>
    </xf>
    <xf numFmtId="171" fontId="343" fillId="33" borderId="227" xfId="27886" applyFont="1" applyFill="1" applyBorder="1" applyAlignment="1">
      <alignment horizontal="center" vertical="center" wrapText="1"/>
    </xf>
    <xf numFmtId="171" fontId="343" fillId="0" borderId="0" xfId="27885" applyNumberFormat="1" applyFont="1"/>
    <xf numFmtId="171" fontId="65" fillId="130" borderId="133" xfId="27886" applyFont="1" applyFill="1" applyBorder="1" applyAlignment="1">
      <alignment horizontal="center" vertical="center" wrapText="1"/>
    </xf>
    <xf numFmtId="171" fontId="65" fillId="130" borderId="227" xfId="27886" applyFont="1" applyFill="1" applyBorder="1" applyAlignment="1">
      <alignment horizontal="center" vertical="center" wrapText="1"/>
    </xf>
    <xf numFmtId="179" fontId="343" fillId="127" borderId="133" xfId="27885" applyNumberFormat="1" applyFont="1" applyFill="1" applyBorder="1" applyAlignment="1">
      <alignment horizontal="center"/>
    </xf>
    <xf numFmtId="171" fontId="65" fillId="127" borderId="133" xfId="27886" applyFont="1" applyFill="1" applyBorder="1" applyAlignment="1">
      <alignment horizontal="center"/>
    </xf>
    <xf numFmtId="171" fontId="65" fillId="127" borderId="133" xfId="27886" applyFont="1" applyFill="1" applyBorder="1"/>
    <xf numFmtId="171" fontId="65" fillId="127" borderId="227" xfId="27886" applyFont="1" applyFill="1" applyBorder="1"/>
    <xf numFmtId="171" fontId="343" fillId="127" borderId="133" xfId="27885" applyNumberFormat="1" applyFont="1" applyFill="1" applyBorder="1" applyAlignment="1">
      <alignment horizontal="center"/>
    </xf>
    <xf numFmtId="38" fontId="65" fillId="130" borderId="133" xfId="27885" applyNumberFormat="1" applyFont="1" applyFill="1" applyBorder="1" applyAlignment="1">
      <alignment vertical="center" wrapText="1"/>
    </xf>
    <xf numFmtId="0" fontId="65" fillId="127" borderId="127" xfId="27885" applyFont="1" applyFill="1" applyBorder="1"/>
    <xf numFmtId="38" fontId="65" fillId="127" borderId="133" xfId="27885" applyNumberFormat="1" applyFont="1" applyFill="1" applyBorder="1" applyAlignment="1">
      <alignment horizontal="center" vertical="center"/>
    </xf>
    <xf numFmtId="171" fontId="65" fillId="127" borderId="133" xfId="27886" applyFont="1" applyFill="1" applyBorder="1" applyAlignment="1">
      <alignment horizontal="center" vertical="center"/>
    </xf>
    <xf numFmtId="171" fontId="65" fillId="127" borderId="227" xfId="27886" applyFont="1" applyFill="1" applyBorder="1" applyAlignment="1">
      <alignment horizontal="center" vertical="center"/>
    </xf>
    <xf numFmtId="0" fontId="65" fillId="0" borderId="0" xfId="27885" applyFont="1" applyAlignment="1">
      <alignment horizontal="center" vertical="center"/>
    </xf>
    <xf numFmtId="171" fontId="65" fillId="0" borderId="0" xfId="27886" applyFont="1" applyFill="1" applyBorder="1" applyAlignment="1">
      <alignment horizontal="center"/>
    </xf>
    <xf numFmtId="171" fontId="65" fillId="0" borderId="226" xfId="27886" applyFont="1" applyFill="1" applyBorder="1" applyAlignment="1">
      <alignment horizontal="center"/>
    </xf>
    <xf numFmtId="9" fontId="65" fillId="0" borderId="0" xfId="27886" applyNumberFormat="1" applyFont="1" applyFill="1" applyBorder="1" applyAlignment="1">
      <alignment horizontal="center"/>
    </xf>
    <xf numFmtId="9" fontId="65" fillId="0" borderId="0" xfId="27887" applyFont="1" applyFill="1" applyBorder="1" applyAlignment="1">
      <alignment horizontal="center"/>
    </xf>
    <xf numFmtId="0" fontId="343" fillId="131" borderId="222" xfId="27885" applyFont="1" applyFill="1" applyBorder="1"/>
    <xf numFmtId="38" fontId="343" fillId="131" borderId="102" xfId="27885" applyNumberFormat="1" applyFont="1" applyFill="1" applyBorder="1" applyAlignment="1">
      <alignment horizontal="left"/>
    </xf>
    <xf numFmtId="171" fontId="343" fillId="131" borderId="102" xfId="27886" applyFont="1" applyFill="1" applyBorder="1" applyAlignment="1">
      <alignment horizontal="center" vertical="center"/>
    </xf>
    <xf numFmtId="0" fontId="343" fillId="131" borderId="123" xfId="27885" applyFont="1" applyFill="1" applyBorder="1"/>
    <xf numFmtId="38" fontId="343" fillId="131" borderId="124" xfId="27885" applyNumberFormat="1" applyFont="1" applyFill="1" applyBorder="1" applyAlignment="1">
      <alignment horizontal="left"/>
    </xf>
    <xf numFmtId="171" fontId="343" fillId="131" borderId="124" xfId="27886" applyFont="1" applyFill="1" applyBorder="1" applyAlignment="1">
      <alignment horizontal="center" vertical="center"/>
    </xf>
    <xf numFmtId="0" fontId="65" fillId="131" borderId="114" xfId="27885" applyFont="1" applyFill="1" applyBorder="1"/>
    <xf numFmtId="38" fontId="65" fillId="131" borderId="0" xfId="27885" applyNumberFormat="1" applyFont="1" applyFill="1" applyAlignment="1">
      <alignment horizontal="left"/>
    </xf>
    <xf numFmtId="38" fontId="65" fillId="131" borderId="0" xfId="27885" applyNumberFormat="1" applyFont="1" applyFill="1" applyAlignment="1">
      <alignment horizontal="center" vertical="center"/>
    </xf>
    <xf numFmtId="171" fontId="65" fillId="131" borderId="0" xfId="27886" applyFont="1" applyFill="1" applyBorder="1" applyAlignment="1">
      <alignment horizontal="center" vertical="center"/>
    </xf>
    <xf numFmtId="171" fontId="65" fillId="131" borderId="226" xfId="27886" applyFont="1" applyFill="1" applyBorder="1" applyAlignment="1">
      <alignment horizontal="center" vertical="center"/>
    </xf>
    <xf numFmtId="171" fontId="65" fillId="126" borderId="0" xfId="27886" applyFont="1" applyFill="1" applyBorder="1" applyAlignment="1">
      <alignment horizontal="center" vertical="center"/>
    </xf>
    <xf numFmtId="171" fontId="65" fillId="107" borderId="115" xfId="27886" applyFont="1" applyFill="1" applyBorder="1" applyAlignment="1">
      <alignment vertical="center"/>
    </xf>
    <xf numFmtId="0" fontId="343" fillId="129" borderId="114" xfId="27885" applyFont="1" applyFill="1" applyBorder="1"/>
    <xf numFmtId="38" fontId="343" fillId="129" borderId="0" xfId="27885" applyNumberFormat="1" applyFont="1" applyFill="1"/>
    <xf numFmtId="38" fontId="343" fillId="129" borderId="0" xfId="27885" applyNumberFormat="1" applyFont="1" applyFill="1" applyAlignment="1">
      <alignment horizontal="center" vertical="center"/>
    </xf>
    <xf numFmtId="171" fontId="343" fillId="129" borderId="0" xfId="27886" applyFont="1" applyFill="1" applyBorder="1" applyAlignment="1">
      <alignment horizontal="center" vertical="center"/>
    </xf>
    <xf numFmtId="171" fontId="343" fillId="107" borderId="115" xfId="27886" applyFont="1" applyFill="1" applyBorder="1" applyAlignment="1">
      <alignment horizontal="center" vertical="center"/>
    </xf>
    <xf numFmtId="171" fontId="343" fillId="107" borderId="115" xfId="27886" applyFont="1" applyFill="1" applyBorder="1" applyAlignment="1">
      <alignment vertical="center"/>
    </xf>
    <xf numFmtId="38" fontId="65" fillId="131" borderId="0" xfId="27885" applyNumberFormat="1" applyFont="1" applyFill="1"/>
    <xf numFmtId="171" fontId="65" fillId="107" borderId="115" xfId="27886" applyFont="1" applyFill="1" applyBorder="1" applyAlignment="1">
      <alignment horizontal="center" vertical="center"/>
    </xf>
    <xf numFmtId="0" fontId="343" fillId="132" borderId="114" xfId="27885" applyFont="1" applyFill="1" applyBorder="1"/>
    <xf numFmtId="38" fontId="343" fillId="132" borderId="0" xfId="27885" applyNumberFormat="1" applyFont="1" applyFill="1" applyAlignment="1">
      <alignment horizontal="left"/>
    </xf>
    <xf numFmtId="171" fontId="343" fillId="132" borderId="0" xfId="27885" applyNumberFormat="1" applyFont="1" applyFill="1" applyAlignment="1">
      <alignment horizontal="center"/>
    </xf>
    <xf numFmtId="171" fontId="65" fillId="132" borderId="0" xfId="27886" applyFont="1" applyFill="1" applyBorder="1" applyAlignment="1">
      <alignment horizontal="center" vertical="center"/>
    </xf>
    <xf numFmtId="171" fontId="65" fillId="132" borderId="226" xfId="27886" applyFont="1" applyFill="1" applyBorder="1" applyAlignment="1">
      <alignment horizontal="center" vertical="center"/>
    </xf>
    <xf numFmtId="171" fontId="65" fillId="133" borderId="0" xfId="27886" applyFont="1" applyFill="1" applyBorder="1" applyAlignment="1">
      <alignment horizontal="center" vertical="center"/>
    </xf>
    <xf numFmtId="38" fontId="35" fillId="131" borderId="0" xfId="27885" applyNumberFormat="1" applyFill="1" applyAlignment="1">
      <alignment vertical="center" wrapText="1"/>
    </xf>
    <xf numFmtId="38" fontId="64" fillId="131" borderId="0" xfId="27885" applyNumberFormat="1" applyFont="1" applyFill="1" applyAlignment="1">
      <alignment vertical="center" wrapText="1"/>
    </xf>
    <xf numFmtId="38" fontId="343" fillId="131" borderId="0" xfId="27885" applyNumberFormat="1" applyFont="1" applyFill="1" applyAlignment="1">
      <alignment horizontal="center" vertical="center"/>
    </xf>
    <xf numFmtId="171" fontId="343" fillId="131" borderId="0" xfId="27886" applyFont="1" applyFill="1" applyBorder="1" applyAlignment="1">
      <alignment horizontal="center" vertical="center"/>
    </xf>
    <xf numFmtId="38" fontId="64" fillId="131" borderId="0" xfId="27885" applyNumberFormat="1" applyFont="1" applyFill="1"/>
    <xf numFmtId="171" fontId="343" fillId="131" borderId="226" xfId="27886" applyFont="1" applyFill="1" applyBorder="1" applyAlignment="1">
      <alignment horizontal="center" vertical="center"/>
    </xf>
    <xf numFmtId="171" fontId="343" fillId="126" borderId="0" xfId="27886" applyFont="1" applyFill="1" applyBorder="1" applyAlignment="1">
      <alignment horizontal="center" vertical="center"/>
    </xf>
    <xf numFmtId="38" fontId="35" fillId="131" borderId="0" xfId="27885" applyNumberFormat="1" applyFill="1"/>
    <xf numFmtId="171" fontId="65" fillId="0" borderId="0" xfId="27886" applyFont="1" applyFill="1" applyBorder="1" applyAlignment="1">
      <alignment vertical="center"/>
    </xf>
    <xf numFmtId="38" fontId="35" fillId="131" borderId="0" xfId="27885" applyNumberFormat="1" applyFill="1" applyAlignment="1">
      <alignment horizontal="center" vertical="center"/>
    </xf>
    <xf numFmtId="38" fontId="64" fillId="131" borderId="0" xfId="27885" applyNumberFormat="1" applyFont="1" applyFill="1" applyAlignment="1">
      <alignment horizontal="center" vertical="center"/>
    </xf>
    <xf numFmtId="38" fontId="343" fillId="131" borderId="0" xfId="27885" applyNumberFormat="1" applyFont="1" applyFill="1"/>
    <xf numFmtId="171" fontId="65" fillId="0" borderId="0" xfId="27885" applyNumberFormat="1" applyFont="1"/>
    <xf numFmtId="0" fontId="343" fillId="131" borderId="114" xfId="27885" applyFont="1" applyFill="1" applyBorder="1"/>
    <xf numFmtId="38" fontId="339" fillId="132" borderId="0" xfId="27885" applyNumberFormat="1" applyFont="1" applyFill="1" applyAlignment="1">
      <alignment horizontal="left"/>
    </xf>
    <xf numFmtId="171" fontId="65" fillId="129" borderId="0" xfId="27886" applyFont="1" applyFill="1" applyBorder="1" applyAlignment="1">
      <alignment horizontal="center" vertical="center"/>
    </xf>
    <xf numFmtId="171" fontId="65" fillId="129" borderId="226" xfId="27886" applyFont="1" applyFill="1" applyBorder="1" applyAlignment="1">
      <alignment horizontal="center" vertical="center"/>
    </xf>
    <xf numFmtId="171" fontId="65" fillId="128" borderId="0" xfId="27886" applyFont="1" applyFill="1" applyBorder="1" applyAlignment="1">
      <alignment horizontal="center" vertical="center"/>
    </xf>
    <xf numFmtId="0" fontId="338" fillId="132" borderId="114" xfId="27885" applyFont="1" applyFill="1" applyBorder="1"/>
    <xf numFmtId="38" fontId="65" fillId="132" borderId="0" xfId="27885" applyNumberFormat="1" applyFont="1" applyFill="1" applyAlignment="1">
      <alignment horizontal="center" vertical="center"/>
    </xf>
    <xf numFmtId="171" fontId="65" fillId="131" borderId="0" xfId="27886" applyFont="1" applyFill="1" applyBorder="1"/>
    <xf numFmtId="0" fontId="65" fillId="131" borderId="0" xfId="27885" applyFont="1" applyFill="1"/>
    <xf numFmtId="38" fontId="343" fillId="132" borderId="0" xfId="27885" applyNumberFormat="1" applyFont="1" applyFill="1"/>
    <xf numFmtId="38" fontId="64" fillId="0" borderId="228" xfId="22751" applyNumberFormat="1" applyFont="1" applyBorder="1" applyAlignment="1">
      <alignment horizontal="center" vertical="center"/>
    </xf>
    <xf numFmtId="38" fontId="45" fillId="0" borderId="115" xfId="22751" applyNumberFormat="1" applyBorder="1" applyAlignment="1">
      <alignment vertical="center"/>
    </xf>
    <xf numFmtId="229" fontId="172" fillId="0" borderId="0" xfId="0" applyNumberFormat="1" applyFont="1" applyAlignment="1">
      <alignment vertical="center" wrapText="1"/>
    </xf>
    <xf numFmtId="0" fontId="171" fillId="0" borderId="0" xfId="22751" applyFont="1"/>
    <xf numFmtId="179" fontId="170" fillId="0" borderId="0" xfId="22752" applyNumberFormat="1" applyFont="1" applyBorder="1" applyAlignment="1" applyProtection="1">
      <alignment horizontal="left" vertical="center" shrinkToFit="1"/>
    </xf>
    <xf numFmtId="0" fontId="171" fillId="0" borderId="0" xfId="22751" applyFont="1" applyAlignment="1">
      <alignment vertical="center"/>
    </xf>
    <xf numFmtId="210" fontId="171" fillId="0" borderId="0" xfId="2" quotePrefix="1" applyNumberFormat="1" applyFont="1" applyAlignment="1">
      <alignment horizontal="left" vertical="center"/>
    </xf>
    <xf numFmtId="38" fontId="66" fillId="0" borderId="0" xfId="19278" applyNumberFormat="1" applyFont="1"/>
    <xf numFmtId="229" fontId="172" fillId="0" borderId="217" xfId="19286" applyNumberFormat="1" applyFont="1" applyBorder="1" applyAlignment="1">
      <alignment vertical="center" wrapText="1"/>
    </xf>
    <xf numFmtId="0" fontId="171" fillId="0" borderId="0" xfId="22751" applyFont="1" applyAlignment="1">
      <alignment horizontal="right" vertical="center"/>
    </xf>
    <xf numFmtId="210" fontId="171" fillId="0" borderId="0" xfId="2" quotePrefix="1" applyNumberFormat="1" applyFont="1" applyAlignment="1">
      <alignment horizontal="right" vertical="center"/>
    </xf>
    <xf numFmtId="0" fontId="171" fillId="0" borderId="0" xfId="22751" applyFont="1" applyAlignment="1">
      <alignment horizontal="left" vertical="center"/>
    </xf>
    <xf numFmtId="0" fontId="343" fillId="108" borderId="219" xfId="27885" applyFont="1" applyFill="1" applyBorder="1"/>
    <xf numFmtId="0" fontId="343" fillId="108" borderId="220" xfId="27885" applyFont="1" applyFill="1" applyBorder="1"/>
    <xf numFmtId="0" fontId="343" fillId="108" borderId="220" xfId="27885" applyFont="1" applyFill="1" applyBorder="1" applyAlignment="1">
      <alignment horizontal="center" vertical="center"/>
    </xf>
    <xf numFmtId="3" fontId="343" fillId="108" borderId="220" xfId="27886" applyNumberFormat="1" applyFont="1" applyFill="1" applyBorder="1" applyAlignment="1">
      <alignment horizontal="center" vertical="center"/>
    </xf>
    <xf numFmtId="3" fontId="343" fillId="108" borderId="225" xfId="27886" applyNumberFormat="1" applyFont="1" applyFill="1" applyBorder="1" applyAlignment="1">
      <alignment horizontal="center" vertical="center"/>
    </xf>
    <xf numFmtId="0" fontId="343" fillId="108" borderId="157" xfId="27885" applyFont="1" applyFill="1" applyBorder="1"/>
    <xf numFmtId="0" fontId="343" fillId="108" borderId="134" xfId="27885" applyFont="1" applyFill="1" applyBorder="1"/>
    <xf numFmtId="0" fontId="343" fillId="108" borderId="134" xfId="27885" applyFont="1" applyFill="1" applyBorder="1" applyAlignment="1">
      <alignment horizontal="center" vertical="center"/>
    </xf>
    <xf numFmtId="17" fontId="343" fillId="108" borderId="134" xfId="22771" applyNumberFormat="1" applyFont="1" applyFill="1" applyBorder="1" applyAlignment="1">
      <alignment horizontal="center"/>
    </xf>
    <xf numFmtId="0" fontId="343" fillId="111" borderId="219" xfId="27885" applyFont="1" applyFill="1" applyBorder="1"/>
    <xf numFmtId="0" fontId="343" fillId="111" borderId="220" xfId="27885" applyFont="1" applyFill="1" applyBorder="1"/>
    <xf numFmtId="0" fontId="343" fillId="111" borderId="220" xfId="27885" applyFont="1" applyFill="1" applyBorder="1" applyAlignment="1">
      <alignment horizontal="center" vertical="center"/>
    </xf>
    <xf numFmtId="3" fontId="343" fillId="111" borderId="220" xfId="27886" applyNumberFormat="1" applyFont="1" applyFill="1" applyBorder="1" applyAlignment="1">
      <alignment horizontal="center" vertical="center"/>
    </xf>
    <xf numFmtId="3" fontId="343" fillId="111" borderId="225" xfId="27886" applyNumberFormat="1" applyFont="1" applyFill="1" applyBorder="1" applyAlignment="1">
      <alignment horizontal="center" vertical="center"/>
    </xf>
    <xf numFmtId="0" fontId="343" fillId="111" borderId="157" xfId="27885" applyFont="1" applyFill="1" applyBorder="1"/>
    <xf numFmtId="0" fontId="343" fillId="111" borderId="134" xfId="27885" applyFont="1" applyFill="1" applyBorder="1"/>
    <xf numFmtId="0" fontId="343" fillId="111" borderId="134" xfId="27885" applyFont="1" applyFill="1" applyBorder="1" applyAlignment="1">
      <alignment horizontal="center" vertical="center"/>
    </xf>
    <xf numFmtId="17" fontId="343" fillId="111" borderId="134" xfId="22771" applyNumberFormat="1" applyFont="1" applyFill="1" applyBorder="1" applyAlignment="1">
      <alignment horizontal="center"/>
    </xf>
    <xf numFmtId="0" fontId="343" fillId="111" borderId="114" xfId="27885" applyFont="1" applyFill="1" applyBorder="1"/>
    <xf numFmtId="38" fontId="343" fillId="111" borderId="0" xfId="27885" applyNumberFormat="1" applyFont="1" applyFill="1"/>
    <xf numFmtId="38" fontId="343" fillId="111" borderId="0" xfId="27885" applyNumberFormat="1" applyFont="1" applyFill="1" applyAlignment="1">
      <alignment horizontal="center" vertical="center"/>
    </xf>
    <xf numFmtId="171" fontId="343" fillId="111" borderId="0" xfId="27886" applyFont="1" applyFill="1" applyBorder="1" applyAlignment="1">
      <alignment horizontal="center" vertical="center"/>
    </xf>
    <xf numFmtId="38" fontId="343" fillId="111" borderId="0" xfId="27885" applyNumberFormat="1" applyFont="1" applyFill="1" applyAlignment="1">
      <alignment horizontal="left"/>
    </xf>
    <xf numFmtId="171" fontId="343" fillId="111" borderId="0" xfId="27885" applyNumberFormat="1" applyFont="1" applyFill="1" applyAlignment="1">
      <alignment horizontal="center"/>
    </xf>
    <xf numFmtId="171" fontId="65" fillId="111" borderId="0" xfId="27886" applyFont="1" applyFill="1" applyBorder="1" applyAlignment="1">
      <alignment horizontal="center" vertical="center"/>
    </xf>
    <xf numFmtId="171" fontId="65" fillId="111" borderId="226" xfId="27886" applyFont="1" applyFill="1" applyBorder="1" applyAlignment="1">
      <alignment horizontal="center" vertical="center"/>
    </xf>
    <xf numFmtId="0" fontId="338" fillId="111" borderId="114" xfId="27885" applyFont="1" applyFill="1" applyBorder="1"/>
    <xf numFmtId="38" fontId="339" fillId="111" borderId="0" xfId="27885" applyNumberFormat="1" applyFont="1" applyFill="1" applyAlignment="1">
      <alignment horizontal="left"/>
    </xf>
    <xf numFmtId="38" fontId="65" fillId="111" borderId="0" xfId="27885" applyNumberFormat="1" applyFont="1" applyFill="1" applyAlignment="1">
      <alignment horizontal="center" vertical="center"/>
    </xf>
    <xf numFmtId="0" fontId="65" fillId="136" borderId="114" xfId="27885" applyFont="1" applyFill="1" applyBorder="1"/>
    <xf numFmtId="38" fontId="35" fillId="136" borderId="0" xfId="27885" applyNumberFormat="1" applyFill="1" applyAlignment="1">
      <alignment vertical="center" wrapText="1"/>
    </xf>
    <xf numFmtId="38" fontId="65" fillId="136" borderId="0" xfId="27885" applyNumberFormat="1" applyFont="1" applyFill="1" applyAlignment="1">
      <alignment horizontal="center" vertical="center"/>
    </xf>
    <xf numFmtId="171" fontId="65" fillId="136" borderId="0" xfId="27886" applyFont="1" applyFill="1" applyBorder="1" applyAlignment="1">
      <alignment horizontal="center" vertical="center"/>
    </xf>
    <xf numFmtId="171" fontId="65" fillId="136" borderId="226" xfId="27886" applyFont="1" applyFill="1" applyBorder="1" applyAlignment="1">
      <alignment horizontal="center" vertical="center"/>
    </xf>
    <xf numFmtId="0" fontId="343" fillId="136" borderId="114" xfId="27885" applyFont="1" applyFill="1" applyBorder="1"/>
    <xf numFmtId="38" fontId="64" fillId="136" borderId="0" xfId="27885" applyNumberFormat="1" applyFont="1" applyFill="1" applyAlignment="1">
      <alignment vertical="center" wrapText="1"/>
    </xf>
    <xf numFmtId="38" fontId="343" fillId="136" borderId="0" xfId="27885" applyNumberFormat="1" applyFont="1" applyFill="1" applyAlignment="1">
      <alignment horizontal="center" vertical="center"/>
    </xf>
    <xf numFmtId="171" fontId="343" fillId="136" borderId="0" xfId="27886" applyFont="1" applyFill="1" applyBorder="1" applyAlignment="1">
      <alignment horizontal="center" vertical="center"/>
    </xf>
    <xf numFmtId="171" fontId="343" fillId="136" borderId="226" xfId="27886" applyFont="1" applyFill="1" applyBorder="1" applyAlignment="1">
      <alignment horizontal="center" vertical="center"/>
    </xf>
    <xf numFmtId="38" fontId="64" fillId="136" borderId="0" xfId="27885" applyNumberFormat="1" applyFont="1" applyFill="1"/>
    <xf numFmtId="38" fontId="35" fillId="136" borderId="0" xfId="27885" applyNumberFormat="1" applyFill="1"/>
    <xf numFmtId="38" fontId="35" fillId="136" borderId="0" xfId="27885" applyNumberFormat="1" applyFill="1" applyAlignment="1">
      <alignment horizontal="center" vertical="center"/>
    </xf>
    <xf numFmtId="38" fontId="64" fillId="136" borderId="0" xfId="27885" applyNumberFormat="1" applyFont="1" applyFill="1" applyAlignment="1">
      <alignment horizontal="center" vertical="center"/>
    </xf>
    <xf numFmtId="38" fontId="343" fillId="136" borderId="0" xfId="27885" applyNumberFormat="1" applyFont="1" applyFill="1"/>
    <xf numFmtId="38" fontId="65" fillId="136" borderId="0" xfId="27885" applyNumberFormat="1" applyFont="1" applyFill="1"/>
    <xf numFmtId="0" fontId="343" fillId="136" borderId="222" xfId="27885" applyFont="1" applyFill="1" applyBorder="1"/>
    <xf numFmtId="38" fontId="343" fillId="136" borderId="102" xfId="27885" applyNumberFormat="1" applyFont="1" applyFill="1" applyBorder="1" applyAlignment="1">
      <alignment horizontal="left"/>
    </xf>
    <xf numFmtId="171" fontId="343" fillId="136" borderId="102" xfId="27886" applyFont="1" applyFill="1" applyBorder="1" applyAlignment="1">
      <alignment horizontal="center" vertical="center"/>
    </xf>
    <xf numFmtId="0" fontId="343" fillId="136" borderId="123" xfId="27885" applyFont="1" applyFill="1" applyBorder="1"/>
    <xf numFmtId="38" fontId="343" fillId="136" borderId="124" xfId="27885" applyNumberFormat="1" applyFont="1" applyFill="1" applyBorder="1" applyAlignment="1">
      <alignment horizontal="left"/>
    </xf>
    <xf numFmtId="171" fontId="343" fillId="136" borderId="124" xfId="27886" applyFont="1" applyFill="1" applyBorder="1" applyAlignment="1">
      <alignment horizontal="center" vertical="center"/>
    </xf>
    <xf numFmtId="38" fontId="65" fillId="136" borderId="0" xfId="27885" applyNumberFormat="1" applyFont="1" applyFill="1" applyAlignment="1">
      <alignment horizontal="left"/>
    </xf>
    <xf numFmtId="0" fontId="65" fillId="133" borderId="222" xfId="27885" applyFont="1" applyFill="1" applyBorder="1"/>
    <xf numFmtId="171" fontId="65" fillId="133" borderId="102" xfId="27886" applyFont="1" applyFill="1" applyBorder="1"/>
    <xf numFmtId="0" fontId="169" fillId="133" borderId="102" xfId="27885" applyFont="1" applyFill="1" applyBorder="1" applyAlignment="1">
      <alignment horizontal="center" vertical="center"/>
    </xf>
    <xf numFmtId="0" fontId="65" fillId="133" borderId="114" xfId="27885" applyFont="1" applyFill="1" applyBorder="1"/>
    <xf numFmtId="0" fontId="417" fillId="133" borderId="0" xfId="27885" applyFont="1" applyFill="1"/>
    <xf numFmtId="0" fontId="169" fillId="133" borderId="0" xfId="27885" applyFont="1" applyFill="1" applyAlignment="1">
      <alignment horizontal="center" vertical="center"/>
    </xf>
    <xf numFmtId="0" fontId="65" fillId="133" borderId="123" xfId="27885" applyFont="1" applyFill="1" applyBorder="1"/>
    <xf numFmtId="0" fontId="65" fillId="133" borderId="124" xfId="27885" applyFont="1" applyFill="1" applyBorder="1"/>
    <xf numFmtId="0" fontId="169" fillId="133" borderId="124" xfId="27885" applyFont="1" applyFill="1" applyBorder="1" applyAlignment="1">
      <alignment horizontal="center" vertical="center"/>
    </xf>
    <xf numFmtId="171" fontId="65" fillId="133" borderId="124" xfId="27886" applyFont="1" applyFill="1" applyBorder="1"/>
    <xf numFmtId="9" fontId="343" fillId="133" borderId="124" xfId="22690" applyFont="1" applyFill="1" applyBorder="1"/>
    <xf numFmtId="171" fontId="65" fillId="133" borderId="125" xfId="27886" applyFont="1" applyFill="1" applyBorder="1"/>
    <xf numFmtId="17" fontId="343" fillId="133" borderId="102" xfId="22771" applyNumberFormat="1" applyFont="1" applyFill="1" applyBorder="1" applyAlignment="1">
      <alignment horizontal="center"/>
    </xf>
    <xf numFmtId="17" fontId="343" fillId="133" borderId="113" xfId="22771" applyNumberFormat="1" applyFont="1" applyFill="1" applyBorder="1" applyAlignment="1">
      <alignment horizontal="center"/>
    </xf>
    <xf numFmtId="171" fontId="65" fillId="133" borderId="133" xfId="27886" applyFont="1" applyFill="1" applyBorder="1"/>
    <xf numFmtId="171" fontId="343" fillId="133" borderId="133" xfId="27886" applyFont="1" applyFill="1" applyBorder="1"/>
    <xf numFmtId="38" fontId="338" fillId="0" borderId="183" xfId="22751" applyNumberFormat="1" applyFont="1" applyBorder="1" applyAlignment="1">
      <alignment horizontal="right" vertical="center" wrapText="1"/>
    </xf>
    <xf numFmtId="38" fontId="338" fillId="110" borderId="183" xfId="22752" applyNumberFormat="1" applyFont="1" applyFill="1" applyBorder="1" applyAlignment="1" applyProtection="1">
      <alignment horizontal="right" vertical="center"/>
    </xf>
    <xf numFmtId="0" fontId="66" fillId="0" borderId="214" xfId="22678" quotePrefix="1" applyNumberFormat="1" applyFont="1" applyBorder="1" applyAlignment="1" applyProtection="1">
      <alignment horizontal="center" vertical="center"/>
      <protection locked="0"/>
    </xf>
    <xf numFmtId="179" fontId="66" fillId="0" borderId="117" xfId="22694" applyNumberFormat="1" applyFont="1" applyFill="1" applyBorder="1" applyAlignment="1" applyProtection="1">
      <alignment horizontal="left" vertical="center"/>
      <protection locked="0"/>
    </xf>
    <xf numFmtId="179" fontId="66" fillId="0" borderId="117" xfId="22694" applyNumberFormat="1" applyFont="1" applyFill="1" applyBorder="1" applyAlignment="1" applyProtection="1">
      <alignment horizontal="right" vertical="center"/>
      <protection locked="0"/>
    </xf>
    <xf numFmtId="210" fontId="66" fillId="0" borderId="117" xfId="22694" applyNumberFormat="1" applyFont="1" applyFill="1" applyBorder="1" applyAlignment="1" applyProtection="1">
      <alignment horizontal="right" vertical="center"/>
      <protection locked="0"/>
    </xf>
    <xf numFmtId="179" fontId="66" fillId="0" borderId="117" xfId="22696" applyNumberFormat="1" applyFont="1" applyFill="1" applyBorder="1" applyAlignment="1" applyProtection="1">
      <alignment horizontal="center" vertical="center"/>
      <protection locked="0"/>
    </xf>
    <xf numFmtId="179" fontId="66" fillId="0" borderId="117" xfId="22696" applyNumberFormat="1" applyFont="1" applyFill="1" applyBorder="1" applyAlignment="1" applyProtection="1">
      <alignment horizontal="left" vertical="center"/>
      <protection locked="0"/>
    </xf>
    <xf numFmtId="3" fontId="169" fillId="0" borderId="0" xfId="27885" applyNumberFormat="1" applyFont="1" applyAlignment="1">
      <alignment horizontal="center" vertical="center"/>
    </xf>
    <xf numFmtId="38" fontId="64" fillId="138" borderId="228" xfId="22751" applyNumberFormat="1" applyFont="1" applyFill="1" applyBorder="1" applyAlignment="1">
      <alignment horizontal="center" vertical="top" wrapText="1"/>
    </xf>
    <xf numFmtId="38" fontId="64" fillId="0" borderId="113" xfId="22751" applyNumberFormat="1" applyFont="1" applyBorder="1" applyAlignment="1">
      <alignment horizontal="center" vertical="center"/>
    </xf>
    <xf numFmtId="38" fontId="45" fillId="0" borderId="170" xfId="22751" applyNumberFormat="1" applyBorder="1" applyAlignment="1">
      <alignment vertical="center"/>
    </xf>
    <xf numFmtId="38" fontId="63" fillId="0" borderId="213" xfId="22751" applyNumberFormat="1" applyFont="1" applyBorder="1" applyAlignment="1">
      <alignment vertical="center"/>
    </xf>
    <xf numFmtId="38" fontId="45" fillId="0" borderId="215" xfId="22751" applyNumberFormat="1" applyBorder="1" applyAlignment="1">
      <alignment vertical="center"/>
    </xf>
    <xf numFmtId="38" fontId="45" fillId="0" borderId="163" xfId="22751" applyNumberFormat="1" applyBorder="1" applyAlignment="1">
      <alignment vertical="center"/>
    </xf>
    <xf numFmtId="38" fontId="45" fillId="33" borderId="118" xfId="22751" applyNumberFormat="1" applyFill="1" applyBorder="1" applyAlignment="1">
      <alignment vertical="center"/>
    </xf>
    <xf numFmtId="38" fontId="45" fillId="0" borderId="139" xfId="22751" applyNumberFormat="1" applyBorder="1" applyAlignment="1">
      <alignment vertical="center"/>
    </xf>
    <xf numFmtId="38" fontId="421" fillId="137" borderId="15" xfId="22751" applyNumberFormat="1" applyFont="1" applyFill="1" applyBorder="1" applyAlignment="1">
      <alignment vertical="center"/>
    </xf>
    <xf numFmtId="38" fontId="422" fillId="33" borderId="118" xfId="22751" applyNumberFormat="1" applyFont="1" applyFill="1" applyBorder="1" applyAlignment="1">
      <alignment vertical="center"/>
    </xf>
    <xf numFmtId="38" fontId="45" fillId="33" borderId="139" xfId="22751" applyNumberFormat="1" applyFill="1" applyBorder="1" applyAlignment="1">
      <alignment vertical="center"/>
    </xf>
    <xf numFmtId="38" fontId="422" fillId="33" borderId="0" xfId="22751" applyNumberFormat="1" applyFont="1" applyFill="1" applyAlignment="1">
      <alignment vertical="center"/>
    </xf>
    <xf numFmtId="38" fontId="419" fillId="0" borderId="0" xfId="22751" applyNumberFormat="1" applyFont="1" applyAlignment="1">
      <alignment vertical="center"/>
    </xf>
    <xf numFmtId="43" fontId="45" fillId="0" borderId="0" xfId="19286" applyFont="1" applyAlignment="1" applyProtection="1">
      <alignment vertical="center"/>
    </xf>
    <xf numFmtId="43" fontId="359" fillId="0" borderId="0" xfId="19286" applyFont="1" applyAlignment="1" applyProtection="1">
      <alignment vertical="center"/>
    </xf>
    <xf numFmtId="43" fontId="63" fillId="0" borderId="0" xfId="19286" applyFont="1" applyFill="1" applyAlignment="1" applyProtection="1">
      <alignment vertical="center"/>
    </xf>
    <xf numFmtId="43" fontId="63" fillId="0" borderId="0" xfId="19286" quotePrefix="1" applyFont="1" applyFill="1" applyAlignment="1" applyProtection="1">
      <alignment horizontal="center" vertical="center"/>
    </xf>
    <xf numFmtId="43" fontId="63" fillId="0" borderId="0" xfId="19286" applyFont="1" applyAlignment="1" applyProtection="1">
      <alignment vertical="center"/>
    </xf>
    <xf numFmtId="43" fontId="421" fillId="137" borderId="15" xfId="19286" applyFont="1" applyFill="1" applyBorder="1" applyAlignment="1" applyProtection="1">
      <alignment vertical="center"/>
    </xf>
    <xf numFmtId="43" fontId="63" fillId="0" borderId="211" xfId="19286" applyFont="1" applyBorder="1" applyAlignment="1" applyProtection="1">
      <alignment vertical="center"/>
    </xf>
    <xf numFmtId="43" fontId="422" fillId="33" borderId="50" xfId="19286" applyFont="1" applyFill="1" applyBorder="1" applyAlignment="1" applyProtection="1">
      <alignment vertical="center"/>
    </xf>
    <xf numFmtId="43" fontId="338" fillId="0" borderId="0" xfId="19286" applyFont="1" applyAlignment="1" applyProtection="1">
      <alignment vertical="center"/>
    </xf>
    <xf numFmtId="43" fontId="345" fillId="0" borderId="0" xfId="19286" applyFont="1" applyAlignment="1" applyProtection="1">
      <alignment vertical="center"/>
    </xf>
    <xf numFmtId="43" fontId="63" fillId="0" borderId="212" xfId="19286" applyFont="1" applyBorder="1" applyAlignment="1" applyProtection="1">
      <alignment vertical="center"/>
    </xf>
    <xf numFmtId="43" fontId="422" fillId="33" borderId="51" xfId="19286" applyFont="1" applyFill="1" applyBorder="1" applyAlignment="1" applyProtection="1">
      <alignment vertical="center"/>
    </xf>
    <xf numFmtId="43" fontId="0" fillId="0" borderId="0" xfId="19286" applyFont="1"/>
    <xf numFmtId="0" fontId="366" fillId="0" borderId="0" xfId="0" applyFont="1"/>
    <xf numFmtId="0" fontId="341" fillId="0" borderId="0" xfId="27919" applyFont="1"/>
    <xf numFmtId="0" fontId="60" fillId="0" borderId="0" xfId="27920" applyFont="1"/>
    <xf numFmtId="0" fontId="60" fillId="0" borderId="0" xfId="27920" applyFont="1" applyAlignment="1">
      <alignment wrapText="1"/>
    </xf>
    <xf numFmtId="171" fontId="414" fillId="140" borderId="108" xfId="22679" applyNumberFormat="1" applyFont="1" applyFill="1" applyBorder="1" applyAlignment="1" applyProtection="1">
      <alignment horizontal="centerContinuous" vertical="center"/>
      <protection locked="0"/>
    </xf>
    <xf numFmtId="171" fontId="414" fillId="140" borderId="110" xfId="22679" applyNumberFormat="1" applyFont="1" applyFill="1" applyBorder="1" applyAlignment="1" applyProtection="1">
      <alignment horizontal="centerContinuous" vertical="center"/>
      <protection locked="0"/>
    </xf>
    <xf numFmtId="171" fontId="414" fillId="140" borderId="109" xfId="22679" applyNumberFormat="1" applyFont="1" applyFill="1" applyBorder="1" applyAlignment="1" applyProtection="1">
      <alignment horizontal="centerContinuous" vertical="center"/>
      <protection locked="0"/>
    </xf>
    <xf numFmtId="171" fontId="414" fillId="140" borderId="15" xfId="22679" applyNumberFormat="1" applyFont="1" applyFill="1" applyBorder="1" applyAlignment="1" applyProtection="1">
      <alignment horizontal="center" vertical="center"/>
      <protection locked="0"/>
    </xf>
    <xf numFmtId="171" fontId="385" fillId="141" borderId="110" xfId="22679" applyNumberFormat="1" applyFont="1" applyFill="1" applyBorder="1" applyAlignment="1" applyProtection="1">
      <alignment horizontal="centerContinuous" vertical="center"/>
      <protection locked="0"/>
    </xf>
    <xf numFmtId="171" fontId="385" fillId="141" borderId="110" xfId="22679" applyNumberFormat="1" applyFont="1" applyFill="1" applyBorder="1" applyAlignment="1" applyProtection="1">
      <alignment horizontal="centerContinuous" vertical="center" wrapText="1"/>
      <protection locked="0"/>
    </xf>
    <xf numFmtId="171" fontId="385" fillId="141" borderId="109" xfId="22679" applyNumberFormat="1" applyFont="1" applyFill="1" applyBorder="1" applyAlignment="1" applyProtection="1">
      <alignment horizontal="centerContinuous" vertical="center"/>
      <protection locked="0"/>
    </xf>
    <xf numFmtId="171" fontId="385" fillId="142" borderId="108" xfId="22679" applyNumberFormat="1" applyFont="1" applyFill="1" applyBorder="1" applyAlignment="1" applyProtection="1">
      <alignment horizontal="centerContinuous" vertical="center"/>
      <protection locked="0"/>
    </xf>
    <xf numFmtId="171" fontId="385" fillId="142" borderId="110" xfId="22679" applyNumberFormat="1" applyFont="1" applyFill="1" applyBorder="1" applyAlignment="1" applyProtection="1">
      <alignment horizontal="centerContinuous" vertical="center"/>
      <protection locked="0"/>
    </xf>
    <xf numFmtId="171" fontId="385" fillId="142" borderId="110" xfId="22679" applyNumberFormat="1" applyFont="1" applyFill="1" applyBorder="1" applyAlignment="1" applyProtection="1">
      <alignment horizontal="centerContinuous" vertical="center" wrapText="1"/>
      <protection locked="0"/>
    </xf>
    <xf numFmtId="171" fontId="385" fillId="142" borderId="109" xfId="22679" applyNumberFormat="1" applyFont="1" applyFill="1" applyBorder="1" applyAlignment="1" applyProtection="1">
      <alignment horizontal="centerContinuous" vertical="center"/>
      <protection locked="0"/>
    </xf>
    <xf numFmtId="171" fontId="385" fillId="143" borderId="108" xfId="22679" applyNumberFormat="1" applyFont="1" applyFill="1" applyBorder="1" applyAlignment="1" applyProtection="1">
      <alignment horizontal="centerContinuous" vertical="center"/>
      <protection locked="0"/>
    </xf>
    <xf numFmtId="171" fontId="385" fillId="143" borderId="110" xfId="22679" applyNumberFormat="1" applyFont="1" applyFill="1" applyBorder="1" applyAlignment="1" applyProtection="1">
      <alignment horizontal="centerContinuous" vertical="center"/>
      <protection locked="0"/>
    </xf>
    <xf numFmtId="171" fontId="385" fillId="143" borderId="109" xfId="22679" applyNumberFormat="1" applyFont="1" applyFill="1" applyBorder="1" applyAlignment="1" applyProtection="1">
      <alignment horizontal="centerContinuous" vertical="center"/>
      <protection locked="0"/>
    </xf>
    <xf numFmtId="171" fontId="414" fillId="144" borderId="108" xfId="22679" applyNumberFormat="1" applyFont="1" applyFill="1" applyBorder="1" applyAlignment="1" applyProtection="1">
      <alignment horizontal="centerContinuous" vertical="center"/>
      <protection locked="0"/>
    </xf>
    <xf numFmtId="171" fontId="414" fillId="144" borderId="110" xfId="22679" applyNumberFormat="1" applyFont="1" applyFill="1" applyBorder="1" applyAlignment="1" applyProtection="1">
      <alignment horizontal="centerContinuous" vertical="center"/>
      <protection locked="0"/>
    </xf>
    <xf numFmtId="171" fontId="414" fillId="144" borderId="109" xfId="22679" applyNumberFormat="1" applyFont="1" applyFill="1" applyBorder="1" applyAlignment="1" applyProtection="1">
      <alignment horizontal="centerContinuous" vertical="center"/>
      <protection locked="0"/>
    </xf>
    <xf numFmtId="171" fontId="385" fillId="145" borderId="110" xfId="22679" applyNumberFormat="1" applyFont="1" applyFill="1" applyBorder="1" applyAlignment="1" applyProtection="1">
      <alignment horizontal="centerContinuous" vertical="center"/>
      <protection locked="0"/>
    </xf>
    <xf numFmtId="171" fontId="341" fillId="141" borderId="110" xfId="22679" applyNumberFormat="1" applyFont="1" applyFill="1" applyBorder="1" applyAlignment="1" applyProtection="1">
      <alignment horizontal="centerContinuous" vertical="center"/>
      <protection locked="0"/>
    </xf>
    <xf numFmtId="171" fontId="341" fillId="141" borderId="109" xfId="22679" applyNumberFormat="1" applyFont="1" applyFill="1" applyBorder="1" applyAlignment="1" applyProtection="1">
      <alignment horizontal="centerContinuous" vertical="center"/>
      <protection locked="0"/>
    </xf>
    <xf numFmtId="0" fontId="424" fillId="0" borderId="145" xfId="22679" applyNumberFormat="1" applyFont="1" applyFill="1" applyBorder="1" applyAlignment="1" applyProtection="1">
      <alignment horizontal="center" vertical="center" wrapText="1"/>
      <protection locked="0"/>
    </xf>
    <xf numFmtId="0" fontId="424" fillId="0" borderId="163" xfId="7727" applyNumberFormat="1" applyFont="1" applyFill="1" applyBorder="1" applyAlignment="1" applyProtection="1">
      <alignment horizontal="center" vertical="center" wrapText="1"/>
      <protection locked="0"/>
    </xf>
    <xf numFmtId="0" fontId="424" fillId="0" borderId="214" xfId="7727" applyNumberFormat="1" applyFont="1" applyFill="1" applyBorder="1" applyAlignment="1" applyProtection="1">
      <alignment horizontal="center" vertical="center" wrapText="1"/>
      <protection locked="0"/>
    </xf>
    <xf numFmtId="0" fontId="424" fillId="0" borderId="219" xfId="7727" applyNumberFormat="1" applyFont="1" applyFill="1" applyBorder="1" applyAlignment="1" applyProtection="1">
      <alignment horizontal="center" vertical="center" wrapText="1"/>
      <protection locked="0"/>
    </xf>
    <xf numFmtId="0" fontId="424" fillId="0" borderId="148" xfId="7727" applyNumberFormat="1" applyFont="1" applyFill="1" applyBorder="1" applyAlignment="1" applyProtection="1">
      <alignment horizontal="center" vertical="center" wrapText="1"/>
      <protection locked="0"/>
    </xf>
    <xf numFmtId="0" fontId="424" fillId="0" borderId="117" xfId="7727" applyNumberFormat="1" applyFont="1" applyFill="1" applyBorder="1" applyAlignment="1" applyProtection="1">
      <alignment horizontal="center" vertical="center" wrapText="1"/>
      <protection locked="0"/>
    </xf>
    <xf numFmtId="0" fontId="424" fillId="0" borderId="145" xfId="7727" applyNumberFormat="1" applyFont="1" applyFill="1" applyBorder="1" applyAlignment="1" applyProtection="1">
      <alignment horizontal="center" vertical="center" wrapText="1"/>
      <protection locked="0"/>
    </xf>
    <xf numFmtId="0" fontId="424" fillId="0" borderId="191" xfId="7727" applyNumberFormat="1" applyFont="1" applyFill="1" applyBorder="1" applyAlignment="1" applyProtection="1">
      <alignment horizontal="center" vertical="center" wrapText="1"/>
      <protection locked="0"/>
    </xf>
    <xf numFmtId="0" fontId="425" fillId="0" borderId="0" xfId="22674" applyFont="1"/>
    <xf numFmtId="0" fontId="60" fillId="0" borderId="0" xfId="22674" applyFont="1" applyAlignment="1">
      <alignment vertical="top"/>
    </xf>
    <xf numFmtId="0" fontId="60" fillId="107" borderId="0" xfId="22674" applyFont="1" applyFill="1" applyAlignment="1">
      <alignment vertical="top"/>
    </xf>
    <xf numFmtId="0" fontId="341" fillId="0" borderId="0" xfId="22674" applyFont="1" applyAlignment="1">
      <alignment horizontal="left" vertical="top"/>
    </xf>
    <xf numFmtId="0" fontId="341" fillId="0" borderId="0" xfId="22674" applyFont="1" applyAlignment="1">
      <alignment vertical="top"/>
    </xf>
    <xf numFmtId="0" fontId="60" fillId="0" borderId="0" xfId="22674" applyFont="1" applyAlignment="1">
      <alignment wrapText="1"/>
    </xf>
    <xf numFmtId="0" fontId="60" fillId="0" borderId="0" xfId="22674" applyFont="1" applyAlignment="1">
      <alignment horizontal="center"/>
    </xf>
    <xf numFmtId="0" fontId="365" fillId="141" borderId="223" xfId="22674" applyFill="1" applyBorder="1"/>
    <xf numFmtId="0" fontId="365" fillId="141" borderId="183" xfId="22674" applyFill="1" applyBorder="1"/>
    <xf numFmtId="0" fontId="365" fillId="142" borderId="223" xfId="22674" applyFill="1" applyBorder="1"/>
    <xf numFmtId="0" fontId="365" fillId="142" borderId="183" xfId="22674" applyFill="1" applyBorder="1"/>
    <xf numFmtId="0" fontId="30" fillId="0" borderId="0" xfId="27923"/>
    <xf numFmtId="0" fontId="429" fillId="150" borderId="237" xfId="27923" applyFont="1" applyFill="1" applyBorder="1" applyAlignment="1" applyProtection="1">
      <alignment horizontal="centerContinuous" vertical="center" wrapText="1"/>
      <protection locked="0"/>
    </xf>
    <xf numFmtId="0" fontId="428" fillId="140" borderId="239" xfId="27923" applyFont="1" applyFill="1" applyBorder="1" applyAlignment="1" applyProtection="1">
      <alignment horizontal="centerContinuous" vertical="center" wrapText="1"/>
      <protection locked="0"/>
    </xf>
    <xf numFmtId="0" fontId="428" fillId="140" borderId="240" xfId="27923" applyFont="1" applyFill="1" applyBorder="1" applyAlignment="1" applyProtection="1">
      <alignment horizontal="centerContinuous" vertical="center" wrapText="1"/>
      <protection locked="0"/>
    </xf>
    <xf numFmtId="0" fontId="428" fillId="140" borderId="241" xfId="27923" applyFont="1" applyFill="1" applyBorder="1" applyAlignment="1" applyProtection="1">
      <alignment horizontal="centerContinuous" vertical="center"/>
      <protection locked="0"/>
    </xf>
    <xf numFmtId="0" fontId="432" fillId="141" borderId="241" xfId="27923" applyFont="1" applyFill="1" applyBorder="1" applyAlignment="1" applyProtection="1">
      <alignment horizontal="center" vertical="center" wrapText="1"/>
      <protection locked="0"/>
    </xf>
    <xf numFmtId="0" fontId="432" fillId="141" borderId="242" xfId="27923" applyFont="1" applyFill="1" applyBorder="1" applyAlignment="1" applyProtection="1">
      <alignment horizontal="centerContinuous" vertical="center" wrapText="1"/>
      <protection locked="0"/>
    </xf>
    <xf numFmtId="0" fontId="432" fillId="141" borderId="243" xfId="27923" applyFont="1" applyFill="1" applyBorder="1" applyAlignment="1" applyProtection="1">
      <alignment horizontal="centerContinuous" vertical="center" wrapText="1"/>
      <protection locked="0"/>
    </xf>
    <xf numFmtId="0" fontId="432" fillId="141" borderId="244" xfId="27923" applyFont="1" applyFill="1" applyBorder="1" applyAlignment="1" applyProtection="1">
      <alignment horizontal="centerContinuous" vertical="center" wrapText="1"/>
      <protection locked="0"/>
    </xf>
    <xf numFmtId="0" fontId="432" fillId="141" borderId="241" xfId="27923" applyFont="1" applyFill="1" applyBorder="1" applyAlignment="1" applyProtection="1">
      <alignment horizontal="centerContinuous" vertical="center" wrapText="1"/>
      <protection locked="0"/>
    </xf>
    <xf numFmtId="0" fontId="432" fillId="142" borderId="241" xfId="27923" applyFont="1" applyFill="1" applyBorder="1" applyAlignment="1" applyProtection="1">
      <alignment horizontal="centerContinuous" vertical="center" wrapText="1"/>
      <protection locked="0"/>
    </xf>
    <xf numFmtId="0" fontId="432" fillId="142" borderId="241" xfId="27923" applyFont="1" applyFill="1" applyBorder="1" applyAlignment="1" applyProtection="1">
      <alignment horizontal="center" vertical="center" wrapText="1"/>
      <protection locked="0"/>
    </xf>
    <xf numFmtId="0" fontId="433" fillId="143" borderId="241" xfId="27923" applyFont="1" applyFill="1" applyBorder="1" applyAlignment="1" applyProtection="1">
      <alignment horizontal="center" vertical="center" wrapText="1"/>
      <protection locked="0"/>
    </xf>
    <xf numFmtId="0" fontId="432" fillId="143" borderId="241" xfId="27923" applyFont="1" applyFill="1" applyBorder="1" applyAlignment="1" applyProtection="1">
      <alignment horizontal="centerContinuous" vertical="center" wrapText="1"/>
      <protection locked="0"/>
    </xf>
    <xf numFmtId="0" fontId="432" fillId="144" borderId="241" xfId="27923" applyFont="1" applyFill="1" applyBorder="1" applyAlignment="1" applyProtection="1">
      <alignment horizontal="center" vertical="center" wrapText="1"/>
      <protection locked="0"/>
    </xf>
    <xf numFmtId="0" fontId="432" fillId="145" borderId="241" xfId="27923" applyFont="1" applyFill="1" applyBorder="1" applyAlignment="1" applyProtection="1">
      <alignment horizontal="center" vertical="center" wrapText="1"/>
      <protection locked="0"/>
    </xf>
    <xf numFmtId="0" fontId="434" fillId="134" borderId="246" xfId="27923" applyFont="1" applyFill="1" applyBorder="1" applyAlignment="1" applyProtection="1">
      <alignment horizontal="center" vertical="center" wrapText="1"/>
      <protection locked="0"/>
    </xf>
    <xf numFmtId="0" fontId="434" fillId="134" borderId="241" xfId="27923" applyFont="1" applyFill="1" applyBorder="1" applyAlignment="1" applyProtection="1">
      <alignment horizontal="center" vertical="center" wrapText="1"/>
      <protection locked="0"/>
    </xf>
    <xf numFmtId="0" fontId="434" fillId="134" borderId="241" xfId="27923" applyFont="1" applyFill="1" applyBorder="1" applyAlignment="1" applyProtection="1">
      <alignment horizontal="center" vertical="center"/>
      <protection locked="0"/>
    </xf>
    <xf numFmtId="0" fontId="435" fillId="146" borderId="247" xfId="27923" applyFont="1" applyFill="1" applyBorder="1" applyAlignment="1">
      <alignment horizontal="center" vertical="center" wrapText="1"/>
    </xf>
    <xf numFmtId="0" fontId="435" fillId="146" borderId="248" xfId="27923" applyFont="1" applyFill="1" applyBorder="1" applyAlignment="1">
      <alignment horizontal="center" vertical="center" wrapText="1"/>
    </xf>
    <xf numFmtId="0" fontId="435" fillId="146" borderId="248" xfId="27923" applyFont="1" applyFill="1" applyBorder="1" applyAlignment="1">
      <alignment horizontal="center" vertical="center"/>
    </xf>
    <xf numFmtId="0" fontId="435" fillId="146" borderId="249" xfId="27923" applyFont="1" applyFill="1" applyBorder="1" applyAlignment="1">
      <alignment horizontal="center" vertical="center"/>
    </xf>
    <xf numFmtId="0" fontId="435" fillId="0" borderId="250" xfId="27923" applyFont="1" applyBorder="1" applyAlignment="1" applyProtection="1">
      <alignment horizontal="center" vertical="center"/>
      <protection locked="0"/>
    </xf>
    <xf numFmtId="0" fontId="435" fillId="0" borderId="251" xfId="27923" applyFont="1" applyBorder="1" applyAlignment="1" applyProtection="1">
      <alignment horizontal="center" vertical="center"/>
      <protection locked="0"/>
    </xf>
    <xf numFmtId="0" fontId="435" fillId="0" borderId="252" xfId="27923" applyFont="1" applyBorder="1" applyAlignment="1" applyProtection="1">
      <alignment horizontal="center" vertical="center"/>
      <protection locked="0"/>
    </xf>
    <xf numFmtId="0" fontId="0" fillId="0" borderId="0" xfId="0" applyAlignment="1">
      <alignment horizontal="center" vertical="center"/>
    </xf>
    <xf numFmtId="0" fontId="437" fillId="0" borderId="214" xfId="22678" quotePrefix="1" applyNumberFormat="1" applyFont="1" applyBorder="1" applyAlignment="1" applyProtection="1">
      <alignment horizontal="center" vertical="center"/>
      <protection locked="0"/>
    </xf>
    <xf numFmtId="0" fontId="437" fillId="0" borderId="117" xfId="22678" quotePrefix="1" applyNumberFormat="1" applyFont="1" applyBorder="1" applyAlignment="1" applyProtection="1">
      <alignment horizontal="center" vertical="center"/>
      <protection locked="0"/>
    </xf>
    <xf numFmtId="171" fontId="91" fillId="153" borderId="228" xfId="22679" applyNumberFormat="1" applyFont="1" applyFill="1" applyBorder="1" applyAlignment="1" applyProtection="1">
      <alignment horizontal="centerContinuous" vertical="top" wrapText="1"/>
      <protection locked="0"/>
    </xf>
    <xf numFmtId="0" fontId="388" fillId="153" borderId="111" xfId="27885" applyFont="1" applyFill="1" applyBorder="1"/>
    <xf numFmtId="0" fontId="388" fillId="153" borderId="112" xfId="27885" applyFont="1" applyFill="1" applyBorder="1"/>
    <xf numFmtId="0" fontId="340" fillId="153" borderId="0" xfId="27885" applyFont="1" applyFill="1"/>
    <xf numFmtId="171" fontId="340" fillId="153" borderId="0" xfId="27886" applyFont="1" applyFill="1" applyBorder="1" applyAlignment="1">
      <alignment horizontal="center"/>
    </xf>
    <xf numFmtId="171" fontId="340" fillId="153" borderId="0" xfId="27886" applyFont="1" applyFill="1" applyBorder="1" applyAlignment="1"/>
    <xf numFmtId="171" fontId="65" fillId="153" borderId="52" xfId="27886" applyFont="1" applyFill="1" applyBorder="1"/>
    <xf numFmtId="0" fontId="389" fillId="153" borderId="0" xfId="27885" applyFont="1" applyFill="1"/>
    <xf numFmtId="0" fontId="389" fillId="153" borderId="52" xfId="27885" applyFont="1" applyFill="1" applyBorder="1"/>
    <xf numFmtId="0" fontId="343" fillId="154" borderId="113" xfId="27885" applyFont="1" applyFill="1" applyBorder="1"/>
    <xf numFmtId="0" fontId="343" fillId="153" borderId="219" xfId="27885" applyFont="1" applyFill="1" applyBorder="1"/>
    <xf numFmtId="0" fontId="343" fillId="153" borderId="220" xfId="27885" applyFont="1" applyFill="1" applyBorder="1"/>
    <xf numFmtId="0" fontId="343" fillId="153" borderId="220" xfId="27885" applyFont="1" applyFill="1" applyBorder="1" applyAlignment="1">
      <alignment horizontal="center" vertical="center"/>
    </xf>
    <xf numFmtId="3" fontId="343" fillId="153" borderId="220" xfId="27886" applyNumberFormat="1" applyFont="1" applyFill="1" applyBorder="1" applyAlignment="1">
      <alignment horizontal="center" vertical="center"/>
    </xf>
    <xf numFmtId="3" fontId="343" fillId="153" borderId="225" xfId="27886" applyNumberFormat="1" applyFont="1" applyFill="1" applyBorder="1" applyAlignment="1">
      <alignment horizontal="center" vertical="center"/>
    </xf>
    <xf numFmtId="0" fontId="343" fillId="153" borderId="157" xfId="27885" applyFont="1" applyFill="1" applyBorder="1"/>
    <xf numFmtId="0" fontId="343" fillId="153" borderId="134" xfId="27885" applyFont="1" applyFill="1" applyBorder="1"/>
    <xf numFmtId="0" fontId="343" fillId="153" borderId="134" xfId="27885" applyFont="1" applyFill="1" applyBorder="1" applyAlignment="1">
      <alignment horizontal="center" vertical="center"/>
    </xf>
    <xf numFmtId="17" fontId="343" fillId="153" borderId="134" xfId="22771" applyNumberFormat="1" applyFont="1" applyFill="1" applyBorder="1" applyAlignment="1">
      <alignment horizontal="center"/>
    </xf>
    <xf numFmtId="0" fontId="343" fillId="154" borderId="127" xfId="27885" applyFont="1" applyFill="1" applyBorder="1"/>
    <xf numFmtId="38" fontId="343" fillId="154" borderId="133" xfId="27885" applyNumberFormat="1" applyFont="1" applyFill="1" applyBorder="1"/>
    <xf numFmtId="38" fontId="343" fillId="154" borderId="133" xfId="27885" applyNumberFormat="1" applyFont="1" applyFill="1" applyBorder="1" applyAlignment="1">
      <alignment horizontal="center" vertical="center"/>
    </xf>
    <xf numFmtId="171" fontId="343" fillId="154" borderId="133" xfId="27886" applyFont="1" applyFill="1" applyBorder="1" applyAlignment="1">
      <alignment horizontal="center" vertical="center" wrapText="1"/>
    </xf>
    <xf numFmtId="0" fontId="343" fillId="155" borderId="218" xfId="27885" applyFont="1" applyFill="1" applyBorder="1"/>
    <xf numFmtId="38" fontId="343" fillId="155" borderId="45" xfId="27885" applyNumberFormat="1" applyFont="1" applyFill="1" applyBorder="1" applyAlignment="1">
      <alignment horizontal="left"/>
    </xf>
    <xf numFmtId="171" fontId="343" fillId="155" borderId="45" xfId="27886" applyFont="1" applyFill="1" applyBorder="1" applyAlignment="1">
      <alignment horizontal="center"/>
    </xf>
    <xf numFmtId="0" fontId="343" fillId="155" borderId="157" xfId="27885" applyFont="1" applyFill="1" applyBorder="1"/>
    <xf numFmtId="38" fontId="343" fillId="155" borderId="134" xfId="27885" applyNumberFormat="1" applyFont="1" applyFill="1" applyBorder="1" applyAlignment="1">
      <alignment horizontal="left"/>
    </xf>
    <xf numFmtId="171" fontId="343" fillId="155" borderId="134" xfId="27886" applyFont="1" applyFill="1" applyBorder="1" applyAlignment="1">
      <alignment horizontal="center"/>
    </xf>
    <xf numFmtId="0" fontId="65" fillId="155" borderId="114" xfId="27885" applyFont="1" applyFill="1" applyBorder="1"/>
    <xf numFmtId="38" fontId="65" fillId="155" borderId="0" xfId="27885" applyNumberFormat="1" applyFont="1" applyFill="1" applyAlignment="1">
      <alignment horizontal="left"/>
    </xf>
    <xf numFmtId="38" fontId="65" fillId="155" borderId="0" xfId="27885" applyNumberFormat="1" applyFont="1" applyFill="1" applyAlignment="1">
      <alignment horizontal="center" vertical="center"/>
    </xf>
    <xf numFmtId="171" fontId="65" fillId="155" borderId="0" xfId="27886" applyFont="1" applyFill="1" applyBorder="1" applyAlignment="1">
      <alignment horizontal="center"/>
    </xf>
    <xf numFmtId="171" fontId="65" fillId="155" borderId="226" xfId="27886" applyFont="1" applyFill="1" applyBorder="1" applyAlignment="1">
      <alignment horizontal="center"/>
    </xf>
    <xf numFmtId="38" fontId="343" fillId="33" borderId="127" xfId="27885" applyNumberFormat="1" applyFont="1" applyFill="1" applyBorder="1"/>
    <xf numFmtId="38" fontId="343" fillId="127" borderId="133" xfId="27885" applyNumberFormat="1" applyFont="1" applyFill="1" applyBorder="1" applyAlignment="1">
      <alignment horizontal="center"/>
    </xf>
    <xf numFmtId="38" fontId="169" fillId="0" borderId="126" xfId="0" applyNumberFormat="1" applyFont="1" applyBorder="1" applyAlignment="1">
      <alignment horizontal="center" vertical="center"/>
    </xf>
    <xf numFmtId="362" fontId="169" fillId="0" borderId="126" xfId="19286" applyNumberFormat="1" applyFont="1" applyBorder="1" applyAlignment="1">
      <alignment horizontal="center" vertical="center"/>
    </xf>
    <xf numFmtId="171" fontId="441" fillId="142" borderId="259" xfId="22679" applyNumberFormat="1" applyFont="1" applyFill="1" applyBorder="1" applyAlignment="1" applyProtection="1">
      <alignment horizontal="center" vertical="center" wrapText="1"/>
      <protection locked="0"/>
    </xf>
    <xf numFmtId="171" fontId="441" fillId="142" borderId="260" xfId="22679" applyNumberFormat="1" applyFont="1" applyFill="1" applyBorder="1" applyAlignment="1" applyProtection="1">
      <alignment horizontal="center" vertical="center" wrapText="1"/>
      <protection locked="0"/>
    </xf>
    <xf numFmtId="171" fontId="441" fillId="142" borderId="264" xfId="22679" applyNumberFormat="1" applyFont="1" applyFill="1" applyBorder="1" applyAlignment="1" applyProtection="1">
      <alignment horizontal="center" vertical="center" wrapText="1"/>
      <protection locked="0"/>
    </xf>
    <xf numFmtId="171" fontId="441" fillId="142" borderId="265" xfId="22679" applyNumberFormat="1" applyFont="1" applyFill="1" applyBorder="1" applyAlignment="1" applyProtection="1">
      <alignment horizontal="center" vertical="center" wrapText="1"/>
      <protection locked="0"/>
    </xf>
    <xf numFmtId="40" fontId="441" fillId="142" borderId="265" xfId="22679" applyNumberFormat="1" applyFont="1" applyFill="1" applyBorder="1" applyAlignment="1" applyProtection="1">
      <alignment horizontal="center" vertical="center" wrapText="1"/>
      <protection locked="0"/>
    </xf>
    <xf numFmtId="40" fontId="441" fillId="142" borderId="266" xfId="22679" applyNumberFormat="1" applyFont="1" applyFill="1" applyBorder="1" applyAlignment="1" applyProtection="1">
      <alignment horizontal="center" vertical="center" wrapText="1"/>
      <protection locked="0"/>
    </xf>
    <xf numFmtId="171" fontId="441" fillId="143" borderId="260" xfId="22679" applyNumberFormat="1" applyFont="1" applyFill="1" applyBorder="1" applyAlignment="1" applyProtection="1">
      <alignment horizontal="center" vertical="center" wrapText="1"/>
      <protection locked="0"/>
    </xf>
    <xf numFmtId="171" fontId="441" fillId="143" borderId="259" xfId="22679" applyNumberFormat="1" applyFont="1" applyFill="1" applyBorder="1" applyAlignment="1" applyProtection="1">
      <alignment horizontal="center" vertical="center" wrapText="1"/>
      <protection locked="0"/>
    </xf>
    <xf numFmtId="14" fontId="60" fillId="0" borderId="0" xfId="22674" applyNumberFormat="1" applyFont="1"/>
    <xf numFmtId="38" fontId="64" fillId="138" borderId="115" xfId="22751" applyNumberFormat="1" applyFont="1" applyFill="1" applyBorder="1" applyAlignment="1">
      <alignment horizontal="center" vertical="top" wrapText="1"/>
    </xf>
    <xf numFmtId="38" fontId="350" fillId="158" borderId="132" xfId="22751" applyNumberFormat="1" applyFont="1" applyFill="1" applyBorder="1" applyAlignment="1">
      <alignment horizontal="center" vertical="center"/>
    </xf>
    <xf numFmtId="38" fontId="350" fillId="158" borderId="132" xfId="22751" applyNumberFormat="1" applyFont="1" applyFill="1" applyBorder="1" applyAlignment="1">
      <alignment horizontal="justify" vertical="center" wrapText="1"/>
    </xf>
    <xf numFmtId="38" fontId="63" fillId="158" borderId="132" xfId="22752" applyNumberFormat="1" applyFont="1" applyFill="1" applyBorder="1" applyAlignment="1" applyProtection="1">
      <alignment horizontal="right" vertical="center"/>
    </xf>
    <xf numFmtId="38" fontId="350" fillId="158" borderId="132" xfId="22751" applyNumberFormat="1" applyFont="1" applyFill="1" applyBorder="1" applyAlignment="1">
      <alignment horizontal="left" vertical="center" wrapText="1"/>
    </xf>
    <xf numFmtId="38" fontId="350" fillId="158" borderId="132" xfId="22752" applyNumberFormat="1" applyFont="1" applyFill="1" applyBorder="1" applyAlignment="1" applyProtection="1">
      <alignment horizontal="right" vertical="center"/>
    </xf>
    <xf numFmtId="38" fontId="350" fillId="157" borderId="126" xfId="22751" applyNumberFormat="1" applyFont="1" applyFill="1" applyBorder="1" applyAlignment="1">
      <alignment horizontal="center" vertical="center"/>
    </xf>
    <xf numFmtId="38" fontId="350" fillId="157" borderId="126" xfId="22751" applyNumberFormat="1" applyFont="1" applyFill="1" applyBorder="1" applyAlignment="1">
      <alignment horizontal="left" vertical="center" wrapText="1"/>
    </xf>
    <xf numFmtId="38" fontId="350" fillId="157" borderId="126" xfId="22752" applyNumberFormat="1" applyFont="1" applyFill="1" applyBorder="1" applyAlignment="1" applyProtection="1">
      <alignment horizontal="right" vertical="center"/>
    </xf>
    <xf numFmtId="38" fontId="63" fillId="157" borderId="132" xfId="22752" applyNumberFormat="1" applyFont="1" applyFill="1" applyBorder="1" applyAlignment="1" applyProtection="1">
      <alignment horizontal="right" vertical="center"/>
    </xf>
    <xf numFmtId="38" fontId="63" fillId="157" borderId="126" xfId="22752" applyNumberFormat="1" applyFont="1" applyFill="1" applyBorder="1" applyAlignment="1" applyProtection="1">
      <alignment horizontal="right" vertical="center"/>
    </xf>
    <xf numFmtId="38" fontId="64" fillId="0" borderId="0" xfId="22751" applyNumberFormat="1" applyFont="1" applyAlignment="1">
      <alignment vertical="center"/>
    </xf>
    <xf numFmtId="38" fontId="45" fillId="167" borderId="0" xfId="22751" applyNumberFormat="1" applyFill="1" applyAlignment="1">
      <alignment vertical="center"/>
    </xf>
    <xf numFmtId="38" fontId="447" fillId="0" borderId="0" xfId="22752" applyNumberFormat="1" applyFont="1" applyAlignment="1" applyProtection="1">
      <alignment vertical="center"/>
    </xf>
    <xf numFmtId="38" fontId="220" fillId="143" borderId="228" xfId="22752" applyNumberFormat="1" applyFont="1" applyFill="1" applyBorder="1" applyAlignment="1" applyProtection="1">
      <alignment horizontal="center" vertical="center" wrapText="1"/>
    </xf>
    <xf numFmtId="38" fontId="64" fillId="142" borderId="106" xfId="22752" applyNumberFormat="1" applyFont="1" applyFill="1" applyBorder="1" applyAlignment="1" applyProtection="1">
      <alignment horizontal="center" vertical="center"/>
    </xf>
    <xf numFmtId="38" fontId="357" fillId="0" borderId="0" xfId="22752" applyNumberFormat="1" applyFont="1" applyBorder="1" applyAlignment="1" applyProtection="1">
      <alignment vertical="center"/>
    </xf>
    <xf numFmtId="38" fontId="220" fillId="142" borderId="228" xfId="22751" applyNumberFormat="1" applyFont="1" applyFill="1" applyBorder="1" applyAlignment="1">
      <alignment horizontal="center" vertical="top"/>
    </xf>
    <xf numFmtId="38" fontId="220" fillId="142" borderId="126" xfId="22751" applyNumberFormat="1" applyFont="1" applyFill="1" applyBorder="1" applyAlignment="1">
      <alignment horizontal="center" vertical="top"/>
    </xf>
    <xf numFmtId="0" fontId="448" fillId="142" borderId="51" xfId="19278" applyFont="1" applyFill="1" applyBorder="1" applyAlignment="1">
      <alignment horizontal="center" vertical="top" wrapText="1"/>
    </xf>
    <xf numFmtId="171" fontId="448" fillId="142" borderId="51" xfId="135" applyFont="1" applyFill="1" applyBorder="1" applyAlignment="1">
      <alignment horizontal="center" vertical="top" wrapText="1"/>
    </xf>
    <xf numFmtId="171" fontId="448" fillId="142" borderId="118" xfId="135" applyFont="1" applyFill="1" applyBorder="1" applyAlignment="1">
      <alignment horizontal="center" vertical="top" wrapText="1"/>
    </xf>
    <xf numFmtId="38" fontId="169" fillId="0" borderId="185" xfId="0" applyNumberFormat="1" applyFont="1" applyBorder="1" applyAlignment="1">
      <alignment vertical="top"/>
    </xf>
    <xf numFmtId="38" fontId="169" fillId="0" borderId="125" xfId="0" applyNumberFormat="1" applyFont="1" applyBorder="1" applyAlignment="1">
      <alignment vertical="top"/>
    </xf>
    <xf numFmtId="38" fontId="169" fillId="0" borderId="224" xfId="0" applyNumberFormat="1" applyFont="1" applyBorder="1" applyAlignment="1">
      <alignment vertical="top"/>
    </xf>
    <xf numFmtId="0" fontId="172" fillId="0" borderId="224" xfId="0" applyFont="1" applyBorder="1" applyAlignment="1">
      <alignment vertical="center" wrapText="1"/>
    </xf>
    <xf numFmtId="0" fontId="449" fillId="142" borderId="15" xfId="0" applyFont="1" applyFill="1" applyBorder="1" applyAlignment="1">
      <alignment horizontal="center" vertical="center"/>
    </xf>
    <xf numFmtId="0" fontId="448" fillId="142" borderId="50" xfId="19278" applyFont="1" applyFill="1" applyBorder="1" applyAlignment="1">
      <alignment horizontal="center" vertical="center" wrapText="1"/>
    </xf>
    <xf numFmtId="0" fontId="172" fillId="0" borderId="105" xfId="0" applyFont="1" applyBorder="1" applyAlignment="1">
      <alignment vertical="top"/>
    </xf>
    <xf numFmtId="0" fontId="172" fillId="0" borderId="216" xfId="0" applyFont="1" applyBorder="1" applyAlignment="1">
      <alignment horizontal="center" vertical="center"/>
    </xf>
    <xf numFmtId="0" fontId="448" fillId="144" borderId="15" xfId="0" applyFont="1" applyFill="1" applyBorder="1" applyAlignment="1">
      <alignment vertical="center"/>
    </xf>
    <xf numFmtId="179" fontId="379" fillId="0" borderId="170" xfId="22694" applyNumberFormat="1" applyFont="1" applyFill="1" applyBorder="1" applyAlignment="1" applyProtection="1">
      <alignment horizontal="center" vertical="center"/>
      <protection locked="0"/>
    </xf>
    <xf numFmtId="359" fontId="420" fillId="142" borderId="183" xfId="22678" applyFont="1" applyFill="1" applyBorder="1" applyAlignment="1" applyProtection="1">
      <alignment horizontal="centerContinuous" vertical="center"/>
      <protection locked="0"/>
    </xf>
    <xf numFmtId="359" fontId="420" fillId="142" borderId="224" xfId="22678" applyFont="1" applyFill="1" applyBorder="1" applyAlignment="1" applyProtection="1">
      <alignment horizontal="left" vertical="center"/>
      <protection locked="0"/>
    </xf>
    <xf numFmtId="179" fontId="420" fillId="144" borderId="113" xfId="22694" applyNumberFormat="1" applyFont="1" applyFill="1" applyBorder="1" applyAlignment="1" applyProtection="1">
      <alignment horizontal="left" vertical="top" wrapText="1"/>
      <protection locked="0"/>
    </xf>
    <xf numFmtId="179" fontId="420" fillId="144" borderId="113" xfId="22694" applyNumberFormat="1" applyFont="1" applyFill="1" applyBorder="1" applyAlignment="1" applyProtection="1">
      <alignment horizontal="center" vertical="top" wrapText="1"/>
      <protection locked="0"/>
    </xf>
    <xf numFmtId="179" fontId="91" fillId="166" borderId="224" xfId="22694" applyNumberFormat="1" applyFont="1" applyFill="1" applyBorder="1" applyAlignment="1" applyProtection="1">
      <alignment horizontal="left" vertical="center" wrapText="1"/>
      <protection locked="0"/>
    </xf>
    <xf numFmtId="179" fontId="91" fillId="166" borderId="224" xfId="22694" applyNumberFormat="1" applyFont="1" applyFill="1" applyBorder="1" applyAlignment="1" applyProtection="1">
      <alignment horizontal="center" vertical="center" wrapText="1"/>
      <protection locked="0"/>
    </xf>
    <xf numFmtId="359" fontId="437" fillId="0" borderId="117" xfId="22678" applyFont="1" applyBorder="1" applyAlignment="1" applyProtection="1">
      <alignment horizontal="center" vertical="center" wrapText="1"/>
      <protection locked="0"/>
    </xf>
    <xf numFmtId="369" fontId="437" fillId="0" borderId="117" xfId="22678" applyNumberFormat="1" applyFont="1" applyBorder="1" applyAlignment="1" applyProtection="1">
      <alignment horizontal="center" vertical="center" wrapText="1"/>
      <protection locked="0"/>
    </xf>
    <xf numFmtId="0" fontId="341" fillId="0" borderId="0" xfId="27930" applyFont="1"/>
    <xf numFmtId="0" fontId="60" fillId="0" borderId="0" xfId="27931" applyFont="1"/>
    <xf numFmtId="0" fontId="60" fillId="0" borderId="0" xfId="27931" applyFont="1" applyAlignment="1">
      <alignment wrapText="1"/>
    </xf>
    <xf numFmtId="0" fontId="60" fillId="0" borderId="0" xfId="27931" applyFont="1" applyAlignment="1">
      <alignment horizontal="center"/>
    </xf>
    <xf numFmtId="0" fontId="341" fillId="0" borderId="0" xfId="27930" applyFont="1" applyAlignment="1">
      <alignment horizontal="left" vertical="center"/>
    </xf>
    <xf numFmtId="0" fontId="341" fillId="0" borderId="59" xfId="27930" applyFont="1" applyBorder="1"/>
    <xf numFmtId="0" fontId="60" fillId="0" borderId="52" xfId="27931" applyFont="1" applyBorder="1"/>
    <xf numFmtId="0" fontId="60" fillId="0" borderId="131" xfId="27931" applyFont="1" applyBorder="1"/>
    <xf numFmtId="0" fontId="60" fillId="0" borderId="52" xfId="27931" applyFont="1" applyBorder="1" applyAlignment="1">
      <alignment wrapText="1"/>
    </xf>
    <xf numFmtId="0" fontId="60" fillId="0" borderId="59" xfId="27931" applyFont="1" applyBorder="1" applyAlignment="1">
      <alignment horizontal="center"/>
    </xf>
    <xf numFmtId="359" fontId="353" fillId="0" borderId="0" xfId="22678" applyFont="1" applyAlignment="1" applyProtection="1">
      <alignment vertical="center"/>
      <protection locked="0"/>
    </xf>
    <xf numFmtId="359" fontId="353" fillId="0" borderId="230" xfId="22678" applyFont="1" applyBorder="1" applyAlignment="1" applyProtection="1">
      <alignment vertical="center"/>
      <protection locked="0"/>
    </xf>
    <xf numFmtId="359" fontId="353" fillId="0" borderId="231" xfId="22678" applyFont="1" applyBorder="1" applyAlignment="1" applyProtection="1">
      <alignment vertical="center"/>
      <protection locked="0"/>
    </xf>
    <xf numFmtId="359" fontId="353" fillId="0" borderId="233" xfId="22678" applyFont="1" applyBorder="1" applyAlignment="1" applyProtection="1">
      <alignment vertical="center"/>
      <protection locked="0"/>
    </xf>
    <xf numFmtId="359" fontId="353" fillId="0" borderId="0" xfId="22678" applyFont="1" applyAlignment="1" applyProtection="1">
      <alignment vertical="center" wrapText="1"/>
      <protection locked="0"/>
    </xf>
    <xf numFmtId="359" fontId="353" fillId="0" borderId="52" xfId="22678" applyFont="1" applyBorder="1" applyAlignment="1" applyProtection="1">
      <alignment vertical="center"/>
      <protection locked="0"/>
    </xf>
    <xf numFmtId="359" fontId="353" fillId="0" borderId="52" xfId="22678" applyFont="1" applyBorder="1" applyAlignment="1" applyProtection="1">
      <alignment vertical="center" wrapText="1"/>
      <protection locked="0"/>
    </xf>
    <xf numFmtId="359" fontId="353" fillId="0" borderId="230" xfId="22678" applyFont="1" applyBorder="1" applyAlignment="1" applyProtection="1">
      <alignment horizontal="center" vertical="center"/>
      <protection locked="0"/>
    </xf>
    <xf numFmtId="359" fontId="353" fillId="0" borderId="0" xfId="22678" applyFont="1" applyAlignment="1" applyProtection="1">
      <alignment horizontal="center" vertical="center"/>
      <protection locked="0"/>
    </xf>
    <xf numFmtId="171" fontId="385" fillId="174" borderId="137" xfId="22679" applyNumberFormat="1" applyFont="1" applyFill="1" applyBorder="1" applyAlignment="1" applyProtection="1">
      <alignment horizontal="centerContinuous" vertical="center" wrapText="1"/>
      <protection locked="0"/>
    </xf>
    <xf numFmtId="179" fontId="385" fillId="174" borderId="111" xfId="27932" applyNumberFormat="1" applyFont="1" applyFill="1" applyBorder="1" applyAlignment="1" applyProtection="1">
      <alignment horizontal="centerContinuous" vertical="center" wrapText="1"/>
      <protection locked="0"/>
    </xf>
    <xf numFmtId="179" fontId="385" fillId="175" borderId="181" xfId="27932" applyNumberFormat="1" applyFont="1" applyFill="1" applyBorder="1" applyAlignment="1" applyProtection="1">
      <alignment horizontal="centerContinuous" vertical="center" wrapText="1"/>
      <protection locked="0"/>
    </xf>
    <xf numFmtId="179" fontId="385" fillId="176" borderId="181" xfId="27932" applyNumberFormat="1" applyFont="1" applyFill="1" applyBorder="1" applyAlignment="1" applyProtection="1">
      <alignment horizontal="centerContinuous" vertical="center" wrapText="1"/>
      <protection locked="0"/>
    </xf>
    <xf numFmtId="179" fontId="385" fillId="176" borderId="185" xfId="27932" applyNumberFormat="1" applyFont="1" applyFill="1" applyBorder="1" applyAlignment="1" applyProtection="1">
      <alignment horizontal="centerContinuous" vertical="center" wrapText="1"/>
      <protection locked="0"/>
    </xf>
    <xf numFmtId="179" fontId="60" fillId="141" borderId="142" xfId="27932" applyNumberFormat="1" applyFont="1" applyFill="1" applyBorder="1" applyAlignment="1" applyProtection="1">
      <alignment horizontal="center" vertical="center" wrapText="1"/>
      <protection locked="0"/>
    </xf>
    <xf numFmtId="179" fontId="60" fillId="141" borderId="143" xfId="27932" applyNumberFormat="1" applyFont="1" applyFill="1" applyBorder="1" applyAlignment="1" applyProtection="1">
      <alignment horizontal="center" vertical="center" wrapText="1"/>
      <protection locked="0"/>
    </xf>
    <xf numFmtId="179" fontId="424" fillId="0" borderId="117" xfId="27933" applyNumberFormat="1" applyFont="1" applyFill="1" applyBorder="1" applyAlignment="1" applyProtection="1">
      <alignment horizontal="left" vertical="center" wrapText="1"/>
      <protection locked="0"/>
    </xf>
    <xf numFmtId="0" fontId="424" fillId="0" borderId="218" xfId="7727" applyNumberFormat="1" applyFont="1" applyFill="1" applyBorder="1" applyAlignment="1" applyProtection="1">
      <alignment horizontal="center" vertical="center" wrapText="1"/>
      <protection locked="0"/>
    </xf>
    <xf numFmtId="0" fontId="424" fillId="0" borderId="211" xfId="7727" applyNumberFormat="1" applyFont="1" applyFill="1" applyBorder="1" applyAlignment="1" applyProtection="1">
      <alignment horizontal="center" vertical="center" wrapText="1"/>
      <protection locked="0"/>
    </xf>
    <xf numFmtId="0" fontId="424" fillId="0" borderId="212" xfId="7727" applyNumberFormat="1" applyFont="1" applyFill="1" applyBorder="1" applyAlignment="1" applyProtection="1">
      <alignment horizontal="center" vertical="center" wrapText="1"/>
      <protection locked="0"/>
    </xf>
    <xf numFmtId="0" fontId="424" fillId="0" borderId="213" xfId="7727" applyNumberFormat="1" applyFont="1" applyFill="1" applyBorder="1" applyAlignment="1" applyProtection="1">
      <alignment horizontal="center" vertical="center" wrapText="1"/>
      <protection locked="0"/>
    </xf>
    <xf numFmtId="179" fontId="424" fillId="0" borderId="145" xfId="27933" applyNumberFormat="1" applyFont="1" applyFill="1" applyBorder="1" applyAlignment="1" applyProtection="1">
      <alignment horizontal="center" vertical="center" wrapText="1"/>
      <protection locked="0"/>
    </xf>
    <xf numFmtId="179" fontId="424" fillId="0" borderId="148" xfId="27933" applyNumberFormat="1" applyFont="1" applyFill="1" applyBorder="1" applyAlignment="1" applyProtection="1">
      <alignment horizontal="left" vertical="center" wrapText="1"/>
      <protection locked="0"/>
    </xf>
    <xf numFmtId="364" fontId="60" fillId="0" borderId="280" xfId="22674" applyNumberFormat="1" applyFont="1" applyBorder="1" applyAlignment="1">
      <alignment horizontal="center" vertical="center"/>
    </xf>
    <xf numFmtId="0" fontId="60" fillId="0" borderId="0" xfId="22674" applyFont="1" applyAlignment="1">
      <alignment vertical="top" wrapText="1"/>
    </xf>
    <xf numFmtId="179" fontId="353" fillId="0" borderId="198" xfId="27932" applyNumberFormat="1" applyFont="1" applyFill="1" applyBorder="1" applyAlignment="1" applyProtection="1">
      <alignment horizontal="center" vertical="center"/>
      <protection locked="0"/>
    </xf>
    <xf numFmtId="179" fontId="385" fillId="0" borderId="15" xfId="27932" applyNumberFormat="1" applyFont="1" applyFill="1" applyBorder="1" applyAlignment="1" applyProtection="1">
      <alignment horizontal="right" vertical="center"/>
      <protection locked="0"/>
    </xf>
    <xf numFmtId="179" fontId="385" fillId="0" borderId="0" xfId="27932" applyNumberFormat="1" applyFont="1" applyFill="1" applyBorder="1" applyAlignment="1" applyProtection="1">
      <alignment horizontal="right" vertical="center"/>
      <protection locked="0"/>
    </xf>
    <xf numFmtId="0" fontId="353" fillId="0" borderId="0" xfId="27931" applyFont="1" applyAlignment="1">
      <alignment vertical="center"/>
    </xf>
    <xf numFmtId="0" fontId="426" fillId="0" borderId="0" xfId="22674" applyFont="1" applyAlignment="1">
      <alignment horizontal="right"/>
    </xf>
    <xf numFmtId="0" fontId="426" fillId="0" borderId="0" xfId="22674" applyFont="1" applyAlignment="1">
      <alignment horizontal="right" wrapText="1"/>
    </xf>
    <xf numFmtId="179" fontId="353" fillId="0" borderId="0" xfId="27933" applyNumberFormat="1" applyFont="1" applyFill="1" applyBorder="1" applyAlignment="1" applyProtection="1">
      <alignment horizontal="center" vertical="center"/>
      <protection locked="0"/>
    </xf>
    <xf numFmtId="359" fontId="353" fillId="0" borderId="0" xfId="22678" applyFont="1" applyAlignment="1" applyProtection="1">
      <alignment horizontal="right"/>
      <protection locked="0"/>
    </xf>
    <xf numFmtId="359" fontId="353" fillId="0" borderId="0" xfId="22678" applyFont="1" applyAlignment="1" applyProtection="1">
      <alignment horizontal="right" wrapText="1"/>
      <protection locked="0"/>
    </xf>
    <xf numFmtId="0" fontId="353" fillId="0" borderId="0" xfId="27931" quotePrefix="1" applyFont="1" applyAlignment="1">
      <alignment vertical="center"/>
    </xf>
    <xf numFmtId="0" fontId="424" fillId="164" borderId="214" xfId="7727" applyNumberFormat="1" applyFont="1" applyFill="1" applyBorder="1" applyAlignment="1" applyProtection="1">
      <alignment horizontal="center" vertical="center" wrapText="1"/>
      <protection locked="0"/>
    </xf>
    <xf numFmtId="179" fontId="385" fillId="164" borderId="15" xfId="27932" applyNumberFormat="1" applyFont="1" applyFill="1" applyBorder="1" applyAlignment="1" applyProtection="1">
      <alignment horizontal="right" vertical="center"/>
      <protection locked="0"/>
    </xf>
    <xf numFmtId="0" fontId="341" fillId="0" borderId="0" xfId="27930" applyFont="1" applyAlignment="1">
      <alignment horizontal="center"/>
    </xf>
    <xf numFmtId="0" fontId="415" fillId="0" borderId="0" xfId="27931" applyFont="1" applyAlignment="1">
      <alignment horizontal="center" wrapText="1"/>
    </xf>
    <xf numFmtId="0" fontId="415" fillId="0" borderId="0" xfId="27931" applyFont="1" applyAlignment="1">
      <alignment wrapText="1"/>
    </xf>
    <xf numFmtId="38" fontId="358" fillId="0" borderId="0" xfId="22752" applyNumberFormat="1" applyFont="1" applyBorder="1" applyAlignment="1" applyProtection="1">
      <alignment vertical="center" shrinkToFit="1"/>
    </xf>
    <xf numFmtId="171" fontId="448" fillId="142" borderId="109" xfId="135" applyFont="1" applyFill="1" applyBorder="1" applyAlignment="1">
      <alignment horizontal="center" vertical="top" wrapText="1"/>
    </xf>
    <xf numFmtId="229" fontId="169" fillId="0" borderId="182" xfId="19286" applyNumberFormat="1" applyFont="1" applyFill="1" applyBorder="1" applyAlignment="1" applyProtection="1">
      <alignment vertical="top"/>
    </xf>
    <xf numFmtId="229" fontId="169" fillId="0" borderId="141" xfId="19286" applyNumberFormat="1" applyFont="1" applyFill="1" applyBorder="1" applyAlignment="1" applyProtection="1">
      <alignment vertical="top"/>
    </xf>
    <xf numFmtId="229" fontId="169" fillId="0" borderId="141" xfId="19286" applyNumberFormat="1" applyFont="1" applyFill="1" applyBorder="1" applyAlignment="1" applyProtection="1">
      <alignment vertical="top" wrapText="1"/>
    </xf>
    <xf numFmtId="229" fontId="172" fillId="0" borderId="188" xfId="19286" applyNumberFormat="1" applyFont="1" applyBorder="1" applyAlignment="1">
      <alignment vertical="center" wrapText="1"/>
    </xf>
    <xf numFmtId="362" fontId="172" fillId="0" borderId="217" xfId="19286" applyNumberFormat="1" applyFont="1" applyBorder="1" applyAlignment="1">
      <alignment horizontal="center" vertical="center" wrapText="1"/>
    </xf>
    <xf numFmtId="38" fontId="450" fillId="0" borderId="0" xfId="22751" applyNumberFormat="1" applyFont="1" applyAlignment="1">
      <alignment vertical="center"/>
    </xf>
    <xf numFmtId="0" fontId="451" fillId="0" borderId="0" xfId="0" applyFont="1"/>
    <xf numFmtId="0" fontId="451" fillId="0" borderId="0" xfId="0" applyFont="1" applyAlignment="1">
      <alignment vertical="center"/>
    </xf>
    <xf numFmtId="0" fontId="457" fillId="0" borderId="0" xfId="0" applyFont="1"/>
    <xf numFmtId="0" fontId="467" fillId="0" borderId="0" xfId="13899" applyFont="1" applyAlignment="1">
      <alignment vertical="center"/>
    </xf>
    <xf numFmtId="0" fontId="467" fillId="0" borderId="0" xfId="13899" applyFont="1" applyAlignment="1">
      <alignment horizontal="center" vertical="center"/>
    </xf>
    <xf numFmtId="38" fontId="450" fillId="0" borderId="0" xfId="22751" applyNumberFormat="1" applyFont="1"/>
    <xf numFmtId="38" fontId="458" fillId="0" borderId="0" xfId="22751" applyNumberFormat="1" applyFont="1" applyAlignment="1">
      <alignment vertical="center"/>
    </xf>
    <xf numFmtId="38" fontId="450" fillId="0" borderId="0" xfId="22751" applyNumberFormat="1" applyFont="1" applyAlignment="1">
      <alignment horizontal="center" vertical="center"/>
    </xf>
    <xf numFmtId="38" fontId="468" fillId="0" borderId="0" xfId="22751" applyNumberFormat="1" applyFont="1" applyAlignment="1">
      <alignment vertical="center"/>
    </xf>
    <xf numFmtId="38" fontId="469" fillId="0" borderId="0" xfId="22751" applyNumberFormat="1" applyFont="1" applyAlignment="1">
      <alignment vertical="center"/>
    </xf>
    <xf numFmtId="38" fontId="470" fillId="0" borderId="0" xfId="22751" applyNumberFormat="1" applyFont="1" applyAlignment="1">
      <alignment horizontal="center" vertical="center"/>
    </xf>
    <xf numFmtId="38" fontId="471" fillId="0" borderId="0" xfId="22752" applyNumberFormat="1" applyFont="1" applyAlignment="1" applyProtection="1">
      <alignment vertical="center"/>
    </xf>
    <xf numFmtId="38" fontId="472" fillId="0" borderId="0" xfId="22752" applyNumberFormat="1" applyFont="1" applyAlignment="1" applyProtection="1">
      <alignment vertical="center"/>
    </xf>
    <xf numFmtId="210" fontId="450" fillId="0" borderId="0" xfId="2" quotePrefix="1" applyNumberFormat="1" applyFont="1" applyAlignment="1">
      <alignment horizontal="left" vertical="center"/>
    </xf>
    <xf numFmtId="38" fontId="450" fillId="0" borderId="0" xfId="2" quotePrefix="1" applyNumberFormat="1" applyFont="1" applyAlignment="1">
      <alignment horizontal="center" vertical="center"/>
    </xf>
    <xf numFmtId="38" fontId="469" fillId="0" borderId="0" xfId="2" quotePrefix="1" applyNumberFormat="1" applyFont="1" applyAlignment="1">
      <alignment horizontal="center" vertical="center"/>
    </xf>
    <xf numFmtId="210" fontId="450" fillId="0" borderId="0" xfId="2" quotePrefix="1" applyNumberFormat="1" applyFont="1" applyAlignment="1">
      <alignment horizontal="right" vertical="center"/>
    </xf>
    <xf numFmtId="38" fontId="471" fillId="0" borderId="0" xfId="22752" applyNumberFormat="1" applyFont="1" applyFill="1" applyAlignment="1" applyProtection="1">
      <alignment vertical="center"/>
    </xf>
    <xf numFmtId="38" fontId="472" fillId="0" borderId="0" xfId="22752" applyNumberFormat="1" applyFont="1" applyFill="1" applyAlignment="1" applyProtection="1">
      <alignment vertical="center"/>
    </xf>
    <xf numFmtId="38" fontId="473" fillId="0" borderId="0" xfId="2" quotePrefix="1" applyNumberFormat="1" applyFont="1" applyAlignment="1">
      <alignment horizontal="left" vertical="center"/>
    </xf>
    <xf numFmtId="38" fontId="474" fillId="0" borderId="0" xfId="2" quotePrefix="1" applyNumberFormat="1" applyFont="1" applyAlignment="1">
      <alignment horizontal="center" vertical="center"/>
    </xf>
    <xf numFmtId="38" fontId="475" fillId="0" borderId="0" xfId="22752" applyNumberFormat="1" applyFont="1" applyFill="1" applyAlignment="1" applyProtection="1">
      <alignment horizontal="center" vertical="center"/>
    </xf>
    <xf numFmtId="38" fontId="476" fillId="0" borderId="0" xfId="22752" applyNumberFormat="1" applyFont="1" applyFill="1" applyAlignment="1" applyProtection="1">
      <alignment horizontal="center" vertical="center"/>
    </xf>
    <xf numFmtId="38" fontId="474" fillId="0" borderId="0" xfId="22751" applyNumberFormat="1" applyFont="1" applyAlignment="1">
      <alignment vertical="center"/>
    </xf>
    <xf numFmtId="0" fontId="450" fillId="0" borderId="0" xfId="0" applyFont="1" applyAlignment="1">
      <alignment vertical="center"/>
    </xf>
    <xf numFmtId="38" fontId="477" fillId="0" borderId="0" xfId="22751" applyNumberFormat="1" applyFont="1" applyAlignment="1">
      <alignment vertical="center"/>
    </xf>
    <xf numFmtId="38" fontId="458" fillId="0" borderId="0" xfId="22751" applyNumberFormat="1" applyFont="1" applyAlignment="1">
      <alignment vertical="center" wrapText="1"/>
    </xf>
    <xf numFmtId="38" fontId="452" fillId="142" borderId="126" xfId="22751" applyNumberFormat="1" applyFont="1" applyFill="1" applyBorder="1" applyAlignment="1">
      <alignment horizontal="center" vertical="center"/>
    </xf>
    <xf numFmtId="38" fontId="476" fillId="0" borderId="0" xfId="22752" applyNumberFormat="1" applyFont="1" applyFill="1" applyAlignment="1" applyProtection="1">
      <alignment horizontal="left" vertical="center"/>
    </xf>
    <xf numFmtId="38" fontId="458" fillId="0" borderId="0" xfId="22751" applyNumberFormat="1" applyFont="1" applyAlignment="1">
      <alignment horizontal="center" vertical="center"/>
    </xf>
    <xf numFmtId="38" fontId="452" fillId="0" borderId="0" xfId="2" applyNumberFormat="1" applyFont="1" applyAlignment="1">
      <alignment horizontal="left" vertical="center"/>
    </xf>
    <xf numFmtId="38" fontId="475" fillId="0" borderId="0" xfId="22752" applyNumberFormat="1" applyFont="1" applyAlignment="1" applyProtection="1">
      <alignment vertical="center"/>
    </xf>
    <xf numFmtId="38" fontId="476" fillId="0" borderId="0" xfId="22752" applyNumberFormat="1" applyFont="1" applyAlignment="1" applyProtection="1">
      <alignment vertical="center"/>
    </xf>
    <xf numFmtId="38" fontId="479" fillId="0" borderId="0" xfId="22752" applyNumberFormat="1" applyFont="1" applyAlignment="1" applyProtection="1">
      <alignment vertical="center"/>
    </xf>
    <xf numFmtId="38" fontId="480" fillId="0" borderId="0" xfId="22752" applyNumberFormat="1" applyFont="1" applyAlignment="1" applyProtection="1">
      <alignment vertical="center"/>
    </xf>
    <xf numFmtId="9" fontId="465" fillId="0" borderId="0" xfId="22690" applyFont="1" applyAlignment="1" applyProtection="1">
      <alignment horizontal="right" vertical="center"/>
    </xf>
    <xf numFmtId="38" fontId="460" fillId="0" borderId="0" xfId="22752" applyNumberFormat="1" applyFont="1" applyAlignment="1" applyProtection="1">
      <alignment horizontal="right" vertical="center"/>
    </xf>
    <xf numFmtId="38" fontId="458" fillId="0" borderId="0" xfId="22751" applyNumberFormat="1" applyFont="1" applyAlignment="1">
      <alignment horizontal="right" vertical="center"/>
    </xf>
    <xf numFmtId="38" fontId="452" fillId="0" borderId="0" xfId="22751" applyNumberFormat="1" applyFont="1" applyAlignment="1">
      <alignment vertical="center"/>
    </xf>
    <xf numFmtId="38" fontId="465" fillId="0" borderId="0" xfId="22752" applyNumberFormat="1" applyFont="1" applyFill="1" applyAlignment="1" applyProtection="1">
      <alignment horizontal="right" vertical="center"/>
    </xf>
    <xf numFmtId="38" fontId="460" fillId="0" borderId="0" xfId="22752" applyNumberFormat="1" applyFont="1" applyFill="1" applyAlignment="1" applyProtection="1">
      <alignment horizontal="right" vertical="center"/>
    </xf>
    <xf numFmtId="38" fontId="451" fillId="0" borderId="102" xfId="22752" applyNumberFormat="1" applyFont="1" applyBorder="1" applyAlignment="1" applyProtection="1">
      <alignment vertical="center"/>
    </xf>
    <xf numFmtId="38" fontId="482" fillId="0" borderId="102" xfId="22752" applyNumberFormat="1" applyFont="1" applyBorder="1" applyAlignment="1" applyProtection="1">
      <alignment vertical="center"/>
    </xf>
    <xf numFmtId="38" fontId="451" fillId="0" borderId="113" xfId="22752" applyNumberFormat="1" applyFont="1" applyBorder="1" applyAlignment="1" applyProtection="1">
      <alignment vertical="center"/>
    </xf>
    <xf numFmtId="38" fontId="465" fillId="0" borderId="0" xfId="22752" applyNumberFormat="1" applyFont="1" applyAlignment="1" applyProtection="1">
      <alignment vertical="center"/>
    </xf>
    <xf numFmtId="38" fontId="460" fillId="0" borderId="0" xfId="22752" applyNumberFormat="1" applyFont="1" applyAlignment="1" applyProtection="1">
      <alignment vertical="center"/>
    </xf>
    <xf numFmtId="38" fontId="462" fillId="0" borderId="223" xfId="22751" applyNumberFormat="1" applyFont="1" applyBorder="1" applyAlignment="1">
      <alignment vertical="center" wrapText="1"/>
    </xf>
    <xf numFmtId="38" fontId="462" fillId="0" borderId="183" xfId="22751" applyNumberFormat="1" applyFont="1" applyBorder="1" applyAlignment="1">
      <alignment vertical="center" wrapText="1"/>
    </xf>
    <xf numFmtId="38" fontId="458" fillId="0" borderId="183" xfId="22751" applyNumberFormat="1" applyFont="1" applyBorder="1" applyAlignment="1">
      <alignment vertical="center"/>
    </xf>
    <xf numFmtId="38" fontId="462" fillId="0" borderId="224" xfId="22751" applyNumberFormat="1" applyFont="1" applyBorder="1" applyAlignment="1">
      <alignment vertical="center" wrapText="1"/>
    </xf>
    <xf numFmtId="38" fontId="465" fillId="0" borderId="0" xfId="22752" applyNumberFormat="1" applyFont="1" applyFill="1" applyAlignment="1" applyProtection="1">
      <alignment vertical="center"/>
    </xf>
    <xf numFmtId="38" fontId="460" fillId="0" borderId="0" xfId="22752" applyNumberFormat="1" applyFont="1" applyFill="1" applyAlignment="1" applyProtection="1">
      <alignment vertical="center"/>
    </xf>
    <xf numFmtId="38" fontId="450" fillId="0" borderId="102" xfId="22751" applyNumberFormat="1" applyFont="1" applyBorder="1" applyAlignment="1">
      <alignment vertical="center"/>
    </xf>
    <xf numFmtId="38" fontId="450" fillId="0" borderId="102" xfId="22751" applyNumberFormat="1" applyFont="1" applyBorder="1"/>
    <xf numFmtId="0" fontId="469" fillId="0" borderId="0" xfId="22751" applyFont="1" applyAlignment="1">
      <alignment horizontal="left" vertical="center" indent="3"/>
    </xf>
    <xf numFmtId="0" fontId="469" fillId="0" borderId="124" xfId="22751" applyFont="1" applyBorder="1" applyAlignment="1">
      <alignment horizontal="left" vertical="center" indent="3"/>
    </xf>
    <xf numFmtId="38" fontId="469" fillId="0" borderId="124" xfId="22751" applyNumberFormat="1" applyFont="1" applyBorder="1" applyAlignment="1">
      <alignment vertical="center"/>
    </xf>
    <xf numFmtId="38" fontId="469" fillId="0" borderId="102" xfId="22751" applyNumberFormat="1" applyFont="1" applyBorder="1" applyAlignment="1">
      <alignment vertical="center"/>
    </xf>
    <xf numFmtId="38" fontId="458" fillId="0" borderId="102" xfId="22751" applyNumberFormat="1" applyFont="1" applyBorder="1" applyAlignment="1">
      <alignment vertical="center"/>
    </xf>
    <xf numFmtId="358" fontId="451" fillId="0" borderId="0" xfId="22752" applyNumberFormat="1" applyFont="1" applyBorder="1" applyAlignment="1" applyProtection="1">
      <alignment vertical="center"/>
    </xf>
    <xf numFmtId="0" fontId="452" fillId="0" borderId="0" xfId="22751" applyFont="1" applyAlignment="1">
      <alignment vertical="center" wrapText="1"/>
    </xf>
    <xf numFmtId="179" fontId="465" fillId="0" borderId="0" xfId="22752" applyNumberFormat="1" applyFont="1" applyAlignment="1" applyProtection="1">
      <alignment vertical="center"/>
    </xf>
    <xf numFmtId="179" fontId="460" fillId="0" borderId="0" xfId="22752" applyNumberFormat="1" applyFont="1" applyAlignment="1" applyProtection="1">
      <alignment vertical="center"/>
    </xf>
    <xf numFmtId="0" fontId="458" fillId="0" borderId="0" xfId="22751" applyFont="1" applyAlignment="1">
      <alignment vertical="center"/>
    </xf>
    <xf numFmtId="358" fontId="451" fillId="0" borderId="0" xfId="19286" applyNumberFormat="1" applyFont="1" applyBorder="1" applyAlignment="1" applyProtection="1">
      <alignment vertical="center"/>
    </xf>
    <xf numFmtId="358" fontId="451" fillId="0" borderId="0" xfId="19286" applyNumberFormat="1" applyFont="1" applyFill="1" applyBorder="1" applyAlignment="1" applyProtection="1">
      <alignment vertical="center"/>
    </xf>
    <xf numFmtId="179" fontId="465" fillId="0" borderId="0" xfId="19286" applyNumberFormat="1" applyFont="1" applyAlignment="1" applyProtection="1">
      <alignment vertical="center"/>
    </xf>
    <xf numFmtId="9" fontId="460" fillId="0" borderId="0" xfId="22690" applyFont="1" applyAlignment="1" applyProtection="1">
      <alignment vertical="center"/>
    </xf>
    <xf numFmtId="0" fontId="452" fillId="0" borderId="0" xfId="22751" applyFont="1" applyAlignment="1">
      <alignment horizontal="center" vertical="center" wrapText="1"/>
    </xf>
    <xf numFmtId="38" fontId="469" fillId="0" borderId="123" xfId="22751" applyNumberFormat="1" applyFont="1" applyBorder="1" applyAlignment="1">
      <alignment vertical="center"/>
    </xf>
    <xf numFmtId="38" fontId="469" fillId="0" borderId="125" xfId="22751" applyNumberFormat="1" applyFont="1" applyBorder="1" applyAlignment="1">
      <alignment vertical="center"/>
    </xf>
    <xf numFmtId="38" fontId="469" fillId="0" borderId="114" xfId="22751" applyNumberFormat="1" applyFont="1" applyBorder="1" applyAlignment="1">
      <alignment vertical="center"/>
    </xf>
    <xf numFmtId="38" fontId="458" fillId="0" borderId="0" xfId="22751" applyNumberFormat="1" applyFont="1" applyAlignment="1">
      <alignment horizontal="right" vertical="center" wrapText="1"/>
    </xf>
    <xf numFmtId="38" fontId="451" fillId="0" borderId="0" xfId="22752" applyNumberFormat="1" applyFont="1" applyAlignment="1" applyProtection="1">
      <alignment vertical="center"/>
    </xf>
    <xf numFmtId="38" fontId="460" fillId="0" borderId="183" xfId="22752" applyNumberFormat="1" applyFont="1" applyBorder="1" applyAlignment="1" applyProtection="1">
      <alignment vertical="center"/>
    </xf>
    <xf numFmtId="38" fontId="458" fillId="0" borderId="114" xfId="22751" applyNumberFormat="1" applyFont="1" applyBorder="1" applyAlignment="1">
      <alignment horizontal="center" vertical="center"/>
    </xf>
    <xf numFmtId="38" fontId="451" fillId="0" borderId="0" xfId="22752" applyNumberFormat="1" applyFont="1" applyBorder="1" applyAlignment="1" applyProtection="1">
      <alignment vertical="center"/>
    </xf>
    <xf numFmtId="38" fontId="482" fillId="0" borderId="0" xfId="22751" applyNumberFormat="1" applyFont="1" applyAlignment="1">
      <alignment vertical="center"/>
    </xf>
    <xf numFmtId="38" fontId="460" fillId="0" borderId="0" xfId="22751" applyNumberFormat="1" applyFont="1" applyAlignment="1">
      <alignment vertical="center"/>
    </xf>
    <xf numFmtId="179" fontId="353" fillId="0" borderId="333" xfId="27932" applyNumberFormat="1" applyFont="1" applyFill="1" applyBorder="1" applyAlignment="1" applyProtection="1">
      <alignment horizontal="center" vertical="center"/>
      <protection locked="0"/>
    </xf>
    <xf numFmtId="179" fontId="353" fillId="0" borderId="334" xfId="27932" applyNumberFormat="1" applyFont="1" applyFill="1" applyBorder="1" applyAlignment="1" applyProtection="1">
      <alignment horizontal="center" vertical="center"/>
      <protection locked="0"/>
    </xf>
    <xf numFmtId="179" fontId="353" fillId="0" borderId="332" xfId="27932" applyNumberFormat="1" applyFont="1" applyFill="1" applyBorder="1" applyAlignment="1" applyProtection="1">
      <alignment horizontal="center" vertical="center"/>
      <protection locked="0"/>
    </xf>
    <xf numFmtId="49" fontId="353" fillId="0" borderId="332" xfId="22678" quotePrefix="1" applyNumberFormat="1" applyFont="1" applyBorder="1" applyAlignment="1" applyProtection="1">
      <alignment horizontal="center" vertical="center"/>
      <protection locked="0"/>
    </xf>
    <xf numFmtId="179" fontId="353" fillId="0" borderId="337" xfId="27933" applyNumberFormat="1" applyFont="1" applyFill="1" applyBorder="1" applyAlignment="1" applyProtection="1">
      <alignment horizontal="center" vertical="center"/>
      <protection locked="0"/>
    </xf>
    <xf numFmtId="179" fontId="353" fillId="0" borderId="338" xfId="27933" applyNumberFormat="1" applyFont="1" applyFill="1" applyBorder="1" applyAlignment="1" applyProtection="1">
      <alignment horizontal="center" vertical="center"/>
      <protection locked="0"/>
    </xf>
    <xf numFmtId="361" fontId="353" fillId="0" borderId="336" xfId="22678" quotePrefix="1" applyNumberFormat="1" applyFont="1" applyBorder="1" applyAlignment="1" applyProtection="1">
      <alignment horizontal="center" vertical="center"/>
      <protection locked="0"/>
    </xf>
    <xf numFmtId="49" fontId="353" fillId="0" borderId="336" xfId="22678" quotePrefix="1" applyNumberFormat="1" applyFont="1" applyBorder="1" applyAlignment="1" applyProtection="1">
      <alignment horizontal="center" vertical="center"/>
      <protection locked="0"/>
    </xf>
    <xf numFmtId="179" fontId="385" fillId="0" borderId="111" xfId="27932" applyNumberFormat="1" applyFont="1" applyFill="1" applyBorder="1" applyAlignment="1" applyProtection="1">
      <alignment horizontal="right" vertical="center"/>
      <protection locked="0"/>
    </xf>
    <xf numFmtId="171" fontId="385" fillId="175" borderId="186" xfId="22679" applyNumberFormat="1" applyFont="1" applyFill="1" applyBorder="1" applyAlignment="1" applyProtection="1">
      <alignment horizontal="centerContinuous" vertical="center" wrapText="1"/>
      <protection locked="0"/>
    </xf>
    <xf numFmtId="0" fontId="353" fillId="0" borderId="336" xfId="22678" quotePrefix="1" applyNumberFormat="1" applyFont="1" applyBorder="1" applyAlignment="1" applyProtection="1">
      <alignment horizontal="center" vertical="center"/>
      <protection locked="0"/>
    </xf>
    <xf numFmtId="179" fontId="385" fillId="174" borderId="112" xfId="27932" applyNumberFormat="1" applyFont="1" applyFill="1" applyBorder="1" applyAlignment="1" applyProtection="1">
      <alignment horizontal="centerContinuous" vertical="center" wrapText="1"/>
      <protection locked="0"/>
    </xf>
    <xf numFmtId="171" fontId="385" fillId="176" borderId="186" xfId="22679" applyNumberFormat="1" applyFont="1" applyFill="1" applyBorder="1" applyAlignment="1" applyProtection="1">
      <alignment horizontal="centerContinuous" vertical="center" wrapText="1"/>
      <protection locked="0"/>
    </xf>
    <xf numFmtId="179" fontId="385" fillId="175" borderId="182" xfId="27932" applyNumberFormat="1" applyFont="1" applyFill="1" applyBorder="1" applyAlignment="1" applyProtection="1">
      <alignment horizontal="centerContinuous" vertical="center" wrapText="1"/>
      <protection locked="0"/>
    </xf>
    <xf numFmtId="359" fontId="353" fillId="0" borderId="338" xfId="22678" applyFont="1" applyBorder="1" applyAlignment="1" applyProtection="1">
      <alignment horizontal="left" vertical="top" wrapText="1"/>
      <protection locked="0"/>
    </xf>
    <xf numFmtId="40" fontId="451" fillId="0" borderId="0" xfId="0" applyNumberFormat="1" applyFont="1" applyAlignment="1">
      <alignment horizontal="right" vertical="center" wrapText="1"/>
    </xf>
    <xf numFmtId="0" fontId="418" fillId="0" borderId="0" xfId="19278" applyFont="1"/>
    <xf numFmtId="0" fontId="453" fillId="0" borderId="0" xfId="22751" applyFont="1" applyAlignment="1">
      <alignment horizontal="right" vertical="center"/>
    </xf>
    <xf numFmtId="179" fontId="483" fillId="0" borderId="0" xfId="19277" applyNumberFormat="1" applyFont="1" applyFill="1" applyBorder="1" applyAlignment="1"/>
    <xf numFmtId="0" fontId="458" fillId="0" borderId="0" xfId="0" applyFont="1"/>
    <xf numFmtId="0" fontId="452" fillId="0" borderId="0" xfId="0" applyFont="1" applyAlignment="1">
      <alignment horizontal="right" vertical="top"/>
    </xf>
    <xf numFmtId="0" fontId="458" fillId="0" borderId="0" xfId="0" applyFont="1" applyAlignment="1">
      <alignment vertical="center"/>
    </xf>
    <xf numFmtId="0" fontId="460" fillId="0" borderId="0" xfId="19277" applyNumberFormat="1" applyFont="1" applyFill="1" applyBorder="1" applyAlignment="1">
      <alignment horizontal="center"/>
    </xf>
    <xf numFmtId="0" fontId="464" fillId="0" borderId="0" xfId="2" applyFont="1" applyAlignment="1">
      <alignment horizontal="left"/>
    </xf>
    <xf numFmtId="0" fontId="458" fillId="0" borderId="0" xfId="0" applyFont="1" applyAlignment="1">
      <alignment vertical="center" wrapText="1"/>
    </xf>
    <xf numFmtId="40" fontId="458" fillId="0" borderId="0" xfId="0" applyNumberFormat="1" applyFont="1" applyAlignment="1">
      <alignment horizontal="right" vertical="center" wrapText="1"/>
    </xf>
    <xf numFmtId="0" fontId="484" fillId="0" borderId="223" xfId="350" applyFont="1" applyBorder="1" applyAlignment="1">
      <alignment horizontal="left" vertical="top" wrapText="1"/>
    </xf>
    <xf numFmtId="0" fontId="418" fillId="0" borderId="224" xfId="137" applyNumberFormat="1" applyFont="1" applyFill="1" applyBorder="1" applyAlignment="1">
      <alignment vertical="top" wrapText="1"/>
    </xf>
    <xf numFmtId="0" fontId="455" fillId="158" borderId="223" xfId="350" applyFont="1" applyFill="1" applyBorder="1" applyAlignment="1">
      <alignment horizontal="left" vertical="top" wrapText="1"/>
    </xf>
    <xf numFmtId="0" fontId="451" fillId="158" borderId="224" xfId="137" applyNumberFormat="1" applyFont="1" applyFill="1" applyBorder="1" applyAlignment="1">
      <alignment vertical="top" wrapText="1"/>
    </xf>
    <xf numFmtId="0" fontId="418" fillId="0" borderId="223" xfId="350" applyFont="1" applyBorder="1" applyAlignment="1">
      <alignment horizontal="left" vertical="top" wrapText="1"/>
    </xf>
    <xf numFmtId="0" fontId="485" fillId="144" borderId="223" xfId="350" applyFont="1" applyFill="1" applyBorder="1" applyAlignment="1">
      <alignment horizontal="left" vertical="top" wrapText="1"/>
    </xf>
    <xf numFmtId="362" fontId="454" fillId="144" borderId="224" xfId="137" applyNumberFormat="1" applyFont="1" applyFill="1" applyBorder="1" applyAlignment="1">
      <alignment vertical="top" wrapText="1"/>
    </xf>
    <xf numFmtId="0" fontId="418" fillId="0" borderId="0" xfId="19278" applyFont="1" applyAlignment="1">
      <alignment vertical="center"/>
    </xf>
    <xf numFmtId="0" fontId="418" fillId="0" borderId="223" xfId="350" applyFont="1" applyBorder="1" applyAlignment="1">
      <alignment horizontal="left" vertical="center" wrapText="1"/>
    </xf>
    <xf numFmtId="362" fontId="418" fillId="0" borderId="224" xfId="137" applyNumberFormat="1" applyFont="1" applyFill="1" applyBorder="1" applyAlignment="1">
      <alignment vertical="top" wrapText="1"/>
    </xf>
    <xf numFmtId="38" fontId="418" fillId="0" borderId="0" xfId="22687" applyNumberFormat="1" applyFont="1" applyFill="1" applyBorder="1" applyAlignment="1" applyProtection="1">
      <alignment horizontal="right" vertical="center"/>
      <protection locked="0"/>
    </xf>
    <xf numFmtId="0" fontId="451" fillId="0" borderId="0" xfId="0" applyFont="1" applyAlignment="1">
      <alignment vertical="center" wrapText="1"/>
    </xf>
    <xf numFmtId="362" fontId="451" fillId="0" borderId="0" xfId="0" applyNumberFormat="1" applyFont="1" applyAlignment="1">
      <alignment horizontal="right" vertical="center" wrapText="1"/>
    </xf>
    <xf numFmtId="362" fontId="451" fillId="0" borderId="43" xfId="0" applyNumberFormat="1" applyFont="1" applyBorder="1" applyAlignment="1">
      <alignment horizontal="right" vertical="center" wrapText="1"/>
    </xf>
    <xf numFmtId="0" fontId="453" fillId="0" borderId="0" xfId="0" applyFont="1" applyAlignment="1">
      <alignment horizontal="right" vertical="center" wrapText="1"/>
    </xf>
    <xf numFmtId="362" fontId="453" fillId="0" borderId="0" xfId="0" applyNumberFormat="1" applyFont="1" applyAlignment="1">
      <alignment horizontal="right" vertical="center" wrapText="1"/>
    </xf>
    <xf numFmtId="362" fontId="418" fillId="0" borderId="224" xfId="350" applyNumberFormat="1" applyFont="1" applyBorder="1" applyAlignment="1">
      <alignment horizontal="left" vertical="top" wrapText="1"/>
    </xf>
    <xf numFmtId="362" fontId="418" fillId="0" borderId="224" xfId="19286" applyNumberFormat="1" applyFont="1" applyFill="1" applyBorder="1" applyAlignment="1">
      <alignment horizontal="left" vertical="center" wrapText="1"/>
    </xf>
    <xf numFmtId="0" fontId="453" fillId="0" borderId="0" xfId="0" applyFont="1"/>
    <xf numFmtId="0" fontId="477" fillId="0" borderId="0" xfId="0" applyFont="1" applyAlignment="1">
      <alignment vertical="center"/>
    </xf>
    <xf numFmtId="16" fontId="451" fillId="0" borderId="0" xfId="0" quotePrefix="1" applyNumberFormat="1" applyFont="1" applyAlignment="1">
      <alignment vertical="center"/>
    </xf>
    <xf numFmtId="0" fontId="477" fillId="0" borderId="346" xfId="0" applyFont="1" applyBorder="1" applyAlignment="1">
      <alignment vertical="center"/>
    </xf>
    <xf numFmtId="0" fontId="451" fillId="0" borderId="346" xfId="0" applyFont="1" applyBorder="1" applyAlignment="1">
      <alignment vertical="center"/>
    </xf>
    <xf numFmtId="16" fontId="451" fillId="0" borderId="346" xfId="0" quotePrefix="1" applyNumberFormat="1" applyFont="1" applyBorder="1" applyAlignment="1">
      <alignment vertical="center"/>
    </xf>
    <xf numFmtId="0" fontId="456" fillId="0" borderId="346" xfId="0" quotePrefix="1" applyFont="1" applyBorder="1" applyAlignment="1">
      <alignment vertical="center"/>
    </xf>
    <xf numFmtId="0" fontId="451" fillId="0" borderId="346" xfId="0" quotePrefix="1" applyFont="1" applyBorder="1" applyAlignment="1">
      <alignment vertical="center"/>
    </xf>
    <xf numFmtId="38" fontId="458" fillId="0" borderId="124" xfId="22751" applyNumberFormat="1" applyFont="1" applyBorder="1" applyAlignment="1">
      <alignment vertical="center"/>
    </xf>
    <xf numFmtId="0" fontId="487" fillId="0" borderId="0" xfId="27936" applyFont="1" applyAlignment="1">
      <alignment vertical="center"/>
    </xf>
    <xf numFmtId="0" fontId="458" fillId="0" borderId="0" xfId="27936" applyFont="1" applyAlignment="1">
      <alignment vertical="center"/>
    </xf>
    <xf numFmtId="0" fontId="458" fillId="0" borderId="0" xfId="27936" applyFont="1" applyAlignment="1">
      <alignment horizontal="center" vertical="center"/>
    </xf>
    <xf numFmtId="0" fontId="483" fillId="0" borderId="0" xfId="27936" applyFont="1" applyAlignment="1">
      <alignment vertical="center"/>
    </xf>
    <xf numFmtId="0" fontId="453" fillId="0" borderId="0" xfId="0" applyFont="1" applyAlignment="1">
      <alignment vertical="center"/>
    </xf>
    <xf numFmtId="0" fontId="458" fillId="178" borderId="0" xfId="27936" applyFont="1" applyFill="1" applyAlignment="1">
      <alignment horizontal="center" vertical="center" wrapText="1"/>
    </xf>
    <xf numFmtId="0" fontId="458" fillId="178" borderId="0" xfId="27936" applyFont="1" applyFill="1" applyAlignment="1">
      <alignment vertical="center" wrapText="1"/>
    </xf>
    <xf numFmtId="0" fontId="451" fillId="178" borderId="330" xfId="27936" applyFont="1" applyFill="1" applyBorder="1" applyAlignment="1">
      <alignment horizontal="center" vertical="center" wrapText="1"/>
    </xf>
    <xf numFmtId="0" fontId="451" fillId="178" borderId="330" xfId="27936" applyFont="1" applyFill="1" applyBorder="1" applyAlignment="1">
      <alignment vertical="center" wrapText="1"/>
    </xf>
    <xf numFmtId="171" fontId="451" fillId="178" borderId="330" xfId="27936" applyNumberFormat="1" applyFont="1" applyFill="1" applyBorder="1" applyAlignment="1">
      <alignment horizontal="center" vertical="center" wrapText="1"/>
    </xf>
    <xf numFmtId="171" fontId="451" fillId="178" borderId="330" xfId="27937" applyFont="1" applyFill="1" applyBorder="1" applyAlignment="1">
      <alignment horizontal="center" vertical="center" wrapText="1"/>
    </xf>
    <xf numFmtId="171" fontId="453" fillId="178" borderId="330" xfId="27937" applyFont="1" applyFill="1" applyBorder="1" applyAlignment="1">
      <alignment vertical="center" wrapText="1"/>
    </xf>
    <xf numFmtId="0" fontId="488" fillId="0" borderId="0" xfId="27936" applyFont="1" applyAlignment="1">
      <alignment vertical="center"/>
    </xf>
    <xf numFmtId="0" fontId="451" fillId="0" borderId="0" xfId="27936" applyFont="1" applyAlignment="1">
      <alignment vertical="center"/>
    </xf>
    <xf numFmtId="0" fontId="489" fillId="179" borderId="241" xfId="27936" applyFont="1" applyFill="1" applyBorder="1" applyAlignment="1">
      <alignment horizontal="center" vertical="center" wrapText="1"/>
    </xf>
    <xf numFmtId="369" fontId="490" fillId="143" borderId="241" xfId="27936" applyNumberFormat="1" applyFont="1" applyFill="1" applyBorder="1" applyAlignment="1">
      <alignment horizontal="center" vertical="center" wrapText="1"/>
    </xf>
    <xf numFmtId="369" fontId="490" fillId="142" borderId="241" xfId="27936" applyNumberFormat="1" applyFont="1" applyFill="1" applyBorder="1" applyAlignment="1">
      <alignment horizontal="center" vertical="center" wrapText="1"/>
    </xf>
    <xf numFmtId="0" fontId="483" fillId="0" borderId="0" xfId="27936" applyFont="1" applyAlignment="1">
      <alignment horizontal="center" vertical="center"/>
    </xf>
    <xf numFmtId="0" fontId="491" fillId="34" borderId="244" xfId="27938" applyFont="1" applyFill="1" applyBorder="1" applyAlignment="1">
      <alignment horizontal="center" vertical="center" wrapText="1"/>
    </xf>
    <xf numFmtId="171" fontId="483" fillId="0" borderId="0" xfId="27936" applyNumberFormat="1" applyFont="1" applyAlignment="1">
      <alignment vertical="center"/>
    </xf>
    <xf numFmtId="0" fontId="491" fillId="34" borderId="241" xfId="27938" applyFont="1" applyFill="1" applyBorder="1" applyAlignment="1">
      <alignment horizontal="center" vertical="center" wrapText="1"/>
    </xf>
    <xf numFmtId="0" fontId="491" fillId="34" borderId="241" xfId="27938" applyFont="1" applyFill="1" applyBorder="1" applyAlignment="1">
      <alignment vertical="center" wrapText="1"/>
    </xf>
    <xf numFmtId="369" fontId="490" fillId="158" borderId="241" xfId="27936" applyNumberFormat="1" applyFont="1" applyFill="1" applyBorder="1" applyAlignment="1">
      <alignment horizontal="center" vertical="center" wrapText="1"/>
    </xf>
    <xf numFmtId="369" fontId="489" fillId="181" borderId="241" xfId="27936" applyNumberFormat="1" applyFont="1" applyFill="1" applyBorder="1" applyAlignment="1">
      <alignment horizontal="center" vertical="center" wrapText="1"/>
    </xf>
    <xf numFmtId="0" fontId="491" fillId="34" borderId="241" xfId="27938" applyFont="1" applyFill="1" applyBorder="1" applyAlignment="1">
      <alignment horizontal="left" vertical="center" wrapText="1" indent="1"/>
    </xf>
    <xf numFmtId="171" fontId="492" fillId="180" borderId="241" xfId="27937" applyFont="1" applyFill="1" applyBorder="1" applyAlignment="1">
      <alignment horizontal="center" vertical="center" wrapText="1"/>
    </xf>
    <xf numFmtId="171" fontId="493" fillId="107" borderId="241" xfId="27937" applyFont="1" applyFill="1" applyBorder="1" applyAlignment="1">
      <alignment horizontal="center" vertical="center" wrapText="1"/>
    </xf>
    <xf numFmtId="38" fontId="470" fillId="0" borderId="0" xfId="22752" applyNumberFormat="1" applyFont="1" applyBorder="1" applyAlignment="1" applyProtection="1">
      <alignment horizontal="right" vertical="center" shrinkToFit="1"/>
    </xf>
    <xf numFmtId="0" fontId="452" fillId="158" borderId="0" xfId="22751" applyFont="1" applyFill="1" applyAlignment="1">
      <alignment horizontal="center" vertical="center" wrapText="1"/>
    </xf>
    <xf numFmtId="0" fontId="452" fillId="157" borderId="0" xfId="22751" applyFont="1" applyFill="1" applyAlignment="1">
      <alignment horizontal="center" vertical="center" wrapText="1"/>
    </xf>
    <xf numFmtId="358" fontId="451" fillId="0" borderId="0" xfId="19286" applyNumberFormat="1" applyFont="1" applyBorder="1" applyAlignment="1" applyProtection="1">
      <alignment horizontal="center" vertical="center"/>
    </xf>
    <xf numFmtId="171" fontId="414" fillId="169" borderId="110" xfId="22679" applyNumberFormat="1" applyFont="1" applyFill="1" applyBorder="1" applyAlignment="1" applyProtection="1">
      <alignment horizontal="centerContinuous" vertical="center"/>
      <protection locked="0"/>
    </xf>
    <xf numFmtId="0" fontId="494" fillId="0" borderId="0" xfId="22674" applyFont="1"/>
    <xf numFmtId="38" fontId="220" fillId="169" borderId="228" xfId="22752" applyNumberFormat="1" applyFont="1" applyFill="1" applyBorder="1" applyAlignment="1" applyProtection="1">
      <alignment horizontal="center" vertical="center" wrapText="1"/>
    </xf>
    <xf numFmtId="38" fontId="452" fillId="167" borderId="0" xfId="22751" applyNumberFormat="1" applyFont="1" applyFill="1" applyAlignment="1">
      <alignment vertical="center"/>
    </xf>
    <xf numFmtId="171" fontId="492" fillId="150" borderId="241" xfId="27937" applyFont="1" applyFill="1" applyBorder="1" applyAlignment="1">
      <alignment horizontal="center" vertical="center" wrapText="1"/>
    </xf>
    <xf numFmtId="171" fontId="492" fillId="183" borderId="241" xfId="27937" applyFont="1" applyFill="1" applyBorder="1" applyAlignment="1">
      <alignment horizontal="center" vertical="center" wrapText="1"/>
    </xf>
    <xf numFmtId="171" fontId="492" fillId="184" borderId="241" xfId="27937" applyFont="1" applyFill="1" applyBorder="1" applyAlignment="1">
      <alignment horizontal="center" vertical="center" wrapText="1"/>
    </xf>
    <xf numFmtId="171" fontId="492" fillId="150" borderId="356" xfId="27937" applyFont="1" applyFill="1" applyBorder="1" applyAlignment="1">
      <alignment horizontal="center" vertical="center" wrapText="1"/>
    </xf>
    <xf numFmtId="171" fontId="458" fillId="0" borderId="355" xfId="27936" applyNumberFormat="1" applyFont="1" applyBorder="1" applyAlignment="1">
      <alignment vertical="center"/>
    </xf>
    <xf numFmtId="0" fontId="25" fillId="0" borderId="0" xfId="0" applyFont="1" applyAlignment="1">
      <alignment vertical="center"/>
    </xf>
    <xf numFmtId="179" fontId="170" fillId="0" borderId="0" xfId="27942" applyNumberFormat="1" applyFont="1" applyBorder="1" applyAlignment="1" applyProtection="1">
      <alignment horizontal="left" vertical="center" shrinkToFit="1"/>
    </xf>
    <xf numFmtId="0" fontId="171" fillId="0" borderId="0" xfId="27943" applyFont="1" applyAlignment="1">
      <alignment horizontal="right" vertical="center"/>
    </xf>
    <xf numFmtId="0" fontId="171" fillId="0" borderId="0" xfId="27943" applyFont="1" applyAlignment="1">
      <alignment vertical="center"/>
    </xf>
    <xf numFmtId="0" fontId="448" fillId="142" borderId="51" xfId="22552" applyFont="1" applyFill="1" applyBorder="1" applyAlignment="1">
      <alignment horizontal="center" vertical="top" wrapText="1"/>
    </xf>
    <xf numFmtId="0" fontId="172" fillId="0" borderId="362" xfId="0" applyFont="1" applyBorder="1" applyAlignment="1">
      <alignment vertical="center"/>
    </xf>
    <xf numFmtId="0" fontId="448" fillId="144" borderId="362" xfId="0" applyFont="1" applyFill="1" applyBorder="1" applyAlignment="1">
      <alignment vertical="center" wrapText="1"/>
    </xf>
    <xf numFmtId="0" fontId="448" fillId="144" borderId="360" xfId="0" applyFont="1" applyFill="1" applyBorder="1" applyAlignment="1">
      <alignment vertical="center" wrapText="1"/>
    </xf>
    <xf numFmtId="362" fontId="448" fillId="144" borderId="360" xfId="19286" applyNumberFormat="1" applyFont="1" applyFill="1" applyBorder="1" applyAlignment="1">
      <alignment vertical="center" wrapText="1"/>
    </xf>
    <xf numFmtId="362" fontId="448" fillId="144" borderId="363" xfId="19286" applyNumberFormat="1" applyFont="1" applyFill="1" applyBorder="1" applyAlignment="1">
      <alignment vertical="center" wrapText="1"/>
    </xf>
    <xf numFmtId="38" fontId="448" fillId="144" borderId="364" xfId="19286" applyNumberFormat="1" applyFont="1" applyFill="1" applyBorder="1" applyAlignment="1">
      <alignment vertical="center" wrapText="1"/>
    </xf>
    <xf numFmtId="0" fontId="91" fillId="0" borderId="0" xfId="19278" applyFont="1"/>
    <xf numFmtId="0" fontId="495" fillId="0" borderId="0" xfId="0" applyFont="1" applyAlignment="1">
      <alignment horizontal="center" vertical="center" wrapText="1"/>
    </xf>
    <xf numFmtId="0" fontId="0" fillId="0" borderId="0" xfId="0" applyAlignment="1">
      <alignment horizontal="left" vertical="center"/>
    </xf>
    <xf numFmtId="0" fontId="495" fillId="0" borderId="0" xfId="0" applyFont="1" applyAlignment="1">
      <alignment horizontal="left" vertical="center" wrapText="1"/>
    </xf>
    <xf numFmtId="0" fontId="0" fillId="0" borderId="0" xfId="0" applyAlignment="1">
      <alignment horizontal="left"/>
    </xf>
    <xf numFmtId="0" fontId="341" fillId="107" borderId="15" xfId="0" applyFont="1" applyFill="1" applyBorder="1" applyAlignment="1">
      <alignment horizontal="center" vertical="center"/>
    </xf>
    <xf numFmtId="0" fontId="341" fillId="107" borderId="15" xfId="0" applyFont="1" applyFill="1" applyBorder="1" applyAlignment="1">
      <alignment horizontal="center" vertical="center" wrapText="1"/>
    </xf>
    <xf numFmtId="0" fontId="341" fillId="135" borderId="15" xfId="0" applyFont="1" applyFill="1" applyBorder="1" applyAlignment="1">
      <alignment horizontal="center" vertical="center"/>
    </xf>
    <xf numFmtId="0" fontId="341" fillId="135" borderId="15" xfId="0" applyFont="1" applyFill="1" applyBorder="1" applyAlignment="1">
      <alignment horizontal="left" vertical="center"/>
    </xf>
    <xf numFmtId="0" fontId="60" fillId="0" borderId="211" xfId="0" applyFont="1" applyBorder="1" applyAlignment="1">
      <alignment horizontal="center" vertical="center"/>
    </xf>
    <xf numFmtId="0" fontId="60" fillId="0" borderId="366" xfId="0" applyFont="1" applyBorder="1" applyAlignment="1">
      <alignment horizontal="left" vertical="center"/>
    </xf>
    <xf numFmtId="0" fontId="60" fillId="0" borderId="366" xfId="0" applyFont="1" applyBorder="1" applyAlignment="1">
      <alignment horizontal="center" vertical="center"/>
    </xf>
    <xf numFmtId="0" fontId="60" fillId="0" borderId="212" xfId="0" applyFont="1" applyBorder="1" applyAlignment="1">
      <alignment horizontal="left" vertical="center"/>
    </xf>
    <xf numFmtId="0" fontId="60" fillId="0" borderId="212" xfId="0" applyFont="1" applyBorder="1" applyAlignment="1">
      <alignment horizontal="center" vertical="center"/>
    </xf>
    <xf numFmtId="0" fontId="60" fillId="0" borderId="349" xfId="0" applyFont="1" applyBorder="1" applyAlignment="1">
      <alignment horizontal="center" vertical="center"/>
    </xf>
    <xf numFmtId="0" fontId="60" fillId="0" borderId="367" xfId="0" applyFont="1" applyBorder="1" applyAlignment="1">
      <alignment horizontal="left" vertical="center"/>
    </xf>
    <xf numFmtId="0" fontId="60" fillId="0" borderId="367" xfId="0" applyFont="1" applyBorder="1" applyAlignment="1">
      <alignment horizontal="center" vertical="center"/>
    </xf>
    <xf numFmtId="0" fontId="60" fillId="0" borderId="350" xfId="0" applyFont="1" applyBorder="1" applyAlignment="1">
      <alignment horizontal="left" vertical="center"/>
    </xf>
    <xf numFmtId="0" fontId="60" fillId="0" borderId="350" xfId="0" applyFont="1" applyBorder="1" applyAlignment="1">
      <alignment horizontal="center" vertical="center"/>
    </xf>
    <xf numFmtId="0" fontId="60" fillId="0" borderId="334" xfId="0" applyFont="1" applyBorder="1" applyAlignment="1">
      <alignment horizontal="center" vertical="center"/>
    </xf>
    <xf numFmtId="0" fontId="341" fillId="185" borderId="365" xfId="27930" applyFont="1" applyFill="1" applyBorder="1"/>
    <xf numFmtId="0" fontId="60" fillId="0" borderId="0" xfId="27930" applyFont="1"/>
    <xf numFmtId="0" fontId="341" fillId="186" borderId="365" xfId="27930" applyFont="1" applyFill="1" applyBorder="1"/>
    <xf numFmtId="38" fontId="346" fillId="187" borderId="132" xfId="22752" applyNumberFormat="1" applyFont="1" applyFill="1" applyBorder="1" applyAlignment="1" applyProtection="1">
      <alignment horizontal="right" vertical="center"/>
    </xf>
    <xf numFmtId="0" fontId="355" fillId="0" borderId="94" xfId="14281" applyFont="1" applyBorder="1"/>
    <xf numFmtId="0" fontId="355" fillId="0" borderId="95" xfId="14281" applyFont="1" applyBorder="1"/>
    <xf numFmtId="0" fontId="355" fillId="0" borderId="96" xfId="14281" applyFont="1" applyBorder="1"/>
    <xf numFmtId="0" fontId="355" fillId="0" borderId="97" xfId="14281" applyFont="1" applyBorder="1"/>
    <xf numFmtId="0" fontId="355" fillId="0" borderId="98" xfId="14281" applyFont="1" applyBorder="1"/>
    <xf numFmtId="38" fontId="356" fillId="0" borderId="97" xfId="14281" applyNumberFormat="1" applyFont="1" applyBorder="1" applyAlignment="1">
      <alignment horizontal="center"/>
    </xf>
    <xf numFmtId="0" fontId="356" fillId="0" borderId="98" xfId="14281" applyFont="1" applyBorder="1" applyAlignment="1">
      <alignment horizontal="center"/>
    </xf>
    <xf numFmtId="0" fontId="356" fillId="0" borderId="97" xfId="14281" applyFont="1" applyBorder="1" applyAlignment="1">
      <alignment horizontal="center"/>
    </xf>
    <xf numFmtId="0" fontId="356" fillId="0" borderId="97" xfId="14281" applyFont="1" applyBorder="1"/>
    <xf numFmtId="0" fontId="356" fillId="0" borderId="0" xfId="14281" applyFont="1"/>
    <xf numFmtId="0" fontId="356" fillId="0" borderId="98" xfId="14281" applyFont="1" applyBorder="1"/>
    <xf numFmtId="0" fontId="355" fillId="0" borderId="99" xfId="14281" applyFont="1" applyBorder="1"/>
    <xf numFmtId="0" fontId="355" fillId="0" borderId="100" xfId="14281" applyFont="1" applyBorder="1"/>
    <xf numFmtId="0" fontId="355" fillId="0" borderId="101" xfId="14281" applyFont="1" applyBorder="1"/>
    <xf numFmtId="0" fontId="341" fillId="0" borderId="0" xfId="27930" applyFont="1" applyAlignment="1">
      <alignment wrapText="1"/>
    </xf>
    <xf numFmtId="179" fontId="353" fillId="0" borderId="335" xfId="27932" applyNumberFormat="1" applyFont="1" applyFill="1" applyBorder="1" applyAlignment="1" applyProtection="1">
      <alignment horizontal="center" vertical="center" wrapText="1"/>
      <protection locked="0"/>
    </xf>
    <xf numFmtId="0" fontId="169" fillId="107" borderId="146" xfId="27932" applyNumberFormat="1" applyFont="1" applyFill="1" applyBorder="1" applyAlignment="1" applyProtection="1">
      <alignment horizontal="center" vertical="center"/>
      <protection locked="0"/>
    </xf>
    <xf numFmtId="0" fontId="169" fillId="164" borderId="146" xfId="27932" applyNumberFormat="1" applyFont="1" applyFill="1" applyBorder="1" applyAlignment="1" applyProtection="1">
      <alignment horizontal="center" vertical="center"/>
      <protection locked="0"/>
    </xf>
    <xf numFmtId="366" fontId="169" fillId="0" borderId="117" xfId="27932" applyNumberFormat="1" applyFont="1" applyFill="1" applyBorder="1" applyAlignment="1" applyProtection="1">
      <alignment horizontal="center" vertical="center"/>
      <protection locked="0"/>
    </xf>
    <xf numFmtId="0" fontId="169" fillId="0" borderId="146" xfId="27932" applyNumberFormat="1" applyFont="1" applyFill="1" applyBorder="1" applyAlignment="1" applyProtection="1">
      <alignment horizontal="center" vertical="center"/>
      <protection locked="0"/>
    </xf>
    <xf numFmtId="14" fontId="169" fillId="0" borderId="117" xfId="27932" applyNumberFormat="1" applyFont="1" applyFill="1" applyBorder="1" applyAlignment="1" applyProtection="1">
      <alignment horizontal="center" vertical="center"/>
      <protection locked="0"/>
    </xf>
    <xf numFmtId="179" fontId="169" fillId="0" borderId="218" xfId="27932" applyNumberFormat="1" applyFont="1" applyFill="1" applyBorder="1" applyAlignment="1" applyProtection="1">
      <alignment horizontal="center" vertical="center"/>
      <protection locked="0"/>
    </xf>
    <xf numFmtId="179" fontId="169" fillId="0" borderId="147" xfId="27932" applyNumberFormat="1" applyFont="1" applyFill="1" applyBorder="1" applyAlignment="1" applyProtection="1">
      <alignment horizontal="center" vertical="center"/>
      <protection locked="0"/>
    </xf>
    <xf numFmtId="0" fontId="496" fillId="107" borderId="146" xfId="27932" applyNumberFormat="1" applyFont="1" applyFill="1" applyBorder="1" applyAlignment="1" applyProtection="1">
      <alignment horizontal="center" vertical="center"/>
      <protection locked="0"/>
    </xf>
    <xf numFmtId="0" fontId="169" fillId="0" borderId="145" xfId="22678" quotePrefix="1" applyNumberFormat="1" applyFont="1" applyBorder="1" applyAlignment="1" applyProtection="1">
      <alignment horizontal="center" vertical="center"/>
      <protection locked="0"/>
    </xf>
    <xf numFmtId="0" fontId="169" fillId="0" borderId="117" xfId="22678" quotePrefix="1" applyNumberFormat="1" applyFont="1" applyBorder="1" applyAlignment="1" applyProtection="1">
      <alignment horizontal="center" vertical="center"/>
      <protection locked="0"/>
    </xf>
    <xf numFmtId="361" fontId="169" fillId="0" borderId="117" xfId="22678" quotePrefix="1" applyNumberFormat="1" applyFont="1" applyBorder="1" applyAlignment="1" applyProtection="1">
      <alignment horizontal="center" vertical="center"/>
      <protection locked="0"/>
    </xf>
    <xf numFmtId="49" fontId="169" fillId="0" borderId="117" xfId="22678" applyNumberFormat="1" applyFont="1" applyBorder="1" applyAlignment="1" applyProtection="1">
      <alignment horizontal="center" vertical="center"/>
      <protection locked="0"/>
    </xf>
    <xf numFmtId="14" fontId="169" fillId="0" borderId="117" xfId="27932" applyNumberFormat="1" applyFont="1" applyFill="1" applyBorder="1" applyAlignment="1" applyProtection="1">
      <alignment horizontal="center" vertical="center" wrapText="1"/>
      <protection locked="0"/>
    </xf>
    <xf numFmtId="49" fontId="169" fillId="0" borderId="145" xfId="22678" applyNumberFormat="1" applyFont="1" applyBorder="1" applyAlignment="1" applyProtection="1">
      <alignment horizontal="center" vertical="center"/>
      <protection locked="0"/>
    </xf>
    <xf numFmtId="360" fontId="169" fillId="0" borderId="117" xfId="27932" applyNumberFormat="1" applyFont="1" applyFill="1" applyBorder="1" applyAlignment="1" applyProtection="1">
      <alignment horizontal="center" vertical="center"/>
      <protection locked="0"/>
    </xf>
    <xf numFmtId="359" fontId="169" fillId="0" borderId="148" xfId="22678" applyFont="1" applyBorder="1" applyAlignment="1" applyProtection="1">
      <alignment horizontal="left" vertical="top" wrapText="1"/>
      <protection locked="0"/>
    </xf>
    <xf numFmtId="49" fontId="169" fillId="0" borderId="117" xfId="22678" quotePrefix="1" applyNumberFormat="1" applyFont="1" applyBorder="1" applyAlignment="1" applyProtection="1">
      <alignment horizontal="center" vertical="center"/>
      <protection locked="0"/>
    </xf>
    <xf numFmtId="49" fontId="169" fillId="0" borderId="145" xfId="22678" quotePrefix="1" applyNumberFormat="1" applyFont="1" applyBorder="1" applyAlignment="1" applyProtection="1">
      <alignment horizontal="center" vertical="center"/>
      <protection locked="0"/>
    </xf>
    <xf numFmtId="368" fontId="169" fillId="0" borderId="145" xfId="22678" quotePrefix="1" applyNumberFormat="1" applyFont="1" applyBorder="1" applyAlignment="1" applyProtection="1">
      <alignment horizontal="center" vertical="center"/>
      <protection locked="0"/>
    </xf>
    <xf numFmtId="366" fontId="169" fillId="0" borderId="163" xfId="27932" applyNumberFormat="1" applyFont="1" applyFill="1" applyBorder="1" applyAlignment="1" applyProtection="1">
      <alignment horizontal="center" vertical="center"/>
      <protection locked="0"/>
    </xf>
    <xf numFmtId="0" fontId="169" fillId="0" borderId="145" xfId="22678" applyNumberFormat="1" applyFont="1" applyBorder="1" applyAlignment="1" applyProtection="1">
      <alignment horizontal="center" vertical="center"/>
      <protection locked="0"/>
    </xf>
    <xf numFmtId="0" fontId="424" fillId="0" borderId="146" xfId="7727" applyNumberFormat="1" applyFont="1" applyFill="1" applyBorder="1" applyAlignment="1" applyProtection="1">
      <alignment horizontal="center" vertical="center"/>
      <protection locked="0"/>
    </xf>
    <xf numFmtId="171" fontId="414" fillId="140" borderId="109" xfId="22679" applyNumberFormat="1" applyFont="1" applyFill="1" applyBorder="1" applyAlignment="1" applyProtection="1">
      <alignment horizontal="center" vertical="center"/>
      <protection locked="0"/>
    </xf>
    <xf numFmtId="49" fontId="169" fillId="0" borderId="117" xfId="22678" applyNumberFormat="1" applyFont="1" applyBorder="1" applyAlignment="1" applyProtection="1">
      <alignment horizontal="center" vertical="center" wrapText="1"/>
      <protection locked="0"/>
    </xf>
    <xf numFmtId="49" fontId="169" fillId="0" borderId="117" xfId="22678" quotePrefix="1" applyNumberFormat="1" applyFont="1" applyBorder="1" applyAlignment="1" applyProtection="1">
      <alignment horizontal="center" vertical="center" wrapText="1"/>
      <protection locked="0"/>
    </xf>
    <xf numFmtId="0" fontId="499" fillId="0" borderId="0" xfId="22674" applyFont="1" applyAlignment="1">
      <alignment horizontal="center" vertical="center"/>
    </xf>
    <xf numFmtId="0" fontId="500" fillId="107" borderId="122" xfId="22674" applyFont="1" applyFill="1" applyBorder="1" applyAlignment="1">
      <alignment horizontal="center" vertical="center"/>
    </xf>
    <xf numFmtId="14" fontId="499" fillId="0" borderId="0" xfId="22674" applyNumberFormat="1" applyFont="1" applyAlignment="1">
      <alignment horizontal="center" vertical="center"/>
    </xf>
    <xf numFmtId="0" fontId="444" fillId="189" borderId="369" xfId="22674" applyFont="1" applyFill="1" applyBorder="1" applyAlignment="1">
      <alignment horizontal="center" vertical="center" wrapText="1"/>
    </xf>
    <xf numFmtId="0" fontId="444" fillId="160" borderId="369" xfId="22674" applyFont="1" applyFill="1" applyBorder="1" applyAlignment="1">
      <alignment horizontal="center" vertical="center" wrapText="1"/>
    </xf>
    <xf numFmtId="0" fontId="444" fillId="161" borderId="369" xfId="22674" applyFont="1" applyFill="1" applyBorder="1" applyAlignment="1">
      <alignment horizontal="center" vertical="center" wrapText="1"/>
    </xf>
    <xf numFmtId="0" fontId="501" fillId="0" borderId="369" xfId="22674" applyFont="1" applyBorder="1" applyAlignment="1">
      <alignment horizontal="center" vertical="center" wrapText="1"/>
    </xf>
    <xf numFmtId="0" fontId="365" fillId="134" borderId="369" xfId="22674" applyFill="1" applyBorder="1" applyAlignment="1">
      <alignment horizontal="center" vertical="center"/>
    </xf>
    <xf numFmtId="0" fontId="499" fillId="0" borderId="369" xfId="22674" applyFont="1" applyBorder="1" applyAlignment="1">
      <alignment horizontal="center" vertical="center"/>
    </xf>
    <xf numFmtId="210" fontId="499" fillId="0" borderId="369" xfId="22674" applyNumberFormat="1" applyFont="1" applyBorder="1" applyAlignment="1">
      <alignment horizontal="center" vertical="center"/>
    </xf>
    <xf numFmtId="0" fontId="503" fillId="132" borderId="0" xfId="22674" applyFont="1" applyFill="1" applyAlignment="1">
      <alignment horizontal="center" vertical="center" wrapText="1"/>
    </xf>
    <xf numFmtId="0" fontId="499" fillId="0" borderId="369" xfId="0" applyFont="1" applyBorder="1" applyAlignment="1">
      <alignment horizontal="center" vertical="center"/>
    </xf>
    <xf numFmtId="210" fontId="499" fillId="0" borderId="369" xfId="0" applyNumberFormat="1" applyFont="1" applyBorder="1" applyAlignment="1">
      <alignment horizontal="center" vertical="center"/>
    </xf>
    <xf numFmtId="38" fontId="500" fillId="0" borderId="369" xfId="0" applyNumberFormat="1" applyFont="1" applyBorder="1" applyAlignment="1">
      <alignment horizontal="center" vertical="center"/>
    </xf>
    <xf numFmtId="0" fontId="353" fillId="177" borderId="145" xfId="22678" quotePrefix="1" applyNumberFormat="1" applyFont="1" applyFill="1" applyBorder="1" applyAlignment="1" applyProtection="1">
      <alignment horizontal="center" vertical="center"/>
      <protection locked="0"/>
    </xf>
    <xf numFmtId="179" fontId="353" fillId="177" borderId="117" xfId="7850" applyNumberFormat="1" applyFont="1" applyFill="1" applyBorder="1" applyAlignment="1" applyProtection="1">
      <alignment horizontal="center" vertical="center" wrapText="1"/>
      <protection locked="0"/>
    </xf>
    <xf numFmtId="179" fontId="353" fillId="107" borderId="349" xfId="7850" applyNumberFormat="1" applyFont="1" applyFill="1" applyBorder="1" applyAlignment="1" applyProtection="1">
      <alignment horizontal="center" vertical="center"/>
      <protection locked="0"/>
    </xf>
    <xf numFmtId="179" fontId="353" fillId="107" borderId="350" xfId="7850" applyNumberFormat="1" applyFont="1" applyFill="1" applyBorder="1" applyAlignment="1" applyProtection="1">
      <alignment horizontal="center" vertical="center"/>
      <protection locked="0"/>
    </xf>
    <xf numFmtId="179" fontId="353" fillId="107" borderId="351" xfId="7850" applyNumberFormat="1" applyFont="1" applyFill="1" applyBorder="1" applyAlignment="1" applyProtection="1">
      <alignment horizontal="center" vertical="center" wrapText="1"/>
      <protection locked="0"/>
    </xf>
    <xf numFmtId="179" fontId="353" fillId="107" borderId="145" xfId="7850" applyNumberFormat="1" applyFont="1" applyFill="1" applyBorder="1" applyAlignment="1" applyProtection="1">
      <alignment horizontal="center" vertical="center"/>
      <protection locked="0"/>
    </xf>
    <xf numFmtId="49" fontId="353" fillId="107" borderId="214" xfId="22678" quotePrefix="1" applyNumberFormat="1" applyFont="1" applyFill="1" applyBorder="1" applyAlignment="1" applyProtection="1">
      <alignment horizontal="center" vertical="center" wrapText="1"/>
      <protection locked="0"/>
    </xf>
    <xf numFmtId="360" fontId="353" fillId="107" borderId="117" xfId="7850" applyNumberFormat="1" applyFont="1" applyFill="1" applyBorder="1" applyAlignment="1" applyProtection="1">
      <alignment horizontal="center" vertical="center" wrapText="1"/>
      <protection locked="0"/>
    </xf>
    <xf numFmtId="179" fontId="353" fillId="107" borderId="45" xfId="7850" applyNumberFormat="1" applyFont="1" applyFill="1" applyBorder="1" applyAlignment="1" applyProtection="1">
      <alignment horizontal="center" vertical="center" wrapText="1"/>
      <protection locked="0"/>
    </xf>
    <xf numFmtId="0" fontId="353" fillId="107" borderId="145" xfId="22678" quotePrefix="1" applyNumberFormat="1" applyFont="1" applyFill="1" applyBorder="1" applyAlignment="1" applyProtection="1">
      <alignment horizontal="center" vertical="center"/>
      <protection locked="0"/>
    </xf>
    <xf numFmtId="286" fontId="353" fillId="107" borderId="349" xfId="7850" applyNumberFormat="1" applyFont="1" applyFill="1" applyBorder="1" applyAlignment="1" applyProtection="1">
      <alignment horizontal="center" vertical="center"/>
      <protection locked="0"/>
    </xf>
    <xf numFmtId="286" fontId="353" fillId="107" borderId="351" xfId="7850" applyNumberFormat="1" applyFont="1" applyFill="1" applyBorder="1" applyAlignment="1" applyProtection="1">
      <alignment horizontal="center" vertical="center" wrapText="1"/>
      <protection locked="0"/>
    </xf>
    <xf numFmtId="286" fontId="353" fillId="107" borderId="145" xfId="7850" applyNumberFormat="1" applyFont="1" applyFill="1" applyBorder="1" applyAlignment="1" applyProtection="1">
      <alignment horizontal="center" vertical="center"/>
      <protection locked="0"/>
    </xf>
    <xf numFmtId="179" fontId="504" fillId="107" borderId="117" xfId="7850" applyNumberFormat="1" applyFont="1" applyFill="1" applyBorder="1" applyAlignment="1" applyProtection="1">
      <alignment horizontal="center" vertical="center" wrapText="1"/>
      <protection locked="0"/>
    </xf>
    <xf numFmtId="286" fontId="504" fillId="107" borderId="145" xfId="7850" applyNumberFormat="1" applyFont="1" applyFill="1" applyBorder="1" applyAlignment="1" applyProtection="1">
      <alignment horizontal="center" vertical="center"/>
      <protection locked="0"/>
    </xf>
    <xf numFmtId="49" fontId="504" fillId="107" borderId="214" xfId="22678" quotePrefix="1" applyNumberFormat="1" applyFont="1" applyFill="1" applyBorder="1" applyAlignment="1" applyProtection="1">
      <alignment horizontal="center" vertical="center" wrapText="1"/>
      <protection locked="0"/>
    </xf>
    <xf numFmtId="179" fontId="504" fillId="107" borderId="45" xfId="7850" applyNumberFormat="1" applyFont="1" applyFill="1" applyBorder="1" applyAlignment="1" applyProtection="1">
      <alignment horizontal="center" vertical="center" wrapText="1"/>
      <protection locked="0"/>
    </xf>
    <xf numFmtId="286" fontId="353" fillId="107" borderId="350" xfId="7850" applyNumberFormat="1" applyFont="1" applyFill="1" applyBorder="1" applyAlignment="1" applyProtection="1">
      <alignment horizontal="center" vertical="center"/>
      <protection locked="0"/>
    </xf>
    <xf numFmtId="179" fontId="353" fillId="107" borderId="148" xfId="216" applyNumberFormat="1" applyFont="1" applyFill="1" applyBorder="1" applyAlignment="1" applyProtection="1">
      <alignment horizontal="center" vertical="center" wrapText="1"/>
      <protection locked="0"/>
    </xf>
    <xf numFmtId="179" fontId="504" fillId="107" borderId="148" xfId="216" applyNumberFormat="1" applyFont="1" applyFill="1" applyBorder="1" applyAlignment="1" applyProtection="1">
      <alignment horizontal="center" vertical="center" wrapText="1"/>
      <protection locked="0"/>
    </xf>
    <xf numFmtId="361" fontId="353" fillId="107" borderId="117" xfId="22678" quotePrefix="1" applyNumberFormat="1" applyFont="1" applyFill="1" applyBorder="1" applyAlignment="1" applyProtection="1">
      <alignment horizontal="center" vertical="center"/>
      <protection locked="0"/>
    </xf>
    <xf numFmtId="49" fontId="353" fillId="107" borderId="117" xfId="22678" applyNumberFormat="1" applyFont="1" applyFill="1" applyBorder="1" applyAlignment="1" applyProtection="1">
      <alignment horizontal="center" vertical="center"/>
      <protection locked="0"/>
    </xf>
    <xf numFmtId="360" fontId="353" fillId="107" borderId="117" xfId="7850" applyNumberFormat="1" applyFont="1" applyFill="1" applyBorder="1" applyAlignment="1" applyProtection="1">
      <alignment horizontal="center" vertical="center"/>
      <protection locked="0"/>
    </xf>
    <xf numFmtId="14" fontId="353" fillId="107" borderId="117" xfId="7850" applyNumberFormat="1" applyFont="1" applyFill="1" applyBorder="1" applyAlignment="1" applyProtection="1">
      <alignment horizontal="center" vertical="center"/>
      <protection locked="0"/>
    </xf>
    <xf numFmtId="14" fontId="353" fillId="107" borderId="117" xfId="7850" applyNumberFormat="1" applyFont="1" applyFill="1" applyBorder="1" applyAlignment="1" applyProtection="1">
      <alignment horizontal="center" vertical="center" wrapText="1"/>
      <protection locked="0"/>
    </xf>
    <xf numFmtId="49" fontId="353" fillId="107" borderId="117" xfId="22678" quotePrefix="1" applyNumberFormat="1" applyFont="1" applyFill="1" applyBorder="1" applyAlignment="1" applyProtection="1">
      <alignment horizontal="center" vertical="center"/>
      <protection locked="0"/>
    </xf>
    <xf numFmtId="14" fontId="353" fillId="177" borderId="117" xfId="7850" applyNumberFormat="1" applyFont="1" applyFill="1" applyBorder="1" applyAlignment="1" applyProtection="1">
      <alignment horizontal="center" vertical="center"/>
      <protection locked="0"/>
    </xf>
    <xf numFmtId="366" fontId="353" fillId="107" borderId="117" xfId="7850" applyNumberFormat="1" applyFont="1" applyFill="1" applyBorder="1" applyAlignment="1" applyProtection="1">
      <alignment horizontal="center" vertical="center"/>
      <protection locked="0"/>
    </xf>
    <xf numFmtId="361" fontId="504" fillId="107" borderId="117" xfId="22678" quotePrefix="1" applyNumberFormat="1" applyFont="1" applyFill="1" applyBorder="1" applyAlignment="1" applyProtection="1">
      <alignment horizontal="center" vertical="center"/>
      <protection locked="0"/>
    </xf>
    <xf numFmtId="49" fontId="504" fillId="107" borderId="117" xfId="22678" quotePrefix="1" applyNumberFormat="1" applyFont="1" applyFill="1" applyBorder="1" applyAlignment="1" applyProtection="1">
      <alignment horizontal="center" vertical="center"/>
      <protection locked="0"/>
    </xf>
    <xf numFmtId="14" fontId="504" fillId="177" borderId="117" xfId="7850" applyNumberFormat="1" applyFont="1" applyFill="1" applyBorder="1" applyAlignment="1" applyProtection="1">
      <alignment horizontal="center" vertical="center"/>
      <protection locked="0"/>
    </xf>
    <xf numFmtId="14" fontId="504" fillId="107" borderId="117" xfId="7850" applyNumberFormat="1" applyFont="1" applyFill="1" applyBorder="1" applyAlignment="1" applyProtection="1">
      <alignment horizontal="center" vertical="center" wrapText="1"/>
      <protection locked="0"/>
    </xf>
    <xf numFmtId="366" fontId="353" fillId="177" borderId="117" xfId="7850" applyNumberFormat="1" applyFont="1" applyFill="1" applyBorder="1" applyAlignment="1" applyProtection="1">
      <alignment horizontal="center" vertical="center"/>
      <protection locked="0"/>
    </xf>
    <xf numFmtId="14" fontId="353" fillId="177" borderId="117" xfId="7850" applyNumberFormat="1" applyFont="1" applyFill="1" applyBorder="1" applyAlignment="1" applyProtection="1">
      <alignment horizontal="center" vertical="center" wrapText="1"/>
      <protection locked="0"/>
    </xf>
    <xf numFmtId="368" fontId="353" fillId="107" borderId="145" xfId="22678" applyNumberFormat="1" applyFont="1" applyFill="1" applyBorder="1" applyAlignment="1" applyProtection="1">
      <alignment horizontal="center" vertical="center"/>
      <protection locked="0"/>
    </xf>
    <xf numFmtId="368" fontId="353" fillId="107" borderId="145" xfId="22678" quotePrefix="1" applyNumberFormat="1" applyFont="1" applyFill="1" applyBorder="1" applyAlignment="1" applyProtection="1">
      <alignment horizontal="center" vertical="center"/>
      <protection locked="0"/>
    </xf>
    <xf numFmtId="0" fontId="353" fillId="107" borderId="145" xfId="22678" applyNumberFormat="1" applyFont="1" applyFill="1" applyBorder="1" applyAlignment="1" applyProtection="1">
      <alignment horizontal="center" vertical="center"/>
      <protection locked="0"/>
    </xf>
    <xf numFmtId="49" fontId="353" fillId="107" borderId="45" xfId="22678" applyNumberFormat="1" applyFont="1" applyFill="1" applyBorder="1" applyAlignment="1" applyProtection="1">
      <alignment horizontal="center" vertical="center"/>
      <protection locked="0"/>
    </xf>
    <xf numFmtId="49" fontId="353" fillId="107" borderId="145" xfId="22678" applyNumberFormat="1" applyFont="1" applyFill="1" applyBorder="1" applyAlignment="1" applyProtection="1">
      <alignment horizontal="center" vertical="center" wrapText="1"/>
      <protection locked="0"/>
    </xf>
    <xf numFmtId="49" fontId="353" fillId="107" borderId="117" xfId="22678" applyNumberFormat="1" applyFont="1" applyFill="1" applyBorder="1" applyAlignment="1" applyProtection="1">
      <alignment horizontal="center" vertical="center" wrapText="1"/>
      <protection locked="0"/>
    </xf>
    <xf numFmtId="49" fontId="353" fillId="107" borderId="45" xfId="22678" quotePrefix="1" applyNumberFormat="1" applyFont="1" applyFill="1" applyBorder="1" applyAlignment="1" applyProtection="1">
      <alignment horizontal="center" vertical="center"/>
      <protection locked="0"/>
    </xf>
    <xf numFmtId="49" fontId="353" fillId="177" borderId="145" xfId="22678" quotePrefix="1" applyNumberFormat="1" applyFont="1" applyFill="1" applyBorder="1" applyAlignment="1" applyProtection="1">
      <alignment horizontal="center" vertical="center"/>
      <protection locked="0"/>
    </xf>
    <xf numFmtId="179" fontId="353" fillId="107" borderId="218" xfId="7850" applyNumberFormat="1" applyFont="1" applyFill="1" applyBorder="1" applyAlignment="1" applyProtection="1">
      <alignment horizontal="center" vertical="center"/>
      <protection locked="0"/>
    </xf>
    <xf numFmtId="179" fontId="353" fillId="107" borderId="147" xfId="7850" applyNumberFormat="1" applyFont="1" applyFill="1" applyBorder="1" applyAlignment="1" applyProtection="1">
      <alignment horizontal="center" vertical="center"/>
      <protection locked="0"/>
    </xf>
    <xf numFmtId="179" fontId="353" fillId="177" borderId="218" xfId="7850" applyNumberFormat="1" applyFont="1" applyFill="1" applyBorder="1" applyAlignment="1" applyProtection="1">
      <alignment horizontal="center" vertical="center"/>
      <protection locked="0"/>
    </xf>
    <xf numFmtId="179" fontId="353" fillId="177" borderId="147" xfId="7850" applyNumberFormat="1" applyFont="1" applyFill="1" applyBorder="1" applyAlignment="1" applyProtection="1">
      <alignment horizontal="center" vertical="center"/>
      <protection locked="0"/>
    </xf>
    <xf numFmtId="0" fontId="353" fillId="107" borderId="148" xfId="22678" applyNumberFormat="1" applyFont="1" applyFill="1" applyBorder="1" applyAlignment="1" applyProtection="1">
      <alignment horizontal="left" vertical="top" wrapText="1"/>
      <protection locked="0"/>
    </xf>
    <xf numFmtId="359" fontId="353" fillId="177" borderId="148" xfId="22678" applyFont="1" applyFill="1" applyBorder="1" applyAlignment="1" applyProtection="1">
      <alignment horizontal="left" vertical="top" wrapText="1"/>
      <protection locked="0"/>
    </xf>
    <xf numFmtId="363" fontId="353" fillId="107" borderId="146" xfId="7850" applyNumberFormat="1" applyFont="1" applyFill="1" applyBorder="1" applyAlignment="1" applyProtection="1">
      <alignment horizontal="center" vertical="center"/>
      <protection locked="0"/>
    </xf>
    <xf numFmtId="363" fontId="353" fillId="107" borderId="146" xfId="27935" applyNumberFormat="1" applyFont="1" applyFill="1" applyBorder="1" applyAlignment="1" applyProtection="1">
      <alignment horizontal="center" vertical="center"/>
      <protection locked="0"/>
    </xf>
    <xf numFmtId="363" fontId="169" fillId="0" borderId="146" xfId="27932" applyNumberFormat="1" applyFont="1" applyFill="1" applyBorder="1" applyAlignment="1" applyProtection="1">
      <alignment horizontal="center" vertical="center"/>
      <protection locked="0"/>
    </xf>
    <xf numFmtId="363" fontId="353" fillId="0" borderId="337" xfId="27932" applyNumberFormat="1" applyFont="1" applyFill="1" applyBorder="1" applyAlignment="1" applyProtection="1">
      <alignment horizontal="center" vertical="center"/>
      <protection locked="0"/>
    </xf>
    <xf numFmtId="363" fontId="353" fillId="177" borderId="146" xfId="27935" applyNumberFormat="1" applyFont="1" applyFill="1" applyBorder="1" applyAlignment="1" applyProtection="1">
      <alignment horizontal="center" vertical="center"/>
      <protection locked="0"/>
    </xf>
    <xf numFmtId="363" fontId="353" fillId="107" borderId="370" xfId="27935" applyNumberFormat="1" applyFont="1" applyFill="1" applyBorder="1" applyAlignment="1" applyProtection="1">
      <alignment horizontal="center" vertical="center"/>
      <protection locked="0"/>
    </xf>
    <xf numFmtId="363" fontId="169" fillId="0" borderId="117" xfId="27932" applyNumberFormat="1" applyFont="1" applyFill="1" applyBorder="1" applyAlignment="1" applyProtection="1">
      <alignment horizontal="center" vertical="center"/>
      <protection locked="0"/>
    </xf>
    <xf numFmtId="360" fontId="172" fillId="0" borderId="217" xfId="19286" applyNumberFormat="1" applyFont="1" applyBorder="1" applyAlignment="1">
      <alignment horizontal="center" vertical="center" wrapText="1"/>
    </xf>
    <xf numFmtId="360" fontId="172" fillId="0" borderId="217" xfId="19286" applyNumberFormat="1" applyFont="1" applyBorder="1" applyAlignment="1">
      <alignment vertical="center" wrapText="1"/>
    </xf>
    <xf numFmtId="38" fontId="169" fillId="0" borderId="126" xfId="0" applyNumberFormat="1" applyFont="1" applyBorder="1" applyAlignment="1">
      <alignment horizontal="center" vertical="center" wrapText="1"/>
    </xf>
    <xf numFmtId="0" fontId="172" fillId="0" borderId="105" xfId="0" applyFont="1" applyBorder="1" applyAlignment="1">
      <alignment vertical="center"/>
    </xf>
    <xf numFmtId="38" fontId="169" fillId="0" borderId="185" xfId="0" applyNumberFormat="1" applyFont="1" applyBorder="1" applyAlignment="1">
      <alignment vertical="center"/>
    </xf>
    <xf numFmtId="38" fontId="169" fillId="0" borderId="106" xfId="0" applyNumberFormat="1" applyFont="1" applyBorder="1" applyAlignment="1">
      <alignment vertical="center"/>
    </xf>
    <xf numFmtId="229" fontId="169" fillId="0" borderId="107" xfId="19286" applyNumberFormat="1" applyFont="1" applyFill="1" applyBorder="1" applyAlignment="1" applyProtection="1">
      <alignment vertical="center"/>
    </xf>
    <xf numFmtId="229" fontId="169" fillId="0" borderId="182" xfId="19286" applyNumberFormat="1" applyFont="1" applyFill="1" applyBorder="1" applyAlignment="1" applyProtection="1">
      <alignment vertical="center"/>
    </xf>
    <xf numFmtId="38" fontId="170" fillId="0" borderId="125" xfId="0" applyNumberFormat="1" applyFont="1" applyBorder="1" applyAlignment="1">
      <alignment vertical="center" wrapText="1"/>
    </xf>
    <xf numFmtId="229" fontId="169" fillId="0" borderId="141" xfId="19286" applyNumberFormat="1" applyFont="1" applyFill="1" applyBorder="1" applyAlignment="1" applyProtection="1">
      <alignment vertical="center"/>
    </xf>
    <xf numFmtId="0" fontId="0" fillId="0" borderId="0" xfId="27930" applyFont="1"/>
    <xf numFmtId="0" fontId="172" fillId="0" borderId="119" xfId="0" applyFont="1" applyBorder="1" applyAlignment="1">
      <alignment vertical="center"/>
    </xf>
    <xf numFmtId="0" fontId="172" fillId="0" borderId="183" xfId="0" applyFont="1" applyBorder="1" applyAlignment="1">
      <alignment horizontal="left" vertical="center" wrapText="1"/>
    </xf>
    <xf numFmtId="38" fontId="169" fillId="185" borderId="165" xfId="0" applyNumberFormat="1" applyFont="1" applyFill="1" applyBorder="1" applyAlignment="1">
      <alignment vertical="center"/>
    </xf>
    <xf numFmtId="363" fontId="169" fillId="185" borderId="232" xfId="0" applyNumberFormat="1" applyFont="1" applyFill="1" applyBorder="1" applyAlignment="1">
      <alignment horizontal="center" vertical="center" wrapText="1"/>
    </xf>
    <xf numFmtId="0" fontId="172" fillId="185" borderId="229" xfId="0" applyFont="1" applyFill="1" applyBorder="1" applyAlignment="1">
      <alignment vertical="center" wrapText="1"/>
    </xf>
    <xf numFmtId="363" fontId="172" fillId="0" borderId="188" xfId="19286" applyNumberFormat="1" applyFont="1" applyBorder="1" applyAlignment="1">
      <alignment horizontal="center" vertical="center" wrapText="1"/>
    </xf>
    <xf numFmtId="360" fontId="172" fillId="0" borderId="188" xfId="19286" applyNumberFormat="1" applyFont="1" applyBorder="1" applyAlignment="1">
      <alignment vertical="center" wrapText="1"/>
    </xf>
    <xf numFmtId="38" fontId="169" fillId="0" borderId="180" xfId="0" applyNumberFormat="1" applyFont="1" applyBorder="1" applyAlignment="1">
      <alignment vertical="center"/>
    </xf>
    <xf numFmtId="363" fontId="169" fillId="0" borderId="173" xfId="0" applyNumberFormat="1" applyFont="1" applyBorder="1" applyAlignment="1">
      <alignment horizontal="center" vertical="center" wrapText="1"/>
    </xf>
    <xf numFmtId="0" fontId="172" fillId="0" borderId="161" xfId="0" applyFont="1" applyBorder="1" applyAlignment="1">
      <alignment vertical="center" wrapText="1"/>
    </xf>
    <xf numFmtId="229" fontId="169" fillId="143" borderId="374" xfId="19286" applyNumberFormat="1" applyFont="1" applyFill="1" applyBorder="1" applyAlignment="1">
      <alignment vertical="center"/>
    </xf>
    <xf numFmtId="363" fontId="169" fillId="143" borderId="376" xfId="19286" applyNumberFormat="1" applyFont="1" applyFill="1" applyBorder="1" applyAlignment="1">
      <alignment horizontal="center" vertical="center"/>
    </xf>
    <xf numFmtId="229" fontId="172" fillId="143" borderId="375" xfId="19286" applyNumberFormat="1" applyFont="1" applyFill="1" applyBorder="1" applyAlignment="1">
      <alignment vertical="center" wrapText="1"/>
    </xf>
    <xf numFmtId="229" fontId="169" fillId="158" borderId="374" xfId="19286" applyNumberFormat="1" applyFont="1" applyFill="1" applyBorder="1" applyAlignment="1" applyProtection="1">
      <alignment vertical="center"/>
    </xf>
    <xf numFmtId="363" fontId="172" fillId="158" borderId="375" xfId="19286" applyNumberFormat="1" applyFont="1" applyFill="1" applyBorder="1" applyAlignment="1">
      <alignment horizontal="center" vertical="center" wrapText="1"/>
    </xf>
    <xf numFmtId="229" fontId="172" fillId="158" borderId="375" xfId="19286" applyNumberFormat="1" applyFont="1" applyFill="1" applyBorder="1" applyAlignment="1">
      <alignment vertical="center" wrapText="1"/>
    </xf>
    <xf numFmtId="43" fontId="172" fillId="0" borderId="0" xfId="19286" applyFont="1" applyAlignment="1">
      <alignment vertical="top"/>
    </xf>
    <xf numFmtId="171" fontId="172" fillId="0" borderId="0" xfId="0" applyNumberFormat="1" applyFont="1" applyAlignment="1">
      <alignment vertical="top"/>
    </xf>
    <xf numFmtId="361" fontId="169" fillId="107" borderId="117" xfId="22678" quotePrefix="1" applyNumberFormat="1" applyFont="1" applyFill="1" applyBorder="1" applyAlignment="1" applyProtection="1">
      <alignment horizontal="center" vertical="center"/>
      <protection locked="0"/>
    </xf>
    <xf numFmtId="49" fontId="169" fillId="107" borderId="117" xfId="22678" quotePrefix="1" applyNumberFormat="1" applyFont="1" applyFill="1" applyBorder="1" applyAlignment="1" applyProtection="1">
      <alignment horizontal="center" vertical="center"/>
      <protection locked="0"/>
    </xf>
    <xf numFmtId="366" fontId="169" fillId="107" borderId="117" xfId="27932" applyNumberFormat="1" applyFont="1" applyFill="1" applyBorder="1" applyAlignment="1" applyProtection="1">
      <alignment horizontal="center" vertical="center"/>
      <protection locked="0"/>
    </xf>
    <xf numFmtId="14" fontId="169" fillId="107" borderId="117" xfId="27932" applyNumberFormat="1" applyFont="1" applyFill="1" applyBorder="1" applyAlignment="1" applyProtection="1">
      <alignment horizontal="center" vertical="center" wrapText="1"/>
      <protection locked="0"/>
    </xf>
    <xf numFmtId="363" fontId="169" fillId="107" borderId="146" xfId="27932" applyNumberFormat="1" applyFont="1" applyFill="1" applyBorder="1" applyAlignment="1" applyProtection="1">
      <alignment horizontal="center" vertical="center"/>
      <protection locked="0"/>
    </xf>
    <xf numFmtId="368" fontId="169" fillId="107" borderId="145" xfId="22678" quotePrefix="1" applyNumberFormat="1" applyFont="1" applyFill="1" applyBorder="1" applyAlignment="1" applyProtection="1">
      <alignment horizontal="center" vertical="center"/>
      <protection locked="0"/>
    </xf>
    <xf numFmtId="14" fontId="169" fillId="107" borderId="117" xfId="27932" applyNumberFormat="1" applyFont="1" applyFill="1" applyBorder="1" applyAlignment="1" applyProtection="1">
      <alignment horizontal="center" vertical="center"/>
      <protection locked="0"/>
    </xf>
    <xf numFmtId="49" fontId="169" fillId="107" borderId="145" xfId="22678" quotePrefix="1" applyNumberFormat="1" applyFont="1" applyFill="1" applyBorder="1" applyAlignment="1" applyProtection="1">
      <alignment horizontal="center" vertical="center"/>
      <protection locked="0"/>
    </xf>
    <xf numFmtId="360" fontId="169" fillId="107" borderId="117" xfId="27932" applyNumberFormat="1" applyFont="1" applyFill="1" applyBorder="1" applyAlignment="1" applyProtection="1">
      <alignment horizontal="center" vertical="center"/>
      <protection locked="0"/>
    </xf>
    <xf numFmtId="366" fontId="497" fillId="107" borderId="163" xfId="27932" applyNumberFormat="1" applyFont="1" applyFill="1" applyBorder="1" applyAlignment="1" applyProtection="1">
      <alignment horizontal="center" vertical="center" wrapText="1"/>
      <protection locked="0"/>
    </xf>
    <xf numFmtId="0" fontId="169" fillId="107" borderId="145" xfId="22678" applyNumberFormat="1" applyFont="1" applyFill="1" applyBorder="1" applyAlignment="1" applyProtection="1">
      <alignment horizontal="center" vertical="center"/>
      <protection locked="0"/>
    </xf>
    <xf numFmtId="49" fontId="169" fillId="107" borderId="117" xfId="22678" quotePrefix="1" applyNumberFormat="1" applyFont="1" applyFill="1" applyBorder="1" applyAlignment="1" applyProtection="1">
      <alignment horizontal="center" vertical="center" wrapText="1"/>
      <protection locked="0"/>
    </xf>
    <xf numFmtId="179" fontId="169" fillId="107" borderId="218" xfId="27932" applyNumberFormat="1" applyFont="1" applyFill="1" applyBorder="1" applyAlignment="1" applyProtection="1">
      <alignment horizontal="center" vertical="center"/>
      <protection locked="0"/>
    </xf>
    <xf numFmtId="179" fontId="169" fillId="107" borderId="147" xfId="27932" applyNumberFormat="1" applyFont="1" applyFill="1" applyBorder="1" applyAlignment="1" applyProtection="1">
      <alignment horizontal="center" vertical="center"/>
      <protection locked="0"/>
    </xf>
    <xf numFmtId="359" fontId="169" fillId="107" borderId="148" xfId="22678" applyFont="1" applyFill="1" applyBorder="1" applyAlignment="1" applyProtection="1">
      <alignment horizontal="left" vertical="top" wrapText="1"/>
      <protection locked="0"/>
    </xf>
    <xf numFmtId="0" fontId="169" fillId="107" borderId="117" xfId="22678" quotePrefix="1" applyNumberFormat="1" applyFont="1" applyFill="1" applyBorder="1" applyAlignment="1" applyProtection="1">
      <alignment horizontal="center" vertical="center"/>
      <protection locked="0"/>
    </xf>
    <xf numFmtId="0" fontId="169" fillId="107" borderId="117" xfId="27932" applyNumberFormat="1" applyFont="1" applyFill="1" applyBorder="1" applyAlignment="1" applyProtection="1">
      <alignment horizontal="center" vertical="center"/>
      <protection locked="0"/>
    </xf>
    <xf numFmtId="0" fontId="169" fillId="107" borderId="117" xfId="27932" applyNumberFormat="1" applyFont="1" applyFill="1" applyBorder="1" applyAlignment="1" applyProtection="1">
      <alignment horizontal="center" vertical="center" wrapText="1"/>
      <protection locked="0"/>
    </xf>
    <xf numFmtId="0" fontId="169" fillId="107" borderId="145" xfId="22678" quotePrefix="1" applyNumberFormat="1" applyFont="1" applyFill="1" applyBorder="1" applyAlignment="1" applyProtection="1">
      <alignment horizontal="center" vertical="center"/>
      <protection locked="0"/>
    </xf>
    <xf numFmtId="0" fontId="169" fillId="107" borderId="163" xfId="27932" applyNumberFormat="1" applyFont="1" applyFill="1" applyBorder="1" applyAlignment="1" applyProtection="1">
      <alignment horizontal="center" vertical="center" wrapText="1"/>
      <protection locked="0"/>
    </xf>
    <xf numFmtId="0" fontId="169" fillId="107" borderId="117" xfId="22678" quotePrefix="1" applyNumberFormat="1" applyFont="1" applyFill="1" applyBorder="1" applyAlignment="1" applyProtection="1">
      <alignment horizontal="center" vertical="center" wrapText="1"/>
      <protection locked="0"/>
    </xf>
    <xf numFmtId="0" fontId="169" fillId="107" borderId="218" xfId="27932" applyNumberFormat="1" applyFont="1" applyFill="1" applyBorder="1" applyAlignment="1" applyProtection="1">
      <alignment horizontal="center" vertical="center"/>
      <protection locked="0"/>
    </xf>
    <xf numFmtId="0" fontId="169" fillId="107" borderId="147" xfId="27932" applyNumberFormat="1" applyFont="1" applyFill="1" applyBorder="1" applyAlignment="1" applyProtection="1">
      <alignment horizontal="center" vertical="center"/>
      <protection locked="0"/>
    </xf>
    <xf numFmtId="366" fontId="169" fillId="107" borderId="163" xfId="27932" applyNumberFormat="1" applyFont="1" applyFill="1" applyBorder="1" applyAlignment="1" applyProtection="1">
      <alignment horizontal="center" vertical="center" wrapText="1"/>
      <protection locked="0"/>
    </xf>
    <xf numFmtId="210" fontId="169" fillId="107" borderId="117" xfId="27934" applyNumberFormat="1" applyFont="1" applyFill="1" applyBorder="1" applyAlignment="1" applyProtection="1">
      <alignment horizontal="center" vertical="center"/>
      <protection locked="0"/>
    </xf>
    <xf numFmtId="363" fontId="169" fillId="107" borderId="146" xfId="27934" applyNumberFormat="1" applyFont="1" applyFill="1" applyBorder="1" applyAlignment="1" applyProtection="1">
      <alignment horizontal="center" vertical="center"/>
      <protection locked="0"/>
    </xf>
    <xf numFmtId="14" fontId="169" fillId="107" borderId="117" xfId="27934" applyNumberFormat="1" applyFont="1" applyFill="1" applyBorder="1" applyAlignment="1" applyProtection="1">
      <alignment horizontal="center" vertical="center"/>
      <protection locked="0"/>
    </xf>
    <xf numFmtId="359" fontId="498" fillId="107" borderId="148" xfId="22678" applyFont="1" applyFill="1" applyBorder="1" applyAlignment="1" applyProtection="1">
      <alignment horizontal="left" vertical="top" wrapText="1"/>
      <protection locked="0"/>
    </xf>
    <xf numFmtId="368" fontId="169" fillId="107" borderId="145" xfId="22678" applyNumberFormat="1" applyFont="1" applyFill="1" applyBorder="1" applyAlignment="1" applyProtection="1">
      <alignment horizontal="center" vertical="center"/>
      <protection locked="0"/>
    </xf>
    <xf numFmtId="49" fontId="169" fillId="107" borderId="117" xfId="22678" applyNumberFormat="1" applyFont="1" applyFill="1" applyBorder="1" applyAlignment="1" applyProtection="1">
      <alignment horizontal="center" vertical="center"/>
      <protection locked="0"/>
    </xf>
    <xf numFmtId="49" fontId="169" fillId="107" borderId="145" xfId="22678" applyNumberFormat="1" applyFont="1" applyFill="1" applyBorder="1" applyAlignment="1" applyProtection="1">
      <alignment horizontal="center" vertical="center"/>
      <protection locked="0"/>
    </xf>
    <xf numFmtId="49" fontId="169" fillId="107" borderId="117" xfId="22678" applyNumberFormat="1" applyFont="1" applyFill="1" applyBorder="1" applyAlignment="1" applyProtection="1">
      <alignment horizontal="center" vertical="center" wrapText="1"/>
      <protection locked="0"/>
    </xf>
    <xf numFmtId="363" fontId="497" fillId="107" borderId="146" xfId="27932" applyNumberFormat="1" applyFont="1" applyFill="1" applyBorder="1" applyAlignment="1" applyProtection="1">
      <alignment horizontal="center" vertical="center"/>
      <protection locked="0"/>
    </xf>
    <xf numFmtId="359" fontId="169" fillId="107" borderId="148" xfId="22678" applyFont="1" applyFill="1" applyBorder="1" applyAlignment="1" applyProtection="1">
      <alignment horizontal="left" vertical="center" wrapText="1"/>
      <protection locked="0"/>
    </xf>
    <xf numFmtId="179" fontId="353" fillId="107" borderId="117" xfId="7850" applyNumberFormat="1" applyFont="1" applyFill="1" applyBorder="1" applyAlignment="1" applyProtection="1">
      <alignment horizontal="left" vertical="center" wrapText="1"/>
      <protection locked="0"/>
    </xf>
    <xf numFmtId="179" fontId="169" fillId="107" borderId="146" xfId="27933" applyNumberFormat="1" applyFont="1" applyFill="1" applyBorder="1" applyAlignment="1" applyProtection="1">
      <alignment horizontal="center" vertical="center" wrapText="1"/>
      <protection locked="0"/>
    </xf>
    <xf numFmtId="366" fontId="496" fillId="107" borderId="117" xfId="27932" applyNumberFormat="1" applyFont="1" applyFill="1" applyBorder="1" applyAlignment="1" applyProtection="1">
      <alignment horizontal="center" vertical="center"/>
      <protection locked="0"/>
    </xf>
    <xf numFmtId="0" fontId="496" fillId="107" borderId="117" xfId="22678" quotePrefix="1" applyNumberFormat="1" applyFont="1" applyFill="1" applyBorder="1" applyAlignment="1" applyProtection="1">
      <alignment horizontal="center" vertical="center"/>
      <protection locked="0"/>
    </xf>
    <xf numFmtId="0" fontId="66" fillId="0" borderId="0" xfId="19278" applyFont="1" applyAlignment="1">
      <alignment wrapText="1"/>
    </xf>
    <xf numFmtId="359" fontId="437" fillId="0" borderId="0" xfId="22678" applyFont="1" applyAlignment="1" applyProtection="1">
      <alignment horizontal="center" vertical="center"/>
      <protection locked="0"/>
    </xf>
    <xf numFmtId="359" fontId="437" fillId="0" borderId="0" xfId="22678" applyFont="1" applyAlignment="1" applyProtection="1">
      <alignment vertical="center"/>
      <protection locked="0"/>
    </xf>
    <xf numFmtId="179" fontId="437" fillId="0" borderId="0" xfId="27944" applyNumberFormat="1" applyFont="1" applyFill="1" applyBorder="1" applyAlignment="1" applyProtection="1">
      <alignment horizontal="center" vertical="center"/>
      <protection locked="0"/>
    </xf>
    <xf numFmtId="40" fontId="437" fillId="0" borderId="0" xfId="27944" applyNumberFormat="1" applyFont="1" applyFill="1" applyBorder="1" applyAlignment="1" applyProtection="1">
      <alignment horizontal="center" vertical="center"/>
      <protection locked="0"/>
    </xf>
    <xf numFmtId="40" fontId="437" fillId="0" borderId="0" xfId="22678" applyNumberFormat="1" applyFont="1" applyAlignment="1" applyProtection="1">
      <alignment horizontal="center" vertical="center"/>
      <protection locked="0"/>
    </xf>
    <xf numFmtId="0" fontId="439" fillId="0" borderId="0" xfId="2" applyFont="1" applyAlignment="1">
      <alignment horizontal="left" vertical="center"/>
    </xf>
    <xf numFmtId="0" fontId="438" fillId="0" borderId="0" xfId="2" applyFont="1" applyAlignment="1">
      <alignment horizontal="left"/>
    </xf>
    <xf numFmtId="0" fontId="440" fillId="0" borderId="0" xfId="0" applyFont="1" applyAlignment="1">
      <alignment vertical="center" wrapText="1"/>
    </xf>
    <xf numFmtId="40" fontId="440" fillId="0" borderId="0" xfId="0" applyNumberFormat="1" applyFont="1" applyAlignment="1">
      <alignment vertical="center" wrapText="1"/>
    </xf>
    <xf numFmtId="40" fontId="440" fillId="0" borderId="0" xfId="0" applyNumberFormat="1" applyFont="1" applyAlignment="1">
      <alignment horizontal="center" vertical="center" wrapText="1"/>
    </xf>
    <xf numFmtId="0" fontId="440" fillId="0" borderId="0" xfId="0" applyFont="1" applyAlignment="1">
      <alignment vertical="center"/>
    </xf>
    <xf numFmtId="9" fontId="440" fillId="0" borderId="0" xfId="27945" applyFont="1" applyAlignment="1">
      <alignment vertical="center"/>
    </xf>
    <xf numFmtId="40" fontId="440" fillId="0" borderId="0" xfId="0" applyNumberFormat="1" applyFont="1" applyAlignment="1">
      <alignment vertical="center"/>
    </xf>
    <xf numFmtId="0" fontId="440" fillId="0" borderId="0" xfId="0" applyFont="1" applyAlignment="1">
      <alignment horizontal="center" vertical="center"/>
    </xf>
    <xf numFmtId="40" fontId="440" fillId="0" borderId="0" xfId="0" applyNumberFormat="1" applyFont="1" applyAlignment="1">
      <alignment horizontal="center" vertical="center"/>
    </xf>
    <xf numFmtId="0" fontId="439" fillId="0" borderId="0" xfId="0" applyFont="1" applyAlignment="1">
      <alignment horizontal="left" vertical="center"/>
    </xf>
    <xf numFmtId="171" fontId="440" fillId="0" borderId="0" xfId="0" applyNumberFormat="1" applyFont="1" applyAlignment="1">
      <alignment vertical="center"/>
    </xf>
    <xf numFmtId="0" fontId="438" fillId="0" borderId="0" xfId="0" applyFont="1" applyAlignment="1">
      <alignment horizontal="left" vertical="center" wrapText="1"/>
    </xf>
    <xf numFmtId="4" fontId="440" fillId="0" borderId="0" xfId="0" applyNumberFormat="1" applyFont="1" applyAlignment="1">
      <alignment vertical="center"/>
    </xf>
    <xf numFmtId="0" fontId="440" fillId="0" borderId="0" xfId="0" applyFont="1" applyAlignment="1">
      <alignment horizontal="center" vertical="center" wrapText="1"/>
    </xf>
    <xf numFmtId="2" fontId="437" fillId="0" borderId="0" xfId="22678" applyNumberFormat="1" applyFont="1" applyAlignment="1" applyProtection="1">
      <alignment horizontal="center" vertical="center"/>
      <protection locked="0"/>
    </xf>
    <xf numFmtId="10" fontId="437" fillId="0" borderId="0" xfId="27945" applyNumberFormat="1" applyFont="1" applyAlignment="1" applyProtection="1">
      <alignment horizontal="center" vertical="center"/>
      <protection locked="0"/>
    </xf>
    <xf numFmtId="359" fontId="441" fillId="172" borderId="108" xfId="22678" applyFont="1" applyFill="1" applyBorder="1" applyAlignment="1" applyProtection="1">
      <alignment horizontal="centerContinuous" vertical="center"/>
      <protection locked="0"/>
    </xf>
    <xf numFmtId="359" fontId="441" fillId="172" borderId="110" xfId="22678" applyFont="1" applyFill="1" applyBorder="1" applyAlignment="1" applyProtection="1">
      <alignment horizontal="centerContinuous" vertical="center"/>
      <protection locked="0"/>
    </xf>
    <xf numFmtId="179" fontId="441" fillId="172" borderId="110" xfId="27944" applyNumberFormat="1" applyFont="1" applyFill="1" applyBorder="1" applyAlignment="1" applyProtection="1">
      <alignment horizontal="centerContinuous" vertical="center"/>
      <protection locked="0"/>
    </xf>
    <xf numFmtId="40" fontId="441" fillId="172" borderId="110" xfId="27944" applyNumberFormat="1" applyFont="1" applyFill="1" applyBorder="1" applyAlignment="1" applyProtection="1">
      <alignment horizontal="centerContinuous" vertical="center"/>
      <protection locked="0"/>
    </xf>
    <xf numFmtId="40" fontId="441" fillId="172" borderId="110" xfId="22678" applyNumberFormat="1" applyFont="1" applyFill="1" applyBorder="1" applyAlignment="1" applyProtection="1">
      <alignment horizontal="centerContinuous" vertical="center"/>
      <protection locked="0"/>
    </xf>
    <xf numFmtId="179" fontId="441" fillId="172" borderId="109" xfId="27944" applyNumberFormat="1" applyFont="1" applyFill="1" applyBorder="1" applyAlignment="1" applyProtection="1">
      <alignment horizontal="centerContinuous" vertical="center"/>
      <protection locked="0"/>
    </xf>
    <xf numFmtId="171" fontId="441" fillId="141" borderId="259" xfId="22679" applyNumberFormat="1" applyFont="1" applyFill="1" applyBorder="1" applyAlignment="1" applyProtection="1">
      <alignment horizontal="center" vertical="center" wrapText="1"/>
      <protection locked="0"/>
    </xf>
    <xf numFmtId="171" fontId="441" fillId="141" borderId="260" xfId="22679" applyNumberFormat="1" applyFont="1" applyFill="1" applyBorder="1" applyAlignment="1" applyProtection="1">
      <alignment horizontal="center" vertical="center" wrapText="1"/>
      <protection locked="0"/>
    </xf>
    <xf numFmtId="179" fontId="441" fillId="141" borderId="260" xfId="27944" applyNumberFormat="1" applyFont="1" applyFill="1" applyBorder="1" applyAlignment="1" applyProtection="1">
      <alignment horizontal="center" vertical="center" wrapText="1"/>
      <protection locked="0"/>
    </xf>
    <xf numFmtId="40" fontId="441" fillId="141" borderId="260" xfId="27944" applyNumberFormat="1" applyFont="1" applyFill="1" applyBorder="1" applyAlignment="1" applyProtection="1">
      <alignment horizontal="center" vertical="center" wrapText="1"/>
      <protection locked="0"/>
    </xf>
    <xf numFmtId="40" fontId="441" fillId="141" borderId="262" xfId="27944" applyNumberFormat="1" applyFont="1" applyFill="1" applyBorder="1" applyAlignment="1" applyProtection="1">
      <alignment horizontal="center" vertical="center" wrapText="1"/>
      <protection locked="0"/>
    </xf>
    <xf numFmtId="40" fontId="441" fillId="141" borderId="261" xfId="27944" applyNumberFormat="1" applyFont="1" applyFill="1" applyBorder="1" applyAlignment="1" applyProtection="1">
      <alignment horizontal="center" vertical="center" wrapText="1"/>
      <protection locked="0"/>
    </xf>
    <xf numFmtId="359" fontId="437" fillId="0" borderId="0" xfId="22678" applyFont="1" applyAlignment="1" applyProtection="1">
      <alignment vertical="top"/>
      <protection locked="0"/>
    </xf>
    <xf numFmtId="179" fontId="441" fillId="142" borderId="260" xfId="27944" applyNumberFormat="1" applyFont="1" applyFill="1" applyBorder="1" applyAlignment="1" applyProtection="1">
      <alignment horizontal="center" vertical="center" wrapText="1"/>
      <protection locked="0"/>
    </xf>
    <xf numFmtId="40" fontId="441" fillId="142" borderId="260" xfId="27944" applyNumberFormat="1" applyFont="1" applyFill="1" applyBorder="1" applyAlignment="1" applyProtection="1">
      <alignment horizontal="center" vertical="center" wrapText="1"/>
      <protection locked="0"/>
    </xf>
    <xf numFmtId="40" fontId="441" fillId="142" borderId="262" xfId="27944" applyNumberFormat="1" applyFont="1" applyFill="1" applyBorder="1" applyAlignment="1" applyProtection="1">
      <alignment horizontal="center" vertical="center" wrapText="1"/>
      <protection locked="0"/>
    </xf>
    <xf numFmtId="40" fontId="441" fillId="142" borderId="261" xfId="27944" applyNumberFormat="1" applyFont="1" applyFill="1" applyBorder="1" applyAlignment="1" applyProtection="1">
      <alignment horizontal="center" vertical="center" wrapText="1"/>
      <protection locked="0"/>
    </xf>
    <xf numFmtId="179" fontId="441" fillId="143" borderId="259" xfId="27944" applyNumberFormat="1" applyFont="1" applyFill="1" applyBorder="1" applyAlignment="1" applyProtection="1">
      <alignment horizontal="center" vertical="center" wrapText="1"/>
      <protection locked="0"/>
    </xf>
    <xf numFmtId="179" fontId="442" fillId="143" borderId="263" xfId="27944" applyNumberFormat="1" applyFont="1" applyFill="1" applyBorder="1" applyAlignment="1" applyProtection="1">
      <alignment horizontal="center" vertical="center" wrapText="1"/>
      <protection locked="0"/>
    </xf>
    <xf numFmtId="179" fontId="441" fillId="143" borderId="260" xfId="27944" applyNumberFormat="1" applyFont="1" applyFill="1" applyBorder="1" applyAlignment="1" applyProtection="1">
      <alignment horizontal="center" vertical="center" wrapText="1"/>
      <protection locked="0"/>
    </xf>
    <xf numFmtId="179" fontId="441" fillId="143" borderId="261" xfId="27944" applyNumberFormat="1" applyFont="1" applyFill="1" applyBorder="1" applyAlignment="1" applyProtection="1">
      <alignment horizontal="center" vertical="center" wrapText="1"/>
      <protection locked="0"/>
    </xf>
    <xf numFmtId="171" fontId="441" fillId="141" borderId="264" xfId="22679" applyNumberFormat="1" applyFont="1" applyFill="1" applyBorder="1" applyAlignment="1" applyProtection="1">
      <alignment horizontal="center" vertical="center" wrapText="1"/>
      <protection locked="0"/>
    </xf>
    <xf numFmtId="171" fontId="441" fillId="141" borderId="265" xfId="22679" applyNumberFormat="1" applyFont="1" applyFill="1" applyBorder="1" applyAlignment="1" applyProtection="1">
      <alignment vertical="center" wrapText="1"/>
      <protection locked="0"/>
    </xf>
    <xf numFmtId="171" fontId="441" fillId="141" borderId="265" xfId="22679" applyNumberFormat="1" applyFont="1" applyFill="1" applyBorder="1" applyAlignment="1" applyProtection="1">
      <alignment horizontal="center" vertical="center" wrapText="1"/>
      <protection locked="0"/>
    </xf>
    <xf numFmtId="179" fontId="441" fillId="141" borderId="265" xfId="27944" applyNumberFormat="1" applyFont="1" applyFill="1" applyBorder="1" applyAlignment="1" applyProtection="1">
      <alignment horizontal="center" vertical="center" wrapText="1"/>
      <protection locked="0"/>
    </xf>
    <xf numFmtId="179" fontId="441" fillId="141" borderId="383" xfId="27944" applyNumberFormat="1" applyFont="1" applyFill="1" applyBorder="1" applyAlignment="1" applyProtection="1">
      <alignment horizontal="center" vertical="center" wrapText="1"/>
      <protection locked="0"/>
    </xf>
    <xf numFmtId="40" fontId="441" fillId="141" borderId="265" xfId="27944" applyNumberFormat="1" applyFont="1" applyFill="1" applyBorder="1" applyAlignment="1" applyProtection="1">
      <alignment horizontal="center" vertical="center" wrapText="1"/>
      <protection locked="0"/>
    </xf>
    <xf numFmtId="9" fontId="441" fillId="141" borderId="384" xfId="22690" applyFont="1" applyFill="1" applyBorder="1" applyAlignment="1" applyProtection="1">
      <alignment horizontal="center" vertical="center" wrapText="1"/>
      <protection locked="0"/>
    </xf>
    <xf numFmtId="40" fontId="441" fillId="141" borderId="266" xfId="27944" applyNumberFormat="1" applyFont="1" applyFill="1" applyBorder="1" applyAlignment="1" applyProtection="1">
      <alignment horizontal="center" vertical="center" wrapText="1"/>
      <protection locked="0"/>
    </xf>
    <xf numFmtId="179" fontId="441" fillId="142" borderId="383" xfId="27944" applyNumberFormat="1" applyFont="1" applyFill="1" applyBorder="1" applyAlignment="1" applyProtection="1">
      <alignment horizontal="center" vertical="center" wrapText="1"/>
      <protection locked="0"/>
    </xf>
    <xf numFmtId="179" fontId="441" fillId="142" borderId="265" xfId="27944" quotePrefix="1" applyNumberFormat="1" applyFont="1" applyFill="1" applyBorder="1" applyAlignment="1" applyProtection="1">
      <alignment horizontal="center" vertical="center" wrapText="1"/>
      <protection locked="0"/>
    </xf>
    <xf numFmtId="9" fontId="441" fillId="142" borderId="265" xfId="22690" applyFont="1" applyFill="1" applyBorder="1" applyAlignment="1" applyProtection="1">
      <alignment horizontal="center" vertical="center" wrapText="1"/>
      <protection locked="0"/>
    </xf>
    <xf numFmtId="179" fontId="441" fillId="143" borderId="383" xfId="27944" applyNumberFormat="1" applyFont="1" applyFill="1" applyBorder="1" applyAlignment="1" applyProtection="1">
      <alignment horizontal="center" vertical="center" wrapText="1"/>
      <protection locked="0"/>
    </xf>
    <xf numFmtId="179" fontId="441" fillId="143" borderId="383" xfId="27944" quotePrefix="1" applyNumberFormat="1" applyFont="1" applyFill="1" applyBorder="1" applyAlignment="1" applyProtection="1">
      <alignment horizontal="center" vertical="center" wrapText="1"/>
      <protection locked="0"/>
    </xf>
    <xf numFmtId="171" fontId="441" fillId="143" borderId="383" xfId="22679" applyNumberFormat="1" applyFont="1" applyFill="1" applyBorder="1" applyAlignment="1" applyProtection="1">
      <alignment horizontal="center" vertical="center" wrapText="1"/>
      <protection locked="0"/>
    </xf>
    <xf numFmtId="9" fontId="441" fillId="143" borderId="383" xfId="22690" applyFont="1" applyFill="1" applyBorder="1" applyAlignment="1" applyProtection="1">
      <alignment horizontal="center" vertical="center" wrapText="1"/>
      <protection locked="0"/>
    </xf>
    <xf numFmtId="179" fontId="441" fillId="143" borderId="385" xfId="27944" applyNumberFormat="1" applyFont="1" applyFill="1" applyBorder="1" applyAlignment="1" applyProtection="1">
      <alignment horizontal="center" vertical="center" wrapText="1"/>
      <protection locked="0"/>
    </xf>
    <xf numFmtId="171" fontId="505" fillId="107" borderId="365" xfId="22679" applyNumberFormat="1" applyFont="1" applyFill="1" applyBorder="1" applyAlignment="1" applyProtection="1">
      <alignment horizontal="center" vertical="center" wrapText="1"/>
      <protection locked="0"/>
    </xf>
    <xf numFmtId="171" fontId="441" fillId="107" borderId="365" xfId="22679" applyNumberFormat="1" applyFont="1" applyFill="1" applyBorder="1" applyAlignment="1" applyProtection="1">
      <alignment horizontal="center" vertical="center" wrapText="1"/>
      <protection locked="0"/>
    </xf>
    <xf numFmtId="179" fontId="505" fillId="107" borderId="365" xfId="27944" applyNumberFormat="1" applyFont="1" applyFill="1" applyBorder="1" applyAlignment="1" applyProtection="1">
      <alignment horizontal="center" vertical="center" wrapText="1"/>
      <protection locked="0"/>
    </xf>
    <xf numFmtId="179" fontId="505" fillId="107" borderId="365" xfId="27944" quotePrefix="1" applyNumberFormat="1" applyFont="1" applyFill="1" applyBorder="1" applyAlignment="1" applyProtection="1">
      <alignment horizontal="center" vertical="center" wrapText="1"/>
      <protection locked="0"/>
    </xf>
    <xf numFmtId="40" fontId="505" fillId="107" borderId="365" xfId="22679" applyNumberFormat="1" applyFont="1" applyFill="1" applyBorder="1" applyAlignment="1" applyProtection="1">
      <alignment horizontal="center" vertical="center" wrapText="1"/>
      <protection locked="0"/>
    </xf>
    <xf numFmtId="9" fontId="505" fillId="107" borderId="365" xfId="22690" applyFont="1" applyFill="1" applyBorder="1" applyAlignment="1" applyProtection="1">
      <alignment horizontal="center" vertical="center" wrapText="1"/>
      <protection locked="0"/>
    </xf>
    <xf numFmtId="179" fontId="437" fillId="0" borderId="117" xfId="27944" applyNumberFormat="1" applyFont="1" applyFill="1" applyBorder="1" applyAlignment="1" applyProtection="1">
      <alignment horizontal="center" vertical="center"/>
      <protection locked="0"/>
    </xf>
    <xf numFmtId="15" fontId="437" fillId="0" borderId="117" xfId="27944" applyNumberFormat="1" applyFont="1" applyFill="1" applyBorder="1" applyAlignment="1" applyProtection="1">
      <alignment horizontal="center" vertical="center"/>
      <protection locked="0"/>
    </xf>
    <xf numFmtId="40" fontId="437" fillId="0" borderId="117" xfId="27944" applyNumberFormat="1" applyFont="1" applyFill="1" applyBorder="1" applyAlignment="1" applyProtection="1">
      <alignment horizontal="center" vertical="center"/>
      <protection locked="0"/>
    </xf>
    <xf numFmtId="15" fontId="437" fillId="0" borderId="117" xfId="22678" quotePrefix="1" applyNumberFormat="1" applyFont="1" applyBorder="1" applyAlignment="1" applyProtection="1">
      <alignment horizontal="center" vertical="center"/>
      <protection locked="0"/>
    </xf>
    <xf numFmtId="38" fontId="437" fillId="0" borderId="117" xfId="22678" quotePrefix="1" applyNumberFormat="1" applyFont="1" applyBorder="1" applyAlignment="1" applyProtection="1">
      <alignment horizontal="center" vertical="center"/>
      <protection locked="0"/>
    </xf>
    <xf numFmtId="15" fontId="437" fillId="0" borderId="214" xfId="22678" quotePrefix="1" applyNumberFormat="1" applyFont="1" applyBorder="1" applyAlignment="1" applyProtection="1">
      <alignment horizontal="center" vertical="center"/>
      <protection locked="0"/>
    </xf>
    <xf numFmtId="15" fontId="437" fillId="0" borderId="214" xfId="27944" applyNumberFormat="1" applyFont="1" applyFill="1" applyBorder="1" applyAlignment="1" applyProtection="1">
      <alignment horizontal="center" vertical="center"/>
      <protection locked="0"/>
    </xf>
    <xf numFmtId="40" fontId="437" fillId="0" borderId="214" xfId="22678" quotePrefix="1" applyNumberFormat="1" applyFont="1" applyBorder="1" applyAlignment="1" applyProtection="1">
      <alignment horizontal="center" vertical="center"/>
      <protection locked="0"/>
    </xf>
    <xf numFmtId="40" fontId="437" fillId="0" borderId="117" xfId="22678" quotePrefix="1" applyNumberFormat="1" applyFont="1" applyBorder="1" applyAlignment="1" applyProtection="1">
      <alignment horizontal="center" vertical="center"/>
      <protection locked="0"/>
    </xf>
    <xf numFmtId="0" fontId="437" fillId="0" borderId="115" xfId="22678" quotePrefix="1" applyNumberFormat="1" applyFont="1" applyBorder="1" applyAlignment="1" applyProtection="1">
      <alignment horizontal="center" vertical="center"/>
      <protection locked="0"/>
    </xf>
    <xf numFmtId="359" fontId="437" fillId="0" borderId="170" xfId="22678" applyFont="1" applyBorder="1" applyAlignment="1" applyProtection="1">
      <alignment horizontal="center" vertical="center"/>
      <protection locked="0"/>
    </xf>
    <xf numFmtId="179" fontId="437" fillId="0" borderId="170" xfId="27944" applyNumberFormat="1" applyFont="1" applyFill="1" applyBorder="1" applyAlignment="1" applyProtection="1">
      <alignment horizontal="center" vertical="center"/>
      <protection locked="0"/>
    </xf>
    <xf numFmtId="40" fontId="437" fillId="0" borderId="170" xfId="27944" applyNumberFormat="1" applyFont="1" applyFill="1" applyBorder="1" applyAlignment="1" applyProtection="1">
      <alignment horizontal="center" vertical="center"/>
      <protection locked="0"/>
    </xf>
    <xf numFmtId="0" fontId="437" fillId="0" borderId="170" xfId="22678" quotePrefix="1" applyNumberFormat="1" applyFont="1" applyBorder="1" applyAlignment="1" applyProtection="1">
      <alignment horizontal="center" vertical="center"/>
      <protection locked="0"/>
    </xf>
    <xf numFmtId="15" fontId="437" fillId="0" borderId="170" xfId="27944" applyNumberFormat="1" applyFont="1" applyFill="1" applyBorder="1" applyAlignment="1" applyProtection="1">
      <alignment horizontal="center" vertical="center"/>
      <protection locked="0"/>
    </xf>
    <xf numFmtId="38" fontId="437" fillId="0" borderId="170" xfId="27944" applyNumberFormat="1" applyFont="1" applyFill="1" applyBorder="1" applyAlignment="1" applyProtection="1">
      <alignment horizontal="center" vertical="center"/>
      <protection locked="0"/>
    </xf>
    <xf numFmtId="40" fontId="437" fillId="0" borderId="170" xfId="22678" quotePrefix="1" applyNumberFormat="1" applyFont="1" applyBorder="1" applyAlignment="1" applyProtection="1">
      <alignment horizontal="center" vertical="center"/>
      <protection locked="0"/>
    </xf>
    <xf numFmtId="15" fontId="437" fillId="0" borderId="170" xfId="22678" quotePrefix="1" applyNumberFormat="1" applyFont="1" applyBorder="1" applyAlignment="1" applyProtection="1">
      <alignment horizontal="center" vertical="center"/>
      <protection locked="0"/>
    </xf>
    <xf numFmtId="40" fontId="441" fillId="0" borderId="359" xfId="27944" applyNumberFormat="1" applyFont="1" applyFill="1" applyBorder="1" applyAlignment="1" applyProtection="1">
      <alignment horizontal="center" vertical="center"/>
      <protection locked="0"/>
    </xf>
    <xf numFmtId="0" fontId="441" fillId="0" borderId="357" xfId="22678" quotePrefix="1" applyNumberFormat="1" applyFont="1" applyBorder="1" applyAlignment="1" applyProtection="1">
      <alignment horizontal="centerContinuous" vertical="center"/>
      <protection locked="0"/>
    </xf>
    <xf numFmtId="0" fontId="441" fillId="0" borderId="358" xfId="22678" quotePrefix="1" applyNumberFormat="1" applyFont="1" applyBorder="1" applyAlignment="1" applyProtection="1">
      <alignment horizontal="centerContinuous" vertical="center"/>
      <protection locked="0"/>
    </xf>
    <xf numFmtId="40" fontId="441" fillId="0" borderId="360" xfId="27944" applyNumberFormat="1" applyFont="1" applyFill="1" applyBorder="1" applyAlignment="1" applyProtection="1">
      <alignment horizontal="center" vertical="center"/>
      <protection locked="0"/>
    </xf>
    <xf numFmtId="0" fontId="441" fillId="0" borderId="357" xfId="22678" quotePrefix="1" applyNumberFormat="1" applyFont="1" applyBorder="1" applyAlignment="1" applyProtection="1">
      <alignment horizontal="centerContinuous" vertical="center" wrapText="1"/>
      <protection locked="0"/>
    </xf>
    <xf numFmtId="0" fontId="441" fillId="0" borderId="358" xfId="22678" quotePrefix="1" applyNumberFormat="1" applyFont="1" applyBorder="1" applyAlignment="1" applyProtection="1">
      <alignment horizontal="centerContinuous" vertical="center" wrapText="1"/>
      <protection locked="0"/>
    </xf>
    <xf numFmtId="359" fontId="441" fillId="116" borderId="108" xfId="22678" applyFont="1" applyFill="1" applyBorder="1" applyAlignment="1" applyProtection="1">
      <alignment horizontal="centerContinuous" vertical="center"/>
      <protection locked="0"/>
    </xf>
    <xf numFmtId="359" fontId="441" fillId="116" borderId="110" xfId="22678" applyFont="1" applyFill="1" applyBorder="1" applyAlignment="1" applyProtection="1">
      <alignment horizontal="centerContinuous" vertical="center"/>
      <protection locked="0"/>
    </xf>
    <xf numFmtId="179" fontId="441" fillId="116" borderId="110" xfId="27944" applyNumberFormat="1" applyFont="1" applyFill="1" applyBorder="1" applyAlignment="1" applyProtection="1">
      <alignment horizontal="centerContinuous" vertical="center"/>
      <protection locked="0"/>
    </xf>
    <xf numFmtId="40" fontId="441" fillId="116" borderId="110" xfId="27944" applyNumberFormat="1" applyFont="1" applyFill="1" applyBorder="1" applyAlignment="1" applyProtection="1">
      <alignment horizontal="centerContinuous" vertical="center"/>
      <protection locked="0"/>
    </xf>
    <xf numFmtId="40" fontId="441" fillId="116" borderId="110" xfId="22678" applyNumberFormat="1" applyFont="1" applyFill="1" applyBorder="1" applyAlignment="1" applyProtection="1">
      <alignment horizontal="centerContinuous" vertical="center"/>
      <protection locked="0"/>
    </xf>
    <xf numFmtId="179" fontId="441" fillId="116" borderId="109" xfId="27944" applyNumberFormat="1" applyFont="1" applyFill="1" applyBorder="1" applyAlignment="1" applyProtection="1">
      <alignment horizontal="centerContinuous" vertical="center"/>
      <protection locked="0"/>
    </xf>
    <xf numFmtId="179" fontId="437" fillId="0" borderId="221" xfId="27944" applyNumberFormat="1" applyFont="1" applyFill="1" applyBorder="1" applyAlignment="1" applyProtection="1">
      <alignment horizontal="center" vertical="center"/>
      <protection locked="0"/>
    </xf>
    <xf numFmtId="179" fontId="437" fillId="0" borderId="350" xfId="27944" applyNumberFormat="1" applyFont="1" applyFill="1" applyBorder="1" applyAlignment="1" applyProtection="1">
      <alignment horizontal="center" vertical="center"/>
      <protection locked="0"/>
    </xf>
    <xf numFmtId="0" fontId="437" fillId="0" borderId="350" xfId="22678" quotePrefix="1" applyNumberFormat="1" applyFont="1" applyBorder="1" applyAlignment="1" applyProtection="1">
      <alignment horizontal="center" vertical="center"/>
      <protection locked="0"/>
    </xf>
    <xf numFmtId="17" fontId="437" fillId="0" borderId="117" xfId="27944" applyNumberFormat="1" applyFont="1" applyFill="1" applyBorder="1" applyAlignment="1" applyProtection="1">
      <alignment horizontal="center" vertical="center" wrapText="1"/>
      <protection locked="0"/>
    </xf>
    <xf numFmtId="359" fontId="443" fillId="137" borderId="108" xfId="22678" applyFont="1" applyFill="1" applyBorder="1" applyAlignment="1" applyProtection="1">
      <alignment horizontal="centerContinuous" vertical="center"/>
      <protection locked="0"/>
    </xf>
    <xf numFmtId="359" fontId="443" fillId="137" borderId="110" xfId="22678" applyFont="1" applyFill="1" applyBorder="1" applyAlignment="1" applyProtection="1">
      <alignment horizontal="centerContinuous" vertical="center"/>
      <protection locked="0"/>
    </xf>
    <xf numFmtId="179" fontId="443" fillId="137" borderId="110" xfId="27944" applyNumberFormat="1" applyFont="1" applyFill="1" applyBorder="1" applyAlignment="1" applyProtection="1">
      <alignment horizontal="centerContinuous" vertical="center"/>
      <protection locked="0"/>
    </xf>
    <xf numFmtId="40" fontId="443" fillId="137" borderId="110" xfId="27944" applyNumberFormat="1" applyFont="1" applyFill="1" applyBorder="1" applyAlignment="1" applyProtection="1">
      <alignment horizontal="centerContinuous" vertical="center"/>
      <protection locked="0"/>
    </xf>
    <xf numFmtId="40" fontId="443" fillId="137" borderId="110" xfId="22678" applyNumberFormat="1" applyFont="1" applyFill="1" applyBorder="1" applyAlignment="1" applyProtection="1">
      <alignment horizontal="centerContinuous" vertical="center"/>
      <protection locked="0"/>
    </xf>
    <xf numFmtId="179" fontId="443" fillId="137" borderId="109" xfId="27944" applyNumberFormat="1" applyFont="1" applyFill="1" applyBorder="1" applyAlignment="1" applyProtection="1">
      <alignment horizontal="centerContinuous" vertical="center"/>
      <protection locked="0"/>
    </xf>
    <xf numFmtId="0" fontId="437" fillId="0" borderId="0" xfId="22678" quotePrefix="1" applyNumberFormat="1" applyFont="1" applyAlignment="1" applyProtection="1">
      <alignment horizontal="center" vertical="center"/>
      <protection locked="0"/>
    </xf>
    <xf numFmtId="15" fontId="437" fillId="0" borderId="0" xfId="27944" applyNumberFormat="1" applyFont="1" applyFill="1" applyBorder="1" applyAlignment="1" applyProtection="1">
      <alignment horizontal="right" vertical="center"/>
      <protection locked="0"/>
    </xf>
    <xf numFmtId="15" fontId="437" fillId="0" borderId="0" xfId="27944" applyNumberFormat="1" applyFont="1" applyFill="1" applyBorder="1" applyAlignment="1" applyProtection="1">
      <alignment horizontal="center" vertical="center"/>
      <protection locked="0"/>
    </xf>
    <xf numFmtId="40" fontId="437" fillId="0" borderId="0" xfId="22678" quotePrefix="1" applyNumberFormat="1" applyFont="1" applyAlignment="1" applyProtection="1">
      <alignment horizontal="center" vertical="center"/>
      <protection locked="0"/>
    </xf>
    <xf numFmtId="15" fontId="437" fillId="0" borderId="0" xfId="22678" quotePrefix="1" applyNumberFormat="1" applyFont="1" applyAlignment="1" applyProtection="1">
      <alignment horizontal="center" vertical="center"/>
      <protection locked="0"/>
    </xf>
    <xf numFmtId="0" fontId="437" fillId="0" borderId="0" xfId="22678" applyNumberFormat="1" applyFont="1" applyAlignment="1" applyProtection="1">
      <alignment horizontal="center" vertical="center"/>
      <protection locked="0"/>
    </xf>
    <xf numFmtId="40" fontId="437" fillId="0" borderId="0" xfId="27944" applyNumberFormat="1" applyFont="1" applyFill="1" applyBorder="1" applyAlignment="1" applyProtection="1">
      <alignment horizontal="right" vertical="center"/>
      <protection locked="0"/>
    </xf>
    <xf numFmtId="40" fontId="0" fillId="0" borderId="0" xfId="0" applyNumberFormat="1"/>
    <xf numFmtId="49" fontId="353" fillId="107" borderId="145" xfId="22678" applyNumberFormat="1" applyFont="1" applyFill="1" applyBorder="1" applyAlignment="1" applyProtection="1">
      <alignment horizontal="center" vertical="center"/>
      <protection locked="0"/>
    </xf>
    <xf numFmtId="366" fontId="353" fillId="107" borderId="163" xfId="7850" applyNumberFormat="1" applyFont="1" applyFill="1" applyBorder="1" applyAlignment="1" applyProtection="1">
      <alignment horizontal="center" vertical="center" wrapText="1"/>
      <protection locked="0"/>
    </xf>
    <xf numFmtId="228" fontId="64" fillId="0" borderId="0" xfId="0" applyNumberFormat="1" applyFont="1"/>
    <xf numFmtId="171" fontId="451" fillId="107" borderId="269" xfId="27926" applyFont="1" applyFill="1" applyBorder="1" applyAlignment="1">
      <alignment horizontal="right" vertical="center"/>
    </xf>
    <xf numFmtId="363" fontId="506" fillId="107" borderId="270" xfId="27925" applyNumberFormat="1" applyFont="1" applyFill="1" applyBorder="1" applyAlignment="1">
      <alignment horizontal="center" vertical="center"/>
    </xf>
    <xf numFmtId="0" fontId="425" fillId="0" borderId="391" xfId="22674" applyFont="1" applyBorder="1"/>
    <xf numFmtId="0" fontId="60" fillId="0" borderId="391" xfId="22674" applyFont="1" applyBorder="1" applyAlignment="1">
      <alignment vertical="top"/>
    </xf>
    <xf numFmtId="0" fontId="60" fillId="0" borderId="393" xfId="22674" applyFont="1" applyBorder="1" applyAlignment="1">
      <alignment vertical="top"/>
    </xf>
    <xf numFmtId="43" fontId="60" fillId="0" borderId="280" xfId="19286" applyFont="1" applyBorder="1" applyAlignment="1">
      <alignment horizontal="center" vertical="center"/>
    </xf>
    <xf numFmtId="364" fontId="60" fillId="0" borderId="0" xfId="22674" applyNumberFormat="1" applyFont="1" applyAlignment="1">
      <alignment horizontal="center" vertical="center"/>
    </xf>
    <xf numFmtId="43" fontId="60" fillId="0" borderId="0" xfId="19286" applyFont="1" applyBorder="1" applyAlignment="1">
      <alignment horizontal="center" vertical="center"/>
    </xf>
    <xf numFmtId="49" fontId="353" fillId="177" borderId="145" xfId="22678" quotePrefix="1" applyNumberFormat="1" applyFont="1" applyFill="1" applyBorder="1" applyAlignment="1" applyProtection="1">
      <alignment horizontal="center" vertical="center" wrapText="1"/>
      <protection locked="0"/>
    </xf>
    <xf numFmtId="49" fontId="353" fillId="177" borderId="117" xfId="22678" quotePrefix="1" applyNumberFormat="1" applyFont="1" applyFill="1" applyBorder="1" applyAlignment="1" applyProtection="1">
      <alignment horizontal="center" vertical="center" wrapText="1"/>
      <protection locked="0"/>
    </xf>
    <xf numFmtId="171" fontId="441" fillId="191" borderId="259" xfId="22679" applyNumberFormat="1" applyFont="1" applyFill="1" applyBorder="1" applyAlignment="1" applyProtection="1">
      <alignment horizontal="center" vertical="center" wrapText="1"/>
      <protection locked="0"/>
    </xf>
    <xf numFmtId="171" fontId="441" fillId="191" borderId="260" xfId="22679" applyNumberFormat="1" applyFont="1" applyFill="1" applyBorder="1" applyAlignment="1" applyProtection="1">
      <alignment horizontal="center" vertical="center" wrapText="1"/>
      <protection locked="0"/>
    </xf>
    <xf numFmtId="179" fontId="441" fillId="191" borderId="260" xfId="27944" applyNumberFormat="1" applyFont="1" applyFill="1" applyBorder="1" applyAlignment="1" applyProtection="1">
      <alignment horizontal="center" vertical="center" wrapText="1"/>
      <protection locked="0"/>
    </xf>
    <xf numFmtId="40" fontId="441" fillId="191" borderId="260" xfId="27944" applyNumberFormat="1" applyFont="1" applyFill="1" applyBorder="1" applyAlignment="1" applyProtection="1">
      <alignment horizontal="center" vertical="center" wrapText="1"/>
      <protection locked="0"/>
    </xf>
    <xf numFmtId="40" fontId="441" fillId="191" borderId="262" xfId="27944" applyNumberFormat="1" applyFont="1" applyFill="1" applyBorder="1" applyAlignment="1" applyProtection="1">
      <alignment horizontal="center" vertical="center" wrapText="1"/>
      <protection locked="0"/>
    </xf>
    <xf numFmtId="40" fontId="441" fillId="191" borderId="261" xfId="27944" applyNumberFormat="1" applyFont="1" applyFill="1" applyBorder="1" applyAlignment="1" applyProtection="1">
      <alignment horizontal="center" vertical="center" wrapText="1"/>
      <protection locked="0"/>
    </xf>
    <xf numFmtId="171" fontId="441" fillId="191" borderId="264" xfId="22679" applyNumberFormat="1" applyFont="1" applyFill="1" applyBorder="1" applyAlignment="1" applyProtection="1">
      <alignment horizontal="center" vertical="center" wrapText="1"/>
      <protection locked="0"/>
    </xf>
    <xf numFmtId="171" fontId="441" fillId="191" borderId="265" xfId="22679" applyNumberFormat="1" applyFont="1" applyFill="1" applyBorder="1" applyAlignment="1" applyProtection="1">
      <alignment vertical="center" wrapText="1"/>
      <protection locked="0"/>
    </xf>
    <xf numFmtId="171" fontId="441" fillId="191" borderId="265" xfId="22679" applyNumberFormat="1" applyFont="1" applyFill="1" applyBorder="1" applyAlignment="1" applyProtection="1">
      <alignment horizontal="center" vertical="center" wrapText="1"/>
      <protection locked="0"/>
    </xf>
    <xf numFmtId="179" fontId="441" fillId="191" borderId="265" xfId="27944" applyNumberFormat="1" applyFont="1" applyFill="1" applyBorder="1" applyAlignment="1" applyProtection="1">
      <alignment horizontal="center" vertical="center" wrapText="1"/>
      <protection locked="0"/>
    </xf>
    <xf numFmtId="179" fontId="441" fillId="191" borderId="383" xfId="27944" applyNumberFormat="1" applyFont="1" applyFill="1" applyBorder="1" applyAlignment="1" applyProtection="1">
      <alignment horizontal="center" vertical="center" wrapText="1"/>
      <protection locked="0"/>
    </xf>
    <xf numFmtId="40" fontId="441" fillId="191" borderId="265" xfId="27944" applyNumberFormat="1" applyFont="1" applyFill="1" applyBorder="1" applyAlignment="1" applyProtection="1">
      <alignment horizontal="center" vertical="center" wrapText="1"/>
      <protection locked="0"/>
    </xf>
    <xf numFmtId="9" fontId="441" fillId="191" borderId="384" xfId="22690" applyFont="1" applyFill="1" applyBorder="1" applyAlignment="1" applyProtection="1">
      <alignment horizontal="center" vertical="center" wrapText="1"/>
      <protection locked="0"/>
    </xf>
    <xf numFmtId="40" fontId="441" fillId="191" borderId="266" xfId="27944" applyNumberFormat="1" applyFont="1" applyFill="1" applyBorder="1" applyAlignment="1" applyProtection="1">
      <alignment horizontal="center" vertical="center" wrapText="1"/>
      <protection locked="0"/>
    </xf>
    <xf numFmtId="359" fontId="441" fillId="192" borderId="108" xfId="22678" applyFont="1" applyFill="1" applyBorder="1" applyAlignment="1" applyProtection="1">
      <alignment horizontal="centerContinuous" vertical="center"/>
      <protection locked="0"/>
    </xf>
    <xf numFmtId="359" fontId="441" fillId="192" borderId="110" xfId="22678" applyFont="1" applyFill="1" applyBorder="1" applyAlignment="1" applyProtection="1">
      <alignment horizontal="centerContinuous" vertical="center"/>
      <protection locked="0"/>
    </xf>
    <xf numFmtId="179" fontId="441" fillId="192" borderId="110" xfId="27944" applyNumberFormat="1" applyFont="1" applyFill="1" applyBorder="1" applyAlignment="1" applyProtection="1">
      <alignment horizontal="centerContinuous" vertical="center"/>
      <protection locked="0"/>
    </xf>
    <xf numFmtId="40" fontId="441" fillId="192" borderId="110" xfId="27944" applyNumberFormat="1" applyFont="1" applyFill="1" applyBorder="1" applyAlignment="1" applyProtection="1">
      <alignment horizontal="centerContinuous" vertical="center"/>
      <protection locked="0"/>
    </xf>
    <xf numFmtId="40" fontId="441" fillId="192" borderId="110" xfId="22678" applyNumberFormat="1" applyFont="1" applyFill="1" applyBorder="1" applyAlignment="1" applyProtection="1">
      <alignment horizontal="centerContinuous" vertical="center"/>
      <protection locked="0"/>
    </xf>
    <xf numFmtId="179" fontId="441" fillId="192" borderId="109" xfId="27944" applyNumberFormat="1" applyFont="1" applyFill="1" applyBorder="1" applyAlignment="1" applyProtection="1">
      <alignment horizontal="centerContinuous" vertical="center"/>
      <protection locked="0"/>
    </xf>
    <xf numFmtId="171" fontId="441" fillId="193" borderId="259" xfId="22679" applyNumberFormat="1" applyFont="1" applyFill="1" applyBorder="1" applyAlignment="1" applyProtection="1">
      <alignment horizontal="center" vertical="center" wrapText="1"/>
      <protection locked="0"/>
    </xf>
    <xf numFmtId="179" fontId="441" fillId="193" borderId="260" xfId="27944" applyNumberFormat="1" applyFont="1" applyFill="1" applyBorder="1" applyAlignment="1" applyProtection="1">
      <alignment horizontal="center" vertical="center" wrapText="1"/>
      <protection locked="0"/>
    </xf>
    <xf numFmtId="171" fontId="441" fillId="193" borderId="260" xfId="22679" applyNumberFormat="1" applyFont="1" applyFill="1" applyBorder="1" applyAlignment="1" applyProtection="1">
      <alignment horizontal="center" vertical="center" wrapText="1"/>
      <protection locked="0"/>
    </xf>
    <xf numFmtId="40" fontId="441" fillId="193" borderId="260" xfId="27944" applyNumberFormat="1" applyFont="1" applyFill="1" applyBorder="1" applyAlignment="1" applyProtection="1">
      <alignment horizontal="center" vertical="center" wrapText="1"/>
      <protection locked="0"/>
    </xf>
    <xf numFmtId="40" fontId="441" fillId="193" borderId="262" xfId="27944" applyNumberFormat="1" applyFont="1" applyFill="1" applyBorder="1" applyAlignment="1" applyProtection="1">
      <alignment horizontal="center" vertical="center" wrapText="1"/>
      <protection locked="0"/>
    </xf>
    <xf numFmtId="40" fontId="441" fillId="193" borderId="261" xfId="27944" applyNumberFormat="1" applyFont="1" applyFill="1" applyBorder="1" applyAlignment="1" applyProtection="1">
      <alignment horizontal="center" vertical="center" wrapText="1"/>
      <protection locked="0"/>
    </xf>
    <xf numFmtId="171" fontId="441" fillId="193" borderId="264" xfId="22679" applyNumberFormat="1" applyFont="1" applyFill="1" applyBorder="1" applyAlignment="1" applyProtection="1">
      <alignment horizontal="center" vertical="center" wrapText="1"/>
      <protection locked="0"/>
    </xf>
    <xf numFmtId="171" fontId="441" fillId="193" borderId="265" xfId="22679" applyNumberFormat="1" applyFont="1" applyFill="1" applyBorder="1" applyAlignment="1" applyProtection="1">
      <alignment horizontal="center" vertical="center" wrapText="1"/>
      <protection locked="0"/>
    </xf>
    <xf numFmtId="179" fontId="441" fillId="193" borderId="383" xfId="27944" applyNumberFormat="1" applyFont="1" applyFill="1" applyBorder="1" applyAlignment="1" applyProtection="1">
      <alignment horizontal="center" vertical="center" wrapText="1"/>
      <protection locked="0"/>
    </xf>
    <xf numFmtId="179" fontId="441" fillId="193" borderId="265" xfId="27944" quotePrefix="1" applyNumberFormat="1" applyFont="1" applyFill="1" applyBorder="1" applyAlignment="1" applyProtection="1">
      <alignment horizontal="center" vertical="center" wrapText="1"/>
      <protection locked="0"/>
    </xf>
    <xf numFmtId="40" fontId="441" fillId="193" borderId="265" xfId="22679" applyNumberFormat="1" applyFont="1" applyFill="1" applyBorder="1" applyAlignment="1" applyProtection="1">
      <alignment horizontal="center" vertical="center" wrapText="1"/>
      <protection locked="0"/>
    </xf>
    <xf numFmtId="9" fontId="441" fillId="193" borderId="265" xfId="22690" applyFont="1" applyFill="1" applyBorder="1" applyAlignment="1" applyProtection="1">
      <alignment horizontal="center" vertical="center" wrapText="1"/>
      <protection locked="0"/>
    </xf>
    <xf numFmtId="40" fontId="441" fillId="193" borderId="266" xfId="22679" applyNumberFormat="1" applyFont="1" applyFill="1" applyBorder="1" applyAlignment="1" applyProtection="1">
      <alignment horizontal="center" vertical="center" wrapText="1"/>
      <protection locked="0"/>
    </xf>
    <xf numFmtId="179" fontId="441" fillId="194" borderId="259" xfId="27944" applyNumberFormat="1" applyFont="1" applyFill="1" applyBorder="1" applyAlignment="1" applyProtection="1">
      <alignment horizontal="center" vertical="center" wrapText="1"/>
      <protection locked="0"/>
    </xf>
    <xf numFmtId="179" fontId="442" fillId="194" borderId="263" xfId="27944" applyNumberFormat="1" applyFont="1" applyFill="1" applyBorder="1" applyAlignment="1" applyProtection="1">
      <alignment horizontal="center" vertical="center" wrapText="1"/>
      <protection locked="0"/>
    </xf>
    <xf numFmtId="179" fontId="441" fillId="194" borderId="260" xfId="27944" applyNumberFormat="1" applyFont="1" applyFill="1" applyBorder="1" applyAlignment="1" applyProtection="1">
      <alignment horizontal="center" vertical="center" wrapText="1"/>
      <protection locked="0"/>
    </xf>
    <xf numFmtId="171" fontId="441" fillId="194" borderId="260" xfId="22679" applyNumberFormat="1" applyFont="1" applyFill="1" applyBorder="1" applyAlignment="1" applyProtection="1">
      <alignment horizontal="center" vertical="center" wrapText="1"/>
      <protection locked="0"/>
    </xf>
    <xf numFmtId="179" fontId="441" fillId="194" borderId="261" xfId="27944" applyNumberFormat="1" applyFont="1" applyFill="1" applyBorder="1" applyAlignment="1" applyProtection="1">
      <alignment horizontal="center" vertical="center" wrapText="1"/>
      <protection locked="0"/>
    </xf>
    <xf numFmtId="171" fontId="441" fillId="194" borderId="259" xfId="22679" applyNumberFormat="1" applyFont="1" applyFill="1" applyBorder="1" applyAlignment="1" applyProtection="1">
      <alignment horizontal="center" vertical="center" wrapText="1"/>
      <protection locked="0"/>
    </xf>
    <xf numFmtId="179" fontId="441" fillId="194" borderId="383" xfId="27944" applyNumberFormat="1" applyFont="1" applyFill="1" applyBorder="1" applyAlignment="1" applyProtection="1">
      <alignment horizontal="center" vertical="center" wrapText="1"/>
      <protection locked="0"/>
    </xf>
    <xf numFmtId="179" fontId="441" fillId="194" borderId="383" xfId="27944" quotePrefix="1" applyNumberFormat="1" applyFont="1" applyFill="1" applyBorder="1" applyAlignment="1" applyProtection="1">
      <alignment horizontal="center" vertical="center" wrapText="1"/>
      <protection locked="0"/>
    </xf>
    <xf numFmtId="171" fontId="441" fillId="194" borderId="383" xfId="22679" applyNumberFormat="1" applyFont="1" applyFill="1" applyBorder="1" applyAlignment="1" applyProtection="1">
      <alignment horizontal="center" vertical="center" wrapText="1"/>
      <protection locked="0"/>
    </xf>
    <xf numFmtId="9" fontId="441" fillId="194" borderId="383" xfId="22690" applyFont="1" applyFill="1" applyBorder="1" applyAlignment="1" applyProtection="1">
      <alignment horizontal="center" vertical="center" wrapText="1"/>
      <protection locked="0"/>
    </xf>
    <xf numFmtId="179" fontId="441" fillId="194" borderId="385" xfId="27944" applyNumberFormat="1" applyFont="1" applyFill="1" applyBorder="1" applyAlignment="1" applyProtection="1">
      <alignment horizontal="center" vertical="center" wrapText="1"/>
      <protection locked="0"/>
    </xf>
    <xf numFmtId="0" fontId="434" fillId="134" borderId="253" xfId="0" applyFont="1" applyFill="1" applyBorder="1" applyAlignment="1" applyProtection="1">
      <alignment horizontal="center" vertical="center"/>
      <protection locked="0"/>
    </xf>
    <xf numFmtId="15" fontId="434" fillId="0" borderId="254" xfId="0" applyNumberFormat="1" applyFont="1" applyBorder="1" applyAlignment="1" applyProtection="1">
      <alignment horizontal="center" vertical="center"/>
      <protection locked="0"/>
    </xf>
    <xf numFmtId="0" fontId="434" fillId="0" borderId="254" xfId="0" applyFont="1" applyBorder="1" applyAlignment="1" applyProtection="1">
      <alignment horizontal="center" vertical="center"/>
      <protection locked="0"/>
    </xf>
    <xf numFmtId="0" fontId="434" fillId="0" borderId="241" xfId="0" applyFont="1" applyBorder="1" applyAlignment="1" applyProtection="1">
      <alignment horizontal="center" vertical="center"/>
      <protection locked="0"/>
    </xf>
    <xf numFmtId="0" fontId="434" fillId="0" borderId="241" xfId="0" applyFont="1" applyBorder="1" applyAlignment="1" applyProtection="1">
      <alignment horizontal="center" vertical="center" wrapText="1"/>
      <protection locked="0"/>
    </xf>
    <xf numFmtId="0" fontId="434" fillId="0" borderId="241" xfId="0" applyFont="1" applyBorder="1" applyAlignment="1" applyProtection="1">
      <alignment vertical="center"/>
      <protection locked="0"/>
    </xf>
    <xf numFmtId="0" fontId="434" fillId="134" borderId="255" xfId="0" applyFont="1" applyFill="1" applyBorder="1" applyAlignment="1" applyProtection="1">
      <alignment horizontal="center" vertical="center"/>
      <protection locked="0"/>
    </xf>
    <xf numFmtId="0" fontId="434" fillId="0" borderId="241" xfId="0" applyFont="1" applyBorder="1" applyAlignment="1" applyProtection="1">
      <alignment vertical="center" wrapText="1"/>
      <protection locked="0"/>
    </xf>
    <xf numFmtId="15" fontId="434" fillId="0" borderId="241" xfId="0" applyNumberFormat="1" applyFont="1" applyBorder="1" applyAlignment="1" applyProtection="1">
      <alignment horizontal="center" vertical="center"/>
      <protection locked="0"/>
    </xf>
    <xf numFmtId="15" fontId="434" fillId="0" borderId="241" xfId="0" applyNumberFormat="1" applyFont="1" applyBorder="1" applyAlignment="1" applyProtection="1">
      <alignment horizontal="center" vertical="center" wrapText="1"/>
      <protection locked="0"/>
    </xf>
    <xf numFmtId="210" fontId="434" fillId="0" borderId="241" xfId="0" applyNumberFormat="1" applyFont="1" applyBorder="1" applyAlignment="1" applyProtection="1">
      <alignment vertical="center"/>
      <protection locked="0"/>
    </xf>
    <xf numFmtId="0" fontId="434" fillId="0" borderId="245" xfId="0" applyFont="1" applyBorder="1" applyAlignment="1" applyProtection="1">
      <alignment vertical="center"/>
      <protection locked="0"/>
    </xf>
    <xf numFmtId="0" fontId="171" fillId="0" borderId="0" xfId="0" applyFont="1"/>
    <xf numFmtId="0" fontId="172" fillId="0" borderId="0" xfId="0" applyFont="1"/>
    <xf numFmtId="2" fontId="30" fillId="0" borderId="0" xfId="27923" applyNumberFormat="1" applyAlignment="1">
      <alignment horizontal="center" vertical="center"/>
    </xf>
    <xf numFmtId="210" fontId="437" fillId="0" borderId="117" xfId="27944" applyNumberFormat="1" applyFont="1" applyFill="1" applyBorder="1" applyAlignment="1" applyProtection="1">
      <alignment horizontal="center" vertical="center"/>
      <protection locked="0"/>
    </xf>
    <xf numFmtId="210" fontId="437" fillId="0" borderId="117" xfId="27944" applyNumberFormat="1" applyFont="1" applyFill="1" applyBorder="1" applyAlignment="1" applyProtection="1">
      <alignment horizontal="right" vertical="center"/>
      <protection locked="0"/>
    </xf>
    <xf numFmtId="210" fontId="437" fillId="0" borderId="170" xfId="27944" applyNumberFormat="1" applyFont="1" applyFill="1" applyBorder="1" applyAlignment="1" applyProtection="1">
      <alignment horizontal="right" vertical="center"/>
      <protection locked="0"/>
    </xf>
    <xf numFmtId="359" fontId="437" fillId="0" borderId="214" xfId="22678" quotePrefix="1" applyFont="1" applyBorder="1" applyAlignment="1" applyProtection="1">
      <alignment horizontal="center" vertical="center" wrapText="1"/>
      <protection locked="0"/>
    </xf>
    <xf numFmtId="40" fontId="437" fillId="0" borderId="117" xfId="27946" applyNumberFormat="1" applyFont="1" applyFill="1" applyBorder="1" applyAlignment="1" applyProtection="1">
      <alignment horizontal="center" vertical="center"/>
      <protection locked="0"/>
    </xf>
    <xf numFmtId="369" fontId="437" fillId="0" borderId="117" xfId="27944" applyNumberFormat="1" applyFont="1" applyFill="1" applyBorder="1" applyAlignment="1" applyProtection="1">
      <alignment horizontal="center" vertical="center"/>
      <protection locked="0"/>
    </xf>
    <xf numFmtId="324" fontId="172" fillId="0" borderId="0" xfId="0" applyNumberFormat="1" applyFont="1" applyAlignment="1">
      <alignment vertical="center" wrapText="1"/>
    </xf>
    <xf numFmtId="49" fontId="353" fillId="107" borderId="145" xfId="22678" quotePrefix="1" applyNumberFormat="1" applyFont="1" applyFill="1" applyBorder="1" applyAlignment="1" applyProtection="1">
      <alignment horizontal="center" vertical="center"/>
      <protection locked="0"/>
    </xf>
    <xf numFmtId="210" fontId="509" fillId="117" borderId="400" xfId="22674" applyNumberFormat="1" applyFont="1" applyFill="1" applyBorder="1" applyAlignment="1">
      <alignment horizontal="center" vertical="center"/>
    </xf>
    <xf numFmtId="0" fontId="509" fillId="117" borderId="400" xfId="22674" applyFont="1" applyFill="1" applyBorder="1" applyAlignment="1">
      <alignment horizontal="center" vertical="center"/>
    </xf>
    <xf numFmtId="1" fontId="509" fillId="117" borderId="400" xfId="22674" applyNumberFormat="1" applyFont="1" applyFill="1" applyBorder="1" applyAlignment="1">
      <alignment horizontal="center" vertical="center"/>
    </xf>
    <xf numFmtId="0" fontId="503" fillId="132" borderId="369" xfId="22674" applyFont="1" applyFill="1" applyBorder="1" applyAlignment="1">
      <alignment horizontal="center" vertical="center" wrapText="1"/>
    </xf>
    <xf numFmtId="38" fontId="499" fillId="0" borderId="369" xfId="19286" applyNumberFormat="1" applyFont="1" applyBorder="1" applyAlignment="1">
      <alignment horizontal="center" vertical="center"/>
    </xf>
    <xf numFmtId="38" fontId="499" fillId="0" borderId="369" xfId="22674" applyNumberFormat="1" applyFont="1" applyBorder="1" applyAlignment="1">
      <alignment horizontal="center" vertical="center"/>
    </xf>
    <xf numFmtId="1" fontId="499" fillId="0" borderId="369" xfId="22674" applyNumberFormat="1" applyFont="1" applyBorder="1" applyAlignment="1">
      <alignment horizontal="center" vertical="center"/>
    </xf>
    <xf numFmtId="179" fontId="504" fillId="177" borderId="117" xfId="7850" applyNumberFormat="1" applyFont="1" applyFill="1" applyBorder="1" applyAlignment="1" applyProtection="1">
      <alignment horizontal="center" vertical="center" wrapText="1"/>
      <protection locked="0"/>
    </xf>
    <xf numFmtId="179" fontId="496" fillId="107" borderId="146" xfId="27933" applyNumberFormat="1" applyFont="1" applyFill="1" applyBorder="1" applyAlignment="1" applyProtection="1">
      <alignment horizontal="center" vertical="center" wrapText="1"/>
      <protection locked="0"/>
    </xf>
    <xf numFmtId="179" fontId="353" fillId="107" borderId="45" xfId="7850" applyNumberFormat="1" applyFont="1" applyFill="1" applyBorder="1" applyAlignment="1" applyProtection="1">
      <alignment horizontal="center" vertical="center"/>
      <protection locked="0"/>
    </xf>
    <xf numFmtId="0" fontId="509" fillId="117" borderId="368" xfId="22674" applyFont="1" applyFill="1" applyBorder="1" applyAlignment="1">
      <alignment horizontal="center" vertical="center"/>
    </xf>
    <xf numFmtId="210" fontId="509" fillId="117" borderId="368" xfId="22674" applyNumberFormat="1" applyFont="1" applyFill="1" applyBorder="1" applyAlignment="1">
      <alignment horizontal="center" vertical="center"/>
    </xf>
    <xf numFmtId="1" fontId="353" fillId="0" borderId="0" xfId="22678" applyNumberFormat="1" applyFont="1" applyAlignment="1" applyProtection="1">
      <alignment horizontal="center" vertical="center"/>
      <protection locked="0"/>
    </xf>
    <xf numFmtId="0" fontId="91" fillId="0" borderId="0" xfId="22552" applyFont="1" applyAlignment="1">
      <alignment horizontal="left" vertical="top" wrapText="1"/>
    </xf>
    <xf numFmtId="0" fontId="66" fillId="0" borderId="0" xfId="22552"/>
    <xf numFmtId="2" fontId="353" fillId="0" borderId="0" xfId="22678" applyNumberFormat="1" applyFont="1" applyAlignment="1" applyProtection="1">
      <alignment vertical="center"/>
      <protection locked="0"/>
    </xf>
    <xf numFmtId="0" fontId="434" fillId="134" borderId="256" xfId="0" applyFont="1" applyFill="1" applyBorder="1" applyAlignment="1" applyProtection="1">
      <alignment horizontal="center" vertical="center"/>
      <protection locked="0"/>
    </xf>
    <xf numFmtId="0" fontId="434" fillId="0" borderId="257" xfId="0" applyFont="1" applyBorder="1" applyAlignment="1" applyProtection="1">
      <alignment horizontal="center" vertical="center" wrapText="1"/>
      <protection locked="0"/>
    </xf>
    <xf numFmtId="0" fontId="434" fillId="0" borderId="257" xfId="0" applyFont="1" applyBorder="1" applyAlignment="1" applyProtection="1">
      <alignment vertical="center" wrapText="1"/>
      <protection locked="0"/>
    </xf>
    <xf numFmtId="15" fontId="434" fillId="0" borderId="257" xfId="0" applyNumberFormat="1" applyFont="1" applyBorder="1" applyAlignment="1" applyProtection="1">
      <alignment horizontal="center" vertical="center"/>
      <protection locked="0"/>
    </xf>
    <xf numFmtId="0" fontId="434" fillId="0" borderId="257" xfId="0" applyFont="1" applyBorder="1" applyAlignment="1" applyProtection="1">
      <alignment vertical="center"/>
      <protection locked="0"/>
    </xf>
    <xf numFmtId="210" fontId="434" fillId="0" borderId="257" xfId="0" applyNumberFormat="1" applyFont="1" applyBorder="1" applyAlignment="1" applyProtection="1">
      <alignment vertical="center"/>
      <protection locked="0"/>
    </xf>
    <xf numFmtId="0" fontId="434" fillId="0" borderId="258" xfId="0" applyFont="1" applyBorder="1" applyAlignment="1" applyProtection="1">
      <alignment vertical="center"/>
      <protection locked="0"/>
    </xf>
    <xf numFmtId="39" fontId="172" fillId="0" borderId="0" xfId="0" applyNumberFormat="1" applyFont="1" applyAlignment="1">
      <alignment vertical="center" wrapText="1"/>
    </xf>
    <xf numFmtId="366" fontId="169" fillId="107" borderId="350" xfId="27932" applyNumberFormat="1" applyFont="1" applyFill="1" applyBorder="1" applyAlignment="1" applyProtection="1">
      <alignment horizontal="center" vertical="center"/>
      <protection locked="0"/>
    </xf>
    <xf numFmtId="179" fontId="504" fillId="107" borderId="45" xfId="7850" applyNumberFormat="1" applyFont="1" applyFill="1" applyBorder="1" applyAlignment="1" applyProtection="1">
      <alignment horizontal="center" vertical="center"/>
      <protection locked="0"/>
    </xf>
    <xf numFmtId="179" fontId="169" fillId="107" borderId="117" xfId="27932" applyNumberFormat="1" applyFont="1" applyFill="1" applyBorder="1" applyAlignment="1" applyProtection="1">
      <alignment horizontal="center" vertical="center" wrapText="1"/>
      <protection locked="0"/>
    </xf>
    <xf numFmtId="179" fontId="169" fillId="107" borderId="45" xfId="27932" applyNumberFormat="1" applyFont="1" applyFill="1" applyBorder="1" applyAlignment="1" applyProtection="1">
      <alignment horizontal="center" vertical="center"/>
      <protection locked="0"/>
    </xf>
    <xf numFmtId="179" fontId="169" fillId="107" borderId="349" xfId="27932" applyNumberFormat="1" applyFont="1" applyFill="1" applyBorder="1" applyAlignment="1" applyProtection="1">
      <alignment horizontal="center" vertical="center"/>
      <protection locked="0"/>
    </xf>
    <xf numFmtId="179" fontId="169" fillId="107" borderId="350" xfId="27932" applyNumberFormat="1" applyFont="1" applyFill="1" applyBorder="1" applyAlignment="1" applyProtection="1">
      <alignment horizontal="center" vertical="center"/>
      <protection locked="0"/>
    </xf>
    <xf numFmtId="179" fontId="169" fillId="107" borderId="351" xfId="27932" applyNumberFormat="1" applyFont="1" applyFill="1" applyBorder="1" applyAlignment="1" applyProtection="1">
      <alignment horizontal="center" vertical="center" wrapText="1"/>
      <protection locked="0"/>
    </xf>
    <xf numFmtId="179" fontId="169" fillId="107" borderId="145" xfId="27932" applyNumberFormat="1" applyFont="1" applyFill="1" applyBorder="1" applyAlignment="1" applyProtection="1">
      <alignment horizontal="center" vertical="center"/>
      <protection locked="0"/>
    </xf>
    <xf numFmtId="360" fontId="169" fillId="107" borderId="117" xfId="27932" applyNumberFormat="1" applyFont="1" applyFill="1" applyBorder="1" applyAlignment="1" applyProtection="1">
      <alignment horizontal="center" vertical="center" wrapText="1"/>
      <protection locked="0"/>
    </xf>
    <xf numFmtId="179" fontId="169" fillId="107" borderId="351" xfId="27933" applyNumberFormat="1" applyFont="1" applyFill="1" applyBorder="1" applyAlignment="1" applyProtection="1">
      <alignment horizontal="center" vertical="center"/>
      <protection locked="0"/>
    </xf>
    <xf numFmtId="179" fontId="169" fillId="107" borderId="148" xfId="27933" applyNumberFormat="1" applyFont="1" applyFill="1" applyBorder="1" applyAlignment="1" applyProtection="1">
      <alignment horizontal="center" vertical="center" wrapText="1"/>
      <protection locked="0"/>
    </xf>
    <xf numFmtId="49" fontId="353" fillId="107" borderId="117" xfId="22678" quotePrefix="1" applyNumberFormat="1" applyFont="1" applyFill="1" applyBorder="1" applyAlignment="1" applyProtection="1">
      <alignment horizontal="center" vertical="center" wrapText="1"/>
      <protection locked="0"/>
    </xf>
    <xf numFmtId="0" fontId="353" fillId="0" borderId="145" xfId="22678" applyNumberFormat="1" applyFont="1" applyBorder="1" applyAlignment="1" applyProtection="1">
      <alignment horizontal="center" vertical="center"/>
      <protection locked="0"/>
    </xf>
    <xf numFmtId="49" fontId="353" fillId="0" borderId="117" xfId="22678" applyNumberFormat="1" applyFont="1" applyBorder="1" applyAlignment="1" applyProtection="1">
      <alignment horizontal="center" vertical="center" wrapText="1"/>
      <protection locked="0"/>
    </xf>
    <xf numFmtId="0" fontId="504" fillId="107" borderId="148" xfId="22678" applyNumberFormat="1" applyFont="1" applyFill="1" applyBorder="1" applyAlignment="1" applyProtection="1">
      <alignment horizontal="left" vertical="top" wrapText="1"/>
      <protection locked="0"/>
    </xf>
    <xf numFmtId="49" fontId="169" fillId="0" borderId="146" xfId="22678" quotePrefix="1" applyNumberFormat="1" applyFont="1" applyBorder="1" applyAlignment="1" applyProtection="1">
      <alignment horizontal="center" vertical="center"/>
      <protection locked="0"/>
    </xf>
    <xf numFmtId="49" fontId="169" fillId="0" borderId="146" xfId="22678" applyNumberFormat="1" applyFont="1" applyBorder="1" applyAlignment="1" applyProtection="1">
      <alignment horizontal="center" vertical="center"/>
      <protection locked="0"/>
    </xf>
    <xf numFmtId="0" fontId="353" fillId="0" borderId="334" xfId="22678" quotePrefix="1" applyNumberFormat="1" applyFont="1" applyBorder="1" applyAlignment="1" applyProtection="1">
      <alignment horizontal="center" vertical="center"/>
      <protection locked="0"/>
    </xf>
    <xf numFmtId="0" fontId="353" fillId="0" borderId="335" xfId="22678" quotePrefix="1" applyNumberFormat="1" applyFont="1" applyBorder="1" applyAlignment="1" applyProtection="1">
      <alignment horizontal="center" vertical="center"/>
      <protection locked="0"/>
    </xf>
    <xf numFmtId="0" fontId="424" fillId="0" borderId="166" xfId="7727" applyNumberFormat="1" applyFont="1" applyFill="1" applyBorder="1" applyAlignment="1" applyProtection="1">
      <alignment horizontal="center" vertical="center" wrapText="1"/>
      <protection locked="0"/>
    </xf>
    <xf numFmtId="0" fontId="424" fillId="0" borderId="176" xfId="7727" applyNumberFormat="1" applyFont="1" applyFill="1" applyBorder="1" applyAlignment="1" applyProtection="1">
      <alignment horizontal="center" vertical="center" wrapText="1"/>
      <protection locked="0"/>
    </xf>
    <xf numFmtId="49" fontId="169" fillId="107" borderId="146" xfId="22678" quotePrefix="1" applyNumberFormat="1" applyFont="1" applyFill="1" applyBorder="1" applyAlignment="1" applyProtection="1">
      <alignment horizontal="center" vertical="center"/>
      <protection locked="0"/>
    </xf>
    <xf numFmtId="0" fontId="169" fillId="107" borderId="146" xfId="22678" quotePrefix="1" applyNumberFormat="1" applyFont="1" applyFill="1" applyBorder="1" applyAlignment="1" applyProtection="1">
      <alignment horizontal="center" vertical="center"/>
      <protection locked="0"/>
    </xf>
    <xf numFmtId="49" fontId="169" fillId="107" borderId="146" xfId="22678" applyNumberFormat="1" applyFont="1" applyFill="1" applyBorder="1" applyAlignment="1" applyProtection="1">
      <alignment horizontal="center" vertical="center"/>
      <protection locked="0"/>
    </xf>
    <xf numFmtId="0" fontId="172" fillId="0" borderId="119" xfId="0" applyFont="1" applyBorder="1" applyAlignment="1">
      <alignment horizontal="center" vertical="center"/>
    </xf>
    <xf numFmtId="38" fontId="169" fillId="0" borderId="125" xfId="0" applyNumberFormat="1" applyFont="1" applyBorder="1" applyAlignment="1">
      <alignment vertical="center" wrapText="1"/>
    </xf>
    <xf numFmtId="0" fontId="169" fillId="107" borderId="117" xfId="27932" applyNumberFormat="1" applyFont="1" applyFill="1" applyBorder="1" applyAlignment="1" applyProtection="1">
      <alignment horizontal="left" vertical="center" wrapText="1"/>
      <protection locked="0"/>
    </xf>
    <xf numFmtId="0" fontId="169" fillId="107" borderId="349" xfId="27932" applyNumberFormat="1" applyFont="1" applyFill="1" applyBorder="1" applyAlignment="1" applyProtection="1">
      <alignment horizontal="center" vertical="center"/>
      <protection locked="0"/>
    </xf>
    <xf numFmtId="0" fontId="169" fillId="107" borderId="350" xfId="27932" applyNumberFormat="1" applyFont="1" applyFill="1" applyBorder="1" applyAlignment="1" applyProtection="1">
      <alignment horizontal="center" vertical="center"/>
      <protection locked="0"/>
    </xf>
    <xf numFmtId="0" fontId="169" fillId="107" borderId="351" xfId="27932" applyNumberFormat="1" applyFont="1" applyFill="1" applyBorder="1" applyAlignment="1" applyProtection="1">
      <alignment horizontal="center" vertical="center" wrapText="1"/>
      <protection locked="0"/>
    </xf>
    <xf numFmtId="0" fontId="169" fillId="107" borderId="146" xfId="27933" applyNumberFormat="1" applyFont="1" applyFill="1" applyBorder="1" applyAlignment="1" applyProtection="1">
      <alignment horizontal="center" vertical="center" wrapText="1"/>
      <protection locked="0"/>
    </xf>
    <xf numFmtId="0" fontId="169" fillId="107" borderId="148" xfId="27933" applyNumberFormat="1" applyFont="1" applyFill="1" applyBorder="1" applyAlignment="1" applyProtection="1">
      <alignment horizontal="center" vertical="center" wrapText="1"/>
      <protection locked="0"/>
    </xf>
    <xf numFmtId="0" fontId="434" fillId="0" borderId="254" xfId="0" applyFont="1" applyBorder="1" applyAlignment="1" applyProtection="1">
      <alignment horizontal="center" vertical="center" wrapText="1"/>
      <protection locked="0"/>
    </xf>
    <xf numFmtId="0" fontId="434" fillId="0" borderId="254" xfId="0" applyFont="1" applyBorder="1" applyAlignment="1" applyProtection="1">
      <alignment vertical="center"/>
      <protection locked="0"/>
    </xf>
    <xf numFmtId="210" fontId="434" fillId="0" borderId="254" xfId="0" applyNumberFormat="1" applyFont="1" applyBorder="1" applyAlignment="1" applyProtection="1">
      <alignment vertical="center"/>
      <protection locked="0"/>
    </xf>
    <xf numFmtId="0" fontId="66" fillId="0" borderId="115" xfId="22678" quotePrefix="1" applyNumberFormat="1" applyFont="1" applyBorder="1" applyAlignment="1" applyProtection="1">
      <alignment horizontal="center" vertical="center"/>
      <protection locked="0"/>
    </xf>
    <xf numFmtId="14" fontId="343" fillId="187" borderId="365" xfId="22752" applyNumberFormat="1" applyFont="1" applyFill="1" applyBorder="1" applyAlignment="1" applyProtection="1">
      <alignment horizontal="center" vertical="center" wrapText="1"/>
    </xf>
    <xf numFmtId="38" fontId="343" fillId="187" borderId="365" xfId="22752" applyNumberFormat="1" applyFont="1" applyFill="1" applyBorder="1" applyAlignment="1" applyProtection="1">
      <alignment horizontal="center" vertical="center" wrapText="1"/>
    </xf>
    <xf numFmtId="1" fontId="437" fillId="0" borderId="214" xfId="22678" quotePrefix="1" applyNumberFormat="1" applyFont="1" applyBorder="1" applyAlignment="1" applyProtection="1">
      <alignment horizontal="center" vertical="center" wrapText="1"/>
      <protection locked="0"/>
    </xf>
    <xf numFmtId="0" fontId="437" fillId="0" borderId="117" xfId="22678" applyNumberFormat="1" applyFont="1" applyBorder="1" applyAlignment="1" applyProtection="1">
      <alignment horizontal="center" vertical="center" wrapText="1"/>
      <protection locked="0"/>
    </xf>
    <xf numFmtId="0" fontId="437" fillId="0" borderId="117" xfId="22678" applyNumberFormat="1" applyFont="1" applyBorder="1" applyAlignment="1" applyProtection="1">
      <alignment horizontal="center" vertical="center"/>
      <protection locked="0"/>
    </xf>
    <xf numFmtId="14" fontId="0" fillId="0" borderId="0" xfId="0" applyNumberFormat="1"/>
    <xf numFmtId="359" fontId="420" fillId="142" borderId="223" xfId="22678" applyFont="1" applyFill="1" applyBorder="1" applyAlignment="1" applyProtection="1">
      <alignment horizontal="centerContinuous" vertical="center"/>
      <protection locked="0"/>
    </xf>
    <xf numFmtId="179" fontId="504" fillId="107" borderId="117" xfId="7850" applyNumberFormat="1" applyFont="1" applyFill="1" applyBorder="1" applyAlignment="1" applyProtection="1">
      <alignment horizontal="left" vertical="center" wrapText="1"/>
      <protection locked="0"/>
    </xf>
    <xf numFmtId="286" fontId="504" fillId="107" borderId="45" xfId="7850" applyNumberFormat="1" applyFont="1" applyFill="1" applyBorder="1" applyAlignment="1" applyProtection="1">
      <alignment horizontal="center" vertical="center"/>
      <protection locked="0"/>
    </xf>
    <xf numFmtId="286" fontId="504" fillId="107" borderId="349" xfId="7850" applyNumberFormat="1" applyFont="1" applyFill="1" applyBorder="1" applyAlignment="1" applyProtection="1">
      <alignment horizontal="center" vertical="center"/>
      <protection locked="0"/>
    </xf>
    <xf numFmtId="286" fontId="504" fillId="107" borderId="350" xfId="7850" applyNumberFormat="1" applyFont="1" applyFill="1" applyBorder="1" applyAlignment="1" applyProtection="1">
      <alignment horizontal="center" vertical="center"/>
      <protection locked="0"/>
    </xf>
    <xf numFmtId="286" fontId="504" fillId="107" borderId="351" xfId="7850" applyNumberFormat="1" applyFont="1" applyFill="1" applyBorder="1" applyAlignment="1" applyProtection="1">
      <alignment horizontal="center" vertical="center" wrapText="1"/>
      <protection locked="0"/>
    </xf>
    <xf numFmtId="14" fontId="504" fillId="107" borderId="117" xfId="7850" applyNumberFormat="1" applyFont="1" applyFill="1" applyBorder="1" applyAlignment="1" applyProtection="1">
      <alignment horizontal="center" vertical="center"/>
      <protection locked="0"/>
    </xf>
    <xf numFmtId="368" fontId="504" fillId="107" borderId="145" xfId="22678" quotePrefix="1" applyNumberFormat="1" applyFont="1" applyFill="1" applyBorder="1" applyAlignment="1" applyProtection="1">
      <alignment horizontal="center" vertical="center"/>
      <protection locked="0"/>
    </xf>
    <xf numFmtId="366" fontId="504" fillId="107" borderId="117" xfId="7850" applyNumberFormat="1" applyFont="1" applyFill="1" applyBorder="1" applyAlignment="1" applyProtection="1">
      <alignment horizontal="center" vertical="center"/>
      <protection locked="0"/>
    </xf>
    <xf numFmtId="363" fontId="504" fillId="107" borderId="146" xfId="7850" applyNumberFormat="1" applyFont="1" applyFill="1" applyBorder="1" applyAlignment="1" applyProtection="1">
      <alignment horizontal="center" vertical="center"/>
      <protection locked="0"/>
    </xf>
    <xf numFmtId="0" fontId="504" fillId="107" borderId="145" xfId="22678" quotePrefix="1" applyNumberFormat="1" applyFont="1" applyFill="1" applyBorder="1" applyAlignment="1" applyProtection="1">
      <alignment horizontal="center" vertical="center"/>
      <protection locked="0"/>
    </xf>
    <xf numFmtId="49" fontId="504" fillId="107" borderId="145" xfId="22678" applyNumberFormat="1" applyFont="1" applyFill="1" applyBorder="1" applyAlignment="1" applyProtection="1">
      <alignment horizontal="center" vertical="center"/>
      <protection locked="0"/>
    </xf>
    <xf numFmtId="366" fontId="504" fillId="107" borderId="163" xfId="7850" applyNumberFormat="1" applyFont="1" applyFill="1" applyBorder="1" applyAlignment="1" applyProtection="1">
      <alignment horizontal="center" vertical="center" wrapText="1"/>
      <protection locked="0"/>
    </xf>
    <xf numFmtId="0" fontId="504" fillId="107" borderId="349" xfId="22678" applyNumberFormat="1" applyFont="1" applyFill="1" applyBorder="1" applyAlignment="1" applyProtection="1">
      <alignment horizontal="center" vertical="center"/>
      <protection locked="0"/>
    </xf>
    <xf numFmtId="49" fontId="504" fillId="107" borderId="370" xfId="22678" quotePrefix="1" applyNumberFormat="1" applyFont="1" applyFill="1" applyBorder="1" applyAlignment="1" applyProtection="1">
      <alignment horizontal="center" vertical="center"/>
      <protection locked="0"/>
    </xf>
    <xf numFmtId="49" fontId="504" fillId="107" borderId="145" xfId="22678" quotePrefix="1" applyNumberFormat="1" applyFont="1" applyFill="1" applyBorder="1" applyAlignment="1" applyProtection="1">
      <alignment horizontal="center" vertical="center"/>
      <protection locked="0"/>
    </xf>
    <xf numFmtId="363" fontId="496" fillId="107" borderId="146" xfId="27932" applyNumberFormat="1" applyFont="1" applyFill="1" applyBorder="1" applyAlignment="1" applyProtection="1">
      <alignment horizontal="center" vertical="center"/>
      <protection locked="0"/>
    </xf>
    <xf numFmtId="14" fontId="496" fillId="107" borderId="117" xfId="27932" applyNumberFormat="1" applyFont="1" applyFill="1" applyBorder="1" applyAlignment="1" applyProtection="1">
      <alignment horizontal="center" vertical="center"/>
      <protection locked="0"/>
    </xf>
    <xf numFmtId="179" fontId="496" fillId="107" borderId="218" xfId="27932" applyNumberFormat="1" applyFont="1" applyFill="1" applyBorder="1" applyAlignment="1" applyProtection="1">
      <alignment horizontal="center" vertical="center"/>
      <protection locked="0"/>
    </xf>
    <xf numFmtId="179" fontId="496" fillId="107" borderId="147" xfId="27932" applyNumberFormat="1" applyFont="1" applyFill="1" applyBorder="1" applyAlignment="1" applyProtection="1">
      <alignment horizontal="center" vertical="center"/>
      <protection locked="0"/>
    </xf>
    <xf numFmtId="0" fontId="341" fillId="190" borderId="365" xfId="27930" applyFont="1" applyFill="1" applyBorder="1"/>
    <xf numFmtId="0" fontId="341" fillId="194" borderId="365" xfId="27930" applyFont="1" applyFill="1" applyBorder="1"/>
    <xf numFmtId="179" fontId="169" fillId="194" borderId="117" xfId="27932" applyNumberFormat="1" applyFont="1" applyFill="1" applyBorder="1" applyAlignment="1" applyProtection="1">
      <alignment horizontal="left" vertical="center" wrapText="1"/>
      <protection locked="0"/>
    </xf>
    <xf numFmtId="0" fontId="353" fillId="194" borderId="145" xfId="22678" quotePrefix="1" applyNumberFormat="1" applyFont="1" applyFill="1" applyBorder="1" applyAlignment="1" applyProtection="1">
      <alignment horizontal="center" vertical="center"/>
      <protection locked="0"/>
    </xf>
    <xf numFmtId="0" fontId="169" fillId="194" borderId="146" xfId="27932" applyNumberFormat="1" applyFont="1" applyFill="1" applyBorder="1" applyAlignment="1" applyProtection="1">
      <alignment horizontal="center" vertical="center"/>
      <protection locked="0"/>
    </xf>
    <xf numFmtId="368" fontId="169" fillId="194" borderId="145" xfId="22678" applyNumberFormat="1" applyFont="1" applyFill="1" applyBorder="1" applyAlignment="1" applyProtection="1">
      <alignment horizontal="center" vertical="center"/>
      <protection locked="0"/>
    </xf>
    <xf numFmtId="49" fontId="169" fillId="194" borderId="145" xfId="22678" quotePrefix="1" applyNumberFormat="1" applyFont="1" applyFill="1" applyBorder="1" applyAlignment="1" applyProtection="1">
      <alignment horizontal="center" vertical="center"/>
      <protection locked="0"/>
    </xf>
    <xf numFmtId="14" fontId="169" fillId="194" borderId="117" xfId="27932" applyNumberFormat="1" applyFont="1" applyFill="1" applyBorder="1" applyAlignment="1" applyProtection="1">
      <alignment horizontal="center" vertical="center" wrapText="1"/>
      <protection locked="0"/>
    </xf>
    <xf numFmtId="49" fontId="169" fillId="194" borderId="117" xfId="22678" applyNumberFormat="1" applyFont="1" applyFill="1" applyBorder="1" applyAlignment="1" applyProtection="1">
      <alignment horizontal="center" vertical="center" wrapText="1"/>
      <protection locked="0"/>
    </xf>
    <xf numFmtId="210" fontId="169" fillId="194" borderId="117" xfId="27934" applyNumberFormat="1" applyFont="1" applyFill="1" applyBorder="1" applyAlignment="1" applyProtection="1">
      <alignment horizontal="center" vertical="center"/>
      <protection locked="0"/>
    </xf>
    <xf numFmtId="179" fontId="169" fillId="194" borderId="117" xfId="27932" applyNumberFormat="1" applyFont="1" applyFill="1" applyBorder="1" applyAlignment="1" applyProtection="1">
      <alignment horizontal="center" vertical="center" wrapText="1"/>
      <protection locked="0"/>
    </xf>
    <xf numFmtId="179" fontId="169" fillId="194" borderId="349" xfId="27932" applyNumberFormat="1" applyFont="1" applyFill="1" applyBorder="1" applyAlignment="1" applyProtection="1">
      <alignment horizontal="center" vertical="center"/>
      <protection locked="0"/>
    </xf>
    <xf numFmtId="179" fontId="169" fillId="194" borderId="350" xfId="27932" applyNumberFormat="1" applyFont="1" applyFill="1" applyBorder="1" applyAlignment="1" applyProtection="1">
      <alignment horizontal="center" vertical="center"/>
      <protection locked="0"/>
    </xf>
    <xf numFmtId="179" fontId="169" fillId="194" borderId="351" xfId="27932" applyNumberFormat="1" applyFont="1" applyFill="1" applyBorder="1" applyAlignment="1" applyProtection="1">
      <alignment horizontal="center" vertical="center" wrapText="1"/>
      <protection locked="0"/>
    </xf>
    <xf numFmtId="179" fontId="169" fillId="194" borderId="145" xfId="27932" applyNumberFormat="1" applyFont="1" applyFill="1" applyBorder="1" applyAlignment="1" applyProtection="1">
      <alignment horizontal="center" vertical="center"/>
      <protection locked="0"/>
    </xf>
    <xf numFmtId="49" fontId="169" fillId="194" borderId="214" xfId="22678" quotePrefix="1" applyNumberFormat="1" applyFont="1" applyFill="1" applyBorder="1" applyAlignment="1" applyProtection="1">
      <alignment horizontal="center" vertical="center" wrapText="1"/>
      <protection locked="0"/>
    </xf>
    <xf numFmtId="360" fontId="169" fillId="194" borderId="117" xfId="27932" applyNumberFormat="1" applyFont="1" applyFill="1" applyBorder="1" applyAlignment="1" applyProtection="1">
      <alignment horizontal="center" vertical="center" wrapText="1"/>
      <protection locked="0"/>
    </xf>
    <xf numFmtId="179" fontId="169" fillId="194" borderId="45" xfId="27932" applyNumberFormat="1" applyFont="1" applyFill="1" applyBorder="1" applyAlignment="1" applyProtection="1">
      <alignment horizontal="center" vertical="center" wrapText="1"/>
      <protection locked="0"/>
    </xf>
    <xf numFmtId="179" fontId="169" fillId="194" borderId="351" xfId="27933" applyNumberFormat="1" applyFont="1" applyFill="1" applyBorder="1" applyAlignment="1" applyProtection="1">
      <alignment horizontal="center" vertical="center"/>
      <protection locked="0"/>
    </xf>
    <xf numFmtId="179" fontId="169" fillId="194" borderId="146" xfId="27933" applyNumberFormat="1" applyFont="1" applyFill="1" applyBorder="1" applyAlignment="1" applyProtection="1">
      <alignment horizontal="center" vertical="center" wrapText="1"/>
      <protection locked="0"/>
    </xf>
    <xf numFmtId="179" fontId="169" fillId="194" borderId="148" xfId="27933" applyNumberFormat="1" applyFont="1" applyFill="1" applyBorder="1" applyAlignment="1" applyProtection="1">
      <alignment horizontal="center" vertical="center" wrapText="1"/>
      <protection locked="0"/>
    </xf>
    <xf numFmtId="0" fontId="169" fillId="194" borderId="117" xfId="22678" quotePrefix="1" applyNumberFormat="1" applyFont="1" applyFill="1" applyBorder="1" applyAlignment="1" applyProtection="1">
      <alignment horizontal="center" vertical="center"/>
      <protection locked="0"/>
    </xf>
    <xf numFmtId="49" fontId="169" fillId="194" borderId="117" xfId="22678" quotePrefix="1" applyNumberFormat="1" applyFont="1" applyFill="1" applyBorder="1" applyAlignment="1" applyProtection="1">
      <alignment horizontal="center" vertical="center"/>
      <protection locked="0"/>
    </xf>
    <xf numFmtId="14" fontId="169" fillId="194" borderId="117" xfId="27932" applyNumberFormat="1" applyFont="1" applyFill="1" applyBorder="1" applyAlignment="1" applyProtection="1">
      <alignment horizontal="center" vertical="center"/>
      <protection locked="0"/>
    </xf>
    <xf numFmtId="366" fontId="169" fillId="194" borderId="163" xfId="27932" applyNumberFormat="1" applyFont="1" applyFill="1" applyBorder="1" applyAlignment="1" applyProtection="1">
      <alignment horizontal="center" vertical="center" wrapText="1"/>
      <protection locked="0"/>
    </xf>
    <xf numFmtId="0" fontId="169" fillId="194" borderId="145" xfId="22678" applyNumberFormat="1" applyFont="1" applyFill="1" applyBorder="1" applyAlignment="1" applyProtection="1">
      <alignment horizontal="center" vertical="center"/>
      <protection locked="0"/>
    </xf>
    <xf numFmtId="49" fontId="169" fillId="194" borderId="146" xfId="22678" quotePrefix="1" applyNumberFormat="1" applyFont="1" applyFill="1" applyBorder="1" applyAlignment="1" applyProtection="1">
      <alignment horizontal="center" vertical="center"/>
      <protection locked="0"/>
    </xf>
    <xf numFmtId="49" fontId="169" fillId="194" borderId="117" xfId="22678" quotePrefix="1" applyNumberFormat="1" applyFont="1" applyFill="1" applyBorder="1" applyAlignment="1" applyProtection="1">
      <alignment horizontal="center" vertical="center" wrapText="1"/>
      <protection locked="0"/>
    </xf>
    <xf numFmtId="360" fontId="169" fillId="194" borderId="117" xfId="27932" applyNumberFormat="1" applyFont="1" applyFill="1" applyBorder="1" applyAlignment="1" applyProtection="1">
      <alignment horizontal="center" vertical="center"/>
      <protection locked="0"/>
    </xf>
    <xf numFmtId="363" fontId="169" fillId="194" borderId="146" xfId="27932" applyNumberFormat="1" applyFont="1" applyFill="1" applyBorder="1" applyAlignment="1" applyProtection="1">
      <alignment horizontal="center" vertical="center"/>
      <protection locked="0"/>
    </xf>
    <xf numFmtId="179" fontId="169" fillId="194" borderId="218" xfId="27932" applyNumberFormat="1" applyFont="1" applyFill="1" applyBorder="1" applyAlignment="1" applyProtection="1">
      <alignment horizontal="center" vertical="center"/>
      <protection locked="0"/>
    </xf>
    <xf numFmtId="179" fontId="169" fillId="194" borderId="147" xfId="27932" applyNumberFormat="1" applyFont="1" applyFill="1" applyBorder="1" applyAlignment="1" applyProtection="1">
      <alignment horizontal="center" vertical="center"/>
      <protection locked="0"/>
    </xf>
    <xf numFmtId="359" fontId="169" fillId="194" borderId="148" xfId="22678" applyFont="1" applyFill="1" applyBorder="1" applyAlignment="1" applyProtection="1">
      <alignment horizontal="left" vertical="top" wrapText="1"/>
      <protection locked="0"/>
    </xf>
    <xf numFmtId="0" fontId="458" fillId="0" borderId="0" xfId="27947" applyFont="1"/>
    <xf numFmtId="171" fontId="459" fillId="0" borderId="0" xfId="27948" applyFont="1" applyFill="1" applyBorder="1" applyAlignment="1">
      <alignment horizontal="left" vertical="center"/>
    </xf>
    <xf numFmtId="171" fontId="459" fillId="0" borderId="0" xfId="27948" applyFont="1" applyFill="1" applyBorder="1" applyAlignment="1">
      <alignment horizontal="center" vertical="center"/>
    </xf>
    <xf numFmtId="171" fontId="460" fillId="0" borderId="0" xfId="27948" applyFont="1" applyFill="1" applyBorder="1" applyAlignment="1">
      <alignment horizontal="left" vertical="center"/>
    </xf>
    <xf numFmtId="171" fontId="460" fillId="0" borderId="0" xfId="27948" applyFont="1" applyFill="1" applyBorder="1" applyAlignment="1">
      <alignment horizontal="center" vertical="center"/>
    </xf>
    <xf numFmtId="0" fontId="458" fillId="0" borderId="0" xfId="27947" applyFont="1" applyAlignment="1">
      <alignment horizontal="left" vertical="center"/>
    </xf>
    <xf numFmtId="0" fontId="461" fillId="156" borderId="0" xfId="27947" applyFont="1" applyFill="1" applyAlignment="1">
      <alignment horizontal="left" vertical="center"/>
    </xf>
    <xf numFmtId="0" fontId="461" fillId="156" borderId="0" xfId="27947" applyFont="1" applyFill="1" applyAlignment="1">
      <alignment horizontal="center" vertical="center"/>
    </xf>
    <xf numFmtId="0" fontId="459" fillId="0" borderId="0" xfId="27947" applyFont="1" applyAlignment="1">
      <alignment horizontal="center" vertical="center"/>
    </xf>
    <xf numFmtId="0" fontId="460" fillId="0" borderId="0" xfId="27947" applyFont="1" applyAlignment="1">
      <alignment horizontal="left" vertical="center"/>
    </xf>
    <xf numFmtId="0" fontId="460" fillId="0" borderId="0" xfId="27947" applyFont="1" applyAlignment="1">
      <alignment horizontal="center" vertical="center"/>
    </xf>
    <xf numFmtId="171" fontId="463" fillId="158" borderId="0" xfId="27948" applyFont="1" applyFill="1" applyBorder="1" applyAlignment="1">
      <alignment horizontal="left" vertical="center"/>
    </xf>
    <xf numFmtId="171" fontId="463" fillId="158" borderId="0" xfId="27948" applyFont="1" applyFill="1" applyBorder="1" applyAlignment="1">
      <alignment horizontal="center" vertical="center"/>
    </xf>
    <xf numFmtId="0" fontId="459" fillId="0" borderId="0" xfId="27947" applyFont="1" applyAlignment="1">
      <alignment horizontal="left" vertical="center"/>
    </xf>
    <xf numFmtId="0" fontId="459" fillId="155" borderId="0" xfId="27947" applyFont="1" applyFill="1" applyAlignment="1">
      <alignment horizontal="left" vertical="center"/>
    </xf>
    <xf numFmtId="0" fontId="459" fillId="155" borderId="0" xfId="27947" applyFont="1" applyFill="1" applyAlignment="1">
      <alignment horizontal="center" vertical="center"/>
    </xf>
    <xf numFmtId="0" fontId="460" fillId="155" borderId="0" xfId="27947" applyFont="1" applyFill="1" applyAlignment="1">
      <alignment horizontal="left" vertical="center"/>
    </xf>
    <xf numFmtId="0" fontId="458" fillId="155" borderId="0" xfId="27947" applyFont="1" applyFill="1" applyAlignment="1">
      <alignment horizontal="left" vertical="center"/>
    </xf>
    <xf numFmtId="0" fontId="458" fillId="155" borderId="0" xfId="27947" applyFont="1" applyFill="1" applyAlignment="1">
      <alignment horizontal="center" vertical="center"/>
    </xf>
    <xf numFmtId="171" fontId="459" fillId="155" borderId="0" xfId="27948" applyFont="1" applyFill="1" applyBorder="1" applyAlignment="1">
      <alignment horizontal="left" vertical="center"/>
    </xf>
    <xf numFmtId="0" fontId="466" fillId="144" borderId="41" xfId="27948" applyNumberFormat="1" applyFont="1" applyFill="1" applyBorder="1" applyAlignment="1">
      <alignment horizontal="center" vertical="center"/>
    </xf>
    <xf numFmtId="0" fontId="466" fillId="144" borderId="111" xfId="27948" applyNumberFormat="1" applyFont="1" applyFill="1" applyBorder="1" applyAlignment="1">
      <alignment horizontal="center" vertical="center"/>
    </xf>
    <xf numFmtId="0" fontId="466" fillId="144" borderId="112" xfId="27948" applyNumberFormat="1" applyFont="1" applyFill="1" applyBorder="1" applyAlignment="1">
      <alignment horizontal="center" vertical="center"/>
    </xf>
    <xf numFmtId="1" fontId="465" fillId="0" borderId="0" xfId="27948" applyNumberFormat="1" applyFont="1" applyFill="1" applyBorder="1" applyAlignment="1">
      <alignment horizontal="center" vertical="center"/>
    </xf>
    <xf numFmtId="0" fontId="464" fillId="143" borderId="41" xfId="27948" applyNumberFormat="1" applyFont="1" applyFill="1" applyBorder="1" applyAlignment="1">
      <alignment vertical="center"/>
    </xf>
    <xf numFmtId="0" fontId="464" fillId="143" borderId="111" xfId="27948" applyNumberFormat="1" applyFont="1" applyFill="1" applyBorder="1" applyAlignment="1">
      <alignment vertical="center"/>
    </xf>
    <xf numFmtId="0" fontId="464" fillId="143" borderId="112" xfId="27948" applyNumberFormat="1" applyFont="1" applyFill="1" applyBorder="1" applyAlignment="1">
      <alignment vertical="center"/>
    </xf>
    <xf numFmtId="171" fontId="466" fillId="144" borderId="41" xfId="27948" applyFont="1" applyFill="1" applyBorder="1" applyAlignment="1">
      <alignment vertical="center"/>
    </xf>
    <xf numFmtId="171" fontId="466" fillId="144" borderId="111" xfId="27948" applyFont="1" applyFill="1" applyBorder="1" applyAlignment="1">
      <alignment vertical="center"/>
    </xf>
    <xf numFmtId="171" fontId="466" fillId="144" borderId="112" xfId="27948" applyFont="1" applyFill="1" applyBorder="1" applyAlignment="1">
      <alignment vertical="center"/>
    </xf>
    <xf numFmtId="363" fontId="464" fillId="0" borderId="418" xfId="27948" applyNumberFormat="1" applyFont="1" applyFill="1" applyBorder="1" applyAlignment="1">
      <alignment horizontal="center" vertical="center"/>
    </xf>
    <xf numFmtId="363" fontId="464" fillId="0" borderId="419" xfId="27948" applyNumberFormat="1" applyFont="1" applyFill="1" applyBorder="1" applyAlignment="1">
      <alignment horizontal="center" vertical="center"/>
    </xf>
    <xf numFmtId="363" fontId="464" fillId="0" borderId="417" xfId="27948" applyNumberFormat="1" applyFont="1" applyFill="1" applyBorder="1" applyAlignment="1">
      <alignment horizontal="center" vertical="center"/>
    </xf>
    <xf numFmtId="171" fontId="452" fillId="0" borderId="52" xfId="27948" applyFont="1" applyFill="1" applyBorder="1" applyAlignment="1">
      <alignment horizontal="center" vertical="center"/>
    </xf>
    <xf numFmtId="363" fontId="464" fillId="0" borderId="0" xfId="27948" applyNumberFormat="1" applyFont="1" applyFill="1" applyBorder="1" applyAlignment="1">
      <alignment horizontal="center" vertical="center"/>
    </xf>
    <xf numFmtId="0" fontId="464" fillId="0" borderId="0" xfId="27948" applyNumberFormat="1" applyFont="1" applyFill="1" applyBorder="1" applyAlignment="1">
      <alignment horizontal="center" vertical="center"/>
    </xf>
    <xf numFmtId="0" fontId="464" fillId="0" borderId="52" xfId="27948" applyNumberFormat="1" applyFont="1" applyFill="1" applyBorder="1" applyAlignment="1">
      <alignment horizontal="center" vertical="center"/>
    </xf>
    <xf numFmtId="37" fontId="458" fillId="165" borderId="52" xfId="27949" applyNumberFormat="1" applyFont="1" applyFill="1" applyBorder="1" applyAlignment="1">
      <alignment horizontal="center" vertical="center" wrapText="1"/>
    </xf>
    <xf numFmtId="210" fontId="458" fillId="164" borderId="418" xfId="27949" applyNumberFormat="1" applyFont="1" applyFill="1" applyBorder="1" applyAlignment="1">
      <alignment horizontal="center" vertical="center" wrapText="1"/>
    </xf>
    <xf numFmtId="37" fontId="458" fillId="186" borderId="418" xfId="27949" applyNumberFormat="1" applyFont="1" applyFill="1" applyBorder="1" applyAlignment="1">
      <alignment horizontal="center" vertical="center" wrapText="1"/>
    </xf>
    <xf numFmtId="37" fontId="458" fillId="165" borderId="422" xfId="27949" applyNumberFormat="1" applyFont="1" applyFill="1" applyBorder="1" applyAlignment="1">
      <alignment horizontal="center" vertical="center" wrapText="1"/>
    </xf>
    <xf numFmtId="363" fontId="465" fillId="0" borderId="52" xfId="27948" applyNumberFormat="1" applyFont="1" applyFill="1" applyBorder="1" applyAlignment="1">
      <alignment horizontal="center" vertical="center"/>
    </xf>
    <xf numFmtId="171" fontId="464" fillId="0" borderId="59" xfId="27948" applyFont="1" applyFill="1" applyBorder="1" applyAlignment="1">
      <alignment horizontal="left" vertical="center"/>
    </xf>
    <xf numFmtId="363" fontId="464" fillId="0" borderId="0" xfId="27947" applyNumberFormat="1" applyFont="1" applyAlignment="1">
      <alignment horizontal="left" vertical="center"/>
    </xf>
    <xf numFmtId="363" fontId="464" fillId="0" borderId="418" xfId="27947" applyNumberFormat="1" applyFont="1" applyBorder="1" applyAlignment="1">
      <alignment horizontal="left" vertical="center"/>
    </xf>
    <xf numFmtId="9" fontId="464" fillId="0" borderId="422" xfId="22690" applyFont="1" applyFill="1" applyBorder="1" applyAlignment="1">
      <alignment horizontal="center" vertical="center"/>
    </xf>
    <xf numFmtId="171" fontId="458" fillId="0" borderId="59" xfId="27948" applyFont="1" applyFill="1" applyBorder="1" applyAlignment="1">
      <alignment horizontal="left" vertical="center"/>
    </xf>
    <xf numFmtId="1" fontId="459" fillId="0" borderId="0" xfId="27947" applyNumberFormat="1" applyFont="1" applyAlignment="1">
      <alignment horizontal="center" vertical="center"/>
    </xf>
    <xf numFmtId="363" fontId="465" fillId="0" borderId="0" xfId="27947" applyNumberFormat="1" applyFont="1" applyAlignment="1">
      <alignment horizontal="center" vertical="center"/>
    </xf>
    <xf numFmtId="37" fontId="465" fillId="0" borderId="418" xfId="27947" applyNumberFormat="1" applyFont="1" applyBorder="1" applyAlignment="1">
      <alignment horizontal="center" vertical="center"/>
    </xf>
    <xf numFmtId="363" fontId="465" fillId="0" borderId="418" xfId="27947" applyNumberFormat="1" applyFont="1" applyBorder="1" applyAlignment="1">
      <alignment horizontal="center" vertical="center"/>
    </xf>
    <xf numFmtId="363" fontId="465" fillId="0" borderId="422" xfId="27947" applyNumberFormat="1" applyFont="1" applyBorder="1" applyAlignment="1">
      <alignment horizontal="center" vertical="center"/>
    </xf>
    <xf numFmtId="365" fontId="458" fillId="0" borderId="0" xfId="27948" applyNumberFormat="1" applyFont="1" applyFill="1" applyBorder="1" applyAlignment="1">
      <alignment horizontal="left" vertical="center"/>
    </xf>
    <xf numFmtId="171" fontId="511" fillId="0" borderId="59" xfId="27948" applyFont="1" applyFill="1" applyBorder="1" applyAlignment="1">
      <alignment horizontal="left" vertical="center"/>
    </xf>
    <xf numFmtId="363" fontId="464" fillId="0" borderId="0" xfId="27947" applyNumberFormat="1" applyFont="1" applyAlignment="1">
      <alignment horizontal="center" vertical="center"/>
    </xf>
    <xf numFmtId="363" fontId="464" fillId="0" borderId="418" xfId="27947" applyNumberFormat="1" applyFont="1" applyBorder="1" applyAlignment="1">
      <alignment horizontal="center" vertical="center"/>
    </xf>
    <xf numFmtId="363" fontId="465" fillId="0" borderId="418" xfId="27948" applyNumberFormat="1" applyFont="1" applyFill="1" applyBorder="1" applyAlignment="1">
      <alignment horizontal="center" vertical="center"/>
    </xf>
    <xf numFmtId="363" fontId="465" fillId="0" borderId="419" xfId="27948" applyNumberFormat="1" applyFont="1" applyFill="1" applyBorder="1" applyAlignment="1">
      <alignment horizontal="center" vertical="center"/>
    </xf>
    <xf numFmtId="363" fontId="465" fillId="0" borderId="417" xfId="27948" applyNumberFormat="1" applyFont="1" applyFill="1" applyBorder="1" applyAlignment="1">
      <alignment horizontal="center" vertical="center"/>
    </xf>
    <xf numFmtId="37" fontId="458" fillId="186" borderId="419" xfId="27949" applyNumberFormat="1" applyFont="1" applyFill="1" applyBorder="1" applyAlignment="1">
      <alignment horizontal="center" vertical="center" wrapText="1"/>
    </xf>
    <xf numFmtId="37" fontId="458" fillId="165" borderId="417" xfId="27949" applyNumberFormat="1" applyFont="1" applyFill="1" applyBorder="1" applyAlignment="1">
      <alignment horizontal="center" vertical="center" wrapText="1"/>
    </xf>
    <xf numFmtId="0" fontId="458" fillId="0" borderId="0" xfId="27947" applyFont="1" applyAlignment="1">
      <alignment horizontal="center" vertical="center"/>
    </xf>
    <xf numFmtId="14" fontId="458" fillId="0" borderId="0" xfId="27947" applyNumberFormat="1" applyFont="1"/>
    <xf numFmtId="37" fontId="458" fillId="0" borderId="418" xfId="27949" applyNumberFormat="1" applyFont="1" applyFill="1" applyBorder="1" applyAlignment="1">
      <alignment horizontal="center" vertical="center" wrapText="1"/>
    </xf>
    <xf numFmtId="37" fontId="458" fillId="0" borderId="419" xfId="27949" applyNumberFormat="1" applyFont="1" applyFill="1" applyBorder="1" applyAlignment="1">
      <alignment horizontal="center" vertical="center" wrapText="1"/>
    </xf>
    <xf numFmtId="37" fontId="458" fillId="0" borderId="417" xfId="27949" applyNumberFormat="1" applyFont="1" applyFill="1" applyBorder="1" applyAlignment="1">
      <alignment horizontal="center" vertical="center" wrapText="1"/>
    </xf>
    <xf numFmtId="37" fontId="458" fillId="0" borderId="52" xfId="27949" applyNumberFormat="1" applyFont="1" applyFill="1" applyBorder="1" applyAlignment="1">
      <alignment horizontal="center" vertical="center" wrapText="1"/>
    </xf>
    <xf numFmtId="171" fontId="458" fillId="0" borderId="59" xfId="27948" applyFont="1" applyFill="1" applyBorder="1" applyAlignment="1">
      <alignment horizontal="right" vertical="center"/>
    </xf>
    <xf numFmtId="363" fontId="464" fillId="0" borderId="422" xfId="27947" applyNumberFormat="1" applyFont="1" applyBorder="1" applyAlignment="1">
      <alignment horizontal="center" vertical="center"/>
    </xf>
    <xf numFmtId="0" fontId="462" fillId="0" borderId="59" xfId="27950" applyFont="1" applyBorder="1" applyAlignment="1">
      <alignment vertical="center"/>
    </xf>
    <xf numFmtId="0" fontId="462" fillId="0" borderId="0" xfId="27950" applyFont="1" applyAlignment="1">
      <alignment vertical="center"/>
    </xf>
    <xf numFmtId="210" fontId="458" fillId="164" borderId="424" xfId="27949" applyNumberFormat="1" applyFont="1" applyFill="1" applyBorder="1" applyAlignment="1">
      <alignment horizontal="center" vertical="center" wrapText="1"/>
    </xf>
    <xf numFmtId="37" fontId="458" fillId="186" borderId="424" xfId="27949" applyNumberFormat="1" applyFont="1" applyFill="1" applyBorder="1" applyAlignment="1">
      <alignment horizontal="center" vertical="center" wrapText="1"/>
    </xf>
    <xf numFmtId="37" fontId="458" fillId="165" borderId="425" xfId="27949" applyNumberFormat="1" applyFont="1" applyFill="1" applyBorder="1" applyAlignment="1">
      <alignment horizontal="center" vertical="center" wrapText="1"/>
    </xf>
    <xf numFmtId="37" fontId="458" fillId="0" borderId="426" xfId="27949" applyNumberFormat="1" applyFont="1" applyFill="1" applyBorder="1" applyAlignment="1">
      <alignment horizontal="center" vertical="center" wrapText="1"/>
    </xf>
    <xf numFmtId="37" fontId="458" fillId="0" borderId="427" xfId="27949" applyNumberFormat="1" applyFont="1" applyFill="1" applyBorder="1" applyAlignment="1">
      <alignment horizontal="center" vertical="center" wrapText="1"/>
    </xf>
    <xf numFmtId="37" fontId="458" fillId="0" borderId="428" xfId="27949" applyNumberFormat="1" applyFont="1" applyFill="1" applyBorder="1" applyAlignment="1">
      <alignment horizontal="center" vertical="center" wrapText="1"/>
    </xf>
    <xf numFmtId="37" fontId="458" fillId="0" borderId="231" xfId="27949" applyNumberFormat="1" applyFont="1" applyFill="1" applyBorder="1" applyAlignment="1">
      <alignment horizontal="center" vertical="center" wrapText="1"/>
    </xf>
    <xf numFmtId="171" fontId="451" fillId="0" borderId="0" xfId="27948" applyFont="1" applyFill="1" applyBorder="1" applyAlignment="1">
      <alignment horizontal="left" vertical="center"/>
    </xf>
    <xf numFmtId="37" fontId="458" fillId="0" borderId="0" xfId="27949" applyNumberFormat="1" applyFont="1" applyFill="1" applyBorder="1" applyAlignment="1">
      <alignment horizontal="center" vertical="center" wrapText="1"/>
    </xf>
    <xf numFmtId="365" fontId="458" fillId="0" borderId="0" xfId="27947" applyNumberFormat="1" applyFont="1"/>
    <xf numFmtId="171" fontId="466" fillId="144" borderId="41" xfId="27948" applyFont="1" applyFill="1" applyBorder="1" applyAlignment="1">
      <alignment horizontal="center" vertical="center"/>
    </xf>
    <xf numFmtId="171" fontId="466" fillId="144" borderId="111" xfId="27948" applyFont="1" applyFill="1" applyBorder="1" applyAlignment="1">
      <alignment horizontal="center" vertical="center"/>
    </xf>
    <xf numFmtId="171" fontId="466" fillId="144" borderId="112" xfId="27948" applyFont="1" applyFill="1" applyBorder="1" applyAlignment="1">
      <alignment horizontal="center" vertical="center"/>
    </xf>
    <xf numFmtId="0" fontId="458" fillId="0" borderId="59" xfId="27947" applyFont="1" applyBorder="1" applyAlignment="1">
      <alignment vertical="center" wrapText="1"/>
    </xf>
    <xf numFmtId="15" fontId="465" fillId="0" borderId="0" xfId="27947" applyNumberFormat="1" applyFont="1" applyAlignment="1">
      <alignment horizontal="center" vertical="center"/>
    </xf>
    <xf numFmtId="364" fontId="465" fillId="0" borderId="0" xfId="27947" applyNumberFormat="1" applyFont="1" applyAlignment="1">
      <alignment horizontal="center" vertical="center"/>
    </xf>
    <xf numFmtId="37" fontId="452" fillId="0" borderId="418" xfId="27949" applyNumberFormat="1" applyFont="1" applyFill="1" applyBorder="1" applyAlignment="1">
      <alignment horizontal="center" vertical="center" wrapText="1"/>
    </xf>
    <xf numFmtId="37" fontId="452" fillId="0" borderId="52" xfId="27949" applyNumberFormat="1" applyFont="1" applyFill="1" applyBorder="1" applyAlignment="1">
      <alignment horizontal="centerContinuous" vertical="center" wrapText="1"/>
    </xf>
    <xf numFmtId="37" fontId="458" fillId="165" borderId="0" xfId="27949" applyNumberFormat="1" applyFont="1" applyFill="1" applyBorder="1" applyAlignment="1">
      <alignment horizontal="center" vertical="center" wrapText="1"/>
    </xf>
    <xf numFmtId="37" fontId="458" fillId="0" borderId="418" xfId="27949" applyNumberFormat="1" applyFont="1" applyFill="1" applyBorder="1" applyAlignment="1">
      <alignment vertical="center" wrapText="1"/>
    </xf>
    <xf numFmtId="0" fontId="466" fillId="169" borderId="111" xfId="27948" applyNumberFormat="1" applyFont="1" applyFill="1" applyBorder="1" applyAlignment="1">
      <alignment vertical="center"/>
    </xf>
    <xf numFmtId="0" fontId="466" fillId="169" borderId="112" xfId="27948" applyNumberFormat="1" applyFont="1" applyFill="1" applyBorder="1" applyAlignment="1">
      <alignment vertical="center"/>
    </xf>
    <xf numFmtId="0" fontId="466" fillId="169" borderId="0" xfId="27948" applyNumberFormat="1" applyFont="1" applyFill="1" applyBorder="1" applyAlignment="1">
      <alignment vertical="center"/>
    </xf>
    <xf numFmtId="0" fontId="466" fillId="169" borderId="52" xfId="27948" applyNumberFormat="1" applyFont="1" applyFill="1" applyBorder="1" applyAlignment="1">
      <alignment vertical="center"/>
    </xf>
    <xf numFmtId="1" fontId="458" fillId="0" borderId="0" xfId="27947" applyNumberFormat="1" applyFont="1" applyAlignment="1">
      <alignment horizontal="center" vertical="center"/>
    </xf>
    <xf numFmtId="0" fontId="466" fillId="0" borderId="111" xfId="27948" applyNumberFormat="1" applyFont="1" applyFill="1" applyBorder="1" applyAlignment="1">
      <alignment horizontal="center" vertical="center"/>
    </xf>
    <xf numFmtId="0" fontId="466" fillId="144" borderId="41" xfId="27948" applyNumberFormat="1" applyFont="1" applyFill="1" applyBorder="1" applyAlignment="1">
      <alignment horizontal="left" vertical="center"/>
    </xf>
    <xf numFmtId="171" fontId="465" fillId="0" borderId="0" xfId="27948" applyFont="1" applyFill="1" applyBorder="1" applyAlignment="1">
      <alignment vertical="center"/>
    </xf>
    <xf numFmtId="1" fontId="458" fillId="0" borderId="0" xfId="27947" applyNumberFormat="1" applyFont="1"/>
    <xf numFmtId="0" fontId="458" fillId="0" borderId="418" xfId="27947" quotePrefix="1" applyFont="1" applyBorder="1" applyAlignment="1">
      <alignment vertical="center"/>
    </xf>
    <xf numFmtId="365" fontId="452" fillId="0" borderId="418" xfId="27948" applyNumberFormat="1" applyFont="1" applyFill="1" applyBorder="1" applyAlignment="1">
      <alignment vertical="center"/>
    </xf>
    <xf numFmtId="365" fontId="452" fillId="0" borderId="0" xfId="27948" applyNumberFormat="1" applyFont="1" applyFill="1" applyBorder="1" applyAlignment="1">
      <alignment vertical="center"/>
    </xf>
    <xf numFmtId="0" fontId="459" fillId="0" borderId="52" xfId="27947" applyFont="1" applyBorder="1" applyAlignment="1">
      <alignment horizontal="center" vertical="center"/>
    </xf>
    <xf numFmtId="3" fontId="465" fillId="0" borderId="0" xfId="27947" applyNumberFormat="1" applyFont="1" applyAlignment="1">
      <alignment horizontal="center" vertical="center"/>
    </xf>
    <xf numFmtId="15" fontId="459" fillId="0" borderId="0" xfId="27947" applyNumberFormat="1" applyFont="1" applyAlignment="1">
      <alignment horizontal="center" vertical="center"/>
    </xf>
    <xf numFmtId="0" fontId="452" fillId="0" borderId="426" xfId="27947" quotePrefix="1" applyFont="1" applyBorder="1" applyAlignment="1">
      <alignment vertical="center"/>
    </xf>
    <xf numFmtId="365" fontId="452" fillId="0" borderId="426" xfId="27948" applyNumberFormat="1" applyFont="1" applyFill="1" applyBorder="1" applyAlignment="1">
      <alignment vertical="center"/>
    </xf>
    <xf numFmtId="0" fontId="459" fillId="0" borderId="231" xfId="27947" applyFont="1" applyBorder="1" applyAlignment="1">
      <alignment horizontal="center" vertical="center"/>
    </xf>
    <xf numFmtId="0" fontId="458" fillId="0" borderId="111" xfId="27947" quotePrefix="1" applyFont="1" applyBorder="1" applyAlignment="1">
      <alignment vertical="center"/>
    </xf>
    <xf numFmtId="365" fontId="458" fillId="0" borderId="111" xfId="27948" applyNumberFormat="1" applyFont="1" applyFill="1" applyBorder="1" applyAlignment="1">
      <alignment vertical="center"/>
    </xf>
    <xf numFmtId="0" fontId="459" fillId="0" borderId="111" xfId="27947" applyFont="1" applyBorder="1" applyAlignment="1">
      <alignment horizontal="center" vertical="center"/>
    </xf>
    <xf numFmtId="0" fontId="466" fillId="144" borderId="41" xfId="27948" applyNumberFormat="1" applyFont="1" applyFill="1" applyBorder="1" applyAlignment="1">
      <alignment vertical="center"/>
    </xf>
    <xf numFmtId="0" fontId="466" fillId="144" borderId="111" xfId="27948" applyNumberFormat="1" applyFont="1" applyFill="1" applyBorder="1" applyAlignment="1">
      <alignment vertical="center"/>
    </xf>
    <xf numFmtId="0" fontId="459" fillId="144" borderId="112" xfId="27947" applyFont="1" applyFill="1" applyBorder="1" applyAlignment="1">
      <alignment horizontal="center" vertical="center"/>
    </xf>
    <xf numFmtId="0" fontId="464" fillId="0" borderId="418" xfId="27948" applyNumberFormat="1" applyFont="1" applyFill="1" applyBorder="1" applyAlignment="1">
      <alignment horizontal="center" vertical="center"/>
    </xf>
    <xf numFmtId="363" fontId="464" fillId="0" borderId="430" xfId="27948" applyNumberFormat="1" applyFont="1" applyFill="1" applyBorder="1" applyAlignment="1">
      <alignment horizontal="center" vertical="center"/>
    </xf>
    <xf numFmtId="9" fontId="464" fillId="0" borderId="430" xfId="22690" applyFont="1" applyFill="1" applyBorder="1" applyAlignment="1">
      <alignment horizontal="center" vertical="center"/>
    </xf>
    <xf numFmtId="363" fontId="465" fillId="0" borderId="418" xfId="27947" applyNumberFormat="1" applyFont="1" applyBorder="1" applyAlignment="1">
      <alignment horizontal="left" vertical="center"/>
    </xf>
    <xf numFmtId="9" fontId="465" fillId="0" borderId="430" xfId="22690" applyFont="1" applyFill="1" applyBorder="1" applyAlignment="1">
      <alignment horizontal="center" vertical="center"/>
    </xf>
    <xf numFmtId="0" fontId="452" fillId="158" borderId="111" xfId="27948" applyNumberFormat="1" applyFont="1" applyFill="1" applyBorder="1" applyAlignment="1">
      <alignment vertical="center"/>
    </xf>
    <xf numFmtId="0" fontId="452" fillId="158" borderId="112" xfId="27948" applyNumberFormat="1" applyFont="1" applyFill="1" applyBorder="1" applyAlignment="1">
      <alignment vertical="center"/>
    </xf>
    <xf numFmtId="0" fontId="452" fillId="158" borderId="0" xfId="27948" applyNumberFormat="1" applyFont="1" applyFill="1" applyBorder="1" applyAlignment="1">
      <alignment vertical="center"/>
    </xf>
    <xf numFmtId="0" fontId="452" fillId="158" borderId="52" xfId="27948" applyNumberFormat="1" applyFont="1" applyFill="1" applyBorder="1" applyAlignment="1">
      <alignment vertical="center"/>
    </xf>
    <xf numFmtId="0" fontId="458" fillId="0" borderId="52" xfId="27947" applyFont="1" applyBorder="1"/>
    <xf numFmtId="0" fontId="458" fillId="0" borderId="52" xfId="27947" applyFont="1" applyBorder="1" applyAlignment="1">
      <alignment horizontal="center" vertical="center"/>
    </xf>
    <xf numFmtId="0" fontId="458" fillId="0" borderId="0" xfId="27947" applyFont="1" applyAlignment="1">
      <alignment horizontal="center"/>
    </xf>
    <xf numFmtId="363" fontId="452" fillId="0" borderId="426" xfId="27947" applyNumberFormat="1" applyFont="1" applyBorder="1" applyAlignment="1">
      <alignment horizontal="left" vertical="center" wrapText="1"/>
    </xf>
    <xf numFmtId="9" fontId="452" fillId="0" borderId="432" xfId="22690" applyFont="1" applyFill="1" applyBorder="1" applyAlignment="1">
      <alignment horizontal="center" vertical="center" wrapText="1"/>
    </xf>
    <xf numFmtId="0" fontId="458" fillId="0" borderId="231" xfId="27947" applyFont="1" applyBorder="1" applyAlignment="1">
      <alignment horizontal="center" vertical="center"/>
    </xf>
    <xf numFmtId="171" fontId="458" fillId="0" borderId="230" xfId="27948" applyFont="1" applyFill="1" applyBorder="1" applyAlignment="1">
      <alignment horizontal="left" vertical="center"/>
    </xf>
    <xf numFmtId="37" fontId="465" fillId="0" borderId="424" xfId="27947" applyNumberFormat="1" applyFont="1" applyBorder="1" applyAlignment="1">
      <alignment horizontal="center" vertical="center"/>
    </xf>
    <xf numFmtId="363" fontId="464" fillId="0" borderId="424" xfId="27947" applyNumberFormat="1" applyFont="1" applyBorder="1" applyAlignment="1">
      <alignment horizontal="center" vertical="center"/>
    </xf>
    <xf numFmtId="363" fontId="464" fillId="0" borderId="425" xfId="27947" applyNumberFormat="1" applyFont="1" applyBorder="1" applyAlignment="1">
      <alignment horizontal="center" vertical="center"/>
    </xf>
    <xf numFmtId="0" fontId="458" fillId="0" borderId="230" xfId="27947" applyFont="1" applyBorder="1" applyAlignment="1">
      <alignment horizontal="left" vertical="center"/>
    </xf>
    <xf numFmtId="0" fontId="458" fillId="0" borderId="426" xfId="27947" applyFont="1" applyBorder="1" applyAlignment="1">
      <alignment horizontal="center" vertical="center"/>
    </xf>
    <xf numFmtId="0" fontId="465" fillId="0" borderId="0" xfId="27948" applyNumberFormat="1" applyFont="1" applyFill="1" applyBorder="1" applyAlignment="1">
      <alignment horizontal="left" vertical="center"/>
    </xf>
    <xf numFmtId="171" fontId="465" fillId="0" borderId="0" xfId="27948" applyFont="1" applyFill="1" applyBorder="1" applyAlignment="1">
      <alignment horizontal="center" vertical="center"/>
    </xf>
    <xf numFmtId="171" fontId="458" fillId="0" borderId="0" xfId="27948" applyFont="1" applyFill="1" applyBorder="1" applyAlignment="1">
      <alignment horizontal="center" vertical="center"/>
    </xf>
    <xf numFmtId="179" fontId="465" fillId="0" borderId="0" xfId="27948" applyNumberFormat="1" applyFont="1" applyFill="1" applyBorder="1" applyAlignment="1">
      <alignment horizontal="center" vertical="center"/>
    </xf>
    <xf numFmtId="0" fontId="458" fillId="0" borderId="0" xfId="27948" applyNumberFormat="1" applyFont="1" applyFill="1" applyBorder="1" applyAlignment="1">
      <alignment horizontal="center" vertical="center"/>
    </xf>
    <xf numFmtId="363" fontId="458" fillId="0" borderId="0" xfId="27947" applyNumberFormat="1" applyFont="1" applyAlignment="1">
      <alignment horizontal="left" vertical="center"/>
    </xf>
    <xf numFmtId="365" fontId="458" fillId="0" borderId="0" xfId="27947" applyNumberFormat="1" applyFont="1" applyAlignment="1">
      <alignment horizontal="left" vertical="center"/>
    </xf>
    <xf numFmtId="171" fontId="458" fillId="0" borderId="0" xfId="27948" applyFont="1" applyFill="1" applyBorder="1" applyAlignment="1">
      <alignment horizontal="left" vertical="center"/>
    </xf>
    <xf numFmtId="0" fontId="465" fillId="0" borderId="0" xfId="27951" applyNumberFormat="1" applyFont="1" applyFill="1" applyBorder="1" applyAlignment="1">
      <alignment horizontal="center" vertical="center"/>
    </xf>
    <xf numFmtId="0" fontId="465" fillId="0" borderId="0" xfId="27947" applyFont="1" applyAlignment="1">
      <alignment horizontal="center" vertical="center"/>
    </xf>
    <xf numFmtId="15" fontId="458" fillId="0" borderId="0" xfId="27947" applyNumberFormat="1" applyFont="1" applyAlignment="1">
      <alignment horizontal="center" vertical="center"/>
    </xf>
    <xf numFmtId="9" fontId="465" fillId="0" borderId="0" xfId="27951" applyFont="1" applyFill="1" applyBorder="1" applyAlignment="1">
      <alignment horizontal="center" vertical="center"/>
    </xf>
    <xf numFmtId="0" fontId="458" fillId="0" borderId="0" xfId="27947" applyFont="1" applyAlignment="1">
      <alignment vertical="center"/>
    </xf>
    <xf numFmtId="9" fontId="458" fillId="0" borderId="0" xfId="27951" applyFont="1" applyFill="1" applyBorder="1" applyAlignment="1">
      <alignment horizontal="center" vertical="center"/>
    </xf>
    <xf numFmtId="0" fontId="458" fillId="0" borderId="0" xfId="27947" quotePrefix="1" applyFont="1" applyAlignment="1">
      <alignment horizontal="center" vertical="center"/>
    </xf>
    <xf numFmtId="179" fontId="458" fillId="107" borderId="269" xfId="27949" applyNumberFormat="1" applyFont="1" applyFill="1" applyBorder="1" applyAlignment="1">
      <alignment horizontal="center" vertical="center"/>
    </xf>
    <xf numFmtId="0" fontId="458" fillId="0" borderId="269" xfId="27947" applyFont="1" applyBorder="1" applyAlignment="1">
      <alignment horizontal="center" vertical="center"/>
    </xf>
    <xf numFmtId="9" fontId="458" fillId="0" borderId="0" xfId="27951" applyFont="1" applyBorder="1" applyAlignment="1">
      <alignment horizontal="center" vertical="center"/>
    </xf>
    <xf numFmtId="171" fontId="458" fillId="0" borderId="269" xfId="27948" applyFont="1" applyFill="1" applyBorder="1" applyAlignment="1">
      <alignment horizontal="left" vertical="center"/>
    </xf>
    <xf numFmtId="0" fontId="458" fillId="0" borderId="269" xfId="27948" applyNumberFormat="1" applyFont="1" applyFill="1" applyBorder="1" applyAlignment="1">
      <alignment horizontal="center" vertical="center"/>
    </xf>
    <xf numFmtId="171" fontId="458" fillId="0" borderId="0" xfId="27948" applyFont="1"/>
    <xf numFmtId="9" fontId="458" fillId="0" borderId="269" xfId="27951" applyFont="1" applyBorder="1" applyAlignment="1">
      <alignment horizontal="center"/>
    </xf>
    <xf numFmtId="9" fontId="458" fillId="0" borderId="269" xfId="27951" applyFont="1" applyFill="1" applyBorder="1" applyAlignment="1">
      <alignment horizontal="center"/>
    </xf>
    <xf numFmtId="360" fontId="169" fillId="0" borderId="332" xfId="27932" applyNumberFormat="1" applyFont="1" applyFill="1" applyBorder="1" applyAlignment="1" applyProtection="1">
      <alignment horizontal="center" vertical="center" wrapText="1"/>
      <protection locked="0"/>
    </xf>
    <xf numFmtId="179" fontId="169" fillId="0" borderId="335" xfId="27933" applyNumberFormat="1" applyFont="1" applyFill="1" applyBorder="1" applyAlignment="1" applyProtection="1">
      <alignment horizontal="center" vertical="center"/>
      <protection locked="0"/>
    </xf>
    <xf numFmtId="210" fontId="169" fillId="107" borderId="117" xfId="27932" applyNumberFormat="1" applyFont="1" applyFill="1" applyBorder="1" applyAlignment="1" applyProtection="1">
      <alignment horizontal="center" vertical="center"/>
      <protection locked="0"/>
    </xf>
    <xf numFmtId="210" fontId="169" fillId="0" borderId="117" xfId="27932" applyNumberFormat="1" applyFont="1" applyFill="1" applyBorder="1" applyAlignment="1" applyProtection="1">
      <alignment horizontal="center" vertical="center"/>
      <protection locked="0"/>
    </xf>
    <xf numFmtId="210" fontId="353" fillId="107" borderId="117" xfId="7850" applyNumberFormat="1" applyFont="1" applyFill="1" applyBorder="1" applyAlignment="1" applyProtection="1">
      <alignment horizontal="center" vertical="center"/>
      <protection locked="0"/>
    </xf>
    <xf numFmtId="210" fontId="504" fillId="177" borderId="117" xfId="7850" applyNumberFormat="1" applyFont="1" applyFill="1" applyBorder="1" applyAlignment="1" applyProtection="1">
      <alignment horizontal="center" vertical="center"/>
      <protection locked="0"/>
    </xf>
    <xf numFmtId="210" fontId="504" fillId="107" borderId="117" xfId="7850" applyNumberFormat="1" applyFont="1" applyFill="1" applyBorder="1" applyAlignment="1" applyProtection="1">
      <alignment horizontal="center" vertical="center"/>
      <protection locked="0"/>
    </xf>
    <xf numFmtId="210" fontId="169" fillId="194" borderId="117" xfId="27932" applyNumberFormat="1" applyFont="1" applyFill="1" applyBorder="1" applyAlignment="1" applyProtection="1">
      <alignment horizontal="center" vertical="center"/>
      <protection locked="0"/>
    </xf>
    <xf numFmtId="210" fontId="353" fillId="177" borderId="117" xfId="7850" applyNumberFormat="1" applyFont="1" applyFill="1" applyBorder="1" applyAlignment="1" applyProtection="1">
      <alignment horizontal="center" vertical="center"/>
      <protection locked="0"/>
    </xf>
    <xf numFmtId="210" fontId="169" fillId="107" borderId="214" xfId="27932" applyNumberFormat="1" applyFont="1" applyFill="1" applyBorder="1" applyAlignment="1" applyProtection="1">
      <alignment horizontal="center" vertical="center"/>
      <protection locked="0"/>
    </xf>
    <xf numFmtId="210" fontId="169" fillId="0" borderId="214" xfId="27932" applyNumberFormat="1" applyFont="1" applyFill="1" applyBorder="1" applyAlignment="1" applyProtection="1">
      <alignment horizontal="center" vertical="center"/>
      <protection locked="0"/>
    </xf>
    <xf numFmtId="210" fontId="169" fillId="194" borderId="214" xfId="27932" applyNumberFormat="1" applyFont="1" applyFill="1" applyBorder="1" applyAlignment="1" applyProtection="1">
      <alignment horizontal="center" vertical="center"/>
      <protection locked="0"/>
    </xf>
    <xf numFmtId="210" fontId="353" fillId="107" borderId="214" xfId="7850" applyNumberFormat="1" applyFont="1" applyFill="1" applyBorder="1" applyAlignment="1" applyProtection="1">
      <alignment horizontal="center" vertical="center"/>
      <protection locked="0"/>
    </xf>
    <xf numFmtId="210" fontId="504" fillId="107" borderId="214" xfId="7850" applyNumberFormat="1" applyFont="1" applyFill="1" applyBorder="1" applyAlignment="1" applyProtection="1">
      <alignment horizontal="center" vertical="center"/>
      <protection locked="0"/>
    </xf>
    <xf numFmtId="0" fontId="451" fillId="0" borderId="0" xfId="27925" applyFont="1"/>
    <xf numFmtId="171" fontId="512" fillId="0" borderId="0" xfId="27926" applyFont="1" applyFill="1" applyBorder="1" applyAlignment="1">
      <alignment horizontal="left" vertical="center"/>
    </xf>
    <xf numFmtId="171" fontId="512" fillId="0" borderId="0" xfId="27926" applyFont="1" applyFill="1" applyBorder="1" applyAlignment="1">
      <alignment horizontal="center" vertical="center"/>
    </xf>
    <xf numFmtId="171" fontId="513" fillId="0" borderId="0" xfId="27926" applyFont="1" applyFill="1" applyBorder="1" applyAlignment="1">
      <alignment horizontal="left" vertical="center"/>
    </xf>
    <xf numFmtId="171" fontId="513" fillId="0" borderId="0" xfId="27926" applyFont="1" applyFill="1" applyBorder="1" applyAlignment="1">
      <alignment horizontal="center" vertical="center"/>
    </xf>
    <xf numFmtId="0" fontId="451" fillId="0" borderId="0" xfId="27925" applyFont="1" applyAlignment="1">
      <alignment horizontal="left" vertical="center"/>
    </xf>
    <xf numFmtId="0" fontId="514" fillId="156" borderId="0" xfId="27925" applyFont="1" applyFill="1" applyAlignment="1">
      <alignment horizontal="left" vertical="center"/>
    </xf>
    <xf numFmtId="0" fontId="514" fillId="156" borderId="0" xfId="27925" applyFont="1" applyFill="1" applyAlignment="1">
      <alignment horizontal="center" vertical="center"/>
    </xf>
    <xf numFmtId="0" fontId="512" fillId="0" borderId="0" xfId="27925" applyFont="1" applyAlignment="1">
      <alignment horizontal="center" vertical="center"/>
    </xf>
    <xf numFmtId="0" fontId="513" fillId="0" borderId="0" xfId="27925" applyFont="1" applyAlignment="1">
      <alignment horizontal="left" vertical="center"/>
    </xf>
    <xf numFmtId="0" fontId="513" fillId="0" borderId="0" xfId="27925" applyFont="1" applyAlignment="1">
      <alignment horizontal="center" vertical="center"/>
    </xf>
    <xf numFmtId="171" fontId="454" fillId="158" borderId="0" xfId="27926" applyFont="1" applyFill="1" applyBorder="1" applyAlignment="1">
      <alignment horizontal="left" vertical="center"/>
    </xf>
    <xf numFmtId="171" fontId="454" fillId="158" borderId="0" xfId="27926" applyFont="1" applyFill="1" applyBorder="1" applyAlignment="1">
      <alignment horizontal="center" vertical="center"/>
    </xf>
    <xf numFmtId="0" fontId="512" fillId="0" borderId="0" xfId="27925" applyFont="1" applyAlignment="1">
      <alignment horizontal="left" vertical="center"/>
    </xf>
    <xf numFmtId="0" fontId="512" fillId="155" borderId="0" xfId="27925" applyFont="1" applyFill="1" applyAlignment="1">
      <alignment horizontal="left" vertical="center"/>
    </xf>
    <xf numFmtId="0" fontId="512" fillId="155" borderId="0" xfId="27925" applyFont="1" applyFill="1" applyAlignment="1">
      <alignment horizontal="center" vertical="center"/>
    </xf>
    <xf numFmtId="0" fontId="513" fillId="155" borderId="0" xfId="27925" applyFont="1" applyFill="1" applyAlignment="1">
      <alignment horizontal="left" vertical="center"/>
    </xf>
    <xf numFmtId="0" fontId="451" fillId="155" borderId="0" xfId="27925" applyFont="1" applyFill="1" applyAlignment="1">
      <alignment horizontal="left" vertical="center"/>
    </xf>
    <xf numFmtId="0" fontId="451" fillId="155" borderId="0" xfId="27925" applyFont="1" applyFill="1" applyAlignment="1">
      <alignment horizontal="center" vertical="center"/>
    </xf>
    <xf numFmtId="171" fontId="512" fillId="155" borderId="0" xfId="27926" applyFont="1" applyFill="1" applyBorder="1" applyAlignment="1">
      <alignment horizontal="left" vertical="center"/>
    </xf>
    <xf numFmtId="1" fontId="418" fillId="0" borderId="0" xfId="27926" applyNumberFormat="1" applyFont="1" applyFill="1" applyBorder="1" applyAlignment="1">
      <alignment horizontal="center" vertical="center"/>
    </xf>
    <xf numFmtId="171" fontId="453" fillId="170" borderId="314" xfId="27926" applyFont="1" applyFill="1" applyBorder="1" applyAlignment="1">
      <alignment vertical="center"/>
    </xf>
    <xf numFmtId="171" fontId="453" fillId="170" borderId="314" xfId="27926" applyFont="1" applyFill="1" applyBorder="1" applyAlignment="1">
      <alignment horizontal="center" vertical="center"/>
    </xf>
    <xf numFmtId="171" fontId="451" fillId="170" borderId="269" xfId="27926" applyFont="1" applyFill="1" applyBorder="1" applyAlignment="1">
      <alignment horizontal="left" vertical="center"/>
    </xf>
    <xf numFmtId="0" fontId="451" fillId="171" borderId="269" xfId="27925" applyFont="1" applyFill="1" applyBorder="1" applyAlignment="1">
      <alignment horizontal="center" vertical="center" wrapText="1"/>
    </xf>
    <xf numFmtId="0" fontId="451" fillId="171" borderId="269" xfId="27925" applyFont="1" applyFill="1" applyBorder="1" applyAlignment="1">
      <alignment horizontal="center" vertical="center"/>
    </xf>
    <xf numFmtId="0" fontId="451" fillId="171" borderId="267" xfId="27925" applyFont="1" applyFill="1" applyBorder="1" applyAlignment="1">
      <alignment horizontal="center" vertical="center" wrapText="1"/>
    </xf>
    <xf numFmtId="171" fontId="515" fillId="182" borderId="267" xfId="27926" applyFont="1" applyFill="1" applyBorder="1" applyAlignment="1">
      <alignment horizontal="left" vertical="center"/>
    </xf>
    <xf numFmtId="171" fontId="515" fillId="182" borderId="268" xfId="27926" applyFont="1" applyFill="1" applyBorder="1" applyAlignment="1">
      <alignment horizontal="left" vertical="center"/>
    </xf>
    <xf numFmtId="179" fontId="515" fillId="169" borderId="108" xfId="27927" applyNumberFormat="1" applyFont="1" applyFill="1" applyBorder="1" applyAlignment="1">
      <alignment vertical="center"/>
    </xf>
    <xf numFmtId="171" fontId="484" fillId="163" borderId="269" xfId="27926" applyFont="1" applyFill="1" applyBorder="1" applyAlignment="1">
      <alignment horizontal="left" vertical="center"/>
    </xf>
    <xf numFmtId="363" fontId="484" fillId="163" borderId="269" xfId="27925" applyNumberFormat="1" applyFont="1" applyFill="1" applyBorder="1" applyAlignment="1">
      <alignment horizontal="left" vertical="center"/>
    </xf>
    <xf numFmtId="9" fontId="484" fillId="163" borderId="267" xfId="22690" applyFont="1" applyFill="1" applyBorder="1" applyAlignment="1">
      <alignment horizontal="center" vertical="center"/>
    </xf>
    <xf numFmtId="171" fontId="451" fillId="157" borderId="269" xfId="27926" applyFont="1" applyFill="1" applyBorder="1" applyAlignment="1">
      <alignment horizontal="left" vertical="center"/>
    </xf>
    <xf numFmtId="1" fontId="418" fillId="157" borderId="267" xfId="27926" applyNumberFormat="1" applyFont="1" applyFill="1" applyBorder="1" applyAlignment="1">
      <alignment horizontal="center" vertical="center"/>
    </xf>
    <xf numFmtId="0" fontId="451" fillId="0" borderId="286" xfId="27925" applyFont="1" applyBorder="1" applyAlignment="1">
      <alignment horizontal="left" vertical="center"/>
    </xf>
    <xf numFmtId="363" fontId="418" fillId="0" borderId="306" xfId="27926" applyNumberFormat="1" applyFont="1" applyFill="1" applyBorder="1" applyAlignment="1">
      <alignment horizontal="center" vertical="center"/>
    </xf>
    <xf numFmtId="363" fontId="418" fillId="0" borderId="307" xfId="27926" applyNumberFormat="1" applyFont="1" applyFill="1" applyBorder="1" applyAlignment="1">
      <alignment horizontal="center" vertical="center"/>
    </xf>
    <xf numFmtId="363" fontId="418" fillId="0" borderId="308" xfId="27926" applyNumberFormat="1" applyFont="1" applyFill="1" applyBorder="1" applyAlignment="1">
      <alignment horizontal="center" vertical="center"/>
    </xf>
    <xf numFmtId="363" fontId="418" fillId="0" borderId="309" xfId="27926" applyNumberFormat="1" applyFont="1" applyFill="1" applyBorder="1" applyAlignment="1">
      <alignment horizontal="center" vertical="center"/>
    </xf>
    <xf numFmtId="363" fontId="418" fillId="0" borderId="285" xfId="27926" applyNumberFormat="1" applyFont="1" applyFill="1" applyBorder="1" applyAlignment="1">
      <alignment horizontal="center" vertical="center"/>
    </xf>
    <xf numFmtId="171" fontId="451" fillId="0" borderId="269" xfId="27926" applyFont="1" applyFill="1" applyBorder="1" applyAlignment="1">
      <alignment horizontal="left" vertical="center"/>
    </xf>
    <xf numFmtId="363" fontId="512" fillId="0" borderId="270" xfId="27925" applyNumberFormat="1" applyFont="1" applyBorder="1" applyAlignment="1">
      <alignment horizontal="left" vertical="center"/>
    </xf>
    <xf numFmtId="363" fontId="418" fillId="0" borderId="269" xfId="27925" applyNumberFormat="1" applyFont="1" applyBorder="1" applyAlignment="1">
      <alignment horizontal="left" vertical="center"/>
    </xf>
    <xf numFmtId="363" fontId="418" fillId="0" borderId="269" xfId="27925" applyNumberFormat="1" applyFont="1" applyBorder="1" applyAlignment="1">
      <alignment horizontal="center" vertical="center"/>
    </xf>
    <xf numFmtId="365" fontId="451" fillId="0" borderId="269" xfId="27926" applyNumberFormat="1" applyFont="1" applyFill="1" applyBorder="1" applyAlignment="1">
      <alignment horizontal="left" vertical="center"/>
    </xf>
    <xf numFmtId="0" fontId="451" fillId="0" borderId="0" xfId="27925" applyFont="1" applyAlignment="1">
      <alignment horizontal="center" vertical="center"/>
    </xf>
    <xf numFmtId="171" fontId="451" fillId="0" borderId="288" xfId="27926" applyFont="1" applyFill="1" applyBorder="1" applyAlignment="1">
      <alignment horizontal="left" vertical="center"/>
    </xf>
    <xf numFmtId="365" fontId="451" fillId="0" borderId="331" xfId="27926" applyNumberFormat="1" applyFont="1" applyFill="1" applyBorder="1" applyAlignment="1">
      <alignment horizontal="left" vertical="center"/>
    </xf>
    <xf numFmtId="171" fontId="451" fillId="167" borderId="269" xfId="27926" applyFont="1" applyFill="1" applyBorder="1" applyAlignment="1">
      <alignment horizontal="left" vertical="center"/>
    </xf>
    <xf numFmtId="9" fontId="451" fillId="167" borderId="275" xfId="22690" applyFont="1" applyFill="1" applyBorder="1" applyAlignment="1">
      <alignment horizontal="center" vertical="center"/>
    </xf>
    <xf numFmtId="3" fontId="418" fillId="0" borderId="279" xfId="27925" applyNumberFormat="1" applyFont="1" applyBorder="1" applyAlignment="1">
      <alignment horizontal="center" vertical="center"/>
    </xf>
    <xf numFmtId="3" fontId="418" fillId="0" borderId="270" xfId="27925" applyNumberFormat="1" applyFont="1" applyBorder="1" applyAlignment="1">
      <alignment horizontal="center" vertical="center"/>
    </xf>
    <xf numFmtId="0" fontId="451" fillId="0" borderId="288" xfId="27925" applyFont="1" applyBorder="1" applyAlignment="1">
      <alignment horizontal="left" vertical="center"/>
    </xf>
    <xf numFmtId="0" fontId="451" fillId="0" borderId="270" xfId="27925" applyFont="1" applyBorder="1" applyAlignment="1">
      <alignment horizontal="center" vertical="center"/>
    </xf>
    <xf numFmtId="171" fontId="451" fillId="0" borderId="282" xfId="27926" applyFont="1" applyFill="1" applyBorder="1" applyAlignment="1">
      <alignment horizontal="left" vertical="center"/>
    </xf>
    <xf numFmtId="3" fontId="418" fillId="0" borderId="277" xfId="27925" applyNumberFormat="1" applyFont="1" applyBorder="1" applyAlignment="1">
      <alignment horizontal="center" vertical="center"/>
    </xf>
    <xf numFmtId="171" fontId="453" fillId="170" borderId="310" xfId="27926" applyFont="1" applyFill="1" applyBorder="1" applyAlignment="1">
      <alignment horizontal="left" vertical="center"/>
    </xf>
    <xf numFmtId="171" fontId="484" fillId="159" borderId="281" xfId="27926" applyFont="1" applyFill="1" applyBorder="1" applyAlignment="1">
      <alignment horizontal="center" vertical="center"/>
    </xf>
    <xf numFmtId="171" fontId="484" fillId="159" borderId="271" xfId="27926" applyFont="1" applyFill="1" applyBorder="1" applyAlignment="1">
      <alignment horizontal="center" vertical="center"/>
    </xf>
    <xf numFmtId="1" fontId="484" fillId="159" borderId="271" xfId="27926" applyNumberFormat="1" applyFont="1" applyFill="1" applyBorder="1" applyAlignment="1">
      <alignment horizontal="center" vertical="center"/>
    </xf>
    <xf numFmtId="171" fontId="484" fillId="196" borderId="271" xfId="27926" applyFont="1" applyFill="1" applyBorder="1" applyAlignment="1">
      <alignment horizontal="center" vertical="center"/>
    </xf>
    <xf numFmtId="171" fontId="451" fillId="170" borderId="41" xfId="27926" applyFont="1" applyFill="1" applyBorder="1" applyAlignment="1">
      <alignment vertical="center"/>
    </xf>
    <xf numFmtId="369" fontId="418" fillId="170" borderId="407" xfId="27925" applyNumberFormat="1" applyFont="1" applyFill="1" applyBorder="1" applyAlignment="1">
      <alignment horizontal="center" vertical="center"/>
    </xf>
    <xf numFmtId="369" fontId="451" fillId="170" borderId="407" xfId="27925" applyNumberFormat="1" applyFont="1" applyFill="1" applyBorder="1" applyAlignment="1">
      <alignment horizontal="center" vertical="center"/>
    </xf>
    <xf numFmtId="369" fontId="418" fillId="170" borderId="404" xfId="27925" applyNumberFormat="1" applyFont="1" applyFill="1" applyBorder="1" applyAlignment="1">
      <alignment horizontal="center" vertical="center"/>
    </xf>
    <xf numFmtId="369" fontId="451" fillId="170" borderId="342" xfId="27925" applyNumberFormat="1" applyFont="1" applyFill="1" applyBorder="1" applyAlignment="1">
      <alignment horizontal="center" vertical="center"/>
    </xf>
    <xf numFmtId="171" fontId="451" fillId="0" borderId="411" xfId="27926" applyFont="1" applyFill="1" applyBorder="1" applyAlignment="1">
      <alignment horizontal="left" vertical="center" wrapText="1"/>
    </xf>
    <xf numFmtId="365" fontId="451" fillId="0" borderId="345" xfId="27926" applyNumberFormat="1" applyFont="1" applyFill="1" applyBorder="1" applyAlignment="1">
      <alignment horizontal="left" vertical="center"/>
    </xf>
    <xf numFmtId="171" fontId="451" fillId="0" borderId="409" xfId="27926" applyFont="1" applyFill="1" applyBorder="1" applyAlignment="1">
      <alignment horizontal="left" vertical="center"/>
    </xf>
    <xf numFmtId="365" fontId="451" fillId="0" borderId="0" xfId="27925" applyNumberFormat="1" applyFont="1"/>
    <xf numFmtId="171" fontId="451" fillId="0" borderId="409" xfId="27926" applyFont="1" applyFill="1" applyBorder="1" applyAlignment="1">
      <alignment horizontal="left" vertical="center" wrapText="1"/>
    </xf>
    <xf numFmtId="171" fontId="453" fillId="170" borderId="310" xfId="27926" applyFont="1" applyFill="1" applyBorder="1" applyAlignment="1">
      <alignment horizontal="left" vertical="center" wrapText="1"/>
    </xf>
    <xf numFmtId="365" fontId="451" fillId="0" borderId="412" xfId="27926" applyNumberFormat="1" applyFont="1" applyFill="1" applyBorder="1" applyAlignment="1">
      <alignment horizontal="left" vertical="center"/>
    </xf>
    <xf numFmtId="171" fontId="451" fillId="170" borderId="372" xfId="27926" applyFont="1" applyFill="1" applyBorder="1" applyAlignment="1">
      <alignment horizontal="left" vertical="center"/>
    </xf>
    <xf numFmtId="365" fontId="451" fillId="170" borderId="414" xfId="27926" applyNumberFormat="1" applyFont="1" applyFill="1" applyBorder="1" applyAlignment="1">
      <alignment horizontal="left" vertical="center"/>
    </xf>
    <xf numFmtId="365" fontId="451" fillId="170" borderId="406" xfId="27926" applyNumberFormat="1" applyFont="1" applyFill="1" applyBorder="1" applyAlignment="1">
      <alignment horizontal="left" vertical="center"/>
    </xf>
    <xf numFmtId="365" fontId="451" fillId="170" borderId="344" xfId="27926" applyNumberFormat="1" applyFont="1" applyFill="1" applyBorder="1" applyAlignment="1">
      <alignment horizontal="left" vertical="center"/>
    </xf>
    <xf numFmtId="171" fontId="484" fillId="162" borderId="276" xfId="27926" applyFont="1" applyFill="1" applyBorder="1" applyAlignment="1">
      <alignment horizontal="center" vertical="center"/>
    </xf>
    <xf numFmtId="0" fontId="451" fillId="0" borderId="268" xfId="27925" applyFont="1" applyBorder="1" applyAlignment="1">
      <alignment horizontal="center" vertical="center" wrapText="1"/>
    </xf>
    <xf numFmtId="1" fontId="418" fillId="170" borderId="267" xfId="27926" applyNumberFormat="1" applyFont="1" applyFill="1" applyBorder="1" applyAlignment="1">
      <alignment horizontal="center" vertical="center"/>
    </xf>
    <xf numFmtId="171" fontId="515" fillId="144" borderId="267" xfId="27926" applyFont="1" applyFill="1" applyBorder="1" applyAlignment="1">
      <alignment horizontal="center" vertical="center"/>
    </xf>
    <xf numFmtId="171" fontId="515" fillId="144" borderId="268" xfId="27926" applyFont="1" applyFill="1" applyBorder="1" applyAlignment="1">
      <alignment horizontal="center" vertical="center"/>
    </xf>
    <xf numFmtId="37" fontId="451" fillId="170" borderId="322" xfId="27927" applyNumberFormat="1" applyFont="1" applyFill="1" applyBorder="1" applyAlignment="1">
      <alignment horizontal="center" vertical="center" wrapText="1"/>
    </xf>
    <xf numFmtId="37" fontId="451" fillId="170" borderId="315" xfId="27927" applyNumberFormat="1" applyFont="1" applyFill="1" applyBorder="1" applyAlignment="1">
      <alignment horizontal="center" vertical="center" wrapText="1"/>
    </xf>
    <xf numFmtId="37" fontId="451" fillId="170" borderId="323" xfId="27927" applyNumberFormat="1" applyFont="1" applyFill="1" applyBorder="1" applyAlignment="1">
      <alignment horizontal="center" vertical="center" wrapText="1"/>
    </xf>
    <xf numFmtId="0" fontId="516" fillId="169" borderId="316" xfId="27925" quotePrefix="1" applyFont="1" applyFill="1" applyBorder="1" applyAlignment="1">
      <alignment vertical="center"/>
    </xf>
    <xf numFmtId="0" fontId="515" fillId="169" borderId="317" xfId="27925" quotePrefix="1" applyFont="1" applyFill="1" applyBorder="1" applyAlignment="1">
      <alignment vertical="center"/>
    </xf>
    <xf numFmtId="171" fontId="418" fillId="0" borderId="0" xfId="27926" applyFont="1" applyFill="1" applyBorder="1" applyAlignment="1">
      <alignment vertical="center"/>
    </xf>
    <xf numFmtId="0" fontId="453" fillId="0" borderId="0" xfId="13899" applyFont="1" applyAlignment="1">
      <alignment vertical="center"/>
    </xf>
    <xf numFmtId="1" fontId="512" fillId="0" borderId="270" xfId="27925" applyNumberFormat="1" applyFont="1" applyBorder="1" applyAlignment="1">
      <alignment horizontal="center" vertical="center"/>
    </xf>
    <xf numFmtId="37" fontId="418" fillId="0" borderId="269" xfId="27925" applyNumberFormat="1" applyFont="1" applyBorder="1" applyAlignment="1">
      <alignment horizontal="center" vertical="center"/>
    </xf>
    <xf numFmtId="0" fontId="453" fillId="0" borderId="0" xfId="13899" applyFont="1" applyAlignment="1">
      <alignment horizontal="center" vertical="center"/>
    </xf>
    <xf numFmtId="0" fontId="453" fillId="0" borderId="0" xfId="27881" applyFont="1" applyAlignment="1">
      <alignment vertical="center"/>
    </xf>
    <xf numFmtId="0" fontId="457" fillId="158" borderId="318" xfId="27925" quotePrefix="1" applyFont="1" applyFill="1" applyBorder="1" applyAlignment="1">
      <alignment vertical="center"/>
    </xf>
    <xf numFmtId="0" fontId="451" fillId="158" borderId="319" xfId="27925" quotePrefix="1" applyFont="1" applyFill="1" applyBorder="1" applyAlignment="1">
      <alignment vertical="center"/>
    </xf>
    <xf numFmtId="3" fontId="418" fillId="170" borderId="269" xfId="27925" applyNumberFormat="1" applyFont="1" applyFill="1" applyBorder="1" applyAlignment="1">
      <alignment horizontal="center" vertical="center"/>
    </xf>
    <xf numFmtId="171" fontId="451" fillId="0" borderId="277" xfId="27926" applyFont="1" applyFill="1" applyBorder="1" applyAlignment="1">
      <alignment horizontal="left" vertical="center"/>
    </xf>
    <xf numFmtId="0" fontId="453" fillId="195" borderId="318" xfId="27925" quotePrefix="1" applyFont="1" applyFill="1" applyBorder="1" applyAlignment="1">
      <alignment vertical="center"/>
    </xf>
    <xf numFmtId="0" fontId="451" fillId="195" borderId="319" xfId="27925" quotePrefix="1" applyFont="1" applyFill="1" applyBorder="1" applyAlignment="1">
      <alignment vertical="center"/>
    </xf>
    <xf numFmtId="0" fontId="451" fillId="195" borderId="399" xfId="27925" quotePrefix="1" applyFont="1" applyFill="1" applyBorder="1" applyAlignment="1">
      <alignment vertical="center"/>
    </xf>
    <xf numFmtId="171" fontId="451" fillId="0" borderId="274" xfId="27926" applyFont="1" applyFill="1" applyBorder="1" applyAlignment="1">
      <alignment horizontal="left" vertical="center"/>
    </xf>
    <xf numFmtId="3" fontId="418" fillId="0" borderId="274" xfId="27925" applyNumberFormat="1" applyFont="1" applyBorder="1" applyAlignment="1">
      <alignment horizontal="center" vertical="center"/>
    </xf>
    <xf numFmtId="3" fontId="418" fillId="0" borderId="269" xfId="27925" applyNumberFormat="1" applyFont="1" applyBorder="1" applyAlignment="1">
      <alignment horizontal="center" vertical="center"/>
    </xf>
    <xf numFmtId="171" fontId="451" fillId="0" borderId="272" xfId="27926" applyFont="1" applyFill="1" applyBorder="1" applyAlignment="1">
      <alignment horizontal="left" vertical="center"/>
    </xf>
    <xf numFmtId="3" fontId="418" fillId="0" borderId="272" xfId="27925" applyNumberFormat="1" applyFont="1" applyBorder="1" applyAlignment="1">
      <alignment horizontal="center" vertical="center"/>
    </xf>
    <xf numFmtId="171" fontId="418" fillId="159" borderId="267" xfId="27926" applyFont="1" applyFill="1" applyBorder="1" applyAlignment="1">
      <alignment horizontal="left" vertical="center"/>
    </xf>
    <xf numFmtId="171" fontId="418" fillId="159" borderId="268" xfId="27926" applyFont="1" applyFill="1" applyBorder="1" applyAlignment="1">
      <alignment horizontal="left" vertical="center"/>
    </xf>
    <xf numFmtId="0" fontId="451" fillId="171" borderId="331" xfId="27925" applyFont="1" applyFill="1" applyBorder="1" applyAlignment="1">
      <alignment horizontal="center" vertical="center" wrapText="1"/>
    </xf>
    <xf numFmtId="171" fontId="484" fillId="164" borderId="269" xfId="27926" applyFont="1" applyFill="1" applyBorder="1" applyAlignment="1">
      <alignment horizontal="left" vertical="center"/>
    </xf>
    <xf numFmtId="363" fontId="484" fillId="164" borderId="269" xfId="27925" applyNumberFormat="1" applyFont="1" applyFill="1" applyBorder="1" applyAlignment="1">
      <alignment horizontal="left" vertical="center"/>
    </xf>
    <xf numFmtId="9" fontId="484" fillId="164" borderId="331" xfId="22690" applyFont="1" applyFill="1" applyBorder="1" applyAlignment="1">
      <alignment horizontal="center" vertical="center"/>
    </xf>
    <xf numFmtId="171" fontId="451" fillId="0" borderId="269" xfId="27926" applyFont="1" applyFill="1" applyBorder="1" applyAlignment="1">
      <alignment horizontal="left" vertical="center" wrapText="1"/>
    </xf>
    <xf numFmtId="9" fontId="418" fillId="0" borderId="267" xfId="22690" applyFont="1" applyFill="1" applyBorder="1" applyAlignment="1">
      <alignment horizontal="center" vertical="center"/>
    </xf>
    <xf numFmtId="171" fontId="454" fillId="182" borderId="276" xfId="27926" applyFont="1" applyFill="1" applyBorder="1" applyAlignment="1">
      <alignment horizontal="left" vertical="center"/>
    </xf>
    <xf numFmtId="0" fontId="451" fillId="0" borderId="0" xfId="27925" applyFont="1" applyAlignment="1">
      <alignment horizontal="center"/>
    </xf>
    <xf numFmtId="171" fontId="451" fillId="0" borderId="0" xfId="27926" applyFont="1" applyFill="1" applyBorder="1" applyAlignment="1">
      <alignment horizontal="left" vertical="center"/>
    </xf>
    <xf numFmtId="179" fontId="451" fillId="0" borderId="0" xfId="27926" applyNumberFormat="1" applyFont="1" applyBorder="1" applyAlignment="1">
      <alignment horizontal="center"/>
    </xf>
    <xf numFmtId="1" fontId="418" fillId="170" borderId="269" xfId="27926" applyNumberFormat="1" applyFont="1" applyFill="1" applyBorder="1" applyAlignment="1">
      <alignment horizontal="center" vertical="center"/>
    </xf>
    <xf numFmtId="171" fontId="418" fillId="0" borderId="0" xfId="27926" applyFont="1" applyFill="1" applyBorder="1" applyAlignment="1">
      <alignment horizontal="center" vertical="center"/>
    </xf>
    <xf numFmtId="365" fontId="451" fillId="0" borderId="0" xfId="27926" applyNumberFormat="1" applyFont="1" applyFill="1" applyBorder="1" applyAlignment="1">
      <alignment horizontal="left" vertical="center"/>
    </xf>
    <xf numFmtId="0" fontId="451" fillId="0" borderId="0" xfId="27926" applyNumberFormat="1" applyFont="1" applyFill="1" applyBorder="1" applyAlignment="1">
      <alignment horizontal="center" vertical="center"/>
    </xf>
    <xf numFmtId="171" fontId="453" fillId="170" borderId="269" xfId="27926" applyFont="1" applyFill="1" applyBorder="1" applyAlignment="1">
      <alignment horizontal="right" vertical="center"/>
    </xf>
    <xf numFmtId="363" fontId="453" fillId="171" borderId="269" xfId="27925" applyNumberFormat="1" applyFont="1" applyFill="1" applyBorder="1" applyAlignment="1">
      <alignment horizontal="left" vertical="center" wrapText="1"/>
    </xf>
    <xf numFmtId="9" fontId="453" fillId="171" borderId="269" xfId="22690" applyFont="1" applyFill="1" applyBorder="1" applyAlignment="1">
      <alignment horizontal="center" vertical="center" wrapText="1"/>
    </xf>
    <xf numFmtId="171" fontId="451" fillId="0" borderId="0" xfId="27926" applyFont="1" applyFill="1" applyBorder="1" applyAlignment="1">
      <alignment horizontal="center" vertical="center"/>
    </xf>
    <xf numFmtId="0" fontId="418" fillId="0" borderId="0" xfId="27928" applyNumberFormat="1" applyFont="1" applyFill="1" applyBorder="1" applyAlignment="1">
      <alignment horizontal="center" vertical="center"/>
    </xf>
    <xf numFmtId="9" fontId="418" fillId="0" borderId="0" xfId="27928" applyFont="1" applyFill="1" applyBorder="1" applyAlignment="1">
      <alignment horizontal="center" vertical="center"/>
    </xf>
    <xf numFmtId="0" fontId="451" fillId="0" borderId="0" xfId="27925" applyFont="1" applyAlignment="1">
      <alignment vertical="center"/>
    </xf>
    <xf numFmtId="0" fontId="451" fillId="0" borderId="0" xfId="27925" quotePrefix="1" applyFont="1" applyAlignment="1">
      <alignment horizontal="left" vertical="center"/>
    </xf>
    <xf numFmtId="9" fontId="451" fillId="0" borderId="0" xfId="27928" applyFont="1" applyFill="1" applyBorder="1" applyAlignment="1">
      <alignment horizontal="center" vertical="center"/>
    </xf>
    <xf numFmtId="0" fontId="451" fillId="0" borderId="0" xfId="27925" quotePrefix="1" applyFont="1" applyAlignment="1">
      <alignment horizontal="center" vertical="center"/>
    </xf>
    <xf numFmtId="179" fontId="451" fillId="107" borderId="269" xfId="27927" applyNumberFormat="1" applyFont="1" applyFill="1" applyBorder="1" applyAlignment="1">
      <alignment horizontal="center" vertical="center"/>
    </xf>
    <xf numFmtId="0" fontId="451" fillId="0" borderId="269" xfId="27925" applyFont="1" applyBorder="1" applyAlignment="1">
      <alignment horizontal="center" vertical="center"/>
    </xf>
    <xf numFmtId="0" fontId="451" fillId="0" borderId="269" xfId="27926" applyNumberFormat="1" applyFont="1" applyFill="1" applyBorder="1" applyAlignment="1">
      <alignment horizontal="center" vertical="center"/>
    </xf>
    <xf numFmtId="9" fontId="451" fillId="0" borderId="0" xfId="27928" applyFont="1" applyBorder="1" applyAlignment="1">
      <alignment horizontal="center" vertical="center"/>
    </xf>
    <xf numFmtId="171" fontId="451" fillId="0" borderId="0" xfId="27926" applyFont="1"/>
    <xf numFmtId="9" fontId="451" fillId="0" borderId="269" xfId="27928" applyFont="1" applyBorder="1" applyAlignment="1">
      <alignment horizontal="center"/>
    </xf>
    <xf numFmtId="9" fontId="451" fillId="0" borderId="269" xfId="27928" applyFont="1" applyFill="1" applyBorder="1" applyAlignment="1">
      <alignment horizontal="center"/>
    </xf>
    <xf numFmtId="43" fontId="452" fillId="157" borderId="0" xfId="19286" applyFont="1" applyFill="1" applyAlignment="1">
      <alignment horizontal="center" vertical="center" wrapText="1"/>
    </xf>
    <xf numFmtId="210" fontId="353" fillId="107" borderId="117" xfId="22678" applyNumberFormat="1" applyFont="1" applyFill="1" applyBorder="1" applyAlignment="1" applyProtection="1">
      <alignment horizontal="center" vertical="center"/>
      <protection locked="0"/>
    </xf>
    <xf numFmtId="363" fontId="353" fillId="107" borderId="146" xfId="22678" applyNumberFormat="1" applyFont="1" applyFill="1" applyBorder="1" applyAlignment="1" applyProtection="1">
      <alignment horizontal="center" vertical="center"/>
      <protection locked="0"/>
    </xf>
    <xf numFmtId="361" fontId="169" fillId="194" borderId="349" xfId="22678" quotePrefix="1" applyNumberFormat="1" applyFont="1" applyFill="1" applyBorder="1" applyAlignment="1" applyProtection="1">
      <alignment horizontal="center" vertical="center"/>
      <protection locked="0"/>
    </xf>
    <xf numFmtId="359" fontId="353" fillId="107" borderId="148" xfId="22678" applyFont="1" applyFill="1" applyBorder="1" applyAlignment="1" applyProtection="1">
      <alignment horizontal="left" vertical="top" wrapText="1"/>
      <protection locked="0"/>
    </xf>
    <xf numFmtId="179" fontId="169" fillId="107" borderId="117" xfId="27932" applyNumberFormat="1" applyFont="1" applyFill="1" applyBorder="1" applyAlignment="1" applyProtection="1">
      <alignment horizontal="left" vertical="center" wrapText="1"/>
      <protection locked="0"/>
    </xf>
    <xf numFmtId="49" fontId="169" fillId="107" borderId="214" xfId="22678" quotePrefix="1" applyNumberFormat="1" applyFont="1" applyFill="1" applyBorder="1" applyAlignment="1" applyProtection="1">
      <alignment horizontal="center" vertical="center" wrapText="1"/>
      <protection locked="0"/>
    </xf>
    <xf numFmtId="179" fontId="169" fillId="107" borderId="45" xfId="27932" applyNumberFormat="1" applyFont="1" applyFill="1" applyBorder="1" applyAlignment="1" applyProtection="1">
      <alignment horizontal="center" vertical="center" wrapText="1"/>
      <protection locked="0"/>
    </xf>
    <xf numFmtId="15" fontId="169" fillId="107" borderId="117" xfId="27932" applyNumberFormat="1" applyFont="1" applyFill="1" applyBorder="1" applyAlignment="1" applyProtection="1">
      <alignment horizontal="center" vertical="center"/>
      <protection locked="0"/>
    </xf>
    <xf numFmtId="171" fontId="451" fillId="107" borderId="269" xfId="27926" applyFont="1" applyFill="1" applyBorder="1" applyAlignment="1">
      <alignment horizontal="left" vertical="center" wrapText="1"/>
    </xf>
    <xf numFmtId="363" fontId="512" fillId="107" borderId="270" xfId="27925" applyNumberFormat="1" applyFont="1" applyFill="1" applyBorder="1" applyAlignment="1">
      <alignment horizontal="left" vertical="center"/>
    </xf>
    <xf numFmtId="363" fontId="418" fillId="107" borderId="269" xfId="27925" applyNumberFormat="1" applyFont="1" applyFill="1" applyBorder="1" applyAlignment="1">
      <alignment horizontal="left" vertical="center"/>
    </xf>
    <xf numFmtId="363" fontId="418" fillId="107" borderId="269" xfId="27925" applyNumberFormat="1" applyFont="1" applyFill="1" applyBorder="1" applyAlignment="1">
      <alignment horizontal="center" vertical="center"/>
    </xf>
    <xf numFmtId="0" fontId="517" fillId="0" borderId="241" xfId="0" applyFont="1" applyBorder="1" applyAlignment="1" applyProtection="1">
      <alignment vertical="center"/>
      <protection locked="0"/>
    </xf>
    <xf numFmtId="0" fontId="517" fillId="0" borderId="241" xfId="0" applyFont="1" applyBorder="1" applyAlignment="1" applyProtection="1">
      <alignment horizontal="center" vertical="center"/>
      <protection locked="0"/>
    </xf>
    <xf numFmtId="0" fontId="517" fillId="0" borderId="254" xfId="0" applyFont="1" applyBorder="1" applyAlignment="1" applyProtection="1">
      <alignment horizontal="center" vertical="center" wrapText="1"/>
      <protection locked="0"/>
    </xf>
    <xf numFmtId="15" fontId="517" fillId="0" borderId="254" xfId="0" applyNumberFormat="1" applyFont="1" applyBorder="1" applyAlignment="1" applyProtection="1">
      <alignment horizontal="center" vertical="center"/>
      <protection locked="0"/>
    </xf>
    <xf numFmtId="0" fontId="517" fillId="0" borderId="254" xfId="0" applyFont="1" applyBorder="1" applyAlignment="1" applyProtection="1">
      <alignment vertical="center" wrapText="1"/>
      <protection locked="0"/>
    </xf>
    <xf numFmtId="15" fontId="517" fillId="0" borderId="254" xfId="0" applyNumberFormat="1" applyFont="1" applyBorder="1" applyAlignment="1" applyProtection="1">
      <alignment horizontal="center" vertical="center" wrapText="1"/>
      <protection locked="0"/>
    </xf>
    <xf numFmtId="0" fontId="517" fillId="0" borderId="254" xfId="0" applyFont="1" applyBorder="1" applyAlignment="1" applyProtection="1">
      <alignment horizontal="center" vertical="center"/>
      <protection locked="0"/>
    </xf>
    <xf numFmtId="0" fontId="517" fillId="134" borderId="403" xfId="0" applyFont="1" applyFill="1" applyBorder="1" applyAlignment="1" applyProtection="1">
      <alignment horizontal="center" vertical="center"/>
      <protection locked="0"/>
    </xf>
    <xf numFmtId="0" fontId="517" fillId="0" borderId="241" xfId="0" applyFont="1" applyBorder="1" applyAlignment="1" applyProtection="1">
      <alignment horizontal="center" vertical="center" wrapText="1"/>
      <protection locked="0"/>
    </xf>
    <xf numFmtId="0" fontId="517" fillId="0" borderId="241" xfId="0" applyFont="1" applyBorder="1" applyAlignment="1" applyProtection="1">
      <alignment vertical="center" wrapText="1"/>
      <protection locked="0"/>
    </xf>
    <xf numFmtId="15" fontId="517" fillId="0" borderId="241" xfId="0" applyNumberFormat="1" applyFont="1" applyBorder="1" applyAlignment="1" applyProtection="1">
      <alignment horizontal="center" vertical="center"/>
      <protection locked="0"/>
    </xf>
    <xf numFmtId="15" fontId="517" fillId="0" borderId="241" xfId="0" applyNumberFormat="1" applyFont="1" applyBorder="1" applyAlignment="1" applyProtection="1">
      <alignment horizontal="center" vertical="center" wrapText="1"/>
      <protection locked="0"/>
    </xf>
    <xf numFmtId="0" fontId="64" fillId="186" borderId="0" xfId="0" applyFont="1" applyFill="1" applyAlignment="1">
      <alignment vertical="center"/>
    </xf>
    <xf numFmtId="0" fontId="172" fillId="107" borderId="216" xfId="0" applyFont="1" applyFill="1" applyBorder="1" applyAlignment="1">
      <alignment horizontal="center" vertical="center"/>
    </xf>
    <xf numFmtId="38" fontId="169" fillId="107" borderId="124" xfId="0" applyNumberFormat="1" applyFont="1" applyFill="1" applyBorder="1" applyAlignment="1">
      <alignment horizontal="left" vertical="center" wrapText="1"/>
    </xf>
    <xf numFmtId="363" fontId="169" fillId="107" borderId="232" xfId="0" applyNumberFormat="1" applyFont="1" applyFill="1" applyBorder="1" applyAlignment="1">
      <alignment horizontal="center" vertical="center" wrapText="1"/>
    </xf>
    <xf numFmtId="363" fontId="169" fillId="107" borderId="173" xfId="0" applyNumberFormat="1" applyFont="1" applyFill="1" applyBorder="1" applyAlignment="1">
      <alignment horizontal="center" vertical="center" wrapText="1"/>
    </xf>
    <xf numFmtId="363" fontId="169" fillId="107" borderId="376" xfId="19286" applyNumberFormat="1" applyFont="1" applyFill="1" applyBorder="1" applyAlignment="1">
      <alignment horizontal="center" vertical="center"/>
    </xf>
    <xf numFmtId="363" fontId="172" fillId="107" borderId="375" xfId="19286" applyNumberFormat="1" applyFont="1" applyFill="1" applyBorder="1" applyAlignment="1">
      <alignment horizontal="center" vertical="center" wrapText="1"/>
    </xf>
    <xf numFmtId="363" fontId="172" fillId="107" borderId="188" xfId="19286" applyNumberFormat="1" applyFont="1" applyFill="1" applyBorder="1" applyAlignment="1">
      <alignment horizontal="center" vertical="center" wrapText="1"/>
    </xf>
    <xf numFmtId="229" fontId="169" fillId="107" borderId="141" xfId="19286" applyNumberFormat="1" applyFont="1" applyFill="1" applyBorder="1" applyAlignment="1" applyProtection="1">
      <alignment vertical="center" wrapText="1"/>
    </xf>
    <xf numFmtId="229" fontId="169" fillId="107" borderId="141" xfId="19286" applyNumberFormat="1" applyFont="1" applyFill="1" applyBorder="1" applyAlignment="1" applyProtection="1">
      <alignment vertical="center"/>
    </xf>
    <xf numFmtId="1" fontId="169" fillId="194" borderId="117" xfId="22678" applyNumberFormat="1" applyFont="1" applyFill="1" applyBorder="1" applyAlignment="1" applyProtection="1">
      <alignment horizontal="center" vertical="center"/>
      <protection locked="0"/>
    </xf>
    <xf numFmtId="0" fontId="504" fillId="177" borderId="145" xfId="22678" quotePrefix="1" applyNumberFormat="1" applyFont="1" applyFill="1" applyBorder="1" applyAlignment="1" applyProtection="1">
      <alignment horizontal="center" vertical="center"/>
      <protection locked="0"/>
    </xf>
    <xf numFmtId="179" fontId="504" fillId="177" borderId="117" xfId="7850" applyNumberFormat="1" applyFont="1" applyFill="1" applyBorder="1" applyAlignment="1" applyProtection="1">
      <alignment horizontal="left" vertical="center" wrapText="1"/>
      <protection locked="0"/>
    </xf>
    <xf numFmtId="286" fontId="504" fillId="177" borderId="45" xfId="7850" applyNumberFormat="1" applyFont="1" applyFill="1" applyBorder="1" applyAlignment="1" applyProtection="1">
      <alignment horizontal="center" vertical="center"/>
      <protection locked="0"/>
    </xf>
    <xf numFmtId="286" fontId="504" fillId="177" borderId="349" xfId="7850" applyNumberFormat="1" applyFont="1" applyFill="1" applyBorder="1" applyAlignment="1" applyProtection="1">
      <alignment horizontal="center" vertical="center"/>
      <protection locked="0"/>
    </xf>
    <xf numFmtId="286" fontId="504" fillId="177" borderId="350" xfId="7850" applyNumberFormat="1" applyFont="1" applyFill="1" applyBorder="1" applyAlignment="1" applyProtection="1">
      <alignment horizontal="center" vertical="center"/>
      <protection locked="0"/>
    </xf>
    <xf numFmtId="286" fontId="504" fillId="177" borderId="351" xfId="7850" applyNumberFormat="1" applyFont="1" applyFill="1" applyBorder="1" applyAlignment="1" applyProtection="1">
      <alignment horizontal="center" vertical="center" wrapText="1"/>
      <protection locked="0"/>
    </xf>
    <xf numFmtId="286" fontId="504" fillId="177" borderId="145" xfId="7850" applyNumberFormat="1" applyFont="1" applyFill="1" applyBorder="1" applyAlignment="1" applyProtection="1">
      <alignment horizontal="center" vertical="center"/>
      <protection locked="0"/>
    </xf>
    <xf numFmtId="360" fontId="496" fillId="107" borderId="117" xfId="27932" applyNumberFormat="1" applyFont="1" applyFill="1" applyBorder="1" applyAlignment="1" applyProtection="1">
      <alignment horizontal="center" vertical="center" wrapText="1"/>
      <protection locked="0"/>
    </xf>
    <xf numFmtId="179" fontId="496" fillId="107" borderId="351" xfId="27933" applyNumberFormat="1" applyFont="1" applyFill="1" applyBorder="1" applyAlignment="1" applyProtection="1">
      <alignment horizontal="center" vertical="center"/>
      <protection locked="0"/>
    </xf>
    <xf numFmtId="179" fontId="504" fillId="177" borderId="148" xfId="216" applyNumberFormat="1" applyFont="1" applyFill="1" applyBorder="1" applyAlignment="1" applyProtection="1">
      <alignment horizontal="center" vertical="center" wrapText="1"/>
      <protection locked="0"/>
    </xf>
    <xf numFmtId="361" fontId="504" fillId="177" borderId="117" xfId="22678" quotePrefix="1" applyNumberFormat="1" applyFont="1" applyFill="1" applyBorder="1" applyAlignment="1" applyProtection="1">
      <alignment horizontal="center" vertical="center"/>
      <protection locked="0"/>
    </xf>
    <xf numFmtId="49" fontId="504" fillId="177" borderId="117" xfId="22678" quotePrefix="1" applyNumberFormat="1" applyFont="1" applyFill="1" applyBorder="1" applyAlignment="1" applyProtection="1">
      <alignment horizontal="center" vertical="center"/>
      <protection locked="0"/>
    </xf>
    <xf numFmtId="14" fontId="504" fillId="177" borderId="117" xfId="7850" applyNumberFormat="1" applyFont="1" applyFill="1" applyBorder="1" applyAlignment="1" applyProtection="1">
      <alignment horizontal="center" vertical="center" wrapText="1"/>
      <protection locked="0"/>
    </xf>
    <xf numFmtId="49" fontId="353" fillId="107" borderId="145" xfId="22678" quotePrefix="1" applyNumberFormat="1" applyFont="1" applyFill="1" applyBorder="1" applyAlignment="1" applyProtection="1">
      <alignment horizontal="center" vertical="center" wrapText="1"/>
      <protection locked="0"/>
    </xf>
    <xf numFmtId="369" fontId="437" fillId="0" borderId="117" xfId="27944" applyNumberFormat="1" applyFont="1" applyFill="1" applyBorder="1" applyAlignment="1" applyProtection="1">
      <alignment horizontal="center" vertical="center" wrapText="1"/>
      <protection locked="0"/>
    </xf>
    <xf numFmtId="38" fontId="169" fillId="0" borderId="125" xfId="0" applyNumberFormat="1" applyFont="1" applyBorder="1" applyAlignment="1">
      <alignment vertical="top" wrapText="1"/>
    </xf>
    <xf numFmtId="229" fontId="169" fillId="0" borderId="141" xfId="19286" applyNumberFormat="1" applyFont="1" applyFill="1" applyBorder="1" applyAlignment="1" applyProtection="1">
      <alignment horizontal="center" vertical="center"/>
    </xf>
    <xf numFmtId="286" fontId="169" fillId="107" borderId="145" xfId="27932" applyNumberFormat="1" applyFont="1" applyFill="1" applyBorder="1" applyAlignment="1" applyProtection="1">
      <alignment horizontal="center" vertical="center"/>
      <protection locked="0"/>
    </xf>
    <xf numFmtId="363" fontId="169" fillId="107" borderId="146" xfId="27932" applyNumberFormat="1" applyFont="1" applyFill="1" applyBorder="1" applyAlignment="1" applyProtection="1">
      <alignment horizontal="center" vertical="center" wrapText="1"/>
      <protection locked="0"/>
    </xf>
    <xf numFmtId="362" fontId="172" fillId="0" borderId="365" xfId="19286" applyNumberFormat="1" applyFont="1" applyBorder="1" applyAlignment="1">
      <alignment horizontal="center" vertical="center" wrapText="1"/>
    </xf>
    <xf numFmtId="0" fontId="172" fillId="117" borderId="216" xfId="0" applyFont="1" applyFill="1" applyBorder="1" applyAlignment="1">
      <alignment horizontal="center" vertical="center"/>
    </xf>
    <xf numFmtId="0" fontId="172" fillId="117" borderId="224" xfId="0" applyFont="1" applyFill="1" applyBorder="1" applyAlignment="1">
      <alignment vertical="center" wrapText="1"/>
    </xf>
    <xf numFmtId="38" fontId="169" fillId="117" borderId="126" xfId="0" applyNumberFormat="1" applyFont="1" applyFill="1" applyBorder="1" applyAlignment="1">
      <alignment horizontal="center" vertical="center" wrapText="1"/>
    </xf>
    <xf numFmtId="360" fontId="172" fillId="117" borderId="217" xfId="19286" applyNumberFormat="1" applyFont="1" applyFill="1" applyBorder="1" applyAlignment="1">
      <alignment horizontal="center" vertical="center" wrapText="1"/>
    </xf>
    <xf numFmtId="229" fontId="169" fillId="117" borderId="141" xfId="19286" applyNumberFormat="1" applyFont="1" applyFill="1" applyBorder="1" applyAlignment="1" applyProtection="1">
      <alignment vertical="center"/>
    </xf>
    <xf numFmtId="0" fontId="172" fillId="0" borderId="365" xfId="0" applyFont="1" applyBorder="1" applyAlignment="1">
      <alignment horizontal="center" vertical="center" wrapText="1"/>
    </xf>
    <xf numFmtId="14" fontId="343" fillId="187" borderId="365" xfId="22752" quotePrefix="1" applyNumberFormat="1" applyFont="1" applyFill="1" applyBorder="1" applyAlignment="1" applyProtection="1">
      <alignment horizontal="center" vertical="center" wrapText="1"/>
    </xf>
    <xf numFmtId="2" fontId="169" fillId="107" borderId="117" xfId="27932" applyNumberFormat="1" applyFont="1" applyFill="1" applyBorder="1" applyAlignment="1" applyProtection="1">
      <alignment horizontal="center" vertical="center"/>
      <protection locked="0"/>
    </xf>
    <xf numFmtId="2" fontId="169" fillId="107" borderId="117" xfId="22678" applyNumberFormat="1" applyFont="1" applyFill="1" applyBorder="1" applyAlignment="1" applyProtection="1">
      <alignment horizontal="center" vertical="center"/>
      <protection locked="0"/>
    </xf>
    <xf numFmtId="2" fontId="169" fillId="107" borderId="117" xfId="27932" applyNumberFormat="1" applyFont="1" applyFill="1" applyBorder="1" applyAlignment="1" applyProtection="1">
      <alignment horizontal="center" vertical="center" wrapText="1"/>
      <protection locked="0"/>
    </xf>
    <xf numFmtId="2" fontId="169" fillId="107" borderId="145" xfId="22678" applyNumberFormat="1" applyFont="1" applyFill="1" applyBorder="1" applyAlignment="1" applyProtection="1">
      <alignment horizontal="center" vertical="center"/>
      <protection locked="0"/>
    </xf>
    <xf numFmtId="0" fontId="353" fillId="177" borderId="117" xfId="7850" applyNumberFormat="1" applyFont="1" applyFill="1" applyBorder="1" applyAlignment="1" applyProtection="1">
      <alignment horizontal="left" vertical="center" wrapText="1"/>
      <protection locked="0"/>
    </xf>
    <xf numFmtId="0" fontId="353" fillId="177" borderId="117" xfId="7850" applyNumberFormat="1" applyFont="1" applyFill="1" applyBorder="1" applyAlignment="1" applyProtection="1">
      <alignment horizontal="center" vertical="center" wrapText="1"/>
      <protection locked="0"/>
    </xf>
    <xf numFmtId="0" fontId="353" fillId="107" borderId="349" xfId="7850" applyNumberFormat="1" applyFont="1" applyFill="1" applyBorder="1" applyAlignment="1" applyProtection="1">
      <alignment horizontal="center" vertical="center"/>
      <protection locked="0"/>
    </xf>
    <xf numFmtId="0" fontId="353" fillId="107" borderId="350" xfId="7850" applyNumberFormat="1" applyFont="1" applyFill="1" applyBorder="1" applyAlignment="1" applyProtection="1">
      <alignment horizontal="center" vertical="center"/>
      <protection locked="0"/>
    </xf>
    <xf numFmtId="0" fontId="353" fillId="107" borderId="351" xfId="7850" applyNumberFormat="1" applyFont="1" applyFill="1" applyBorder="1" applyAlignment="1" applyProtection="1">
      <alignment horizontal="center" vertical="center" wrapText="1"/>
      <protection locked="0"/>
    </xf>
    <xf numFmtId="0" fontId="353" fillId="107" borderId="145" xfId="7850" applyNumberFormat="1" applyFont="1" applyFill="1" applyBorder="1" applyAlignment="1" applyProtection="1">
      <alignment horizontal="center" vertical="center"/>
      <protection locked="0"/>
    </xf>
    <xf numFmtId="0" fontId="353" fillId="107" borderId="214" xfId="22678" quotePrefix="1" applyNumberFormat="1" applyFont="1" applyFill="1" applyBorder="1" applyAlignment="1" applyProtection="1">
      <alignment horizontal="center" vertical="center" wrapText="1"/>
      <protection locked="0"/>
    </xf>
    <xf numFmtId="0" fontId="353" fillId="107" borderId="45" xfId="7850" applyNumberFormat="1" applyFont="1" applyFill="1" applyBorder="1" applyAlignment="1" applyProtection="1">
      <alignment horizontal="center" vertical="center" wrapText="1"/>
      <protection locked="0"/>
    </xf>
    <xf numFmtId="0" fontId="169" fillId="107" borderId="351" xfId="27933" applyNumberFormat="1" applyFont="1" applyFill="1" applyBorder="1" applyAlignment="1" applyProtection="1">
      <alignment horizontal="center" vertical="center"/>
      <protection locked="0"/>
    </xf>
    <xf numFmtId="0" fontId="353" fillId="107" borderId="148" xfId="216" applyNumberFormat="1" applyFont="1" applyFill="1" applyBorder="1" applyAlignment="1" applyProtection="1">
      <alignment horizontal="center" vertical="center" wrapText="1"/>
      <protection locked="0"/>
    </xf>
    <xf numFmtId="0" fontId="353" fillId="107" borderId="117" xfId="22678" quotePrefix="1" applyNumberFormat="1" applyFont="1" applyFill="1" applyBorder="1" applyAlignment="1" applyProtection="1">
      <alignment horizontal="center" vertical="center"/>
      <protection locked="0"/>
    </xf>
    <xf numFmtId="0" fontId="353" fillId="107" borderId="117" xfId="7850" applyNumberFormat="1" applyFont="1" applyFill="1" applyBorder="1" applyAlignment="1" applyProtection="1">
      <alignment horizontal="center" vertical="center"/>
      <protection locked="0"/>
    </xf>
    <xf numFmtId="0" fontId="353" fillId="107" borderId="117" xfId="7850" applyNumberFormat="1" applyFont="1" applyFill="1" applyBorder="1" applyAlignment="1" applyProtection="1">
      <alignment horizontal="center" vertical="center" wrapText="1"/>
      <protection locked="0"/>
    </xf>
    <xf numFmtId="0" fontId="353" fillId="107" borderId="145" xfId="22678" applyNumberFormat="1" applyFont="1" applyFill="1" applyBorder="1" applyAlignment="1" applyProtection="1">
      <alignment horizontal="center" vertical="center" wrapText="1"/>
      <protection locked="0"/>
    </xf>
    <xf numFmtId="0" fontId="353" fillId="107" borderId="163" xfId="7850" applyNumberFormat="1" applyFont="1" applyFill="1" applyBorder="1" applyAlignment="1" applyProtection="1">
      <alignment horizontal="center" vertical="center" wrapText="1"/>
      <protection locked="0"/>
    </xf>
    <xf numFmtId="179" fontId="496" fillId="107" borderId="117" xfId="27932" applyNumberFormat="1" applyFont="1" applyFill="1" applyBorder="1" applyAlignment="1" applyProtection="1">
      <alignment horizontal="left" vertical="center" wrapText="1"/>
      <protection locked="0"/>
    </xf>
    <xf numFmtId="179" fontId="496" fillId="107" borderId="117" xfId="27932" applyNumberFormat="1" applyFont="1" applyFill="1" applyBorder="1" applyAlignment="1" applyProtection="1">
      <alignment horizontal="center" vertical="center" wrapText="1"/>
      <protection locked="0"/>
    </xf>
    <xf numFmtId="286" fontId="496" fillId="107" borderId="45" xfId="27932" applyNumberFormat="1" applyFont="1" applyFill="1" applyBorder="1" applyAlignment="1" applyProtection="1">
      <alignment horizontal="center" vertical="center"/>
      <protection locked="0"/>
    </xf>
    <xf numFmtId="179" fontId="496" fillId="107" borderId="349" xfId="27932" applyNumberFormat="1" applyFont="1" applyFill="1" applyBorder="1" applyAlignment="1" applyProtection="1">
      <alignment horizontal="center" vertical="center"/>
      <protection locked="0"/>
    </xf>
    <xf numFmtId="179" fontId="496" fillId="107" borderId="350" xfId="27932" applyNumberFormat="1" applyFont="1" applyFill="1" applyBorder="1" applyAlignment="1" applyProtection="1">
      <alignment horizontal="center" vertical="center"/>
      <protection locked="0"/>
    </xf>
    <xf numFmtId="179" fontId="496" fillId="107" borderId="351" xfId="27932" applyNumberFormat="1" applyFont="1" applyFill="1" applyBorder="1" applyAlignment="1" applyProtection="1">
      <alignment horizontal="center" vertical="center" wrapText="1"/>
      <protection locked="0"/>
    </xf>
    <xf numFmtId="286" fontId="496" fillId="107" borderId="145" xfId="27932" applyNumberFormat="1" applyFont="1" applyFill="1" applyBorder="1" applyAlignment="1" applyProtection="1">
      <alignment horizontal="center" vertical="center"/>
      <protection locked="0"/>
    </xf>
    <xf numFmtId="49" fontId="496" fillId="107" borderId="214" xfId="22678" quotePrefix="1" applyNumberFormat="1" applyFont="1" applyFill="1" applyBorder="1" applyAlignment="1" applyProtection="1">
      <alignment horizontal="center" vertical="center" wrapText="1"/>
      <protection locked="0"/>
    </xf>
    <xf numFmtId="179" fontId="496" fillId="107" borderId="45" xfId="27932" applyNumberFormat="1" applyFont="1" applyFill="1" applyBorder="1" applyAlignment="1" applyProtection="1">
      <alignment horizontal="center" vertical="center" wrapText="1"/>
      <protection locked="0"/>
    </xf>
    <xf numFmtId="179" fontId="496" fillId="107" borderId="148" xfId="27933" applyNumberFormat="1" applyFont="1" applyFill="1" applyBorder="1" applyAlignment="1" applyProtection="1">
      <alignment horizontal="center" vertical="center" wrapText="1"/>
      <protection locked="0"/>
    </xf>
    <xf numFmtId="361" fontId="496" fillId="107" borderId="117" xfId="22678" quotePrefix="1" applyNumberFormat="1" applyFont="1" applyFill="1" applyBorder="1" applyAlignment="1" applyProtection="1">
      <alignment horizontal="center" vertical="center"/>
      <protection locked="0"/>
    </xf>
    <xf numFmtId="49" fontId="496" fillId="107" borderId="117" xfId="22678" applyNumberFormat="1" applyFont="1" applyFill="1" applyBorder="1" applyAlignment="1" applyProtection="1">
      <alignment horizontal="center" vertical="center"/>
      <protection locked="0"/>
    </xf>
    <xf numFmtId="210" fontId="496" fillId="107" borderId="117" xfId="27932" applyNumberFormat="1" applyFont="1" applyFill="1" applyBorder="1" applyAlignment="1" applyProtection="1">
      <alignment horizontal="center" vertical="center"/>
      <protection locked="0"/>
    </xf>
    <xf numFmtId="14" fontId="496" fillId="107" borderId="117" xfId="27932" applyNumberFormat="1" applyFont="1" applyFill="1" applyBorder="1" applyAlignment="1" applyProtection="1">
      <alignment horizontal="center" vertical="center" wrapText="1"/>
      <protection locked="0"/>
    </xf>
    <xf numFmtId="368" fontId="496" fillId="107" borderId="145" xfId="22678" applyNumberFormat="1" applyFont="1" applyFill="1" applyBorder="1" applyAlignment="1" applyProtection="1">
      <alignment horizontal="center" vertical="center"/>
      <protection locked="0"/>
    </xf>
    <xf numFmtId="49" fontId="496" fillId="107" borderId="145" xfId="22678" applyNumberFormat="1" applyFont="1" applyFill="1" applyBorder="1" applyAlignment="1" applyProtection="1">
      <alignment horizontal="center" vertical="center"/>
      <protection locked="0"/>
    </xf>
    <xf numFmtId="210" fontId="496" fillId="107" borderId="214" xfId="27932" applyNumberFormat="1" applyFont="1" applyFill="1" applyBorder="1" applyAlignment="1" applyProtection="1">
      <alignment horizontal="center" vertical="center"/>
      <protection locked="0"/>
    </xf>
    <xf numFmtId="366" fontId="496" fillId="107" borderId="163" xfId="27932" applyNumberFormat="1" applyFont="1" applyFill="1" applyBorder="1" applyAlignment="1" applyProtection="1">
      <alignment horizontal="center" vertical="center" wrapText="1"/>
      <protection locked="0"/>
    </xf>
    <xf numFmtId="0" fontId="496" fillId="107" borderId="145" xfId="22678" applyNumberFormat="1" applyFont="1" applyFill="1" applyBorder="1" applyAlignment="1" applyProtection="1">
      <alignment horizontal="center" vertical="center"/>
      <protection locked="0"/>
    </xf>
    <xf numFmtId="49" fontId="496" fillId="107" borderId="146" xfId="22678" applyNumberFormat="1" applyFont="1" applyFill="1" applyBorder="1" applyAlignment="1" applyProtection="1">
      <alignment horizontal="center" vertical="center"/>
      <protection locked="0"/>
    </xf>
    <xf numFmtId="49" fontId="496" fillId="107" borderId="117" xfId="22678" applyNumberFormat="1" applyFont="1" applyFill="1" applyBorder="1" applyAlignment="1" applyProtection="1">
      <alignment horizontal="center" vertical="center" wrapText="1"/>
      <protection locked="0"/>
    </xf>
    <xf numFmtId="360" fontId="496" fillId="107" borderId="117" xfId="27932" applyNumberFormat="1" applyFont="1" applyFill="1" applyBorder="1" applyAlignment="1" applyProtection="1">
      <alignment horizontal="center" vertical="center"/>
      <protection locked="0"/>
    </xf>
    <xf numFmtId="0" fontId="496" fillId="107" borderId="148" xfId="22678" applyNumberFormat="1" applyFont="1" applyFill="1" applyBorder="1" applyAlignment="1" applyProtection="1">
      <alignment horizontal="left" vertical="top" wrapText="1"/>
      <protection locked="0"/>
    </xf>
    <xf numFmtId="0" fontId="496" fillId="107" borderId="117" xfId="27932" applyNumberFormat="1" applyFont="1" applyFill="1" applyBorder="1" applyAlignment="1" applyProtection="1">
      <alignment horizontal="left" vertical="center" wrapText="1"/>
      <protection locked="0"/>
    </xf>
    <xf numFmtId="0" fontId="496" fillId="107" borderId="117" xfId="27932" applyNumberFormat="1" applyFont="1" applyFill="1" applyBorder="1" applyAlignment="1" applyProtection="1">
      <alignment horizontal="center" vertical="center" wrapText="1"/>
      <protection locked="0"/>
    </xf>
    <xf numFmtId="0" fontId="496" fillId="107" borderId="45" xfId="27932" applyNumberFormat="1" applyFont="1" applyFill="1" applyBorder="1" applyAlignment="1" applyProtection="1">
      <alignment horizontal="center" vertical="center"/>
      <protection locked="0"/>
    </xf>
    <xf numFmtId="179" fontId="496" fillId="107" borderId="145" xfId="27932" applyNumberFormat="1" applyFont="1" applyFill="1" applyBorder="1" applyAlignment="1" applyProtection="1">
      <alignment horizontal="center" vertical="center"/>
      <protection locked="0"/>
    </xf>
    <xf numFmtId="0" fontId="496" fillId="107" borderId="146" xfId="27933" applyNumberFormat="1" applyFont="1" applyFill="1" applyBorder="1" applyAlignment="1" applyProtection="1">
      <alignment horizontal="center" vertical="center" wrapText="1"/>
      <protection locked="0"/>
    </xf>
    <xf numFmtId="0" fontId="496" fillId="107" borderId="148" xfId="27933" applyNumberFormat="1" applyFont="1" applyFill="1" applyBorder="1" applyAlignment="1" applyProtection="1">
      <alignment horizontal="center" vertical="center" wrapText="1"/>
      <protection locked="0"/>
    </xf>
    <xf numFmtId="0" fontId="496" fillId="107" borderId="117" xfId="27932" applyNumberFormat="1" applyFont="1" applyFill="1" applyBorder="1" applyAlignment="1" applyProtection="1">
      <alignment horizontal="center" vertical="center"/>
      <protection locked="0"/>
    </xf>
    <xf numFmtId="49" fontId="496" fillId="107" borderId="117" xfId="22678" quotePrefix="1" applyNumberFormat="1" applyFont="1" applyFill="1" applyBorder="1" applyAlignment="1" applyProtection="1">
      <alignment horizontal="center" vertical="center"/>
      <protection locked="0"/>
    </xf>
    <xf numFmtId="368" fontId="496" fillId="107" borderId="145" xfId="22678" quotePrefix="1" applyNumberFormat="1" applyFont="1" applyFill="1" applyBorder="1" applyAlignment="1" applyProtection="1">
      <alignment horizontal="center" vertical="center"/>
      <protection locked="0"/>
    </xf>
    <xf numFmtId="49" fontId="496" fillId="107" borderId="145" xfId="22678" quotePrefix="1" applyNumberFormat="1" applyFont="1" applyFill="1" applyBorder="1" applyAlignment="1" applyProtection="1">
      <alignment horizontal="center" vertical="center"/>
      <protection locked="0"/>
    </xf>
    <xf numFmtId="49" fontId="496" fillId="107" borderId="146" xfId="22678" quotePrefix="1" applyNumberFormat="1" applyFont="1" applyFill="1" applyBorder="1" applyAlignment="1" applyProtection="1">
      <alignment horizontal="center" vertical="center"/>
      <protection locked="0"/>
    </xf>
    <xf numFmtId="49" fontId="496" fillId="107" borderId="117" xfId="22678" quotePrefix="1" applyNumberFormat="1" applyFont="1" applyFill="1" applyBorder="1" applyAlignment="1" applyProtection="1">
      <alignment horizontal="center" vertical="center" wrapText="1"/>
      <protection locked="0"/>
    </xf>
    <xf numFmtId="210" fontId="496" fillId="107" borderId="117" xfId="27934" applyNumberFormat="1" applyFont="1" applyFill="1" applyBorder="1" applyAlignment="1" applyProtection="1">
      <alignment horizontal="center" vertical="center"/>
      <protection locked="0"/>
    </xf>
    <xf numFmtId="363" fontId="496" fillId="107" borderId="146" xfId="27934" applyNumberFormat="1" applyFont="1" applyFill="1" applyBorder="1" applyAlignment="1" applyProtection="1">
      <alignment horizontal="center" vertical="center"/>
      <protection locked="0"/>
    </xf>
    <xf numFmtId="14" fontId="496" fillId="107" borderId="117" xfId="27934" applyNumberFormat="1" applyFont="1" applyFill="1" applyBorder="1" applyAlignment="1" applyProtection="1">
      <alignment horizontal="center" vertical="center"/>
      <protection locked="0"/>
    </xf>
    <xf numFmtId="359" fontId="496" fillId="107" borderId="148" xfId="22678" applyFont="1" applyFill="1" applyBorder="1" applyAlignment="1" applyProtection="1">
      <alignment horizontal="left" vertical="top" wrapText="1"/>
      <protection locked="0"/>
    </xf>
    <xf numFmtId="0" fontId="169" fillId="185" borderId="117" xfId="22678" quotePrefix="1" applyNumberFormat="1" applyFont="1" applyFill="1" applyBorder="1" applyAlignment="1" applyProtection="1">
      <alignment horizontal="center" vertical="center"/>
      <protection locked="0"/>
    </xf>
    <xf numFmtId="366" fontId="169" fillId="185" borderId="117" xfId="27932" applyNumberFormat="1" applyFont="1" applyFill="1" applyBorder="1" applyAlignment="1" applyProtection="1">
      <alignment horizontal="center" vertical="center"/>
      <protection locked="0"/>
    </xf>
    <xf numFmtId="171" fontId="458" fillId="0" borderId="0" xfId="27936" applyNumberFormat="1" applyFont="1" applyAlignment="1">
      <alignment vertical="center"/>
    </xf>
    <xf numFmtId="229" fontId="169" fillId="0" borderId="141" xfId="19286" applyNumberFormat="1" applyFont="1" applyFill="1" applyBorder="1" applyAlignment="1" applyProtection="1">
      <alignment vertical="center" wrapText="1"/>
    </xf>
    <xf numFmtId="49" fontId="504" fillId="107" borderId="117" xfId="22678" applyNumberFormat="1" applyFont="1" applyFill="1" applyBorder="1" applyAlignment="1" applyProtection="1">
      <alignment horizontal="center" vertical="center"/>
      <protection locked="0"/>
    </xf>
    <xf numFmtId="368" fontId="504" fillId="107" borderId="145" xfId="22678" applyNumberFormat="1" applyFont="1" applyFill="1" applyBorder="1" applyAlignment="1" applyProtection="1">
      <alignment horizontal="center" vertical="center"/>
      <protection locked="0"/>
    </xf>
    <xf numFmtId="0" fontId="504" fillId="107" borderId="145" xfId="22678" applyNumberFormat="1" applyFont="1" applyFill="1" applyBorder="1" applyAlignment="1" applyProtection="1">
      <alignment horizontal="center" vertical="center"/>
      <protection locked="0"/>
    </xf>
    <xf numFmtId="49" fontId="504" fillId="107" borderId="45" xfId="22678" applyNumberFormat="1" applyFont="1" applyFill="1" applyBorder="1" applyAlignment="1" applyProtection="1">
      <alignment horizontal="center" vertical="center"/>
      <protection locked="0"/>
    </xf>
    <xf numFmtId="49" fontId="504" fillId="107" borderId="145" xfId="22678" applyNumberFormat="1" applyFont="1" applyFill="1" applyBorder="1" applyAlignment="1" applyProtection="1">
      <alignment horizontal="center" vertical="center" wrapText="1"/>
      <protection locked="0"/>
    </xf>
    <xf numFmtId="179" fontId="504" fillId="107" borderId="218" xfId="7850" applyNumberFormat="1" applyFont="1" applyFill="1" applyBorder="1" applyAlignment="1" applyProtection="1">
      <alignment horizontal="center" vertical="center"/>
      <protection locked="0"/>
    </xf>
    <xf numFmtId="179" fontId="504" fillId="107" borderId="147" xfId="7850" applyNumberFormat="1" applyFont="1" applyFill="1" applyBorder="1" applyAlignment="1" applyProtection="1">
      <alignment horizontal="center" vertical="center"/>
      <protection locked="0"/>
    </xf>
    <xf numFmtId="40" fontId="441" fillId="0" borderId="435" xfId="27944" applyNumberFormat="1" applyFont="1" applyFill="1" applyBorder="1" applyAlignment="1" applyProtection="1">
      <alignment horizontal="center" vertical="center"/>
      <protection locked="0"/>
    </xf>
    <xf numFmtId="0" fontId="441" fillId="0" borderId="433" xfId="22678" quotePrefix="1" applyNumberFormat="1" applyFont="1" applyBorder="1" applyAlignment="1" applyProtection="1">
      <alignment horizontal="centerContinuous" vertical="center"/>
      <protection locked="0"/>
    </xf>
    <xf numFmtId="0" fontId="441" fillId="0" borderId="434" xfId="22678" quotePrefix="1" applyNumberFormat="1" applyFont="1" applyBorder="1" applyAlignment="1" applyProtection="1">
      <alignment horizontal="centerContinuous" vertical="center"/>
      <protection locked="0"/>
    </xf>
    <xf numFmtId="40" fontId="441" fillId="0" borderId="436" xfId="27944" applyNumberFormat="1" applyFont="1" applyFill="1" applyBorder="1" applyAlignment="1" applyProtection="1">
      <alignment horizontal="center" vertical="center"/>
      <protection locked="0"/>
    </xf>
    <xf numFmtId="0" fontId="441" fillId="0" borderId="433" xfId="22678" quotePrefix="1" applyNumberFormat="1" applyFont="1" applyBorder="1" applyAlignment="1" applyProtection="1">
      <alignment horizontal="centerContinuous" vertical="center" wrapText="1"/>
      <protection locked="0"/>
    </xf>
    <xf numFmtId="0" fontId="441" fillId="0" borderId="434" xfId="22678" quotePrefix="1" applyNumberFormat="1" applyFont="1" applyBorder="1" applyAlignment="1" applyProtection="1">
      <alignment horizontal="centerContinuous" vertical="center" wrapText="1"/>
      <protection locked="0"/>
    </xf>
    <xf numFmtId="2" fontId="437" fillId="0" borderId="350" xfId="22678" quotePrefix="1" applyNumberFormat="1" applyFont="1" applyBorder="1" applyAlignment="1" applyProtection="1">
      <alignment horizontal="center" vertical="center"/>
      <protection locked="0"/>
    </xf>
    <xf numFmtId="2" fontId="437" fillId="0" borderId="367" xfId="27944" applyNumberFormat="1" applyFont="1" applyFill="1" applyBorder="1" applyAlignment="1" applyProtection="1">
      <alignment horizontal="center" vertical="center"/>
      <protection locked="0"/>
    </xf>
    <xf numFmtId="2" fontId="437" fillId="0" borderId="367" xfId="27944" applyNumberFormat="1" applyFont="1" applyFill="1" applyBorder="1" applyAlignment="1" applyProtection="1">
      <alignment horizontal="center" vertical="center" wrapText="1"/>
      <protection locked="0"/>
    </xf>
    <xf numFmtId="2" fontId="437" fillId="0" borderId="133" xfId="22678" applyNumberFormat="1" applyFont="1" applyBorder="1" applyAlignment="1" applyProtection="1">
      <alignment vertical="center"/>
      <protection locked="0"/>
    </xf>
    <xf numFmtId="2" fontId="437" fillId="0" borderId="367" xfId="22678" quotePrefix="1" applyNumberFormat="1" applyFont="1" applyBorder="1" applyAlignment="1" applyProtection="1">
      <alignment horizontal="center" vertical="center"/>
      <protection locked="0"/>
    </xf>
    <xf numFmtId="359" fontId="437" fillId="0" borderId="367" xfId="22678" applyFont="1" applyBorder="1" applyAlignment="1" applyProtection="1">
      <alignment horizontal="center" vertical="center" wrapText="1"/>
      <protection locked="0"/>
    </xf>
    <xf numFmtId="17" fontId="437" fillId="0" borderId="367" xfId="27944" applyNumberFormat="1" applyFont="1" applyFill="1" applyBorder="1" applyAlignment="1" applyProtection="1">
      <alignment horizontal="center" vertical="center"/>
      <protection locked="0"/>
    </xf>
    <xf numFmtId="179" fontId="437" fillId="0" borderId="367" xfId="27944" applyNumberFormat="1" applyFont="1" applyFill="1" applyBorder="1" applyAlignment="1" applyProtection="1">
      <alignment horizontal="center" vertical="center" wrapText="1"/>
      <protection locked="0"/>
    </xf>
    <xf numFmtId="15" fontId="437" fillId="0" borderId="367" xfId="27944" applyNumberFormat="1" applyFont="1" applyFill="1" applyBorder="1" applyAlignment="1" applyProtection="1">
      <alignment horizontal="center" vertical="center"/>
      <protection locked="0"/>
    </xf>
    <xf numFmtId="40" fontId="437" fillId="0" borderId="367" xfId="27944" applyNumberFormat="1" applyFont="1" applyFill="1" applyBorder="1" applyAlignment="1" applyProtection="1">
      <alignment horizontal="center" vertical="center"/>
      <protection locked="0"/>
    </xf>
    <xf numFmtId="359" fontId="437" fillId="0" borderId="133" xfId="22678" applyFont="1" applyBorder="1" applyAlignment="1" applyProtection="1">
      <alignment vertical="center"/>
      <protection locked="0"/>
    </xf>
    <xf numFmtId="0" fontId="437" fillId="0" borderId="367" xfId="22678" quotePrefix="1" applyNumberFormat="1" applyFont="1" applyBorder="1" applyAlignment="1" applyProtection="1">
      <alignment horizontal="center" vertical="center"/>
      <protection locked="0"/>
    </xf>
    <xf numFmtId="15" fontId="437" fillId="0" borderId="367" xfId="22678" quotePrefix="1" applyNumberFormat="1" applyFont="1" applyBorder="1" applyAlignment="1" applyProtection="1">
      <alignment horizontal="center" vertical="center"/>
      <protection locked="0"/>
    </xf>
    <xf numFmtId="38" fontId="437" fillId="0" borderId="367" xfId="22678" quotePrefix="1" applyNumberFormat="1" applyFont="1" applyBorder="1" applyAlignment="1" applyProtection="1">
      <alignment horizontal="center" vertical="center"/>
      <protection locked="0"/>
    </xf>
    <xf numFmtId="40" fontId="437" fillId="0" borderId="367" xfId="22678" quotePrefix="1" applyNumberFormat="1" applyFont="1" applyBorder="1" applyAlignment="1" applyProtection="1">
      <alignment horizontal="center" vertical="center"/>
      <protection locked="0"/>
    </xf>
    <xf numFmtId="40" fontId="437" fillId="0" borderId="350" xfId="22678" quotePrefix="1" applyNumberFormat="1" applyFont="1" applyBorder="1" applyAlignment="1" applyProtection="1">
      <alignment horizontal="center" vertical="center"/>
      <protection locked="0"/>
    </xf>
    <xf numFmtId="179" fontId="437" fillId="0" borderId="367" xfId="27944" applyNumberFormat="1" applyFont="1" applyFill="1" applyBorder="1" applyAlignment="1" applyProtection="1">
      <alignment horizontal="center" vertical="center"/>
      <protection locked="0"/>
    </xf>
    <xf numFmtId="0" fontId="437" fillId="0" borderId="367" xfId="22678" quotePrefix="1" applyNumberFormat="1" applyFont="1" applyBorder="1" applyAlignment="1" applyProtection="1">
      <alignment horizontal="center" vertical="center" wrapText="1"/>
      <protection locked="0"/>
    </xf>
    <xf numFmtId="0" fontId="172" fillId="197" borderId="216" xfId="0" applyFont="1" applyFill="1" applyBorder="1" applyAlignment="1">
      <alignment horizontal="center" vertical="center"/>
    </xf>
    <xf numFmtId="38" fontId="169" fillId="197" borderId="125" xfId="0" applyNumberFormat="1" applyFont="1" applyFill="1" applyBorder="1" applyAlignment="1">
      <alignment vertical="center" wrapText="1"/>
    </xf>
    <xf numFmtId="38" fontId="169" fillId="197" borderId="126" xfId="0" applyNumberFormat="1" applyFont="1" applyFill="1" applyBorder="1" applyAlignment="1">
      <alignment horizontal="center" vertical="center" wrapText="1"/>
    </xf>
    <xf numFmtId="360" fontId="172" fillId="197" borderId="217" xfId="19286" applyNumberFormat="1" applyFont="1" applyFill="1" applyBorder="1" applyAlignment="1">
      <alignment horizontal="center" vertical="center" wrapText="1"/>
    </xf>
    <xf numFmtId="229" fontId="169" fillId="197" borderId="141" xfId="19286" applyNumberFormat="1" applyFont="1" applyFill="1" applyBorder="1" applyAlignment="1" applyProtection="1">
      <alignment vertical="center"/>
    </xf>
    <xf numFmtId="43" fontId="172" fillId="0" borderId="0" xfId="19286" applyFont="1" applyAlignment="1">
      <alignment vertical="center"/>
    </xf>
    <xf numFmtId="0" fontId="518" fillId="0" borderId="0" xfId="0" applyFont="1"/>
    <xf numFmtId="0" fontId="519" fillId="0" borderId="0" xfId="0" applyFont="1"/>
    <xf numFmtId="43" fontId="519" fillId="0" borderId="0" xfId="19286" applyFont="1"/>
    <xf numFmtId="0" fontId="518" fillId="135" borderId="106" xfId="0" applyFont="1" applyFill="1" applyBorder="1" applyAlignment="1">
      <alignment horizontal="center"/>
    </xf>
    <xf numFmtId="43" fontId="518" fillId="135" borderId="106" xfId="19286" applyFont="1" applyFill="1" applyBorder="1" applyAlignment="1">
      <alignment horizontal="center"/>
    </xf>
    <xf numFmtId="0" fontId="518" fillId="135" borderId="360" xfId="0" applyFont="1" applyFill="1" applyBorder="1" applyAlignment="1">
      <alignment horizontal="center"/>
    </xf>
    <xf numFmtId="43" fontId="518" fillId="135" borderId="360" xfId="19286" applyFont="1" applyFill="1" applyBorder="1" applyAlignment="1">
      <alignment horizontal="center"/>
    </xf>
    <xf numFmtId="0" fontId="519" fillId="0" borderId="104" xfId="0" applyFont="1" applyBorder="1"/>
    <xf numFmtId="0" fontId="519" fillId="0" borderId="115" xfId="0" applyFont="1" applyBorder="1"/>
    <xf numFmtId="43" fontId="519" fillId="0" borderId="115" xfId="19286" applyFont="1" applyBorder="1"/>
    <xf numFmtId="0" fontId="519" fillId="0" borderId="139" xfId="0" applyFont="1" applyBorder="1"/>
    <xf numFmtId="0" fontId="518" fillId="0" borderId="104" xfId="0" applyFont="1" applyBorder="1"/>
    <xf numFmtId="0" fontId="518" fillId="0" borderId="115" xfId="0" applyFont="1" applyBorder="1"/>
    <xf numFmtId="0" fontId="520" fillId="0" borderId="104" xfId="0" applyFont="1" applyBorder="1"/>
    <xf numFmtId="0" fontId="520" fillId="0" borderId="115" xfId="0" applyFont="1" applyBorder="1"/>
    <xf numFmtId="43" fontId="520" fillId="0" borderId="115" xfId="19286" applyFont="1" applyBorder="1"/>
    <xf numFmtId="0" fontId="520" fillId="0" borderId="139" xfId="0" applyFont="1" applyBorder="1"/>
    <xf numFmtId="9" fontId="519" fillId="0" borderId="115" xfId="0" applyNumberFormat="1" applyFont="1" applyBorder="1"/>
    <xf numFmtId="171" fontId="519" fillId="0" borderId="115" xfId="0" applyNumberFormat="1" applyFont="1" applyBorder="1"/>
    <xf numFmtId="0" fontId="518" fillId="175" borderId="216" xfId="0" applyFont="1" applyFill="1" applyBorder="1"/>
    <xf numFmtId="0" fontId="518" fillId="175" borderId="365" xfId="0" applyFont="1" applyFill="1" applyBorder="1"/>
    <xf numFmtId="0" fontId="519" fillId="175" borderId="365" xfId="0" applyFont="1" applyFill="1" applyBorder="1"/>
    <xf numFmtId="43" fontId="518" fillId="175" borderId="365" xfId="19286" applyFont="1" applyFill="1" applyBorder="1"/>
    <xf numFmtId="9" fontId="518" fillId="175" borderId="365" xfId="22690" applyFont="1" applyFill="1" applyBorder="1"/>
    <xf numFmtId="0" fontId="519" fillId="175" borderId="217" xfId="0" applyFont="1" applyFill="1" applyBorder="1"/>
    <xf numFmtId="0" fontId="519" fillId="0" borderId="115" xfId="0" applyFont="1" applyBorder="1" applyAlignment="1">
      <alignment horizontal="center"/>
    </xf>
    <xf numFmtId="0" fontId="519" fillId="0" borderId="115" xfId="0" applyFont="1" applyBorder="1" applyAlignment="1">
      <alignment wrapText="1"/>
    </xf>
    <xf numFmtId="0" fontId="519" fillId="175" borderId="216" xfId="0" applyFont="1" applyFill="1" applyBorder="1"/>
    <xf numFmtId="0" fontId="519" fillId="198" borderId="50" xfId="0" applyFont="1" applyFill="1" applyBorder="1"/>
    <xf numFmtId="0" fontId="519" fillId="198" borderId="51" xfId="0" applyFont="1" applyFill="1" applyBorder="1"/>
    <xf numFmtId="0" fontId="518" fillId="198" borderId="51" xfId="0" applyFont="1" applyFill="1" applyBorder="1" applyAlignment="1">
      <alignment horizontal="center"/>
    </xf>
    <xf numFmtId="43" fontId="518" fillId="198" borderId="51" xfId="19286" applyFont="1" applyFill="1" applyBorder="1"/>
    <xf numFmtId="9" fontId="518" fillId="198" borderId="51" xfId="22690" applyFont="1" applyFill="1" applyBorder="1"/>
    <xf numFmtId="0" fontId="519" fillId="198" borderId="118" xfId="0" applyFont="1" applyFill="1" applyBorder="1"/>
    <xf numFmtId="43" fontId="519" fillId="116" borderId="115" xfId="19286" applyFont="1" applyFill="1" applyBorder="1"/>
    <xf numFmtId="210" fontId="380" fillId="0" borderId="0" xfId="22678" applyNumberFormat="1" applyFont="1" applyAlignment="1" applyProtection="1">
      <alignment vertical="center"/>
      <protection locked="0"/>
    </xf>
    <xf numFmtId="363" fontId="521" fillId="107" borderId="146" xfId="27932" applyNumberFormat="1" applyFont="1" applyFill="1" applyBorder="1" applyAlignment="1" applyProtection="1">
      <alignment horizontal="center" vertical="center"/>
      <protection locked="0"/>
    </xf>
    <xf numFmtId="360" fontId="172" fillId="0" borderId="217" xfId="19286" applyNumberFormat="1" applyFont="1" applyFill="1" applyBorder="1" applyAlignment="1">
      <alignment horizontal="center" vertical="center" wrapText="1"/>
    </xf>
    <xf numFmtId="15" fontId="437" fillId="0" borderId="350" xfId="27944" applyNumberFormat="1" applyFont="1" applyFill="1" applyBorder="1" applyAlignment="1" applyProtection="1">
      <alignment horizontal="center" vertical="center"/>
      <protection locked="0"/>
    </xf>
    <xf numFmtId="40" fontId="437" fillId="0" borderId="350" xfId="27944" applyNumberFormat="1" applyFont="1" applyFill="1" applyBorder="1" applyAlignment="1" applyProtection="1">
      <alignment horizontal="center" vertical="center"/>
      <protection locked="0"/>
    </xf>
    <xf numFmtId="0" fontId="437" fillId="0" borderId="172" xfId="22678" quotePrefix="1" applyNumberFormat="1" applyFont="1" applyBorder="1" applyAlignment="1" applyProtection="1">
      <alignment horizontal="center" vertical="center"/>
      <protection locked="0"/>
    </xf>
    <xf numFmtId="359" fontId="437" fillId="0" borderId="155" xfId="22678" applyFont="1" applyBorder="1" applyAlignment="1" applyProtection="1">
      <alignment vertical="center"/>
      <protection locked="0"/>
    </xf>
    <xf numFmtId="15" fontId="437" fillId="0" borderId="121" xfId="27944" applyNumberFormat="1" applyFont="1" applyFill="1" applyBorder="1" applyAlignment="1" applyProtection="1">
      <alignment horizontal="center" vertical="center"/>
      <protection locked="0"/>
    </xf>
    <xf numFmtId="15" fontId="437" fillId="0" borderId="121" xfId="22678" quotePrefix="1" applyNumberFormat="1" applyFont="1" applyBorder="1" applyAlignment="1" applyProtection="1">
      <alignment horizontal="center" vertical="center"/>
      <protection locked="0"/>
    </xf>
    <xf numFmtId="0" fontId="0" fillId="0" borderId="133" xfId="0" applyBorder="1"/>
    <xf numFmtId="0" fontId="0" fillId="0" borderId="155" xfId="0" applyBorder="1"/>
    <xf numFmtId="171" fontId="458" fillId="178" borderId="0" xfId="27936" applyNumberFormat="1" applyFont="1" applyFill="1" applyAlignment="1">
      <alignment vertical="center" wrapText="1"/>
    </xf>
    <xf numFmtId="366" fontId="497" fillId="0" borderId="163" xfId="27932" applyNumberFormat="1" applyFont="1" applyFill="1" applyBorder="1" applyAlignment="1" applyProtection="1">
      <alignment horizontal="center" vertical="center" wrapText="1"/>
      <protection locked="0"/>
    </xf>
    <xf numFmtId="49" fontId="353" fillId="0" borderId="45" xfId="22678" applyNumberFormat="1" applyFont="1" applyBorder="1" applyAlignment="1" applyProtection="1">
      <alignment horizontal="center" vertical="center"/>
      <protection locked="0"/>
    </xf>
    <xf numFmtId="210" fontId="353" fillId="0" borderId="117" xfId="22678" applyNumberFormat="1" applyFont="1" applyBorder="1" applyAlignment="1" applyProtection="1">
      <alignment horizontal="center" vertical="center"/>
      <protection locked="0"/>
    </xf>
    <xf numFmtId="363" fontId="353" fillId="0" borderId="146" xfId="22678" applyNumberFormat="1" applyFont="1" applyBorder="1" applyAlignment="1" applyProtection="1">
      <alignment horizontal="center" vertical="center"/>
      <protection locked="0"/>
    </xf>
    <xf numFmtId="43" fontId="520" fillId="0" borderId="115" xfId="19286" applyFont="1" applyFill="1" applyBorder="1"/>
    <xf numFmtId="43" fontId="519" fillId="0" borderId="115" xfId="19286" applyFont="1" applyFill="1" applyBorder="1"/>
    <xf numFmtId="363" fontId="465" fillId="165" borderId="52" xfId="27948" applyNumberFormat="1" applyFont="1" applyFill="1" applyBorder="1" applyAlignment="1">
      <alignment horizontal="center" vertical="center"/>
    </xf>
    <xf numFmtId="0" fontId="517" fillId="0" borderId="254" xfId="0" applyFont="1" applyBorder="1" applyAlignment="1" applyProtection="1">
      <alignment vertical="center"/>
      <protection locked="0"/>
    </xf>
    <xf numFmtId="4" fontId="348" fillId="0" borderId="0" xfId="27952" applyNumberFormat="1" applyAlignment="1">
      <alignment vertical="top"/>
    </xf>
    <xf numFmtId="363" fontId="172" fillId="0" borderId="0" xfId="0" applyNumberFormat="1" applyFont="1" applyAlignment="1">
      <alignment vertical="center"/>
    </xf>
    <xf numFmtId="38" fontId="357" fillId="0" borderId="0" xfId="22752" applyNumberFormat="1" applyFont="1" applyFill="1" applyBorder="1" applyAlignment="1" applyProtection="1">
      <alignment vertical="center"/>
    </xf>
    <xf numFmtId="9" fontId="519" fillId="0" borderId="0" xfId="22690" applyFont="1"/>
    <xf numFmtId="210" fontId="169" fillId="107" borderId="117" xfId="27932" applyNumberFormat="1" applyFont="1" applyFill="1" applyBorder="1" applyAlignment="1" applyProtection="1">
      <alignment horizontal="center" vertical="center" wrapText="1"/>
      <protection locked="0"/>
    </xf>
    <xf numFmtId="179" fontId="353" fillId="107" borderId="117" xfId="7850" applyNumberFormat="1" applyFont="1" applyFill="1" applyBorder="1" applyAlignment="1" applyProtection="1">
      <alignment horizontal="center" vertical="center" wrapText="1"/>
      <protection locked="0"/>
    </xf>
    <xf numFmtId="210" fontId="353" fillId="107" borderId="214" xfId="7850" applyNumberFormat="1" applyFont="1" applyFill="1" applyBorder="1" applyAlignment="1" applyProtection="1">
      <alignment horizontal="center" vertical="center" wrapText="1"/>
      <protection locked="0"/>
    </xf>
    <xf numFmtId="0" fontId="169" fillId="107" borderId="145" xfId="22678" applyNumberFormat="1" applyFont="1" applyFill="1" applyBorder="1" applyAlignment="1" applyProtection="1">
      <alignment horizontal="center" vertical="center" wrapText="1"/>
      <protection locked="0"/>
    </xf>
    <xf numFmtId="49" fontId="169" fillId="107" borderId="146" xfId="22678" quotePrefix="1" applyNumberFormat="1" applyFont="1" applyFill="1" applyBorder="1" applyAlignment="1" applyProtection="1">
      <alignment horizontal="center" vertical="center" wrapText="1"/>
      <protection locked="0"/>
    </xf>
    <xf numFmtId="0" fontId="169" fillId="107" borderId="146" xfId="27932" applyNumberFormat="1" applyFont="1" applyFill="1" applyBorder="1" applyAlignment="1" applyProtection="1">
      <alignment horizontal="center" vertical="center" wrapText="1"/>
      <protection locked="0"/>
    </xf>
    <xf numFmtId="0" fontId="169" fillId="0" borderId="145" xfId="22678" quotePrefix="1" applyNumberFormat="1" applyFont="1" applyBorder="1" applyAlignment="1" applyProtection="1">
      <alignment horizontal="center" vertical="center" wrapText="1"/>
      <protection locked="0"/>
    </xf>
    <xf numFmtId="179" fontId="496" fillId="107" borderId="45" xfId="27932" applyNumberFormat="1" applyFont="1" applyFill="1" applyBorder="1" applyAlignment="1" applyProtection="1">
      <alignment horizontal="center" vertical="center"/>
      <protection locked="0"/>
    </xf>
    <xf numFmtId="366" fontId="521" fillId="107" borderId="163" xfId="27932" applyNumberFormat="1" applyFont="1" applyFill="1" applyBorder="1" applyAlignment="1" applyProtection="1">
      <alignment horizontal="center" vertical="center" wrapText="1"/>
      <protection locked="0"/>
    </xf>
    <xf numFmtId="0" fontId="496" fillId="107" borderId="349" xfId="22678" quotePrefix="1" applyNumberFormat="1" applyFont="1" applyFill="1" applyBorder="1" applyAlignment="1" applyProtection="1">
      <alignment horizontal="center" vertical="center" wrapText="1"/>
      <protection locked="0"/>
    </xf>
    <xf numFmtId="210" fontId="504" fillId="107" borderId="117" xfId="22678" applyNumberFormat="1" applyFont="1" applyFill="1" applyBorder="1" applyAlignment="1" applyProtection="1">
      <alignment horizontal="center" vertical="center"/>
      <protection locked="0"/>
    </xf>
    <xf numFmtId="363" fontId="504" fillId="107" borderId="146" xfId="22678" applyNumberFormat="1" applyFont="1" applyFill="1" applyBorder="1" applyAlignment="1" applyProtection="1">
      <alignment horizontal="center" vertical="center"/>
      <protection locked="0"/>
    </xf>
    <xf numFmtId="49" fontId="504" fillId="107" borderId="117" xfId="22678" applyNumberFormat="1" applyFont="1" applyFill="1" applyBorder="1" applyAlignment="1" applyProtection="1">
      <alignment horizontal="center" vertical="center" wrapText="1"/>
      <protection locked="0"/>
    </xf>
    <xf numFmtId="179" fontId="437" fillId="0" borderId="350" xfId="27944" applyNumberFormat="1" applyFont="1" applyFill="1" applyBorder="1" applyAlignment="1" applyProtection="1">
      <alignment horizontal="center" vertical="center" wrapText="1"/>
      <protection locked="0"/>
    </xf>
    <xf numFmtId="43" fontId="519" fillId="111" borderId="115" xfId="19286" applyFont="1" applyFill="1" applyBorder="1"/>
    <xf numFmtId="171" fontId="519" fillId="0" borderId="0" xfId="0" applyNumberFormat="1" applyFont="1"/>
    <xf numFmtId="366" fontId="169" fillId="107" borderId="117" xfId="27932" applyNumberFormat="1" applyFont="1" applyFill="1" applyBorder="1" applyAlignment="1" applyProtection="1">
      <alignment horizontal="center" vertical="center" wrapText="1"/>
      <protection locked="0"/>
    </xf>
    <xf numFmtId="171" fontId="484" fillId="162" borderId="278" xfId="27926" applyFont="1" applyFill="1" applyBorder="1" applyAlignment="1">
      <alignment horizontal="left" vertical="center"/>
    </xf>
    <xf numFmtId="38" fontId="169" fillId="0" borderId="365" xfId="0" applyNumberFormat="1" applyFont="1" applyBorder="1" applyAlignment="1">
      <alignment horizontal="center" vertical="center" wrapText="1"/>
    </xf>
    <xf numFmtId="229" fontId="169" fillId="0" borderId="188" xfId="19286" applyNumberFormat="1" applyFont="1" applyFill="1" applyBorder="1" applyAlignment="1" applyProtection="1">
      <alignment vertical="center"/>
    </xf>
    <xf numFmtId="43" fontId="66" fillId="0" borderId="0" xfId="19286" quotePrefix="1" applyFont="1" applyAlignment="1" applyProtection="1">
      <alignment horizontal="center" vertical="center"/>
      <protection locked="0"/>
    </xf>
    <xf numFmtId="171" fontId="437" fillId="0" borderId="0" xfId="22678" applyNumberFormat="1" applyFont="1" applyAlignment="1" applyProtection="1">
      <alignment horizontal="center" vertical="center"/>
      <protection locked="0"/>
    </xf>
    <xf numFmtId="40" fontId="341" fillId="0" borderId="0" xfId="0" applyNumberFormat="1" applyFont="1"/>
    <xf numFmtId="0" fontId="169" fillId="107" borderId="45" xfId="22678" quotePrefix="1" applyNumberFormat="1" applyFont="1" applyFill="1" applyBorder="1" applyAlignment="1" applyProtection="1">
      <alignment horizontal="center" vertical="center"/>
      <protection locked="0"/>
    </xf>
    <xf numFmtId="0" fontId="169" fillId="107" borderId="145" xfId="22678" quotePrefix="1" applyNumberFormat="1" applyFont="1" applyFill="1" applyBorder="1" applyAlignment="1" applyProtection="1">
      <alignment horizontal="center" vertical="center" wrapText="1"/>
      <protection locked="0"/>
    </xf>
    <xf numFmtId="363" fontId="484" fillId="164" borderId="270" xfId="27925" applyNumberFormat="1" applyFont="1" applyFill="1" applyBorder="1" applyAlignment="1">
      <alignment horizontal="left" vertical="center"/>
    </xf>
    <xf numFmtId="9" fontId="484" fillId="164" borderId="270" xfId="22690" applyFont="1" applyFill="1" applyBorder="1" applyAlignment="1">
      <alignment horizontal="center" vertical="center"/>
    </xf>
    <xf numFmtId="365" fontId="451" fillId="0" borderId="269" xfId="27926" applyNumberFormat="1" applyFont="1" applyFill="1" applyBorder="1" applyAlignment="1">
      <alignment horizontal="center" vertical="center"/>
    </xf>
    <xf numFmtId="2" fontId="169" fillId="107" borderId="163" xfId="27932" applyNumberFormat="1" applyFont="1" applyFill="1" applyBorder="1" applyAlignment="1" applyProtection="1">
      <alignment horizontal="center" vertical="center" wrapText="1"/>
      <protection locked="0"/>
    </xf>
    <xf numFmtId="2" fontId="169" fillId="107" borderId="146" xfId="22678" applyNumberFormat="1" applyFont="1" applyFill="1" applyBorder="1" applyAlignment="1" applyProtection="1">
      <alignment horizontal="center" vertical="center"/>
      <protection locked="0"/>
    </xf>
    <xf numFmtId="2" fontId="169" fillId="107" borderId="117" xfId="22678" applyNumberFormat="1" applyFont="1" applyFill="1" applyBorder="1" applyAlignment="1" applyProtection="1">
      <alignment horizontal="center" vertical="center" wrapText="1"/>
      <protection locked="0"/>
    </xf>
    <xf numFmtId="2" fontId="169" fillId="107" borderId="218" xfId="27932" applyNumberFormat="1" applyFont="1" applyFill="1" applyBorder="1" applyAlignment="1" applyProtection="1">
      <alignment horizontal="center" vertical="center"/>
      <protection locked="0"/>
    </xf>
    <xf numFmtId="2" fontId="169" fillId="107" borderId="147" xfId="27932" applyNumberFormat="1" applyFont="1" applyFill="1" applyBorder="1" applyAlignment="1" applyProtection="1">
      <alignment horizontal="center" vertical="center"/>
      <protection locked="0"/>
    </xf>
    <xf numFmtId="2" fontId="169" fillId="107" borderId="148" xfId="22678" applyNumberFormat="1" applyFont="1" applyFill="1" applyBorder="1" applyAlignment="1" applyProtection="1">
      <alignment horizontal="left" vertical="center" wrapText="1"/>
      <protection locked="0"/>
    </xf>
    <xf numFmtId="0" fontId="504" fillId="107" borderId="146" xfId="22678" quotePrefix="1" applyNumberFormat="1" applyFont="1" applyFill="1" applyBorder="1" applyAlignment="1" applyProtection="1">
      <alignment horizontal="center" vertical="center"/>
      <protection locked="0"/>
    </xf>
    <xf numFmtId="0" fontId="504" fillId="107" borderId="117" xfId="22678" quotePrefix="1" applyNumberFormat="1" applyFont="1" applyFill="1" applyBorder="1" applyAlignment="1" applyProtection="1">
      <alignment horizontal="center" vertical="center" wrapText="1"/>
      <protection locked="0"/>
    </xf>
    <xf numFmtId="0" fontId="504" fillId="107" borderId="117" xfId="7850" applyNumberFormat="1" applyFont="1" applyFill="1" applyBorder="1" applyAlignment="1" applyProtection="1">
      <alignment horizontal="center" vertical="center"/>
      <protection locked="0"/>
    </xf>
    <xf numFmtId="0" fontId="504" fillId="107" borderId="146" xfId="7850" applyNumberFormat="1" applyFont="1" applyFill="1" applyBorder="1" applyAlignment="1" applyProtection="1">
      <alignment horizontal="center" vertical="center"/>
      <protection locked="0"/>
    </xf>
    <xf numFmtId="0" fontId="504" fillId="107" borderId="145" xfId="22678" quotePrefix="1" applyNumberFormat="1" applyFont="1" applyFill="1" applyBorder="1" applyAlignment="1" applyProtection="1">
      <alignment horizontal="center" vertical="center" wrapText="1"/>
      <protection locked="0"/>
    </xf>
    <xf numFmtId="38" fontId="63" fillId="0" borderId="365" xfId="22751" applyNumberFormat="1" applyFont="1" applyBorder="1" applyAlignment="1">
      <alignment horizontal="center" vertical="center"/>
    </xf>
    <xf numFmtId="38" fontId="63" fillId="0" borderId="365" xfId="22751" applyNumberFormat="1" applyFont="1" applyBorder="1" applyAlignment="1">
      <alignment horizontal="left" vertical="center" wrapText="1"/>
    </xf>
    <xf numFmtId="38" fontId="63" fillId="0" borderId="365" xfId="22751" applyNumberFormat="1" applyFont="1" applyBorder="1" applyAlignment="1">
      <alignment horizontal="left" vertical="center" wrapText="1" indent="3"/>
    </xf>
    <xf numFmtId="38" fontId="63" fillId="0" borderId="365" xfId="22751" applyNumberFormat="1" applyFont="1" applyBorder="1" applyAlignment="1">
      <alignment horizontal="left" vertical="center" indent="3"/>
    </xf>
    <xf numFmtId="38" fontId="63" fillId="157" borderId="365" xfId="22752" applyNumberFormat="1" applyFont="1" applyFill="1" applyBorder="1" applyAlignment="1" applyProtection="1">
      <alignment horizontal="right" vertical="center"/>
    </xf>
    <xf numFmtId="38" fontId="63" fillId="0" borderId="365" xfId="22752" applyNumberFormat="1" applyFont="1" applyFill="1" applyBorder="1" applyAlignment="1" applyProtection="1">
      <alignment horizontal="right" vertical="center"/>
    </xf>
    <xf numFmtId="38" fontId="45" fillId="0" borderId="351" xfId="22751" applyNumberFormat="1" applyBorder="1" applyAlignment="1">
      <alignment vertical="center"/>
    </xf>
    <xf numFmtId="43" fontId="171" fillId="0" borderId="0" xfId="19286" applyFont="1" applyAlignment="1">
      <alignment vertical="center"/>
    </xf>
    <xf numFmtId="38" fontId="169" fillId="107" borderId="183" xfId="0" applyNumberFormat="1" applyFont="1" applyFill="1" applyBorder="1" applyAlignment="1">
      <alignment horizontal="left" vertical="center" wrapText="1"/>
    </xf>
    <xf numFmtId="171" fontId="451" fillId="107" borderId="269" xfId="27926" applyFont="1" applyFill="1" applyBorder="1" applyAlignment="1">
      <alignment horizontal="left" vertical="top" wrapText="1"/>
    </xf>
    <xf numFmtId="179" fontId="451" fillId="170" borderId="321" xfId="27927" applyNumberFormat="1" applyFont="1" applyFill="1" applyBorder="1" applyAlignment="1">
      <alignment vertical="center"/>
    </xf>
    <xf numFmtId="179" fontId="437" fillId="0" borderId="0" xfId="27953" applyNumberFormat="1" applyFont="1" applyFill="1" applyBorder="1" applyAlignment="1" applyProtection="1">
      <alignment horizontal="center" vertical="center"/>
      <protection locked="0"/>
    </xf>
    <xf numFmtId="40" fontId="437" fillId="0" borderId="0" xfId="27953" applyNumberFormat="1" applyFont="1" applyFill="1" applyBorder="1" applyAlignment="1" applyProtection="1">
      <alignment horizontal="center" vertical="center"/>
      <protection locked="0"/>
    </xf>
    <xf numFmtId="359" fontId="443" fillId="199" borderId="108" xfId="22678" applyFont="1" applyFill="1" applyBorder="1" applyAlignment="1" applyProtection="1">
      <alignment horizontal="centerContinuous" vertical="center"/>
      <protection locked="0"/>
    </xf>
    <xf numFmtId="359" fontId="443" fillId="199" borderId="110" xfId="22678" applyFont="1" applyFill="1" applyBorder="1" applyAlignment="1" applyProtection="1">
      <alignment horizontal="centerContinuous" vertical="center"/>
      <protection locked="0"/>
    </xf>
    <xf numFmtId="179" fontId="443" fillId="199" borderId="110" xfId="27953" applyNumberFormat="1" applyFont="1" applyFill="1" applyBorder="1" applyAlignment="1" applyProtection="1">
      <alignment horizontal="centerContinuous" vertical="center"/>
      <protection locked="0"/>
    </xf>
    <xf numFmtId="40" fontId="443" fillId="199" borderId="110" xfId="27953" applyNumberFormat="1" applyFont="1" applyFill="1" applyBorder="1" applyAlignment="1" applyProtection="1">
      <alignment horizontal="centerContinuous" vertical="center"/>
      <protection locked="0"/>
    </xf>
    <xf numFmtId="179" fontId="441" fillId="141" borderId="260" xfId="27953" applyNumberFormat="1" applyFont="1" applyFill="1" applyBorder="1" applyAlignment="1" applyProtection="1">
      <alignment horizontal="center" vertical="center" wrapText="1"/>
      <protection locked="0"/>
    </xf>
    <xf numFmtId="40" fontId="441" fillId="141" borderId="262" xfId="27953" applyNumberFormat="1" applyFont="1" applyFill="1" applyBorder="1" applyAlignment="1" applyProtection="1">
      <alignment horizontal="center" vertical="center" wrapText="1"/>
      <protection locked="0"/>
    </xf>
    <xf numFmtId="179" fontId="441" fillId="141" borderId="261" xfId="27953" applyNumberFormat="1" applyFont="1" applyFill="1" applyBorder="1" applyAlignment="1" applyProtection="1">
      <alignment horizontal="center" vertical="center" wrapText="1"/>
      <protection locked="0"/>
    </xf>
    <xf numFmtId="179" fontId="441" fillId="142" borderId="260" xfId="27953" applyNumberFormat="1" applyFont="1" applyFill="1" applyBorder="1" applyAlignment="1" applyProtection="1">
      <alignment horizontal="center" vertical="center" wrapText="1"/>
      <protection locked="0"/>
    </xf>
    <xf numFmtId="179" fontId="441" fillId="142" borderId="261" xfId="27953" applyNumberFormat="1" applyFont="1" applyFill="1" applyBorder="1" applyAlignment="1" applyProtection="1">
      <alignment horizontal="center" vertical="center" wrapText="1"/>
      <protection locked="0"/>
    </xf>
    <xf numFmtId="179" fontId="441" fillId="143" borderId="259" xfId="27953" applyNumberFormat="1" applyFont="1" applyFill="1" applyBorder="1" applyAlignment="1" applyProtection="1">
      <alignment horizontal="center" vertical="center" wrapText="1"/>
      <protection locked="0"/>
    </xf>
    <xf numFmtId="179" fontId="441" fillId="143" borderId="263" xfId="27953" applyNumberFormat="1" applyFont="1" applyFill="1" applyBorder="1" applyAlignment="1" applyProtection="1">
      <alignment horizontal="center" vertical="center" wrapText="1"/>
      <protection locked="0"/>
    </xf>
    <xf numFmtId="179" fontId="441" fillId="143" borderId="260" xfId="27953" applyNumberFormat="1" applyFont="1" applyFill="1" applyBorder="1" applyAlignment="1" applyProtection="1">
      <alignment horizontal="center" vertical="center" wrapText="1"/>
      <protection locked="0"/>
    </xf>
    <xf numFmtId="179" fontId="441" fillId="141" borderId="265" xfId="27953" applyNumberFormat="1" applyFont="1" applyFill="1" applyBorder="1" applyAlignment="1" applyProtection="1">
      <alignment horizontal="center" vertical="center" wrapText="1"/>
      <protection locked="0"/>
    </xf>
    <xf numFmtId="40" fontId="441" fillId="141" borderId="265" xfId="27953" applyNumberFormat="1" applyFont="1" applyFill="1" applyBorder="1" applyAlignment="1" applyProtection="1">
      <alignment horizontal="center" vertical="center" wrapText="1"/>
      <protection locked="0"/>
    </xf>
    <xf numFmtId="40" fontId="441" fillId="141" borderId="266" xfId="27953" applyNumberFormat="1" applyFont="1" applyFill="1" applyBorder="1" applyAlignment="1" applyProtection="1">
      <alignment horizontal="center" vertical="center" wrapText="1"/>
      <protection locked="0"/>
    </xf>
    <xf numFmtId="179" fontId="441" fillId="142" borderId="265" xfId="27953" applyNumberFormat="1" applyFont="1" applyFill="1" applyBorder="1" applyAlignment="1" applyProtection="1">
      <alignment horizontal="center" vertical="center" wrapText="1"/>
      <protection locked="0"/>
    </xf>
    <xf numFmtId="179" fontId="441" fillId="142" borderId="266" xfId="27953" applyNumberFormat="1" applyFont="1" applyFill="1" applyBorder="1" applyAlignment="1" applyProtection="1">
      <alignment horizontal="center" vertical="center" wrapText="1"/>
      <protection locked="0"/>
    </xf>
    <xf numFmtId="179" fontId="441" fillId="143" borderId="383" xfId="27953" applyNumberFormat="1" applyFont="1" applyFill="1" applyBorder="1" applyAlignment="1" applyProtection="1">
      <alignment horizontal="center" vertical="center" wrapText="1"/>
      <protection locked="0"/>
    </xf>
    <xf numFmtId="179" fontId="505" fillId="107" borderId="365" xfId="27953" applyNumberFormat="1" applyFont="1" applyFill="1" applyBorder="1" applyAlignment="1" applyProtection="1">
      <alignment horizontal="center" vertical="center" wrapText="1"/>
      <protection locked="0"/>
    </xf>
    <xf numFmtId="179" fontId="505" fillId="107" borderId="365" xfId="27953" quotePrefix="1" applyNumberFormat="1" applyFont="1" applyFill="1" applyBorder="1" applyAlignment="1" applyProtection="1">
      <alignment horizontal="center" vertical="center" wrapText="1"/>
      <protection locked="0"/>
    </xf>
    <xf numFmtId="1" fontId="437" fillId="0" borderId="117" xfId="22678" applyNumberFormat="1" applyFont="1" applyBorder="1" applyAlignment="1" applyProtection="1">
      <alignment horizontal="center" vertical="center" wrapText="1"/>
      <protection locked="0"/>
    </xf>
    <xf numFmtId="15" fontId="437" fillId="0" borderId="117" xfId="27953" applyNumberFormat="1" applyFont="1" applyFill="1" applyBorder="1" applyAlignment="1" applyProtection="1">
      <alignment horizontal="center" vertical="center" wrapText="1"/>
      <protection locked="0"/>
    </xf>
    <xf numFmtId="15" fontId="437" fillId="0" borderId="117" xfId="27954" applyNumberFormat="1" applyFont="1" applyFill="1" applyBorder="1" applyAlignment="1" applyProtection="1">
      <alignment horizontal="center" vertical="center"/>
      <protection locked="0"/>
    </xf>
    <xf numFmtId="38" fontId="437" fillId="0" borderId="117" xfId="27953" applyNumberFormat="1" applyFont="1" applyFill="1" applyBorder="1" applyAlignment="1" applyProtection="1">
      <alignment horizontal="center" vertical="center"/>
      <protection locked="0"/>
    </xf>
    <xf numFmtId="40" fontId="437" fillId="0" borderId="221" xfId="27953" applyNumberFormat="1" applyFont="1" applyFill="1" applyBorder="1" applyAlignment="1" applyProtection="1">
      <alignment horizontal="center" vertical="center"/>
      <protection locked="0"/>
    </xf>
    <xf numFmtId="40" fontId="437" fillId="0" borderId="117" xfId="27953" applyNumberFormat="1" applyFont="1" applyFill="1" applyBorder="1" applyAlignment="1" applyProtection="1">
      <alignment horizontal="center" vertical="center"/>
      <protection locked="0"/>
    </xf>
    <xf numFmtId="9" fontId="437" fillId="0" borderId="117" xfId="22690" quotePrefix="1" applyFont="1" applyBorder="1" applyAlignment="1" applyProtection="1">
      <alignment horizontal="center" vertical="center"/>
      <protection locked="0"/>
    </xf>
    <xf numFmtId="1" fontId="437" fillId="0" borderId="117" xfId="22678" quotePrefix="1" applyNumberFormat="1" applyFont="1" applyBorder="1" applyAlignment="1" applyProtection="1">
      <alignment horizontal="center" vertical="center" wrapText="1"/>
      <protection locked="0"/>
    </xf>
    <xf numFmtId="40" fontId="437" fillId="0" borderId="214" xfId="27953" applyNumberFormat="1" applyFont="1" applyFill="1" applyBorder="1" applyAlignment="1" applyProtection="1">
      <alignment horizontal="center" vertical="center"/>
      <protection locked="0"/>
    </xf>
    <xf numFmtId="40" fontId="437" fillId="0" borderId="350" xfId="27953" applyNumberFormat="1" applyFont="1" applyFill="1" applyBorder="1" applyAlignment="1" applyProtection="1">
      <alignment horizontal="center" vertical="center"/>
      <protection locked="0"/>
    </xf>
    <xf numFmtId="1" fontId="437" fillId="0" borderId="117" xfId="27953" applyNumberFormat="1" applyFont="1" applyFill="1" applyBorder="1" applyAlignment="1" applyProtection="1">
      <alignment horizontal="center" vertical="center"/>
      <protection locked="0"/>
    </xf>
    <xf numFmtId="40" fontId="441" fillId="0" borderId="360" xfId="27953" applyNumberFormat="1" applyFont="1" applyFill="1" applyBorder="1" applyAlignment="1" applyProtection="1">
      <alignment horizontal="center" vertical="center"/>
      <protection locked="0"/>
    </xf>
    <xf numFmtId="9" fontId="441" fillId="0" borderId="360" xfId="22690" quotePrefix="1" applyFont="1" applyBorder="1" applyAlignment="1" applyProtection="1">
      <alignment horizontal="centerContinuous" vertical="center" wrapText="1"/>
      <protection locked="0"/>
    </xf>
    <xf numFmtId="15" fontId="437" fillId="0" borderId="117" xfId="27954" applyNumberFormat="1" applyFont="1" applyFill="1" applyBorder="1" applyAlignment="1" applyProtection="1">
      <alignment horizontal="center" vertical="center" wrapText="1"/>
      <protection locked="0"/>
    </xf>
    <xf numFmtId="15" fontId="437" fillId="201" borderId="117" xfId="27953" applyNumberFormat="1" applyFont="1" applyFill="1" applyBorder="1" applyAlignment="1" applyProtection="1">
      <alignment horizontal="center" vertical="center"/>
      <protection locked="0"/>
    </xf>
    <xf numFmtId="0" fontId="440" fillId="202" borderId="0" xfId="0" applyFont="1" applyFill="1" applyAlignment="1">
      <alignment vertical="center"/>
    </xf>
    <xf numFmtId="15" fontId="437" fillId="0" borderId="117" xfId="27953" applyNumberFormat="1" applyFont="1" applyFill="1" applyBorder="1" applyAlignment="1" applyProtection="1">
      <alignment horizontal="left" vertical="center" wrapText="1"/>
      <protection locked="0"/>
    </xf>
    <xf numFmtId="15" fontId="437" fillId="0" borderId="117" xfId="27953" applyNumberFormat="1" applyFont="1" applyFill="1" applyBorder="1" applyAlignment="1" applyProtection="1">
      <alignment horizontal="left" vertical="center"/>
      <protection locked="0"/>
    </xf>
    <xf numFmtId="179" fontId="379" fillId="0" borderId="0" xfId="27954" applyNumberFormat="1" applyFont="1" applyFill="1" applyBorder="1" applyAlignment="1" applyProtection="1">
      <alignment horizontal="center" vertical="center"/>
      <protection locked="0"/>
    </xf>
    <xf numFmtId="0" fontId="170" fillId="0" borderId="0" xfId="27955" applyFont="1"/>
    <xf numFmtId="179" fontId="170" fillId="0" borderId="0" xfId="27956" applyNumberFormat="1" applyFont="1" applyBorder="1" applyAlignment="1" applyProtection="1">
      <alignment horizontal="left" vertical="center" shrinkToFit="1"/>
    </xf>
    <xf numFmtId="0" fontId="21" fillId="0" borderId="0" xfId="0" applyFont="1" applyAlignment="1">
      <alignment vertical="center"/>
    </xf>
    <xf numFmtId="0" fontId="170" fillId="0" borderId="0" xfId="27955" applyFont="1" applyAlignment="1">
      <alignment vertical="center"/>
    </xf>
    <xf numFmtId="0" fontId="21" fillId="0" borderId="0" xfId="0" applyFont="1"/>
    <xf numFmtId="0" fontId="171" fillId="0" borderId="0" xfId="27955" applyFont="1" applyAlignment="1">
      <alignment horizontal="right" vertical="center"/>
    </xf>
    <xf numFmtId="210" fontId="170" fillId="0" borderId="0" xfId="2" quotePrefix="1" applyNumberFormat="1" applyFont="1" applyAlignment="1">
      <alignment horizontal="left" vertical="center"/>
    </xf>
    <xf numFmtId="0" fontId="65" fillId="0" borderId="0" xfId="0" applyFont="1" applyAlignment="1">
      <alignment horizontal="center" vertical="center" wrapText="1"/>
    </xf>
    <xf numFmtId="0" fontId="65" fillId="0" borderId="0" xfId="0" applyFont="1" applyAlignment="1">
      <alignment vertical="center" wrapText="1"/>
    </xf>
    <xf numFmtId="0" fontId="21" fillId="0" borderId="0" xfId="0" applyFont="1" applyAlignment="1">
      <alignment vertical="center" wrapText="1"/>
    </xf>
    <xf numFmtId="171" fontId="21" fillId="0" borderId="0" xfId="0" applyNumberFormat="1" applyFont="1" applyAlignment="1">
      <alignment vertical="center"/>
    </xf>
    <xf numFmtId="0" fontId="343" fillId="0" borderId="0" xfId="0" applyFont="1" applyAlignment="1">
      <alignment vertical="center"/>
    </xf>
    <xf numFmtId="0" fontId="343" fillId="0" borderId="0" xfId="27957" applyFont="1"/>
    <xf numFmtId="0" fontId="343" fillId="33" borderId="219" xfId="27957" applyFont="1" applyFill="1" applyBorder="1"/>
    <xf numFmtId="0" fontId="343" fillId="33" borderId="220" xfId="27957" applyFont="1" applyFill="1" applyBorder="1"/>
    <xf numFmtId="0" fontId="343" fillId="33" borderId="220" xfId="27957" applyFont="1" applyFill="1" applyBorder="1" applyAlignment="1">
      <alignment horizontal="center" vertical="center"/>
    </xf>
    <xf numFmtId="3" fontId="343" fillId="33" borderId="220" xfId="27958" applyNumberFormat="1" applyFont="1" applyFill="1" applyBorder="1" applyAlignment="1">
      <alignment horizontal="center" vertical="center"/>
    </xf>
    <xf numFmtId="171" fontId="343" fillId="0" borderId="0" xfId="27958" applyFont="1" applyFill="1" applyBorder="1"/>
    <xf numFmtId="0" fontId="343" fillId="33" borderId="157" xfId="27957" applyFont="1" applyFill="1" applyBorder="1"/>
    <xf numFmtId="0" fontId="343" fillId="33" borderId="134" xfId="27957" applyFont="1" applyFill="1" applyBorder="1"/>
    <xf numFmtId="0" fontId="343" fillId="33" borderId="134" xfId="27957" applyFont="1" applyFill="1" applyBorder="1" applyAlignment="1">
      <alignment horizontal="center" vertical="center"/>
    </xf>
    <xf numFmtId="0" fontId="343" fillId="33" borderId="134" xfId="27958" applyNumberFormat="1" applyFont="1" applyFill="1" applyBorder="1" applyAlignment="1">
      <alignment horizontal="center"/>
    </xf>
    <xf numFmtId="0" fontId="343" fillId="33" borderId="0" xfId="27957" applyFont="1" applyFill="1"/>
    <xf numFmtId="0" fontId="343" fillId="33" borderId="0" xfId="27957" applyFont="1" applyFill="1" applyAlignment="1">
      <alignment horizontal="center" vertical="center"/>
    </xf>
    <xf numFmtId="0" fontId="343" fillId="33" borderId="0" xfId="27958" applyNumberFormat="1" applyFont="1" applyFill="1" applyBorder="1" applyAlignment="1">
      <alignment horizontal="center"/>
    </xf>
    <xf numFmtId="171" fontId="343" fillId="107" borderId="0" xfId="27958" applyFont="1" applyFill="1" applyBorder="1" applyAlignment="1">
      <alignment horizontal="center" vertical="center"/>
    </xf>
    <xf numFmtId="0" fontId="340" fillId="0" borderId="41" xfId="27957" applyFont="1" applyBorder="1"/>
    <xf numFmtId="171" fontId="65" fillId="0" borderId="0" xfId="27958" applyFont="1"/>
    <xf numFmtId="0" fontId="65" fillId="0" borderId="0" xfId="27957" applyFont="1"/>
    <xf numFmtId="0" fontId="340" fillId="0" borderId="59" xfId="27957" applyFont="1" applyBorder="1"/>
    <xf numFmtId="0" fontId="65" fillId="0" borderId="59" xfId="27957" applyFont="1" applyBorder="1"/>
    <xf numFmtId="0" fontId="169" fillId="0" borderId="0" xfId="27957" applyFont="1" applyAlignment="1">
      <alignment horizontal="center" vertical="center"/>
    </xf>
    <xf numFmtId="171" fontId="65" fillId="0" borderId="0" xfId="27958" applyFont="1" applyBorder="1"/>
    <xf numFmtId="171" fontId="65" fillId="0" borderId="52" xfId="27958" applyFont="1" applyBorder="1"/>
    <xf numFmtId="0" fontId="65" fillId="0" borderId="59" xfId="27957" applyFont="1" applyBorder="1" applyAlignment="1">
      <alignment vertical="center"/>
    </xf>
    <xf numFmtId="0" fontId="65" fillId="0" borderId="0" xfId="27957" applyFont="1" applyAlignment="1">
      <alignment vertical="center"/>
    </xf>
    <xf numFmtId="171" fontId="65" fillId="0" borderId="0" xfId="27958" applyFont="1" applyBorder="1" applyAlignment="1">
      <alignment vertical="center"/>
    </xf>
    <xf numFmtId="171" fontId="65" fillId="0" borderId="52" xfId="27958" applyFont="1" applyBorder="1" applyAlignment="1">
      <alignment vertical="center"/>
    </xf>
    <xf numFmtId="171" fontId="65" fillId="0" borderId="0" xfId="27958" applyFont="1" applyAlignment="1">
      <alignment vertical="center"/>
    </xf>
    <xf numFmtId="171" fontId="65" fillId="0" borderId="0" xfId="27958" applyFont="1" applyFill="1" applyAlignment="1">
      <alignment horizontal="center"/>
    </xf>
    <xf numFmtId="0" fontId="343" fillId="33" borderId="222" xfId="27957" applyFont="1" applyFill="1" applyBorder="1"/>
    <xf numFmtId="0" fontId="343" fillId="33" borderId="113" xfId="27957" applyFont="1" applyFill="1" applyBorder="1"/>
    <xf numFmtId="0" fontId="65" fillId="0" borderId="114" xfId="27957" applyFont="1" applyBorder="1" applyAlignment="1">
      <alignment vertical="center"/>
    </xf>
    <xf numFmtId="171" fontId="65" fillId="0" borderId="170" xfId="27958" applyFont="1" applyBorder="1" applyAlignment="1"/>
    <xf numFmtId="0" fontId="343" fillId="0" borderId="223" xfId="27957" applyFont="1" applyBorder="1" applyAlignment="1">
      <alignment horizontal="left" vertical="center"/>
    </xf>
    <xf numFmtId="171" fontId="343" fillId="0" borderId="224" xfId="27958" applyFont="1" applyBorder="1" applyAlignment="1"/>
    <xf numFmtId="0" fontId="65" fillId="0" borderId="102" xfId="27957" applyFont="1" applyBorder="1" applyAlignment="1">
      <alignment vertical="center"/>
    </xf>
    <xf numFmtId="0" fontId="169" fillId="0" borderId="102" xfId="27957" applyFont="1" applyBorder="1" applyAlignment="1">
      <alignment horizontal="center" vertical="center"/>
    </xf>
    <xf numFmtId="171" fontId="65" fillId="0" borderId="0" xfId="27958" applyFont="1" applyFill="1" applyBorder="1" applyAlignment="1">
      <alignment horizontal="center"/>
    </xf>
    <xf numFmtId="171" fontId="65" fillId="0" borderId="0" xfId="27958" applyFont="1" applyFill="1" applyBorder="1"/>
    <xf numFmtId="171" fontId="343" fillId="33" borderId="133" xfId="27958" applyFont="1" applyFill="1" applyBorder="1" applyAlignment="1">
      <alignment horizontal="center" vertical="center" wrapText="1"/>
    </xf>
    <xf numFmtId="171" fontId="343" fillId="0" borderId="0" xfId="27957" applyNumberFormat="1" applyFont="1"/>
    <xf numFmtId="0" fontId="65" fillId="130" borderId="127" xfId="27957" applyFont="1" applyFill="1" applyBorder="1"/>
    <xf numFmtId="38" fontId="65" fillId="130" borderId="133" xfId="27957" applyNumberFormat="1" applyFont="1" applyFill="1" applyBorder="1"/>
    <xf numFmtId="38" fontId="65" fillId="130" borderId="133" xfId="27957" applyNumberFormat="1" applyFont="1" applyFill="1" applyBorder="1" applyAlignment="1">
      <alignment horizontal="center" vertical="center"/>
    </xf>
    <xf numFmtId="171" fontId="65" fillId="130" borderId="133" xfId="27958" applyFont="1" applyFill="1" applyBorder="1" applyAlignment="1">
      <alignment horizontal="center" vertical="center" wrapText="1"/>
    </xf>
    <xf numFmtId="171" fontId="65" fillId="130" borderId="227" xfId="27958" applyFont="1" applyFill="1" applyBorder="1" applyAlignment="1">
      <alignment horizontal="center" vertical="center" wrapText="1"/>
    </xf>
    <xf numFmtId="171" fontId="65" fillId="107" borderId="350" xfId="27958" applyFont="1" applyFill="1" applyBorder="1" applyAlignment="1">
      <alignment horizontal="center" vertical="center"/>
    </xf>
    <xf numFmtId="273" fontId="65" fillId="127" borderId="127" xfId="27957" applyNumberFormat="1" applyFont="1" applyFill="1" applyBorder="1"/>
    <xf numFmtId="38" fontId="343" fillId="127" borderId="133" xfId="27957" applyNumberFormat="1" applyFont="1" applyFill="1" applyBorder="1" applyAlignment="1">
      <alignment horizontal="left"/>
    </xf>
    <xf numFmtId="179" fontId="343" fillId="127" borderId="133" xfId="27957" applyNumberFormat="1" applyFont="1" applyFill="1" applyBorder="1" applyAlignment="1">
      <alignment horizontal="center"/>
    </xf>
    <xf numFmtId="171" fontId="65" fillId="127" borderId="133" xfId="27958" applyFont="1" applyFill="1" applyBorder="1" applyAlignment="1">
      <alignment horizontal="center"/>
    </xf>
    <xf numFmtId="171" fontId="65" fillId="127" borderId="133" xfId="27958" applyFont="1" applyFill="1" applyBorder="1"/>
    <xf numFmtId="171" fontId="65" fillId="127" borderId="227" xfId="27958" applyFont="1" applyFill="1" applyBorder="1"/>
    <xf numFmtId="171" fontId="65" fillId="107" borderId="350" xfId="27958" applyFont="1" applyFill="1" applyBorder="1"/>
    <xf numFmtId="171" fontId="65" fillId="130" borderId="133" xfId="27958" applyFont="1" applyFill="1" applyBorder="1" applyAlignment="1">
      <alignment horizontal="center" vertical="center"/>
    </xf>
    <xf numFmtId="171" fontId="65" fillId="130" borderId="227" xfId="27958" applyFont="1" applyFill="1" applyBorder="1" applyAlignment="1">
      <alignment horizontal="center" vertical="center"/>
    </xf>
    <xf numFmtId="171" fontId="65" fillId="107" borderId="350" xfId="27958" applyFont="1" applyFill="1" applyBorder="1" applyAlignment="1">
      <alignment vertical="center"/>
    </xf>
    <xf numFmtId="0" fontId="343" fillId="130" borderId="127" xfId="27957" applyFont="1" applyFill="1" applyBorder="1"/>
    <xf numFmtId="38" fontId="343" fillId="130" borderId="133" xfId="27957" applyNumberFormat="1" applyFont="1" applyFill="1" applyBorder="1"/>
    <xf numFmtId="38" fontId="343" fillId="130" borderId="133" xfId="27957" applyNumberFormat="1" applyFont="1" applyFill="1" applyBorder="1" applyAlignment="1">
      <alignment horizontal="center" vertical="center"/>
    </xf>
    <xf numFmtId="171" fontId="343" fillId="130" borderId="133" xfId="27958" applyFont="1" applyFill="1" applyBorder="1" applyAlignment="1">
      <alignment horizontal="center" vertical="center"/>
    </xf>
    <xf numFmtId="171" fontId="343" fillId="130" borderId="227" xfId="27958" applyFont="1" applyFill="1" applyBorder="1" applyAlignment="1">
      <alignment horizontal="center" vertical="center"/>
    </xf>
    <xf numFmtId="171" fontId="343" fillId="107" borderId="350" xfId="27958" applyFont="1" applyFill="1" applyBorder="1" applyAlignment="1">
      <alignment vertical="center"/>
    </xf>
    <xf numFmtId="38" fontId="65" fillId="130" borderId="133" xfId="27957" applyNumberFormat="1" applyFont="1" applyFill="1" applyBorder="1" applyAlignment="1">
      <alignment vertical="center" wrapText="1"/>
    </xf>
    <xf numFmtId="0" fontId="343" fillId="33" borderId="127" xfId="27957" applyFont="1" applyFill="1" applyBorder="1"/>
    <xf numFmtId="38" fontId="343" fillId="33" borderId="133" xfId="27957" applyNumberFormat="1" applyFont="1" applyFill="1" applyBorder="1"/>
    <xf numFmtId="38" fontId="343" fillId="33" borderId="133" xfId="27957" applyNumberFormat="1" applyFont="1" applyFill="1" applyBorder="1" applyAlignment="1">
      <alignment horizontal="center" vertical="center"/>
    </xf>
    <xf numFmtId="171" fontId="65" fillId="33" borderId="133" xfId="27958" applyFont="1" applyFill="1" applyBorder="1" applyAlignment="1">
      <alignment horizontal="center" vertical="center" wrapText="1"/>
    </xf>
    <xf numFmtId="171" fontId="65" fillId="33" borderId="227" xfId="27958" applyFont="1" applyFill="1" applyBorder="1" applyAlignment="1">
      <alignment horizontal="center" vertical="center" wrapText="1"/>
    </xf>
    <xf numFmtId="0" fontId="343" fillId="127" borderId="133" xfId="27957" applyFont="1" applyFill="1" applyBorder="1" applyAlignment="1">
      <alignment horizontal="center"/>
    </xf>
    <xf numFmtId="171" fontId="343" fillId="107" borderId="350" xfId="27958" applyFont="1" applyFill="1" applyBorder="1" applyAlignment="1">
      <alignment horizontal="center" vertical="center"/>
    </xf>
    <xf numFmtId="0" fontId="65" fillId="127" borderId="127" xfId="27957" applyFont="1" applyFill="1" applyBorder="1"/>
    <xf numFmtId="171" fontId="343" fillId="127" borderId="133" xfId="27957" applyNumberFormat="1" applyFont="1" applyFill="1" applyBorder="1" applyAlignment="1">
      <alignment horizontal="center"/>
    </xf>
    <xf numFmtId="171" fontId="343" fillId="33" borderId="227" xfId="27958" applyFont="1" applyFill="1" applyBorder="1" applyAlignment="1">
      <alignment horizontal="center" vertical="center" wrapText="1"/>
    </xf>
    <xf numFmtId="38" fontId="65" fillId="127" borderId="133" xfId="27957" applyNumberFormat="1" applyFont="1" applyFill="1" applyBorder="1" applyAlignment="1">
      <alignment horizontal="center" vertical="center"/>
    </xf>
    <xf numFmtId="171" fontId="65" fillId="127" borderId="133" xfId="27958" applyFont="1" applyFill="1" applyBorder="1" applyAlignment="1">
      <alignment horizontal="center" vertical="center"/>
    </xf>
    <xf numFmtId="171" fontId="65" fillId="127" borderId="227" xfId="27958" applyFont="1" applyFill="1" applyBorder="1" applyAlignment="1">
      <alignment horizontal="center" vertical="center"/>
    </xf>
    <xf numFmtId="0" fontId="65" fillId="0" borderId="0" xfId="27957" applyFont="1" applyAlignment="1">
      <alignment horizontal="center" vertical="center"/>
    </xf>
    <xf numFmtId="171" fontId="65" fillId="0" borderId="226" xfId="27958" applyFont="1" applyFill="1" applyBorder="1" applyAlignment="1">
      <alignment horizontal="center"/>
    </xf>
    <xf numFmtId="171" fontId="65" fillId="0" borderId="0" xfId="27958" applyFont="1" applyFill="1" applyBorder="1" applyAlignment="1">
      <alignment horizontal="center" vertical="center"/>
    </xf>
    <xf numFmtId="9" fontId="65" fillId="0" borderId="0" xfId="27958" applyNumberFormat="1" applyFont="1" applyFill="1" applyBorder="1" applyAlignment="1">
      <alignment horizontal="center"/>
    </xf>
    <xf numFmtId="9" fontId="65" fillId="0" borderId="0" xfId="27960" applyFont="1" applyFill="1" applyBorder="1" applyAlignment="1">
      <alignment horizontal="center"/>
    </xf>
    <xf numFmtId="0" fontId="343" fillId="0" borderId="222" xfId="27957" applyFont="1" applyBorder="1"/>
    <xf numFmtId="38" fontId="343" fillId="0" borderId="102" xfId="27957" applyNumberFormat="1" applyFont="1" applyBorder="1" applyAlignment="1">
      <alignment horizontal="left"/>
    </xf>
    <xf numFmtId="171" fontId="343" fillId="0" borderId="102" xfId="27958" applyFont="1" applyFill="1" applyBorder="1" applyAlignment="1">
      <alignment horizontal="center" vertical="center"/>
    </xf>
    <xf numFmtId="0" fontId="343" fillId="0" borderId="123" xfId="27957" applyFont="1" applyBorder="1"/>
    <xf numFmtId="38" fontId="343" fillId="0" borderId="124" xfId="27957" applyNumberFormat="1" applyFont="1" applyBorder="1" applyAlignment="1">
      <alignment horizontal="left"/>
    </xf>
    <xf numFmtId="171" fontId="343" fillId="0" borderId="124" xfId="27958" applyFont="1" applyFill="1" applyBorder="1" applyAlignment="1">
      <alignment horizontal="center" vertical="center"/>
    </xf>
    <xf numFmtId="0" fontId="65" fillId="0" borderId="114" xfId="27957" applyFont="1" applyBorder="1"/>
    <xf numFmtId="38" fontId="65" fillId="0" borderId="0" xfId="27957" applyNumberFormat="1" applyFont="1" applyAlignment="1">
      <alignment horizontal="left"/>
    </xf>
    <xf numFmtId="38" fontId="65" fillId="0" borderId="0" xfId="27957" applyNumberFormat="1" applyFont="1" applyAlignment="1">
      <alignment horizontal="center" vertical="center"/>
    </xf>
    <xf numFmtId="171" fontId="65" fillId="131" borderId="0" xfId="27958" applyFont="1" applyFill="1" applyBorder="1" applyAlignment="1">
      <alignment horizontal="center" vertical="center"/>
    </xf>
    <xf numFmtId="171" fontId="65" fillId="131" borderId="226" xfId="27958" applyFont="1" applyFill="1" applyBorder="1" applyAlignment="1">
      <alignment horizontal="center" vertical="center"/>
    </xf>
    <xf numFmtId="171" fontId="65" fillId="126" borderId="0" xfId="27958" applyFont="1" applyFill="1" applyBorder="1" applyAlignment="1">
      <alignment horizontal="center" vertical="center"/>
    </xf>
    <xf numFmtId="171" fontId="343" fillId="129" borderId="0" xfId="27958" applyFont="1" applyFill="1" applyBorder="1" applyAlignment="1">
      <alignment horizontal="center" vertical="center"/>
    </xf>
    <xf numFmtId="171" fontId="65" fillId="0" borderId="0" xfId="27957" applyNumberFormat="1" applyFont="1"/>
    <xf numFmtId="0" fontId="65" fillId="131" borderId="114" xfId="27957" applyFont="1" applyFill="1" applyBorder="1"/>
    <xf numFmtId="38" fontId="65" fillId="131" borderId="0" xfId="27957" applyNumberFormat="1" applyFont="1" applyFill="1"/>
    <xf numFmtId="38" fontId="65" fillId="131" borderId="0" xfId="27957" applyNumberFormat="1" applyFont="1" applyFill="1" applyAlignment="1">
      <alignment horizontal="center" vertical="center"/>
    </xf>
    <xf numFmtId="171" fontId="343" fillId="107" borderId="115" xfId="27958" applyFont="1" applyFill="1" applyBorder="1" applyAlignment="1">
      <alignment horizontal="center" vertical="center"/>
    </xf>
    <xf numFmtId="0" fontId="343" fillId="132" borderId="114" xfId="27957" applyFont="1" applyFill="1" applyBorder="1"/>
    <xf numFmtId="38" fontId="343" fillId="132" borderId="0" xfId="27957" applyNumberFormat="1" applyFont="1" applyFill="1" applyAlignment="1">
      <alignment horizontal="left"/>
    </xf>
    <xf numFmtId="171" fontId="343" fillId="132" borderId="0" xfId="27957" applyNumberFormat="1" applyFont="1" applyFill="1" applyAlignment="1">
      <alignment horizontal="center"/>
    </xf>
    <xf numFmtId="171" fontId="65" fillId="132" borderId="0" xfId="27958" applyFont="1" applyFill="1" applyBorder="1" applyAlignment="1">
      <alignment horizontal="center" vertical="center"/>
    </xf>
    <xf numFmtId="171" fontId="65" fillId="132" borderId="226" xfId="27958" applyFont="1" applyFill="1" applyBorder="1" applyAlignment="1">
      <alignment horizontal="center" vertical="center"/>
    </xf>
    <xf numFmtId="171" fontId="65" fillId="133" borderId="0" xfId="27958" applyFont="1" applyFill="1" applyBorder="1" applyAlignment="1">
      <alignment horizontal="center" vertical="center"/>
    </xf>
    <xf numFmtId="171" fontId="343" fillId="107" borderId="115" xfId="27958" applyFont="1" applyFill="1" applyBorder="1" applyAlignment="1">
      <alignment vertical="center"/>
    </xf>
    <xf numFmtId="38" fontId="21" fillId="131" borderId="0" xfId="27957" applyNumberFormat="1" applyFill="1" applyAlignment="1">
      <alignment vertical="center" wrapText="1"/>
    </xf>
    <xf numFmtId="171" fontId="65" fillId="107" borderId="115" xfId="27958" applyFont="1" applyFill="1" applyBorder="1" applyAlignment="1">
      <alignment vertical="center"/>
    </xf>
    <xf numFmtId="0" fontId="343" fillId="131" borderId="114" xfId="27957" applyFont="1" applyFill="1" applyBorder="1"/>
    <xf numFmtId="38" fontId="64" fillId="131" borderId="0" xfId="27957" applyNumberFormat="1" applyFont="1" applyFill="1" applyAlignment="1">
      <alignment vertical="center" wrapText="1"/>
    </xf>
    <xf numFmtId="38" fontId="343" fillId="131" borderId="0" xfId="27957" applyNumberFormat="1" applyFont="1" applyFill="1" applyAlignment="1">
      <alignment horizontal="center" vertical="center"/>
    </xf>
    <xf numFmtId="171" fontId="343" fillId="131" borderId="0" xfId="27958" applyFont="1" applyFill="1" applyBorder="1" applyAlignment="1">
      <alignment horizontal="center" vertical="center"/>
    </xf>
    <xf numFmtId="171" fontId="343" fillId="126" borderId="0" xfId="27958" applyFont="1" applyFill="1" applyBorder="1" applyAlignment="1">
      <alignment horizontal="center" vertical="center"/>
    </xf>
    <xf numFmtId="38" fontId="64" fillId="131" borderId="0" xfId="27957" applyNumberFormat="1" applyFont="1" applyFill="1"/>
    <xf numFmtId="38" fontId="21" fillId="131" borderId="0" xfId="27957" applyNumberFormat="1" applyFill="1"/>
    <xf numFmtId="171" fontId="65" fillId="0" borderId="0" xfId="27958" applyFont="1" applyFill="1" applyBorder="1" applyAlignment="1">
      <alignment vertical="center"/>
    </xf>
    <xf numFmtId="38" fontId="21" fillId="131" borderId="0" xfId="27957" applyNumberFormat="1" applyFill="1" applyAlignment="1">
      <alignment horizontal="center" vertical="center"/>
    </xf>
    <xf numFmtId="171" fontId="65" fillId="107" borderId="115" xfId="27958" applyFont="1" applyFill="1" applyBorder="1" applyAlignment="1">
      <alignment horizontal="center" vertical="center"/>
    </xf>
    <xf numFmtId="38" fontId="64" fillId="131" borderId="0" xfId="27957" applyNumberFormat="1" applyFont="1" applyFill="1" applyAlignment="1">
      <alignment horizontal="center" vertical="center"/>
    </xf>
    <xf numFmtId="38" fontId="343" fillId="131" borderId="0" xfId="27957" applyNumberFormat="1" applyFont="1" applyFill="1"/>
    <xf numFmtId="0" fontId="343" fillId="129" borderId="114" xfId="27957" applyFont="1" applyFill="1" applyBorder="1"/>
    <xf numFmtId="38" fontId="343" fillId="129" borderId="0" xfId="27957" applyNumberFormat="1" applyFont="1" applyFill="1"/>
    <xf numFmtId="38" fontId="343" fillId="129" borderId="0" xfId="27957" applyNumberFormat="1" applyFont="1" applyFill="1" applyAlignment="1">
      <alignment horizontal="center" vertical="center"/>
    </xf>
    <xf numFmtId="171" fontId="65" fillId="129" borderId="0" xfId="27958" applyFont="1" applyFill="1" applyBorder="1" applyAlignment="1">
      <alignment horizontal="center" vertical="center"/>
    </xf>
    <xf numFmtId="171" fontId="65" fillId="129" borderId="226" xfId="27958" applyFont="1" applyFill="1" applyBorder="1" applyAlignment="1">
      <alignment horizontal="center" vertical="center"/>
    </xf>
    <xf numFmtId="171" fontId="65" fillId="128" borderId="0" xfId="27958" applyFont="1" applyFill="1" applyBorder="1" applyAlignment="1">
      <alignment horizontal="center" vertical="center"/>
    </xf>
    <xf numFmtId="171" fontId="343" fillId="131" borderId="226" xfId="27958" applyFont="1" applyFill="1" applyBorder="1" applyAlignment="1">
      <alignment horizontal="center" vertical="center"/>
    </xf>
    <xf numFmtId="0" fontId="338" fillId="132" borderId="114" xfId="27957" applyFont="1" applyFill="1" applyBorder="1"/>
    <xf numFmtId="38" fontId="339" fillId="132" borderId="0" xfId="27957" applyNumberFormat="1" applyFont="1" applyFill="1" applyAlignment="1">
      <alignment horizontal="left"/>
    </xf>
    <xf numFmtId="38" fontId="65" fillId="132" borderId="0" xfId="27957" applyNumberFormat="1" applyFont="1" applyFill="1" applyAlignment="1">
      <alignment horizontal="center" vertical="center"/>
    </xf>
    <xf numFmtId="171" fontId="65" fillId="131" borderId="0" xfId="27958" applyFont="1" applyFill="1" applyBorder="1"/>
    <xf numFmtId="0" fontId="65" fillId="131" borderId="0" xfId="27957" applyFont="1" applyFill="1"/>
    <xf numFmtId="38" fontId="343" fillId="132" borderId="0" xfId="27957" applyNumberFormat="1" applyFont="1" applyFill="1"/>
    <xf numFmtId="171" fontId="65" fillId="136" borderId="0" xfId="27958" applyFont="1" applyFill="1" applyBorder="1" applyAlignment="1">
      <alignment horizontal="center" vertical="center"/>
    </xf>
    <xf numFmtId="171" fontId="65" fillId="136" borderId="226" xfId="27958" applyFont="1" applyFill="1" applyBorder="1" applyAlignment="1">
      <alignment horizontal="center" vertical="center"/>
    </xf>
    <xf numFmtId="171" fontId="343" fillId="111" borderId="0" xfId="27958" applyFont="1" applyFill="1" applyBorder="1" applyAlignment="1">
      <alignment horizontal="center" vertical="center"/>
    </xf>
    <xf numFmtId="0" fontId="65" fillId="136" borderId="114" xfId="27957" applyFont="1" applyFill="1" applyBorder="1"/>
    <xf numFmtId="38" fontId="65" fillId="136" borderId="0" xfId="27957" applyNumberFormat="1" applyFont="1" applyFill="1"/>
    <xf numFmtId="38" fontId="65" fillId="136" borderId="0" xfId="27957" applyNumberFormat="1" applyFont="1" applyFill="1" applyAlignment="1">
      <alignment horizontal="center" vertical="center"/>
    </xf>
    <xf numFmtId="0" fontId="343" fillId="111" borderId="114" xfId="27957" applyFont="1" applyFill="1" applyBorder="1"/>
    <xf numFmtId="38" fontId="343" fillId="111" borderId="0" xfId="27957" applyNumberFormat="1" applyFont="1" applyFill="1" applyAlignment="1">
      <alignment horizontal="left"/>
    </xf>
    <xf numFmtId="171" fontId="343" fillId="111" borderId="0" xfId="27957" applyNumberFormat="1" applyFont="1" applyFill="1" applyAlignment="1">
      <alignment horizontal="center"/>
    </xf>
    <xf numFmtId="171" fontId="65" fillId="111" borderId="0" xfId="27958" applyFont="1" applyFill="1" applyBorder="1" applyAlignment="1">
      <alignment horizontal="center" vertical="center"/>
    </xf>
    <xf numFmtId="171" fontId="65" fillId="111" borderId="226" xfId="27958" applyFont="1" applyFill="1" applyBorder="1" applyAlignment="1">
      <alignment horizontal="center" vertical="center"/>
    </xf>
    <xf numFmtId="38" fontId="21" fillId="136" borderId="0" xfId="27957" applyNumberFormat="1" applyFill="1" applyAlignment="1">
      <alignment vertical="center" wrapText="1"/>
    </xf>
    <xf numFmtId="0" fontId="343" fillId="136" borderId="114" xfId="27957" applyFont="1" applyFill="1" applyBorder="1"/>
    <xf numFmtId="38" fontId="64" fillId="136" borderId="0" xfId="27957" applyNumberFormat="1" applyFont="1" applyFill="1" applyAlignment="1">
      <alignment vertical="center" wrapText="1"/>
    </xf>
    <xf numFmtId="38" fontId="343" fillId="136" borderId="0" xfId="27957" applyNumberFormat="1" applyFont="1" applyFill="1" applyAlignment="1">
      <alignment horizontal="center" vertical="center"/>
    </xf>
    <xf numFmtId="171" fontId="343" fillId="136" borderId="0" xfId="27958" applyFont="1" applyFill="1" applyBorder="1" applyAlignment="1">
      <alignment horizontal="center" vertical="center"/>
    </xf>
    <xf numFmtId="38" fontId="64" fillId="136" borderId="0" xfId="27957" applyNumberFormat="1" applyFont="1" applyFill="1"/>
    <xf numFmtId="38" fontId="21" fillId="136" borderId="0" xfId="27957" applyNumberFormat="1" applyFill="1"/>
    <xf numFmtId="38" fontId="21" fillId="136" borderId="0" xfId="27957" applyNumberFormat="1" applyFill="1" applyAlignment="1">
      <alignment horizontal="center" vertical="center"/>
    </xf>
    <xf numFmtId="38" fontId="64" fillId="136" borderId="0" xfId="27957" applyNumberFormat="1" applyFont="1" applyFill="1" applyAlignment="1">
      <alignment horizontal="center" vertical="center"/>
    </xf>
    <xf numFmtId="38" fontId="343" fillId="136" borderId="0" xfId="27957" applyNumberFormat="1" applyFont="1" applyFill="1"/>
    <xf numFmtId="38" fontId="343" fillId="111" borderId="0" xfId="27957" applyNumberFormat="1" applyFont="1" applyFill="1"/>
    <xf numFmtId="38" fontId="343" fillId="111" borderId="0" xfId="27957" applyNumberFormat="1" applyFont="1" applyFill="1" applyAlignment="1">
      <alignment horizontal="center" vertical="center"/>
    </xf>
    <xf numFmtId="171" fontId="343" fillId="136" borderId="226" xfId="27958" applyFont="1" applyFill="1" applyBorder="1" applyAlignment="1">
      <alignment horizontal="center" vertical="center"/>
    </xf>
    <xf numFmtId="0" fontId="338" fillId="111" borderId="114" xfId="27957" applyFont="1" applyFill="1" applyBorder="1"/>
    <xf numFmtId="38" fontId="339" fillId="111" borderId="0" xfId="27957" applyNumberFormat="1" applyFont="1" applyFill="1" applyAlignment="1">
      <alignment horizontal="left"/>
    </xf>
    <xf numFmtId="38" fontId="65" fillId="111" borderId="0" xfId="27957" applyNumberFormat="1" applyFont="1" applyFill="1" applyAlignment="1">
      <alignment horizontal="center" vertical="center"/>
    </xf>
    <xf numFmtId="3" fontId="169" fillId="0" borderId="0" xfId="27957" applyNumberFormat="1" applyFont="1" applyAlignment="1">
      <alignment horizontal="center" vertical="center"/>
    </xf>
    <xf numFmtId="0" fontId="65" fillId="0" borderId="230" xfId="27957" applyFont="1" applyBorder="1"/>
    <xf numFmtId="0" fontId="65" fillId="0" borderId="434" xfId="27957" applyFont="1" applyBorder="1"/>
    <xf numFmtId="0" fontId="169" fillId="0" borderId="434" xfId="27957" applyFont="1" applyBorder="1" applyAlignment="1">
      <alignment horizontal="center" vertical="center"/>
    </xf>
    <xf numFmtId="171" fontId="65" fillId="0" borderId="434" xfId="27958" applyFont="1" applyBorder="1"/>
    <xf numFmtId="171" fontId="65" fillId="0" borderId="231" xfId="27958" applyFont="1" applyBorder="1"/>
    <xf numFmtId="0" fontId="343" fillId="158" borderId="219" xfId="27957" applyFont="1" applyFill="1" applyBorder="1"/>
    <xf numFmtId="0" fontId="343" fillId="158" borderId="220" xfId="27957" applyFont="1" applyFill="1" applyBorder="1"/>
    <xf numFmtId="0" fontId="343" fillId="158" borderId="220" xfId="27957" applyFont="1" applyFill="1" applyBorder="1" applyAlignment="1">
      <alignment horizontal="center" vertical="center"/>
    </xf>
    <xf numFmtId="3" fontId="343" fillId="158" borderId="220" xfId="27958" applyNumberFormat="1" applyFont="1" applyFill="1" applyBorder="1" applyAlignment="1">
      <alignment horizontal="center" vertical="center"/>
    </xf>
    <xf numFmtId="3" fontId="343" fillId="158" borderId="225" xfId="27958" applyNumberFormat="1" applyFont="1" applyFill="1" applyBorder="1" applyAlignment="1">
      <alignment horizontal="center" vertical="center"/>
    </xf>
    <xf numFmtId="0" fontId="343" fillId="158" borderId="157" xfId="27957" applyFont="1" applyFill="1" applyBorder="1"/>
    <xf numFmtId="0" fontId="343" fillId="158" borderId="134" xfId="27957" applyFont="1" applyFill="1" applyBorder="1"/>
    <xf numFmtId="0" fontId="343" fillId="158" borderId="134" xfId="27957" applyFont="1" applyFill="1" applyBorder="1" applyAlignment="1">
      <alignment horizontal="center" vertical="center"/>
    </xf>
    <xf numFmtId="17" fontId="343" fillId="158" borderId="134" xfId="27959" applyNumberFormat="1" applyFont="1" applyFill="1" applyBorder="1" applyAlignment="1">
      <alignment horizontal="center"/>
    </xf>
    <xf numFmtId="171" fontId="65" fillId="158" borderId="228" xfId="27958" applyFont="1" applyFill="1" applyBorder="1" applyAlignment="1">
      <alignment horizontal="center" vertical="center"/>
    </xf>
    <xf numFmtId="171" fontId="343" fillId="158" borderId="350" xfId="27958" applyFont="1" applyFill="1" applyBorder="1" applyAlignment="1">
      <alignment horizontal="center" vertical="center"/>
    </xf>
    <xf numFmtId="0" fontId="343" fillId="158" borderId="127" xfId="27957" applyFont="1" applyFill="1" applyBorder="1"/>
    <xf numFmtId="38" fontId="343" fillId="158" borderId="133" xfId="27957" applyNumberFormat="1" applyFont="1" applyFill="1" applyBorder="1"/>
    <xf numFmtId="38" fontId="343" fillId="158" borderId="133" xfId="27957" applyNumberFormat="1" applyFont="1" applyFill="1" applyBorder="1" applyAlignment="1">
      <alignment horizontal="center" vertical="center"/>
    </xf>
    <xf numFmtId="171" fontId="343" fillId="158" borderId="133" xfId="27958" applyFont="1" applyFill="1" applyBorder="1" applyAlignment="1">
      <alignment horizontal="center" vertical="center" wrapText="1"/>
    </xf>
    <xf numFmtId="0" fontId="343" fillId="143" borderId="219" xfId="27957" applyFont="1" applyFill="1" applyBorder="1"/>
    <xf numFmtId="0" fontId="343" fillId="143" borderId="220" xfId="27957" applyFont="1" applyFill="1" applyBorder="1"/>
    <xf numFmtId="0" fontId="343" fillId="143" borderId="220" xfId="27957" applyFont="1" applyFill="1" applyBorder="1" applyAlignment="1">
      <alignment horizontal="center" vertical="center"/>
    </xf>
    <xf numFmtId="3" fontId="343" fillId="143" borderId="220" xfId="27958" applyNumberFormat="1" applyFont="1" applyFill="1" applyBorder="1" applyAlignment="1">
      <alignment horizontal="center" vertical="center"/>
    </xf>
    <xf numFmtId="3" fontId="343" fillId="143" borderId="225" xfId="27958" applyNumberFormat="1" applyFont="1" applyFill="1" applyBorder="1" applyAlignment="1">
      <alignment horizontal="center" vertical="center"/>
    </xf>
    <xf numFmtId="0" fontId="343" fillId="143" borderId="157" xfId="27957" applyFont="1" applyFill="1" applyBorder="1"/>
    <xf numFmtId="0" fontId="343" fillId="143" borderId="134" xfId="27957" applyFont="1" applyFill="1" applyBorder="1"/>
    <xf numFmtId="0" fontId="343" fillId="143" borderId="134" xfId="27957" applyFont="1" applyFill="1" applyBorder="1" applyAlignment="1">
      <alignment horizontal="center" vertical="center"/>
    </xf>
    <xf numFmtId="17" fontId="343" fillId="143" borderId="134" xfId="27959" applyNumberFormat="1" applyFont="1" applyFill="1" applyBorder="1" applyAlignment="1">
      <alignment horizontal="center"/>
    </xf>
    <xf numFmtId="171" fontId="65" fillId="143" borderId="115" xfId="27958" applyFont="1" applyFill="1" applyBorder="1" applyAlignment="1">
      <alignment vertical="center"/>
    </xf>
    <xf numFmtId="171" fontId="343" fillId="143" borderId="115" xfId="27958" applyFont="1" applyFill="1" applyBorder="1" applyAlignment="1">
      <alignment horizontal="center" vertical="center"/>
    </xf>
    <xf numFmtId="171" fontId="343" fillId="143" borderId="115" xfId="27958" applyFont="1" applyFill="1" applyBorder="1" applyAlignment="1">
      <alignment vertical="center"/>
    </xf>
    <xf numFmtId="0" fontId="343" fillId="143" borderId="114" xfId="27957" applyFont="1" applyFill="1" applyBorder="1"/>
    <xf numFmtId="38" fontId="343" fillId="143" borderId="0" xfId="27957" applyNumberFormat="1" applyFont="1" applyFill="1"/>
    <xf numFmtId="38" fontId="343" fillId="143" borderId="0" xfId="27957" applyNumberFormat="1" applyFont="1" applyFill="1" applyAlignment="1">
      <alignment horizontal="center" vertical="center"/>
    </xf>
    <xf numFmtId="171" fontId="343" fillId="143" borderId="0" xfId="27958" applyFont="1" applyFill="1" applyBorder="1" applyAlignment="1">
      <alignment horizontal="center" vertical="center"/>
    </xf>
    <xf numFmtId="0" fontId="220" fillId="169" borderId="219" xfId="27957" applyFont="1" applyFill="1" applyBorder="1"/>
    <xf numFmtId="0" fontId="220" fillId="169" borderId="220" xfId="27957" applyFont="1" applyFill="1" applyBorder="1"/>
    <xf numFmtId="0" fontId="220" fillId="169" borderId="220" xfId="27957" applyFont="1" applyFill="1" applyBorder="1" applyAlignment="1">
      <alignment horizontal="center" vertical="center"/>
    </xf>
    <xf numFmtId="3" fontId="220" fillId="169" borderId="220" xfId="27958" applyNumberFormat="1" applyFont="1" applyFill="1" applyBorder="1" applyAlignment="1">
      <alignment horizontal="center" vertical="center"/>
    </xf>
    <xf numFmtId="3" fontId="343" fillId="169" borderId="220" xfId="27958" applyNumberFormat="1" applyFont="1" applyFill="1" applyBorder="1" applyAlignment="1">
      <alignment horizontal="center" vertical="center"/>
    </xf>
    <xf numFmtId="3" fontId="343" fillId="169" borderId="225" xfId="27958" applyNumberFormat="1" applyFont="1" applyFill="1" applyBorder="1" applyAlignment="1">
      <alignment horizontal="center" vertical="center"/>
    </xf>
    <xf numFmtId="0" fontId="220" fillId="169" borderId="157" xfId="27957" applyFont="1" applyFill="1" applyBorder="1"/>
    <xf numFmtId="0" fontId="220" fillId="169" borderId="134" xfId="27957" applyFont="1" applyFill="1" applyBorder="1"/>
    <xf numFmtId="0" fontId="220" fillId="169" borderId="134" xfId="27957" applyFont="1" applyFill="1" applyBorder="1" applyAlignment="1">
      <alignment horizontal="center" vertical="center"/>
    </xf>
    <xf numFmtId="17" fontId="220" fillId="169" borderId="134" xfId="27959" applyNumberFormat="1" applyFont="1" applyFill="1" applyBorder="1" applyAlignment="1">
      <alignment horizontal="center"/>
    </xf>
    <xf numFmtId="17" fontId="343" fillId="169" borderId="134" xfId="27959" applyNumberFormat="1" applyFont="1" applyFill="1" applyBorder="1" applyAlignment="1">
      <alignment horizontal="center"/>
    </xf>
    <xf numFmtId="171" fontId="65" fillId="169" borderId="115" xfId="27958" applyFont="1" applyFill="1" applyBorder="1" applyAlignment="1">
      <alignment vertical="center"/>
    </xf>
    <xf numFmtId="171" fontId="343" fillId="169" borderId="115" xfId="27958" applyFont="1" applyFill="1" applyBorder="1" applyAlignment="1">
      <alignment horizontal="center" vertical="center"/>
    </xf>
    <xf numFmtId="171" fontId="343" fillId="169" borderId="115" xfId="27958" applyFont="1" applyFill="1" applyBorder="1" applyAlignment="1">
      <alignment vertical="center"/>
    </xf>
    <xf numFmtId="0" fontId="220" fillId="169" borderId="114" xfId="27957" applyFont="1" applyFill="1" applyBorder="1"/>
    <xf numFmtId="38" fontId="220" fillId="169" borderId="0" xfId="27957" applyNumberFormat="1" applyFont="1" applyFill="1"/>
    <xf numFmtId="38" fontId="220" fillId="169" borderId="0" xfId="27957" applyNumberFormat="1" applyFont="1" applyFill="1" applyAlignment="1">
      <alignment horizontal="center" vertical="center"/>
    </xf>
    <xf numFmtId="171" fontId="220" fillId="169" borderId="0" xfId="27958" applyFont="1" applyFill="1" applyBorder="1" applyAlignment="1">
      <alignment horizontal="center" vertical="center"/>
    </xf>
    <xf numFmtId="0" fontId="65" fillId="144" borderId="222" xfId="27957" applyFont="1" applyFill="1" applyBorder="1"/>
    <xf numFmtId="171" fontId="65" fillId="144" borderId="102" xfId="27958" applyFont="1" applyFill="1" applyBorder="1"/>
    <xf numFmtId="0" fontId="169" fillId="144" borderId="102" xfId="27957" applyFont="1" applyFill="1" applyBorder="1" applyAlignment="1">
      <alignment horizontal="center" vertical="center"/>
    </xf>
    <xf numFmtId="17" fontId="343" fillId="144" borderId="102" xfId="27959" applyNumberFormat="1" applyFont="1" applyFill="1" applyBorder="1" applyAlignment="1">
      <alignment horizontal="center"/>
    </xf>
    <xf numFmtId="0" fontId="65" fillId="144" borderId="114" xfId="27957" applyFont="1" applyFill="1" applyBorder="1"/>
    <xf numFmtId="0" fontId="417" fillId="144" borderId="0" xfId="27957" applyFont="1" applyFill="1"/>
    <xf numFmtId="0" fontId="169" fillId="144" borderId="0" xfId="27957" applyFont="1" applyFill="1" applyAlignment="1">
      <alignment horizontal="center" vertical="center"/>
    </xf>
    <xf numFmtId="171" fontId="343" fillId="144" borderId="133" xfId="27958" applyFont="1" applyFill="1" applyBorder="1"/>
    <xf numFmtId="171" fontId="65" fillId="144" borderId="133" xfId="27958" applyFont="1" applyFill="1" applyBorder="1"/>
    <xf numFmtId="0" fontId="65" fillId="144" borderId="123" xfId="27957" applyFont="1" applyFill="1" applyBorder="1"/>
    <xf numFmtId="0" fontId="65" fillId="144" borderId="124" xfId="27957" applyFont="1" applyFill="1" applyBorder="1"/>
    <xf numFmtId="0" fontId="169" fillId="144" borderId="124" xfId="27957" applyFont="1" applyFill="1" applyBorder="1" applyAlignment="1">
      <alignment horizontal="center" vertical="center"/>
    </xf>
    <xf numFmtId="9" fontId="343" fillId="144" borderId="124" xfId="22690" applyFont="1" applyFill="1" applyBorder="1"/>
    <xf numFmtId="171" fontId="65" fillId="144" borderId="124" xfId="27958" applyFont="1" applyFill="1" applyBorder="1"/>
    <xf numFmtId="171" fontId="343" fillId="169" borderId="0" xfId="27958" applyFont="1" applyFill="1" applyBorder="1" applyAlignment="1">
      <alignment horizontal="center" vertical="center"/>
    </xf>
    <xf numFmtId="171" fontId="65" fillId="0" borderId="226" xfId="27958" applyFont="1" applyFill="1" applyBorder="1" applyAlignment="1">
      <alignment horizontal="center" vertical="center"/>
    </xf>
    <xf numFmtId="17" fontId="343" fillId="144" borderId="113" xfId="27959" applyNumberFormat="1" applyFont="1" applyFill="1" applyBorder="1" applyAlignment="1">
      <alignment horizontal="center"/>
    </xf>
    <xf numFmtId="171" fontId="65" fillId="144" borderId="0" xfId="27958" applyFont="1" applyFill="1" applyBorder="1"/>
    <xf numFmtId="171" fontId="65" fillId="144" borderId="367" xfId="27958" applyFont="1" applyFill="1" applyBorder="1"/>
    <xf numFmtId="171" fontId="65" fillId="144" borderId="125" xfId="27958" applyFont="1" applyFill="1" applyBorder="1"/>
    <xf numFmtId="0" fontId="524" fillId="142" borderId="111" xfId="27957" applyFont="1" applyFill="1" applyBorder="1"/>
    <xf numFmtId="0" fontId="524" fillId="142" borderId="112" xfId="27957" applyFont="1" applyFill="1" applyBorder="1"/>
    <xf numFmtId="0" fontId="350" fillId="142" borderId="0" xfId="27957" applyFont="1" applyFill="1"/>
    <xf numFmtId="171" fontId="350" fillId="142" borderId="0" xfId="27958" applyFont="1" applyFill="1" applyBorder="1" applyAlignment="1">
      <alignment horizontal="center"/>
    </xf>
    <xf numFmtId="171" fontId="350" fillId="142" borderId="0" xfId="27958" applyFont="1" applyFill="1" applyBorder="1" applyAlignment="1"/>
    <xf numFmtId="171" fontId="21" fillId="142" borderId="52" xfId="27958" applyFont="1" applyFill="1" applyBorder="1"/>
    <xf numFmtId="0" fontId="525" fillId="142" borderId="0" xfId="27957" applyFont="1" applyFill="1"/>
    <xf numFmtId="0" fontId="525" fillId="142" borderId="52" xfId="27957" applyFont="1" applyFill="1" applyBorder="1"/>
    <xf numFmtId="0" fontId="343" fillId="0" borderId="218" xfId="27957" applyFont="1" applyBorder="1"/>
    <xf numFmtId="38" fontId="343" fillId="0" borderId="45" xfId="27957" applyNumberFormat="1" applyFont="1" applyBorder="1" applyAlignment="1">
      <alignment horizontal="left"/>
    </xf>
    <xf numFmtId="171" fontId="343" fillId="0" borderId="45" xfId="27958" applyFont="1" applyFill="1" applyBorder="1" applyAlignment="1">
      <alignment horizontal="center"/>
    </xf>
    <xf numFmtId="0" fontId="343" fillId="0" borderId="157" xfId="27957" applyFont="1" applyBorder="1"/>
    <xf numFmtId="38" fontId="343" fillId="0" borderId="134" xfId="27957" applyNumberFormat="1" applyFont="1" applyBorder="1" applyAlignment="1">
      <alignment horizontal="left"/>
    </xf>
    <xf numFmtId="171" fontId="343" fillId="0" borderId="134" xfId="27958" applyFont="1" applyFill="1" applyBorder="1" applyAlignment="1">
      <alignment horizontal="center"/>
    </xf>
    <xf numFmtId="0" fontId="0" fillId="0" borderId="365" xfId="0" applyBorder="1" applyAlignment="1">
      <alignment horizontal="center"/>
    </xf>
    <xf numFmtId="365" fontId="452" fillId="0" borderId="434" xfId="27948" applyNumberFormat="1" applyFont="1" applyFill="1" applyBorder="1" applyAlignment="1">
      <alignment vertical="center"/>
    </xf>
    <xf numFmtId="3" fontId="465" fillId="0" borderId="434" xfId="27947" applyNumberFormat="1" applyFont="1" applyBorder="1" applyAlignment="1">
      <alignment horizontal="center" vertical="center"/>
    </xf>
    <xf numFmtId="365" fontId="458" fillId="0" borderId="434" xfId="27948" applyNumberFormat="1" applyFont="1" applyFill="1" applyBorder="1" applyAlignment="1">
      <alignment horizontal="left" vertical="center"/>
    </xf>
    <xf numFmtId="0" fontId="458" fillId="0" borderId="434" xfId="27947" applyFont="1" applyBorder="1" applyAlignment="1">
      <alignment horizontal="center" vertical="center"/>
    </xf>
    <xf numFmtId="38" fontId="466" fillId="143" borderId="365" xfId="22752" applyNumberFormat="1" applyFont="1" applyFill="1" applyBorder="1" applyAlignment="1" applyProtection="1">
      <alignment horizontal="center" vertical="center"/>
    </xf>
    <xf numFmtId="38" fontId="466" fillId="169" borderId="365" xfId="22752" applyNumberFormat="1" applyFont="1" applyFill="1" applyBorder="1" applyAlignment="1" applyProtection="1">
      <alignment horizontal="center" vertical="center"/>
    </xf>
    <xf numFmtId="38" fontId="478" fillId="142" borderId="365" xfId="22752" applyNumberFormat="1" applyFont="1" applyFill="1" applyBorder="1" applyAlignment="1" applyProtection="1">
      <alignment horizontal="center" vertical="top" wrapText="1"/>
    </xf>
    <xf numFmtId="38" fontId="466" fillId="143" borderId="365" xfId="22752" applyNumberFormat="1" applyFont="1" applyFill="1" applyBorder="1" applyAlignment="1" applyProtection="1">
      <alignment horizontal="center" vertical="top" wrapText="1"/>
    </xf>
    <xf numFmtId="38" fontId="466" fillId="169" borderId="365" xfId="22752" applyNumberFormat="1" applyFont="1" applyFill="1" applyBorder="1" applyAlignment="1" applyProtection="1">
      <alignment horizontal="center" vertical="top" wrapText="1"/>
    </xf>
    <xf numFmtId="38" fontId="473" fillId="158" borderId="365" xfId="22751" applyNumberFormat="1" applyFont="1" applyFill="1" applyBorder="1" applyAlignment="1">
      <alignment horizontal="center" vertical="center"/>
    </xf>
    <xf numFmtId="38" fontId="473" fillId="158" borderId="365" xfId="22751" applyNumberFormat="1" applyFont="1" applyFill="1" applyBorder="1" applyAlignment="1">
      <alignment horizontal="justify" vertical="center" wrapText="1"/>
    </xf>
    <xf numFmtId="38" fontId="474" fillId="158" borderId="365" xfId="22752" applyNumberFormat="1" applyFont="1" applyFill="1" applyBorder="1" applyAlignment="1" applyProtection="1">
      <alignment horizontal="right" vertical="center"/>
    </xf>
    <xf numFmtId="38" fontId="479" fillId="187" borderId="365" xfId="22752" applyNumberFormat="1" applyFont="1" applyFill="1" applyBorder="1" applyAlignment="1" applyProtection="1">
      <alignment horizontal="right" vertical="center"/>
    </xf>
    <xf numFmtId="38" fontId="474" fillId="0" borderId="365" xfId="22751" applyNumberFormat="1" applyFont="1" applyBorder="1" applyAlignment="1">
      <alignment horizontal="center" vertical="center"/>
    </xf>
    <xf numFmtId="38" fontId="474" fillId="0" borderId="365" xfId="22751" applyNumberFormat="1" applyFont="1" applyBorder="1" applyAlignment="1">
      <alignment horizontal="justify" vertical="center" wrapText="1"/>
    </xf>
    <xf numFmtId="38" fontId="474" fillId="0" borderId="365" xfId="22752" applyNumberFormat="1" applyFont="1" applyFill="1" applyBorder="1" applyAlignment="1" applyProtection="1">
      <alignment horizontal="right" vertical="center"/>
    </xf>
    <xf numFmtId="38" fontId="481" fillId="0" borderId="365" xfId="22752" applyNumberFormat="1" applyFont="1" applyFill="1" applyBorder="1" applyAlignment="1" applyProtection="1">
      <alignment horizontal="right" vertical="center"/>
    </xf>
    <xf numFmtId="38" fontId="473" fillId="158" borderId="365" xfId="22751" quotePrefix="1" applyNumberFormat="1" applyFont="1" applyFill="1" applyBorder="1" applyAlignment="1">
      <alignment horizontal="center" vertical="center"/>
    </xf>
    <xf numFmtId="38" fontId="473" fillId="158" borderId="365" xfId="22751" applyNumberFormat="1" applyFont="1" applyFill="1" applyBorder="1" applyAlignment="1">
      <alignment horizontal="left" vertical="center" wrapText="1"/>
    </xf>
    <xf numFmtId="38" fontId="473" fillId="158" borderId="365" xfId="22752" applyNumberFormat="1" applyFont="1" applyFill="1" applyBorder="1" applyAlignment="1" applyProtection="1">
      <alignment horizontal="right" vertical="center"/>
    </xf>
    <xf numFmtId="38" fontId="475" fillId="187" borderId="365" xfId="22752" applyNumberFormat="1" applyFont="1" applyFill="1" applyBorder="1" applyAlignment="1" applyProtection="1">
      <alignment horizontal="right" vertical="center"/>
    </xf>
    <xf numFmtId="38" fontId="478" fillId="144" borderId="365" xfId="22751" applyNumberFormat="1" applyFont="1" applyFill="1" applyBorder="1" applyAlignment="1">
      <alignment horizontal="center" vertical="center"/>
    </xf>
    <xf numFmtId="38" fontId="478" fillId="144" borderId="365" xfId="22751" applyNumberFormat="1" applyFont="1" applyFill="1" applyBorder="1" applyAlignment="1">
      <alignment horizontal="justify" vertical="center" wrapText="1"/>
    </xf>
    <xf numFmtId="38" fontId="481" fillId="144" borderId="365" xfId="22752" applyNumberFormat="1" applyFont="1" applyFill="1" applyBorder="1" applyAlignment="1" applyProtection="1">
      <alignment horizontal="right" vertical="center"/>
    </xf>
    <xf numFmtId="38" fontId="478" fillId="144" borderId="365" xfId="22751" quotePrefix="1" applyNumberFormat="1" applyFont="1" applyFill="1" applyBorder="1" applyAlignment="1">
      <alignment horizontal="center" vertical="center"/>
    </xf>
    <xf numFmtId="38" fontId="478" fillId="144" borderId="365" xfId="22751" applyNumberFormat="1" applyFont="1" applyFill="1" applyBorder="1" applyAlignment="1">
      <alignment horizontal="left" vertical="center" wrapText="1"/>
    </xf>
    <xf numFmtId="38" fontId="478" fillId="144" borderId="365" xfId="22752" applyNumberFormat="1" applyFont="1" applyFill="1" applyBorder="1" applyAlignment="1" applyProtection="1">
      <alignment horizontal="right" vertical="center"/>
    </xf>
    <xf numFmtId="38" fontId="473" fillId="0" borderId="365" xfId="22751" applyNumberFormat="1" applyFont="1" applyBorder="1" applyAlignment="1">
      <alignment horizontal="center" vertical="center"/>
    </xf>
    <xf numFmtId="38" fontId="473" fillId="0" borderId="365" xfId="22751" applyNumberFormat="1" applyFont="1" applyBorder="1" applyAlignment="1">
      <alignment horizontal="justify" vertical="center" wrapText="1"/>
    </xf>
    <xf numFmtId="38" fontId="474" fillId="0" borderId="365" xfId="22752" applyNumberFormat="1" applyFont="1" applyBorder="1" applyAlignment="1" applyProtection="1">
      <alignment horizontal="right" vertical="center"/>
    </xf>
    <xf numFmtId="38" fontId="478" fillId="0" borderId="365" xfId="22752" applyNumberFormat="1" applyFont="1" applyFill="1" applyBorder="1" applyAlignment="1" applyProtection="1">
      <alignment horizontal="right" vertical="center"/>
    </xf>
    <xf numFmtId="38" fontId="478" fillId="169" borderId="365" xfId="22751" quotePrefix="1" applyNumberFormat="1" applyFont="1" applyFill="1" applyBorder="1" applyAlignment="1">
      <alignment horizontal="center" vertical="center"/>
    </xf>
    <xf numFmtId="38" fontId="478" fillId="169" borderId="365" xfId="22751" applyNumberFormat="1" applyFont="1" applyFill="1" applyBorder="1" applyAlignment="1">
      <alignment horizontal="left" vertical="center" wrapText="1"/>
    </xf>
    <xf numFmtId="38" fontId="478" fillId="169" borderId="365" xfId="22752" applyNumberFormat="1" applyFont="1" applyFill="1" applyBorder="1" applyAlignment="1" applyProtection="1">
      <alignment horizontal="right" vertical="center"/>
    </xf>
    <xf numFmtId="38" fontId="473" fillId="143" borderId="365" xfId="22751" applyNumberFormat="1" applyFont="1" applyFill="1" applyBorder="1" applyAlignment="1">
      <alignment horizontal="center" vertical="center"/>
    </xf>
    <xf numFmtId="38" fontId="473" fillId="143" borderId="365" xfId="22751" applyNumberFormat="1" applyFont="1" applyFill="1" applyBorder="1" applyAlignment="1">
      <alignment horizontal="justify" vertical="center" wrapText="1"/>
    </xf>
    <xf numFmtId="38" fontId="473" fillId="143" borderId="365" xfId="22752" applyNumberFormat="1" applyFont="1" applyFill="1" applyBorder="1" applyAlignment="1" applyProtection="1">
      <alignment horizontal="right" vertical="center"/>
    </xf>
    <xf numFmtId="38" fontId="458" fillId="0" borderId="223" xfId="22751" applyNumberFormat="1" applyFont="1" applyBorder="1" applyAlignment="1">
      <alignment horizontal="center" vertical="center"/>
    </xf>
    <xf numFmtId="38" fontId="458" fillId="0" borderId="183" xfId="22751" applyNumberFormat="1" applyFont="1" applyBorder="1" applyAlignment="1">
      <alignment vertical="center" wrapText="1"/>
    </xf>
    <xf numFmtId="38" fontId="460" fillId="0" borderId="183" xfId="22751" applyNumberFormat="1" applyFont="1" applyBorder="1" applyAlignment="1">
      <alignment horizontal="right" vertical="center" wrapText="1"/>
    </xf>
    <xf numFmtId="38" fontId="21" fillId="0" borderId="0" xfId="22752" applyNumberFormat="1" applyFont="1" applyAlignment="1" applyProtection="1">
      <alignment vertical="center"/>
    </xf>
    <xf numFmtId="43" fontId="21" fillId="0" borderId="0" xfId="19286" applyFont="1" applyAlignment="1" applyProtection="1">
      <alignment vertical="center"/>
    </xf>
    <xf numFmtId="38" fontId="362" fillId="0" borderId="233" xfId="22752" applyNumberFormat="1" applyFont="1" applyFill="1" applyBorder="1" applyAlignment="1" applyProtection="1">
      <alignment horizontal="center" vertical="center"/>
    </xf>
    <xf numFmtId="38" fontId="220" fillId="143" borderId="365" xfId="22752" applyNumberFormat="1" applyFont="1" applyFill="1" applyBorder="1" applyAlignment="1" applyProtection="1">
      <alignment horizontal="center" vertical="center"/>
    </xf>
    <xf numFmtId="38" fontId="220" fillId="169" borderId="365" xfId="22752" applyNumberFormat="1" applyFont="1" applyFill="1" applyBorder="1" applyAlignment="1" applyProtection="1">
      <alignment horizontal="center" vertical="center"/>
    </xf>
    <xf numFmtId="38" fontId="220" fillId="142" borderId="365" xfId="22752" applyNumberFormat="1" applyFont="1" applyFill="1" applyBorder="1" applyAlignment="1" applyProtection="1">
      <alignment horizontal="center" vertical="top" wrapText="1"/>
    </xf>
    <xf numFmtId="43" fontId="21" fillId="0" borderId="349" xfId="19286" applyFont="1" applyBorder="1" applyAlignment="1" applyProtection="1">
      <alignment vertical="center"/>
    </xf>
    <xf numFmtId="43" fontId="21" fillId="0" borderId="350" xfId="19286" applyFont="1" applyBorder="1" applyAlignment="1" applyProtection="1">
      <alignment vertical="center"/>
    </xf>
    <xf numFmtId="43" fontId="21" fillId="33" borderId="104" xfId="19286" applyFont="1" applyFill="1" applyBorder="1" applyAlignment="1" applyProtection="1">
      <alignment vertical="center"/>
    </xf>
    <xf numFmtId="43" fontId="21" fillId="33" borderId="115" xfId="19286" applyFont="1" applyFill="1" applyBorder="1" applyAlignment="1" applyProtection="1">
      <alignment vertical="center"/>
    </xf>
    <xf numFmtId="0" fontId="63" fillId="0" borderId="365" xfId="22751" applyFont="1" applyBorder="1" applyAlignment="1">
      <alignment horizontal="center" vertical="center"/>
    </xf>
    <xf numFmtId="38" fontId="63" fillId="0" borderId="365" xfId="22751" applyNumberFormat="1" applyFont="1" applyBorder="1" applyAlignment="1">
      <alignment horizontal="left" vertical="center" wrapText="1" indent="5"/>
    </xf>
    <xf numFmtId="38" fontId="63" fillId="34" borderId="365" xfId="22752" applyNumberFormat="1" applyFont="1" applyFill="1" applyBorder="1" applyAlignment="1" applyProtection="1">
      <alignment horizontal="right" vertical="center"/>
    </xf>
    <xf numFmtId="38" fontId="63" fillId="0" borderId="365" xfId="22752" applyNumberFormat="1" applyFont="1" applyBorder="1" applyAlignment="1" applyProtection="1">
      <alignment horizontal="right" vertical="center"/>
    </xf>
    <xf numFmtId="43" fontId="21" fillId="0" borderId="104" xfId="19286" applyFont="1" applyBorder="1" applyAlignment="1" applyProtection="1">
      <alignment vertical="center"/>
    </xf>
    <xf numFmtId="43" fontId="21" fillId="0" borderId="115" xfId="19286" applyFont="1" applyBorder="1" applyAlignment="1" applyProtection="1">
      <alignment vertical="center"/>
    </xf>
    <xf numFmtId="234" fontId="63" fillId="0" borderId="365" xfId="22751" applyNumberFormat="1" applyFont="1" applyBorder="1" applyAlignment="1">
      <alignment horizontal="center" vertical="center"/>
    </xf>
    <xf numFmtId="38" fontId="63" fillId="0" borderId="365" xfId="22751" applyNumberFormat="1" applyFont="1" applyBorder="1" applyAlignment="1">
      <alignment horizontal="left" vertical="center"/>
    </xf>
    <xf numFmtId="43" fontId="21" fillId="33" borderId="50" xfId="19286" applyFont="1" applyFill="1" applyBorder="1" applyAlignment="1" applyProtection="1">
      <alignment vertical="center"/>
    </xf>
    <xf numFmtId="43" fontId="21" fillId="33" borderId="51" xfId="19286" applyFont="1" applyFill="1" applyBorder="1" applyAlignment="1" applyProtection="1">
      <alignment vertical="center"/>
    </xf>
    <xf numFmtId="38" fontId="63" fillId="34" borderId="365" xfId="22751" applyNumberFormat="1" applyFont="1" applyFill="1" applyBorder="1" applyAlignment="1">
      <alignment horizontal="center" vertical="center"/>
    </xf>
    <xf numFmtId="38" fontId="63" fillId="34" borderId="365" xfId="22751" applyNumberFormat="1" applyFont="1" applyFill="1" applyBorder="1" applyAlignment="1">
      <alignment horizontal="left" vertical="center" indent="5"/>
    </xf>
    <xf numFmtId="43" fontId="21" fillId="0" borderId="167" xfId="19286" applyFont="1" applyBorder="1" applyAlignment="1" applyProtection="1">
      <alignment vertical="center"/>
    </xf>
    <xf numFmtId="43" fontId="21" fillId="0" borderId="172" xfId="19286" applyFont="1" applyBorder="1" applyAlignment="1" applyProtection="1">
      <alignment vertical="center"/>
    </xf>
    <xf numFmtId="38" fontId="350" fillId="158" borderId="365" xfId="22751" applyNumberFormat="1" applyFont="1" applyFill="1" applyBorder="1" applyAlignment="1">
      <alignment horizontal="center" vertical="center"/>
    </xf>
    <xf numFmtId="38" fontId="350" fillId="158" borderId="445" xfId="22751" applyNumberFormat="1" applyFont="1" applyFill="1" applyBorder="1" applyAlignment="1">
      <alignment horizontal="center" vertical="center"/>
    </xf>
    <xf numFmtId="38" fontId="350" fillId="158" borderId="445" xfId="22751" applyNumberFormat="1" applyFont="1" applyFill="1" applyBorder="1" applyAlignment="1">
      <alignment horizontal="justify" vertical="center" wrapText="1"/>
    </xf>
    <xf numFmtId="38" fontId="350" fillId="158" borderId="445" xfId="22752" applyNumberFormat="1" applyFont="1" applyFill="1" applyBorder="1" applyAlignment="1" applyProtection="1">
      <alignment horizontal="right" vertical="center"/>
    </xf>
    <xf numFmtId="38" fontId="340" fillId="187" borderId="445" xfId="22752" applyNumberFormat="1" applyFont="1" applyFill="1" applyBorder="1" applyAlignment="1" applyProtection="1">
      <alignment horizontal="right" vertical="center"/>
    </xf>
    <xf numFmtId="38" fontId="350" fillId="158" borderId="365" xfId="22751" applyNumberFormat="1" applyFont="1" applyFill="1" applyBorder="1" applyAlignment="1">
      <alignment horizontal="justify" vertical="center" wrapText="1"/>
    </xf>
    <xf numFmtId="38" fontId="63" fillId="158" borderId="365" xfId="22752" applyNumberFormat="1" applyFont="1" applyFill="1" applyBorder="1" applyAlignment="1" applyProtection="1">
      <alignment horizontal="right" vertical="center"/>
    </xf>
    <xf numFmtId="43" fontId="21" fillId="33" borderId="349" xfId="19286" applyFont="1" applyFill="1" applyBorder="1" applyAlignment="1" applyProtection="1">
      <alignment vertical="center"/>
    </xf>
    <xf numFmtId="43" fontId="21" fillId="33" borderId="350" xfId="19286" applyFont="1" applyFill="1" applyBorder="1" applyAlignment="1" applyProtection="1">
      <alignment vertical="center"/>
    </xf>
    <xf numFmtId="38" fontId="45" fillId="33" borderId="351" xfId="22751" applyNumberFormat="1" applyFill="1" applyBorder="1" applyAlignment="1">
      <alignment vertical="center"/>
    </xf>
    <xf numFmtId="38" fontId="63" fillId="167" borderId="365" xfId="22751" applyNumberFormat="1" applyFont="1" applyFill="1" applyBorder="1" applyAlignment="1">
      <alignment horizontal="center" vertical="center"/>
    </xf>
    <xf numFmtId="38" fontId="350" fillId="167" borderId="365" xfId="22751" applyNumberFormat="1" applyFont="1" applyFill="1" applyBorder="1" applyAlignment="1">
      <alignment horizontal="right" vertical="center" indent="3"/>
    </xf>
    <xf numFmtId="38" fontId="63" fillId="167" borderId="365" xfId="22751" applyNumberFormat="1" applyFont="1" applyFill="1" applyBorder="1" applyAlignment="1">
      <alignment horizontal="left" vertical="center" indent="3"/>
    </xf>
    <xf numFmtId="38" fontId="63" fillId="167" borderId="365" xfId="22752" applyNumberFormat="1" applyFont="1" applyFill="1" applyBorder="1" applyAlignment="1" applyProtection="1">
      <alignment horizontal="right" vertical="center"/>
    </xf>
    <xf numFmtId="38" fontId="350" fillId="167" borderId="365" xfId="22752" applyNumberFormat="1" applyFont="1" applyFill="1" applyBorder="1" applyAlignment="1" applyProtection="1">
      <alignment horizontal="right" vertical="center"/>
    </xf>
    <xf numFmtId="40" fontId="63" fillId="157" borderId="365" xfId="22752" applyNumberFormat="1" applyFont="1" applyFill="1" applyBorder="1" applyAlignment="1" applyProtection="1">
      <alignment horizontal="right" vertical="center"/>
    </xf>
    <xf numFmtId="38" fontId="423" fillId="0" borderId="365" xfId="22751" applyNumberFormat="1" applyFont="1" applyBorder="1" applyAlignment="1">
      <alignment horizontal="left" vertical="center" indent="3"/>
    </xf>
    <xf numFmtId="234" fontId="350" fillId="158" borderId="445" xfId="22751" applyNumberFormat="1" applyFont="1" applyFill="1" applyBorder="1" applyAlignment="1">
      <alignment horizontal="center" vertical="center"/>
    </xf>
    <xf numFmtId="38" fontId="350" fillId="0" borderId="365" xfId="22751" applyNumberFormat="1" applyFont="1" applyBorder="1" applyAlignment="1">
      <alignment horizontal="center" vertical="center"/>
    </xf>
    <xf numFmtId="38" fontId="350" fillId="0" borderId="365" xfId="22751" applyNumberFormat="1" applyFont="1" applyBorder="1" applyAlignment="1">
      <alignment horizontal="left" vertical="center" indent="3"/>
    </xf>
    <xf numFmtId="38" fontId="350" fillId="157" borderId="365" xfId="22752" applyNumberFormat="1" applyFont="1" applyFill="1" applyBorder="1" applyAlignment="1" applyProtection="1">
      <alignment horizontal="right" vertical="center"/>
    </xf>
    <xf numFmtId="38" fontId="350" fillId="0" borderId="365" xfId="22752" applyNumberFormat="1" applyFont="1" applyFill="1" applyBorder="1" applyAlignment="1" applyProtection="1">
      <alignment horizontal="right" vertical="center"/>
    </xf>
    <xf numFmtId="43" fontId="21" fillId="0" borderId="349" xfId="19286" applyFont="1" applyFill="1" applyBorder="1" applyAlignment="1" applyProtection="1">
      <alignment vertical="center"/>
    </xf>
    <xf numFmtId="43" fontId="21" fillId="0" borderId="350" xfId="19286" applyFont="1" applyFill="1" applyBorder="1" applyAlignment="1" applyProtection="1">
      <alignment vertical="center"/>
    </xf>
    <xf numFmtId="43" fontId="64" fillId="33" borderId="349" xfId="19286" applyFont="1" applyFill="1" applyBorder="1" applyAlignment="1" applyProtection="1">
      <alignment vertical="center"/>
    </xf>
    <xf numFmtId="43" fontId="64" fillId="33" borderId="350" xfId="19286" applyFont="1" applyFill="1" applyBorder="1" applyAlignment="1" applyProtection="1">
      <alignment vertical="center"/>
    </xf>
    <xf numFmtId="38" fontId="64" fillId="33" borderId="351" xfId="22751" applyNumberFormat="1" applyFont="1" applyFill="1" applyBorder="1" applyAlignment="1">
      <alignment vertical="center"/>
    </xf>
    <xf numFmtId="234" fontId="350" fillId="168" borderId="365" xfId="22751" applyNumberFormat="1" applyFont="1" applyFill="1" applyBorder="1" applyAlignment="1">
      <alignment horizontal="center" vertical="center"/>
    </xf>
    <xf numFmtId="38" fontId="350" fillId="168" borderId="365" xfId="22751" applyNumberFormat="1" applyFont="1" applyFill="1" applyBorder="1" applyAlignment="1">
      <alignment horizontal="left" vertical="center" indent="2"/>
    </xf>
    <xf numFmtId="38" fontId="350" fillId="168" borderId="365" xfId="22752" applyNumberFormat="1" applyFont="1" applyFill="1" applyBorder="1" applyAlignment="1" applyProtection="1">
      <alignment horizontal="right" vertical="center"/>
    </xf>
    <xf numFmtId="38" fontId="350" fillId="168" borderId="445" xfId="22751" applyNumberFormat="1" applyFont="1" applyFill="1" applyBorder="1" applyAlignment="1">
      <alignment horizontal="center" vertical="center"/>
    </xf>
    <xf numFmtId="38" fontId="350" fillId="168" borderId="445" xfId="22751" applyNumberFormat="1" applyFont="1" applyFill="1" applyBorder="1" applyAlignment="1">
      <alignment horizontal="justify" vertical="center" wrapText="1"/>
    </xf>
    <xf numFmtId="38" fontId="350" fillId="168" borderId="445" xfId="22752" applyNumberFormat="1" applyFont="1" applyFill="1" applyBorder="1" applyAlignment="1" applyProtection="1">
      <alignment horizontal="right" vertical="center"/>
    </xf>
    <xf numFmtId="38" fontId="350" fillId="168" borderId="365" xfId="22751" applyNumberFormat="1" applyFont="1" applyFill="1" applyBorder="1" applyAlignment="1">
      <alignment horizontal="center" vertical="center"/>
    </xf>
    <xf numFmtId="38" fontId="63" fillId="168" borderId="365" xfId="22751" applyNumberFormat="1" applyFont="1" applyFill="1" applyBorder="1" applyAlignment="1">
      <alignment horizontal="center" vertical="center"/>
    </xf>
    <xf numFmtId="38" fontId="350" fillId="168" borderId="365" xfId="22751" applyNumberFormat="1" applyFont="1" applyFill="1" applyBorder="1" applyAlignment="1">
      <alignment horizontal="right" vertical="center" indent="3"/>
    </xf>
    <xf numFmtId="38" fontId="63" fillId="168" borderId="365" xfId="22751" applyNumberFormat="1" applyFont="1" applyFill="1" applyBorder="1" applyAlignment="1">
      <alignment horizontal="left" vertical="center" indent="3"/>
    </xf>
    <xf numFmtId="38" fontId="350" fillId="158" borderId="445" xfId="22751" applyNumberFormat="1" applyFont="1" applyFill="1" applyBorder="1" applyAlignment="1">
      <alignment horizontal="left" vertical="center" wrapText="1"/>
    </xf>
    <xf numFmtId="38" fontId="445" fillId="144" borderId="365" xfId="22751" applyNumberFormat="1" applyFont="1" applyFill="1" applyBorder="1" applyAlignment="1">
      <alignment horizontal="center" vertical="center"/>
    </xf>
    <xf numFmtId="38" fontId="445" fillId="144" borderId="365" xfId="22751" applyNumberFormat="1" applyFont="1" applyFill="1" applyBorder="1" applyAlignment="1">
      <alignment horizontal="justify" vertical="center" wrapText="1"/>
    </xf>
    <xf numFmtId="38" fontId="446" fillId="144" borderId="365" xfId="22752" applyNumberFormat="1" applyFont="1" applyFill="1" applyBorder="1" applyAlignment="1" applyProtection="1">
      <alignment horizontal="right" vertical="center"/>
    </xf>
    <xf numFmtId="38" fontId="346" fillId="167" borderId="365" xfId="22751" applyNumberFormat="1" applyFont="1" applyFill="1" applyBorder="1" applyAlignment="1">
      <alignment horizontal="center" vertical="center"/>
    </xf>
    <xf numFmtId="38" fontId="340" fillId="167" borderId="365" xfId="22751" applyNumberFormat="1" applyFont="1" applyFill="1" applyBorder="1" applyAlignment="1">
      <alignment horizontal="right" vertical="center" indent="3"/>
    </xf>
    <xf numFmtId="38" fontId="346" fillId="167" borderId="365" xfId="22751" applyNumberFormat="1" applyFont="1" applyFill="1" applyBorder="1" applyAlignment="1">
      <alignment horizontal="left" vertical="center" indent="3"/>
    </xf>
    <xf numFmtId="38" fontId="346" fillId="167" borderId="365" xfId="22752" applyNumberFormat="1" applyFont="1" applyFill="1" applyBorder="1" applyAlignment="1" applyProtection="1">
      <alignment horizontal="right" vertical="center"/>
    </xf>
    <xf numFmtId="38" fontId="340" fillId="167" borderId="365" xfId="22752" applyNumberFormat="1" applyFont="1" applyFill="1" applyBorder="1" applyAlignment="1" applyProtection="1">
      <alignment horizontal="right" vertical="center"/>
    </xf>
    <xf numFmtId="234" fontId="445" fillId="144" borderId="445" xfId="22751" applyNumberFormat="1" applyFont="1" applyFill="1" applyBorder="1" applyAlignment="1">
      <alignment horizontal="center" vertical="center"/>
    </xf>
    <xf numFmtId="38" fontId="445" fillId="144" borderId="445" xfId="22751" applyNumberFormat="1" applyFont="1" applyFill="1" applyBorder="1" applyAlignment="1">
      <alignment horizontal="center" vertical="center"/>
    </xf>
    <xf numFmtId="38" fontId="445" fillId="144" borderId="445" xfId="22751" applyNumberFormat="1" applyFont="1" applyFill="1" applyBorder="1" applyAlignment="1">
      <alignment horizontal="justify" vertical="center" wrapText="1"/>
    </xf>
    <xf numFmtId="38" fontId="445" fillId="144" borderId="445" xfId="22752" applyNumberFormat="1" applyFont="1" applyFill="1" applyBorder="1" applyAlignment="1" applyProtection="1">
      <alignment horizontal="right" vertical="center"/>
    </xf>
    <xf numFmtId="38" fontId="445" fillId="144" borderId="445" xfId="22751" applyNumberFormat="1" applyFont="1" applyFill="1" applyBorder="1" applyAlignment="1">
      <alignment horizontal="left" vertical="center" wrapText="1"/>
    </xf>
    <xf numFmtId="38" fontId="445" fillId="169" borderId="445" xfId="22751" applyNumberFormat="1" applyFont="1" applyFill="1" applyBorder="1" applyAlignment="1">
      <alignment horizontal="center" vertical="center"/>
    </xf>
    <xf numFmtId="38" fontId="445" fillId="169" borderId="445" xfId="22751" applyNumberFormat="1" applyFont="1" applyFill="1" applyBorder="1" applyAlignment="1">
      <alignment horizontal="left" vertical="center" wrapText="1"/>
    </xf>
    <xf numFmtId="38" fontId="445" fillId="169" borderId="445" xfId="22752" applyNumberFormat="1" applyFont="1" applyFill="1" applyBorder="1" applyAlignment="1" applyProtection="1">
      <alignment horizontal="right" vertical="center"/>
    </xf>
    <xf numFmtId="38" fontId="21" fillId="157" borderId="0" xfId="22752" applyNumberFormat="1" applyFont="1" applyFill="1" applyAlignment="1" applyProtection="1">
      <alignment horizontal="right" vertical="center"/>
    </xf>
    <xf numFmtId="38" fontId="21" fillId="0" borderId="0" xfId="22752" applyNumberFormat="1" applyFont="1" applyAlignment="1" applyProtection="1">
      <alignment horizontal="right" vertical="center"/>
    </xf>
    <xf numFmtId="43" fontId="21" fillId="0" borderId="145" xfId="19286" applyFont="1" applyBorder="1" applyAlignment="1" applyProtection="1">
      <alignment vertical="center"/>
    </xf>
    <xf numFmtId="43" fontId="21" fillId="0" borderId="214" xfId="19286" applyFont="1" applyBorder="1" applyAlignment="1" applyProtection="1">
      <alignment vertical="center"/>
    </xf>
    <xf numFmtId="38" fontId="350" fillId="143" borderId="365" xfId="22751" applyNumberFormat="1" applyFont="1" applyFill="1" applyBorder="1" applyAlignment="1">
      <alignment horizontal="center" vertical="center"/>
    </xf>
    <xf numFmtId="38" fontId="350" fillId="143" borderId="365" xfId="22751" applyNumberFormat="1" applyFont="1" applyFill="1" applyBorder="1" applyAlignment="1">
      <alignment horizontal="left" vertical="center" wrapText="1"/>
    </xf>
    <xf numFmtId="38" fontId="350" fillId="143" borderId="365" xfId="22751" applyNumberFormat="1" applyFont="1" applyFill="1" applyBorder="1" applyAlignment="1">
      <alignment horizontal="justify" vertical="center" wrapText="1"/>
    </xf>
    <xf numFmtId="38" fontId="63" fillId="143" borderId="365" xfId="22752" applyNumberFormat="1" applyFont="1" applyFill="1" applyBorder="1" applyAlignment="1" applyProtection="1">
      <alignment horizontal="right" vertical="center"/>
    </xf>
    <xf numFmtId="38" fontId="350" fillId="167" borderId="365" xfId="22751" applyNumberFormat="1" applyFont="1" applyFill="1" applyBorder="1" applyAlignment="1">
      <alignment horizontal="center" vertical="center"/>
    </xf>
    <xf numFmtId="38" fontId="350" fillId="143" borderId="445" xfId="22751" applyNumberFormat="1" applyFont="1" applyFill="1" applyBorder="1" applyAlignment="1">
      <alignment horizontal="center" vertical="center"/>
    </xf>
    <xf numFmtId="38" fontId="350" fillId="143" borderId="445" xfId="22751" applyNumberFormat="1" applyFont="1" applyFill="1" applyBorder="1" applyAlignment="1">
      <alignment horizontal="left" vertical="center" wrapText="1"/>
    </xf>
    <xf numFmtId="38" fontId="350" fillId="143" borderId="445" xfId="22751" applyNumberFormat="1" applyFont="1" applyFill="1" applyBorder="1" applyAlignment="1">
      <alignment horizontal="justify" vertical="center" wrapText="1"/>
    </xf>
    <xf numFmtId="38" fontId="350" fillId="143" borderId="445" xfId="22752" applyNumberFormat="1" applyFont="1" applyFill="1" applyBorder="1" applyAlignment="1" applyProtection="1">
      <alignment horizontal="right" vertical="center"/>
    </xf>
    <xf numFmtId="38" fontId="21" fillId="110" borderId="0" xfId="22752" applyNumberFormat="1" applyFont="1" applyFill="1" applyAlignment="1" applyProtection="1">
      <alignment horizontal="right" vertical="center"/>
    </xf>
    <xf numFmtId="43" fontId="21" fillId="0" borderId="334" xfId="19286" applyFont="1" applyBorder="1" applyAlignment="1" applyProtection="1">
      <alignment vertical="center"/>
    </xf>
    <xf numFmtId="43" fontId="21" fillId="0" borderId="332" xfId="19286" applyFont="1" applyBorder="1" applyAlignment="1" applyProtection="1">
      <alignment vertical="center"/>
    </xf>
    <xf numFmtId="38" fontId="45" fillId="0" borderId="335" xfId="22751" applyNumberFormat="1" applyBorder="1" applyAlignment="1">
      <alignment vertical="center"/>
    </xf>
    <xf numFmtId="9" fontId="21" fillId="0" borderId="0" xfId="22690" applyFont="1" applyAlignment="1" applyProtection="1">
      <alignment vertical="center" wrapText="1"/>
    </xf>
    <xf numFmtId="169" fontId="366" fillId="141" borderId="365" xfId="22674" applyNumberFormat="1" applyFont="1" applyFill="1" applyBorder="1"/>
    <xf numFmtId="169" fontId="366" fillId="142" borderId="365" xfId="22674" applyNumberFormat="1" applyFont="1" applyFill="1" applyBorder="1"/>
    <xf numFmtId="0" fontId="60" fillId="143" borderId="365" xfId="27920" applyFont="1" applyFill="1" applyBorder="1"/>
    <xf numFmtId="0" fontId="60" fillId="145" borderId="365" xfId="27920" applyFont="1" applyFill="1" applyBorder="1"/>
    <xf numFmtId="0" fontId="353" fillId="107" borderId="365" xfId="27931" applyFont="1" applyFill="1" applyBorder="1" applyAlignment="1">
      <alignment vertical="center"/>
    </xf>
    <xf numFmtId="0" fontId="341" fillId="143" borderId="365" xfId="27920" applyFont="1" applyFill="1" applyBorder="1"/>
    <xf numFmtId="0" fontId="341" fillId="142" borderId="365" xfId="27920" applyFont="1" applyFill="1" applyBorder="1"/>
    <xf numFmtId="0" fontId="341" fillId="145" borderId="365" xfId="27920" applyFont="1" applyFill="1" applyBorder="1"/>
    <xf numFmtId="359" fontId="353" fillId="0" borderId="434" xfId="22678" applyFont="1" applyBorder="1" applyAlignment="1" applyProtection="1">
      <alignment vertical="center"/>
      <protection locked="0"/>
    </xf>
    <xf numFmtId="179" fontId="353" fillId="0" borderId="336" xfId="27932" applyNumberFormat="1" applyFont="1" applyFill="1" applyBorder="1" applyAlignment="1" applyProtection="1">
      <alignment horizontal="center" vertical="center" wrapText="1"/>
      <protection locked="0"/>
    </xf>
    <xf numFmtId="366" fontId="353" fillId="0" borderId="336" xfId="27932" applyNumberFormat="1" applyFont="1" applyFill="1" applyBorder="1" applyAlignment="1" applyProtection="1">
      <alignment horizontal="center" vertical="center"/>
      <protection locked="0"/>
    </xf>
    <xf numFmtId="210" fontId="353" fillId="0" borderId="336" xfId="27932" applyNumberFormat="1" applyFont="1" applyFill="1" applyBorder="1" applyAlignment="1" applyProtection="1">
      <alignment horizontal="center" vertical="center"/>
      <protection locked="0"/>
    </xf>
    <xf numFmtId="14" fontId="353" fillId="0" borderId="336" xfId="27932" applyNumberFormat="1" applyFont="1" applyFill="1" applyBorder="1" applyAlignment="1" applyProtection="1">
      <alignment horizontal="center" vertical="center"/>
      <protection locked="0"/>
    </xf>
    <xf numFmtId="14" fontId="353" fillId="0" borderId="336" xfId="27932" applyNumberFormat="1" applyFont="1" applyFill="1" applyBorder="1" applyAlignment="1" applyProtection="1">
      <alignment horizontal="center" vertical="center" wrapText="1"/>
      <protection locked="0"/>
    </xf>
    <xf numFmtId="179" fontId="353" fillId="164" borderId="337" xfId="27932" applyNumberFormat="1" applyFont="1" applyFill="1" applyBorder="1" applyAlignment="1" applyProtection="1">
      <alignment horizontal="center" vertical="center"/>
      <protection locked="0"/>
    </xf>
    <xf numFmtId="49" fontId="353" fillId="0" borderId="334" xfId="22678" quotePrefix="1" applyNumberFormat="1" applyFont="1" applyBorder="1" applyAlignment="1" applyProtection="1">
      <alignment horizontal="center" vertical="center"/>
      <protection locked="0"/>
    </xf>
    <xf numFmtId="210" fontId="353" fillId="0" borderId="332" xfId="27932" applyNumberFormat="1" applyFont="1" applyFill="1" applyBorder="1" applyAlignment="1" applyProtection="1">
      <alignment horizontal="center" vertical="center"/>
      <protection locked="0"/>
    </xf>
    <xf numFmtId="366" fontId="353" fillId="0" borderId="335" xfId="27932" applyNumberFormat="1" applyFont="1" applyFill="1" applyBorder="1" applyAlignment="1" applyProtection="1">
      <alignment horizontal="center" vertical="center"/>
      <protection locked="0"/>
    </xf>
    <xf numFmtId="363" fontId="353" fillId="0" borderId="336" xfId="27932" applyNumberFormat="1" applyFont="1" applyFill="1" applyBorder="1" applyAlignment="1" applyProtection="1">
      <alignment horizontal="center" vertical="center"/>
      <protection locked="0"/>
    </xf>
    <xf numFmtId="179" fontId="353" fillId="0" borderId="365" xfId="27933" applyNumberFormat="1" applyFont="1" applyFill="1" applyBorder="1" applyAlignment="1" applyProtection="1">
      <alignment horizontal="center" vertical="center"/>
      <protection locked="0"/>
    </xf>
    <xf numFmtId="179" fontId="353" fillId="111" borderId="365" xfId="27933" applyNumberFormat="1" applyFont="1" applyFill="1" applyBorder="1" applyAlignment="1" applyProtection="1">
      <alignment horizontal="left" vertical="center"/>
      <protection locked="0"/>
    </xf>
    <xf numFmtId="179" fontId="353" fillId="147" borderId="365" xfId="27933" applyNumberFormat="1" applyFont="1" applyFill="1" applyBorder="1" applyAlignment="1" applyProtection="1">
      <alignment horizontal="left" vertical="center"/>
      <protection locked="0"/>
    </xf>
    <xf numFmtId="179" fontId="353" fillId="0" borderId="365" xfId="27933" applyNumberFormat="1" applyFont="1" applyFill="1" applyBorder="1" applyAlignment="1" applyProtection="1">
      <alignment horizontal="left" vertical="center"/>
      <protection locked="0"/>
    </xf>
    <xf numFmtId="179" fontId="368" fillId="0" borderId="365" xfId="22686" applyNumberFormat="1" applyFont="1" applyFill="1" applyBorder="1" applyAlignment="1" applyProtection="1">
      <alignment horizontal="center" vertical="center"/>
      <protection locked="0"/>
    </xf>
    <xf numFmtId="179" fontId="369" fillId="111" borderId="365" xfId="22686" applyNumberFormat="1" applyFont="1" applyFill="1" applyBorder="1" applyAlignment="1" applyProtection="1">
      <alignment horizontal="center" vertical="center"/>
      <protection locked="0"/>
    </xf>
    <xf numFmtId="179" fontId="369" fillId="0" borderId="365" xfId="22686" applyNumberFormat="1" applyFont="1" applyFill="1" applyBorder="1" applyAlignment="1" applyProtection="1">
      <alignment horizontal="center" vertical="center"/>
      <protection locked="0"/>
    </xf>
    <xf numFmtId="0" fontId="172" fillId="0" borderId="217" xfId="22685" applyFont="1" applyBorder="1" applyAlignment="1">
      <alignment horizontal="center" vertical="center" wrapText="1"/>
    </xf>
    <xf numFmtId="359" fontId="354" fillId="0" borderId="230" xfId="22678" applyFont="1" applyBorder="1" applyAlignment="1" applyProtection="1">
      <alignment vertical="center"/>
      <protection locked="0"/>
    </xf>
    <xf numFmtId="359" fontId="354" fillId="0" borderId="434" xfId="22678" applyFont="1" applyBorder="1" applyAlignment="1" applyProtection="1">
      <alignment vertical="center"/>
      <protection locked="0"/>
    </xf>
    <xf numFmtId="359" fontId="354" fillId="0" borderId="231" xfId="22678" applyFont="1" applyBorder="1" applyAlignment="1" applyProtection="1">
      <alignment vertical="center"/>
      <protection locked="0"/>
    </xf>
    <xf numFmtId="359" fontId="354" fillId="0" borderId="230" xfId="22678" applyFont="1" applyBorder="1" applyAlignment="1" applyProtection="1">
      <alignment horizontal="center" vertical="center"/>
      <protection locked="0"/>
    </xf>
    <xf numFmtId="179" fontId="354" fillId="117" borderId="224" xfId="22687" applyNumberFormat="1" applyFont="1" applyFill="1" applyBorder="1" applyAlignment="1" applyProtection="1">
      <alignment horizontal="center" vertical="center" wrapText="1"/>
      <protection locked="0"/>
    </xf>
    <xf numFmtId="179" fontId="354" fillId="118" borderId="224" xfId="22687" applyNumberFormat="1" applyFont="1" applyFill="1" applyBorder="1" applyAlignment="1" applyProtection="1">
      <alignment horizontal="center" vertical="center" wrapText="1"/>
      <protection locked="0"/>
    </xf>
    <xf numFmtId="0" fontId="374" fillId="0" borderId="223" xfId="7727" applyNumberFormat="1" applyFont="1" applyFill="1" applyBorder="1" applyAlignment="1" applyProtection="1">
      <alignment horizontal="center" vertical="center" wrapText="1"/>
      <protection locked="0"/>
    </xf>
    <xf numFmtId="0" fontId="375" fillId="107" borderId="349" xfId="22678" quotePrefix="1" applyNumberFormat="1" applyFont="1" applyFill="1" applyBorder="1" applyAlignment="1" applyProtection="1">
      <alignment horizontal="center" vertical="top"/>
      <protection locked="0"/>
    </xf>
    <xf numFmtId="179" fontId="375" fillId="107" borderId="367" xfId="22687" applyNumberFormat="1" applyFont="1" applyFill="1" applyBorder="1" applyAlignment="1" applyProtection="1">
      <alignment horizontal="left" vertical="top" wrapText="1"/>
      <protection locked="0"/>
    </xf>
    <xf numFmtId="286" fontId="375" fillId="107" borderId="370" xfId="22687" applyNumberFormat="1" applyFont="1" applyFill="1" applyBorder="1" applyAlignment="1" applyProtection="1">
      <alignment horizontal="center" vertical="top" wrapText="1"/>
      <protection locked="0"/>
    </xf>
    <xf numFmtId="286" fontId="375" fillId="107" borderId="349" xfId="22687" applyNumberFormat="1" applyFont="1" applyFill="1" applyBorder="1" applyAlignment="1" applyProtection="1">
      <alignment horizontal="center" vertical="top"/>
      <protection locked="0"/>
    </xf>
    <xf numFmtId="49" fontId="375" fillId="107" borderId="350" xfId="22678" quotePrefix="1" applyNumberFormat="1" applyFont="1" applyFill="1" applyBorder="1" applyAlignment="1" applyProtection="1">
      <alignment horizontal="center" vertical="top"/>
      <protection locked="0"/>
    </xf>
    <xf numFmtId="210" fontId="375" fillId="107" borderId="367" xfId="22687" applyNumberFormat="1" applyFont="1" applyFill="1" applyBorder="1" applyAlignment="1" applyProtection="1">
      <alignment horizontal="center" vertical="top"/>
      <protection locked="0"/>
    </xf>
    <xf numFmtId="179" fontId="375" fillId="107" borderId="350" xfId="22686" applyNumberFormat="1" applyFont="1" applyFill="1" applyBorder="1" applyAlignment="1" applyProtection="1">
      <alignment horizontal="center" vertical="top"/>
      <protection locked="0"/>
    </xf>
    <xf numFmtId="179" fontId="375" fillId="107" borderId="351" xfId="22686" applyNumberFormat="1" applyFont="1" applyFill="1" applyBorder="1" applyAlignment="1" applyProtection="1">
      <alignment horizontal="center" vertical="top" wrapText="1"/>
      <protection locked="0"/>
    </xf>
    <xf numFmtId="179" fontId="375" fillId="107" borderId="221" xfId="22686" applyNumberFormat="1" applyFont="1" applyFill="1" applyBorder="1" applyAlignment="1" applyProtection="1">
      <alignment horizontal="center" vertical="center" wrapText="1"/>
      <protection locked="0"/>
    </xf>
    <xf numFmtId="49" fontId="375" fillId="107" borderId="367" xfId="22678" applyNumberFormat="1" applyFont="1" applyFill="1" applyBorder="1" applyAlignment="1" applyProtection="1">
      <alignment horizontal="center" vertical="top"/>
      <protection locked="0"/>
    </xf>
    <xf numFmtId="179" fontId="375" fillId="107" borderId="351" xfId="22687" applyNumberFormat="1" applyFont="1" applyFill="1" applyBorder="1" applyAlignment="1" applyProtection="1">
      <alignment horizontal="center" vertical="top"/>
      <protection locked="0"/>
    </xf>
    <xf numFmtId="179" fontId="375" fillId="107" borderId="221" xfId="22687" applyNumberFormat="1" applyFont="1" applyFill="1" applyBorder="1" applyAlignment="1" applyProtection="1">
      <alignment horizontal="center" vertical="top"/>
      <protection locked="0"/>
    </xf>
    <xf numFmtId="179" fontId="375" fillId="107" borderId="219" xfId="22687" applyNumberFormat="1" applyFont="1" applyFill="1" applyBorder="1" applyAlignment="1" applyProtection="1">
      <alignment horizontal="center" vertical="top"/>
      <protection locked="0"/>
    </xf>
    <xf numFmtId="1" fontId="375" fillId="0" borderId="220" xfId="22687" applyNumberFormat="1" applyFont="1" applyFill="1" applyBorder="1" applyAlignment="1" applyProtection="1">
      <alignment horizontal="center" vertical="top"/>
      <protection locked="0"/>
    </xf>
    <xf numFmtId="49" fontId="375" fillId="107" borderId="349" xfId="22678" applyNumberFormat="1" applyFont="1" applyFill="1" applyBorder="1" applyAlignment="1" applyProtection="1">
      <alignment horizontal="center" vertical="top"/>
      <protection locked="0"/>
    </xf>
    <xf numFmtId="14" fontId="375" fillId="107" borderId="367" xfId="22687" applyNumberFormat="1" applyFont="1" applyFill="1" applyBorder="1" applyAlignment="1" applyProtection="1">
      <alignment horizontal="center" vertical="top"/>
      <protection locked="0"/>
    </xf>
    <xf numFmtId="179" fontId="375" fillId="107" borderId="370" xfId="22687" applyNumberFormat="1" applyFont="1" applyFill="1" applyBorder="1" applyAlignment="1" applyProtection="1">
      <alignment horizontal="center" vertical="top"/>
      <protection locked="0"/>
    </xf>
    <xf numFmtId="1" fontId="375" fillId="107" borderId="446" xfId="22687" applyNumberFormat="1" applyFont="1" applyFill="1" applyBorder="1" applyAlignment="1" applyProtection="1">
      <alignment horizontal="center" vertical="top"/>
      <protection locked="0"/>
    </xf>
    <xf numFmtId="1" fontId="375" fillId="107" borderId="221" xfId="22687" applyNumberFormat="1" applyFont="1" applyFill="1" applyBorder="1" applyAlignment="1" applyProtection="1">
      <alignment horizontal="center" vertical="top"/>
      <protection locked="0"/>
    </xf>
    <xf numFmtId="1" fontId="375" fillId="107" borderId="219" xfId="22687" applyNumberFormat="1" applyFont="1" applyFill="1" applyBorder="1" applyAlignment="1" applyProtection="1">
      <alignment horizontal="center" vertical="top"/>
      <protection locked="0"/>
    </xf>
    <xf numFmtId="0" fontId="63" fillId="107" borderId="221" xfId="22552" applyFont="1" applyFill="1" applyBorder="1" applyAlignment="1">
      <alignment horizontal="justify" vertical="top" wrapText="1"/>
    </xf>
    <xf numFmtId="49" fontId="375" fillId="107" borderId="214" xfId="22678" quotePrefix="1" applyNumberFormat="1" applyFont="1" applyFill="1" applyBorder="1" applyAlignment="1" applyProtection="1">
      <alignment horizontal="center" vertical="top"/>
      <protection locked="0"/>
    </xf>
    <xf numFmtId="179" fontId="375" fillId="107" borderId="214" xfId="22686" applyNumberFormat="1" applyFont="1" applyFill="1" applyBorder="1" applyAlignment="1" applyProtection="1">
      <alignment horizontal="center" vertical="top"/>
      <protection locked="0"/>
    </xf>
    <xf numFmtId="210" fontId="375" fillId="107" borderId="214" xfId="22687" applyNumberFormat="1" applyFont="1" applyFill="1" applyBorder="1" applyAlignment="1" applyProtection="1">
      <alignment horizontal="center" vertical="top"/>
      <protection locked="0"/>
    </xf>
    <xf numFmtId="179" fontId="375" fillId="107" borderId="218" xfId="22686" applyNumberFormat="1" applyFont="1" applyFill="1" applyBorder="1" applyAlignment="1" applyProtection="1">
      <alignment horizontal="center" vertical="center"/>
      <protection locked="0"/>
    </xf>
    <xf numFmtId="179" fontId="375" fillId="107" borderId="163" xfId="22686" applyNumberFormat="1" applyFont="1" applyFill="1" applyBorder="1" applyAlignment="1" applyProtection="1">
      <alignment horizontal="center" vertical="top" wrapText="1"/>
      <protection locked="0"/>
    </xf>
    <xf numFmtId="179" fontId="375" fillId="107" borderId="214" xfId="22686" applyNumberFormat="1" applyFont="1" applyFill="1" applyBorder="1" applyAlignment="1" applyProtection="1">
      <alignment horizontal="center" vertical="center" wrapText="1"/>
      <protection locked="0"/>
    </xf>
    <xf numFmtId="179" fontId="375" fillId="107" borderId="214" xfId="22687" applyNumberFormat="1" applyFont="1" applyFill="1" applyBorder="1" applyAlignment="1" applyProtection="1">
      <alignment horizontal="center" vertical="top"/>
      <protection locked="0"/>
    </xf>
    <xf numFmtId="179" fontId="375" fillId="107" borderId="218" xfId="22687" applyNumberFormat="1" applyFont="1" applyFill="1" applyBorder="1" applyAlignment="1" applyProtection="1">
      <alignment horizontal="center" vertical="top"/>
      <protection locked="0"/>
    </xf>
    <xf numFmtId="1" fontId="375" fillId="107" borderId="214" xfId="22687" applyNumberFormat="1" applyFont="1" applyFill="1" applyBorder="1" applyAlignment="1" applyProtection="1">
      <alignment horizontal="center" vertical="top"/>
      <protection locked="0"/>
    </xf>
    <xf numFmtId="1" fontId="375" fillId="107" borderId="218" xfId="22687" applyNumberFormat="1" applyFont="1" applyFill="1" applyBorder="1" applyAlignment="1" applyProtection="1">
      <alignment horizontal="center" vertical="top"/>
      <protection locked="0"/>
    </xf>
    <xf numFmtId="0" fontId="346" fillId="107" borderId="350" xfId="22552" applyFont="1" applyFill="1" applyBorder="1" applyAlignment="1">
      <alignment horizontal="justify" vertical="top" wrapText="1"/>
    </xf>
    <xf numFmtId="0" fontId="63" fillId="107" borderId="350" xfId="22688" applyFont="1" applyFill="1" applyBorder="1" applyAlignment="1">
      <alignment vertical="top" wrapText="1"/>
    </xf>
    <xf numFmtId="1" fontId="375" fillId="107" borderId="214" xfId="22678" applyNumberFormat="1" applyFont="1" applyFill="1" applyBorder="1" applyAlignment="1" applyProtection="1">
      <alignment horizontal="left" vertical="top"/>
      <protection locked="0"/>
    </xf>
    <xf numFmtId="1" fontId="375" fillId="107" borderId="218" xfId="22678" applyNumberFormat="1" applyFont="1" applyFill="1" applyBorder="1" applyAlignment="1" applyProtection="1">
      <alignment horizontal="left" vertical="top"/>
      <protection locked="0"/>
    </xf>
    <xf numFmtId="49" fontId="375" fillId="0" borderId="214" xfId="22678" quotePrefix="1" applyNumberFormat="1" applyFont="1" applyBorder="1" applyAlignment="1" applyProtection="1">
      <alignment horizontal="center" vertical="top"/>
      <protection locked="0"/>
    </xf>
    <xf numFmtId="179" fontId="375" fillId="0" borderId="214" xfId="22686" applyNumberFormat="1" applyFont="1" applyFill="1" applyBorder="1" applyAlignment="1" applyProtection="1">
      <alignment horizontal="center" vertical="top"/>
      <protection locked="0"/>
    </xf>
    <xf numFmtId="0" fontId="63" fillId="0" borderId="350" xfId="22688" applyFont="1" applyBorder="1" applyAlignment="1">
      <alignment vertical="top" wrapText="1"/>
    </xf>
    <xf numFmtId="179" fontId="375" fillId="0" borderId="214" xfId="22687" applyNumberFormat="1" applyFont="1" applyFill="1" applyBorder="1" applyAlignment="1" applyProtection="1">
      <alignment horizontal="center" vertical="top"/>
      <protection locked="0"/>
    </xf>
    <xf numFmtId="179" fontId="375" fillId="0" borderId="218" xfId="22687" applyNumberFormat="1" applyFont="1" applyFill="1" applyBorder="1" applyAlignment="1" applyProtection="1">
      <alignment horizontal="center" vertical="top"/>
      <protection locked="0"/>
    </xf>
    <xf numFmtId="1" fontId="375" fillId="0" borderId="214" xfId="22687" applyNumberFormat="1" applyFont="1" applyFill="1" applyBorder="1" applyAlignment="1" applyProtection="1">
      <alignment horizontal="center" vertical="top"/>
      <protection locked="0"/>
    </xf>
    <xf numFmtId="1" fontId="375" fillId="0" borderId="218" xfId="22687" applyNumberFormat="1" applyFont="1" applyFill="1" applyBorder="1" applyAlignment="1" applyProtection="1">
      <alignment horizontal="center" vertical="top"/>
      <protection locked="0"/>
    </xf>
    <xf numFmtId="179" fontId="375" fillId="34" borderId="218" xfId="22687" applyNumberFormat="1" applyFont="1" applyFill="1" applyBorder="1" applyAlignment="1" applyProtection="1">
      <alignment horizontal="center" vertical="top"/>
      <protection locked="0"/>
    </xf>
    <xf numFmtId="0" fontId="376" fillId="107" borderId="350" xfId="22688" applyFont="1" applyFill="1" applyBorder="1" applyAlignment="1">
      <alignment vertical="top" wrapText="1"/>
    </xf>
    <xf numFmtId="0" fontId="376" fillId="0" borderId="350" xfId="22688" applyFont="1" applyBorder="1" applyAlignment="1">
      <alignment vertical="top" wrapText="1"/>
    </xf>
    <xf numFmtId="0" fontId="376" fillId="0" borderId="350" xfId="22688" applyFont="1" applyBorder="1" applyAlignment="1">
      <alignment horizontal="center" vertical="top" wrapText="1"/>
    </xf>
    <xf numFmtId="179" fontId="375" fillId="0" borderId="218" xfId="22686" applyNumberFormat="1" applyFont="1" applyFill="1" applyBorder="1" applyAlignment="1" applyProtection="1">
      <alignment horizontal="center" vertical="center"/>
      <protection locked="0"/>
    </xf>
    <xf numFmtId="179" fontId="375" fillId="0" borderId="163" xfId="22686" applyNumberFormat="1" applyFont="1" applyFill="1" applyBorder="1" applyAlignment="1" applyProtection="1">
      <alignment horizontal="center" vertical="top" wrapText="1"/>
      <protection locked="0"/>
    </xf>
    <xf numFmtId="179" fontId="375" fillId="0" borderId="214" xfId="22686" applyNumberFormat="1" applyFont="1" applyFill="1" applyBorder="1" applyAlignment="1" applyProtection="1">
      <alignment horizontal="center" vertical="center" wrapText="1"/>
      <protection locked="0"/>
    </xf>
    <xf numFmtId="179" fontId="375" fillId="107" borderId="163" xfId="22687" applyNumberFormat="1" applyFont="1" applyFill="1" applyBorder="1" applyAlignment="1" applyProtection="1">
      <alignment horizontal="center" vertical="top" wrapText="1"/>
      <protection locked="0"/>
    </xf>
    <xf numFmtId="179" fontId="375" fillId="107" borderId="214" xfId="22687" applyNumberFormat="1" applyFont="1" applyFill="1" applyBorder="1" applyAlignment="1" applyProtection="1">
      <alignment horizontal="center" vertical="center" wrapText="1"/>
      <protection locked="0"/>
    </xf>
    <xf numFmtId="179" fontId="375" fillId="107" borderId="349" xfId="22686" applyNumberFormat="1" applyFont="1" applyFill="1" applyBorder="1" applyAlignment="1" applyProtection="1">
      <alignment horizontal="center" vertical="center" wrapText="1"/>
      <protection locked="0"/>
    </xf>
    <xf numFmtId="179" fontId="375" fillId="107" borderId="350" xfId="22686" applyNumberFormat="1" applyFont="1" applyFill="1" applyBorder="1" applyAlignment="1" applyProtection="1">
      <alignment horizontal="center" vertical="center" wrapText="1"/>
      <protection locked="0"/>
    </xf>
    <xf numFmtId="179" fontId="375" fillId="107" borderId="367" xfId="22686" applyNumberFormat="1" applyFont="1" applyFill="1" applyBorder="1" applyAlignment="1" applyProtection="1">
      <alignment horizontal="center" vertical="center" wrapText="1"/>
      <protection locked="0"/>
    </xf>
    <xf numFmtId="179" fontId="375" fillId="107" borderId="349" xfId="22687" applyNumberFormat="1" applyFont="1" applyFill="1" applyBorder="1" applyAlignment="1" applyProtection="1">
      <alignment horizontal="center" vertical="top"/>
      <protection locked="0"/>
    </xf>
    <xf numFmtId="179" fontId="375" fillId="107" borderId="350" xfId="22687" applyNumberFormat="1" applyFont="1" applyFill="1" applyBorder="1" applyAlignment="1" applyProtection="1">
      <alignment horizontal="center" vertical="top"/>
      <protection locked="0"/>
    </xf>
    <xf numFmtId="1" fontId="375" fillId="107" borderId="367" xfId="22678" applyNumberFormat="1" applyFont="1" applyFill="1" applyBorder="1" applyAlignment="1" applyProtection="1">
      <alignment horizontal="left" vertical="top"/>
      <protection locked="0"/>
    </xf>
    <xf numFmtId="1" fontId="375" fillId="107" borderId="350" xfId="22678" applyNumberFormat="1" applyFont="1" applyFill="1" applyBorder="1" applyAlignment="1" applyProtection="1">
      <alignment horizontal="left" vertical="top"/>
      <protection locked="0"/>
    </xf>
    <xf numFmtId="0" fontId="375" fillId="0" borderId="349" xfId="22678" quotePrefix="1" applyNumberFormat="1" applyFont="1" applyBorder="1" applyAlignment="1" applyProtection="1">
      <alignment horizontal="center" vertical="top"/>
      <protection locked="0"/>
    </xf>
    <xf numFmtId="179" fontId="375" fillId="0" borderId="367" xfId="22687" applyNumberFormat="1" applyFont="1" applyFill="1" applyBorder="1" applyAlignment="1" applyProtection="1">
      <alignment horizontal="left" vertical="top" wrapText="1"/>
      <protection locked="0"/>
    </xf>
    <xf numFmtId="286" fontId="375" fillId="0" borderId="370" xfId="22687" applyNumberFormat="1" applyFont="1" applyFill="1" applyBorder="1" applyAlignment="1" applyProtection="1">
      <alignment horizontal="center" vertical="top" wrapText="1"/>
      <protection locked="0"/>
    </xf>
    <xf numFmtId="286" fontId="375" fillId="0" borderId="349" xfId="22687" applyNumberFormat="1" applyFont="1" applyFill="1" applyBorder="1" applyAlignment="1" applyProtection="1">
      <alignment horizontal="center" vertical="top"/>
      <protection locked="0"/>
    </xf>
    <xf numFmtId="49" fontId="375" fillId="0" borderId="350" xfId="22678" quotePrefix="1" applyNumberFormat="1" applyFont="1" applyBorder="1" applyAlignment="1" applyProtection="1">
      <alignment horizontal="center" vertical="top"/>
      <protection locked="0"/>
    </xf>
    <xf numFmtId="210" fontId="375" fillId="0" borderId="367" xfId="22687" applyNumberFormat="1" applyFont="1" applyFill="1" applyBorder="1" applyAlignment="1" applyProtection="1">
      <alignment horizontal="center" vertical="top"/>
      <protection locked="0"/>
    </xf>
    <xf numFmtId="179" fontId="375" fillId="0" borderId="350" xfId="22686" applyNumberFormat="1" applyFont="1" applyFill="1" applyBorder="1" applyAlignment="1" applyProtection="1">
      <alignment horizontal="center" vertical="top"/>
      <protection locked="0"/>
    </xf>
    <xf numFmtId="179" fontId="375" fillId="0" borderId="351" xfId="22686" applyNumberFormat="1" applyFont="1" applyFill="1" applyBorder="1" applyAlignment="1" applyProtection="1">
      <alignment horizontal="center" vertical="top" wrapText="1"/>
      <protection locked="0"/>
    </xf>
    <xf numFmtId="179" fontId="375" fillId="0" borderId="349" xfId="22686" applyNumberFormat="1" applyFont="1" applyFill="1" applyBorder="1" applyAlignment="1" applyProtection="1">
      <alignment horizontal="center" vertical="center" wrapText="1"/>
      <protection locked="0"/>
    </xf>
    <xf numFmtId="179" fontId="375" fillId="0" borderId="350" xfId="22686" applyNumberFormat="1" applyFont="1" applyFill="1" applyBorder="1" applyAlignment="1" applyProtection="1">
      <alignment horizontal="center" vertical="center" wrapText="1"/>
      <protection locked="0"/>
    </xf>
    <xf numFmtId="179" fontId="375" fillId="0" borderId="367" xfId="22686" applyNumberFormat="1" applyFont="1" applyFill="1" applyBorder="1" applyAlignment="1" applyProtection="1">
      <alignment horizontal="center" vertical="center" wrapText="1"/>
      <protection locked="0"/>
    </xf>
    <xf numFmtId="49" fontId="375" fillId="0" borderId="367" xfId="22678" applyNumberFormat="1" applyFont="1" applyBorder="1" applyAlignment="1" applyProtection="1">
      <alignment horizontal="center" vertical="top"/>
      <protection locked="0"/>
    </xf>
    <xf numFmtId="179" fontId="375" fillId="0" borderId="351" xfId="22687" applyNumberFormat="1" applyFont="1" applyFill="1" applyBorder="1" applyAlignment="1" applyProtection="1">
      <alignment horizontal="center" vertical="top"/>
      <protection locked="0"/>
    </xf>
    <xf numFmtId="179" fontId="375" fillId="0" borderId="349" xfId="22687" applyNumberFormat="1" applyFont="1" applyFill="1" applyBorder="1" applyAlignment="1" applyProtection="1">
      <alignment horizontal="center" vertical="top"/>
      <protection locked="0"/>
    </xf>
    <xf numFmtId="179" fontId="375" fillId="0" borderId="350" xfId="22687" applyNumberFormat="1" applyFont="1" applyFill="1" applyBorder="1" applyAlignment="1" applyProtection="1">
      <alignment horizontal="center" vertical="top"/>
      <protection locked="0"/>
    </xf>
    <xf numFmtId="179" fontId="375" fillId="0" borderId="370" xfId="22687" applyNumberFormat="1" applyFont="1" applyFill="1" applyBorder="1" applyAlignment="1" applyProtection="1">
      <alignment horizontal="center" vertical="top"/>
      <protection locked="0"/>
    </xf>
    <xf numFmtId="49" fontId="375" fillId="0" borderId="349" xfId="22678" applyNumberFormat="1" applyFont="1" applyBorder="1" applyAlignment="1" applyProtection="1">
      <alignment horizontal="center" vertical="top"/>
      <protection locked="0"/>
    </xf>
    <xf numFmtId="1" fontId="375" fillId="0" borderId="367" xfId="22678" applyNumberFormat="1" applyFont="1" applyBorder="1" applyAlignment="1" applyProtection="1">
      <alignment horizontal="left" vertical="top"/>
      <protection locked="0"/>
    </xf>
    <xf numFmtId="1" fontId="375" fillId="0" borderId="350" xfId="22678" applyNumberFormat="1" applyFont="1" applyBorder="1" applyAlignment="1" applyProtection="1">
      <alignment horizontal="left" vertical="top"/>
      <protection locked="0"/>
    </xf>
    <xf numFmtId="14" fontId="375" fillId="0" borderId="367" xfId="22687" applyNumberFormat="1" applyFont="1" applyFill="1" applyBorder="1" applyAlignment="1" applyProtection="1">
      <alignment horizontal="center" vertical="top"/>
      <protection locked="0"/>
    </xf>
    <xf numFmtId="49" fontId="375" fillId="107" borderId="370" xfId="22678" applyNumberFormat="1" applyFont="1" applyFill="1" applyBorder="1" applyAlignment="1" applyProtection="1">
      <alignment horizontal="left" vertical="top"/>
      <protection locked="0"/>
    </xf>
    <xf numFmtId="210" fontId="375" fillId="34" borderId="367" xfId="22687" applyNumberFormat="1" applyFont="1" applyFill="1" applyBorder="1" applyAlignment="1" applyProtection="1">
      <alignment horizontal="center" vertical="top"/>
      <protection locked="0"/>
    </xf>
    <xf numFmtId="49" fontId="375" fillId="0" borderId="370" xfId="22678" applyNumberFormat="1" applyFont="1" applyBorder="1" applyAlignment="1" applyProtection="1">
      <alignment horizontal="left" vertical="top"/>
      <protection locked="0"/>
    </xf>
    <xf numFmtId="0" fontId="375" fillId="119" borderId="349" xfId="22678" quotePrefix="1" applyNumberFormat="1" applyFont="1" applyFill="1" applyBorder="1" applyAlignment="1" applyProtection="1">
      <alignment horizontal="center" vertical="top"/>
      <protection locked="0"/>
    </xf>
    <xf numFmtId="0" fontId="375" fillId="106" borderId="349" xfId="22678" quotePrefix="1" applyNumberFormat="1" applyFont="1" applyFill="1" applyBorder="1" applyAlignment="1" applyProtection="1">
      <alignment horizontal="center" vertical="top"/>
      <protection locked="0"/>
    </xf>
    <xf numFmtId="179" fontId="375" fillId="0" borderId="350" xfId="22687" applyNumberFormat="1" applyFont="1" applyFill="1" applyBorder="1" applyAlignment="1" applyProtection="1">
      <alignment horizontal="left" vertical="top" wrapText="1"/>
      <protection locked="0"/>
    </xf>
    <xf numFmtId="14" fontId="375" fillId="0" borderId="370" xfId="22687" applyNumberFormat="1" applyFont="1" applyFill="1" applyBorder="1" applyAlignment="1" applyProtection="1">
      <alignment horizontal="center" vertical="top"/>
      <protection locked="0"/>
    </xf>
    <xf numFmtId="0" fontId="375" fillId="0" borderId="340" xfId="22678" quotePrefix="1" applyNumberFormat="1" applyFont="1" applyBorder="1" applyAlignment="1" applyProtection="1">
      <alignment horizontal="center" vertical="top"/>
      <protection locked="0"/>
    </xf>
    <xf numFmtId="179" fontId="375" fillId="0" borderId="435" xfId="22687" applyNumberFormat="1" applyFont="1" applyFill="1" applyBorder="1" applyAlignment="1" applyProtection="1">
      <alignment horizontal="left" vertical="top" wrapText="1"/>
      <protection locked="0"/>
    </xf>
    <xf numFmtId="286" fontId="375" fillId="0" borderId="231" xfId="22687" applyNumberFormat="1" applyFont="1" applyFill="1" applyBorder="1" applyAlignment="1" applyProtection="1">
      <alignment horizontal="center" vertical="top" wrapText="1"/>
      <protection locked="0"/>
    </xf>
    <xf numFmtId="286" fontId="375" fillId="0" borderId="434" xfId="22687" applyNumberFormat="1" applyFont="1" applyFill="1" applyBorder="1" applyAlignment="1" applyProtection="1">
      <alignment horizontal="center" vertical="center" wrapText="1"/>
      <protection locked="0"/>
    </xf>
    <xf numFmtId="286" fontId="375" fillId="0" borderId="340" xfId="22687" applyNumberFormat="1" applyFont="1" applyFill="1" applyBorder="1" applyAlignment="1" applyProtection="1">
      <alignment horizontal="center" vertical="top"/>
      <protection locked="0"/>
    </xf>
    <xf numFmtId="49" fontId="375" fillId="0" borderId="436" xfId="22678" quotePrefix="1" applyNumberFormat="1" applyFont="1" applyBorder="1" applyAlignment="1" applyProtection="1">
      <alignment horizontal="center" vertical="top"/>
      <protection locked="0"/>
    </xf>
    <xf numFmtId="210" fontId="375" fillId="34" borderId="435" xfId="22687" applyNumberFormat="1" applyFont="1" applyFill="1" applyBorder="1" applyAlignment="1" applyProtection="1">
      <alignment horizontal="center" vertical="top"/>
      <protection locked="0"/>
    </xf>
    <xf numFmtId="179" fontId="375" fillId="0" borderId="434" xfId="22687" applyNumberFormat="1" applyFont="1" applyFill="1" applyBorder="1" applyAlignment="1" applyProtection="1">
      <alignment horizontal="center" vertical="top"/>
      <protection locked="0"/>
    </xf>
    <xf numFmtId="179" fontId="375" fillId="0" borderId="436" xfId="22686" applyNumberFormat="1" applyFont="1" applyFill="1" applyBorder="1" applyAlignment="1" applyProtection="1">
      <alignment horizontal="center" vertical="top"/>
      <protection locked="0"/>
    </xf>
    <xf numFmtId="210" fontId="375" fillId="34" borderId="332" xfId="22687" applyNumberFormat="1" applyFont="1" applyFill="1" applyBorder="1" applyAlignment="1" applyProtection="1">
      <alignment horizontal="center" vertical="top"/>
      <protection locked="0"/>
    </xf>
    <xf numFmtId="38" fontId="375" fillId="0" borderId="434" xfId="22687" applyNumberFormat="1" applyFont="1" applyFill="1" applyBorder="1" applyAlignment="1" applyProtection="1">
      <alignment horizontal="right" vertical="top"/>
      <protection locked="0"/>
    </xf>
    <xf numFmtId="179" fontId="375" fillId="0" borderId="433" xfId="22686" applyNumberFormat="1" applyFont="1" applyFill="1" applyBorder="1" applyAlignment="1" applyProtection="1">
      <alignment horizontal="center" vertical="center"/>
      <protection locked="0"/>
    </xf>
    <xf numFmtId="179" fontId="375" fillId="0" borderId="447" xfId="22686" applyNumberFormat="1" applyFont="1" applyFill="1" applyBorder="1" applyAlignment="1" applyProtection="1">
      <alignment horizontal="center" vertical="top" wrapText="1"/>
      <protection locked="0"/>
    </xf>
    <xf numFmtId="179" fontId="375" fillId="0" borderId="434" xfId="22686" applyNumberFormat="1" applyFont="1" applyFill="1" applyBorder="1" applyAlignment="1" applyProtection="1">
      <alignment horizontal="center" vertical="top" wrapText="1"/>
      <protection locked="0"/>
    </xf>
    <xf numFmtId="49" fontId="375" fillId="0" borderId="435" xfId="22678" applyNumberFormat="1" applyFont="1" applyBorder="1" applyAlignment="1" applyProtection="1">
      <alignment horizontal="center" vertical="top"/>
      <protection locked="0"/>
    </xf>
    <xf numFmtId="179" fontId="375" fillId="0" borderId="447" xfId="22687" applyNumberFormat="1" applyFont="1" applyFill="1" applyBorder="1" applyAlignment="1" applyProtection="1">
      <alignment horizontal="center" vertical="top"/>
      <protection locked="0"/>
    </xf>
    <xf numFmtId="179" fontId="375" fillId="0" borderId="340" xfId="22687" applyNumberFormat="1" applyFont="1" applyFill="1" applyBorder="1" applyAlignment="1" applyProtection="1">
      <alignment horizontal="center" vertical="top"/>
      <protection locked="0"/>
    </xf>
    <xf numFmtId="179" fontId="375" fillId="0" borderId="436" xfId="22687" applyNumberFormat="1" applyFont="1" applyFill="1" applyBorder="1" applyAlignment="1" applyProtection="1">
      <alignment horizontal="center" vertical="top"/>
      <protection locked="0"/>
    </xf>
    <xf numFmtId="179" fontId="375" fillId="0" borderId="433" xfId="22687" applyNumberFormat="1" applyFont="1" applyFill="1" applyBorder="1" applyAlignment="1" applyProtection="1">
      <alignment horizontal="center" vertical="top"/>
      <protection locked="0"/>
    </xf>
    <xf numFmtId="179" fontId="375" fillId="0" borderId="231" xfId="22687" applyNumberFormat="1" applyFont="1" applyFill="1" applyBorder="1" applyAlignment="1" applyProtection="1">
      <alignment horizontal="center" vertical="top"/>
      <protection locked="0"/>
    </xf>
    <xf numFmtId="49" fontId="375" fillId="0" borderId="340" xfId="22678" applyNumberFormat="1" applyFont="1" applyBorder="1" applyAlignment="1" applyProtection="1">
      <alignment horizontal="center" vertical="top"/>
      <protection locked="0"/>
    </xf>
    <xf numFmtId="14" fontId="375" fillId="0" borderId="434" xfId="22687" applyNumberFormat="1" applyFont="1" applyFill="1" applyBorder="1" applyAlignment="1" applyProtection="1">
      <alignment horizontal="center" vertical="top"/>
      <protection locked="0"/>
    </xf>
    <xf numFmtId="1" fontId="375" fillId="0" borderId="338" xfId="22687" applyNumberFormat="1" applyFont="1" applyFill="1" applyBorder="1" applyAlignment="1" applyProtection="1">
      <alignment horizontal="center" vertical="top"/>
      <protection locked="0"/>
    </xf>
    <xf numFmtId="49" fontId="375" fillId="0" borderId="337" xfId="22678" applyNumberFormat="1" applyFont="1" applyBorder="1" applyAlignment="1" applyProtection="1">
      <alignment horizontal="left" vertical="top"/>
      <protection locked="0"/>
    </xf>
    <xf numFmtId="49" fontId="375" fillId="0" borderId="434" xfId="22678" applyNumberFormat="1" applyFont="1" applyBorder="1" applyAlignment="1" applyProtection="1">
      <alignment horizontal="left" vertical="top"/>
      <protection locked="0"/>
    </xf>
    <xf numFmtId="14" fontId="375" fillId="0" borderId="435" xfId="22687" applyNumberFormat="1" applyFont="1" applyFill="1" applyBorder="1" applyAlignment="1" applyProtection="1">
      <alignment horizontal="center" vertical="top"/>
      <protection locked="0"/>
    </xf>
    <xf numFmtId="14" fontId="375" fillId="34" borderId="435" xfId="22687" applyNumberFormat="1" applyFont="1" applyFill="1" applyBorder="1" applyAlignment="1" applyProtection="1">
      <alignment horizontal="center" vertical="top"/>
      <protection locked="0"/>
    </xf>
    <xf numFmtId="0" fontId="375" fillId="0" borderId="233" xfId="22678" applyNumberFormat="1" applyFont="1" applyBorder="1" applyAlignment="1" applyProtection="1">
      <alignment horizontal="left" vertical="top" wrapText="1"/>
      <protection locked="0"/>
    </xf>
    <xf numFmtId="179" fontId="377" fillId="0" borderId="233" xfId="22687" applyNumberFormat="1" applyFont="1" applyFill="1" applyBorder="1" applyAlignment="1" applyProtection="1">
      <alignment horizontal="right" vertical="center"/>
      <protection locked="0"/>
    </xf>
    <xf numFmtId="38" fontId="377" fillId="0" borderId="233" xfId="22687" applyNumberFormat="1" applyFont="1" applyFill="1" applyBorder="1" applyAlignment="1" applyProtection="1">
      <alignment horizontal="right" vertical="center"/>
      <protection locked="0"/>
    </xf>
    <xf numFmtId="38" fontId="354" fillId="0" borderId="358" xfId="22678" applyNumberFormat="1" applyFont="1" applyBorder="1" applyAlignment="1" applyProtection="1">
      <alignment vertical="center"/>
      <protection locked="0"/>
    </xf>
    <xf numFmtId="0" fontId="66" fillId="33" borderId="434" xfId="13899" applyFill="1" applyBorder="1"/>
    <xf numFmtId="0" fontId="350" fillId="107" borderId="365" xfId="13899" applyFont="1" applyFill="1" applyBorder="1" applyAlignment="1">
      <alignment horizontal="center" vertical="center"/>
    </xf>
    <xf numFmtId="0" fontId="21" fillId="0" borderId="183" xfId="0" applyFont="1" applyBorder="1" applyAlignment="1">
      <alignment horizontal="left" vertical="center"/>
    </xf>
    <xf numFmtId="0" fontId="411" fillId="0" borderId="365" xfId="0" applyFont="1" applyBorder="1" applyAlignment="1">
      <alignment horizontal="center" vertical="center"/>
    </xf>
    <xf numFmtId="0" fontId="410" fillId="34" borderId="224" xfId="13899" applyFont="1" applyFill="1" applyBorder="1" applyAlignment="1">
      <alignment horizontal="center" vertical="center" wrapText="1"/>
    </xf>
    <xf numFmtId="0" fontId="21" fillId="0" borderId="102" xfId="0" applyFont="1" applyBorder="1" applyAlignment="1">
      <alignment horizontal="left" vertical="center"/>
    </xf>
    <xf numFmtId="0" fontId="411" fillId="0" borderId="228" xfId="0" applyFont="1" applyBorder="1" applyAlignment="1">
      <alignment horizontal="center" vertical="center"/>
    </xf>
    <xf numFmtId="0" fontId="410" fillId="34" borderId="372" xfId="13899" applyFont="1" applyFill="1" applyBorder="1" applyAlignment="1">
      <alignment horizontal="left" vertical="center"/>
    </xf>
    <xf numFmtId="0" fontId="21" fillId="0" borderId="358" xfId="0" applyFont="1" applyBorder="1" applyAlignment="1">
      <alignment horizontal="left" vertical="center"/>
    </xf>
    <xf numFmtId="0" fontId="411" fillId="0" borderId="360" xfId="0" applyFont="1" applyBorder="1" applyAlignment="1">
      <alignment horizontal="center" vertical="center"/>
    </xf>
    <xf numFmtId="0" fontId="410" fillId="34" borderId="359" xfId="13899" applyFont="1" applyFill="1" applyBorder="1" applyAlignment="1">
      <alignment horizontal="center" vertical="center" wrapText="1"/>
    </xf>
    <xf numFmtId="3" fontId="411" fillId="0" borderId="228" xfId="0" applyNumberFormat="1" applyFont="1" applyBorder="1" applyAlignment="1">
      <alignment horizontal="center" vertical="center"/>
    </xf>
    <xf numFmtId="0" fontId="364" fillId="134" borderId="228" xfId="0" applyFont="1" applyFill="1" applyBorder="1" applyAlignment="1">
      <alignment horizontal="center" vertical="center"/>
    </xf>
    <xf numFmtId="0" fontId="364" fillId="134" borderId="365" xfId="0" applyFont="1" applyFill="1" applyBorder="1" applyAlignment="1">
      <alignment horizontal="center" vertical="center"/>
    </xf>
    <xf numFmtId="0" fontId="387" fillId="134" borderId="224" xfId="13899" applyFont="1" applyFill="1" applyBorder="1" applyAlignment="1">
      <alignment horizontal="center" vertical="center" wrapText="1"/>
    </xf>
    <xf numFmtId="0" fontId="387" fillId="130" borderId="216" xfId="14981" applyFont="1" applyFill="1" applyBorder="1" applyAlignment="1">
      <alignment horizontal="center" vertical="center"/>
    </xf>
    <xf numFmtId="0" fontId="387" fillId="130" borderId="365" xfId="14981" applyFont="1" applyFill="1" applyBorder="1" applyAlignment="1">
      <alignment horizontal="center" vertical="center"/>
    </xf>
    <xf numFmtId="0" fontId="21" fillId="33" borderId="0" xfId="0" applyFont="1" applyFill="1" applyAlignment="1">
      <alignment horizontal="center" vertical="center" wrapText="1"/>
    </xf>
    <xf numFmtId="0" fontId="21" fillId="33" borderId="52" xfId="0" applyFont="1" applyFill="1" applyBorder="1" applyAlignment="1">
      <alignment horizontal="center" vertical="center" wrapText="1"/>
    </xf>
    <xf numFmtId="0" fontId="21" fillId="0" borderId="181" xfId="0" applyFont="1" applyBorder="1" applyAlignment="1">
      <alignment horizontal="left" vertical="center"/>
    </xf>
    <xf numFmtId="3" fontId="364" fillId="134" borderId="365" xfId="0" applyNumberFormat="1" applyFont="1" applyFill="1" applyBorder="1" applyAlignment="1">
      <alignment horizontal="center" vertical="center"/>
    </xf>
    <xf numFmtId="3" fontId="387" fillId="134" borderId="224" xfId="13899" applyNumberFormat="1" applyFont="1" applyFill="1" applyBorder="1" applyAlignment="1">
      <alignment horizontal="center" vertical="center" wrapText="1"/>
    </xf>
    <xf numFmtId="0" fontId="364" fillId="130" borderId="365" xfId="0" applyFont="1" applyFill="1" applyBorder="1" applyAlignment="1">
      <alignment horizontal="center" vertical="center"/>
    </xf>
    <xf numFmtId="0" fontId="102" fillId="33" borderId="230" xfId="13899" applyFont="1" applyFill="1" applyBorder="1"/>
    <xf numFmtId="0" fontId="102" fillId="33" borderId="434" xfId="13899" applyFont="1" applyFill="1" applyBorder="1"/>
    <xf numFmtId="0" fontId="102" fillId="33" borderId="434" xfId="13899" applyFont="1" applyFill="1" applyBorder="1" applyAlignment="1">
      <alignment horizontal="left"/>
    </xf>
    <xf numFmtId="0" fontId="66" fillId="33" borderId="231" xfId="13899" applyFill="1" applyBorder="1"/>
    <xf numFmtId="1" fontId="418" fillId="0" borderId="365" xfId="350" applyNumberFormat="1" applyFont="1" applyBorder="1" applyAlignment="1">
      <alignment horizontal="center" vertical="top"/>
    </xf>
    <xf numFmtId="0" fontId="418" fillId="0" borderId="365" xfId="137" applyNumberFormat="1" applyFont="1" applyFill="1" applyBorder="1" applyAlignment="1">
      <alignment vertical="top" wrapText="1"/>
    </xf>
    <xf numFmtId="1" fontId="451" fillId="158" borderId="365" xfId="350" applyNumberFormat="1" applyFont="1" applyFill="1" applyBorder="1" applyAlignment="1">
      <alignment horizontal="center" vertical="top"/>
    </xf>
    <xf numFmtId="0" fontId="451" fillId="158" borderId="365" xfId="137" applyNumberFormat="1" applyFont="1" applyFill="1" applyBorder="1" applyAlignment="1">
      <alignment vertical="top" wrapText="1"/>
    </xf>
    <xf numFmtId="2" fontId="418" fillId="0" borderId="365" xfId="350" applyNumberFormat="1" applyFont="1" applyBorder="1" applyAlignment="1">
      <alignment horizontal="center" vertical="center"/>
    </xf>
    <xf numFmtId="362" fontId="418" fillId="0" borderId="365" xfId="27918" applyNumberFormat="1" applyFont="1" applyFill="1" applyBorder="1" applyAlignment="1">
      <alignment horizontal="left" vertical="top" wrapText="1"/>
    </xf>
    <xf numFmtId="2" fontId="418" fillId="0" borderId="365" xfId="350" applyNumberFormat="1" applyFont="1" applyBorder="1" applyAlignment="1">
      <alignment horizontal="center" vertical="top"/>
    </xf>
    <xf numFmtId="362" fontId="418" fillId="0" borderId="365" xfId="27918" applyNumberFormat="1" applyFont="1" applyFill="1" applyBorder="1" applyAlignment="1">
      <alignment horizontal="center" vertical="center" wrapText="1"/>
    </xf>
    <xf numFmtId="362" fontId="418" fillId="0" borderId="365" xfId="19286" applyNumberFormat="1" applyFont="1" applyFill="1" applyBorder="1" applyAlignment="1">
      <alignment horizontal="left" vertical="center" wrapText="1"/>
    </xf>
    <xf numFmtId="1" fontId="454" fillId="144" borderId="365" xfId="350" applyNumberFormat="1" applyFont="1" applyFill="1" applyBorder="1" applyAlignment="1">
      <alignment horizontal="center" vertical="top"/>
    </xf>
    <xf numFmtId="362" fontId="454" fillId="144" borderId="365" xfId="137" applyNumberFormat="1" applyFont="1" applyFill="1" applyBorder="1" applyAlignment="1">
      <alignment vertical="top" wrapText="1"/>
    </xf>
    <xf numFmtId="362" fontId="418" fillId="0" borderId="365" xfId="137" applyNumberFormat="1" applyFont="1" applyFill="1" applyBorder="1" applyAlignment="1">
      <alignment vertical="center" wrapText="1"/>
    </xf>
    <xf numFmtId="362" fontId="418" fillId="0" borderId="365" xfId="137" applyNumberFormat="1" applyFont="1" applyFill="1" applyBorder="1" applyAlignment="1">
      <alignment vertical="top" wrapText="1"/>
    </xf>
    <xf numFmtId="362" fontId="169" fillId="0" borderId="365" xfId="19286" applyNumberFormat="1" applyFont="1" applyBorder="1" applyAlignment="1">
      <alignment horizontal="center" vertical="center"/>
    </xf>
    <xf numFmtId="0" fontId="172" fillId="0" borderId="365" xfId="0" applyFont="1" applyBorder="1" applyAlignment="1">
      <alignment vertical="center" wrapText="1"/>
    </xf>
    <xf numFmtId="229" fontId="172" fillId="0" borderId="365" xfId="19286" applyNumberFormat="1" applyFont="1" applyBorder="1" applyAlignment="1">
      <alignment vertical="center" wrapText="1"/>
    </xf>
    <xf numFmtId="171" fontId="91" fillId="154" borderId="365" xfId="22679" applyNumberFormat="1" applyFont="1" applyFill="1" applyBorder="1" applyAlignment="1" applyProtection="1">
      <alignment horizontal="center" vertical="center" wrapText="1"/>
      <protection locked="0"/>
    </xf>
    <xf numFmtId="171" fontId="91" fillId="166" borderId="365" xfId="22679" applyNumberFormat="1" applyFont="1" applyFill="1" applyBorder="1" applyAlignment="1" applyProtection="1">
      <alignment horizontal="left" vertical="center" wrapText="1"/>
      <protection locked="0"/>
    </xf>
    <xf numFmtId="9" fontId="21" fillId="0" borderId="0" xfId="0" applyNumberFormat="1" applyFont="1" applyAlignment="1">
      <alignment vertical="center"/>
    </xf>
    <xf numFmtId="0" fontId="21" fillId="0" borderId="0" xfId="0" applyFont="1" applyAlignment="1">
      <alignment horizontal="center" vertical="center" wrapText="1"/>
    </xf>
    <xf numFmtId="0" fontId="343" fillId="154" borderId="222" xfId="27885" applyFont="1" applyFill="1" applyBorder="1"/>
    <xf numFmtId="171" fontId="343" fillId="107" borderId="350" xfId="27886" applyFont="1" applyFill="1" applyBorder="1" applyAlignment="1">
      <alignment horizontal="center" vertical="center"/>
    </xf>
    <xf numFmtId="171" fontId="65" fillId="107" borderId="350" xfId="27886" applyFont="1" applyFill="1" applyBorder="1" applyAlignment="1">
      <alignment horizontal="center" vertical="center"/>
    </xf>
    <xf numFmtId="171" fontId="65" fillId="107" borderId="350" xfId="27886" applyFont="1" applyFill="1" applyBorder="1"/>
    <xf numFmtId="171" fontId="65" fillId="107" borderId="350" xfId="27886" applyFont="1" applyFill="1" applyBorder="1" applyAlignment="1">
      <alignment vertical="center"/>
    </xf>
    <xf numFmtId="171" fontId="343" fillId="107" borderId="350" xfId="27886" applyFont="1" applyFill="1" applyBorder="1" applyAlignment="1">
      <alignment vertical="center"/>
    </xf>
    <xf numFmtId="38" fontId="21" fillId="131" borderId="0" xfId="27885" applyNumberFormat="1" applyFont="1" applyFill="1"/>
    <xf numFmtId="38" fontId="21" fillId="136" borderId="0" xfId="27885" applyNumberFormat="1" applyFont="1" applyFill="1"/>
    <xf numFmtId="171" fontId="65" fillId="133" borderId="367" xfId="27886" applyFont="1" applyFill="1" applyBorder="1"/>
    <xf numFmtId="0" fontId="65" fillId="0" borderId="230" xfId="27885" applyFont="1" applyBorder="1"/>
    <xf numFmtId="0" fontId="65" fillId="0" borderId="434" xfId="27885" applyFont="1" applyBorder="1"/>
    <xf numFmtId="0" fontId="169" fillId="0" borderId="434" xfId="27885" applyFont="1" applyBorder="1" applyAlignment="1">
      <alignment horizontal="center" vertical="center"/>
    </xf>
    <xf numFmtId="171" fontId="65" fillId="0" borderId="434" xfId="27886" applyFont="1" applyBorder="1"/>
    <xf numFmtId="171" fontId="65" fillId="0" borderId="231" xfId="27886" applyFont="1" applyBorder="1"/>
    <xf numFmtId="179" fontId="66" fillId="0" borderId="350" xfId="22694" applyNumberFormat="1" applyFont="1" applyFill="1" applyBorder="1" applyAlignment="1" applyProtection="1">
      <alignment horizontal="left" vertical="center"/>
      <protection locked="0"/>
    </xf>
    <xf numFmtId="359" fontId="437" fillId="0" borderId="45" xfId="22678" applyFont="1" applyBorder="1" applyAlignment="1" applyProtection="1">
      <alignment vertical="center"/>
      <protection locked="0"/>
    </xf>
    <xf numFmtId="43" fontId="437" fillId="0" borderId="367" xfId="19286" applyFont="1" applyFill="1" applyBorder="1" applyAlignment="1" applyProtection="1">
      <alignment horizontal="center" vertical="center"/>
      <protection locked="0"/>
    </xf>
    <xf numFmtId="43" fontId="437" fillId="0" borderId="367" xfId="19286" quotePrefix="1" applyFont="1" applyBorder="1" applyAlignment="1" applyProtection="1">
      <alignment horizontal="center" vertical="center"/>
      <protection locked="0"/>
    </xf>
    <xf numFmtId="40" fontId="437" fillId="0" borderId="121" xfId="27944" applyNumberFormat="1" applyFont="1" applyFill="1" applyBorder="1" applyAlignment="1" applyProtection="1">
      <alignment horizontal="center" vertical="center"/>
      <protection locked="0"/>
    </xf>
    <xf numFmtId="4" fontId="172" fillId="0" borderId="0" xfId="0" applyNumberFormat="1" applyFont="1" applyAlignment="1">
      <alignment vertical="center"/>
    </xf>
    <xf numFmtId="0" fontId="172" fillId="107" borderId="183" xfId="0" applyFont="1" applyFill="1" applyBorder="1" applyAlignment="1">
      <alignment horizontal="left" vertical="center" wrapText="1"/>
    </xf>
    <xf numFmtId="15" fontId="437" fillId="199" borderId="117" xfId="27953" applyNumberFormat="1" applyFont="1" applyFill="1" applyBorder="1" applyAlignment="1" applyProtection="1">
      <alignment horizontal="center" vertical="center" wrapText="1"/>
      <protection locked="0"/>
    </xf>
    <xf numFmtId="0" fontId="440" fillId="137" borderId="0" xfId="0" applyFont="1" applyFill="1" applyAlignment="1">
      <alignment vertical="center"/>
    </xf>
    <xf numFmtId="0" fontId="440" fillId="203" borderId="0" xfId="0" applyFont="1" applyFill="1" applyAlignment="1">
      <alignment vertical="center"/>
    </xf>
    <xf numFmtId="171" fontId="527" fillId="0" borderId="269" xfId="27926" applyFont="1" applyFill="1" applyBorder="1" applyAlignment="1">
      <alignment horizontal="left" vertical="center" wrapText="1"/>
    </xf>
    <xf numFmtId="3" fontId="418" fillId="0" borderId="0" xfId="27925" applyNumberFormat="1" applyFont="1" applyAlignment="1">
      <alignment horizontal="center" vertical="center"/>
    </xf>
    <xf numFmtId="171" fontId="527" fillId="0" borderId="325" xfId="27926" applyFont="1" applyFill="1" applyBorder="1" applyAlignment="1">
      <alignment vertical="center" wrapText="1"/>
    </xf>
    <xf numFmtId="171" fontId="527" fillId="0" borderId="270" xfId="27926" applyFont="1" applyFill="1" applyBorder="1" applyAlignment="1">
      <alignment vertical="center" wrapText="1"/>
    </xf>
    <xf numFmtId="171" fontId="527" fillId="0" borderId="270" xfId="27926" applyFont="1" applyFill="1" applyBorder="1" applyAlignment="1">
      <alignment horizontal="left" vertical="center" wrapText="1"/>
    </xf>
    <xf numFmtId="171" fontId="527" fillId="0" borderId="270" xfId="27926" applyFont="1" applyFill="1" applyBorder="1" applyAlignment="1">
      <alignment vertical="top" wrapText="1"/>
    </xf>
    <xf numFmtId="171" fontId="527" fillId="0" borderId="270" xfId="27926" applyFont="1" applyFill="1" applyBorder="1" applyAlignment="1">
      <alignment horizontal="left" vertical="top" wrapText="1"/>
    </xf>
    <xf numFmtId="171" fontId="484" fillId="164" borderId="270" xfId="27926" applyFont="1" applyFill="1" applyBorder="1" applyAlignment="1">
      <alignment horizontal="left" vertical="center"/>
    </xf>
    <xf numFmtId="171" fontId="527" fillId="0" borderId="270" xfId="27926" applyFont="1" applyFill="1" applyBorder="1" applyAlignment="1">
      <alignment horizontal="left" vertical="center"/>
    </xf>
    <xf numFmtId="363" fontId="528" fillId="0" borderId="270" xfId="27925" applyNumberFormat="1" applyFont="1" applyBorder="1" applyAlignment="1">
      <alignment horizontal="left" vertical="center"/>
    </xf>
    <xf numFmtId="43" fontId="172" fillId="0" borderId="0" xfId="19286" applyFont="1" applyAlignment="1">
      <alignment vertical="center" wrapText="1"/>
    </xf>
    <xf numFmtId="179" fontId="504" fillId="107" borderId="350" xfId="7850" applyNumberFormat="1" applyFont="1" applyFill="1" applyBorder="1" applyAlignment="1" applyProtection="1">
      <alignment horizontal="center" vertical="center"/>
      <protection locked="0"/>
    </xf>
    <xf numFmtId="15" fontId="434" fillId="0" borderId="241" xfId="0" applyNumberFormat="1" applyFont="1" applyBorder="1" applyAlignment="1" applyProtection="1">
      <alignment vertical="center"/>
      <protection locked="0"/>
    </xf>
    <xf numFmtId="210" fontId="517" fillId="0" borderId="241" xfId="0" applyNumberFormat="1" applyFont="1" applyBorder="1" applyAlignment="1" applyProtection="1">
      <alignment vertical="center"/>
      <protection locked="0"/>
    </xf>
    <xf numFmtId="0" fontId="517" fillId="0" borderId="245" xfId="0" applyFont="1" applyBorder="1" applyAlignment="1" applyProtection="1">
      <alignment vertical="center"/>
      <protection locked="0"/>
    </xf>
    <xf numFmtId="0" fontId="517" fillId="0" borderId="245" xfId="0" applyFont="1" applyBorder="1" applyAlignment="1" applyProtection="1">
      <alignment vertical="center" wrapText="1"/>
      <protection locked="0"/>
    </xf>
    <xf numFmtId="0" fontId="437" fillId="34" borderId="117" xfId="22678" applyNumberFormat="1" applyFont="1" applyFill="1" applyBorder="1" applyAlignment="1" applyProtection="1">
      <alignment horizontal="center" vertical="center"/>
      <protection locked="0"/>
    </xf>
    <xf numFmtId="43" fontId="519" fillId="204" borderId="115" xfId="19286" applyFont="1" applyFill="1" applyBorder="1"/>
    <xf numFmtId="171" fontId="0" fillId="0" borderId="0" xfId="0" applyNumberFormat="1"/>
    <xf numFmtId="40" fontId="519" fillId="204" borderId="115" xfId="0" applyNumberFormat="1" applyFont="1" applyFill="1" applyBorder="1"/>
    <xf numFmtId="43" fontId="437" fillId="0" borderId="0" xfId="19286" applyFont="1" applyFill="1" applyBorder="1" applyAlignment="1" applyProtection="1">
      <alignment horizontal="center" vertical="center"/>
      <protection locked="0"/>
    </xf>
    <xf numFmtId="171" fontId="341" fillId="0" borderId="0" xfId="0" applyNumberFormat="1" applyFont="1"/>
    <xf numFmtId="43" fontId="0" fillId="0" borderId="0" xfId="0" applyNumberFormat="1"/>
    <xf numFmtId="0" fontId="341" fillId="0" borderId="0" xfId="0" quotePrefix="1" applyFont="1"/>
    <xf numFmtId="43" fontId="341" fillId="0" borderId="0" xfId="19286" applyFont="1"/>
    <xf numFmtId="179" fontId="437" fillId="0" borderId="117" xfId="27944" applyNumberFormat="1" applyFont="1" applyFill="1" applyBorder="1" applyAlignment="1" applyProtection="1">
      <alignment horizontal="center" vertical="center" wrapText="1"/>
      <protection locked="0"/>
    </xf>
    <xf numFmtId="40" fontId="437" fillId="0" borderId="117" xfId="27944" applyNumberFormat="1" applyFont="1" applyFill="1" applyBorder="1" applyAlignment="1" applyProtection="1">
      <alignment horizontal="center" vertical="center" wrapText="1"/>
      <protection locked="0"/>
    </xf>
    <xf numFmtId="0" fontId="0" fillId="0" borderId="0" xfId="0" applyAlignment="1">
      <alignment vertical="center"/>
    </xf>
    <xf numFmtId="0" fontId="437" fillId="0" borderId="214" xfId="22678" quotePrefix="1" applyNumberFormat="1" applyFont="1" applyBorder="1" applyAlignment="1" applyProtection="1">
      <alignment horizontal="center" vertical="center" wrapText="1"/>
      <protection locked="0"/>
    </xf>
    <xf numFmtId="179" fontId="441" fillId="143" borderId="263" xfId="27944" applyNumberFormat="1" applyFont="1" applyFill="1" applyBorder="1" applyAlignment="1" applyProtection="1">
      <alignment horizontal="center" vertical="center" wrapText="1"/>
      <protection locked="0"/>
    </xf>
    <xf numFmtId="171" fontId="441" fillId="143" borderId="448" xfId="22679" applyNumberFormat="1" applyFont="1" applyFill="1" applyBorder="1" applyAlignment="1" applyProtection="1">
      <alignment horizontal="center" vertical="center" wrapText="1"/>
      <protection locked="0"/>
    </xf>
    <xf numFmtId="15" fontId="437" fillId="0" borderId="117" xfId="22678" quotePrefix="1" applyNumberFormat="1" applyFont="1" applyBorder="1" applyAlignment="1" applyProtection="1">
      <alignment horizontal="center" vertical="center" wrapText="1"/>
      <protection locked="0"/>
    </xf>
    <xf numFmtId="43" fontId="0" fillId="0" borderId="0" xfId="19286" applyFont="1" applyAlignment="1">
      <alignment vertical="center"/>
    </xf>
    <xf numFmtId="0" fontId="504" fillId="107" borderId="218" xfId="7850" applyNumberFormat="1" applyFont="1" applyFill="1" applyBorder="1" applyAlignment="1" applyProtection="1">
      <alignment horizontal="center" vertical="center"/>
      <protection locked="0"/>
    </xf>
    <xf numFmtId="0" fontId="504" fillId="107" borderId="147" xfId="7850" applyNumberFormat="1" applyFont="1" applyFill="1" applyBorder="1" applyAlignment="1" applyProtection="1">
      <alignment horizontal="center" vertical="center"/>
      <protection locked="0"/>
    </xf>
    <xf numFmtId="0" fontId="353" fillId="107" borderId="148" xfId="22678" applyNumberFormat="1" applyFont="1" applyFill="1" applyBorder="1" applyAlignment="1" applyProtection="1">
      <alignment vertical="center" wrapText="1"/>
      <protection locked="0"/>
    </xf>
    <xf numFmtId="171" fontId="20" fillId="0" borderId="0" xfId="27936" applyNumberFormat="1" applyFont="1" applyAlignment="1">
      <alignment vertical="center"/>
    </xf>
    <xf numFmtId="40" fontId="437" fillId="0" borderId="117" xfId="27946" applyNumberFormat="1" applyFont="1" applyFill="1" applyBorder="1" applyAlignment="1" applyProtection="1">
      <alignment horizontal="center" vertical="center" wrapText="1"/>
      <protection locked="0"/>
    </xf>
    <xf numFmtId="359" fontId="437" fillId="0" borderId="0" xfId="22678" applyFont="1" applyAlignment="1" applyProtection="1">
      <alignment horizontal="center" vertical="center" wrapText="1"/>
      <protection locked="0"/>
    </xf>
    <xf numFmtId="359" fontId="443" fillId="137" borderId="110" xfId="22678" applyFont="1" applyFill="1" applyBorder="1" applyAlignment="1" applyProtection="1">
      <alignment horizontal="centerContinuous" vertical="center" wrapText="1"/>
      <protection locked="0"/>
    </xf>
    <xf numFmtId="0" fontId="437" fillId="0" borderId="117" xfId="22678" quotePrefix="1" applyNumberFormat="1" applyFont="1" applyBorder="1" applyAlignment="1" applyProtection="1">
      <alignment horizontal="center" vertical="center" wrapText="1"/>
      <protection locked="0"/>
    </xf>
    <xf numFmtId="0" fontId="437" fillId="0" borderId="170" xfId="22678" quotePrefix="1" applyNumberFormat="1" applyFont="1" applyBorder="1" applyAlignment="1" applyProtection="1">
      <alignment horizontal="center" vertical="center" wrapText="1"/>
      <protection locked="0"/>
    </xf>
    <xf numFmtId="0" fontId="437" fillId="0" borderId="0" xfId="22678" quotePrefix="1" applyNumberFormat="1" applyFont="1" applyAlignment="1" applyProtection="1">
      <alignment horizontal="center" vertical="center" wrapText="1"/>
      <protection locked="0"/>
    </xf>
    <xf numFmtId="0" fontId="437" fillId="0" borderId="0" xfId="22678" applyNumberFormat="1" applyFont="1" applyAlignment="1" applyProtection="1">
      <alignment horizontal="center" vertical="center" wrapText="1"/>
      <protection locked="0"/>
    </xf>
    <xf numFmtId="0" fontId="0" fillId="0" borderId="0" xfId="0" applyAlignment="1">
      <alignment wrapText="1"/>
    </xf>
    <xf numFmtId="49" fontId="169" fillId="107" borderId="145" xfId="22678" quotePrefix="1" applyNumberFormat="1" applyFont="1" applyFill="1" applyBorder="1" applyAlignment="1" applyProtection="1">
      <alignment horizontal="center" vertical="center" wrapText="1"/>
      <protection locked="0"/>
    </xf>
    <xf numFmtId="366" fontId="169" fillId="107" borderId="117" xfId="7850" applyNumberFormat="1" applyFont="1" applyFill="1" applyBorder="1" applyAlignment="1" applyProtection="1">
      <alignment horizontal="center" vertical="center"/>
      <protection locked="0"/>
    </xf>
    <xf numFmtId="15" fontId="437" fillId="0" borderId="214" xfId="22678" quotePrefix="1" applyNumberFormat="1" applyFont="1" applyBorder="1" applyAlignment="1" applyProtection="1">
      <alignment horizontal="center" vertical="center" wrapText="1"/>
      <protection locked="0"/>
    </xf>
    <xf numFmtId="0" fontId="515" fillId="169" borderId="271" xfId="27926" applyNumberFormat="1" applyFont="1" applyFill="1" applyBorder="1" applyAlignment="1">
      <alignment horizontal="center" vertical="center"/>
    </xf>
    <xf numFmtId="0" fontId="515" fillId="169" borderId="0" xfId="27926" applyNumberFormat="1" applyFont="1" applyFill="1" applyBorder="1" applyAlignment="1">
      <alignment horizontal="center" vertical="center"/>
    </xf>
    <xf numFmtId="171" fontId="67" fillId="0" borderId="0" xfId="27936" applyNumberFormat="1" applyFont="1" applyAlignment="1">
      <alignment vertical="center"/>
    </xf>
    <xf numFmtId="38" fontId="451" fillId="0" borderId="295" xfId="27927" applyNumberFormat="1" applyFont="1" applyFill="1" applyBorder="1" applyAlignment="1">
      <alignment horizontal="center" vertical="center" wrapText="1"/>
    </xf>
    <xf numFmtId="38" fontId="451" fillId="0" borderId="296" xfId="27927" applyNumberFormat="1" applyFont="1" applyFill="1" applyBorder="1" applyAlignment="1">
      <alignment horizontal="center" vertical="center" wrapText="1"/>
    </xf>
    <xf numFmtId="38" fontId="451" fillId="0" borderId="300" xfId="27927" applyNumberFormat="1" applyFont="1" applyFill="1" applyBorder="1" applyAlignment="1">
      <alignment horizontal="center" vertical="center" wrapText="1"/>
    </xf>
    <xf numFmtId="38" fontId="451" fillId="0" borderId="291" xfId="27927" applyNumberFormat="1" applyFont="1" applyFill="1" applyBorder="1" applyAlignment="1">
      <alignment horizontal="center" vertical="center" wrapText="1"/>
    </xf>
    <xf numFmtId="38" fontId="451" fillId="0" borderId="287" xfId="27927" applyNumberFormat="1" applyFont="1" applyFill="1" applyBorder="1" applyAlignment="1">
      <alignment horizontal="center" vertical="center" wrapText="1"/>
    </xf>
    <xf numFmtId="38" fontId="418" fillId="0" borderId="295" xfId="27926" applyNumberFormat="1" applyFont="1" applyFill="1" applyBorder="1" applyAlignment="1">
      <alignment horizontal="center" vertical="center"/>
    </xf>
    <xf numFmtId="38" fontId="418" fillId="0" borderId="296" xfId="27926" applyNumberFormat="1" applyFont="1" applyFill="1" applyBorder="1" applyAlignment="1">
      <alignment horizontal="center" vertical="center"/>
    </xf>
    <xf numFmtId="38" fontId="418" fillId="0" borderId="300" xfId="27926" applyNumberFormat="1" applyFont="1" applyFill="1" applyBorder="1" applyAlignment="1">
      <alignment horizontal="center" vertical="center"/>
    </xf>
    <xf numFmtId="38" fontId="418" fillId="0" borderId="291" xfId="27926" applyNumberFormat="1" applyFont="1" applyFill="1" applyBorder="1" applyAlignment="1">
      <alignment horizontal="center" vertical="center"/>
    </xf>
    <xf numFmtId="38" fontId="418" fillId="0" borderId="287" xfId="27926" applyNumberFormat="1" applyFont="1" applyFill="1" applyBorder="1" applyAlignment="1">
      <alignment horizontal="center" vertical="center"/>
    </xf>
    <xf numFmtId="38" fontId="451" fillId="0" borderId="303" xfId="27927" applyNumberFormat="1" applyFont="1" applyFill="1" applyBorder="1" applyAlignment="1">
      <alignment horizontal="center" vertical="center" wrapText="1"/>
    </xf>
    <xf numFmtId="38" fontId="451" fillId="0" borderId="304" xfId="27927" applyNumberFormat="1" applyFont="1" applyFill="1" applyBorder="1" applyAlignment="1">
      <alignment horizontal="center" vertical="center" wrapText="1"/>
    </xf>
    <xf numFmtId="38" fontId="451" fillId="0" borderId="305" xfId="27927" applyNumberFormat="1" applyFont="1" applyFill="1" applyBorder="1" applyAlignment="1">
      <alignment horizontal="center" vertical="center" wrapText="1"/>
    </xf>
    <xf numFmtId="38" fontId="451" fillId="0" borderId="283" xfId="27927" applyNumberFormat="1" applyFont="1" applyFill="1" applyBorder="1" applyAlignment="1">
      <alignment horizontal="center" vertical="center" wrapText="1"/>
    </xf>
    <xf numFmtId="38" fontId="451" fillId="0" borderId="284" xfId="27927" applyNumberFormat="1" applyFont="1" applyFill="1" applyBorder="1" applyAlignment="1">
      <alignment horizontal="center" vertical="center" wrapText="1"/>
    </xf>
    <xf numFmtId="38" fontId="451" fillId="170" borderId="313" xfId="27927" applyNumberFormat="1" applyFont="1" applyFill="1" applyBorder="1" applyAlignment="1">
      <alignment horizontal="center" vertical="center" wrapText="1"/>
    </xf>
    <xf numFmtId="38" fontId="451" fillId="170" borderId="302" xfId="27927" applyNumberFormat="1" applyFont="1" applyFill="1" applyBorder="1" applyAlignment="1">
      <alignment horizontal="center" vertical="center" wrapText="1"/>
    </xf>
    <xf numFmtId="38" fontId="418" fillId="0" borderId="306" xfId="27926" applyNumberFormat="1" applyFont="1" applyFill="1" applyBorder="1" applyAlignment="1">
      <alignment horizontal="center" vertical="center"/>
    </xf>
    <xf numFmtId="38" fontId="418" fillId="0" borderId="307" xfId="27926" applyNumberFormat="1" applyFont="1" applyFill="1" applyBorder="1" applyAlignment="1">
      <alignment horizontal="center" vertical="center"/>
    </xf>
    <xf numFmtId="38" fontId="418" fillId="0" borderId="308" xfId="27926" applyNumberFormat="1" applyFont="1" applyFill="1" applyBorder="1" applyAlignment="1">
      <alignment horizontal="center" vertical="center"/>
    </xf>
    <xf numFmtId="38" fontId="418" fillId="0" borderId="309" xfId="27926" applyNumberFormat="1" applyFont="1" applyFill="1" applyBorder="1" applyAlignment="1">
      <alignment horizontal="center" vertical="center"/>
    </xf>
    <xf numFmtId="38" fontId="418" fillId="0" borderId="285" xfId="27926" applyNumberFormat="1" applyFont="1" applyFill="1" applyBorder="1" applyAlignment="1">
      <alignment horizontal="center" vertical="center"/>
    </xf>
    <xf numFmtId="38" fontId="451" fillId="165" borderId="339" xfId="27927" applyNumberFormat="1" applyFont="1" applyFill="1" applyBorder="1" applyAlignment="1">
      <alignment horizontal="center" vertical="center" wrapText="1"/>
    </xf>
    <xf numFmtId="38" fontId="451" fillId="165" borderId="287" xfId="27927" applyNumberFormat="1" applyFont="1" applyFill="1" applyBorder="1" applyAlignment="1">
      <alignment horizontal="center" vertical="center" wrapText="1"/>
    </xf>
    <xf numFmtId="38" fontId="451" fillId="0" borderId="341" xfId="27927" applyNumberFormat="1" applyFont="1" applyFill="1" applyBorder="1" applyAlignment="1">
      <alignment horizontal="center" vertical="center" wrapText="1"/>
    </xf>
    <xf numFmtId="38" fontId="418" fillId="0" borderId="303" xfId="27926" applyNumberFormat="1" applyFont="1" applyFill="1" applyBorder="1" applyAlignment="1">
      <alignment horizontal="center" vertical="center"/>
    </xf>
    <xf numFmtId="38" fontId="418" fillId="0" borderId="304" xfId="27926" applyNumberFormat="1" applyFont="1" applyFill="1" applyBorder="1" applyAlignment="1">
      <alignment horizontal="center" vertical="center"/>
    </xf>
    <xf numFmtId="38" fontId="418" fillId="0" borderId="305" xfId="27926" applyNumberFormat="1" applyFont="1" applyFill="1" applyBorder="1" applyAlignment="1">
      <alignment horizontal="center" vertical="center"/>
    </xf>
    <xf numFmtId="38" fontId="418" fillId="0" borderId="326" xfId="27926" applyNumberFormat="1" applyFont="1" applyFill="1" applyBorder="1" applyAlignment="1">
      <alignment horizontal="center" vertical="center"/>
    </xf>
    <xf numFmtId="38" fontId="418" fillId="0" borderId="327" xfId="27926" applyNumberFormat="1" applyFont="1" applyFill="1" applyBorder="1" applyAlignment="1">
      <alignment horizontal="center" vertical="center"/>
    </xf>
    <xf numFmtId="38" fontId="418" fillId="0" borderId="297" xfId="27926" applyNumberFormat="1" applyFont="1" applyFill="1" applyBorder="1" applyAlignment="1">
      <alignment horizontal="center" vertical="center"/>
    </xf>
    <xf numFmtId="38" fontId="418" fillId="0" borderId="298" xfId="27926" applyNumberFormat="1" applyFont="1" applyFill="1" applyBorder="1" applyAlignment="1">
      <alignment horizontal="center" vertical="center"/>
    </xf>
    <xf numFmtId="38" fontId="418" fillId="0" borderId="301" xfId="27926" applyNumberFormat="1" applyFont="1" applyFill="1" applyBorder="1" applyAlignment="1">
      <alignment horizontal="center" vertical="center"/>
    </xf>
    <xf numFmtId="38" fontId="418" fillId="0" borderId="292" xfId="27926" applyNumberFormat="1" applyFont="1" applyFill="1" applyBorder="1" applyAlignment="1">
      <alignment horizontal="center" vertical="center"/>
    </xf>
    <xf numFmtId="38" fontId="418" fillId="0" borderId="289" xfId="27926" applyNumberFormat="1" applyFont="1" applyFill="1" applyBorder="1" applyAlignment="1">
      <alignment horizontal="center" vertical="center"/>
    </xf>
    <xf numFmtId="43" fontId="451" fillId="0" borderId="0" xfId="19286" applyFont="1" applyAlignment="1">
      <alignment horizontal="center" vertical="center"/>
    </xf>
    <xf numFmtId="43" fontId="451" fillId="0" borderId="0" xfId="19286" applyFont="1"/>
    <xf numFmtId="365" fontId="451" fillId="0" borderId="268" xfId="27926" applyNumberFormat="1" applyFont="1" applyFill="1" applyBorder="1" applyAlignment="1">
      <alignment horizontal="left" vertical="center"/>
    </xf>
    <xf numFmtId="171" fontId="451" fillId="0" borderId="0" xfId="27925" applyNumberFormat="1" applyFont="1"/>
    <xf numFmtId="363" fontId="451" fillId="0" borderId="268" xfId="27925" applyNumberFormat="1" applyFont="1" applyBorder="1" applyAlignment="1">
      <alignment horizontal="center" vertical="center" wrapText="1"/>
    </xf>
    <xf numFmtId="362" fontId="66" fillId="0" borderId="350" xfId="22694" applyNumberFormat="1" applyFont="1" applyFill="1" applyBorder="1" applyAlignment="1" applyProtection="1">
      <alignment horizontal="right" vertical="center"/>
      <protection locked="0"/>
    </xf>
    <xf numFmtId="179" fontId="66" fillId="0" borderId="350" xfId="22694" applyNumberFormat="1" applyFont="1" applyFill="1" applyBorder="1" applyAlignment="1" applyProtection="1">
      <alignment horizontal="left" vertical="center" wrapText="1"/>
      <protection locked="0"/>
    </xf>
    <xf numFmtId="367" fontId="66" fillId="0" borderId="350" xfId="22694" applyNumberFormat="1" applyFont="1" applyFill="1" applyBorder="1" applyAlignment="1" applyProtection="1">
      <alignment horizontal="right" vertical="center"/>
      <protection locked="0"/>
    </xf>
    <xf numFmtId="363" fontId="66" fillId="0" borderId="350" xfId="22694" applyNumberFormat="1" applyFont="1" applyFill="1" applyBorder="1" applyAlignment="1" applyProtection="1">
      <alignment horizontal="right" vertical="center"/>
      <protection locked="0"/>
    </xf>
    <xf numFmtId="210" fontId="66" fillId="0" borderId="350" xfId="22694" applyNumberFormat="1" applyFont="1" applyFill="1" applyBorder="1" applyAlignment="1" applyProtection="1">
      <alignment horizontal="right" vertical="center"/>
      <protection locked="0"/>
    </xf>
    <xf numFmtId="179" fontId="66" fillId="0" borderId="350" xfId="22696" applyNumberFormat="1" applyFont="1" applyFill="1" applyBorder="1" applyAlignment="1" applyProtection="1">
      <alignment horizontal="center" vertical="center"/>
      <protection locked="0"/>
    </xf>
    <xf numFmtId="179" fontId="66" fillId="0" borderId="350" xfId="22696" applyNumberFormat="1" applyFont="1" applyFill="1" applyBorder="1" applyAlignment="1" applyProtection="1">
      <alignment vertical="center" wrapText="1"/>
      <protection locked="0"/>
    </xf>
    <xf numFmtId="0" fontId="66" fillId="0" borderId="350" xfId="22694" applyNumberFormat="1" applyFont="1" applyFill="1" applyBorder="1" applyAlignment="1" applyProtection="1">
      <alignment horizontal="right" vertical="center"/>
      <protection locked="0"/>
    </xf>
    <xf numFmtId="179" fontId="67" fillId="0" borderId="350" xfId="22694" applyNumberFormat="1" applyFont="1" applyFill="1" applyBorder="1" applyAlignment="1" applyProtection="1">
      <alignment horizontal="left" vertical="center"/>
      <protection locked="0"/>
    </xf>
    <xf numFmtId="210" fontId="67" fillId="0" borderId="350" xfId="22694" applyNumberFormat="1" applyFont="1" applyFill="1" applyBorder="1" applyAlignment="1" applyProtection="1">
      <alignment horizontal="right" vertical="center"/>
      <protection locked="0"/>
    </xf>
    <xf numFmtId="179" fontId="67" fillId="0" borderId="350" xfId="22696" applyNumberFormat="1" applyFont="1" applyFill="1" applyBorder="1" applyAlignment="1" applyProtection="1">
      <alignment horizontal="center" vertical="center"/>
      <protection locked="0"/>
    </xf>
    <xf numFmtId="179" fontId="67" fillId="0" borderId="350" xfId="22694" applyNumberFormat="1" applyFont="1" applyFill="1" applyBorder="1" applyAlignment="1" applyProtection="1">
      <alignment horizontal="left" vertical="center" wrapText="1"/>
      <protection locked="0"/>
    </xf>
    <xf numFmtId="362" fontId="67" fillId="0" borderId="350" xfId="22694" applyNumberFormat="1" applyFont="1" applyFill="1" applyBorder="1" applyAlignment="1" applyProtection="1">
      <alignment horizontal="right" vertical="center"/>
      <protection locked="0"/>
    </xf>
    <xf numFmtId="0" fontId="67" fillId="0" borderId="350" xfId="22694" applyNumberFormat="1" applyFont="1" applyFill="1" applyBorder="1" applyAlignment="1" applyProtection="1">
      <alignment horizontal="right" vertical="center"/>
      <protection locked="0"/>
    </xf>
    <xf numFmtId="179" fontId="526" fillId="0" borderId="350" xfId="22696" applyNumberFormat="1" applyFont="1" applyFill="1" applyBorder="1" applyAlignment="1" applyProtection="1">
      <alignment horizontal="center" vertical="center"/>
      <protection locked="0"/>
    </xf>
    <xf numFmtId="362" fontId="526" fillId="0" borderId="350" xfId="22694" applyNumberFormat="1" applyFont="1" applyFill="1" applyBorder="1" applyAlignment="1" applyProtection="1">
      <alignment horizontal="right" vertical="center"/>
      <protection locked="0"/>
    </xf>
    <xf numFmtId="210" fontId="526" fillId="0" borderId="350" xfId="22694" applyNumberFormat="1" applyFont="1" applyFill="1" applyBorder="1" applyAlignment="1" applyProtection="1">
      <alignment horizontal="right" vertical="center"/>
      <protection locked="0"/>
    </xf>
    <xf numFmtId="0" fontId="437" fillId="0" borderId="221" xfId="22678" quotePrefix="1" applyNumberFormat="1" applyFont="1" applyBorder="1" applyAlignment="1" applyProtection="1">
      <alignment horizontal="center" vertical="center" wrapText="1"/>
      <protection locked="0"/>
    </xf>
    <xf numFmtId="43" fontId="172" fillId="0" borderId="0" xfId="0" applyNumberFormat="1" applyFont="1" applyAlignment="1">
      <alignment vertical="center"/>
    </xf>
    <xf numFmtId="171" fontId="172" fillId="0" borderId="0" xfId="0" applyNumberFormat="1" applyFont="1" applyAlignment="1">
      <alignment vertical="center"/>
    </xf>
    <xf numFmtId="0" fontId="172" fillId="0" borderId="0" xfId="0" applyFont="1" applyAlignment="1">
      <alignment horizontal="right" vertical="center"/>
    </xf>
    <xf numFmtId="0" fontId="172" fillId="205" borderId="0" xfId="0" applyFont="1" applyFill="1" applyAlignment="1">
      <alignment vertical="center"/>
    </xf>
    <xf numFmtId="0" fontId="172" fillId="205" borderId="0" xfId="0" applyFont="1" applyFill="1" applyAlignment="1">
      <alignment vertical="center" wrapText="1"/>
    </xf>
    <xf numFmtId="0" fontId="172" fillId="0" borderId="125" xfId="0" applyFont="1" applyBorder="1" applyAlignment="1">
      <alignment vertical="center" wrapText="1"/>
    </xf>
    <xf numFmtId="0" fontId="172" fillId="117" borderId="125" xfId="0" applyFont="1" applyFill="1" applyBorder="1" applyAlignment="1">
      <alignment vertical="center" wrapText="1"/>
    </xf>
    <xf numFmtId="0" fontId="448" fillId="144" borderId="359" xfId="0" applyFont="1" applyFill="1" applyBorder="1" applyAlignment="1">
      <alignment vertical="center" wrapText="1"/>
    </xf>
    <xf numFmtId="0" fontId="172" fillId="0" borderId="0" xfId="0" applyFont="1" applyAlignment="1">
      <alignment horizontal="center" vertical="center"/>
    </xf>
    <xf numFmtId="38" fontId="169" fillId="0" borderId="0" xfId="0" applyNumberFormat="1" applyFont="1" applyAlignment="1">
      <alignment horizontal="center" vertical="center" wrapText="1"/>
    </xf>
    <xf numFmtId="360" fontId="172" fillId="0" borderId="0" xfId="19286" applyNumberFormat="1" applyFont="1" applyBorder="1" applyAlignment="1">
      <alignment horizontal="center" vertical="center" wrapText="1"/>
    </xf>
    <xf numFmtId="229" fontId="169" fillId="0" borderId="0" xfId="19286" applyNumberFormat="1" applyFont="1" applyFill="1" applyBorder="1" applyAlignment="1" applyProtection="1">
      <alignment vertical="center"/>
    </xf>
    <xf numFmtId="0" fontId="172" fillId="199" borderId="0" xfId="0" applyFont="1" applyFill="1" applyAlignment="1">
      <alignment vertical="center"/>
    </xf>
    <xf numFmtId="0" fontId="172" fillId="199" borderId="0" xfId="0" applyFont="1" applyFill="1" applyAlignment="1">
      <alignment vertical="center" wrapText="1"/>
    </xf>
    <xf numFmtId="43" fontId="520" fillId="206" borderId="115" xfId="19286" applyFont="1" applyFill="1" applyBorder="1"/>
    <xf numFmtId="236" fontId="172" fillId="0" borderId="0" xfId="0" applyNumberFormat="1" applyFont="1" applyAlignment="1">
      <alignment vertical="center"/>
    </xf>
    <xf numFmtId="0" fontId="169" fillId="0" borderId="365" xfId="19286" applyNumberFormat="1" applyFont="1" applyFill="1" applyBorder="1" applyAlignment="1">
      <alignment horizontal="center" vertical="center"/>
    </xf>
    <xf numFmtId="38" fontId="531" fillId="0" borderId="181" xfId="0" applyNumberFormat="1" applyFont="1" applyBorder="1" applyAlignment="1">
      <alignment vertical="center"/>
    </xf>
    <xf numFmtId="0" fontId="532" fillId="0" borderId="183" xfId="0" applyFont="1" applyBorder="1" applyAlignment="1">
      <alignment vertical="center" wrapText="1"/>
    </xf>
    <xf numFmtId="0" fontId="448" fillId="142" borderId="15" xfId="0" applyFont="1" applyFill="1" applyBorder="1" applyAlignment="1">
      <alignment horizontal="center" vertical="center"/>
    </xf>
    <xf numFmtId="171" fontId="448" fillId="142" borderId="109" xfId="135" applyFont="1" applyFill="1" applyBorder="1" applyAlignment="1">
      <alignment horizontal="center" vertical="center" wrapText="1"/>
    </xf>
    <xf numFmtId="38" fontId="448" fillId="144" borderId="109" xfId="19286" applyNumberFormat="1" applyFont="1" applyFill="1" applyBorder="1" applyAlignment="1">
      <alignment vertical="center" wrapText="1"/>
    </xf>
    <xf numFmtId="0" fontId="172" fillId="0" borderId="105" xfId="0" applyFont="1" applyBorder="1" applyAlignment="1">
      <alignment horizontal="center" vertical="center"/>
    </xf>
    <xf numFmtId="38" fontId="170" fillId="0" borderId="106" xfId="0" applyNumberFormat="1" applyFont="1" applyBorder="1" applyAlignment="1">
      <alignment vertical="center" wrapText="1"/>
    </xf>
    <xf numFmtId="38" fontId="169" fillId="0" borderId="106" xfId="0" applyNumberFormat="1" applyFont="1" applyBorder="1" applyAlignment="1">
      <alignment vertical="center" wrapText="1"/>
    </xf>
    <xf numFmtId="38" fontId="169" fillId="0" borderId="106" xfId="0" applyNumberFormat="1" applyFont="1" applyBorder="1" applyAlignment="1">
      <alignment horizontal="center" vertical="center" wrapText="1"/>
    </xf>
    <xf numFmtId="38" fontId="169" fillId="0" borderId="365" xfId="0" applyNumberFormat="1" applyFont="1" applyBorder="1" applyAlignment="1">
      <alignment vertical="center" wrapText="1"/>
    </xf>
    <xf numFmtId="38" fontId="170" fillId="0" borderId="365" xfId="0" applyNumberFormat="1" applyFont="1" applyBorder="1" applyAlignment="1">
      <alignment vertical="center" wrapText="1"/>
    </xf>
    <xf numFmtId="38" fontId="531" fillId="0" borderId="365" xfId="0" applyNumberFormat="1" applyFont="1" applyBorder="1" applyAlignment="1">
      <alignment vertical="center" wrapText="1"/>
    </xf>
    <xf numFmtId="0" fontId="448" fillId="144" borderId="362" xfId="0" applyFont="1" applyFill="1" applyBorder="1" applyAlignment="1">
      <alignment vertical="center"/>
    </xf>
    <xf numFmtId="360" fontId="172" fillId="0" borderId="106" xfId="19286" applyNumberFormat="1" applyFont="1" applyFill="1" applyBorder="1" applyAlignment="1">
      <alignment horizontal="center" vertical="center" wrapText="1"/>
    </xf>
    <xf numFmtId="229" fontId="169" fillId="0" borderId="217" xfId="19286" applyNumberFormat="1" applyFont="1" applyFill="1" applyBorder="1" applyAlignment="1" applyProtection="1">
      <alignment vertical="center"/>
    </xf>
    <xf numFmtId="360" fontId="172" fillId="0" borderId="365" xfId="19286" applyNumberFormat="1" applyFont="1" applyFill="1" applyBorder="1" applyAlignment="1">
      <alignment horizontal="center" vertical="center" wrapText="1"/>
    </xf>
    <xf numFmtId="229" fontId="169" fillId="0" borderId="217" xfId="19286" applyNumberFormat="1" applyFont="1" applyFill="1" applyBorder="1" applyAlignment="1" applyProtection="1">
      <alignment vertical="center" wrapText="1"/>
    </xf>
    <xf numFmtId="38" fontId="448" fillId="144" borderId="363" xfId="19286" applyNumberFormat="1" applyFont="1" applyFill="1" applyBorder="1" applyAlignment="1">
      <alignment vertical="center" wrapText="1"/>
    </xf>
    <xf numFmtId="0" fontId="448" fillId="142" borderId="15" xfId="22552" applyFont="1" applyFill="1" applyBorder="1" applyAlignment="1">
      <alignment horizontal="center" vertical="center" wrapText="1"/>
    </xf>
    <xf numFmtId="171" fontId="448" fillId="142" borderId="15" xfId="135" applyFont="1" applyFill="1" applyBorder="1" applyAlignment="1">
      <alignment horizontal="center" vertical="center" wrapText="1"/>
    </xf>
    <xf numFmtId="0" fontId="448" fillId="142" borderId="371" xfId="22552" applyFont="1" applyFill="1" applyBorder="1" applyAlignment="1">
      <alignment horizontal="center" vertical="center" wrapText="1"/>
    </xf>
    <xf numFmtId="0" fontId="170" fillId="185" borderId="15" xfId="22552" applyFont="1" applyFill="1" applyBorder="1" applyAlignment="1">
      <alignment horizontal="center" vertical="center" wrapText="1"/>
    </xf>
    <xf numFmtId="0" fontId="448" fillId="142" borderId="108" xfId="22552" applyFont="1" applyFill="1" applyBorder="1" applyAlignment="1">
      <alignment horizontal="center" vertical="center" wrapText="1"/>
    </xf>
    <xf numFmtId="0" fontId="170" fillId="143" borderId="373" xfId="22552" applyFont="1" applyFill="1" applyBorder="1" applyAlignment="1">
      <alignment horizontal="center" vertical="center" wrapText="1"/>
    </xf>
    <xf numFmtId="171" fontId="170" fillId="158" borderId="373" xfId="135" applyFont="1" applyFill="1" applyBorder="1" applyAlignment="1">
      <alignment horizontal="center" vertical="center" wrapText="1"/>
    </xf>
    <xf numFmtId="0" fontId="171" fillId="0" borderId="0" xfId="0" applyFont="1" applyAlignment="1">
      <alignment horizontal="center" vertical="center"/>
    </xf>
    <xf numFmtId="0" fontId="172" fillId="0" borderId="102" xfId="0" applyFont="1" applyBorder="1" applyAlignment="1">
      <alignment horizontal="left" vertical="center" wrapText="1"/>
    </xf>
    <xf numFmtId="363" fontId="169" fillId="185" borderId="131" xfId="0" applyNumberFormat="1" applyFont="1" applyFill="1" applyBorder="1" applyAlignment="1">
      <alignment horizontal="center" vertical="center" wrapText="1"/>
    </xf>
    <xf numFmtId="363" fontId="172" fillId="0" borderId="449" xfId="0" applyNumberFormat="1" applyFont="1" applyBorder="1" applyAlignment="1">
      <alignment vertical="center" wrapText="1"/>
    </xf>
    <xf numFmtId="363" fontId="172" fillId="143" borderId="450" xfId="19286" applyNumberFormat="1" applyFont="1" applyFill="1" applyBorder="1" applyAlignment="1">
      <alignment vertical="center" wrapText="1"/>
    </xf>
    <xf numFmtId="363" fontId="172" fillId="158" borderId="450" xfId="19286" applyNumberFormat="1" applyFont="1" applyFill="1" applyBorder="1" applyAlignment="1">
      <alignment horizontal="center" vertical="center" wrapText="1"/>
    </xf>
    <xf numFmtId="363" fontId="172" fillId="0" borderId="451" xfId="19286" applyNumberFormat="1" applyFont="1" applyBorder="1" applyAlignment="1">
      <alignment horizontal="center" vertical="center" wrapText="1"/>
    </xf>
    <xf numFmtId="229" fontId="172" fillId="0" borderId="451" xfId="19286" applyNumberFormat="1" applyFont="1" applyBorder="1" applyAlignment="1">
      <alignment vertical="center" wrapText="1"/>
    </xf>
    <xf numFmtId="0" fontId="448" fillId="144" borderId="108" xfId="0" applyFont="1" applyFill="1" applyBorder="1" applyAlignment="1">
      <alignment vertical="center" wrapText="1"/>
    </xf>
    <xf numFmtId="362" fontId="170" fillId="185" borderId="15" xfId="19286" applyNumberFormat="1" applyFont="1" applyFill="1" applyBorder="1" applyAlignment="1">
      <alignment vertical="center" wrapText="1"/>
    </xf>
    <xf numFmtId="362" fontId="448" fillId="144" borderId="108" xfId="19286" applyNumberFormat="1" applyFont="1" applyFill="1" applyBorder="1" applyAlignment="1">
      <alignment vertical="center" wrapText="1"/>
    </xf>
    <xf numFmtId="362" fontId="170" fillId="143" borderId="452" xfId="19286" applyNumberFormat="1" applyFont="1" applyFill="1" applyBorder="1" applyAlignment="1">
      <alignment vertical="center" wrapText="1"/>
    </xf>
    <xf numFmtId="362" fontId="170" fillId="158" borderId="452" xfId="19286" applyNumberFormat="1" applyFont="1" applyFill="1" applyBorder="1" applyAlignment="1">
      <alignment vertical="center" wrapText="1"/>
    </xf>
    <xf numFmtId="362" fontId="448" fillId="144" borderId="109" xfId="19286" applyNumberFormat="1" applyFont="1" applyFill="1" applyBorder="1" applyAlignment="1">
      <alignment horizontal="center" vertical="center" wrapText="1"/>
    </xf>
    <xf numFmtId="363" fontId="418" fillId="0" borderId="272" xfId="27925" applyNumberFormat="1" applyFont="1" applyBorder="1" applyAlignment="1">
      <alignment horizontal="left" vertical="center"/>
    </xf>
    <xf numFmtId="40" fontId="445" fillId="169" borderId="445" xfId="22752" applyNumberFormat="1" applyFont="1" applyFill="1" applyBorder="1" applyAlignment="1" applyProtection="1">
      <alignment horizontal="right" vertical="center"/>
    </xf>
    <xf numFmtId="40" fontId="21" fillId="0" borderId="0" xfId="22752" applyNumberFormat="1" applyFont="1" applyAlignment="1" applyProtection="1">
      <alignment vertical="center"/>
    </xf>
    <xf numFmtId="40" fontId="357" fillId="0" borderId="0" xfId="22752" applyNumberFormat="1" applyFont="1" applyBorder="1" applyAlignment="1" applyProtection="1">
      <alignment vertical="center"/>
    </xf>
    <xf numFmtId="40" fontId="359" fillId="0" borderId="0" xfId="22751" applyNumberFormat="1" applyFont="1" applyAlignment="1">
      <alignment vertical="center"/>
    </xf>
    <xf numFmtId="40" fontId="63" fillId="0" borderId="0" xfId="22751" applyNumberFormat="1" applyFont="1" applyAlignment="1">
      <alignment vertical="center"/>
    </xf>
    <xf numFmtId="40" fontId="64" fillId="142" borderId="106" xfId="22752" applyNumberFormat="1" applyFont="1" applyFill="1" applyBorder="1" applyAlignment="1" applyProtection="1">
      <alignment horizontal="center" vertical="center"/>
    </xf>
    <xf numFmtId="40" fontId="220" fillId="143" borderId="365" xfId="22752" applyNumberFormat="1" applyFont="1" applyFill="1" applyBorder="1" applyAlignment="1" applyProtection="1">
      <alignment horizontal="center" vertical="center"/>
    </xf>
    <xf numFmtId="40" fontId="220" fillId="142" borderId="365" xfId="22752" applyNumberFormat="1" applyFont="1" applyFill="1" applyBorder="1" applyAlignment="1" applyProtection="1">
      <alignment horizontal="center" vertical="top" wrapText="1"/>
    </xf>
    <xf numFmtId="40" fontId="220" fillId="143" borderId="228" xfId="22752" applyNumberFormat="1" applyFont="1" applyFill="1" applyBorder="1" applyAlignment="1" applyProtection="1">
      <alignment horizontal="center" vertical="center" wrapText="1"/>
    </xf>
    <xf numFmtId="40" fontId="350" fillId="157" borderId="126" xfId="22752" applyNumberFormat="1" applyFont="1" applyFill="1" applyBorder="1" applyAlignment="1" applyProtection="1">
      <alignment horizontal="right" vertical="center"/>
    </xf>
    <xf numFmtId="40" fontId="63" fillId="158" borderId="132" xfId="22752" applyNumberFormat="1" applyFont="1" applyFill="1" applyBorder="1" applyAlignment="1" applyProtection="1">
      <alignment horizontal="right" vertical="center"/>
    </xf>
    <xf numFmtId="40" fontId="350" fillId="158" borderId="445" xfId="22752" applyNumberFormat="1" applyFont="1" applyFill="1" applyBorder="1" applyAlignment="1" applyProtection="1">
      <alignment horizontal="right" vertical="center"/>
    </xf>
    <xf numFmtId="40" fontId="63" fillId="157" borderId="132" xfId="22752" applyNumberFormat="1" applyFont="1" applyFill="1" applyBorder="1" applyAlignment="1" applyProtection="1">
      <alignment horizontal="right" vertical="center"/>
    </xf>
    <xf numFmtId="40" fontId="63" fillId="158" borderId="365" xfId="22752" applyNumberFormat="1" applyFont="1" applyFill="1" applyBorder="1" applyAlignment="1" applyProtection="1">
      <alignment horizontal="right" vertical="center"/>
    </xf>
    <xf numFmtId="40" fontId="63" fillId="167" borderId="365" xfId="22752" applyNumberFormat="1" applyFont="1" applyFill="1" applyBorder="1" applyAlignment="1" applyProtection="1">
      <alignment horizontal="right" vertical="center"/>
    </xf>
    <xf numFmtId="40" fontId="350" fillId="157" borderId="365" xfId="22752" applyNumberFormat="1" applyFont="1" applyFill="1" applyBorder="1" applyAlignment="1" applyProtection="1">
      <alignment horizontal="right" vertical="center"/>
    </xf>
    <xf numFmtId="40" fontId="350" fillId="158" borderId="132" xfId="22752" applyNumberFormat="1" applyFont="1" applyFill="1" applyBorder="1" applyAlignment="1" applyProtection="1">
      <alignment horizontal="right" vertical="center"/>
    </xf>
    <xf numFmtId="40" fontId="350" fillId="168" borderId="365" xfId="22752" applyNumberFormat="1" applyFont="1" applyFill="1" applyBorder="1" applyAlignment="1" applyProtection="1">
      <alignment horizontal="right" vertical="center"/>
    </xf>
    <xf numFmtId="40" fontId="350" fillId="168" borderId="445" xfId="22752" applyNumberFormat="1" applyFont="1" applyFill="1" applyBorder="1" applyAlignment="1" applyProtection="1">
      <alignment horizontal="right" vertical="center"/>
    </xf>
    <xf numFmtId="40" fontId="63" fillId="0" borderId="365" xfId="22752" applyNumberFormat="1" applyFont="1" applyFill="1" applyBorder="1" applyAlignment="1" applyProtection="1">
      <alignment horizontal="right" vertical="center"/>
    </xf>
    <xf numFmtId="40" fontId="63" fillId="134" borderId="365" xfId="22752" applyNumberFormat="1" applyFont="1" applyFill="1" applyBorder="1" applyAlignment="1" applyProtection="1">
      <alignment horizontal="right" vertical="center"/>
    </xf>
    <xf numFmtId="40" fontId="446" fillId="144" borderId="365" xfId="22752" applyNumberFormat="1" applyFont="1" applyFill="1" applyBorder="1" applyAlignment="1" applyProtection="1">
      <alignment horizontal="right" vertical="center"/>
    </xf>
    <xf numFmtId="40" fontId="346" fillId="167" borderId="365" xfId="22752" applyNumberFormat="1" applyFont="1" applyFill="1" applyBorder="1" applyAlignment="1" applyProtection="1">
      <alignment horizontal="right" vertical="center"/>
    </xf>
    <xf numFmtId="40" fontId="445" fillId="144" borderId="445" xfId="22752" applyNumberFormat="1" applyFont="1" applyFill="1" applyBorder="1" applyAlignment="1" applyProtection="1">
      <alignment horizontal="right" vertical="center"/>
    </xf>
    <xf numFmtId="40" fontId="63" fillId="157" borderId="126" xfId="22752" applyNumberFormat="1" applyFont="1" applyFill="1" applyBorder="1" applyAlignment="1" applyProtection="1">
      <alignment horizontal="right" vertical="center"/>
    </xf>
    <xf numFmtId="40" fontId="21" fillId="157" borderId="0" xfId="22752" applyNumberFormat="1" applyFont="1" applyFill="1" applyAlignment="1" applyProtection="1">
      <alignment horizontal="right" vertical="center"/>
    </xf>
    <xf numFmtId="40" fontId="63" fillId="143" borderId="365" xfId="22752" applyNumberFormat="1" applyFont="1" applyFill="1" applyBorder="1" applyAlignment="1" applyProtection="1">
      <alignment horizontal="right" vertical="center"/>
    </xf>
    <xf numFmtId="40" fontId="350" fillId="167" borderId="365" xfId="22752" applyNumberFormat="1" applyFont="1" applyFill="1" applyBorder="1" applyAlignment="1" applyProtection="1">
      <alignment horizontal="right" vertical="center"/>
    </xf>
    <xf numFmtId="40" fontId="350" fillId="143" borderId="445" xfId="22752" applyNumberFormat="1" applyFont="1" applyFill="1" applyBorder="1" applyAlignment="1" applyProtection="1">
      <alignment horizontal="right" vertical="center"/>
    </xf>
    <xf numFmtId="40" fontId="21" fillId="0" borderId="0" xfId="22752" applyNumberFormat="1" applyFont="1" applyAlignment="1" applyProtection="1">
      <alignment horizontal="right" vertical="center"/>
    </xf>
    <xf numFmtId="40" fontId="21" fillId="110" borderId="0" xfId="22752" applyNumberFormat="1" applyFont="1" applyFill="1" applyAlignment="1" applyProtection="1">
      <alignment horizontal="right" vertical="center"/>
    </xf>
    <xf numFmtId="40" fontId="338" fillId="110" borderId="183" xfId="22752" applyNumberFormat="1" applyFont="1" applyFill="1" applyBorder="1" applyAlignment="1" applyProtection="1">
      <alignment horizontal="right" vertical="center"/>
    </xf>
    <xf numFmtId="40" fontId="21" fillId="0" borderId="0" xfId="19286" applyNumberFormat="1" applyFont="1" applyAlignment="1" applyProtection="1">
      <alignment vertical="center"/>
    </xf>
    <xf numFmtId="40" fontId="45" fillId="0" borderId="0" xfId="22752" applyNumberFormat="1" applyFont="1" applyAlignment="1" applyProtection="1">
      <alignment vertical="center"/>
    </xf>
    <xf numFmtId="363" fontId="371" fillId="107" borderId="146" xfId="22678" applyNumberFormat="1" applyFont="1" applyFill="1" applyBorder="1" applyAlignment="1" applyProtection="1">
      <alignment horizontal="center" vertical="center"/>
      <protection locked="0"/>
    </xf>
    <xf numFmtId="286" fontId="496" fillId="107" borderId="349" xfId="27932" applyNumberFormat="1" applyFont="1" applyFill="1" applyBorder="1" applyAlignment="1" applyProtection="1">
      <alignment horizontal="center" vertical="center"/>
      <protection locked="0"/>
    </xf>
    <xf numFmtId="286" fontId="496" fillId="107" borderId="350" xfId="27932" applyNumberFormat="1" applyFont="1" applyFill="1" applyBorder="1" applyAlignment="1" applyProtection="1">
      <alignment horizontal="center" vertical="center"/>
      <protection locked="0"/>
    </xf>
    <xf numFmtId="179" fontId="66" fillId="0" borderId="350" xfId="22694" applyNumberFormat="1" applyFont="1" applyFill="1" applyBorder="1" applyAlignment="1" applyProtection="1">
      <alignment vertical="center" wrapText="1"/>
      <protection locked="0"/>
    </xf>
    <xf numFmtId="179" fontId="66" fillId="0" borderId="350" xfId="22694" applyNumberFormat="1" applyFont="1" applyFill="1" applyBorder="1" applyAlignment="1" applyProtection="1">
      <alignment vertical="center"/>
      <protection locked="0"/>
    </xf>
    <xf numFmtId="179" fontId="526" fillId="0" borderId="350" xfId="22694" applyNumberFormat="1" applyFont="1" applyFill="1" applyBorder="1" applyAlignment="1" applyProtection="1">
      <alignment vertical="center"/>
      <protection locked="0"/>
    </xf>
    <xf numFmtId="40" fontId="0" fillId="0" borderId="155" xfId="0" applyNumberFormat="1" applyBorder="1"/>
    <xf numFmtId="14" fontId="169" fillId="107" borderId="350" xfId="27932" applyNumberFormat="1" applyFont="1" applyFill="1" applyBorder="1" applyAlignment="1" applyProtection="1">
      <alignment horizontal="center" vertical="center"/>
      <protection locked="0"/>
    </xf>
    <xf numFmtId="16" fontId="0" fillId="0" borderId="0" xfId="0" applyNumberFormat="1"/>
    <xf numFmtId="16" fontId="341" fillId="0" borderId="0" xfId="0" applyNumberFormat="1" applyFont="1"/>
    <xf numFmtId="4" fontId="0" fillId="0" borderId="0" xfId="0" applyNumberFormat="1"/>
    <xf numFmtId="363" fontId="353" fillId="107" borderId="146" xfId="22678" applyNumberFormat="1" applyFont="1" applyFill="1" applyBorder="1" applyAlignment="1" applyProtection="1">
      <alignment horizontal="center" vertical="center" wrapText="1"/>
      <protection locked="0"/>
    </xf>
    <xf numFmtId="0" fontId="533" fillId="107" borderId="0" xfId="0" applyFont="1" applyFill="1" applyAlignment="1">
      <alignment horizontal="center" vertical="center" wrapText="1"/>
    </xf>
    <xf numFmtId="366" fontId="496" fillId="107" borderId="117" xfId="27932" applyNumberFormat="1" applyFont="1" applyFill="1" applyBorder="1" applyAlignment="1" applyProtection="1">
      <alignment horizontal="center" vertical="center" wrapText="1"/>
      <protection locked="0"/>
    </xf>
    <xf numFmtId="180" fontId="434" fillId="134" borderId="253" xfId="0" applyNumberFormat="1" applyFont="1" applyFill="1" applyBorder="1" applyAlignment="1" applyProtection="1">
      <alignment horizontal="center" vertical="center"/>
      <protection locked="0"/>
    </xf>
    <xf numFmtId="180" fontId="517" fillId="134" borderId="253" xfId="0" applyNumberFormat="1" applyFont="1" applyFill="1" applyBorder="1" applyAlignment="1" applyProtection="1">
      <alignment horizontal="center" vertical="center"/>
      <protection locked="0"/>
    </xf>
    <xf numFmtId="0" fontId="436" fillId="0" borderId="251" xfId="27923" applyFont="1" applyBorder="1" applyAlignment="1" applyProtection="1">
      <alignment horizontal="center" vertical="center" wrapText="1"/>
      <protection locked="0"/>
    </xf>
    <xf numFmtId="0" fontId="534" fillId="0" borderId="0" xfId="0" applyFont="1" applyAlignment="1">
      <alignment horizontal="center"/>
    </xf>
    <xf numFmtId="0" fontId="534" fillId="0" borderId="0" xfId="0" applyFont="1"/>
    <xf numFmtId="210" fontId="534" fillId="0" borderId="0" xfId="0" applyNumberFormat="1" applyFont="1" applyAlignment="1">
      <alignment horizontal="center"/>
    </xf>
    <xf numFmtId="210" fontId="534" fillId="0" borderId="0" xfId="0" applyNumberFormat="1" applyFont="1"/>
    <xf numFmtId="0" fontId="535" fillId="0" borderId="0" xfId="0" applyFont="1"/>
    <xf numFmtId="0" fontId="536" fillId="0" borderId="0" xfId="0" applyFont="1" applyAlignment="1">
      <alignment horizontal="left" vertical="center"/>
    </xf>
    <xf numFmtId="0" fontId="538" fillId="0" borderId="0" xfId="0" applyFont="1" applyAlignment="1">
      <alignment horizontal="left" vertical="center"/>
    </xf>
    <xf numFmtId="0" fontId="540" fillId="0" borderId="0" xfId="0" applyFont="1" applyAlignment="1">
      <alignment horizontal="center" vertical="center"/>
    </xf>
    <xf numFmtId="0" fontId="542" fillId="0" borderId="0" xfId="0" applyFont="1" applyAlignment="1">
      <alignment horizontal="left" vertical="center"/>
    </xf>
    <xf numFmtId="210" fontId="540" fillId="0" borderId="0" xfId="0" applyNumberFormat="1" applyFont="1" applyAlignment="1">
      <alignment horizontal="center"/>
    </xf>
    <xf numFmtId="0" fontId="540" fillId="0" borderId="0" xfId="0" applyFont="1" applyAlignment="1">
      <alignment horizontal="left"/>
    </xf>
    <xf numFmtId="0" fontId="540" fillId="0" borderId="0" xfId="0" applyFont="1" applyAlignment="1">
      <alignment horizontal="left" indent="1"/>
    </xf>
    <xf numFmtId="0" fontId="540" fillId="0" borderId="0" xfId="0" applyFont="1" applyAlignment="1">
      <alignment horizontal="center"/>
    </xf>
    <xf numFmtId="210" fontId="540" fillId="0" borderId="0" xfId="0" applyNumberFormat="1" applyFont="1" applyAlignment="1">
      <alignment horizontal="left" indent="1"/>
    </xf>
    <xf numFmtId="0" fontId="541" fillId="0" borderId="0" xfId="0" applyFont="1" applyAlignment="1">
      <alignment horizontal="center"/>
    </xf>
    <xf numFmtId="210" fontId="539" fillId="0" borderId="0" xfId="0" applyNumberFormat="1" applyFont="1" applyAlignment="1">
      <alignment horizontal="left" vertical="center"/>
    </xf>
    <xf numFmtId="0" fontId="543" fillId="114" borderId="242" xfId="0" applyFont="1" applyFill="1" applyBorder="1" applyAlignment="1">
      <alignment horizontal="centerContinuous" vertical="center"/>
    </xf>
    <xf numFmtId="0" fontId="540" fillId="114" borderId="0" xfId="0" applyFont="1" applyFill="1" applyAlignment="1">
      <alignment horizontal="centerContinuous"/>
    </xf>
    <xf numFmtId="210" fontId="540" fillId="114" borderId="0" xfId="0" applyNumberFormat="1" applyFont="1" applyFill="1" applyAlignment="1">
      <alignment horizontal="centerContinuous"/>
    </xf>
    <xf numFmtId="0" fontId="543" fillId="114" borderId="0" xfId="0" applyFont="1" applyFill="1" applyAlignment="1">
      <alignment horizontal="centerContinuous" vertical="center"/>
    </xf>
    <xf numFmtId="0" fontId="544" fillId="140" borderId="454" xfId="0" applyFont="1" applyFill="1" applyBorder="1" applyAlignment="1">
      <alignment horizontal="centerContinuous" vertical="center" wrapText="1"/>
    </xf>
    <xf numFmtId="0" fontId="544" fillId="140" borderId="455" xfId="0" applyFont="1" applyFill="1" applyBorder="1" applyAlignment="1">
      <alignment horizontal="centerContinuous" vertical="center" wrapText="1"/>
    </xf>
    <xf numFmtId="0" fontId="544" fillId="140" borderId="108" xfId="0" applyFont="1" applyFill="1" applyBorder="1" applyAlignment="1">
      <alignment horizontal="centerContinuous" vertical="center" wrapText="1"/>
    </xf>
    <xf numFmtId="0" fontId="544" fillId="140" borderId="110" xfId="0" applyFont="1" applyFill="1" applyBorder="1" applyAlignment="1">
      <alignment horizontal="centerContinuous" vertical="center" wrapText="1"/>
    </xf>
    <xf numFmtId="0" fontId="544" fillId="140" borderId="109" xfId="0" applyFont="1" applyFill="1" applyBorder="1" applyAlignment="1">
      <alignment horizontal="centerContinuous" vertical="center" wrapText="1"/>
    </xf>
    <xf numFmtId="0" fontId="537" fillId="208" borderId="108" xfId="0" applyFont="1" applyFill="1" applyBorder="1" applyAlignment="1">
      <alignment horizontal="centerContinuous" vertical="center"/>
    </xf>
    <xf numFmtId="0" fontId="537" fillId="208" borderId="111" xfId="0" applyFont="1" applyFill="1" applyBorder="1" applyAlignment="1">
      <alignment horizontal="centerContinuous" vertical="center"/>
    </xf>
    <xf numFmtId="0" fontId="537" fillId="208" borderId="112" xfId="0" applyFont="1" applyFill="1" applyBorder="1" applyAlignment="1">
      <alignment horizontal="centerContinuous" vertical="center"/>
    </xf>
    <xf numFmtId="0" fontId="537" fillId="209" borderId="41" xfId="0" applyFont="1" applyFill="1" applyBorder="1" applyAlignment="1">
      <alignment horizontal="centerContinuous" vertical="center"/>
    </xf>
    <xf numFmtId="0" fontId="537" fillId="209" borderId="111" xfId="0" applyFont="1" applyFill="1" applyBorder="1" applyAlignment="1">
      <alignment horizontal="centerContinuous" vertical="center"/>
    </xf>
    <xf numFmtId="0" fontId="537" fillId="209" borderId="112" xfId="0" applyFont="1" applyFill="1" applyBorder="1" applyAlignment="1">
      <alignment horizontal="centerContinuous" vertical="center"/>
    </xf>
    <xf numFmtId="0" fontId="537" fillId="211" borderId="41" xfId="0" applyFont="1" applyFill="1" applyBorder="1" applyAlignment="1">
      <alignment horizontal="centerContinuous" vertical="center" wrapText="1"/>
    </xf>
    <xf numFmtId="0" fontId="537" fillId="211" borderId="111" xfId="0" applyFont="1" applyFill="1" applyBorder="1" applyAlignment="1">
      <alignment horizontal="centerContinuous" vertical="center" wrapText="1"/>
    </xf>
    <xf numFmtId="0" fontId="537" fillId="211" borderId="112" xfId="0" applyFont="1" applyFill="1" applyBorder="1" applyAlignment="1">
      <alignment horizontal="centerContinuous" vertical="center" wrapText="1"/>
    </xf>
    <xf numFmtId="0" fontId="537" fillId="211" borderId="122" xfId="0" applyFont="1" applyFill="1" applyBorder="1" applyAlignment="1">
      <alignment horizontal="center" vertical="center" wrapText="1"/>
    </xf>
    <xf numFmtId="0" fontId="544" fillId="0" borderId="0" xfId="0" applyFont="1" applyAlignment="1">
      <alignment horizontal="center" vertical="center" wrapText="1"/>
    </xf>
    <xf numFmtId="0" fontId="537" fillId="152" borderId="41" xfId="0" applyFont="1" applyFill="1" applyBorder="1" applyAlignment="1">
      <alignment horizontal="centerContinuous" vertical="center" wrapText="1"/>
    </xf>
    <xf numFmtId="0" fontId="545" fillId="152" borderId="111" xfId="0" applyFont="1" applyFill="1" applyBorder="1" applyAlignment="1">
      <alignment horizontal="centerContinuous" vertical="center" wrapText="1"/>
    </xf>
    <xf numFmtId="0" fontId="545" fillId="152" borderId="112" xfId="0" applyFont="1" applyFill="1" applyBorder="1" applyAlignment="1">
      <alignment horizontal="centerContinuous" vertical="center" wrapText="1"/>
    </xf>
    <xf numFmtId="0" fontId="543" fillId="0" borderId="0" xfId="0" applyFont="1" applyAlignment="1">
      <alignment horizontal="center"/>
    </xf>
    <xf numFmtId="0" fontId="544" fillId="140" borderId="41" xfId="0" applyFont="1" applyFill="1" applyBorder="1" applyAlignment="1">
      <alignment horizontal="centerContinuous" vertical="center"/>
    </xf>
    <xf numFmtId="0" fontId="543" fillId="140" borderId="111" xfId="0" applyFont="1" applyFill="1" applyBorder="1" applyAlignment="1">
      <alignment horizontal="centerContinuous"/>
    </xf>
    <xf numFmtId="0" fontId="543" fillId="140" borderId="112" xfId="0" applyFont="1" applyFill="1" applyBorder="1" applyAlignment="1">
      <alignment horizontal="centerContinuous"/>
    </xf>
    <xf numFmtId="0" fontId="543" fillId="140" borderId="41" xfId="0" applyFont="1" applyFill="1" applyBorder="1" applyAlignment="1">
      <alignment horizontal="centerContinuous" vertical="center"/>
    </xf>
    <xf numFmtId="0" fontId="544" fillId="0" borderId="0" xfId="0" applyFont="1" applyAlignment="1">
      <alignment horizontal="center"/>
    </xf>
    <xf numFmtId="210" fontId="537" fillId="141" borderId="457" xfId="0" applyNumberFormat="1" applyFont="1" applyFill="1" applyBorder="1" applyAlignment="1">
      <alignment horizontal="center" vertical="center" wrapText="1"/>
    </xf>
    <xf numFmtId="0" fontId="537" fillId="141" borderId="228" xfId="0" applyFont="1" applyFill="1" applyBorder="1" applyAlignment="1">
      <alignment horizontal="center" vertical="center" wrapText="1"/>
    </xf>
    <xf numFmtId="0" fontId="547" fillId="142" borderId="228" xfId="0" applyFont="1" applyFill="1" applyBorder="1" applyAlignment="1">
      <alignment horizontal="center" vertical="center" wrapText="1"/>
    </xf>
    <xf numFmtId="0" fontId="537" fillId="142" borderId="222" xfId="0" applyFont="1" applyFill="1" applyBorder="1" applyAlignment="1">
      <alignment horizontal="centerContinuous" vertical="center" wrapText="1"/>
    </xf>
    <xf numFmtId="0" fontId="547" fillId="142" borderId="113" xfId="0" applyFont="1" applyFill="1" applyBorder="1" applyAlignment="1">
      <alignment horizontal="centerContinuous" vertical="center" wrapText="1"/>
    </xf>
    <xf numFmtId="0" fontId="537" fillId="143" borderId="222" xfId="0" applyFont="1" applyFill="1" applyBorder="1" applyAlignment="1">
      <alignment horizontal="centerContinuous" vertical="center" wrapText="1"/>
    </xf>
    <xf numFmtId="0" fontId="547" fillId="143" borderId="113" xfId="0" applyFont="1" applyFill="1" applyBorder="1" applyAlignment="1">
      <alignment horizontal="centerContinuous" vertical="center" wrapText="1"/>
    </xf>
    <xf numFmtId="0" fontId="537" fillId="143" borderId="0" xfId="0" applyFont="1" applyFill="1" applyAlignment="1">
      <alignment horizontal="centerContinuous" vertical="center" wrapText="1"/>
    </xf>
    <xf numFmtId="0" fontId="537" fillId="143" borderId="458" xfId="0" applyFont="1" applyFill="1" applyBorder="1" applyAlignment="1">
      <alignment horizontal="centerContinuous" vertical="center" wrapText="1"/>
    </xf>
    <xf numFmtId="0" fontId="537" fillId="143" borderId="457" xfId="0" applyFont="1" applyFill="1" applyBorder="1" applyAlignment="1">
      <alignment horizontal="centerContinuous" vertical="center" wrapText="1"/>
    </xf>
    <xf numFmtId="0" fontId="537" fillId="143" borderId="102" xfId="0" applyFont="1" applyFill="1" applyBorder="1" applyAlignment="1">
      <alignment horizontal="centerContinuous" vertical="center" wrapText="1"/>
    </xf>
    <xf numFmtId="0" fontId="537" fillId="143" borderId="113" xfId="0" applyFont="1" applyFill="1" applyBorder="1" applyAlignment="1">
      <alignment horizontal="centerContinuous" vertical="center" wrapText="1"/>
    </xf>
    <xf numFmtId="0" fontId="537" fillId="144" borderId="228" xfId="0" applyFont="1" applyFill="1" applyBorder="1" applyAlignment="1">
      <alignment horizontal="center" vertical="center" wrapText="1"/>
    </xf>
    <xf numFmtId="0" fontId="537" fillId="144" borderId="222" xfId="0" applyFont="1" applyFill="1" applyBorder="1" applyAlignment="1">
      <alignment horizontal="centerContinuous" vertical="center" wrapText="1"/>
    </xf>
    <xf numFmtId="0" fontId="537" fillId="144" borderId="102" xfId="0" applyFont="1" applyFill="1" applyBorder="1" applyAlignment="1">
      <alignment horizontal="centerContinuous" vertical="center" wrapText="1"/>
    </xf>
    <xf numFmtId="0" fontId="537" fillId="144" borderId="113" xfId="0" applyFont="1" applyFill="1" applyBorder="1" applyAlignment="1">
      <alignment horizontal="centerContinuous" vertical="center" wrapText="1"/>
    </xf>
    <xf numFmtId="0" fontId="537" fillId="144" borderId="222" xfId="0" applyFont="1" applyFill="1" applyBorder="1" applyAlignment="1">
      <alignment horizontal="centerContinuous" vertical="center"/>
    </xf>
    <xf numFmtId="0" fontId="537" fillId="144" borderId="102" xfId="0" applyFont="1" applyFill="1" applyBorder="1" applyAlignment="1">
      <alignment horizontal="centerContinuous" vertical="center"/>
    </xf>
    <xf numFmtId="0" fontId="537" fillId="144" borderId="113" xfId="0" applyFont="1" applyFill="1" applyBorder="1" applyAlignment="1">
      <alignment horizontal="centerContinuous" vertical="center"/>
    </xf>
    <xf numFmtId="0" fontId="548" fillId="0" borderId="0" xfId="0" applyFont="1" applyAlignment="1">
      <alignment horizontal="center" vertical="center" wrapText="1"/>
    </xf>
    <xf numFmtId="0" fontId="537" fillId="145" borderId="228" xfId="0" applyFont="1" applyFill="1" applyBorder="1" applyAlignment="1">
      <alignment horizontal="center" vertical="center" wrapText="1"/>
    </xf>
    <xf numFmtId="0" fontId="543" fillId="0" borderId="0" xfId="0" applyFont="1"/>
    <xf numFmtId="0" fontId="544" fillId="140" borderId="365" xfId="0" applyFont="1" applyFill="1" applyBorder="1" applyAlignment="1">
      <alignment horizontal="center" vertical="center" wrapText="1"/>
    </xf>
    <xf numFmtId="210" fontId="549" fillId="208" borderId="365" xfId="0" applyNumberFormat="1" applyFont="1" applyFill="1" applyBorder="1" applyAlignment="1">
      <alignment horizontal="center" vertical="center"/>
    </xf>
    <xf numFmtId="0" fontId="549" fillId="208" borderId="365" xfId="0" applyFont="1" applyFill="1" applyBorder="1" applyAlignment="1">
      <alignment horizontal="center" vertical="center"/>
    </xf>
    <xf numFmtId="210" fontId="549" fillId="208" borderId="365" xfId="0" applyNumberFormat="1" applyFont="1" applyFill="1" applyBorder="1" applyAlignment="1">
      <alignment horizontal="center" vertical="center" wrapText="1"/>
    </xf>
    <xf numFmtId="0" fontId="549" fillId="208" borderId="365" xfId="0" applyFont="1" applyFill="1" applyBorder="1" applyAlignment="1">
      <alignment horizontal="center" vertical="center" wrapText="1"/>
    </xf>
    <xf numFmtId="210" fontId="549" fillId="208" borderId="223" xfId="0" applyNumberFormat="1" applyFont="1" applyFill="1" applyBorder="1" applyAlignment="1">
      <alignment horizontal="center" vertical="center" wrapText="1"/>
    </xf>
    <xf numFmtId="0" fontId="551" fillId="209" borderId="365" xfId="0" applyFont="1" applyFill="1" applyBorder="1" applyAlignment="1">
      <alignment horizontal="center" vertical="center"/>
    </xf>
    <xf numFmtId="210" fontId="551" fillId="209" borderId="365" xfId="0" applyNumberFormat="1" applyFont="1" applyFill="1" applyBorder="1" applyAlignment="1">
      <alignment horizontal="center" vertical="center" wrapText="1"/>
    </xf>
    <xf numFmtId="0" fontId="551" fillId="209" borderId="365" xfId="0" applyFont="1" applyFill="1" applyBorder="1" applyAlignment="1">
      <alignment horizontal="center" vertical="center" wrapText="1"/>
    </xf>
    <xf numFmtId="0" fontId="551" fillId="209" borderId="223" xfId="0" applyFont="1" applyFill="1" applyBorder="1" applyAlignment="1">
      <alignment horizontal="center" vertical="center" wrapText="1"/>
    </xf>
    <xf numFmtId="0" fontId="551" fillId="210" borderId="365" xfId="0" applyFont="1" applyFill="1" applyBorder="1" applyAlignment="1">
      <alignment horizontal="center" vertical="center" wrapText="1"/>
    </xf>
    <xf numFmtId="210" fontId="551" fillId="210" borderId="365" xfId="0" applyNumberFormat="1" applyFont="1" applyFill="1" applyBorder="1" applyAlignment="1">
      <alignment horizontal="center" vertical="center" wrapText="1"/>
    </xf>
    <xf numFmtId="0" fontId="551" fillId="211" borderId="365" xfId="0" applyFont="1" applyFill="1" applyBorder="1" applyAlignment="1">
      <alignment horizontal="center" vertical="center" wrapText="1"/>
    </xf>
    <xf numFmtId="210" fontId="551" fillId="211" borderId="365" xfId="0" applyNumberFormat="1" applyFont="1" applyFill="1" applyBorder="1" applyAlignment="1">
      <alignment horizontal="center" vertical="center" wrapText="1"/>
    </xf>
    <xf numFmtId="0" fontId="551" fillId="0" borderId="0" xfId="0" applyFont="1" applyAlignment="1">
      <alignment horizontal="center" vertical="center" wrapText="1"/>
    </xf>
    <xf numFmtId="0" fontId="551" fillId="152" borderId="365" xfId="0" applyFont="1" applyFill="1" applyBorder="1" applyAlignment="1">
      <alignment horizontal="center" vertical="center" wrapText="1"/>
    </xf>
    <xf numFmtId="0" fontId="551" fillId="107" borderId="365" xfId="0" applyFont="1" applyFill="1" applyBorder="1" applyAlignment="1">
      <alignment horizontal="center" vertical="center" wrapText="1"/>
    </xf>
    <xf numFmtId="0" fontId="544" fillId="0" borderId="254" xfId="0" applyFont="1" applyBorder="1" applyAlignment="1">
      <alignment horizontal="center" vertical="center" wrapText="1"/>
    </xf>
    <xf numFmtId="0" fontId="544" fillId="0" borderId="254" xfId="0" applyFont="1" applyBorder="1" applyAlignment="1">
      <alignment horizontal="center" vertical="center"/>
    </xf>
    <xf numFmtId="0" fontId="544" fillId="0" borderId="459" xfId="0" applyFont="1" applyBorder="1" applyAlignment="1">
      <alignment horizontal="center" vertical="center"/>
    </xf>
    <xf numFmtId="0" fontId="544" fillId="0" borderId="459" xfId="0" applyFont="1" applyBorder="1" applyAlignment="1">
      <alignment horizontal="center" vertical="center" wrapText="1"/>
    </xf>
    <xf numFmtId="210" fontId="551" fillId="0" borderId="254" xfId="0" applyNumberFormat="1" applyFont="1" applyBorder="1" applyAlignment="1">
      <alignment horizontal="center" vertical="center"/>
    </xf>
    <xf numFmtId="210" fontId="551" fillId="0" borderId="456" xfId="0" applyNumberFormat="1" applyFont="1" applyBorder="1" applyAlignment="1">
      <alignment horizontal="center" vertical="center"/>
    </xf>
    <xf numFmtId="0" fontId="551" fillId="0" borderId="254" xfId="0" applyFont="1" applyBorder="1" applyAlignment="1">
      <alignment horizontal="center" vertical="center"/>
    </xf>
    <xf numFmtId="210" fontId="551" fillId="0" borderId="254" xfId="0" applyNumberFormat="1" applyFont="1" applyBorder="1" applyAlignment="1">
      <alignment horizontal="center" vertical="center" wrapText="1"/>
    </xf>
    <xf numFmtId="0" fontId="551" fillId="0" borderId="254" xfId="0" applyFont="1" applyBorder="1" applyAlignment="1">
      <alignment horizontal="center" vertical="center" wrapText="1"/>
    </xf>
    <xf numFmtId="0" fontId="551" fillId="0" borderId="456" xfId="0" applyFont="1" applyBorder="1" applyAlignment="1">
      <alignment horizontal="center" vertical="center" wrapText="1"/>
    </xf>
    <xf numFmtId="0" fontId="537" fillId="0" borderId="254" xfId="0" applyFont="1" applyBorder="1" applyAlignment="1" applyProtection="1">
      <alignment vertical="top" wrapText="1"/>
      <protection locked="0"/>
    </xf>
    <xf numFmtId="0" fontId="537" fillId="0" borderId="254" xfId="0" applyFont="1" applyBorder="1" applyAlignment="1">
      <alignment horizontal="center" vertical="center" wrapText="1"/>
    </xf>
    <xf numFmtId="180" fontId="537" fillId="0" borderId="241" xfId="0" applyNumberFormat="1" applyFont="1" applyBorder="1" applyAlignment="1" applyProtection="1">
      <alignment horizontal="center" vertical="center"/>
      <protection locked="0"/>
    </xf>
    <xf numFmtId="0" fontId="537" fillId="0" borderId="241" xfId="0" applyFont="1" applyBorder="1" applyAlignment="1" applyProtection="1">
      <alignment horizontal="left" vertical="center" wrapText="1"/>
      <protection locked="0"/>
    </xf>
    <xf numFmtId="0" fontId="537" fillId="0" borderId="244" xfId="0" applyFont="1" applyBorder="1" applyAlignment="1" applyProtection="1">
      <alignment horizontal="center" vertical="top" wrapText="1"/>
      <protection locked="0"/>
    </xf>
    <xf numFmtId="0" fontId="537" fillId="134" borderId="244" xfId="0" applyFont="1" applyFill="1" applyBorder="1" applyAlignment="1" applyProtection="1">
      <alignment horizontal="center" vertical="top" wrapText="1"/>
      <protection locked="0"/>
    </xf>
    <xf numFmtId="0" fontId="537" fillId="175" borderId="459" xfId="0" applyFont="1" applyFill="1" applyBorder="1" applyAlignment="1">
      <alignment horizontal="center" vertical="center" wrapText="1"/>
    </xf>
    <xf numFmtId="210" fontId="537" fillId="0" borderId="241" xfId="0" applyNumberFormat="1" applyFont="1" applyBorder="1" applyAlignment="1" applyProtection="1">
      <alignment horizontal="center" vertical="top"/>
      <protection locked="0"/>
    </xf>
    <xf numFmtId="0" fontId="537" fillId="0" borderId="241" xfId="0" applyFont="1" applyBorder="1" applyAlignment="1" applyProtection="1">
      <alignment vertical="top" wrapText="1"/>
      <protection locked="0"/>
    </xf>
    <xf numFmtId="3" fontId="537" fillId="134" borderId="241" xfId="0" applyNumberFormat="1" applyFont="1" applyFill="1" applyBorder="1" applyAlignment="1" applyProtection="1">
      <alignment horizontal="center" vertical="top"/>
      <protection locked="0"/>
    </xf>
    <xf numFmtId="0" fontId="537" fillId="0" borderId="241" xfId="0" applyFont="1" applyBorder="1" applyAlignment="1" applyProtection="1">
      <alignment horizontal="center" vertical="top"/>
      <protection locked="0"/>
    </xf>
    <xf numFmtId="14" fontId="537" fillId="0" borderId="241" xfId="0" applyNumberFormat="1" applyFont="1" applyBorder="1" applyAlignment="1" applyProtection="1">
      <alignment vertical="top" wrapText="1"/>
      <protection locked="0"/>
    </xf>
    <xf numFmtId="0" fontId="537" fillId="0" borderId="241" xfId="0" applyFont="1" applyBorder="1" applyAlignment="1" applyProtection="1">
      <alignment vertical="top"/>
      <protection locked="0"/>
    </xf>
    <xf numFmtId="0" fontId="537" fillId="0" borderId="241" xfId="0" applyFont="1" applyBorder="1" applyAlignment="1" applyProtection="1">
      <alignment horizontal="left" vertical="top" wrapText="1"/>
      <protection locked="0"/>
    </xf>
    <xf numFmtId="0" fontId="537" fillId="0" borderId="0" xfId="0" applyFont="1" applyAlignment="1">
      <alignment vertical="top"/>
    </xf>
    <xf numFmtId="210" fontId="537" fillId="0" borderId="241" xfId="0" applyNumberFormat="1" applyFont="1" applyBorder="1" applyAlignment="1" applyProtection="1">
      <alignment vertical="top"/>
      <protection locked="0"/>
    </xf>
    <xf numFmtId="0" fontId="537" fillId="0" borderId="456" xfId="0" applyFont="1" applyBorder="1" applyAlignment="1">
      <alignment vertical="top" wrapText="1"/>
    </xf>
    <xf numFmtId="0" fontId="537" fillId="0" borderId="241" xfId="0" applyFont="1" applyBorder="1" applyAlignment="1">
      <alignment horizontal="center" vertical="center" wrapText="1"/>
    </xf>
    <xf numFmtId="0" fontId="537" fillId="0" borderId="241" xfId="0" applyFont="1" applyBorder="1" applyAlignment="1">
      <alignment vertical="top" wrapText="1"/>
    </xf>
    <xf numFmtId="0" fontId="537" fillId="0" borderId="241" xfId="0" applyFont="1" applyBorder="1" applyAlignment="1">
      <alignment horizontal="center" vertical="top" wrapText="1"/>
    </xf>
    <xf numFmtId="0" fontId="537" fillId="0" borderId="241" xfId="0" applyFont="1" applyBorder="1" applyAlignment="1" applyProtection="1">
      <alignment horizontal="center" vertical="center"/>
      <protection locked="0"/>
    </xf>
    <xf numFmtId="210" fontId="537" fillId="0" borderId="0" xfId="0" applyNumberFormat="1" applyFont="1" applyAlignment="1">
      <alignment vertical="center"/>
    </xf>
    <xf numFmtId="210" fontId="537" fillId="0" borderId="241" xfId="0" applyNumberFormat="1" applyFont="1" applyBorder="1" applyAlignment="1" applyProtection="1">
      <alignment horizontal="center" vertical="top" wrapText="1"/>
      <protection locked="0"/>
    </xf>
    <xf numFmtId="0" fontId="537" fillId="0" borderId="241" xfId="0" applyFont="1" applyBorder="1" applyAlignment="1" applyProtection="1">
      <alignment horizontal="left" vertical="top"/>
      <protection locked="0"/>
    </xf>
    <xf numFmtId="0" fontId="547" fillId="0" borderId="241" xfId="0" applyFont="1" applyBorder="1" applyAlignment="1" applyProtection="1">
      <alignment vertical="top" wrapText="1"/>
      <protection locked="0"/>
    </xf>
    <xf numFmtId="0" fontId="537" fillId="0" borderId="244" xfId="0" applyFont="1" applyBorder="1" applyAlignment="1" applyProtection="1">
      <alignment horizontal="center" vertical="center" wrapText="1"/>
      <protection locked="0"/>
    </xf>
    <xf numFmtId="0" fontId="537" fillId="134" borderId="244" xfId="0" applyFont="1" applyFill="1" applyBorder="1" applyAlignment="1" applyProtection="1">
      <alignment horizontal="center" vertical="center" wrapText="1"/>
      <protection locked="0"/>
    </xf>
    <xf numFmtId="210" fontId="537" fillId="0" borderId="241" xfId="0" applyNumberFormat="1" applyFont="1" applyBorder="1" applyAlignment="1" applyProtection="1">
      <alignment horizontal="center" vertical="center"/>
      <protection locked="0"/>
    </xf>
    <xf numFmtId="0" fontId="537" fillId="0" borderId="241" xfId="0" applyFont="1" applyBorder="1" applyAlignment="1" applyProtection="1">
      <alignment vertical="center" wrapText="1"/>
      <protection locked="0"/>
    </xf>
    <xf numFmtId="3" fontId="537" fillId="134" borderId="241" xfId="0" applyNumberFormat="1" applyFont="1" applyFill="1" applyBorder="1" applyAlignment="1" applyProtection="1">
      <alignment horizontal="center" vertical="center"/>
      <protection locked="0"/>
    </xf>
    <xf numFmtId="210" fontId="537" fillId="0" borderId="241" xfId="0" quotePrefix="1" applyNumberFormat="1" applyFont="1" applyBorder="1" applyAlignment="1" applyProtection="1">
      <alignment horizontal="center" vertical="center" wrapText="1"/>
      <protection locked="0"/>
    </xf>
    <xf numFmtId="0" fontId="537" fillId="0" borderId="241" xfId="0" applyFont="1" applyBorder="1" applyAlignment="1" applyProtection="1">
      <alignment vertical="center"/>
      <protection locked="0"/>
    </xf>
    <xf numFmtId="210" fontId="537" fillId="0" borderId="241" xfId="0" applyNumberFormat="1" applyFont="1" applyBorder="1" applyAlignment="1" applyProtection="1">
      <alignment vertical="center"/>
      <protection locked="0"/>
    </xf>
    <xf numFmtId="0" fontId="537" fillId="0" borderId="456" xfId="0" applyFont="1" applyBorder="1" applyAlignment="1">
      <alignment vertical="center"/>
    </xf>
    <xf numFmtId="0" fontId="537" fillId="0" borderId="241" xfId="0" applyFont="1" applyBorder="1" applyAlignment="1">
      <alignment vertical="center" wrapText="1"/>
    </xf>
    <xf numFmtId="0" fontId="544" fillId="0" borderId="0" xfId="0" applyFont="1" applyAlignment="1">
      <alignment horizontal="center" vertical="center"/>
    </xf>
    <xf numFmtId="0" fontId="537" fillId="0" borderId="456" xfId="0" applyFont="1" applyBorder="1" applyAlignment="1">
      <alignment vertical="top"/>
    </xf>
    <xf numFmtId="210" fontId="537" fillId="0" borderId="241" xfId="0" quotePrefix="1" applyNumberFormat="1" applyFont="1" applyBorder="1" applyAlignment="1" applyProtection="1">
      <alignment horizontal="center" vertical="top" wrapText="1"/>
      <protection locked="0"/>
    </xf>
    <xf numFmtId="210" fontId="537" fillId="0" borderId="242" xfId="0" applyNumberFormat="1" applyFont="1" applyBorder="1" applyAlignment="1" applyProtection="1">
      <alignment horizontal="center" vertical="top"/>
      <protection locked="0"/>
    </xf>
    <xf numFmtId="15" fontId="537" fillId="0" borderId="456" xfId="0" applyNumberFormat="1" applyFont="1" applyBorder="1" applyAlignment="1">
      <alignment vertical="top" wrapText="1"/>
    </xf>
    <xf numFmtId="210" fontId="544" fillId="140" borderId="41" xfId="0" applyNumberFormat="1" applyFont="1" applyFill="1" applyBorder="1" applyAlignment="1">
      <alignment horizontal="centerContinuous" vertical="center"/>
    </xf>
    <xf numFmtId="210" fontId="543" fillId="140" borderId="111" xfId="0" applyNumberFormat="1" applyFont="1" applyFill="1" applyBorder="1" applyAlignment="1">
      <alignment horizontal="centerContinuous"/>
    </xf>
    <xf numFmtId="210" fontId="543" fillId="140" borderId="112" xfId="0" applyNumberFormat="1" applyFont="1" applyFill="1" applyBorder="1" applyAlignment="1">
      <alignment horizontal="centerContinuous"/>
    </xf>
    <xf numFmtId="210" fontId="544" fillId="140" borderId="365" xfId="0" applyNumberFormat="1" applyFont="1" applyFill="1" applyBorder="1" applyAlignment="1">
      <alignment horizontal="center" vertical="center" wrapText="1"/>
    </xf>
    <xf numFmtId="210" fontId="551" fillId="107" borderId="365" xfId="0" applyNumberFormat="1" applyFont="1" applyFill="1" applyBorder="1" applyAlignment="1">
      <alignment horizontal="center" vertical="center" wrapText="1"/>
    </xf>
    <xf numFmtId="210" fontId="537" fillId="0" borderId="241" xfId="0" applyNumberFormat="1" applyFont="1" applyBorder="1" applyAlignment="1">
      <alignment horizontal="center" vertical="center" wrapText="1"/>
    </xf>
    <xf numFmtId="0" fontId="537" fillId="0" borderId="241" xfId="19286" applyNumberFormat="1" applyFont="1" applyBorder="1" applyAlignment="1" applyProtection="1">
      <alignment vertical="top"/>
      <protection locked="0"/>
    </xf>
    <xf numFmtId="210" fontId="537" fillId="0" borderId="241" xfId="0" applyNumberFormat="1" applyFont="1" applyBorder="1" applyAlignment="1">
      <alignment horizontal="center" vertical="top" wrapText="1"/>
    </xf>
    <xf numFmtId="0" fontId="551" fillId="0" borderId="456" xfId="0" applyFont="1" applyBorder="1" applyAlignment="1">
      <alignment horizontal="left" vertical="center" wrapText="1"/>
    </xf>
    <xf numFmtId="0" fontId="537" fillId="0" borderId="0" xfId="0" applyFont="1" applyAlignment="1">
      <alignment horizontal="left" vertical="top" wrapText="1"/>
    </xf>
    <xf numFmtId="171" fontId="522" fillId="150" borderId="241" xfId="27937" applyFont="1" applyFill="1" applyBorder="1" applyAlignment="1">
      <alignment horizontal="center" vertical="center" wrapText="1"/>
    </xf>
    <xf numFmtId="171" fontId="522" fillId="150" borderId="356" xfId="27937" applyFont="1" applyFill="1" applyBorder="1" applyAlignment="1">
      <alignment horizontal="center" vertical="center" wrapText="1"/>
    </xf>
    <xf numFmtId="171" fontId="492" fillId="133" borderId="241" xfId="27937" applyFont="1" applyFill="1" applyBorder="1" applyAlignment="1">
      <alignment horizontal="center" vertical="center" wrapText="1"/>
    </xf>
    <xf numFmtId="369" fontId="554" fillId="142" borderId="241" xfId="27936" applyNumberFormat="1" applyFont="1" applyFill="1" applyBorder="1" applyAlignment="1">
      <alignment horizontal="center" vertical="center" wrapText="1"/>
    </xf>
    <xf numFmtId="0" fontId="0" fillId="0" borderId="0" xfId="0" applyAlignment="1">
      <alignment horizontal="center"/>
    </xf>
    <xf numFmtId="0" fontId="555" fillId="0" borderId="0" xfId="0" applyFont="1" applyAlignment="1">
      <alignment horizontal="center" wrapText="1"/>
    </xf>
    <xf numFmtId="0" fontId="0" fillId="0" borderId="0" xfId="0" applyAlignment="1">
      <alignment horizontal="center" vertical="top"/>
    </xf>
    <xf numFmtId="0" fontId="451" fillId="0" borderId="290" xfId="27925" applyFont="1" applyBorder="1" applyAlignment="1">
      <alignment horizontal="left" vertical="center"/>
    </xf>
    <xf numFmtId="0" fontId="457" fillId="128" borderId="318" xfId="27925" quotePrefix="1" applyFont="1" applyFill="1" applyBorder="1" applyAlignment="1">
      <alignment vertical="center"/>
    </xf>
    <xf numFmtId="0" fontId="451" fillId="128" borderId="319" xfId="27925" quotePrefix="1" applyFont="1" applyFill="1" applyBorder="1" applyAlignment="1">
      <alignment vertical="center"/>
    </xf>
    <xf numFmtId="365" fontId="451" fillId="0" borderId="275" xfId="27926" applyNumberFormat="1" applyFont="1" applyFill="1" applyBorder="1" applyAlignment="1">
      <alignment horizontal="center" vertical="center"/>
    </xf>
    <xf numFmtId="365" fontId="451" fillId="0" borderId="453" xfId="27926" applyNumberFormat="1" applyFont="1" applyFill="1" applyBorder="1" applyAlignment="1">
      <alignment horizontal="center" vertical="center"/>
    </xf>
    <xf numFmtId="0" fontId="556" fillId="0" borderId="0" xfId="0" applyFont="1" applyAlignment="1">
      <alignment horizontal="left"/>
    </xf>
    <xf numFmtId="294" fontId="465" fillId="0" borderId="0" xfId="19286" applyNumberFormat="1" applyFont="1" applyFill="1" applyAlignment="1" applyProtection="1">
      <alignment horizontal="right" vertical="center"/>
    </xf>
    <xf numFmtId="363" fontId="451" fillId="0" borderId="268" xfId="27925" applyNumberFormat="1" applyFont="1" applyBorder="1" applyAlignment="1">
      <alignment horizontal="center" vertical="center"/>
    </xf>
    <xf numFmtId="363" fontId="418" fillId="0" borderId="269" xfId="27925" applyNumberFormat="1" applyFont="1" applyBorder="1" applyAlignment="1">
      <alignment vertical="center" wrapText="1"/>
    </xf>
    <xf numFmtId="363" fontId="418" fillId="0" borderId="0" xfId="27925" applyNumberFormat="1" applyFont="1" applyAlignment="1">
      <alignment vertical="center" wrapText="1"/>
    </xf>
    <xf numFmtId="1" fontId="512" fillId="0" borderId="0" xfId="27925" applyNumberFormat="1" applyFont="1" applyAlignment="1">
      <alignment horizontal="center" vertical="center"/>
    </xf>
    <xf numFmtId="363" fontId="418" fillId="0" borderId="0" xfId="27925" applyNumberFormat="1" applyFont="1" applyAlignment="1">
      <alignment horizontal="center" vertical="center"/>
    </xf>
    <xf numFmtId="37" fontId="418" fillId="0" borderId="0" xfId="27925" applyNumberFormat="1" applyFont="1" applyAlignment="1">
      <alignment horizontal="center" vertical="center"/>
    </xf>
    <xf numFmtId="171" fontId="451" fillId="0" borderId="460" xfId="27926" applyFont="1" applyFill="1" applyBorder="1" applyAlignment="1">
      <alignment horizontal="left" vertical="center"/>
    </xf>
    <xf numFmtId="365" fontId="451" fillId="0" borderId="325" xfId="27926" applyNumberFormat="1" applyFont="1" applyFill="1" applyBorder="1" applyAlignment="1">
      <alignment horizontal="left" vertical="center"/>
    </xf>
    <xf numFmtId="171" fontId="492" fillId="183" borderId="356" xfId="27937" applyFont="1" applyFill="1" applyBorder="1" applyAlignment="1">
      <alignment horizontal="center" vertical="center" wrapText="1"/>
    </xf>
    <xf numFmtId="171" fontId="492" fillId="184" borderId="356" xfId="27937" applyFont="1" applyFill="1" applyBorder="1" applyAlignment="1">
      <alignment horizontal="center" vertical="center" wrapText="1"/>
    </xf>
    <xf numFmtId="171" fontId="492" fillId="133" borderId="356" xfId="27937" applyFont="1" applyFill="1" applyBorder="1" applyAlignment="1">
      <alignment horizontal="center" vertical="center" wrapText="1"/>
    </xf>
    <xf numFmtId="15" fontId="557" fillId="0" borderId="325" xfId="27925" applyNumberFormat="1" applyFont="1" applyBorder="1" applyAlignment="1">
      <alignment horizontal="center" vertical="center"/>
    </xf>
    <xf numFmtId="363" fontId="528" fillId="0" borderId="325" xfId="27925" applyNumberFormat="1" applyFont="1" applyBorder="1" applyAlignment="1">
      <alignment vertical="center"/>
    </xf>
    <xf numFmtId="15" fontId="528" fillId="0" borderId="325" xfId="22690" applyNumberFormat="1" applyFont="1" applyFill="1" applyBorder="1" applyAlignment="1">
      <alignment horizontal="center" vertical="center"/>
    </xf>
    <xf numFmtId="15" fontId="557" fillId="0" borderId="270" xfId="27925" applyNumberFormat="1" applyFont="1" applyBorder="1" applyAlignment="1">
      <alignment horizontal="center" vertical="center"/>
    </xf>
    <xf numFmtId="363" fontId="528" fillId="0" borderId="270" xfId="27925" applyNumberFormat="1" applyFont="1" applyBorder="1" applyAlignment="1">
      <alignment horizontal="center" vertical="center"/>
    </xf>
    <xf numFmtId="15" fontId="528" fillId="0" borderId="270" xfId="22690" applyNumberFormat="1" applyFont="1" applyFill="1" applyBorder="1" applyAlignment="1">
      <alignment horizontal="center" vertical="center"/>
    </xf>
    <xf numFmtId="363" fontId="528" fillId="0" borderId="270" xfId="27925" applyNumberFormat="1" applyFont="1" applyBorder="1" applyAlignment="1">
      <alignment vertical="center"/>
    </xf>
    <xf numFmtId="15" fontId="528" fillId="0" borderId="270" xfId="22690" applyNumberFormat="1" applyFont="1" applyFill="1" applyBorder="1" applyAlignment="1">
      <alignment vertical="center"/>
    </xf>
    <xf numFmtId="364" fontId="528" fillId="0" borderId="270" xfId="27925" applyNumberFormat="1" applyFont="1" applyBorder="1" applyAlignment="1">
      <alignment horizontal="left" vertical="center"/>
    </xf>
    <xf numFmtId="363" fontId="558" fillId="164" borderId="270" xfId="27925" applyNumberFormat="1" applyFont="1" applyFill="1" applyBorder="1" applyAlignment="1">
      <alignment horizontal="left" vertical="center"/>
    </xf>
    <xf numFmtId="9" fontId="558" fillId="164" borderId="270" xfId="22690" applyFont="1" applyFill="1" applyBorder="1" applyAlignment="1">
      <alignment horizontal="center" vertical="center"/>
    </xf>
    <xf numFmtId="37" fontId="557" fillId="0" borderId="270" xfId="19286" applyNumberFormat="1" applyFont="1" applyBorder="1" applyAlignment="1">
      <alignment horizontal="center" vertical="center"/>
    </xf>
    <xf numFmtId="364" fontId="528" fillId="0" borderId="270" xfId="27925" applyNumberFormat="1" applyFont="1" applyBorder="1" applyAlignment="1">
      <alignment horizontal="center" vertical="center"/>
    </xf>
    <xf numFmtId="171" fontId="527" fillId="0" borderId="269" xfId="27926" applyFont="1" applyFill="1" applyBorder="1" applyAlignment="1">
      <alignment horizontal="left" vertical="center"/>
    </xf>
    <xf numFmtId="179" fontId="385" fillId="164" borderId="0" xfId="27932" applyNumberFormat="1" applyFont="1" applyFill="1" applyBorder="1" applyAlignment="1" applyProtection="1">
      <alignment horizontal="right" vertical="center"/>
      <protection locked="0"/>
    </xf>
    <xf numFmtId="0" fontId="559" fillId="0" borderId="0" xfId="22674" applyFont="1" applyAlignment="1">
      <alignment vertical="top"/>
    </xf>
    <xf numFmtId="364" fontId="559" fillId="0" borderId="280" xfId="22674" applyNumberFormat="1" applyFont="1" applyBorder="1" applyAlignment="1">
      <alignment horizontal="center" vertical="center"/>
    </xf>
    <xf numFmtId="364" fontId="559" fillId="0" borderId="0" xfId="22674" applyNumberFormat="1" applyFont="1" applyAlignment="1">
      <alignment horizontal="center" vertical="center"/>
    </xf>
    <xf numFmtId="0" fontId="559" fillId="107" borderId="0" xfId="22674" applyFont="1" applyFill="1" applyAlignment="1">
      <alignment vertical="top"/>
    </xf>
    <xf numFmtId="0" fontId="504" fillId="0" borderId="0" xfId="22674" applyFont="1" applyAlignment="1">
      <alignment vertical="top"/>
    </xf>
    <xf numFmtId="171" fontId="451" fillId="0" borderId="318" xfId="27925" quotePrefix="1" applyNumberFormat="1" applyFont="1" applyBorder="1" applyAlignment="1">
      <alignment horizontal="left" vertical="center" wrapText="1"/>
    </xf>
    <xf numFmtId="171" fontId="451" fillId="0" borderId="319" xfId="27925" quotePrefix="1" applyNumberFormat="1" applyFont="1" applyBorder="1" applyAlignment="1">
      <alignment horizontal="left" vertical="center" wrapText="1"/>
    </xf>
    <xf numFmtId="365" fontId="451" fillId="0" borderId="437" xfId="27926" applyNumberFormat="1" applyFont="1" applyFill="1" applyBorder="1" applyAlignment="1">
      <alignment horizontal="center" vertical="center"/>
    </xf>
    <xf numFmtId="365" fontId="451" fillId="0" borderId="438" xfId="27926" applyNumberFormat="1" applyFont="1" applyFill="1" applyBorder="1" applyAlignment="1">
      <alignment horizontal="center" vertical="center"/>
    </xf>
    <xf numFmtId="0" fontId="496" fillId="107" borderId="145" xfId="22678" quotePrefix="1" applyNumberFormat="1" applyFont="1" applyFill="1" applyBorder="1" applyAlignment="1" applyProtection="1">
      <alignment horizontal="center" vertical="center" wrapText="1"/>
      <protection locked="0"/>
    </xf>
    <xf numFmtId="286" fontId="496" fillId="107" borderId="351" xfId="27932" applyNumberFormat="1" applyFont="1" applyFill="1" applyBorder="1" applyAlignment="1" applyProtection="1">
      <alignment horizontal="center" vertical="center" wrapText="1"/>
      <protection locked="0"/>
    </xf>
    <xf numFmtId="210" fontId="496" fillId="107" borderId="214" xfId="7850" applyNumberFormat="1" applyFont="1" applyFill="1" applyBorder="1" applyAlignment="1" applyProtection="1">
      <alignment horizontal="center" vertical="center"/>
      <protection locked="0"/>
    </xf>
    <xf numFmtId="366" fontId="496" fillId="107" borderId="163" xfId="7850" applyNumberFormat="1" applyFont="1" applyFill="1" applyBorder="1" applyAlignment="1" applyProtection="1">
      <alignment horizontal="center" vertical="center" wrapText="1"/>
      <protection locked="0"/>
    </xf>
    <xf numFmtId="179" fontId="66" fillId="207" borderId="350" xfId="22694" applyNumberFormat="1" applyFont="1" applyFill="1" applyBorder="1" applyAlignment="1" applyProtection="1">
      <alignment horizontal="left" vertical="center" wrapText="1"/>
      <protection locked="0"/>
    </xf>
    <xf numFmtId="15" fontId="437" fillId="207" borderId="117" xfId="22678" quotePrefix="1" applyNumberFormat="1" applyFont="1" applyFill="1" applyBorder="1" applyAlignment="1" applyProtection="1">
      <alignment horizontal="center" vertical="center"/>
      <protection locked="0"/>
    </xf>
    <xf numFmtId="9" fontId="441" fillId="142" borderId="384" xfId="22690" applyFont="1" applyFill="1" applyBorder="1" applyAlignment="1" applyProtection="1">
      <alignment horizontal="center" vertical="center" wrapText="1"/>
      <protection locked="0"/>
    </xf>
    <xf numFmtId="17" fontId="437" fillId="0" borderId="367" xfId="27944" applyNumberFormat="1" applyFont="1" applyFill="1" applyBorder="1" applyAlignment="1" applyProtection="1">
      <alignment horizontal="center" vertical="center" wrapText="1"/>
      <protection locked="0"/>
    </xf>
    <xf numFmtId="40" fontId="451" fillId="0" borderId="0" xfId="27925" applyNumberFormat="1" applyFont="1" applyAlignment="1">
      <alignment horizontal="center" vertical="center"/>
    </xf>
    <xf numFmtId="43" fontId="560" fillId="0" borderId="0" xfId="19286" applyFont="1" applyAlignment="1">
      <alignment horizontal="left" vertical="center"/>
    </xf>
    <xf numFmtId="171" fontId="522" fillId="0" borderId="0" xfId="27936" applyNumberFormat="1" applyFont="1" applyAlignment="1">
      <alignment vertical="center"/>
    </xf>
    <xf numFmtId="43" fontId="520" fillId="106" borderId="115" xfId="19286" applyFont="1" applyFill="1" applyBorder="1"/>
    <xf numFmtId="171" fontId="519" fillId="106" borderId="115" xfId="0" applyNumberFormat="1" applyFont="1" applyFill="1" applyBorder="1"/>
    <xf numFmtId="43" fontId="519" fillId="106" borderId="115" xfId="19286" applyFont="1" applyFill="1" applyBorder="1"/>
    <xf numFmtId="2" fontId="169" fillId="107" borderId="351" xfId="27932" applyNumberFormat="1" applyFont="1" applyFill="1" applyBorder="1" applyAlignment="1" applyProtection="1">
      <alignment horizontal="center" vertical="center" wrapText="1"/>
      <protection locked="0"/>
    </xf>
    <xf numFmtId="359" fontId="169" fillId="107" borderId="148" xfId="22678" quotePrefix="1" applyFont="1" applyFill="1" applyBorder="1" applyAlignment="1" applyProtection="1">
      <alignment horizontal="left" vertical="top" wrapText="1"/>
      <protection locked="0"/>
    </xf>
    <xf numFmtId="234" fontId="458" fillId="0" borderId="0" xfId="22751" applyNumberFormat="1" applyFont="1" applyAlignment="1">
      <alignment vertical="center"/>
    </xf>
    <xf numFmtId="43" fontId="458" fillId="0" borderId="0" xfId="19286" applyFont="1" applyAlignment="1">
      <alignment horizontal="right" vertical="center"/>
    </xf>
    <xf numFmtId="43" fontId="451" fillId="0" borderId="0" xfId="19286" applyFont="1" applyAlignment="1">
      <alignment horizontal="right" vertical="center"/>
    </xf>
    <xf numFmtId="361" fontId="496" fillId="107" borderId="117" xfId="22678" applyNumberFormat="1" applyFont="1" applyFill="1" applyBorder="1" applyAlignment="1" applyProtection="1">
      <alignment horizontal="center" vertical="center"/>
      <protection locked="0"/>
    </xf>
    <xf numFmtId="43" fontId="519" fillId="0" borderId="115" xfId="0" applyNumberFormat="1" applyFont="1" applyBorder="1"/>
    <xf numFmtId="1" fontId="437" fillId="204" borderId="214" xfId="22678" quotePrefix="1" applyNumberFormat="1" applyFont="1" applyFill="1" applyBorder="1" applyAlignment="1" applyProtection="1">
      <alignment horizontal="center" vertical="center" wrapText="1"/>
      <protection locked="0"/>
    </xf>
    <xf numFmtId="0" fontId="437" fillId="204" borderId="117" xfId="22678" quotePrefix="1" applyNumberFormat="1" applyFont="1" applyFill="1" applyBorder="1" applyAlignment="1" applyProtection="1">
      <alignment horizontal="center" vertical="center" wrapText="1"/>
      <protection locked="0"/>
    </xf>
    <xf numFmtId="15" fontId="437" fillId="204" borderId="117" xfId="27944" applyNumberFormat="1" applyFont="1" applyFill="1" applyBorder="1" applyAlignment="1" applyProtection="1">
      <alignment horizontal="center" vertical="center"/>
      <protection locked="0"/>
    </xf>
    <xf numFmtId="15" fontId="437" fillId="204" borderId="117" xfId="22678" quotePrefix="1" applyNumberFormat="1" applyFont="1" applyFill="1" applyBorder="1" applyAlignment="1" applyProtection="1">
      <alignment horizontal="center" vertical="center"/>
      <protection locked="0"/>
    </xf>
    <xf numFmtId="38" fontId="437" fillId="204" borderId="117" xfId="22678" quotePrefix="1" applyNumberFormat="1" applyFont="1" applyFill="1" applyBorder="1" applyAlignment="1" applyProtection="1">
      <alignment horizontal="center" vertical="center"/>
      <protection locked="0"/>
    </xf>
    <xf numFmtId="40" fontId="437" fillId="204" borderId="117" xfId="27944" applyNumberFormat="1" applyFont="1" applyFill="1" applyBorder="1" applyAlignment="1" applyProtection="1">
      <alignment horizontal="center" vertical="center"/>
      <protection locked="0"/>
    </xf>
    <xf numFmtId="40" fontId="437" fillId="204" borderId="117" xfId="27946" applyNumberFormat="1" applyFont="1" applyFill="1" applyBorder="1" applyAlignment="1" applyProtection="1">
      <alignment horizontal="center" vertical="center"/>
      <protection locked="0"/>
    </xf>
    <xf numFmtId="40" fontId="437" fillId="204" borderId="117" xfId="22678" quotePrefix="1" applyNumberFormat="1" applyFont="1" applyFill="1" applyBorder="1" applyAlignment="1" applyProtection="1">
      <alignment horizontal="center" vertical="center"/>
      <protection locked="0"/>
    </xf>
    <xf numFmtId="0" fontId="437" fillId="204" borderId="214" xfId="22678" quotePrefix="1" applyNumberFormat="1" applyFont="1" applyFill="1" applyBorder="1" applyAlignment="1" applyProtection="1">
      <alignment horizontal="center" vertical="center"/>
      <protection locked="0"/>
    </xf>
    <xf numFmtId="40" fontId="437" fillId="204" borderId="214" xfId="22678" quotePrefix="1" applyNumberFormat="1" applyFont="1" applyFill="1" applyBorder="1" applyAlignment="1" applyProtection="1">
      <alignment horizontal="center" vertical="center"/>
      <protection locked="0"/>
    </xf>
    <xf numFmtId="179" fontId="443" fillId="137" borderId="0" xfId="27944" applyNumberFormat="1" applyFont="1" applyFill="1" applyBorder="1" applyAlignment="1" applyProtection="1">
      <alignment horizontal="centerContinuous" vertical="center"/>
      <protection locked="0"/>
    </xf>
    <xf numFmtId="359" fontId="437" fillId="204" borderId="0" xfId="22678" applyFont="1" applyFill="1" applyAlignment="1" applyProtection="1">
      <alignment vertical="center"/>
      <protection locked="0"/>
    </xf>
    <xf numFmtId="369" fontId="437" fillId="0" borderId="367" xfId="27944" applyNumberFormat="1" applyFont="1" applyFill="1" applyBorder="1" applyAlignment="1" applyProtection="1">
      <alignment horizontal="center" vertical="center"/>
      <protection locked="0"/>
    </xf>
    <xf numFmtId="210" fontId="437" fillId="0" borderId="367" xfId="27944" applyNumberFormat="1" applyFont="1" applyFill="1" applyBorder="1" applyAlignment="1" applyProtection="1">
      <alignment horizontal="right" vertical="center"/>
      <protection locked="0"/>
    </xf>
    <xf numFmtId="359" fontId="437" fillId="0" borderId="367" xfId="22678" applyFont="1" applyBorder="1" applyAlignment="1" applyProtection="1">
      <alignment vertical="center"/>
      <protection locked="0"/>
    </xf>
    <xf numFmtId="369" fontId="418" fillId="130" borderId="408" xfId="27925" applyNumberFormat="1" applyFont="1" applyFill="1" applyBorder="1" applyAlignment="1">
      <alignment horizontal="center" vertical="center"/>
    </xf>
    <xf numFmtId="359" fontId="437" fillId="0" borderId="117" xfId="22678" applyFont="1" applyBorder="1" applyAlignment="1" applyProtection="1">
      <alignment vertical="center"/>
      <protection locked="0"/>
    </xf>
    <xf numFmtId="0" fontId="437" fillId="0" borderId="126" xfId="22678" quotePrefix="1" applyNumberFormat="1" applyFont="1" applyBorder="1" applyAlignment="1" applyProtection="1">
      <alignment horizontal="center" vertical="center"/>
      <protection locked="0"/>
    </xf>
    <xf numFmtId="359" fontId="437" fillId="0" borderId="125" xfId="22678" applyFont="1" applyBorder="1" applyAlignment="1" applyProtection="1">
      <alignment horizontal="center" vertical="center" wrapText="1"/>
      <protection locked="0"/>
    </xf>
    <xf numFmtId="369" fontId="437" fillId="0" borderId="125" xfId="27944" applyNumberFormat="1" applyFont="1" applyFill="1" applyBorder="1" applyAlignment="1" applyProtection="1">
      <alignment horizontal="center" vertical="center"/>
      <protection locked="0"/>
    </xf>
    <xf numFmtId="179" fontId="437" fillId="0" borderId="125" xfId="27944" applyNumberFormat="1" applyFont="1" applyFill="1" applyBorder="1" applyAlignment="1" applyProtection="1">
      <alignment horizontal="center" vertical="center"/>
      <protection locked="0"/>
    </xf>
    <xf numFmtId="210" fontId="437" fillId="0" borderId="125" xfId="27944" applyNumberFormat="1" applyFont="1" applyFill="1" applyBorder="1" applyAlignment="1" applyProtection="1">
      <alignment horizontal="right" vertical="center"/>
      <protection locked="0"/>
    </xf>
    <xf numFmtId="40" fontId="437" fillId="0" borderId="125" xfId="27944" applyNumberFormat="1" applyFont="1" applyFill="1" applyBorder="1" applyAlignment="1" applyProtection="1">
      <alignment horizontal="center" vertical="center"/>
      <protection locked="0"/>
    </xf>
    <xf numFmtId="40" fontId="437" fillId="0" borderId="160" xfId="27944" applyNumberFormat="1" applyFont="1" applyFill="1" applyBorder="1" applyAlignment="1" applyProtection="1">
      <alignment horizontal="center" vertical="center"/>
      <protection locked="0"/>
    </xf>
    <xf numFmtId="359" fontId="437" fillId="0" borderId="124" xfId="22678" applyFont="1" applyBorder="1" applyAlignment="1" applyProtection="1">
      <alignment vertical="center"/>
      <protection locked="0"/>
    </xf>
    <xf numFmtId="1" fontId="437" fillId="0" borderId="160" xfId="22678" quotePrefix="1" applyNumberFormat="1" applyFont="1" applyBorder="1" applyAlignment="1" applyProtection="1">
      <alignment horizontal="center" vertical="center" wrapText="1"/>
      <protection locked="0"/>
    </xf>
    <xf numFmtId="0" fontId="437" fillId="0" borderId="463" xfId="22678" quotePrefix="1" applyNumberFormat="1" applyFont="1" applyBorder="1" applyAlignment="1" applyProtection="1">
      <alignment horizontal="center" vertical="center" wrapText="1"/>
      <protection locked="0"/>
    </xf>
    <xf numFmtId="15" fontId="437" fillId="0" borderId="463" xfId="27944" applyNumberFormat="1" applyFont="1" applyFill="1" applyBorder="1" applyAlignment="1" applyProtection="1">
      <alignment horizontal="center" vertical="center"/>
      <protection locked="0"/>
    </xf>
    <xf numFmtId="15" fontId="437" fillId="0" borderId="463" xfId="22678" quotePrefix="1" applyNumberFormat="1" applyFont="1" applyBorder="1" applyAlignment="1" applyProtection="1">
      <alignment horizontal="center" vertical="center"/>
      <protection locked="0"/>
    </xf>
    <xf numFmtId="38" fontId="437" fillId="0" borderId="463" xfId="22678" quotePrefix="1" applyNumberFormat="1" applyFont="1" applyBorder="1" applyAlignment="1" applyProtection="1">
      <alignment horizontal="center" vertical="center"/>
      <protection locked="0"/>
    </xf>
    <xf numFmtId="40" fontId="437" fillId="0" borderId="463" xfId="27944" applyNumberFormat="1" applyFont="1" applyFill="1" applyBorder="1" applyAlignment="1" applyProtection="1">
      <alignment horizontal="center" vertical="center"/>
      <protection locked="0"/>
    </xf>
    <xf numFmtId="40" fontId="437" fillId="0" borderId="463" xfId="27946" applyNumberFormat="1" applyFont="1" applyFill="1" applyBorder="1" applyAlignment="1" applyProtection="1">
      <alignment horizontal="center" vertical="center"/>
      <protection locked="0"/>
    </xf>
    <xf numFmtId="15" fontId="437" fillId="0" borderId="125" xfId="22678" quotePrefix="1" applyNumberFormat="1" applyFont="1" applyBorder="1" applyAlignment="1" applyProtection="1">
      <alignment horizontal="center" vertical="center"/>
      <protection locked="0"/>
    </xf>
    <xf numFmtId="15" fontId="437" fillId="0" borderId="125" xfId="27944" applyNumberFormat="1" applyFont="1" applyFill="1" applyBorder="1" applyAlignment="1" applyProtection="1">
      <alignment horizontal="center" vertical="center"/>
      <protection locked="0"/>
    </xf>
    <xf numFmtId="38" fontId="437" fillId="0" borderId="125" xfId="22678" quotePrefix="1" applyNumberFormat="1" applyFont="1" applyBorder="1" applyAlignment="1" applyProtection="1">
      <alignment horizontal="center" vertical="center"/>
      <protection locked="0"/>
    </xf>
    <xf numFmtId="40" fontId="437" fillId="0" borderId="126" xfId="22678" quotePrefix="1" applyNumberFormat="1" applyFont="1" applyBorder="1" applyAlignment="1" applyProtection="1">
      <alignment horizontal="center" vertical="center"/>
      <protection locked="0"/>
    </xf>
    <xf numFmtId="43" fontId="418" fillId="0" borderId="0" xfId="19286" applyFont="1" applyFill="1" applyBorder="1" applyAlignment="1">
      <alignment horizontal="center" vertical="center"/>
    </xf>
    <xf numFmtId="359" fontId="353" fillId="128" borderId="0" xfId="22678" applyFont="1" applyFill="1" applyAlignment="1" applyProtection="1">
      <alignment vertical="center"/>
      <protection locked="0"/>
    </xf>
    <xf numFmtId="359" fontId="385" fillId="128" borderId="0" xfId="22678" applyFont="1" applyFill="1" applyAlignment="1" applyProtection="1">
      <alignment vertical="center"/>
      <protection locked="0"/>
    </xf>
    <xf numFmtId="359" fontId="353" fillId="212" borderId="0" xfId="22678" applyFont="1" applyFill="1" applyAlignment="1" applyProtection="1">
      <alignment vertical="center"/>
      <protection locked="0"/>
    </xf>
    <xf numFmtId="359" fontId="385" fillId="212" borderId="0" xfId="22678" applyFont="1" applyFill="1" applyAlignment="1" applyProtection="1">
      <alignment vertical="center"/>
      <protection locked="0"/>
    </xf>
    <xf numFmtId="359" fontId="385" fillId="111" borderId="0" xfId="22678" applyFont="1" applyFill="1" applyAlignment="1" applyProtection="1">
      <alignment vertical="center"/>
      <protection locked="0"/>
    </xf>
    <xf numFmtId="359" fontId="353" fillId="111" borderId="0" xfId="22678" applyFont="1" applyFill="1" applyAlignment="1" applyProtection="1">
      <alignment vertical="center" wrapText="1"/>
      <protection locked="0"/>
    </xf>
    <xf numFmtId="40" fontId="451" fillId="0" borderId="0" xfId="27925" applyNumberFormat="1" applyFont="1"/>
    <xf numFmtId="171" fontId="451" fillId="0" borderId="0" xfId="27925" applyNumberFormat="1" applyFont="1" applyAlignment="1">
      <alignment horizontal="center" vertical="center"/>
    </xf>
    <xf numFmtId="363" fontId="451" fillId="0" borderId="0" xfId="27925" applyNumberFormat="1" applyFont="1" applyAlignment="1">
      <alignment horizontal="center" vertical="center"/>
    </xf>
    <xf numFmtId="0" fontId="169" fillId="107" borderId="148" xfId="22678" applyNumberFormat="1" applyFont="1" applyFill="1" applyBorder="1" applyAlignment="1" applyProtection="1">
      <alignment horizontal="left" vertical="top" wrapText="1"/>
      <protection locked="0"/>
    </xf>
    <xf numFmtId="171" fontId="451" fillId="0" borderId="0" xfId="27936" applyNumberFormat="1" applyFont="1" applyAlignment="1">
      <alignment vertical="center"/>
    </xf>
    <xf numFmtId="0" fontId="66" fillId="107" borderId="214" xfId="22678" quotePrefix="1" applyNumberFormat="1" applyFont="1" applyFill="1" applyBorder="1" applyAlignment="1" applyProtection="1">
      <alignment horizontal="center" vertical="center"/>
      <protection locked="0"/>
    </xf>
    <xf numFmtId="179" fontId="67" fillId="107" borderId="350" xfId="22694" applyNumberFormat="1" applyFont="1" applyFill="1" applyBorder="1" applyAlignment="1" applyProtection="1">
      <alignment horizontal="left" vertical="center"/>
      <protection locked="0"/>
    </xf>
    <xf numFmtId="179" fontId="66" fillId="107" borderId="350" xfId="22694" applyNumberFormat="1" applyFont="1" applyFill="1" applyBorder="1" applyAlignment="1" applyProtection="1">
      <alignment horizontal="left" vertical="center" wrapText="1"/>
      <protection locked="0"/>
    </xf>
    <xf numFmtId="362" fontId="67" fillId="107" borderId="350" xfId="22694" applyNumberFormat="1" applyFont="1" applyFill="1" applyBorder="1" applyAlignment="1" applyProtection="1">
      <alignment horizontal="right" vertical="center"/>
      <protection locked="0"/>
    </xf>
    <xf numFmtId="179" fontId="526" fillId="107" borderId="350" xfId="22694" applyNumberFormat="1" applyFont="1" applyFill="1" applyBorder="1" applyAlignment="1" applyProtection="1">
      <alignment vertical="center"/>
      <protection locked="0"/>
    </xf>
    <xf numFmtId="362" fontId="526" fillId="107" borderId="350" xfId="22694" applyNumberFormat="1" applyFont="1" applyFill="1" applyBorder="1" applyAlignment="1" applyProtection="1">
      <alignment horizontal="right" vertical="center"/>
      <protection locked="0"/>
    </xf>
    <xf numFmtId="210" fontId="526" fillId="107" borderId="350" xfId="22694" applyNumberFormat="1" applyFont="1" applyFill="1" applyBorder="1" applyAlignment="1" applyProtection="1">
      <alignment horizontal="right" vertical="center"/>
      <protection locked="0"/>
    </xf>
    <xf numFmtId="179" fontId="526" fillId="107" borderId="350" xfId="22696" applyNumberFormat="1" applyFont="1" applyFill="1" applyBorder="1" applyAlignment="1" applyProtection="1">
      <alignment horizontal="center" vertical="center"/>
      <protection locked="0"/>
    </xf>
    <xf numFmtId="179" fontId="66" fillId="107" borderId="350" xfId="22694" applyNumberFormat="1" applyFont="1" applyFill="1" applyBorder="1" applyAlignment="1" applyProtection="1">
      <alignment vertical="center" wrapText="1"/>
      <protection locked="0"/>
    </xf>
    <xf numFmtId="0" fontId="66" fillId="107" borderId="350" xfId="22694" applyNumberFormat="1" applyFont="1" applyFill="1" applyBorder="1" applyAlignment="1" applyProtection="1">
      <alignment horizontal="right" vertical="center"/>
      <protection locked="0"/>
    </xf>
    <xf numFmtId="362" fontId="66" fillId="107" borderId="350" xfId="22694" applyNumberFormat="1" applyFont="1" applyFill="1" applyBorder="1" applyAlignment="1" applyProtection="1">
      <alignment horizontal="right" vertical="center"/>
      <protection locked="0"/>
    </xf>
    <xf numFmtId="210" fontId="66" fillId="107" borderId="350" xfId="22694" applyNumberFormat="1" applyFont="1" applyFill="1" applyBorder="1" applyAlignment="1" applyProtection="1">
      <alignment horizontal="right" vertical="center"/>
      <protection locked="0"/>
    </xf>
    <xf numFmtId="179" fontId="66" fillId="107" borderId="350" xfId="22694" applyNumberFormat="1" applyFont="1" applyFill="1" applyBorder="1" applyAlignment="1" applyProtection="1">
      <alignment vertical="center"/>
      <protection locked="0"/>
    </xf>
    <xf numFmtId="179" fontId="66" fillId="107" borderId="350" xfId="22696" applyNumberFormat="1" applyFont="1" applyFill="1" applyBorder="1" applyAlignment="1" applyProtection="1">
      <alignment horizontal="center" vertical="center"/>
      <protection locked="0"/>
    </xf>
    <xf numFmtId="179" fontId="67" fillId="107" borderId="350" xfId="22696" applyNumberFormat="1" applyFont="1" applyFill="1" applyBorder="1" applyAlignment="1" applyProtection="1">
      <alignment horizontal="center" vertical="center"/>
      <protection locked="0"/>
    </xf>
    <xf numFmtId="179" fontId="66" fillId="107" borderId="350" xfId="22694" applyNumberFormat="1" applyFont="1" applyFill="1" applyBorder="1" applyAlignment="1" applyProtection="1">
      <alignment horizontal="left" vertical="center"/>
      <protection locked="0"/>
    </xf>
    <xf numFmtId="363" fontId="66" fillId="107" borderId="350" xfId="22694" applyNumberFormat="1" applyFont="1" applyFill="1" applyBorder="1" applyAlignment="1" applyProtection="1">
      <alignment horizontal="right" vertical="center"/>
      <protection locked="0"/>
    </xf>
    <xf numFmtId="210" fontId="67" fillId="107" borderId="350" xfId="22694" applyNumberFormat="1" applyFont="1" applyFill="1" applyBorder="1" applyAlignment="1" applyProtection="1">
      <alignment horizontal="right" vertical="center"/>
      <protection locked="0"/>
    </xf>
    <xf numFmtId="43" fontId="474" fillId="0" borderId="365" xfId="19286" applyFont="1" applyBorder="1" applyAlignment="1">
      <alignment horizontal="center" vertical="center"/>
    </xf>
    <xf numFmtId="43" fontId="474" fillId="0" borderId="365" xfId="19286" applyFont="1" applyBorder="1" applyAlignment="1">
      <alignment horizontal="justify" vertical="center" wrapText="1"/>
    </xf>
    <xf numFmtId="43" fontId="474" fillId="0" borderId="365" xfId="19286" applyFont="1" applyFill="1" applyBorder="1" applyAlignment="1" applyProtection="1">
      <alignment horizontal="right" vertical="center"/>
    </xf>
    <xf numFmtId="43" fontId="458" fillId="0" borderId="0" xfId="19286" applyFont="1" applyAlignment="1">
      <alignment vertical="center"/>
    </xf>
    <xf numFmtId="43" fontId="481" fillId="0" borderId="365" xfId="19286" applyFont="1" applyFill="1" applyBorder="1" applyAlignment="1" applyProtection="1">
      <alignment horizontal="right" vertical="center"/>
    </xf>
    <xf numFmtId="43" fontId="465" fillId="0" borderId="0" xfId="19286" applyFont="1" applyFill="1" applyAlignment="1" applyProtection="1">
      <alignment horizontal="right" vertical="center"/>
    </xf>
    <xf numFmtId="43" fontId="460" fillId="0" borderId="0" xfId="19286" applyFont="1" applyFill="1" applyAlignment="1" applyProtection="1">
      <alignment horizontal="right" vertical="center"/>
    </xf>
    <xf numFmtId="43" fontId="452" fillId="0" borderId="0" xfId="19286" applyFont="1" applyAlignment="1">
      <alignment vertical="center"/>
    </xf>
    <xf numFmtId="15" fontId="437" fillId="126" borderId="117" xfId="22678" quotePrefix="1" applyNumberFormat="1" applyFont="1" applyFill="1" applyBorder="1" applyAlignment="1" applyProtection="1">
      <alignment horizontal="center" vertical="center"/>
      <protection locked="0"/>
    </xf>
    <xf numFmtId="1" fontId="437" fillId="0" borderId="214" xfId="22678" applyNumberFormat="1" applyFont="1" applyBorder="1" applyAlignment="1" applyProtection="1">
      <alignment horizontal="center" vertical="center" wrapText="1"/>
      <protection locked="0"/>
    </xf>
    <xf numFmtId="43" fontId="0" fillId="0" borderId="0" xfId="19286" applyFont="1" applyAlignment="1" applyProtection="1">
      <alignment vertical="center"/>
    </xf>
    <xf numFmtId="43" fontId="357" fillId="0" borderId="0" xfId="19286" applyFont="1" applyBorder="1" applyAlignment="1" applyProtection="1">
      <alignment vertical="center"/>
    </xf>
    <xf numFmtId="40" fontId="447" fillId="0" borderId="0" xfId="22752" applyNumberFormat="1" applyFont="1" applyAlignment="1" applyProtection="1">
      <alignment vertical="center"/>
    </xf>
    <xf numFmtId="171" fontId="451" fillId="107" borderId="269" xfId="27926" applyFont="1" applyFill="1" applyBorder="1" applyAlignment="1">
      <alignment horizontal="left" wrapText="1"/>
    </xf>
    <xf numFmtId="43" fontId="437" fillId="0" borderId="0" xfId="19286" applyFont="1" applyFill="1" applyBorder="1" applyAlignment="1" applyProtection="1">
      <alignment horizontal="right" vertical="center"/>
      <protection locked="0"/>
    </xf>
    <xf numFmtId="15" fontId="437" fillId="0" borderId="117" xfId="27953" applyNumberFormat="1" applyFont="1" applyFill="1" applyBorder="1" applyAlignment="1" applyProtection="1">
      <alignment horizontal="left" vertical="top"/>
      <protection locked="0"/>
    </xf>
    <xf numFmtId="43" fontId="353" fillId="0" borderId="0" xfId="19286" applyFont="1" applyAlignment="1" applyProtection="1">
      <alignment vertical="center"/>
      <protection locked="0"/>
    </xf>
    <xf numFmtId="9" fontId="353" fillId="0" borderId="0" xfId="22690" applyFont="1" applyAlignment="1" applyProtection="1">
      <alignment vertical="center"/>
      <protection locked="0"/>
    </xf>
    <xf numFmtId="0" fontId="496" fillId="107" borderId="145" xfId="22678" quotePrefix="1" applyNumberFormat="1" applyFont="1" applyFill="1" applyBorder="1" applyAlignment="1" applyProtection="1">
      <alignment horizontal="center" vertical="center"/>
      <protection locked="0"/>
    </xf>
    <xf numFmtId="366" fontId="496" fillId="107" borderId="163" xfId="27932" applyNumberFormat="1" applyFont="1" applyFill="1" applyBorder="1" applyAlignment="1" applyProtection="1">
      <alignment horizontal="center" vertical="center"/>
      <protection locked="0"/>
    </xf>
    <xf numFmtId="363" fontId="496" fillId="107" borderId="117" xfId="27932" applyNumberFormat="1" applyFont="1" applyFill="1" applyBorder="1" applyAlignment="1" applyProtection="1">
      <alignment horizontal="center" vertical="center"/>
      <protection locked="0"/>
    </xf>
    <xf numFmtId="43" fontId="451" fillId="0" borderId="0" xfId="19286" applyFont="1" applyAlignment="1">
      <alignment horizontal="left" vertical="center"/>
    </xf>
    <xf numFmtId="43" fontId="453" fillId="0" borderId="0" xfId="19286" applyFont="1"/>
    <xf numFmtId="40" fontId="451" fillId="0" borderId="0" xfId="27925" applyNumberFormat="1" applyFont="1" applyAlignment="1">
      <alignment horizontal="left" vertical="center"/>
    </xf>
    <xf numFmtId="43" fontId="562" fillId="0" borderId="0" xfId="19286" applyFont="1" applyFill="1" applyBorder="1" applyAlignment="1" applyProtection="1">
      <alignment horizontal="right" vertical="center"/>
      <protection locked="0"/>
    </xf>
    <xf numFmtId="43" fontId="563" fillId="0" borderId="0" xfId="19286" applyFont="1" applyAlignment="1" applyProtection="1">
      <alignment horizontal="right"/>
      <protection locked="0"/>
    </xf>
    <xf numFmtId="43" fontId="563" fillId="0" borderId="0" xfId="19286" applyFont="1" applyAlignment="1" applyProtection="1">
      <alignment vertical="center"/>
      <protection locked="0"/>
    </xf>
    <xf numFmtId="43" fontId="564" fillId="0" borderId="0" xfId="19286" applyFont="1" applyAlignment="1">
      <alignment horizontal="right"/>
    </xf>
    <xf numFmtId="10" fontId="353" fillId="0" borderId="0" xfId="22690" applyNumberFormat="1" applyFont="1" applyAlignment="1" applyProtection="1">
      <alignment horizontal="right" wrapText="1"/>
      <protection locked="0"/>
    </xf>
    <xf numFmtId="359" fontId="169" fillId="107" borderId="148" xfId="22678" quotePrefix="1" applyFont="1" applyFill="1" applyBorder="1" applyAlignment="1" applyProtection="1">
      <alignment horizontal="left" vertical="center" wrapText="1"/>
      <protection locked="0"/>
    </xf>
    <xf numFmtId="363" fontId="497" fillId="107" borderId="45" xfId="27932" applyNumberFormat="1" applyFont="1" applyFill="1" applyBorder="1" applyAlignment="1" applyProtection="1">
      <alignment horizontal="center" vertical="center"/>
      <protection locked="0"/>
    </xf>
    <xf numFmtId="14" fontId="169" fillId="107" borderId="214" xfId="27932" applyNumberFormat="1" applyFont="1" applyFill="1" applyBorder="1" applyAlignment="1" applyProtection="1">
      <alignment horizontal="center" vertical="center"/>
      <protection locked="0"/>
    </xf>
    <xf numFmtId="366" fontId="169" fillId="107" borderId="163" xfId="27932" applyNumberFormat="1" applyFont="1" applyFill="1" applyBorder="1" applyAlignment="1" applyProtection="1">
      <alignment horizontal="center" vertical="center"/>
      <protection locked="0"/>
    </xf>
    <xf numFmtId="38" fontId="0" fillId="0" borderId="0" xfId="22752" applyNumberFormat="1" applyFont="1" applyFill="1" applyAlignment="1" applyProtection="1">
      <alignment vertical="center"/>
    </xf>
    <xf numFmtId="10" fontId="0" fillId="0" borderId="0" xfId="22690" applyNumberFormat="1" applyFont="1" applyFill="1" applyAlignment="1" applyProtection="1">
      <alignment vertical="center"/>
    </xf>
    <xf numFmtId="9" fontId="357" fillId="0" borderId="0" xfId="22690" applyFont="1" applyBorder="1" applyAlignment="1" applyProtection="1">
      <alignment vertical="center"/>
    </xf>
    <xf numFmtId="9" fontId="357" fillId="0" borderId="0" xfId="22690" applyFont="1" applyFill="1" applyBorder="1" applyAlignment="1" applyProtection="1">
      <alignment vertical="center"/>
    </xf>
    <xf numFmtId="365" fontId="341" fillId="0" borderId="0" xfId="27930" applyNumberFormat="1" applyFont="1"/>
    <xf numFmtId="365" fontId="60" fillId="0" borderId="0" xfId="27931" applyNumberFormat="1" applyFont="1"/>
    <xf numFmtId="365" fontId="353" fillId="0" borderId="0" xfId="22678" applyNumberFormat="1" applyFont="1" applyAlignment="1" applyProtection="1">
      <alignment vertical="center"/>
      <protection locked="0"/>
    </xf>
    <xf numFmtId="365" fontId="385" fillId="141" borderId="109" xfId="22679" applyNumberFormat="1" applyFont="1" applyFill="1" applyBorder="1" applyAlignment="1" applyProtection="1">
      <alignment horizontal="centerContinuous" vertical="center"/>
      <protection locked="0"/>
    </xf>
    <xf numFmtId="365" fontId="424" fillId="0" borderId="214" xfId="7727" applyNumberFormat="1" applyFont="1" applyFill="1" applyBorder="1" applyAlignment="1" applyProtection="1">
      <alignment horizontal="center" vertical="center" wrapText="1"/>
      <protection locked="0"/>
    </xf>
    <xf numFmtId="365" fontId="169" fillId="107" borderId="146" xfId="27932" applyNumberFormat="1" applyFont="1" applyFill="1" applyBorder="1" applyAlignment="1" applyProtection="1">
      <alignment horizontal="center" vertical="center"/>
      <protection locked="0"/>
    </xf>
    <xf numFmtId="365" fontId="497" fillId="107" borderId="146" xfId="27932" applyNumberFormat="1" applyFont="1" applyFill="1" applyBorder="1" applyAlignment="1" applyProtection="1">
      <alignment horizontal="center" vertical="center"/>
      <protection locked="0"/>
    </xf>
    <xf numFmtId="365" fontId="169" fillId="0" borderId="146" xfId="27932" applyNumberFormat="1" applyFont="1" applyFill="1" applyBorder="1" applyAlignment="1" applyProtection="1">
      <alignment horizontal="center" vertical="center"/>
      <protection locked="0"/>
    </xf>
    <xf numFmtId="365" fontId="353" fillId="107" borderId="146" xfId="7850" applyNumberFormat="1" applyFont="1" applyFill="1" applyBorder="1" applyAlignment="1" applyProtection="1">
      <alignment horizontal="center" vertical="center"/>
      <protection locked="0"/>
    </xf>
    <xf numFmtId="365" fontId="353" fillId="107" borderId="146" xfId="27935" applyNumberFormat="1" applyFont="1" applyFill="1" applyBorder="1" applyAlignment="1" applyProtection="1">
      <alignment horizontal="center" vertical="center"/>
      <protection locked="0"/>
    </xf>
    <xf numFmtId="365" fontId="504" fillId="107" borderId="146" xfId="27935" applyNumberFormat="1" applyFont="1" applyFill="1" applyBorder="1" applyAlignment="1" applyProtection="1">
      <alignment horizontal="center" vertical="center"/>
      <protection locked="0"/>
    </xf>
    <xf numFmtId="365" fontId="504" fillId="107" borderId="146" xfId="7850" applyNumberFormat="1" applyFont="1" applyFill="1" applyBorder="1" applyAlignment="1" applyProtection="1">
      <alignment horizontal="center" vertical="center"/>
      <protection locked="0"/>
    </xf>
    <xf numFmtId="365" fontId="496" fillId="107" borderId="146" xfId="27932" applyNumberFormat="1" applyFont="1" applyFill="1" applyBorder="1" applyAlignment="1" applyProtection="1">
      <alignment horizontal="center" vertical="center"/>
      <protection locked="0"/>
    </xf>
    <xf numFmtId="365" fontId="169" fillId="194" borderId="146" xfId="27932" applyNumberFormat="1" applyFont="1" applyFill="1" applyBorder="1" applyAlignment="1" applyProtection="1">
      <alignment horizontal="center" vertical="center"/>
      <protection locked="0"/>
    </xf>
    <xf numFmtId="365" fontId="169" fillId="107" borderId="146" xfId="27932" applyNumberFormat="1" applyFont="1" applyFill="1" applyBorder="1" applyAlignment="1" applyProtection="1">
      <alignment horizontal="center" vertical="center" wrapText="1"/>
      <protection locked="0"/>
    </xf>
    <xf numFmtId="365" fontId="521" fillId="107" borderId="146" xfId="27932" applyNumberFormat="1" applyFont="1" applyFill="1" applyBorder="1" applyAlignment="1" applyProtection="1">
      <alignment horizontal="center" vertical="center"/>
      <protection locked="0"/>
    </xf>
    <xf numFmtId="365" fontId="496" fillId="107" borderId="146" xfId="27932" applyNumberFormat="1" applyFont="1" applyFill="1" applyBorder="1" applyAlignment="1" applyProtection="1">
      <alignment horizontal="center" vertical="center" wrapText="1"/>
      <protection locked="0"/>
    </xf>
    <xf numFmtId="365" fontId="353" fillId="0" borderId="337" xfId="27932" applyNumberFormat="1" applyFont="1" applyFill="1" applyBorder="1" applyAlignment="1" applyProtection="1">
      <alignment horizontal="center" vertical="center"/>
      <protection locked="0"/>
    </xf>
    <xf numFmtId="365" fontId="385" fillId="0" borderId="15" xfId="27932" applyNumberFormat="1" applyFont="1" applyFill="1" applyBorder="1" applyAlignment="1" applyProtection="1">
      <alignment horizontal="right" vertical="center"/>
      <protection locked="0"/>
    </xf>
    <xf numFmtId="365" fontId="385" fillId="111" borderId="0" xfId="27932" applyNumberFormat="1" applyFont="1" applyFill="1" applyBorder="1" applyAlignment="1" applyProtection="1">
      <alignment horizontal="right" vertical="center"/>
      <protection locked="0"/>
    </xf>
    <xf numFmtId="365" fontId="353" fillId="0" borderId="0" xfId="22678" applyNumberFormat="1" applyFont="1" applyAlignment="1" applyProtection="1">
      <alignment horizontal="center" vertical="center"/>
      <protection locked="0"/>
    </xf>
    <xf numFmtId="365" fontId="60" fillId="0" borderId="0" xfId="22674" applyNumberFormat="1" applyFont="1"/>
    <xf numFmtId="15" fontId="557" fillId="0" borderId="439" xfId="27925" applyNumberFormat="1" applyFont="1" applyBorder="1" applyAlignment="1">
      <alignment horizontal="center" vertical="center"/>
    </xf>
    <xf numFmtId="15" fontId="437" fillId="213" borderId="117" xfId="22678" quotePrefix="1" applyNumberFormat="1" applyFont="1" applyFill="1" applyBorder="1" applyAlignment="1" applyProtection="1">
      <alignment horizontal="center" vertical="center"/>
      <protection locked="0"/>
    </xf>
    <xf numFmtId="43" fontId="418" fillId="0" borderId="0" xfId="19286" applyFont="1" applyFill="1" applyBorder="1" applyAlignment="1">
      <alignment horizontal="left" vertical="center"/>
    </xf>
    <xf numFmtId="0" fontId="451" fillId="0" borderId="0" xfId="27925" applyFont="1" applyAlignment="1">
      <alignment vertical="center" wrapText="1"/>
    </xf>
    <xf numFmtId="15" fontId="451" fillId="0" borderId="0" xfId="27925" applyNumberFormat="1" applyFont="1" applyAlignment="1">
      <alignment horizontal="center" vertical="center"/>
    </xf>
    <xf numFmtId="364" fontId="451" fillId="0" borderId="0" xfId="27925" applyNumberFormat="1" applyFont="1" applyAlignment="1">
      <alignment horizontal="center" vertical="center"/>
    </xf>
    <xf numFmtId="1" fontId="418" fillId="0" borderId="0" xfId="27925" applyNumberFormat="1" applyFont="1" applyAlignment="1">
      <alignment horizontal="center" vertical="center"/>
    </xf>
    <xf numFmtId="365" fontId="451" fillId="0" borderId="0" xfId="19286" applyNumberFormat="1" applyFont="1" applyAlignment="1">
      <alignment horizontal="center" vertical="center"/>
    </xf>
    <xf numFmtId="179" fontId="565" fillId="107" borderId="45" xfId="27932" applyNumberFormat="1" applyFont="1" applyFill="1" applyBorder="1" applyAlignment="1" applyProtection="1">
      <alignment horizontal="center" vertical="center"/>
      <protection locked="0"/>
    </xf>
    <xf numFmtId="179" fontId="565" fillId="107" borderId="145" xfId="27932" applyNumberFormat="1" applyFont="1" applyFill="1" applyBorder="1" applyAlignment="1" applyProtection="1">
      <alignment horizontal="center" vertical="center"/>
      <protection locked="0"/>
    </xf>
    <xf numFmtId="49" fontId="565" fillId="107" borderId="214" xfId="22678" quotePrefix="1" applyNumberFormat="1" applyFont="1" applyFill="1" applyBorder="1" applyAlignment="1" applyProtection="1">
      <alignment horizontal="center" vertical="center" wrapText="1"/>
      <protection locked="0"/>
    </xf>
    <xf numFmtId="360" fontId="565" fillId="107" borderId="117" xfId="27932" applyNumberFormat="1" applyFont="1" applyFill="1" applyBorder="1" applyAlignment="1" applyProtection="1">
      <alignment horizontal="center" vertical="center" wrapText="1"/>
      <protection locked="0"/>
    </xf>
    <xf numFmtId="179" fontId="565" fillId="107" borderId="45" xfId="27932" applyNumberFormat="1" applyFont="1" applyFill="1" applyBorder="1" applyAlignment="1" applyProtection="1">
      <alignment horizontal="center" vertical="center" wrapText="1"/>
      <protection locked="0"/>
    </xf>
    <xf numFmtId="179" fontId="565" fillId="107" borderId="351" xfId="27933" applyNumberFormat="1" applyFont="1" applyFill="1" applyBorder="1" applyAlignment="1" applyProtection="1">
      <alignment horizontal="center" vertical="center"/>
      <protection locked="0"/>
    </xf>
    <xf numFmtId="179" fontId="565" fillId="107" borderId="117" xfId="27932" applyNumberFormat="1" applyFont="1" applyFill="1" applyBorder="1" applyAlignment="1" applyProtection="1">
      <alignment horizontal="left" vertical="center" wrapText="1"/>
      <protection locked="0"/>
    </xf>
    <xf numFmtId="0" fontId="64" fillId="0" borderId="365" xfId="27961" applyNumberFormat="1" applyFont="1" applyBorder="1" applyAlignment="1">
      <alignment horizontal="center" vertical="center"/>
    </xf>
    <xf numFmtId="0" fontId="64" fillId="0" borderId="365" xfId="27961" applyNumberFormat="1" applyFont="1" applyBorder="1" applyAlignment="1">
      <alignment horizontal="center" vertical="center" wrapText="1"/>
    </xf>
    <xf numFmtId="0" fontId="64" fillId="0" borderId="0" xfId="27961" applyNumberFormat="1" applyFont="1" applyAlignment="1">
      <alignment horizontal="center" vertical="center"/>
    </xf>
    <xf numFmtId="0" fontId="440" fillId="0" borderId="365" xfId="27961" applyNumberFormat="1" applyFont="1" applyBorder="1" applyAlignment="1">
      <alignment horizontal="center" vertical="center"/>
    </xf>
    <xf numFmtId="0" fontId="440" fillId="0" borderId="365" xfId="27961" applyNumberFormat="1" applyFont="1" applyBorder="1" applyAlignment="1">
      <alignment horizontal="center" vertical="center" wrapText="1"/>
    </xf>
    <xf numFmtId="0" fontId="440" fillId="0" borderId="0" xfId="27961" applyNumberFormat="1" applyFont="1" applyAlignment="1">
      <alignment horizontal="center" vertical="center"/>
    </xf>
    <xf numFmtId="171" fontId="0" fillId="0" borderId="365" xfId="27961" applyFont="1" applyBorder="1" applyAlignment="1">
      <alignment vertical="center"/>
    </xf>
    <xf numFmtId="171" fontId="0" fillId="0" borderId="0" xfId="27961" applyFont="1" applyAlignment="1">
      <alignment vertical="center"/>
    </xf>
    <xf numFmtId="171" fontId="566" fillId="0" borderId="0" xfId="27961" applyFont="1" applyAlignment="1">
      <alignment vertical="center"/>
    </xf>
    <xf numFmtId="171" fontId="566" fillId="0" borderId="365" xfId="27961" applyFont="1" applyBorder="1" applyAlignment="1">
      <alignment vertical="center"/>
    </xf>
    <xf numFmtId="171" fontId="65" fillId="0" borderId="365" xfId="27961" applyFont="1" applyBorder="1" applyAlignment="1">
      <alignment vertical="center"/>
    </xf>
    <xf numFmtId="171" fontId="64" fillId="0" borderId="0" xfId="27961" applyFont="1" applyAlignment="1">
      <alignment vertical="center"/>
    </xf>
    <xf numFmtId="171" fontId="64" fillId="0" borderId="365" xfId="27961" applyFont="1" applyBorder="1" applyAlignment="1">
      <alignment vertical="center"/>
    </xf>
    <xf numFmtId="171" fontId="0" fillId="0" borderId="0" xfId="27961" applyFont="1" applyAlignment="1">
      <alignment vertical="center" wrapText="1"/>
    </xf>
    <xf numFmtId="0" fontId="440" fillId="0" borderId="126" xfId="27961" applyNumberFormat="1" applyFont="1" applyBorder="1" applyAlignment="1">
      <alignment horizontal="center" vertical="center"/>
    </xf>
    <xf numFmtId="0" fontId="527" fillId="0" borderId="126" xfId="27961" applyNumberFormat="1" applyFont="1" applyBorder="1" applyAlignment="1">
      <alignment horizontal="center" vertical="center" wrapText="1"/>
    </xf>
    <xf numFmtId="171" fontId="474" fillId="0" borderId="0" xfId="27961" applyFont="1" applyAlignment="1">
      <alignment vertical="center"/>
    </xf>
    <xf numFmtId="171" fontId="474" fillId="0" borderId="0" xfId="27961" applyFont="1" applyAlignment="1">
      <alignment vertical="center" wrapText="1"/>
    </xf>
    <xf numFmtId="0" fontId="478" fillId="142" borderId="15" xfId="27961" applyNumberFormat="1" applyFont="1" applyFill="1" applyBorder="1" applyAlignment="1">
      <alignment horizontal="center" vertical="center" wrapText="1"/>
    </xf>
    <xf numFmtId="0" fontId="478" fillId="143" borderId="15" xfId="27961" applyNumberFormat="1" applyFont="1" applyFill="1" applyBorder="1" applyAlignment="1">
      <alignment horizontal="center" vertical="center" wrapText="1"/>
    </xf>
    <xf numFmtId="171" fontId="478" fillId="143" borderId="15" xfId="27961" applyFont="1" applyFill="1" applyBorder="1" applyAlignment="1">
      <alignment horizontal="center" vertical="center" wrapText="1"/>
    </xf>
    <xf numFmtId="0" fontId="474" fillId="0" borderId="126" xfId="27961" applyNumberFormat="1" applyFont="1" applyBorder="1" applyAlignment="1">
      <alignment horizontal="center" vertical="center"/>
    </xf>
    <xf numFmtId="0" fontId="474" fillId="0" borderId="126" xfId="27961" applyNumberFormat="1" applyFont="1" applyBorder="1" applyAlignment="1">
      <alignment horizontal="center" vertical="center" wrapText="1"/>
    </xf>
    <xf numFmtId="171" fontId="473" fillId="158" borderId="365" xfId="27961" applyFont="1" applyFill="1" applyBorder="1" applyAlignment="1">
      <alignment vertical="center"/>
    </xf>
    <xf numFmtId="179" fontId="473" fillId="158" borderId="365" xfId="27961" applyNumberFormat="1" applyFont="1" applyFill="1" applyBorder="1" applyAlignment="1">
      <alignment vertical="center" wrapText="1"/>
    </xf>
    <xf numFmtId="179" fontId="473" fillId="158" borderId="365" xfId="27961" applyNumberFormat="1" applyFont="1" applyFill="1" applyBorder="1" applyAlignment="1">
      <alignment vertical="center"/>
    </xf>
    <xf numFmtId="179" fontId="478" fillId="214" borderId="365" xfId="27961" applyNumberFormat="1" applyFont="1" applyFill="1" applyBorder="1" applyAlignment="1">
      <alignment vertical="center" wrapText="1"/>
    </xf>
    <xf numFmtId="179" fontId="478" fillId="214" borderId="221" xfId="27961" applyNumberFormat="1" applyFont="1" applyFill="1" applyBorder="1" applyAlignment="1">
      <alignment vertical="center" wrapText="1"/>
    </xf>
    <xf numFmtId="179" fontId="478" fillId="214" borderId="350" xfId="27961" applyNumberFormat="1" applyFont="1" applyFill="1" applyBorder="1" applyAlignment="1">
      <alignment vertical="center" wrapText="1"/>
    </xf>
    <xf numFmtId="179" fontId="479" fillId="0" borderId="350" xfId="27961" applyNumberFormat="1" applyFont="1" applyBorder="1" applyAlignment="1">
      <alignment vertical="center"/>
    </xf>
    <xf numFmtId="179" fontId="479" fillId="0" borderId="350" xfId="27961" applyNumberFormat="1" applyFont="1" applyBorder="1" applyAlignment="1">
      <alignment vertical="center" wrapText="1"/>
    </xf>
    <xf numFmtId="179" fontId="479" fillId="0" borderId="350" xfId="27961" applyNumberFormat="1" applyFont="1" applyFill="1" applyBorder="1" applyAlignment="1">
      <alignment vertical="center" wrapText="1"/>
    </xf>
    <xf numFmtId="179" fontId="479" fillId="0" borderId="160" xfId="27961" applyNumberFormat="1" applyFont="1" applyBorder="1" applyAlignment="1">
      <alignment vertical="center" wrapText="1"/>
    </xf>
    <xf numFmtId="179" fontId="478" fillId="214" borderId="160" xfId="27961" applyNumberFormat="1" applyFont="1" applyFill="1" applyBorder="1" applyAlignment="1">
      <alignment vertical="center" wrapText="1"/>
    </xf>
    <xf numFmtId="179" fontId="474" fillId="0" borderId="221" xfId="27961" applyNumberFormat="1" applyFont="1" applyBorder="1" applyAlignment="1">
      <alignment vertical="center" wrapText="1"/>
    </xf>
    <xf numFmtId="171" fontId="474" fillId="0" borderId="160" xfId="27961" applyFont="1" applyBorder="1" applyAlignment="1">
      <alignment horizontal="right" vertical="center"/>
    </xf>
    <xf numFmtId="179" fontId="474" fillId="0" borderId="160" xfId="27961" applyNumberFormat="1" applyFont="1" applyBorder="1" applyAlignment="1">
      <alignment vertical="center" wrapText="1"/>
    </xf>
    <xf numFmtId="171" fontId="478" fillId="169" borderId="365" xfId="27961" applyFont="1" applyFill="1" applyBorder="1" applyAlignment="1">
      <alignment vertical="center"/>
    </xf>
    <xf numFmtId="179" fontId="478" fillId="169" borderId="365" xfId="27961" applyNumberFormat="1" applyFont="1" applyFill="1" applyBorder="1" applyAlignment="1">
      <alignment vertical="center" wrapText="1"/>
    </xf>
    <xf numFmtId="0" fontId="474" fillId="0" borderId="0" xfId="27961" applyNumberFormat="1" applyFont="1" applyAlignment="1">
      <alignment horizontal="left" vertical="center"/>
    </xf>
    <xf numFmtId="0" fontId="568" fillId="0" borderId="0" xfId="27961" applyNumberFormat="1" applyFont="1" applyAlignment="1">
      <alignment vertical="center"/>
    </xf>
    <xf numFmtId="171" fontId="473" fillId="144" borderId="365" xfId="27961" applyFont="1" applyFill="1" applyBorder="1" applyAlignment="1">
      <alignment vertical="center"/>
    </xf>
    <xf numFmtId="179" fontId="473" fillId="144" borderId="365" xfId="27961" applyNumberFormat="1" applyFont="1" applyFill="1" applyBorder="1" applyAlignment="1">
      <alignment vertical="center" wrapText="1"/>
    </xf>
    <xf numFmtId="0" fontId="481" fillId="214" borderId="126" xfId="27961" applyNumberFormat="1" applyFont="1" applyFill="1" applyBorder="1" applyAlignment="1">
      <alignment horizontal="center" vertical="center" wrapText="1"/>
    </xf>
    <xf numFmtId="179" fontId="481" fillId="214" borderId="365" xfId="27961" applyNumberFormat="1" applyFont="1" applyFill="1" applyBorder="1" applyAlignment="1">
      <alignment vertical="center" wrapText="1"/>
    </xf>
    <xf numFmtId="179" fontId="481" fillId="214" borderId="160" xfId="27961" applyNumberFormat="1" applyFont="1" applyFill="1" applyBorder="1" applyAlignment="1">
      <alignment vertical="center" wrapText="1"/>
    </xf>
    <xf numFmtId="0" fontId="474" fillId="215" borderId="126" xfId="27961" applyNumberFormat="1" applyFont="1" applyFill="1" applyBorder="1" applyAlignment="1">
      <alignment horizontal="center" vertical="center" wrapText="1"/>
    </xf>
    <xf numFmtId="179" fontId="567" fillId="215" borderId="365" xfId="27961" applyNumberFormat="1" applyFont="1" applyFill="1" applyBorder="1" applyAlignment="1">
      <alignment vertical="center" wrapText="1"/>
    </xf>
    <xf numFmtId="14" fontId="478" fillId="142" borderId="15" xfId="27961" applyNumberFormat="1" applyFont="1" applyFill="1" applyBorder="1" applyAlignment="1">
      <alignment horizontal="center" vertical="center" wrapText="1"/>
    </xf>
    <xf numFmtId="0" fontId="569" fillId="214" borderId="126" xfId="27961" applyNumberFormat="1" applyFont="1" applyFill="1" applyBorder="1" applyAlignment="1">
      <alignment horizontal="center" vertical="center" wrapText="1"/>
    </xf>
    <xf numFmtId="0" fontId="478" fillId="142" borderId="108" xfId="27961" applyNumberFormat="1" applyFont="1" applyFill="1" applyBorder="1" applyAlignment="1">
      <alignment horizontal="center" vertical="center"/>
    </xf>
    <xf numFmtId="171" fontId="478" fillId="143" borderId="108" xfId="27961" applyFont="1" applyFill="1" applyBorder="1" applyAlignment="1">
      <alignment horizontal="center" vertical="center"/>
    </xf>
    <xf numFmtId="0" fontId="474" fillId="0" borderId="123" xfId="27961" applyNumberFormat="1" applyFont="1" applyBorder="1" applyAlignment="1">
      <alignment horizontal="center" vertical="center"/>
    </xf>
    <xf numFmtId="179" fontId="473" fillId="158" borderId="223" xfId="27961" applyNumberFormat="1" applyFont="1" applyFill="1" applyBorder="1" applyAlignment="1">
      <alignment vertical="center" wrapText="1"/>
    </xf>
    <xf numFmtId="179" fontId="479" fillId="0" borderId="127" xfId="27961" applyNumberFormat="1" applyFont="1" applyBorder="1" applyAlignment="1">
      <alignment vertical="center"/>
    </xf>
    <xf numFmtId="179" fontId="479" fillId="0" borderId="157" xfId="27961" applyNumberFormat="1" applyFont="1" applyBorder="1" applyAlignment="1">
      <alignment vertical="center"/>
    </xf>
    <xf numFmtId="179" fontId="474" fillId="0" borderId="219" xfId="27961" applyNumberFormat="1" applyFont="1" applyBorder="1" applyAlignment="1">
      <alignment vertical="center"/>
    </xf>
    <xf numFmtId="179" fontId="474" fillId="0" borderId="157" xfId="27961" applyNumberFormat="1" applyFont="1" applyBorder="1" applyAlignment="1">
      <alignment vertical="center"/>
    </xf>
    <xf numFmtId="179" fontId="478" fillId="169" borderId="223" xfId="27961" applyNumberFormat="1" applyFont="1" applyFill="1" applyBorder="1" applyAlignment="1">
      <alignment vertical="center" wrapText="1"/>
    </xf>
    <xf numFmtId="0" fontId="220" fillId="144" borderId="165" xfId="27961" applyNumberFormat="1" applyFont="1" applyFill="1" applyBorder="1" applyAlignment="1">
      <alignment horizontal="center" vertical="center"/>
    </xf>
    <xf numFmtId="171" fontId="0" fillId="144" borderId="464" xfId="27961" applyFont="1" applyFill="1" applyBorder="1" applyAlignment="1">
      <alignment vertical="center"/>
    </xf>
    <xf numFmtId="171" fontId="527" fillId="0" borderId="221" xfId="27961" applyFont="1" applyBorder="1" applyAlignment="1">
      <alignment horizontal="left" vertical="center" wrapText="1"/>
    </xf>
    <xf numFmtId="171" fontId="527" fillId="0" borderId="350" xfId="27961" applyFont="1" applyBorder="1" applyAlignment="1">
      <alignment horizontal="left" vertical="center" wrapText="1"/>
    </xf>
    <xf numFmtId="179" fontId="474" fillId="0" borderId="350" xfId="27961" applyNumberFormat="1" applyFont="1" applyBorder="1" applyAlignment="1">
      <alignment vertical="center" wrapText="1"/>
    </xf>
    <xf numFmtId="179" fontId="474" fillId="0" borderId="127" xfId="27961" applyNumberFormat="1" applyFont="1" applyBorder="1" applyAlignment="1">
      <alignment vertical="center"/>
    </xf>
    <xf numFmtId="179" fontId="478" fillId="215" borderId="221" xfId="27961" applyNumberFormat="1" applyFont="1" applyFill="1" applyBorder="1" applyAlignment="1">
      <alignment vertical="center" wrapText="1"/>
    </xf>
    <xf numFmtId="179" fontId="478" fillId="215" borderId="350" xfId="27961" applyNumberFormat="1" applyFont="1" applyFill="1" applyBorder="1" applyAlignment="1">
      <alignment vertical="center" wrapText="1"/>
    </xf>
    <xf numFmtId="179" fontId="479" fillId="0" borderId="365" xfId="27961" applyNumberFormat="1" applyFont="1" applyBorder="1" applyAlignment="1">
      <alignment vertical="center" wrapText="1"/>
    </xf>
    <xf numFmtId="179" fontId="479" fillId="0" borderId="223" xfId="27961" applyNumberFormat="1" applyFont="1" applyBorder="1" applyAlignment="1">
      <alignment vertical="center"/>
    </xf>
    <xf numFmtId="179" fontId="479" fillId="0" borderId="221" xfId="27961" applyNumberFormat="1" applyFont="1" applyBorder="1" applyAlignment="1">
      <alignment vertical="center" wrapText="1"/>
    </xf>
    <xf numFmtId="179" fontId="479" fillId="0" borderId="219" xfId="27961" applyNumberFormat="1" applyFont="1" applyBorder="1" applyAlignment="1">
      <alignment vertical="center"/>
    </xf>
    <xf numFmtId="171" fontId="528" fillId="0" borderId="221" xfId="27961" applyFont="1" applyBorder="1" applyAlignment="1">
      <alignment vertical="center"/>
    </xf>
    <xf numFmtId="171" fontId="65" fillId="0" borderId="221" xfId="27961" applyFont="1" applyBorder="1" applyAlignment="1">
      <alignment vertical="center"/>
    </xf>
    <xf numFmtId="171" fontId="528" fillId="0" borderId="350" xfId="27961" applyFont="1" applyBorder="1" applyAlignment="1">
      <alignment vertical="center"/>
    </xf>
    <xf numFmtId="171" fontId="65" fillId="0" borderId="350" xfId="27961" applyFont="1" applyBorder="1" applyAlignment="1">
      <alignment vertical="center"/>
    </xf>
    <xf numFmtId="171" fontId="528" fillId="0" borderId="160" xfId="27961" applyFont="1" applyBorder="1" applyAlignment="1">
      <alignment vertical="center"/>
    </xf>
    <xf numFmtId="179" fontId="478" fillId="215" borderId="160" xfId="27961" applyNumberFormat="1" applyFont="1" applyFill="1" applyBorder="1" applyAlignment="1">
      <alignment vertical="center" wrapText="1"/>
    </xf>
    <xf numFmtId="171" fontId="65" fillId="0" borderId="160" xfId="27961" applyFont="1" applyBorder="1" applyAlignment="1">
      <alignment vertical="center"/>
    </xf>
    <xf numFmtId="171" fontId="65" fillId="0" borderId="350" xfId="27961" applyFont="1" applyBorder="1" applyAlignment="1">
      <alignment vertical="center" wrapText="1"/>
    </xf>
    <xf numFmtId="171" fontId="528" fillId="0" borderId="350" xfId="27961" applyFont="1" applyBorder="1" applyAlignment="1">
      <alignment horizontal="left" vertical="center" wrapText="1"/>
    </xf>
    <xf numFmtId="171" fontId="418" fillId="0" borderId="365" xfId="27961" applyFont="1" applyBorder="1" applyAlignment="1">
      <alignment horizontal="left" vertical="center" wrapText="1"/>
    </xf>
    <xf numFmtId="171" fontId="522" fillId="0" borderId="350" xfId="27961" applyFont="1" applyBorder="1" applyAlignment="1">
      <alignment horizontal="left" vertical="center"/>
    </xf>
    <xf numFmtId="179" fontId="570" fillId="0" borderId="350" xfId="27961" applyNumberFormat="1" applyFont="1" applyBorder="1" applyAlignment="1">
      <alignment vertical="center" wrapText="1"/>
    </xf>
    <xf numFmtId="0" fontId="571" fillId="0" borderId="216" xfId="0" applyFont="1" applyBorder="1" applyAlignment="1">
      <alignment horizontal="center" vertical="center"/>
    </xf>
    <xf numFmtId="38" fontId="572" fillId="0" borderId="365" xfId="0" applyNumberFormat="1" applyFont="1" applyBorder="1" applyAlignment="1">
      <alignment vertical="center" wrapText="1"/>
    </xf>
    <xf numFmtId="38" fontId="573" fillId="0" borderId="365" xfId="0" applyNumberFormat="1" applyFont="1" applyBorder="1" applyAlignment="1">
      <alignment vertical="center" wrapText="1"/>
    </xf>
    <xf numFmtId="0" fontId="571" fillId="0" borderId="365" xfId="0" applyFont="1" applyBorder="1" applyAlignment="1">
      <alignment horizontal="center" vertical="center" wrapText="1"/>
    </xf>
    <xf numFmtId="38" fontId="574" fillId="0" borderId="365" xfId="0" applyNumberFormat="1" applyFont="1" applyBorder="1" applyAlignment="1">
      <alignment horizontal="center" vertical="center" wrapText="1"/>
    </xf>
    <xf numFmtId="360" fontId="571" fillId="0" borderId="365" xfId="19286" applyNumberFormat="1" applyFont="1" applyBorder="1" applyAlignment="1">
      <alignment horizontal="center" vertical="center" wrapText="1"/>
    </xf>
    <xf numFmtId="229" fontId="574" fillId="0" borderId="217" xfId="19286" applyNumberFormat="1" applyFont="1" applyBorder="1" applyAlignment="1">
      <alignment vertical="center"/>
    </xf>
    <xf numFmtId="0" fontId="571" fillId="0" borderId="0" xfId="0" applyFont="1" applyAlignment="1">
      <alignment vertical="center"/>
    </xf>
    <xf numFmtId="43" fontId="571" fillId="0" borderId="0" xfId="19286" applyFont="1" applyAlignment="1">
      <alignment vertical="center"/>
    </xf>
    <xf numFmtId="0" fontId="172" fillId="0" borderId="365" xfId="0" applyFont="1" applyBorder="1" applyAlignment="1">
      <alignment horizontal="center" vertical="center"/>
    </xf>
    <xf numFmtId="0" fontId="169" fillId="0" borderId="365" xfId="0" applyFont="1" applyBorder="1" applyAlignment="1">
      <alignment vertical="center"/>
    </xf>
    <xf numFmtId="179" fontId="172" fillId="0" borderId="365" xfId="0" applyNumberFormat="1" applyFont="1" applyBorder="1" applyAlignment="1">
      <alignment vertical="center" wrapText="1"/>
    </xf>
    <xf numFmtId="0" fontId="0" fillId="0" borderId="0" xfId="0" applyAlignment="1">
      <alignment vertical="center" wrapText="1"/>
    </xf>
    <xf numFmtId="0" fontId="0" fillId="0" borderId="0" xfId="19286" applyNumberFormat="1" applyFont="1" applyAlignment="1">
      <alignment vertical="center"/>
    </xf>
    <xf numFmtId="171" fontId="172" fillId="0" borderId="365" xfId="0" applyNumberFormat="1" applyFont="1" applyBorder="1" applyAlignment="1">
      <alignment vertical="center" wrapText="1"/>
    </xf>
    <xf numFmtId="40" fontId="169" fillId="0" borderId="365" xfId="19286" applyNumberFormat="1" applyFont="1" applyFill="1" applyBorder="1" applyAlignment="1">
      <alignment vertical="center"/>
    </xf>
    <xf numFmtId="40" fontId="0" fillId="0" borderId="0" xfId="19286" applyNumberFormat="1" applyFont="1" applyAlignment="1">
      <alignment vertical="center"/>
    </xf>
    <xf numFmtId="0" fontId="169" fillId="0" borderId="365" xfId="19286" applyNumberFormat="1" applyFont="1" applyFill="1" applyBorder="1" applyAlignment="1">
      <alignment horizontal="center" vertical="center" wrapText="1"/>
    </xf>
    <xf numFmtId="0" fontId="169" fillId="0" borderId="365" xfId="0" applyFont="1" applyBorder="1" applyAlignment="1">
      <alignment horizontal="center" vertical="center"/>
    </xf>
    <xf numFmtId="0" fontId="341" fillId="0" borderId="0" xfId="0" applyFont="1" applyAlignment="1">
      <alignment horizontal="left" vertical="center"/>
    </xf>
    <xf numFmtId="0" fontId="341" fillId="0" borderId="0" xfId="0" applyFont="1" applyAlignment="1">
      <alignment vertical="center" wrapText="1"/>
    </xf>
    <xf numFmtId="40" fontId="341" fillId="0" borderId="0" xfId="19286" applyNumberFormat="1" applyFont="1" applyAlignment="1">
      <alignment vertical="center"/>
    </xf>
    <xf numFmtId="0" fontId="341" fillId="0" borderId="0" xfId="19286" applyNumberFormat="1" applyFont="1" applyAlignment="1">
      <alignment vertical="center"/>
    </xf>
    <xf numFmtId="38" fontId="515" fillId="142" borderId="365" xfId="22752" applyNumberFormat="1" applyFont="1" applyFill="1" applyBorder="1" applyAlignment="1" applyProtection="1">
      <alignment horizontal="center" vertical="top" wrapText="1"/>
    </xf>
    <xf numFmtId="179" fontId="515" fillId="169" borderId="365" xfId="27961" applyNumberFormat="1" applyFont="1" applyFill="1" applyBorder="1" applyAlignment="1">
      <alignment vertical="center" wrapText="1"/>
    </xf>
    <xf numFmtId="0" fontId="60" fillId="0" borderId="0" xfId="0" applyFont="1"/>
    <xf numFmtId="0" fontId="341" fillId="0" borderId="0" xfId="0" applyFont="1"/>
    <xf numFmtId="171" fontId="453" fillId="107" borderId="318" xfId="27925" quotePrefix="1" applyNumberFormat="1" applyFont="1" applyFill="1" applyBorder="1" applyAlignment="1">
      <alignment vertical="center"/>
    </xf>
    <xf numFmtId="0" fontId="451" fillId="107" borderId="319" xfId="27925" quotePrefix="1" applyFont="1" applyFill="1" applyBorder="1" applyAlignment="1">
      <alignment vertical="center"/>
    </xf>
    <xf numFmtId="0" fontId="451" fillId="107" borderId="399" xfId="27925" quotePrefix="1" applyFont="1" applyFill="1" applyBorder="1" applyAlignment="1">
      <alignment vertical="center"/>
    </xf>
    <xf numFmtId="365" fontId="451" fillId="0" borderId="276" xfId="27926" applyNumberFormat="1" applyFont="1" applyFill="1" applyBorder="1" applyAlignment="1">
      <alignment horizontal="left" vertical="center"/>
    </xf>
    <xf numFmtId="0" fontId="451" fillId="0" borderId="276" xfId="27925" applyFont="1" applyBorder="1" applyAlignment="1">
      <alignment horizontal="center" vertical="center" wrapText="1"/>
    </xf>
    <xf numFmtId="363" fontId="451" fillId="0" borderId="276" xfId="27925" applyNumberFormat="1" applyFont="1" applyBorder="1" applyAlignment="1">
      <alignment horizontal="center" vertical="center" wrapText="1"/>
    </xf>
    <xf numFmtId="363" fontId="451" fillId="0" borderId="276" xfId="27925" applyNumberFormat="1" applyFont="1" applyBorder="1" applyAlignment="1">
      <alignment horizontal="center" vertical="center"/>
    </xf>
    <xf numFmtId="171" fontId="418" fillId="216" borderId="267" xfId="27926" applyFont="1" applyFill="1" applyBorder="1" applyAlignment="1">
      <alignment horizontal="center" vertical="center"/>
    </xf>
    <xf numFmtId="171" fontId="418" fillId="216" borderId="268" xfId="27926" applyFont="1" applyFill="1" applyBorder="1" applyAlignment="1">
      <alignment horizontal="center" vertical="center"/>
    </xf>
    <xf numFmtId="171" fontId="353" fillId="158" borderId="365" xfId="27961" applyFont="1" applyFill="1" applyBorder="1" applyAlignment="1">
      <alignment vertical="center"/>
    </xf>
    <xf numFmtId="43" fontId="65" fillId="0" borderId="350" xfId="19286" applyFont="1" applyBorder="1" applyAlignment="1">
      <alignment vertical="center" wrapText="1"/>
    </xf>
    <xf numFmtId="171" fontId="353" fillId="144" borderId="365" xfId="27961" applyFont="1" applyFill="1" applyBorder="1" applyAlignment="1">
      <alignment vertical="center"/>
    </xf>
    <xf numFmtId="171" fontId="353" fillId="0" borderId="221" xfId="27961" applyFont="1" applyBorder="1" applyAlignment="1">
      <alignment vertical="center"/>
    </xf>
    <xf numFmtId="171" fontId="353" fillId="0" borderId="350" xfId="27961" applyFont="1" applyBorder="1" applyAlignment="1">
      <alignment vertical="center"/>
    </xf>
    <xf numFmtId="171" fontId="353" fillId="0" borderId="160" xfId="27961" applyFont="1" applyBorder="1" applyAlignment="1">
      <alignment vertical="center"/>
    </xf>
    <xf numFmtId="171" fontId="343" fillId="169" borderId="365" xfId="27961" applyFont="1" applyFill="1" applyBorder="1" applyAlignment="1">
      <alignment vertical="center"/>
    </xf>
    <xf numFmtId="171" fontId="353" fillId="0" borderId="365" xfId="27961" applyFont="1" applyBorder="1" applyAlignment="1">
      <alignment vertical="center"/>
    </xf>
    <xf numFmtId="171" fontId="353" fillId="0" borderId="0" xfId="27961" applyFont="1" applyAlignment="1">
      <alignment vertical="center"/>
    </xf>
    <xf numFmtId="171" fontId="453" fillId="158" borderId="365" xfId="27961" applyFont="1" applyFill="1" applyBorder="1" applyAlignment="1">
      <alignment vertical="center"/>
    </xf>
    <xf numFmtId="171" fontId="453" fillId="144" borderId="365" xfId="27961" applyFont="1" applyFill="1" applyBorder="1" applyAlignment="1">
      <alignment vertical="center"/>
    </xf>
    <xf numFmtId="1" fontId="437" fillId="0" borderId="350" xfId="22678" quotePrefix="1" applyNumberFormat="1" applyFont="1" applyBorder="1" applyAlignment="1" applyProtection="1">
      <alignment horizontal="center" vertical="center" wrapText="1"/>
      <protection locked="0"/>
    </xf>
    <xf numFmtId="365" fontId="451" fillId="170" borderId="466" xfId="27926" applyNumberFormat="1" applyFont="1" applyFill="1" applyBorder="1" applyAlignment="1">
      <alignment horizontal="left" vertical="center"/>
    </xf>
    <xf numFmtId="43" fontId="63" fillId="34" borderId="365" xfId="19286" applyFont="1" applyFill="1" applyBorder="1" applyAlignment="1" applyProtection="1">
      <alignment horizontal="right" vertical="center"/>
    </xf>
    <xf numFmtId="43" fontId="63" fillId="0" borderId="365" xfId="19286" applyFont="1" applyFill="1" applyBorder="1" applyAlignment="1" applyProtection="1">
      <alignment horizontal="right" vertical="center"/>
    </xf>
    <xf numFmtId="38" fontId="453" fillId="0" borderId="0" xfId="27925" applyNumberFormat="1" applyFont="1"/>
    <xf numFmtId="38" fontId="453" fillId="0" borderId="0" xfId="27925" applyNumberFormat="1" applyFont="1" applyAlignment="1">
      <alignment horizontal="center" vertical="center"/>
    </xf>
    <xf numFmtId="0" fontId="169" fillId="107" borderId="148" xfId="22678" quotePrefix="1" applyNumberFormat="1" applyFont="1" applyFill="1" applyBorder="1" applyAlignment="1" applyProtection="1">
      <alignment horizontal="left" vertical="top" wrapText="1"/>
      <protection locked="0"/>
    </xf>
    <xf numFmtId="43" fontId="350" fillId="0" borderId="0" xfId="19286" quotePrefix="1" applyFont="1" applyAlignment="1">
      <alignment horizontal="left" vertical="center"/>
    </xf>
    <xf numFmtId="43" fontId="64" fillId="0" borderId="0" xfId="19286" applyFont="1" applyAlignment="1">
      <alignment horizontal="left" vertical="center"/>
    </xf>
    <xf numFmtId="49" fontId="169" fillId="107" borderId="145" xfId="22678" applyNumberFormat="1" applyFont="1" applyFill="1" applyBorder="1" applyAlignment="1" applyProtection="1">
      <alignment horizontal="center" vertical="center" wrapText="1"/>
      <protection locked="0"/>
    </xf>
    <xf numFmtId="363" fontId="169" fillId="107" borderId="117" xfId="27932" applyNumberFormat="1" applyFont="1" applyFill="1" applyBorder="1" applyAlignment="1" applyProtection="1">
      <alignment horizontal="center" vertical="center"/>
      <protection locked="0"/>
    </xf>
    <xf numFmtId="364" fontId="60" fillId="0" borderId="0" xfId="22674" applyNumberFormat="1" applyFont="1" applyAlignment="1">
      <alignment vertical="top"/>
    </xf>
    <xf numFmtId="363" fontId="60" fillId="107" borderId="0" xfId="22674" applyNumberFormat="1" applyFont="1" applyFill="1" applyAlignment="1">
      <alignment vertical="top"/>
    </xf>
    <xf numFmtId="43" fontId="60" fillId="0" borderId="0" xfId="19286" applyFont="1" applyAlignment="1">
      <alignment vertical="top"/>
    </xf>
    <xf numFmtId="364" fontId="341" fillId="0" borderId="280" xfId="22674" applyNumberFormat="1" applyFont="1" applyBorder="1" applyAlignment="1">
      <alignment horizontal="center" vertical="center"/>
    </xf>
    <xf numFmtId="43" fontId="453" fillId="0" borderId="0" xfId="19286" applyFont="1" applyAlignment="1">
      <alignment horizontal="left" vertical="center"/>
    </xf>
    <xf numFmtId="40" fontId="451" fillId="0" borderId="0" xfId="19286" applyNumberFormat="1" applyFont="1"/>
    <xf numFmtId="40" fontId="453" fillId="0" borderId="0" xfId="19286" applyNumberFormat="1" applyFont="1"/>
    <xf numFmtId="40" fontId="453" fillId="0" borderId="0" xfId="27925" applyNumberFormat="1" applyFont="1"/>
    <xf numFmtId="40" fontId="453" fillId="0" borderId="0" xfId="19286" applyNumberFormat="1" applyFont="1" applyFill="1" applyBorder="1" applyAlignment="1">
      <alignment horizontal="right" vertical="center"/>
    </xf>
    <xf numFmtId="40" fontId="453" fillId="0" borderId="0" xfId="19286" applyNumberFormat="1" applyFont="1" applyAlignment="1">
      <alignment horizontal="right" vertical="center"/>
    </xf>
    <xf numFmtId="0" fontId="453" fillId="0" borderId="0" xfId="27925" applyFont="1" applyAlignment="1">
      <alignment horizontal="center" vertical="center"/>
    </xf>
    <xf numFmtId="365" fontId="453" fillId="0" borderId="0" xfId="27925" applyNumberFormat="1" applyFont="1" applyAlignment="1">
      <alignment horizontal="center" vertical="center"/>
    </xf>
    <xf numFmtId="40" fontId="437" fillId="0" borderId="221" xfId="27946" applyNumberFormat="1" applyFont="1" applyFill="1" applyBorder="1" applyAlignment="1" applyProtection="1">
      <alignment horizontal="center" vertical="center"/>
      <protection locked="0"/>
    </xf>
    <xf numFmtId="40" fontId="437" fillId="0" borderId="446" xfId="27946" applyNumberFormat="1" applyFont="1" applyFill="1" applyBorder="1" applyAlignment="1" applyProtection="1">
      <alignment horizontal="center" vertical="center"/>
      <protection locked="0"/>
    </xf>
    <xf numFmtId="40" fontId="437" fillId="0" borderId="350" xfId="27946" applyNumberFormat="1" applyFont="1" applyFill="1" applyBorder="1" applyAlignment="1" applyProtection="1">
      <alignment horizontal="center" vertical="center"/>
      <protection locked="0"/>
    </xf>
    <xf numFmtId="40" fontId="437" fillId="0" borderId="367" xfId="27946" applyNumberFormat="1" applyFont="1" applyFill="1" applyBorder="1" applyAlignment="1" applyProtection="1">
      <alignment horizontal="center" vertical="center"/>
      <protection locked="0"/>
    </xf>
    <xf numFmtId="38" fontId="437" fillId="0" borderId="221" xfId="22678" quotePrefix="1" applyNumberFormat="1" applyFont="1" applyBorder="1" applyAlignment="1" applyProtection="1">
      <alignment horizontal="center" vertical="center"/>
      <protection locked="0"/>
    </xf>
    <xf numFmtId="38" fontId="437" fillId="0" borderId="350" xfId="22678" quotePrefix="1" applyNumberFormat="1" applyFont="1" applyBorder="1" applyAlignment="1" applyProtection="1">
      <alignment horizontal="center" vertical="center"/>
      <protection locked="0"/>
    </xf>
    <xf numFmtId="15" fontId="437" fillId="0" borderId="221" xfId="27944" applyNumberFormat="1" applyFont="1" applyFill="1" applyBorder="1" applyAlignment="1" applyProtection="1">
      <alignment horizontal="center" vertical="center"/>
      <protection locked="0"/>
    </xf>
    <xf numFmtId="38" fontId="437" fillId="0" borderId="446" xfId="22678" quotePrefix="1" applyNumberFormat="1" applyFont="1" applyBorder="1" applyAlignment="1" applyProtection="1">
      <alignment horizontal="center" vertical="center"/>
      <protection locked="0"/>
    </xf>
    <xf numFmtId="40" fontId="437" fillId="0" borderId="446" xfId="27944" applyNumberFormat="1" applyFont="1" applyFill="1" applyBorder="1" applyAlignment="1" applyProtection="1">
      <alignment horizontal="center" vertical="center"/>
      <protection locked="0"/>
    </xf>
    <xf numFmtId="40" fontId="437" fillId="0" borderId="221" xfId="22678" quotePrefix="1" applyNumberFormat="1" applyFont="1" applyBorder="1" applyAlignment="1" applyProtection="1">
      <alignment horizontal="center" vertical="center"/>
      <protection locked="0"/>
    </xf>
    <xf numFmtId="294" fontId="345" fillId="0" borderId="0" xfId="19286" applyNumberFormat="1" applyFont="1" applyAlignment="1">
      <alignment vertical="center"/>
    </xf>
    <xf numFmtId="179" fontId="169" fillId="177" borderId="117" xfId="27932" applyNumberFormat="1" applyFont="1" applyFill="1" applyBorder="1" applyAlignment="1" applyProtection="1">
      <alignment horizontal="left" vertical="center" wrapText="1"/>
      <protection locked="0"/>
    </xf>
    <xf numFmtId="179" fontId="169" fillId="177" borderId="117" xfId="27932" applyNumberFormat="1" applyFont="1" applyFill="1" applyBorder="1" applyAlignment="1" applyProtection="1">
      <alignment horizontal="center" vertical="center" wrapText="1"/>
      <protection locked="0"/>
    </xf>
    <xf numFmtId="179" fontId="169" fillId="177" borderId="45" xfId="27932" applyNumberFormat="1" applyFont="1" applyFill="1" applyBorder="1" applyAlignment="1" applyProtection="1">
      <alignment horizontal="center" vertical="center"/>
      <protection locked="0"/>
    </xf>
    <xf numFmtId="179" fontId="169" fillId="177" borderId="349" xfId="27932" applyNumberFormat="1" applyFont="1" applyFill="1" applyBorder="1" applyAlignment="1" applyProtection="1">
      <alignment horizontal="center" vertical="center"/>
      <protection locked="0"/>
    </xf>
    <xf numFmtId="179" fontId="169" fillId="177" borderId="350" xfId="27932" applyNumberFormat="1" applyFont="1" applyFill="1" applyBorder="1" applyAlignment="1" applyProtection="1">
      <alignment horizontal="center" vertical="center"/>
      <protection locked="0"/>
    </xf>
    <xf numFmtId="179" fontId="169" fillId="177" borderId="351" xfId="27932" applyNumberFormat="1" applyFont="1" applyFill="1" applyBorder="1" applyAlignment="1" applyProtection="1">
      <alignment horizontal="center" vertical="center" wrapText="1"/>
      <protection locked="0"/>
    </xf>
    <xf numFmtId="179" fontId="169" fillId="177" borderId="145" xfId="27932" applyNumberFormat="1" applyFont="1" applyFill="1" applyBorder="1" applyAlignment="1" applyProtection="1">
      <alignment horizontal="center" vertical="center"/>
      <protection locked="0"/>
    </xf>
    <xf numFmtId="49" fontId="169" fillId="177" borderId="214" xfId="22678" quotePrefix="1" applyNumberFormat="1" applyFont="1" applyFill="1" applyBorder="1" applyAlignment="1" applyProtection="1">
      <alignment horizontal="center" vertical="center" wrapText="1"/>
      <protection locked="0"/>
    </xf>
    <xf numFmtId="360" fontId="169" fillId="177" borderId="117" xfId="27932" applyNumberFormat="1" applyFont="1" applyFill="1" applyBorder="1" applyAlignment="1" applyProtection="1">
      <alignment horizontal="center" vertical="center" wrapText="1"/>
      <protection locked="0"/>
    </xf>
    <xf numFmtId="179" fontId="169" fillId="177" borderId="45" xfId="27932" applyNumberFormat="1" applyFont="1" applyFill="1" applyBorder="1" applyAlignment="1" applyProtection="1">
      <alignment horizontal="center" vertical="center" wrapText="1"/>
      <protection locked="0"/>
    </xf>
    <xf numFmtId="179" fontId="169" fillId="177" borderId="351" xfId="27933" applyNumberFormat="1" applyFont="1" applyFill="1" applyBorder="1" applyAlignment="1" applyProtection="1">
      <alignment horizontal="center" vertical="center"/>
      <protection locked="0"/>
    </xf>
    <xf numFmtId="179" fontId="169" fillId="177" borderId="146" xfId="27933" applyNumberFormat="1" applyFont="1" applyFill="1" applyBorder="1" applyAlignment="1" applyProtection="1">
      <alignment horizontal="center" vertical="center" wrapText="1"/>
      <protection locked="0"/>
    </xf>
    <xf numFmtId="179" fontId="169" fillId="177" borderId="148" xfId="27933" applyNumberFormat="1" applyFont="1" applyFill="1" applyBorder="1" applyAlignment="1" applyProtection="1">
      <alignment horizontal="center" vertical="center" wrapText="1"/>
      <protection locked="0"/>
    </xf>
    <xf numFmtId="0" fontId="169" fillId="177" borderId="117" xfId="22678" quotePrefix="1" applyNumberFormat="1" applyFont="1" applyFill="1" applyBorder="1" applyAlignment="1" applyProtection="1">
      <alignment horizontal="center" vertical="center"/>
      <protection locked="0"/>
    </xf>
    <xf numFmtId="0" fontId="169" fillId="177" borderId="146" xfId="27932" applyNumberFormat="1" applyFont="1" applyFill="1" applyBorder="1" applyAlignment="1" applyProtection="1">
      <alignment horizontal="center" vertical="center"/>
      <protection locked="0"/>
    </xf>
    <xf numFmtId="0" fontId="169" fillId="177" borderId="145" xfId="22678" quotePrefix="1" applyNumberFormat="1" applyFont="1" applyFill="1" applyBorder="1" applyAlignment="1" applyProtection="1">
      <alignment horizontal="center" vertical="center"/>
      <protection locked="0"/>
    </xf>
    <xf numFmtId="210" fontId="169" fillId="177" borderId="117" xfId="27932" applyNumberFormat="1" applyFont="1" applyFill="1" applyBorder="1" applyAlignment="1" applyProtection="1">
      <alignment horizontal="center" vertical="center"/>
      <protection locked="0"/>
    </xf>
    <xf numFmtId="14" fontId="169" fillId="177" borderId="117" xfId="27932" applyNumberFormat="1" applyFont="1" applyFill="1" applyBorder="1" applyAlignment="1" applyProtection="1">
      <alignment horizontal="center" vertical="center"/>
      <protection locked="0"/>
    </xf>
    <xf numFmtId="14" fontId="169" fillId="177" borderId="117" xfId="27932" applyNumberFormat="1" applyFont="1" applyFill="1" applyBorder="1" applyAlignment="1" applyProtection="1">
      <alignment horizontal="center" vertical="center" wrapText="1"/>
      <protection locked="0"/>
    </xf>
    <xf numFmtId="49" fontId="169" fillId="177" borderId="145" xfId="22678" quotePrefix="1" applyNumberFormat="1" applyFont="1" applyFill="1" applyBorder="1" applyAlignment="1" applyProtection="1">
      <alignment horizontal="center" vertical="center"/>
      <protection locked="0"/>
    </xf>
    <xf numFmtId="366" fontId="169" fillId="177" borderId="163" xfId="27932" applyNumberFormat="1" applyFont="1" applyFill="1" applyBorder="1" applyAlignment="1" applyProtection="1">
      <alignment horizontal="center" vertical="center" wrapText="1"/>
      <protection locked="0"/>
    </xf>
    <xf numFmtId="361" fontId="169" fillId="177" borderId="117" xfId="22678" quotePrefix="1" applyNumberFormat="1" applyFont="1" applyFill="1" applyBorder="1" applyAlignment="1" applyProtection="1">
      <alignment horizontal="center" vertical="center"/>
      <protection locked="0"/>
    </xf>
    <xf numFmtId="49" fontId="169" fillId="177" borderId="117" xfId="22678" quotePrefix="1" applyNumberFormat="1" applyFont="1" applyFill="1" applyBorder="1" applyAlignment="1" applyProtection="1">
      <alignment horizontal="center" vertical="center"/>
      <protection locked="0"/>
    </xf>
    <xf numFmtId="365" fontId="169" fillId="177" borderId="146" xfId="27932" applyNumberFormat="1" applyFont="1" applyFill="1" applyBorder="1" applyAlignment="1" applyProtection="1">
      <alignment horizontal="center" vertical="center"/>
      <protection locked="0"/>
    </xf>
    <xf numFmtId="43" fontId="45" fillId="0" borderId="0" xfId="19286" applyFont="1" applyAlignment="1">
      <alignment vertical="center" wrapText="1"/>
    </xf>
    <xf numFmtId="0" fontId="169" fillId="177" borderId="145" xfId="22678" applyNumberFormat="1" applyFont="1" applyFill="1" applyBorder="1" applyAlignment="1" applyProtection="1">
      <alignment horizontal="center" vertical="center"/>
      <protection locked="0"/>
    </xf>
    <xf numFmtId="49" fontId="169" fillId="177" borderId="146" xfId="22678" quotePrefix="1" applyNumberFormat="1" applyFont="1" applyFill="1" applyBorder="1" applyAlignment="1" applyProtection="1">
      <alignment horizontal="center" vertical="center"/>
      <protection locked="0"/>
    </xf>
    <xf numFmtId="49" fontId="169" fillId="177" borderId="117" xfId="22678" quotePrefix="1" applyNumberFormat="1" applyFont="1" applyFill="1" applyBorder="1" applyAlignment="1" applyProtection="1">
      <alignment horizontal="center" vertical="center" wrapText="1"/>
      <protection locked="0"/>
    </xf>
    <xf numFmtId="363" fontId="169" fillId="177" borderId="146" xfId="27932" applyNumberFormat="1" applyFont="1" applyFill="1" applyBorder="1" applyAlignment="1" applyProtection="1">
      <alignment horizontal="center" vertical="center"/>
      <protection locked="0"/>
    </xf>
    <xf numFmtId="363" fontId="497" fillId="177" borderId="146" xfId="27932" applyNumberFormat="1" applyFont="1" applyFill="1" applyBorder="1" applyAlignment="1" applyProtection="1">
      <alignment horizontal="center" vertical="center"/>
      <protection locked="0"/>
    </xf>
    <xf numFmtId="368" fontId="169" fillId="177" borderId="145" xfId="22678" quotePrefix="1" applyNumberFormat="1" applyFont="1" applyFill="1" applyBorder="1" applyAlignment="1" applyProtection="1">
      <alignment horizontal="center" vertical="center"/>
      <protection locked="0"/>
    </xf>
    <xf numFmtId="179" fontId="437" fillId="0" borderId="121" xfId="27944" applyNumberFormat="1" applyFont="1" applyFill="1" applyBorder="1" applyAlignment="1" applyProtection="1">
      <alignment horizontal="center" vertical="center" wrapText="1"/>
      <protection locked="0"/>
    </xf>
    <xf numFmtId="0" fontId="437" fillId="0" borderId="172" xfId="22678" quotePrefix="1" applyNumberFormat="1" applyFont="1" applyBorder="1" applyAlignment="1" applyProtection="1">
      <alignment horizontal="center" vertical="center" wrapText="1"/>
      <protection locked="0"/>
    </xf>
    <xf numFmtId="0" fontId="437" fillId="204" borderId="172" xfId="22678" quotePrefix="1" applyNumberFormat="1" applyFont="1" applyFill="1" applyBorder="1" applyAlignment="1" applyProtection="1">
      <alignment horizontal="center" vertical="center"/>
      <protection locked="0"/>
    </xf>
    <xf numFmtId="15" fontId="437" fillId="204" borderId="121" xfId="22678" quotePrefix="1" applyNumberFormat="1" applyFont="1" applyFill="1" applyBorder="1" applyAlignment="1" applyProtection="1">
      <alignment horizontal="center" vertical="center"/>
      <protection locked="0"/>
    </xf>
    <xf numFmtId="15" fontId="437" fillId="204" borderId="121" xfId="27944" applyNumberFormat="1" applyFont="1" applyFill="1" applyBorder="1" applyAlignment="1" applyProtection="1">
      <alignment horizontal="center" vertical="center"/>
      <protection locked="0"/>
    </xf>
    <xf numFmtId="171" fontId="522" fillId="0" borderId="269" xfId="27926" applyFont="1" applyFill="1" applyBorder="1" applyAlignment="1">
      <alignment horizontal="left" vertical="center" wrapText="1"/>
    </xf>
    <xf numFmtId="171" fontId="172" fillId="0" borderId="0" xfId="0" applyNumberFormat="1" applyFont="1" applyAlignment="1">
      <alignment vertical="center" wrapText="1"/>
    </xf>
    <xf numFmtId="363" fontId="497" fillId="107" borderId="117" xfId="27932" applyNumberFormat="1" applyFont="1" applyFill="1" applyBorder="1" applyAlignment="1" applyProtection="1">
      <alignment horizontal="center" vertical="center"/>
      <protection locked="0"/>
    </xf>
    <xf numFmtId="365" fontId="451" fillId="0" borderId="469" xfId="27926" applyNumberFormat="1" applyFont="1" applyFill="1" applyBorder="1" applyAlignment="1">
      <alignment horizontal="center" vertical="center"/>
    </xf>
    <xf numFmtId="365" fontId="451" fillId="0" borderId="470" xfId="27926" applyNumberFormat="1" applyFont="1" applyFill="1" applyBorder="1" applyAlignment="1">
      <alignment horizontal="center" vertical="center"/>
    </xf>
    <xf numFmtId="0" fontId="537" fillId="0" borderId="244" xfId="0" applyFont="1" applyBorder="1" applyAlignment="1" applyProtection="1">
      <alignment vertical="top" wrapText="1"/>
      <protection locked="0"/>
    </xf>
    <xf numFmtId="171" fontId="451" fillId="0" borderId="471" xfId="27926" applyFont="1" applyFill="1" applyBorder="1" applyAlignment="1">
      <alignment horizontal="left" vertical="center"/>
    </xf>
    <xf numFmtId="365" fontId="451" fillId="0" borderId="461" xfId="27926" applyNumberFormat="1" applyFont="1" applyFill="1" applyBorder="1" applyAlignment="1">
      <alignment horizontal="left" vertical="center"/>
    </xf>
    <xf numFmtId="365" fontId="451" fillId="0" borderId="440" xfId="27926" applyNumberFormat="1" applyFont="1" applyFill="1" applyBorder="1" applyAlignment="1">
      <alignment horizontal="left" vertical="center"/>
    </xf>
    <xf numFmtId="171" fontId="451" fillId="0" borderId="473" xfId="27926" applyFont="1" applyFill="1" applyBorder="1" applyAlignment="1">
      <alignment horizontal="left" vertical="center" wrapText="1"/>
    </xf>
    <xf numFmtId="365" fontId="451" fillId="0" borderId="270" xfId="27926" applyNumberFormat="1" applyFont="1" applyFill="1" applyBorder="1" applyAlignment="1">
      <alignment horizontal="left" vertical="center"/>
    </xf>
    <xf numFmtId="363" fontId="60" fillId="0" borderId="0" xfId="22674" applyNumberFormat="1" applyFont="1" applyAlignment="1">
      <alignment vertical="top"/>
    </xf>
    <xf numFmtId="9" fontId="575" fillId="143" borderId="383" xfId="22690" applyFont="1" applyFill="1" applyBorder="1" applyAlignment="1" applyProtection="1">
      <alignment horizontal="center" vertical="center" wrapText="1"/>
      <protection locked="0"/>
    </xf>
    <xf numFmtId="38" fontId="450" fillId="0" borderId="0" xfId="0" applyNumberFormat="1" applyFont="1" applyAlignment="1">
      <alignment vertical="center"/>
    </xf>
    <xf numFmtId="0" fontId="0" fillId="0" borderId="0" xfId="27931" applyFont="1" applyAlignment="1">
      <alignment wrapText="1"/>
    </xf>
    <xf numFmtId="171" fontId="451" fillId="0" borderId="318" xfId="27925" quotePrefix="1" applyNumberFormat="1" applyFont="1" applyBorder="1" applyAlignment="1">
      <alignment horizontal="left" vertical="top" wrapText="1"/>
    </xf>
    <xf numFmtId="171" fontId="451" fillId="0" borderId="319" xfId="27925" quotePrefix="1" applyNumberFormat="1" applyFont="1" applyBorder="1" applyAlignment="1">
      <alignment horizontal="left" vertical="top" wrapText="1"/>
    </xf>
    <xf numFmtId="38" fontId="45" fillId="204" borderId="0" xfId="22751" applyNumberFormat="1" applyFill="1" applyAlignment="1">
      <alignment vertical="center"/>
    </xf>
    <xf numFmtId="38" fontId="65" fillId="204" borderId="0" xfId="22751" applyNumberFormat="1" applyFont="1" applyFill="1" applyAlignment="1">
      <alignment horizontal="right" vertical="center"/>
    </xf>
    <xf numFmtId="38" fontId="338" fillId="204" borderId="131" xfId="22751" applyNumberFormat="1" applyFont="1" applyFill="1" applyBorder="1" applyAlignment="1">
      <alignment horizontal="right" vertical="center"/>
    </xf>
    <xf numFmtId="43" fontId="21" fillId="204" borderId="349" xfId="19286" applyFont="1" applyFill="1" applyBorder="1" applyAlignment="1" applyProtection="1">
      <alignment vertical="center"/>
    </xf>
    <xf numFmtId="43" fontId="21" fillId="204" borderId="350" xfId="19286" applyFont="1" applyFill="1" applyBorder="1" applyAlignment="1" applyProtection="1">
      <alignment vertical="center"/>
    </xf>
    <xf numFmtId="38" fontId="45" fillId="204" borderId="351" xfId="22751" applyNumberFormat="1" applyFill="1" applyBorder="1" applyAlignment="1">
      <alignment vertical="center"/>
    </xf>
    <xf numFmtId="38" fontId="45" fillId="204" borderId="170" xfId="22751" applyNumberFormat="1" applyFill="1" applyBorder="1" applyAlignment="1">
      <alignment vertical="center"/>
    </xf>
    <xf numFmtId="38" fontId="45" fillId="204" borderId="115" xfId="22751" applyNumberFormat="1" applyFill="1" applyBorder="1" applyAlignment="1">
      <alignment vertical="center"/>
    </xf>
    <xf numFmtId="15" fontId="557" fillId="0" borderId="270" xfId="27925" applyNumberFormat="1" applyFont="1" applyBorder="1" applyAlignment="1">
      <alignment horizontal="left" vertical="center"/>
    </xf>
    <xf numFmtId="363" fontId="169" fillId="107" borderId="45" xfId="27932" applyNumberFormat="1" applyFont="1" applyFill="1" applyBorder="1" applyAlignment="1" applyProtection="1">
      <alignment horizontal="center" vertical="center"/>
      <protection locked="0"/>
    </xf>
    <xf numFmtId="0" fontId="565" fillId="107" borderId="117" xfId="22678" applyNumberFormat="1" applyFont="1" applyFill="1" applyBorder="1" applyAlignment="1" applyProtection="1">
      <alignment horizontal="center" vertical="center"/>
      <protection locked="0"/>
    </xf>
    <xf numFmtId="40" fontId="169" fillId="107" borderId="365" xfId="19286" applyNumberFormat="1" applyFont="1" applyFill="1" applyBorder="1" applyAlignment="1">
      <alignment vertical="center"/>
    </xf>
    <xf numFmtId="40" fontId="0" fillId="0" borderId="0" xfId="0" applyNumberFormat="1" applyAlignment="1">
      <alignment vertical="center" wrapText="1"/>
    </xf>
    <xf numFmtId="0" fontId="577" fillId="0" borderId="0" xfId="27962" applyFont="1" applyAlignment="1" applyProtection="1">
      <alignment wrapText="1"/>
      <protection locked="0"/>
    </xf>
    <xf numFmtId="229" fontId="577" fillId="0" borderId="0" xfId="27963" applyNumberFormat="1" applyFont="1" applyAlignment="1" applyProtection="1">
      <alignment horizontal="right" wrapText="1"/>
      <protection locked="0"/>
    </xf>
    <xf numFmtId="0" fontId="577" fillId="0" borderId="0" xfId="27962" applyFont="1" applyAlignment="1" applyProtection="1">
      <alignment horizontal="center" wrapText="1"/>
      <protection locked="0"/>
    </xf>
    <xf numFmtId="0" fontId="577" fillId="0" borderId="0" xfId="27962" applyFont="1" applyAlignment="1" applyProtection="1">
      <alignment horizontal="right" wrapText="1"/>
      <protection locked="0"/>
    </xf>
    <xf numFmtId="0" fontId="577" fillId="0" borderId="0" xfId="27962" applyFont="1" applyAlignment="1" applyProtection="1">
      <alignment horizontal="center"/>
      <protection locked="0"/>
    </xf>
    <xf numFmtId="0" fontId="577" fillId="0" borderId="0" xfId="27962" applyFont="1" applyProtection="1">
      <protection locked="0"/>
    </xf>
    <xf numFmtId="0" fontId="578" fillId="179" borderId="475" xfId="27962" applyFont="1" applyFill="1" applyBorder="1" applyAlignment="1" applyProtection="1">
      <alignment horizontal="left" vertical="center" wrapText="1"/>
      <protection locked="0"/>
    </xf>
    <xf numFmtId="0" fontId="579" fillId="0" borderId="0" xfId="27962" applyFont="1" applyAlignment="1" applyProtection="1">
      <alignment vertical="center"/>
      <protection locked="0"/>
    </xf>
    <xf numFmtId="0" fontId="577" fillId="0" borderId="0" xfId="27962" applyFont="1" applyAlignment="1" applyProtection="1">
      <alignment vertical="center"/>
      <protection locked="0"/>
    </xf>
    <xf numFmtId="0" fontId="580" fillId="134" borderId="475" xfId="27962" applyFont="1" applyFill="1" applyBorder="1" applyAlignment="1" applyProtection="1">
      <alignment vertical="center" wrapText="1"/>
      <protection locked="0"/>
    </xf>
    <xf numFmtId="229" fontId="580" fillId="134" borderId="480" xfId="27963" applyNumberFormat="1" applyFont="1" applyFill="1" applyBorder="1" applyAlignment="1" applyProtection="1">
      <alignment vertical="center" wrapText="1"/>
      <protection locked="0"/>
    </xf>
    <xf numFmtId="0" fontId="580" fillId="134" borderId="480" xfId="27962" applyFont="1" applyFill="1" applyBorder="1" applyAlignment="1" applyProtection="1">
      <alignment horizontal="center" vertical="center" wrapText="1"/>
      <protection locked="0"/>
    </xf>
    <xf numFmtId="229" fontId="580" fillId="134" borderId="480" xfId="27963" applyNumberFormat="1" applyFont="1" applyFill="1" applyBorder="1" applyAlignment="1" applyProtection="1">
      <alignment horizontal="center" vertical="center" wrapText="1"/>
      <protection locked="0"/>
    </xf>
    <xf numFmtId="0" fontId="580" fillId="134" borderId="479" xfId="27962" applyFont="1" applyFill="1" applyBorder="1" applyAlignment="1" applyProtection="1">
      <alignment horizontal="center" vertical="center" wrapText="1"/>
      <protection locked="0"/>
    </xf>
    <xf numFmtId="358" fontId="580" fillId="134" borderId="476" xfId="27962" applyNumberFormat="1" applyFont="1" applyFill="1" applyBorder="1" applyAlignment="1" applyProtection="1">
      <alignment horizontal="right" vertical="center" wrapText="1" indent="1"/>
      <protection locked="0"/>
    </xf>
    <xf numFmtId="9" fontId="580" fillId="134" borderId="479" xfId="27962" applyNumberFormat="1" applyFont="1" applyFill="1" applyBorder="1" applyAlignment="1" applyProtection="1">
      <alignment horizontal="center" vertical="center"/>
      <protection locked="0"/>
    </xf>
    <xf numFmtId="9" fontId="581" fillId="134" borderId="477" xfId="27962" applyNumberFormat="1" applyFont="1" applyFill="1" applyBorder="1" applyAlignment="1" applyProtection="1">
      <alignment horizontal="right" vertical="center"/>
      <protection locked="0"/>
    </xf>
    <xf numFmtId="0" fontId="577" fillId="34" borderId="0" xfId="27962" applyFont="1" applyFill="1" applyProtection="1">
      <protection locked="0"/>
    </xf>
    <xf numFmtId="0" fontId="582" fillId="217" borderId="481" xfId="27962" applyFont="1" applyFill="1" applyBorder="1" applyAlignment="1" applyProtection="1">
      <alignment vertical="center" wrapText="1"/>
      <protection locked="0"/>
    </xf>
    <xf numFmtId="229" fontId="582" fillId="217" borderId="482" xfId="27963" applyNumberFormat="1" applyFont="1" applyFill="1" applyBorder="1" applyAlignment="1" applyProtection="1">
      <alignment horizontal="center" vertical="center" wrapText="1"/>
      <protection locked="0"/>
    </xf>
    <xf numFmtId="0" fontId="582" fillId="217" borderId="483" xfId="27962" applyFont="1" applyFill="1" applyBorder="1" applyAlignment="1" applyProtection="1">
      <alignment horizontal="center" vertical="center" wrapText="1"/>
      <protection locked="0"/>
    </xf>
    <xf numFmtId="0" fontId="582" fillId="217" borderId="482" xfId="27962" applyFont="1" applyFill="1" applyBorder="1" applyAlignment="1" applyProtection="1">
      <alignment horizontal="right" vertical="center" wrapText="1"/>
      <protection locked="0"/>
    </xf>
    <xf numFmtId="0" fontId="582" fillId="217" borderId="482" xfId="27962" applyFont="1" applyFill="1" applyBorder="1" applyAlignment="1" applyProtection="1">
      <alignment horizontal="center" vertical="center" wrapText="1"/>
      <protection locked="0"/>
    </xf>
    <xf numFmtId="0" fontId="583" fillId="217" borderId="484" xfId="27962" applyFont="1" applyFill="1" applyBorder="1" applyAlignment="1" applyProtection="1">
      <alignment horizontal="right" vertical="center" wrapText="1"/>
      <protection locked="0"/>
    </xf>
    <xf numFmtId="0" fontId="584" fillId="134" borderId="485" xfId="27962" applyFont="1" applyFill="1" applyBorder="1" applyAlignment="1" applyProtection="1">
      <alignment vertical="center" wrapText="1"/>
      <protection locked="0"/>
    </xf>
    <xf numFmtId="229" fontId="584" fillId="134" borderId="486" xfId="27963" applyNumberFormat="1" applyFont="1" applyFill="1" applyBorder="1" applyAlignment="1" applyProtection="1">
      <alignment vertical="center" wrapText="1"/>
      <protection locked="0"/>
    </xf>
    <xf numFmtId="9" fontId="584" fillId="134" borderId="486" xfId="27964" applyFont="1" applyFill="1" applyBorder="1" applyAlignment="1" applyProtection="1">
      <alignment vertical="center" wrapText="1"/>
      <protection locked="0"/>
    </xf>
    <xf numFmtId="358" fontId="584" fillId="134" borderId="486" xfId="27963" applyNumberFormat="1" applyFont="1" applyFill="1" applyBorder="1" applyAlignment="1" applyProtection="1">
      <alignment vertical="center" wrapText="1"/>
      <protection locked="0"/>
    </xf>
    <xf numFmtId="0" fontId="583" fillId="217" borderId="487" xfId="27962" applyFont="1" applyFill="1" applyBorder="1" applyAlignment="1" applyProtection="1">
      <alignment horizontal="right" vertical="center" wrapText="1"/>
      <protection locked="0"/>
    </xf>
    <xf numFmtId="0" fontId="577" fillId="34" borderId="0" xfId="27962" applyFont="1" applyFill="1" applyAlignment="1" applyProtection="1">
      <alignment vertical="center"/>
      <protection locked="0"/>
    </xf>
    <xf numFmtId="229" fontId="584" fillId="134" borderId="489" xfId="27963" applyNumberFormat="1" applyFont="1" applyFill="1" applyBorder="1" applyAlignment="1" applyProtection="1">
      <alignment horizontal="right" vertical="center" wrapText="1"/>
      <protection locked="0"/>
    </xf>
    <xf numFmtId="358" fontId="584" fillId="134" borderId="489" xfId="27963" applyNumberFormat="1" applyFont="1" applyFill="1" applyBorder="1" applyAlignment="1" applyProtection="1">
      <alignment horizontal="right" vertical="center" wrapText="1"/>
      <protection locked="0"/>
    </xf>
    <xf numFmtId="0" fontId="584" fillId="134" borderId="486" xfId="27962" applyFont="1" applyFill="1" applyBorder="1" applyAlignment="1" applyProtection="1">
      <alignment horizontal="center" vertical="center"/>
      <protection locked="0"/>
    </xf>
    <xf numFmtId="0" fontId="577" fillId="134" borderId="490" xfId="27962" applyFont="1" applyFill="1" applyBorder="1" applyAlignment="1" applyProtection="1">
      <alignment vertical="center" wrapText="1"/>
      <protection locked="0"/>
    </xf>
    <xf numFmtId="9" fontId="585" fillId="130" borderId="490" xfId="27962" applyNumberFormat="1" applyFont="1" applyFill="1" applyBorder="1" applyAlignment="1" applyProtection="1">
      <alignment horizontal="right" vertical="center"/>
      <protection locked="0"/>
    </xf>
    <xf numFmtId="0" fontId="586" fillId="34" borderId="0" xfId="27962" applyFont="1" applyFill="1" applyAlignment="1" applyProtection="1">
      <alignment vertical="center"/>
      <protection locked="0"/>
    </xf>
    <xf numFmtId="0" fontId="586" fillId="0" borderId="0" xfId="27962" applyFont="1" applyAlignment="1" applyProtection="1">
      <alignment vertical="center"/>
      <protection locked="0"/>
    </xf>
    <xf numFmtId="0" fontId="582" fillId="217" borderId="491" xfId="27962" applyFont="1" applyFill="1" applyBorder="1" applyAlignment="1" applyProtection="1">
      <alignment vertical="center" wrapText="1"/>
      <protection locked="0"/>
    </xf>
    <xf numFmtId="229" fontId="582" fillId="217" borderId="492" xfId="27963" applyNumberFormat="1" applyFont="1" applyFill="1" applyBorder="1" applyAlignment="1" applyProtection="1">
      <alignment horizontal="right" vertical="center" wrapText="1"/>
      <protection locked="0"/>
    </xf>
    <xf numFmtId="9" fontId="582" fillId="217" borderId="493" xfId="27964" applyFont="1" applyFill="1" applyBorder="1" applyAlignment="1" applyProtection="1">
      <alignment horizontal="center" vertical="center" wrapText="1"/>
      <protection locked="0"/>
    </xf>
    <xf numFmtId="358" fontId="582" fillId="217" borderId="492" xfId="27962" applyNumberFormat="1" applyFont="1" applyFill="1" applyBorder="1" applyAlignment="1" applyProtection="1">
      <alignment horizontal="right" vertical="center" wrapText="1"/>
      <protection locked="0"/>
    </xf>
    <xf numFmtId="9" fontId="583" fillId="217" borderId="494" xfId="27962" applyNumberFormat="1" applyFont="1" applyFill="1" applyBorder="1" applyAlignment="1" applyProtection="1">
      <alignment horizontal="right" vertical="center"/>
      <protection locked="0"/>
    </xf>
    <xf numFmtId="0" fontId="588" fillId="34" borderId="0" xfId="27962" applyFont="1" applyFill="1" applyProtection="1">
      <protection locked="0"/>
    </xf>
    <xf numFmtId="0" fontId="588" fillId="0" borderId="0" xfId="27962" applyFont="1" applyProtection="1">
      <protection locked="0"/>
    </xf>
    <xf numFmtId="0" fontId="584" fillId="134" borderId="491" xfId="27962" applyFont="1" applyFill="1" applyBorder="1" applyAlignment="1" applyProtection="1">
      <alignment vertical="center" wrapText="1"/>
      <protection locked="0"/>
    </xf>
    <xf numFmtId="229" fontId="584" fillId="134" borderId="492" xfId="27963" applyNumberFormat="1" applyFont="1" applyFill="1" applyBorder="1" applyAlignment="1" applyProtection="1">
      <alignment horizontal="right" vertical="center" wrapText="1"/>
      <protection locked="0"/>
    </xf>
    <xf numFmtId="9" fontId="584" fillId="134" borderId="493" xfId="27964" applyFont="1" applyFill="1" applyBorder="1" applyAlignment="1" applyProtection="1">
      <alignment horizontal="center" vertical="center" wrapText="1"/>
      <protection locked="0"/>
    </xf>
    <xf numFmtId="0" fontId="584" fillId="134" borderId="493" xfId="27962" applyFont="1" applyFill="1" applyBorder="1" applyAlignment="1" applyProtection="1">
      <alignment horizontal="center" vertical="center"/>
      <protection locked="0"/>
    </xf>
    <xf numFmtId="9" fontId="577" fillId="134" borderId="494" xfId="27962" applyNumberFormat="1" applyFont="1" applyFill="1" applyBorder="1" applyAlignment="1" applyProtection="1">
      <alignment horizontal="right" vertical="center"/>
      <protection locked="0"/>
    </xf>
    <xf numFmtId="9" fontId="585" fillId="130" borderId="494" xfId="27962" applyNumberFormat="1" applyFont="1" applyFill="1" applyBorder="1" applyAlignment="1" applyProtection="1">
      <alignment horizontal="right" vertical="center"/>
      <protection locked="0"/>
    </xf>
    <xf numFmtId="229" fontId="586" fillId="34" borderId="0" xfId="27962" applyNumberFormat="1" applyFont="1" applyFill="1" applyAlignment="1" applyProtection="1">
      <alignment vertical="center"/>
      <protection locked="0"/>
    </xf>
    <xf numFmtId="0" fontId="584" fillId="134" borderId="495" xfId="27962" applyFont="1" applyFill="1" applyBorder="1" applyAlignment="1" applyProtection="1">
      <alignment vertical="center" wrapText="1"/>
      <protection locked="0"/>
    </xf>
    <xf numFmtId="229" fontId="584" fillId="134" borderId="496" xfId="27963" applyNumberFormat="1" applyFont="1" applyFill="1" applyBorder="1" applyAlignment="1" applyProtection="1">
      <alignment horizontal="right" vertical="center" wrapText="1"/>
      <protection locked="0"/>
    </xf>
    <xf numFmtId="9" fontId="584" fillId="134" borderId="497" xfId="27964" applyFont="1" applyFill="1" applyBorder="1" applyAlignment="1" applyProtection="1">
      <alignment horizontal="center" vertical="center" wrapText="1"/>
      <protection locked="0"/>
    </xf>
    <xf numFmtId="358" fontId="584" fillId="134" borderId="496" xfId="27962" applyNumberFormat="1" applyFont="1" applyFill="1" applyBorder="1" applyAlignment="1" applyProtection="1">
      <alignment vertical="center" wrapText="1"/>
      <protection locked="0"/>
    </xf>
    <xf numFmtId="9" fontId="577" fillId="134" borderId="498" xfId="27962" applyNumberFormat="1" applyFont="1" applyFill="1" applyBorder="1" applyAlignment="1" applyProtection="1">
      <alignment horizontal="right" vertical="center"/>
      <protection locked="0"/>
    </xf>
    <xf numFmtId="3" fontId="585" fillId="130" borderId="495" xfId="27962" applyNumberFormat="1" applyFont="1" applyFill="1" applyBorder="1" applyAlignment="1" applyProtection="1">
      <alignment horizontal="left" vertical="center" wrapText="1"/>
      <protection locked="0"/>
    </xf>
    <xf numFmtId="229" fontId="585" fillId="130" borderId="496" xfId="27963" applyNumberFormat="1" applyFont="1" applyFill="1" applyBorder="1" applyAlignment="1" applyProtection="1">
      <alignment horizontal="right" vertical="center" wrapText="1"/>
      <protection locked="0"/>
    </xf>
    <xf numFmtId="358" fontId="585" fillId="130" borderId="496" xfId="27962" applyNumberFormat="1" applyFont="1" applyFill="1" applyBorder="1" applyAlignment="1" applyProtection="1">
      <alignment horizontal="right" vertical="center" wrapText="1"/>
      <protection locked="0"/>
    </xf>
    <xf numFmtId="9" fontId="585" fillId="130" borderId="498" xfId="27962" applyNumberFormat="1" applyFont="1" applyFill="1" applyBorder="1" applyAlignment="1" applyProtection="1">
      <alignment horizontal="right" vertical="center"/>
      <protection locked="0"/>
    </xf>
    <xf numFmtId="43" fontId="586" fillId="34" borderId="0" xfId="27963" applyFont="1" applyFill="1" applyAlignment="1" applyProtection="1">
      <alignment vertical="center"/>
      <protection locked="0"/>
    </xf>
    <xf numFmtId="0" fontId="590" fillId="134" borderId="495" xfId="27962" applyFont="1" applyFill="1" applyBorder="1" applyAlignment="1" applyProtection="1">
      <alignment vertical="center" wrapText="1"/>
      <protection locked="0"/>
    </xf>
    <xf numFmtId="229" fontId="590" fillId="134" borderId="496" xfId="27963" applyNumberFormat="1" applyFont="1" applyFill="1" applyBorder="1" applyAlignment="1" applyProtection="1">
      <alignment horizontal="right" vertical="center" wrapText="1"/>
      <protection locked="0"/>
    </xf>
    <xf numFmtId="9" fontId="590" fillId="134" borderId="497" xfId="27964" applyFont="1" applyFill="1" applyBorder="1" applyAlignment="1" applyProtection="1">
      <alignment horizontal="center" vertical="center" wrapText="1"/>
      <protection locked="0"/>
    </xf>
    <xf numFmtId="358" fontId="590" fillId="134" borderId="496" xfId="27962" applyNumberFormat="1" applyFont="1" applyFill="1" applyBorder="1" applyAlignment="1" applyProtection="1">
      <alignment vertical="center" wrapText="1"/>
      <protection locked="0"/>
    </xf>
    <xf numFmtId="0" fontId="590" fillId="134" borderId="497" xfId="27962" applyFont="1" applyFill="1" applyBorder="1" applyAlignment="1" applyProtection="1">
      <alignment horizontal="center" vertical="center"/>
      <protection locked="0"/>
    </xf>
    <xf numFmtId="9" fontId="585" fillId="130" borderId="497" xfId="27964" applyFont="1" applyFill="1" applyBorder="1" applyAlignment="1" applyProtection="1">
      <alignment horizontal="center" vertical="center" wrapText="1"/>
      <protection locked="0"/>
    </xf>
    <xf numFmtId="0" fontId="585" fillId="130" borderId="497" xfId="27962" applyFont="1" applyFill="1" applyBorder="1" applyAlignment="1" applyProtection="1">
      <alignment horizontal="center" vertical="center"/>
      <protection locked="0"/>
    </xf>
    <xf numFmtId="0" fontId="590" fillId="34" borderId="499" xfId="27962" applyFont="1" applyFill="1" applyBorder="1" applyAlignment="1" applyProtection="1">
      <alignment wrapText="1"/>
      <protection locked="0"/>
    </xf>
    <xf numFmtId="229" fontId="590" fillId="34" borderId="0" xfId="27963" applyNumberFormat="1" applyFont="1" applyFill="1" applyBorder="1" applyAlignment="1" applyProtection="1">
      <alignment horizontal="right" wrapText="1"/>
      <protection locked="0"/>
    </xf>
    <xf numFmtId="0" fontId="590" fillId="34" borderId="500" xfId="27962" applyFont="1" applyFill="1" applyBorder="1" applyAlignment="1" applyProtection="1">
      <alignment horizontal="center" wrapText="1"/>
      <protection locked="0"/>
    </xf>
    <xf numFmtId="0" fontId="590" fillId="34" borderId="0" xfId="27962" applyFont="1" applyFill="1" applyAlignment="1" applyProtection="1">
      <alignment horizontal="right" wrapText="1"/>
      <protection locked="0"/>
    </xf>
    <xf numFmtId="358" fontId="590" fillId="34" borderId="0" xfId="27962" applyNumberFormat="1" applyFont="1" applyFill="1" applyAlignment="1" applyProtection="1">
      <alignment wrapText="1"/>
      <protection locked="0"/>
    </xf>
    <xf numFmtId="0" fontId="590" fillId="34" borderId="500" xfId="27962" applyFont="1" applyFill="1" applyBorder="1" applyAlignment="1" applyProtection="1">
      <alignment horizontal="center"/>
      <protection locked="0"/>
    </xf>
    <xf numFmtId="3" fontId="591" fillId="157" borderId="495" xfId="27962" applyNumberFormat="1" applyFont="1" applyFill="1" applyBorder="1" applyAlignment="1" applyProtection="1">
      <alignment horizontal="left" vertical="center" wrapText="1"/>
      <protection locked="0"/>
    </xf>
    <xf numFmtId="229" fontId="591" fillId="157" borderId="496" xfId="27963" applyNumberFormat="1" applyFont="1" applyFill="1" applyBorder="1" applyAlignment="1" applyProtection="1">
      <alignment horizontal="right" vertical="center" wrapText="1"/>
      <protection locked="0"/>
    </xf>
    <xf numFmtId="3" fontId="591" fillId="157" borderId="497" xfId="27962" applyNumberFormat="1" applyFont="1" applyFill="1" applyBorder="1" applyAlignment="1" applyProtection="1">
      <alignment horizontal="center" vertical="center" wrapText="1"/>
      <protection locked="0"/>
    </xf>
    <xf numFmtId="358" fontId="591" fillId="157" borderId="496" xfId="27962" applyNumberFormat="1" applyFont="1" applyFill="1" applyBorder="1" applyAlignment="1" applyProtection="1">
      <alignment horizontal="right" vertical="center" wrapText="1"/>
      <protection locked="0"/>
    </xf>
    <xf numFmtId="0" fontId="591" fillId="157" borderId="497" xfId="27962" applyFont="1" applyFill="1" applyBorder="1" applyAlignment="1" applyProtection="1">
      <alignment horizontal="center" vertical="center"/>
      <protection locked="0"/>
    </xf>
    <xf numFmtId="9" fontId="593" fillId="157" borderId="498" xfId="27962" applyNumberFormat="1" applyFont="1" applyFill="1" applyBorder="1" applyAlignment="1" applyProtection="1">
      <alignment horizontal="right" vertical="center"/>
      <protection locked="0"/>
    </xf>
    <xf numFmtId="229" fontId="590" fillId="34" borderId="501" xfId="27963" applyNumberFormat="1" applyFont="1" applyFill="1" applyBorder="1" applyAlignment="1" applyProtection="1">
      <alignment horizontal="right" wrapText="1"/>
      <protection locked="0"/>
    </xf>
    <xf numFmtId="0" fontId="590" fillId="34" borderId="502" xfId="27962" applyFont="1" applyFill="1" applyBorder="1" applyAlignment="1" applyProtection="1">
      <alignment horizontal="center" wrapText="1"/>
      <protection locked="0"/>
    </xf>
    <xf numFmtId="0" fontId="590" fillId="34" borderId="501" xfId="27962" applyFont="1" applyFill="1" applyBorder="1" applyAlignment="1" applyProtection="1">
      <alignment horizontal="right" wrapText="1"/>
      <protection locked="0"/>
    </xf>
    <xf numFmtId="358" fontId="590" fillId="34" borderId="501" xfId="27962" applyNumberFormat="1" applyFont="1" applyFill="1" applyBorder="1" applyAlignment="1" applyProtection="1">
      <alignment wrapText="1"/>
      <protection locked="0"/>
    </xf>
    <xf numFmtId="0" fontId="590" fillId="34" borderId="502" xfId="27962" applyFont="1" applyFill="1" applyBorder="1" applyAlignment="1" applyProtection="1">
      <alignment horizontal="center"/>
      <protection locked="0"/>
    </xf>
    <xf numFmtId="3" fontId="594" fillId="157" borderId="495" xfId="27962" applyNumberFormat="1" applyFont="1" applyFill="1" applyBorder="1" applyAlignment="1" applyProtection="1">
      <alignment horizontal="left" vertical="center" wrapText="1"/>
      <protection locked="0"/>
    </xf>
    <xf numFmtId="229" fontId="594" fillId="157" borderId="498" xfId="27963" applyNumberFormat="1" applyFont="1" applyFill="1" applyBorder="1" applyAlignment="1" applyProtection="1">
      <alignment horizontal="right" vertical="center" wrapText="1"/>
      <protection locked="0"/>
    </xf>
    <xf numFmtId="229" fontId="594" fillId="157" borderId="503" xfId="27963" applyNumberFormat="1" applyFont="1" applyFill="1" applyBorder="1" applyAlignment="1" applyProtection="1">
      <alignment horizontal="center" vertical="center" wrapText="1"/>
      <protection locked="0"/>
    </xf>
    <xf numFmtId="229" fontId="594" fillId="157" borderId="504" xfId="27963" applyNumberFormat="1" applyFont="1" applyFill="1" applyBorder="1" applyAlignment="1" applyProtection="1">
      <alignment horizontal="right" vertical="center" wrapText="1"/>
      <protection locked="0"/>
    </xf>
    <xf numFmtId="3" fontId="594" fillId="157" borderId="495" xfId="27962" applyNumberFormat="1" applyFont="1" applyFill="1" applyBorder="1" applyAlignment="1" applyProtection="1">
      <alignment horizontal="center" vertical="center" wrapText="1"/>
      <protection locked="0"/>
    </xf>
    <xf numFmtId="358" fontId="594" fillId="157" borderId="504" xfId="27962" applyNumberFormat="1" applyFont="1" applyFill="1" applyBorder="1" applyAlignment="1" applyProtection="1">
      <alignment horizontal="right" vertical="center" wrapText="1"/>
      <protection locked="0"/>
    </xf>
    <xf numFmtId="9" fontId="594" fillId="157" borderId="495" xfId="27962" applyNumberFormat="1" applyFont="1" applyFill="1" applyBorder="1" applyAlignment="1" applyProtection="1">
      <alignment horizontal="center" vertical="center"/>
      <protection locked="0"/>
    </xf>
    <xf numFmtId="0" fontId="584" fillId="34" borderId="499" xfId="27962" applyFont="1" applyFill="1" applyBorder="1" applyAlignment="1" applyProtection="1">
      <alignment wrapText="1"/>
      <protection locked="0"/>
    </xf>
    <xf numFmtId="229" fontId="584" fillId="34" borderId="0" xfId="27963" applyNumberFormat="1" applyFont="1" applyFill="1" applyAlignment="1" applyProtection="1">
      <alignment horizontal="right" wrapText="1"/>
      <protection locked="0"/>
    </xf>
    <xf numFmtId="0" fontId="584" fillId="34" borderId="0" xfId="27962" applyFont="1" applyFill="1" applyAlignment="1" applyProtection="1">
      <alignment horizontal="center" wrapText="1"/>
      <protection locked="0"/>
    </xf>
    <xf numFmtId="0" fontId="584" fillId="34" borderId="0" xfId="27962" applyFont="1" applyFill="1" applyAlignment="1" applyProtection="1">
      <alignment horizontal="right" wrapText="1"/>
      <protection locked="0"/>
    </xf>
    <xf numFmtId="0" fontId="584" fillId="34" borderId="0" xfId="27962" applyFont="1" applyFill="1" applyAlignment="1" applyProtection="1">
      <alignment wrapText="1"/>
      <protection locked="0"/>
    </xf>
    <xf numFmtId="0" fontId="584" fillId="34" borderId="0" xfId="27962" applyFont="1" applyFill="1" applyAlignment="1" applyProtection="1">
      <alignment horizontal="center"/>
      <protection locked="0"/>
    </xf>
    <xf numFmtId="3" fontId="594" fillId="157" borderId="505" xfId="27962" applyNumberFormat="1" applyFont="1" applyFill="1" applyBorder="1" applyAlignment="1" applyProtection="1">
      <alignment horizontal="left" vertical="center" wrapText="1"/>
      <protection locked="0"/>
    </xf>
    <xf numFmtId="229" fontId="594" fillId="157" borderId="506" xfId="27963" applyNumberFormat="1" applyFont="1" applyFill="1" applyBorder="1" applyAlignment="1" applyProtection="1">
      <alignment horizontal="right" vertical="center" wrapText="1"/>
      <protection locked="0"/>
    </xf>
    <xf numFmtId="229" fontId="594" fillId="157" borderId="507" xfId="27963" applyNumberFormat="1" applyFont="1" applyFill="1" applyBorder="1" applyAlignment="1" applyProtection="1">
      <alignment horizontal="center" vertical="center" wrapText="1"/>
      <protection locked="0"/>
    </xf>
    <xf numFmtId="229" fontId="594" fillId="157" borderId="508" xfId="27963" applyNumberFormat="1" applyFont="1" applyFill="1" applyBorder="1" applyAlignment="1" applyProtection="1">
      <alignment horizontal="right" vertical="center" wrapText="1"/>
      <protection locked="0"/>
    </xf>
    <xf numFmtId="3" fontId="594" fillId="157" borderId="505" xfId="27962" applyNumberFormat="1" applyFont="1" applyFill="1" applyBorder="1" applyAlignment="1" applyProtection="1">
      <alignment horizontal="center" vertical="center" wrapText="1"/>
      <protection locked="0"/>
    </xf>
    <xf numFmtId="358" fontId="594" fillId="157" borderId="508" xfId="27962" applyNumberFormat="1" applyFont="1" applyFill="1" applyBorder="1" applyAlignment="1" applyProtection="1">
      <alignment horizontal="right" vertical="center" wrapText="1"/>
      <protection locked="0"/>
    </xf>
    <xf numFmtId="9" fontId="594" fillId="157" borderId="505" xfId="27962" applyNumberFormat="1" applyFont="1" applyFill="1" applyBorder="1" applyAlignment="1" applyProtection="1">
      <alignment horizontal="center" vertical="center"/>
      <protection locked="0"/>
    </xf>
    <xf numFmtId="9" fontId="593" fillId="157" borderId="506" xfId="27962" applyNumberFormat="1" applyFont="1" applyFill="1" applyBorder="1" applyAlignment="1" applyProtection="1">
      <alignment horizontal="right" vertical="center"/>
      <protection locked="0"/>
    </xf>
    <xf numFmtId="0" fontId="577" fillId="34" borderId="499" xfId="27962" applyFont="1" applyFill="1" applyBorder="1" applyAlignment="1" applyProtection="1">
      <alignment wrapText="1"/>
      <protection locked="0"/>
    </xf>
    <xf numFmtId="229" fontId="577" fillId="34" borderId="0" xfId="27963" applyNumberFormat="1" applyFont="1" applyFill="1" applyAlignment="1" applyProtection="1">
      <alignment horizontal="right" wrapText="1"/>
      <protection locked="0"/>
    </xf>
    <xf numFmtId="0" fontId="577" fillId="34" borderId="0" xfId="27962" applyFont="1" applyFill="1" applyAlignment="1" applyProtection="1">
      <alignment horizontal="center" wrapText="1"/>
      <protection locked="0"/>
    </xf>
    <xf numFmtId="0" fontId="577" fillId="34" borderId="0" xfId="27962" applyFont="1" applyFill="1" applyAlignment="1" applyProtection="1">
      <alignment horizontal="right" wrapText="1"/>
      <protection locked="0"/>
    </xf>
    <xf numFmtId="0" fontId="577" fillId="34" borderId="0" xfId="27962" applyFont="1" applyFill="1" applyAlignment="1" applyProtection="1">
      <alignment wrapText="1"/>
      <protection locked="0"/>
    </xf>
    <xf numFmtId="0" fontId="577" fillId="34" borderId="0" xfId="27962" applyFont="1" applyFill="1" applyAlignment="1" applyProtection="1">
      <alignment horizontal="center"/>
      <protection locked="0"/>
    </xf>
    <xf numFmtId="3" fontId="595" fillId="157" borderId="505" xfId="27962" applyNumberFormat="1" applyFont="1" applyFill="1" applyBorder="1" applyAlignment="1" applyProtection="1">
      <alignment horizontal="left" vertical="center" wrapText="1"/>
      <protection locked="0"/>
    </xf>
    <xf numFmtId="229" fontId="591" fillId="157" borderId="506" xfId="27963" applyNumberFormat="1" applyFont="1" applyFill="1" applyBorder="1" applyAlignment="1" applyProtection="1">
      <alignment horizontal="right" vertical="center" wrapText="1"/>
      <protection locked="0"/>
    </xf>
    <xf numFmtId="229" fontId="591" fillId="157" borderId="507" xfId="27963" applyNumberFormat="1" applyFont="1" applyFill="1" applyBorder="1" applyAlignment="1" applyProtection="1">
      <alignment horizontal="center" vertical="center" wrapText="1"/>
      <protection locked="0"/>
    </xf>
    <xf numFmtId="229" fontId="591" fillId="157" borderId="508" xfId="27963" applyNumberFormat="1" applyFont="1" applyFill="1" applyBorder="1" applyAlignment="1" applyProtection="1">
      <alignment horizontal="right" vertical="center" wrapText="1"/>
      <protection locked="0"/>
    </xf>
    <xf numFmtId="3" fontId="591" fillId="157" borderId="505" xfId="27962" applyNumberFormat="1" applyFont="1" applyFill="1" applyBorder="1" applyAlignment="1" applyProtection="1">
      <alignment horizontal="center" vertical="center" wrapText="1"/>
      <protection locked="0"/>
    </xf>
    <xf numFmtId="358" fontId="591" fillId="157" borderId="508" xfId="27962" applyNumberFormat="1" applyFont="1" applyFill="1" applyBorder="1" applyAlignment="1" applyProtection="1">
      <alignment horizontal="right" vertical="center" wrapText="1"/>
      <protection locked="0"/>
    </xf>
    <xf numFmtId="9" fontId="591" fillId="157" borderId="505" xfId="27962" applyNumberFormat="1" applyFont="1" applyFill="1" applyBorder="1" applyAlignment="1" applyProtection="1">
      <alignment horizontal="center" vertical="center"/>
      <protection locked="0"/>
    </xf>
    <xf numFmtId="3" fontId="595" fillId="157" borderId="0" xfId="27962" applyNumberFormat="1" applyFont="1" applyFill="1" applyAlignment="1" applyProtection="1">
      <alignment horizontal="left" vertical="center" wrapText="1"/>
      <protection locked="0"/>
    </xf>
    <xf numFmtId="229" fontId="591" fillId="157" borderId="0" xfId="27963" applyNumberFormat="1" applyFont="1" applyFill="1" applyBorder="1" applyAlignment="1" applyProtection="1">
      <alignment horizontal="right" vertical="center" wrapText="1"/>
      <protection locked="0"/>
    </xf>
    <xf numFmtId="229" fontId="591" fillId="157" borderId="0" xfId="27963" applyNumberFormat="1" applyFont="1" applyFill="1" applyBorder="1" applyAlignment="1" applyProtection="1">
      <alignment horizontal="center" vertical="center" wrapText="1"/>
      <protection locked="0"/>
    </xf>
    <xf numFmtId="3" fontId="591" fillId="157" borderId="0" xfId="27962" applyNumberFormat="1" applyFont="1" applyFill="1" applyAlignment="1" applyProtection="1">
      <alignment horizontal="center" vertical="center" wrapText="1"/>
      <protection locked="0"/>
    </xf>
    <xf numFmtId="358" fontId="591" fillId="157" borderId="0" xfId="27962" applyNumberFormat="1" applyFont="1" applyFill="1" applyAlignment="1" applyProtection="1">
      <alignment horizontal="right" vertical="center" wrapText="1"/>
      <protection locked="0"/>
    </xf>
    <xf numFmtId="9" fontId="591" fillId="157" borderId="0" xfId="27962" applyNumberFormat="1" applyFont="1" applyFill="1" applyAlignment="1" applyProtection="1">
      <alignment horizontal="center" vertical="center"/>
      <protection locked="0"/>
    </xf>
    <xf numFmtId="9" fontId="593" fillId="157" borderId="0" xfId="27962" applyNumberFormat="1" applyFont="1" applyFill="1" applyAlignment="1" applyProtection="1">
      <alignment horizontal="right" vertical="center"/>
      <protection locked="0"/>
    </xf>
    <xf numFmtId="0" fontId="579" fillId="0" borderId="0" xfId="27962" applyFont="1" applyAlignment="1">
      <alignment vertical="center"/>
    </xf>
    <xf numFmtId="0" fontId="596" fillId="34" borderId="0" xfId="27962" applyFont="1" applyFill="1" applyAlignment="1" applyProtection="1">
      <alignment wrapText="1"/>
      <protection locked="0"/>
    </xf>
    <xf numFmtId="229" fontId="596" fillId="34" borderId="0" xfId="27963" applyNumberFormat="1" applyFont="1" applyFill="1" applyAlignment="1" applyProtection="1">
      <alignment horizontal="right" wrapText="1"/>
      <protection locked="0"/>
    </xf>
    <xf numFmtId="0" fontId="596" fillId="34" borderId="0" xfId="27962" applyFont="1" applyFill="1" applyAlignment="1" applyProtection="1">
      <alignment horizontal="center" wrapText="1"/>
      <protection locked="0"/>
    </xf>
    <xf numFmtId="0" fontId="596" fillId="34" borderId="0" xfId="27962" applyFont="1" applyFill="1" applyAlignment="1" applyProtection="1">
      <alignment horizontal="right" wrapText="1"/>
      <protection locked="0"/>
    </xf>
    <xf numFmtId="0" fontId="596" fillId="34" borderId="0" xfId="27962" applyFont="1" applyFill="1" applyAlignment="1" applyProtection="1">
      <alignment horizontal="center"/>
      <protection locked="0"/>
    </xf>
    <xf numFmtId="0" fontId="596" fillId="34" borderId="0" xfId="27962" applyFont="1" applyFill="1" applyProtection="1">
      <protection locked="0"/>
    </xf>
    <xf numFmtId="0" fontId="596" fillId="0" borderId="0" xfId="27962" applyFont="1" applyProtection="1">
      <protection locked="0"/>
    </xf>
    <xf numFmtId="0" fontId="597" fillId="134" borderId="0" xfId="27962" applyFont="1" applyFill="1" applyAlignment="1" applyProtection="1">
      <alignment wrapText="1"/>
      <protection locked="0"/>
    </xf>
    <xf numFmtId="229" fontId="598" fillId="134" borderId="0" xfId="27963" applyNumberFormat="1" applyFont="1" applyFill="1" applyAlignment="1" applyProtection="1">
      <alignment horizontal="right" wrapText="1"/>
      <protection locked="0"/>
    </xf>
    <xf numFmtId="9" fontId="597" fillId="134" borderId="0" xfId="27962" applyNumberFormat="1" applyFont="1" applyFill="1" applyAlignment="1" applyProtection="1">
      <alignment horizontal="center" wrapText="1"/>
      <protection locked="0"/>
    </xf>
    <xf numFmtId="0" fontId="597" fillId="134" borderId="0" xfId="27962" applyFont="1" applyFill="1" applyAlignment="1" applyProtection="1">
      <alignment horizontal="right" wrapText="1"/>
      <protection locked="0"/>
    </xf>
    <xf numFmtId="0" fontId="597" fillId="134" borderId="0" xfId="27962" applyFont="1" applyFill="1" applyAlignment="1" applyProtection="1">
      <alignment horizontal="center" wrapText="1"/>
      <protection locked="0"/>
    </xf>
    <xf numFmtId="0" fontId="597" fillId="134" borderId="0" xfId="27962" applyFont="1" applyFill="1" applyAlignment="1" applyProtection="1">
      <alignment horizontal="center"/>
      <protection locked="0"/>
    </xf>
    <xf numFmtId="0" fontId="597" fillId="134" borderId="0" xfId="27962" applyFont="1" applyFill="1" applyProtection="1">
      <protection locked="0"/>
    </xf>
    <xf numFmtId="0" fontId="598" fillId="134" borderId="0" xfId="27962" applyFont="1" applyFill="1" applyAlignment="1" applyProtection="1">
      <alignment wrapText="1"/>
      <protection locked="0"/>
    </xf>
    <xf numFmtId="43" fontId="598" fillId="134" borderId="0" xfId="27963" applyFont="1" applyFill="1" applyAlignment="1" applyProtection="1">
      <alignment horizontal="right" wrapText="1"/>
      <protection locked="0"/>
    </xf>
    <xf numFmtId="43" fontId="598" fillId="134" borderId="0" xfId="27963" applyFont="1" applyFill="1" applyAlignment="1" applyProtection="1">
      <alignment horizontal="center" wrapText="1"/>
      <protection locked="0"/>
    </xf>
    <xf numFmtId="43" fontId="598" fillId="134" borderId="0" xfId="27963" applyFont="1" applyFill="1" applyAlignment="1" applyProtection="1">
      <alignment wrapText="1"/>
      <protection locked="0"/>
    </xf>
    <xf numFmtId="0" fontId="598" fillId="134" borderId="0" xfId="27962" applyFont="1" applyFill="1" applyAlignment="1" applyProtection="1">
      <alignment horizontal="center"/>
      <protection locked="0"/>
    </xf>
    <xf numFmtId="0" fontId="598" fillId="134" borderId="0" xfId="27962" applyFont="1" applyFill="1" applyProtection="1">
      <protection locked="0"/>
    </xf>
    <xf numFmtId="2" fontId="598" fillId="134" borderId="0" xfId="27964" applyNumberFormat="1" applyFont="1" applyFill="1" applyAlignment="1" applyProtection="1">
      <alignment horizontal="center" wrapText="1"/>
      <protection locked="0"/>
    </xf>
    <xf numFmtId="43" fontId="599" fillId="134" borderId="0" xfId="27962" applyNumberFormat="1" applyFont="1" applyFill="1" applyAlignment="1" applyProtection="1">
      <alignment horizontal="right" wrapText="1"/>
      <protection locked="0"/>
    </xf>
    <xf numFmtId="43" fontId="599" fillId="134" borderId="0" xfId="27963" applyFont="1" applyFill="1" applyAlignment="1" applyProtection="1">
      <alignment horizontal="center" wrapText="1"/>
      <protection locked="0"/>
    </xf>
    <xf numFmtId="43" fontId="599" fillId="134" borderId="0" xfId="27963" applyFont="1" applyFill="1" applyAlignment="1" applyProtection="1">
      <alignment horizontal="right" wrapText="1"/>
      <protection locked="0"/>
    </xf>
    <xf numFmtId="10" fontId="598" fillId="134" borderId="0" xfId="27964" applyNumberFormat="1" applyFont="1" applyFill="1" applyAlignment="1" applyProtection="1">
      <alignment horizontal="center" wrapText="1"/>
      <protection locked="0"/>
    </xf>
    <xf numFmtId="0" fontId="598" fillId="134" borderId="0" xfId="27962" applyFont="1" applyFill="1" applyAlignment="1" applyProtection="1">
      <alignment horizontal="center" wrapText="1"/>
      <protection locked="0"/>
    </xf>
    <xf numFmtId="0" fontId="598" fillId="134" borderId="0" xfId="27962" applyFont="1" applyFill="1" applyAlignment="1" applyProtection="1">
      <alignment horizontal="right" wrapText="1"/>
      <protection locked="0"/>
    </xf>
    <xf numFmtId="229" fontId="598" fillId="134" borderId="0" xfId="27962" applyNumberFormat="1" applyFont="1" applyFill="1" applyAlignment="1" applyProtection="1">
      <alignment horizontal="right" wrapText="1"/>
      <protection locked="0"/>
    </xf>
    <xf numFmtId="0" fontId="598" fillId="134" borderId="0" xfId="27962" applyFont="1" applyFill="1" applyAlignment="1" applyProtection="1">
      <alignment horizontal="center" vertical="center" wrapText="1"/>
      <protection locked="0"/>
    </xf>
    <xf numFmtId="229" fontId="599" fillId="134" borderId="0" xfId="27963" applyNumberFormat="1" applyFont="1" applyFill="1" applyAlignment="1" applyProtection="1">
      <alignment horizontal="right" vertical="center" wrapText="1"/>
      <protection locked="0"/>
    </xf>
    <xf numFmtId="0" fontId="600" fillId="34" borderId="0" xfId="27962" applyFont="1" applyFill="1" applyAlignment="1" applyProtection="1">
      <alignment wrapText="1"/>
      <protection locked="0"/>
    </xf>
    <xf numFmtId="229" fontId="600" fillId="34" borderId="0" xfId="27963" applyNumberFormat="1" applyFont="1" applyFill="1" applyAlignment="1" applyProtection="1">
      <alignment horizontal="right" wrapText="1"/>
      <protection locked="0"/>
    </xf>
    <xf numFmtId="0" fontId="600" fillId="34" borderId="0" xfId="27962" applyFont="1" applyFill="1" applyAlignment="1" applyProtection="1">
      <alignment horizontal="center" wrapText="1"/>
      <protection locked="0"/>
    </xf>
    <xf numFmtId="229" fontId="601" fillId="34" borderId="0" xfId="27963" applyNumberFormat="1" applyFont="1" applyFill="1" applyAlignment="1" applyProtection="1">
      <alignment horizontal="right" wrapText="1"/>
      <protection locked="0"/>
    </xf>
    <xf numFmtId="0" fontId="600" fillId="34" borderId="0" xfId="27962" applyFont="1" applyFill="1" applyAlignment="1" applyProtection="1">
      <alignment horizontal="right" wrapText="1"/>
      <protection locked="0"/>
    </xf>
    <xf numFmtId="0" fontId="600" fillId="34" borderId="0" xfId="27962" applyFont="1" applyFill="1" applyAlignment="1" applyProtection="1">
      <alignment horizontal="center"/>
      <protection locked="0"/>
    </xf>
    <xf numFmtId="0" fontId="600" fillId="34" borderId="0" xfId="27962" applyFont="1" applyFill="1" applyProtection="1">
      <protection locked="0"/>
    </xf>
    <xf numFmtId="0" fontId="600" fillId="0" borderId="0" xfId="27962" applyFont="1" applyProtection="1">
      <protection locked="0"/>
    </xf>
    <xf numFmtId="229" fontId="600" fillId="34" borderId="0" xfId="27962" applyNumberFormat="1" applyFont="1" applyFill="1" applyAlignment="1" applyProtection="1">
      <alignment horizontal="right" wrapText="1"/>
      <protection locked="0"/>
    </xf>
    <xf numFmtId="0" fontId="583" fillId="217" borderId="489" xfId="27962" applyFont="1" applyFill="1" applyBorder="1" applyAlignment="1" applyProtection="1">
      <alignment horizontal="center" vertical="center"/>
      <protection locked="0"/>
    </xf>
    <xf numFmtId="0" fontId="583" fillId="107" borderId="512" xfId="27962" applyFont="1" applyFill="1" applyBorder="1" applyAlignment="1" applyProtection="1">
      <alignment horizontal="center" vertical="center" wrapText="1"/>
      <protection locked="0"/>
    </xf>
    <xf numFmtId="3" fontId="583" fillId="107" borderId="513" xfId="27962" applyNumberFormat="1" applyFont="1" applyFill="1" applyBorder="1" applyAlignment="1" applyProtection="1">
      <alignment horizontal="left" vertical="center" wrapText="1" indent="1"/>
      <protection locked="0"/>
    </xf>
    <xf numFmtId="229" fontId="583" fillId="107" borderId="513" xfId="27963" applyNumberFormat="1" applyFont="1" applyFill="1" applyBorder="1" applyAlignment="1" applyProtection="1">
      <alignment horizontal="right" vertical="center" wrapText="1"/>
      <protection locked="0"/>
    </xf>
    <xf numFmtId="10" fontId="583" fillId="107" borderId="513" xfId="27964" applyNumberFormat="1" applyFont="1" applyFill="1" applyBorder="1" applyAlignment="1" applyProtection="1">
      <alignment horizontal="center" vertical="center" wrapText="1"/>
      <protection locked="0"/>
    </xf>
    <xf numFmtId="0" fontId="583" fillId="107" borderId="513" xfId="27963" applyNumberFormat="1" applyFont="1" applyFill="1" applyBorder="1" applyAlignment="1" applyProtection="1">
      <alignment horizontal="center" vertical="center" wrapText="1"/>
      <protection locked="0"/>
    </xf>
    <xf numFmtId="0" fontId="577" fillId="134" borderId="514" xfId="27962" applyFont="1" applyFill="1" applyBorder="1" applyAlignment="1" applyProtection="1">
      <alignment horizontal="center" vertical="center" wrapText="1"/>
      <protection locked="0"/>
    </xf>
    <xf numFmtId="3" fontId="577" fillId="134" borderId="488" xfId="27962" applyNumberFormat="1" applyFont="1" applyFill="1" applyBorder="1" applyAlignment="1" applyProtection="1">
      <alignment horizontal="left" vertical="center" wrapText="1" indent="1"/>
      <protection locked="0"/>
    </xf>
    <xf numFmtId="229" fontId="577" fillId="134" borderId="514" xfId="27963" applyNumberFormat="1" applyFont="1" applyFill="1" applyBorder="1" applyAlignment="1" applyProtection="1">
      <alignment vertical="center" wrapText="1"/>
      <protection locked="0"/>
    </xf>
    <xf numFmtId="10" fontId="577" fillId="134" borderId="488" xfId="27964" applyNumberFormat="1" applyFont="1" applyFill="1" applyBorder="1" applyAlignment="1" applyProtection="1">
      <alignment horizontal="center" vertical="center" wrapText="1"/>
      <protection locked="0"/>
    </xf>
    <xf numFmtId="0" fontId="577" fillId="134" borderId="514" xfId="27963" applyNumberFormat="1" applyFont="1" applyFill="1" applyBorder="1" applyAlignment="1" applyProtection="1">
      <alignment horizontal="center" vertical="center" wrapText="1"/>
      <protection locked="0"/>
    </xf>
    <xf numFmtId="3" fontId="577" fillId="134" borderId="488" xfId="27962" applyNumberFormat="1" applyFont="1" applyFill="1" applyBorder="1" applyAlignment="1" applyProtection="1">
      <alignment horizontal="left" vertical="center" wrapText="1"/>
      <protection locked="0"/>
    </xf>
    <xf numFmtId="10" fontId="577" fillId="134" borderId="488" xfId="27964" applyNumberFormat="1" applyFont="1" applyFill="1" applyBorder="1" applyAlignment="1" applyProtection="1">
      <alignment horizontal="right" vertical="center" wrapText="1"/>
      <protection locked="0"/>
    </xf>
    <xf numFmtId="0" fontId="583" fillId="107" borderId="515" xfId="27962" applyFont="1" applyFill="1" applyBorder="1" applyAlignment="1" applyProtection="1">
      <alignment horizontal="center" vertical="center" wrapText="1"/>
      <protection locked="0"/>
    </xf>
    <xf numFmtId="3" fontId="583" fillId="107" borderId="516" xfId="27962" applyNumberFormat="1" applyFont="1" applyFill="1" applyBorder="1" applyAlignment="1" applyProtection="1">
      <alignment horizontal="left" vertical="center" wrapText="1" indent="1"/>
      <protection locked="0"/>
    </xf>
    <xf numFmtId="229" fontId="583" fillId="107" borderId="516" xfId="27963" applyNumberFormat="1" applyFont="1" applyFill="1" applyBorder="1" applyAlignment="1" applyProtection="1">
      <alignment horizontal="right" vertical="center" wrapText="1"/>
      <protection locked="0"/>
    </xf>
    <xf numFmtId="10" fontId="583" fillId="107" borderId="516" xfId="27964" applyNumberFormat="1" applyFont="1" applyFill="1" applyBorder="1" applyAlignment="1" applyProtection="1">
      <alignment horizontal="center" vertical="center" wrapText="1"/>
      <protection locked="0"/>
    </xf>
    <xf numFmtId="14" fontId="583" fillId="107" borderId="516" xfId="27963" applyNumberFormat="1" applyFont="1" applyFill="1" applyBorder="1" applyAlignment="1" applyProtection="1">
      <alignment horizontal="right" vertical="center" wrapText="1"/>
      <protection locked="0"/>
    </xf>
    <xf numFmtId="0" fontId="577" fillId="34" borderId="489" xfId="27962" applyFont="1" applyFill="1" applyBorder="1" applyProtection="1">
      <protection locked="0"/>
    </xf>
    <xf numFmtId="0" fontId="577" fillId="34" borderId="0" xfId="27962" applyFont="1" applyFill="1" applyAlignment="1" applyProtection="1">
      <alignment horizontal="right"/>
      <protection locked="0"/>
    </xf>
    <xf numFmtId="179" fontId="603" fillId="34" borderId="0" xfId="27962" applyNumberFormat="1" applyFont="1" applyFill="1" applyAlignment="1" applyProtection="1">
      <alignment horizontal="right"/>
      <protection locked="0"/>
    </xf>
    <xf numFmtId="0" fontId="577" fillId="0" borderId="0" xfId="27962" applyFont="1" applyAlignment="1" applyProtection="1">
      <alignment horizontal="right"/>
      <protection locked="0"/>
    </xf>
    <xf numFmtId="3" fontId="585" fillId="219" borderId="485" xfId="27962" applyNumberFormat="1" applyFont="1" applyFill="1" applyBorder="1" applyAlignment="1" applyProtection="1">
      <alignment horizontal="left" vertical="center" wrapText="1"/>
      <protection locked="0"/>
    </xf>
    <xf numFmtId="229" fontId="585" fillId="219" borderId="489" xfId="27963" applyNumberFormat="1" applyFont="1" applyFill="1" applyBorder="1" applyAlignment="1" applyProtection="1">
      <alignment horizontal="right" vertical="center" wrapText="1"/>
      <protection locked="0"/>
    </xf>
    <xf numFmtId="9" fontId="585" fillId="219" borderId="486" xfId="27964" applyFont="1" applyFill="1" applyBorder="1" applyAlignment="1" applyProtection="1">
      <alignment horizontal="center" vertical="center" wrapText="1"/>
      <protection locked="0"/>
    </xf>
    <xf numFmtId="358" fontId="585" fillId="219" borderId="489" xfId="27963" applyNumberFormat="1" applyFont="1" applyFill="1" applyBorder="1" applyAlignment="1" applyProtection="1">
      <alignment horizontal="right" vertical="center" wrapText="1"/>
      <protection locked="0"/>
    </xf>
    <xf numFmtId="0" fontId="577" fillId="134" borderId="488" xfId="27962" applyFont="1" applyFill="1" applyBorder="1" applyAlignment="1" applyProtection="1">
      <alignment horizontal="center" vertical="center" wrapText="1"/>
      <protection locked="0"/>
    </xf>
    <xf numFmtId="0" fontId="577" fillId="134" borderId="488" xfId="27962" applyFont="1" applyFill="1" applyBorder="1" applyAlignment="1" applyProtection="1">
      <alignment horizontal="center" vertical="center"/>
      <protection locked="0"/>
    </xf>
    <xf numFmtId="3" fontId="585" fillId="219" borderId="491" xfId="27962" applyNumberFormat="1" applyFont="1" applyFill="1" applyBorder="1" applyAlignment="1" applyProtection="1">
      <alignment horizontal="left" vertical="center" wrapText="1"/>
      <protection locked="0"/>
    </xf>
    <xf numFmtId="229" fontId="585" fillId="219" borderId="492" xfId="27963" applyNumberFormat="1" applyFont="1" applyFill="1" applyBorder="1" applyAlignment="1" applyProtection="1">
      <alignment horizontal="right" vertical="center" wrapText="1"/>
      <protection locked="0"/>
    </xf>
    <xf numFmtId="9" fontId="585" fillId="219" borderId="493" xfId="27964" applyFont="1" applyFill="1" applyBorder="1" applyAlignment="1" applyProtection="1">
      <alignment horizontal="center" vertical="center" wrapText="1"/>
      <protection locked="0"/>
    </xf>
    <xf numFmtId="358" fontId="585" fillId="219" borderId="492" xfId="27962" applyNumberFormat="1" applyFont="1" applyFill="1" applyBorder="1" applyAlignment="1" applyProtection="1">
      <alignment horizontal="right" vertical="center" wrapText="1"/>
      <protection locked="0"/>
    </xf>
    <xf numFmtId="3" fontId="585" fillId="219" borderId="495" xfId="27962" applyNumberFormat="1" applyFont="1" applyFill="1" applyBorder="1" applyAlignment="1" applyProtection="1">
      <alignment horizontal="left" vertical="center" wrapText="1"/>
      <protection locked="0"/>
    </xf>
    <xf numFmtId="229" fontId="585" fillId="219" borderId="496" xfId="27963" applyNumberFormat="1" applyFont="1" applyFill="1" applyBorder="1" applyAlignment="1" applyProtection="1">
      <alignment horizontal="right" vertical="center" wrapText="1"/>
      <protection locked="0"/>
    </xf>
    <xf numFmtId="358" fontId="585" fillId="219" borderId="496" xfId="27962" applyNumberFormat="1" applyFont="1" applyFill="1" applyBorder="1" applyAlignment="1" applyProtection="1">
      <alignment horizontal="right" vertical="center" wrapText="1"/>
      <protection locked="0"/>
    </xf>
    <xf numFmtId="179" fontId="599" fillId="219" borderId="513" xfId="27962" applyNumberFormat="1" applyFont="1" applyFill="1" applyBorder="1" applyAlignment="1" applyProtection="1">
      <alignment horizontal="center" vertical="center" wrapText="1"/>
      <protection locked="0"/>
    </xf>
    <xf numFmtId="10" fontId="599" fillId="219" borderId="512" xfId="27964" applyNumberFormat="1" applyFont="1" applyFill="1" applyBorder="1" applyAlignment="1" applyProtection="1">
      <alignment horizontal="center" vertical="center" wrapText="1"/>
      <protection locked="0"/>
    </xf>
    <xf numFmtId="179" fontId="599" fillId="219" borderId="516" xfId="27962" applyNumberFormat="1" applyFont="1" applyFill="1" applyBorder="1" applyAlignment="1" applyProtection="1">
      <alignment horizontal="center" vertical="center" wrapText="1"/>
      <protection locked="0"/>
    </xf>
    <xf numFmtId="0" fontId="583" fillId="219" borderId="512" xfId="27962" applyFont="1" applyFill="1" applyBorder="1" applyAlignment="1" applyProtection="1">
      <alignment horizontal="center" vertical="center" wrapText="1"/>
      <protection locked="0"/>
    </xf>
    <xf numFmtId="3" fontId="583" fillId="219" borderId="513" xfId="27962" applyNumberFormat="1" applyFont="1" applyFill="1" applyBorder="1" applyAlignment="1" applyProtection="1">
      <alignment horizontal="left" vertical="center" wrapText="1"/>
      <protection locked="0"/>
    </xf>
    <xf numFmtId="229" fontId="583" fillId="219" borderId="513" xfId="27963" applyNumberFormat="1" applyFont="1" applyFill="1" applyBorder="1" applyAlignment="1" applyProtection="1">
      <alignment horizontal="right" vertical="center" wrapText="1"/>
      <protection locked="0"/>
    </xf>
    <xf numFmtId="10" fontId="583" fillId="219" borderId="513" xfId="27964" applyNumberFormat="1" applyFont="1" applyFill="1" applyBorder="1" applyAlignment="1" applyProtection="1">
      <alignment horizontal="right" vertical="center" wrapText="1"/>
      <protection locked="0"/>
    </xf>
    <xf numFmtId="229" fontId="583" fillId="219" borderId="488" xfId="27964" applyNumberFormat="1" applyFont="1" applyFill="1" applyBorder="1" applyAlignment="1" applyProtection="1">
      <alignment horizontal="right" vertical="center" wrapText="1"/>
      <protection locked="0"/>
    </xf>
    <xf numFmtId="10" fontId="583" fillId="219" borderId="488" xfId="27964" applyNumberFormat="1" applyFont="1" applyFill="1" applyBorder="1" applyAlignment="1" applyProtection="1">
      <alignment horizontal="right" vertical="center" wrapText="1"/>
      <protection locked="0"/>
    </xf>
    <xf numFmtId="171" fontId="577" fillId="34" borderId="0" xfId="27962" applyNumberFormat="1" applyFont="1" applyFill="1" applyAlignment="1" applyProtection="1">
      <alignment vertical="center"/>
      <protection locked="0"/>
    </xf>
    <xf numFmtId="9" fontId="584" fillId="134" borderId="486" xfId="22690" applyFont="1" applyFill="1" applyBorder="1" applyAlignment="1" applyProtection="1">
      <alignment horizontal="center" vertical="center"/>
      <protection locked="0"/>
    </xf>
    <xf numFmtId="358" fontId="584" fillId="134" borderId="492" xfId="27962" applyNumberFormat="1" applyFont="1" applyFill="1" applyBorder="1" applyAlignment="1" applyProtection="1">
      <alignment horizontal="right" vertical="center" wrapText="1"/>
      <protection locked="0"/>
    </xf>
    <xf numFmtId="9" fontId="585" fillId="218" borderId="486" xfId="22690" applyFont="1" applyFill="1" applyBorder="1" applyAlignment="1" applyProtection="1">
      <alignment horizontal="center" vertical="center"/>
      <protection locked="0"/>
    </xf>
    <xf numFmtId="9" fontId="582" fillId="217" borderId="493" xfId="22690" applyFont="1" applyFill="1" applyBorder="1" applyAlignment="1" applyProtection="1">
      <alignment horizontal="center" vertical="center"/>
      <protection locked="0"/>
    </xf>
    <xf numFmtId="9" fontId="585" fillId="219" borderId="493" xfId="22690" applyFont="1" applyFill="1" applyBorder="1" applyAlignment="1" applyProtection="1">
      <alignment horizontal="center" vertical="center"/>
      <protection locked="0"/>
    </xf>
    <xf numFmtId="9" fontId="585" fillId="219" borderId="497" xfId="22690" applyFont="1" applyFill="1" applyBorder="1" applyAlignment="1" applyProtection="1">
      <alignment horizontal="center" vertical="center"/>
      <protection locked="0"/>
    </xf>
    <xf numFmtId="9" fontId="584" fillId="134" borderId="497" xfId="22690" applyFont="1" applyFill="1" applyBorder="1" applyAlignment="1" applyProtection="1">
      <alignment horizontal="center" vertical="center"/>
      <protection locked="0"/>
    </xf>
    <xf numFmtId="3" fontId="577" fillId="134" borderId="488" xfId="27962" applyNumberFormat="1" applyFont="1" applyFill="1" applyBorder="1" applyAlignment="1" applyProtection="1">
      <alignment horizontal="left" vertical="center"/>
      <protection locked="0"/>
    </xf>
    <xf numFmtId="38" fontId="577" fillId="134" borderId="514" xfId="27963" applyNumberFormat="1" applyFont="1" applyFill="1" applyBorder="1" applyAlignment="1" applyProtection="1">
      <alignment vertical="center" wrapText="1"/>
      <protection locked="0"/>
    </xf>
    <xf numFmtId="10" fontId="577" fillId="157" borderId="488" xfId="27964" applyNumberFormat="1" applyFont="1" applyFill="1" applyBorder="1" applyAlignment="1" applyProtection="1">
      <alignment horizontal="center" vertical="center" wrapText="1"/>
      <protection locked="0"/>
    </xf>
    <xf numFmtId="229" fontId="577" fillId="157" borderId="514" xfId="27963" applyNumberFormat="1" applyFont="1" applyFill="1" applyBorder="1" applyAlignment="1" applyProtection="1">
      <alignment vertical="center" wrapText="1"/>
      <protection locked="0"/>
    </xf>
    <xf numFmtId="15" fontId="577" fillId="157" borderId="514" xfId="27963" applyNumberFormat="1" applyFont="1" applyFill="1" applyBorder="1" applyAlignment="1" applyProtection="1">
      <alignment horizontal="center" vertical="center" wrapText="1"/>
      <protection locked="0"/>
    </xf>
    <xf numFmtId="0" fontId="577" fillId="157" borderId="514" xfId="27963" applyNumberFormat="1" applyFont="1" applyFill="1" applyBorder="1" applyAlignment="1" applyProtection="1">
      <alignment horizontal="center" vertical="center" wrapText="1"/>
      <protection locked="0"/>
    </xf>
    <xf numFmtId="179" fontId="577" fillId="34" borderId="0" xfId="27962" applyNumberFormat="1" applyFont="1" applyFill="1" applyAlignment="1" applyProtection="1">
      <alignment horizontal="right"/>
      <protection locked="0"/>
    </xf>
    <xf numFmtId="358" fontId="586" fillId="34" borderId="0" xfId="27962" applyNumberFormat="1" applyFont="1" applyFill="1" applyAlignment="1" applyProtection="1">
      <alignment vertical="center"/>
      <protection locked="0"/>
    </xf>
    <xf numFmtId="4" fontId="353" fillId="0" borderId="0" xfId="22678" applyNumberFormat="1" applyFont="1" applyAlignment="1" applyProtection="1">
      <alignment vertical="center" wrapText="1"/>
      <protection locked="0"/>
    </xf>
    <xf numFmtId="40" fontId="169" fillId="106" borderId="365" xfId="19286" applyNumberFormat="1" applyFont="1" applyFill="1" applyBorder="1" applyAlignment="1">
      <alignment vertical="center"/>
    </xf>
    <xf numFmtId="38" fontId="577" fillId="34" borderId="0" xfId="27962" applyNumberFormat="1" applyFont="1" applyFill="1" applyAlignment="1" applyProtection="1">
      <alignment vertical="center"/>
      <protection locked="0"/>
    </xf>
    <xf numFmtId="40" fontId="169" fillId="119" borderId="365" xfId="19286" applyNumberFormat="1" applyFont="1" applyFill="1" applyBorder="1" applyAlignment="1">
      <alignment vertical="center"/>
    </xf>
    <xf numFmtId="38" fontId="172" fillId="0" borderId="365" xfId="0" applyNumberFormat="1" applyFont="1" applyBorder="1" applyAlignment="1">
      <alignment vertical="center" wrapText="1"/>
    </xf>
    <xf numFmtId="40" fontId="169" fillId="116" borderId="365" xfId="19286" applyNumberFormat="1" applyFont="1" applyFill="1" applyBorder="1" applyAlignment="1">
      <alignment vertical="center"/>
    </xf>
    <xf numFmtId="3" fontId="577" fillId="134" borderId="488" xfId="27962" applyNumberFormat="1" applyFont="1" applyFill="1" applyBorder="1" applyAlignment="1" applyProtection="1">
      <alignment horizontal="left" vertical="top" wrapText="1" indent="1"/>
      <protection locked="0"/>
    </xf>
    <xf numFmtId="179" fontId="577" fillId="34" borderId="0" xfId="27962" applyNumberFormat="1" applyFont="1" applyFill="1" applyProtection="1">
      <protection locked="0"/>
    </xf>
    <xf numFmtId="3" fontId="577" fillId="134" borderId="488" xfId="27962" applyNumberFormat="1" applyFont="1" applyFill="1" applyBorder="1" applyAlignment="1" applyProtection="1">
      <alignment horizontal="left" vertical="top" indent="1"/>
      <protection locked="0"/>
    </xf>
    <xf numFmtId="364" fontId="371" fillId="0" borderId="280" xfId="22674" applyNumberFormat="1" applyFont="1" applyBorder="1" applyAlignment="1">
      <alignment horizontal="center" vertical="center"/>
    </xf>
    <xf numFmtId="3" fontId="418" fillId="170" borderId="273" xfId="27925" applyNumberFormat="1" applyFont="1" applyFill="1" applyBorder="1" applyAlignment="1">
      <alignment horizontal="center" vertical="center"/>
    </xf>
    <xf numFmtId="171" fontId="451" fillId="0" borderId="518" xfId="27926" applyFont="1" applyFill="1" applyBorder="1" applyAlignment="1">
      <alignment horizontal="left" vertical="center"/>
    </xf>
    <xf numFmtId="3" fontId="418" fillId="0" borderId="518" xfId="27925" applyNumberFormat="1" applyFont="1" applyBorder="1" applyAlignment="1">
      <alignment horizontal="center" vertical="center"/>
    </xf>
    <xf numFmtId="171" fontId="451" fillId="0" borderId="276" xfId="27926" applyFont="1" applyFill="1" applyBorder="1" applyAlignment="1">
      <alignment horizontal="left" vertical="center"/>
    </xf>
    <xf numFmtId="3" fontId="418" fillId="0" borderId="276" xfId="27925" applyNumberFormat="1" applyFont="1" applyBorder="1" applyAlignment="1">
      <alignment horizontal="center" vertical="center"/>
    </xf>
    <xf numFmtId="171" fontId="418" fillId="159" borderId="519" xfId="27926" applyFont="1" applyFill="1" applyBorder="1" applyAlignment="1">
      <alignment horizontal="left" vertical="center"/>
    </xf>
    <xf numFmtId="1" fontId="418" fillId="170" borderId="331" xfId="27926" applyNumberFormat="1" applyFont="1" applyFill="1" applyBorder="1" applyAlignment="1">
      <alignment horizontal="center" vertical="center"/>
    </xf>
    <xf numFmtId="3" fontId="418" fillId="170" borderId="331" xfId="27925" applyNumberFormat="1" applyFont="1" applyFill="1" applyBorder="1" applyAlignment="1">
      <alignment horizontal="center" vertical="center"/>
    </xf>
    <xf numFmtId="3" fontId="418" fillId="0" borderId="331" xfId="27925" applyNumberFormat="1" applyFont="1" applyBorder="1" applyAlignment="1">
      <alignment horizontal="center" vertical="center"/>
    </xf>
    <xf numFmtId="3" fontId="418" fillId="0" borderId="520" xfId="27925" applyNumberFormat="1" applyFont="1" applyBorder="1" applyAlignment="1">
      <alignment horizontal="center" vertical="center"/>
    </xf>
    <xf numFmtId="171" fontId="454" fillId="182" borderId="521" xfId="27926" applyFont="1" applyFill="1" applyBorder="1" applyAlignment="1">
      <alignment horizontal="left" vertical="center"/>
    </xf>
    <xf numFmtId="171" fontId="454" fillId="182" borderId="522" xfId="27926" applyFont="1" applyFill="1" applyBorder="1" applyAlignment="1">
      <alignment horizontal="left" vertical="center"/>
    </xf>
    <xf numFmtId="171" fontId="451" fillId="170" borderId="523" xfId="27926" applyFont="1" applyFill="1" applyBorder="1" applyAlignment="1">
      <alignment horizontal="left" vertical="center"/>
    </xf>
    <xf numFmtId="1" fontId="418" fillId="170" borderId="524" xfId="27926" applyNumberFormat="1" applyFont="1" applyFill="1" applyBorder="1" applyAlignment="1">
      <alignment horizontal="center" vertical="center"/>
    </xf>
    <xf numFmtId="3" fontId="418" fillId="170" borderId="525" xfId="27925" applyNumberFormat="1" applyFont="1" applyFill="1" applyBorder="1" applyAlignment="1">
      <alignment horizontal="center" vertical="center"/>
    </xf>
    <xf numFmtId="171" fontId="451" fillId="0" borderId="523" xfId="27926" applyFont="1" applyFill="1" applyBorder="1" applyAlignment="1">
      <alignment horizontal="left" vertical="center"/>
    </xf>
    <xf numFmtId="3" fontId="418" fillId="0" borderId="524" xfId="27925" applyNumberFormat="1" applyFont="1" applyBorder="1" applyAlignment="1">
      <alignment horizontal="center" vertical="center"/>
    </xf>
    <xf numFmtId="171" fontId="451" fillId="0" borderId="526" xfId="27926" applyFont="1" applyFill="1" applyBorder="1" applyAlignment="1">
      <alignment horizontal="left" vertical="center"/>
    </xf>
    <xf numFmtId="171" fontId="451" fillId="0" borderId="527" xfId="27926" applyFont="1" applyFill="1" applyBorder="1" applyAlignment="1">
      <alignment horizontal="left" vertical="center"/>
    </xf>
    <xf numFmtId="3" fontId="418" fillId="0" borderId="528" xfId="27925" applyNumberFormat="1" applyFont="1" applyBorder="1" applyAlignment="1">
      <alignment horizontal="center" vertical="center"/>
    </xf>
    <xf numFmtId="171" fontId="451" fillId="0" borderId="529" xfId="27926" applyFont="1" applyFill="1" applyBorder="1" applyAlignment="1">
      <alignment horizontal="left" vertical="center"/>
    </xf>
    <xf numFmtId="3" fontId="418" fillId="0" borderId="530" xfId="27925" applyNumberFormat="1" applyFont="1" applyBorder="1" applyAlignment="1">
      <alignment horizontal="center" vertical="center"/>
    </xf>
    <xf numFmtId="3" fontId="418" fillId="0" borderId="531" xfId="27925" applyNumberFormat="1" applyFont="1" applyBorder="1" applyAlignment="1">
      <alignment horizontal="center" vertical="center"/>
    </xf>
    <xf numFmtId="365" fontId="451" fillId="0" borderId="524" xfId="27926" applyNumberFormat="1" applyFont="1" applyFill="1" applyBorder="1" applyAlignment="1">
      <alignment horizontal="center" vertical="center"/>
    </xf>
    <xf numFmtId="324" fontId="451" fillId="0" borderId="0" xfId="27925" applyNumberFormat="1" applyFont="1" applyAlignment="1">
      <alignment horizontal="center" vertical="center"/>
    </xf>
    <xf numFmtId="43" fontId="577" fillId="34" borderId="0" xfId="19286" applyFont="1" applyFill="1" applyAlignment="1" applyProtection="1">
      <alignment vertical="center"/>
      <protection locked="0"/>
    </xf>
    <xf numFmtId="179" fontId="372" fillId="0" borderId="15" xfId="27932" applyNumberFormat="1" applyFont="1" applyFill="1" applyBorder="1" applyAlignment="1" applyProtection="1">
      <alignment horizontal="right" vertical="center"/>
      <protection locked="0"/>
    </xf>
    <xf numFmtId="38" fontId="17" fillId="0" borderId="365" xfId="22751" applyNumberFormat="1" applyFont="1" applyBorder="1" applyAlignment="1">
      <alignment horizontal="center" vertical="center"/>
    </xf>
    <xf numFmtId="40" fontId="172" fillId="0" borderId="0" xfId="0" applyNumberFormat="1" applyFont="1" applyAlignment="1">
      <alignment vertical="center" wrapText="1"/>
    </xf>
    <xf numFmtId="40" fontId="21" fillId="0" borderId="0" xfId="0" applyNumberFormat="1" applyFont="1" applyAlignment="1">
      <alignment vertical="center" wrapText="1"/>
    </xf>
    <xf numFmtId="40" fontId="21" fillId="0" borderId="0" xfId="19286" applyNumberFormat="1" applyFont="1" applyAlignment="1">
      <alignment vertical="center" wrapText="1"/>
    </xf>
    <xf numFmtId="40" fontId="64" fillId="0" borderId="0" xfId="0" applyNumberFormat="1" applyFont="1"/>
    <xf numFmtId="40" fontId="171" fillId="0" borderId="0" xfId="0" applyNumberFormat="1" applyFont="1" applyAlignment="1">
      <alignment vertical="center" wrapText="1"/>
    </xf>
    <xf numFmtId="40" fontId="448" fillId="142" borderId="51" xfId="22552" applyNumberFormat="1" applyFont="1" applyFill="1" applyBorder="1" applyAlignment="1">
      <alignment horizontal="center" vertical="top" wrapText="1"/>
    </xf>
    <xf numFmtId="40" fontId="448" fillId="142" borderId="51" xfId="135" applyNumberFormat="1" applyFont="1" applyFill="1" applyBorder="1" applyAlignment="1">
      <alignment horizontal="center" vertical="top" wrapText="1"/>
    </xf>
    <xf numFmtId="40" fontId="169" fillId="0" borderId="106" xfId="19286" applyNumberFormat="1" applyFont="1" applyBorder="1" applyAlignment="1">
      <alignment vertical="center"/>
    </xf>
    <xf numFmtId="40" fontId="169" fillId="0" borderId="106" xfId="19286" applyNumberFormat="1" applyFont="1" applyFill="1" applyBorder="1" applyAlignment="1" applyProtection="1">
      <alignment vertical="center"/>
    </xf>
    <xf numFmtId="40" fontId="169" fillId="0" borderId="126" xfId="19286" applyNumberFormat="1" applyFont="1" applyBorder="1" applyAlignment="1">
      <alignment horizontal="center" vertical="center"/>
    </xf>
    <xf numFmtId="40" fontId="172" fillId="0" borderId="365" xfId="19286" applyNumberFormat="1" applyFont="1" applyBorder="1" applyAlignment="1">
      <alignment horizontal="center" vertical="center" wrapText="1"/>
    </xf>
    <xf numFmtId="40" fontId="172" fillId="111" borderId="365" xfId="19286" applyNumberFormat="1" applyFont="1" applyFill="1" applyBorder="1" applyAlignment="1">
      <alignment horizontal="center" vertical="center" wrapText="1"/>
    </xf>
    <xf numFmtId="40" fontId="169" fillId="0" borderId="126" xfId="19286" applyNumberFormat="1" applyFont="1" applyFill="1" applyBorder="1" applyAlignment="1">
      <alignment horizontal="center" vertical="center"/>
    </xf>
    <xf numFmtId="40" fontId="169" fillId="0" borderId="365" xfId="19286" applyNumberFormat="1" applyFont="1" applyFill="1" applyBorder="1" applyAlignment="1">
      <alignment horizontal="center" vertical="center"/>
    </xf>
    <xf numFmtId="40" fontId="172" fillId="0" borderId="365" xfId="19286" applyNumberFormat="1" applyFont="1" applyFill="1" applyBorder="1" applyAlignment="1">
      <alignment horizontal="center" vertical="center" wrapText="1"/>
    </xf>
    <xf numFmtId="40" fontId="172" fillId="117" borderId="365" xfId="19286" applyNumberFormat="1" applyFont="1" applyFill="1" applyBorder="1" applyAlignment="1">
      <alignment horizontal="center" vertical="center" wrapText="1"/>
    </xf>
    <xf numFmtId="40" fontId="172" fillId="0" borderId="365" xfId="19286" applyNumberFormat="1" applyFont="1" applyBorder="1" applyAlignment="1">
      <alignment vertical="center" wrapText="1"/>
    </xf>
    <xf numFmtId="40" fontId="448" fillId="144" borderId="360" xfId="19286" applyNumberFormat="1" applyFont="1" applyFill="1" applyBorder="1" applyAlignment="1">
      <alignment vertical="center" wrapText="1"/>
    </xf>
    <xf numFmtId="40" fontId="172" fillId="0" borderId="0" xfId="19286" applyNumberFormat="1" applyFont="1" applyAlignment="1">
      <alignment vertical="center" wrapText="1"/>
    </xf>
    <xf numFmtId="40" fontId="172" fillId="205" borderId="0" xfId="0" applyNumberFormat="1" applyFont="1" applyFill="1" applyAlignment="1">
      <alignment vertical="center" wrapText="1"/>
    </xf>
    <xf numFmtId="40" fontId="172" fillId="199" borderId="0" xfId="0" applyNumberFormat="1" applyFont="1" applyFill="1" applyAlignment="1">
      <alignment vertical="center" wrapText="1"/>
    </xf>
    <xf numFmtId="40" fontId="448" fillId="142" borderId="15" xfId="22552" applyNumberFormat="1" applyFont="1" applyFill="1" applyBorder="1" applyAlignment="1">
      <alignment horizontal="center" vertical="center" wrapText="1"/>
    </xf>
    <xf numFmtId="40" fontId="448" fillId="142" borderId="15" xfId="135" applyNumberFormat="1" applyFont="1" applyFill="1" applyBorder="1" applyAlignment="1">
      <alignment horizontal="center" vertical="center" wrapText="1"/>
    </xf>
    <xf numFmtId="40" fontId="169" fillId="0" borderId="106" xfId="19286" applyNumberFormat="1" applyFont="1" applyFill="1" applyBorder="1" applyAlignment="1">
      <alignment horizontal="center" vertical="center"/>
    </xf>
    <xf numFmtId="40" fontId="172" fillId="0" borderId="106" xfId="19286" applyNumberFormat="1" applyFont="1" applyFill="1" applyBorder="1" applyAlignment="1">
      <alignment horizontal="center" vertical="center" wrapText="1"/>
    </xf>
    <xf numFmtId="40" fontId="571" fillId="0" borderId="365" xfId="19286" applyNumberFormat="1" applyFont="1" applyBorder="1" applyAlignment="1">
      <alignment horizontal="center" vertical="center" wrapText="1"/>
    </xf>
    <xf numFmtId="40" fontId="172" fillId="0" borderId="0" xfId="19286" applyNumberFormat="1" applyFont="1" applyBorder="1" applyAlignment="1">
      <alignment horizontal="center" vertical="center" wrapText="1"/>
    </xf>
    <xf numFmtId="40" fontId="171" fillId="0" borderId="0" xfId="19286" applyNumberFormat="1" applyFont="1" applyBorder="1" applyAlignment="1">
      <alignment horizontal="center" vertical="center" wrapText="1"/>
    </xf>
    <xf numFmtId="40" fontId="169" fillId="197" borderId="126" xfId="19286" applyNumberFormat="1" applyFont="1" applyFill="1" applyBorder="1" applyAlignment="1">
      <alignment horizontal="center" vertical="center"/>
    </xf>
    <xf numFmtId="40" fontId="172" fillId="197" borderId="365" xfId="19286" applyNumberFormat="1" applyFont="1" applyFill="1" applyBorder="1" applyAlignment="1">
      <alignment horizontal="center" vertical="center" wrapText="1"/>
    </xf>
    <xf numFmtId="40" fontId="169" fillId="197" borderId="365" xfId="19286" applyNumberFormat="1" applyFont="1" applyFill="1" applyBorder="1" applyAlignment="1">
      <alignment horizontal="center" vertical="center"/>
    </xf>
    <xf numFmtId="0" fontId="602" fillId="179" borderId="511" xfId="27962" applyFont="1" applyFill="1" applyBorder="1" applyAlignment="1" applyProtection="1">
      <alignment horizontal="center" vertical="center"/>
      <protection locked="0"/>
    </xf>
    <xf numFmtId="0" fontId="599" fillId="219" borderId="517" xfId="27962" applyFont="1" applyFill="1" applyBorder="1" applyAlignment="1" applyProtection="1">
      <alignment horizontal="center" vertical="center" wrapText="1"/>
      <protection locked="0"/>
    </xf>
    <xf numFmtId="0" fontId="602" fillId="179" borderId="509" xfId="27962" applyFont="1" applyFill="1" applyBorder="1" applyAlignment="1" applyProtection="1">
      <alignment horizontal="center" vertical="center"/>
      <protection locked="0"/>
    </xf>
    <xf numFmtId="229" fontId="584" fillId="134" borderId="486" xfId="27963" applyNumberFormat="1" applyFont="1" applyFill="1" applyBorder="1" applyAlignment="1" applyProtection="1">
      <alignment horizontal="center" vertical="center" wrapText="1"/>
      <protection locked="0"/>
    </xf>
    <xf numFmtId="9" fontId="584" fillId="134" borderId="486" xfId="27964" applyFont="1" applyFill="1" applyBorder="1" applyAlignment="1" applyProtection="1">
      <alignment horizontal="center" vertical="center" wrapText="1"/>
      <protection locked="0"/>
    </xf>
    <xf numFmtId="0" fontId="578" fillId="179" borderId="477" xfId="27962" applyFont="1" applyFill="1" applyBorder="1" applyAlignment="1" applyProtection="1">
      <alignment horizontal="center" vertical="center" wrapText="1"/>
      <protection locked="0"/>
    </xf>
    <xf numFmtId="40" fontId="424" fillId="0" borderId="214" xfId="7727" applyNumberFormat="1" applyFont="1" applyFill="1" applyBorder="1" applyAlignment="1" applyProtection="1">
      <alignment horizontal="center" vertical="center" wrapText="1"/>
      <protection locked="0"/>
    </xf>
    <xf numFmtId="40" fontId="169" fillId="107" borderId="146" xfId="27932" applyNumberFormat="1" applyFont="1" applyFill="1" applyBorder="1" applyAlignment="1" applyProtection="1">
      <alignment horizontal="center" vertical="center"/>
      <protection locked="0"/>
    </xf>
    <xf numFmtId="40" fontId="169" fillId="0" borderId="146" xfId="27932" applyNumberFormat="1" applyFont="1" applyFill="1" applyBorder="1" applyAlignment="1" applyProtection="1">
      <alignment horizontal="center" vertical="center"/>
      <protection locked="0"/>
    </xf>
    <xf numFmtId="40" fontId="496" fillId="107" borderId="146" xfId="27932" applyNumberFormat="1" applyFont="1" applyFill="1" applyBorder="1" applyAlignment="1" applyProtection="1">
      <alignment horizontal="center" vertical="center"/>
      <protection locked="0"/>
    </xf>
    <xf numFmtId="40" fontId="169" fillId="194" borderId="45" xfId="27932" applyNumberFormat="1" applyFont="1" applyFill="1" applyBorder="1" applyAlignment="1" applyProtection="1">
      <alignment horizontal="center" vertical="center"/>
      <protection locked="0"/>
    </xf>
    <xf numFmtId="40" fontId="497" fillId="185" borderId="146" xfId="27932" applyNumberFormat="1" applyFont="1" applyFill="1" applyBorder="1" applyAlignment="1" applyProtection="1">
      <alignment horizontal="center" vertical="center"/>
      <protection locked="0"/>
    </xf>
    <xf numFmtId="40" fontId="497" fillId="107" borderId="146" xfId="27932" applyNumberFormat="1" applyFont="1" applyFill="1" applyBorder="1" applyAlignment="1" applyProtection="1">
      <alignment horizontal="center" vertical="center"/>
      <protection locked="0"/>
    </xf>
    <xf numFmtId="40" fontId="521" fillId="107" borderId="146" xfId="27932" applyNumberFormat="1" applyFont="1" applyFill="1" applyBorder="1" applyAlignment="1" applyProtection="1">
      <alignment horizontal="center" vertical="center"/>
      <protection locked="0"/>
    </xf>
    <xf numFmtId="40" fontId="169" fillId="177" borderId="146" xfId="27932" applyNumberFormat="1" applyFont="1" applyFill="1" applyBorder="1" applyAlignment="1" applyProtection="1">
      <alignment horizontal="center" vertical="center"/>
      <protection locked="0"/>
    </xf>
    <xf numFmtId="40" fontId="169" fillId="107" borderId="146" xfId="19286" applyNumberFormat="1" applyFont="1" applyFill="1" applyBorder="1" applyAlignment="1" applyProtection="1">
      <alignment horizontal="center" vertical="center"/>
      <protection locked="0"/>
    </xf>
    <xf numFmtId="40" fontId="353" fillId="0" borderId="0" xfId="22678" applyNumberFormat="1" applyFont="1" applyAlignment="1" applyProtection="1">
      <alignment horizontal="center" vertical="center"/>
      <protection locked="0"/>
    </xf>
    <xf numFmtId="40" fontId="341" fillId="0" borderId="0" xfId="27930" applyNumberFormat="1" applyFont="1" applyAlignment="1">
      <alignment horizontal="center" vertical="center"/>
    </xf>
    <xf numFmtId="40" fontId="60" fillId="0" borderId="0" xfId="27931" applyNumberFormat="1" applyFont="1" applyAlignment="1">
      <alignment horizontal="center" vertical="center"/>
    </xf>
    <xf numFmtId="40" fontId="414" fillId="169" borderId="109" xfId="22679" applyNumberFormat="1" applyFont="1" applyFill="1" applyBorder="1" applyAlignment="1" applyProtection="1">
      <alignment horizontal="center" vertical="center"/>
      <protection locked="0"/>
    </xf>
    <xf numFmtId="40" fontId="385" fillId="0" borderId="15" xfId="27932" applyNumberFormat="1" applyFont="1" applyFill="1" applyBorder="1" applyAlignment="1" applyProtection="1">
      <alignment horizontal="center" vertical="center"/>
      <protection locked="0"/>
    </xf>
    <xf numFmtId="40" fontId="60" fillId="0" borderId="0" xfId="22674" applyNumberFormat="1" applyFont="1" applyAlignment="1">
      <alignment horizontal="center" vertical="center"/>
    </xf>
    <xf numFmtId="43" fontId="60" fillId="0" borderId="0" xfId="19286" applyFont="1"/>
    <xf numFmtId="43" fontId="60" fillId="0" borderId="0" xfId="19286" applyFont="1" applyAlignment="1">
      <alignment horizontal="center"/>
    </xf>
    <xf numFmtId="229" fontId="577" fillId="34" borderId="0" xfId="27962" applyNumberFormat="1" applyFont="1" applyFill="1" applyAlignment="1" applyProtection="1">
      <alignment vertical="center"/>
      <protection locked="0"/>
    </xf>
    <xf numFmtId="43" fontId="586" fillId="34" borderId="0" xfId="19286" applyFont="1" applyFill="1" applyAlignment="1" applyProtection="1">
      <alignment vertical="center"/>
      <protection locked="0"/>
    </xf>
    <xf numFmtId="40" fontId="583" fillId="107" borderId="513" xfId="27963" applyNumberFormat="1" applyFont="1" applyFill="1" applyBorder="1" applyAlignment="1" applyProtection="1">
      <alignment horizontal="right" vertical="center" wrapText="1"/>
      <protection locked="0"/>
    </xf>
    <xf numFmtId="40" fontId="577" fillId="134" borderId="514" xfId="27963" applyNumberFormat="1" applyFont="1" applyFill="1" applyBorder="1" applyAlignment="1" applyProtection="1">
      <alignment vertical="center" wrapText="1"/>
      <protection locked="0"/>
    </xf>
    <xf numFmtId="40" fontId="583" fillId="107" borderId="516" xfId="27963" applyNumberFormat="1" applyFont="1" applyFill="1" applyBorder="1" applyAlignment="1" applyProtection="1">
      <alignment horizontal="right" vertical="center" wrapText="1"/>
      <protection locked="0"/>
    </xf>
    <xf numFmtId="38" fontId="586" fillId="34" borderId="0" xfId="27962" applyNumberFormat="1" applyFont="1" applyFill="1" applyAlignment="1" applyProtection="1">
      <alignment vertical="center"/>
      <protection locked="0"/>
    </xf>
    <xf numFmtId="229" fontId="588" fillId="34" borderId="0" xfId="27962" applyNumberFormat="1" applyFont="1" applyFill="1" applyProtection="1">
      <protection locked="0"/>
    </xf>
    <xf numFmtId="43" fontId="577" fillId="34" borderId="0" xfId="19286" applyFont="1" applyFill="1" applyProtection="1">
      <protection locked="0"/>
    </xf>
    <xf numFmtId="171" fontId="577" fillId="34" borderId="0" xfId="27962" applyNumberFormat="1" applyFont="1" applyFill="1" applyProtection="1">
      <protection locked="0"/>
    </xf>
    <xf numFmtId="171" fontId="583" fillId="34" borderId="0" xfId="27962" applyNumberFormat="1" applyFont="1" applyFill="1" applyProtection="1">
      <protection locked="0"/>
    </xf>
    <xf numFmtId="3" fontId="577" fillId="134" borderId="489" xfId="27962" applyNumberFormat="1" applyFont="1" applyFill="1" applyBorder="1" applyAlignment="1" applyProtection="1">
      <alignment horizontal="left" vertical="top" indent="1"/>
      <protection locked="0"/>
    </xf>
    <xf numFmtId="3" fontId="577" fillId="134" borderId="489" xfId="27962" applyNumberFormat="1" applyFont="1" applyFill="1" applyBorder="1" applyAlignment="1" applyProtection="1">
      <alignment horizontal="left" vertical="top" wrapText="1" indent="1"/>
      <protection locked="0"/>
    </xf>
    <xf numFmtId="3" fontId="577" fillId="134" borderId="489" xfId="27962" applyNumberFormat="1" applyFont="1" applyFill="1" applyBorder="1" applyAlignment="1" applyProtection="1">
      <alignment horizontal="left" vertical="center" wrapText="1"/>
      <protection locked="0"/>
    </xf>
    <xf numFmtId="3" fontId="577" fillId="134" borderId="489" xfId="27962" applyNumberFormat="1" applyFont="1" applyFill="1" applyBorder="1" applyAlignment="1" applyProtection="1">
      <alignment horizontal="left" vertical="center" wrapText="1" indent="1"/>
      <protection locked="0"/>
    </xf>
    <xf numFmtId="3" fontId="577" fillId="134" borderId="489" xfId="27962" applyNumberFormat="1" applyFont="1" applyFill="1" applyBorder="1" applyAlignment="1" applyProtection="1">
      <alignment horizontal="center" vertical="center" wrapText="1"/>
      <protection locked="0"/>
    </xf>
    <xf numFmtId="40" fontId="577" fillId="34" borderId="0" xfId="27962" applyNumberFormat="1" applyFont="1" applyFill="1" applyAlignment="1" applyProtection="1">
      <alignment horizontal="right"/>
      <protection locked="0"/>
    </xf>
    <xf numFmtId="38" fontId="577" fillId="34" borderId="0" xfId="27962" applyNumberFormat="1" applyFont="1" applyFill="1" applyAlignment="1" applyProtection="1">
      <alignment horizontal="right"/>
      <protection locked="0"/>
    </xf>
    <xf numFmtId="40" fontId="353" fillId="0" borderId="0" xfId="22678" applyNumberFormat="1" applyFont="1" applyAlignment="1" applyProtection="1">
      <alignment vertical="center"/>
      <protection locked="0"/>
    </xf>
    <xf numFmtId="43" fontId="577" fillId="34" borderId="0" xfId="27962" applyNumberFormat="1" applyFont="1" applyFill="1" applyAlignment="1" applyProtection="1">
      <alignment vertical="center"/>
      <protection locked="0"/>
    </xf>
    <xf numFmtId="40" fontId="577" fillId="34" borderId="0" xfId="27962" applyNumberFormat="1" applyFont="1" applyFill="1" applyProtection="1">
      <protection locked="0"/>
    </xf>
    <xf numFmtId="40" fontId="437" fillId="0" borderId="367" xfId="22678" applyNumberFormat="1" applyFont="1" applyBorder="1" applyAlignment="1" applyProtection="1">
      <alignment horizontal="center" vertical="center" wrapText="1"/>
      <protection locked="0"/>
    </xf>
    <xf numFmtId="40" fontId="437" fillId="0" borderId="367" xfId="27944" applyNumberFormat="1" applyFont="1" applyFill="1" applyBorder="1" applyAlignment="1" applyProtection="1">
      <alignment horizontal="center" vertical="center" wrapText="1"/>
      <protection locked="0"/>
    </xf>
    <xf numFmtId="40" fontId="437" fillId="0" borderId="367" xfId="19286" applyNumberFormat="1" applyFont="1" applyFill="1" applyBorder="1" applyAlignment="1" applyProtection="1">
      <alignment horizontal="center" vertical="center"/>
      <protection locked="0"/>
    </xf>
    <xf numFmtId="40" fontId="437" fillId="0" borderId="367" xfId="22678" quotePrefix="1" applyNumberFormat="1" applyFont="1" applyBorder="1" applyAlignment="1" applyProtection="1">
      <alignment horizontal="center" vertical="center" wrapText="1"/>
      <protection locked="0"/>
    </xf>
    <xf numFmtId="40" fontId="437" fillId="0" borderId="133" xfId="22678" applyNumberFormat="1" applyFont="1" applyBorder="1" applyAlignment="1" applyProtection="1">
      <alignment horizontal="center" vertical="center"/>
      <protection locked="0"/>
    </xf>
    <xf numFmtId="40" fontId="437" fillId="0" borderId="367" xfId="19286" quotePrefix="1" applyNumberFormat="1" applyFont="1" applyBorder="1" applyAlignment="1" applyProtection="1">
      <alignment horizontal="center" vertical="center"/>
      <protection locked="0"/>
    </xf>
    <xf numFmtId="40" fontId="0" fillId="0" borderId="0" xfId="0" applyNumberFormat="1" applyAlignment="1">
      <alignment horizontal="center"/>
    </xf>
    <xf numFmtId="38" fontId="437" fillId="0" borderId="350" xfId="22678" quotePrefix="1" applyNumberFormat="1" applyFont="1" applyBorder="1" applyAlignment="1" applyProtection="1">
      <alignment horizontal="center" vertical="center" wrapText="1"/>
      <protection locked="0"/>
    </xf>
    <xf numFmtId="363" fontId="418" fillId="107" borderId="272" xfId="27925" applyNumberFormat="1" applyFont="1" applyFill="1" applyBorder="1" applyAlignment="1">
      <alignment horizontal="center" vertical="center"/>
    </xf>
    <xf numFmtId="40" fontId="414" fillId="169" borderId="0" xfId="27932" applyNumberFormat="1" applyFont="1" applyFill="1" applyBorder="1" applyAlignment="1" applyProtection="1">
      <alignment horizontal="center" vertical="center"/>
      <protection locked="0"/>
    </xf>
    <xf numFmtId="359" fontId="415" fillId="169" borderId="0" xfId="22678" applyFont="1" applyFill="1" applyAlignment="1" applyProtection="1">
      <alignment vertical="center"/>
      <protection locked="0"/>
    </xf>
    <xf numFmtId="359" fontId="414" fillId="169" borderId="0" xfId="22678" applyFont="1" applyFill="1" applyAlignment="1" applyProtection="1">
      <alignment vertical="center"/>
      <protection locked="0"/>
    </xf>
    <xf numFmtId="228" fontId="64" fillId="0" borderId="0" xfId="0" applyNumberFormat="1" applyFont="1" applyAlignment="1">
      <alignment horizontal="left"/>
    </xf>
    <xf numFmtId="367" fontId="66" fillId="107" borderId="350" xfId="22694" applyNumberFormat="1" applyFont="1" applyFill="1" applyBorder="1" applyAlignment="1" applyProtection="1">
      <alignment horizontal="right" vertical="center"/>
      <protection locked="0"/>
    </xf>
    <xf numFmtId="43" fontId="66" fillId="107" borderId="350" xfId="19286" applyFont="1" applyFill="1" applyBorder="1" applyAlignment="1" applyProtection="1">
      <alignment horizontal="right" vertical="center"/>
      <protection locked="0"/>
    </xf>
    <xf numFmtId="179" fontId="67" fillId="0" borderId="214" xfId="22694" applyNumberFormat="1" applyFont="1" applyFill="1" applyBorder="1" applyAlignment="1" applyProtection="1">
      <alignment horizontal="left" vertical="center" wrapText="1"/>
      <protection locked="0"/>
    </xf>
    <xf numFmtId="179" fontId="66" fillId="0" borderId="214" xfId="22694" applyNumberFormat="1" applyFont="1" applyFill="1" applyBorder="1" applyAlignment="1" applyProtection="1">
      <alignment horizontal="left" vertical="center" wrapText="1"/>
      <protection locked="0"/>
    </xf>
    <xf numFmtId="362" fontId="67" fillId="0" borderId="214" xfId="22694" applyNumberFormat="1" applyFont="1" applyFill="1" applyBorder="1" applyAlignment="1" applyProtection="1">
      <alignment horizontal="right" vertical="center"/>
      <protection locked="0"/>
    </xf>
    <xf numFmtId="179" fontId="66" fillId="0" borderId="214" xfId="22694" applyNumberFormat="1" applyFont="1" applyFill="1" applyBorder="1" applyAlignment="1" applyProtection="1">
      <alignment vertical="center"/>
      <protection locked="0"/>
    </xf>
    <xf numFmtId="362" fontId="66" fillId="0" borderId="214" xfId="22694" applyNumberFormat="1" applyFont="1" applyFill="1" applyBorder="1" applyAlignment="1" applyProtection="1">
      <alignment horizontal="right" vertical="center"/>
      <protection locked="0"/>
    </xf>
    <xf numFmtId="210" fontId="67" fillId="0" borderId="214" xfId="22694" applyNumberFormat="1" applyFont="1" applyFill="1" applyBorder="1" applyAlignment="1" applyProtection="1">
      <alignment horizontal="right" vertical="center"/>
      <protection locked="0"/>
    </xf>
    <xf numFmtId="179" fontId="66" fillId="0" borderId="214" xfId="22696" applyNumberFormat="1" applyFont="1" applyFill="1" applyBorder="1" applyAlignment="1" applyProtection="1">
      <alignment horizontal="center" vertical="center"/>
      <protection locked="0"/>
    </xf>
    <xf numFmtId="179" fontId="67" fillId="0" borderId="214" xfId="22696" applyNumberFormat="1" applyFont="1" applyFill="1" applyBorder="1" applyAlignment="1" applyProtection="1">
      <alignment horizontal="center" vertical="center"/>
      <protection locked="0"/>
    </xf>
    <xf numFmtId="0" fontId="66" fillId="0" borderId="350" xfId="22678" quotePrefix="1" applyNumberFormat="1" applyFont="1" applyBorder="1" applyAlignment="1" applyProtection="1">
      <alignment horizontal="center" vertical="center"/>
      <protection locked="0"/>
    </xf>
    <xf numFmtId="359" fontId="380" fillId="0" borderId="350" xfId="22678" applyFont="1" applyBorder="1" applyAlignment="1" applyProtection="1">
      <alignment vertical="center"/>
      <protection locked="0"/>
    </xf>
    <xf numFmtId="0" fontId="66" fillId="0" borderId="160" xfId="22678" quotePrefix="1" applyNumberFormat="1" applyFont="1" applyBorder="1" applyAlignment="1" applyProtection="1">
      <alignment horizontal="center" vertical="center"/>
      <protection locked="0"/>
    </xf>
    <xf numFmtId="179" fontId="67" fillId="0" borderId="160" xfId="22694" applyNumberFormat="1" applyFont="1" applyFill="1" applyBorder="1" applyAlignment="1" applyProtection="1">
      <alignment horizontal="left" vertical="center" wrapText="1"/>
      <protection locked="0"/>
    </xf>
    <xf numFmtId="179" fontId="66" fillId="0" borderId="160" xfId="22694" applyNumberFormat="1" applyFont="1" applyFill="1" applyBorder="1" applyAlignment="1" applyProtection="1">
      <alignment horizontal="left" vertical="center" wrapText="1"/>
      <protection locked="0"/>
    </xf>
    <xf numFmtId="362" fontId="67" fillId="0" borderId="160" xfId="22694" applyNumberFormat="1" applyFont="1" applyFill="1" applyBorder="1" applyAlignment="1" applyProtection="1">
      <alignment horizontal="right" vertical="center"/>
      <protection locked="0"/>
    </xf>
    <xf numFmtId="179" fontId="66" fillId="0" borderId="160" xfId="22694" applyNumberFormat="1" applyFont="1" applyFill="1" applyBorder="1" applyAlignment="1" applyProtection="1">
      <alignment vertical="center"/>
      <protection locked="0"/>
    </xf>
    <xf numFmtId="362" fontId="66" fillId="0" borderId="160" xfId="22694" applyNumberFormat="1" applyFont="1" applyFill="1" applyBorder="1" applyAlignment="1" applyProtection="1">
      <alignment horizontal="right" vertical="center"/>
      <protection locked="0"/>
    </xf>
    <xf numFmtId="210" fontId="67" fillId="0" borderId="160" xfId="22694" applyNumberFormat="1" applyFont="1" applyFill="1" applyBorder="1" applyAlignment="1" applyProtection="1">
      <alignment horizontal="right" vertical="center"/>
      <protection locked="0"/>
    </xf>
    <xf numFmtId="179" fontId="66" fillId="0" borderId="160" xfId="22696" applyNumberFormat="1" applyFont="1" applyFill="1" applyBorder="1" applyAlignment="1" applyProtection="1">
      <alignment horizontal="center" vertical="center"/>
      <protection locked="0"/>
    </xf>
    <xf numFmtId="179" fontId="67" fillId="0" borderId="160" xfId="22696" applyNumberFormat="1" applyFont="1" applyFill="1" applyBorder="1" applyAlignment="1" applyProtection="1">
      <alignment horizontal="center" vertical="center"/>
      <protection locked="0"/>
    </xf>
    <xf numFmtId="179" fontId="67" fillId="0" borderId="117" xfId="22694" applyNumberFormat="1" applyFont="1" applyFill="1" applyBorder="1" applyAlignment="1" applyProtection="1">
      <alignment horizontal="left" vertical="center" wrapText="1"/>
      <protection locked="0"/>
    </xf>
    <xf numFmtId="362" fontId="67" fillId="0" borderId="117" xfId="22694" applyNumberFormat="1" applyFont="1" applyFill="1" applyBorder="1" applyAlignment="1" applyProtection="1">
      <alignment horizontal="center" vertical="center"/>
      <protection locked="0"/>
    </xf>
    <xf numFmtId="179" fontId="66" fillId="0" borderId="117" xfId="22694" applyNumberFormat="1" applyFont="1" applyFill="1" applyBorder="1" applyAlignment="1" applyProtection="1">
      <alignment horizontal="center" vertical="center"/>
      <protection locked="0"/>
    </xf>
    <xf numFmtId="362" fontId="66" fillId="0" borderId="117" xfId="22694" applyNumberFormat="1" applyFont="1" applyFill="1" applyBorder="1" applyAlignment="1" applyProtection="1">
      <alignment horizontal="center" vertical="center"/>
      <protection locked="0"/>
    </xf>
    <xf numFmtId="0" fontId="66" fillId="0" borderId="117" xfId="22694" applyNumberFormat="1" applyFont="1" applyFill="1" applyBorder="1" applyAlignment="1" applyProtection="1">
      <alignment horizontal="center" vertical="center"/>
      <protection locked="0"/>
    </xf>
    <xf numFmtId="210" fontId="67" fillId="0" borderId="117" xfId="22694" applyNumberFormat="1" applyFont="1" applyFill="1" applyBorder="1" applyAlignment="1" applyProtection="1">
      <alignment horizontal="center" vertical="center"/>
      <protection locked="0"/>
    </xf>
    <xf numFmtId="179" fontId="67" fillId="0" borderId="117" xfId="22696" applyNumberFormat="1" applyFont="1" applyFill="1" applyBorder="1" applyAlignment="1" applyProtection="1">
      <alignment horizontal="center" vertical="center"/>
      <protection locked="0"/>
    </xf>
    <xf numFmtId="0" fontId="66" fillId="0" borderId="117" xfId="22694" applyNumberFormat="1" applyFont="1" applyFill="1" applyBorder="1" applyAlignment="1" applyProtection="1">
      <alignment horizontal="center" vertical="center" wrapText="1"/>
      <protection locked="0"/>
    </xf>
    <xf numFmtId="0" fontId="172" fillId="0" borderId="0" xfId="0" applyFont="1" applyAlignment="1">
      <alignment horizontal="left" vertical="center" wrapText="1"/>
    </xf>
    <xf numFmtId="43" fontId="172" fillId="0" borderId="0" xfId="19286" applyFont="1" applyBorder="1" applyAlignment="1">
      <alignment horizontal="left" vertical="center" wrapText="1"/>
    </xf>
    <xf numFmtId="173" fontId="64" fillId="0" borderId="0" xfId="27918" applyFont="1" applyAlignment="1">
      <alignment horizontal="left" vertical="top"/>
    </xf>
    <xf numFmtId="0" fontId="21" fillId="0" borderId="0" xfId="0" applyFont="1" applyAlignment="1">
      <alignment horizontal="left"/>
    </xf>
    <xf numFmtId="0" fontId="21" fillId="0" borderId="0" xfId="0" applyFont="1" applyAlignment="1">
      <alignment horizontal="left" vertical="center"/>
    </xf>
    <xf numFmtId="0" fontId="21" fillId="0" borderId="0" xfId="0" applyFont="1" applyAlignment="1">
      <alignment horizontal="left" vertical="center" wrapText="1"/>
    </xf>
    <xf numFmtId="359" fontId="420" fillId="142" borderId="183" xfId="22678" applyFont="1" applyFill="1" applyBorder="1" applyAlignment="1" applyProtection="1">
      <alignment horizontal="left" vertical="center"/>
      <protection locked="0"/>
    </xf>
    <xf numFmtId="179" fontId="66" fillId="0" borderId="117" xfId="22694" applyNumberFormat="1" applyFont="1" applyFill="1" applyBorder="1" applyAlignment="1" applyProtection="1">
      <alignment horizontal="left" vertical="center" wrapText="1"/>
      <protection locked="0"/>
    </xf>
    <xf numFmtId="0" fontId="341" fillId="0" borderId="108" xfId="0" applyFont="1" applyBorder="1" applyAlignment="1">
      <alignment horizontal="right"/>
    </xf>
    <xf numFmtId="38" fontId="341" fillId="0" borderId="109" xfId="0" applyNumberFormat="1" applyFont="1" applyBorder="1"/>
    <xf numFmtId="38" fontId="17" fillId="0" borderId="365" xfId="22751" applyNumberFormat="1" applyFont="1" applyBorder="1" applyAlignment="1">
      <alignment horizontal="left" vertical="center" wrapText="1" indent="3"/>
    </xf>
    <xf numFmtId="38" fontId="17" fillId="0" borderId="365" xfId="22751" applyNumberFormat="1" applyFont="1" applyBorder="1" applyAlignment="1">
      <alignment horizontal="left" vertical="center" wrapText="1"/>
    </xf>
    <xf numFmtId="38" fontId="67" fillId="0" borderId="0" xfId="22751" applyNumberFormat="1" applyFont="1" applyAlignment="1">
      <alignment vertical="center" wrapText="1"/>
    </xf>
    <xf numFmtId="1" fontId="491" fillId="34" borderId="244" xfId="27938" applyNumberFormat="1" applyFont="1" applyFill="1" applyBorder="1" applyAlignment="1">
      <alignment horizontal="center" vertical="center" wrapText="1"/>
    </xf>
    <xf numFmtId="171" fontId="451" fillId="0" borderId="538" xfId="27926" applyFont="1" applyFill="1" applyBorder="1" applyAlignment="1">
      <alignment horizontal="left" vertical="center" wrapText="1"/>
    </xf>
    <xf numFmtId="365" fontId="451" fillId="0" borderId="439" xfId="27926" applyNumberFormat="1" applyFont="1" applyFill="1" applyBorder="1" applyAlignment="1">
      <alignment horizontal="left" vertical="center"/>
    </xf>
    <xf numFmtId="0" fontId="547" fillId="34" borderId="124" xfId="27970" applyFont="1" applyFill="1" applyBorder="1"/>
    <xf numFmtId="0" fontId="547" fillId="0" borderId="0" xfId="27970" applyFont="1"/>
    <xf numFmtId="0" fontId="547" fillId="34" borderId="0" xfId="27970" applyFont="1" applyFill="1"/>
    <xf numFmtId="179" fontId="547" fillId="34" borderId="0" xfId="27971" applyNumberFormat="1" applyFont="1" applyFill="1"/>
    <xf numFmtId="179" fontId="547" fillId="34" borderId="228" xfId="27971" applyNumberFormat="1" applyFont="1" applyFill="1" applyBorder="1"/>
    <xf numFmtId="179" fontId="547" fillId="0" borderId="0" xfId="27971" applyNumberFormat="1" applyFont="1" applyFill="1" applyBorder="1"/>
    <xf numFmtId="179" fontId="604" fillId="199" borderId="540" xfId="27971" applyNumberFormat="1" applyFont="1" applyFill="1" applyBorder="1" applyAlignment="1">
      <alignment horizontal="left" vertical="top" wrapText="1"/>
    </xf>
    <xf numFmtId="179" fontId="604" fillId="199" borderId="540" xfId="27971" applyNumberFormat="1" applyFont="1" applyFill="1" applyBorder="1" applyAlignment="1">
      <alignment horizontal="center" vertical="top" wrapText="1"/>
    </xf>
    <xf numFmtId="179" fontId="604" fillId="199" borderId="115" xfId="27971" applyNumberFormat="1" applyFont="1" applyFill="1" applyBorder="1" applyAlignment="1">
      <alignment horizontal="center" vertical="top" wrapText="1"/>
    </xf>
    <xf numFmtId="179" fontId="604" fillId="0" borderId="0" xfId="27971" applyNumberFormat="1" applyFont="1" applyFill="1" applyBorder="1" applyAlignment="1">
      <alignment horizontal="center" vertical="top" wrapText="1"/>
    </xf>
    <xf numFmtId="179" fontId="547" fillId="34" borderId="0" xfId="27970" applyNumberFormat="1" applyFont="1" applyFill="1"/>
    <xf numFmtId="0" fontId="534" fillId="34" borderId="0" xfId="27970" applyFont="1" applyFill="1"/>
    <xf numFmtId="179" fontId="605" fillId="34" borderId="0" xfId="27971" applyNumberFormat="1" applyFont="1" applyFill="1" applyAlignment="1">
      <alignment horizontal="center" vertical="center"/>
    </xf>
    <xf numFmtId="179" fontId="605" fillId="34" borderId="115" xfId="27971" applyNumberFormat="1" applyFont="1" applyFill="1" applyBorder="1" applyAlignment="1">
      <alignment horizontal="center" vertical="center"/>
    </xf>
    <xf numFmtId="179" fontId="605" fillId="0" borderId="0" xfId="27971" applyNumberFormat="1" applyFont="1" applyFill="1" applyBorder="1" applyAlignment="1">
      <alignment horizontal="center" vertical="center"/>
    </xf>
    <xf numFmtId="0" fontId="605" fillId="34" borderId="0" xfId="27970" applyFont="1" applyFill="1" applyAlignment="1">
      <alignment vertical="center"/>
    </xf>
    <xf numFmtId="179" fontId="605" fillId="0" borderId="0" xfId="27971" applyNumberFormat="1" applyFont="1" applyFill="1" applyBorder="1" applyAlignment="1">
      <alignment vertical="center"/>
    </xf>
    <xf numFmtId="0" fontId="534" fillId="34" borderId="0" xfId="27970" applyFont="1" applyFill="1" applyAlignment="1">
      <alignment vertical="center"/>
    </xf>
    <xf numFmtId="0" fontId="534" fillId="34" borderId="0" xfId="27970" applyFont="1" applyFill="1" applyAlignment="1">
      <alignment horizontal="left" vertical="center" indent="1"/>
    </xf>
    <xf numFmtId="179" fontId="534" fillId="0" borderId="0" xfId="27971" applyNumberFormat="1" applyFont="1" applyFill="1" applyBorder="1" applyAlignment="1">
      <alignment vertical="center"/>
    </xf>
    <xf numFmtId="0" fontId="606" fillId="220" borderId="0" xfId="27970" applyFont="1" applyFill="1" applyAlignment="1">
      <alignment vertical="center"/>
    </xf>
    <xf numFmtId="179" fontId="606" fillId="0" borderId="0" xfId="27971" applyNumberFormat="1" applyFont="1" applyFill="1" applyBorder="1" applyAlignment="1">
      <alignment vertical="center"/>
    </xf>
    <xf numFmtId="179" fontId="607" fillId="0" borderId="0" xfId="27971" applyNumberFormat="1" applyFont="1" applyFill="1" applyBorder="1" applyAlignment="1">
      <alignment vertical="center"/>
    </xf>
    <xf numFmtId="179" fontId="534" fillId="0" borderId="0" xfId="27971" applyNumberFormat="1" applyFont="1" applyFill="1" applyBorder="1"/>
    <xf numFmtId="0" fontId="608" fillId="221" borderId="108" xfId="27970" applyFont="1" applyFill="1" applyBorder="1" applyAlignment="1">
      <alignment horizontal="left" vertical="top"/>
    </xf>
    <xf numFmtId="179" fontId="609" fillId="0" borderId="0" xfId="27971" applyNumberFormat="1" applyFont="1" applyFill="1" applyBorder="1" applyAlignment="1">
      <alignment vertical="top"/>
    </xf>
    <xf numFmtId="179" fontId="547" fillId="0" borderId="0" xfId="27971" applyNumberFormat="1" applyFont="1" applyFill="1"/>
    <xf numFmtId="179" fontId="547" fillId="0" borderId="0" xfId="27971" applyNumberFormat="1" applyFont="1"/>
    <xf numFmtId="0" fontId="605" fillId="107" borderId="0" xfId="27970" applyFont="1" applyFill="1" applyAlignment="1">
      <alignment horizontal="left" vertical="top"/>
    </xf>
    <xf numFmtId="0" fontId="605" fillId="107" borderId="0" xfId="27970" applyFont="1" applyFill="1" applyAlignment="1">
      <alignment horizontal="center" vertical="top"/>
    </xf>
    <xf numFmtId="0" fontId="534" fillId="0" borderId="0" xfId="27970" applyFont="1"/>
    <xf numFmtId="0" fontId="534" fillId="0" borderId="0" xfId="27970" applyFont="1" applyAlignment="1">
      <alignment horizontal="left"/>
    </xf>
    <xf numFmtId="0" fontId="543" fillId="146" borderId="0" xfId="27970" applyFont="1" applyFill="1" applyAlignment="1">
      <alignment horizontal="right" wrapText="1"/>
    </xf>
    <xf numFmtId="0" fontId="611" fillId="0" borderId="0" xfId="27972" applyFont="1" applyFill="1" applyAlignment="1">
      <alignment horizontal="left" vertical="center"/>
    </xf>
    <xf numFmtId="0" fontId="611" fillId="0" borderId="0" xfId="27972" applyFont="1" applyFill="1" applyAlignment="1">
      <alignment horizontal="right" vertical="center"/>
    </xf>
    <xf numFmtId="0" fontId="611" fillId="4" borderId="0" xfId="27972" applyFont="1" applyAlignment="1">
      <alignment horizontal="right" vertical="center"/>
    </xf>
    <xf numFmtId="179" fontId="66" fillId="0" borderId="350" xfId="22696" applyNumberFormat="1" applyFont="1" applyFill="1" applyBorder="1" applyAlignment="1" applyProtection="1">
      <alignment horizontal="left" vertical="center" wrapText="1"/>
      <protection locked="0"/>
    </xf>
    <xf numFmtId="38" fontId="172" fillId="0" borderId="0" xfId="0" applyNumberFormat="1" applyFont="1" applyAlignment="1">
      <alignment vertical="center"/>
    </xf>
    <xf numFmtId="38" fontId="21" fillId="0" borderId="0" xfId="0" applyNumberFormat="1" applyFont="1" applyAlignment="1">
      <alignment vertical="center"/>
    </xf>
    <xf numFmtId="38" fontId="420" fillId="142" borderId="183" xfId="22678" applyNumberFormat="1" applyFont="1" applyFill="1" applyBorder="1" applyAlignment="1" applyProtection="1">
      <alignment horizontal="centerContinuous" vertical="center"/>
      <protection locked="0"/>
    </xf>
    <xf numFmtId="38" fontId="420" fillId="144" borderId="113" xfId="22694" applyNumberFormat="1" applyFont="1" applyFill="1" applyBorder="1" applyAlignment="1" applyProtection="1">
      <alignment horizontal="center" vertical="top" wrapText="1"/>
      <protection locked="0"/>
    </xf>
    <xf numFmtId="38" fontId="91" fillId="166" borderId="224" xfId="22694" applyNumberFormat="1" applyFont="1" applyFill="1" applyBorder="1" applyAlignment="1" applyProtection="1">
      <alignment horizontal="center" vertical="center" wrapText="1"/>
      <protection locked="0"/>
    </xf>
    <xf numFmtId="38" fontId="66" fillId="0" borderId="117" xfId="22694" applyNumberFormat="1" applyFont="1" applyFill="1" applyBorder="1" applyAlignment="1" applyProtection="1">
      <alignment horizontal="right" vertical="center"/>
      <protection locked="0"/>
    </xf>
    <xf numFmtId="38" fontId="66" fillId="107" borderId="350" xfId="22694" applyNumberFormat="1" applyFont="1" applyFill="1" applyBorder="1" applyAlignment="1" applyProtection="1">
      <alignment horizontal="right" vertical="center"/>
      <protection locked="0"/>
    </xf>
    <xf numFmtId="38" fontId="67" fillId="0" borderId="350" xfId="22694" applyNumberFormat="1" applyFont="1" applyFill="1" applyBorder="1" applyAlignment="1" applyProtection="1">
      <alignment horizontal="right" vertical="center"/>
      <protection locked="0"/>
    </xf>
    <xf numFmtId="38" fontId="66" fillId="0" borderId="350" xfId="22694" applyNumberFormat="1" applyFont="1" applyFill="1" applyBorder="1" applyAlignment="1" applyProtection="1">
      <alignment horizontal="right" vertical="center"/>
      <protection locked="0"/>
    </xf>
    <xf numFmtId="38" fontId="66" fillId="207" borderId="350" xfId="22694" applyNumberFormat="1" applyFont="1" applyFill="1" applyBorder="1" applyAlignment="1" applyProtection="1">
      <alignment horizontal="right" vertical="center"/>
      <protection locked="0"/>
    </xf>
    <xf numFmtId="38" fontId="526" fillId="107" borderId="350" xfId="22694" applyNumberFormat="1" applyFont="1" applyFill="1" applyBorder="1" applyAlignment="1" applyProtection="1">
      <alignment horizontal="right" vertical="center"/>
      <protection locked="0"/>
    </xf>
    <xf numFmtId="38" fontId="526" fillId="0" borderId="350" xfId="22694" applyNumberFormat="1" applyFont="1" applyFill="1" applyBorder="1" applyAlignment="1" applyProtection="1">
      <alignment horizontal="right" vertical="center"/>
      <protection locked="0"/>
    </xf>
    <xf numFmtId="38" fontId="66" fillId="0" borderId="160" xfId="22694" applyNumberFormat="1" applyFont="1" applyFill="1" applyBorder="1" applyAlignment="1" applyProtection="1">
      <alignment horizontal="right" vertical="center"/>
      <protection locked="0"/>
    </xf>
    <xf numFmtId="38" fontId="66" fillId="0" borderId="214" xfId="22694" applyNumberFormat="1" applyFont="1" applyFill="1" applyBorder="1" applyAlignment="1" applyProtection="1">
      <alignment horizontal="right" vertical="center"/>
      <protection locked="0"/>
    </xf>
    <xf numFmtId="38" fontId="379" fillId="0" borderId="0" xfId="22678" applyNumberFormat="1" applyFont="1" applyAlignment="1" applyProtection="1">
      <alignment vertical="center"/>
      <protection locked="0"/>
    </xf>
    <xf numFmtId="38" fontId="379" fillId="0" borderId="71" xfId="22694" applyNumberFormat="1" applyFont="1" applyFill="1" applyBorder="1" applyAlignment="1" applyProtection="1">
      <alignment horizontal="center" vertical="center"/>
      <protection locked="0"/>
    </xf>
    <xf numFmtId="15" fontId="356" fillId="0" borderId="0" xfId="14281" applyNumberFormat="1" applyFont="1" applyAlignment="1">
      <alignment horizontal="center"/>
    </xf>
    <xf numFmtId="37" fontId="453" fillId="170" borderId="322" xfId="27927" applyNumberFormat="1" applyFont="1" applyFill="1" applyBorder="1" applyAlignment="1">
      <alignment horizontal="center" vertical="center" wrapText="1"/>
    </xf>
    <xf numFmtId="37" fontId="451" fillId="170" borderId="315" xfId="27927" applyNumberFormat="1" applyFont="1" applyFill="1" applyBorder="1" applyAlignment="1">
      <alignment horizontal="right" vertical="center" wrapText="1"/>
    </xf>
    <xf numFmtId="49" fontId="170" fillId="107" borderId="117" xfId="22678" quotePrefix="1" applyNumberFormat="1" applyFont="1" applyFill="1" applyBorder="1" applyAlignment="1" applyProtection="1">
      <alignment horizontal="center" vertical="center"/>
      <protection locked="0"/>
    </xf>
    <xf numFmtId="14" fontId="170" fillId="107" borderId="117" xfId="27932" applyNumberFormat="1" applyFont="1" applyFill="1" applyBorder="1" applyAlignment="1" applyProtection="1">
      <alignment horizontal="center" vertical="center"/>
      <protection locked="0"/>
    </xf>
    <xf numFmtId="0" fontId="66" fillId="107" borderId="0" xfId="19278" applyFont="1" applyFill="1"/>
    <xf numFmtId="38" fontId="14" fillId="0" borderId="365" xfId="22751" applyNumberFormat="1" applyFont="1" applyBorder="1" applyAlignment="1">
      <alignment horizontal="left" vertical="center" wrapText="1" indent="3"/>
    </xf>
    <xf numFmtId="0" fontId="341" fillId="0" borderId="0" xfId="0" applyFont="1" applyAlignment="1">
      <alignment horizontal="right"/>
    </xf>
    <xf numFmtId="364" fontId="418" fillId="0" borderId="279" xfId="27925" applyNumberFormat="1" applyFont="1" applyBorder="1" applyAlignment="1">
      <alignment horizontal="center" vertical="center"/>
    </xf>
    <xf numFmtId="364" fontId="418" fillId="0" borderId="270" xfId="27925" applyNumberFormat="1" applyFont="1" applyBorder="1" applyAlignment="1">
      <alignment horizontal="center" vertical="center"/>
    </xf>
    <xf numFmtId="49" fontId="169" fillId="177" borderId="145" xfId="22678" quotePrefix="1" applyNumberFormat="1" applyFont="1" applyFill="1" applyBorder="1" applyAlignment="1" applyProtection="1">
      <alignment horizontal="center" vertical="center" wrapText="1"/>
      <protection locked="0"/>
    </xf>
    <xf numFmtId="38" fontId="169" fillId="0" borderId="126" xfId="0" applyNumberFormat="1" applyFont="1" applyBorder="1" applyAlignment="1">
      <alignment vertical="center" wrapText="1"/>
    </xf>
    <xf numFmtId="40" fontId="172" fillId="0" borderId="126" xfId="19286" applyNumberFormat="1" applyFont="1" applyFill="1" applyBorder="1" applyAlignment="1">
      <alignment horizontal="center" vertical="center" wrapText="1"/>
    </xf>
    <xf numFmtId="360" fontId="172" fillId="0" borderId="126" xfId="19286" applyNumberFormat="1" applyFont="1" applyFill="1" applyBorder="1" applyAlignment="1">
      <alignment horizontal="center" vertical="center" wrapText="1"/>
    </xf>
    <xf numFmtId="229" fontId="169" fillId="0" borderId="130" xfId="19286" applyNumberFormat="1" applyFont="1" applyFill="1" applyBorder="1" applyAlignment="1" applyProtection="1">
      <alignment vertical="center"/>
    </xf>
    <xf numFmtId="40" fontId="448" fillId="144" borderId="360" xfId="19286" applyNumberFormat="1" applyFont="1" applyFill="1" applyBorder="1" applyAlignment="1">
      <alignment horizontal="center" vertical="center" wrapText="1"/>
    </xf>
    <xf numFmtId="38" fontId="612" fillId="0" borderId="126" xfId="0" applyNumberFormat="1" applyFont="1" applyBorder="1" applyAlignment="1">
      <alignment vertical="center" wrapText="1"/>
    </xf>
    <xf numFmtId="38" fontId="13" fillId="0" borderId="365" xfId="22751" applyNumberFormat="1" applyFont="1" applyBorder="1" applyAlignment="1">
      <alignment horizontal="center" vertical="center"/>
    </xf>
    <xf numFmtId="38" fontId="453" fillId="0" borderId="183" xfId="22751" applyNumberFormat="1" applyFont="1" applyBorder="1" applyAlignment="1">
      <alignment vertical="center" wrapText="1"/>
    </xf>
    <xf numFmtId="38" fontId="534" fillId="0" borderId="0" xfId="27970" applyNumberFormat="1" applyFont="1"/>
    <xf numFmtId="38" fontId="534" fillId="0" borderId="0" xfId="27970" applyNumberFormat="1" applyFont="1" applyAlignment="1">
      <alignment horizontal="center" vertical="top" wrapText="1"/>
    </xf>
    <xf numFmtId="38" fontId="543" fillId="146" borderId="0" xfId="27970" applyNumberFormat="1" applyFont="1" applyFill="1"/>
    <xf numFmtId="38" fontId="63" fillId="126" borderId="365" xfId="22752" applyNumberFormat="1" applyFont="1" applyFill="1" applyBorder="1" applyAlignment="1" applyProtection="1">
      <alignment horizontal="right" vertical="center"/>
    </xf>
    <xf numFmtId="38" fontId="611" fillId="0" borderId="0" xfId="27972" applyNumberFormat="1" applyFont="1" applyFill="1" applyAlignment="1">
      <alignment horizontal="left" vertical="center"/>
    </xf>
    <xf numFmtId="37" fontId="534" fillId="0" borderId="0" xfId="27971" applyNumberFormat="1" applyFont="1" applyFill="1" applyAlignment="1">
      <alignment horizontal="center" vertical="center"/>
    </xf>
    <xf numFmtId="37" fontId="534" fillId="34" borderId="0" xfId="27971" applyNumberFormat="1" applyFont="1" applyFill="1" applyAlignment="1">
      <alignment horizontal="center" vertical="center"/>
    </xf>
    <xf numFmtId="37" fontId="605" fillId="34" borderId="115" xfId="27971" applyNumberFormat="1" applyFont="1" applyFill="1" applyBorder="1" applyAlignment="1">
      <alignment horizontal="center" vertical="center"/>
    </xf>
    <xf numFmtId="37" fontId="534" fillId="34" borderId="115" xfId="27971" applyNumberFormat="1" applyFont="1" applyFill="1" applyBorder="1" applyAlignment="1">
      <alignment horizontal="center" vertical="center"/>
    </xf>
    <xf numFmtId="37" fontId="606" fillId="220" borderId="541" xfId="27971" applyNumberFormat="1" applyFont="1" applyFill="1" applyBorder="1" applyAlignment="1">
      <alignment horizontal="center" vertical="center"/>
    </xf>
    <xf numFmtId="37" fontId="606" fillId="220" borderId="445" xfId="27971" applyNumberFormat="1" applyFont="1" applyFill="1" applyBorder="1" applyAlignment="1">
      <alignment horizontal="center" vertical="center"/>
    </xf>
    <xf numFmtId="37" fontId="534" fillId="34" borderId="0" xfId="27971" applyNumberFormat="1" applyFont="1" applyFill="1" applyBorder="1" applyAlignment="1">
      <alignment horizontal="center" vertical="center"/>
    </xf>
    <xf numFmtId="37" fontId="606" fillId="221" borderId="445" xfId="27971" applyNumberFormat="1" applyFont="1" applyFill="1" applyBorder="1" applyAlignment="1">
      <alignment horizontal="center" vertical="center"/>
    </xf>
    <xf numFmtId="37" fontId="547" fillId="34" borderId="0" xfId="27971" applyNumberFormat="1" applyFont="1" applyFill="1" applyAlignment="1">
      <alignment horizontal="center"/>
    </xf>
    <xf numFmtId="37" fontId="606" fillId="222" borderId="541" xfId="27971" applyNumberFormat="1" applyFont="1" applyFill="1" applyBorder="1" applyAlignment="1">
      <alignment horizontal="center" vertical="center"/>
    </xf>
    <xf numFmtId="179" fontId="474" fillId="204" borderId="350" xfId="27961" applyNumberFormat="1" applyFont="1" applyFill="1" applyBorder="1" applyAlignment="1">
      <alignment vertical="center" wrapText="1"/>
    </xf>
    <xf numFmtId="179" fontId="479" fillId="204" borderId="160" xfId="27961" applyNumberFormat="1" applyFont="1" applyFill="1" applyBorder="1" applyAlignment="1">
      <alignment vertical="center" wrapText="1"/>
    </xf>
    <xf numFmtId="179" fontId="479" fillId="204" borderId="350" xfId="27961" applyNumberFormat="1" applyFont="1" applyFill="1" applyBorder="1" applyAlignment="1">
      <alignment vertical="center" wrapText="1"/>
    </xf>
    <xf numFmtId="179" fontId="476" fillId="214" borderId="350" xfId="27961" applyNumberFormat="1" applyFont="1" applyFill="1" applyBorder="1" applyAlignment="1">
      <alignment vertical="center" wrapText="1"/>
    </xf>
    <xf numFmtId="0" fontId="605" fillId="107" borderId="105" xfId="27970" applyFont="1" applyFill="1" applyBorder="1" applyAlignment="1">
      <alignment horizontal="left" vertical="top"/>
    </xf>
    <xf numFmtId="38" fontId="605" fillId="107" borderId="106" xfId="27970" applyNumberFormat="1" applyFont="1" applyFill="1" applyBorder="1" applyAlignment="1">
      <alignment horizontal="left" vertical="top" wrapText="1"/>
    </xf>
    <xf numFmtId="38" fontId="605" fillId="107" borderId="106" xfId="27970" applyNumberFormat="1" applyFont="1" applyFill="1" applyBorder="1" applyAlignment="1">
      <alignment horizontal="center" vertical="top" wrapText="1"/>
    </xf>
    <xf numFmtId="38" fontId="607" fillId="107" borderId="106" xfId="27970" applyNumberFormat="1" applyFont="1" applyFill="1" applyBorder="1" applyAlignment="1">
      <alignment horizontal="center" vertical="top" wrapText="1"/>
    </xf>
    <xf numFmtId="38" fontId="605" fillId="107" borderId="107" xfId="27970" applyNumberFormat="1" applyFont="1" applyFill="1" applyBorder="1" applyAlignment="1">
      <alignment horizontal="center" vertical="top"/>
    </xf>
    <xf numFmtId="0" fontId="534" fillId="0" borderId="365" xfId="27970" applyFont="1" applyBorder="1" applyAlignment="1">
      <alignment horizontal="left" indent="1"/>
    </xf>
    <xf numFmtId="0" fontId="534" fillId="0" borderId="223" xfId="27970" applyFont="1" applyBorder="1" applyAlignment="1">
      <alignment horizontal="left" indent="1"/>
    </xf>
    <xf numFmtId="38" fontId="534" fillId="0" borderId="216" xfId="27970" applyNumberFormat="1" applyFont="1" applyBorder="1" applyAlignment="1">
      <alignment horizontal="left" indent="1"/>
    </xf>
    <xf numFmtId="38" fontId="534" fillId="0" borderId="365" xfId="27971" applyNumberFormat="1" applyFont="1" applyBorder="1"/>
    <xf numFmtId="38" fontId="534" fillId="0" borderId="365" xfId="27971" applyNumberFormat="1" applyFont="1" applyBorder="1" applyAlignment="1">
      <alignment horizontal="right"/>
    </xf>
    <xf numFmtId="38" fontId="534" fillId="0" borderId="217" xfId="27971" applyNumberFormat="1" applyFont="1" applyBorder="1" applyAlignment="1">
      <alignment horizontal="right"/>
    </xf>
    <xf numFmtId="43" fontId="534" fillId="0" borderId="0" xfId="19286" applyFont="1" applyAlignment="1">
      <alignment horizontal="left"/>
    </xf>
    <xf numFmtId="234" fontId="534" fillId="0" borderId="0" xfId="27970" applyNumberFormat="1" applyFont="1"/>
    <xf numFmtId="0" fontId="534" fillId="0" borderId="0" xfId="27970" applyFont="1" applyAlignment="1">
      <alignment horizontal="left" vertical="top"/>
    </xf>
    <xf numFmtId="0" fontId="534" fillId="0" borderId="0" xfId="27970" applyFont="1" applyAlignment="1">
      <alignment vertical="top"/>
    </xf>
    <xf numFmtId="0" fontId="534" fillId="0" borderId="365" xfId="27970" applyFont="1" applyBorder="1" applyAlignment="1">
      <alignment horizontal="left" vertical="top"/>
    </xf>
    <xf numFmtId="0" fontId="534" fillId="0" borderId="223" xfId="27970" applyFont="1" applyBorder="1" applyAlignment="1">
      <alignment horizontal="left" vertical="top"/>
    </xf>
    <xf numFmtId="38" fontId="534" fillId="0" borderId="216" xfId="27970" applyNumberFormat="1" applyFont="1" applyBorder="1" applyAlignment="1">
      <alignment horizontal="left" vertical="top"/>
    </xf>
    <xf numFmtId="38" fontId="534" fillId="0" borderId="365" xfId="27971" applyNumberFormat="1" applyFont="1" applyBorder="1" applyAlignment="1">
      <alignment vertical="top"/>
    </xf>
    <xf numFmtId="38" fontId="534" fillId="0" borderId="365" xfId="27971" applyNumberFormat="1" applyFont="1" applyBorder="1" applyAlignment="1">
      <alignment horizontal="right" vertical="top"/>
    </xf>
    <xf numFmtId="38" fontId="534" fillId="0" borderId="217" xfId="27971" applyNumberFormat="1" applyFont="1" applyBorder="1" applyAlignment="1">
      <alignment horizontal="right" vertical="top"/>
    </xf>
    <xf numFmtId="0" fontId="534" fillId="0" borderId="216" xfId="27970" applyFont="1" applyBorder="1" applyAlignment="1">
      <alignment horizontal="left" indent="1"/>
    </xf>
    <xf numFmtId="38" fontId="534" fillId="0" borderId="365" xfId="27971" applyNumberFormat="1" applyFont="1" applyFill="1" applyBorder="1" applyAlignment="1">
      <alignment horizontal="right"/>
    </xf>
    <xf numFmtId="38" fontId="534" fillId="0" borderId="217" xfId="27971" applyNumberFormat="1" applyFont="1" applyBorder="1"/>
    <xf numFmtId="38" fontId="613" fillId="0" borderId="216" xfId="27972" applyNumberFormat="1" applyFont="1" applyFill="1" applyBorder="1" applyAlignment="1">
      <alignment horizontal="left" indent="1"/>
    </xf>
    <xf numFmtId="38" fontId="611" fillId="0" borderId="365" xfId="27972" applyNumberFormat="1" applyFont="1" applyFill="1" applyBorder="1" applyAlignment="1">
      <alignment horizontal="right"/>
    </xf>
    <xf numFmtId="38" fontId="534" fillId="0" borderId="365" xfId="27971" applyNumberFormat="1" applyFont="1" applyFill="1" applyBorder="1"/>
    <xf numFmtId="0" fontId="611" fillId="0" borderId="0" xfId="27972" applyFont="1" applyFill="1" applyAlignment="1">
      <alignment horizontal="right"/>
    </xf>
    <xf numFmtId="0" fontId="611" fillId="0" borderId="0" xfId="27972" applyFont="1" applyFill="1" applyAlignment="1">
      <alignment horizontal="left"/>
    </xf>
    <xf numFmtId="0" fontId="605" fillId="131" borderId="216" xfId="27972" applyFont="1" applyFill="1" applyBorder="1" applyAlignment="1">
      <alignment horizontal="left" vertical="center"/>
    </xf>
    <xf numFmtId="38" fontId="605" fillId="131" borderId="365" xfId="27972" applyNumberFormat="1" applyFont="1" applyFill="1" applyBorder="1" applyAlignment="1">
      <alignment horizontal="right" vertical="center"/>
    </xf>
    <xf numFmtId="38" fontId="605" fillId="131" borderId="217" xfId="27972" applyNumberFormat="1" applyFont="1" applyFill="1" applyBorder="1" applyAlignment="1">
      <alignment horizontal="right" vertical="center"/>
    </xf>
    <xf numFmtId="0" fontId="605" fillId="131" borderId="362" xfId="27972" applyFont="1" applyFill="1" applyBorder="1" applyAlignment="1">
      <alignment horizontal="left" vertical="center"/>
    </xf>
    <xf numFmtId="38" fontId="605" fillId="131" borderId="360" xfId="27972" applyNumberFormat="1" applyFont="1" applyFill="1" applyBorder="1" applyAlignment="1">
      <alignment horizontal="right" vertical="center"/>
    </xf>
    <xf numFmtId="38" fontId="605" fillId="131" borderId="363" xfId="27972" applyNumberFormat="1" applyFont="1" applyFill="1" applyBorder="1" applyAlignment="1">
      <alignment horizontal="right" vertical="center"/>
    </xf>
    <xf numFmtId="38" fontId="534" fillId="0" borderId="544" xfId="27970" applyNumberFormat="1" applyFont="1" applyBorder="1" applyAlignment="1">
      <alignment horizontal="left" indent="1"/>
    </xf>
    <xf numFmtId="38" fontId="534" fillId="0" borderId="228" xfId="27971" applyNumberFormat="1" applyFont="1" applyBorder="1"/>
    <xf numFmtId="38" fontId="534" fillId="0" borderId="228" xfId="27971" applyNumberFormat="1" applyFont="1" applyBorder="1" applyAlignment="1">
      <alignment horizontal="right"/>
    </xf>
    <xf numFmtId="38" fontId="534" fillId="0" borderId="228" xfId="27971" applyNumberFormat="1" applyFont="1" applyFill="1" applyBorder="1"/>
    <xf numFmtId="38" fontId="534" fillId="0" borderId="545" xfId="27971" applyNumberFormat="1" applyFont="1" applyBorder="1" applyAlignment="1">
      <alignment horizontal="right"/>
    </xf>
    <xf numFmtId="0" fontId="605" fillId="131" borderId="50" xfId="27972" applyFont="1" applyFill="1" applyBorder="1" applyAlignment="1">
      <alignment horizontal="left" vertical="center"/>
    </xf>
    <xf numFmtId="38" fontId="605" fillId="131" borderId="51" xfId="27972" applyNumberFormat="1" applyFont="1" applyFill="1" applyBorder="1" applyAlignment="1">
      <alignment horizontal="right" vertical="center"/>
    </xf>
    <xf numFmtId="38" fontId="605" fillId="131" borderId="118" xfId="27972" applyNumberFormat="1" applyFont="1" applyFill="1" applyBorder="1" applyAlignment="1">
      <alignment horizontal="right" vertical="center"/>
    </xf>
    <xf numFmtId="0" fontId="534" fillId="131" borderId="223" xfId="27972" applyFont="1" applyFill="1" applyBorder="1" applyAlignment="1">
      <alignment horizontal="right" vertical="center"/>
    </xf>
    <xf numFmtId="0" fontId="605" fillId="131" borderId="365" xfId="27972" applyFont="1" applyFill="1" applyBorder="1" applyAlignment="1">
      <alignment horizontal="right" vertical="center"/>
    </xf>
    <xf numFmtId="0" fontId="534" fillId="0" borderId="228" xfId="27970" applyFont="1" applyBorder="1" applyAlignment="1">
      <alignment horizontal="left" indent="1"/>
    </xf>
    <xf numFmtId="0" fontId="534" fillId="0" borderId="222" xfId="27970" applyFont="1" applyBorder="1" applyAlignment="1">
      <alignment horizontal="left" indent="1"/>
    </xf>
    <xf numFmtId="0" fontId="605" fillId="131" borderId="51" xfId="27972" applyFont="1" applyFill="1" applyBorder="1" applyAlignment="1">
      <alignment horizontal="right" vertical="center"/>
    </xf>
    <xf numFmtId="0" fontId="534" fillId="131" borderId="118" xfId="27972" applyFont="1" applyFill="1" applyBorder="1" applyAlignment="1">
      <alignment horizontal="right" vertical="center"/>
    </xf>
    <xf numFmtId="15" fontId="496" fillId="107" borderId="117" xfId="27932" applyNumberFormat="1" applyFont="1" applyFill="1" applyBorder="1" applyAlignment="1" applyProtection="1">
      <alignment horizontal="center" vertical="center"/>
      <protection locked="0"/>
    </xf>
    <xf numFmtId="40" fontId="496" fillId="107" borderId="146" xfId="19286" applyNumberFormat="1" applyFont="1" applyFill="1" applyBorder="1" applyAlignment="1" applyProtection="1">
      <alignment horizontal="center" vertical="center"/>
      <protection locked="0"/>
    </xf>
    <xf numFmtId="40" fontId="451" fillId="0" borderId="0" xfId="19286" applyNumberFormat="1" applyFont="1" applyAlignment="1">
      <alignment vertical="center"/>
    </xf>
    <xf numFmtId="38" fontId="12" fillId="0" borderId="365" xfId="22751" applyNumberFormat="1" applyFont="1" applyBorder="1" applyAlignment="1">
      <alignment horizontal="center" vertical="center"/>
    </xf>
    <xf numFmtId="38" fontId="12" fillId="0" borderId="365" xfId="22751" applyNumberFormat="1" applyFont="1" applyBorder="1" applyAlignment="1">
      <alignment horizontal="left" vertical="center" wrapText="1" indent="3"/>
    </xf>
    <xf numFmtId="38" fontId="169" fillId="204" borderId="126" xfId="0" applyNumberFormat="1" applyFont="1" applyFill="1" applyBorder="1" applyAlignment="1">
      <alignment vertical="center" wrapText="1"/>
    </xf>
    <xf numFmtId="38" fontId="614" fillId="0" borderId="365" xfId="22751" applyNumberFormat="1" applyFont="1" applyBorder="1" applyAlignment="1">
      <alignment horizontal="left" vertical="center" wrapText="1" indent="3"/>
    </xf>
    <xf numFmtId="0" fontId="615" fillId="0" borderId="365" xfId="27970" applyFont="1" applyBorder="1" applyAlignment="1">
      <alignment horizontal="left" indent="1"/>
    </xf>
    <xf numFmtId="0" fontId="615" fillId="0" borderId="223" xfId="27970" applyFont="1" applyBorder="1" applyAlignment="1">
      <alignment horizontal="left" indent="1"/>
    </xf>
    <xf numFmtId="38" fontId="615" fillId="0" borderId="216" xfId="27970" applyNumberFormat="1" applyFont="1" applyBorder="1" applyAlignment="1">
      <alignment horizontal="left" indent="1"/>
    </xf>
    <xf numFmtId="38" fontId="615" fillId="0" borderId="365" xfId="27971" applyNumberFormat="1" applyFont="1" applyBorder="1"/>
    <xf numFmtId="38" fontId="615" fillId="0" borderId="365" xfId="27971" applyNumberFormat="1" applyFont="1" applyBorder="1" applyAlignment="1">
      <alignment horizontal="right"/>
    </xf>
    <xf numFmtId="38" fontId="615" fillId="0" borderId="365" xfId="27971" applyNumberFormat="1" applyFont="1" applyFill="1" applyBorder="1"/>
    <xf numFmtId="38" fontId="615" fillId="0" borderId="365" xfId="27971" applyNumberFormat="1" applyFont="1" applyFill="1" applyBorder="1" applyAlignment="1">
      <alignment horizontal="right"/>
    </xf>
    <xf numFmtId="38" fontId="615" fillId="0" borderId="217" xfId="27971" applyNumberFormat="1" applyFont="1" applyBorder="1" applyAlignment="1">
      <alignment horizontal="right"/>
    </xf>
    <xf numFmtId="0" fontId="615" fillId="0" borderId="0" xfId="27970" applyFont="1" applyAlignment="1">
      <alignment horizontal="left"/>
    </xf>
    <xf numFmtId="0" fontId="615" fillId="0" borderId="0" xfId="27970" applyFont="1"/>
    <xf numFmtId="363" fontId="418" fillId="204" borderId="269" xfId="27925" applyNumberFormat="1" applyFont="1" applyFill="1" applyBorder="1" applyAlignment="1">
      <alignment horizontal="left" vertical="center"/>
    </xf>
    <xf numFmtId="363" fontId="418" fillId="204" borderId="272" xfId="27925" applyNumberFormat="1" applyFont="1" applyFill="1" applyBorder="1" applyAlignment="1">
      <alignment horizontal="left" vertical="center"/>
    </xf>
    <xf numFmtId="9" fontId="418" fillId="204" borderId="267" xfId="22690" applyFont="1" applyFill="1" applyBorder="1" applyAlignment="1">
      <alignment horizontal="center" vertical="center"/>
    </xf>
    <xf numFmtId="171" fontId="451" fillId="204" borderId="269" xfId="27926" applyFont="1" applyFill="1" applyBorder="1" applyAlignment="1">
      <alignment horizontal="left" vertical="center" wrapText="1"/>
    </xf>
    <xf numFmtId="363" fontId="512" fillId="204" borderId="270" xfId="27925" applyNumberFormat="1" applyFont="1" applyFill="1" applyBorder="1" applyAlignment="1">
      <alignment horizontal="left" vertical="center"/>
    </xf>
    <xf numFmtId="363" fontId="418" fillId="204" borderId="269" xfId="27925" applyNumberFormat="1" applyFont="1" applyFill="1" applyBorder="1" applyAlignment="1">
      <alignment horizontal="center" vertical="center"/>
    </xf>
    <xf numFmtId="38" fontId="534" fillId="0" borderId="0" xfId="27970" applyNumberFormat="1" applyFont="1" applyAlignment="1">
      <alignment horizontal="left"/>
    </xf>
    <xf numFmtId="40" fontId="169" fillId="0" borderId="126" xfId="19286" applyNumberFormat="1" applyFont="1" applyFill="1" applyBorder="1" applyAlignment="1">
      <alignment horizontal="center" vertical="center" wrapText="1"/>
    </xf>
    <xf numFmtId="38" fontId="445" fillId="169" borderId="0" xfId="22751" applyNumberFormat="1" applyFont="1" applyFill="1" applyAlignment="1">
      <alignment horizontal="center" vertical="center"/>
    </xf>
    <xf numFmtId="38" fontId="445" fillId="169" borderId="0" xfId="22751" applyNumberFormat="1" applyFont="1" applyFill="1" applyAlignment="1">
      <alignment horizontal="left" vertical="center" wrapText="1"/>
    </xf>
    <xf numFmtId="38" fontId="445" fillId="169" borderId="0" xfId="22752" applyNumberFormat="1" applyFont="1" applyFill="1" applyBorder="1" applyAlignment="1" applyProtection="1">
      <alignment horizontal="right" vertical="center"/>
    </xf>
    <xf numFmtId="40" fontId="445" fillId="169" borderId="0" xfId="22752" applyNumberFormat="1" applyFont="1" applyFill="1" applyBorder="1" applyAlignment="1" applyProtection="1">
      <alignment horizontal="right" vertical="center"/>
    </xf>
    <xf numFmtId="38" fontId="341" fillId="110" borderId="0" xfId="22752" applyNumberFormat="1" applyFont="1" applyFill="1" applyAlignment="1" applyProtection="1">
      <alignment horizontal="right" vertical="center"/>
    </xf>
    <xf numFmtId="38" fontId="426" fillId="110" borderId="0" xfId="22752" applyNumberFormat="1" applyFont="1" applyFill="1" applyAlignment="1" applyProtection="1">
      <alignment horizontal="right" vertical="center"/>
    </xf>
    <xf numFmtId="38" fontId="616" fillId="110" borderId="0" xfId="22752" applyNumberFormat="1" applyFont="1" applyFill="1" applyAlignment="1" applyProtection="1">
      <alignment horizontal="right" vertical="center"/>
    </xf>
    <xf numFmtId="38" fontId="340" fillId="0" borderId="0" xfId="22752" applyNumberFormat="1" applyFont="1" applyAlignment="1" applyProtection="1">
      <alignment horizontal="right" vertical="center"/>
    </xf>
    <xf numFmtId="0" fontId="457" fillId="0" borderId="0" xfId="27925" applyFont="1" applyAlignment="1">
      <alignment horizontal="center" vertical="center"/>
    </xf>
    <xf numFmtId="38" fontId="451" fillId="0" borderId="0" xfId="27925" applyNumberFormat="1" applyFont="1"/>
    <xf numFmtId="0" fontId="545" fillId="34" borderId="0" xfId="27970" applyFont="1" applyFill="1"/>
    <xf numFmtId="38" fontId="545" fillId="34" borderId="0" xfId="27970" applyNumberFormat="1" applyFont="1" applyFill="1"/>
    <xf numFmtId="43" fontId="545" fillId="34" borderId="0" xfId="19286" applyFont="1" applyFill="1"/>
    <xf numFmtId="40" fontId="545" fillId="34" borderId="0" xfId="27970" applyNumberFormat="1" applyFont="1" applyFill="1" applyAlignment="1">
      <alignment vertical="center"/>
    </xf>
    <xf numFmtId="0" fontId="545" fillId="34" borderId="0" xfId="27970" applyFont="1" applyFill="1" applyAlignment="1">
      <alignment vertical="center"/>
    </xf>
    <xf numFmtId="38" fontId="605" fillId="0" borderId="0" xfId="27970" applyNumberFormat="1" applyFont="1"/>
    <xf numFmtId="38" fontId="617" fillId="0" borderId="0" xfId="27972" applyNumberFormat="1" applyFont="1" applyFill="1" applyAlignment="1">
      <alignment horizontal="right" vertical="center"/>
    </xf>
    <xf numFmtId="2" fontId="527" fillId="0" borderId="269" xfId="27926" applyNumberFormat="1" applyFont="1" applyFill="1" applyBorder="1" applyAlignment="1">
      <alignment horizontal="left" vertical="center" wrapText="1"/>
    </xf>
    <xf numFmtId="0" fontId="605" fillId="107" borderId="41" xfId="27970" applyFont="1" applyFill="1" applyBorder="1" applyAlignment="1">
      <alignment horizontal="left" vertical="top"/>
    </xf>
    <xf numFmtId="0" fontId="605" fillId="107" borderId="111" xfId="27970" applyFont="1" applyFill="1" applyBorder="1" applyAlignment="1">
      <alignment horizontal="left" vertical="top"/>
    </xf>
    <xf numFmtId="0" fontId="534" fillId="0" borderId="216" xfId="27970" applyFont="1" applyBorder="1"/>
    <xf numFmtId="0" fontId="534" fillId="0" borderId="216" xfId="27970" applyFont="1" applyBorder="1" applyAlignment="1">
      <alignment horizontal="left"/>
    </xf>
    <xf numFmtId="0" fontId="615" fillId="0" borderId="216" xfId="27970" applyFont="1" applyBorder="1"/>
    <xf numFmtId="0" fontId="534" fillId="0" borderId="544" xfId="27970" applyFont="1" applyBorder="1"/>
    <xf numFmtId="40" fontId="545" fillId="34" borderId="0" xfId="19286" applyNumberFormat="1" applyFont="1" applyFill="1"/>
    <xf numFmtId="171" fontId="618" fillId="0" borderId="350" xfId="27961" applyFont="1" applyBorder="1" applyAlignment="1">
      <alignment horizontal="left" vertical="center"/>
    </xf>
    <xf numFmtId="0" fontId="537" fillId="134" borderId="0" xfId="0" applyFont="1" applyFill="1" applyAlignment="1" applyProtection="1">
      <alignment horizontal="center" vertical="top" wrapText="1"/>
      <protection locked="0"/>
    </xf>
    <xf numFmtId="210" fontId="537" fillId="0" borderId="0" xfId="0" applyNumberFormat="1" applyFont="1" applyAlignment="1" applyProtection="1">
      <alignment horizontal="center" vertical="top"/>
      <protection locked="0"/>
    </xf>
    <xf numFmtId="0" fontId="537" fillId="0" borderId="0" xfId="0" applyFont="1" applyAlignment="1" applyProtection="1">
      <alignment vertical="top"/>
      <protection locked="0"/>
    </xf>
    <xf numFmtId="0" fontId="537" fillId="0" borderId="0" xfId="0" applyFont="1" applyAlignment="1" applyProtection="1">
      <alignment horizontal="center" vertical="top"/>
      <protection locked="0"/>
    </xf>
    <xf numFmtId="0" fontId="537" fillId="0" borderId="0" xfId="0" applyFont="1" applyAlignment="1" applyProtection="1">
      <alignment horizontal="left" vertical="top"/>
      <protection locked="0"/>
    </xf>
    <xf numFmtId="210" fontId="537" fillId="0" borderId="0" xfId="0" applyNumberFormat="1" applyFont="1" applyAlignment="1" applyProtection="1">
      <alignment vertical="top"/>
      <protection locked="0"/>
    </xf>
    <xf numFmtId="0" fontId="537" fillId="0" borderId="0" xfId="0" applyFont="1" applyAlignment="1">
      <alignment horizontal="center" vertical="center" wrapText="1"/>
    </xf>
    <xf numFmtId="0" fontId="537" fillId="0" borderId="0" xfId="0" applyFont="1" applyAlignment="1">
      <alignment horizontal="center" vertical="top" wrapText="1"/>
    </xf>
    <xf numFmtId="180" fontId="537" fillId="0" borderId="356" xfId="0" applyNumberFormat="1" applyFont="1" applyBorder="1" applyAlignment="1" applyProtection="1">
      <alignment horizontal="center" vertical="center"/>
      <protection locked="0"/>
    </xf>
    <xf numFmtId="0" fontId="537" fillId="0" borderId="356" xfId="0" applyFont="1" applyBorder="1" applyAlignment="1" applyProtection="1">
      <alignment horizontal="left" vertical="center" wrapText="1"/>
      <protection locked="0"/>
    </xf>
    <xf numFmtId="0" fontId="537" fillId="0" borderId="240" xfId="0" applyFont="1" applyBorder="1" applyAlignment="1" applyProtection="1">
      <alignment horizontal="center" vertical="top" wrapText="1"/>
      <protection locked="0"/>
    </xf>
    <xf numFmtId="0" fontId="537" fillId="134" borderId="240" xfId="0" applyFont="1" applyFill="1" applyBorder="1" applyAlignment="1" applyProtection="1">
      <alignment horizontal="center" vertical="top" wrapText="1"/>
      <protection locked="0"/>
    </xf>
    <xf numFmtId="0" fontId="537" fillId="175" borderId="458" xfId="0" applyFont="1" applyFill="1" applyBorder="1" applyAlignment="1">
      <alignment horizontal="center" vertical="center" wrapText="1"/>
    </xf>
    <xf numFmtId="210" fontId="537" fillId="0" borderId="356" xfId="0" applyNumberFormat="1" applyFont="1" applyBorder="1" applyAlignment="1" applyProtection="1">
      <alignment horizontal="center" vertical="top"/>
      <protection locked="0"/>
    </xf>
    <xf numFmtId="0" fontId="537" fillId="0" borderId="356" xfId="0" applyFont="1" applyBorder="1" applyAlignment="1" applyProtection="1">
      <alignment vertical="top"/>
      <protection locked="0"/>
    </xf>
    <xf numFmtId="3" fontId="537" fillId="134" borderId="356" xfId="0" applyNumberFormat="1" applyFont="1" applyFill="1" applyBorder="1" applyAlignment="1" applyProtection="1">
      <alignment horizontal="center" vertical="top"/>
      <protection locked="0"/>
    </xf>
    <xf numFmtId="0" fontId="537" fillId="0" borderId="356" xfId="0" applyFont="1" applyBorder="1" applyAlignment="1" applyProtection="1">
      <alignment horizontal="center" vertical="top"/>
      <protection locked="0"/>
    </xf>
    <xf numFmtId="0" fontId="537" fillId="0" borderId="356" xfId="0" applyFont="1" applyBorder="1" applyAlignment="1" applyProtection="1">
      <alignment horizontal="left" vertical="top"/>
      <protection locked="0"/>
    </xf>
    <xf numFmtId="0" fontId="537" fillId="0" borderId="356" xfId="0" applyFont="1" applyBorder="1" applyAlignment="1">
      <alignment horizontal="center" vertical="center" wrapText="1"/>
    </xf>
    <xf numFmtId="0" fontId="537" fillId="0" borderId="356" xfId="0" applyFont="1" applyBorder="1" applyAlignment="1">
      <alignment vertical="top" wrapText="1"/>
    </xf>
    <xf numFmtId="0" fontId="537" fillId="0" borderId="241" xfId="0" applyFont="1" applyBorder="1" applyAlignment="1" applyProtection="1">
      <alignment horizontal="center" vertical="top" wrapText="1"/>
      <protection locked="0"/>
    </xf>
    <xf numFmtId="0" fontId="537" fillId="134" borderId="241" xfId="0" applyFont="1" applyFill="1" applyBorder="1" applyAlignment="1" applyProtection="1">
      <alignment horizontal="center" vertical="top" wrapText="1"/>
      <protection locked="0"/>
    </xf>
    <xf numFmtId="0" fontId="537" fillId="175" borderId="241" xfId="0" applyFont="1" applyFill="1" applyBorder="1" applyAlignment="1">
      <alignment horizontal="center" vertical="center" wrapText="1"/>
    </xf>
    <xf numFmtId="363" fontId="341" fillId="0" borderId="0" xfId="27930" applyNumberFormat="1" applyFont="1"/>
    <xf numFmtId="38" fontId="341" fillId="0" borderId="0" xfId="27930" applyNumberFormat="1" applyFont="1"/>
    <xf numFmtId="0" fontId="0" fillId="0" borderId="0" xfId="27931" applyFont="1"/>
    <xf numFmtId="39" fontId="341" fillId="0" borderId="0" xfId="27930" applyNumberFormat="1" applyFont="1"/>
    <xf numFmtId="363" fontId="372" fillId="0" borderId="0" xfId="27930" applyNumberFormat="1" applyFont="1"/>
    <xf numFmtId="39" fontId="372" fillId="0" borderId="0" xfId="27930" applyNumberFormat="1" applyFont="1"/>
    <xf numFmtId="0" fontId="341" fillId="0" borderId="0" xfId="27931" applyFont="1"/>
    <xf numFmtId="366" fontId="169" fillId="107" borderId="163" xfId="27932" quotePrefix="1" applyNumberFormat="1" applyFont="1" applyFill="1" applyBorder="1" applyAlignment="1" applyProtection="1">
      <alignment horizontal="center" vertical="center" wrapText="1"/>
      <protection locked="0"/>
    </xf>
    <xf numFmtId="40" fontId="172" fillId="0" borderId="0" xfId="0" applyNumberFormat="1" applyFont="1" applyAlignment="1">
      <alignment vertical="top"/>
    </xf>
    <xf numFmtId="38" fontId="619" fillId="0" borderId="0" xfId="27970" applyNumberFormat="1" applyFont="1"/>
    <xf numFmtId="234" fontId="11" fillId="0" borderId="365" xfId="22751" applyNumberFormat="1" applyFont="1" applyBorder="1" applyAlignment="1">
      <alignment horizontal="center" vertical="center"/>
    </xf>
    <xf numFmtId="38" fontId="11" fillId="0" borderId="365" xfId="22751" applyNumberFormat="1" applyFont="1" applyBorder="1" applyAlignment="1">
      <alignment horizontal="left" vertical="center" indent="3"/>
    </xf>
    <xf numFmtId="38" fontId="11" fillId="0" borderId="365" xfId="22751" applyNumberFormat="1" applyFont="1" applyBorder="1" applyAlignment="1">
      <alignment horizontal="left" vertical="center"/>
    </xf>
    <xf numFmtId="38" fontId="63" fillId="0" borderId="365" xfId="22751" applyNumberFormat="1" applyFont="1" applyBorder="1" applyAlignment="1">
      <alignment vertical="center" wrapText="1"/>
    </xf>
    <xf numFmtId="38" fontId="341" fillId="0" borderId="0" xfId="22752" applyNumberFormat="1" applyFont="1" applyAlignment="1" applyProtection="1">
      <alignment vertical="center"/>
    </xf>
    <xf numFmtId="43" fontId="547" fillId="34" borderId="0" xfId="19286" applyFont="1" applyFill="1"/>
    <xf numFmtId="171" fontId="545" fillId="34" borderId="0" xfId="27970" applyNumberFormat="1" applyFont="1" applyFill="1"/>
    <xf numFmtId="40" fontId="457" fillId="0" borderId="0" xfId="19286" applyNumberFormat="1" applyFont="1" applyAlignment="1">
      <alignment horizontal="center" vertical="center"/>
    </xf>
    <xf numFmtId="4" fontId="453" fillId="0" borderId="0" xfId="27925" applyNumberFormat="1" applyFont="1" applyAlignment="1">
      <alignment horizontal="left" vertical="center"/>
    </xf>
    <xf numFmtId="0" fontId="605" fillId="0" borderId="0" xfId="27970" applyFont="1"/>
    <xf numFmtId="17" fontId="605" fillId="0" borderId="0" xfId="27970" applyNumberFormat="1" applyFont="1" applyAlignment="1">
      <alignment horizontal="left"/>
    </xf>
    <xf numFmtId="37" fontId="547" fillId="34" borderId="0" xfId="27970" applyNumberFormat="1" applyFont="1" applyFill="1"/>
    <xf numFmtId="171" fontId="527" fillId="204" borderId="269" xfId="27926" applyFont="1" applyFill="1" applyBorder="1" applyAlignment="1">
      <alignment horizontal="left" vertical="center" wrapText="1"/>
    </xf>
    <xf numFmtId="171" fontId="451" fillId="0" borderId="401" xfId="27925" quotePrefix="1" applyNumberFormat="1" applyFont="1" applyBorder="1" applyAlignment="1">
      <alignment horizontal="left" vertical="center" wrapText="1"/>
    </xf>
    <xf numFmtId="40" fontId="622" fillId="0" borderId="0" xfId="19286" applyNumberFormat="1" applyFont="1" applyAlignment="1">
      <alignment horizontal="center" vertical="center"/>
    </xf>
    <xf numFmtId="365" fontId="623" fillId="0" borderId="0" xfId="27925" applyNumberFormat="1" applyFont="1" applyAlignment="1">
      <alignment horizontal="center" vertical="center"/>
    </xf>
    <xf numFmtId="38" fontId="534" fillId="0" borderId="365" xfId="27971" applyNumberFormat="1" applyFont="1" applyBorder="1" applyAlignment="1">
      <alignment horizontal="right" vertical="center"/>
    </xf>
    <xf numFmtId="38" fontId="534" fillId="0" borderId="365" xfId="27971" applyNumberFormat="1" applyFont="1" applyBorder="1" applyAlignment="1">
      <alignment vertical="center"/>
    </xf>
    <xf numFmtId="179" fontId="169" fillId="107" borderId="117" xfId="27932" quotePrefix="1" applyNumberFormat="1" applyFont="1" applyFill="1" applyBorder="1" applyAlignment="1" applyProtection="1">
      <alignment horizontal="left" vertical="center" wrapText="1"/>
      <protection locked="0"/>
    </xf>
    <xf numFmtId="179" fontId="521" fillId="107" borderId="148" xfId="27933" applyNumberFormat="1" applyFont="1" applyFill="1" applyBorder="1" applyAlignment="1" applyProtection="1">
      <alignment horizontal="center" vertical="center" wrapText="1"/>
      <protection locked="0"/>
    </xf>
    <xf numFmtId="210" fontId="60" fillId="0" borderId="0" xfId="22674" applyNumberFormat="1" applyFont="1" applyAlignment="1">
      <alignment horizontal="center" vertical="center"/>
    </xf>
    <xf numFmtId="210" fontId="341" fillId="0" borderId="0" xfId="22674" applyNumberFormat="1" applyFont="1" applyAlignment="1">
      <alignment horizontal="center" vertical="center"/>
    </xf>
    <xf numFmtId="210" fontId="372" fillId="0" borderId="0" xfId="22674" applyNumberFormat="1" applyFont="1" applyAlignment="1">
      <alignment horizontal="center" vertical="center"/>
    </xf>
    <xf numFmtId="0" fontId="0" fillId="0" borderId="0" xfId="22674" applyFont="1" applyAlignment="1">
      <alignment vertical="top"/>
    </xf>
    <xf numFmtId="40" fontId="497" fillId="0" borderId="126" xfId="19286" applyNumberFormat="1" applyFont="1" applyFill="1" applyBorder="1" applyAlignment="1">
      <alignment horizontal="center" vertical="center"/>
    </xf>
    <xf numFmtId="43" fontId="437" fillId="0" borderId="0" xfId="19286" quotePrefix="1" applyFont="1" applyAlignment="1" applyProtection="1">
      <alignment horizontal="center" vertical="center"/>
      <protection locked="0"/>
    </xf>
    <xf numFmtId="0" fontId="172" fillId="194" borderId="0" xfId="0" applyFont="1" applyFill="1" applyAlignment="1">
      <alignment vertical="top"/>
    </xf>
    <xf numFmtId="0" fontId="66" fillId="194" borderId="0" xfId="19278" applyFont="1" applyFill="1"/>
    <xf numFmtId="40" fontId="453" fillId="0" borderId="0" xfId="19286" applyNumberFormat="1" applyFont="1" applyAlignment="1">
      <alignment vertical="center"/>
    </xf>
    <xf numFmtId="40" fontId="354" fillId="0" borderId="0" xfId="22674" applyNumberFormat="1" applyFont="1"/>
    <xf numFmtId="171" fontId="547" fillId="34" borderId="0" xfId="27970" applyNumberFormat="1" applyFont="1" applyFill="1"/>
    <xf numFmtId="37" fontId="451" fillId="0" borderId="0" xfId="27925" applyNumberFormat="1" applyFont="1"/>
    <xf numFmtId="0" fontId="491" fillId="34" borderId="0" xfId="27938" applyFont="1" applyFill="1" applyAlignment="1">
      <alignment vertical="center" wrapText="1"/>
    </xf>
    <xf numFmtId="0" fontId="491" fillId="34" borderId="0" xfId="27938" applyFont="1" applyFill="1" applyAlignment="1">
      <alignment horizontal="center" vertical="center" wrapText="1"/>
    </xf>
    <xf numFmtId="43" fontId="0" fillId="0" borderId="0" xfId="19286" applyFont="1" applyFill="1" applyAlignment="1">
      <alignment vertical="center"/>
    </xf>
    <xf numFmtId="171" fontId="451" fillId="0" borderId="268" xfId="27926" applyFont="1" applyFill="1" applyBorder="1" applyAlignment="1">
      <alignment horizontal="left" vertical="center"/>
    </xf>
    <xf numFmtId="37" fontId="605" fillId="223" borderId="115" xfId="27971" applyNumberFormat="1" applyFont="1" applyFill="1" applyBorder="1" applyAlignment="1">
      <alignment horizontal="center" vertical="center"/>
    </xf>
    <xf numFmtId="37" fontId="605" fillId="224" borderId="115" xfId="27971" applyNumberFormat="1" applyFont="1" applyFill="1" applyBorder="1" applyAlignment="1">
      <alignment horizontal="center" vertical="center"/>
    </xf>
    <xf numFmtId="0" fontId="540" fillId="34" borderId="0" xfId="27970" applyFont="1" applyFill="1" applyAlignment="1">
      <alignment horizontal="left" vertical="center" wrapText="1"/>
    </xf>
    <xf numFmtId="0" fontId="540" fillId="34" borderId="0" xfId="27970" applyFont="1" applyFill="1" applyAlignment="1">
      <alignment vertical="center" wrapText="1"/>
    </xf>
    <xf numFmtId="0" fontId="540" fillId="34" borderId="0" xfId="27970" applyFont="1" applyFill="1" applyAlignment="1">
      <alignment vertical="center"/>
    </xf>
    <xf numFmtId="40" fontId="169" fillId="106" borderId="126" xfId="19286" applyNumberFormat="1" applyFont="1" applyFill="1" applyBorder="1" applyAlignment="1">
      <alignment horizontal="center" vertical="center"/>
    </xf>
    <xf numFmtId="38" fontId="169" fillId="106" borderId="126" xfId="0" applyNumberFormat="1" applyFont="1" applyFill="1" applyBorder="1" applyAlignment="1">
      <alignment vertical="center" wrapText="1"/>
    </xf>
    <xf numFmtId="38" fontId="169" fillId="106" borderId="126" xfId="0" applyNumberFormat="1" applyFont="1" applyFill="1" applyBorder="1" applyAlignment="1">
      <alignment horizontal="center" vertical="center" wrapText="1"/>
    </xf>
    <xf numFmtId="40" fontId="172" fillId="106" borderId="126" xfId="19286" applyNumberFormat="1" applyFont="1" applyFill="1" applyBorder="1" applyAlignment="1">
      <alignment horizontal="center" vertical="center" wrapText="1"/>
    </xf>
    <xf numFmtId="360" fontId="172" fillId="106" borderId="126" xfId="19286" applyNumberFormat="1" applyFont="1" applyFill="1" applyBorder="1" applyAlignment="1">
      <alignment horizontal="center" vertical="center" wrapText="1"/>
    </xf>
    <xf numFmtId="14" fontId="0" fillId="0" borderId="0" xfId="0" applyNumberFormat="1" applyAlignment="1">
      <alignment wrapText="1"/>
    </xf>
    <xf numFmtId="210" fontId="60" fillId="0" borderId="0" xfId="22674" applyNumberFormat="1" applyFont="1" applyAlignment="1">
      <alignment vertical="top"/>
    </xf>
    <xf numFmtId="38" fontId="60" fillId="0" borderId="0" xfId="19286" applyNumberFormat="1" applyFont="1" applyAlignment="1">
      <alignment vertical="top"/>
    </xf>
    <xf numFmtId="38" fontId="341" fillId="0" borderId="0" xfId="19286" applyNumberFormat="1" applyFont="1" applyAlignment="1">
      <alignment vertical="top"/>
    </xf>
    <xf numFmtId="364" fontId="0" fillId="0" borderId="0" xfId="22674" applyNumberFormat="1" applyFont="1" applyAlignment="1">
      <alignment horizontal="left" vertical="center"/>
    </xf>
    <xf numFmtId="0" fontId="172" fillId="119" borderId="135" xfId="0" applyFont="1" applyFill="1" applyBorder="1" applyAlignment="1">
      <alignment horizontal="center" vertical="center"/>
    </xf>
    <xf numFmtId="43" fontId="547" fillId="34" borderId="0" xfId="19286" applyFont="1" applyFill="1" applyAlignment="1">
      <alignment vertical="top"/>
    </xf>
    <xf numFmtId="43" fontId="547" fillId="34" borderId="0" xfId="19286" applyFont="1" applyFill="1" applyAlignment="1">
      <alignment vertical="center"/>
    </xf>
    <xf numFmtId="0" fontId="172" fillId="106" borderId="216" xfId="0" applyFont="1" applyFill="1" applyBorder="1" applyAlignment="1">
      <alignment horizontal="center" vertical="center"/>
    </xf>
    <xf numFmtId="179" fontId="547" fillId="34" borderId="0" xfId="27971" applyNumberFormat="1" applyFont="1" applyFill="1" applyAlignment="1">
      <alignment horizontal="left"/>
    </xf>
    <xf numFmtId="0" fontId="606" fillId="0" borderId="0" xfId="27971" applyNumberFormat="1" applyFont="1" applyFill="1" applyBorder="1" applyAlignment="1">
      <alignment vertical="center"/>
    </xf>
    <xf numFmtId="40" fontId="441" fillId="0" borderId="0" xfId="22678" quotePrefix="1" applyNumberFormat="1" applyFont="1" applyAlignment="1" applyProtection="1">
      <alignment horizontal="right" vertical="center"/>
      <protection locked="0"/>
    </xf>
    <xf numFmtId="40" fontId="441" fillId="0" borderId="0" xfId="19286" quotePrefix="1" applyNumberFormat="1" applyFont="1" applyAlignment="1" applyProtection="1">
      <alignment horizontal="center" vertical="center"/>
      <protection locked="0"/>
    </xf>
    <xf numFmtId="40" fontId="437" fillId="0" borderId="0" xfId="22678" quotePrefix="1" applyNumberFormat="1" applyFont="1" applyAlignment="1" applyProtection="1">
      <alignment horizontal="right" vertical="center"/>
      <protection locked="0"/>
    </xf>
    <xf numFmtId="40" fontId="437" fillId="0" borderId="0" xfId="19286" quotePrefix="1" applyNumberFormat="1" applyFont="1" applyAlignment="1" applyProtection="1">
      <alignment horizontal="center" vertical="center"/>
      <protection locked="0"/>
    </xf>
    <xf numFmtId="40" fontId="624" fillId="0" borderId="0" xfId="22678" quotePrefix="1" applyNumberFormat="1" applyFont="1" applyAlignment="1" applyProtection="1">
      <alignment horizontal="right" vertical="center"/>
      <protection locked="0"/>
    </xf>
    <xf numFmtId="40" fontId="625" fillId="0" borderId="0" xfId="22678" quotePrefix="1" applyNumberFormat="1" applyFont="1" applyAlignment="1" applyProtection="1">
      <alignment horizontal="center" vertical="center"/>
      <protection locked="0"/>
    </xf>
    <xf numFmtId="40" fontId="625" fillId="0" borderId="0" xfId="27944" applyNumberFormat="1" applyFont="1" applyFill="1" applyBorder="1" applyAlignment="1" applyProtection="1">
      <alignment horizontal="center" vertical="center"/>
      <protection locked="0"/>
    </xf>
    <xf numFmtId="40" fontId="624" fillId="0" borderId="0" xfId="19286" quotePrefix="1" applyNumberFormat="1" applyFont="1" applyAlignment="1" applyProtection="1">
      <alignment horizontal="center" vertical="center"/>
      <protection locked="0"/>
    </xf>
    <xf numFmtId="40" fontId="437" fillId="194" borderId="0" xfId="22678" quotePrefix="1" applyNumberFormat="1" applyFont="1" applyFill="1" applyAlignment="1" applyProtection="1">
      <alignment horizontal="center" vertical="center"/>
      <protection locked="0"/>
    </xf>
    <xf numFmtId="359" fontId="437" fillId="194" borderId="0" xfId="22678" applyFont="1" applyFill="1" applyAlignment="1" applyProtection="1">
      <alignment vertical="center"/>
      <protection locked="0"/>
    </xf>
    <xf numFmtId="40" fontId="624" fillId="194" borderId="0" xfId="22678" quotePrefix="1" applyNumberFormat="1" applyFont="1" applyFill="1" applyAlignment="1" applyProtection="1">
      <alignment horizontal="right" vertical="center"/>
      <protection locked="0"/>
    </xf>
    <xf numFmtId="40" fontId="625" fillId="194" borderId="0" xfId="22678" quotePrefix="1" applyNumberFormat="1" applyFont="1" applyFill="1" applyAlignment="1" applyProtection="1">
      <alignment horizontal="center" vertical="center"/>
      <protection locked="0"/>
    </xf>
    <xf numFmtId="40" fontId="625" fillId="194" borderId="0" xfId="27944" applyNumberFormat="1" applyFont="1" applyFill="1" applyBorder="1" applyAlignment="1" applyProtection="1">
      <alignment horizontal="center" vertical="center"/>
      <protection locked="0"/>
    </xf>
    <xf numFmtId="40" fontId="624" fillId="194" borderId="0" xfId="19286" quotePrefix="1" applyNumberFormat="1" applyFont="1" applyFill="1" applyAlignment="1" applyProtection="1">
      <alignment horizontal="center" vertical="center"/>
      <protection locked="0"/>
    </xf>
    <xf numFmtId="0" fontId="60" fillId="0" borderId="0" xfId="22674" applyFont="1" applyAlignment="1">
      <alignment horizontal="left"/>
    </xf>
    <xf numFmtId="14" fontId="60" fillId="0" borderId="0" xfId="22674" applyNumberFormat="1" applyFont="1" applyAlignment="1">
      <alignment horizontal="left"/>
    </xf>
    <xf numFmtId="0" fontId="507" fillId="0" borderId="0" xfId="22674" applyFont="1" applyAlignment="1">
      <alignment horizontal="left" vertical="center" wrapText="1"/>
    </xf>
    <xf numFmtId="0" fontId="425" fillId="0" borderId="0" xfId="22674" applyFont="1" applyAlignment="1">
      <alignment horizontal="left"/>
    </xf>
    <xf numFmtId="364" fontId="60" fillId="0" borderId="0" xfId="22674" applyNumberFormat="1" applyFont="1" applyAlignment="1">
      <alignment horizontal="left" vertical="center"/>
    </xf>
    <xf numFmtId="0" fontId="533" fillId="107" borderId="0" xfId="0" applyFont="1" applyFill="1" applyAlignment="1">
      <alignment vertical="center"/>
    </xf>
    <xf numFmtId="0" fontId="534" fillId="135" borderId="216" xfId="27970" applyFont="1" applyFill="1" applyBorder="1"/>
    <xf numFmtId="0" fontId="534" fillId="135" borderId="365" xfId="27970" applyFont="1" applyFill="1" applyBorder="1" applyAlignment="1">
      <alignment horizontal="left" indent="1"/>
    </xf>
    <xf numFmtId="0" fontId="534" fillId="135" borderId="223" xfId="27970" applyFont="1" applyFill="1" applyBorder="1" applyAlignment="1">
      <alignment horizontal="left" indent="1"/>
    </xf>
    <xf numFmtId="38" fontId="534" fillId="135" borderId="216" xfId="27970" applyNumberFormat="1" applyFont="1" applyFill="1" applyBorder="1" applyAlignment="1">
      <alignment horizontal="left" indent="1"/>
    </xf>
    <xf numFmtId="38" fontId="534" fillId="135" borderId="365" xfId="27971" applyNumberFormat="1" applyFont="1" applyFill="1" applyBorder="1"/>
    <xf numFmtId="38" fontId="534" fillId="135" borderId="365" xfId="27971" applyNumberFormat="1" applyFont="1" applyFill="1" applyBorder="1" applyAlignment="1">
      <alignment horizontal="right"/>
    </xf>
    <xf numFmtId="38" fontId="534" fillId="135" borderId="217" xfId="27971" applyNumberFormat="1" applyFont="1" applyFill="1" applyBorder="1" applyAlignment="1">
      <alignment horizontal="right"/>
    </xf>
    <xf numFmtId="171" fontId="528" fillId="135" borderId="350" xfId="27961" applyFont="1" applyFill="1" applyBorder="1" applyAlignment="1">
      <alignment horizontal="left" vertical="center" wrapText="1"/>
    </xf>
    <xf numFmtId="179" fontId="479" fillId="135" borderId="350" xfId="27961" applyNumberFormat="1" applyFont="1" applyFill="1" applyBorder="1" applyAlignment="1">
      <alignment vertical="center"/>
    </xf>
    <xf numFmtId="179" fontId="479" fillId="135" borderId="350" xfId="27961" applyNumberFormat="1" applyFont="1" applyFill="1" applyBorder="1" applyAlignment="1">
      <alignment vertical="center" wrapText="1"/>
    </xf>
    <xf numFmtId="179" fontId="479" fillId="135" borderId="127" xfId="27961" applyNumberFormat="1" applyFont="1" applyFill="1" applyBorder="1" applyAlignment="1">
      <alignment vertical="center"/>
    </xf>
    <xf numFmtId="38" fontId="63" fillId="135" borderId="365" xfId="22751" applyNumberFormat="1" applyFont="1" applyFill="1" applyBorder="1" applyAlignment="1">
      <alignment horizontal="left" vertical="center" indent="3"/>
    </xf>
    <xf numFmtId="38" fontId="63" fillId="135" borderId="365" xfId="22752" applyNumberFormat="1" applyFont="1" applyFill="1" applyBorder="1" applyAlignment="1" applyProtection="1">
      <alignment horizontal="right" vertical="center"/>
    </xf>
    <xf numFmtId="40" fontId="63" fillId="135" borderId="365" xfId="22752" applyNumberFormat="1" applyFont="1" applyFill="1" applyBorder="1" applyAlignment="1" applyProtection="1">
      <alignment horizontal="right" vertical="center"/>
    </xf>
    <xf numFmtId="38" fontId="45" fillId="135" borderId="0" xfId="22751" applyNumberFormat="1" applyFill="1" applyAlignment="1">
      <alignment vertical="center"/>
    </xf>
    <xf numFmtId="38" fontId="10" fillId="135" borderId="365" xfId="22751" applyNumberFormat="1" applyFont="1" applyFill="1" applyBorder="1" applyAlignment="1">
      <alignment horizontal="center" vertical="center"/>
    </xf>
    <xf numFmtId="38" fontId="10" fillId="135" borderId="365" xfId="22751" applyNumberFormat="1" applyFont="1" applyFill="1" applyBorder="1" applyAlignment="1">
      <alignment horizontal="left" vertical="center" wrapText="1"/>
    </xf>
    <xf numFmtId="38" fontId="10" fillId="135" borderId="365" xfId="22751" applyNumberFormat="1" applyFont="1" applyFill="1" applyBorder="1" applyAlignment="1">
      <alignment horizontal="left" vertical="center" wrapText="1" indent="3"/>
    </xf>
    <xf numFmtId="0" fontId="353" fillId="135" borderId="145" xfId="22678" quotePrefix="1" applyNumberFormat="1" applyFont="1" applyFill="1" applyBorder="1" applyAlignment="1" applyProtection="1">
      <alignment horizontal="center" vertical="center"/>
      <protection locked="0"/>
    </xf>
    <xf numFmtId="179" fontId="169" fillId="135" borderId="117" xfId="27932" applyNumberFormat="1" applyFont="1" applyFill="1" applyBorder="1" applyAlignment="1" applyProtection="1">
      <alignment horizontal="left" vertical="center" wrapText="1"/>
      <protection locked="0"/>
    </xf>
    <xf numFmtId="179" fontId="169" fillId="135" borderId="117" xfId="27932" applyNumberFormat="1" applyFont="1" applyFill="1" applyBorder="1" applyAlignment="1" applyProtection="1">
      <alignment horizontal="center" vertical="center" wrapText="1"/>
      <protection locked="0"/>
    </xf>
    <xf numFmtId="179" fontId="169" fillId="135" borderId="45" xfId="27932" applyNumberFormat="1" applyFont="1" applyFill="1" applyBorder="1" applyAlignment="1" applyProtection="1">
      <alignment horizontal="center" vertical="center"/>
      <protection locked="0"/>
    </xf>
    <xf numFmtId="179" fontId="169" fillId="135" borderId="349" xfId="27932" applyNumberFormat="1" applyFont="1" applyFill="1" applyBorder="1" applyAlignment="1" applyProtection="1">
      <alignment horizontal="center" vertical="center"/>
      <protection locked="0"/>
    </xf>
    <xf numFmtId="179" fontId="169" fillId="135" borderId="350" xfId="27932" applyNumberFormat="1" applyFont="1" applyFill="1" applyBorder="1" applyAlignment="1" applyProtection="1">
      <alignment horizontal="center" vertical="center"/>
      <protection locked="0"/>
    </xf>
    <xf numFmtId="179" fontId="169" fillId="135" borderId="351" xfId="27932" applyNumberFormat="1" applyFont="1" applyFill="1" applyBorder="1" applyAlignment="1" applyProtection="1">
      <alignment horizontal="center" vertical="center" wrapText="1"/>
      <protection locked="0"/>
    </xf>
    <xf numFmtId="179" fontId="169" fillId="135" borderId="145" xfId="27932" applyNumberFormat="1" applyFont="1" applyFill="1" applyBorder="1" applyAlignment="1" applyProtection="1">
      <alignment horizontal="center" vertical="center"/>
      <protection locked="0"/>
    </xf>
    <xf numFmtId="49" fontId="169" fillId="135" borderId="214" xfId="22678" quotePrefix="1" applyNumberFormat="1" applyFont="1" applyFill="1" applyBorder="1" applyAlignment="1" applyProtection="1">
      <alignment horizontal="center" vertical="center" wrapText="1"/>
      <protection locked="0"/>
    </xf>
    <xf numFmtId="360" fontId="169" fillId="135" borderId="117" xfId="27932" applyNumberFormat="1" applyFont="1" applyFill="1" applyBorder="1" applyAlignment="1" applyProtection="1">
      <alignment horizontal="center" vertical="center" wrapText="1"/>
      <protection locked="0"/>
    </xf>
    <xf numFmtId="179" fontId="169" fillId="135" borderId="45" xfId="27932" applyNumberFormat="1" applyFont="1" applyFill="1" applyBorder="1" applyAlignment="1" applyProtection="1">
      <alignment horizontal="center" vertical="center" wrapText="1"/>
      <protection locked="0"/>
    </xf>
    <xf numFmtId="179" fontId="169" fillId="135" borderId="351" xfId="27933" applyNumberFormat="1" applyFont="1" applyFill="1" applyBorder="1" applyAlignment="1" applyProtection="1">
      <alignment horizontal="center" vertical="center"/>
      <protection locked="0"/>
    </xf>
    <xf numFmtId="179" fontId="169" fillId="135" borderId="146" xfId="27933" applyNumberFormat="1" applyFont="1" applyFill="1" applyBorder="1" applyAlignment="1" applyProtection="1">
      <alignment horizontal="center" vertical="center" wrapText="1"/>
      <protection locked="0"/>
    </xf>
    <xf numFmtId="179" fontId="169" fillId="135" borderId="148" xfId="27933" applyNumberFormat="1" applyFont="1" applyFill="1" applyBorder="1" applyAlignment="1" applyProtection="1">
      <alignment horizontal="center" vertical="center" wrapText="1"/>
      <protection locked="0"/>
    </xf>
    <xf numFmtId="0" fontId="169" fillId="135" borderId="117" xfId="22678" quotePrefix="1" applyNumberFormat="1" applyFont="1" applyFill="1" applyBorder="1" applyAlignment="1" applyProtection="1">
      <alignment horizontal="center" vertical="center"/>
      <protection locked="0"/>
    </xf>
    <xf numFmtId="360" fontId="169" fillId="135" borderId="117" xfId="27932" applyNumberFormat="1" applyFont="1" applyFill="1" applyBorder="1" applyAlignment="1" applyProtection="1">
      <alignment horizontal="center" vertical="center"/>
      <protection locked="0"/>
    </xf>
    <xf numFmtId="40" fontId="169" fillId="135" borderId="146" xfId="27932" applyNumberFormat="1" applyFont="1" applyFill="1" applyBorder="1" applyAlignment="1" applyProtection="1">
      <alignment horizontal="center" vertical="center"/>
      <protection locked="0"/>
    </xf>
    <xf numFmtId="43" fontId="353" fillId="0" borderId="0" xfId="19286" applyFont="1" applyAlignment="1" applyProtection="1">
      <alignment horizontal="center" vertical="center"/>
      <protection locked="0"/>
    </xf>
    <xf numFmtId="363" fontId="169" fillId="107" borderId="117" xfId="27932" applyNumberFormat="1" applyFont="1" applyFill="1" applyBorder="1" applyAlignment="1" applyProtection="1">
      <alignment horizontal="center" vertical="center" wrapText="1"/>
      <protection locked="0"/>
    </xf>
    <xf numFmtId="0" fontId="437" fillId="204" borderId="214" xfId="22678" quotePrefix="1" applyNumberFormat="1" applyFont="1" applyFill="1" applyBorder="1" applyAlignment="1" applyProtection="1">
      <alignment horizontal="center" vertical="center" wrapText="1"/>
      <protection locked="0"/>
    </xf>
    <xf numFmtId="15" fontId="437" fillId="204" borderId="117" xfId="22678" quotePrefix="1" applyNumberFormat="1" applyFont="1" applyFill="1" applyBorder="1" applyAlignment="1" applyProtection="1">
      <alignment horizontal="center" vertical="center" wrapText="1"/>
      <protection locked="0"/>
    </xf>
    <xf numFmtId="0" fontId="0" fillId="204" borderId="0" xfId="0" applyFill="1"/>
    <xf numFmtId="40" fontId="64" fillId="0" borderId="0" xfId="19286" applyNumberFormat="1" applyFont="1" applyAlignment="1">
      <alignment vertical="center"/>
    </xf>
    <xf numFmtId="38" fontId="341" fillId="0" borderId="0" xfId="0" applyNumberFormat="1" applyFont="1"/>
    <xf numFmtId="40" fontId="453" fillId="0" borderId="0" xfId="27925" applyNumberFormat="1" applyFont="1" applyAlignment="1">
      <alignment horizontal="center"/>
    </xf>
    <xf numFmtId="40" fontId="451" fillId="0" borderId="0" xfId="27925" applyNumberFormat="1" applyFont="1" applyAlignment="1">
      <alignment horizontal="center"/>
    </xf>
    <xf numFmtId="365" fontId="451" fillId="0" borderId="0" xfId="27925" applyNumberFormat="1" applyFont="1" applyAlignment="1">
      <alignment horizontal="center" vertical="center"/>
    </xf>
    <xf numFmtId="38" fontId="10" fillId="0" borderId="365" xfId="22751" applyNumberFormat="1" applyFont="1" applyBorder="1" applyAlignment="1">
      <alignment horizontal="left" vertical="center" wrapText="1" indent="3"/>
    </xf>
    <xf numFmtId="40" fontId="623" fillId="0" borderId="0" xfId="19286" applyNumberFormat="1" applyFont="1" applyAlignment="1">
      <alignment horizontal="right" vertical="center"/>
    </xf>
    <xf numFmtId="40" fontId="623" fillId="0" borderId="0" xfId="19286" applyNumberFormat="1" applyFont="1" applyAlignment="1">
      <alignment vertical="center"/>
    </xf>
    <xf numFmtId="40" fontId="623" fillId="0" borderId="0" xfId="19286" applyNumberFormat="1" applyFont="1"/>
    <xf numFmtId="37" fontId="451" fillId="0" borderId="0" xfId="27925" applyNumberFormat="1" applyFont="1" applyAlignment="1">
      <alignment horizontal="left" vertical="center"/>
    </xf>
    <xf numFmtId="43" fontId="492" fillId="150" borderId="241" xfId="19286" applyFont="1" applyFill="1" applyBorder="1" applyAlignment="1">
      <alignment horizontal="center" vertical="center" wrapText="1"/>
    </xf>
    <xf numFmtId="210" fontId="169" fillId="177" borderId="214" xfId="27932" applyNumberFormat="1" applyFont="1" applyFill="1" applyBorder="1" applyAlignment="1" applyProtection="1">
      <alignment horizontal="center" vertical="center"/>
      <protection locked="0"/>
    </xf>
    <xf numFmtId="38" fontId="9" fillId="0" borderId="365" xfId="22751" applyNumberFormat="1" applyFont="1" applyBorder="1" applyAlignment="1">
      <alignment horizontal="left" vertical="center" wrapText="1" indent="3"/>
    </xf>
    <xf numFmtId="0" fontId="627" fillId="134" borderId="51" xfId="0" applyFont="1" applyFill="1" applyBorder="1" applyAlignment="1">
      <alignment horizontal="center" vertical="center" wrapText="1"/>
    </xf>
    <xf numFmtId="0" fontId="628" fillId="134" borderId="51" xfId="0" applyFont="1" applyFill="1" applyBorder="1" applyAlignment="1">
      <alignment horizontal="center" vertical="center" wrapText="1"/>
    </xf>
    <xf numFmtId="0" fontId="629" fillId="134" borderId="51" xfId="0" applyFont="1" applyFill="1" applyBorder="1" applyAlignment="1">
      <alignment horizontal="center" vertical="center" wrapText="1"/>
    </xf>
    <xf numFmtId="0" fontId="629" fillId="0" borderId="550" xfId="0" applyFont="1" applyBorder="1" applyAlignment="1">
      <alignment horizontal="left" vertical="center"/>
    </xf>
    <xf numFmtId="40" fontId="629" fillId="0" borderId="551" xfId="19286" applyNumberFormat="1" applyFont="1" applyBorder="1" applyAlignment="1">
      <alignment vertical="center"/>
    </xf>
    <xf numFmtId="40" fontId="629" fillId="0" borderId="552" xfId="19286" applyNumberFormat="1" applyFont="1" applyBorder="1" applyAlignment="1">
      <alignment vertical="center"/>
    </xf>
    <xf numFmtId="40" fontId="629" fillId="0" borderId="551" xfId="19286" applyNumberFormat="1" applyFont="1" applyBorder="1" applyAlignment="1">
      <alignment vertical="center" wrapText="1"/>
    </xf>
    <xf numFmtId="40" fontId="629" fillId="0" borderId="554" xfId="19286" applyNumberFormat="1" applyFont="1" applyBorder="1" applyAlignment="1">
      <alignment vertical="center"/>
    </xf>
    <xf numFmtId="40" fontId="629" fillId="0" borderId="555" xfId="19286" applyNumberFormat="1" applyFont="1" applyBorder="1" applyAlignment="1">
      <alignment vertical="center"/>
    </xf>
    <xf numFmtId="40" fontId="629" fillId="0" borderId="554" xfId="19286" applyNumberFormat="1" applyFont="1" applyBorder="1" applyAlignment="1">
      <alignment vertical="center" wrapText="1"/>
    </xf>
    <xf numFmtId="0" fontId="626" fillId="175" borderId="340" xfId="0" applyFont="1" applyFill="1" applyBorder="1" applyAlignment="1">
      <alignment horizontal="left" vertical="center"/>
    </xf>
    <xf numFmtId="43" fontId="626" fillId="108" borderId="557" xfId="19286" applyFont="1" applyFill="1" applyBorder="1" applyAlignment="1">
      <alignment vertical="center"/>
    </xf>
    <xf numFmtId="40" fontId="626" fillId="175" borderId="558" xfId="19286" applyNumberFormat="1" applyFont="1" applyFill="1" applyBorder="1" applyAlignment="1">
      <alignment vertical="center"/>
    </xf>
    <xf numFmtId="40" fontId="626" fillId="175" borderId="558" xfId="19286" applyNumberFormat="1" applyFont="1" applyFill="1" applyBorder="1" applyAlignment="1">
      <alignment horizontal="right" vertical="center"/>
    </xf>
    <xf numFmtId="40" fontId="626" fillId="175" borderId="558" xfId="19286" applyNumberFormat="1" applyFont="1" applyFill="1" applyBorder="1" applyAlignment="1">
      <alignment horizontal="right" vertical="center" wrapText="1"/>
    </xf>
    <xf numFmtId="0" fontId="627" fillId="134" borderId="50" xfId="0" applyFont="1" applyFill="1" applyBorder="1" applyAlignment="1">
      <alignment horizontal="center" vertical="center" wrapText="1"/>
    </xf>
    <xf numFmtId="40" fontId="629" fillId="134" borderId="552" xfId="19286" applyNumberFormat="1" applyFont="1" applyFill="1" applyBorder="1" applyAlignment="1">
      <alignment vertical="center"/>
    </xf>
    <xf numFmtId="40" fontId="629" fillId="134" borderId="551" xfId="19286" applyNumberFormat="1" applyFont="1" applyFill="1" applyBorder="1" applyAlignment="1">
      <alignment vertical="center" wrapText="1"/>
    </xf>
    <xf numFmtId="171" fontId="451" fillId="0" borderId="401" xfId="27925" applyNumberFormat="1" applyFont="1" applyBorder="1" applyAlignment="1">
      <alignment vertical="top" wrapText="1"/>
    </xf>
    <xf numFmtId="360" fontId="497" fillId="0" borderId="117" xfId="27932" applyNumberFormat="1" applyFont="1" applyFill="1" applyBorder="1" applyAlignment="1" applyProtection="1">
      <alignment horizontal="center" vertical="center"/>
      <protection locked="0"/>
    </xf>
    <xf numFmtId="40" fontId="497" fillId="0" borderId="146" xfId="27932" applyNumberFormat="1" applyFont="1" applyFill="1" applyBorder="1" applyAlignment="1" applyProtection="1">
      <alignment horizontal="center" vertical="center"/>
      <protection locked="0"/>
    </xf>
    <xf numFmtId="40" fontId="629" fillId="134" borderId="551" xfId="19286" applyNumberFormat="1" applyFont="1" applyFill="1" applyBorder="1" applyAlignment="1">
      <alignment vertical="center"/>
    </xf>
    <xf numFmtId="40" fontId="629" fillId="134" borderId="554" xfId="19286" applyNumberFormat="1" applyFont="1" applyFill="1" applyBorder="1" applyAlignment="1">
      <alignment vertical="center"/>
    </xf>
    <xf numFmtId="38" fontId="0" fillId="0" borderId="0" xfId="0" applyNumberFormat="1"/>
    <xf numFmtId="40" fontId="629" fillId="204" borderId="551" xfId="19286" applyNumberFormat="1" applyFont="1" applyFill="1" applyBorder="1" applyAlignment="1">
      <alignment horizontal="right" vertical="center" wrapText="1"/>
    </xf>
    <xf numFmtId="40" fontId="629" fillId="204" borderId="554" xfId="19286" applyNumberFormat="1" applyFont="1" applyFill="1" applyBorder="1" applyAlignment="1">
      <alignment horizontal="right" vertical="center" wrapText="1"/>
    </xf>
    <xf numFmtId="40" fontId="629" fillId="204" borderId="555" xfId="19286" applyNumberFormat="1" applyFont="1" applyFill="1" applyBorder="1" applyAlignment="1">
      <alignment horizontal="right" vertical="center" wrapText="1"/>
    </xf>
    <xf numFmtId="14" fontId="169" fillId="0" borderId="117" xfId="27932" applyNumberFormat="1" applyFont="1" applyBorder="1" applyAlignment="1" applyProtection="1">
      <alignment horizontal="center" vertical="center" wrapText="1"/>
      <protection locked="0"/>
    </xf>
    <xf numFmtId="234" fontId="9" fillId="0" borderId="365" xfId="22751" applyNumberFormat="1" applyFont="1" applyBorder="1" applyAlignment="1">
      <alignment horizontal="center" vertical="center"/>
    </xf>
    <xf numFmtId="366" fontId="169" fillId="177" borderId="117" xfId="27932" applyNumberFormat="1" applyFont="1" applyFill="1" applyBorder="1" applyAlignment="1" applyProtection="1">
      <alignment horizontal="center" vertical="center"/>
      <protection locked="0"/>
    </xf>
    <xf numFmtId="363" fontId="169" fillId="177" borderId="117" xfId="27932" applyNumberFormat="1" applyFont="1" applyFill="1" applyBorder="1" applyAlignment="1" applyProtection="1">
      <alignment horizontal="center" vertical="center"/>
      <protection locked="0"/>
    </xf>
    <xf numFmtId="179" fontId="169" fillId="177" borderId="218" xfId="27932" applyNumberFormat="1" applyFont="1" applyFill="1" applyBorder="1" applyAlignment="1" applyProtection="1">
      <alignment horizontal="center" vertical="center"/>
      <protection locked="0"/>
    </xf>
    <xf numFmtId="179" fontId="169" fillId="177" borderId="147" xfId="27932" applyNumberFormat="1" applyFont="1" applyFill="1" applyBorder="1" applyAlignment="1" applyProtection="1">
      <alignment horizontal="center" vertical="center"/>
      <protection locked="0"/>
    </xf>
    <xf numFmtId="359" fontId="169" fillId="177" borderId="148" xfId="22678" applyFont="1" applyFill="1" applyBorder="1" applyAlignment="1" applyProtection="1">
      <alignment horizontal="left" vertical="top" wrapText="1"/>
      <protection locked="0"/>
    </xf>
    <xf numFmtId="0" fontId="437" fillId="0" borderId="214" xfId="22678" applyNumberFormat="1" applyFont="1" applyBorder="1" applyAlignment="1" applyProtection="1">
      <alignment horizontal="center" vertical="center"/>
      <protection locked="0"/>
    </xf>
    <xf numFmtId="15" fontId="437" fillId="0" borderId="117" xfId="22678" applyNumberFormat="1" applyFont="1" applyBorder="1" applyAlignment="1" applyProtection="1">
      <alignment horizontal="center" vertical="center"/>
      <protection locked="0"/>
    </xf>
    <xf numFmtId="38" fontId="437" fillId="0" borderId="117" xfId="22678" applyNumberFormat="1" applyFont="1" applyBorder="1" applyAlignment="1" applyProtection="1">
      <alignment horizontal="center" vertical="center"/>
      <protection locked="0"/>
    </xf>
    <xf numFmtId="0" fontId="437" fillId="224" borderId="214" xfId="22678" quotePrefix="1" applyNumberFormat="1" applyFont="1" applyFill="1" applyBorder="1" applyAlignment="1" applyProtection="1">
      <alignment horizontal="center" vertical="center" wrapText="1"/>
      <protection locked="0"/>
    </xf>
    <xf numFmtId="15" fontId="437" fillId="224" borderId="117" xfId="22678" applyNumberFormat="1" applyFont="1" applyFill="1" applyBorder="1" applyAlignment="1" applyProtection="1">
      <alignment horizontal="center" vertical="center"/>
      <protection locked="0"/>
    </xf>
    <xf numFmtId="15" fontId="437" fillId="224" borderId="117" xfId="22678" quotePrefix="1" applyNumberFormat="1" applyFont="1" applyFill="1" applyBorder="1" applyAlignment="1" applyProtection="1">
      <alignment horizontal="center" vertical="center"/>
      <protection locked="0"/>
    </xf>
    <xf numFmtId="15" fontId="437" fillId="224" borderId="117" xfId="27944" applyNumberFormat="1" applyFont="1" applyFill="1" applyBorder="1" applyAlignment="1" applyProtection="1">
      <alignment horizontal="center" vertical="center"/>
      <protection locked="0"/>
    </xf>
    <xf numFmtId="38" fontId="437" fillId="224" borderId="117" xfId="22678" applyNumberFormat="1" applyFont="1" applyFill="1" applyBorder="1" applyAlignment="1" applyProtection="1">
      <alignment horizontal="center" vertical="center"/>
      <protection locked="0"/>
    </xf>
    <xf numFmtId="40" fontId="437" fillId="224" borderId="214" xfId="22678" quotePrefix="1" applyNumberFormat="1" applyFont="1" applyFill="1" applyBorder="1" applyAlignment="1" applyProtection="1">
      <alignment horizontal="center" vertical="center"/>
      <protection locked="0"/>
    </xf>
    <xf numFmtId="15" fontId="437" fillId="204" borderId="117" xfId="22678" applyNumberFormat="1" applyFont="1" applyFill="1" applyBorder="1" applyAlignment="1" applyProtection="1">
      <alignment horizontal="center" vertical="center"/>
      <protection locked="0"/>
    </xf>
    <xf numFmtId="38" fontId="437" fillId="224" borderId="117" xfId="22678" quotePrefix="1" applyNumberFormat="1" applyFont="1" applyFill="1" applyBorder="1" applyAlignment="1" applyProtection="1">
      <alignment horizontal="center" vertical="center"/>
      <protection locked="0"/>
    </xf>
    <xf numFmtId="40" fontId="437" fillId="0" borderId="214" xfId="22678" applyNumberFormat="1" applyFont="1" applyBorder="1" applyAlignment="1" applyProtection="1">
      <alignment horizontal="center" vertical="center"/>
      <protection locked="0"/>
    </xf>
    <xf numFmtId="359" fontId="169" fillId="224" borderId="148" xfId="22678" applyFont="1" applyFill="1" applyBorder="1" applyAlignment="1" applyProtection="1">
      <alignment horizontal="left" vertical="top" wrapText="1"/>
      <protection locked="0"/>
    </xf>
    <xf numFmtId="360" fontId="169" fillId="107" borderId="117" xfId="27932" applyNumberFormat="1" applyFont="1" applyFill="1" applyBorder="1" applyAlignment="1" applyProtection="1">
      <alignment horizontal="left" vertical="center" wrapText="1"/>
      <protection locked="0"/>
    </xf>
    <xf numFmtId="179" fontId="170" fillId="107" borderId="117" xfId="27932" applyNumberFormat="1" applyFont="1" applyFill="1" applyBorder="1" applyAlignment="1" applyProtection="1">
      <alignment horizontal="left" vertical="center" wrapText="1"/>
      <protection locked="0"/>
    </xf>
    <xf numFmtId="40" fontId="169" fillId="0" borderId="146" xfId="27932" applyNumberFormat="1" applyFont="1" applyFill="1" applyBorder="1" applyAlignment="1" applyProtection="1">
      <alignment horizontal="center" vertical="center" wrapText="1"/>
      <protection locked="0"/>
    </xf>
    <xf numFmtId="0" fontId="172" fillId="224" borderId="135" xfId="0" applyFont="1" applyFill="1" applyBorder="1" applyAlignment="1">
      <alignment horizontal="center" vertical="center"/>
    </xf>
    <xf numFmtId="38" fontId="169" fillId="224" borderId="126" xfId="0" applyNumberFormat="1" applyFont="1" applyFill="1" applyBorder="1" applyAlignment="1">
      <alignment vertical="center" wrapText="1"/>
    </xf>
    <xf numFmtId="38" fontId="169" fillId="224" borderId="365" xfId="0" applyNumberFormat="1" applyFont="1" applyFill="1" applyBorder="1" applyAlignment="1">
      <alignment horizontal="center" vertical="center" wrapText="1"/>
    </xf>
    <xf numFmtId="40" fontId="172" fillId="224" borderId="126" xfId="19286" applyNumberFormat="1" applyFont="1" applyFill="1" applyBorder="1" applyAlignment="1">
      <alignment horizontal="center" vertical="center" wrapText="1"/>
    </xf>
    <xf numFmtId="40" fontId="169" fillId="224" borderId="126" xfId="19286" applyNumberFormat="1" applyFont="1" applyFill="1" applyBorder="1" applyAlignment="1">
      <alignment horizontal="center" vertical="center"/>
    </xf>
    <xf numFmtId="360" fontId="172" fillId="224" borderId="126" xfId="19286" applyNumberFormat="1" applyFont="1" applyFill="1" applyBorder="1" applyAlignment="1">
      <alignment horizontal="center" vertical="center" wrapText="1"/>
    </xf>
    <xf numFmtId="38" fontId="169" fillId="224" borderId="126" xfId="0" applyNumberFormat="1" applyFont="1" applyFill="1" applyBorder="1" applyAlignment="1">
      <alignment horizontal="center" vertical="center" wrapText="1"/>
    </xf>
    <xf numFmtId="15" fontId="437" fillId="224" borderId="117" xfId="22678" quotePrefix="1" applyNumberFormat="1" applyFont="1" applyFill="1" applyBorder="1" applyAlignment="1" applyProtection="1">
      <alignment horizontal="center" vertical="center" wrapText="1"/>
      <protection locked="0"/>
    </xf>
    <xf numFmtId="2" fontId="0" fillId="0" borderId="0" xfId="0" applyNumberFormat="1"/>
    <xf numFmtId="234" fontId="8" fillId="0" borderId="365" xfId="22751" applyNumberFormat="1" applyFont="1" applyBorder="1" applyAlignment="1">
      <alignment horizontal="center" vertical="center"/>
    </xf>
    <xf numFmtId="38" fontId="8" fillId="0" borderId="365" xfId="22751" applyNumberFormat="1" applyFont="1" applyBorder="1" applyAlignment="1">
      <alignment horizontal="left" vertical="center" indent="3"/>
    </xf>
    <xf numFmtId="2" fontId="0" fillId="106" borderId="0" xfId="0" applyNumberFormat="1" applyFill="1"/>
    <xf numFmtId="43" fontId="0" fillId="106" borderId="0" xfId="19286" applyFont="1" applyFill="1"/>
    <xf numFmtId="0" fontId="0" fillId="106" borderId="0" xfId="0" applyFill="1"/>
    <xf numFmtId="38" fontId="8" fillId="0" borderId="365" xfId="22751" applyNumberFormat="1" applyFont="1" applyBorder="1" applyAlignment="1">
      <alignment horizontal="center" vertical="center"/>
    </xf>
    <xf numFmtId="2" fontId="169" fillId="107" borderId="45" xfId="27932" applyNumberFormat="1" applyFont="1" applyFill="1" applyBorder="1" applyAlignment="1" applyProtection="1">
      <alignment horizontal="center" vertical="center"/>
      <protection locked="0"/>
    </xf>
    <xf numFmtId="2" fontId="169" fillId="107" borderId="349" xfId="27932" applyNumberFormat="1" applyFont="1" applyFill="1" applyBorder="1" applyAlignment="1" applyProtection="1">
      <alignment horizontal="center" vertical="center"/>
      <protection locked="0"/>
    </xf>
    <xf numFmtId="2" fontId="169" fillId="107" borderId="350" xfId="27932" applyNumberFormat="1" applyFont="1" applyFill="1" applyBorder="1" applyAlignment="1" applyProtection="1">
      <alignment horizontal="center" vertical="center"/>
      <protection locked="0"/>
    </xf>
    <xf numFmtId="2" fontId="169" fillId="107" borderId="145" xfId="27932" applyNumberFormat="1" applyFont="1" applyFill="1" applyBorder="1" applyAlignment="1" applyProtection="1">
      <alignment horizontal="center" vertical="center"/>
      <protection locked="0"/>
    </xf>
    <xf numFmtId="2" fontId="169" fillId="107" borderId="214" xfId="22678" quotePrefix="1" applyNumberFormat="1" applyFont="1" applyFill="1" applyBorder="1" applyAlignment="1" applyProtection="1">
      <alignment horizontal="center" vertical="center" wrapText="1"/>
      <protection locked="0"/>
    </xf>
    <xf numFmtId="2" fontId="169" fillId="107" borderId="45" xfId="27932" applyNumberFormat="1" applyFont="1" applyFill="1" applyBorder="1" applyAlignment="1" applyProtection="1">
      <alignment horizontal="center" vertical="center" wrapText="1"/>
      <protection locked="0"/>
    </xf>
    <xf numFmtId="2" fontId="169" fillId="107" borderId="351" xfId="27933" applyNumberFormat="1" applyFont="1" applyFill="1" applyBorder="1" applyAlignment="1" applyProtection="1">
      <alignment horizontal="center" vertical="center"/>
      <protection locked="0"/>
    </xf>
    <xf numFmtId="2" fontId="169" fillId="107" borderId="146" xfId="27933" applyNumberFormat="1" applyFont="1" applyFill="1" applyBorder="1" applyAlignment="1" applyProtection="1">
      <alignment horizontal="center" vertical="center" wrapText="1"/>
      <protection locked="0"/>
    </xf>
    <xf numFmtId="2" fontId="169" fillId="107" borderId="148" xfId="27933" applyNumberFormat="1" applyFont="1" applyFill="1" applyBorder="1" applyAlignment="1" applyProtection="1">
      <alignment horizontal="center" vertical="center" wrapText="1"/>
      <protection locked="0"/>
    </xf>
    <xf numFmtId="2" fontId="169" fillId="0" borderId="146" xfId="27932" applyNumberFormat="1" applyFont="1" applyFill="1" applyBorder="1" applyAlignment="1" applyProtection="1">
      <alignment horizontal="center" vertical="center"/>
      <protection locked="0"/>
    </xf>
    <xf numFmtId="0" fontId="0" fillId="0" borderId="560" xfId="0" applyBorder="1"/>
    <xf numFmtId="0" fontId="341" fillId="0" borderId="70" xfId="0" applyFont="1" applyBorder="1"/>
    <xf numFmtId="0" fontId="0" fillId="0" borderId="70" xfId="0" applyBorder="1"/>
    <xf numFmtId="43" fontId="0" fillId="0" borderId="70" xfId="19286" applyFont="1" applyBorder="1"/>
    <xf numFmtId="0" fontId="0" fillId="0" borderId="561" xfId="0" applyBorder="1"/>
    <xf numFmtId="0" fontId="0" fillId="0" borderId="562" xfId="0" applyBorder="1"/>
    <xf numFmtId="43" fontId="0" fillId="0" borderId="0" xfId="19286" applyFont="1" applyBorder="1"/>
    <xf numFmtId="0" fontId="0" fillId="0" borderId="563" xfId="0" applyBorder="1"/>
    <xf numFmtId="40" fontId="0" fillId="0" borderId="0" xfId="19286" applyNumberFormat="1" applyFont="1" applyBorder="1"/>
    <xf numFmtId="40" fontId="0" fillId="0" borderId="563" xfId="0" applyNumberFormat="1" applyBorder="1"/>
    <xf numFmtId="2" fontId="341" fillId="0" borderId="0" xfId="0" applyNumberFormat="1" applyFont="1"/>
    <xf numFmtId="40" fontId="341" fillId="0" borderId="563" xfId="0" applyNumberFormat="1" applyFont="1" applyBorder="1"/>
    <xf numFmtId="40" fontId="341" fillId="0" borderId="0" xfId="19286" applyNumberFormat="1" applyFont="1" applyBorder="1"/>
    <xf numFmtId="0" fontId="0" fillId="0" borderId="564" xfId="0" applyBorder="1"/>
    <xf numFmtId="0" fontId="0" fillId="0" borderId="389" xfId="0" applyBorder="1"/>
    <xf numFmtId="2" fontId="0" fillId="0" borderId="389" xfId="0" applyNumberFormat="1" applyBorder="1"/>
    <xf numFmtId="43" fontId="0" fillId="0" borderId="389" xfId="19286" applyFont="1" applyBorder="1"/>
    <xf numFmtId="0" fontId="0" fillId="0" borderId="565" xfId="0" applyBorder="1"/>
    <xf numFmtId="40" fontId="437" fillId="0" borderId="350" xfId="22678" applyNumberFormat="1" applyFont="1" applyBorder="1" applyAlignment="1" applyProtection="1">
      <alignment horizontal="center" vertical="center"/>
      <protection locked="0"/>
    </xf>
    <xf numFmtId="40" fontId="0" fillId="0" borderId="0" xfId="0" applyNumberFormat="1" applyAlignment="1">
      <alignment horizontal="center" vertical="center"/>
    </xf>
    <xf numFmtId="43" fontId="341" fillId="0" borderId="0" xfId="19286" applyFont="1" applyAlignment="1">
      <alignment vertical="center"/>
    </xf>
    <xf numFmtId="0" fontId="341" fillId="0" borderId="0" xfId="0" applyFont="1" applyAlignment="1">
      <alignment wrapText="1"/>
    </xf>
    <xf numFmtId="40" fontId="341" fillId="0" borderId="0" xfId="19286" applyNumberFormat="1" applyFont="1" applyAlignment="1">
      <alignment horizontal="center" vertical="center"/>
    </xf>
    <xf numFmtId="40" fontId="0" fillId="0" borderId="0" xfId="19286" applyNumberFormat="1" applyFont="1" applyAlignment="1">
      <alignment horizontal="center" vertical="center"/>
    </xf>
    <xf numFmtId="369" fontId="0" fillId="0" borderId="0" xfId="0" applyNumberFormat="1"/>
    <xf numFmtId="0" fontId="0" fillId="200" borderId="0" xfId="0" applyFill="1"/>
    <xf numFmtId="369" fontId="0" fillId="106" borderId="0" xfId="0" applyNumberFormat="1" applyFill="1" applyAlignment="1">
      <alignment vertical="center"/>
    </xf>
    <xf numFmtId="0" fontId="0" fillId="106" borderId="0" xfId="0" applyFill="1" applyAlignment="1">
      <alignment vertical="center" wrapText="1"/>
    </xf>
    <xf numFmtId="40" fontId="341" fillId="106" borderId="0" xfId="0" applyNumberFormat="1" applyFont="1" applyFill="1" applyAlignment="1">
      <alignment horizontal="center" vertical="center"/>
    </xf>
    <xf numFmtId="369" fontId="0" fillId="0" borderId="0" xfId="0" applyNumberFormat="1" applyAlignment="1">
      <alignment vertical="center"/>
    </xf>
    <xf numFmtId="40" fontId="169" fillId="0" borderId="0" xfId="27932" applyNumberFormat="1" applyFont="1" applyAlignment="1" applyProtection="1">
      <alignment horizontal="center" vertical="center"/>
      <protection locked="0"/>
    </xf>
    <xf numFmtId="179" fontId="169" fillId="0" borderId="0" xfId="27932" applyNumberFormat="1" applyFont="1" applyAlignment="1" applyProtection="1">
      <alignment horizontal="left" vertical="center" wrapText="1"/>
      <protection locked="0"/>
    </xf>
    <xf numFmtId="40" fontId="341" fillId="0" borderId="0" xfId="0" applyNumberFormat="1" applyFont="1" applyAlignment="1">
      <alignment horizontal="center" vertical="center"/>
    </xf>
    <xf numFmtId="0" fontId="631" fillId="0" borderId="0" xfId="0" quotePrefix="1" applyFont="1"/>
    <xf numFmtId="43" fontId="0" fillId="0" borderId="0" xfId="19286" quotePrefix="1" applyFont="1"/>
    <xf numFmtId="0" fontId="341" fillId="224" borderId="0" xfId="0" applyFont="1" applyFill="1"/>
    <xf numFmtId="40" fontId="341" fillId="224" borderId="0" xfId="0" applyNumberFormat="1" applyFont="1" applyFill="1" applyAlignment="1">
      <alignment horizontal="center" vertical="center"/>
    </xf>
    <xf numFmtId="0" fontId="426" fillId="0" borderId="0" xfId="0" applyFont="1"/>
    <xf numFmtId="43" fontId="0" fillId="0" borderId="0" xfId="19286" applyFont="1" applyAlignment="1">
      <alignment wrapText="1"/>
    </xf>
    <xf numFmtId="171" fontId="371" fillId="0" borderId="0" xfId="0" applyNumberFormat="1" applyFont="1"/>
    <xf numFmtId="40" fontId="341" fillId="0" borderId="365" xfId="19286" applyNumberFormat="1" applyFont="1" applyBorder="1" applyAlignment="1">
      <alignment wrapText="1"/>
    </xf>
    <xf numFmtId="40" fontId="341" fillId="0" borderId="365" xfId="19286" applyNumberFormat="1" applyFont="1" applyBorder="1"/>
    <xf numFmtId="40" fontId="341" fillId="175" borderId="365" xfId="0" applyNumberFormat="1" applyFont="1" applyFill="1" applyBorder="1"/>
    <xf numFmtId="40" fontId="341" fillId="135" borderId="365" xfId="0" applyNumberFormat="1" applyFont="1" applyFill="1" applyBorder="1"/>
    <xf numFmtId="40" fontId="372" fillId="135" borderId="365" xfId="0" applyNumberFormat="1" applyFont="1" applyFill="1" applyBorder="1"/>
    <xf numFmtId="361" fontId="169" fillId="107" borderId="117" xfId="22678" applyNumberFormat="1" applyFont="1" applyFill="1" applyBorder="1" applyAlignment="1" applyProtection="1">
      <alignment horizontal="center" vertical="center"/>
      <protection locked="0"/>
    </xf>
    <xf numFmtId="364" fontId="0" fillId="0" borderId="0" xfId="22674" applyNumberFormat="1" applyFont="1" applyAlignment="1">
      <alignment horizontal="center" vertical="center"/>
    </xf>
    <xf numFmtId="360" fontId="497" fillId="107" borderId="117" xfId="27932" applyNumberFormat="1" applyFont="1" applyFill="1" applyBorder="1" applyAlignment="1" applyProtection="1">
      <alignment horizontal="center" vertical="center"/>
      <protection locked="0"/>
    </xf>
    <xf numFmtId="363" fontId="562" fillId="212" borderId="0" xfId="27932" applyNumberFormat="1" applyFont="1" applyFill="1" applyBorder="1" applyAlignment="1" applyProtection="1">
      <alignment horizontal="right" vertical="center"/>
      <protection locked="0"/>
    </xf>
    <xf numFmtId="38" fontId="63" fillId="0" borderId="126" xfId="22752" applyNumberFormat="1" applyFont="1" applyBorder="1" applyAlignment="1" applyProtection="1">
      <alignment horizontal="center" vertical="center"/>
    </xf>
    <xf numFmtId="38" fontId="376" fillId="0" borderId="0" xfId="22752" applyNumberFormat="1" applyFont="1" applyAlignment="1" applyProtection="1">
      <alignment vertical="center"/>
    </xf>
    <xf numFmtId="38" fontId="632" fillId="0" borderId="0" xfId="22752" applyNumberFormat="1" applyFont="1" applyAlignment="1" applyProtection="1">
      <alignment vertical="center"/>
    </xf>
    <xf numFmtId="40" fontId="0" fillId="0" borderId="0" xfId="22752" applyNumberFormat="1" applyFont="1" applyAlignment="1" applyProtection="1">
      <alignment vertical="center"/>
    </xf>
    <xf numFmtId="40" fontId="632" fillId="0" borderId="0" xfId="19286" applyNumberFormat="1" applyFont="1" applyAlignment="1" applyProtection="1">
      <alignment vertical="center"/>
    </xf>
    <xf numFmtId="40" fontId="632" fillId="0" borderId="0" xfId="22752" applyNumberFormat="1" applyFont="1" applyAlignment="1" applyProtection="1">
      <alignment vertical="center"/>
    </xf>
    <xf numFmtId="0" fontId="172" fillId="135" borderId="135" xfId="0" applyFont="1" applyFill="1" applyBorder="1" applyAlignment="1">
      <alignment horizontal="center" vertical="center"/>
    </xf>
    <xf numFmtId="38" fontId="169" fillId="135" borderId="126" xfId="0" applyNumberFormat="1" applyFont="1" applyFill="1" applyBorder="1" applyAlignment="1">
      <alignment vertical="center" wrapText="1"/>
    </xf>
    <xf numFmtId="38" fontId="169" fillId="135" borderId="365" xfId="0" applyNumberFormat="1" applyFont="1" applyFill="1" applyBorder="1" applyAlignment="1">
      <alignment horizontal="center" vertical="center" wrapText="1"/>
    </xf>
    <xf numFmtId="40" fontId="172" fillId="135" borderId="126" xfId="19286" applyNumberFormat="1" applyFont="1" applyFill="1" applyBorder="1" applyAlignment="1">
      <alignment horizontal="center" vertical="center" wrapText="1"/>
    </xf>
    <xf numFmtId="40" fontId="169" fillId="135" borderId="126" xfId="19286" applyNumberFormat="1" applyFont="1" applyFill="1" applyBorder="1" applyAlignment="1">
      <alignment horizontal="center" vertical="center"/>
    </xf>
    <xf numFmtId="360" fontId="172" fillId="135" borderId="126" xfId="19286" applyNumberFormat="1" applyFont="1" applyFill="1" applyBorder="1" applyAlignment="1">
      <alignment horizontal="center" vertical="center" wrapText="1"/>
    </xf>
    <xf numFmtId="0" fontId="353" fillId="177" borderId="45" xfId="7850" applyNumberFormat="1" applyFont="1" applyFill="1" applyBorder="1" applyAlignment="1" applyProtection="1">
      <alignment horizontal="center" vertical="center" wrapText="1"/>
      <protection locked="0"/>
    </xf>
    <xf numFmtId="286" fontId="353" fillId="107" borderId="45" xfId="7850" applyNumberFormat="1" applyFont="1" applyFill="1" applyBorder="1" applyAlignment="1" applyProtection="1">
      <alignment horizontal="center" vertical="center" wrapText="1"/>
      <protection locked="0"/>
    </xf>
    <xf numFmtId="0" fontId="169" fillId="107" borderId="45" xfId="27932" applyNumberFormat="1" applyFont="1" applyFill="1" applyBorder="1" applyAlignment="1" applyProtection="1">
      <alignment horizontal="center" vertical="center" wrapText="1"/>
      <protection locked="0"/>
    </xf>
    <xf numFmtId="286" fontId="169" fillId="107" borderId="45" xfId="27932" applyNumberFormat="1" applyFont="1" applyFill="1" applyBorder="1" applyAlignment="1" applyProtection="1">
      <alignment horizontal="center" vertical="center" wrapText="1"/>
      <protection locked="0"/>
    </xf>
    <xf numFmtId="1" fontId="353" fillId="0" borderId="0" xfId="22678" applyNumberFormat="1" applyFont="1" applyAlignment="1" applyProtection="1">
      <alignment horizontal="center" vertical="center" wrapText="1"/>
      <protection locked="0"/>
    </xf>
    <xf numFmtId="38" fontId="7" fillId="0" borderId="0" xfId="22752" applyNumberFormat="1" applyFont="1" applyAlignment="1" applyProtection="1">
      <alignment horizontal="right" vertical="center"/>
    </xf>
    <xf numFmtId="0" fontId="0" fillId="224" borderId="0" xfId="0" applyFill="1"/>
    <xf numFmtId="171" fontId="547" fillId="0" borderId="0" xfId="27971" applyNumberFormat="1" applyFont="1"/>
    <xf numFmtId="0" fontId="0" fillId="126" borderId="0" xfId="0" applyFill="1"/>
    <xf numFmtId="43" fontId="0" fillId="126" borderId="0" xfId="19286" applyFont="1" applyFill="1"/>
    <xf numFmtId="0" fontId="341" fillId="126" borderId="0" xfId="0" applyFont="1" applyFill="1"/>
    <xf numFmtId="43" fontId="341" fillId="126" borderId="0" xfId="19286" applyFont="1" applyFill="1"/>
    <xf numFmtId="0" fontId="555" fillId="126" borderId="0" xfId="0" applyFont="1" applyFill="1"/>
    <xf numFmtId="0" fontId="171" fillId="0" borderId="0" xfId="0" applyFont="1" applyAlignment="1">
      <alignment vertical="top"/>
    </xf>
    <xf numFmtId="210" fontId="169" fillId="107" borderId="214" xfId="27932" applyNumberFormat="1" applyFont="1" applyFill="1" applyBorder="1" applyAlignment="1" applyProtection="1">
      <alignment horizontal="center" vertical="center" wrapText="1"/>
      <protection locked="0"/>
    </xf>
    <xf numFmtId="38" fontId="8" fillId="0" borderId="365" xfId="22751" applyNumberFormat="1" applyFont="1" applyBorder="1" applyAlignment="1">
      <alignment horizontal="left" vertical="center" wrapText="1" indent="3"/>
    </xf>
    <xf numFmtId="0" fontId="66" fillId="106" borderId="0" xfId="19278" applyFont="1" applyFill="1"/>
    <xf numFmtId="38" fontId="12" fillId="135" borderId="365" xfId="22751" applyNumberFormat="1" applyFont="1" applyFill="1" applyBorder="1" applyAlignment="1">
      <alignment horizontal="center" vertical="center"/>
    </xf>
    <xf numFmtId="38" fontId="63" fillId="135" borderId="365" xfId="22751" applyNumberFormat="1" applyFont="1" applyFill="1" applyBorder="1" applyAlignment="1">
      <alignment horizontal="left" vertical="center" wrapText="1"/>
    </xf>
    <xf numFmtId="38" fontId="63" fillId="135" borderId="365" xfId="22751" applyNumberFormat="1" applyFont="1" applyFill="1" applyBorder="1" applyAlignment="1">
      <alignment horizontal="left" vertical="center" wrapText="1" indent="3"/>
    </xf>
    <xf numFmtId="0" fontId="615" fillId="135" borderId="216" xfId="27970" applyFont="1" applyFill="1" applyBorder="1"/>
    <xf numFmtId="0" fontId="615" fillId="135" borderId="365" xfId="27970" applyFont="1" applyFill="1" applyBorder="1" applyAlignment="1">
      <alignment horizontal="left" indent="1"/>
    </xf>
    <xf numFmtId="0" fontId="615" fillId="135" borderId="223" xfId="27970" applyFont="1" applyFill="1" applyBorder="1" applyAlignment="1">
      <alignment horizontal="left" indent="1"/>
    </xf>
    <xf numFmtId="38" fontId="615" fillId="135" borderId="216" xfId="27970" applyNumberFormat="1" applyFont="1" applyFill="1" applyBorder="1" applyAlignment="1">
      <alignment horizontal="left" indent="1"/>
    </xf>
    <xf numFmtId="38" fontId="615" fillId="135" borderId="365" xfId="27971" applyNumberFormat="1" applyFont="1" applyFill="1" applyBorder="1"/>
    <xf numFmtId="38" fontId="615" fillId="135" borderId="365" xfId="27971" applyNumberFormat="1" applyFont="1" applyFill="1" applyBorder="1" applyAlignment="1">
      <alignment horizontal="right"/>
    </xf>
    <xf numFmtId="38" fontId="615" fillId="135" borderId="217" xfId="27971" applyNumberFormat="1" applyFont="1" applyFill="1" applyBorder="1" applyAlignment="1">
      <alignment horizontal="right"/>
    </xf>
    <xf numFmtId="179" fontId="478" fillId="135" borderId="350" xfId="27961" applyNumberFormat="1" applyFont="1" applyFill="1" applyBorder="1" applyAlignment="1">
      <alignment vertical="center" wrapText="1"/>
    </xf>
    <xf numFmtId="38" fontId="633" fillId="169" borderId="0" xfId="22752" applyNumberFormat="1" applyFont="1" applyFill="1" applyBorder="1" applyAlignment="1" applyProtection="1">
      <alignment horizontal="right" vertical="center"/>
    </xf>
    <xf numFmtId="0" fontId="437" fillId="204" borderId="350" xfId="22678" quotePrefix="1" applyNumberFormat="1" applyFont="1" applyFill="1" applyBorder="1" applyAlignment="1" applyProtection="1">
      <alignment horizontal="center" vertical="center"/>
      <protection locked="0"/>
    </xf>
    <xf numFmtId="15" fontId="437" fillId="204" borderId="367" xfId="22678" quotePrefix="1" applyNumberFormat="1" applyFont="1" applyFill="1" applyBorder="1" applyAlignment="1" applyProtection="1">
      <alignment horizontal="center" vertical="center"/>
      <protection locked="0"/>
    </xf>
    <xf numFmtId="15" fontId="437" fillId="204" borderId="367" xfId="27944" applyNumberFormat="1" applyFont="1" applyFill="1" applyBorder="1" applyAlignment="1" applyProtection="1">
      <alignment horizontal="center" vertical="center"/>
      <protection locked="0"/>
    </xf>
    <xf numFmtId="15" fontId="437" fillId="204" borderId="350" xfId="27944" applyNumberFormat="1" applyFont="1" applyFill="1" applyBorder="1" applyAlignment="1" applyProtection="1">
      <alignment horizontal="center" vertical="center"/>
      <protection locked="0"/>
    </xf>
    <xf numFmtId="38" fontId="437" fillId="204" borderId="367" xfId="22678" quotePrefix="1" applyNumberFormat="1" applyFont="1" applyFill="1" applyBorder="1" applyAlignment="1" applyProtection="1">
      <alignment horizontal="center" vertical="center"/>
      <protection locked="0"/>
    </xf>
    <xf numFmtId="40" fontId="437" fillId="204" borderId="367" xfId="27944" applyNumberFormat="1" applyFont="1" applyFill="1" applyBorder="1" applyAlignment="1" applyProtection="1">
      <alignment horizontal="center" vertical="center"/>
      <protection locked="0"/>
    </xf>
    <xf numFmtId="40" fontId="437" fillId="204" borderId="350" xfId="22678" quotePrefix="1" applyNumberFormat="1" applyFont="1" applyFill="1" applyBorder="1" applyAlignment="1" applyProtection="1">
      <alignment horizontal="center" vertical="center"/>
      <protection locked="0"/>
    </xf>
    <xf numFmtId="0" fontId="534" fillId="34" borderId="434" xfId="27970" applyFont="1" applyFill="1" applyBorder="1"/>
    <xf numFmtId="179" fontId="534" fillId="34" borderId="434" xfId="27971" applyNumberFormat="1" applyFont="1" applyFill="1" applyBorder="1"/>
    <xf numFmtId="359" fontId="497" fillId="107" borderId="148" xfId="22678" applyFont="1" applyFill="1" applyBorder="1" applyAlignment="1" applyProtection="1">
      <alignment horizontal="left" vertical="top" wrapText="1"/>
      <protection locked="0"/>
    </xf>
    <xf numFmtId="359" fontId="169" fillId="204" borderId="148" xfId="22678" applyFont="1" applyFill="1" applyBorder="1" applyAlignment="1" applyProtection="1">
      <alignment horizontal="left" vertical="top" wrapText="1"/>
      <protection locked="0"/>
    </xf>
    <xf numFmtId="363" fontId="170" fillId="128" borderId="146" xfId="27932" applyNumberFormat="1" applyFont="1" applyFill="1" applyBorder="1" applyAlignment="1" applyProtection="1">
      <alignment horizontal="center" vertical="center"/>
      <protection locked="0"/>
    </xf>
    <xf numFmtId="0" fontId="635" fillId="0" borderId="110" xfId="27971" applyNumberFormat="1" applyFont="1" applyFill="1" applyBorder="1" applyAlignment="1">
      <alignment horizontal="left" vertical="top" wrapText="1"/>
    </xf>
    <xf numFmtId="0" fontId="469" fillId="0" borderId="0" xfId="22751" applyFont="1" applyAlignment="1">
      <alignment vertical="center" wrapText="1"/>
    </xf>
    <xf numFmtId="360" fontId="172" fillId="134" borderId="126" xfId="19286" applyNumberFormat="1" applyFont="1" applyFill="1" applyBorder="1" applyAlignment="1">
      <alignment horizontal="center" vertical="center" wrapText="1"/>
    </xf>
    <xf numFmtId="359" fontId="169" fillId="34" borderId="148" xfId="22678" applyFont="1" applyFill="1" applyBorder="1" applyAlignment="1" applyProtection="1">
      <alignment horizontal="left" vertical="top" wrapText="1"/>
      <protection locked="0"/>
    </xf>
    <xf numFmtId="0" fontId="8" fillId="0" borderId="365" xfId="22751" applyFont="1" applyBorder="1" applyAlignment="1">
      <alignment horizontal="left" vertical="center" indent="2"/>
    </xf>
    <xf numFmtId="40" fontId="340" fillId="167" borderId="365" xfId="22752" applyNumberFormat="1" applyFont="1" applyFill="1" applyBorder="1" applyAlignment="1" applyProtection="1">
      <alignment horizontal="right" vertical="center"/>
    </xf>
    <xf numFmtId="0" fontId="353" fillId="204" borderId="145" xfId="22678" quotePrefix="1" applyNumberFormat="1" applyFont="1" applyFill="1" applyBorder="1" applyAlignment="1" applyProtection="1">
      <alignment horizontal="center" vertical="center"/>
      <protection locked="0"/>
    </xf>
    <xf numFmtId="179" fontId="169" fillId="204" borderId="117" xfId="27932" applyNumberFormat="1" applyFont="1" applyFill="1" applyBorder="1" applyAlignment="1" applyProtection="1">
      <alignment horizontal="left" vertical="center" wrapText="1"/>
      <protection locked="0"/>
    </xf>
    <xf numFmtId="179" fontId="169" fillId="204" borderId="117" xfId="27932" applyNumberFormat="1" applyFont="1" applyFill="1" applyBorder="1" applyAlignment="1" applyProtection="1">
      <alignment horizontal="center" vertical="center" wrapText="1"/>
      <protection locked="0"/>
    </xf>
    <xf numFmtId="179" fontId="169" fillId="204" borderId="45" xfId="27932" applyNumberFormat="1" applyFont="1" applyFill="1" applyBorder="1" applyAlignment="1" applyProtection="1">
      <alignment horizontal="center" vertical="center" wrapText="1"/>
      <protection locked="0"/>
    </xf>
    <xf numFmtId="179" fontId="169" fillId="204" borderId="349" xfId="27932" applyNumberFormat="1" applyFont="1" applyFill="1" applyBorder="1" applyAlignment="1" applyProtection="1">
      <alignment horizontal="center" vertical="center"/>
      <protection locked="0"/>
    </xf>
    <xf numFmtId="179" fontId="169" fillId="204" borderId="350" xfId="27932" applyNumberFormat="1" applyFont="1" applyFill="1" applyBorder="1" applyAlignment="1" applyProtection="1">
      <alignment horizontal="center" vertical="center"/>
      <protection locked="0"/>
    </xf>
    <xf numFmtId="179" fontId="169" fillId="204" borderId="351" xfId="27932" applyNumberFormat="1" applyFont="1" applyFill="1" applyBorder="1" applyAlignment="1" applyProtection="1">
      <alignment horizontal="center" vertical="center" wrapText="1"/>
      <protection locked="0"/>
    </xf>
    <xf numFmtId="179" fontId="169" fillId="204" borderId="145" xfId="27932" applyNumberFormat="1" applyFont="1" applyFill="1" applyBorder="1" applyAlignment="1" applyProtection="1">
      <alignment horizontal="center" vertical="center"/>
      <protection locked="0"/>
    </xf>
    <xf numFmtId="49" fontId="169" fillId="204" borderId="214" xfId="22678" quotePrefix="1" applyNumberFormat="1" applyFont="1" applyFill="1" applyBorder="1" applyAlignment="1" applyProtection="1">
      <alignment horizontal="center" vertical="center" wrapText="1"/>
      <protection locked="0"/>
    </xf>
    <xf numFmtId="360" fontId="169" fillId="204" borderId="117" xfId="27932" applyNumberFormat="1" applyFont="1" applyFill="1" applyBorder="1" applyAlignment="1" applyProtection="1">
      <alignment horizontal="center" vertical="center" wrapText="1"/>
      <protection locked="0"/>
    </xf>
    <xf numFmtId="179" fontId="169" fillId="204" borderId="351" xfId="27933" applyNumberFormat="1" applyFont="1" applyFill="1" applyBorder="1" applyAlignment="1" applyProtection="1">
      <alignment horizontal="center" vertical="center"/>
      <protection locked="0"/>
    </xf>
    <xf numFmtId="179" fontId="169" fillId="204" borderId="146" xfId="27933" applyNumberFormat="1" applyFont="1" applyFill="1" applyBorder="1" applyAlignment="1" applyProtection="1">
      <alignment horizontal="center" vertical="center" wrapText="1"/>
      <protection locked="0"/>
    </xf>
    <xf numFmtId="179" fontId="169" fillId="204" borderId="148" xfId="27933" applyNumberFormat="1" applyFont="1" applyFill="1" applyBorder="1" applyAlignment="1" applyProtection="1">
      <alignment horizontal="center" vertical="center" wrapText="1"/>
      <protection locked="0"/>
    </xf>
    <xf numFmtId="0" fontId="169" fillId="204" borderId="117" xfId="22678" quotePrefix="1" applyNumberFormat="1" applyFont="1" applyFill="1" applyBorder="1" applyAlignment="1" applyProtection="1">
      <alignment horizontal="center" vertical="center"/>
      <protection locked="0"/>
    </xf>
    <xf numFmtId="360" fontId="169" fillId="204" borderId="117" xfId="27932" applyNumberFormat="1" applyFont="1" applyFill="1" applyBorder="1" applyAlignment="1" applyProtection="1">
      <alignment horizontal="center" vertical="center"/>
      <protection locked="0"/>
    </xf>
    <xf numFmtId="40" fontId="169" fillId="204" borderId="146" xfId="27932" applyNumberFormat="1" applyFont="1" applyFill="1" applyBorder="1" applyAlignment="1" applyProtection="1">
      <alignment horizontal="center" vertical="center" wrapText="1"/>
      <protection locked="0"/>
    </xf>
    <xf numFmtId="0" fontId="353" fillId="225" borderId="145" xfId="22678" quotePrefix="1" applyNumberFormat="1" applyFont="1" applyFill="1" applyBorder="1" applyAlignment="1" applyProtection="1">
      <alignment horizontal="center" vertical="center"/>
      <protection locked="0"/>
    </xf>
    <xf numFmtId="179" fontId="169" fillId="225" borderId="117" xfId="27932" applyNumberFormat="1" applyFont="1" applyFill="1" applyBorder="1" applyAlignment="1" applyProtection="1">
      <alignment horizontal="center" vertical="center" wrapText="1"/>
      <protection locked="0"/>
    </xf>
    <xf numFmtId="179" fontId="169" fillId="225" borderId="117" xfId="27932" applyNumberFormat="1" applyFont="1" applyFill="1" applyBorder="1" applyAlignment="1" applyProtection="1">
      <alignment horizontal="left" vertical="center" wrapText="1"/>
      <protection locked="0"/>
    </xf>
    <xf numFmtId="179" fontId="169" fillId="225" borderId="45" xfId="27932" applyNumberFormat="1" applyFont="1" applyFill="1" applyBorder="1" applyAlignment="1" applyProtection="1">
      <alignment horizontal="center" vertical="center" wrapText="1"/>
      <protection locked="0"/>
    </xf>
    <xf numFmtId="179" fontId="169" fillId="225" borderId="349" xfId="27932" applyNumberFormat="1" applyFont="1" applyFill="1" applyBorder="1" applyAlignment="1" applyProtection="1">
      <alignment horizontal="center" vertical="center"/>
      <protection locked="0"/>
    </xf>
    <xf numFmtId="179" fontId="169" fillId="225" borderId="350" xfId="27932" applyNumberFormat="1" applyFont="1" applyFill="1" applyBorder="1" applyAlignment="1" applyProtection="1">
      <alignment horizontal="center" vertical="center"/>
      <protection locked="0"/>
    </xf>
    <xf numFmtId="179" fontId="169" fillId="225" borderId="351" xfId="27932" applyNumberFormat="1" applyFont="1" applyFill="1" applyBorder="1" applyAlignment="1" applyProtection="1">
      <alignment horizontal="center" vertical="center" wrapText="1"/>
      <protection locked="0"/>
    </xf>
    <xf numFmtId="179" fontId="169" fillId="225" borderId="145" xfId="27932" applyNumberFormat="1" applyFont="1" applyFill="1" applyBorder="1" applyAlignment="1" applyProtection="1">
      <alignment horizontal="center" vertical="center"/>
      <protection locked="0"/>
    </xf>
    <xf numFmtId="49" fontId="169" fillId="225" borderId="214" xfId="22678" quotePrefix="1" applyNumberFormat="1" applyFont="1" applyFill="1" applyBorder="1" applyAlignment="1" applyProtection="1">
      <alignment horizontal="center" vertical="center" wrapText="1"/>
      <protection locked="0"/>
    </xf>
    <xf numFmtId="360" fontId="169" fillId="225" borderId="117" xfId="27932" applyNumberFormat="1" applyFont="1" applyFill="1" applyBorder="1" applyAlignment="1" applyProtection="1">
      <alignment horizontal="center" vertical="center" wrapText="1"/>
      <protection locked="0"/>
    </xf>
    <xf numFmtId="179" fontId="169" fillId="225" borderId="351" xfId="27933" applyNumberFormat="1" applyFont="1" applyFill="1" applyBorder="1" applyAlignment="1" applyProtection="1">
      <alignment horizontal="center" vertical="center"/>
      <protection locked="0"/>
    </xf>
    <xf numFmtId="179" fontId="169" fillId="225" borderId="146" xfId="27933" applyNumberFormat="1" applyFont="1" applyFill="1" applyBorder="1" applyAlignment="1" applyProtection="1">
      <alignment horizontal="center" vertical="center" wrapText="1"/>
      <protection locked="0"/>
    </xf>
    <xf numFmtId="179" fontId="169" fillId="225" borderId="148" xfId="27933" applyNumberFormat="1" applyFont="1" applyFill="1" applyBorder="1" applyAlignment="1" applyProtection="1">
      <alignment horizontal="center" vertical="center" wrapText="1"/>
      <protection locked="0"/>
    </xf>
    <xf numFmtId="0" fontId="171" fillId="0" borderId="0" xfId="0" applyFont="1" applyAlignment="1">
      <alignment horizontal="left" vertical="top"/>
    </xf>
    <xf numFmtId="0" fontId="63" fillId="0" borderId="365" xfId="22751" applyFont="1" applyBorder="1" applyAlignment="1">
      <alignment horizontal="left" vertical="center"/>
    </xf>
    <xf numFmtId="38" fontId="172" fillId="0" borderId="0" xfId="0" applyNumberFormat="1" applyFont="1" applyAlignment="1">
      <alignment vertical="top"/>
    </xf>
    <xf numFmtId="40" fontId="172" fillId="194" borderId="0" xfId="0" applyNumberFormat="1" applyFont="1" applyFill="1" applyAlignment="1">
      <alignment vertical="top"/>
    </xf>
    <xf numFmtId="43" fontId="172" fillId="194" borderId="0" xfId="19286" applyFont="1" applyFill="1" applyAlignment="1">
      <alignment vertical="top"/>
    </xf>
    <xf numFmtId="38" fontId="445" fillId="0" borderId="0" xfId="22751" applyNumberFormat="1" applyFont="1"/>
    <xf numFmtId="43" fontId="636" fillId="0" borderId="0" xfId="19286" applyFont="1" applyAlignment="1">
      <alignment vertical="center"/>
    </xf>
    <xf numFmtId="43" fontId="195" fillId="0" borderId="0" xfId="19286" applyFont="1" applyAlignment="1">
      <alignment horizontal="center" vertical="center"/>
    </xf>
    <xf numFmtId="0" fontId="451" fillId="0" borderId="0" xfId="27925" applyFont="1" applyAlignment="1">
      <alignment horizontal="right" vertical="center"/>
    </xf>
    <xf numFmtId="38" fontId="534" fillId="0" borderId="0" xfId="27970" applyNumberFormat="1" applyFont="1" applyAlignment="1">
      <alignment horizontal="right"/>
    </xf>
    <xf numFmtId="0" fontId="547" fillId="0" borderId="0" xfId="19286" applyNumberFormat="1" applyFont="1"/>
    <xf numFmtId="171" fontId="451" fillId="0" borderId="318" xfId="27925" applyNumberFormat="1" applyFont="1" applyBorder="1" applyAlignment="1">
      <alignment horizontal="left" vertical="top" wrapText="1"/>
    </xf>
    <xf numFmtId="171" fontId="451" fillId="0" borderId="319" xfId="27925" applyNumberFormat="1" applyFont="1" applyBorder="1" applyAlignment="1">
      <alignment horizontal="left" vertical="top" wrapText="1"/>
    </xf>
    <xf numFmtId="0" fontId="353" fillId="126" borderId="145" xfId="22678" quotePrefix="1" applyNumberFormat="1" applyFont="1" applyFill="1" applyBorder="1" applyAlignment="1" applyProtection="1">
      <alignment horizontal="center" vertical="center"/>
      <protection locked="0"/>
    </xf>
    <xf numFmtId="0" fontId="169" fillId="126" borderId="117" xfId="27932" applyNumberFormat="1" applyFont="1" applyFill="1" applyBorder="1" applyAlignment="1" applyProtection="1">
      <alignment horizontal="left" vertical="center" wrapText="1"/>
      <protection locked="0"/>
    </xf>
    <xf numFmtId="179" fontId="169" fillId="126" borderId="117" xfId="27932" applyNumberFormat="1" applyFont="1" applyFill="1" applyBorder="1" applyAlignment="1" applyProtection="1">
      <alignment horizontal="center" vertical="center" wrapText="1"/>
      <protection locked="0"/>
    </xf>
    <xf numFmtId="2" fontId="169" fillId="126" borderId="45" xfId="27932" applyNumberFormat="1" applyFont="1" applyFill="1" applyBorder="1" applyAlignment="1" applyProtection="1">
      <alignment horizontal="center" vertical="center"/>
      <protection locked="0"/>
    </xf>
    <xf numFmtId="179" fontId="169" fillId="126" borderId="349" xfId="27932" applyNumberFormat="1" applyFont="1" applyFill="1" applyBorder="1" applyAlignment="1" applyProtection="1">
      <alignment horizontal="center" vertical="center"/>
      <protection locked="0"/>
    </xf>
    <xf numFmtId="179" fontId="169" fillId="126" borderId="350" xfId="27932" applyNumberFormat="1" applyFont="1" applyFill="1" applyBorder="1" applyAlignment="1" applyProtection="1">
      <alignment horizontal="center" vertical="center"/>
      <protection locked="0"/>
    </xf>
    <xf numFmtId="179" fontId="169" fillId="126" borderId="351" xfId="27932" applyNumberFormat="1" applyFont="1" applyFill="1" applyBorder="1" applyAlignment="1" applyProtection="1">
      <alignment horizontal="center" vertical="center" wrapText="1"/>
      <protection locked="0"/>
    </xf>
    <xf numFmtId="179" fontId="169" fillId="126" borderId="145" xfId="27932" applyNumberFormat="1" applyFont="1" applyFill="1" applyBorder="1" applyAlignment="1" applyProtection="1">
      <alignment horizontal="center" vertical="center"/>
      <protection locked="0"/>
    </xf>
    <xf numFmtId="49" fontId="169" fillId="126" borderId="214" xfId="22678" quotePrefix="1" applyNumberFormat="1" applyFont="1" applyFill="1" applyBorder="1" applyAlignment="1" applyProtection="1">
      <alignment horizontal="center" vertical="center" wrapText="1"/>
      <protection locked="0"/>
    </xf>
    <xf numFmtId="360" fontId="169" fillId="126" borderId="117" xfId="27932" applyNumberFormat="1" applyFont="1" applyFill="1" applyBorder="1" applyAlignment="1" applyProtection="1">
      <alignment horizontal="center" vertical="center" wrapText="1"/>
      <protection locked="0"/>
    </xf>
    <xf numFmtId="179" fontId="169" fillId="126" borderId="45" xfId="27932" applyNumberFormat="1" applyFont="1" applyFill="1" applyBorder="1" applyAlignment="1" applyProtection="1">
      <alignment horizontal="center" vertical="center" wrapText="1"/>
      <protection locked="0"/>
    </xf>
    <xf numFmtId="179" fontId="169" fillId="126" borderId="351" xfId="27933" applyNumberFormat="1" applyFont="1" applyFill="1" applyBorder="1" applyAlignment="1" applyProtection="1">
      <alignment horizontal="center" vertical="center"/>
      <protection locked="0"/>
    </xf>
    <xf numFmtId="179" fontId="169" fillId="126" borderId="146" xfId="27933" applyNumberFormat="1" applyFont="1" applyFill="1" applyBorder="1" applyAlignment="1" applyProtection="1">
      <alignment horizontal="center" vertical="center" wrapText="1"/>
      <protection locked="0"/>
    </xf>
    <xf numFmtId="179" fontId="169" fillId="126" borderId="148" xfId="27933" applyNumberFormat="1" applyFont="1" applyFill="1" applyBorder="1" applyAlignment="1" applyProtection="1">
      <alignment horizontal="center" vertical="center" wrapText="1"/>
      <protection locked="0"/>
    </xf>
    <xf numFmtId="0" fontId="169" fillId="126" borderId="117" xfId="22678" quotePrefix="1" applyNumberFormat="1" applyFont="1" applyFill="1" applyBorder="1" applyAlignment="1" applyProtection="1">
      <alignment horizontal="center" vertical="center"/>
      <protection locked="0"/>
    </xf>
    <xf numFmtId="360" fontId="169" fillId="126" borderId="117" xfId="27932" applyNumberFormat="1" applyFont="1" applyFill="1" applyBorder="1" applyAlignment="1" applyProtection="1">
      <alignment horizontal="center" vertical="center"/>
      <protection locked="0"/>
    </xf>
    <xf numFmtId="40" fontId="169" fillId="126" borderId="146" xfId="27932" applyNumberFormat="1" applyFont="1" applyFill="1" applyBorder="1" applyAlignment="1" applyProtection="1">
      <alignment horizontal="center" vertical="center"/>
      <protection locked="0"/>
    </xf>
    <xf numFmtId="361" fontId="169" fillId="126" borderId="117" xfId="22678" quotePrefix="1" applyNumberFormat="1" applyFont="1" applyFill="1" applyBorder="1" applyAlignment="1" applyProtection="1">
      <alignment horizontal="center" vertical="center"/>
      <protection locked="0"/>
    </xf>
    <xf numFmtId="49" fontId="169" fillId="126" borderId="117" xfId="22678" quotePrefix="1" applyNumberFormat="1" applyFont="1" applyFill="1" applyBorder="1" applyAlignment="1" applyProtection="1">
      <alignment horizontal="center" vertical="center"/>
      <protection locked="0"/>
    </xf>
    <xf numFmtId="210" fontId="169" fillId="126" borderId="117" xfId="27932" applyNumberFormat="1" applyFont="1" applyFill="1" applyBorder="1" applyAlignment="1" applyProtection="1">
      <alignment horizontal="center" vertical="center"/>
      <protection locked="0"/>
    </xf>
    <xf numFmtId="14" fontId="169" fillId="126" borderId="117" xfId="27932" applyNumberFormat="1" applyFont="1" applyFill="1" applyBorder="1" applyAlignment="1" applyProtection="1">
      <alignment horizontal="center" vertical="center"/>
      <protection locked="0"/>
    </xf>
    <xf numFmtId="14" fontId="169" fillId="126" borderId="117" xfId="27932" applyNumberFormat="1" applyFont="1" applyFill="1" applyBorder="1" applyAlignment="1" applyProtection="1">
      <alignment horizontal="center" vertical="center" wrapText="1"/>
      <protection locked="0"/>
    </xf>
    <xf numFmtId="0" fontId="169" fillId="126" borderId="146" xfId="27932" applyNumberFormat="1" applyFont="1" applyFill="1" applyBorder="1" applyAlignment="1" applyProtection="1">
      <alignment horizontal="center" vertical="center"/>
      <protection locked="0"/>
    </xf>
    <xf numFmtId="365" fontId="169" fillId="126" borderId="146" xfId="27932" applyNumberFormat="1" applyFont="1" applyFill="1" applyBorder="1" applyAlignment="1" applyProtection="1">
      <alignment horizontal="center" vertical="center"/>
      <protection locked="0"/>
    </xf>
    <xf numFmtId="368" fontId="169" fillId="126" borderId="145" xfId="22678" quotePrefix="1" applyNumberFormat="1" applyFont="1" applyFill="1" applyBorder="1" applyAlignment="1" applyProtection="1">
      <alignment horizontal="center" vertical="center"/>
      <protection locked="0"/>
    </xf>
    <xf numFmtId="363" fontId="169" fillId="126" borderId="146" xfId="27932" applyNumberFormat="1" applyFont="1" applyFill="1" applyBorder="1" applyAlignment="1" applyProtection="1">
      <alignment horizontal="center" vertical="center"/>
      <protection locked="0"/>
    </xf>
    <xf numFmtId="0" fontId="169" fillId="126" borderId="145" xfId="22678" quotePrefix="1" applyNumberFormat="1" applyFont="1" applyFill="1" applyBorder="1" applyAlignment="1" applyProtection="1">
      <alignment horizontal="center" vertical="center"/>
      <protection locked="0"/>
    </xf>
    <xf numFmtId="49" fontId="169" fillId="126" borderId="145" xfId="22678" quotePrefix="1" applyNumberFormat="1" applyFont="1" applyFill="1" applyBorder="1" applyAlignment="1" applyProtection="1">
      <alignment horizontal="center" vertical="center"/>
      <protection locked="0"/>
    </xf>
    <xf numFmtId="210" fontId="169" fillId="126" borderId="214" xfId="27932" applyNumberFormat="1" applyFont="1" applyFill="1" applyBorder="1" applyAlignment="1" applyProtection="1">
      <alignment horizontal="center" vertical="center"/>
      <protection locked="0"/>
    </xf>
    <xf numFmtId="366" fontId="169" fillId="126" borderId="163" xfId="27932" applyNumberFormat="1" applyFont="1" applyFill="1" applyBorder="1" applyAlignment="1" applyProtection="1">
      <alignment horizontal="center" vertical="center"/>
      <protection locked="0"/>
    </xf>
    <xf numFmtId="0" fontId="169" fillId="126" borderId="145" xfId="22678" applyNumberFormat="1" applyFont="1" applyFill="1" applyBorder="1" applyAlignment="1" applyProtection="1">
      <alignment horizontal="center" vertical="center"/>
      <protection locked="0"/>
    </xf>
    <xf numFmtId="49" fontId="169" fillId="126" borderId="146" xfId="22678" quotePrefix="1" applyNumberFormat="1" applyFont="1" applyFill="1" applyBorder="1" applyAlignment="1" applyProtection="1">
      <alignment horizontal="center" vertical="center"/>
      <protection locked="0"/>
    </xf>
    <xf numFmtId="49" fontId="169" fillId="126" borderId="117" xfId="22678" quotePrefix="1" applyNumberFormat="1" applyFont="1" applyFill="1" applyBorder="1" applyAlignment="1" applyProtection="1">
      <alignment horizontal="center" vertical="center" wrapText="1"/>
      <protection locked="0"/>
    </xf>
    <xf numFmtId="366" fontId="169" fillId="126" borderId="117" xfId="27932" applyNumberFormat="1" applyFont="1" applyFill="1" applyBorder="1" applyAlignment="1" applyProtection="1">
      <alignment horizontal="center" vertical="center"/>
      <protection locked="0"/>
    </xf>
    <xf numFmtId="363" fontId="634" fillId="126" borderId="117" xfId="27932" applyNumberFormat="1" applyFont="1" applyFill="1" applyBorder="1" applyAlignment="1" applyProtection="1">
      <alignment horizontal="center" vertical="center"/>
      <protection locked="0"/>
    </xf>
    <xf numFmtId="179" fontId="169" fillId="126" borderId="218" xfId="27932" applyNumberFormat="1" applyFont="1" applyFill="1" applyBorder="1" applyAlignment="1" applyProtection="1">
      <alignment horizontal="center" vertical="center"/>
      <protection locked="0"/>
    </xf>
    <xf numFmtId="179" fontId="169" fillId="126" borderId="147" xfId="27932" applyNumberFormat="1" applyFont="1" applyFill="1" applyBorder="1" applyAlignment="1" applyProtection="1">
      <alignment horizontal="center" vertical="center"/>
      <protection locked="0"/>
    </xf>
    <xf numFmtId="359" fontId="169" fillId="126" borderId="148" xfId="22678" applyFont="1" applyFill="1" applyBorder="1" applyAlignment="1" applyProtection="1">
      <alignment horizontal="left" vertical="top" wrapText="1"/>
      <protection locked="0"/>
    </xf>
    <xf numFmtId="38" fontId="64" fillId="110" borderId="0" xfId="22752" applyNumberFormat="1" applyFont="1" applyFill="1" applyAlignment="1" applyProtection="1">
      <alignment horizontal="right" vertical="center"/>
    </xf>
    <xf numFmtId="38" fontId="339" fillId="110" borderId="183" xfId="22752" applyNumberFormat="1" applyFont="1" applyFill="1" applyBorder="1" applyAlignment="1" applyProtection="1">
      <alignment horizontal="right" vertical="center"/>
    </xf>
    <xf numFmtId="38" fontId="451" fillId="0" borderId="0" xfId="27925" applyNumberFormat="1" applyFont="1" applyAlignment="1">
      <alignment horizontal="left" vertical="center"/>
    </xf>
    <xf numFmtId="4" fontId="451" fillId="0" borderId="0" xfId="27925" applyNumberFormat="1" applyFont="1" applyAlignment="1">
      <alignment horizontal="center" vertical="center"/>
    </xf>
    <xf numFmtId="171" fontId="385" fillId="0" borderId="0" xfId="27961" applyFont="1" applyAlignment="1">
      <alignment vertical="center"/>
    </xf>
    <xf numFmtId="171" fontId="341" fillId="0" borderId="0" xfId="27961" applyFont="1" applyAlignment="1">
      <alignment vertical="center"/>
    </xf>
    <xf numFmtId="294" fontId="547" fillId="0" borderId="0" xfId="19286" applyNumberFormat="1" applyFont="1" applyFill="1"/>
    <xf numFmtId="0" fontId="547" fillId="0" borderId="0" xfId="19286" applyNumberFormat="1" applyFont="1" applyFill="1"/>
    <xf numFmtId="43" fontId="547" fillId="0" borderId="0" xfId="19286" applyFont="1"/>
    <xf numFmtId="363" fontId="418" fillId="107" borderId="0" xfId="27925" applyNumberFormat="1" applyFont="1" applyFill="1" applyAlignment="1">
      <alignment horizontal="left" vertical="center"/>
    </xf>
    <xf numFmtId="363" fontId="418" fillId="107" borderId="0" xfId="27925" applyNumberFormat="1" applyFont="1" applyFill="1" applyAlignment="1">
      <alignment horizontal="center" vertical="center"/>
    </xf>
    <xf numFmtId="38" fontId="169" fillId="107" borderId="126" xfId="0" applyNumberFormat="1" applyFont="1" applyFill="1" applyBorder="1" applyAlignment="1">
      <alignment vertical="center" wrapText="1"/>
    </xf>
    <xf numFmtId="38" fontId="469" fillId="0" borderId="0" xfId="22751" applyNumberFormat="1" applyFont="1" applyAlignment="1">
      <alignment vertical="center" wrapText="1"/>
    </xf>
    <xf numFmtId="0" fontId="533" fillId="107" borderId="0" xfId="0" applyFont="1" applyFill="1" applyAlignment="1">
      <alignment wrapText="1"/>
    </xf>
    <xf numFmtId="179" fontId="637" fillId="107" borderId="145" xfId="27932" applyNumberFormat="1" applyFont="1" applyFill="1" applyBorder="1" applyAlignment="1" applyProtection="1">
      <alignment horizontal="center" vertical="center"/>
      <protection locked="0"/>
    </xf>
    <xf numFmtId="49" fontId="637" fillId="107" borderId="214" xfId="22678" quotePrefix="1" applyNumberFormat="1" applyFont="1" applyFill="1" applyBorder="1" applyAlignment="1" applyProtection="1">
      <alignment horizontal="center" vertical="center" wrapText="1"/>
      <protection locked="0"/>
    </xf>
    <xf numFmtId="360" fontId="637" fillId="107" borderId="117" xfId="27932" applyNumberFormat="1" applyFont="1" applyFill="1" applyBorder="1" applyAlignment="1" applyProtection="1">
      <alignment horizontal="center" vertical="center" wrapText="1"/>
      <protection locked="0"/>
    </xf>
    <xf numFmtId="179" fontId="637" fillId="107" borderId="45" xfId="27932" applyNumberFormat="1" applyFont="1" applyFill="1" applyBorder="1" applyAlignment="1" applyProtection="1">
      <alignment horizontal="center" vertical="center" wrapText="1"/>
      <protection locked="0"/>
    </xf>
    <xf numFmtId="179" fontId="637" fillId="107" borderId="351" xfId="27933" applyNumberFormat="1" applyFont="1" applyFill="1" applyBorder="1" applyAlignment="1" applyProtection="1">
      <alignment horizontal="center" vertical="center"/>
      <protection locked="0"/>
    </xf>
    <xf numFmtId="179" fontId="637" fillId="107" borderId="146" xfId="27933" applyNumberFormat="1" applyFont="1" applyFill="1" applyBorder="1" applyAlignment="1" applyProtection="1">
      <alignment horizontal="center" vertical="center" wrapText="1"/>
      <protection locked="0"/>
    </xf>
    <xf numFmtId="179" fontId="637" fillId="107" borderId="148" xfId="27933" applyNumberFormat="1" applyFont="1" applyFill="1" applyBorder="1" applyAlignment="1" applyProtection="1">
      <alignment horizontal="center" vertical="center" wrapText="1"/>
      <protection locked="0"/>
    </xf>
    <xf numFmtId="179" fontId="637" fillId="107" borderId="117" xfId="27932" applyNumberFormat="1" applyFont="1" applyFill="1" applyBorder="1" applyAlignment="1" applyProtection="1">
      <alignment horizontal="center" vertical="center" wrapText="1"/>
      <protection locked="0"/>
    </xf>
    <xf numFmtId="2" fontId="637" fillId="107" borderId="45" xfId="27932" applyNumberFormat="1" applyFont="1" applyFill="1" applyBorder="1" applyAlignment="1" applyProtection="1">
      <alignment horizontal="center" vertical="center"/>
      <protection locked="0"/>
    </xf>
    <xf numFmtId="179" fontId="637" fillId="107" borderId="349" xfId="27932" applyNumberFormat="1" applyFont="1" applyFill="1" applyBorder="1" applyAlignment="1" applyProtection="1">
      <alignment horizontal="center" vertical="center"/>
      <protection locked="0"/>
    </xf>
    <xf numFmtId="179" fontId="637" fillId="107" borderId="350" xfId="27932" applyNumberFormat="1" applyFont="1" applyFill="1" applyBorder="1" applyAlignment="1" applyProtection="1">
      <alignment horizontal="center" vertical="center"/>
      <protection locked="0"/>
    </xf>
    <xf numFmtId="179" fontId="637" fillId="107" borderId="351" xfId="27932" applyNumberFormat="1" applyFont="1" applyFill="1" applyBorder="1" applyAlignment="1" applyProtection="1">
      <alignment horizontal="center" vertical="center" wrapText="1"/>
      <protection locked="0"/>
    </xf>
    <xf numFmtId="360" fontId="637" fillId="107" borderId="117" xfId="27932" applyNumberFormat="1" applyFont="1" applyFill="1" applyBorder="1" applyAlignment="1" applyProtection="1">
      <alignment horizontal="center" vertical="center"/>
      <protection locked="0"/>
    </xf>
    <xf numFmtId="40" fontId="637" fillId="107" borderId="146" xfId="27932" applyNumberFormat="1" applyFont="1" applyFill="1" applyBorder="1" applyAlignment="1" applyProtection="1">
      <alignment horizontal="center" vertical="center"/>
      <protection locked="0"/>
    </xf>
    <xf numFmtId="38" fontId="6" fillId="0" borderId="365" xfId="22751" applyNumberFormat="1" applyFont="1" applyBorder="1" applyAlignment="1">
      <alignment horizontal="center" vertical="center"/>
    </xf>
    <xf numFmtId="38" fontId="6" fillId="0" borderId="365" xfId="22751" applyNumberFormat="1" applyFont="1" applyBorder="1" applyAlignment="1">
      <alignment horizontal="left" vertical="center" wrapText="1" indent="3"/>
    </xf>
    <xf numFmtId="359" fontId="497" fillId="204" borderId="148" xfId="22678" applyFont="1" applyFill="1" applyBorder="1" applyAlignment="1" applyProtection="1">
      <alignment horizontal="left" vertical="top" wrapText="1"/>
      <protection locked="0"/>
    </xf>
    <xf numFmtId="14" fontId="169" fillId="107" borderId="117" xfId="27932" quotePrefix="1" applyNumberFormat="1" applyFont="1" applyFill="1" applyBorder="1" applyAlignment="1" applyProtection="1">
      <alignment horizontal="center" vertical="center" wrapText="1"/>
      <protection locked="0"/>
    </xf>
    <xf numFmtId="360" fontId="172" fillId="126" borderId="126" xfId="19286" applyNumberFormat="1" applyFont="1" applyFill="1" applyBorder="1" applyAlignment="1">
      <alignment horizontal="center" vertical="center" wrapText="1"/>
    </xf>
    <xf numFmtId="0" fontId="437" fillId="204" borderId="117" xfId="22678" quotePrefix="1" applyNumberFormat="1" applyFont="1" applyFill="1" applyBorder="1" applyAlignment="1" applyProtection="1">
      <alignment horizontal="center" vertical="center"/>
      <protection locked="0"/>
    </xf>
    <xf numFmtId="179" fontId="443" fillId="0" borderId="110" xfId="27944" applyNumberFormat="1" applyFont="1" applyFill="1" applyBorder="1" applyAlignment="1" applyProtection="1">
      <alignment horizontal="centerContinuous" vertical="center"/>
      <protection locked="0"/>
    </xf>
    <xf numFmtId="0" fontId="169" fillId="0" borderId="214" xfId="22678" quotePrefix="1" applyNumberFormat="1" applyFont="1" applyBorder="1" applyAlignment="1" applyProtection="1">
      <alignment horizontal="center" vertical="center"/>
      <protection locked="0"/>
    </xf>
    <xf numFmtId="359" fontId="169" fillId="0" borderId="117" xfId="22678" applyFont="1" applyBorder="1" applyAlignment="1" applyProtection="1">
      <alignment horizontal="center" vertical="center" wrapText="1"/>
      <protection locked="0"/>
    </xf>
    <xf numFmtId="369" fontId="169" fillId="0" borderId="117" xfId="27944" applyNumberFormat="1" applyFont="1" applyFill="1" applyBorder="1" applyAlignment="1" applyProtection="1">
      <alignment horizontal="center" vertical="center"/>
      <protection locked="0"/>
    </xf>
    <xf numFmtId="179" fontId="169" fillId="0" borderId="117" xfId="27944" applyNumberFormat="1" applyFont="1" applyFill="1" applyBorder="1" applyAlignment="1" applyProtection="1">
      <alignment horizontal="center" vertical="center" wrapText="1"/>
      <protection locked="0"/>
    </xf>
    <xf numFmtId="210" fontId="169" fillId="0" borderId="117" xfId="27944" applyNumberFormat="1" applyFont="1" applyFill="1" applyBorder="1" applyAlignment="1" applyProtection="1">
      <alignment horizontal="center" vertical="center"/>
      <protection locked="0"/>
    </xf>
    <xf numFmtId="40" fontId="169" fillId="0" borderId="117" xfId="27944" applyNumberFormat="1" applyFont="1" applyFill="1" applyBorder="1" applyAlignment="1" applyProtection="1">
      <alignment horizontal="center" vertical="center"/>
      <protection locked="0"/>
    </xf>
    <xf numFmtId="359" fontId="169" fillId="0" borderId="0" xfId="22678" applyFont="1" applyAlignment="1" applyProtection="1">
      <alignment vertical="center"/>
      <protection locked="0"/>
    </xf>
    <xf numFmtId="1" fontId="169" fillId="0" borderId="214" xfId="22678" quotePrefix="1" applyNumberFormat="1" applyFont="1" applyBorder="1" applyAlignment="1" applyProtection="1">
      <alignment horizontal="center" vertical="center" wrapText="1"/>
      <protection locked="0"/>
    </xf>
    <xf numFmtId="0" fontId="169" fillId="0" borderId="117" xfId="22678" quotePrefix="1" applyNumberFormat="1" applyFont="1" applyBorder="1" applyAlignment="1" applyProtection="1">
      <alignment horizontal="center" vertical="center" wrapText="1"/>
      <protection locked="0"/>
    </xf>
    <xf numFmtId="15" fontId="169" fillId="0" borderId="117" xfId="27944" applyNumberFormat="1" applyFont="1" applyFill="1" applyBorder="1" applyAlignment="1" applyProtection="1">
      <alignment horizontal="center" vertical="center"/>
      <protection locked="0"/>
    </xf>
    <xf numFmtId="15" fontId="169" fillId="0" borderId="117" xfId="22678" quotePrefix="1" applyNumberFormat="1" applyFont="1" applyBorder="1" applyAlignment="1" applyProtection="1">
      <alignment horizontal="center" vertical="center"/>
      <protection locked="0"/>
    </xf>
    <xf numFmtId="38" fontId="169" fillId="0" borderId="117" xfId="22678" quotePrefix="1" applyNumberFormat="1" applyFont="1" applyBorder="1" applyAlignment="1" applyProtection="1">
      <alignment horizontal="center" vertical="center"/>
      <protection locked="0"/>
    </xf>
    <xf numFmtId="40" fontId="169" fillId="0" borderId="117" xfId="27946" applyNumberFormat="1" applyFont="1" applyFill="1" applyBorder="1" applyAlignment="1" applyProtection="1">
      <alignment horizontal="center" vertical="center"/>
      <protection locked="0"/>
    </xf>
    <xf numFmtId="40" fontId="169" fillId="0" borderId="117" xfId="22678" quotePrefix="1" applyNumberFormat="1" applyFont="1" applyBorder="1" applyAlignment="1" applyProtection="1">
      <alignment horizontal="center" vertical="center"/>
      <protection locked="0"/>
    </xf>
    <xf numFmtId="0" fontId="169" fillId="0" borderId="214" xfId="22678" quotePrefix="1" applyNumberFormat="1" applyFont="1" applyBorder="1" applyAlignment="1" applyProtection="1">
      <alignment horizontal="center" vertical="center" wrapText="1"/>
      <protection locked="0"/>
    </xf>
    <xf numFmtId="40" fontId="169" fillId="0" borderId="214" xfId="22678" quotePrefix="1" applyNumberFormat="1" applyFont="1" applyBorder="1" applyAlignment="1" applyProtection="1">
      <alignment horizontal="center" vertical="center"/>
      <protection locked="0"/>
    </xf>
    <xf numFmtId="43" fontId="169" fillId="107" borderId="117" xfId="19286" quotePrefix="1" applyFont="1" applyFill="1" applyBorder="1" applyAlignment="1" applyProtection="1">
      <alignment horizontal="center" vertical="center" wrapText="1"/>
      <protection locked="0"/>
    </xf>
    <xf numFmtId="294" fontId="547" fillId="0" borderId="0" xfId="19286" applyNumberFormat="1" applyFont="1"/>
    <xf numFmtId="365" fontId="451" fillId="0" borderId="410" xfId="27926" applyNumberFormat="1" applyFont="1" applyFill="1" applyBorder="1" applyAlignment="1">
      <alignment horizontal="left" vertical="center"/>
    </xf>
    <xf numFmtId="365" fontId="451" fillId="0" borderId="343" xfId="27926" applyNumberFormat="1" applyFont="1" applyFill="1" applyBorder="1" applyAlignment="1">
      <alignment horizontal="left" vertical="center"/>
    </xf>
    <xf numFmtId="365" fontId="451" fillId="0" borderId="405" xfId="27926" applyNumberFormat="1" applyFont="1" applyFill="1" applyBorder="1" applyAlignment="1">
      <alignment horizontal="left" vertical="center"/>
    </xf>
    <xf numFmtId="365" fontId="451" fillId="0" borderId="413" xfId="27926" applyNumberFormat="1" applyFont="1" applyFill="1" applyBorder="1" applyAlignment="1">
      <alignment horizontal="left" vertical="center"/>
    </xf>
    <xf numFmtId="365" fontId="451" fillId="0" borderId="462" xfId="27926" applyNumberFormat="1" applyFont="1" applyFill="1" applyBorder="1" applyAlignment="1">
      <alignment horizontal="left" vertical="center"/>
    </xf>
    <xf numFmtId="365" fontId="451" fillId="0" borderId="472" xfId="27926" applyNumberFormat="1" applyFont="1" applyFill="1" applyBorder="1" applyAlignment="1">
      <alignment horizontal="left" vertical="center"/>
    </xf>
    <xf numFmtId="365" fontId="451" fillId="0" borderId="474" xfId="27926" applyNumberFormat="1" applyFont="1" applyFill="1" applyBorder="1" applyAlignment="1">
      <alignment horizontal="left" vertical="center"/>
    </xf>
    <xf numFmtId="365" fontId="451" fillId="0" borderId="539" xfId="27926" applyNumberFormat="1" applyFont="1" applyFill="1" applyBorder="1" applyAlignment="1">
      <alignment horizontal="left" vertical="center"/>
    </xf>
    <xf numFmtId="360" fontId="169" fillId="185" borderId="117" xfId="27932" applyNumberFormat="1" applyFont="1" applyFill="1" applyBorder="1" applyAlignment="1" applyProtection="1">
      <alignment horizontal="center" vertical="center"/>
      <protection locked="0"/>
    </xf>
    <xf numFmtId="40" fontId="169" fillId="185" borderId="146" xfId="27932" applyNumberFormat="1" applyFont="1" applyFill="1" applyBorder="1" applyAlignment="1" applyProtection="1">
      <alignment horizontal="center" vertical="center"/>
      <protection locked="0"/>
    </xf>
    <xf numFmtId="0" fontId="437" fillId="177" borderId="214" xfId="22678" quotePrefix="1" applyNumberFormat="1" applyFont="1" applyFill="1" applyBorder="1" applyAlignment="1" applyProtection="1">
      <alignment horizontal="center" vertical="center"/>
      <protection locked="0"/>
    </xf>
    <xf numFmtId="359" fontId="437" fillId="177" borderId="117" xfId="22678" applyFont="1" applyFill="1" applyBorder="1" applyAlignment="1" applyProtection="1">
      <alignment horizontal="center" vertical="center" wrapText="1"/>
      <protection locked="0"/>
    </xf>
    <xf numFmtId="369" fontId="437" fillId="177" borderId="117" xfId="27944" applyNumberFormat="1" applyFont="1" applyFill="1" applyBorder="1" applyAlignment="1" applyProtection="1">
      <alignment horizontal="center" vertical="center" wrapText="1"/>
      <protection locked="0"/>
    </xf>
    <xf numFmtId="179" fontId="437" fillId="177" borderId="117" xfId="27944" applyNumberFormat="1" applyFont="1" applyFill="1" applyBorder="1" applyAlignment="1" applyProtection="1">
      <alignment horizontal="center" vertical="center" wrapText="1"/>
      <protection locked="0"/>
    </xf>
    <xf numFmtId="210" fontId="437" fillId="177" borderId="117" xfId="27944" applyNumberFormat="1" applyFont="1" applyFill="1" applyBorder="1" applyAlignment="1" applyProtection="1">
      <alignment horizontal="center" vertical="center"/>
      <protection locked="0"/>
    </xf>
    <xf numFmtId="40" fontId="437" fillId="177" borderId="117" xfId="27944" applyNumberFormat="1" applyFont="1" applyFill="1" applyBorder="1" applyAlignment="1" applyProtection="1">
      <alignment horizontal="center" vertical="center" wrapText="1"/>
      <protection locked="0"/>
    </xf>
    <xf numFmtId="40" fontId="437" fillId="177" borderId="117" xfId="27946" applyNumberFormat="1" applyFont="1" applyFill="1" applyBorder="1" applyAlignment="1" applyProtection="1">
      <alignment horizontal="center" vertical="center"/>
      <protection locked="0"/>
    </xf>
    <xf numFmtId="359" fontId="437" fillId="177" borderId="0" xfId="22678" applyFont="1" applyFill="1" applyAlignment="1" applyProtection="1">
      <alignment vertical="center"/>
      <protection locked="0"/>
    </xf>
    <xf numFmtId="1" fontId="437" fillId="177" borderId="214" xfId="22678" quotePrefix="1" applyNumberFormat="1" applyFont="1" applyFill="1" applyBorder="1" applyAlignment="1" applyProtection="1">
      <alignment horizontal="center" vertical="center" wrapText="1"/>
      <protection locked="0"/>
    </xf>
    <xf numFmtId="0" fontId="437" fillId="177" borderId="117" xfId="22678" quotePrefix="1" applyNumberFormat="1" applyFont="1" applyFill="1" applyBorder="1" applyAlignment="1" applyProtection="1">
      <alignment horizontal="center" vertical="center" wrapText="1"/>
      <protection locked="0"/>
    </xf>
    <xf numFmtId="15" fontId="437" fillId="177" borderId="117" xfId="22678" quotePrefix="1" applyNumberFormat="1" applyFont="1" applyFill="1" applyBorder="1" applyAlignment="1" applyProtection="1">
      <alignment horizontal="center" vertical="center"/>
      <protection locked="0"/>
    </xf>
    <xf numFmtId="38" fontId="437" fillId="177" borderId="117" xfId="22678" quotePrefix="1" applyNumberFormat="1" applyFont="1" applyFill="1" applyBorder="1" applyAlignment="1" applyProtection="1">
      <alignment horizontal="center" vertical="center"/>
      <protection locked="0"/>
    </xf>
    <xf numFmtId="0" fontId="437" fillId="177" borderId="214" xfId="22678" quotePrefix="1" applyNumberFormat="1" applyFont="1" applyFill="1" applyBorder="1" applyAlignment="1" applyProtection="1">
      <alignment horizontal="center" vertical="center" wrapText="1"/>
      <protection locked="0"/>
    </xf>
    <xf numFmtId="15" fontId="437" fillId="177" borderId="117" xfId="27944" applyNumberFormat="1" applyFont="1" applyFill="1" applyBorder="1" applyAlignment="1" applyProtection="1">
      <alignment horizontal="center" vertical="center"/>
      <protection locked="0"/>
    </xf>
    <xf numFmtId="40" fontId="437" fillId="177" borderId="214" xfId="22678" quotePrefix="1" applyNumberFormat="1" applyFont="1" applyFill="1" applyBorder="1" applyAlignment="1" applyProtection="1">
      <alignment horizontal="center" vertical="center"/>
      <protection locked="0"/>
    </xf>
    <xf numFmtId="15" fontId="437" fillId="177" borderId="117" xfId="22678" quotePrefix="1" applyNumberFormat="1" applyFont="1" applyFill="1" applyBorder="1" applyAlignment="1" applyProtection="1">
      <alignment horizontal="center" vertical="center" wrapText="1"/>
      <protection locked="0"/>
    </xf>
    <xf numFmtId="0" fontId="437" fillId="136" borderId="214" xfId="22678" quotePrefix="1" applyNumberFormat="1" applyFont="1" applyFill="1" applyBorder="1" applyAlignment="1" applyProtection="1">
      <alignment horizontal="center" vertical="center"/>
      <protection locked="0"/>
    </xf>
    <xf numFmtId="359" fontId="437" fillId="136" borderId="117" xfId="22678" applyFont="1" applyFill="1" applyBorder="1" applyAlignment="1" applyProtection="1">
      <alignment horizontal="center" vertical="center" wrapText="1"/>
      <protection locked="0"/>
    </xf>
    <xf numFmtId="369" fontId="437" fillId="136" borderId="117" xfId="27944" applyNumberFormat="1" applyFont="1" applyFill="1" applyBorder="1" applyAlignment="1" applyProtection="1">
      <alignment horizontal="center" vertical="center"/>
      <protection locked="0"/>
    </xf>
    <xf numFmtId="179" fontId="437" fillId="136" borderId="117" xfId="27944" applyNumberFormat="1" applyFont="1" applyFill="1" applyBorder="1" applyAlignment="1" applyProtection="1">
      <alignment horizontal="center" vertical="center" wrapText="1"/>
      <protection locked="0"/>
    </xf>
    <xf numFmtId="210" fontId="437" fillId="136" borderId="117" xfId="27944" applyNumberFormat="1" applyFont="1" applyFill="1" applyBorder="1" applyAlignment="1" applyProtection="1">
      <alignment horizontal="center" vertical="center"/>
      <protection locked="0"/>
    </xf>
    <xf numFmtId="40" fontId="437" fillId="136" borderId="117" xfId="27944" applyNumberFormat="1" applyFont="1" applyFill="1" applyBorder="1" applyAlignment="1" applyProtection="1">
      <alignment horizontal="center" vertical="center" wrapText="1"/>
      <protection locked="0"/>
    </xf>
    <xf numFmtId="40" fontId="437" fillId="136" borderId="117" xfId="27946" applyNumberFormat="1" applyFont="1" applyFill="1" applyBorder="1" applyAlignment="1" applyProtection="1">
      <alignment horizontal="center" vertical="center"/>
      <protection locked="0"/>
    </xf>
    <xf numFmtId="359" fontId="437" fillId="136" borderId="0" xfId="22678" applyFont="1" applyFill="1" applyAlignment="1" applyProtection="1">
      <alignment vertical="center"/>
      <protection locked="0"/>
    </xf>
    <xf numFmtId="1" fontId="437" fillId="136" borderId="214" xfId="22678" quotePrefix="1" applyNumberFormat="1" applyFont="1" applyFill="1" applyBorder="1" applyAlignment="1" applyProtection="1">
      <alignment horizontal="center" vertical="center" wrapText="1"/>
      <protection locked="0"/>
    </xf>
    <xf numFmtId="0" fontId="437" fillId="136" borderId="117" xfId="22678" quotePrefix="1" applyNumberFormat="1" applyFont="1" applyFill="1" applyBorder="1" applyAlignment="1" applyProtection="1">
      <alignment horizontal="center" vertical="center" wrapText="1"/>
      <protection locked="0"/>
    </xf>
    <xf numFmtId="15" fontId="437" fillId="136" borderId="117" xfId="22678" quotePrefix="1" applyNumberFormat="1" applyFont="1" applyFill="1" applyBorder="1" applyAlignment="1" applyProtection="1">
      <alignment horizontal="center" vertical="center"/>
      <protection locked="0"/>
    </xf>
    <xf numFmtId="38" fontId="437" fillId="136" borderId="117" xfId="22678" quotePrefix="1" applyNumberFormat="1" applyFont="1" applyFill="1" applyBorder="1" applyAlignment="1" applyProtection="1">
      <alignment horizontal="center" vertical="center"/>
      <protection locked="0"/>
    </xf>
    <xf numFmtId="0" fontId="437" fillId="136" borderId="214" xfId="22678" quotePrefix="1" applyNumberFormat="1" applyFont="1" applyFill="1" applyBorder="1" applyAlignment="1" applyProtection="1">
      <alignment horizontal="center" vertical="center" wrapText="1"/>
      <protection locked="0"/>
    </xf>
    <xf numFmtId="15" fontId="437" fillId="136" borderId="117" xfId="22678" quotePrefix="1" applyNumberFormat="1" applyFont="1" applyFill="1" applyBorder="1" applyAlignment="1" applyProtection="1">
      <alignment horizontal="center" vertical="center" wrapText="1"/>
      <protection locked="0"/>
    </xf>
    <xf numFmtId="15" fontId="437" fillId="136" borderId="117" xfId="27944" applyNumberFormat="1" applyFont="1" applyFill="1" applyBorder="1" applyAlignment="1" applyProtection="1">
      <alignment horizontal="center" vertical="center"/>
      <protection locked="0"/>
    </xf>
    <xf numFmtId="40" fontId="437" fillId="136" borderId="214" xfId="22678" quotePrefix="1" applyNumberFormat="1" applyFont="1" applyFill="1" applyBorder="1" applyAlignment="1" applyProtection="1">
      <alignment horizontal="center" vertical="center"/>
      <protection locked="0"/>
    </xf>
    <xf numFmtId="40" fontId="437" fillId="136" borderId="117" xfId="27944" applyNumberFormat="1" applyFont="1" applyFill="1" applyBorder="1" applyAlignment="1" applyProtection="1">
      <alignment horizontal="center" vertical="center"/>
      <protection locked="0"/>
    </xf>
    <xf numFmtId="40" fontId="437" fillId="136" borderId="117" xfId="27946" applyNumberFormat="1" applyFont="1" applyFill="1" applyBorder="1" applyAlignment="1" applyProtection="1">
      <alignment horizontal="center" vertical="center" wrapText="1"/>
      <protection locked="0"/>
    </xf>
    <xf numFmtId="369" fontId="437" fillId="136" borderId="117" xfId="27944" applyNumberFormat="1" applyFont="1" applyFill="1" applyBorder="1" applyAlignment="1" applyProtection="1">
      <alignment horizontal="center" vertical="center" wrapText="1"/>
      <protection locked="0"/>
    </xf>
    <xf numFmtId="40" fontId="437" fillId="136" borderId="117" xfId="22678" quotePrefix="1" applyNumberFormat="1" applyFont="1" applyFill="1" applyBorder="1" applyAlignment="1" applyProtection="1">
      <alignment horizontal="center" vertical="center"/>
      <protection locked="0"/>
    </xf>
    <xf numFmtId="360" fontId="169" fillId="177" borderId="117" xfId="27932" applyNumberFormat="1" applyFont="1" applyFill="1" applyBorder="1" applyAlignment="1" applyProtection="1">
      <alignment horizontal="center" vertical="center"/>
      <protection locked="0"/>
    </xf>
    <xf numFmtId="179" fontId="496" fillId="177" borderId="117" xfId="27932" applyNumberFormat="1" applyFont="1" applyFill="1" applyBorder="1" applyAlignment="1" applyProtection="1">
      <alignment horizontal="left" vertical="center" wrapText="1"/>
      <protection locked="0"/>
    </xf>
    <xf numFmtId="179" fontId="496" fillId="177" borderId="117" xfId="27932" applyNumberFormat="1" applyFont="1" applyFill="1" applyBorder="1" applyAlignment="1" applyProtection="1">
      <alignment horizontal="center" vertical="center" wrapText="1"/>
      <protection locked="0"/>
    </xf>
    <xf numFmtId="179" fontId="496" fillId="177" borderId="45" xfId="27932" applyNumberFormat="1" applyFont="1" applyFill="1" applyBorder="1" applyAlignment="1" applyProtection="1">
      <alignment horizontal="center" vertical="center"/>
      <protection locked="0"/>
    </xf>
    <xf numFmtId="179" fontId="496" fillId="177" borderId="349" xfId="27932" applyNumberFormat="1" applyFont="1" applyFill="1" applyBorder="1" applyAlignment="1" applyProtection="1">
      <alignment horizontal="center" vertical="center"/>
      <protection locked="0"/>
    </xf>
    <xf numFmtId="179" fontId="496" fillId="177" borderId="350" xfId="27932" applyNumberFormat="1" applyFont="1" applyFill="1" applyBorder="1" applyAlignment="1" applyProtection="1">
      <alignment horizontal="center" vertical="center"/>
      <protection locked="0"/>
    </xf>
    <xf numFmtId="179" fontId="496" fillId="177" borderId="351" xfId="27932" applyNumberFormat="1" applyFont="1" applyFill="1" applyBorder="1" applyAlignment="1" applyProtection="1">
      <alignment horizontal="center" vertical="center" wrapText="1"/>
      <protection locked="0"/>
    </xf>
    <xf numFmtId="179" fontId="496" fillId="177" borderId="145" xfId="27932" applyNumberFormat="1" applyFont="1" applyFill="1" applyBorder="1" applyAlignment="1" applyProtection="1">
      <alignment horizontal="center" vertical="center"/>
      <protection locked="0"/>
    </xf>
    <xf numFmtId="49" fontId="496" fillId="177" borderId="214" xfId="22678" quotePrefix="1" applyNumberFormat="1" applyFont="1" applyFill="1" applyBorder="1" applyAlignment="1" applyProtection="1">
      <alignment horizontal="center" vertical="center" wrapText="1"/>
      <protection locked="0"/>
    </xf>
    <xf numFmtId="360" fontId="496" fillId="177" borderId="117" xfId="27932" applyNumberFormat="1" applyFont="1" applyFill="1" applyBorder="1" applyAlignment="1" applyProtection="1">
      <alignment horizontal="center" vertical="center" wrapText="1"/>
      <protection locked="0"/>
    </xf>
    <xf numFmtId="179" fontId="496" fillId="177" borderId="45" xfId="27932" applyNumberFormat="1" applyFont="1" applyFill="1" applyBorder="1" applyAlignment="1" applyProtection="1">
      <alignment horizontal="center" vertical="center" wrapText="1"/>
      <protection locked="0"/>
    </xf>
    <xf numFmtId="179" fontId="496" fillId="177" borderId="351" xfId="27933" applyNumberFormat="1" applyFont="1" applyFill="1" applyBorder="1" applyAlignment="1" applyProtection="1">
      <alignment horizontal="center" vertical="center"/>
      <protection locked="0"/>
    </xf>
    <xf numFmtId="179" fontId="496" fillId="177" borderId="146" xfId="27933" applyNumberFormat="1" applyFont="1" applyFill="1" applyBorder="1" applyAlignment="1" applyProtection="1">
      <alignment horizontal="center" vertical="center" wrapText="1"/>
      <protection locked="0"/>
    </xf>
    <xf numFmtId="179" fontId="496" fillId="177" borderId="148" xfId="27933" applyNumberFormat="1" applyFont="1" applyFill="1" applyBorder="1" applyAlignment="1" applyProtection="1">
      <alignment horizontal="center" vertical="center" wrapText="1"/>
      <protection locked="0"/>
    </xf>
    <xf numFmtId="0" fontId="496" fillId="177" borderId="117" xfId="22678" quotePrefix="1" applyNumberFormat="1" applyFont="1" applyFill="1" applyBorder="1" applyAlignment="1" applyProtection="1">
      <alignment horizontal="center" vertical="center"/>
      <protection locked="0"/>
    </xf>
    <xf numFmtId="360" fontId="496" fillId="177" borderId="117" xfId="27932" applyNumberFormat="1" applyFont="1" applyFill="1" applyBorder="1" applyAlignment="1" applyProtection="1">
      <alignment horizontal="center" vertical="center"/>
      <protection locked="0"/>
    </xf>
    <xf numFmtId="40" fontId="496" fillId="177" borderId="146" xfId="27932" applyNumberFormat="1" applyFont="1" applyFill="1" applyBorder="1" applyAlignment="1" applyProtection="1">
      <alignment horizontal="center" vertical="center"/>
      <protection locked="0"/>
    </xf>
    <xf numFmtId="361" fontId="496" fillId="177" borderId="117" xfId="22678" quotePrefix="1" applyNumberFormat="1" applyFont="1" applyFill="1" applyBorder="1" applyAlignment="1" applyProtection="1">
      <alignment horizontal="center" vertical="center"/>
      <protection locked="0"/>
    </xf>
    <xf numFmtId="49" fontId="496" fillId="177" borderId="117" xfId="22678" quotePrefix="1" applyNumberFormat="1" applyFont="1" applyFill="1" applyBorder="1" applyAlignment="1" applyProtection="1">
      <alignment horizontal="center" vertical="center"/>
      <protection locked="0"/>
    </xf>
    <xf numFmtId="210" fontId="496" fillId="177" borderId="117" xfId="27932" applyNumberFormat="1" applyFont="1" applyFill="1" applyBorder="1" applyAlignment="1" applyProtection="1">
      <alignment horizontal="center" vertical="center"/>
      <protection locked="0"/>
    </xf>
    <xf numFmtId="14" fontId="496" fillId="177" borderId="117" xfId="27932" applyNumberFormat="1" applyFont="1" applyFill="1" applyBorder="1" applyAlignment="1" applyProtection="1">
      <alignment horizontal="center" vertical="center"/>
      <protection locked="0"/>
    </xf>
    <xf numFmtId="14" fontId="496" fillId="177" borderId="117" xfId="27932" applyNumberFormat="1" applyFont="1" applyFill="1" applyBorder="1" applyAlignment="1" applyProtection="1">
      <alignment horizontal="center" vertical="center" wrapText="1"/>
      <protection locked="0"/>
    </xf>
    <xf numFmtId="365" fontId="496" fillId="177" borderId="146" xfId="27932" applyNumberFormat="1" applyFont="1" applyFill="1" applyBorder="1" applyAlignment="1" applyProtection="1">
      <alignment horizontal="center" vertical="center"/>
      <protection locked="0"/>
    </xf>
    <xf numFmtId="368" fontId="496" fillId="177" borderId="145" xfId="22678" quotePrefix="1" applyNumberFormat="1" applyFont="1" applyFill="1" applyBorder="1" applyAlignment="1" applyProtection="1">
      <alignment horizontal="center" vertical="center"/>
      <protection locked="0"/>
    </xf>
    <xf numFmtId="363" fontId="496" fillId="177" borderId="146" xfId="27932" applyNumberFormat="1" applyFont="1" applyFill="1" applyBorder="1" applyAlignment="1" applyProtection="1">
      <alignment horizontal="center" vertical="center"/>
      <protection locked="0"/>
    </xf>
    <xf numFmtId="0" fontId="496" fillId="177" borderId="145" xfId="22678" quotePrefix="1" applyNumberFormat="1" applyFont="1" applyFill="1" applyBorder="1" applyAlignment="1" applyProtection="1">
      <alignment horizontal="center" vertical="center"/>
      <protection locked="0"/>
    </xf>
    <xf numFmtId="49" fontId="496" fillId="177" borderId="145" xfId="22678" quotePrefix="1" applyNumberFormat="1" applyFont="1" applyFill="1" applyBorder="1" applyAlignment="1" applyProtection="1">
      <alignment horizontal="center" vertical="center"/>
      <protection locked="0"/>
    </xf>
    <xf numFmtId="210" fontId="496" fillId="177" borderId="214" xfId="27932" applyNumberFormat="1" applyFont="1" applyFill="1" applyBorder="1" applyAlignment="1" applyProtection="1">
      <alignment horizontal="center" vertical="center"/>
      <protection locked="0"/>
    </xf>
    <xf numFmtId="366" fontId="496" fillId="177" borderId="163" xfId="27932" applyNumberFormat="1" applyFont="1" applyFill="1" applyBorder="1" applyAlignment="1" applyProtection="1">
      <alignment horizontal="center" vertical="center"/>
      <protection locked="0"/>
    </xf>
    <xf numFmtId="0" fontId="496" fillId="177" borderId="145" xfId="22678" applyNumberFormat="1" applyFont="1" applyFill="1" applyBorder="1" applyAlignment="1" applyProtection="1">
      <alignment horizontal="center" vertical="center"/>
      <protection locked="0"/>
    </xf>
    <xf numFmtId="49" fontId="496" fillId="177" borderId="146" xfId="22678" quotePrefix="1" applyNumberFormat="1" applyFont="1" applyFill="1" applyBorder="1" applyAlignment="1" applyProtection="1">
      <alignment horizontal="center" vertical="center"/>
      <protection locked="0"/>
    </xf>
    <xf numFmtId="49" fontId="496" fillId="177" borderId="117" xfId="22678" quotePrefix="1" applyNumberFormat="1" applyFont="1" applyFill="1" applyBorder="1" applyAlignment="1" applyProtection="1">
      <alignment horizontal="center" vertical="center" wrapText="1"/>
      <protection locked="0"/>
    </xf>
    <xf numFmtId="366" fontId="496" fillId="177" borderId="117" xfId="27932" applyNumberFormat="1" applyFont="1" applyFill="1" applyBorder="1" applyAlignment="1" applyProtection="1">
      <alignment horizontal="center" vertical="center"/>
      <protection locked="0"/>
    </xf>
    <xf numFmtId="363" fontId="496" fillId="177" borderId="117" xfId="27932" applyNumberFormat="1" applyFont="1" applyFill="1" applyBorder="1" applyAlignment="1" applyProtection="1">
      <alignment horizontal="center" vertical="center"/>
      <protection locked="0"/>
    </xf>
    <xf numFmtId="179" fontId="496" fillId="177" borderId="218" xfId="27932" applyNumberFormat="1" applyFont="1" applyFill="1" applyBorder="1" applyAlignment="1" applyProtection="1">
      <alignment horizontal="center" vertical="center"/>
      <protection locked="0"/>
    </xf>
    <xf numFmtId="179" fontId="496" fillId="177" borderId="147" xfId="27932" applyNumberFormat="1" applyFont="1" applyFill="1" applyBorder="1" applyAlignment="1" applyProtection="1">
      <alignment horizontal="center" vertical="center"/>
      <protection locked="0"/>
    </xf>
    <xf numFmtId="359" fontId="496" fillId="177" borderId="148" xfId="22678" applyFont="1" applyFill="1" applyBorder="1" applyAlignment="1" applyProtection="1">
      <alignment horizontal="left" vertical="top" wrapText="1"/>
      <protection locked="0"/>
    </xf>
    <xf numFmtId="369" fontId="437" fillId="177" borderId="117" xfId="27944" applyNumberFormat="1" applyFont="1" applyFill="1" applyBorder="1" applyAlignment="1" applyProtection="1">
      <alignment horizontal="center" vertical="center"/>
      <protection locked="0"/>
    </xf>
    <xf numFmtId="40" fontId="437" fillId="177" borderId="117" xfId="27944" applyNumberFormat="1" applyFont="1" applyFill="1" applyBorder="1" applyAlignment="1" applyProtection="1">
      <alignment horizontal="center" vertical="center"/>
      <protection locked="0"/>
    </xf>
    <xf numFmtId="40" fontId="437" fillId="177" borderId="117" xfId="22678" quotePrefix="1" applyNumberFormat="1" applyFont="1" applyFill="1" applyBorder="1" applyAlignment="1" applyProtection="1">
      <alignment horizontal="center" vertical="center"/>
      <protection locked="0"/>
    </xf>
    <xf numFmtId="369" fontId="437" fillId="177" borderId="117" xfId="27944" quotePrefix="1" applyNumberFormat="1" applyFont="1" applyFill="1" applyBorder="1" applyAlignment="1" applyProtection="1">
      <alignment horizontal="center" vertical="center"/>
      <protection locked="0"/>
    </xf>
    <xf numFmtId="0" fontId="639" fillId="107" borderId="365" xfId="27973" applyFont="1" applyFill="1" applyBorder="1" applyAlignment="1">
      <alignment horizontal="center" vertical="center"/>
    </xf>
    <xf numFmtId="0" fontId="639" fillId="107" borderId="365" xfId="27973" applyFont="1" applyFill="1" applyBorder="1" applyAlignment="1">
      <alignment horizontal="left" vertical="center"/>
    </xf>
    <xf numFmtId="0" fontId="640" fillId="0" borderId="0" xfId="27973" applyFont="1" applyAlignment="1">
      <alignment horizontal="center" vertical="center"/>
    </xf>
    <xf numFmtId="0" fontId="640" fillId="0" borderId="214" xfId="27973" applyFont="1" applyBorder="1" applyAlignment="1">
      <alignment horizontal="center" vertical="center"/>
    </xf>
    <xf numFmtId="0" fontId="425" fillId="0" borderId="214" xfId="27973" applyFont="1" applyBorder="1" applyAlignment="1">
      <alignment horizontal="center" vertical="center"/>
    </xf>
    <xf numFmtId="0" fontId="640" fillId="0" borderId="214" xfId="27973" applyFont="1" applyBorder="1" applyAlignment="1">
      <alignment horizontal="left" vertical="center"/>
    </xf>
    <xf numFmtId="0" fontId="425" fillId="0" borderId="221" xfId="27973" applyFont="1" applyBorder="1" applyAlignment="1">
      <alignment horizontal="center" vertical="center"/>
    </xf>
    <xf numFmtId="0" fontId="640" fillId="0" borderId="350" xfId="27973" applyFont="1" applyBorder="1" applyAlignment="1">
      <alignment horizontal="center" vertical="center"/>
    </xf>
    <xf numFmtId="0" fontId="640" fillId="0" borderId="350" xfId="27973" applyFont="1" applyBorder="1" applyAlignment="1">
      <alignment horizontal="left" vertical="center"/>
    </xf>
    <xf numFmtId="0" fontId="425" fillId="0" borderId="350" xfId="27973" applyFont="1" applyBorder="1" applyAlignment="1">
      <alignment horizontal="center" vertical="center"/>
    </xf>
    <xf numFmtId="0" fontId="425" fillId="0" borderId="365" xfId="27973" applyFont="1" applyBorder="1" applyAlignment="1">
      <alignment horizontal="left" vertical="center"/>
    </xf>
    <xf numFmtId="0" fontId="640" fillId="0" borderId="0" xfId="27973" applyFont="1" applyAlignment="1">
      <alignment horizontal="left" vertical="center"/>
    </xf>
    <xf numFmtId="0" fontId="425" fillId="0" borderId="0" xfId="27973" applyFont="1" applyAlignment="1">
      <alignment horizontal="left" vertical="center"/>
    </xf>
    <xf numFmtId="0" fontId="425" fillId="0" borderId="0" xfId="27973" applyFont="1" applyAlignment="1">
      <alignment horizontal="center" vertical="center"/>
    </xf>
    <xf numFmtId="14" fontId="437" fillId="204" borderId="117" xfId="22678" quotePrefix="1" applyNumberFormat="1" applyFont="1" applyFill="1" applyBorder="1" applyAlignment="1" applyProtection="1">
      <alignment horizontal="center" vertical="center"/>
      <protection locked="0"/>
    </xf>
    <xf numFmtId="0" fontId="437" fillId="134" borderId="214" xfId="22678" quotePrefix="1" applyNumberFormat="1" applyFont="1" applyFill="1" applyBorder="1" applyAlignment="1" applyProtection="1">
      <alignment horizontal="center" vertical="center" wrapText="1"/>
      <protection locked="0"/>
    </xf>
    <xf numFmtId="15" fontId="437" fillId="134" borderId="117" xfId="22678" quotePrefix="1" applyNumberFormat="1" applyFont="1" applyFill="1" applyBorder="1" applyAlignment="1" applyProtection="1">
      <alignment horizontal="center" vertical="center"/>
      <protection locked="0"/>
    </xf>
    <xf numFmtId="15" fontId="437" fillId="134" borderId="117" xfId="27944" applyNumberFormat="1" applyFont="1" applyFill="1" applyBorder="1" applyAlignment="1" applyProtection="1">
      <alignment horizontal="center" vertical="center"/>
      <protection locked="0"/>
    </xf>
    <xf numFmtId="38" fontId="437" fillId="134" borderId="117" xfId="22678" quotePrefix="1" applyNumberFormat="1" applyFont="1" applyFill="1" applyBorder="1" applyAlignment="1" applyProtection="1">
      <alignment horizontal="center" vertical="center"/>
      <protection locked="0"/>
    </xf>
    <xf numFmtId="171" fontId="451" fillId="0" borderId="401" xfId="27925" applyNumberFormat="1" applyFont="1" applyBorder="1" applyAlignment="1">
      <alignment horizontal="left" vertical="top" wrapText="1"/>
    </xf>
    <xf numFmtId="365" fontId="561" fillId="0" borderId="320" xfId="27926" applyNumberFormat="1" applyFont="1" applyBorder="1" applyAlignment="1">
      <alignment horizontal="center" vertical="center"/>
    </xf>
    <xf numFmtId="365" fontId="561" fillId="0" borderId="324" xfId="27926" applyNumberFormat="1" applyFont="1" applyBorder="1" applyAlignment="1">
      <alignment horizontal="center" vertical="center"/>
    </xf>
    <xf numFmtId="179" fontId="641" fillId="177" borderId="117" xfId="27932" applyNumberFormat="1" applyFont="1" applyFill="1" applyBorder="1" applyAlignment="1" applyProtection="1">
      <alignment horizontal="left" vertical="center" wrapText="1"/>
      <protection locked="0"/>
    </xf>
    <xf numFmtId="179" fontId="641" fillId="177" borderId="117" xfId="27932" applyNumberFormat="1" applyFont="1" applyFill="1" applyBorder="1" applyAlignment="1" applyProtection="1">
      <alignment horizontal="center" vertical="center" wrapText="1"/>
      <protection locked="0"/>
    </xf>
    <xf numFmtId="179" fontId="641" fillId="177" borderId="45" xfId="27932" applyNumberFormat="1" applyFont="1" applyFill="1" applyBorder="1" applyAlignment="1" applyProtection="1">
      <alignment horizontal="center" vertical="center" wrapText="1"/>
      <protection locked="0"/>
    </xf>
    <xf numFmtId="179" fontId="641" fillId="177" borderId="349" xfId="27932" applyNumberFormat="1" applyFont="1" applyFill="1" applyBorder="1" applyAlignment="1" applyProtection="1">
      <alignment horizontal="center" vertical="center"/>
      <protection locked="0"/>
    </xf>
    <xf numFmtId="179" fontId="641" fillId="177" borderId="350" xfId="27932" applyNumberFormat="1" applyFont="1" applyFill="1" applyBorder="1" applyAlignment="1" applyProtection="1">
      <alignment horizontal="center" vertical="center"/>
      <protection locked="0"/>
    </xf>
    <xf numFmtId="179" fontId="641" fillId="177" borderId="351" xfId="27932" applyNumberFormat="1" applyFont="1" applyFill="1" applyBorder="1" applyAlignment="1" applyProtection="1">
      <alignment horizontal="center" vertical="center" wrapText="1"/>
      <protection locked="0"/>
    </xf>
    <xf numFmtId="2" fontId="641" fillId="107" borderId="145" xfId="27932" applyNumberFormat="1" applyFont="1" applyFill="1" applyBorder="1" applyAlignment="1" applyProtection="1">
      <alignment horizontal="center" vertical="center"/>
      <protection locked="0"/>
    </xf>
    <xf numFmtId="2" fontId="641" fillId="107" borderId="214" xfId="22678" quotePrefix="1" applyNumberFormat="1" applyFont="1" applyFill="1" applyBorder="1" applyAlignment="1" applyProtection="1">
      <alignment horizontal="center" vertical="center" wrapText="1"/>
      <protection locked="0"/>
    </xf>
    <xf numFmtId="2" fontId="641" fillId="107" borderId="117" xfId="27932" applyNumberFormat="1" applyFont="1" applyFill="1" applyBorder="1" applyAlignment="1" applyProtection="1">
      <alignment horizontal="center" vertical="center" wrapText="1"/>
      <protection locked="0"/>
    </xf>
    <xf numFmtId="2" fontId="641" fillId="107" borderId="45" xfId="27932" applyNumberFormat="1" applyFont="1" applyFill="1" applyBorder="1" applyAlignment="1" applyProtection="1">
      <alignment horizontal="center" vertical="center" wrapText="1"/>
      <protection locked="0"/>
    </xf>
    <xf numFmtId="2" fontId="641" fillId="107" borderId="351" xfId="27933" applyNumberFormat="1" applyFont="1" applyFill="1" applyBorder="1" applyAlignment="1" applyProtection="1">
      <alignment horizontal="center" vertical="center"/>
      <protection locked="0"/>
    </xf>
    <xf numFmtId="179" fontId="641" fillId="107" borderId="146" xfId="27933" applyNumberFormat="1" applyFont="1" applyFill="1" applyBorder="1" applyAlignment="1" applyProtection="1">
      <alignment horizontal="center" vertical="center" wrapText="1"/>
      <protection locked="0"/>
    </xf>
    <xf numFmtId="179" fontId="641" fillId="107" borderId="148" xfId="27933" applyNumberFormat="1" applyFont="1" applyFill="1" applyBorder="1" applyAlignment="1" applyProtection="1">
      <alignment horizontal="center" vertical="center" wrapText="1"/>
      <protection locked="0"/>
    </xf>
    <xf numFmtId="0" fontId="641" fillId="177" borderId="117" xfId="22678" quotePrefix="1" applyNumberFormat="1" applyFont="1" applyFill="1" applyBorder="1" applyAlignment="1" applyProtection="1">
      <alignment horizontal="center" vertical="center"/>
      <protection locked="0"/>
    </xf>
    <xf numFmtId="360" fontId="641" fillId="177" borderId="117" xfId="27932" applyNumberFormat="1" applyFont="1" applyFill="1" applyBorder="1" applyAlignment="1" applyProtection="1">
      <alignment horizontal="center" vertical="center"/>
      <protection locked="0"/>
    </xf>
    <xf numFmtId="40" fontId="641" fillId="177" borderId="146" xfId="27932" applyNumberFormat="1" applyFont="1" applyFill="1" applyBorder="1" applyAlignment="1" applyProtection="1">
      <alignment horizontal="center" vertical="center"/>
      <protection locked="0"/>
    </xf>
    <xf numFmtId="179" fontId="637" fillId="177" borderId="117" xfId="27932" applyNumberFormat="1" applyFont="1" applyFill="1" applyBorder="1" applyAlignment="1" applyProtection="1">
      <alignment horizontal="center" vertical="center" wrapText="1"/>
      <protection locked="0"/>
    </xf>
    <xf numFmtId="2" fontId="637" fillId="177" borderId="45" xfId="27932" applyNumberFormat="1" applyFont="1" applyFill="1" applyBorder="1" applyAlignment="1" applyProtection="1">
      <alignment horizontal="center" vertical="center"/>
      <protection locked="0"/>
    </xf>
    <xf numFmtId="179" fontId="637" fillId="177" borderId="349" xfId="27932" applyNumberFormat="1" applyFont="1" applyFill="1" applyBorder="1" applyAlignment="1" applyProtection="1">
      <alignment horizontal="center" vertical="center"/>
      <protection locked="0"/>
    </xf>
    <xf numFmtId="179" fontId="637" fillId="177" borderId="350" xfId="27932" applyNumberFormat="1" applyFont="1" applyFill="1" applyBorder="1" applyAlignment="1" applyProtection="1">
      <alignment horizontal="center" vertical="center"/>
      <protection locked="0"/>
    </xf>
    <xf numFmtId="179" fontId="637" fillId="177" borderId="351" xfId="27932" applyNumberFormat="1" applyFont="1" applyFill="1" applyBorder="1" applyAlignment="1" applyProtection="1">
      <alignment horizontal="center" vertical="center" wrapText="1"/>
      <protection locked="0"/>
    </xf>
    <xf numFmtId="179" fontId="637" fillId="177" borderId="145" xfId="27932" applyNumberFormat="1" applyFont="1" applyFill="1" applyBorder="1" applyAlignment="1" applyProtection="1">
      <alignment horizontal="center" vertical="center"/>
      <protection locked="0"/>
    </xf>
    <xf numFmtId="49" fontId="637" fillId="177" borderId="214" xfId="22678" quotePrefix="1" applyNumberFormat="1" applyFont="1" applyFill="1" applyBorder="1" applyAlignment="1" applyProtection="1">
      <alignment horizontal="center" vertical="center" wrapText="1"/>
      <protection locked="0"/>
    </xf>
    <xf numFmtId="360" fontId="637" fillId="177" borderId="117" xfId="27932" applyNumberFormat="1" applyFont="1" applyFill="1" applyBorder="1" applyAlignment="1" applyProtection="1">
      <alignment horizontal="center" vertical="center" wrapText="1"/>
      <protection locked="0"/>
    </xf>
    <xf numFmtId="179" fontId="637" fillId="177" borderId="45" xfId="27932" applyNumberFormat="1" applyFont="1" applyFill="1" applyBorder="1" applyAlignment="1" applyProtection="1">
      <alignment horizontal="center" vertical="center" wrapText="1"/>
      <protection locked="0"/>
    </xf>
    <xf numFmtId="179" fontId="637" fillId="177" borderId="351" xfId="27933" applyNumberFormat="1" applyFont="1" applyFill="1" applyBorder="1" applyAlignment="1" applyProtection="1">
      <alignment horizontal="center" vertical="center"/>
      <protection locked="0"/>
    </xf>
    <xf numFmtId="179" fontId="637" fillId="177" borderId="146" xfId="27933" applyNumberFormat="1" applyFont="1" applyFill="1" applyBorder="1" applyAlignment="1" applyProtection="1">
      <alignment horizontal="center" vertical="center" wrapText="1"/>
      <protection locked="0"/>
    </xf>
    <xf numFmtId="179" fontId="637" fillId="177" borderId="148" xfId="27933" applyNumberFormat="1" applyFont="1" applyFill="1" applyBorder="1" applyAlignment="1" applyProtection="1">
      <alignment horizontal="center" vertical="center" wrapText="1"/>
      <protection locked="0"/>
    </xf>
    <xf numFmtId="360" fontId="637" fillId="177" borderId="117" xfId="27932" applyNumberFormat="1" applyFont="1" applyFill="1" applyBorder="1" applyAlignment="1" applyProtection="1">
      <alignment horizontal="center" vertical="center"/>
      <protection locked="0"/>
    </xf>
    <xf numFmtId="40" fontId="637" fillId="177" borderId="146" xfId="27932" applyNumberFormat="1" applyFont="1" applyFill="1" applyBorder="1" applyAlignment="1" applyProtection="1">
      <alignment horizontal="center" vertical="center"/>
      <protection locked="0"/>
    </xf>
    <xf numFmtId="179" fontId="642" fillId="107" borderId="117" xfId="27932" applyNumberFormat="1" applyFont="1" applyFill="1" applyBorder="1" applyAlignment="1" applyProtection="1">
      <alignment horizontal="left" vertical="center" wrapText="1"/>
      <protection locked="0"/>
    </xf>
    <xf numFmtId="179" fontId="642" fillId="107" borderId="117" xfId="27932" applyNumberFormat="1" applyFont="1" applyFill="1" applyBorder="1" applyAlignment="1" applyProtection="1">
      <alignment horizontal="center" vertical="center" wrapText="1"/>
      <protection locked="0"/>
    </xf>
    <xf numFmtId="2" fontId="642" fillId="107" borderId="45" xfId="27932" applyNumberFormat="1" applyFont="1" applyFill="1" applyBorder="1" applyAlignment="1" applyProtection="1">
      <alignment horizontal="center" vertical="center"/>
      <protection locked="0"/>
    </xf>
    <xf numFmtId="179" fontId="642" fillId="107" borderId="349" xfId="27932" applyNumberFormat="1" applyFont="1" applyFill="1" applyBorder="1" applyAlignment="1" applyProtection="1">
      <alignment horizontal="center" vertical="center"/>
      <protection locked="0"/>
    </xf>
    <xf numFmtId="179" fontId="642" fillId="107" borderId="350" xfId="27932" applyNumberFormat="1" applyFont="1" applyFill="1" applyBorder="1" applyAlignment="1" applyProtection="1">
      <alignment horizontal="center" vertical="center"/>
      <protection locked="0"/>
    </xf>
    <xf numFmtId="179" fontId="642" fillId="107" borderId="351" xfId="27932" applyNumberFormat="1" applyFont="1" applyFill="1" applyBorder="1" applyAlignment="1" applyProtection="1">
      <alignment horizontal="center" vertical="center" wrapText="1"/>
      <protection locked="0"/>
    </xf>
    <xf numFmtId="179" fontId="642" fillId="107" borderId="145" xfId="27932" applyNumberFormat="1" applyFont="1" applyFill="1" applyBorder="1" applyAlignment="1" applyProtection="1">
      <alignment horizontal="center" vertical="center"/>
      <protection locked="0"/>
    </xf>
    <xf numFmtId="49" fontId="642" fillId="107" borderId="214" xfId="22678" quotePrefix="1" applyNumberFormat="1" applyFont="1" applyFill="1" applyBorder="1" applyAlignment="1" applyProtection="1">
      <alignment horizontal="center" vertical="center" wrapText="1"/>
      <protection locked="0"/>
    </xf>
    <xf numFmtId="360" fontId="642" fillId="107" borderId="117" xfId="27932" applyNumberFormat="1" applyFont="1" applyFill="1" applyBorder="1" applyAlignment="1" applyProtection="1">
      <alignment horizontal="center" vertical="center" wrapText="1"/>
      <protection locked="0"/>
    </xf>
    <xf numFmtId="179" fontId="642" fillId="107" borderId="45" xfId="27932" applyNumberFormat="1" applyFont="1" applyFill="1" applyBorder="1" applyAlignment="1" applyProtection="1">
      <alignment horizontal="center" vertical="center" wrapText="1"/>
      <protection locked="0"/>
    </xf>
    <xf numFmtId="179" fontId="642" fillId="107" borderId="351" xfId="27933" applyNumberFormat="1" applyFont="1" applyFill="1" applyBorder="1" applyAlignment="1" applyProtection="1">
      <alignment horizontal="center" vertical="center"/>
      <protection locked="0"/>
    </xf>
    <xf numFmtId="179" fontId="642" fillId="107" borderId="146" xfId="27933" applyNumberFormat="1" applyFont="1" applyFill="1" applyBorder="1" applyAlignment="1" applyProtection="1">
      <alignment horizontal="center" vertical="center" wrapText="1"/>
      <protection locked="0"/>
    </xf>
    <xf numFmtId="179" fontId="642" fillId="107" borderId="148" xfId="27933" applyNumberFormat="1" applyFont="1" applyFill="1" applyBorder="1" applyAlignment="1" applyProtection="1">
      <alignment horizontal="center" vertical="center" wrapText="1"/>
      <protection locked="0"/>
    </xf>
    <xf numFmtId="0" fontId="643" fillId="177" borderId="214" xfId="22678" quotePrefix="1" applyNumberFormat="1" applyFont="1" applyFill="1" applyBorder="1" applyAlignment="1" applyProtection="1">
      <alignment horizontal="center" vertical="center" wrapText="1"/>
      <protection locked="0"/>
    </xf>
    <xf numFmtId="0" fontId="437" fillId="223" borderId="214" xfId="22678" quotePrefix="1" applyNumberFormat="1" applyFont="1" applyFill="1" applyBorder="1" applyAlignment="1" applyProtection="1">
      <alignment horizontal="center" vertical="center" wrapText="1"/>
      <protection locked="0"/>
    </xf>
    <xf numFmtId="15" fontId="437" fillId="223" borderId="117" xfId="22678" quotePrefix="1" applyNumberFormat="1" applyFont="1" applyFill="1" applyBorder="1" applyAlignment="1" applyProtection="1">
      <alignment horizontal="center" vertical="center"/>
      <protection locked="0"/>
    </xf>
    <xf numFmtId="15" fontId="437" fillId="223" borderId="117" xfId="27944" applyNumberFormat="1" applyFont="1" applyFill="1" applyBorder="1" applyAlignment="1" applyProtection="1">
      <alignment horizontal="center" vertical="center"/>
      <protection locked="0"/>
    </xf>
    <xf numFmtId="38" fontId="437" fillId="223" borderId="117" xfId="22678" quotePrefix="1" applyNumberFormat="1" applyFont="1" applyFill="1" applyBorder="1" applyAlignment="1" applyProtection="1">
      <alignment horizontal="center" vertical="center"/>
      <protection locked="0"/>
    </xf>
    <xf numFmtId="40" fontId="437" fillId="223" borderId="214" xfId="22678" quotePrefix="1" applyNumberFormat="1" applyFont="1" applyFill="1" applyBorder="1" applyAlignment="1" applyProtection="1">
      <alignment horizontal="center" vertical="center"/>
      <protection locked="0"/>
    </xf>
    <xf numFmtId="40" fontId="437" fillId="177" borderId="117" xfId="27946" applyNumberFormat="1" applyFont="1" applyFill="1" applyBorder="1" applyAlignment="1" applyProtection="1">
      <alignment horizontal="center" vertical="center" wrapText="1"/>
      <protection locked="0"/>
    </xf>
    <xf numFmtId="38" fontId="437" fillId="177" borderId="117" xfId="22678" applyNumberFormat="1" applyFont="1" applyFill="1" applyBorder="1" applyAlignment="1" applyProtection="1">
      <alignment horizontal="center" vertical="center"/>
      <protection locked="0"/>
    </xf>
    <xf numFmtId="40" fontId="437" fillId="177" borderId="214" xfId="22678" applyNumberFormat="1" applyFont="1" applyFill="1" applyBorder="1" applyAlignment="1" applyProtection="1">
      <alignment horizontal="center" vertical="center"/>
      <protection locked="0"/>
    </xf>
    <xf numFmtId="15" fontId="437" fillId="177" borderId="117" xfId="22678" applyNumberFormat="1" applyFont="1" applyFill="1" applyBorder="1" applyAlignment="1" applyProtection="1">
      <alignment horizontal="center" vertical="center"/>
      <protection locked="0"/>
    </xf>
    <xf numFmtId="1" fontId="437" fillId="177" borderId="214" xfId="22678" applyNumberFormat="1" applyFont="1" applyFill="1" applyBorder="1" applyAlignment="1" applyProtection="1">
      <alignment horizontal="center" vertical="center" wrapText="1"/>
      <protection locked="0"/>
    </xf>
    <xf numFmtId="0" fontId="437" fillId="177" borderId="214" xfId="22678" applyNumberFormat="1" applyFont="1" applyFill="1" applyBorder="1" applyAlignment="1" applyProtection="1">
      <alignment horizontal="center" vertical="center"/>
      <protection locked="0"/>
    </xf>
    <xf numFmtId="40" fontId="437" fillId="177" borderId="117" xfId="22678" applyNumberFormat="1" applyFont="1" applyFill="1" applyBorder="1" applyAlignment="1" applyProtection="1">
      <alignment horizontal="center" vertical="center"/>
      <protection locked="0"/>
    </xf>
    <xf numFmtId="0" fontId="644" fillId="177" borderId="117" xfId="22678" quotePrefix="1" applyNumberFormat="1" applyFont="1" applyFill="1" applyBorder="1" applyAlignment="1" applyProtection="1">
      <alignment horizontal="center" vertical="center" wrapText="1"/>
      <protection locked="0"/>
    </xf>
    <xf numFmtId="40" fontId="644" fillId="177" borderId="117" xfId="27944" applyNumberFormat="1" applyFont="1" applyFill="1" applyBorder="1" applyAlignment="1" applyProtection="1">
      <alignment horizontal="center" vertical="center"/>
      <protection locked="0"/>
    </xf>
    <xf numFmtId="40" fontId="644" fillId="177" borderId="117" xfId="27946" applyNumberFormat="1" applyFont="1" applyFill="1" applyBorder="1" applyAlignment="1" applyProtection="1">
      <alignment horizontal="center" vertical="center"/>
      <protection locked="0"/>
    </xf>
    <xf numFmtId="40" fontId="644" fillId="177" borderId="117" xfId="22678" applyNumberFormat="1" applyFont="1" applyFill="1" applyBorder="1" applyAlignment="1" applyProtection="1">
      <alignment horizontal="center" vertical="center"/>
      <protection locked="0"/>
    </xf>
    <xf numFmtId="0" fontId="645" fillId="226" borderId="566" xfId="0" applyFont="1" applyFill="1" applyBorder="1"/>
    <xf numFmtId="0" fontId="645" fillId="226" borderId="567" xfId="0" applyFont="1" applyFill="1" applyBorder="1" applyAlignment="1">
      <alignment horizontal="left" vertical="center"/>
    </xf>
    <xf numFmtId="0" fontId="645" fillId="226" borderId="567" xfId="0" applyFont="1" applyFill="1" applyBorder="1"/>
    <xf numFmtId="0" fontId="645" fillId="226" borderId="568" xfId="0" applyFont="1" applyFill="1" applyBorder="1"/>
    <xf numFmtId="0" fontId="645" fillId="226" borderId="569" xfId="0" applyFont="1" applyFill="1" applyBorder="1"/>
    <xf numFmtId="0" fontId="645" fillId="226" borderId="570" xfId="0" applyFont="1" applyFill="1" applyBorder="1" applyAlignment="1">
      <alignment horizontal="left" vertical="center"/>
    </xf>
    <xf numFmtId="0" fontId="645" fillId="226" borderId="570" xfId="0" applyFont="1" applyFill="1" applyBorder="1"/>
    <xf numFmtId="0" fontId="645" fillId="226" borderId="571" xfId="0" applyFont="1" applyFill="1" applyBorder="1"/>
    <xf numFmtId="0" fontId="646" fillId="227" borderId="572" xfId="0" applyFont="1" applyFill="1" applyBorder="1"/>
    <xf numFmtId="0" fontId="646" fillId="227" borderId="573" xfId="0" applyFont="1" applyFill="1" applyBorder="1" applyAlignment="1">
      <alignment horizontal="left" vertical="center"/>
    </xf>
    <xf numFmtId="0" fontId="646" fillId="227" borderId="573" xfId="0" applyFont="1" applyFill="1" applyBorder="1"/>
    <xf numFmtId="0" fontId="646" fillId="227" borderId="574" xfId="0" applyFont="1" applyFill="1" applyBorder="1"/>
    <xf numFmtId="0" fontId="647" fillId="0" borderId="572" xfId="0" applyFont="1" applyBorder="1" applyAlignment="1">
      <alignment horizontal="center" vertical="center"/>
    </xf>
    <xf numFmtId="0" fontId="647" fillId="0" borderId="573" xfId="0" applyFont="1" applyBorder="1" applyAlignment="1">
      <alignment horizontal="left" vertical="center"/>
    </xf>
    <xf numFmtId="0" fontId="647" fillId="0" borderId="573" xfId="0" applyFont="1" applyBorder="1" applyAlignment="1">
      <alignment vertical="top" wrapText="1"/>
    </xf>
    <xf numFmtId="0" fontId="648" fillId="0" borderId="573" xfId="0" applyFont="1" applyBorder="1" applyAlignment="1">
      <alignment vertical="top" wrapText="1"/>
    </xf>
    <xf numFmtId="0" fontId="647" fillId="0" borderId="574" xfId="0" applyFont="1" applyBorder="1" applyAlignment="1">
      <alignment vertical="top" wrapText="1"/>
    </xf>
    <xf numFmtId="0" fontId="646" fillId="228" borderId="576" xfId="0" applyFont="1" applyFill="1" applyBorder="1"/>
    <xf numFmtId="0" fontId="646" fillId="228" borderId="577" xfId="0" applyFont="1" applyFill="1" applyBorder="1"/>
    <xf numFmtId="0" fontId="649" fillId="229" borderId="578" xfId="0" applyFont="1" applyFill="1" applyBorder="1" applyAlignment="1">
      <alignment horizontal="center" vertical="center"/>
    </xf>
    <xf numFmtId="0" fontId="650" fillId="0" borderId="573" xfId="0" applyFont="1" applyBorder="1"/>
    <xf numFmtId="0" fontId="651" fillId="0" borderId="573" xfId="0" applyFont="1" applyBorder="1"/>
    <xf numFmtId="40" fontId="647" fillId="0" borderId="573" xfId="0" applyNumberFormat="1" applyFont="1" applyBorder="1" applyAlignment="1">
      <alignment horizontal="center" vertical="center"/>
    </xf>
    <xf numFmtId="38" fontId="0" fillId="0" borderId="573" xfId="0" applyNumberFormat="1" applyBorder="1"/>
    <xf numFmtId="43" fontId="649" fillId="229" borderId="578" xfId="19286" applyFont="1" applyFill="1" applyBorder="1" applyAlignment="1">
      <alignment horizontal="center" vertical="center"/>
    </xf>
    <xf numFmtId="2" fontId="169" fillId="194" borderId="45" xfId="27932" applyNumberFormat="1" applyFont="1" applyFill="1" applyBorder="1" applyAlignment="1" applyProtection="1">
      <alignment horizontal="center" vertical="center"/>
      <protection locked="0"/>
    </xf>
    <xf numFmtId="40" fontId="169" fillId="194" borderId="146" xfId="27932" applyNumberFormat="1" applyFont="1" applyFill="1" applyBorder="1" applyAlignment="1" applyProtection="1">
      <alignment horizontal="center" vertical="center"/>
      <protection locked="0"/>
    </xf>
    <xf numFmtId="361" fontId="169" fillId="194" borderId="117" xfId="22678" quotePrefix="1" applyNumberFormat="1" applyFont="1" applyFill="1" applyBorder="1" applyAlignment="1" applyProtection="1">
      <alignment horizontal="center" vertical="center"/>
      <protection locked="0"/>
    </xf>
    <xf numFmtId="0" fontId="169" fillId="194" borderId="145" xfId="22678" quotePrefix="1" applyNumberFormat="1" applyFont="1" applyFill="1" applyBorder="1" applyAlignment="1" applyProtection="1">
      <alignment horizontal="center" vertical="center"/>
      <protection locked="0"/>
    </xf>
    <xf numFmtId="179" fontId="652" fillId="107" borderId="117" xfId="27932" applyNumberFormat="1" applyFont="1" applyFill="1" applyBorder="1" applyAlignment="1" applyProtection="1">
      <alignment horizontal="center" vertical="center" wrapText="1"/>
      <protection locked="0"/>
    </xf>
    <xf numFmtId="2" fontId="652" fillId="107" borderId="45" xfId="27932" applyNumberFormat="1" applyFont="1" applyFill="1" applyBorder="1" applyAlignment="1" applyProtection="1">
      <alignment horizontal="center" vertical="center"/>
      <protection locked="0"/>
    </xf>
    <xf numFmtId="179" fontId="652" fillId="107" borderId="349" xfId="27932" applyNumberFormat="1" applyFont="1" applyFill="1" applyBorder="1" applyAlignment="1" applyProtection="1">
      <alignment horizontal="center" vertical="center"/>
      <protection locked="0"/>
    </xf>
    <xf numFmtId="179" fontId="652" fillId="107" borderId="350" xfId="27932" applyNumberFormat="1" applyFont="1" applyFill="1" applyBorder="1" applyAlignment="1" applyProtection="1">
      <alignment horizontal="center" vertical="center"/>
      <protection locked="0"/>
    </xf>
    <xf numFmtId="179" fontId="652" fillId="107" borderId="351" xfId="27932" applyNumberFormat="1" applyFont="1" applyFill="1" applyBorder="1" applyAlignment="1" applyProtection="1">
      <alignment horizontal="center" vertical="center" wrapText="1"/>
      <protection locked="0"/>
    </xf>
    <xf numFmtId="179" fontId="652" fillId="107" borderId="145" xfId="27932" applyNumberFormat="1" applyFont="1" applyFill="1" applyBorder="1" applyAlignment="1" applyProtection="1">
      <alignment horizontal="center" vertical="center"/>
      <protection locked="0"/>
    </xf>
    <xf numFmtId="49" fontId="652" fillId="107" borderId="214" xfId="22678" quotePrefix="1" applyNumberFormat="1" applyFont="1" applyFill="1" applyBorder="1" applyAlignment="1" applyProtection="1">
      <alignment horizontal="center" vertical="center" wrapText="1"/>
      <protection locked="0"/>
    </xf>
    <xf numFmtId="360" fontId="652" fillId="107" borderId="117" xfId="27932" applyNumberFormat="1" applyFont="1" applyFill="1" applyBorder="1" applyAlignment="1" applyProtection="1">
      <alignment horizontal="center" vertical="center" wrapText="1"/>
      <protection locked="0"/>
    </xf>
    <xf numFmtId="179" fontId="652" fillId="107" borderId="45" xfId="27932" applyNumberFormat="1" applyFont="1" applyFill="1" applyBorder="1" applyAlignment="1" applyProtection="1">
      <alignment horizontal="center" vertical="center" wrapText="1"/>
      <protection locked="0"/>
    </xf>
    <xf numFmtId="179" fontId="652" fillId="107" borderId="351" xfId="27933" applyNumberFormat="1" applyFont="1" applyFill="1" applyBorder="1" applyAlignment="1" applyProtection="1">
      <alignment horizontal="center" vertical="center"/>
      <protection locked="0"/>
    </xf>
    <xf numFmtId="179" fontId="652" fillId="107" borderId="146" xfId="27933" applyNumberFormat="1" applyFont="1" applyFill="1" applyBorder="1" applyAlignment="1" applyProtection="1">
      <alignment horizontal="center" vertical="center" wrapText="1"/>
      <protection locked="0"/>
    </xf>
    <xf numFmtId="179" fontId="652" fillId="107" borderId="148" xfId="27933" applyNumberFormat="1" applyFont="1" applyFill="1" applyBorder="1" applyAlignment="1" applyProtection="1">
      <alignment horizontal="center" vertical="center" wrapText="1"/>
      <protection locked="0"/>
    </xf>
    <xf numFmtId="2" fontId="496" fillId="177" borderId="145" xfId="27932" applyNumberFormat="1" applyFont="1" applyFill="1" applyBorder="1" applyAlignment="1" applyProtection="1">
      <alignment horizontal="center" vertical="center"/>
      <protection locked="0"/>
    </xf>
    <xf numFmtId="2" fontId="496" fillId="177" borderId="214" xfId="22678" quotePrefix="1" applyNumberFormat="1" applyFont="1" applyFill="1" applyBorder="1" applyAlignment="1" applyProtection="1">
      <alignment horizontal="center" vertical="center" wrapText="1"/>
      <protection locked="0"/>
    </xf>
    <xf numFmtId="2" fontId="496" fillId="177" borderId="117" xfId="27932" applyNumberFormat="1" applyFont="1" applyFill="1" applyBorder="1" applyAlignment="1" applyProtection="1">
      <alignment horizontal="center" vertical="center" wrapText="1"/>
      <protection locked="0"/>
    </xf>
    <xf numFmtId="2" fontId="496" fillId="177" borderId="45" xfId="27932" applyNumberFormat="1" applyFont="1" applyFill="1" applyBorder="1" applyAlignment="1" applyProtection="1">
      <alignment horizontal="center" vertical="center" wrapText="1"/>
      <protection locked="0"/>
    </xf>
    <xf numFmtId="2" fontId="496" fillId="177" borderId="351" xfId="27933" applyNumberFormat="1" applyFont="1" applyFill="1" applyBorder="1" applyAlignment="1" applyProtection="1">
      <alignment horizontal="center" vertical="center"/>
      <protection locked="0"/>
    </xf>
    <xf numFmtId="2" fontId="496" fillId="177" borderId="146" xfId="27933" applyNumberFormat="1" applyFont="1" applyFill="1" applyBorder="1" applyAlignment="1" applyProtection="1">
      <alignment horizontal="center" vertical="center" wrapText="1"/>
      <protection locked="0"/>
    </xf>
    <xf numFmtId="2" fontId="496" fillId="177" borderId="148" xfId="27933" applyNumberFormat="1" applyFont="1" applyFill="1" applyBorder="1" applyAlignment="1" applyProtection="1">
      <alignment horizontal="center" vertical="center" wrapText="1"/>
      <protection locked="0"/>
    </xf>
    <xf numFmtId="0" fontId="534" fillId="223" borderId="223" xfId="27970" applyFont="1" applyFill="1" applyBorder="1" applyAlignment="1">
      <alignment horizontal="left" indent="1"/>
    </xf>
    <xf numFmtId="38" fontId="534" fillId="223" borderId="216" xfId="27970" applyNumberFormat="1" applyFont="1" applyFill="1" applyBorder="1" applyAlignment="1">
      <alignment horizontal="left" indent="1"/>
    </xf>
    <xf numFmtId="38" fontId="534" fillId="223" borderId="365" xfId="27971" applyNumberFormat="1" applyFont="1" applyFill="1" applyBorder="1"/>
    <xf numFmtId="38" fontId="534" fillId="223" borderId="365" xfId="27971" applyNumberFormat="1" applyFont="1" applyFill="1" applyBorder="1" applyAlignment="1">
      <alignment horizontal="right"/>
    </xf>
    <xf numFmtId="38" fontId="534" fillId="223" borderId="217" xfId="27971" applyNumberFormat="1" applyFont="1" applyFill="1" applyBorder="1" applyAlignment="1">
      <alignment horizontal="right"/>
    </xf>
    <xf numFmtId="0" fontId="534" fillId="223" borderId="216" xfId="27970" applyFont="1" applyFill="1" applyBorder="1"/>
    <xf numFmtId="0" fontId="534" fillId="223" borderId="365" xfId="27970" applyFont="1" applyFill="1" applyBorder="1" applyAlignment="1">
      <alignment horizontal="left" indent="1"/>
    </xf>
    <xf numFmtId="38" fontId="534" fillId="223" borderId="217" xfId="27971" applyNumberFormat="1" applyFont="1" applyFill="1" applyBorder="1"/>
    <xf numFmtId="0" fontId="534" fillId="223" borderId="223" xfId="27970" applyFont="1" applyFill="1" applyBorder="1" applyAlignment="1">
      <alignment horizontal="left" vertical="top"/>
    </xf>
    <xf numFmtId="38" fontId="534" fillId="223" borderId="216" xfId="27970" applyNumberFormat="1" applyFont="1" applyFill="1" applyBorder="1" applyAlignment="1">
      <alignment horizontal="left" vertical="top"/>
    </xf>
    <xf numFmtId="38" fontId="534" fillId="223" borderId="365" xfId="27971" applyNumberFormat="1" applyFont="1" applyFill="1" applyBorder="1" applyAlignment="1">
      <alignment vertical="top"/>
    </xf>
    <xf numFmtId="38" fontId="534" fillId="223" borderId="365" xfId="27971" applyNumberFormat="1" applyFont="1" applyFill="1" applyBorder="1" applyAlignment="1">
      <alignment horizontal="right" vertical="center"/>
    </xf>
    <xf numFmtId="38" fontId="534" fillId="223" borderId="365" xfId="27971" applyNumberFormat="1" applyFont="1" applyFill="1" applyBorder="1" applyAlignment="1">
      <alignment vertical="center"/>
    </xf>
    <xf numFmtId="38" fontId="534" fillId="223" borderId="365" xfId="27971" applyNumberFormat="1" applyFont="1" applyFill="1" applyBorder="1" applyAlignment="1">
      <alignment horizontal="right" vertical="top"/>
    </xf>
    <xf numFmtId="38" fontId="534" fillId="223" borderId="217" xfId="27971" applyNumberFormat="1" applyFont="1" applyFill="1" applyBorder="1" applyAlignment="1">
      <alignment horizontal="right" vertical="top"/>
    </xf>
    <xf numFmtId="0" fontId="534" fillId="223" borderId="365" xfId="27970" applyFont="1" applyFill="1" applyBorder="1" applyAlignment="1">
      <alignment horizontal="left" vertical="top"/>
    </xf>
    <xf numFmtId="0" fontId="605" fillId="0" borderId="0" xfId="27970" applyFont="1" applyAlignment="1">
      <alignment horizontal="right"/>
    </xf>
    <xf numFmtId="0" fontId="0" fillId="0" borderId="367" xfId="0" applyBorder="1" applyAlignment="1">
      <alignment horizontal="center" vertical="center"/>
    </xf>
    <xf numFmtId="0" fontId="0" fillId="0" borderId="350" xfId="0" applyBorder="1" applyAlignment="1">
      <alignment horizontal="left" vertical="center"/>
    </xf>
    <xf numFmtId="0" fontId="0" fillId="0" borderId="350" xfId="0" applyBorder="1" applyAlignment="1">
      <alignment horizontal="center" vertical="center"/>
    </xf>
    <xf numFmtId="0" fontId="0" fillId="0" borderId="332" xfId="0" applyBorder="1" applyAlignment="1">
      <alignment horizontal="left" vertical="center"/>
    </xf>
    <xf numFmtId="179" fontId="169" fillId="194" borderId="45" xfId="27932" applyNumberFormat="1" applyFont="1" applyFill="1" applyBorder="1" applyAlignment="1" applyProtection="1">
      <alignment horizontal="center" vertical="center"/>
      <protection locked="0"/>
    </xf>
    <xf numFmtId="368" fontId="169" fillId="0" borderId="145" xfId="22678" applyNumberFormat="1" applyFont="1" applyBorder="1" applyAlignment="1" applyProtection="1">
      <alignment horizontal="center" vertical="center"/>
      <protection locked="0"/>
    </xf>
    <xf numFmtId="2" fontId="169" fillId="177" borderId="45" xfId="27932" applyNumberFormat="1" applyFont="1" applyFill="1" applyBorder="1" applyAlignment="1" applyProtection="1">
      <alignment horizontal="center" vertical="center"/>
      <protection locked="0"/>
    </xf>
    <xf numFmtId="2" fontId="169" fillId="177" borderId="145" xfId="27932" applyNumberFormat="1" applyFont="1" applyFill="1" applyBorder="1" applyAlignment="1" applyProtection="1">
      <alignment horizontal="center" vertical="center"/>
      <protection locked="0"/>
    </xf>
    <xf numFmtId="2" fontId="169" fillId="177" borderId="214" xfId="22678" quotePrefix="1" applyNumberFormat="1" applyFont="1" applyFill="1" applyBorder="1" applyAlignment="1" applyProtection="1">
      <alignment horizontal="center" vertical="center" wrapText="1"/>
      <protection locked="0"/>
    </xf>
    <xf numFmtId="2" fontId="169" fillId="177" borderId="117" xfId="27932" applyNumberFormat="1" applyFont="1" applyFill="1" applyBorder="1" applyAlignment="1" applyProtection="1">
      <alignment horizontal="center" vertical="center" wrapText="1"/>
      <protection locked="0"/>
    </xf>
    <xf numFmtId="2" fontId="169" fillId="177" borderId="45" xfId="27932" applyNumberFormat="1" applyFont="1" applyFill="1" applyBorder="1" applyAlignment="1" applyProtection="1">
      <alignment horizontal="center" vertical="center" wrapText="1"/>
      <protection locked="0"/>
    </xf>
    <xf numFmtId="2" fontId="169" fillId="177" borderId="351" xfId="27933" applyNumberFormat="1" applyFont="1" applyFill="1" applyBorder="1" applyAlignment="1" applyProtection="1">
      <alignment horizontal="center" vertical="center"/>
      <protection locked="0"/>
    </xf>
    <xf numFmtId="368" fontId="169" fillId="194" borderId="145" xfId="22678" quotePrefix="1" applyNumberFormat="1" applyFont="1" applyFill="1" applyBorder="1" applyAlignment="1" applyProtection="1">
      <alignment horizontal="center" vertical="center"/>
      <protection locked="0"/>
    </xf>
    <xf numFmtId="0" fontId="169" fillId="223" borderId="146" xfId="27932" applyNumberFormat="1" applyFont="1" applyFill="1" applyBorder="1" applyAlignment="1" applyProtection="1">
      <alignment horizontal="center" vertical="center"/>
      <protection locked="0"/>
    </xf>
    <xf numFmtId="365" fontId="451" fillId="207" borderId="437" xfId="27926" applyNumberFormat="1" applyFont="1" applyFill="1" applyBorder="1" applyAlignment="1">
      <alignment horizontal="center" vertical="center"/>
    </xf>
    <xf numFmtId="365" fontId="451" fillId="207" borderId="438" xfId="27926" applyNumberFormat="1" applyFont="1" applyFill="1" applyBorder="1" applyAlignment="1">
      <alignment horizontal="center" vertical="center"/>
    </xf>
    <xf numFmtId="171" fontId="451" fillId="0" borderId="401" xfId="27925" quotePrefix="1" applyNumberFormat="1" applyFont="1" applyBorder="1" applyAlignment="1">
      <alignment horizontal="left" vertical="top" wrapText="1"/>
    </xf>
    <xf numFmtId="15" fontId="437" fillId="107" borderId="117" xfId="22678" quotePrefix="1" applyNumberFormat="1" applyFont="1" applyFill="1" applyBorder="1" applyAlignment="1" applyProtection="1">
      <alignment horizontal="center" vertical="center"/>
      <protection locked="0"/>
    </xf>
    <xf numFmtId="15" fontId="437" fillId="107" borderId="117" xfId="27944" applyNumberFormat="1" applyFont="1" applyFill="1" applyBorder="1" applyAlignment="1" applyProtection="1">
      <alignment horizontal="center" vertical="center"/>
      <protection locked="0"/>
    </xf>
    <xf numFmtId="43" fontId="0" fillId="0" borderId="0" xfId="19286" applyFont="1" applyAlignment="1">
      <alignment vertical="top"/>
    </xf>
    <xf numFmtId="171" fontId="60" fillId="0" borderId="0" xfId="22674" applyNumberFormat="1" applyFont="1" applyAlignment="1">
      <alignment vertical="top"/>
    </xf>
    <xf numFmtId="14" fontId="653" fillId="107" borderId="117" xfId="27932" applyNumberFormat="1" applyFont="1" applyFill="1" applyBorder="1" applyAlignment="1" applyProtection="1">
      <alignment horizontal="center" vertical="center" wrapText="1"/>
      <protection locked="0"/>
    </xf>
    <xf numFmtId="171" fontId="451" fillId="0" borderId="318" xfId="27925" applyNumberFormat="1" applyFont="1" applyBorder="1" applyAlignment="1">
      <alignment horizontal="left" vertical="center" wrapText="1"/>
    </xf>
    <xf numFmtId="365" fontId="654" fillId="0" borderId="320" xfId="27926" applyNumberFormat="1" applyFont="1" applyBorder="1" applyAlignment="1">
      <alignment horizontal="center" vertical="center"/>
    </xf>
    <xf numFmtId="365" fontId="654" fillId="0" borderId="324" xfId="27926" applyNumberFormat="1" applyFont="1" applyBorder="1" applyAlignment="1">
      <alignment horizontal="center" vertical="center"/>
    </xf>
    <xf numFmtId="14" fontId="653" fillId="0" borderId="117" xfId="27932" applyNumberFormat="1" applyFont="1" applyBorder="1" applyAlignment="1" applyProtection="1">
      <alignment horizontal="center" vertical="center" wrapText="1"/>
      <protection locked="0"/>
    </xf>
    <xf numFmtId="14" fontId="653" fillId="0" borderId="117" xfId="27932" applyNumberFormat="1" applyFont="1" applyBorder="1" applyAlignment="1" applyProtection="1">
      <alignment horizontal="center" vertical="center"/>
      <protection locked="0"/>
    </xf>
    <xf numFmtId="210" fontId="653" fillId="0" borderId="117" xfId="27932" applyNumberFormat="1" applyFont="1" applyBorder="1" applyAlignment="1" applyProtection="1">
      <alignment horizontal="center" vertical="center"/>
      <protection locked="0"/>
    </xf>
    <xf numFmtId="0" fontId="653" fillId="0" borderId="145" xfId="22678" quotePrefix="1" applyNumberFormat="1" applyFont="1" applyBorder="1" applyAlignment="1" applyProtection="1">
      <alignment horizontal="center" vertical="center"/>
      <protection locked="0"/>
    </xf>
    <xf numFmtId="366" fontId="653" fillId="107" borderId="163" xfId="27932" applyNumberFormat="1" applyFont="1" applyFill="1" applyBorder="1" applyAlignment="1" applyProtection="1">
      <alignment horizontal="center" vertical="center" wrapText="1"/>
      <protection locked="0"/>
    </xf>
    <xf numFmtId="363" fontId="0" fillId="0" borderId="0" xfId="22674" applyNumberFormat="1" applyFont="1" applyAlignment="1">
      <alignment vertical="top"/>
    </xf>
    <xf numFmtId="179" fontId="653" fillId="107" borderId="117" xfId="27932" applyNumberFormat="1" applyFont="1" applyFill="1" applyBorder="1" applyAlignment="1" applyProtection="1">
      <alignment horizontal="center" vertical="center" wrapText="1"/>
      <protection locked="0"/>
    </xf>
    <xf numFmtId="2" fontId="653" fillId="107" borderId="45" xfId="27932" applyNumberFormat="1" applyFont="1" applyFill="1" applyBorder="1" applyAlignment="1" applyProtection="1">
      <alignment horizontal="center" vertical="center" wrapText="1"/>
      <protection locked="0"/>
    </xf>
    <xf numFmtId="0" fontId="353" fillId="0" borderId="104" xfId="22678" quotePrefix="1" applyNumberFormat="1" applyFont="1" applyBorder="1" applyAlignment="1" applyProtection="1">
      <alignment horizontal="center" vertical="center"/>
      <protection locked="0"/>
    </xf>
    <xf numFmtId="179" fontId="169" fillId="0" borderId="170" xfId="27932" applyNumberFormat="1" applyFont="1" applyFill="1" applyBorder="1" applyAlignment="1" applyProtection="1">
      <alignment horizontal="center" vertical="center" wrapText="1"/>
      <protection locked="0"/>
    </xf>
    <xf numFmtId="179" fontId="169" fillId="0" borderId="0" xfId="27932" applyNumberFormat="1" applyFont="1" applyFill="1" applyBorder="1" applyAlignment="1" applyProtection="1">
      <alignment horizontal="center" vertical="center"/>
      <protection locked="0"/>
    </xf>
    <xf numFmtId="179" fontId="169" fillId="0" borderId="167" xfId="27932" applyNumberFormat="1" applyFont="1" applyFill="1" applyBorder="1" applyAlignment="1" applyProtection="1">
      <alignment horizontal="center" vertical="center"/>
      <protection locked="0"/>
    </xf>
    <xf numFmtId="179" fontId="169" fillId="0" borderId="172" xfId="27932" applyNumberFormat="1" applyFont="1" applyFill="1" applyBorder="1" applyAlignment="1" applyProtection="1">
      <alignment horizontal="center" vertical="center"/>
      <protection locked="0"/>
    </xf>
    <xf numFmtId="179" fontId="169" fillId="0" borderId="215" xfId="27932" applyNumberFormat="1" applyFont="1" applyFill="1" applyBorder="1" applyAlignment="1" applyProtection="1">
      <alignment horizontal="center" vertical="center" wrapText="1"/>
      <protection locked="0"/>
    </xf>
    <xf numFmtId="179" fontId="169" fillId="0" borderId="104" xfId="27932" applyNumberFormat="1" applyFont="1" applyFill="1" applyBorder="1" applyAlignment="1" applyProtection="1">
      <alignment horizontal="center" vertical="center"/>
      <protection locked="0"/>
    </xf>
    <xf numFmtId="49" fontId="169" fillId="0" borderId="115" xfId="22678" quotePrefix="1" applyNumberFormat="1" applyFont="1" applyBorder="1" applyAlignment="1" applyProtection="1">
      <alignment horizontal="center" vertical="center" wrapText="1"/>
      <protection locked="0"/>
    </xf>
    <xf numFmtId="360" fontId="169" fillId="0" borderId="170" xfId="27932" applyNumberFormat="1" applyFont="1" applyFill="1" applyBorder="1" applyAlignment="1" applyProtection="1">
      <alignment horizontal="center" vertical="center" wrapText="1"/>
      <protection locked="0"/>
    </xf>
    <xf numFmtId="179" fontId="169" fillId="0" borderId="0" xfId="27932" applyNumberFormat="1" applyFont="1" applyFill="1" applyBorder="1" applyAlignment="1" applyProtection="1">
      <alignment horizontal="center" vertical="center" wrapText="1"/>
      <protection locked="0"/>
    </xf>
    <xf numFmtId="179" fontId="169" fillId="0" borderId="215" xfId="27933" applyNumberFormat="1" applyFont="1" applyFill="1" applyBorder="1" applyAlignment="1" applyProtection="1">
      <alignment horizontal="center" vertical="center"/>
      <protection locked="0"/>
    </xf>
    <xf numFmtId="179" fontId="169" fillId="0" borderId="52" xfId="27933" applyNumberFormat="1" applyFont="1" applyFill="1" applyBorder="1" applyAlignment="1" applyProtection="1">
      <alignment horizontal="center" vertical="center" wrapText="1"/>
      <protection locked="0"/>
    </xf>
    <xf numFmtId="179" fontId="169" fillId="0" borderId="131" xfId="27933" applyNumberFormat="1" applyFont="1" applyFill="1" applyBorder="1" applyAlignment="1" applyProtection="1">
      <alignment horizontal="center" vertical="center" wrapText="1"/>
      <protection locked="0"/>
    </xf>
    <xf numFmtId="0" fontId="169" fillId="0" borderId="170" xfId="22678" quotePrefix="1" applyNumberFormat="1" applyFont="1" applyBorder="1" applyAlignment="1" applyProtection="1">
      <alignment horizontal="center" vertical="center"/>
      <protection locked="0"/>
    </xf>
    <xf numFmtId="360" fontId="169" fillId="0" borderId="170" xfId="27932" applyNumberFormat="1" applyFont="1" applyFill="1" applyBorder="1" applyAlignment="1" applyProtection="1">
      <alignment horizontal="center" vertical="center"/>
      <protection locked="0"/>
    </xf>
    <xf numFmtId="361" fontId="169" fillId="0" borderId="170" xfId="22678" quotePrefix="1" applyNumberFormat="1" applyFont="1" applyBorder="1" applyAlignment="1" applyProtection="1">
      <alignment horizontal="center" vertical="center"/>
      <protection locked="0"/>
    </xf>
    <xf numFmtId="49" fontId="169" fillId="0" borderId="170" xfId="22678" quotePrefix="1" applyNumberFormat="1" applyFont="1" applyBorder="1" applyAlignment="1" applyProtection="1">
      <alignment horizontal="center" vertical="center"/>
      <protection locked="0"/>
    </xf>
    <xf numFmtId="210" fontId="169" fillId="0" borderId="170" xfId="27932" applyNumberFormat="1" applyFont="1" applyFill="1" applyBorder="1" applyAlignment="1" applyProtection="1">
      <alignment horizontal="center" vertical="center"/>
      <protection locked="0"/>
    </xf>
    <xf numFmtId="14" fontId="169" fillId="0" borderId="170" xfId="27932" applyNumberFormat="1" applyFont="1" applyFill="1" applyBorder="1" applyAlignment="1" applyProtection="1">
      <alignment horizontal="center" vertical="center"/>
      <protection locked="0"/>
    </xf>
    <xf numFmtId="14" fontId="169" fillId="0" borderId="170" xfId="27932" applyNumberFormat="1" applyFont="1" applyFill="1" applyBorder="1" applyAlignment="1" applyProtection="1">
      <alignment horizontal="center" vertical="center" wrapText="1"/>
      <protection locked="0"/>
    </xf>
    <xf numFmtId="0" fontId="169" fillId="107" borderId="52" xfId="27932" applyNumberFormat="1" applyFont="1" applyFill="1" applyBorder="1" applyAlignment="1" applyProtection="1">
      <alignment horizontal="center" vertical="center"/>
      <protection locked="0"/>
    </xf>
    <xf numFmtId="365" fontId="169" fillId="0" borderId="52" xfId="27932" applyNumberFormat="1" applyFont="1" applyFill="1" applyBorder="1" applyAlignment="1" applyProtection="1">
      <alignment horizontal="center" vertical="center"/>
      <protection locked="0"/>
    </xf>
    <xf numFmtId="368" fontId="169" fillId="0" borderId="104" xfId="22678" quotePrefix="1" applyNumberFormat="1" applyFont="1" applyBorder="1" applyAlignment="1" applyProtection="1">
      <alignment horizontal="center" vertical="center"/>
      <protection locked="0"/>
    </xf>
    <xf numFmtId="0" fontId="169" fillId="164" borderId="52" xfId="27932" applyNumberFormat="1" applyFont="1" applyFill="1" applyBorder="1" applyAlignment="1" applyProtection="1">
      <alignment horizontal="center" vertical="center"/>
      <protection locked="0"/>
    </xf>
    <xf numFmtId="363" fontId="169" fillId="0" borderId="52" xfId="27932" applyNumberFormat="1" applyFont="1" applyFill="1" applyBorder="1" applyAlignment="1" applyProtection="1">
      <alignment horizontal="center" vertical="center"/>
      <protection locked="0"/>
    </xf>
    <xf numFmtId="0" fontId="169" fillId="0" borderId="104" xfId="22678" quotePrefix="1" applyNumberFormat="1" applyFont="1" applyBorder="1" applyAlignment="1" applyProtection="1">
      <alignment horizontal="center" vertical="center"/>
      <protection locked="0"/>
    </xf>
    <xf numFmtId="49" fontId="169" fillId="0" borderId="104" xfId="22678" quotePrefix="1" applyNumberFormat="1" applyFont="1" applyBorder="1" applyAlignment="1" applyProtection="1">
      <alignment horizontal="center" vertical="center"/>
      <protection locked="0"/>
    </xf>
    <xf numFmtId="210" fontId="169" fillId="0" borderId="115" xfId="27932" applyNumberFormat="1" applyFont="1" applyFill="1" applyBorder="1" applyAlignment="1" applyProtection="1">
      <alignment horizontal="center" vertical="center"/>
      <protection locked="0"/>
    </xf>
    <xf numFmtId="366" fontId="169" fillId="0" borderId="139" xfId="27932" applyNumberFormat="1" applyFont="1" applyFill="1" applyBorder="1" applyAlignment="1" applyProtection="1">
      <alignment horizontal="center" vertical="center"/>
      <protection locked="0"/>
    </xf>
    <xf numFmtId="0" fontId="169" fillId="0" borderId="104" xfId="22678" applyNumberFormat="1" applyFont="1" applyBorder="1" applyAlignment="1" applyProtection="1">
      <alignment horizontal="center" vertical="center"/>
      <protection locked="0"/>
    </xf>
    <xf numFmtId="49" fontId="169" fillId="0" borderId="52" xfId="22678" quotePrefix="1" applyNumberFormat="1" applyFont="1" applyBorder="1" applyAlignment="1" applyProtection="1">
      <alignment horizontal="center" vertical="center"/>
      <protection locked="0"/>
    </xf>
    <xf numFmtId="49" fontId="169" fillId="0" borderId="170" xfId="22678" quotePrefix="1" applyNumberFormat="1" applyFont="1" applyBorder="1" applyAlignment="1" applyProtection="1">
      <alignment horizontal="center" vertical="center" wrapText="1"/>
      <protection locked="0"/>
    </xf>
    <xf numFmtId="366" fontId="169" fillId="0" borderId="170" xfId="27932" applyNumberFormat="1" applyFont="1" applyFill="1" applyBorder="1" applyAlignment="1" applyProtection="1">
      <alignment horizontal="center" vertical="center"/>
      <protection locked="0"/>
    </xf>
    <xf numFmtId="363" fontId="169" fillId="0" borderId="170" xfId="27932" applyNumberFormat="1" applyFont="1" applyFill="1" applyBorder="1" applyAlignment="1" applyProtection="1">
      <alignment horizontal="center" vertical="center"/>
      <protection locked="0"/>
    </xf>
    <xf numFmtId="179" fontId="169" fillId="0" borderId="114" xfId="27932" applyNumberFormat="1" applyFont="1" applyFill="1" applyBorder="1" applyAlignment="1" applyProtection="1">
      <alignment horizontal="center" vertical="center"/>
      <protection locked="0"/>
    </xf>
    <xf numFmtId="179" fontId="169" fillId="0" borderId="171" xfId="27932" applyNumberFormat="1" applyFont="1" applyFill="1" applyBorder="1" applyAlignment="1" applyProtection="1">
      <alignment horizontal="center" vertical="center"/>
      <protection locked="0"/>
    </xf>
    <xf numFmtId="359" fontId="169" fillId="0" borderId="131" xfId="22678" applyFont="1" applyBorder="1" applyAlignment="1" applyProtection="1">
      <alignment horizontal="left" vertical="top" wrapText="1"/>
      <protection locked="0"/>
    </xf>
    <xf numFmtId="364" fontId="60" fillId="0" borderId="579" xfId="22674" applyNumberFormat="1" applyFont="1" applyBorder="1" applyAlignment="1">
      <alignment horizontal="center" vertical="center"/>
    </xf>
    <xf numFmtId="179" fontId="653" fillId="0" borderId="117" xfId="27932" applyNumberFormat="1" applyFont="1" applyBorder="1" applyAlignment="1" applyProtection="1">
      <alignment horizontal="center" vertical="center" wrapText="1"/>
      <protection locked="0"/>
    </xf>
    <xf numFmtId="179" fontId="653" fillId="0" borderId="45" xfId="27932" applyNumberFormat="1" applyFont="1" applyBorder="1" applyAlignment="1" applyProtection="1">
      <alignment horizontal="center" vertical="center"/>
      <protection locked="0"/>
    </xf>
    <xf numFmtId="179" fontId="653" fillId="0" borderId="349" xfId="27932" applyNumberFormat="1" applyFont="1" applyBorder="1" applyAlignment="1" applyProtection="1">
      <alignment horizontal="center" vertical="center"/>
      <protection locked="0"/>
    </xf>
    <xf numFmtId="179" fontId="653" fillId="0" borderId="350" xfId="27932" applyNumberFormat="1" applyFont="1" applyBorder="1" applyAlignment="1" applyProtection="1">
      <alignment horizontal="center" vertical="center"/>
      <protection locked="0"/>
    </xf>
    <xf numFmtId="179" fontId="653" fillId="0" borderId="351" xfId="27932" applyNumberFormat="1" applyFont="1" applyBorder="1" applyAlignment="1" applyProtection="1">
      <alignment horizontal="center" vertical="center" wrapText="1"/>
      <protection locked="0"/>
    </xf>
    <xf numFmtId="179" fontId="653" fillId="0" borderId="145" xfId="27932" applyNumberFormat="1" applyFont="1" applyBorder="1" applyAlignment="1" applyProtection="1">
      <alignment horizontal="center" vertical="center"/>
      <protection locked="0"/>
    </xf>
    <xf numFmtId="49" fontId="653" fillId="0" borderId="214" xfId="22678" quotePrefix="1" applyNumberFormat="1" applyFont="1" applyBorder="1" applyAlignment="1" applyProtection="1">
      <alignment horizontal="center" vertical="center" wrapText="1"/>
      <protection locked="0"/>
    </xf>
    <xf numFmtId="360" fontId="653" fillId="0" borderId="117" xfId="27932" applyNumberFormat="1" applyFont="1" applyBorder="1" applyAlignment="1" applyProtection="1">
      <alignment horizontal="center" vertical="center" wrapText="1"/>
      <protection locked="0"/>
    </xf>
    <xf numFmtId="179" fontId="653" fillId="0" borderId="45" xfId="27932" applyNumberFormat="1" applyFont="1" applyBorder="1" applyAlignment="1" applyProtection="1">
      <alignment horizontal="center" vertical="center" wrapText="1"/>
      <protection locked="0"/>
    </xf>
    <xf numFmtId="179" fontId="653" fillId="0" borderId="351" xfId="27933" applyNumberFormat="1" applyFont="1" applyBorder="1" applyAlignment="1" applyProtection="1">
      <alignment horizontal="center" vertical="center"/>
      <protection locked="0"/>
    </xf>
    <xf numFmtId="179" fontId="653" fillId="0" borderId="146" xfId="27933" applyNumberFormat="1" applyFont="1" applyBorder="1" applyAlignment="1" applyProtection="1">
      <alignment horizontal="center" vertical="center" wrapText="1"/>
      <protection locked="0"/>
    </xf>
    <xf numFmtId="179" fontId="653" fillId="0" borderId="148" xfId="27933" applyNumberFormat="1" applyFont="1" applyBorder="1" applyAlignment="1" applyProtection="1">
      <alignment horizontal="center" vertical="center" wrapText="1"/>
      <protection locked="0"/>
    </xf>
    <xf numFmtId="0" fontId="653" fillId="0" borderId="117" xfId="22678" quotePrefix="1" applyNumberFormat="1" applyFont="1" applyBorder="1" applyAlignment="1" applyProtection="1">
      <alignment horizontal="center" vertical="center"/>
      <protection locked="0"/>
    </xf>
    <xf numFmtId="360" fontId="653" fillId="0" borderId="117" xfId="27932" applyNumberFormat="1" applyFont="1" applyBorder="1" applyAlignment="1" applyProtection="1">
      <alignment horizontal="center" vertical="center"/>
      <protection locked="0"/>
    </xf>
    <xf numFmtId="361" fontId="653" fillId="0" borderId="117" xfId="22678" quotePrefix="1" applyNumberFormat="1" applyFont="1" applyBorder="1" applyAlignment="1" applyProtection="1">
      <alignment horizontal="center" vertical="center"/>
      <protection locked="0"/>
    </xf>
    <xf numFmtId="49" fontId="653" fillId="0" borderId="117" xfId="22678" quotePrefix="1" applyNumberFormat="1" applyFont="1" applyBorder="1" applyAlignment="1" applyProtection="1">
      <alignment horizontal="center" vertical="center"/>
      <protection locked="0"/>
    </xf>
    <xf numFmtId="0" fontId="653" fillId="107" borderId="146" xfId="27932" applyNumberFormat="1" applyFont="1" applyFill="1" applyBorder="1" applyAlignment="1" applyProtection="1">
      <alignment horizontal="center" vertical="center"/>
      <protection locked="0"/>
    </xf>
    <xf numFmtId="365" fontId="653" fillId="0" borderId="146" xfId="27932" applyNumberFormat="1" applyFont="1" applyBorder="1" applyAlignment="1" applyProtection="1">
      <alignment horizontal="center" vertical="center"/>
      <protection locked="0"/>
    </xf>
    <xf numFmtId="368" fontId="653" fillId="0" borderId="145" xfId="22678" quotePrefix="1" applyNumberFormat="1" applyFont="1" applyBorder="1" applyAlignment="1" applyProtection="1">
      <alignment horizontal="center" vertical="center"/>
      <protection locked="0"/>
    </xf>
    <xf numFmtId="0" fontId="653" fillId="164" borderId="146" xfId="27932" applyNumberFormat="1" applyFont="1" applyFill="1" applyBorder="1" applyAlignment="1" applyProtection="1">
      <alignment horizontal="center" vertical="center"/>
      <protection locked="0"/>
    </xf>
    <xf numFmtId="363" fontId="653" fillId="0" borderId="146" xfId="27932" applyNumberFormat="1" applyFont="1" applyBorder="1" applyAlignment="1" applyProtection="1">
      <alignment horizontal="center" vertical="center"/>
      <protection locked="0"/>
    </xf>
    <xf numFmtId="49" fontId="653" fillId="0" borderId="145" xfId="22678" quotePrefix="1" applyNumberFormat="1" applyFont="1" applyBorder="1" applyAlignment="1" applyProtection="1">
      <alignment horizontal="center" vertical="center"/>
      <protection locked="0"/>
    </xf>
    <xf numFmtId="210" fontId="653" fillId="0" borderId="214" xfId="27932" applyNumberFormat="1" applyFont="1" applyBorder="1" applyAlignment="1" applyProtection="1">
      <alignment horizontal="center" vertical="center"/>
      <protection locked="0"/>
    </xf>
    <xf numFmtId="366" fontId="653" fillId="0" borderId="163" xfId="27932" applyNumberFormat="1" applyFont="1" applyBorder="1" applyAlignment="1" applyProtection="1">
      <alignment horizontal="center" vertical="center"/>
      <protection locked="0"/>
    </xf>
    <xf numFmtId="0" fontId="653" fillId="0" borderId="145" xfId="22678" applyNumberFormat="1" applyFont="1" applyBorder="1" applyAlignment="1" applyProtection="1">
      <alignment horizontal="center" vertical="center"/>
      <protection locked="0"/>
    </xf>
    <xf numFmtId="49" fontId="653" fillId="0" borderId="146" xfId="22678" quotePrefix="1" applyNumberFormat="1" applyFont="1" applyBorder="1" applyAlignment="1" applyProtection="1">
      <alignment horizontal="center" vertical="center"/>
      <protection locked="0"/>
    </xf>
    <xf numFmtId="49" fontId="653" fillId="0" borderId="117" xfId="22678" quotePrefix="1" applyNumberFormat="1" applyFont="1" applyBorder="1" applyAlignment="1" applyProtection="1">
      <alignment horizontal="center" vertical="center" wrapText="1"/>
      <protection locked="0"/>
    </xf>
    <xf numFmtId="366" fontId="653" fillId="0" borderId="117" xfId="27932" applyNumberFormat="1" applyFont="1" applyBorder="1" applyAlignment="1" applyProtection="1">
      <alignment horizontal="center" vertical="center"/>
      <protection locked="0"/>
    </xf>
    <xf numFmtId="363" fontId="653" fillId="0" borderId="117" xfId="27932" applyNumberFormat="1" applyFont="1" applyBorder="1" applyAlignment="1" applyProtection="1">
      <alignment horizontal="center" vertical="center"/>
      <protection locked="0"/>
    </xf>
    <xf numFmtId="179" fontId="653" fillId="0" borderId="218" xfId="27932" applyNumberFormat="1" applyFont="1" applyBorder="1" applyAlignment="1" applyProtection="1">
      <alignment horizontal="center" vertical="center"/>
      <protection locked="0"/>
    </xf>
    <xf numFmtId="179" fontId="653" fillId="0" borderId="147" xfId="27932" applyNumberFormat="1" applyFont="1" applyBorder="1" applyAlignment="1" applyProtection="1">
      <alignment horizontal="center" vertical="center"/>
      <protection locked="0"/>
    </xf>
    <xf numFmtId="359" fontId="653" fillId="0" borderId="148" xfId="22678" applyFont="1" applyBorder="1" applyAlignment="1" applyProtection="1">
      <alignment horizontal="left" vertical="top" wrapText="1"/>
      <protection locked="0"/>
    </xf>
    <xf numFmtId="364" fontId="0" fillId="0" borderId="280" xfId="22674" applyNumberFormat="1" applyFont="1" applyBorder="1" applyAlignment="1">
      <alignment horizontal="center" vertical="center"/>
    </xf>
    <xf numFmtId="2" fontId="653" fillId="107" borderId="145" xfId="27932" applyNumberFormat="1" applyFont="1" applyFill="1" applyBorder="1" applyAlignment="1" applyProtection="1">
      <alignment horizontal="center" vertical="center"/>
      <protection locked="0"/>
    </xf>
    <xf numFmtId="2" fontId="653" fillId="107" borderId="214" xfId="22678" quotePrefix="1" applyNumberFormat="1" applyFont="1" applyFill="1" applyBorder="1" applyAlignment="1" applyProtection="1">
      <alignment horizontal="center" vertical="center" wrapText="1"/>
      <protection locked="0"/>
    </xf>
    <xf numFmtId="2" fontId="653" fillId="107" borderId="117" xfId="27932" applyNumberFormat="1" applyFont="1" applyFill="1" applyBorder="1" applyAlignment="1" applyProtection="1">
      <alignment horizontal="center" vertical="center" wrapText="1"/>
      <protection locked="0"/>
    </xf>
    <xf numFmtId="2" fontId="653" fillId="107" borderId="351" xfId="27933" applyNumberFormat="1" applyFont="1" applyFill="1" applyBorder="1" applyAlignment="1" applyProtection="1">
      <alignment horizontal="center" vertical="center"/>
      <protection locked="0"/>
    </xf>
    <xf numFmtId="0" fontId="655" fillId="0" borderId="135" xfId="0" applyFont="1" applyBorder="1" applyAlignment="1">
      <alignment horizontal="center" vertical="center"/>
    </xf>
    <xf numFmtId="38" fontId="6" fillId="0" borderId="365" xfId="22751" applyNumberFormat="1" applyFont="1" applyBorder="1" applyAlignment="1">
      <alignment horizontal="left" vertical="center" wrapText="1"/>
    </xf>
    <xf numFmtId="365" fontId="656" fillId="0" borderId="0" xfId="27925" applyNumberFormat="1" applyFont="1" applyAlignment="1">
      <alignment horizontal="right" vertical="center"/>
    </xf>
    <xf numFmtId="40" fontId="657" fillId="0" borderId="0" xfId="19286" applyNumberFormat="1" applyFont="1" applyAlignment="1">
      <alignment vertical="center"/>
    </xf>
    <xf numFmtId="43" fontId="657" fillId="0" borderId="0" xfId="19286" applyFont="1" applyAlignment="1">
      <alignment horizontal="center" vertical="center"/>
    </xf>
    <xf numFmtId="40" fontId="657" fillId="0" borderId="0" xfId="19286" applyNumberFormat="1" applyFont="1" applyAlignment="1">
      <alignment horizontal="center" vertical="center"/>
    </xf>
    <xf numFmtId="171" fontId="658" fillId="0" borderId="350" xfId="27961" applyFont="1" applyBorder="1" applyAlignment="1">
      <alignment horizontal="left" vertical="center" wrapText="1"/>
    </xf>
    <xf numFmtId="179" fontId="659" fillId="0" borderId="350" xfId="27961" applyNumberFormat="1" applyFont="1" applyBorder="1" applyAlignment="1">
      <alignment vertical="center"/>
    </xf>
    <xf numFmtId="179" fontId="659" fillId="0" borderId="350" xfId="27961" applyNumberFormat="1" applyFont="1" applyBorder="1" applyAlignment="1">
      <alignment vertical="center" wrapText="1"/>
    </xf>
    <xf numFmtId="179" fontId="660" fillId="214" borderId="350" xfId="27961" applyNumberFormat="1" applyFont="1" applyFill="1" applyBorder="1" applyAlignment="1">
      <alignment vertical="center" wrapText="1"/>
    </xf>
    <xf numFmtId="179" fontId="660" fillId="215" borderId="350" xfId="27961" applyNumberFormat="1" applyFont="1" applyFill="1" applyBorder="1" applyAlignment="1">
      <alignment vertical="center" wrapText="1"/>
    </xf>
    <xf numFmtId="179" fontId="659" fillId="0" borderId="127" xfId="27961" applyNumberFormat="1" applyFont="1" applyBorder="1" applyAlignment="1">
      <alignment vertical="center"/>
    </xf>
    <xf numFmtId="171" fontId="661" fillId="0" borderId="350" xfId="27961" applyFont="1" applyBorder="1" applyAlignment="1">
      <alignment vertical="center" wrapText="1"/>
    </xf>
    <xf numFmtId="171" fontId="662" fillId="0" borderId="0" xfId="27961" applyFont="1" applyAlignment="1">
      <alignment vertical="center"/>
    </xf>
    <xf numFmtId="171" fontId="662" fillId="0" borderId="365" xfId="27961" applyFont="1" applyBorder="1" applyAlignment="1">
      <alignment vertical="center"/>
    </xf>
    <xf numFmtId="0" fontId="353" fillId="177" borderId="145" xfId="22678" applyNumberFormat="1" applyFont="1" applyFill="1" applyBorder="1" applyAlignment="1" applyProtection="1">
      <alignment horizontal="center" vertical="center"/>
      <protection locked="0"/>
    </xf>
    <xf numFmtId="0" fontId="653" fillId="177" borderId="145" xfId="22678" quotePrefix="1" applyNumberFormat="1" applyFont="1" applyFill="1" applyBorder="1" applyAlignment="1" applyProtection="1">
      <alignment horizontal="center" vertical="center"/>
      <protection locked="0"/>
    </xf>
    <xf numFmtId="210" fontId="653" fillId="177" borderId="117" xfId="27932" applyNumberFormat="1" applyFont="1" applyFill="1" applyBorder="1" applyAlignment="1" applyProtection="1">
      <alignment horizontal="center" vertical="center"/>
      <protection locked="0"/>
    </xf>
    <xf numFmtId="14" fontId="653" fillId="177" borderId="117" xfId="27932" applyNumberFormat="1" applyFont="1" applyFill="1" applyBorder="1" applyAlignment="1" applyProtection="1">
      <alignment horizontal="center" vertical="center"/>
      <protection locked="0"/>
    </xf>
    <xf numFmtId="366" fontId="169" fillId="177" borderId="163" xfId="27932" applyNumberFormat="1" applyFont="1" applyFill="1" applyBorder="1" applyAlignment="1" applyProtection="1">
      <alignment horizontal="center" vertical="center"/>
      <protection locked="0"/>
    </xf>
    <xf numFmtId="0" fontId="2" fillId="0" borderId="0" xfId="27977"/>
    <xf numFmtId="0" fontId="670" fillId="229" borderId="581" xfId="27977" applyFont="1" applyFill="1" applyBorder="1"/>
    <xf numFmtId="38" fontId="673" fillId="229" borderId="581" xfId="27977" applyNumberFormat="1" applyFont="1" applyFill="1" applyBorder="1" applyAlignment="1">
      <alignment horizontal="right" vertical="center"/>
    </xf>
    <xf numFmtId="0" fontId="670" fillId="229" borderId="581" xfId="27977" applyFont="1" applyFill="1" applyBorder="1" applyAlignment="1">
      <alignment horizontal="left" vertical="center"/>
    </xf>
    <xf numFmtId="0" fontId="672" fillId="235" borderId="580" xfId="27977" applyFont="1" applyFill="1" applyBorder="1"/>
    <xf numFmtId="38" fontId="672" fillId="235" borderId="580" xfId="27977" applyNumberFormat="1" applyFont="1" applyFill="1" applyBorder="1" applyAlignment="1">
      <alignment horizontal="right" vertical="center"/>
    </xf>
    <xf numFmtId="0" fontId="672" fillId="235" borderId="580" xfId="27977" applyFont="1" applyFill="1" applyBorder="1" applyAlignment="1">
      <alignment horizontal="left" vertical="center"/>
    </xf>
    <xf numFmtId="0" fontId="674" fillId="237" borderId="580" xfId="27977" applyFont="1" applyFill="1" applyBorder="1"/>
    <xf numFmtId="38" fontId="674" fillId="237" borderId="580" xfId="27977" applyNumberFormat="1" applyFont="1" applyFill="1" applyBorder="1" applyAlignment="1">
      <alignment horizontal="right" vertical="center"/>
    </xf>
    <xf numFmtId="0" fontId="674" fillId="237" borderId="580" xfId="27977" applyFont="1" applyFill="1" applyBorder="1" applyAlignment="1">
      <alignment horizontal="left" vertical="center"/>
    </xf>
    <xf numFmtId="0" fontId="664" fillId="234" borderId="580" xfId="27977" applyFont="1" applyFill="1" applyBorder="1"/>
    <xf numFmtId="38" fontId="664" fillId="234" borderId="580" xfId="27977" applyNumberFormat="1" applyFont="1" applyFill="1" applyBorder="1" applyAlignment="1">
      <alignment horizontal="right" vertical="center"/>
    </xf>
    <xf numFmtId="0" fontId="664" fillId="234" borderId="580" xfId="27977" applyFont="1" applyFill="1" applyBorder="1" applyAlignment="1">
      <alignment horizontal="left" vertical="center"/>
    </xf>
    <xf numFmtId="0" fontId="672" fillId="235" borderId="580" xfId="27977" applyFont="1" applyFill="1" applyBorder="1" applyAlignment="1">
      <alignment horizontal="left" vertical="center" wrapText="1"/>
    </xf>
    <xf numFmtId="0" fontId="664" fillId="236" borderId="580" xfId="27977" applyFont="1" applyFill="1" applyBorder="1" applyAlignment="1">
      <alignment horizontal="center" vertical="center" wrapText="1"/>
    </xf>
    <xf numFmtId="0" fontId="672" fillId="235" borderId="580" xfId="27977" applyFont="1" applyFill="1" applyBorder="1" applyAlignment="1">
      <alignment horizontal="center" vertical="center"/>
    </xf>
    <xf numFmtId="0" fontId="675" fillId="235" borderId="580" xfId="27977" applyFont="1" applyFill="1" applyBorder="1" applyAlignment="1">
      <alignment horizontal="left" vertical="center" wrapText="1"/>
    </xf>
    <xf numFmtId="0" fontId="670" fillId="236" borderId="580" xfId="27977" applyFont="1" applyFill="1" applyBorder="1" applyAlignment="1">
      <alignment horizontal="center" vertical="center" wrapText="1"/>
    </xf>
    <xf numFmtId="0" fontId="675" fillId="235" borderId="580" xfId="27977" applyFont="1" applyFill="1" applyBorder="1" applyAlignment="1">
      <alignment horizontal="center" vertical="center"/>
    </xf>
    <xf numFmtId="38" fontId="676" fillId="235" borderId="580" xfId="27977" applyNumberFormat="1" applyFont="1" applyFill="1" applyBorder="1" applyAlignment="1">
      <alignment horizontal="right" vertical="center"/>
    </xf>
    <xf numFmtId="0" fontId="675" fillId="235" borderId="580" xfId="27977" applyFont="1" applyFill="1" applyBorder="1" applyAlignment="1">
      <alignment horizontal="left" vertical="center"/>
    </xf>
    <xf numFmtId="38" fontId="670" fillId="229" borderId="581" xfId="27977" applyNumberFormat="1" applyFont="1" applyFill="1" applyBorder="1" applyAlignment="1">
      <alignment horizontal="right" vertical="center"/>
    </xf>
    <xf numFmtId="0" fontId="667" fillId="238" borderId="580" xfId="27977" applyFont="1" applyFill="1" applyBorder="1" applyAlignment="1">
      <alignment horizontal="left" vertical="center" wrapText="1"/>
    </xf>
    <xf numFmtId="0" fontId="670" fillId="239" borderId="580" xfId="27977" applyFont="1" applyFill="1" applyBorder="1" applyAlignment="1">
      <alignment horizontal="center" vertical="center" wrapText="1"/>
    </xf>
    <xf numFmtId="0" fontId="667" fillId="238" borderId="580" xfId="27977" applyFont="1" applyFill="1" applyBorder="1" applyAlignment="1">
      <alignment horizontal="center" vertical="center"/>
    </xf>
    <xf numFmtId="38" fontId="668" fillId="238" borderId="580" xfId="27977" applyNumberFormat="1" applyFont="1" applyFill="1" applyBorder="1" applyAlignment="1">
      <alignment horizontal="right" vertical="center"/>
    </xf>
    <xf numFmtId="0" fontId="667" fillId="238" borderId="580" xfId="27977" applyFont="1" applyFill="1" applyBorder="1" applyAlignment="1">
      <alignment horizontal="left" vertical="center"/>
    </xf>
    <xf numFmtId="0" fontId="667" fillId="232" borderId="580" xfId="27977" applyFont="1" applyFill="1" applyBorder="1" applyAlignment="1">
      <alignment horizontal="left" vertical="center" wrapText="1"/>
    </xf>
    <xf numFmtId="0" fontId="670" fillId="230" borderId="580" xfId="27977" applyFont="1" applyFill="1" applyBorder="1" applyAlignment="1">
      <alignment horizontal="center" vertical="center" wrapText="1"/>
    </xf>
    <xf numFmtId="0" fontId="667" fillId="232" borderId="580" xfId="27977" applyFont="1" applyFill="1" applyBorder="1" applyAlignment="1">
      <alignment horizontal="center" vertical="center"/>
    </xf>
    <xf numFmtId="38" fontId="668" fillId="232" borderId="580" xfId="27977" applyNumberFormat="1" applyFont="1" applyFill="1" applyBorder="1" applyAlignment="1">
      <alignment horizontal="right" vertical="center"/>
    </xf>
    <xf numFmtId="0" fontId="667" fillId="232" borderId="580" xfId="27977" applyFont="1" applyFill="1" applyBorder="1" applyAlignment="1">
      <alignment horizontal="left" vertical="center"/>
    </xf>
    <xf numFmtId="0" fontId="667" fillId="233" borderId="580" xfId="27977" applyFont="1" applyFill="1" applyBorder="1" applyAlignment="1">
      <alignment horizontal="left" vertical="center" wrapText="1"/>
    </xf>
    <xf numFmtId="0" fontId="670" fillId="231" borderId="580" xfId="27977" applyFont="1" applyFill="1" applyBorder="1" applyAlignment="1">
      <alignment horizontal="center" vertical="center" wrapText="1"/>
    </xf>
    <xf numFmtId="0" fontId="667" fillId="233" borderId="580" xfId="27977" applyFont="1" applyFill="1" applyBorder="1" applyAlignment="1">
      <alignment horizontal="center" vertical="center"/>
    </xf>
    <xf numFmtId="38" fontId="668" fillId="233" borderId="580" xfId="27977" applyNumberFormat="1" applyFont="1" applyFill="1" applyBorder="1" applyAlignment="1">
      <alignment horizontal="right" vertical="center"/>
    </xf>
    <xf numFmtId="0" fontId="667" fillId="233" borderId="580" xfId="27977" applyFont="1" applyFill="1" applyBorder="1" applyAlignment="1">
      <alignment horizontal="left" vertical="center"/>
    </xf>
    <xf numFmtId="0" fontId="666" fillId="230" borderId="581" xfId="27977" applyFont="1" applyFill="1" applyBorder="1" applyAlignment="1">
      <alignment horizontal="center" vertical="center" wrapText="1"/>
    </xf>
    <xf numFmtId="0" fontId="678" fillId="0" borderId="0" xfId="27977" applyFont="1"/>
    <xf numFmtId="0" fontId="663" fillId="0" borderId="0" xfId="27977" applyFont="1"/>
    <xf numFmtId="38" fontId="667" fillId="238" borderId="580" xfId="27977" applyNumberFormat="1" applyFont="1" applyFill="1" applyBorder="1" applyAlignment="1">
      <alignment horizontal="left" vertical="center" wrapText="1"/>
    </xf>
    <xf numFmtId="15" fontId="667" fillId="232" borderId="580" xfId="27977" applyNumberFormat="1" applyFont="1" applyFill="1" applyBorder="1" applyAlignment="1">
      <alignment horizontal="center" vertical="center"/>
    </xf>
    <xf numFmtId="15" fontId="667" fillId="233" borderId="580" xfId="27977" applyNumberFormat="1" applyFont="1" applyFill="1" applyBorder="1" applyAlignment="1">
      <alignment horizontal="center" vertical="center"/>
    </xf>
    <xf numFmtId="15" fontId="667" fillId="238" borderId="580" xfId="27977" applyNumberFormat="1" applyFont="1" applyFill="1" applyBorder="1" applyAlignment="1">
      <alignment horizontal="center" vertical="center"/>
    </xf>
    <xf numFmtId="0" fontId="671" fillId="235" borderId="580" xfId="27977" applyFont="1" applyFill="1" applyBorder="1" applyAlignment="1">
      <alignment wrapText="1"/>
    </xf>
    <xf numFmtId="38" fontId="667" fillId="232" borderId="580" xfId="27977" applyNumberFormat="1" applyFont="1" applyFill="1" applyBorder="1" applyAlignment="1">
      <alignment horizontal="left" vertical="center" wrapText="1"/>
    </xf>
    <xf numFmtId="38" fontId="675" fillId="235" borderId="580" xfId="27977" applyNumberFormat="1" applyFont="1" applyFill="1" applyBorder="1" applyAlignment="1">
      <alignment horizontal="left" vertical="center" wrapText="1"/>
    </xf>
    <xf numFmtId="0" fontId="653" fillId="177" borderId="117" xfId="22678" quotePrefix="1" applyNumberFormat="1" applyFont="1" applyFill="1" applyBorder="1" applyAlignment="1" applyProtection="1">
      <alignment horizontal="center" vertical="center"/>
      <protection locked="0"/>
    </xf>
    <xf numFmtId="360" fontId="653" fillId="177" borderId="117" xfId="27932" applyNumberFormat="1" applyFont="1" applyFill="1" applyBorder="1" applyAlignment="1" applyProtection="1">
      <alignment horizontal="center" vertical="center"/>
      <protection locked="0"/>
    </xf>
    <xf numFmtId="14" fontId="653" fillId="177" borderId="117" xfId="27932" applyNumberFormat="1" applyFont="1" applyFill="1" applyBorder="1" applyAlignment="1" applyProtection="1">
      <alignment horizontal="center" vertical="center" wrapText="1"/>
      <protection locked="0"/>
    </xf>
    <xf numFmtId="0" fontId="653" fillId="177" borderId="146" xfId="27932" applyNumberFormat="1" applyFont="1" applyFill="1" applyBorder="1" applyAlignment="1" applyProtection="1">
      <alignment horizontal="center" vertical="center"/>
      <protection locked="0"/>
    </xf>
    <xf numFmtId="365" fontId="653" fillId="177" borderId="146" xfId="27932" applyNumberFormat="1" applyFont="1" applyFill="1" applyBorder="1" applyAlignment="1" applyProtection="1">
      <alignment horizontal="center" vertical="center"/>
      <protection locked="0"/>
    </xf>
    <xf numFmtId="49" fontId="653" fillId="177" borderId="117" xfId="22678" applyNumberFormat="1" applyFont="1" applyFill="1" applyBorder="1" applyAlignment="1" applyProtection="1">
      <alignment horizontal="center" vertical="center"/>
      <protection locked="0"/>
    </xf>
    <xf numFmtId="0" fontId="667" fillId="135" borderId="580" xfId="27977" applyFont="1" applyFill="1" applyBorder="1" applyAlignment="1">
      <alignment horizontal="center" vertical="center"/>
    </xf>
    <xf numFmtId="0" fontId="667" fillId="135" borderId="580" xfId="27977" applyFont="1" applyFill="1" applyBorder="1" applyAlignment="1">
      <alignment horizontal="left" vertical="center"/>
    </xf>
    <xf numFmtId="0" fontId="667" fillId="135" borderId="580" xfId="27977" applyFont="1" applyFill="1" applyBorder="1" applyAlignment="1">
      <alignment horizontal="left" vertical="center" wrapText="1"/>
    </xf>
    <xf numFmtId="38" fontId="668" fillId="135" borderId="580" xfId="27977" applyNumberFormat="1" applyFont="1" applyFill="1" applyBorder="1" applyAlignment="1">
      <alignment horizontal="right" vertical="center"/>
    </xf>
    <xf numFmtId="15" fontId="667" fillId="135" borderId="580" xfId="27977" applyNumberFormat="1" applyFont="1" applyFill="1" applyBorder="1" applyAlignment="1">
      <alignment horizontal="center" vertical="center"/>
    </xf>
    <xf numFmtId="179" fontId="653" fillId="177" borderId="117" xfId="27932" applyNumberFormat="1" applyFont="1" applyFill="1" applyBorder="1" applyAlignment="1" applyProtection="1">
      <alignment horizontal="center" vertical="center" wrapText="1"/>
      <protection locked="0"/>
    </xf>
    <xf numFmtId="179" fontId="653" fillId="177" borderId="45" xfId="27932" applyNumberFormat="1" applyFont="1" applyFill="1" applyBorder="1" applyAlignment="1" applyProtection="1">
      <alignment horizontal="center" vertical="center"/>
      <protection locked="0"/>
    </xf>
    <xf numFmtId="179" fontId="653" fillId="177" borderId="349" xfId="27932" applyNumberFormat="1" applyFont="1" applyFill="1" applyBorder="1" applyAlignment="1" applyProtection="1">
      <alignment horizontal="center" vertical="center"/>
      <protection locked="0"/>
    </xf>
    <xf numFmtId="179" fontId="653" fillId="177" borderId="350" xfId="27932" applyNumberFormat="1" applyFont="1" applyFill="1" applyBorder="1" applyAlignment="1" applyProtection="1">
      <alignment horizontal="center" vertical="center"/>
      <protection locked="0"/>
    </xf>
    <xf numFmtId="179" fontId="653" fillId="177" borderId="351" xfId="27932" applyNumberFormat="1" applyFont="1" applyFill="1" applyBorder="1" applyAlignment="1" applyProtection="1">
      <alignment horizontal="center" vertical="center" wrapText="1"/>
      <protection locked="0"/>
    </xf>
    <xf numFmtId="179" fontId="653" fillId="177" borderId="146" xfId="27933" applyNumberFormat="1" applyFont="1" applyFill="1" applyBorder="1" applyAlignment="1" applyProtection="1">
      <alignment horizontal="center" vertical="center" wrapText="1"/>
      <protection locked="0"/>
    </xf>
    <xf numFmtId="179" fontId="653" fillId="177" borderId="148" xfId="27933" applyNumberFormat="1" applyFont="1" applyFill="1" applyBorder="1" applyAlignment="1" applyProtection="1">
      <alignment horizontal="center" vertical="center" wrapText="1"/>
      <protection locked="0"/>
    </xf>
    <xf numFmtId="14" fontId="169" fillId="0" borderId="117" xfId="27932" applyNumberFormat="1" applyFont="1" applyBorder="1" applyAlignment="1" applyProtection="1">
      <alignment horizontal="center" vertical="center"/>
      <protection locked="0"/>
    </xf>
    <xf numFmtId="363" fontId="653" fillId="177" borderId="146" xfId="27932" applyNumberFormat="1" applyFont="1" applyFill="1" applyBorder="1" applyAlignment="1" applyProtection="1">
      <alignment horizontal="center" vertical="center"/>
      <protection locked="0"/>
    </xf>
    <xf numFmtId="361" fontId="169" fillId="177" borderId="117" xfId="22678" quotePrefix="1" applyNumberFormat="1" applyFont="1" applyFill="1" applyBorder="1" applyAlignment="1" applyProtection="1">
      <alignment horizontal="center" vertical="center" wrapText="1"/>
      <protection locked="0"/>
    </xf>
    <xf numFmtId="40" fontId="169" fillId="126" borderId="126" xfId="19286" applyNumberFormat="1" applyFont="1" applyFill="1" applyBorder="1" applyAlignment="1">
      <alignment horizontal="center" vertical="center"/>
    </xf>
    <xf numFmtId="40" fontId="653" fillId="0" borderId="126" xfId="19286" applyNumberFormat="1" applyFont="1" applyFill="1" applyBorder="1" applyAlignment="1">
      <alignment horizontal="center" vertical="center"/>
    </xf>
    <xf numFmtId="0" fontId="680" fillId="177" borderId="214" xfId="22678" quotePrefix="1" applyNumberFormat="1" applyFont="1" applyFill="1" applyBorder="1" applyAlignment="1" applyProtection="1">
      <alignment horizontal="center" vertical="center" wrapText="1"/>
      <protection locked="0"/>
    </xf>
    <xf numFmtId="38" fontId="681" fillId="0" borderId="365" xfId="0" applyNumberFormat="1" applyFont="1" applyBorder="1" applyAlignment="1">
      <alignment horizontal="center" vertical="center" wrapText="1"/>
    </xf>
    <xf numFmtId="38" fontId="681" fillId="0" borderId="126" xfId="0" applyNumberFormat="1" applyFont="1" applyBorder="1" applyAlignment="1">
      <alignment horizontal="center" vertical="center" wrapText="1"/>
    </xf>
    <xf numFmtId="365" fontId="653" fillId="194" borderId="146" xfId="27932" applyNumberFormat="1" applyFont="1" applyFill="1" applyBorder="1" applyAlignment="1" applyProtection="1">
      <alignment horizontal="center" vertical="center"/>
      <protection locked="0"/>
    </xf>
    <xf numFmtId="0" fontId="353" fillId="194" borderId="145" xfId="22678" applyNumberFormat="1" applyFont="1" applyFill="1" applyBorder="1" applyAlignment="1" applyProtection="1">
      <alignment horizontal="center" vertical="center"/>
      <protection locked="0"/>
    </xf>
    <xf numFmtId="210" fontId="653" fillId="177" borderId="214" xfId="27932" applyNumberFormat="1" applyFont="1" applyFill="1" applyBorder="1" applyAlignment="1" applyProtection="1">
      <alignment horizontal="center" vertical="center"/>
      <protection locked="0"/>
    </xf>
    <xf numFmtId="49" fontId="653" fillId="177" borderId="117" xfId="22678" quotePrefix="1" applyNumberFormat="1" applyFont="1" applyFill="1" applyBorder="1" applyAlignment="1" applyProtection="1">
      <alignment horizontal="center" vertical="center" wrapText="1"/>
      <protection locked="0"/>
    </xf>
    <xf numFmtId="49" fontId="653" fillId="177" borderId="117" xfId="22678" quotePrefix="1" applyNumberFormat="1" applyFont="1" applyFill="1" applyBorder="1" applyAlignment="1" applyProtection="1">
      <alignment horizontal="center" vertical="center"/>
      <protection locked="0"/>
    </xf>
    <xf numFmtId="366" fontId="653" fillId="177" borderId="117" xfId="27932" applyNumberFormat="1" applyFont="1" applyFill="1" applyBorder="1" applyAlignment="1" applyProtection="1">
      <alignment horizontal="center" vertical="center"/>
      <protection locked="0"/>
    </xf>
    <xf numFmtId="363" fontId="653" fillId="177" borderId="117" xfId="27932" applyNumberFormat="1" applyFont="1" applyFill="1" applyBorder="1" applyAlignment="1" applyProtection="1">
      <alignment horizontal="center" vertical="center"/>
      <protection locked="0"/>
    </xf>
    <xf numFmtId="179" fontId="653" fillId="177" borderId="218" xfId="27932" applyNumberFormat="1" applyFont="1" applyFill="1" applyBorder="1" applyAlignment="1" applyProtection="1">
      <alignment horizontal="center" vertical="center"/>
      <protection locked="0"/>
    </xf>
    <xf numFmtId="179" fontId="653" fillId="177" borderId="147" xfId="27932" applyNumberFormat="1" applyFont="1" applyFill="1" applyBorder="1" applyAlignment="1" applyProtection="1">
      <alignment horizontal="center" vertical="center"/>
      <protection locked="0"/>
    </xf>
    <xf numFmtId="359" fontId="653" fillId="177" borderId="148" xfId="22678" applyFont="1" applyFill="1" applyBorder="1" applyAlignment="1" applyProtection="1">
      <alignment horizontal="left" vertical="top" wrapText="1"/>
      <protection locked="0"/>
    </xf>
    <xf numFmtId="0" fontId="640" fillId="0" borderId="350" xfId="0" applyFont="1" applyBorder="1" applyAlignment="1">
      <alignment horizontal="center" vertical="center"/>
    </xf>
    <xf numFmtId="0" fontId="425" fillId="0" borderId="350" xfId="0" applyFont="1" applyBorder="1" applyAlignment="1">
      <alignment horizontal="center" vertical="center"/>
    </xf>
    <xf numFmtId="0" fontId="640" fillId="0" borderId="350" xfId="0" applyFont="1" applyBorder="1" applyAlignment="1">
      <alignment horizontal="left" vertical="center"/>
    </xf>
    <xf numFmtId="0" fontId="640" fillId="0" borderId="214" xfId="0" applyFont="1" applyBorder="1" applyAlignment="1">
      <alignment horizontal="center" vertical="center"/>
    </xf>
    <xf numFmtId="0" fontId="640" fillId="0" borderId="214" xfId="0" applyFont="1" applyBorder="1" applyAlignment="1">
      <alignment horizontal="left" vertical="center"/>
    </xf>
    <xf numFmtId="0" fontId="425" fillId="0" borderId="214" xfId="0" applyFont="1" applyBorder="1" applyAlignment="1">
      <alignment horizontal="center" vertical="center"/>
    </xf>
    <xf numFmtId="179" fontId="653" fillId="194" borderId="349" xfId="27932" applyNumberFormat="1" applyFont="1" applyFill="1" applyBorder="1" applyAlignment="1" applyProtection="1">
      <alignment horizontal="center" vertical="center"/>
      <protection locked="0"/>
    </xf>
    <xf numFmtId="179" fontId="653" fillId="194" borderId="350" xfId="27932" applyNumberFormat="1" applyFont="1" applyFill="1" applyBorder="1" applyAlignment="1" applyProtection="1">
      <alignment horizontal="center" vertical="center"/>
      <protection locked="0"/>
    </xf>
    <xf numFmtId="179" fontId="653" fillId="194" borderId="351" xfId="27932" applyNumberFormat="1" applyFont="1" applyFill="1" applyBorder="1" applyAlignment="1" applyProtection="1">
      <alignment horizontal="center" vertical="center" wrapText="1"/>
      <protection locked="0"/>
    </xf>
    <xf numFmtId="179" fontId="653" fillId="194" borderId="145" xfId="27932" applyNumberFormat="1" applyFont="1" applyFill="1" applyBorder="1" applyAlignment="1" applyProtection="1">
      <alignment horizontal="center" vertical="center"/>
      <protection locked="0"/>
    </xf>
    <xf numFmtId="49" fontId="653" fillId="194" borderId="214" xfId="22678" quotePrefix="1" applyNumberFormat="1" applyFont="1" applyFill="1" applyBorder="1" applyAlignment="1" applyProtection="1">
      <alignment horizontal="center" vertical="center" wrapText="1"/>
      <protection locked="0"/>
    </xf>
    <xf numFmtId="360" fontId="653" fillId="194" borderId="117" xfId="27932" applyNumberFormat="1" applyFont="1" applyFill="1" applyBorder="1" applyAlignment="1" applyProtection="1">
      <alignment horizontal="center" vertical="center" wrapText="1"/>
      <protection locked="0"/>
    </xf>
    <xf numFmtId="179" fontId="653" fillId="194" borderId="45" xfId="27932" applyNumberFormat="1" applyFont="1" applyFill="1" applyBorder="1" applyAlignment="1" applyProtection="1">
      <alignment horizontal="center" vertical="center" wrapText="1"/>
      <protection locked="0"/>
    </xf>
    <xf numFmtId="179" fontId="653" fillId="194" borderId="351" xfId="27933" applyNumberFormat="1" applyFont="1" applyFill="1" applyBorder="1" applyAlignment="1" applyProtection="1">
      <alignment horizontal="center" vertical="center"/>
      <protection locked="0"/>
    </xf>
    <xf numFmtId="179" fontId="653" fillId="194" borderId="146" xfId="27933" applyNumberFormat="1" applyFont="1" applyFill="1" applyBorder="1" applyAlignment="1" applyProtection="1">
      <alignment horizontal="center" vertical="center" wrapText="1"/>
      <protection locked="0"/>
    </xf>
    <xf numFmtId="179" fontId="653" fillId="194" borderId="148" xfId="27933" applyNumberFormat="1" applyFont="1" applyFill="1" applyBorder="1" applyAlignment="1" applyProtection="1">
      <alignment horizontal="center" vertical="center" wrapText="1"/>
      <protection locked="0"/>
    </xf>
    <xf numFmtId="0" fontId="653" fillId="194" borderId="117" xfId="22678" quotePrefix="1" applyNumberFormat="1" applyFont="1" applyFill="1" applyBorder="1" applyAlignment="1" applyProtection="1">
      <alignment horizontal="center" vertical="center"/>
      <protection locked="0"/>
    </xf>
    <xf numFmtId="360" fontId="653" fillId="194" borderId="117" xfId="27932" applyNumberFormat="1" applyFont="1" applyFill="1" applyBorder="1" applyAlignment="1" applyProtection="1">
      <alignment horizontal="center" vertical="center"/>
      <protection locked="0"/>
    </xf>
    <xf numFmtId="210" fontId="653" fillId="194" borderId="117" xfId="27932" applyNumberFormat="1" applyFont="1" applyFill="1" applyBorder="1" applyAlignment="1" applyProtection="1">
      <alignment horizontal="center" vertical="center"/>
      <protection locked="0"/>
    </xf>
    <xf numFmtId="14" fontId="653" fillId="194" borderId="117" xfId="27932" applyNumberFormat="1" applyFont="1" applyFill="1" applyBorder="1" applyAlignment="1" applyProtection="1">
      <alignment horizontal="center" vertical="center"/>
      <protection locked="0"/>
    </xf>
    <xf numFmtId="14" fontId="653" fillId="194" borderId="117" xfId="27932" applyNumberFormat="1" applyFont="1" applyFill="1" applyBorder="1" applyAlignment="1" applyProtection="1">
      <alignment horizontal="center" vertical="center" wrapText="1"/>
      <protection locked="0"/>
    </xf>
    <xf numFmtId="0" fontId="653" fillId="194" borderId="146" xfId="27932" applyNumberFormat="1" applyFont="1" applyFill="1" applyBorder="1" applyAlignment="1" applyProtection="1">
      <alignment horizontal="center" vertical="center"/>
      <protection locked="0"/>
    </xf>
    <xf numFmtId="2" fontId="496" fillId="177" borderId="117" xfId="27932" applyNumberFormat="1" applyFont="1" applyFill="1" applyBorder="1" applyAlignment="1" applyProtection="1">
      <alignment horizontal="left" vertical="center" wrapText="1"/>
      <protection locked="0"/>
    </xf>
    <xf numFmtId="2" fontId="496" fillId="177" borderId="45" xfId="27932" applyNumberFormat="1" applyFont="1" applyFill="1" applyBorder="1" applyAlignment="1" applyProtection="1">
      <alignment horizontal="center" vertical="center"/>
      <protection locked="0"/>
    </xf>
    <xf numFmtId="2" fontId="496" fillId="177" borderId="349" xfId="27932" applyNumberFormat="1" applyFont="1" applyFill="1" applyBorder="1" applyAlignment="1" applyProtection="1">
      <alignment horizontal="center" vertical="center"/>
      <protection locked="0"/>
    </xf>
    <xf numFmtId="2" fontId="496" fillId="177" borderId="350" xfId="27932" applyNumberFormat="1" applyFont="1" applyFill="1" applyBorder="1" applyAlignment="1" applyProtection="1">
      <alignment horizontal="center" vertical="center"/>
      <protection locked="0"/>
    </xf>
    <xf numFmtId="2" fontId="496" fillId="177" borderId="351" xfId="27932" applyNumberFormat="1" applyFont="1" applyFill="1" applyBorder="1" applyAlignment="1" applyProtection="1">
      <alignment horizontal="center" vertical="center" wrapText="1"/>
      <protection locked="0"/>
    </xf>
    <xf numFmtId="2" fontId="496" fillId="177" borderId="117" xfId="22678" quotePrefix="1" applyNumberFormat="1" applyFont="1" applyFill="1" applyBorder="1" applyAlignment="1" applyProtection="1">
      <alignment horizontal="center" vertical="center"/>
      <protection locked="0"/>
    </xf>
    <xf numFmtId="2" fontId="496" fillId="177" borderId="117" xfId="27932" applyNumberFormat="1" applyFont="1" applyFill="1" applyBorder="1" applyAlignment="1" applyProtection="1">
      <alignment horizontal="center" vertical="center"/>
      <protection locked="0"/>
    </xf>
    <xf numFmtId="2" fontId="496" fillId="177" borderId="146" xfId="27932" applyNumberFormat="1" applyFont="1" applyFill="1" applyBorder="1" applyAlignment="1" applyProtection="1">
      <alignment horizontal="center" vertical="center"/>
      <protection locked="0"/>
    </xf>
    <xf numFmtId="2" fontId="496" fillId="177" borderId="145" xfId="22678" quotePrefix="1" applyNumberFormat="1" applyFont="1" applyFill="1" applyBorder="1" applyAlignment="1" applyProtection="1">
      <alignment horizontal="center" vertical="center"/>
      <protection locked="0"/>
    </xf>
    <xf numFmtId="2" fontId="496" fillId="177" borderId="214" xfId="27932" applyNumberFormat="1" applyFont="1" applyFill="1" applyBorder="1" applyAlignment="1" applyProtection="1">
      <alignment horizontal="center" vertical="center"/>
      <protection locked="0"/>
    </xf>
    <xf numFmtId="2" fontId="496" fillId="177" borderId="163" xfId="27932" applyNumberFormat="1" applyFont="1" applyFill="1" applyBorder="1" applyAlignment="1" applyProtection="1">
      <alignment horizontal="center" vertical="center"/>
      <protection locked="0"/>
    </xf>
    <xf numFmtId="2" fontId="496" fillId="177" borderId="145" xfId="22678" applyNumberFormat="1" applyFont="1" applyFill="1" applyBorder="1" applyAlignment="1" applyProtection="1">
      <alignment horizontal="center" vertical="center"/>
      <protection locked="0"/>
    </xf>
    <xf numFmtId="2" fontId="496" fillId="177" borderId="146" xfId="22678" quotePrefix="1" applyNumberFormat="1" applyFont="1" applyFill="1" applyBorder="1" applyAlignment="1" applyProtection="1">
      <alignment horizontal="center" vertical="center"/>
      <protection locked="0"/>
    </xf>
    <xf numFmtId="2" fontId="496" fillId="177" borderId="117" xfId="22678" quotePrefix="1" applyNumberFormat="1" applyFont="1" applyFill="1" applyBorder="1" applyAlignment="1" applyProtection="1">
      <alignment horizontal="center" vertical="center" wrapText="1"/>
      <protection locked="0"/>
    </xf>
    <xf numFmtId="2" fontId="496" fillId="177" borderId="218" xfId="27932" applyNumberFormat="1" applyFont="1" applyFill="1" applyBorder="1" applyAlignment="1" applyProtection="1">
      <alignment horizontal="center" vertical="center"/>
      <protection locked="0"/>
    </xf>
    <xf numFmtId="2" fontId="496" fillId="177" borderId="147" xfId="27932" applyNumberFormat="1" applyFont="1" applyFill="1" applyBorder="1" applyAlignment="1" applyProtection="1">
      <alignment horizontal="center" vertical="center"/>
      <protection locked="0"/>
    </xf>
    <xf numFmtId="2" fontId="496" fillId="177" borderId="148" xfId="22678" applyNumberFormat="1" applyFont="1" applyFill="1" applyBorder="1" applyAlignment="1" applyProtection="1">
      <alignment horizontal="left" vertical="top" wrapText="1"/>
      <protection locked="0"/>
    </xf>
    <xf numFmtId="0" fontId="642" fillId="177" borderId="117" xfId="22678" quotePrefix="1" applyNumberFormat="1" applyFont="1" applyFill="1" applyBorder="1" applyAlignment="1" applyProtection="1">
      <alignment horizontal="center" vertical="center"/>
      <protection locked="0"/>
    </xf>
    <xf numFmtId="360" fontId="642" fillId="177" borderId="117" xfId="27932" applyNumberFormat="1" applyFont="1" applyFill="1" applyBorder="1" applyAlignment="1" applyProtection="1">
      <alignment horizontal="center" vertical="center"/>
      <protection locked="0"/>
    </xf>
    <xf numFmtId="40" fontId="642" fillId="177" borderId="146" xfId="27932" applyNumberFormat="1" applyFont="1" applyFill="1" applyBorder="1" applyAlignment="1" applyProtection="1">
      <alignment horizontal="center" vertical="center"/>
      <protection locked="0"/>
    </xf>
    <xf numFmtId="363" fontId="653" fillId="194" borderId="146" xfId="27932" applyNumberFormat="1" applyFont="1" applyFill="1" applyBorder="1" applyAlignment="1" applyProtection="1">
      <alignment horizontal="center" vertical="center"/>
      <protection locked="0"/>
    </xf>
    <xf numFmtId="210" fontId="653" fillId="194" borderId="214" xfId="27932" applyNumberFormat="1" applyFont="1" applyFill="1" applyBorder="1" applyAlignment="1" applyProtection="1">
      <alignment horizontal="center" vertical="center"/>
      <protection locked="0"/>
    </xf>
    <xf numFmtId="179" fontId="169" fillId="0" borderId="117" xfId="27932" applyNumberFormat="1" applyFont="1" applyBorder="1" applyAlignment="1" applyProtection="1">
      <alignment horizontal="left" vertical="center" wrapText="1"/>
      <protection locked="0"/>
    </xf>
    <xf numFmtId="179" fontId="653" fillId="177" borderId="145" xfId="27932" applyNumberFormat="1" applyFont="1" applyFill="1" applyBorder="1" applyAlignment="1" applyProtection="1">
      <alignment horizontal="center" vertical="center"/>
      <protection locked="0"/>
    </xf>
    <xf numFmtId="49" fontId="653" fillId="177" borderId="214" xfId="22678" quotePrefix="1" applyNumberFormat="1" applyFont="1" applyFill="1" applyBorder="1" applyAlignment="1" applyProtection="1">
      <alignment horizontal="center" vertical="center" wrapText="1"/>
      <protection locked="0"/>
    </xf>
    <xf numFmtId="360" fontId="653" fillId="177" borderId="117" xfId="27932" applyNumberFormat="1" applyFont="1" applyFill="1" applyBorder="1" applyAlignment="1" applyProtection="1">
      <alignment horizontal="center" vertical="center" wrapText="1"/>
      <protection locked="0"/>
    </xf>
    <xf numFmtId="179" fontId="653" fillId="177" borderId="45" xfId="27932" applyNumberFormat="1" applyFont="1" applyFill="1" applyBorder="1" applyAlignment="1" applyProtection="1">
      <alignment horizontal="center" vertical="center" wrapText="1"/>
      <protection locked="0"/>
    </xf>
    <xf numFmtId="179" fontId="653" fillId="177" borderId="351" xfId="27933" applyNumberFormat="1" applyFont="1" applyFill="1" applyBorder="1" applyAlignment="1" applyProtection="1">
      <alignment horizontal="center" vertical="center"/>
      <protection locked="0"/>
    </xf>
    <xf numFmtId="368" fontId="496" fillId="177" borderId="145" xfId="22678" applyNumberFormat="1" applyFont="1" applyFill="1" applyBorder="1" applyAlignment="1" applyProtection="1">
      <alignment horizontal="center" vertical="center"/>
      <protection locked="0"/>
    </xf>
    <xf numFmtId="173" fontId="60" fillId="0" borderId="0" xfId="27918" applyFont="1" applyAlignment="1">
      <alignment horizontal="center" vertical="center"/>
    </xf>
    <xf numFmtId="0" fontId="667" fillId="240" borderId="580" xfId="27977" applyFont="1" applyFill="1" applyBorder="1" applyAlignment="1">
      <alignment horizontal="left" vertical="center" wrapText="1"/>
    </xf>
    <xf numFmtId="0" fontId="667" fillId="240" borderId="580" xfId="27977" applyFont="1" applyFill="1" applyBorder="1" applyAlignment="1">
      <alignment horizontal="center" vertical="center"/>
    </xf>
    <xf numFmtId="0" fontId="667" fillId="240" borderId="580" xfId="27977" applyFont="1" applyFill="1" applyBorder="1" applyAlignment="1">
      <alignment horizontal="left" vertical="center"/>
    </xf>
    <xf numFmtId="38" fontId="668" fillId="240" borderId="580" xfId="27977" applyNumberFormat="1" applyFont="1" applyFill="1" applyBorder="1" applyAlignment="1">
      <alignment horizontal="right" vertical="center"/>
    </xf>
    <xf numFmtId="15" fontId="667" fillId="240" borderId="580" xfId="27977" applyNumberFormat="1" applyFont="1" applyFill="1" applyBorder="1" applyAlignment="1">
      <alignment horizontal="center" vertical="center"/>
    </xf>
    <xf numFmtId="0" fontId="669" fillId="240" borderId="580" xfId="27977" applyFont="1" applyFill="1" applyBorder="1" applyAlignment="1">
      <alignment horizontal="center" vertical="center"/>
    </xf>
    <xf numFmtId="179" fontId="169" fillId="177" borderId="117" xfId="27932" applyNumberFormat="1" applyFont="1" applyFill="1" applyBorder="1" applyAlignment="1" applyProtection="1">
      <alignment horizontal="left" vertical="top" wrapText="1"/>
      <protection locked="0"/>
    </xf>
    <xf numFmtId="361" fontId="169" fillId="0" borderId="117" xfId="22678" quotePrefix="1" applyNumberFormat="1" applyFont="1" applyBorder="1" applyAlignment="1" applyProtection="1">
      <alignment horizontal="center" vertical="center" wrapText="1"/>
      <protection locked="0"/>
    </xf>
    <xf numFmtId="49" fontId="653" fillId="194" borderId="117" xfId="22678" quotePrefix="1" applyNumberFormat="1" applyFont="1" applyFill="1" applyBorder="1" applyAlignment="1" applyProtection="1">
      <alignment horizontal="center" vertical="center" wrapText="1"/>
      <protection locked="0"/>
    </xf>
    <xf numFmtId="49" fontId="653" fillId="194" borderId="117" xfId="22678" quotePrefix="1" applyNumberFormat="1" applyFont="1" applyFill="1" applyBorder="1" applyAlignment="1" applyProtection="1">
      <alignment horizontal="center" vertical="center"/>
      <protection locked="0"/>
    </xf>
    <xf numFmtId="366" fontId="653" fillId="194" borderId="117" xfId="27932" applyNumberFormat="1" applyFont="1" applyFill="1" applyBorder="1" applyAlignment="1" applyProtection="1">
      <alignment horizontal="center" vertical="center"/>
      <protection locked="0"/>
    </xf>
    <xf numFmtId="363" fontId="653" fillId="194" borderId="117" xfId="27932" applyNumberFormat="1" applyFont="1" applyFill="1" applyBorder="1" applyAlignment="1" applyProtection="1">
      <alignment horizontal="center" vertical="center"/>
      <protection locked="0"/>
    </xf>
    <xf numFmtId="179" fontId="653" fillId="194" borderId="218" xfId="27932" applyNumberFormat="1" applyFont="1" applyFill="1" applyBorder="1" applyAlignment="1" applyProtection="1">
      <alignment horizontal="center" vertical="center"/>
      <protection locked="0"/>
    </xf>
    <xf numFmtId="179" fontId="653" fillId="194" borderId="147" xfId="27932" applyNumberFormat="1" applyFont="1" applyFill="1" applyBorder="1" applyAlignment="1" applyProtection="1">
      <alignment horizontal="center" vertical="center"/>
      <protection locked="0"/>
    </xf>
    <xf numFmtId="359" fontId="653" fillId="194" borderId="148" xfId="22678" applyFont="1" applyFill="1" applyBorder="1" applyAlignment="1" applyProtection="1">
      <alignment horizontal="left" vertical="top" wrapText="1"/>
      <protection locked="0"/>
    </xf>
    <xf numFmtId="361" fontId="653" fillId="177" borderId="117" xfId="22678" quotePrefix="1" applyNumberFormat="1" applyFont="1" applyFill="1" applyBorder="1" applyAlignment="1" applyProtection="1">
      <alignment horizontal="center" vertical="center"/>
      <protection locked="0"/>
    </xf>
    <xf numFmtId="368" fontId="653" fillId="177" borderId="145" xfId="22678" quotePrefix="1" applyNumberFormat="1" applyFont="1" applyFill="1" applyBorder="1" applyAlignment="1" applyProtection="1">
      <alignment horizontal="center" vertical="center"/>
      <protection locked="0"/>
    </xf>
    <xf numFmtId="0" fontId="504" fillId="177" borderId="145" xfId="22678" applyNumberFormat="1" applyFont="1" applyFill="1" applyBorder="1" applyAlignment="1" applyProtection="1">
      <alignment horizontal="center" vertical="center"/>
      <protection locked="0"/>
    </xf>
    <xf numFmtId="366" fontId="169" fillId="0" borderId="163" xfId="27932" applyNumberFormat="1" applyFont="1" applyBorder="1" applyAlignment="1" applyProtection="1">
      <alignment horizontal="center" vertical="center" wrapText="1"/>
      <protection locked="0"/>
    </xf>
    <xf numFmtId="15" fontId="169" fillId="185" borderId="117" xfId="27932" applyNumberFormat="1" applyFont="1" applyFill="1" applyBorder="1" applyAlignment="1" applyProtection="1">
      <alignment horizontal="center" vertical="center"/>
      <protection locked="0"/>
    </xf>
    <xf numFmtId="40" fontId="172" fillId="185" borderId="146" xfId="27932" applyNumberFormat="1" applyFont="1" applyFill="1" applyBorder="1" applyAlignment="1" applyProtection="1">
      <alignment horizontal="center" vertical="center"/>
      <protection locked="0"/>
    </xf>
    <xf numFmtId="360" fontId="169" fillId="185" borderId="117" xfId="27932" applyNumberFormat="1" applyFont="1" applyFill="1" applyBorder="1" applyAlignment="1" applyProtection="1">
      <alignment horizontal="center" vertical="center" wrapText="1"/>
      <protection locked="0"/>
    </xf>
    <xf numFmtId="360" fontId="653" fillId="185" borderId="117" xfId="27932" applyNumberFormat="1" applyFont="1" applyFill="1" applyBorder="1" applyAlignment="1" applyProtection="1">
      <alignment horizontal="center" vertical="center"/>
      <protection locked="0"/>
    </xf>
    <xf numFmtId="40" fontId="0" fillId="0" borderId="0" xfId="0" applyNumberFormat="1" applyAlignment="1">
      <alignment vertical="center"/>
    </xf>
    <xf numFmtId="40" fontId="341" fillId="0" borderId="0" xfId="0" applyNumberFormat="1" applyFont="1" applyAlignment="1">
      <alignment vertical="center"/>
    </xf>
    <xf numFmtId="0" fontId="341" fillId="0" borderId="0" xfId="0" applyFont="1" applyAlignment="1">
      <alignment vertical="center"/>
    </xf>
    <xf numFmtId="38" fontId="515" fillId="142" borderId="365" xfId="0" applyNumberFormat="1" applyFont="1" applyFill="1" applyBorder="1" applyAlignment="1">
      <alignment horizontal="center" vertical="top" wrapText="1"/>
    </xf>
    <xf numFmtId="0" fontId="645" fillId="226" borderId="567" xfId="0" applyFont="1" applyFill="1" applyBorder="1" applyAlignment="1">
      <alignment horizontal="center" vertical="center"/>
    </xf>
    <xf numFmtId="0" fontId="645" fillId="226" borderId="570" xfId="0" applyFont="1" applyFill="1" applyBorder="1" applyAlignment="1">
      <alignment horizontal="center" vertical="center"/>
    </xf>
    <xf numFmtId="0" fontId="646" fillId="228" borderId="576" xfId="0" applyFont="1" applyFill="1" applyBorder="1" applyAlignment="1">
      <alignment horizontal="center" vertical="center"/>
    </xf>
    <xf numFmtId="0" fontId="0" fillId="0" borderId="573" xfId="0" applyBorder="1"/>
    <xf numFmtId="0" fontId="647" fillId="0" borderId="573" xfId="0" applyFont="1" applyBorder="1" applyAlignment="1">
      <alignment horizontal="left" vertical="center" wrapText="1"/>
    </xf>
    <xf numFmtId="38" fontId="6" fillId="157" borderId="365" xfId="22752" applyNumberFormat="1" applyFont="1" applyFill="1" applyBorder="1" applyAlignment="1" applyProtection="1">
      <alignment horizontal="right" vertical="center"/>
    </xf>
    <xf numFmtId="40" fontId="6" fillId="157" borderId="365" xfId="22752" applyNumberFormat="1" applyFont="1" applyFill="1" applyBorder="1" applyAlignment="1" applyProtection="1">
      <alignment horizontal="right" vertical="center"/>
    </xf>
    <xf numFmtId="359" fontId="169" fillId="177" borderId="148" xfId="22678" applyFont="1" applyFill="1" applyBorder="1" applyAlignment="1" applyProtection="1">
      <alignment horizontal="left" vertical="center" wrapText="1"/>
      <protection locked="0"/>
    </xf>
    <xf numFmtId="0" fontId="533" fillId="107" borderId="0" xfId="0" applyFont="1" applyFill="1" applyAlignment="1">
      <alignment vertical="center" wrapText="1"/>
    </xf>
    <xf numFmtId="359" fontId="169" fillId="0" borderId="148" xfId="22678" applyFont="1" applyBorder="1" applyAlignment="1" applyProtection="1">
      <alignment horizontal="left" vertical="center" wrapText="1"/>
      <protection locked="0"/>
    </xf>
    <xf numFmtId="0" fontId="6" fillId="0" borderId="365" xfId="22751" applyFont="1" applyBorder="1" applyAlignment="1">
      <alignment horizontal="left" vertical="center" indent="2"/>
    </xf>
    <xf numFmtId="179" fontId="652" fillId="177" borderId="117" xfId="27932" applyNumberFormat="1" applyFont="1" applyFill="1" applyBorder="1" applyAlignment="1" applyProtection="1">
      <alignment horizontal="center" vertical="center" wrapText="1"/>
      <protection locked="0"/>
    </xf>
    <xf numFmtId="2" fontId="652" fillId="177" borderId="45" xfId="27932" applyNumberFormat="1" applyFont="1" applyFill="1" applyBorder="1" applyAlignment="1" applyProtection="1">
      <alignment horizontal="center" vertical="center"/>
      <protection locked="0"/>
    </xf>
    <xf numFmtId="179" fontId="652" fillId="177" borderId="145" xfId="27932" applyNumberFormat="1" applyFont="1" applyFill="1" applyBorder="1" applyAlignment="1" applyProtection="1">
      <alignment horizontal="center" vertical="center"/>
      <protection locked="0"/>
    </xf>
    <xf numFmtId="49" fontId="652" fillId="177" borderId="214" xfId="22678" quotePrefix="1" applyNumberFormat="1" applyFont="1" applyFill="1" applyBorder="1" applyAlignment="1" applyProtection="1">
      <alignment horizontal="center" vertical="center" wrapText="1"/>
      <protection locked="0"/>
    </xf>
    <xf numFmtId="360" fontId="652" fillId="177" borderId="117" xfId="27932" applyNumberFormat="1" applyFont="1" applyFill="1" applyBorder="1" applyAlignment="1" applyProtection="1">
      <alignment horizontal="center" vertical="center" wrapText="1"/>
      <protection locked="0"/>
    </xf>
    <xf numFmtId="179" fontId="652" fillId="177" borderId="45" xfId="27932" applyNumberFormat="1" applyFont="1" applyFill="1" applyBorder="1" applyAlignment="1" applyProtection="1">
      <alignment horizontal="center" vertical="center" wrapText="1"/>
      <protection locked="0"/>
    </xf>
    <xf numFmtId="179" fontId="652" fillId="177" borderId="351" xfId="27933" applyNumberFormat="1" applyFont="1" applyFill="1" applyBorder="1" applyAlignment="1" applyProtection="1">
      <alignment horizontal="center" vertical="center"/>
      <protection locked="0"/>
    </xf>
    <xf numFmtId="179" fontId="652" fillId="177" borderId="146" xfId="27933" applyNumberFormat="1" applyFont="1" applyFill="1" applyBorder="1" applyAlignment="1" applyProtection="1">
      <alignment horizontal="center" vertical="center" wrapText="1"/>
      <protection locked="0"/>
    </xf>
    <xf numFmtId="179" fontId="652" fillId="177" borderId="148" xfId="27933" applyNumberFormat="1" applyFont="1" applyFill="1" applyBorder="1" applyAlignment="1" applyProtection="1">
      <alignment horizontal="center" vertical="center" wrapText="1"/>
      <protection locked="0"/>
    </xf>
    <xf numFmtId="38" fontId="64" fillId="0" borderId="0" xfId="22752" applyNumberFormat="1" applyFont="1" applyAlignment="1" applyProtection="1">
      <alignment horizontal="right" vertical="center"/>
    </xf>
    <xf numFmtId="38" fontId="169" fillId="0" borderId="126" xfId="0" quotePrefix="1" applyNumberFormat="1" applyFont="1" applyBorder="1" applyAlignment="1">
      <alignment vertical="center" wrapText="1"/>
    </xf>
    <xf numFmtId="43" fontId="646" fillId="228" borderId="576" xfId="19286" applyFont="1" applyFill="1" applyBorder="1" applyAlignment="1">
      <alignment horizontal="center" vertical="center"/>
    </xf>
    <xf numFmtId="2" fontId="169" fillId="177" borderId="117" xfId="27932" applyNumberFormat="1" applyFont="1" applyFill="1" applyBorder="1" applyAlignment="1" applyProtection="1">
      <alignment horizontal="center" vertical="center"/>
      <protection locked="0"/>
    </xf>
    <xf numFmtId="2" fontId="169" fillId="177" borderId="146" xfId="27932" applyNumberFormat="1" applyFont="1" applyFill="1" applyBorder="1" applyAlignment="1" applyProtection="1">
      <alignment horizontal="center" vertical="center"/>
      <protection locked="0"/>
    </xf>
    <xf numFmtId="2" fontId="169" fillId="177" borderId="145" xfId="22678" quotePrefix="1" applyNumberFormat="1" applyFont="1" applyFill="1" applyBorder="1" applyAlignment="1" applyProtection="1">
      <alignment horizontal="center" vertical="center"/>
      <protection locked="0"/>
    </xf>
    <xf numFmtId="179" fontId="414" fillId="140" borderId="137" xfId="27932" applyNumberFormat="1" applyFont="1" applyFill="1" applyBorder="1" applyAlignment="1" applyProtection="1">
      <alignment horizontal="center" vertical="center" wrapText="1"/>
      <protection locked="0"/>
    </xf>
    <xf numFmtId="179" fontId="414" fillId="140" borderId="115" xfId="27932" applyNumberFormat="1" applyFont="1" applyFill="1" applyBorder="1" applyAlignment="1" applyProtection="1">
      <alignment horizontal="center" vertical="center" wrapText="1"/>
      <protection locked="0"/>
    </xf>
    <xf numFmtId="179" fontId="414" fillId="140" borderId="126" xfId="27932" applyNumberFormat="1" applyFont="1" applyFill="1" applyBorder="1" applyAlignment="1" applyProtection="1">
      <alignment horizontal="center" vertical="center" wrapText="1"/>
      <protection locked="0"/>
    </xf>
    <xf numFmtId="179" fontId="385" fillId="172" borderId="122" xfId="27932" applyNumberFormat="1" applyFont="1" applyFill="1" applyBorder="1" applyAlignment="1" applyProtection="1">
      <alignment horizontal="center" vertical="center" wrapText="1"/>
      <protection locked="0"/>
    </xf>
    <xf numFmtId="179" fontId="385" fillId="172" borderId="131" xfId="27932" applyNumberFormat="1" applyFont="1" applyFill="1" applyBorder="1" applyAlignment="1" applyProtection="1">
      <alignment horizontal="center" vertical="center" wrapText="1"/>
      <protection locked="0"/>
    </xf>
    <xf numFmtId="179" fontId="385" fillId="172" borderId="233" xfId="27932" applyNumberFormat="1" applyFont="1" applyFill="1" applyBorder="1" applyAlignment="1" applyProtection="1">
      <alignment horizontal="center" vertical="center" wrapText="1"/>
      <protection locked="0"/>
    </xf>
    <xf numFmtId="179" fontId="414" fillId="140" borderId="104" xfId="27932" applyNumberFormat="1" applyFont="1" applyFill="1" applyBorder="1" applyAlignment="1" applyProtection="1">
      <alignment horizontal="center" vertical="center" wrapText="1"/>
      <protection locked="0"/>
    </xf>
    <xf numFmtId="179" fontId="414" fillId="140" borderId="135" xfId="27932" applyNumberFormat="1" applyFont="1" applyFill="1" applyBorder="1" applyAlignment="1" applyProtection="1">
      <alignment horizontal="center" vertical="center" wrapText="1"/>
      <protection locked="0"/>
    </xf>
    <xf numFmtId="171" fontId="414" fillId="140" borderId="115" xfId="22679" applyNumberFormat="1" applyFont="1" applyFill="1" applyBorder="1" applyAlignment="1" applyProtection="1">
      <alignment horizontal="center" vertical="center" wrapText="1"/>
      <protection locked="0"/>
    </xf>
    <xf numFmtId="171" fontId="414" fillId="140" borderId="126" xfId="22679" applyNumberFormat="1" applyFont="1" applyFill="1" applyBorder="1" applyAlignment="1" applyProtection="1">
      <alignment horizontal="center" vertical="center" wrapText="1"/>
      <protection locked="0"/>
    </xf>
    <xf numFmtId="171" fontId="385" fillId="139" borderId="136" xfId="22679" applyNumberFormat="1" applyFont="1" applyFill="1" applyBorder="1" applyAlignment="1" applyProtection="1">
      <alignment horizontal="center" vertical="center" wrapText="1"/>
      <protection locked="0"/>
    </xf>
    <xf numFmtId="171" fontId="385" fillId="139" borderId="104" xfId="22679" applyNumberFormat="1" applyFont="1" applyFill="1" applyBorder="1" applyAlignment="1" applyProtection="1">
      <alignment horizontal="center" vertical="center" wrapText="1"/>
      <protection locked="0"/>
    </xf>
    <xf numFmtId="171" fontId="385" fillId="139" borderId="135" xfId="22679" applyNumberFormat="1" applyFont="1" applyFill="1" applyBorder="1" applyAlignment="1" applyProtection="1">
      <alignment horizontal="center" vertical="center" wrapText="1"/>
      <protection locked="0"/>
    </xf>
    <xf numFmtId="179" fontId="385" fillId="139" borderId="137" xfId="27932" applyNumberFormat="1" applyFont="1" applyFill="1" applyBorder="1" applyAlignment="1" applyProtection="1">
      <alignment horizontal="left" vertical="center" wrapText="1"/>
      <protection locked="0"/>
    </xf>
    <xf numFmtId="179" fontId="385" fillId="139" borderId="115" xfId="27932" applyNumberFormat="1" applyFont="1" applyFill="1" applyBorder="1" applyAlignment="1" applyProtection="1">
      <alignment horizontal="left" vertical="center" wrapText="1"/>
      <protection locked="0"/>
    </xf>
    <xf numFmtId="179" fontId="385" fillId="139" borderId="126" xfId="27932" applyNumberFormat="1" applyFont="1" applyFill="1" applyBorder="1" applyAlignment="1" applyProtection="1">
      <alignment horizontal="left" vertical="center" wrapText="1"/>
      <protection locked="0"/>
    </xf>
    <xf numFmtId="179" fontId="385" fillId="139" borderId="137" xfId="27932" applyNumberFormat="1" applyFont="1" applyFill="1" applyBorder="1" applyAlignment="1" applyProtection="1">
      <alignment horizontal="center" vertical="center" wrapText="1"/>
      <protection locked="0"/>
    </xf>
    <xf numFmtId="179" fontId="385" fillId="139" borderId="115" xfId="27932" applyNumberFormat="1" applyFont="1" applyFill="1" applyBorder="1" applyAlignment="1" applyProtection="1">
      <alignment horizontal="center" vertical="center" wrapText="1"/>
      <protection locked="0"/>
    </xf>
    <xf numFmtId="179" fontId="385" fillId="139" borderId="126" xfId="27932" applyNumberFormat="1" applyFont="1" applyFill="1" applyBorder="1" applyAlignment="1" applyProtection="1">
      <alignment horizontal="center" vertical="center" wrapText="1"/>
      <protection locked="0"/>
    </xf>
    <xf numFmtId="179" fontId="385" fillId="139" borderId="140" xfId="27932" applyNumberFormat="1" applyFont="1" applyFill="1" applyBorder="1" applyAlignment="1" applyProtection="1">
      <alignment horizontal="center" vertical="center" wrapText="1"/>
      <protection locked="0"/>
    </xf>
    <xf numFmtId="179" fontId="385" fillId="139" borderId="114" xfId="27932" applyNumberFormat="1" applyFont="1" applyFill="1" applyBorder="1" applyAlignment="1" applyProtection="1">
      <alignment horizontal="center" vertical="center" wrapText="1"/>
      <protection locked="0"/>
    </xf>
    <xf numFmtId="179" fontId="385" fillId="139" borderId="123" xfId="27932" applyNumberFormat="1" applyFont="1" applyFill="1" applyBorder="1" applyAlignment="1" applyProtection="1">
      <alignment horizontal="center" vertical="center" wrapText="1"/>
      <protection locked="0"/>
    </xf>
    <xf numFmtId="179" fontId="414" fillId="140" borderId="138" xfId="27932" applyNumberFormat="1" applyFont="1" applyFill="1" applyBorder="1" applyAlignment="1" applyProtection="1">
      <alignment horizontal="center" vertical="center" wrapText="1"/>
      <protection locked="0"/>
    </xf>
    <xf numFmtId="179" fontId="414" fillId="140" borderId="139" xfId="27932" applyNumberFormat="1" applyFont="1" applyFill="1" applyBorder="1" applyAlignment="1" applyProtection="1">
      <alignment horizontal="center" vertical="center" wrapText="1"/>
      <protection locked="0"/>
    </xf>
    <xf numFmtId="179" fontId="414" fillId="140" borderId="130" xfId="27932" applyNumberFormat="1" applyFont="1" applyFill="1" applyBorder="1" applyAlignment="1" applyProtection="1">
      <alignment horizontal="center" vertical="center" wrapText="1"/>
      <protection locked="0"/>
    </xf>
    <xf numFmtId="179" fontId="414" fillId="140" borderId="122" xfId="27932" applyNumberFormat="1" applyFont="1" applyFill="1" applyBorder="1" applyAlignment="1" applyProtection="1">
      <alignment horizontal="center" vertical="center" wrapText="1"/>
      <protection locked="0"/>
    </xf>
    <xf numFmtId="179" fontId="414" fillId="140" borderId="131" xfId="27932" applyNumberFormat="1" applyFont="1" applyFill="1" applyBorder="1" applyAlignment="1" applyProtection="1">
      <alignment horizontal="center" vertical="center" wrapText="1"/>
      <protection locked="0"/>
    </xf>
    <xf numFmtId="179" fontId="414" fillId="140" borderId="232" xfId="27932" applyNumberFormat="1" applyFont="1" applyFill="1" applyBorder="1" applyAlignment="1" applyProtection="1">
      <alignment horizontal="center" vertical="center" wrapText="1"/>
      <protection locked="0"/>
    </xf>
    <xf numFmtId="171" fontId="385" fillId="141" borderId="170" xfId="22679" applyNumberFormat="1" applyFont="1" applyFill="1" applyBorder="1" applyAlignment="1" applyProtection="1">
      <alignment horizontal="center" vertical="center" wrapText="1"/>
      <protection locked="0"/>
    </xf>
    <xf numFmtId="171" fontId="385" fillId="141" borderId="125" xfId="22679" applyNumberFormat="1" applyFont="1" applyFill="1" applyBorder="1" applyAlignment="1" applyProtection="1">
      <alignment horizontal="center" vertical="center" wrapText="1"/>
      <protection locked="0"/>
    </xf>
    <xf numFmtId="179" fontId="385" fillId="141" borderId="115" xfId="27932" applyNumberFormat="1" applyFont="1" applyFill="1" applyBorder="1" applyAlignment="1" applyProtection="1">
      <alignment horizontal="center" vertical="center" wrapText="1"/>
      <protection locked="0"/>
    </xf>
    <xf numFmtId="179" fontId="385" fillId="141" borderId="126" xfId="27932" applyNumberFormat="1" applyFont="1" applyFill="1" applyBorder="1" applyAlignment="1" applyProtection="1">
      <alignment horizontal="center" vertical="center" wrapText="1"/>
      <protection locked="0"/>
    </xf>
    <xf numFmtId="171" fontId="385" fillId="173" borderId="122" xfId="22679" applyNumberFormat="1" applyFont="1" applyFill="1" applyBorder="1" applyAlignment="1" applyProtection="1">
      <alignment horizontal="left" vertical="center" wrapText="1"/>
      <protection locked="0"/>
    </xf>
    <xf numFmtId="0" fontId="60" fillId="173" borderId="131" xfId="22674" applyFont="1" applyFill="1" applyBorder="1"/>
    <xf numFmtId="0" fontId="60" fillId="173" borderId="232" xfId="22674" applyFont="1" applyFill="1" applyBorder="1"/>
    <xf numFmtId="365" fontId="385" fillId="141" borderId="115" xfId="27932" applyNumberFormat="1" applyFont="1" applyFill="1" applyBorder="1" applyAlignment="1" applyProtection="1">
      <alignment horizontal="center" vertical="center" wrapText="1"/>
      <protection locked="0"/>
    </xf>
    <xf numFmtId="365" fontId="385" fillId="141" borderId="126" xfId="27932" applyNumberFormat="1" applyFont="1" applyFill="1" applyBorder="1" applyAlignment="1" applyProtection="1">
      <alignment horizontal="center" vertical="center" wrapText="1"/>
      <protection locked="0"/>
    </xf>
    <xf numFmtId="179" fontId="385" fillId="145" borderId="137" xfId="27932" applyNumberFormat="1" applyFont="1" applyFill="1" applyBorder="1" applyAlignment="1" applyProtection="1">
      <alignment horizontal="center" vertical="center" wrapText="1"/>
      <protection locked="0"/>
    </xf>
    <xf numFmtId="179" fontId="385" fillId="145" borderId="115" xfId="27932" applyNumberFormat="1" applyFont="1" applyFill="1" applyBorder="1" applyAlignment="1" applyProtection="1">
      <alignment horizontal="center" vertical="center" wrapText="1"/>
      <protection locked="0"/>
    </xf>
    <xf numFmtId="179" fontId="385" fillId="145" borderId="126" xfId="27932" applyNumberFormat="1" applyFont="1" applyFill="1" applyBorder="1" applyAlignment="1" applyProtection="1">
      <alignment horizontal="center" vertical="center" wrapText="1"/>
      <protection locked="0"/>
    </xf>
    <xf numFmtId="179" fontId="60" fillId="141" borderId="140" xfId="27932" applyNumberFormat="1" applyFont="1" applyFill="1" applyBorder="1" applyAlignment="1" applyProtection="1">
      <alignment horizontal="center" vertical="center" wrapText="1"/>
      <protection locked="0"/>
    </xf>
    <xf numFmtId="179" fontId="60" fillId="141" borderId="112" xfId="27932" applyNumberFormat="1" applyFont="1" applyFill="1" applyBorder="1" applyAlignment="1" applyProtection="1">
      <alignment horizontal="center" vertical="center" wrapText="1"/>
      <protection locked="0"/>
    </xf>
    <xf numFmtId="179" fontId="60" fillId="141" borderId="123" xfId="27932" applyNumberFormat="1" applyFont="1" applyFill="1" applyBorder="1" applyAlignment="1" applyProtection="1">
      <alignment horizontal="center" vertical="center" wrapText="1"/>
      <protection locked="0"/>
    </xf>
    <xf numFmtId="179" fontId="60" fillId="141" borderId="141" xfId="27932" applyNumberFormat="1" applyFont="1" applyFill="1" applyBorder="1" applyAlignment="1" applyProtection="1">
      <alignment horizontal="center" vertical="center" wrapText="1"/>
      <protection locked="0"/>
    </xf>
    <xf numFmtId="179" fontId="414" fillId="140" borderId="122" xfId="27932" applyNumberFormat="1" applyFont="1" applyFill="1" applyBorder="1" applyAlignment="1" applyProtection="1">
      <alignment horizontal="center" vertical="center"/>
      <protection locked="0"/>
    </xf>
    <xf numFmtId="179" fontId="414" fillId="140" borderId="131" xfId="27932" applyNumberFormat="1" applyFont="1" applyFill="1" applyBorder="1" applyAlignment="1" applyProtection="1">
      <alignment horizontal="center" vertical="center"/>
      <protection locked="0"/>
    </xf>
    <xf numFmtId="179" fontId="414" fillId="140" borderId="232" xfId="27932" applyNumberFormat="1" applyFont="1" applyFill="1" applyBorder="1" applyAlignment="1" applyProtection="1">
      <alignment horizontal="center" vertical="center"/>
      <protection locked="0"/>
    </xf>
    <xf numFmtId="171" fontId="385" fillId="145" borderId="104" xfId="22679" applyNumberFormat="1" applyFont="1" applyFill="1" applyBorder="1" applyAlignment="1" applyProtection="1">
      <alignment horizontal="center" vertical="center" wrapText="1"/>
      <protection locked="0"/>
    </xf>
    <xf numFmtId="171" fontId="385" fillId="145" borderId="135" xfId="22679" applyNumberFormat="1" applyFont="1" applyFill="1" applyBorder="1" applyAlignment="1" applyProtection="1">
      <alignment horizontal="center" vertical="center" wrapText="1"/>
      <protection locked="0"/>
    </xf>
    <xf numFmtId="171" fontId="385" fillId="145" borderId="137" xfId="22679" applyNumberFormat="1" applyFont="1" applyFill="1" applyBorder="1" applyAlignment="1" applyProtection="1">
      <alignment horizontal="center" vertical="center" wrapText="1"/>
      <protection locked="0"/>
    </xf>
    <xf numFmtId="171" fontId="385" fillId="145" borderId="115" xfId="22679" applyNumberFormat="1" applyFont="1" applyFill="1" applyBorder="1" applyAlignment="1" applyProtection="1">
      <alignment horizontal="center" vertical="center" wrapText="1"/>
      <protection locked="0"/>
    </xf>
    <xf numFmtId="171" fontId="385" fillId="145" borderId="126" xfId="22679" applyNumberFormat="1" applyFont="1" applyFill="1" applyBorder="1" applyAlignment="1" applyProtection="1">
      <alignment horizontal="center" vertical="center" wrapText="1"/>
      <protection locked="0"/>
    </xf>
    <xf numFmtId="179" fontId="385" fillId="164" borderId="137" xfId="27932" applyNumberFormat="1" applyFont="1" applyFill="1" applyBorder="1" applyAlignment="1" applyProtection="1">
      <alignment horizontal="center" vertical="center" wrapText="1"/>
      <protection locked="0"/>
    </xf>
    <xf numFmtId="179" fontId="385" fillId="164" borderId="115" xfId="27932" applyNumberFormat="1" applyFont="1" applyFill="1" applyBorder="1" applyAlignment="1" applyProtection="1">
      <alignment horizontal="center" vertical="center" wrapText="1"/>
      <protection locked="0"/>
    </xf>
    <xf numFmtId="179" fontId="385" fillId="164" borderId="126" xfId="27932" applyNumberFormat="1" applyFont="1" applyFill="1" applyBorder="1" applyAlignment="1" applyProtection="1">
      <alignment horizontal="center" vertical="center" wrapText="1"/>
      <protection locked="0"/>
    </xf>
    <xf numFmtId="0" fontId="507" fillId="0" borderId="390" xfId="22674" applyFont="1" applyBorder="1" applyAlignment="1">
      <alignment horizontal="center" vertical="center" wrapText="1"/>
    </xf>
    <xf numFmtId="0" fontId="507" fillId="0" borderId="391" xfId="22674" applyFont="1" applyBorder="1" applyAlignment="1">
      <alignment horizontal="center" vertical="center" wrapText="1"/>
    </xf>
    <xf numFmtId="0" fontId="507" fillId="0" borderId="392" xfId="22674" applyFont="1" applyBorder="1" applyAlignment="1">
      <alignment horizontal="center" vertical="center" wrapText="1"/>
    </xf>
    <xf numFmtId="171" fontId="385" fillId="174" borderId="228" xfId="22679" applyNumberFormat="1" applyFont="1" applyFill="1" applyBorder="1" applyAlignment="1" applyProtection="1">
      <alignment horizontal="center" vertical="center" wrapText="1"/>
      <protection locked="0"/>
    </xf>
    <xf numFmtId="171" fontId="385" fillId="174" borderId="126" xfId="22679" applyNumberFormat="1" applyFont="1" applyFill="1" applyBorder="1" applyAlignment="1" applyProtection="1">
      <alignment horizontal="center" vertical="center" wrapText="1"/>
      <protection locked="0"/>
    </xf>
    <xf numFmtId="179" fontId="353" fillId="174" borderId="228" xfId="27932" applyNumberFormat="1" applyFont="1" applyFill="1" applyBorder="1" applyAlignment="1" applyProtection="1">
      <alignment horizontal="center" vertical="center" wrapText="1"/>
      <protection locked="0"/>
    </xf>
    <xf numFmtId="179" fontId="353" fillId="174" borderId="126" xfId="27932" applyNumberFormat="1" applyFont="1" applyFill="1" applyBorder="1" applyAlignment="1" applyProtection="1">
      <alignment horizontal="center" vertical="center" wrapText="1"/>
      <protection locked="0"/>
    </xf>
    <xf numFmtId="179" fontId="353" fillId="174" borderId="120" xfId="27932" applyNumberFormat="1" applyFont="1" applyFill="1" applyBorder="1" applyAlignment="1" applyProtection="1">
      <alignment horizontal="center" vertical="center" wrapText="1"/>
      <protection locked="0"/>
    </xf>
    <xf numFmtId="179" fontId="353" fillId="174" borderId="130" xfId="27932" applyNumberFormat="1" applyFont="1" applyFill="1" applyBorder="1" applyAlignment="1" applyProtection="1">
      <alignment horizontal="center" vertical="center" wrapText="1"/>
      <protection locked="0"/>
    </xf>
    <xf numFmtId="171" fontId="385" fillId="175" borderId="113" xfId="22679" applyNumberFormat="1" applyFont="1" applyFill="1" applyBorder="1" applyAlignment="1" applyProtection="1">
      <alignment horizontal="center" vertical="center" wrapText="1"/>
      <protection locked="0"/>
    </xf>
    <xf numFmtId="171" fontId="385" fillId="175" borderId="125" xfId="22679" applyNumberFormat="1" applyFont="1" applyFill="1" applyBorder="1" applyAlignment="1" applyProtection="1">
      <alignment horizontal="center" vertical="center" wrapText="1"/>
      <protection locked="0"/>
    </xf>
    <xf numFmtId="179" fontId="353" fillId="176" borderId="228" xfId="27932" applyNumberFormat="1" applyFont="1" applyFill="1" applyBorder="1" applyAlignment="1" applyProtection="1">
      <alignment horizontal="center" vertical="center" wrapText="1"/>
      <protection locked="0"/>
    </xf>
    <xf numFmtId="179" fontId="353" fillId="176" borderId="126" xfId="27932" applyNumberFormat="1" applyFont="1" applyFill="1" applyBorder="1" applyAlignment="1" applyProtection="1">
      <alignment horizontal="center" vertical="center" wrapText="1"/>
      <protection locked="0"/>
    </xf>
    <xf numFmtId="171" fontId="385" fillId="176" borderId="113" xfId="22679" applyNumberFormat="1" applyFont="1" applyFill="1" applyBorder="1" applyAlignment="1" applyProtection="1">
      <alignment horizontal="center" vertical="center" wrapText="1"/>
      <protection locked="0"/>
    </xf>
    <xf numFmtId="171" fontId="385" fillId="176" borderId="125" xfId="22679" applyNumberFormat="1" applyFont="1" applyFill="1" applyBorder="1" applyAlignment="1" applyProtection="1">
      <alignment horizontal="center" vertical="center" wrapText="1"/>
      <protection locked="0"/>
    </xf>
    <xf numFmtId="179" fontId="353" fillId="188" borderId="120" xfId="27932" applyNumberFormat="1" applyFont="1" applyFill="1" applyBorder="1" applyAlignment="1" applyProtection="1">
      <alignment horizontal="center" vertical="center" wrapText="1"/>
      <protection locked="0"/>
    </xf>
    <xf numFmtId="179" fontId="353" fillId="188" borderId="130" xfId="27932" applyNumberFormat="1" applyFont="1" applyFill="1" applyBorder="1" applyAlignment="1" applyProtection="1">
      <alignment horizontal="center" vertical="center" wrapText="1"/>
      <protection locked="0"/>
    </xf>
    <xf numFmtId="362" fontId="366" fillId="0" borderId="124" xfId="22674" applyNumberFormat="1" applyFont="1" applyBorder="1" applyAlignment="1">
      <alignment horizontal="center"/>
    </xf>
    <xf numFmtId="0" fontId="366" fillId="0" borderId="124" xfId="22674" applyFont="1" applyBorder="1" applyAlignment="1">
      <alignment horizontal="center"/>
    </xf>
    <xf numFmtId="0" fontId="502" fillId="146" borderId="0" xfId="27931" applyFont="1" applyFill="1" applyAlignment="1">
      <alignment horizontal="center" wrapText="1"/>
    </xf>
    <xf numFmtId="0" fontId="341" fillId="0" borderId="124" xfId="27919" applyFont="1" applyBorder="1" applyAlignment="1">
      <alignment horizontal="left" wrapText="1"/>
    </xf>
    <xf numFmtId="0" fontId="60" fillId="143" borderId="365" xfId="27919" applyFont="1" applyFill="1" applyBorder="1" applyAlignment="1">
      <alignment horizontal="left"/>
    </xf>
    <xf numFmtId="171" fontId="385" fillId="142" borderId="170" xfId="22679" applyNumberFormat="1" applyFont="1" applyFill="1" applyBorder="1" applyAlignment="1" applyProtection="1">
      <alignment horizontal="center" vertical="center" wrapText="1"/>
      <protection locked="0"/>
    </xf>
    <xf numFmtId="171" fontId="385" fillId="142" borderId="125" xfId="22679" applyNumberFormat="1" applyFont="1" applyFill="1" applyBorder="1" applyAlignment="1" applyProtection="1">
      <alignment horizontal="center" vertical="center" wrapText="1"/>
      <protection locked="0"/>
    </xf>
    <xf numFmtId="179" fontId="385" fillId="143" borderId="137" xfId="27932" applyNumberFormat="1" applyFont="1" applyFill="1" applyBorder="1" applyAlignment="1" applyProtection="1">
      <alignment horizontal="center" vertical="center" wrapText="1"/>
      <protection locked="0"/>
    </xf>
    <xf numFmtId="179" fontId="385" fillId="143" borderId="115" xfId="27932" applyNumberFormat="1" applyFont="1" applyFill="1" applyBorder="1" applyAlignment="1" applyProtection="1">
      <alignment horizontal="center" vertical="center" wrapText="1"/>
      <protection locked="0"/>
    </xf>
    <xf numFmtId="179" fontId="385" fillId="143" borderId="126" xfId="27932" applyNumberFormat="1" applyFont="1" applyFill="1" applyBorder="1" applyAlignment="1" applyProtection="1">
      <alignment horizontal="center" vertical="center" wrapText="1"/>
      <protection locked="0"/>
    </xf>
    <xf numFmtId="0" fontId="60" fillId="145" borderId="365" xfId="27919" applyFont="1" applyFill="1" applyBorder="1" applyAlignment="1">
      <alignment horizontal="left"/>
    </xf>
    <xf numFmtId="0" fontId="0" fillId="145" borderId="365" xfId="27919" applyFont="1" applyFill="1" applyBorder="1" applyAlignment="1">
      <alignment horizontal="left"/>
    </xf>
    <xf numFmtId="0" fontId="502" fillId="146" borderId="0" xfId="27931" applyFont="1" applyFill="1" applyAlignment="1">
      <alignment horizontal="center" vertical="center" wrapText="1"/>
    </xf>
    <xf numFmtId="40" fontId="414" fillId="169" borderId="115" xfId="27932" applyNumberFormat="1" applyFont="1" applyFill="1" applyBorder="1" applyAlignment="1" applyProtection="1">
      <alignment horizontal="center" vertical="center" wrapText="1"/>
      <protection locked="0"/>
    </xf>
    <xf numFmtId="40" fontId="414" fillId="169" borderId="126" xfId="27932" applyNumberFormat="1" applyFont="1" applyFill="1" applyBorder="1" applyAlignment="1" applyProtection="1">
      <alignment horizontal="center" vertical="center" wrapText="1"/>
      <protection locked="0"/>
    </xf>
    <xf numFmtId="171" fontId="414" fillId="169" borderId="170" xfId="22679" applyNumberFormat="1" applyFont="1" applyFill="1" applyBorder="1" applyAlignment="1" applyProtection="1">
      <alignment horizontal="center" vertical="center" wrapText="1"/>
      <protection locked="0"/>
    </xf>
    <xf numFmtId="171" fontId="414" fillId="169" borderId="125" xfId="22679" applyNumberFormat="1" applyFont="1" applyFill="1" applyBorder="1" applyAlignment="1" applyProtection="1">
      <alignment horizontal="center" vertical="center" wrapText="1"/>
      <protection locked="0"/>
    </xf>
    <xf numFmtId="179" fontId="414" fillId="169" borderId="115" xfId="27932" applyNumberFormat="1" applyFont="1" applyFill="1" applyBorder="1" applyAlignment="1" applyProtection="1">
      <alignment horizontal="center" vertical="center" wrapText="1"/>
      <protection locked="0"/>
    </xf>
    <xf numFmtId="179" fontId="414" fillId="169" borderId="126" xfId="27932" applyNumberFormat="1" applyFont="1" applyFill="1" applyBorder="1" applyAlignment="1" applyProtection="1">
      <alignment horizontal="center" vertical="center" wrapText="1"/>
      <protection locked="0"/>
    </xf>
    <xf numFmtId="171" fontId="385" fillId="142" borderId="136" xfId="22679" applyNumberFormat="1" applyFont="1" applyFill="1" applyBorder="1" applyAlignment="1" applyProtection="1">
      <alignment horizontal="center" vertical="center" wrapText="1"/>
      <protection locked="0"/>
    </xf>
    <xf numFmtId="171" fontId="385" fillId="142" borderId="104" xfId="22679" applyNumberFormat="1" applyFont="1" applyFill="1" applyBorder="1" applyAlignment="1" applyProtection="1">
      <alignment horizontal="center" vertical="center" wrapText="1"/>
      <protection locked="0"/>
    </xf>
    <xf numFmtId="171" fontId="385" fillId="142" borderId="135" xfId="22679" applyNumberFormat="1" applyFont="1" applyFill="1" applyBorder="1" applyAlignment="1" applyProtection="1">
      <alignment horizontal="center" vertical="center" wrapText="1"/>
      <protection locked="0"/>
    </xf>
    <xf numFmtId="0" fontId="0" fillId="143" borderId="365" xfId="27919" applyFont="1" applyFill="1" applyBorder="1" applyAlignment="1">
      <alignment horizontal="left"/>
    </xf>
    <xf numFmtId="0" fontId="0" fillId="0" borderId="113" xfId="27919" applyFont="1" applyBorder="1" applyAlignment="1">
      <alignment horizontal="left"/>
    </xf>
    <xf numFmtId="0" fontId="60" fillId="0" borderId="228" xfId="27919" applyFont="1" applyBorder="1" applyAlignment="1">
      <alignment horizontal="left"/>
    </xf>
    <xf numFmtId="171" fontId="385" fillId="143" borderId="104" xfId="22679" applyNumberFormat="1" applyFont="1" applyFill="1" applyBorder="1" applyAlignment="1" applyProtection="1">
      <alignment horizontal="center" vertical="center" wrapText="1"/>
      <protection locked="0"/>
    </xf>
    <xf numFmtId="171" fontId="385" fillId="143" borderId="135" xfId="22679" applyNumberFormat="1" applyFont="1" applyFill="1" applyBorder="1" applyAlignment="1" applyProtection="1">
      <alignment horizontal="center" vertical="center" wrapText="1"/>
      <protection locked="0"/>
    </xf>
    <xf numFmtId="179" fontId="353" fillId="188" borderId="228" xfId="27932" applyNumberFormat="1" applyFont="1" applyFill="1" applyBorder="1" applyAlignment="1" applyProtection="1">
      <alignment horizontal="center" vertical="center" wrapText="1"/>
      <protection locked="0"/>
    </xf>
    <xf numFmtId="179" fontId="353" fillId="188" borderId="126" xfId="27932" applyNumberFormat="1" applyFont="1" applyFill="1" applyBorder="1" applyAlignment="1" applyProtection="1">
      <alignment horizontal="center" vertical="center" wrapText="1"/>
      <protection locked="0"/>
    </xf>
    <xf numFmtId="171" fontId="414" fillId="144" borderId="136" xfId="22679" applyNumberFormat="1" applyFont="1" applyFill="1" applyBorder="1" applyAlignment="1" applyProtection="1">
      <alignment horizontal="center" vertical="center" wrapText="1"/>
      <protection locked="0"/>
    </xf>
    <xf numFmtId="171" fontId="414" fillId="144" borderId="104" xfId="22679" applyNumberFormat="1" applyFont="1" applyFill="1" applyBorder="1" applyAlignment="1" applyProtection="1">
      <alignment horizontal="center" vertical="center" wrapText="1"/>
      <protection locked="0"/>
    </xf>
    <xf numFmtId="171" fontId="414" fillId="144" borderId="135" xfId="22679" applyNumberFormat="1" applyFont="1" applyFill="1" applyBorder="1" applyAlignment="1" applyProtection="1">
      <alignment horizontal="center" vertical="center" wrapText="1"/>
      <protection locked="0"/>
    </xf>
    <xf numFmtId="179" fontId="414" fillId="144" borderId="137" xfId="27932" applyNumberFormat="1" applyFont="1" applyFill="1" applyBorder="1" applyAlignment="1" applyProtection="1">
      <alignment horizontal="center" vertical="center" wrapText="1"/>
      <protection locked="0"/>
    </xf>
    <xf numFmtId="179" fontId="414" fillId="144" borderId="115" xfId="27932" applyNumberFormat="1" applyFont="1" applyFill="1" applyBorder="1" applyAlignment="1" applyProtection="1">
      <alignment horizontal="center" vertical="center" wrapText="1"/>
      <protection locked="0"/>
    </xf>
    <xf numFmtId="179" fontId="414" fillId="144" borderId="126" xfId="27932" applyNumberFormat="1" applyFont="1" applyFill="1" applyBorder="1" applyAlignment="1" applyProtection="1">
      <alignment horizontal="center" vertical="center" wrapText="1"/>
      <protection locked="0"/>
    </xf>
    <xf numFmtId="179" fontId="414" fillId="144" borderId="138" xfId="27932" applyNumberFormat="1" applyFont="1" applyFill="1" applyBorder="1" applyAlignment="1" applyProtection="1">
      <alignment horizontal="center" vertical="center" wrapText="1"/>
      <protection locked="0"/>
    </xf>
    <xf numFmtId="179" fontId="414" fillId="144" borderId="139" xfId="27932" applyNumberFormat="1" applyFont="1" applyFill="1" applyBorder="1" applyAlignment="1" applyProtection="1">
      <alignment horizontal="center" vertical="center" wrapText="1"/>
      <protection locked="0"/>
    </xf>
    <xf numFmtId="179" fontId="414" fillId="144" borderId="130" xfId="27932" applyNumberFormat="1" applyFont="1" applyFill="1" applyBorder="1" applyAlignment="1" applyProtection="1">
      <alignment horizontal="center" vertical="center" wrapText="1"/>
      <protection locked="0"/>
    </xf>
    <xf numFmtId="171" fontId="458" fillId="163" borderId="59" xfId="27948" applyFont="1" applyFill="1" applyBorder="1" applyAlignment="1">
      <alignment horizontal="left" vertical="center"/>
    </xf>
    <xf numFmtId="171" fontId="458" fillId="163" borderId="0" xfId="27948" applyFont="1" applyFill="1" applyBorder="1" applyAlignment="1">
      <alignment horizontal="left" vertical="center"/>
    </xf>
    <xf numFmtId="171" fontId="458" fillId="163" borderId="420" xfId="27948" applyFont="1" applyFill="1" applyBorder="1" applyAlignment="1">
      <alignment horizontal="left" vertical="center"/>
    </xf>
    <xf numFmtId="0" fontId="462" fillId="156" borderId="0" xfId="27947" applyFont="1" applyFill="1" applyAlignment="1">
      <alignment horizontal="center" vertical="center"/>
    </xf>
    <xf numFmtId="0" fontId="510" fillId="155" borderId="0" xfId="27947" applyFont="1" applyFill="1" applyAlignment="1">
      <alignment horizontal="center" vertical="center" wrapText="1"/>
    </xf>
    <xf numFmtId="0" fontId="452" fillId="0" borderId="415" xfId="27947" applyFont="1" applyBorder="1" applyAlignment="1">
      <alignment horizontal="center" vertical="center"/>
    </xf>
    <xf numFmtId="0" fontId="452" fillId="0" borderId="416" xfId="27947" applyFont="1" applyBorder="1" applyAlignment="1">
      <alignment horizontal="center" vertical="center"/>
    </xf>
    <xf numFmtId="0" fontId="452" fillId="0" borderId="417" xfId="27947" applyFont="1" applyBorder="1" applyAlignment="1">
      <alignment horizontal="center" vertical="center"/>
    </xf>
    <xf numFmtId="0" fontId="464" fillId="0" borderId="59" xfId="27948" applyNumberFormat="1" applyFont="1" applyFill="1" applyBorder="1" applyAlignment="1">
      <alignment horizontal="center" vertical="center"/>
    </xf>
    <xf numFmtId="0" fontId="464" fillId="0" borderId="0" xfId="27948" applyNumberFormat="1" applyFont="1" applyFill="1" applyBorder="1" applyAlignment="1">
      <alignment horizontal="center" vertical="center"/>
    </xf>
    <xf numFmtId="171" fontId="464" fillId="0" borderId="59" xfId="27948" applyFont="1" applyFill="1" applyBorder="1" applyAlignment="1">
      <alignment horizontal="center" vertical="center"/>
    </xf>
    <xf numFmtId="171" fontId="464" fillId="0" borderId="0" xfId="27948" applyFont="1" applyFill="1" applyBorder="1" applyAlignment="1">
      <alignment horizontal="center" vertical="center"/>
    </xf>
    <xf numFmtId="0" fontId="458" fillId="163" borderId="59" xfId="27948" applyNumberFormat="1" applyFont="1" applyFill="1" applyBorder="1" applyAlignment="1">
      <alignment horizontal="left" vertical="top" wrapText="1"/>
    </xf>
    <xf numFmtId="0" fontId="458" fillId="163" borderId="0" xfId="27948" applyNumberFormat="1" applyFont="1" applyFill="1" applyBorder="1" applyAlignment="1">
      <alignment horizontal="left" vertical="top" wrapText="1"/>
    </xf>
    <xf numFmtId="0" fontId="458" fillId="163" borderId="420" xfId="27948" applyNumberFormat="1" applyFont="1" applyFill="1" applyBorder="1" applyAlignment="1">
      <alignment horizontal="left" vertical="top" wrapText="1"/>
    </xf>
    <xf numFmtId="210" fontId="458" fillId="164" borderId="418" xfId="27949" applyNumberFormat="1" applyFont="1" applyFill="1" applyBorder="1" applyAlignment="1">
      <alignment horizontal="center" vertical="center" wrapText="1"/>
    </xf>
    <xf numFmtId="37" fontId="458" fillId="186" borderId="421" xfId="27949" applyNumberFormat="1" applyFont="1" applyFill="1" applyBorder="1" applyAlignment="1">
      <alignment horizontal="center" vertical="center" wrapText="1"/>
    </xf>
    <xf numFmtId="37" fontId="458" fillId="165" borderId="417" xfId="27949" applyNumberFormat="1" applyFont="1" applyFill="1" applyBorder="1" applyAlignment="1">
      <alignment horizontal="center" vertical="center" wrapText="1"/>
    </xf>
    <xf numFmtId="0" fontId="458" fillId="0" borderId="415" xfId="27947" applyFont="1" applyBorder="1" applyAlignment="1">
      <alignment horizontal="center" vertical="center"/>
    </xf>
    <xf numFmtId="0" fontId="458" fillId="0" borderId="416" xfId="27947" applyFont="1" applyBorder="1" applyAlignment="1">
      <alignment horizontal="center" vertical="center"/>
    </xf>
    <xf numFmtId="0" fontId="458" fillId="0" borderId="417" xfId="27947" applyFont="1" applyBorder="1" applyAlignment="1">
      <alignment horizontal="center" vertical="center"/>
    </xf>
    <xf numFmtId="171" fontId="458" fillId="163" borderId="415" xfId="27948" applyFont="1" applyFill="1" applyBorder="1" applyAlignment="1">
      <alignment horizontal="left" vertical="center"/>
    </xf>
    <xf numFmtId="171" fontId="458" fillId="163" borderId="416" xfId="27948" applyFont="1" applyFill="1" applyBorder="1" applyAlignment="1">
      <alignment horizontal="left" vertical="center"/>
    </xf>
    <xf numFmtId="171" fontId="458" fillId="163" borderId="417" xfId="27948" applyFont="1" applyFill="1" applyBorder="1" applyAlignment="1">
      <alignment horizontal="left" vertical="center"/>
    </xf>
    <xf numFmtId="171" fontId="458" fillId="163" borderId="230" xfId="27948" applyFont="1" applyFill="1" applyBorder="1" applyAlignment="1">
      <alignment horizontal="left" vertical="center"/>
    </xf>
    <xf numFmtId="171" fontId="458" fillId="163" borderId="434" xfId="27948" applyFont="1" applyFill="1" applyBorder="1" applyAlignment="1">
      <alignment horizontal="left" vertical="center"/>
    </xf>
    <xf numFmtId="171" fontId="458" fillId="163" borderId="423" xfId="27948" applyFont="1" applyFill="1" applyBorder="1" applyAlignment="1">
      <alignment horizontal="left" vertical="center"/>
    </xf>
    <xf numFmtId="171" fontId="458" fillId="0" borderId="429" xfId="27948" applyFont="1" applyFill="1" applyBorder="1" applyAlignment="1">
      <alignment horizontal="center" vertical="center"/>
    </xf>
    <xf numFmtId="171" fontId="458" fillId="0" borderId="418" xfId="27948" applyFont="1" applyFill="1" applyBorder="1" applyAlignment="1">
      <alignment horizontal="center" vertical="center"/>
    </xf>
    <xf numFmtId="171" fontId="458" fillId="0" borderId="430" xfId="27948" applyFont="1" applyFill="1" applyBorder="1" applyAlignment="1">
      <alignment horizontal="center" vertical="center"/>
    </xf>
    <xf numFmtId="37" fontId="458" fillId="0" borderId="0" xfId="27949" applyNumberFormat="1" applyFont="1" applyFill="1" applyBorder="1" applyAlignment="1">
      <alignment horizontal="center" vertical="center" wrapText="1"/>
    </xf>
    <xf numFmtId="37" fontId="458" fillId="0" borderId="52" xfId="27949" applyNumberFormat="1" applyFont="1" applyFill="1" applyBorder="1" applyAlignment="1">
      <alignment horizontal="center" vertical="center" wrapText="1"/>
    </xf>
    <xf numFmtId="0" fontId="466" fillId="169" borderId="41" xfId="27948" applyNumberFormat="1" applyFont="1" applyFill="1" applyBorder="1" applyAlignment="1">
      <alignment horizontal="left" vertical="center"/>
    </xf>
    <xf numFmtId="0" fontId="466" fillId="169" borderId="111" xfId="27948" applyNumberFormat="1" applyFont="1" applyFill="1" applyBorder="1" applyAlignment="1">
      <alignment horizontal="left" vertical="center"/>
    </xf>
    <xf numFmtId="0" fontId="466" fillId="169" borderId="59" xfId="27948" applyNumberFormat="1" applyFont="1" applyFill="1" applyBorder="1" applyAlignment="1">
      <alignment horizontal="left" vertical="center"/>
    </xf>
    <xf numFmtId="0" fontId="466" fillId="169" borderId="0" xfId="27948" applyNumberFormat="1" applyFont="1" applyFill="1" applyBorder="1" applyAlignment="1">
      <alignment horizontal="left" vertical="center"/>
    </xf>
    <xf numFmtId="171" fontId="451" fillId="0" borderId="230" xfId="27948" applyFont="1" applyFill="1" applyBorder="1" applyAlignment="1">
      <alignment horizontal="center" vertical="center"/>
    </xf>
    <xf numFmtId="171" fontId="451" fillId="0" borderId="434" xfId="27948" applyFont="1" applyFill="1" applyBorder="1" applyAlignment="1">
      <alignment horizontal="center" vertical="center"/>
    </xf>
    <xf numFmtId="179" fontId="452" fillId="0" borderId="429" xfId="27949" applyNumberFormat="1" applyFont="1" applyFill="1" applyBorder="1" applyAlignment="1">
      <alignment horizontal="center" vertical="center"/>
    </xf>
    <xf numFmtId="179" fontId="452" fillId="0" borderId="418" xfId="27949" applyNumberFormat="1" applyFont="1" applyFill="1" applyBorder="1" applyAlignment="1">
      <alignment horizontal="center" vertical="center"/>
    </xf>
    <xf numFmtId="179" fontId="452" fillId="0" borderId="430" xfId="27949" applyNumberFormat="1" applyFont="1" applyFill="1" applyBorder="1" applyAlignment="1">
      <alignment horizontal="center" vertical="center"/>
    </xf>
    <xf numFmtId="171" fontId="458" fillId="163" borderId="59" xfId="27948" applyFont="1" applyFill="1" applyBorder="1" applyAlignment="1">
      <alignment horizontal="left" vertical="center" wrapText="1"/>
    </xf>
    <xf numFmtId="171" fontId="458" fillId="163" borderId="0" xfId="27948" applyFont="1" applyFill="1" applyBorder="1" applyAlignment="1">
      <alignment horizontal="left" vertical="center" wrapText="1"/>
    </xf>
    <xf numFmtId="171" fontId="458" fillId="163" borderId="420" xfId="27948" applyFont="1" applyFill="1" applyBorder="1" applyAlignment="1">
      <alignment horizontal="left" vertical="center" wrapText="1"/>
    </xf>
    <xf numFmtId="171" fontId="458" fillId="0" borderId="431" xfId="27948" applyFont="1" applyFill="1" applyBorder="1" applyAlignment="1">
      <alignment horizontal="center" vertical="center"/>
    </xf>
    <xf numFmtId="171" fontId="458" fillId="0" borderId="426" xfId="27948" applyFont="1" applyFill="1" applyBorder="1" applyAlignment="1">
      <alignment horizontal="center" vertical="center"/>
    </xf>
    <xf numFmtId="171" fontId="458" fillId="0" borderId="432" xfId="27948" applyFont="1" applyFill="1" applyBorder="1" applyAlignment="1">
      <alignment horizontal="center" vertical="center"/>
    </xf>
    <xf numFmtId="171" fontId="458" fillId="163" borderId="429" xfId="27948" applyFont="1" applyFill="1" applyBorder="1" applyAlignment="1">
      <alignment horizontal="left" vertical="center"/>
    </xf>
    <xf numFmtId="171" fontId="458" fillId="163" borderId="418" xfId="27948" applyFont="1" applyFill="1" applyBorder="1" applyAlignment="1">
      <alignment horizontal="left" vertical="center"/>
    </xf>
    <xf numFmtId="171" fontId="458" fillId="0" borderId="59" xfId="27948" applyFont="1" applyFill="1" applyBorder="1" applyAlignment="1">
      <alignment horizontal="center" vertical="center"/>
    </xf>
    <xf numFmtId="171" fontId="458" fillId="0" borderId="0" xfId="27948" applyFont="1" applyFill="1" applyBorder="1" applyAlignment="1">
      <alignment horizontal="center" vertical="center"/>
    </xf>
    <xf numFmtId="171" fontId="458" fillId="0" borderId="420" xfId="27948" applyFont="1" applyFill="1" applyBorder="1" applyAlignment="1">
      <alignment horizontal="center" vertical="center"/>
    </xf>
    <xf numFmtId="0" fontId="464" fillId="0" borderId="429" xfId="27948" applyNumberFormat="1" applyFont="1" applyFill="1" applyBorder="1" applyAlignment="1">
      <alignment horizontal="center" vertical="center"/>
    </xf>
    <xf numFmtId="0" fontId="464" fillId="0" borderId="418" xfId="27948" applyNumberFormat="1" applyFont="1" applyFill="1" applyBorder="1" applyAlignment="1">
      <alignment horizontal="center" vertical="center"/>
    </xf>
    <xf numFmtId="37" fontId="458" fillId="0" borderId="430" xfId="27949" applyNumberFormat="1" applyFont="1" applyFill="1" applyBorder="1" applyAlignment="1">
      <alignment horizontal="center" vertical="center" wrapText="1"/>
    </xf>
    <xf numFmtId="0" fontId="452" fillId="158" borderId="41" xfId="27948" applyNumberFormat="1" applyFont="1" applyFill="1" applyBorder="1" applyAlignment="1">
      <alignment horizontal="left" vertical="center"/>
    </xf>
    <xf numFmtId="0" fontId="452" fillId="158" borderId="59" xfId="27948" applyNumberFormat="1" applyFont="1" applyFill="1" applyBorder="1" applyAlignment="1">
      <alignment horizontal="left" vertical="center"/>
    </xf>
    <xf numFmtId="171" fontId="458" fillId="163" borderId="59" xfId="27948" applyFont="1" applyFill="1" applyBorder="1" applyAlignment="1">
      <alignment horizontal="left" vertical="top" wrapText="1"/>
    </xf>
    <xf numFmtId="171" fontId="458" fillId="163" borderId="0" xfId="27948" applyFont="1" applyFill="1" applyBorder="1" applyAlignment="1">
      <alignment horizontal="left" vertical="top" wrapText="1"/>
    </xf>
    <xf numFmtId="171" fontId="458" fillId="163" borderId="420" xfId="27948" applyFont="1" applyFill="1" applyBorder="1" applyAlignment="1">
      <alignment horizontal="left" vertical="top" wrapText="1"/>
    </xf>
    <xf numFmtId="171" fontId="452" fillId="0" borderId="230" xfId="27948" applyFont="1" applyFill="1" applyBorder="1" applyAlignment="1">
      <alignment horizontal="center" vertical="center"/>
    </xf>
    <xf numFmtId="171" fontId="452" fillId="0" borderId="434" xfId="27948" applyFont="1" applyFill="1" applyBorder="1" applyAlignment="1">
      <alignment horizontal="center" vertical="center"/>
    </xf>
    <xf numFmtId="171" fontId="452" fillId="0" borderId="423" xfId="27948" applyFont="1" applyFill="1" applyBorder="1" applyAlignment="1">
      <alignment horizontal="center" vertical="center"/>
    </xf>
    <xf numFmtId="0" fontId="458" fillId="163" borderId="59" xfId="27948" applyNumberFormat="1" applyFont="1" applyFill="1" applyBorder="1" applyAlignment="1">
      <alignment horizontal="left" vertical="center" wrapText="1"/>
    </xf>
    <xf numFmtId="0" fontId="458" fillId="163" borderId="0" xfId="27948" applyNumberFormat="1" applyFont="1" applyFill="1" applyBorder="1" applyAlignment="1">
      <alignment horizontal="left" vertical="center" wrapText="1"/>
    </xf>
    <xf numFmtId="0" fontId="458" fillId="163" borderId="420" xfId="27948" applyNumberFormat="1" applyFont="1" applyFill="1" applyBorder="1" applyAlignment="1">
      <alignment horizontal="left" vertical="center" wrapText="1"/>
    </xf>
    <xf numFmtId="0" fontId="356" fillId="0" borderId="97" xfId="14281" applyFont="1" applyBorder="1" applyAlignment="1">
      <alignment horizontal="center"/>
    </xf>
    <xf numFmtId="0" fontId="356" fillId="0" borderId="0" xfId="14281" applyFont="1" applyAlignment="1">
      <alignment horizontal="center"/>
    </xf>
    <xf numFmtId="0" fontId="356" fillId="0" borderId="98" xfId="14281" applyFont="1" applyBorder="1" applyAlignment="1">
      <alignment horizontal="center"/>
    </xf>
    <xf numFmtId="228" fontId="356" fillId="0" borderId="97" xfId="14281" quotePrefix="1" applyNumberFormat="1" applyFont="1" applyBorder="1" applyAlignment="1">
      <alignment horizontal="center"/>
    </xf>
    <xf numFmtId="228" fontId="356" fillId="0" borderId="0" xfId="14281" quotePrefix="1" applyNumberFormat="1" applyFont="1" applyAlignment="1">
      <alignment horizontal="center"/>
    </xf>
    <xf numFmtId="228" fontId="356" fillId="0" borderId="98" xfId="14281" quotePrefix="1" applyNumberFormat="1" applyFont="1" applyBorder="1" applyAlignment="1">
      <alignment horizontal="center"/>
    </xf>
    <xf numFmtId="38" fontId="356" fillId="0" borderId="97" xfId="14281" quotePrefix="1" applyNumberFormat="1" applyFont="1" applyBorder="1" applyAlignment="1">
      <alignment horizontal="center"/>
    </xf>
    <xf numFmtId="0" fontId="356" fillId="0" borderId="0" xfId="14281" quotePrefix="1" applyFont="1" applyAlignment="1">
      <alignment horizontal="center"/>
    </xf>
    <xf numFmtId="0" fontId="356" fillId="0" borderId="98" xfId="14281" quotePrefix="1" applyFont="1" applyBorder="1" applyAlignment="1">
      <alignment horizontal="center"/>
    </xf>
    <xf numFmtId="38" fontId="356" fillId="0" borderId="97" xfId="14281" applyNumberFormat="1" applyFont="1" applyBorder="1" applyAlignment="1">
      <alignment horizontal="center"/>
    </xf>
    <xf numFmtId="0" fontId="455" fillId="0" borderId="347" xfId="0" applyFont="1" applyBorder="1" applyAlignment="1">
      <alignment horizontal="center" vertical="center"/>
    </xf>
    <xf numFmtId="0" fontId="455" fillId="0" borderId="346" xfId="0" applyFont="1" applyBorder="1" applyAlignment="1">
      <alignment horizontal="center" vertical="center"/>
    </xf>
    <xf numFmtId="0" fontId="455" fillId="158" borderId="222" xfId="0" applyFont="1" applyFill="1" applyBorder="1" applyAlignment="1">
      <alignment horizontal="center" vertical="center"/>
    </xf>
    <xf numFmtId="0" fontId="455" fillId="158" borderId="102" xfId="0" applyFont="1" applyFill="1" applyBorder="1" applyAlignment="1">
      <alignment horizontal="center" vertical="center"/>
    </xf>
    <xf numFmtId="0" fontId="455" fillId="158" borderId="113" xfId="0" applyFont="1" applyFill="1" applyBorder="1" applyAlignment="1">
      <alignment horizontal="center" vertical="center"/>
    </xf>
    <xf numFmtId="0" fontId="455" fillId="158" borderId="114" xfId="0" applyFont="1" applyFill="1" applyBorder="1" applyAlignment="1">
      <alignment horizontal="center" vertical="center"/>
    </xf>
    <xf numFmtId="0" fontId="455" fillId="158" borderId="0" xfId="0" applyFont="1" applyFill="1" applyAlignment="1">
      <alignment horizontal="center" vertical="center"/>
    </xf>
    <xf numFmtId="0" fontId="455" fillId="158" borderId="170" xfId="0" applyFont="1" applyFill="1" applyBorder="1" applyAlignment="1">
      <alignment horizontal="center" vertical="center"/>
    </xf>
    <xf numFmtId="0" fontId="455" fillId="158" borderId="123" xfId="0" applyFont="1" applyFill="1" applyBorder="1" applyAlignment="1">
      <alignment horizontal="center" vertical="center"/>
    </xf>
    <xf numFmtId="0" fontId="455" fillId="158" borderId="124" xfId="0" applyFont="1" applyFill="1" applyBorder="1" applyAlignment="1">
      <alignment horizontal="center" vertical="center"/>
    </xf>
    <xf numFmtId="0" fontId="455" fillId="158" borderId="125" xfId="0" applyFont="1" applyFill="1" applyBorder="1" applyAlignment="1">
      <alignment horizontal="center" vertical="center"/>
    </xf>
    <xf numFmtId="0" fontId="453" fillId="143" borderId="0" xfId="0" applyFont="1" applyFill="1" applyAlignment="1">
      <alignment horizontal="center" vertical="center" wrapText="1"/>
    </xf>
    <xf numFmtId="0" fontId="486" fillId="107" borderId="0" xfId="0" applyFont="1" applyFill="1" applyAlignment="1">
      <alignment horizontal="center" vertical="center" wrapText="1"/>
    </xf>
    <xf numFmtId="0" fontId="451" fillId="0" borderId="0" xfId="0" applyFont="1" applyAlignment="1">
      <alignment horizontal="center"/>
    </xf>
    <xf numFmtId="0" fontId="486" fillId="107" borderId="0" xfId="0" applyFont="1" applyFill="1" applyAlignment="1">
      <alignment horizontal="center" vertical="center"/>
    </xf>
    <xf numFmtId="0" fontId="453" fillId="0" borderId="348" xfId="0" applyFont="1" applyBorder="1" applyAlignment="1">
      <alignment horizontal="center" vertical="center"/>
    </xf>
    <xf numFmtId="365" fontId="451" fillId="0" borderId="320" xfId="27926" applyNumberFormat="1" applyFont="1" applyFill="1" applyBorder="1" applyAlignment="1">
      <alignment horizontal="center" vertical="center"/>
    </xf>
    <xf numFmtId="365" fontId="451" fillId="0" borderId="324" xfId="27926" applyNumberFormat="1" applyFont="1" applyFill="1" applyBorder="1" applyAlignment="1">
      <alignment horizontal="center" vertical="center"/>
    </xf>
    <xf numFmtId="365" fontId="451" fillId="207" borderId="320" xfId="27926" applyNumberFormat="1" applyFont="1" applyFill="1" applyBorder="1" applyAlignment="1">
      <alignment horizontal="center" vertical="center"/>
    </xf>
    <xf numFmtId="365" fontId="451" fillId="207" borderId="324" xfId="27926" applyNumberFormat="1" applyFont="1" applyFill="1" applyBorder="1" applyAlignment="1">
      <alignment horizontal="center" vertical="center"/>
    </xf>
    <xf numFmtId="171" fontId="451" fillId="0" borderId="318" xfId="27925" quotePrefix="1" applyNumberFormat="1" applyFont="1" applyBorder="1" applyAlignment="1">
      <alignment horizontal="left" vertical="center" wrapText="1"/>
    </xf>
    <xf numFmtId="171" fontId="451" fillId="0" borderId="319" xfId="27925" quotePrefix="1" applyNumberFormat="1" applyFont="1" applyBorder="1" applyAlignment="1">
      <alignment horizontal="left" vertical="center" wrapText="1"/>
    </xf>
    <xf numFmtId="171" fontId="451" fillId="0" borderId="401" xfId="27925" quotePrefix="1" applyNumberFormat="1" applyFont="1" applyBorder="1" applyAlignment="1">
      <alignment horizontal="left" vertical="center" wrapText="1"/>
    </xf>
    <xf numFmtId="43" fontId="451" fillId="207" borderId="318" xfId="19286" quotePrefix="1" applyFont="1" applyFill="1" applyBorder="1" applyAlignment="1">
      <alignment horizontal="left" vertical="top" wrapText="1"/>
    </xf>
    <xf numFmtId="43" fontId="451" fillId="207" borderId="319" xfId="19286" quotePrefix="1" applyFont="1" applyFill="1" applyBorder="1" applyAlignment="1">
      <alignment horizontal="left" vertical="top" wrapText="1"/>
    </xf>
    <xf numFmtId="43" fontId="451" fillId="207" borderId="401" xfId="19286" quotePrefix="1" applyFont="1" applyFill="1" applyBorder="1" applyAlignment="1">
      <alignment horizontal="left" vertical="top" wrapText="1"/>
    </xf>
    <xf numFmtId="171" fontId="451" fillId="207" borderId="318" xfId="27925" quotePrefix="1" applyNumberFormat="1" applyFont="1" applyFill="1" applyBorder="1" applyAlignment="1">
      <alignment horizontal="left" vertical="top" wrapText="1"/>
    </xf>
    <xf numFmtId="171" fontId="451" fillId="207" borderId="319" xfId="27925" quotePrefix="1" applyNumberFormat="1" applyFont="1" applyFill="1" applyBorder="1" applyAlignment="1">
      <alignment horizontal="left" vertical="top" wrapText="1"/>
    </xf>
    <xf numFmtId="171" fontId="451" fillId="207" borderId="401" xfId="27925" quotePrefix="1" applyNumberFormat="1" applyFont="1" applyFill="1" applyBorder="1" applyAlignment="1">
      <alignment horizontal="left" vertical="top" wrapText="1"/>
    </xf>
    <xf numFmtId="365" fontId="453" fillId="158" borderId="328" xfId="27926" applyNumberFormat="1" applyFont="1" applyFill="1" applyBorder="1" applyAlignment="1">
      <alignment horizontal="center" vertical="center"/>
    </xf>
    <xf numFmtId="365" fontId="453" fillId="158" borderId="329" xfId="27926" applyNumberFormat="1" applyFont="1" applyFill="1" applyBorder="1" applyAlignment="1">
      <alignment horizontal="center" vertical="center"/>
    </xf>
    <xf numFmtId="365" fontId="682" fillId="207" borderId="320" xfId="27926" applyNumberFormat="1" applyFont="1" applyFill="1" applyBorder="1" applyAlignment="1">
      <alignment horizontal="center" vertical="center"/>
    </xf>
    <xf numFmtId="365" fontId="682" fillId="207" borderId="324" xfId="27926" applyNumberFormat="1" applyFont="1" applyFill="1" applyBorder="1" applyAlignment="1">
      <alignment horizontal="center" vertical="center"/>
    </xf>
    <xf numFmtId="365" fontId="654" fillId="207" borderId="320" xfId="27926" applyNumberFormat="1" applyFont="1" applyFill="1" applyBorder="1" applyAlignment="1">
      <alignment horizontal="center" vertical="center"/>
    </xf>
    <xf numFmtId="365" fontId="654" fillId="207" borderId="324" xfId="27926" applyNumberFormat="1" applyFont="1" applyFill="1" applyBorder="1" applyAlignment="1">
      <alignment horizontal="center" vertical="center"/>
    </xf>
    <xf numFmtId="0" fontId="453" fillId="156" borderId="0" xfId="27925" applyFont="1" applyFill="1" applyAlignment="1">
      <alignment horizontal="center" vertical="center"/>
    </xf>
    <xf numFmtId="171" fontId="515" fillId="144" borderId="271" xfId="27926" applyFont="1" applyFill="1" applyBorder="1" applyAlignment="1">
      <alignment horizontal="center" vertical="center"/>
    </xf>
    <xf numFmtId="171" fontId="515" fillId="144" borderId="0" xfId="27926" applyFont="1" applyFill="1" applyBorder="1" applyAlignment="1">
      <alignment horizontal="center" vertical="center"/>
    </xf>
    <xf numFmtId="38" fontId="451" fillId="163" borderId="295" xfId="27927" applyNumberFormat="1" applyFont="1" applyFill="1" applyBorder="1" applyAlignment="1">
      <alignment horizontal="center" vertical="center" wrapText="1"/>
    </xf>
    <xf numFmtId="38" fontId="451" fillId="163" borderId="296" xfId="27927" applyNumberFormat="1" applyFont="1" applyFill="1" applyBorder="1" applyAlignment="1">
      <alignment horizontal="center" vertical="center" wrapText="1"/>
    </xf>
    <xf numFmtId="37" fontId="515" fillId="169" borderId="352" xfId="27927" applyNumberFormat="1" applyFont="1" applyFill="1" applyBorder="1" applyAlignment="1">
      <alignment horizontal="center" vertical="center" wrapText="1"/>
    </xf>
    <xf numFmtId="37" fontId="515" fillId="169" borderId="353" xfId="27927" applyNumberFormat="1" applyFont="1" applyFill="1" applyBorder="1" applyAlignment="1">
      <alignment horizontal="center" vertical="center" wrapText="1"/>
    </xf>
    <xf numFmtId="38" fontId="451" fillId="164" borderId="295" xfId="27927" applyNumberFormat="1" applyFont="1" applyFill="1" applyBorder="1" applyAlignment="1">
      <alignment horizontal="center" vertical="center" wrapText="1"/>
    </xf>
    <xf numFmtId="38" fontId="451" fillId="164" borderId="300" xfId="27927" applyNumberFormat="1" applyFont="1" applyFill="1" applyBorder="1" applyAlignment="1">
      <alignment horizontal="center" vertical="center" wrapText="1"/>
    </xf>
    <xf numFmtId="38" fontId="451" fillId="170" borderId="354" xfId="27927" applyNumberFormat="1" applyFont="1" applyFill="1" applyBorder="1" applyAlignment="1">
      <alignment horizontal="center" vertical="center" wrapText="1"/>
    </xf>
    <xf numFmtId="38" fontId="451" fillId="170" borderId="361" xfId="27927" applyNumberFormat="1" applyFont="1" applyFill="1" applyBorder="1" applyAlignment="1">
      <alignment horizontal="center" vertical="center" wrapText="1"/>
    </xf>
    <xf numFmtId="38" fontId="451" fillId="165" borderId="339" xfId="27927" applyNumberFormat="1" applyFont="1" applyFill="1" applyBorder="1" applyAlignment="1">
      <alignment horizontal="center" vertical="center" wrapText="1"/>
    </xf>
    <xf numFmtId="38" fontId="451" fillId="165" borderId="287" xfId="27927" applyNumberFormat="1" applyFont="1" applyFill="1" applyBorder="1" applyAlignment="1">
      <alignment horizontal="center" vertical="center" wrapText="1"/>
    </xf>
    <xf numFmtId="17" fontId="453" fillId="170" borderId="377" xfId="27926" quotePrefix="1" applyNumberFormat="1" applyFont="1" applyFill="1" applyBorder="1" applyAlignment="1">
      <alignment horizontal="center" vertical="center"/>
    </xf>
    <xf numFmtId="171" fontId="453" fillId="170" borderId="378" xfId="27926" quotePrefix="1" applyFont="1" applyFill="1" applyBorder="1" applyAlignment="1">
      <alignment horizontal="center" vertical="center"/>
    </xf>
    <xf numFmtId="37" fontId="515" fillId="169" borderId="402" xfId="27927" applyNumberFormat="1" applyFont="1" applyFill="1" applyBorder="1" applyAlignment="1">
      <alignment horizontal="center" vertical="center" wrapText="1"/>
    </xf>
    <xf numFmtId="37" fontId="515" fillId="169" borderId="109" xfId="27927" applyNumberFormat="1" applyFont="1" applyFill="1" applyBorder="1" applyAlignment="1">
      <alignment horizontal="center" vertical="center" wrapText="1"/>
    </xf>
    <xf numFmtId="0" fontId="484" fillId="143" borderId="271" xfId="27926" applyNumberFormat="1" applyFont="1" applyFill="1" applyBorder="1" applyAlignment="1">
      <alignment horizontal="center" vertical="center"/>
    </xf>
    <xf numFmtId="0" fontId="484" fillId="143" borderId="0" xfId="27926" applyNumberFormat="1" applyFont="1" applyFill="1" applyBorder="1" applyAlignment="1">
      <alignment horizontal="center" vertical="center"/>
    </xf>
    <xf numFmtId="0" fontId="515" fillId="144" borderId="0" xfId="27926" applyNumberFormat="1" applyFont="1" applyFill="1" applyBorder="1" applyAlignment="1">
      <alignment horizontal="center" vertical="center" wrapText="1"/>
    </xf>
    <xf numFmtId="38" fontId="451" fillId="164" borderId="296" xfId="27927" applyNumberFormat="1" applyFont="1" applyFill="1" applyBorder="1" applyAlignment="1">
      <alignment horizontal="center" vertical="center" wrapText="1"/>
    </xf>
    <xf numFmtId="38" fontId="451" fillId="170" borderId="311" xfId="27927" applyNumberFormat="1" applyFont="1" applyFill="1" applyBorder="1" applyAlignment="1">
      <alignment horizontal="center" vertical="center" wrapText="1"/>
    </xf>
    <xf numFmtId="38" fontId="451" fillId="170" borderId="312" xfId="27927" applyNumberFormat="1" applyFont="1" applyFill="1" applyBorder="1" applyAlignment="1">
      <alignment horizontal="center" vertical="center" wrapText="1"/>
    </xf>
    <xf numFmtId="38" fontId="451" fillId="164" borderId="293" xfId="27927" applyNumberFormat="1" applyFont="1" applyFill="1" applyBorder="1" applyAlignment="1">
      <alignment horizontal="center" vertical="center" wrapText="1"/>
    </xf>
    <xf numFmtId="38" fontId="451" fillId="164" borderId="299" xfId="27927" applyNumberFormat="1" applyFont="1" applyFill="1" applyBorder="1" applyAlignment="1">
      <alignment horizontal="center" vertical="center" wrapText="1"/>
    </xf>
    <xf numFmtId="38" fontId="451" fillId="165" borderId="270" xfId="27927" applyNumberFormat="1" applyFont="1" applyFill="1" applyBorder="1" applyAlignment="1">
      <alignment horizontal="center" vertical="center" wrapText="1"/>
    </xf>
    <xf numFmtId="38" fontId="451" fillId="163" borderId="293" xfId="27927" applyNumberFormat="1" applyFont="1" applyFill="1" applyBorder="1" applyAlignment="1">
      <alignment horizontal="center" vertical="center" wrapText="1"/>
    </xf>
    <xf numFmtId="38" fontId="451" fillId="163" borderId="294" xfId="27927" applyNumberFormat="1" applyFont="1" applyFill="1" applyBorder="1" applyAlignment="1">
      <alignment horizontal="center" vertical="center" wrapText="1"/>
    </xf>
    <xf numFmtId="0" fontId="453" fillId="167" borderId="136" xfId="27925" applyFont="1" applyFill="1" applyBorder="1" applyAlignment="1">
      <alignment horizontal="center" vertical="center"/>
    </xf>
    <xf numFmtId="0" fontId="453" fillId="167" borderId="340" xfId="27925" applyFont="1" applyFill="1" applyBorder="1" applyAlignment="1">
      <alignment horizontal="center" vertical="center"/>
    </xf>
    <xf numFmtId="365" fontId="515" fillId="169" borderId="328" xfId="27926" applyNumberFormat="1" applyFont="1" applyFill="1" applyBorder="1" applyAlignment="1">
      <alignment horizontal="center" vertical="center"/>
    </xf>
    <xf numFmtId="365" fontId="515" fillId="169" borderId="329" xfId="27926" applyNumberFormat="1" applyFont="1" applyFill="1" applyBorder="1" applyAlignment="1">
      <alignment horizontal="center" vertical="center"/>
    </xf>
    <xf numFmtId="38" fontId="453" fillId="167" borderId="140" xfId="27927" applyNumberFormat="1" applyFont="1" applyFill="1" applyBorder="1" applyAlignment="1">
      <alignment horizontal="center" vertical="center" wrapText="1"/>
    </xf>
    <xf numFmtId="38" fontId="453" fillId="167" borderId="112" xfId="27927" applyNumberFormat="1" applyFont="1" applyFill="1" applyBorder="1" applyAlignment="1">
      <alignment horizontal="center" vertical="center" wrapText="1"/>
    </xf>
    <xf numFmtId="38" fontId="453" fillId="167" borderId="433" xfId="27927" applyNumberFormat="1" applyFont="1" applyFill="1" applyBorder="1" applyAlignment="1">
      <alignment horizontal="center" vertical="center" wrapText="1"/>
    </xf>
    <xf numFmtId="38" fontId="453" fillId="167" borderId="231" xfId="27927" applyNumberFormat="1" applyFont="1" applyFill="1" applyBorder="1" applyAlignment="1">
      <alignment horizontal="center" vertical="center" wrapText="1"/>
    </xf>
    <xf numFmtId="171" fontId="451" fillId="0" borderId="318" xfId="27925" quotePrefix="1" applyNumberFormat="1" applyFont="1" applyBorder="1" applyAlignment="1">
      <alignment horizontal="left" vertical="top" wrapText="1"/>
    </xf>
    <xf numFmtId="171" fontId="451" fillId="0" borderId="319" xfId="27925" quotePrefix="1" applyNumberFormat="1" applyFont="1" applyBorder="1" applyAlignment="1">
      <alignment horizontal="left" vertical="top" wrapText="1"/>
    </xf>
    <xf numFmtId="171" fontId="451" fillId="0" borderId="401" xfId="27925" quotePrefix="1" applyNumberFormat="1" applyFont="1" applyBorder="1" applyAlignment="1">
      <alignment horizontal="left" vertical="top" wrapText="1"/>
    </xf>
    <xf numFmtId="365" fontId="484" fillId="128" borderId="328" xfId="27926" applyNumberFormat="1" applyFont="1" applyFill="1" applyBorder="1" applyAlignment="1">
      <alignment horizontal="center" vertical="center"/>
    </xf>
    <xf numFmtId="365" fontId="484" fillId="128" borderId="329" xfId="27926" applyNumberFormat="1" applyFont="1" applyFill="1" applyBorder="1" applyAlignment="1">
      <alignment horizontal="center" vertical="center"/>
    </xf>
    <xf numFmtId="365" fontId="451" fillId="0" borderId="542" xfId="27926" applyNumberFormat="1" applyFont="1" applyFill="1" applyBorder="1" applyAlignment="1">
      <alignment horizontal="center" vertical="center"/>
    </xf>
    <xf numFmtId="365" fontId="451" fillId="0" borderId="543" xfId="27926" applyNumberFormat="1" applyFont="1" applyFill="1" applyBorder="1" applyAlignment="1">
      <alignment horizontal="center" vertical="center"/>
    </xf>
    <xf numFmtId="171" fontId="451" fillId="170" borderId="526" xfId="27926" applyFont="1" applyFill="1" applyBorder="1" applyAlignment="1">
      <alignment horizontal="left" vertical="center"/>
    </xf>
    <xf numFmtId="171" fontId="451" fillId="170" borderId="532" xfId="27926" applyFont="1" applyFill="1" applyBorder="1" applyAlignment="1">
      <alignment horizontal="left" vertical="center"/>
    </xf>
    <xf numFmtId="0" fontId="453" fillId="170" borderId="394" xfId="27925" quotePrefix="1" applyFont="1" applyFill="1" applyBorder="1" applyAlignment="1">
      <alignment horizontal="right" vertical="center"/>
    </xf>
    <xf numFmtId="0" fontId="453" fillId="170" borderId="395" xfId="27925" quotePrefix="1" applyFont="1" applyFill="1" applyBorder="1" applyAlignment="1">
      <alignment horizontal="right" vertical="center"/>
    </xf>
    <xf numFmtId="0" fontId="453" fillId="170" borderId="396" xfId="27925" quotePrefix="1" applyFont="1" applyFill="1" applyBorder="1" applyAlignment="1">
      <alignment horizontal="right" vertical="center"/>
    </xf>
    <xf numFmtId="365" fontId="453" fillId="195" borderId="328" xfId="27926" applyNumberFormat="1" applyFont="1" applyFill="1" applyBorder="1" applyAlignment="1">
      <alignment horizontal="center" vertical="center"/>
    </xf>
    <xf numFmtId="365" fontId="453" fillId="195" borderId="329" xfId="27926" applyNumberFormat="1" applyFont="1" applyFill="1" applyBorder="1" applyAlignment="1">
      <alignment horizontal="center" vertical="center"/>
    </xf>
    <xf numFmtId="365" fontId="453" fillId="107" borderId="465" xfId="27926" applyNumberFormat="1" applyFont="1" applyFill="1" applyBorder="1" applyAlignment="1">
      <alignment horizontal="center" vertical="center"/>
    </xf>
    <xf numFmtId="365" fontId="453" fillId="107" borderId="329" xfId="27926" applyNumberFormat="1" applyFont="1" applyFill="1" applyBorder="1" applyAlignment="1">
      <alignment horizontal="center" vertical="center"/>
    </xf>
    <xf numFmtId="0" fontId="515" fillId="144" borderId="271" xfId="27926" applyNumberFormat="1" applyFont="1" applyFill="1" applyBorder="1" applyAlignment="1">
      <alignment horizontal="center" vertical="center"/>
    </xf>
    <xf numFmtId="0" fontId="515" fillId="144" borderId="276" xfId="27926" applyNumberFormat="1" applyFont="1" applyFill="1" applyBorder="1" applyAlignment="1">
      <alignment horizontal="center" vertical="center"/>
    </xf>
    <xf numFmtId="365" fontId="453" fillId="170" borderId="397" xfId="27926" applyNumberFormat="1" applyFont="1" applyFill="1" applyBorder="1" applyAlignment="1">
      <alignment horizontal="center" vertical="center"/>
    </xf>
    <xf numFmtId="365" fontId="453" fillId="170" borderId="398" xfId="27926" applyNumberFormat="1" applyFont="1" applyFill="1" applyBorder="1" applyAlignment="1">
      <alignment horizontal="center" vertical="center"/>
    </xf>
    <xf numFmtId="363" fontId="418" fillId="0" borderId="272" xfId="27925" applyNumberFormat="1" applyFont="1" applyBorder="1" applyAlignment="1">
      <alignment horizontal="center" vertical="center" wrapText="1"/>
    </xf>
    <xf numFmtId="363" fontId="418" fillId="0" borderId="467" xfId="27925" applyNumberFormat="1" applyFont="1" applyBorder="1" applyAlignment="1">
      <alignment horizontal="center" vertical="center" wrapText="1"/>
    </xf>
    <xf numFmtId="363" fontId="418" fillId="0" borderId="468" xfId="27925" applyNumberFormat="1" applyFont="1" applyBorder="1" applyAlignment="1">
      <alignment horizontal="center" vertical="center" wrapText="1"/>
    </xf>
    <xf numFmtId="363" fontId="418" fillId="0" borderId="272" xfId="27925" applyNumberFormat="1" applyFont="1" applyBorder="1" applyAlignment="1">
      <alignment horizontal="left" vertical="center"/>
    </xf>
    <xf numFmtId="363" fontId="418" fillId="0" borderId="273" xfId="27925" applyNumberFormat="1" applyFont="1" applyBorder="1" applyAlignment="1">
      <alignment horizontal="left" vertical="center"/>
    </xf>
    <xf numFmtId="9" fontId="418" fillId="0" borderId="281" xfId="22690" applyFont="1" applyFill="1" applyBorder="1" applyAlignment="1">
      <alignment horizontal="center" vertical="center"/>
    </xf>
    <xf numFmtId="9" fontId="418" fillId="0" borderId="278" xfId="22690" applyFont="1" applyFill="1" applyBorder="1" applyAlignment="1">
      <alignment horizontal="center" vertical="center"/>
    </xf>
    <xf numFmtId="15" fontId="557" fillId="0" borderId="461" xfId="27925" applyNumberFormat="1" applyFont="1" applyBorder="1" applyAlignment="1">
      <alignment horizontal="center" vertical="center"/>
    </xf>
    <xf numFmtId="15" fontId="557" fillId="0" borderId="439" xfId="27925" applyNumberFormat="1" applyFont="1" applyBorder="1" applyAlignment="1">
      <alignment horizontal="center" vertical="center"/>
    </xf>
    <xf numFmtId="171" fontId="527" fillId="0" borderId="461" xfId="27926" applyFont="1" applyFill="1" applyBorder="1" applyAlignment="1">
      <alignment horizontal="left" vertical="top" wrapText="1"/>
    </xf>
    <xf numFmtId="171" fontId="527" fillId="0" borderId="439" xfId="27926" applyFont="1" applyFill="1" applyBorder="1" applyAlignment="1">
      <alignment horizontal="left" vertical="top" wrapText="1"/>
    </xf>
    <xf numFmtId="364" fontId="528" fillId="0" borderId="461" xfId="27925" applyNumberFormat="1" applyFont="1" applyBorder="1" applyAlignment="1">
      <alignment horizontal="center" vertical="center"/>
    </xf>
    <xf numFmtId="364" fontId="528" fillId="0" borderId="439" xfId="27925" applyNumberFormat="1" applyFont="1" applyBorder="1" applyAlignment="1">
      <alignment horizontal="center" vertical="center"/>
    </xf>
    <xf numFmtId="3" fontId="418" fillId="0" borderId="440" xfId="27925" applyNumberFormat="1" applyFont="1" applyBorder="1" applyAlignment="1" applyProtection="1">
      <alignment horizontal="center" vertical="center"/>
      <protection locked="0"/>
    </xf>
    <xf numFmtId="3" fontId="418" fillId="0" borderId="536" xfId="27925" applyNumberFormat="1" applyFont="1" applyBorder="1" applyAlignment="1" applyProtection="1">
      <alignment horizontal="center" vertical="center"/>
      <protection locked="0"/>
    </xf>
    <xf numFmtId="365" fontId="451" fillId="0" borderId="440" xfId="27926" applyNumberFormat="1" applyFont="1" applyFill="1" applyBorder="1" applyAlignment="1" applyProtection="1">
      <alignment horizontal="center" vertical="center"/>
      <protection locked="0"/>
    </xf>
    <xf numFmtId="365" fontId="451" fillId="0" borderId="536" xfId="27926" applyNumberFormat="1" applyFont="1" applyFill="1" applyBorder="1" applyAlignment="1" applyProtection="1">
      <alignment horizontal="center" vertical="center"/>
      <protection locked="0"/>
    </xf>
    <xf numFmtId="365" fontId="451" fillId="170" borderId="272" xfId="27926" applyNumberFormat="1" applyFont="1" applyFill="1" applyBorder="1" applyAlignment="1">
      <alignment horizontal="center" vertical="center"/>
    </xf>
    <xf numFmtId="365" fontId="451" fillId="170" borderId="273" xfId="27926" applyNumberFormat="1" applyFont="1" applyFill="1" applyBorder="1" applyAlignment="1">
      <alignment horizontal="center" vertical="center"/>
    </xf>
    <xf numFmtId="365" fontId="451" fillId="170" borderId="528" xfId="27926" applyNumberFormat="1" applyFont="1" applyFill="1" applyBorder="1" applyAlignment="1">
      <alignment horizontal="center" vertical="center"/>
    </xf>
    <xf numFmtId="365" fontId="451" fillId="170" borderId="525" xfId="27926" applyNumberFormat="1" applyFont="1" applyFill="1" applyBorder="1" applyAlignment="1">
      <alignment horizontal="center" vertical="center"/>
    </xf>
    <xf numFmtId="3" fontId="418" fillId="170" borderId="272" xfId="27925" applyNumberFormat="1" applyFont="1" applyFill="1" applyBorder="1" applyAlignment="1">
      <alignment horizontal="center" vertical="center"/>
    </xf>
    <xf numFmtId="3" fontId="418" fillId="170" borderId="273" xfId="27925" applyNumberFormat="1" applyFont="1" applyFill="1" applyBorder="1" applyAlignment="1">
      <alignment horizontal="center" vertical="center"/>
    </xf>
    <xf numFmtId="365" fontId="451" fillId="0" borderId="528" xfId="27926" applyNumberFormat="1" applyFont="1" applyFill="1" applyBorder="1" applyAlignment="1">
      <alignment horizontal="center" vertical="center"/>
    </xf>
    <xf numFmtId="365" fontId="451" fillId="0" borderId="525" xfId="27926" applyNumberFormat="1" applyFont="1" applyFill="1" applyBorder="1" applyAlignment="1">
      <alignment horizontal="center" vertical="center"/>
    </xf>
    <xf numFmtId="365" fontId="451" fillId="0" borderId="534" xfId="27926" applyNumberFormat="1" applyFont="1" applyFill="1" applyBorder="1" applyAlignment="1" applyProtection="1">
      <alignment horizontal="center" vertical="center"/>
      <protection locked="0"/>
    </xf>
    <xf numFmtId="365" fontId="451" fillId="0" borderId="537" xfId="27926" applyNumberFormat="1" applyFont="1" applyFill="1" applyBorder="1" applyAlignment="1" applyProtection="1">
      <alignment horizontal="center" vertical="center"/>
      <protection locked="0"/>
    </xf>
    <xf numFmtId="3" fontId="418" fillId="0" borderId="272" xfId="27925" applyNumberFormat="1" applyFont="1" applyBorder="1" applyAlignment="1">
      <alignment horizontal="center" vertical="center"/>
    </xf>
    <xf numFmtId="3" fontId="418" fillId="0" borderId="273" xfId="27925" applyNumberFormat="1" applyFont="1" applyBorder="1" applyAlignment="1">
      <alignment horizontal="center" vertical="center"/>
    </xf>
    <xf numFmtId="365" fontId="451" fillId="0" borderId="272" xfId="27926" applyNumberFormat="1" applyFont="1" applyFill="1" applyBorder="1" applyAlignment="1">
      <alignment horizontal="center" vertical="center"/>
    </xf>
    <xf numFmtId="365" fontId="451" fillId="0" borderId="273" xfId="27926" applyNumberFormat="1" applyFont="1" applyFill="1" applyBorder="1" applyAlignment="1">
      <alignment horizontal="center" vertical="center"/>
    </xf>
    <xf numFmtId="171" fontId="451" fillId="0" borderId="526" xfId="27926" applyFont="1" applyFill="1" applyBorder="1" applyAlignment="1">
      <alignment horizontal="left" vertical="center"/>
    </xf>
    <xf numFmtId="171" fontId="451" fillId="0" borderId="532" xfId="27926" applyFont="1" applyFill="1" applyBorder="1" applyAlignment="1">
      <alignment horizontal="left" vertical="center"/>
    </xf>
    <xf numFmtId="171" fontId="451" fillId="0" borderId="533" xfId="27926" applyFont="1" applyFill="1" applyBorder="1" applyAlignment="1" applyProtection="1">
      <alignment horizontal="left" vertical="center"/>
      <protection locked="0"/>
    </xf>
    <xf numFmtId="171" fontId="451" fillId="0" borderId="535" xfId="27926" applyFont="1" applyFill="1" applyBorder="1" applyAlignment="1" applyProtection="1">
      <alignment horizontal="left" vertical="center"/>
      <protection locked="0"/>
    </xf>
    <xf numFmtId="171" fontId="451" fillId="207" borderId="318" xfId="27925" quotePrefix="1" applyNumberFormat="1" applyFont="1" applyFill="1" applyBorder="1" applyAlignment="1">
      <alignment horizontal="left" vertical="center" wrapText="1"/>
    </xf>
    <xf numFmtId="171" fontId="451" fillId="207" borderId="319" xfId="27925" quotePrefix="1" applyNumberFormat="1" applyFont="1" applyFill="1" applyBorder="1" applyAlignment="1">
      <alignment horizontal="left" vertical="center" wrapText="1"/>
    </xf>
    <xf numFmtId="171" fontId="451" fillId="207" borderId="401" xfId="27925" quotePrefix="1" applyNumberFormat="1" applyFont="1" applyFill="1" applyBorder="1" applyAlignment="1">
      <alignment horizontal="left" vertical="center" wrapText="1"/>
    </xf>
    <xf numFmtId="365" fontId="451" fillId="207" borderId="437" xfId="27926" applyNumberFormat="1" applyFont="1" applyFill="1" applyBorder="1" applyAlignment="1">
      <alignment horizontal="center" vertical="center"/>
    </xf>
    <xf numFmtId="365" fontId="451" fillId="207" borderId="438" xfId="27926" applyNumberFormat="1" applyFont="1" applyFill="1" applyBorder="1" applyAlignment="1">
      <alignment horizontal="center" vertical="center"/>
    </xf>
    <xf numFmtId="171" fontId="451" fillId="207" borderId="318" xfId="27925" applyNumberFormat="1" applyFont="1" applyFill="1" applyBorder="1" applyAlignment="1">
      <alignment horizontal="left" vertical="top" wrapText="1"/>
    </xf>
    <xf numFmtId="365" fontId="682" fillId="207" borderId="437" xfId="27926" applyNumberFormat="1" applyFont="1" applyFill="1" applyBorder="1" applyAlignment="1">
      <alignment horizontal="center" vertical="center"/>
    </xf>
    <xf numFmtId="365" fontId="682" fillId="207" borderId="438" xfId="27926" applyNumberFormat="1" applyFont="1" applyFill="1" applyBorder="1" applyAlignment="1">
      <alignment horizontal="center" vertical="center"/>
    </xf>
    <xf numFmtId="365" fontId="654" fillId="207" borderId="437" xfId="27926" applyNumberFormat="1" applyFont="1" applyFill="1" applyBorder="1" applyAlignment="1">
      <alignment horizontal="center" vertical="center"/>
    </xf>
    <xf numFmtId="365" fontId="654" fillId="207" borderId="438" xfId="27926" applyNumberFormat="1" applyFont="1" applyFill="1" applyBorder="1" applyAlignment="1">
      <alignment horizontal="center" vertical="center"/>
    </xf>
    <xf numFmtId="171" fontId="451" fillId="0" borderId="319" xfId="27925" applyNumberFormat="1" applyFont="1" applyBorder="1" applyAlignment="1">
      <alignment horizontal="left" vertical="top" wrapText="1"/>
    </xf>
    <xf numFmtId="171" fontId="451" fillId="0" borderId="318" xfId="27925" applyNumberFormat="1" applyFont="1" applyBorder="1" applyAlignment="1">
      <alignment horizontal="left" vertical="center" wrapText="1"/>
    </xf>
    <xf numFmtId="171" fontId="451" fillId="0" borderId="318" xfId="27925" applyNumberFormat="1" applyFont="1" applyBorder="1" applyAlignment="1">
      <alignment horizontal="left" vertical="top" wrapText="1"/>
    </xf>
    <xf numFmtId="40" fontId="451" fillId="0" borderId="318" xfId="27925" applyNumberFormat="1" applyFont="1" applyBorder="1" applyAlignment="1">
      <alignment horizontal="left" vertical="top" wrapText="1"/>
    </xf>
    <xf numFmtId="40" fontId="451" fillId="0" borderId="319" xfId="27925" applyNumberFormat="1" applyFont="1" applyBorder="1" applyAlignment="1">
      <alignment horizontal="left" vertical="top" wrapText="1"/>
    </xf>
    <xf numFmtId="365" fontId="451" fillId="0" borderId="320" xfId="27926" applyNumberFormat="1" applyFont="1" applyBorder="1" applyAlignment="1">
      <alignment horizontal="center" vertical="center"/>
    </xf>
    <xf numFmtId="365" fontId="451" fillId="0" borderId="324" xfId="27926" applyNumberFormat="1" applyFont="1" applyBorder="1" applyAlignment="1">
      <alignment horizontal="center" vertical="center"/>
    </xf>
    <xf numFmtId="171" fontId="451" fillId="0" borderId="401" xfId="27925" applyNumberFormat="1" applyFont="1" applyBorder="1" applyAlignment="1">
      <alignment horizontal="left" vertical="top" wrapText="1"/>
    </xf>
    <xf numFmtId="365" fontId="561" fillId="0" borderId="320" xfId="27926" applyNumberFormat="1" applyFont="1" applyBorder="1" applyAlignment="1">
      <alignment horizontal="center" vertical="center"/>
    </xf>
    <xf numFmtId="365" fontId="561" fillId="0" borderId="324" xfId="27926" applyNumberFormat="1" applyFont="1" applyBorder="1" applyAlignment="1">
      <alignment horizontal="center" vertical="center"/>
    </xf>
    <xf numFmtId="171" fontId="453" fillId="0" borderId="318" xfId="27925" applyNumberFormat="1" applyFont="1" applyBorder="1" applyAlignment="1">
      <alignment horizontal="left" vertical="top" wrapText="1"/>
    </xf>
    <xf numFmtId="171" fontId="453" fillId="0" borderId="319" xfId="27925" applyNumberFormat="1" applyFont="1" applyBorder="1" applyAlignment="1">
      <alignment horizontal="left" vertical="top" wrapText="1"/>
    </xf>
    <xf numFmtId="365" fontId="453" fillId="0" borderId="437" xfId="27926" applyNumberFormat="1" applyFont="1" applyFill="1" applyBorder="1" applyAlignment="1">
      <alignment horizontal="center" vertical="center"/>
    </xf>
    <xf numFmtId="365" fontId="453" fillId="0" borderId="438" xfId="27926" applyNumberFormat="1" applyFont="1" applyFill="1" applyBorder="1" applyAlignment="1">
      <alignment horizontal="center" vertical="center"/>
    </xf>
    <xf numFmtId="365" fontId="451" fillId="0" borderId="437" xfId="27926" applyNumberFormat="1" applyFont="1" applyFill="1" applyBorder="1" applyAlignment="1">
      <alignment horizontal="center" vertical="center"/>
    </xf>
    <xf numFmtId="365" fontId="451" fillId="0" borderId="438" xfId="27926" applyNumberFormat="1" applyFont="1" applyFill="1" applyBorder="1" applyAlignment="1">
      <alignment horizontal="center" vertical="center"/>
    </xf>
    <xf numFmtId="365" fontId="453" fillId="0" borderId="320" xfId="27926" applyNumberFormat="1" applyFont="1" applyBorder="1" applyAlignment="1">
      <alignment horizontal="center" vertical="center"/>
    </xf>
    <xf numFmtId="365" fontId="453" fillId="0" borderId="324" xfId="27926" applyNumberFormat="1" applyFont="1" applyBorder="1" applyAlignment="1">
      <alignment horizontal="center" vertical="center"/>
    </xf>
    <xf numFmtId="171" fontId="453" fillId="0" borderId="318" xfId="27925" quotePrefix="1" applyNumberFormat="1" applyFont="1" applyBorder="1" applyAlignment="1">
      <alignment horizontal="left" vertical="top" wrapText="1"/>
    </xf>
    <xf numFmtId="0" fontId="453" fillId="0" borderId="318" xfId="27925" applyFont="1" applyBorder="1" applyAlignment="1">
      <alignment horizontal="left" vertical="top" wrapText="1"/>
    </xf>
    <xf numFmtId="0" fontId="453" fillId="0" borderId="319" xfId="27925" applyFont="1" applyBorder="1" applyAlignment="1">
      <alignment horizontal="left" vertical="top" wrapText="1"/>
    </xf>
    <xf numFmtId="365" fontId="682" fillId="0" borderId="320" xfId="27926" applyNumberFormat="1" applyFont="1" applyBorder="1" applyAlignment="1">
      <alignment horizontal="center" vertical="center"/>
    </xf>
    <xf numFmtId="365" fontId="682" fillId="0" borderId="324" xfId="27926" applyNumberFormat="1" applyFont="1" applyBorder="1" applyAlignment="1">
      <alignment horizontal="center" vertical="center"/>
    </xf>
    <xf numFmtId="365" fontId="654" fillId="0" borderId="320" xfId="27926" applyNumberFormat="1" applyFont="1" applyBorder="1" applyAlignment="1">
      <alignment horizontal="center" vertical="center"/>
    </xf>
    <xf numFmtId="365" fontId="654" fillId="0" borderId="324" xfId="27926" applyNumberFormat="1" applyFont="1" applyBorder="1" applyAlignment="1">
      <alignment horizontal="center" vertical="center"/>
    </xf>
    <xf numFmtId="171" fontId="473" fillId="143" borderId="41" xfId="27961" applyFont="1" applyFill="1" applyBorder="1" applyAlignment="1">
      <alignment horizontal="center" vertical="center" wrapText="1"/>
    </xf>
    <xf numFmtId="171" fontId="473" fillId="143" borderId="111" xfId="27961" applyFont="1" applyFill="1" applyBorder="1" applyAlignment="1">
      <alignment horizontal="center" vertical="center" wrapText="1"/>
    </xf>
    <xf numFmtId="171" fontId="473" fillId="143" borderId="112" xfId="27961" applyFont="1" applyFill="1" applyBorder="1" applyAlignment="1">
      <alignment horizontal="center" vertical="center" wrapText="1"/>
    </xf>
    <xf numFmtId="0" fontId="478" fillId="142" borderId="111" xfId="27961" applyNumberFormat="1" applyFont="1" applyFill="1" applyBorder="1" applyAlignment="1">
      <alignment horizontal="center" vertical="center"/>
    </xf>
    <xf numFmtId="0" fontId="478" fillId="142" borderId="0" xfId="27961" applyNumberFormat="1" applyFont="1" applyFill="1" applyBorder="1" applyAlignment="1">
      <alignment horizontal="center" vertical="center"/>
    </xf>
    <xf numFmtId="0" fontId="609" fillId="221" borderId="110" xfId="27971" applyNumberFormat="1" applyFont="1" applyFill="1" applyBorder="1" applyAlignment="1">
      <alignment horizontal="left" vertical="top" wrapText="1"/>
    </xf>
    <xf numFmtId="0" fontId="609" fillId="221" borderId="109" xfId="27971" applyNumberFormat="1" applyFont="1" applyFill="1" applyBorder="1" applyAlignment="1">
      <alignment horizontal="left" vertical="top" wrapText="1"/>
    </xf>
    <xf numFmtId="0" fontId="609" fillId="221" borderId="112" xfId="27971" applyNumberFormat="1" applyFont="1" applyFill="1" applyBorder="1" applyAlignment="1">
      <alignment horizontal="center" vertical="top" wrapText="1"/>
    </xf>
    <xf numFmtId="0" fontId="609" fillId="221" borderId="52" xfId="27971" applyNumberFormat="1" applyFont="1" applyFill="1" applyBorder="1" applyAlignment="1">
      <alignment horizontal="center" vertical="top" wrapText="1"/>
    </xf>
    <xf numFmtId="0" fontId="609" fillId="221" borderId="231" xfId="27971" applyNumberFormat="1" applyFont="1" applyFill="1" applyBorder="1" applyAlignment="1">
      <alignment horizontal="center" vertical="top" wrapText="1"/>
    </xf>
    <xf numFmtId="179" fontId="609" fillId="221" borderId="111" xfId="27971" applyNumberFormat="1" applyFont="1" applyFill="1" applyBorder="1" applyAlignment="1">
      <alignment horizontal="center" vertical="top" wrapText="1"/>
    </xf>
    <xf numFmtId="179" fontId="609" fillId="221" borderId="0" xfId="27971" applyNumberFormat="1" applyFont="1" applyFill="1" applyBorder="1" applyAlignment="1">
      <alignment horizontal="center" vertical="top" wrapText="1"/>
    </xf>
    <xf numFmtId="179" fontId="609" fillId="221" borderId="434" xfId="27971" applyNumberFormat="1" applyFont="1" applyFill="1" applyBorder="1" applyAlignment="1">
      <alignment horizontal="center" vertical="top" wrapText="1"/>
    </xf>
    <xf numFmtId="0" fontId="540" fillId="34" borderId="124" xfId="27970" applyFont="1" applyFill="1" applyBorder="1" applyAlignment="1">
      <alignment horizontal="left" vertical="center" wrapText="1"/>
    </xf>
    <xf numFmtId="0" fontId="608" fillId="221" borderId="41" xfId="27970" applyFont="1" applyFill="1" applyBorder="1" applyAlignment="1">
      <alignment horizontal="center" vertical="top"/>
    </xf>
    <xf numFmtId="0" fontId="608" fillId="221" borderId="59" xfId="27970" applyFont="1" applyFill="1" applyBorder="1" applyAlignment="1">
      <alignment horizontal="center" vertical="top"/>
    </xf>
    <xf numFmtId="0" fontId="608" fillId="221" borderId="230" xfId="27970" applyFont="1" applyFill="1" applyBorder="1" applyAlignment="1">
      <alignment horizontal="center" vertical="top"/>
    </xf>
    <xf numFmtId="0" fontId="638" fillId="0" borderId="111" xfId="27971" applyNumberFormat="1" applyFont="1" applyFill="1" applyBorder="1" applyAlignment="1">
      <alignment horizontal="left" vertical="top" wrapText="1"/>
    </xf>
    <xf numFmtId="0" fontId="638" fillId="0" borderId="0" xfId="27971" applyNumberFormat="1" applyFont="1" applyFill="1" applyBorder="1" applyAlignment="1">
      <alignment horizontal="left" vertical="top" wrapText="1"/>
    </xf>
    <xf numFmtId="0" fontId="638" fillId="0" borderId="434" xfId="27971" applyNumberFormat="1" applyFont="1" applyFill="1" applyBorder="1" applyAlignment="1">
      <alignment horizontal="left" vertical="top" wrapText="1"/>
    </xf>
    <xf numFmtId="0" fontId="630" fillId="0" borderId="111" xfId="27971" applyNumberFormat="1" applyFont="1" applyFill="1" applyBorder="1" applyAlignment="1">
      <alignment horizontal="center" vertical="top" wrapText="1"/>
    </xf>
    <xf numFmtId="0" fontId="630" fillId="0" borderId="0" xfId="27971" applyNumberFormat="1" applyFont="1" applyFill="1" applyBorder="1" applyAlignment="1">
      <alignment horizontal="center" vertical="top" wrapText="1"/>
    </xf>
    <xf numFmtId="0" fontId="630" fillId="0" borderId="434" xfId="27971" applyNumberFormat="1" applyFont="1" applyFill="1" applyBorder="1" applyAlignment="1">
      <alignment horizontal="center" vertical="top" wrapText="1"/>
    </xf>
    <xf numFmtId="0" fontId="646" fillId="228" borderId="575" xfId="0" applyFont="1" applyFill="1" applyBorder="1" applyAlignment="1">
      <alignment horizontal="center" vertical="center"/>
    </xf>
    <xf numFmtId="0" fontId="646" fillId="228" borderId="576" xfId="0" applyFont="1" applyFill="1" applyBorder="1"/>
    <xf numFmtId="0" fontId="649" fillId="229" borderId="578" xfId="0" applyFont="1" applyFill="1" applyBorder="1" applyAlignment="1">
      <alignment horizontal="center" vertical="center"/>
    </xf>
    <xf numFmtId="179" fontId="515" fillId="169" borderId="223" xfId="27961" applyNumberFormat="1" applyFont="1" applyFill="1" applyBorder="1" applyAlignment="1">
      <alignment horizontal="center" vertical="center" wrapText="1"/>
    </xf>
    <xf numFmtId="179" fontId="515" fillId="169" borderId="183" xfId="27961" applyNumberFormat="1" applyFont="1" applyFill="1" applyBorder="1" applyAlignment="1">
      <alignment horizontal="center" vertical="center" wrapText="1"/>
    </xf>
    <xf numFmtId="179" fontId="515" fillId="169" borderId="224" xfId="27961" applyNumberFormat="1" applyFont="1" applyFill="1" applyBorder="1" applyAlignment="1">
      <alignment horizontal="center" vertical="center" wrapText="1"/>
    </xf>
    <xf numFmtId="0" fontId="679" fillId="0" borderId="0" xfId="27977" applyFont="1" applyAlignment="1">
      <alignment horizontal="left" vertical="center" wrapText="1"/>
    </xf>
    <xf numFmtId="0" fontId="2" fillId="0" borderId="0" xfId="27977"/>
    <xf numFmtId="38" fontId="677" fillId="6" borderId="580" xfId="27977" applyNumberFormat="1" applyFont="1" applyFill="1" applyBorder="1" applyAlignment="1">
      <alignment horizontal="center" vertical="center"/>
    </xf>
    <xf numFmtId="0" fontId="2" fillId="0" borderId="580" xfId="27977" applyBorder="1"/>
    <xf numFmtId="0" fontId="664" fillId="231" borderId="580" xfId="27977" applyFont="1" applyFill="1" applyBorder="1" applyAlignment="1">
      <alignment horizontal="center" vertical="center"/>
    </xf>
    <xf numFmtId="0" fontId="670" fillId="234" borderId="0" xfId="27977" applyFont="1" applyFill="1" applyAlignment="1">
      <alignment horizontal="left" vertical="center" indent="1"/>
    </xf>
    <xf numFmtId="0" fontId="664" fillId="239" borderId="580" xfId="27977" applyFont="1" applyFill="1" applyBorder="1" applyAlignment="1">
      <alignment horizontal="center" vertical="center"/>
    </xf>
    <xf numFmtId="0" fontId="671" fillId="0" borderId="0" xfId="27977" applyFont="1" applyAlignment="1">
      <alignment horizontal="left" indent="1"/>
    </xf>
    <xf numFmtId="0" fontId="664" fillId="230" borderId="580" xfId="27977" applyFont="1" applyFill="1" applyBorder="1" applyAlignment="1">
      <alignment horizontal="center" vertical="center"/>
    </xf>
    <xf numFmtId="0" fontId="664" fillId="229" borderId="580" xfId="27977" applyFont="1" applyFill="1" applyBorder="1" applyAlignment="1">
      <alignment horizontal="center" vertical="center"/>
    </xf>
    <xf numFmtId="1" fontId="665" fillId="6" borderId="580" xfId="27977" applyNumberFormat="1" applyFont="1" applyFill="1" applyBorder="1" applyAlignment="1">
      <alignment horizontal="center" vertical="center"/>
    </xf>
    <xf numFmtId="0" fontId="452" fillId="170" borderId="223" xfId="22751" applyFont="1" applyFill="1" applyBorder="1" applyAlignment="1">
      <alignment horizontal="center" vertical="center" wrapText="1"/>
    </xf>
    <xf numFmtId="0" fontId="452" fillId="170" borderId="183" xfId="22751" applyFont="1" applyFill="1" applyBorder="1" applyAlignment="1">
      <alignment horizontal="center" vertical="center" wrapText="1"/>
    </xf>
    <xf numFmtId="0" fontId="452" fillId="170" borderId="224" xfId="22751" applyFont="1" applyFill="1" applyBorder="1" applyAlignment="1">
      <alignment horizontal="center" vertical="center" wrapText="1"/>
    </xf>
    <xf numFmtId="358" fontId="451" fillId="0" borderId="114" xfId="19286" applyNumberFormat="1" applyFont="1" applyFill="1" applyBorder="1" applyAlignment="1" applyProtection="1">
      <alignment horizontal="center" vertical="center"/>
    </xf>
    <xf numFmtId="358" fontId="451" fillId="0" borderId="0" xfId="19286" applyNumberFormat="1" applyFont="1" applyFill="1" applyBorder="1" applyAlignment="1" applyProtection="1">
      <alignment horizontal="center" vertical="center"/>
    </xf>
    <xf numFmtId="358" fontId="451" fillId="0" borderId="170" xfId="19286" applyNumberFormat="1" applyFont="1" applyFill="1" applyBorder="1" applyAlignment="1" applyProtection="1">
      <alignment horizontal="center" vertical="center"/>
    </xf>
    <xf numFmtId="0" fontId="469" fillId="0" borderId="0" xfId="22751" applyFont="1" applyAlignment="1">
      <alignment horizontal="left" vertical="center" wrapText="1" indent="3"/>
    </xf>
    <xf numFmtId="38" fontId="220" fillId="142" borderId="103" xfId="22752" applyNumberFormat="1" applyFont="1" applyFill="1" applyBorder="1" applyAlignment="1" applyProtection="1">
      <alignment horizontal="center" vertical="center"/>
    </xf>
    <xf numFmtId="38" fontId="220" fillId="142" borderId="181" xfId="22752" applyNumberFormat="1" applyFont="1" applyFill="1" applyBorder="1" applyAlignment="1" applyProtection="1">
      <alignment horizontal="center" vertical="center"/>
    </xf>
    <xf numFmtId="38" fontId="220" fillId="142" borderId="185" xfId="22752" applyNumberFormat="1" applyFont="1" applyFill="1" applyBorder="1" applyAlignment="1" applyProtection="1">
      <alignment horizontal="center" vertical="center"/>
    </xf>
    <xf numFmtId="38" fontId="340" fillId="187" borderId="180" xfId="22752" quotePrefix="1" applyNumberFormat="1" applyFont="1" applyFill="1" applyBorder="1" applyAlignment="1" applyProtection="1">
      <alignment horizontal="center" vertical="center" wrapText="1"/>
    </xf>
    <xf numFmtId="38" fontId="340" fillId="187" borderId="182" xfId="22752" quotePrefix="1" applyNumberFormat="1" applyFont="1" applyFill="1" applyBorder="1" applyAlignment="1" applyProtection="1">
      <alignment horizontal="center" vertical="center" wrapText="1"/>
    </xf>
    <xf numFmtId="0" fontId="452" fillId="157" borderId="223" xfId="22751" applyFont="1" applyFill="1" applyBorder="1" applyAlignment="1">
      <alignment horizontal="center" vertical="center" wrapText="1"/>
    </xf>
    <xf numFmtId="0" fontId="452" fillId="157" borderId="183" xfId="22751" applyFont="1" applyFill="1" applyBorder="1" applyAlignment="1">
      <alignment horizontal="center" vertical="center" wrapText="1"/>
    </xf>
    <xf numFmtId="0" fontId="452" fillId="157" borderId="224" xfId="22751" applyFont="1" applyFill="1" applyBorder="1" applyAlignment="1">
      <alignment horizontal="center" vertical="center" wrapText="1"/>
    </xf>
    <xf numFmtId="38" fontId="469" fillId="0" borderId="0" xfId="22751" applyNumberFormat="1" applyFont="1" applyAlignment="1">
      <alignment horizontal="left" vertical="center" wrapText="1" indent="3"/>
    </xf>
    <xf numFmtId="38" fontId="478" fillId="142" borderId="228" xfId="22751" applyNumberFormat="1" applyFont="1" applyFill="1" applyBorder="1" applyAlignment="1">
      <alignment horizontal="center" vertical="top"/>
    </xf>
    <xf numFmtId="38" fontId="478" fillId="142" borderId="126" xfId="22751" applyNumberFormat="1" applyFont="1" applyFill="1" applyBorder="1" applyAlignment="1">
      <alignment horizontal="center" vertical="top"/>
    </xf>
    <xf numFmtId="38" fontId="478" fillId="142" borderId="228" xfId="22751" applyNumberFormat="1" applyFont="1" applyFill="1" applyBorder="1" applyAlignment="1">
      <alignment horizontal="center" vertical="top" wrapText="1"/>
    </xf>
    <xf numFmtId="38" fontId="478" fillId="142" borderId="126" xfId="22751" applyNumberFormat="1" applyFont="1" applyFill="1" applyBorder="1" applyAlignment="1">
      <alignment horizontal="center" vertical="top" wrapText="1"/>
    </xf>
    <xf numFmtId="0" fontId="452" fillId="158" borderId="223" xfId="22751" applyFont="1" applyFill="1" applyBorder="1" applyAlignment="1">
      <alignment horizontal="center" vertical="center" wrapText="1"/>
    </xf>
    <xf numFmtId="0" fontId="452" fillId="158" borderId="183" xfId="22751" applyFont="1" applyFill="1" applyBorder="1" applyAlignment="1">
      <alignment horizontal="center" vertical="center" wrapText="1"/>
    </xf>
    <xf numFmtId="0" fontId="452" fillId="158" borderId="224" xfId="22751" applyFont="1" applyFill="1" applyBorder="1" applyAlignment="1">
      <alignment horizontal="center" vertical="center" wrapText="1"/>
    </xf>
    <xf numFmtId="358" fontId="451" fillId="0" borderId="223" xfId="19286" applyNumberFormat="1" applyFont="1" applyBorder="1" applyAlignment="1" applyProtection="1">
      <alignment horizontal="center" vertical="center"/>
    </xf>
    <xf numFmtId="358" fontId="451" fillId="0" borderId="183" xfId="19286" applyNumberFormat="1" applyFont="1" applyBorder="1" applyAlignment="1" applyProtection="1">
      <alignment horizontal="center" vertical="center"/>
    </xf>
    <xf numFmtId="358" fontId="451" fillId="0" borderId="224" xfId="19286" applyNumberFormat="1" applyFont="1" applyBorder="1" applyAlignment="1" applyProtection="1">
      <alignment horizontal="center" vertical="center"/>
    </xf>
    <xf numFmtId="0" fontId="452" fillId="158" borderId="114" xfId="22751" applyFont="1" applyFill="1" applyBorder="1" applyAlignment="1">
      <alignment horizontal="center" vertical="center" wrapText="1"/>
    </xf>
    <xf numFmtId="0" fontId="452" fillId="158" borderId="0" xfId="22751" applyFont="1" applyFill="1" applyAlignment="1">
      <alignment horizontal="center" vertical="center" wrapText="1"/>
    </xf>
    <xf numFmtId="0" fontId="452" fillId="158" borderId="170" xfId="22751" applyFont="1" applyFill="1" applyBorder="1" applyAlignment="1">
      <alignment horizontal="center" vertical="center" wrapText="1"/>
    </xf>
    <xf numFmtId="0" fontId="452" fillId="157" borderId="114" xfId="22751" applyFont="1" applyFill="1" applyBorder="1" applyAlignment="1">
      <alignment horizontal="center" vertical="center" wrapText="1"/>
    </xf>
    <xf numFmtId="0" fontId="452" fillId="157" borderId="0" xfId="22751" applyFont="1" applyFill="1" applyAlignment="1">
      <alignment horizontal="center" vertical="center" wrapText="1"/>
    </xf>
    <xf numFmtId="0" fontId="452" fillId="157" borderId="170" xfId="22751" applyFont="1" applyFill="1" applyBorder="1" applyAlignment="1">
      <alignment horizontal="center" vertical="center" wrapText="1"/>
    </xf>
    <xf numFmtId="0" fontId="451" fillId="0" borderId="223" xfId="0" applyFont="1" applyBorder="1" applyAlignment="1">
      <alignment horizontal="center" vertical="center"/>
    </xf>
    <xf numFmtId="0" fontId="451" fillId="0" borderId="183" xfId="0" applyFont="1" applyBorder="1" applyAlignment="1">
      <alignment horizontal="center" vertical="center"/>
    </xf>
    <xf numFmtId="0" fontId="451" fillId="0" borderId="224" xfId="0" applyFont="1" applyBorder="1" applyAlignment="1">
      <alignment horizontal="center" vertical="center"/>
    </xf>
    <xf numFmtId="38" fontId="63" fillId="0" borderId="228" xfId="22752" applyNumberFormat="1" applyFont="1" applyBorder="1" applyAlignment="1" applyProtection="1">
      <alignment horizontal="center" vertical="center"/>
    </xf>
    <xf numFmtId="38" fontId="63" fillId="0" borderId="115" xfId="22752" applyNumberFormat="1" applyFont="1" applyBorder="1" applyAlignment="1" applyProtection="1">
      <alignment horizontal="center" vertical="center"/>
    </xf>
    <xf numFmtId="38" fontId="63" fillId="0" borderId="126" xfId="22752" applyNumberFormat="1" applyFont="1" applyBorder="1" applyAlignment="1" applyProtection="1">
      <alignment horizontal="center" vertical="center"/>
    </xf>
    <xf numFmtId="38" fontId="220" fillId="142" borderId="228" xfId="22751" applyNumberFormat="1" applyFont="1" applyFill="1" applyBorder="1" applyAlignment="1">
      <alignment horizontal="center" vertical="top"/>
    </xf>
    <xf numFmtId="38" fontId="220" fillId="142" borderId="126" xfId="22751" applyNumberFormat="1" applyFont="1" applyFill="1" applyBorder="1" applyAlignment="1">
      <alignment horizontal="center" vertical="top"/>
    </xf>
    <xf numFmtId="38" fontId="220" fillId="142" borderId="228" xfId="22751" applyNumberFormat="1" applyFont="1" applyFill="1" applyBorder="1" applyAlignment="1">
      <alignment horizontal="center" vertical="top" wrapText="1"/>
    </xf>
    <xf numFmtId="38" fontId="220" fillId="142" borderId="126" xfId="22751" applyNumberFormat="1" applyFont="1" applyFill="1" applyBorder="1" applyAlignment="1">
      <alignment horizontal="center" vertical="top" wrapText="1"/>
    </xf>
    <xf numFmtId="0" fontId="602" fillId="179" borderId="509" xfId="27962" applyFont="1" applyFill="1" applyBorder="1" applyAlignment="1" applyProtection="1">
      <alignment horizontal="center" vertical="center" wrapText="1"/>
      <protection locked="0"/>
    </xf>
    <xf numFmtId="0" fontId="602" fillId="179" borderId="511" xfId="27962" applyFont="1" applyFill="1" applyBorder="1" applyAlignment="1" applyProtection="1">
      <alignment horizontal="center" vertical="center" wrapText="1"/>
      <protection locked="0"/>
    </xf>
    <xf numFmtId="0" fontId="602" fillId="179" borderId="511" xfId="27962" applyFont="1" applyFill="1" applyBorder="1" applyAlignment="1" applyProtection="1">
      <alignment horizontal="center" vertical="center"/>
      <protection locked="0"/>
    </xf>
    <xf numFmtId="0" fontId="599" fillId="219" borderId="512" xfId="27962" applyFont="1" applyFill="1" applyBorder="1" applyAlignment="1" applyProtection="1">
      <alignment horizontal="center" vertical="center" wrapText="1"/>
      <protection locked="0"/>
    </xf>
    <xf numFmtId="0" fontId="599" fillId="219" borderId="517" xfId="27962" applyFont="1" applyFill="1" applyBorder="1" applyAlignment="1" applyProtection="1">
      <alignment horizontal="center" vertical="center" wrapText="1"/>
      <protection locked="0"/>
    </xf>
    <xf numFmtId="0" fontId="602" fillId="179" borderId="487" xfId="27962" applyFont="1" applyFill="1" applyBorder="1" applyAlignment="1" applyProtection="1">
      <alignment horizontal="center" vertical="center" wrapText="1"/>
      <protection locked="0"/>
    </xf>
    <xf numFmtId="0" fontId="602" fillId="179" borderId="490" xfId="27962" applyFont="1" applyFill="1" applyBorder="1" applyAlignment="1" applyProtection="1">
      <alignment horizontal="center" vertical="center" wrapText="1"/>
      <protection locked="0"/>
    </xf>
    <xf numFmtId="0" fontId="602" fillId="179" borderId="509" xfId="27962" applyFont="1" applyFill="1" applyBorder="1" applyAlignment="1" applyProtection="1">
      <alignment horizontal="center" vertical="center"/>
      <protection locked="0"/>
    </xf>
    <xf numFmtId="0" fontId="602" fillId="179" borderId="510" xfId="27962" applyFont="1" applyFill="1" applyBorder="1" applyAlignment="1" applyProtection="1">
      <alignment horizontal="center" vertical="center" wrapText="1"/>
      <protection locked="0"/>
    </xf>
    <xf numFmtId="0" fontId="466" fillId="142" borderId="113" xfId="359" applyFont="1" applyFill="1" applyBorder="1" applyAlignment="1">
      <alignment horizontal="center" vertical="center" wrapText="1"/>
    </xf>
    <xf numFmtId="0" fontId="466" fillId="142" borderId="125" xfId="359" applyFont="1" applyFill="1" applyBorder="1" applyAlignment="1">
      <alignment horizontal="center" vertical="center" wrapText="1"/>
    </xf>
    <xf numFmtId="0" fontId="466" fillId="142" borderId="228" xfId="359" applyFont="1" applyFill="1" applyBorder="1" applyAlignment="1">
      <alignment horizontal="center" vertical="center" wrapText="1"/>
    </xf>
    <xf numFmtId="0" fontId="466" fillId="142" borderId="126" xfId="359" applyFont="1" applyFill="1" applyBorder="1" applyAlignment="1">
      <alignment horizontal="center" vertical="center" wrapText="1"/>
    </xf>
    <xf numFmtId="0" fontId="466" fillId="142" borderId="222" xfId="359" applyFont="1" applyFill="1" applyBorder="1" applyAlignment="1">
      <alignment horizontal="left" vertical="center" wrapText="1"/>
    </xf>
    <xf numFmtId="0" fontId="466" fillId="142" borderId="123" xfId="359" applyFont="1" applyFill="1" applyBorder="1" applyAlignment="1">
      <alignment horizontal="left" vertical="center" wrapText="1"/>
    </xf>
    <xf numFmtId="171" fontId="373" fillId="116" borderId="108" xfId="22679" applyNumberFormat="1" applyFont="1" applyFill="1" applyBorder="1" applyAlignment="1" applyProtection="1">
      <alignment horizontal="center" vertical="center"/>
      <protection locked="0"/>
    </xf>
    <xf numFmtId="171" fontId="373" fillId="116" borderId="110" xfId="22679" applyNumberFormat="1" applyFont="1" applyFill="1" applyBorder="1" applyAlignment="1" applyProtection="1">
      <alignment horizontal="center" vertical="center"/>
      <protection locked="0"/>
    </xf>
    <xf numFmtId="171" fontId="373" fillId="116" borderId="109" xfId="22679" applyNumberFormat="1" applyFont="1" applyFill="1" applyBorder="1" applyAlignment="1" applyProtection="1">
      <alignment horizontal="center" vertical="center"/>
      <protection locked="0"/>
    </xf>
    <xf numFmtId="179" fontId="373" fillId="111" borderId="0" xfId="22687" applyNumberFormat="1" applyFont="1" applyFill="1" applyBorder="1" applyAlignment="1" applyProtection="1">
      <alignment horizontal="center" vertical="center" wrapText="1"/>
      <protection locked="0"/>
    </xf>
    <xf numFmtId="179" fontId="373" fillId="111" borderId="124" xfId="22687" applyNumberFormat="1" applyFont="1" applyFill="1" applyBorder="1" applyAlignment="1" applyProtection="1">
      <alignment horizontal="center" vertical="center" wrapText="1"/>
      <protection locked="0"/>
    </xf>
    <xf numFmtId="171" fontId="373" fillId="111" borderId="108" xfId="22679" applyNumberFormat="1" applyFont="1" applyFill="1" applyBorder="1" applyAlignment="1" applyProtection="1">
      <alignment horizontal="center" vertical="center" wrapText="1"/>
      <protection locked="0"/>
    </xf>
    <xf numFmtId="171" fontId="373" fillId="111" borderId="110" xfId="22679" applyNumberFormat="1" applyFont="1" applyFill="1" applyBorder="1" applyAlignment="1" applyProtection="1">
      <alignment horizontal="center" vertical="center" wrapText="1"/>
      <protection locked="0"/>
    </xf>
    <xf numFmtId="171" fontId="373" fillId="115" borderId="110" xfId="22679" applyNumberFormat="1" applyFont="1" applyFill="1" applyBorder="1" applyAlignment="1" applyProtection="1">
      <alignment horizontal="center" vertical="center"/>
      <protection locked="0"/>
    </xf>
    <xf numFmtId="179" fontId="373" fillId="0" borderId="52" xfId="22687" applyNumberFormat="1" applyFont="1" applyFill="1" applyBorder="1" applyAlignment="1" applyProtection="1">
      <alignment horizontal="center" vertical="center" wrapText="1"/>
      <protection locked="0"/>
    </xf>
    <xf numFmtId="179" fontId="373" fillId="0" borderId="131" xfId="22687" applyNumberFormat="1" applyFont="1" applyFill="1" applyBorder="1" applyAlignment="1" applyProtection="1">
      <alignment horizontal="center" vertical="center" wrapText="1"/>
      <protection locked="0"/>
    </xf>
    <xf numFmtId="171" fontId="373" fillId="115" borderId="108" xfId="22679" applyNumberFormat="1" applyFont="1" applyFill="1" applyBorder="1" applyAlignment="1" applyProtection="1">
      <alignment horizontal="center" vertical="center"/>
      <protection locked="0"/>
    </xf>
    <xf numFmtId="49" fontId="375" fillId="107" borderId="129" xfId="22678" applyNumberFormat="1" applyFont="1" applyFill="1" applyBorder="1" applyAlignment="1" applyProtection="1">
      <alignment horizontal="left" vertical="top"/>
      <protection locked="0"/>
    </xf>
    <xf numFmtId="49" fontId="375" fillId="107" borderId="133" xfId="22678" applyNumberFormat="1" applyFont="1" applyFill="1" applyBorder="1" applyAlignment="1" applyProtection="1">
      <alignment horizontal="left" vertical="top"/>
      <protection locked="0"/>
    </xf>
    <xf numFmtId="49" fontId="375" fillId="107" borderId="370" xfId="22678" applyNumberFormat="1" applyFont="1" applyFill="1" applyBorder="1" applyAlignment="1" applyProtection="1">
      <alignment horizontal="left" vertical="top"/>
      <protection locked="0"/>
    </xf>
    <xf numFmtId="49" fontId="375" fillId="0" borderId="129" xfId="22678" applyNumberFormat="1" applyFont="1" applyBorder="1" applyAlignment="1" applyProtection="1">
      <alignment horizontal="left" vertical="top"/>
      <protection locked="0"/>
    </xf>
    <xf numFmtId="49" fontId="375" fillId="0" borderId="133" xfId="22678" applyNumberFormat="1" applyFont="1" applyBorder="1" applyAlignment="1" applyProtection="1">
      <alignment horizontal="left" vertical="top"/>
      <protection locked="0"/>
    </xf>
    <xf numFmtId="49" fontId="375" fillId="0" borderId="370" xfId="22678" applyNumberFormat="1" applyFont="1" applyBorder="1" applyAlignment="1" applyProtection="1">
      <alignment horizontal="left" vertical="top"/>
      <protection locked="0"/>
    </xf>
    <xf numFmtId="179" fontId="171" fillId="33" borderId="136" xfId="2" applyNumberFormat="1" applyFont="1" applyFill="1" applyBorder="1" applyAlignment="1">
      <alignment horizontal="center" wrapText="1"/>
    </xf>
    <xf numFmtId="0" fontId="50" fillId="0" borderId="137" xfId="22683" applyBorder="1" applyAlignment="1">
      <alignment wrapText="1"/>
    </xf>
    <xf numFmtId="0" fontId="50" fillId="0" borderId="138" xfId="22683" applyBorder="1" applyAlignment="1">
      <alignment wrapText="1"/>
    </xf>
    <xf numFmtId="171" fontId="171" fillId="33" borderId="15" xfId="135" applyFont="1" applyFill="1" applyBorder="1" applyAlignment="1">
      <alignment horizontal="center" vertical="top" wrapText="1"/>
    </xf>
    <xf numFmtId="0" fontId="50" fillId="0" borderId="15" xfId="22683" applyBorder="1" applyAlignment="1">
      <alignment wrapText="1"/>
    </xf>
    <xf numFmtId="0" fontId="366" fillId="0" borderId="0" xfId="22684" applyFont="1" applyAlignment="1">
      <alignment horizontal="center"/>
    </xf>
    <xf numFmtId="171" fontId="169" fillId="0" borderId="135" xfId="135" applyFont="1" applyBorder="1" applyAlignment="1">
      <alignment vertical="center" wrapText="1"/>
    </xf>
    <xf numFmtId="0" fontId="50" fillId="0" borderId="126" xfId="22683" applyBorder="1" applyAlignment="1">
      <alignment vertical="center" wrapText="1"/>
    </xf>
    <xf numFmtId="1" fontId="169" fillId="0" borderId="126" xfId="135" applyNumberFormat="1" applyFont="1" applyBorder="1" applyAlignment="1">
      <alignment horizontal="center" vertical="center" wrapText="1"/>
    </xf>
    <xf numFmtId="1" fontId="50" fillId="0" borderId="126" xfId="22683" applyNumberFormat="1" applyBorder="1" applyAlignment="1">
      <alignment horizontal="center" vertical="center" wrapText="1"/>
    </xf>
    <xf numFmtId="171" fontId="340" fillId="0" borderId="108" xfId="135" applyFont="1" applyBorder="1" applyAlignment="1">
      <alignment horizontal="left" wrapText="1"/>
    </xf>
    <xf numFmtId="171" fontId="340" fillId="0" borderId="110" xfId="135" applyFont="1" applyBorder="1" applyAlignment="1">
      <alignment horizontal="left" wrapText="1"/>
    </xf>
    <xf numFmtId="0" fontId="63" fillId="0" borderId="109" xfId="22683" applyFont="1" applyBorder="1" applyAlignment="1">
      <alignment wrapText="1"/>
    </xf>
    <xf numFmtId="1" fontId="169" fillId="0" borderId="223" xfId="135" applyNumberFormat="1" applyFont="1" applyBorder="1" applyAlignment="1">
      <alignment horizontal="center" vertical="center" wrapText="1"/>
    </xf>
    <xf numFmtId="1" fontId="169" fillId="0" borderId="224" xfId="135" applyNumberFormat="1" applyFont="1" applyBorder="1" applyAlignment="1">
      <alignment horizontal="center" vertical="center" wrapText="1"/>
    </xf>
    <xf numFmtId="171" fontId="169" fillId="0" borderId="161" xfId="135" applyFont="1" applyBorder="1" applyAlignment="1">
      <alignment vertical="center" wrapText="1"/>
    </xf>
    <xf numFmtId="171" fontId="169" fillId="0" borderId="224" xfId="135" applyFont="1" applyBorder="1" applyAlignment="1">
      <alignment vertical="center" wrapText="1"/>
    </xf>
    <xf numFmtId="38" fontId="340" fillId="33" borderId="108" xfId="22678" applyNumberFormat="1" applyFont="1" applyFill="1" applyBorder="1" applyAlignment="1" applyProtection="1">
      <alignment vertical="center" wrapText="1"/>
      <protection locked="0"/>
    </xf>
    <xf numFmtId="38" fontId="340" fillId="33" borderId="110" xfId="22678" applyNumberFormat="1" applyFont="1" applyFill="1" applyBorder="1" applyAlignment="1" applyProtection="1">
      <alignment vertical="center" wrapText="1"/>
      <protection locked="0"/>
    </xf>
    <xf numFmtId="0" fontId="350" fillId="33" borderId="110" xfId="22683" applyFont="1" applyFill="1" applyBorder="1" applyAlignment="1">
      <alignment vertical="center" wrapText="1"/>
    </xf>
    <xf numFmtId="0" fontId="350" fillId="33" borderId="109" xfId="22683" applyFont="1" applyFill="1" applyBorder="1" applyAlignment="1">
      <alignment vertical="center" wrapText="1"/>
    </xf>
    <xf numFmtId="171" fontId="346" fillId="0" borderId="149" xfId="135" applyFont="1" applyBorder="1" applyAlignment="1">
      <alignment horizontal="left" wrapText="1"/>
    </xf>
    <xf numFmtId="171" fontId="346" fillId="0" borderId="150" xfId="135" applyFont="1" applyBorder="1" applyAlignment="1">
      <alignment horizontal="left" wrapText="1"/>
    </xf>
    <xf numFmtId="0" fontId="63" fillId="0" borderId="151" xfId="22683" applyFont="1" applyBorder="1" applyAlignment="1">
      <alignment wrapText="1"/>
    </xf>
    <xf numFmtId="171" fontId="169" fillId="0" borderId="216" xfId="135" applyFont="1" applyBorder="1" applyAlignment="1">
      <alignment vertical="center" wrapText="1"/>
    </xf>
    <xf numFmtId="0" fontId="50" fillId="0" borderId="365" xfId="22683" applyBorder="1" applyAlignment="1">
      <alignment vertical="center" wrapText="1"/>
    </xf>
    <xf numFmtId="171" fontId="169" fillId="0" borderId="119" xfId="135" applyFont="1" applyBorder="1" applyAlignment="1">
      <alignment vertical="center" wrapText="1"/>
    </xf>
    <xf numFmtId="0" fontId="50" fillId="0" borderId="228" xfId="22683" applyBorder="1" applyAlignment="1">
      <alignment vertical="center" wrapText="1"/>
    </xf>
    <xf numFmtId="171" fontId="170" fillId="0" borderId="50" xfId="135" applyFont="1" applyBorder="1" applyAlignment="1">
      <alignment vertical="center" wrapText="1"/>
    </xf>
    <xf numFmtId="0" fontId="64" fillId="0" borderId="51" xfId="22683" applyFont="1" applyBorder="1" applyAlignment="1">
      <alignment vertical="center" wrapText="1"/>
    </xf>
    <xf numFmtId="1" fontId="170" fillId="0" borderId="51" xfId="135" applyNumberFormat="1" applyFont="1" applyBorder="1" applyAlignment="1">
      <alignment horizontal="center" vertical="center" wrapText="1"/>
    </xf>
    <xf numFmtId="1" fontId="64" fillId="0" borderId="51" xfId="22683" applyNumberFormat="1" applyFont="1" applyBorder="1" applyAlignment="1">
      <alignment horizontal="center" vertical="center" wrapText="1"/>
    </xf>
    <xf numFmtId="179" fontId="373" fillId="113" borderId="137" xfId="22687" applyNumberFormat="1" applyFont="1" applyFill="1" applyBorder="1" applyAlignment="1" applyProtection="1">
      <alignment horizontal="center" vertical="center" wrapText="1"/>
      <protection locked="0"/>
    </xf>
    <xf numFmtId="179" fontId="373" fillId="113" borderId="115" xfId="22687" applyNumberFormat="1" applyFont="1" applyFill="1" applyBorder="1" applyAlignment="1" applyProtection="1">
      <alignment horizontal="center" vertical="center" wrapText="1"/>
      <protection locked="0"/>
    </xf>
    <xf numFmtId="179" fontId="373" fillId="113" borderId="126" xfId="22687" applyNumberFormat="1" applyFont="1" applyFill="1" applyBorder="1" applyAlignment="1" applyProtection="1">
      <alignment horizontal="center" vertical="center" wrapText="1"/>
      <protection locked="0"/>
    </xf>
    <xf numFmtId="179" fontId="373" fillId="113" borderId="138" xfId="22687" applyNumberFormat="1" applyFont="1" applyFill="1" applyBorder="1" applyAlignment="1" applyProtection="1">
      <alignment horizontal="center" vertical="center" wrapText="1"/>
      <protection locked="0"/>
    </xf>
    <xf numFmtId="179" fontId="373" fillId="113" borderId="139" xfId="22687" applyNumberFormat="1" applyFont="1" applyFill="1" applyBorder="1" applyAlignment="1" applyProtection="1">
      <alignment horizontal="center" vertical="center" wrapText="1"/>
      <protection locked="0"/>
    </xf>
    <xf numFmtId="179" fontId="373" fillId="113" borderId="130" xfId="22687" applyNumberFormat="1" applyFont="1" applyFill="1" applyBorder="1" applyAlignment="1" applyProtection="1">
      <alignment horizontal="center" vertical="center" wrapText="1"/>
      <protection locked="0"/>
    </xf>
    <xf numFmtId="171" fontId="373" fillId="112" borderId="136" xfId="22679" applyNumberFormat="1" applyFont="1" applyFill="1" applyBorder="1" applyAlignment="1" applyProtection="1">
      <alignment horizontal="center" vertical="center" wrapText="1"/>
      <protection locked="0"/>
    </xf>
    <xf numFmtId="171" fontId="373" fillId="112" borderId="104" xfId="22679" applyNumberFormat="1" applyFont="1" applyFill="1" applyBorder="1" applyAlignment="1" applyProtection="1">
      <alignment horizontal="center" vertical="center" wrapText="1"/>
      <protection locked="0"/>
    </xf>
    <xf numFmtId="171" fontId="373" fillId="112" borderId="135" xfId="22679" applyNumberFormat="1" applyFont="1" applyFill="1" applyBorder="1" applyAlignment="1" applyProtection="1">
      <alignment horizontal="center" vertical="center" wrapText="1"/>
      <protection locked="0"/>
    </xf>
    <xf numFmtId="179" fontId="373" fillId="112" borderId="137" xfId="22687" applyNumberFormat="1" applyFont="1" applyFill="1" applyBorder="1" applyAlignment="1" applyProtection="1">
      <alignment horizontal="left" vertical="center" wrapText="1"/>
      <protection locked="0"/>
    </xf>
    <xf numFmtId="179" fontId="373" fillId="112" borderId="115" xfId="22687" applyNumberFormat="1" applyFont="1" applyFill="1" applyBorder="1" applyAlignment="1" applyProtection="1">
      <alignment horizontal="left" vertical="center" wrapText="1"/>
      <protection locked="0"/>
    </xf>
    <xf numFmtId="179" fontId="373" fillId="112" borderId="126" xfId="22687" applyNumberFormat="1" applyFont="1" applyFill="1" applyBorder="1" applyAlignment="1" applyProtection="1">
      <alignment horizontal="left" vertical="center" wrapText="1"/>
      <protection locked="0"/>
    </xf>
    <xf numFmtId="179" fontId="373" fillId="112" borderId="138" xfId="22687" applyNumberFormat="1" applyFont="1" applyFill="1" applyBorder="1" applyAlignment="1" applyProtection="1">
      <alignment horizontal="center" vertical="center" wrapText="1"/>
      <protection locked="0"/>
    </xf>
    <xf numFmtId="179" fontId="373" fillId="112" borderId="139" xfId="22687" applyNumberFormat="1" applyFont="1" applyFill="1" applyBorder="1" applyAlignment="1" applyProtection="1">
      <alignment horizontal="center" vertical="center" wrapText="1"/>
      <protection locked="0"/>
    </xf>
    <xf numFmtId="179" fontId="373" fillId="112" borderId="130" xfId="22687" applyNumberFormat="1" applyFont="1" applyFill="1" applyBorder="1" applyAlignment="1" applyProtection="1">
      <alignment horizontal="center" vertical="center" wrapText="1"/>
      <protection locked="0"/>
    </xf>
    <xf numFmtId="171" fontId="373" fillId="113" borderId="108" xfId="22679" applyNumberFormat="1" applyFont="1" applyFill="1" applyBorder="1" applyAlignment="1" applyProtection="1">
      <alignment horizontal="center" vertical="center"/>
      <protection locked="0"/>
    </xf>
    <xf numFmtId="171" fontId="373" fillId="113" borderId="110" xfId="22679" applyNumberFormat="1" applyFont="1" applyFill="1" applyBorder="1" applyAlignment="1" applyProtection="1">
      <alignment horizontal="center" vertical="center"/>
      <protection locked="0"/>
    </xf>
    <xf numFmtId="171" fontId="373" fillId="113" borderId="109" xfId="22679" applyNumberFormat="1" applyFont="1" applyFill="1" applyBorder="1" applyAlignment="1" applyProtection="1">
      <alignment horizontal="center" vertical="center"/>
      <protection locked="0"/>
    </xf>
    <xf numFmtId="179" fontId="373" fillId="113" borderId="104" xfId="22687" applyNumberFormat="1" applyFont="1" applyFill="1" applyBorder="1" applyAlignment="1" applyProtection="1">
      <alignment horizontal="center" vertical="center" wrapText="1"/>
      <protection locked="0"/>
    </xf>
    <xf numFmtId="179" fontId="373" fillId="113" borderId="135" xfId="22687" applyNumberFormat="1" applyFont="1" applyFill="1" applyBorder="1" applyAlignment="1" applyProtection="1">
      <alignment horizontal="center" vertical="center" wrapText="1"/>
      <protection locked="0"/>
    </xf>
    <xf numFmtId="171" fontId="373" fillId="113" borderId="115" xfId="22679" applyNumberFormat="1" applyFont="1" applyFill="1" applyBorder="1" applyAlignment="1" applyProtection="1">
      <alignment horizontal="center" vertical="center" wrapText="1"/>
      <protection locked="0"/>
    </xf>
    <xf numFmtId="171" fontId="373" fillId="113" borderId="126" xfId="22679" applyNumberFormat="1" applyFont="1" applyFill="1" applyBorder="1" applyAlignment="1" applyProtection="1">
      <alignment horizontal="center" vertical="center" wrapText="1"/>
      <protection locked="0"/>
    </xf>
    <xf numFmtId="171" fontId="373" fillId="109" borderId="110" xfId="22679" applyNumberFormat="1" applyFont="1" applyFill="1" applyBorder="1" applyAlignment="1" applyProtection="1">
      <alignment horizontal="center" vertical="center"/>
      <protection locked="0"/>
    </xf>
    <xf numFmtId="171" fontId="373" fillId="109" borderId="109" xfId="22679" applyNumberFormat="1" applyFont="1" applyFill="1" applyBorder="1" applyAlignment="1" applyProtection="1">
      <alignment horizontal="center" vertical="center"/>
      <protection locked="0"/>
    </xf>
    <xf numFmtId="171" fontId="373" fillId="112" borderId="112" xfId="22679" applyNumberFormat="1" applyFont="1" applyFill="1" applyBorder="1" applyAlignment="1" applyProtection="1">
      <alignment horizontal="left" vertical="center" wrapText="1"/>
      <protection locked="0"/>
    </xf>
    <xf numFmtId="0" fontId="354" fillId="0" borderId="52" xfId="22674" applyFont="1" applyBorder="1"/>
    <xf numFmtId="171" fontId="373" fillId="115" borderId="104" xfId="22679" applyNumberFormat="1" applyFont="1" applyFill="1" applyBorder="1" applyAlignment="1" applyProtection="1">
      <alignment horizontal="center" vertical="center" wrapText="1"/>
      <protection locked="0"/>
    </xf>
    <xf numFmtId="171" fontId="373" fillId="115" borderId="135" xfId="22679" applyNumberFormat="1" applyFont="1" applyFill="1" applyBorder="1" applyAlignment="1" applyProtection="1">
      <alignment horizontal="center" vertical="center" wrapText="1"/>
      <protection locked="0"/>
    </xf>
    <xf numFmtId="179" fontId="373" fillId="115" borderId="114" xfId="22687" applyNumberFormat="1" applyFont="1" applyFill="1" applyBorder="1" applyAlignment="1" applyProtection="1">
      <alignment horizontal="center" vertical="center" wrapText="1"/>
      <protection locked="0"/>
    </xf>
    <xf numFmtId="179" fontId="373" fillId="115" borderId="123" xfId="22687" applyNumberFormat="1" applyFont="1" applyFill="1" applyBorder="1" applyAlignment="1" applyProtection="1">
      <alignment horizontal="center" vertical="center" wrapText="1"/>
      <protection locked="0"/>
    </xf>
    <xf numFmtId="171" fontId="373" fillId="116" borderId="104" xfId="22679" applyNumberFormat="1" applyFont="1" applyFill="1" applyBorder="1" applyAlignment="1" applyProtection="1">
      <alignment horizontal="center" vertical="center" wrapText="1"/>
      <protection locked="0"/>
    </xf>
    <xf numFmtId="171" fontId="373" fillId="116" borderId="135" xfId="22679" applyNumberFormat="1" applyFont="1" applyFill="1" applyBorder="1" applyAlignment="1" applyProtection="1">
      <alignment horizontal="center" vertical="center" wrapText="1"/>
      <protection locked="0"/>
    </xf>
    <xf numFmtId="179" fontId="373" fillId="116" borderId="123" xfId="22687" applyNumberFormat="1" applyFont="1" applyFill="1" applyBorder="1" applyAlignment="1" applyProtection="1">
      <alignment horizontal="center" vertical="center" wrapText="1"/>
      <protection locked="0"/>
    </xf>
    <xf numFmtId="179" fontId="373" fillId="116" borderId="124" xfId="22687" applyNumberFormat="1" applyFont="1" applyFill="1" applyBorder="1" applyAlignment="1" applyProtection="1">
      <alignment horizontal="center" vertical="center" wrapText="1"/>
      <protection locked="0"/>
    </xf>
    <xf numFmtId="179" fontId="373" fillId="116" borderId="125" xfId="22687" applyNumberFormat="1" applyFont="1" applyFill="1" applyBorder="1" applyAlignment="1" applyProtection="1">
      <alignment horizontal="center" vertical="center" wrapText="1"/>
      <protection locked="0"/>
    </xf>
    <xf numFmtId="179" fontId="373" fillId="116" borderId="139" xfId="22687" applyNumberFormat="1" applyFont="1" applyFill="1" applyBorder="1" applyAlignment="1" applyProtection="1">
      <alignment horizontal="center" vertical="center" wrapText="1"/>
      <protection locked="0"/>
    </xf>
    <xf numFmtId="179" fontId="373" fillId="116" borderId="130" xfId="22687" applyNumberFormat="1" applyFont="1" applyFill="1" applyBorder="1" applyAlignment="1" applyProtection="1">
      <alignment horizontal="center" vertical="center" wrapText="1"/>
      <protection locked="0"/>
    </xf>
    <xf numFmtId="171" fontId="373" fillId="109" borderId="170" xfId="22679" applyNumberFormat="1" applyFont="1" applyFill="1" applyBorder="1" applyAlignment="1" applyProtection="1">
      <alignment horizontal="center" vertical="center" wrapText="1"/>
      <protection locked="0"/>
    </xf>
    <xf numFmtId="171" fontId="373" fillId="109" borderId="125" xfId="22679" applyNumberFormat="1" applyFont="1" applyFill="1" applyBorder="1" applyAlignment="1" applyProtection="1">
      <alignment horizontal="center" vertical="center" wrapText="1"/>
      <protection locked="0"/>
    </xf>
    <xf numFmtId="179" fontId="373" fillId="109" borderId="123" xfId="22687" applyNumberFormat="1" applyFont="1" applyFill="1" applyBorder="1" applyAlignment="1" applyProtection="1">
      <alignment horizontal="center" vertical="center" wrapText="1"/>
      <protection locked="0"/>
    </xf>
    <xf numFmtId="179" fontId="373" fillId="109" borderId="124" xfId="22687" applyNumberFormat="1" applyFont="1" applyFill="1" applyBorder="1" applyAlignment="1" applyProtection="1">
      <alignment horizontal="center" vertical="center" wrapText="1"/>
      <protection locked="0"/>
    </xf>
    <xf numFmtId="179" fontId="373" fillId="109" borderId="125" xfId="22687" applyNumberFormat="1" applyFont="1" applyFill="1" applyBorder="1" applyAlignment="1" applyProtection="1">
      <alignment horizontal="center" vertical="center" wrapText="1"/>
      <protection locked="0"/>
    </xf>
    <xf numFmtId="179" fontId="354" fillId="116" borderId="228" xfId="22687" applyNumberFormat="1" applyFont="1" applyFill="1" applyBorder="1" applyAlignment="1" applyProtection="1">
      <alignment horizontal="center" vertical="center" wrapText="1"/>
      <protection locked="0"/>
    </xf>
    <xf numFmtId="179" fontId="354" fillId="116" borderId="126" xfId="22687" applyNumberFormat="1" applyFont="1" applyFill="1" applyBorder="1" applyAlignment="1" applyProtection="1">
      <alignment horizontal="center" vertical="center" wrapText="1"/>
      <protection locked="0"/>
    </xf>
    <xf numFmtId="179" fontId="354" fillId="117" borderId="223" xfId="22687" applyNumberFormat="1" applyFont="1" applyFill="1" applyBorder="1" applyAlignment="1" applyProtection="1">
      <alignment horizontal="center" vertical="center" wrapText="1"/>
      <protection locked="0"/>
    </xf>
    <xf numFmtId="179" fontId="354" fillId="117" borderId="183" xfId="22687" applyNumberFormat="1" applyFont="1" applyFill="1" applyBorder="1" applyAlignment="1" applyProtection="1">
      <alignment horizontal="center" vertical="center" wrapText="1"/>
      <protection locked="0"/>
    </xf>
    <xf numFmtId="179" fontId="354" fillId="117" borderId="224" xfId="22687" applyNumberFormat="1" applyFont="1" applyFill="1" applyBorder="1" applyAlignment="1" applyProtection="1">
      <alignment horizontal="center" vertical="center" wrapText="1"/>
      <protection locked="0"/>
    </xf>
    <xf numFmtId="179" fontId="354" fillId="109" borderId="228" xfId="22687" applyNumberFormat="1" applyFont="1" applyFill="1" applyBorder="1" applyAlignment="1" applyProtection="1">
      <alignment horizontal="center" vertical="center" wrapText="1"/>
      <protection locked="0"/>
    </xf>
    <xf numFmtId="179" fontId="354" fillId="109" borderId="126" xfId="22687" applyNumberFormat="1" applyFont="1" applyFill="1" applyBorder="1" applyAlignment="1" applyProtection="1">
      <alignment horizontal="center" vertical="center" wrapText="1"/>
      <protection locked="0"/>
    </xf>
    <xf numFmtId="179" fontId="373" fillId="109" borderId="139" xfId="22687" applyNumberFormat="1" applyFont="1" applyFill="1" applyBorder="1" applyAlignment="1" applyProtection="1">
      <alignment horizontal="center" vertical="center" wrapText="1"/>
      <protection locked="0"/>
    </xf>
    <xf numFmtId="179" fontId="373" fillId="109" borderId="130" xfId="22687" applyNumberFormat="1" applyFont="1" applyFill="1" applyBorder="1" applyAlignment="1" applyProtection="1">
      <alignment horizontal="center" vertical="center" wrapText="1"/>
      <protection locked="0"/>
    </xf>
    <xf numFmtId="179" fontId="354" fillId="113" borderId="140" xfId="22687" applyNumberFormat="1" applyFont="1" applyFill="1" applyBorder="1" applyAlignment="1" applyProtection="1">
      <alignment horizontal="center" vertical="center" wrapText="1"/>
      <protection locked="0"/>
    </xf>
    <xf numFmtId="179" fontId="354" fillId="113" borderId="112" xfId="22687" applyNumberFormat="1" applyFont="1" applyFill="1" applyBorder="1" applyAlignment="1" applyProtection="1">
      <alignment horizontal="center" vertical="center" wrapText="1"/>
      <protection locked="0"/>
    </xf>
    <xf numFmtId="179" fontId="354" fillId="113" borderId="123" xfId="22687" applyNumberFormat="1" applyFont="1" applyFill="1" applyBorder="1" applyAlignment="1" applyProtection="1">
      <alignment horizontal="center" vertical="center" wrapText="1"/>
      <protection locked="0"/>
    </xf>
    <xf numFmtId="179" fontId="354" fillId="113" borderId="141" xfId="22687" applyNumberFormat="1" applyFont="1" applyFill="1" applyBorder="1" applyAlignment="1" applyProtection="1">
      <alignment horizontal="center" vertical="center" wrapText="1"/>
      <protection locked="0"/>
    </xf>
    <xf numFmtId="179" fontId="373" fillId="116" borderId="0" xfId="22687" applyNumberFormat="1" applyFont="1" applyFill="1" applyBorder="1" applyAlignment="1" applyProtection="1">
      <alignment horizontal="center" vertical="center" wrapText="1"/>
      <protection locked="0"/>
    </xf>
    <xf numFmtId="171" fontId="373" fillId="116" borderId="110" xfId="22679" applyNumberFormat="1" applyFont="1" applyFill="1" applyBorder="1" applyAlignment="1" applyProtection="1">
      <alignment horizontal="center" vertical="center" wrapText="1"/>
      <protection locked="0"/>
    </xf>
    <xf numFmtId="0" fontId="65" fillId="0" borderId="109" xfId="22683" applyFont="1" applyBorder="1" applyAlignment="1">
      <alignment horizontal="center" vertical="center" wrapText="1"/>
    </xf>
    <xf numFmtId="179" fontId="373" fillId="114" borderId="104" xfId="22687" applyNumberFormat="1" applyFont="1" applyFill="1" applyBorder="1" applyAlignment="1" applyProtection="1">
      <alignment horizontal="center" vertical="center" wrapText="1"/>
      <protection locked="0"/>
    </xf>
    <xf numFmtId="179" fontId="373" fillId="114" borderId="135" xfId="22687" applyNumberFormat="1" applyFont="1" applyFill="1" applyBorder="1" applyAlignment="1" applyProtection="1">
      <alignment horizontal="center" vertical="center" wrapText="1"/>
      <protection locked="0"/>
    </xf>
    <xf numFmtId="171" fontId="373" fillId="114" borderId="137" xfId="22679" applyNumberFormat="1" applyFont="1" applyFill="1" applyBorder="1" applyAlignment="1" applyProtection="1">
      <alignment horizontal="center" vertical="center" wrapText="1"/>
      <protection locked="0"/>
    </xf>
    <xf numFmtId="171" fontId="373" fillId="114" borderId="115" xfId="22679" applyNumberFormat="1" applyFont="1" applyFill="1" applyBorder="1" applyAlignment="1" applyProtection="1">
      <alignment horizontal="center" vertical="center" wrapText="1"/>
      <protection locked="0"/>
    </xf>
    <xf numFmtId="171" fontId="373" fillId="114" borderId="126" xfId="22679" applyNumberFormat="1" applyFont="1" applyFill="1" applyBorder="1" applyAlignment="1" applyProtection="1">
      <alignment horizontal="center" vertical="center" wrapText="1"/>
      <protection locked="0"/>
    </xf>
    <xf numFmtId="179" fontId="373" fillId="114" borderId="115" xfId="22687" applyNumberFormat="1" applyFont="1" applyFill="1" applyBorder="1" applyAlignment="1" applyProtection="1">
      <alignment horizontal="center" vertical="center" wrapText="1"/>
      <protection locked="0"/>
    </xf>
    <xf numFmtId="179" fontId="373" fillId="114" borderId="126" xfId="22687" applyNumberFormat="1" applyFont="1" applyFill="1" applyBorder="1" applyAlignment="1" applyProtection="1">
      <alignment horizontal="center" vertical="center" wrapText="1"/>
      <protection locked="0"/>
    </xf>
    <xf numFmtId="179" fontId="373" fillId="114" borderId="137" xfId="22687" applyNumberFormat="1" applyFont="1" applyFill="1" applyBorder="1" applyAlignment="1" applyProtection="1">
      <alignment horizontal="center" vertical="center" wrapText="1"/>
      <protection locked="0"/>
    </xf>
    <xf numFmtId="179" fontId="373" fillId="114" borderId="140" xfId="22687" applyNumberFormat="1" applyFont="1" applyFill="1" applyBorder="1" applyAlignment="1" applyProtection="1">
      <alignment horizontal="center" vertical="center" wrapText="1"/>
      <protection locked="0"/>
    </xf>
    <xf numFmtId="179" fontId="373" fillId="114" borderId="114" xfId="22687" applyNumberFormat="1" applyFont="1" applyFill="1" applyBorder="1" applyAlignment="1" applyProtection="1">
      <alignment horizontal="center" vertical="center" wrapText="1"/>
      <protection locked="0"/>
    </xf>
    <xf numFmtId="179" fontId="373" fillId="114" borderId="123" xfId="22687" applyNumberFormat="1" applyFont="1" applyFill="1" applyBorder="1" applyAlignment="1" applyProtection="1">
      <alignment horizontal="center" vertical="center" wrapText="1"/>
      <protection locked="0"/>
    </xf>
    <xf numFmtId="179" fontId="373" fillId="114" borderId="138" xfId="22687" applyNumberFormat="1" applyFont="1" applyFill="1" applyBorder="1" applyAlignment="1" applyProtection="1">
      <alignment horizontal="center" vertical="center" wrapText="1"/>
      <protection locked="0"/>
    </xf>
    <xf numFmtId="179" fontId="373" fillId="114" borderId="139" xfId="22687" applyNumberFormat="1" applyFont="1" applyFill="1" applyBorder="1" applyAlignment="1" applyProtection="1">
      <alignment horizontal="center" vertical="center" wrapText="1"/>
      <protection locked="0"/>
    </xf>
    <xf numFmtId="179" fontId="373" fillId="114" borderId="130" xfId="22687" applyNumberFormat="1" applyFont="1" applyFill="1" applyBorder="1" applyAlignment="1" applyProtection="1">
      <alignment horizontal="center" vertical="center" wrapText="1"/>
      <protection locked="0"/>
    </xf>
    <xf numFmtId="171" fontId="373" fillId="111" borderId="170" xfId="22679" applyNumberFormat="1" applyFont="1" applyFill="1" applyBorder="1" applyAlignment="1" applyProtection="1">
      <alignment horizontal="center" vertical="center" wrapText="1"/>
      <protection locked="0"/>
    </xf>
    <xf numFmtId="171" fontId="373" fillId="111" borderId="125" xfId="22679" applyNumberFormat="1" applyFont="1" applyFill="1" applyBorder="1" applyAlignment="1" applyProtection="1">
      <alignment horizontal="center" vertical="center" wrapText="1"/>
      <protection locked="0"/>
    </xf>
    <xf numFmtId="179" fontId="373" fillId="111" borderId="115" xfId="22687" applyNumberFormat="1" applyFont="1" applyFill="1" applyBorder="1" applyAlignment="1" applyProtection="1">
      <alignment horizontal="center" vertical="center" wrapText="1"/>
      <protection locked="0"/>
    </xf>
    <xf numFmtId="179" fontId="373" fillId="111" borderId="126" xfId="22687" applyNumberFormat="1" applyFont="1" applyFill="1" applyBorder="1" applyAlignment="1" applyProtection="1">
      <alignment horizontal="center" vertical="center" wrapText="1"/>
      <protection locked="0"/>
    </xf>
    <xf numFmtId="179" fontId="373" fillId="111" borderId="114" xfId="22687" applyNumberFormat="1" applyFont="1" applyFill="1" applyBorder="1" applyAlignment="1" applyProtection="1">
      <alignment horizontal="center" vertical="center" wrapText="1"/>
      <protection locked="0"/>
    </xf>
    <xf numFmtId="179" fontId="373" fillId="111" borderId="123" xfId="22687" applyNumberFormat="1" applyFont="1" applyFill="1" applyBorder="1" applyAlignment="1" applyProtection="1">
      <alignment horizontal="center" vertical="center" wrapText="1"/>
      <protection locked="0"/>
    </xf>
    <xf numFmtId="179" fontId="373" fillId="111" borderId="138" xfId="22687" applyNumberFormat="1" applyFont="1" applyFill="1" applyBorder="1" applyAlignment="1" applyProtection="1">
      <alignment horizontal="center" vertical="center" wrapText="1"/>
      <protection locked="0"/>
    </xf>
    <xf numFmtId="179" fontId="373" fillId="111" borderId="139" xfId="22687" applyNumberFormat="1" applyFont="1" applyFill="1" applyBorder="1" applyAlignment="1" applyProtection="1">
      <alignment horizontal="center" vertical="center" wrapText="1"/>
      <protection locked="0"/>
    </xf>
    <xf numFmtId="179" fontId="373" fillId="111" borderId="130" xfId="22687" applyNumberFormat="1" applyFont="1" applyFill="1" applyBorder="1" applyAlignment="1" applyProtection="1">
      <alignment horizontal="center" vertical="center" wrapText="1"/>
      <protection locked="0"/>
    </xf>
    <xf numFmtId="171" fontId="373" fillId="114" borderId="108" xfId="22679" applyNumberFormat="1" applyFont="1" applyFill="1" applyBorder="1" applyAlignment="1" applyProtection="1">
      <alignment horizontal="center" vertical="center" wrapText="1"/>
      <protection locked="0"/>
    </xf>
    <xf numFmtId="171" fontId="373" fillId="114" borderId="110" xfId="22679" applyNumberFormat="1" applyFont="1" applyFill="1" applyBorder="1" applyAlignment="1" applyProtection="1">
      <alignment horizontal="center" vertical="center" wrapText="1"/>
      <protection locked="0"/>
    </xf>
    <xf numFmtId="179" fontId="373" fillId="114" borderId="0" xfId="22687" applyNumberFormat="1" applyFont="1" applyFill="1" applyBorder="1" applyAlignment="1" applyProtection="1">
      <alignment horizontal="center" vertical="center" wrapText="1"/>
      <protection locked="0"/>
    </xf>
    <xf numFmtId="179" fontId="373" fillId="114" borderId="124" xfId="22687" applyNumberFormat="1" applyFont="1" applyFill="1" applyBorder="1" applyAlignment="1" applyProtection="1">
      <alignment horizontal="center" vertical="center" wrapText="1"/>
      <protection locked="0"/>
    </xf>
    <xf numFmtId="171" fontId="346" fillId="0" borderId="154" xfId="135" applyFont="1" applyBorder="1" applyAlignment="1">
      <alignment horizontal="left" wrapText="1"/>
    </xf>
    <xf numFmtId="171" fontId="346" fillId="0" borderId="155" xfId="135" applyFont="1" applyBorder="1" applyAlignment="1">
      <alignment horizontal="left" wrapText="1"/>
    </xf>
    <xf numFmtId="0" fontId="63" fillId="0" borderId="156" xfId="22683" applyFont="1" applyBorder="1" applyAlignment="1">
      <alignment wrapText="1"/>
    </xf>
    <xf numFmtId="171" fontId="346" fillId="0" borderId="129" xfId="135" applyFont="1" applyBorder="1" applyAlignment="1">
      <alignment horizontal="left" wrapText="1"/>
    </xf>
    <xf numFmtId="171" fontId="346" fillId="0" borderId="133" xfId="135" applyFont="1" applyBorder="1" applyAlignment="1">
      <alignment horizontal="left" wrapText="1"/>
    </xf>
    <xf numFmtId="0" fontId="63" fillId="0" borderId="370" xfId="22683" applyFont="1" applyBorder="1" applyAlignment="1">
      <alignment wrapText="1"/>
    </xf>
    <xf numFmtId="179" fontId="354" fillId="118" borderId="223" xfId="22687" applyNumberFormat="1" applyFont="1" applyFill="1" applyBorder="1" applyAlignment="1" applyProtection="1">
      <alignment horizontal="center" vertical="center" wrapText="1"/>
      <protection locked="0"/>
    </xf>
    <xf numFmtId="179" fontId="354" fillId="118" borderId="183" xfId="22687" applyNumberFormat="1" applyFont="1" applyFill="1" applyBorder="1" applyAlignment="1" applyProtection="1">
      <alignment horizontal="center" vertical="center" wrapText="1"/>
      <protection locked="0"/>
    </xf>
    <xf numFmtId="179" fontId="354" fillId="118" borderId="224" xfId="22687" applyNumberFormat="1" applyFont="1" applyFill="1" applyBorder="1" applyAlignment="1" applyProtection="1">
      <alignment horizontal="center" vertical="center" wrapText="1"/>
      <protection locked="0"/>
    </xf>
    <xf numFmtId="0" fontId="410" fillId="0" borderId="66" xfId="13899" applyFont="1" applyBorder="1" applyAlignment="1">
      <alignment horizontal="center" vertical="center" wrapText="1"/>
    </xf>
    <xf numFmtId="0" fontId="0" fillId="0" borderId="66" xfId="0" applyBorder="1" applyAlignment="1">
      <alignment horizontal="center" vertical="center" wrapText="1"/>
    </xf>
    <xf numFmtId="0" fontId="0" fillId="0" borderId="197" xfId="0" applyBorder="1" applyAlignment="1">
      <alignment horizontal="center" vertical="center" wrapText="1"/>
    </xf>
    <xf numFmtId="210" fontId="411" fillId="0" borderId="66" xfId="0" applyNumberFormat="1" applyFont="1" applyBorder="1" applyAlignment="1">
      <alignment horizontal="center" vertical="center" wrapText="1"/>
    </xf>
    <xf numFmtId="210" fontId="411" fillId="0" borderId="197" xfId="0" applyNumberFormat="1" applyFont="1" applyBorder="1" applyAlignment="1">
      <alignment horizontal="center" vertical="center" wrapText="1"/>
    </xf>
    <xf numFmtId="38" fontId="411" fillId="0" borderId="66" xfId="0" applyNumberFormat="1" applyFont="1" applyBorder="1" applyAlignment="1">
      <alignment horizontal="center" vertical="center" wrapText="1"/>
    </xf>
    <xf numFmtId="38" fontId="411" fillId="0" borderId="197" xfId="0" applyNumberFormat="1" applyFont="1" applyBorder="1" applyAlignment="1">
      <alignment horizontal="center" vertical="center" wrapText="1"/>
    </xf>
    <xf numFmtId="0" fontId="410" fillId="34" borderId="192" xfId="22814" applyFont="1" applyFill="1" applyBorder="1" applyAlignment="1" applyProtection="1">
      <alignment horizontal="center" vertical="center" wrapText="1"/>
      <protection locked="0"/>
    </xf>
    <xf numFmtId="0" fontId="410" fillId="34" borderId="156" xfId="22814" applyFont="1" applyFill="1" applyBorder="1" applyAlignment="1" applyProtection="1">
      <alignment horizontal="center" vertical="center" wrapText="1"/>
      <protection locked="0"/>
    </xf>
    <xf numFmtId="0" fontId="410" fillId="34" borderId="208" xfId="22814" applyFont="1" applyFill="1" applyBorder="1" applyAlignment="1" applyProtection="1">
      <alignment horizontal="center" vertical="center" wrapText="1"/>
      <protection locked="0"/>
    </xf>
    <xf numFmtId="0" fontId="410" fillId="34" borderId="231" xfId="22814" applyFont="1" applyFill="1" applyBorder="1" applyAlignment="1" applyProtection="1">
      <alignment horizontal="center" vertical="center" wrapText="1"/>
      <protection locked="0"/>
    </xf>
    <xf numFmtId="0" fontId="410" fillId="34" borderId="155" xfId="22814" applyFont="1" applyFill="1" applyBorder="1" applyAlignment="1" applyProtection="1">
      <alignment horizontal="center" vertical="center" wrapText="1"/>
      <protection locked="0"/>
    </xf>
    <xf numFmtId="0" fontId="411" fillId="0" borderId="156" xfId="0" applyFont="1" applyBorder="1" applyAlignment="1">
      <alignment horizontal="center" vertical="center" wrapText="1"/>
    </xf>
    <xf numFmtId="0" fontId="411" fillId="0" borderId="434" xfId="0" applyFont="1" applyBorder="1" applyAlignment="1">
      <alignment horizontal="center" vertical="center" wrapText="1"/>
    </xf>
    <xf numFmtId="0" fontId="411" fillId="0" borderId="231" xfId="0" applyFont="1" applyBorder="1" applyAlignment="1">
      <alignment horizontal="center" vertical="center" wrapText="1"/>
    </xf>
    <xf numFmtId="0" fontId="410" fillId="34" borderId="154" xfId="22814" applyFont="1" applyFill="1" applyBorder="1" applyAlignment="1" applyProtection="1">
      <alignment horizontal="center" vertical="center" wrapText="1"/>
      <protection locked="0"/>
    </xf>
    <xf numFmtId="0" fontId="411" fillId="0" borderId="230" xfId="0" applyFont="1" applyBorder="1" applyAlignment="1">
      <alignment horizontal="center" vertical="center" wrapText="1"/>
    </xf>
    <xf numFmtId="0" fontId="410" fillId="34" borderId="66" xfId="22814" applyFont="1" applyFill="1" applyBorder="1" applyAlignment="1" applyProtection="1">
      <alignment horizontal="left" vertical="center" wrapText="1"/>
      <protection locked="0"/>
    </xf>
    <xf numFmtId="0" fontId="411" fillId="0" borderId="66" xfId="0" applyFont="1" applyBorder="1" applyAlignment="1">
      <alignment horizontal="left" vertical="center" wrapText="1"/>
    </xf>
    <xf numFmtId="0" fontId="411" fillId="0" borderId="197" xfId="0" applyFont="1" applyBorder="1" applyAlignment="1">
      <alignment horizontal="left" vertical="center" wrapText="1"/>
    </xf>
    <xf numFmtId="0" fontId="410" fillId="0" borderId="192" xfId="13899" applyFont="1" applyBorder="1" applyAlignment="1">
      <alignment horizontal="center" vertical="center" wrapText="1"/>
    </xf>
    <xf numFmtId="0" fontId="411" fillId="0" borderId="155" xfId="0" applyFont="1" applyBorder="1" applyAlignment="1">
      <alignment horizontal="center" vertical="center" wrapText="1"/>
    </xf>
    <xf numFmtId="0" fontId="0" fillId="0" borderId="193" xfId="0" applyBorder="1" applyAlignment="1">
      <alignment horizontal="center" vertical="center" wrapText="1"/>
    </xf>
    <xf numFmtId="0" fontId="411" fillId="0" borderId="208" xfId="0" applyFont="1" applyBorder="1" applyAlignment="1">
      <alignment horizontal="center" vertical="center" wrapText="1"/>
    </xf>
    <xf numFmtId="0" fontId="0" fillId="0" borderId="209" xfId="0" applyBorder="1" applyAlignment="1">
      <alignment horizontal="center" vertical="center" wrapText="1"/>
    </xf>
    <xf numFmtId="210" fontId="410" fillId="0" borderId="66" xfId="13899" applyNumberFormat="1" applyFont="1" applyBorder="1" applyAlignment="1">
      <alignment horizontal="center" vertical="center" wrapText="1"/>
    </xf>
    <xf numFmtId="0" fontId="410" fillId="34" borderId="192" xfId="22814" applyFont="1" applyFill="1" applyBorder="1" applyAlignment="1" applyProtection="1">
      <alignment horizontal="left" vertical="center" wrapText="1"/>
      <protection locked="0"/>
    </xf>
    <xf numFmtId="0" fontId="410" fillId="34" borderId="155" xfId="22814" applyFont="1" applyFill="1" applyBorder="1" applyAlignment="1" applyProtection="1">
      <alignment horizontal="left" vertical="center" wrapText="1"/>
      <protection locked="0"/>
    </xf>
    <xf numFmtId="0" fontId="410" fillId="34" borderId="193" xfId="22814" applyFont="1" applyFill="1" applyBorder="1" applyAlignment="1" applyProtection="1">
      <alignment horizontal="left" vertical="center" wrapText="1"/>
      <protection locked="0"/>
    </xf>
    <xf numFmtId="0" fontId="410" fillId="34" borderId="194" xfId="22814" applyFont="1" applyFill="1" applyBorder="1" applyAlignment="1" applyProtection="1">
      <alignment horizontal="left" vertical="center" wrapText="1"/>
      <protection locked="0"/>
    </xf>
    <xf numFmtId="0" fontId="410" fillId="34" borderId="45" xfId="22814" applyFont="1" applyFill="1" applyBorder="1" applyAlignment="1" applyProtection="1">
      <alignment horizontal="left" vertical="center" wrapText="1"/>
      <protection locked="0"/>
    </xf>
    <xf numFmtId="0" fontId="410" fillId="34" borderId="195" xfId="22814" applyFont="1" applyFill="1" applyBorder="1" applyAlignment="1" applyProtection="1">
      <alignment horizontal="left" vertical="center" wrapText="1"/>
      <protection locked="0"/>
    </xf>
    <xf numFmtId="0" fontId="410" fillId="34" borderId="194" xfId="22814" applyFont="1" applyFill="1" applyBorder="1" applyAlignment="1" applyProtection="1">
      <alignment horizontal="center" vertical="center" wrapText="1"/>
      <protection locked="0"/>
    </xf>
    <xf numFmtId="0" fontId="410" fillId="34" borderId="146" xfId="22814" applyFont="1" applyFill="1" applyBorder="1" applyAlignment="1" applyProtection="1">
      <alignment horizontal="center" vertical="center" wrapText="1"/>
      <protection locked="0"/>
    </xf>
    <xf numFmtId="0" fontId="411" fillId="0" borderId="66" xfId="0" applyFont="1" applyBorder="1" applyAlignment="1">
      <alignment horizontal="center" vertical="center" wrapText="1"/>
    </xf>
    <xf numFmtId="0" fontId="411" fillId="0" borderId="197" xfId="0" applyFont="1" applyBorder="1" applyAlignment="1">
      <alignment horizontal="center" vertical="center" wrapText="1"/>
    </xf>
    <xf numFmtId="38" fontId="410" fillId="0" borderId="66" xfId="13899" applyNumberFormat="1" applyFont="1" applyBorder="1" applyAlignment="1">
      <alignment horizontal="center" vertical="center" wrapText="1"/>
    </xf>
    <xf numFmtId="0" fontId="410" fillId="34" borderId="129" xfId="22814" applyFont="1" applyFill="1" applyBorder="1" applyAlignment="1" applyProtection="1">
      <alignment horizontal="center" vertical="center" wrapText="1"/>
      <protection locked="0"/>
    </xf>
    <xf numFmtId="0" fontId="411" fillId="0" borderId="129" xfId="0" applyFont="1" applyBorder="1" applyAlignment="1">
      <alignment horizontal="center" vertical="center" wrapText="1"/>
    </xf>
    <xf numFmtId="0" fontId="410" fillId="0" borderId="204" xfId="13899" applyFont="1" applyBorder="1" applyAlignment="1">
      <alignment horizontal="center" vertical="center" wrapText="1"/>
    </xf>
    <xf numFmtId="0" fontId="411" fillId="0" borderId="133" xfId="0" applyFont="1" applyBorder="1" applyAlignment="1">
      <alignment horizontal="center" vertical="center" wrapText="1"/>
    </xf>
    <xf numFmtId="0" fontId="0" fillId="0" borderId="205" xfId="0" applyBorder="1" applyAlignment="1">
      <alignment horizontal="center" vertical="center" wrapText="1"/>
    </xf>
    <xf numFmtId="0" fontId="411" fillId="0" borderId="204" xfId="0" applyFont="1" applyBorder="1" applyAlignment="1">
      <alignment horizontal="center" vertical="center" wrapText="1"/>
    </xf>
    <xf numFmtId="0" fontId="410" fillId="34" borderId="133" xfId="22814" applyFont="1" applyFill="1" applyBorder="1" applyAlignment="1" applyProtection="1">
      <alignment horizontal="center" vertical="center" wrapText="1"/>
      <protection locked="0"/>
    </xf>
    <xf numFmtId="0" fontId="411" fillId="0" borderId="370" xfId="0" applyFont="1" applyBorder="1" applyAlignment="1">
      <alignment horizontal="center" vertical="center" wrapText="1"/>
    </xf>
    <xf numFmtId="0" fontId="410" fillId="34" borderId="206" xfId="22814" applyFont="1" applyFill="1" applyBorder="1" applyAlignment="1" applyProtection="1">
      <alignment horizontal="center" vertical="center" wrapText="1"/>
      <protection locked="0"/>
    </xf>
    <xf numFmtId="0" fontId="410" fillId="34" borderId="207" xfId="22814" applyFont="1" applyFill="1" applyBorder="1" applyAlignment="1" applyProtection="1">
      <alignment horizontal="center" vertical="center" wrapText="1"/>
      <protection locked="0"/>
    </xf>
    <xf numFmtId="0" fontId="410" fillId="34" borderId="210" xfId="22814" applyFont="1" applyFill="1" applyBorder="1" applyAlignment="1" applyProtection="1">
      <alignment horizontal="center" vertical="center" wrapText="1"/>
      <protection locked="0"/>
    </xf>
    <xf numFmtId="0" fontId="410" fillId="34" borderId="208" xfId="22814" applyFont="1" applyFill="1" applyBorder="1" applyAlignment="1" applyProtection="1">
      <alignment horizontal="left" vertical="center" wrapText="1"/>
      <protection locked="0"/>
    </xf>
    <xf numFmtId="0" fontId="410" fillId="34" borderId="434" xfId="22814" applyFont="1" applyFill="1" applyBorder="1" applyAlignment="1" applyProtection="1">
      <alignment horizontal="left" vertical="center" wrapText="1"/>
      <protection locked="0"/>
    </xf>
    <xf numFmtId="0" fontId="410" fillId="34" borderId="209" xfId="22814" applyFont="1" applyFill="1" applyBorder="1" applyAlignment="1" applyProtection="1">
      <alignment horizontal="left" vertical="center" wrapText="1"/>
      <protection locked="0"/>
    </xf>
    <xf numFmtId="38" fontId="411" fillId="0" borderId="190" xfId="0" applyNumberFormat="1" applyFont="1" applyBorder="1" applyAlignment="1">
      <alignment horizontal="center" vertical="center" wrapText="1"/>
    </xf>
    <xf numFmtId="0" fontId="410" fillId="34" borderId="102" xfId="22814" applyFont="1" applyFill="1" applyBorder="1" applyAlignment="1" applyProtection="1">
      <alignment horizontal="center" vertical="center" wrapText="1"/>
      <protection locked="0"/>
    </xf>
    <xf numFmtId="0" fontId="411" fillId="0" borderId="187" xfId="0" applyFont="1" applyBorder="1" applyAlignment="1">
      <alignment horizontal="center" vertical="center" wrapText="1"/>
    </xf>
    <xf numFmtId="0" fontId="411" fillId="0" borderId="0" xfId="0" applyFont="1" applyAlignment="1">
      <alignment horizontal="center" vertical="center" wrapText="1"/>
    </xf>
    <xf numFmtId="0" fontId="411" fillId="0" borderId="52" xfId="0" applyFont="1" applyBorder="1" applyAlignment="1">
      <alignment horizontal="center" vertical="center" wrapText="1"/>
    </xf>
    <xf numFmtId="0" fontId="410" fillId="34" borderId="184" xfId="22814" applyFont="1" applyFill="1" applyBorder="1" applyAlignment="1" applyProtection="1">
      <alignment horizontal="center" vertical="center" wrapText="1"/>
      <protection locked="0"/>
    </xf>
    <xf numFmtId="0" fontId="411" fillId="0" borderId="59" xfId="0" applyFont="1" applyBorder="1" applyAlignment="1">
      <alignment horizontal="center" vertical="center" wrapText="1"/>
    </xf>
    <xf numFmtId="0" fontId="410" fillId="34" borderId="190" xfId="22814" applyFont="1" applyFill="1" applyBorder="1" applyAlignment="1" applyProtection="1">
      <alignment horizontal="left" vertical="center" wrapText="1"/>
      <protection locked="0"/>
    </xf>
    <xf numFmtId="0" fontId="411" fillId="0" borderId="190" xfId="0" applyFont="1" applyBorder="1" applyAlignment="1">
      <alignment horizontal="left" vertical="center" wrapText="1"/>
    </xf>
    <xf numFmtId="0" fontId="411" fillId="0" borderId="201" xfId="0" applyFont="1" applyBorder="1" applyAlignment="1">
      <alignment horizontal="left" vertical="center" wrapText="1"/>
    </xf>
    <xf numFmtId="0" fontId="410" fillId="0" borderId="199" xfId="13899" applyFont="1" applyBorder="1" applyAlignment="1">
      <alignment horizontal="center" vertical="center" wrapText="1"/>
    </xf>
    <xf numFmtId="0" fontId="411" fillId="0" borderId="102" xfId="0" applyFont="1" applyBorder="1" applyAlignment="1">
      <alignment horizontal="center" vertical="center" wrapText="1"/>
    </xf>
    <xf numFmtId="0" fontId="0" fillId="0" borderId="200" xfId="0" applyBorder="1" applyAlignment="1">
      <alignment horizontal="center" vertical="center" wrapText="1"/>
    </xf>
    <xf numFmtId="0" fontId="411" fillId="0" borderId="202" xfId="0" applyFont="1" applyBorder="1" applyAlignment="1">
      <alignment horizontal="center" vertical="center" wrapText="1"/>
    </xf>
    <xf numFmtId="0" fontId="0" fillId="0" borderId="203" xfId="0" applyBorder="1" applyAlignment="1">
      <alignment horizontal="center" vertical="center" wrapText="1"/>
    </xf>
    <xf numFmtId="210" fontId="410" fillId="0" borderId="190" xfId="13899" applyNumberFormat="1" applyFont="1" applyBorder="1" applyAlignment="1">
      <alignment horizontal="center" vertical="center" wrapText="1"/>
    </xf>
    <xf numFmtId="210" fontId="411" fillId="0" borderId="190" xfId="0" applyNumberFormat="1" applyFont="1" applyBorder="1" applyAlignment="1">
      <alignment horizontal="center" vertical="center" wrapText="1"/>
    </xf>
    <xf numFmtId="210" fontId="411" fillId="0" borderId="201" xfId="0" applyNumberFormat="1" applyFont="1" applyBorder="1" applyAlignment="1">
      <alignment horizontal="center" vertical="center" wrapText="1"/>
    </xf>
    <xf numFmtId="0" fontId="410" fillId="0" borderId="190" xfId="13899" applyFont="1" applyBorder="1" applyAlignment="1">
      <alignment horizontal="center" vertical="center" wrapText="1"/>
    </xf>
    <xf numFmtId="0" fontId="411" fillId="0" borderId="190" xfId="0" applyFont="1" applyBorder="1" applyAlignment="1">
      <alignment horizontal="center" vertical="center" wrapText="1"/>
    </xf>
    <xf numFmtId="0" fontId="411" fillId="0" borderId="201" xfId="0" applyFont="1" applyBorder="1" applyAlignment="1">
      <alignment horizontal="center" vertical="center" wrapText="1"/>
    </xf>
    <xf numFmtId="38" fontId="410" fillId="0" borderId="190" xfId="13899" applyNumberFormat="1" applyFont="1" applyBorder="1" applyAlignment="1">
      <alignment horizontal="center" vertical="center" wrapText="1"/>
    </xf>
    <xf numFmtId="38" fontId="411" fillId="0" borderId="201" xfId="0" applyNumberFormat="1" applyFont="1" applyBorder="1" applyAlignment="1">
      <alignment horizontal="center" vertical="center" wrapText="1"/>
    </xf>
    <xf numFmtId="0" fontId="0" fillId="0" borderId="190" xfId="0" applyBorder="1" applyAlignment="1">
      <alignment horizontal="center" vertical="center" wrapText="1"/>
    </xf>
    <xf numFmtId="0" fontId="412" fillId="130" borderId="161" xfId="13899" applyFont="1" applyFill="1" applyBorder="1" applyAlignment="1">
      <alignment horizontal="center" vertical="center"/>
    </xf>
    <xf numFmtId="0" fontId="412" fillId="130" borderId="183" xfId="13899" applyFont="1" applyFill="1" applyBorder="1" applyAlignment="1">
      <alignment horizontal="center" vertical="center"/>
    </xf>
    <xf numFmtId="0" fontId="412" fillId="130" borderId="188" xfId="13899" applyFont="1" applyFill="1" applyBorder="1" applyAlignment="1">
      <alignment horizontal="center" vertical="center"/>
    </xf>
    <xf numFmtId="0" fontId="387" fillId="130" borderId="223" xfId="14981" applyFont="1" applyFill="1" applyBorder="1" applyAlignment="1">
      <alignment horizontal="center" vertical="center" wrapText="1"/>
    </xf>
    <xf numFmtId="0" fontId="21" fillId="0" borderId="183" xfId="0" applyFont="1" applyBorder="1" applyAlignment="1">
      <alignment horizontal="center" vertical="center" wrapText="1"/>
    </xf>
    <xf numFmtId="0" fontId="21" fillId="0" borderId="224" xfId="0" applyFont="1" applyBorder="1" applyAlignment="1">
      <alignment wrapText="1"/>
    </xf>
    <xf numFmtId="0" fontId="387" fillId="130" borderId="365" xfId="14981" applyFont="1" applyFill="1" applyBorder="1" applyAlignment="1">
      <alignment horizontal="center" vertical="center"/>
    </xf>
    <xf numFmtId="0" fontId="21" fillId="0" borderId="365" xfId="0" applyFont="1" applyBorder="1" applyAlignment="1">
      <alignment horizontal="center" vertical="center"/>
    </xf>
    <xf numFmtId="0" fontId="387" fillId="130" borderId="365" xfId="14981" applyFont="1" applyFill="1" applyBorder="1" applyAlignment="1">
      <alignment horizontal="center" vertical="center" wrapText="1"/>
    </xf>
    <xf numFmtId="0" fontId="21" fillId="0" borderId="365" xfId="0" applyFont="1" applyBorder="1" applyAlignment="1">
      <alignment horizontal="center" vertical="center" wrapText="1"/>
    </xf>
    <xf numFmtId="0" fontId="387" fillId="130" borderId="188" xfId="14981" applyFont="1" applyFill="1" applyBorder="1" applyAlignment="1">
      <alignment horizontal="center" vertical="center" wrapText="1"/>
    </xf>
    <xf numFmtId="0" fontId="0" fillId="0" borderId="224" xfId="0" applyBorder="1" applyAlignment="1">
      <alignment horizontal="center" vertical="center" wrapText="1"/>
    </xf>
    <xf numFmtId="0" fontId="21" fillId="0" borderId="188" xfId="0" applyFont="1" applyBorder="1" applyAlignment="1">
      <alignment horizontal="center" vertical="center" wrapText="1"/>
    </xf>
    <xf numFmtId="0" fontId="0" fillId="0" borderId="365" xfId="0" applyBorder="1" applyAlignment="1">
      <alignment horizontal="center" vertical="center" wrapText="1"/>
    </xf>
    <xf numFmtId="0" fontId="387" fillId="0" borderId="59" xfId="13899" applyFont="1" applyBorder="1" applyAlignment="1">
      <alignment horizontal="left" vertical="top" wrapText="1"/>
    </xf>
    <xf numFmtId="0" fontId="387" fillId="0" borderId="0" xfId="13899" applyFont="1" applyAlignment="1">
      <alignment horizontal="left" vertical="top"/>
    </xf>
    <xf numFmtId="0" fontId="387" fillId="0" borderId="52" xfId="13899" applyFont="1" applyBorder="1" applyAlignment="1">
      <alignment horizontal="left" vertical="top"/>
    </xf>
    <xf numFmtId="0" fontId="387" fillId="0" borderId="59" xfId="13899" applyFont="1" applyBorder="1" applyAlignment="1">
      <alignment horizontal="left" vertical="top"/>
    </xf>
    <xf numFmtId="0" fontId="387" fillId="0" borderId="184" xfId="13899" applyFont="1" applyBorder="1" applyAlignment="1">
      <alignment horizontal="left" vertical="top" wrapText="1"/>
    </xf>
    <xf numFmtId="0" fontId="387" fillId="0" borderId="102" xfId="13899" applyFont="1" applyBorder="1" applyAlignment="1">
      <alignment horizontal="left" vertical="top"/>
    </xf>
    <xf numFmtId="0" fontId="387" fillId="0" borderId="187" xfId="13899" applyFont="1" applyBorder="1" applyAlignment="1">
      <alignment horizontal="left" vertical="top"/>
    </xf>
    <xf numFmtId="0" fontId="387" fillId="0" borderId="173" xfId="13899" applyFont="1" applyBorder="1" applyAlignment="1">
      <alignment horizontal="left" vertical="top"/>
    </xf>
    <xf numFmtId="0" fontId="387" fillId="0" borderId="124" xfId="13899" applyFont="1" applyBorder="1" applyAlignment="1">
      <alignment horizontal="left" vertical="top"/>
    </xf>
    <xf numFmtId="0" fontId="387" fillId="0" borderId="141" xfId="13899" applyFont="1" applyBorder="1" applyAlignment="1">
      <alignment horizontal="left" vertical="top"/>
    </xf>
    <xf numFmtId="0" fontId="410" fillId="34" borderId="103" xfId="13899" applyFont="1" applyFill="1" applyBorder="1" applyAlignment="1">
      <alignment horizontal="center" vertical="center" wrapText="1"/>
    </xf>
    <xf numFmtId="0" fontId="410" fillId="34" borderId="185" xfId="13899" applyFont="1" applyFill="1" applyBorder="1" applyAlignment="1">
      <alignment horizontal="center" vertical="center" wrapText="1"/>
    </xf>
    <xf numFmtId="0" fontId="410" fillId="34" borderId="223" xfId="13899" applyFont="1" applyFill="1" applyBorder="1" applyAlignment="1">
      <alignment horizontal="center" vertical="center" wrapText="1"/>
    </xf>
    <xf numFmtId="0" fontId="410" fillId="34" borderId="224" xfId="13899" applyFont="1" applyFill="1" applyBorder="1" applyAlignment="1">
      <alignment horizontal="center" vertical="center" wrapText="1"/>
    </xf>
    <xf numFmtId="0" fontId="410" fillId="34" borderId="123" xfId="13899" applyFont="1" applyFill="1" applyBorder="1" applyAlignment="1">
      <alignment horizontal="center" vertical="center" wrapText="1"/>
    </xf>
    <xf numFmtId="0" fontId="410" fillId="34" borderId="125" xfId="13899" applyFont="1" applyFill="1" applyBorder="1" applyAlignment="1">
      <alignment horizontal="center" vertical="center" wrapText="1"/>
    </xf>
    <xf numFmtId="0" fontId="364" fillId="0" borderId="0" xfId="0" applyFont="1" applyAlignment="1">
      <alignment horizontal="center" vertical="center"/>
    </xf>
    <xf numFmtId="0" fontId="364" fillId="0" borderId="52" xfId="0" applyFont="1" applyBorder="1" applyAlignment="1">
      <alignment horizontal="center" vertical="center"/>
    </xf>
    <xf numFmtId="0" fontId="410" fillId="134" borderId="223" xfId="13899" applyFont="1" applyFill="1" applyBorder="1" applyAlignment="1">
      <alignment horizontal="left" vertical="center" wrapText="1"/>
    </xf>
    <xf numFmtId="0" fontId="21" fillId="134" borderId="224" xfId="0" applyFont="1" applyFill="1" applyBorder="1" applyAlignment="1">
      <alignment horizontal="left" vertical="center" wrapText="1"/>
    </xf>
    <xf numFmtId="0" fontId="410" fillId="134" borderId="222" xfId="13899" applyFont="1" applyFill="1" applyBorder="1" applyAlignment="1">
      <alignment horizontal="left" vertical="center" wrapText="1"/>
    </xf>
    <xf numFmtId="0" fontId="21" fillId="134" borderId="113" xfId="0" applyFont="1" applyFill="1" applyBorder="1" applyAlignment="1">
      <alignment horizontal="left" vertical="center" wrapText="1"/>
    </xf>
    <xf numFmtId="0" fontId="410" fillId="34" borderId="222" xfId="13899" applyFont="1" applyFill="1" applyBorder="1" applyAlignment="1">
      <alignment horizontal="center" vertical="center" wrapText="1"/>
    </xf>
    <xf numFmtId="0" fontId="410" fillId="34" borderId="113" xfId="13899" applyFont="1" applyFill="1" applyBorder="1" applyAlignment="1">
      <alignment horizontal="center" vertical="center" wrapText="1"/>
    </xf>
    <xf numFmtId="0" fontId="410" fillId="134" borderId="223" xfId="13899" applyFont="1" applyFill="1" applyBorder="1" applyAlignment="1">
      <alignment horizontal="center" vertical="center" wrapText="1"/>
    </xf>
    <xf numFmtId="0" fontId="410" fillId="134" borderId="224" xfId="13899" applyFont="1" applyFill="1" applyBorder="1" applyAlignment="1">
      <alignment horizontal="center" vertical="center" wrapText="1"/>
    </xf>
    <xf numFmtId="0" fontId="387" fillId="134" borderId="223" xfId="13899" applyFont="1" applyFill="1" applyBorder="1" applyAlignment="1">
      <alignment horizontal="center" vertical="center" wrapText="1"/>
    </xf>
    <xf numFmtId="0" fontId="387" fillId="134" borderId="224" xfId="13899" applyFont="1" applyFill="1" applyBorder="1" applyAlignment="1">
      <alignment horizontal="center" vertical="center" wrapText="1"/>
    </xf>
    <xf numFmtId="0" fontId="64" fillId="134" borderId="224" xfId="0" applyFont="1" applyFill="1" applyBorder="1" applyAlignment="1">
      <alignment horizontal="center" vertical="center" wrapText="1"/>
    </xf>
    <xf numFmtId="0" fontId="350" fillId="107" borderId="365" xfId="13899" applyFont="1" applyFill="1" applyBorder="1" applyAlignment="1">
      <alignment horizontal="center" vertical="center" wrapText="1"/>
    </xf>
    <xf numFmtId="0" fontId="387" fillId="134" borderId="161" xfId="13899" applyFont="1" applyFill="1" applyBorder="1" applyAlignment="1">
      <alignment horizontal="left" vertical="center" wrapText="1"/>
    </xf>
    <xf numFmtId="0" fontId="21" fillId="0" borderId="183" xfId="0" applyFont="1" applyBorder="1" applyAlignment="1">
      <alignment horizontal="left" vertical="center" wrapText="1"/>
    </xf>
    <xf numFmtId="0" fontId="21" fillId="0" borderId="224" xfId="0" applyFont="1" applyBorder="1" applyAlignment="1">
      <alignment horizontal="center" vertical="center" wrapText="1"/>
    </xf>
    <xf numFmtId="0" fontId="364" fillId="0" borderId="124" xfId="0" applyFont="1" applyBorder="1" applyAlignment="1">
      <alignment horizontal="center" vertical="center"/>
    </xf>
    <xf numFmtId="0" fontId="364" fillId="0" borderId="141" xfId="0" applyFont="1" applyBorder="1" applyAlignment="1">
      <alignment horizontal="center" vertical="center"/>
    </xf>
    <xf numFmtId="0" fontId="410" fillId="34" borderId="357" xfId="13899" applyFont="1" applyFill="1" applyBorder="1" applyAlignment="1">
      <alignment horizontal="center" vertical="center" wrapText="1"/>
    </xf>
    <xf numFmtId="0" fontId="0" fillId="0" borderId="359" xfId="0" applyBorder="1" applyAlignment="1">
      <alignment horizontal="center" vertical="center" wrapText="1"/>
    </xf>
    <xf numFmtId="0" fontId="410" fillId="34" borderId="114" xfId="13899" applyFont="1" applyFill="1" applyBorder="1" applyAlignment="1">
      <alignment horizontal="center" vertical="center" wrapText="1"/>
    </xf>
    <xf numFmtId="0" fontId="410" fillId="34" borderId="170" xfId="13899" applyFont="1" applyFill="1" applyBorder="1" applyAlignment="1">
      <alignment horizontal="center" vertical="center" wrapText="1"/>
    </xf>
    <xf numFmtId="0" fontId="410" fillId="34" borderId="140" xfId="13899" applyFont="1" applyFill="1" applyBorder="1" applyAlignment="1">
      <alignment horizontal="center" vertical="center" wrapText="1"/>
    </xf>
    <xf numFmtId="0" fontId="410" fillId="34" borderId="186" xfId="13899" applyFont="1" applyFill="1" applyBorder="1" applyAlignment="1">
      <alignment horizontal="center" vertical="center" wrapText="1"/>
    </xf>
    <xf numFmtId="0" fontId="0" fillId="0" borderId="185" xfId="0" applyBorder="1" applyAlignment="1">
      <alignment horizontal="center" vertical="center" wrapText="1"/>
    </xf>
    <xf numFmtId="210" fontId="0" fillId="0" borderId="66" xfId="0" applyNumberFormat="1" applyBorder="1" applyAlignment="1">
      <alignment horizontal="center" vertical="center" wrapText="1"/>
    </xf>
    <xf numFmtId="210" fontId="0" fillId="0" borderId="197" xfId="0" applyNumberFormat="1" applyBorder="1" applyAlignment="1">
      <alignment horizontal="center" vertical="center" wrapText="1"/>
    </xf>
    <xf numFmtId="38" fontId="0" fillId="0" borderId="197" xfId="0" applyNumberFormat="1" applyBorder="1" applyAlignment="1">
      <alignment horizontal="center" vertical="center" wrapText="1"/>
    </xf>
    <xf numFmtId="0" fontId="410" fillId="34" borderId="66" xfId="22814" applyFont="1" applyFill="1" applyBorder="1" applyAlignment="1" applyProtection="1">
      <alignment horizontal="center" vertical="center" wrapText="1"/>
      <protection locked="0"/>
    </xf>
    <xf numFmtId="0" fontId="410" fillId="34" borderId="159" xfId="22814" applyFont="1" applyFill="1" applyBorder="1" applyAlignment="1" applyProtection="1">
      <alignment horizontal="center" vertical="center" wrapText="1"/>
      <protection locked="0"/>
    </xf>
    <xf numFmtId="0" fontId="410" fillId="34" borderId="197" xfId="22814" applyFont="1" applyFill="1" applyBorder="1" applyAlignment="1" applyProtection="1">
      <alignment horizontal="center" vertical="center" wrapText="1"/>
      <protection locked="0"/>
    </xf>
    <xf numFmtId="0" fontId="410" fillId="34" borderId="198" xfId="22814" applyFont="1" applyFill="1" applyBorder="1" applyAlignment="1" applyProtection="1">
      <alignment horizontal="center" vertical="center" wrapText="1"/>
      <protection locked="0"/>
    </xf>
    <xf numFmtId="0" fontId="409" fillId="107" borderId="180" xfId="13899" applyFont="1" applyFill="1" applyBorder="1" applyAlignment="1">
      <alignment horizontal="center" vertical="center"/>
    </xf>
    <xf numFmtId="0" fontId="409" fillId="107" borderId="181" xfId="13899" applyFont="1" applyFill="1" applyBorder="1" applyAlignment="1">
      <alignment horizontal="center" vertical="center"/>
    </xf>
    <xf numFmtId="0" fontId="409" fillId="107" borderId="182" xfId="13899" applyFont="1" applyFill="1" applyBorder="1" applyAlignment="1">
      <alignment horizontal="center" vertical="center"/>
    </xf>
    <xf numFmtId="0" fontId="411" fillId="0" borderId="159" xfId="0" applyFont="1" applyBorder="1" applyAlignment="1">
      <alignment horizontal="center" vertical="center" wrapText="1"/>
    </xf>
    <xf numFmtId="0" fontId="411" fillId="0" borderId="198" xfId="0" applyFont="1" applyBorder="1" applyAlignment="1">
      <alignment horizontal="center" vertical="center" wrapText="1"/>
    </xf>
    <xf numFmtId="0" fontId="410" fillId="34" borderId="162" xfId="22814" applyFont="1" applyFill="1" applyBorder="1" applyAlignment="1" applyProtection="1">
      <alignment horizontal="center" vertical="center" wrapText="1"/>
      <protection locked="0"/>
    </xf>
    <xf numFmtId="0" fontId="410" fillId="34" borderId="196" xfId="22814" applyFont="1" applyFill="1" applyBorder="1" applyAlignment="1" applyProtection="1">
      <alignment horizontal="center" vertical="center" wrapText="1"/>
      <protection locked="0"/>
    </xf>
    <xf numFmtId="0" fontId="410" fillId="34" borderId="197" xfId="22814" applyFont="1" applyFill="1" applyBorder="1" applyAlignment="1" applyProtection="1">
      <alignment horizontal="left" vertical="center" wrapText="1"/>
      <protection locked="0"/>
    </xf>
    <xf numFmtId="0" fontId="410" fillId="0" borderId="197" xfId="13899" applyFont="1" applyBorder="1" applyAlignment="1">
      <alignment horizontal="center" vertical="center" wrapText="1"/>
    </xf>
    <xf numFmtId="49" fontId="410" fillId="0" borderId="66" xfId="13899" applyNumberFormat="1" applyFont="1" applyBorder="1" applyAlignment="1">
      <alignment horizontal="center" vertical="center" wrapText="1"/>
    </xf>
    <xf numFmtId="49" fontId="410" fillId="0" borderId="197" xfId="13899" applyNumberFormat="1" applyFont="1" applyBorder="1" applyAlignment="1">
      <alignment horizontal="center" vertical="center" wrapText="1"/>
    </xf>
    <xf numFmtId="210" fontId="410" fillId="0" borderId="197" xfId="13899" applyNumberFormat="1" applyFont="1" applyBorder="1" applyAlignment="1">
      <alignment horizontal="center" vertical="center" wrapText="1"/>
    </xf>
    <xf numFmtId="0" fontId="411" fillId="0" borderId="196" xfId="0" applyFont="1" applyBorder="1" applyAlignment="1">
      <alignment horizontal="center" vertical="center" wrapText="1"/>
    </xf>
    <xf numFmtId="38" fontId="0" fillId="0" borderId="66" xfId="0" applyNumberFormat="1" applyBorder="1" applyAlignment="1">
      <alignment horizontal="center" vertical="center" wrapText="1"/>
    </xf>
    <xf numFmtId="0" fontId="411" fillId="0" borderId="162" xfId="0" applyFont="1" applyBorder="1" applyAlignment="1">
      <alignment horizontal="center" vertical="center" wrapText="1"/>
    </xf>
    <xf numFmtId="0" fontId="410" fillId="0" borderId="193" xfId="13899" applyFont="1" applyBorder="1" applyAlignment="1">
      <alignment horizontal="center" vertical="center" wrapText="1"/>
    </xf>
    <xf numFmtId="0" fontId="410" fillId="0" borderId="194" xfId="13899" applyFont="1" applyBorder="1" applyAlignment="1">
      <alignment horizontal="center" vertical="center" wrapText="1"/>
    </xf>
    <xf numFmtId="0" fontId="410" fillId="0" borderId="195" xfId="13899" applyFont="1" applyBorder="1" applyAlignment="1">
      <alignment horizontal="center" vertical="center" wrapText="1"/>
    </xf>
    <xf numFmtId="0" fontId="410" fillId="34" borderId="189" xfId="22814" applyFont="1" applyFill="1" applyBorder="1" applyAlignment="1" applyProtection="1">
      <alignment horizontal="center" vertical="center" wrapText="1"/>
      <protection locked="0"/>
    </xf>
    <xf numFmtId="49" fontId="410" fillId="0" borderId="190" xfId="13899" applyNumberFormat="1" applyFont="1" applyBorder="1" applyAlignment="1">
      <alignment horizontal="center" vertical="center" wrapText="1"/>
    </xf>
    <xf numFmtId="0" fontId="410" fillId="34" borderId="190" xfId="22814" applyFont="1" applyFill="1" applyBorder="1" applyAlignment="1" applyProtection="1">
      <alignment horizontal="center" vertical="center" wrapText="1"/>
      <protection locked="0"/>
    </xf>
    <xf numFmtId="0" fontId="411" fillId="0" borderId="191" xfId="0" applyFont="1" applyBorder="1" applyAlignment="1">
      <alignment horizontal="center" vertical="center" wrapText="1"/>
    </xf>
    <xf numFmtId="210" fontId="0" fillId="0" borderId="190" xfId="0" applyNumberFormat="1" applyBorder="1" applyAlignment="1">
      <alignment horizontal="center" vertical="center" wrapText="1"/>
    </xf>
    <xf numFmtId="0" fontId="410" fillId="34" borderId="191" xfId="22814" applyFont="1" applyFill="1" applyBorder="1" applyAlignment="1" applyProtection="1">
      <alignment horizontal="center" vertical="center" wrapText="1"/>
      <protection locked="0"/>
    </xf>
    <xf numFmtId="0" fontId="0" fillId="130" borderId="224" xfId="0" applyFill="1" applyBorder="1" applyAlignment="1">
      <alignment horizontal="center" vertical="center" wrapText="1"/>
    </xf>
    <xf numFmtId="0" fontId="410" fillId="0" borderId="114" xfId="13899" applyFont="1" applyBorder="1" applyAlignment="1">
      <alignment horizontal="center" vertical="center" wrapText="1"/>
    </xf>
    <xf numFmtId="0" fontId="0" fillId="0" borderId="170" xfId="0" applyBorder="1" applyAlignment="1">
      <alignment horizontal="center" vertical="center" wrapText="1"/>
    </xf>
    <xf numFmtId="0" fontId="0" fillId="0" borderId="114" xfId="0" applyBorder="1" applyAlignment="1">
      <alignment horizontal="center" vertical="center" wrapText="1"/>
    </xf>
    <xf numFmtId="0" fontId="0" fillId="0" borderId="123" xfId="0" applyBorder="1" applyAlignment="1">
      <alignment horizontal="center" vertical="center" wrapText="1"/>
    </xf>
    <xf numFmtId="0" fontId="0" fillId="0" borderId="125" xfId="0" applyBorder="1" applyAlignment="1">
      <alignment horizontal="center" vertical="center" wrapText="1"/>
    </xf>
    <xf numFmtId="0" fontId="410" fillId="0" borderId="223" xfId="13899" applyFont="1" applyBorder="1" applyAlignment="1">
      <alignment horizontal="center" vertical="center" wrapText="1"/>
    </xf>
    <xf numFmtId="0" fontId="410" fillId="0" borderId="357" xfId="13899" applyFont="1" applyBorder="1" applyAlignment="1">
      <alignment horizontal="center" vertical="center" wrapText="1"/>
    </xf>
    <xf numFmtId="0" fontId="21" fillId="0" borderId="359" xfId="0" applyFont="1" applyBorder="1" applyAlignment="1">
      <alignment horizontal="center" vertical="center" wrapText="1"/>
    </xf>
    <xf numFmtId="0" fontId="387" fillId="134" borderId="222" xfId="13899" applyFont="1" applyFill="1" applyBorder="1" applyAlignment="1">
      <alignment horizontal="center" vertical="center" wrapText="1"/>
    </xf>
    <xf numFmtId="0" fontId="64" fillId="134" borderId="113" xfId="0" applyFont="1" applyFill="1" applyBorder="1" applyAlignment="1">
      <alignment horizontal="center" vertical="center" wrapText="1"/>
    </xf>
    <xf numFmtId="0" fontId="387" fillId="134" borderId="184" xfId="13899" applyFont="1" applyFill="1" applyBorder="1" applyAlignment="1">
      <alignment horizontal="left" vertical="center" wrapText="1"/>
    </xf>
    <xf numFmtId="0" fontId="0" fillId="0" borderId="102" xfId="0" applyBorder="1" applyAlignment="1">
      <alignment vertical="center" wrapText="1"/>
    </xf>
    <xf numFmtId="0" fontId="0" fillId="0" borderId="113" xfId="0" applyBorder="1" applyAlignment="1">
      <alignment vertical="center" wrapText="1"/>
    </xf>
    <xf numFmtId="0" fontId="397" fillId="33" borderId="111" xfId="13899" applyFont="1" applyFill="1" applyBorder="1" applyAlignment="1">
      <alignment horizontal="left" vertical="center"/>
    </xf>
    <xf numFmtId="0" fontId="400" fillId="33" borderId="0" xfId="13899" applyFont="1" applyFill="1" applyAlignment="1">
      <alignment horizontal="center" vertical="center" wrapText="1"/>
    </xf>
    <xf numFmtId="0" fontId="401" fillId="0" borderId="0" xfId="0" applyFont="1" applyAlignment="1">
      <alignment horizontal="center" vertical="center" wrapText="1"/>
    </xf>
    <xf numFmtId="238" fontId="403" fillId="33" borderId="0" xfId="13899" applyNumberFormat="1" applyFont="1" applyFill="1" applyAlignment="1">
      <alignment horizontal="left" vertical="center" wrapText="1"/>
    </xf>
    <xf numFmtId="0" fontId="0" fillId="33" borderId="0" xfId="0" applyFill="1" applyAlignment="1">
      <alignment horizontal="left" vertical="center" wrapText="1"/>
    </xf>
    <xf numFmtId="0" fontId="0" fillId="0" borderId="0" xfId="0" applyAlignment="1">
      <alignment horizontal="left" vertical="center" wrapText="1"/>
    </xf>
    <xf numFmtId="0" fontId="403" fillId="33" borderId="0" xfId="13899" applyFont="1" applyFill="1" applyAlignment="1">
      <alignment horizontal="left" vertical="center"/>
    </xf>
    <xf numFmtId="0" fontId="0" fillId="33" borderId="0" xfId="0" applyFill="1" applyAlignment="1">
      <alignment vertical="center"/>
    </xf>
    <xf numFmtId="0" fontId="102" fillId="33" borderId="434" xfId="13899" applyFont="1" applyFill="1" applyBorder="1" applyAlignment="1">
      <alignment horizontal="center"/>
    </xf>
    <xf numFmtId="0" fontId="102" fillId="33" borderId="0" xfId="13899" applyFont="1" applyFill="1" applyAlignment="1">
      <alignment horizontal="center"/>
    </xf>
    <xf numFmtId="0" fontId="537" fillId="0" borderId="356" xfId="0" applyFont="1" applyBorder="1" applyAlignment="1" applyProtection="1">
      <alignment horizontal="center" vertical="center"/>
      <protection locked="0"/>
    </xf>
    <xf numFmtId="0" fontId="537" fillId="0" borderId="456" xfId="0" applyFont="1" applyBorder="1" applyAlignment="1" applyProtection="1">
      <alignment horizontal="center" vertical="center"/>
      <protection locked="0"/>
    </xf>
    <xf numFmtId="0" fontId="537" fillId="0" borderId="254" xfId="0" applyFont="1" applyBorder="1" applyAlignment="1" applyProtection="1">
      <alignment horizontal="center" vertical="center"/>
      <protection locked="0"/>
    </xf>
    <xf numFmtId="0" fontId="537" fillId="0" borderId="356" xfId="0" applyFont="1" applyBorder="1" applyAlignment="1" applyProtection="1">
      <alignment horizontal="center" vertical="center" wrapText="1"/>
      <protection locked="0"/>
    </xf>
    <xf numFmtId="0" fontId="537" fillId="0" borderId="456" xfId="0" applyFont="1" applyBorder="1" applyAlignment="1" applyProtection="1">
      <alignment horizontal="center" vertical="center" wrapText="1"/>
      <protection locked="0"/>
    </xf>
    <xf numFmtId="0" fontId="537" fillId="0" borderId="254" xfId="0" applyFont="1" applyBorder="1" applyAlignment="1" applyProtection="1">
      <alignment horizontal="center" vertical="center" wrapText="1"/>
      <protection locked="0"/>
    </xf>
    <xf numFmtId="210" fontId="537" fillId="0" borderId="356" xfId="0" applyNumberFormat="1" applyFont="1" applyBorder="1" applyAlignment="1" applyProtection="1">
      <alignment horizontal="center" vertical="center" wrapText="1"/>
      <protection locked="0"/>
    </xf>
    <xf numFmtId="210" fontId="537" fillId="0" borderId="456" xfId="0" applyNumberFormat="1" applyFont="1" applyBorder="1" applyAlignment="1" applyProtection="1">
      <alignment horizontal="center" vertical="center" wrapText="1"/>
      <protection locked="0"/>
    </xf>
    <xf numFmtId="210" fontId="537" fillId="0" borderId="254" xfId="0" applyNumberFormat="1" applyFont="1" applyBorder="1" applyAlignment="1" applyProtection="1">
      <alignment horizontal="center" vertical="center" wrapText="1"/>
      <protection locked="0"/>
    </xf>
    <xf numFmtId="0" fontId="544" fillId="140" borderId="456" xfId="0" applyFont="1" applyFill="1" applyBorder="1" applyAlignment="1">
      <alignment horizontal="center" vertical="center"/>
    </xf>
    <xf numFmtId="0" fontId="544" fillId="140" borderId="254" xfId="0" applyFont="1" applyFill="1" applyBorder="1" applyAlignment="1">
      <alignment horizontal="center" vertical="center"/>
    </xf>
    <xf numFmtId="15" fontId="537" fillId="0" borderId="356" xfId="0" applyNumberFormat="1" applyFont="1" applyBorder="1" applyAlignment="1" applyProtection="1">
      <alignment horizontal="center" vertical="center" wrapText="1"/>
      <protection locked="0"/>
    </xf>
    <xf numFmtId="0" fontId="537" fillId="210" borderId="41" xfId="0" applyFont="1" applyFill="1" applyBorder="1" applyAlignment="1">
      <alignment horizontal="left" vertical="center" wrapText="1"/>
    </xf>
    <xf numFmtId="0" fontId="537" fillId="210" borderId="111" xfId="0" applyFont="1" applyFill="1" applyBorder="1" applyAlignment="1">
      <alignment horizontal="left" vertical="center" wrapText="1"/>
    </xf>
    <xf numFmtId="0" fontId="537" fillId="210" borderId="112" xfId="0" applyFont="1" applyFill="1" applyBorder="1" applyAlignment="1">
      <alignment horizontal="left" vertical="center" wrapText="1"/>
    </xf>
    <xf numFmtId="0" fontId="537" fillId="141" borderId="222" xfId="0" applyFont="1" applyFill="1" applyBorder="1" applyAlignment="1">
      <alignment horizontal="center" vertical="center" wrapText="1"/>
    </xf>
    <xf numFmtId="0" fontId="537" fillId="141" borderId="113" xfId="0" applyFont="1" applyFill="1" applyBorder="1" applyAlignment="1">
      <alignment horizontal="center" vertical="center" wrapText="1"/>
    </xf>
    <xf numFmtId="0" fontId="537" fillId="141" borderId="222" xfId="0" applyFont="1" applyFill="1" applyBorder="1" applyAlignment="1">
      <alignment horizontal="center" vertical="top" wrapText="1"/>
    </xf>
    <xf numFmtId="0" fontId="537" fillId="141" borderId="113" xfId="0" applyFont="1" applyFill="1" applyBorder="1" applyAlignment="1">
      <alignment horizontal="center" vertical="top" wrapText="1"/>
    </xf>
    <xf numFmtId="0" fontId="537" fillId="142" borderId="102" xfId="0" applyFont="1" applyFill="1" applyBorder="1" applyAlignment="1">
      <alignment horizontal="center" vertical="center" wrapText="1"/>
    </xf>
    <xf numFmtId="0" fontId="537" fillId="142" borderId="113" xfId="0" applyFont="1" applyFill="1" applyBorder="1" applyAlignment="1">
      <alignment horizontal="center" vertical="center" wrapText="1"/>
    </xf>
    <xf numFmtId="0" fontId="544" fillId="140" borderId="456" xfId="0" applyFont="1" applyFill="1" applyBorder="1" applyAlignment="1">
      <alignment horizontal="center" vertical="center" wrapText="1"/>
    </xf>
    <xf numFmtId="0" fontId="544" fillId="140" borderId="254" xfId="0" applyFont="1" applyFill="1" applyBorder="1" applyAlignment="1">
      <alignment horizontal="center" vertical="center" wrapText="1"/>
    </xf>
    <xf numFmtId="0" fontId="544" fillId="140" borderId="456" xfId="0" applyFont="1" applyFill="1" applyBorder="1" applyAlignment="1">
      <alignment horizontal="center" vertical="center" textRotation="90" wrapText="1"/>
    </xf>
    <xf numFmtId="0" fontId="544" fillId="140" borderId="457" xfId="0" applyFont="1" applyFill="1" applyBorder="1" applyAlignment="1">
      <alignment horizontal="center" vertical="center" textRotation="90" wrapText="1"/>
    </xf>
    <xf numFmtId="228" fontId="64" fillId="0" borderId="0" xfId="0" applyNumberFormat="1" applyFont="1" applyAlignment="1">
      <alignment horizontal="right"/>
    </xf>
    <xf numFmtId="228" fontId="64" fillId="0" borderId="0" xfId="0" applyNumberFormat="1" applyFont="1" applyAlignment="1">
      <alignment horizontal="left"/>
    </xf>
    <xf numFmtId="0" fontId="518" fillId="135" borderId="105" xfId="0" applyFont="1" applyFill="1" applyBorder="1" applyAlignment="1">
      <alignment horizontal="center" vertical="center"/>
    </xf>
    <xf numFmtId="0" fontId="518" fillId="135" borderId="362" xfId="0" applyFont="1" applyFill="1" applyBorder="1" applyAlignment="1">
      <alignment horizontal="center" vertical="center"/>
    </xf>
    <xf numFmtId="0" fontId="518" fillId="135" borderId="106" xfId="0" applyFont="1" applyFill="1" applyBorder="1" applyAlignment="1">
      <alignment horizontal="center" vertical="center"/>
    </xf>
    <xf numFmtId="0" fontId="518" fillId="135" borderId="360" xfId="0" applyFont="1" applyFill="1" applyBorder="1" applyAlignment="1">
      <alignment horizontal="center" vertical="center"/>
    </xf>
    <xf numFmtId="0" fontId="518" fillId="135" borderId="106" xfId="0" applyFont="1" applyFill="1" applyBorder="1" applyAlignment="1">
      <alignment horizontal="center"/>
    </xf>
    <xf numFmtId="0" fontId="518" fillId="135" borderId="107" xfId="0" applyFont="1" applyFill="1" applyBorder="1" applyAlignment="1">
      <alignment horizontal="center" vertical="center"/>
    </xf>
    <xf numFmtId="0" fontId="518" fillId="135" borderId="363" xfId="0" applyFont="1" applyFill="1" applyBorder="1" applyAlignment="1">
      <alignment horizontal="center" vertical="center"/>
    </xf>
    <xf numFmtId="0" fontId="519" fillId="0" borderId="115" xfId="0" applyFont="1" applyBorder="1" applyAlignment="1">
      <alignment horizontal="center" vertical="center"/>
    </xf>
    <xf numFmtId="359" fontId="441" fillId="141" borderId="441" xfId="22678" applyFont="1" applyFill="1" applyBorder="1" applyAlignment="1" applyProtection="1">
      <alignment horizontal="center" vertical="center"/>
      <protection locked="0"/>
    </xf>
    <xf numFmtId="359" fontId="441" fillId="141" borderId="442" xfId="22678" applyFont="1" applyFill="1" applyBorder="1" applyAlignment="1" applyProtection="1">
      <alignment horizontal="center" vertical="center"/>
      <protection locked="0"/>
    </xf>
    <xf numFmtId="359" fontId="441" fillId="141" borderId="443" xfId="22678" applyFont="1" applyFill="1" applyBorder="1" applyAlignment="1" applyProtection="1">
      <alignment horizontal="center" vertical="center"/>
      <protection locked="0"/>
    </xf>
    <xf numFmtId="359" fontId="441" fillId="141" borderId="444" xfId="22678" applyFont="1" applyFill="1" applyBorder="1" applyAlignment="1" applyProtection="1">
      <alignment horizontal="center" vertical="center"/>
      <protection locked="0"/>
    </xf>
    <xf numFmtId="359" fontId="441" fillId="142" borderId="441" xfId="22678" applyFont="1" applyFill="1" applyBorder="1" applyAlignment="1" applyProtection="1">
      <alignment horizontal="center" vertical="center"/>
      <protection locked="0"/>
    </xf>
    <xf numFmtId="359" fontId="441" fillId="142" borderId="442" xfId="22678" applyFont="1" applyFill="1" applyBorder="1" applyAlignment="1" applyProtection="1">
      <alignment horizontal="center" vertical="center"/>
      <protection locked="0"/>
    </xf>
    <xf numFmtId="359" fontId="441" fillId="142" borderId="444" xfId="22678" applyFont="1" applyFill="1" applyBorder="1" applyAlignment="1" applyProtection="1">
      <alignment horizontal="center" vertical="center"/>
      <protection locked="0"/>
    </xf>
    <xf numFmtId="359" fontId="441" fillId="143" borderId="386" xfId="22678" applyFont="1" applyFill="1" applyBorder="1" applyAlignment="1" applyProtection="1">
      <alignment horizontal="center" vertical="center"/>
      <protection locked="0"/>
    </xf>
    <xf numFmtId="359" fontId="441" fillId="143" borderId="387" xfId="22678" applyFont="1" applyFill="1" applyBorder="1" applyAlignment="1" applyProtection="1">
      <alignment horizontal="center" vertical="center"/>
      <protection locked="0"/>
    </xf>
    <xf numFmtId="0" fontId="441" fillId="0" borderId="357" xfId="22678" quotePrefix="1" applyNumberFormat="1" applyFont="1" applyBorder="1" applyAlignment="1" applyProtection="1">
      <alignment horizontal="center" vertical="center"/>
      <protection locked="0"/>
    </xf>
    <xf numFmtId="0" fontId="441" fillId="0" borderId="358" xfId="22678" quotePrefix="1" applyNumberFormat="1" applyFont="1" applyBorder="1" applyAlignment="1" applyProtection="1">
      <alignment horizontal="center" vertical="center"/>
      <protection locked="0"/>
    </xf>
    <xf numFmtId="0" fontId="441" fillId="0" borderId="359" xfId="22678" quotePrefix="1" applyNumberFormat="1" applyFont="1" applyBorder="1" applyAlignment="1" applyProtection="1">
      <alignment horizontal="center" vertical="center"/>
      <protection locked="0"/>
    </xf>
    <xf numFmtId="171" fontId="523" fillId="200" borderId="114" xfId="22679" applyNumberFormat="1" applyFont="1" applyFill="1" applyBorder="1" applyAlignment="1" applyProtection="1">
      <alignment horizontal="center" vertical="center" wrapText="1"/>
      <protection locked="0"/>
    </xf>
    <xf numFmtId="171" fontId="523" fillId="200" borderId="0" xfId="22679" applyNumberFormat="1" applyFont="1" applyFill="1" applyBorder="1" applyAlignment="1" applyProtection="1">
      <alignment horizontal="center" vertical="center" wrapText="1"/>
      <protection locked="0"/>
    </xf>
    <xf numFmtId="171" fontId="523" fillId="200" borderId="170" xfId="22679" applyNumberFormat="1" applyFont="1" applyFill="1" applyBorder="1" applyAlignment="1" applyProtection="1">
      <alignment horizontal="center" vertical="center" wrapText="1"/>
      <protection locked="0"/>
    </xf>
    <xf numFmtId="359" fontId="441" fillId="141" borderId="379" xfId="22678" applyFont="1" applyFill="1" applyBorder="1" applyAlignment="1" applyProtection="1">
      <alignment horizontal="center" vertical="center"/>
      <protection locked="0"/>
    </xf>
    <xf numFmtId="359" fontId="441" fillId="141" borderId="380" xfId="22678" applyFont="1" applyFill="1" applyBorder="1" applyAlignment="1" applyProtection="1">
      <alignment horizontal="center" vertical="center"/>
      <protection locked="0"/>
    </xf>
    <xf numFmtId="359" fontId="441" fillId="141" borderId="381" xfId="22678" applyFont="1" applyFill="1" applyBorder="1" applyAlignment="1" applyProtection="1">
      <alignment horizontal="center" vertical="center"/>
      <protection locked="0"/>
    </xf>
    <xf numFmtId="359" fontId="441" fillId="141" borderId="382" xfId="22678" applyFont="1" applyFill="1" applyBorder="1" applyAlignment="1" applyProtection="1">
      <alignment horizontal="center" vertical="center"/>
      <protection locked="0"/>
    </xf>
    <xf numFmtId="359" fontId="441" fillId="142" borderId="379" xfId="22678" applyFont="1" applyFill="1" applyBorder="1" applyAlignment="1" applyProtection="1">
      <alignment horizontal="center" vertical="center"/>
      <protection locked="0"/>
    </xf>
    <xf numFmtId="359" fontId="441" fillId="142" borderId="380" xfId="22678" applyFont="1" applyFill="1" applyBorder="1" applyAlignment="1" applyProtection="1">
      <alignment horizontal="center" vertical="center"/>
      <protection locked="0"/>
    </xf>
    <xf numFmtId="359" fontId="441" fillId="142" borderId="381" xfId="22678" applyFont="1" applyFill="1" applyBorder="1" applyAlignment="1" applyProtection="1">
      <alignment horizontal="center" vertical="center"/>
      <protection locked="0"/>
    </xf>
    <xf numFmtId="359" fontId="441" fillId="142" borderId="382" xfId="22678" applyFont="1" applyFill="1" applyBorder="1" applyAlignment="1" applyProtection="1">
      <alignment horizontal="center" vertical="center"/>
      <protection locked="0"/>
    </xf>
    <xf numFmtId="359" fontId="441" fillId="143" borderId="388" xfId="22678" applyFont="1" applyFill="1" applyBorder="1" applyAlignment="1" applyProtection="1">
      <alignment horizontal="center" vertical="center"/>
      <protection locked="0"/>
    </xf>
    <xf numFmtId="359" fontId="441" fillId="193" borderId="379" xfId="22678" applyFont="1" applyFill="1" applyBorder="1" applyAlignment="1" applyProtection="1">
      <alignment horizontal="center" vertical="center"/>
      <protection locked="0"/>
    </xf>
    <xf numFmtId="359" fontId="441" fillId="193" borderId="380" xfId="22678" applyFont="1" applyFill="1" applyBorder="1" applyAlignment="1" applyProtection="1">
      <alignment horizontal="center" vertical="center"/>
      <protection locked="0"/>
    </xf>
    <xf numFmtId="359" fontId="441" fillId="193" borderId="381" xfId="22678" applyFont="1" applyFill="1" applyBorder="1" applyAlignment="1" applyProtection="1">
      <alignment horizontal="center" vertical="center"/>
      <protection locked="0"/>
    </xf>
    <xf numFmtId="359" fontId="441" fillId="193" borderId="382" xfId="22678" applyFont="1" applyFill="1" applyBorder="1" applyAlignment="1" applyProtection="1">
      <alignment horizontal="center" vertical="center"/>
      <protection locked="0"/>
    </xf>
    <xf numFmtId="359" fontId="441" fillId="194" borderId="379" xfId="22678" applyFont="1" applyFill="1" applyBorder="1" applyAlignment="1" applyProtection="1">
      <alignment horizontal="center" vertical="center"/>
      <protection locked="0"/>
    </xf>
    <xf numFmtId="359" fontId="441" fillId="194" borderId="380" xfId="22678" applyFont="1" applyFill="1" applyBorder="1" applyAlignment="1" applyProtection="1">
      <alignment horizontal="center" vertical="center"/>
      <protection locked="0"/>
    </xf>
    <xf numFmtId="359" fontId="441" fillId="194" borderId="382" xfId="22678" applyFont="1" applyFill="1" applyBorder="1" applyAlignment="1" applyProtection="1">
      <alignment horizontal="center" vertical="center"/>
      <protection locked="0"/>
    </xf>
    <xf numFmtId="359" fontId="441" fillId="191" borderId="379" xfId="22678" applyFont="1" applyFill="1" applyBorder="1" applyAlignment="1" applyProtection="1">
      <alignment horizontal="center" vertical="center"/>
      <protection locked="0"/>
    </xf>
    <xf numFmtId="359" fontId="441" fillId="191" borderId="380" xfId="22678" applyFont="1" applyFill="1" applyBorder="1" applyAlignment="1" applyProtection="1">
      <alignment horizontal="center" vertical="center"/>
      <protection locked="0"/>
    </xf>
    <xf numFmtId="359" fontId="441" fillId="191" borderId="381" xfId="22678" applyFont="1" applyFill="1" applyBorder="1" applyAlignment="1" applyProtection="1">
      <alignment horizontal="center" vertical="center"/>
      <protection locked="0"/>
    </xf>
    <xf numFmtId="359" fontId="441" fillId="191" borderId="382" xfId="22678" applyFont="1" applyFill="1" applyBorder="1" applyAlignment="1" applyProtection="1">
      <alignment horizontal="center" vertical="center"/>
      <protection locked="0"/>
    </xf>
    <xf numFmtId="0" fontId="441" fillId="0" borderId="433" xfId="22678" quotePrefix="1" applyNumberFormat="1" applyFont="1" applyBorder="1" applyAlignment="1" applyProtection="1">
      <alignment horizontal="center" vertical="center"/>
      <protection locked="0"/>
    </xf>
    <xf numFmtId="0" fontId="441" fillId="0" borderId="434" xfId="22678" quotePrefix="1" applyNumberFormat="1" applyFont="1" applyBorder="1" applyAlignment="1" applyProtection="1">
      <alignment horizontal="center" vertical="center"/>
      <protection locked="0"/>
    </xf>
    <xf numFmtId="0" fontId="441" fillId="0" borderId="435" xfId="22678" quotePrefix="1" applyNumberFormat="1" applyFont="1" applyBorder="1" applyAlignment="1" applyProtection="1">
      <alignment horizontal="center" vertical="center"/>
      <protection locked="0"/>
    </xf>
    <xf numFmtId="0" fontId="458" fillId="170" borderId="355" xfId="27936" applyFont="1" applyFill="1" applyBorder="1" applyAlignment="1">
      <alignment horizontal="center" vertical="center"/>
    </xf>
    <xf numFmtId="0" fontId="21" fillId="186" borderId="0" xfId="0" applyFont="1" applyFill="1" applyAlignment="1">
      <alignment horizontal="center" vertical="center" wrapText="1"/>
    </xf>
    <xf numFmtId="0" fontId="21" fillId="186" borderId="389" xfId="0" applyFont="1" applyFill="1" applyBorder="1" applyAlignment="1">
      <alignment horizontal="center" vertical="center" wrapText="1"/>
    </xf>
    <xf numFmtId="0" fontId="578" fillId="179" borderId="476" xfId="27962" applyFont="1" applyFill="1" applyBorder="1" applyAlignment="1" applyProtection="1">
      <alignment horizontal="center" vertical="center" wrapText="1"/>
      <protection locked="0"/>
    </xf>
    <xf numFmtId="0" fontId="578" fillId="179" borderId="477" xfId="27962" applyFont="1" applyFill="1" applyBorder="1" applyAlignment="1" applyProtection="1">
      <alignment horizontal="center" vertical="center" wrapText="1"/>
      <protection locked="0"/>
    </xf>
    <xf numFmtId="0" fontId="578" fillId="179" borderId="478" xfId="27962" applyFont="1" applyFill="1" applyBorder="1" applyAlignment="1" applyProtection="1">
      <alignment horizontal="center" vertical="center" wrapText="1"/>
      <protection locked="0"/>
    </xf>
    <xf numFmtId="0" fontId="578" fillId="179" borderId="479" xfId="27962" applyFont="1" applyFill="1" applyBorder="1" applyAlignment="1" applyProtection="1">
      <alignment horizontal="center" vertical="center" wrapText="1"/>
      <protection locked="0"/>
    </xf>
    <xf numFmtId="229" fontId="584" fillId="134" borderId="486" xfId="27963" applyNumberFormat="1" applyFont="1" applyFill="1" applyBorder="1" applyAlignment="1" applyProtection="1">
      <alignment horizontal="center" vertical="center" wrapText="1"/>
      <protection locked="0"/>
    </xf>
    <xf numFmtId="9" fontId="584" fillId="134" borderId="486" xfId="27964" applyFont="1" applyFill="1" applyBorder="1" applyAlignment="1" applyProtection="1">
      <alignment horizontal="center" vertical="center" wrapText="1"/>
      <protection locked="0"/>
    </xf>
    <xf numFmtId="0" fontId="626" fillId="217" borderId="136" xfId="0" applyFont="1" applyFill="1" applyBorder="1" applyAlignment="1">
      <alignment horizontal="center" vertical="center" wrapText="1"/>
    </xf>
    <xf numFmtId="0" fontId="626" fillId="217" borderId="340" xfId="0" applyFont="1" applyFill="1" applyBorder="1" applyAlignment="1">
      <alignment horizontal="center" vertical="center" wrapText="1"/>
    </xf>
    <xf numFmtId="0" fontId="626" fillId="217" borderId="546" xfId="0" applyFont="1" applyFill="1" applyBorder="1" applyAlignment="1">
      <alignment horizontal="center" vertical="center" wrapText="1"/>
    </xf>
    <xf numFmtId="0" fontId="626" fillId="217" borderId="547" xfId="0" applyFont="1" applyFill="1" applyBorder="1" applyAlignment="1">
      <alignment horizontal="center" vertical="center" wrapText="1"/>
    </xf>
    <xf numFmtId="0" fontId="626" fillId="217" borderId="548" xfId="0" applyFont="1" applyFill="1" applyBorder="1" applyAlignment="1">
      <alignment horizontal="center" vertical="center" wrapText="1"/>
    </xf>
    <xf numFmtId="0" fontId="626" fillId="217" borderId="549" xfId="0" applyFont="1" applyFill="1" applyBorder="1" applyAlignment="1">
      <alignment horizontal="center" vertical="center" wrapText="1"/>
    </xf>
    <xf numFmtId="0" fontId="0" fillId="0" borderId="0" xfId="0" applyAlignment="1">
      <alignment wrapText="1"/>
    </xf>
    <xf numFmtId="0" fontId="626" fillId="217" borderId="137" xfId="0" applyFont="1" applyFill="1" applyBorder="1" applyAlignment="1">
      <alignment horizontal="center" vertical="center" wrapText="1"/>
    </xf>
    <xf numFmtId="0" fontId="626" fillId="217" borderId="436" xfId="0" applyFont="1" applyFill="1" applyBorder="1" applyAlignment="1">
      <alignment horizontal="center" vertical="center" wrapText="1"/>
    </xf>
    <xf numFmtId="0" fontId="627" fillId="134" borderId="51" xfId="0" applyFont="1" applyFill="1" applyBorder="1" applyAlignment="1">
      <alignment horizontal="center" vertical="center" wrapText="1"/>
    </xf>
    <xf numFmtId="0" fontId="628" fillId="134" borderId="51" xfId="0" applyFont="1" applyFill="1" applyBorder="1" applyAlignment="1">
      <alignment horizontal="center" vertical="center" wrapText="1"/>
    </xf>
    <xf numFmtId="0" fontId="628" fillId="134" borderId="118" xfId="0" applyFont="1" applyFill="1" applyBorder="1" applyAlignment="1">
      <alignment horizontal="center" vertical="center" wrapText="1"/>
    </xf>
    <xf numFmtId="40" fontId="629" fillId="0" borderId="551" xfId="19286" applyNumberFormat="1" applyFont="1" applyBorder="1" applyAlignment="1">
      <alignment horizontal="right" vertical="center"/>
    </xf>
    <xf numFmtId="40" fontId="629" fillId="134" borderId="551" xfId="19286" applyNumberFormat="1" applyFont="1" applyFill="1" applyBorder="1" applyAlignment="1">
      <alignment horizontal="right" vertical="center" wrapText="1"/>
    </xf>
    <xf numFmtId="40" fontId="629" fillId="134" borderId="553" xfId="19286" applyNumberFormat="1" applyFont="1" applyFill="1" applyBorder="1" applyAlignment="1">
      <alignment horizontal="right" vertical="center" wrapText="1"/>
    </xf>
    <xf numFmtId="40" fontId="629" fillId="0" borderId="556" xfId="19286" applyNumberFormat="1" applyFont="1" applyBorder="1" applyAlignment="1">
      <alignment horizontal="right" vertical="center"/>
    </xf>
    <xf numFmtId="40" fontId="629" fillId="0" borderId="555" xfId="19286" applyNumberFormat="1" applyFont="1" applyBorder="1" applyAlignment="1">
      <alignment horizontal="right" vertical="center"/>
    </xf>
    <xf numFmtId="40" fontId="626" fillId="175" borderId="558" xfId="19286" applyNumberFormat="1" applyFont="1" applyFill="1" applyBorder="1" applyAlignment="1">
      <alignment horizontal="right" vertical="center"/>
    </xf>
    <xf numFmtId="40" fontId="626" fillId="175" borderId="557" xfId="19286" applyNumberFormat="1" applyFont="1" applyFill="1" applyBorder="1" applyAlignment="1">
      <alignment horizontal="right" vertical="center" wrapText="1"/>
    </xf>
    <xf numFmtId="40" fontId="626" fillId="175" borderId="558" xfId="19286" applyNumberFormat="1" applyFont="1" applyFill="1" applyBorder="1" applyAlignment="1">
      <alignment horizontal="right" vertical="center" wrapText="1"/>
    </xf>
    <xf numFmtId="40" fontId="626" fillId="175" borderId="559" xfId="19286" applyNumberFormat="1" applyFont="1" applyFill="1" applyBorder="1" applyAlignment="1">
      <alignment horizontal="right" vertical="center" wrapText="1"/>
    </xf>
    <xf numFmtId="0" fontId="429" fillId="152" borderId="237" xfId="27923" applyFont="1" applyFill="1" applyBorder="1" applyAlignment="1" applyProtection="1">
      <alignment horizontal="center" vertical="center"/>
      <protection locked="0"/>
    </xf>
    <xf numFmtId="0" fontId="427" fillId="107" borderId="365" xfId="27923" applyFont="1" applyFill="1" applyBorder="1" applyAlignment="1">
      <alignment horizontal="center" vertical="center"/>
    </xf>
    <xf numFmtId="0" fontId="428" fillId="140" borderId="234" xfId="27923" applyFont="1" applyFill="1" applyBorder="1" applyAlignment="1" applyProtection="1">
      <alignment horizontal="center" vertical="center" wrapText="1"/>
      <protection locked="0"/>
    </xf>
    <xf numFmtId="0" fontId="428" fillId="140" borderId="235" xfId="27923" applyFont="1" applyFill="1" applyBorder="1" applyAlignment="1" applyProtection="1">
      <alignment horizontal="center" vertical="center" wrapText="1"/>
      <protection locked="0"/>
    </xf>
    <xf numFmtId="0" fontId="428" fillId="140" borderId="236" xfId="27923" applyFont="1" applyFill="1" applyBorder="1" applyAlignment="1" applyProtection="1">
      <alignment horizontal="center" vertical="center" wrapText="1"/>
      <protection locked="0"/>
    </xf>
    <xf numFmtId="0" fontId="429" fillId="148" borderId="237" xfId="27923" applyFont="1" applyFill="1" applyBorder="1" applyAlignment="1" applyProtection="1">
      <alignment horizontal="center" vertical="center"/>
      <protection locked="0"/>
    </xf>
    <xf numFmtId="0" fontId="430" fillId="149" borderId="237" xfId="27923" applyFont="1" applyFill="1" applyBorder="1" applyAlignment="1" applyProtection="1">
      <alignment horizontal="center"/>
      <protection locked="0"/>
    </xf>
    <xf numFmtId="0" fontId="429" fillId="151" borderId="237" xfId="27923" applyFont="1" applyFill="1" applyBorder="1" applyAlignment="1" applyProtection="1">
      <alignment horizontal="center" vertical="center" wrapText="1"/>
      <protection locked="0"/>
    </xf>
    <xf numFmtId="0" fontId="508" fillId="34" borderId="238" xfId="27923" applyFont="1" applyFill="1" applyBorder="1" applyAlignment="1" applyProtection="1">
      <alignment horizontal="center" vertical="center" wrapText="1"/>
      <protection locked="0"/>
    </xf>
    <xf numFmtId="0" fontId="508" fillId="34" borderId="245" xfId="27923" applyFont="1" applyFill="1" applyBorder="1" applyAlignment="1" applyProtection="1">
      <alignment horizontal="center" vertical="center" wrapText="1"/>
      <protection locked="0"/>
    </xf>
    <xf numFmtId="0" fontId="431" fillId="140" borderId="237" xfId="27923" applyFont="1" applyFill="1" applyBorder="1" applyAlignment="1" applyProtection="1">
      <alignment horizontal="center" vertical="center"/>
      <protection locked="0"/>
    </xf>
    <xf numFmtId="0" fontId="431" fillId="140" borderId="241" xfId="27923" applyFont="1" applyFill="1" applyBorder="1" applyAlignment="1" applyProtection="1">
      <alignment horizontal="center" vertical="center"/>
      <protection locked="0"/>
    </xf>
    <xf numFmtId="0" fontId="431" fillId="140" borderId="238" xfId="27923" applyFont="1" applyFill="1" applyBorder="1" applyAlignment="1" applyProtection="1">
      <alignment horizontal="center" vertical="center" wrapText="1"/>
      <protection locked="0"/>
    </xf>
    <xf numFmtId="0" fontId="431" fillId="140" borderId="245" xfId="27923" applyFont="1" applyFill="1" applyBorder="1" applyAlignment="1" applyProtection="1">
      <alignment horizontal="center" vertical="center" wrapText="1"/>
      <protection locked="0"/>
    </xf>
    <xf numFmtId="171" fontId="343" fillId="169" borderId="221" xfId="27958" applyFont="1" applyFill="1" applyBorder="1" applyAlignment="1">
      <alignment horizontal="center" vertical="center"/>
    </xf>
    <xf numFmtId="171" fontId="343" fillId="169" borderId="160" xfId="27958" applyFont="1" applyFill="1" applyBorder="1" applyAlignment="1">
      <alignment horizontal="center" vertical="center"/>
    </xf>
    <xf numFmtId="38" fontId="343" fillId="0" borderId="102" xfId="27957" applyNumberFormat="1" applyFont="1" applyBorder="1" applyAlignment="1">
      <alignment horizontal="center" vertical="center"/>
    </xf>
    <xf numFmtId="38" fontId="343" fillId="0" borderId="124" xfId="27957" applyNumberFormat="1" applyFont="1" applyBorder="1" applyAlignment="1">
      <alignment horizontal="center" vertical="center"/>
    </xf>
    <xf numFmtId="171" fontId="343" fillId="169" borderId="214" xfId="27958" applyFont="1" applyFill="1" applyBorder="1" applyAlignment="1">
      <alignment horizontal="center" vertical="center"/>
    </xf>
    <xf numFmtId="0" fontId="417" fillId="0" borderId="0" xfId="27957" applyFont="1" applyAlignment="1">
      <alignment horizontal="center" wrapText="1"/>
    </xf>
    <xf numFmtId="38" fontId="343" fillId="0" borderId="45" xfId="27957" applyNumberFormat="1" applyFont="1" applyBorder="1" applyAlignment="1">
      <alignment horizontal="center" vertical="center"/>
    </xf>
    <xf numFmtId="38" fontId="343" fillId="0" borderId="134" xfId="27957" applyNumberFormat="1" applyFont="1" applyBorder="1" applyAlignment="1">
      <alignment horizontal="center" vertical="center"/>
    </xf>
    <xf numFmtId="171" fontId="343" fillId="158" borderId="214" xfId="27958" applyFont="1" applyFill="1" applyBorder="1" applyAlignment="1">
      <alignment horizontal="center" vertical="center"/>
    </xf>
    <xf numFmtId="171" fontId="343" fillId="158" borderId="160" xfId="27958" applyFont="1" applyFill="1" applyBorder="1" applyAlignment="1">
      <alignment horizontal="center" vertical="center"/>
    </xf>
    <xf numFmtId="171" fontId="65" fillId="0" borderId="0" xfId="27958" applyFont="1" applyFill="1" applyBorder="1" applyAlignment="1">
      <alignment horizontal="center" vertical="center"/>
    </xf>
    <xf numFmtId="171" fontId="343" fillId="143" borderId="221" xfId="27958" applyFont="1" applyFill="1" applyBorder="1" applyAlignment="1">
      <alignment horizontal="center" vertical="center"/>
    </xf>
    <xf numFmtId="171" fontId="343" fillId="143" borderId="160" xfId="27958" applyFont="1" applyFill="1" applyBorder="1" applyAlignment="1">
      <alignment horizontal="center" vertical="center"/>
    </xf>
    <xf numFmtId="171" fontId="343" fillId="143" borderId="214" xfId="27958" applyFont="1" applyFill="1" applyBorder="1" applyAlignment="1">
      <alignment horizontal="center" vertical="center"/>
    </xf>
    <xf numFmtId="171" fontId="343" fillId="158" borderId="221" xfId="27958" applyFont="1" applyFill="1" applyBorder="1" applyAlignment="1">
      <alignment horizontal="center" vertical="center"/>
    </xf>
    <xf numFmtId="171" fontId="343" fillId="107" borderId="221" xfId="27958" applyFont="1" applyFill="1" applyBorder="1" applyAlignment="1">
      <alignment horizontal="center" vertical="center"/>
    </xf>
    <xf numFmtId="171" fontId="343" fillId="107" borderId="160" xfId="27958" applyFont="1" applyFill="1" applyBorder="1" applyAlignment="1">
      <alignment horizontal="center" vertical="center"/>
    </xf>
    <xf numFmtId="0" fontId="524" fillId="142" borderId="111" xfId="27957" applyFont="1" applyFill="1" applyBorder="1" applyAlignment="1">
      <alignment horizontal="center"/>
    </xf>
    <xf numFmtId="0" fontId="525" fillId="142" borderId="0" xfId="27957" applyFont="1" applyFill="1" applyAlignment="1">
      <alignment horizontal="center"/>
    </xf>
    <xf numFmtId="0" fontId="390" fillId="0" borderId="222" xfId="27957" applyFont="1" applyBorder="1" applyAlignment="1">
      <alignment horizontal="center" vertical="center"/>
    </xf>
    <xf numFmtId="0" fontId="390" fillId="0" borderId="113" xfId="27957" applyFont="1" applyBorder="1" applyAlignment="1">
      <alignment horizontal="center" vertical="center"/>
    </xf>
    <xf numFmtId="0" fontId="390" fillId="0" borderId="114" xfId="27957" applyFont="1" applyBorder="1" applyAlignment="1">
      <alignment horizontal="center" vertical="center"/>
    </xf>
    <xf numFmtId="0" fontId="390" fillId="0" borderId="170" xfId="27957" applyFont="1" applyBorder="1" applyAlignment="1">
      <alignment horizontal="center" vertical="center"/>
    </xf>
    <xf numFmtId="0" fontId="390" fillId="0" borderId="123" xfId="27957" applyFont="1" applyBorder="1" applyAlignment="1">
      <alignment horizontal="center" vertical="center"/>
    </xf>
    <xf numFmtId="0" fontId="390" fillId="0" borderId="125" xfId="27957" applyFont="1" applyBorder="1" applyAlignment="1">
      <alignment horizontal="center" vertical="center"/>
    </xf>
    <xf numFmtId="171" fontId="343" fillId="107" borderId="221" xfId="27886" applyFont="1" applyFill="1" applyBorder="1" applyAlignment="1">
      <alignment horizontal="center" vertical="center"/>
    </xf>
    <xf numFmtId="171" fontId="343" fillId="107" borderId="160" xfId="27886" applyFont="1" applyFill="1" applyBorder="1" applyAlignment="1">
      <alignment horizontal="center" vertical="center"/>
    </xf>
    <xf numFmtId="0" fontId="388" fillId="153" borderId="111" xfId="27885" applyFont="1" applyFill="1" applyBorder="1" applyAlignment="1">
      <alignment horizontal="center"/>
    </xf>
    <xf numFmtId="0" fontId="389" fillId="153" borderId="0" xfId="27885" applyFont="1" applyFill="1" applyAlignment="1">
      <alignment horizontal="center"/>
    </xf>
    <xf numFmtId="0" fontId="390" fillId="0" borderId="222" xfId="27885" applyFont="1" applyBorder="1" applyAlignment="1">
      <alignment horizontal="center" vertical="center"/>
    </xf>
    <xf numFmtId="0" fontId="390" fillId="0" borderId="113" xfId="27885" applyFont="1" applyBorder="1" applyAlignment="1">
      <alignment horizontal="center" vertical="center"/>
    </xf>
    <xf numFmtId="0" fontId="390" fillId="0" borderId="114" xfId="27885" applyFont="1" applyBorder="1" applyAlignment="1">
      <alignment horizontal="center" vertical="center"/>
    </xf>
    <xf numFmtId="0" fontId="390" fillId="0" borderId="170" xfId="27885" applyFont="1" applyBorder="1" applyAlignment="1">
      <alignment horizontal="center" vertical="center"/>
    </xf>
    <xf numFmtId="0" fontId="390" fillId="0" borderId="123" xfId="27885" applyFont="1" applyBorder="1" applyAlignment="1">
      <alignment horizontal="center" vertical="center"/>
    </xf>
    <xf numFmtId="0" fontId="390" fillId="0" borderId="125" xfId="27885" applyFont="1" applyBorder="1" applyAlignment="1">
      <alignment horizontal="center" vertical="center"/>
    </xf>
    <xf numFmtId="0" fontId="417" fillId="0" borderId="0" xfId="27885" applyFont="1" applyAlignment="1">
      <alignment horizontal="center" wrapText="1"/>
    </xf>
    <xf numFmtId="38" fontId="343" fillId="155" borderId="45" xfId="27885" applyNumberFormat="1" applyFont="1" applyFill="1" applyBorder="1" applyAlignment="1">
      <alignment horizontal="center" vertical="center"/>
    </xf>
    <xf numFmtId="38" fontId="343" fillId="155" borderId="134" xfId="27885" applyNumberFormat="1" applyFont="1" applyFill="1" applyBorder="1" applyAlignment="1">
      <alignment horizontal="center" vertical="center"/>
    </xf>
    <xf numFmtId="171" fontId="343" fillId="107" borderId="214" xfId="27886" applyFont="1" applyFill="1" applyBorder="1" applyAlignment="1">
      <alignment horizontal="center" vertical="center"/>
    </xf>
    <xf numFmtId="171" fontId="65" fillId="0" borderId="0" xfId="27886" applyFont="1" applyFill="1" applyBorder="1" applyAlignment="1">
      <alignment horizontal="center" vertical="center"/>
    </xf>
    <xf numFmtId="38" fontId="343" fillId="131" borderId="102" xfId="27885" applyNumberFormat="1" applyFont="1" applyFill="1" applyBorder="1" applyAlignment="1">
      <alignment horizontal="center" vertical="center"/>
    </xf>
    <xf numFmtId="38" fontId="343" fillId="131" borderId="124" xfId="27885" applyNumberFormat="1" applyFont="1" applyFill="1" applyBorder="1" applyAlignment="1">
      <alignment horizontal="center" vertical="center"/>
    </xf>
    <xf numFmtId="38" fontId="343" fillId="136" borderId="102" xfId="27885" applyNumberFormat="1" applyFont="1" applyFill="1" applyBorder="1" applyAlignment="1">
      <alignment horizontal="center" vertical="center"/>
    </xf>
    <xf numFmtId="38" fontId="343" fillId="136" borderId="124" xfId="27885" applyNumberFormat="1" applyFont="1" applyFill="1" applyBorder="1" applyAlignment="1">
      <alignment horizontal="center" vertical="center"/>
    </xf>
  </cellXfs>
  <cellStyles count="27978">
    <cellStyle name="-" xfId="611" xr:uid="{00000000-0005-0000-0000-000000000000}"/>
    <cellStyle name="#,##0" xfId="6" xr:uid="{00000000-0005-0000-0000-000001000000}"/>
    <cellStyle name="#,##0 2" xfId="19396" xr:uid="{00000000-0005-0000-0000-000002000000}"/>
    <cellStyle name="$" xfId="612" xr:uid="{00000000-0005-0000-0000-000003000000}"/>
    <cellStyle name="$ 0 decimal" xfId="613" xr:uid="{00000000-0005-0000-0000-000004000000}"/>
    <cellStyle name="$ 1 decimal" xfId="614" xr:uid="{00000000-0005-0000-0000-000005000000}"/>
    <cellStyle name="$ 2 decimals" xfId="615" xr:uid="{00000000-0005-0000-0000-000006000000}"/>
    <cellStyle name="$." xfId="616" xr:uid="{00000000-0005-0000-0000-000007000000}"/>
    <cellStyle name="$0.0" xfId="617" xr:uid="{00000000-0005-0000-0000-000008000000}"/>
    <cellStyle name="$0.00" xfId="618" xr:uid="{00000000-0005-0000-0000-000009000000}"/>
    <cellStyle name="$0.000" xfId="619" xr:uid="{00000000-0005-0000-0000-00000A000000}"/>
    <cellStyle name="$Money" xfId="620" xr:uid="{00000000-0005-0000-0000-00000B000000}"/>
    <cellStyle name="$Money.00" xfId="621" xr:uid="{00000000-0005-0000-0000-00000C000000}"/>
    <cellStyle name="%" xfId="622" xr:uid="{00000000-0005-0000-0000-00000D000000}"/>
    <cellStyle name="%'" xfId="623" xr:uid="{00000000-0005-0000-0000-00000E000000}"/>
    <cellStyle name="%." xfId="624" xr:uid="{00000000-0005-0000-0000-00000F000000}"/>
    <cellStyle name="%_GI.N" xfId="625" xr:uid="{00000000-0005-0000-0000-000010000000}"/>
    <cellStyle name="%0" xfId="626" xr:uid="{00000000-0005-0000-0000-000011000000}"/>
    <cellStyle name="%1" xfId="627" xr:uid="{00000000-0005-0000-0000-000012000000}"/>
    <cellStyle name="%2" xfId="628" xr:uid="{00000000-0005-0000-0000-000013000000}"/>
    <cellStyle name="." xfId="629" xr:uid="{00000000-0005-0000-0000-000014000000}"/>
    <cellStyle name=". 2" xfId="630" xr:uid="{00000000-0005-0000-0000-000015000000}"/>
    <cellStyle name=". 2 2" xfId="19418" xr:uid="{00000000-0005-0000-0000-000016000000}"/>
    <cellStyle name=". 3" xfId="631" xr:uid="{00000000-0005-0000-0000-000017000000}"/>
    <cellStyle name=". 3 2" xfId="19419" xr:uid="{00000000-0005-0000-0000-000018000000}"/>
    <cellStyle name=". 4" xfId="19417" xr:uid="{00000000-0005-0000-0000-000019000000}"/>
    <cellStyle name="..1" xfId="632" xr:uid="{00000000-0005-0000-0000-00001A000000}"/>
    <cellStyle name=".0" xfId="633" xr:uid="{00000000-0005-0000-0000-00001B000000}"/>
    <cellStyle name=".0\" xfId="634" xr:uid="{00000000-0005-0000-0000-00001C000000}"/>
    <cellStyle name=".0\ 2" xfId="635" xr:uid="{00000000-0005-0000-0000-00001D000000}"/>
    <cellStyle name=".0\ 2 2" xfId="19421" xr:uid="{00000000-0005-0000-0000-00001E000000}"/>
    <cellStyle name=".0\ 3" xfId="19420" xr:uid="{00000000-0005-0000-0000-00001F000000}"/>
    <cellStyle name=".00" xfId="636" xr:uid="{00000000-0005-0000-0000-000020000000}"/>
    <cellStyle name=".000" xfId="637" xr:uid="{00000000-0005-0000-0000-000021000000}"/>
    <cellStyle name=".1" xfId="638" xr:uid="{00000000-0005-0000-0000-000022000000}"/>
    <cellStyle name=".2" xfId="639" xr:uid="{00000000-0005-0000-0000-000023000000}"/>
    <cellStyle name=".3" xfId="640" xr:uid="{00000000-0005-0000-0000-000024000000}"/>
    <cellStyle name=".d" xfId="641" xr:uid="{00000000-0005-0000-0000-000025000000}"/>
    <cellStyle name=";.1" xfId="642" xr:uid="{00000000-0005-0000-0000-000026000000}"/>
    <cellStyle name="?? [0]_VERA" xfId="643" xr:uid="{00000000-0005-0000-0000-000027000000}"/>
    <cellStyle name="??&amp;O?&amp;H?_x0008__x000f__x0007_?_x0007__x0001__x0001_" xfId="7" xr:uid="{00000000-0005-0000-0000-000028000000}"/>
    <cellStyle name="??&amp;O?&amp;H?_x0008__x000f__x0007_?_x0007__x0001__x0001_ 10" xfId="644" xr:uid="{00000000-0005-0000-0000-000029000000}"/>
    <cellStyle name="??&amp;O?&amp;H?_x0008__x000f__x0007_?_x0007__x0001__x0001_ 11" xfId="645" xr:uid="{00000000-0005-0000-0000-00002A000000}"/>
    <cellStyle name="??&amp;O?&amp;H?_x0008__x000f__x0007_?_x0007__x0001__x0001_ 12" xfId="646" xr:uid="{00000000-0005-0000-0000-00002B000000}"/>
    <cellStyle name="??&amp;O?&amp;H?_x0008__x000f__x0007_?_x0007__x0001__x0001_ 13" xfId="647" xr:uid="{00000000-0005-0000-0000-00002C000000}"/>
    <cellStyle name="??&amp;O?&amp;H?_x0008__x000f__x0007_?_x0007__x0001__x0001_ 14" xfId="648" xr:uid="{00000000-0005-0000-0000-00002D000000}"/>
    <cellStyle name="??&amp;O?&amp;H?_x0008__x000f__x0007_?_x0007__x0001__x0001_ 15" xfId="649" xr:uid="{00000000-0005-0000-0000-00002E000000}"/>
    <cellStyle name="??&amp;O?&amp;H?_x0008__x000f__x0007_?_x0007__x0001__x0001_ 16" xfId="650" xr:uid="{00000000-0005-0000-0000-00002F000000}"/>
    <cellStyle name="??&amp;O?&amp;H?_x0008__x000f__x0007_?_x0007__x0001__x0001_ 17" xfId="651" xr:uid="{00000000-0005-0000-0000-000030000000}"/>
    <cellStyle name="??&amp;O?&amp;H?_x0008__x000f__x0007_?_x0007__x0001__x0001_ 18" xfId="652" xr:uid="{00000000-0005-0000-0000-000031000000}"/>
    <cellStyle name="??&amp;O?&amp;H?_x0008__x000f__x0007_?_x0007__x0001__x0001_ 19" xfId="653" xr:uid="{00000000-0005-0000-0000-000032000000}"/>
    <cellStyle name="??&amp;O?&amp;H?_x0008__x000f__x0007_?_x0007__x0001__x0001_ 2" xfId="654" xr:uid="{00000000-0005-0000-0000-000033000000}"/>
    <cellStyle name="??&amp;O?&amp;H?_x0008__x000f__x0007_?_x0007__x0001__x0001_ 20" xfId="655" xr:uid="{00000000-0005-0000-0000-000034000000}"/>
    <cellStyle name="??&amp;O?&amp;H?_x0008__x000f__x0007_?_x0007__x0001__x0001_ 21" xfId="656" xr:uid="{00000000-0005-0000-0000-000035000000}"/>
    <cellStyle name="??&amp;O?&amp;H?_x0008__x000f__x0007_?_x0007__x0001__x0001_ 22" xfId="657" xr:uid="{00000000-0005-0000-0000-000036000000}"/>
    <cellStyle name="??&amp;O?&amp;H?_x0008__x000f__x0007_?_x0007__x0001__x0001_ 23" xfId="658" xr:uid="{00000000-0005-0000-0000-000037000000}"/>
    <cellStyle name="??&amp;O?&amp;H?_x0008__x000f__x0007_?_x0007__x0001__x0001_ 24" xfId="659" xr:uid="{00000000-0005-0000-0000-000038000000}"/>
    <cellStyle name="??&amp;O?&amp;H?_x0008__x000f__x0007_?_x0007__x0001__x0001_ 25" xfId="660" xr:uid="{00000000-0005-0000-0000-000039000000}"/>
    <cellStyle name="??&amp;O?&amp;H?_x0008__x000f__x0007_?_x0007__x0001__x0001_ 26" xfId="661" xr:uid="{00000000-0005-0000-0000-00003A000000}"/>
    <cellStyle name="??&amp;O?&amp;H?_x0008__x000f__x0007_?_x0007__x0001__x0001_ 27" xfId="662" xr:uid="{00000000-0005-0000-0000-00003B000000}"/>
    <cellStyle name="??&amp;O?&amp;H?_x0008__x000f__x0007_?_x0007__x0001__x0001_ 28" xfId="663" xr:uid="{00000000-0005-0000-0000-00003C000000}"/>
    <cellStyle name="??&amp;O?&amp;H?_x0008__x000f__x0007_?_x0007__x0001__x0001_ 29" xfId="664" xr:uid="{00000000-0005-0000-0000-00003D000000}"/>
    <cellStyle name="??&amp;O?&amp;H?_x0008__x000f__x0007_?_x0007__x0001__x0001_ 3" xfId="665" xr:uid="{00000000-0005-0000-0000-00003E000000}"/>
    <cellStyle name="??&amp;O?&amp;H?_x0008__x000f__x0007_?_x0007__x0001__x0001_ 30" xfId="666" xr:uid="{00000000-0005-0000-0000-00003F000000}"/>
    <cellStyle name="??&amp;O?&amp;H?_x0008__x000f__x0007_?_x0007__x0001__x0001_ 31" xfId="667" xr:uid="{00000000-0005-0000-0000-000040000000}"/>
    <cellStyle name="??&amp;O?&amp;H?_x0008__x000f__x0007_?_x0007__x0001__x0001_ 32" xfId="668" xr:uid="{00000000-0005-0000-0000-000041000000}"/>
    <cellStyle name="??&amp;O?&amp;H?_x0008__x000f__x0007_?_x0007__x0001__x0001_ 4" xfId="669" xr:uid="{00000000-0005-0000-0000-000042000000}"/>
    <cellStyle name="??&amp;O?&amp;H?_x0008__x000f__x0007_?_x0007__x0001__x0001_ 5" xfId="670" xr:uid="{00000000-0005-0000-0000-000043000000}"/>
    <cellStyle name="??&amp;O?&amp;H?_x0008__x000f__x0007_?_x0007__x0001__x0001_ 6" xfId="671" xr:uid="{00000000-0005-0000-0000-000044000000}"/>
    <cellStyle name="??&amp;O?&amp;H?_x0008__x000f__x0007_?_x0007__x0001__x0001_ 7" xfId="672" xr:uid="{00000000-0005-0000-0000-000045000000}"/>
    <cellStyle name="??&amp;O?&amp;H?_x0008__x000f__x0007_?_x0007__x0001__x0001_ 8" xfId="673" xr:uid="{00000000-0005-0000-0000-000046000000}"/>
    <cellStyle name="??&amp;O?&amp;H?_x0008__x000f__x0007_?_x0007__x0001__x0001_ 9" xfId="674" xr:uid="{00000000-0005-0000-0000-000047000000}"/>
    <cellStyle name="??&amp;O?&amp;H?_x0008_??_x0007__x0001__x0001_" xfId="8" xr:uid="{00000000-0005-0000-0000-000048000000}"/>
    <cellStyle name="??&amp;O?&amp;H?_x0008_??_x0007__x0001__x0001_ 10" xfId="675" xr:uid="{00000000-0005-0000-0000-000049000000}"/>
    <cellStyle name="??&amp;O?&amp;H?_x0008_??_x0007__x0001__x0001_ 11" xfId="676" xr:uid="{00000000-0005-0000-0000-00004A000000}"/>
    <cellStyle name="??&amp;O?&amp;H?_x0008_??_x0007__x0001__x0001_ 12" xfId="677" xr:uid="{00000000-0005-0000-0000-00004B000000}"/>
    <cellStyle name="??&amp;O?&amp;H?_x0008_??_x0007__x0001__x0001_ 13" xfId="678" xr:uid="{00000000-0005-0000-0000-00004C000000}"/>
    <cellStyle name="??&amp;O?&amp;H?_x0008_??_x0007__x0001__x0001_ 14" xfId="679" xr:uid="{00000000-0005-0000-0000-00004D000000}"/>
    <cellStyle name="??&amp;O?&amp;H?_x0008_??_x0007__x0001__x0001_ 15" xfId="680" xr:uid="{00000000-0005-0000-0000-00004E000000}"/>
    <cellStyle name="??&amp;O?&amp;H?_x0008_??_x0007__x0001__x0001_ 16" xfId="681" xr:uid="{00000000-0005-0000-0000-00004F000000}"/>
    <cellStyle name="??&amp;O?&amp;H?_x0008_??_x0007__x0001__x0001_ 17" xfId="682" xr:uid="{00000000-0005-0000-0000-000050000000}"/>
    <cellStyle name="??&amp;O?&amp;H?_x0008_??_x0007__x0001__x0001_ 18" xfId="683" xr:uid="{00000000-0005-0000-0000-000051000000}"/>
    <cellStyle name="??&amp;O?&amp;H?_x0008_??_x0007__x0001__x0001_ 19" xfId="684" xr:uid="{00000000-0005-0000-0000-000052000000}"/>
    <cellStyle name="??&amp;O?&amp;H?_x0008_??_x0007__x0001__x0001_ 2" xfId="685" xr:uid="{00000000-0005-0000-0000-000053000000}"/>
    <cellStyle name="??&amp;O?&amp;H?_x0008_??_x0007__x0001__x0001_ 20" xfId="686" xr:uid="{00000000-0005-0000-0000-000054000000}"/>
    <cellStyle name="??&amp;O?&amp;H?_x0008_??_x0007__x0001__x0001_ 21" xfId="687" xr:uid="{00000000-0005-0000-0000-000055000000}"/>
    <cellStyle name="??&amp;O?&amp;H?_x0008_??_x0007__x0001__x0001_ 22" xfId="688" xr:uid="{00000000-0005-0000-0000-000056000000}"/>
    <cellStyle name="??&amp;O?&amp;H?_x0008_??_x0007__x0001__x0001_ 23" xfId="689" xr:uid="{00000000-0005-0000-0000-000057000000}"/>
    <cellStyle name="??&amp;O?&amp;H?_x0008_??_x0007__x0001__x0001_ 24" xfId="690" xr:uid="{00000000-0005-0000-0000-000058000000}"/>
    <cellStyle name="??&amp;O?&amp;H?_x0008_??_x0007__x0001__x0001_ 25" xfId="691" xr:uid="{00000000-0005-0000-0000-000059000000}"/>
    <cellStyle name="??&amp;O?&amp;H?_x0008_??_x0007__x0001__x0001_ 26" xfId="692" xr:uid="{00000000-0005-0000-0000-00005A000000}"/>
    <cellStyle name="??&amp;O?&amp;H?_x0008_??_x0007__x0001__x0001_ 27" xfId="693" xr:uid="{00000000-0005-0000-0000-00005B000000}"/>
    <cellStyle name="??&amp;O?&amp;H?_x0008_??_x0007__x0001__x0001_ 28" xfId="694" xr:uid="{00000000-0005-0000-0000-00005C000000}"/>
    <cellStyle name="??&amp;O?&amp;H?_x0008_??_x0007__x0001__x0001_ 29" xfId="695" xr:uid="{00000000-0005-0000-0000-00005D000000}"/>
    <cellStyle name="??&amp;O?&amp;H?_x0008_??_x0007__x0001__x0001_ 3" xfId="696" xr:uid="{00000000-0005-0000-0000-00005E000000}"/>
    <cellStyle name="??&amp;O?&amp;H?_x0008_??_x0007__x0001__x0001_ 30" xfId="697" xr:uid="{00000000-0005-0000-0000-00005F000000}"/>
    <cellStyle name="??&amp;O?&amp;H?_x0008_??_x0007__x0001__x0001_ 31" xfId="698" xr:uid="{00000000-0005-0000-0000-000060000000}"/>
    <cellStyle name="??&amp;O?&amp;H?_x0008_??_x0007__x0001__x0001_ 32" xfId="699" xr:uid="{00000000-0005-0000-0000-000061000000}"/>
    <cellStyle name="??&amp;O?&amp;H?_x0008_??_x0007__x0001__x0001_ 4" xfId="700" xr:uid="{00000000-0005-0000-0000-000062000000}"/>
    <cellStyle name="??&amp;O?&amp;H?_x0008_??_x0007__x0001__x0001_ 5" xfId="701" xr:uid="{00000000-0005-0000-0000-000063000000}"/>
    <cellStyle name="??&amp;O?&amp;H?_x0008_??_x0007__x0001__x0001_ 6" xfId="702" xr:uid="{00000000-0005-0000-0000-000064000000}"/>
    <cellStyle name="??&amp;O?&amp;H?_x0008_??_x0007__x0001__x0001_ 7" xfId="703" xr:uid="{00000000-0005-0000-0000-000065000000}"/>
    <cellStyle name="??&amp;O?&amp;H?_x0008_??_x0007__x0001__x0001_ 8" xfId="704" xr:uid="{00000000-0005-0000-0000-000066000000}"/>
    <cellStyle name="??&amp;O?&amp;H?_x0008_??_x0007__x0001__x0001_ 9" xfId="705" xr:uid="{00000000-0005-0000-0000-000067000000}"/>
    <cellStyle name="???" xfId="706" xr:uid="{00000000-0005-0000-0000-000068000000}"/>
    <cellStyle name="?????_VERA" xfId="707" xr:uid="{00000000-0005-0000-0000-000069000000}"/>
    <cellStyle name="??_B-15 Glazing - ?" xfId="708" xr:uid="{00000000-0005-0000-0000-00006A000000}"/>
    <cellStyle name="\" xfId="709" xr:uid="{00000000-0005-0000-0000-00006B000000}"/>
    <cellStyle name="_ heading$" xfId="710" xr:uid="{00000000-0005-0000-0000-00006C000000}"/>
    <cellStyle name="_ heading%" xfId="711" xr:uid="{00000000-0005-0000-0000-00006D000000}"/>
    <cellStyle name="_ heading£" xfId="712" xr:uid="{00000000-0005-0000-0000-00006E000000}"/>
    <cellStyle name="_ heading¥" xfId="713" xr:uid="{00000000-0005-0000-0000-00006F000000}"/>
    <cellStyle name="_ heading€" xfId="714" xr:uid="{00000000-0005-0000-0000-000070000000}"/>
    <cellStyle name="_ headingx" xfId="715" xr:uid="{00000000-0005-0000-0000-000071000000}"/>
    <cellStyle name="_%(SignOnly)" xfId="716" xr:uid="{00000000-0005-0000-0000-000072000000}"/>
    <cellStyle name="_%(SignSpaceOnly)" xfId="717" xr:uid="{00000000-0005-0000-0000-000073000000}"/>
    <cellStyle name="_0.0[1space]" xfId="718" xr:uid="{00000000-0005-0000-0000-000074000000}"/>
    <cellStyle name="_0.0[2space]" xfId="719" xr:uid="{00000000-0005-0000-0000-000075000000}"/>
    <cellStyle name="_0.0[3space]" xfId="720" xr:uid="{00000000-0005-0000-0000-000076000000}"/>
    <cellStyle name="_0.0[4space]" xfId="721" xr:uid="{00000000-0005-0000-0000-000077000000}"/>
    <cellStyle name="_0.00[1space]" xfId="722" xr:uid="{00000000-0005-0000-0000-000078000000}"/>
    <cellStyle name="_0.00[2space]" xfId="723" xr:uid="{00000000-0005-0000-0000-000079000000}"/>
    <cellStyle name="_0.00[3space]" xfId="724" xr:uid="{00000000-0005-0000-0000-00007A000000}"/>
    <cellStyle name="_0.00[4space]" xfId="725" xr:uid="{00000000-0005-0000-0000-00007B000000}"/>
    <cellStyle name="_0[1space]" xfId="726" xr:uid="{00000000-0005-0000-0000-00007C000000}"/>
    <cellStyle name="_0[2space]" xfId="727" xr:uid="{00000000-0005-0000-0000-00007D000000}"/>
    <cellStyle name="_0[3space]" xfId="728" xr:uid="{00000000-0005-0000-0000-00007E000000}"/>
    <cellStyle name="_0[4space]" xfId="729" xr:uid="{00000000-0005-0000-0000-00007F000000}"/>
    <cellStyle name="_0[4space]_Options" xfId="730" xr:uid="{00000000-0005-0000-0000-000080000000}"/>
    <cellStyle name="_0[4space]_Options1" xfId="731" xr:uid="{00000000-0005-0000-0000-000081000000}"/>
    <cellStyle name="_0[5space]" xfId="732" xr:uid="{00000000-0005-0000-0000-000082000000}"/>
    <cellStyle name="_080507_100% Area Schedule_Emer" xfId="733" xr:uid="{00000000-0005-0000-0000-000083000000}"/>
    <cellStyle name="_080507_100% Area Schedule_Emer 10" xfId="734" xr:uid="{00000000-0005-0000-0000-000084000000}"/>
    <cellStyle name="_080507_100% Area Schedule_Emer 11" xfId="735" xr:uid="{00000000-0005-0000-0000-000085000000}"/>
    <cellStyle name="_080507_100% Area Schedule_Emer 12" xfId="736" xr:uid="{00000000-0005-0000-0000-000086000000}"/>
    <cellStyle name="_080507_100% Area Schedule_Emer 13" xfId="737" xr:uid="{00000000-0005-0000-0000-000087000000}"/>
    <cellStyle name="_080507_100% Area Schedule_Emer 14" xfId="738" xr:uid="{00000000-0005-0000-0000-000088000000}"/>
    <cellStyle name="_080507_100% Area Schedule_Emer 15" xfId="739" xr:uid="{00000000-0005-0000-0000-000089000000}"/>
    <cellStyle name="_080507_100% Area Schedule_Emer 16" xfId="740" xr:uid="{00000000-0005-0000-0000-00008A000000}"/>
    <cellStyle name="_080507_100% Area Schedule_Emer 17" xfId="741" xr:uid="{00000000-0005-0000-0000-00008B000000}"/>
    <cellStyle name="_080507_100% Area Schedule_Emer 18" xfId="742" xr:uid="{00000000-0005-0000-0000-00008C000000}"/>
    <cellStyle name="_080507_100% Area Schedule_Emer 19" xfId="743" xr:uid="{00000000-0005-0000-0000-00008D000000}"/>
    <cellStyle name="_080507_100% Area Schedule_Emer 2" xfId="744" xr:uid="{00000000-0005-0000-0000-00008E000000}"/>
    <cellStyle name="_080507_100% Area Schedule_Emer 20" xfId="745" xr:uid="{00000000-0005-0000-0000-00008F000000}"/>
    <cellStyle name="_080507_100% Area Schedule_Emer 21" xfId="746" xr:uid="{00000000-0005-0000-0000-000090000000}"/>
    <cellStyle name="_080507_100% Area Schedule_Emer 22" xfId="747" xr:uid="{00000000-0005-0000-0000-000091000000}"/>
    <cellStyle name="_080507_100% Area Schedule_Emer 23" xfId="748" xr:uid="{00000000-0005-0000-0000-000092000000}"/>
    <cellStyle name="_080507_100% Area Schedule_Emer 24" xfId="749" xr:uid="{00000000-0005-0000-0000-000093000000}"/>
    <cellStyle name="_080507_100% Area Schedule_Emer 25" xfId="750" xr:uid="{00000000-0005-0000-0000-000094000000}"/>
    <cellStyle name="_080507_100% Area Schedule_Emer 26" xfId="751" xr:uid="{00000000-0005-0000-0000-000095000000}"/>
    <cellStyle name="_080507_100% Area Schedule_Emer 27" xfId="752" xr:uid="{00000000-0005-0000-0000-000096000000}"/>
    <cellStyle name="_080507_100% Area Schedule_Emer 28" xfId="753" xr:uid="{00000000-0005-0000-0000-000097000000}"/>
    <cellStyle name="_080507_100% Area Schedule_Emer 29" xfId="754" xr:uid="{00000000-0005-0000-0000-000098000000}"/>
    <cellStyle name="_080507_100% Area Schedule_Emer 3" xfId="755" xr:uid="{00000000-0005-0000-0000-000099000000}"/>
    <cellStyle name="_080507_100% Area Schedule_Emer 30" xfId="756" xr:uid="{00000000-0005-0000-0000-00009A000000}"/>
    <cellStyle name="_080507_100% Area Schedule_Emer 31" xfId="757" xr:uid="{00000000-0005-0000-0000-00009B000000}"/>
    <cellStyle name="_080507_100% Area Schedule_Emer 32" xfId="758" xr:uid="{00000000-0005-0000-0000-00009C000000}"/>
    <cellStyle name="_080507_100% Area Schedule_Emer 4" xfId="759" xr:uid="{00000000-0005-0000-0000-00009D000000}"/>
    <cellStyle name="_080507_100% Area Schedule_Emer 5" xfId="760" xr:uid="{00000000-0005-0000-0000-00009E000000}"/>
    <cellStyle name="_080507_100% Area Schedule_Emer 6" xfId="761" xr:uid="{00000000-0005-0000-0000-00009F000000}"/>
    <cellStyle name="_080507_100% Area Schedule_Emer 7" xfId="762" xr:uid="{00000000-0005-0000-0000-0000A0000000}"/>
    <cellStyle name="_080507_100% Area Schedule_Emer 8" xfId="763" xr:uid="{00000000-0005-0000-0000-0000A1000000}"/>
    <cellStyle name="_080507_100% Area Schedule_Emer 9" xfId="764" xr:uid="{00000000-0005-0000-0000-0000A2000000}"/>
    <cellStyle name="_080803_100%BOQ_Blank_A1A" xfId="765" xr:uid="{00000000-0005-0000-0000-0000A3000000}"/>
    <cellStyle name="_080803_Area Schedule" xfId="766" xr:uid="{00000000-0005-0000-0000-0000A4000000}"/>
    <cellStyle name="_080803_Area Schedule 10" xfId="767" xr:uid="{00000000-0005-0000-0000-0000A5000000}"/>
    <cellStyle name="_080803_Area Schedule 11" xfId="768" xr:uid="{00000000-0005-0000-0000-0000A6000000}"/>
    <cellStyle name="_080803_Area Schedule 12" xfId="769" xr:uid="{00000000-0005-0000-0000-0000A7000000}"/>
    <cellStyle name="_080803_Area Schedule 13" xfId="770" xr:uid="{00000000-0005-0000-0000-0000A8000000}"/>
    <cellStyle name="_080803_Area Schedule 14" xfId="771" xr:uid="{00000000-0005-0000-0000-0000A9000000}"/>
    <cellStyle name="_080803_Area Schedule 15" xfId="772" xr:uid="{00000000-0005-0000-0000-0000AA000000}"/>
    <cellStyle name="_080803_Area Schedule 16" xfId="773" xr:uid="{00000000-0005-0000-0000-0000AB000000}"/>
    <cellStyle name="_080803_Area Schedule 17" xfId="774" xr:uid="{00000000-0005-0000-0000-0000AC000000}"/>
    <cellStyle name="_080803_Area Schedule 18" xfId="775" xr:uid="{00000000-0005-0000-0000-0000AD000000}"/>
    <cellStyle name="_080803_Area Schedule 19" xfId="776" xr:uid="{00000000-0005-0000-0000-0000AE000000}"/>
    <cellStyle name="_080803_Area Schedule 2" xfId="777" xr:uid="{00000000-0005-0000-0000-0000AF000000}"/>
    <cellStyle name="_080803_Area Schedule 20" xfId="778" xr:uid="{00000000-0005-0000-0000-0000B0000000}"/>
    <cellStyle name="_080803_Area Schedule 21" xfId="779" xr:uid="{00000000-0005-0000-0000-0000B1000000}"/>
    <cellStyle name="_080803_Area Schedule 22" xfId="780" xr:uid="{00000000-0005-0000-0000-0000B2000000}"/>
    <cellStyle name="_080803_Area Schedule 23" xfId="781" xr:uid="{00000000-0005-0000-0000-0000B3000000}"/>
    <cellStyle name="_080803_Area Schedule 24" xfId="782" xr:uid="{00000000-0005-0000-0000-0000B4000000}"/>
    <cellStyle name="_080803_Area Schedule 25" xfId="783" xr:uid="{00000000-0005-0000-0000-0000B5000000}"/>
    <cellStyle name="_080803_Area Schedule 26" xfId="784" xr:uid="{00000000-0005-0000-0000-0000B6000000}"/>
    <cellStyle name="_080803_Area Schedule 27" xfId="785" xr:uid="{00000000-0005-0000-0000-0000B7000000}"/>
    <cellStyle name="_080803_Area Schedule 28" xfId="786" xr:uid="{00000000-0005-0000-0000-0000B8000000}"/>
    <cellStyle name="_080803_Area Schedule 29" xfId="787" xr:uid="{00000000-0005-0000-0000-0000B9000000}"/>
    <cellStyle name="_080803_Area Schedule 3" xfId="788" xr:uid="{00000000-0005-0000-0000-0000BA000000}"/>
    <cellStyle name="_080803_Area Schedule 30" xfId="789" xr:uid="{00000000-0005-0000-0000-0000BB000000}"/>
    <cellStyle name="_080803_Area Schedule 31" xfId="790" xr:uid="{00000000-0005-0000-0000-0000BC000000}"/>
    <cellStyle name="_080803_Area Schedule 32" xfId="791" xr:uid="{00000000-0005-0000-0000-0000BD000000}"/>
    <cellStyle name="_080803_Area Schedule 4" xfId="792" xr:uid="{00000000-0005-0000-0000-0000BE000000}"/>
    <cellStyle name="_080803_Area Schedule 5" xfId="793" xr:uid="{00000000-0005-0000-0000-0000BF000000}"/>
    <cellStyle name="_080803_Area Schedule 6" xfId="794" xr:uid="{00000000-0005-0000-0000-0000C0000000}"/>
    <cellStyle name="_080803_Area Schedule 7" xfId="795" xr:uid="{00000000-0005-0000-0000-0000C1000000}"/>
    <cellStyle name="_080803_Area Schedule 8" xfId="796" xr:uid="{00000000-0005-0000-0000-0000C2000000}"/>
    <cellStyle name="_080803_Area Schedule 9" xfId="797" xr:uid="{00000000-0005-0000-0000-0000C3000000}"/>
    <cellStyle name="_080924_Area Schedule_Emerson" xfId="798" xr:uid="{00000000-0005-0000-0000-0000C4000000}"/>
    <cellStyle name="_080924_Area Schedule_Emerson 10" xfId="799" xr:uid="{00000000-0005-0000-0000-0000C5000000}"/>
    <cellStyle name="_080924_Area Schedule_Emerson 11" xfId="800" xr:uid="{00000000-0005-0000-0000-0000C6000000}"/>
    <cellStyle name="_080924_Area Schedule_Emerson 12" xfId="801" xr:uid="{00000000-0005-0000-0000-0000C7000000}"/>
    <cellStyle name="_080924_Area Schedule_Emerson 13" xfId="802" xr:uid="{00000000-0005-0000-0000-0000C8000000}"/>
    <cellStyle name="_080924_Area Schedule_Emerson 14" xfId="803" xr:uid="{00000000-0005-0000-0000-0000C9000000}"/>
    <cellStyle name="_080924_Area Schedule_Emerson 15" xfId="804" xr:uid="{00000000-0005-0000-0000-0000CA000000}"/>
    <cellStyle name="_080924_Area Schedule_Emerson 16" xfId="805" xr:uid="{00000000-0005-0000-0000-0000CB000000}"/>
    <cellStyle name="_080924_Area Schedule_Emerson 17" xfId="806" xr:uid="{00000000-0005-0000-0000-0000CC000000}"/>
    <cellStyle name="_080924_Area Schedule_Emerson 18" xfId="807" xr:uid="{00000000-0005-0000-0000-0000CD000000}"/>
    <cellStyle name="_080924_Area Schedule_Emerson 19" xfId="808" xr:uid="{00000000-0005-0000-0000-0000CE000000}"/>
    <cellStyle name="_080924_Area Schedule_Emerson 2" xfId="809" xr:uid="{00000000-0005-0000-0000-0000CF000000}"/>
    <cellStyle name="_080924_Area Schedule_Emerson 20" xfId="810" xr:uid="{00000000-0005-0000-0000-0000D0000000}"/>
    <cellStyle name="_080924_Area Schedule_Emerson 21" xfId="811" xr:uid="{00000000-0005-0000-0000-0000D1000000}"/>
    <cellStyle name="_080924_Area Schedule_Emerson 22" xfId="812" xr:uid="{00000000-0005-0000-0000-0000D2000000}"/>
    <cellStyle name="_080924_Area Schedule_Emerson 23" xfId="813" xr:uid="{00000000-0005-0000-0000-0000D3000000}"/>
    <cellStyle name="_080924_Area Schedule_Emerson 24" xfId="814" xr:uid="{00000000-0005-0000-0000-0000D4000000}"/>
    <cellStyle name="_080924_Area Schedule_Emerson 25" xfId="815" xr:uid="{00000000-0005-0000-0000-0000D5000000}"/>
    <cellStyle name="_080924_Area Schedule_Emerson 26" xfId="816" xr:uid="{00000000-0005-0000-0000-0000D6000000}"/>
    <cellStyle name="_080924_Area Schedule_Emerson 27" xfId="817" xr:uid="{00000000-0005-0000-0000-0000D7000000}"/>
    <cellStyle name="_080924_Area Schedule_Emerson 28" xfId="818" xr:uid="{00000000-0005-0000-0000-0000D8000000}"/>
    <cellStyle name="_080924_Area Schedule_Emerson 29" xfId="819" xr:uid="{00000000-0005-0000-0000-0000D9000000}"/>
    <cellStyle name="_080924_Area Schedule_Emerson 3" xfId="820" xr:uid="{00000000-0005-0000-0000-0000DA000000}"/>
    <cellStyle name="_080924_Area Schedule_Emerson 30" xfId="821" xr:uid="{00000000-0005-0000-0000-0000DB000000}"/>
    <cellStyle name="_080924_Area Schedule_Emerson 31" xfId="822" xr:uid="{00000000-0005-0000-0000-0000DC000000}"/>
    <cellStyle name="_080924_Area Schedule_Emerson 32" xfId="823" xr:uid="{00000000-0005-0000-0000-0000DD000000}"/>
    <cellStyle name="_080924_Area Schedule_Emerson 4" xfId="824" xr:uid="{00000000-0005-0000-0000-0000DE000000}"/>
    <cellStyle name="_080924_Area Schedule_Emerson 5" xfId="825" xr:uid="{00000000-0005-0000-0000-0000DF000000}"/>
    <cellStyle name="_080924_Area Schedule_Emerson 6" xfId="826" xr:uid="{00000000-0005-0000-0000-0000E0000000}"/>
    <cellStyle name="_080924_Area Schedule_Emerson 7" xfId="827" xr:uid="{00000000-0005-0000-0000-0000E1000000}"/>
    <cellStyle name="_080924_Area Schedule_Emerson 8" xfId="828" xr:uid="{00000000-0005-0000-0000-0000E2000000}"/>
    <cellStyle name="_080924_Area Schedule_Emerson 9" xfId="829" xr:uid="{00000000-0005-0000-0000-0000E3000000}"/>
    <cellStyle name="_081030_BOQ-Al Duja Tower_Arnel-Rev-1" xfId="830" xr:uid="{00000000-0005-0000-0000-0000E4000000}"/>
    <cellStyle name="_2 Remeasured Elect BQ Shanghai 060809 v2 (3)" xfId="22816" xr:uid="{00000000-0005-0000-0000-0000E5000000}"/>
    <cellStyle name="_3 Leaf Sliding Door" xfId="831" xr:uid="{00000000-0005-0000-0000-0000E6000000}"/>
    <cellStyle name="_30.09.08_SUPPLIER PARK" xfId="832" xr:uid="{00000000-0005-0000-0000-0000E7000000}"/>
    <cellStyle name="_4 PAnel Sliding Door SC140TT" xfId="833" xr:uid="{00000000-0005-0000-0000-0000E8000000}"/>
    <cellStyle name="_ALU K Sadiyat Beach Resort (TT)" xfId="834" xr:uid="{00000000-0005-0000-0000-0000E9000000}"/>
    <cellStyle name="_Alum.Clustra ( fixed)" xfId="835" xr:uid="{00000000-0005-0000-0000-0000EA000000}"/>
    <cellStyle name="_Area Statement 0705017" xfId="836" xr:uid="{00000000-0005-0000-0000-0000EB000000}"/>
    <cellStyle name="_BD 07_ Preliminaries(HQ)_040711_DKShin(JV)_Rev01" xfId="9" xr:uid="{00000000-0005-0000-0000-0000EC000000}"/>
    <cellStyle name="_BD 07_PC n PS_040705_DKShin_Rev01" xfId="10" xr:uid="{00000000-0005-0000-0000-0000ED000000}"/>
    <cellStyle name="_BD 07_Post Tender Cost History" xfId="11" xr:uid="{00000000-0005-0000-0000-0000EE000000}"/>
    <cellStyle name="_BD 07_Project Brief_040515" xfId="12" xr:uid="{00000000-0005-0000-0000-0000EF000000}"/>
    <cellStyle name="_BD 07_입찰품의_040702_BDTenderTeam" xfId="13" xr:uid="{00000000-0005-0000-0000-0000F0000000}"/>
    <cellStyle name="_BD 07_입찰품의_040702_BDTenderTeam_Rev 01" xfId="14" xr:uid="{00000000-0005-0000-0000-0000F1000000}"/>
    <cellStyle name="_BD 07_품의자료 1 of 2_040711_SHSohn_Rev00" xfId="15" xr:uid="{00000000-0005-0000-0000-0000F2000000}"/>
    <cellStyle name="_BD 07_품의자료 2 of 2_040711_SHSohn_Rev00" xfId="16" xr:uid="{00000000-0005-0000-0000-0000F3000000}"/>
    <cellStyle name="_BD 07_품의자료 2 of 2_040711_SHSohn_Rev01" xfId="17" xr:uid="{00000000-0005-0000-0000-0000F4000000}"/>
    <cellStyle name="_BD 07_품의자료 2 of 2_040712_SHSohn_Rev03" xfId="18" xr:uid="{00000000-0005-0000-0000-0000F5000000}"/>
    <cellStyle name="_Book1" xfId="837" xr:uid="{00000000-0005-0000-0000-0000F6000000}"/>
    <cellStyle name="_BOQ" xfId="838" xr:uid="{00000000-0005-0000-0000-0000F7000000}"/>
    <cellStyle name="_BQ_15-16_MEP" xfId="22817" xr:uid="{00000000-0005-0000-0000-0000F8000000}"/>
    <cellStyle name="_Burj 07_BOQ_040620_HJ Park rev00" xfId="19" xr:uid="{00000000-0005-0000-0000-0000F9000000}"/>
    <cellStyle name="_Burj 07_BOQ_040702_HJ Park rev00" xfId="20" xr:uid="{00000000-0005-0000-0000-0000FA000000}"/>
    <cellStyle name="_Burj-alter_Proposed_040710_S.E.Hong" xfId="21" xr:uid="{00000000-0005-0000-0000-0000FB000000}"/>
    <cellStyle name="_Comma" xfId="839" xr:uid="{00000000-0005-0000-0000-0000FC000000}"/>
    <cellStyle name="_Comma_AVP" xfId="840" xr:uid="{00000000-0005-0000-0000-0000FD000000}"/>
    <cellStyle name="_Comma_Bolt Financials and Comps" xfId="841" xr:uid="{00000000-0005-0000-0000-0000FE000000}"/>
    <cellStyle name="_Comma_Book1" xfId="842" xr:uid="{00000000-0005-0000-0000-0000FF000000}"/>
    <cellStyle name="_Comma_Book1_1" xfId="843" xr:uid="{00000000-0005-0000-0000-000000010000}"/>
    <cellStyle name="_Comma_contribution_analysis" xfId="844" xr:uid="{00000000-0005-0000-0000-000001010000}"/>
    <cellStyle name="_Comma_Model v6" xfId="845" xr:uid="{00000000-0005-0000-0000-000002010000}"/>
    <cellStyle name="_Comma_Modelv38" xfId="846" xr:uid="{00000000-0005-0000-0000-000003010000}"/>
    <cellStyle name="_Comma_SMF_Model_28Mar06_v4" xfId="847" xr:uid="{00000000-0005-0000-0000-000004010000}"/>
    <cellStyle name="_Copy of BQ_15-16_MEP" xfId="22818" xr:uid="{00000000-0005-0000-0000-000005010000}"/>
    <cellStyle name="_Copy of Electrical_split (3)" xfId="22819" xr:uid="{00000000-0005-0000-0000-000006010000}"/>
    <cellStyle name="_Copy of PA610 - Glazing - BOQ" xfId="848" xr:uid="{00000000-0005-0000-0000-000007010000}"/>
    <cellStyle name="_Copy of PA610 - Glazing - BOQ_1 LEAF HINGED DOOR WITH THERMAL BREAK" xfId="849" xr:uid="{00000000-0005-0000-0000-000008010000}"/>
    <cellStyle name="_Copy of PA610 - Glazing - BOQ_1 leaf Swing Door" xfId="850" xr:uid="{00000000-0005-0000-0000-000009010000}"/>
    <cellStyle name="_Copy of PA610 - Glazing - BOQ_Backpan" xfId="851" xr:uid="{00000000-0005-0000-0000-00000A010000}"/>
    <cellStyle name="_Copy of PA610 - Glazing - BOQ_Book2" xfId="852" xr:uid="{00000000-0005-0000-0000-00000B010000}"/>
    <cellStyle name="_Copy of PA610 - Glazing - BOQ_Book3" xfId="853" xr:uid="{00000000-0005-0000-0000-00000C010000}"/>
    <cellStyle name="_Copy of PA610 - Glazing - BOQ_Fixed Unit (window) 63TT" xfId="854" xr:uid="{00000000-0005-0000-0000-00000D010000}"/>
    <cellStyle name="_Copy of PA610 - Glazing - BOQ_Hinged-Swing door workout" xfId="855" xr:uid="{00000000-0005-0000-0000-00000E010000}"/>
    <cellStyle name="_Copy of PA610 - Glazing - BOQ_KAFD - Revision 2 (final) SP" xfId="856" xr:uid="{00000000-0005-0000-0000-00000F010000}"/>
    <cellStyle name="_Copy of Remeasure BOQ" xfId="22820" xr:uid="{00000000-0005-0000-0000-000010010000}"/>
    <cellStyle name="_Currency" xfId="857" xr:uid="{00000000-0005-0000-0000-000011010000}"/>
    <cellStyle name="_Currency_AVP" xfId="858" xr:uid="{00000000-0005-0000-0000-000012010000}"/>
    <cellStyle name="_Currency_Bolt Financials and Comps" xfId="859" xr:uid="{00000000-0005-0000-0000-000013010000}"/>
    <cellStyle name="_Currency_Book1" xfId="860" xr:uid="{00000000-0005-0000-0000-000014010000}"/>
    <cellStyle name="_Currency_Book1_1" xfId="861" xr:uid="{00000000-0005-0000-0000-000015010000}"/>
    <cellStyle name="_Currency_contribution_analysis" xfId="862" xr:uid="{00000000-0005-0000-0000-000016010000}"/>
    <cellStyle name="_Currency_Model v6" xfId="863" xr:uid="{00000000-0005-0000-0000-000017010000}"/>
    <cellStyle name="_Currency_Modelv38" xfId="864" xr:uid="{00000000-0005-0000-0000-000018010000}"/>
    <cellStyle name="_Currency_SMF_Model_28Mar06_v4" xfId="865" xr:uid="{00000000-0005-0000-0000-000019010000}"/>
    <cellStyle name="_CurrencySpace" xfId="866" xr:uid="{00000000-0005-0000-0000-00001A010000}"/>
    <cellStyle name="_CurrencySpace_09 Bolt Financial Performance" xfId="867" xr:uid="{00000000-0005-0000-0000-00001B010000}"/>
    <cellStyle name="_CurrencySpace_AVP" xfId="868" xr:uid="{00000000-0005-0000-0000-00001C010000}"/>
    <cellStyle name="_CurrencySpace_Bolt AVP" xfId="869" xr:uid="{00000000-0005-0000-0000-00001D010000}"/>
    <cellStyle name="_CurrencySpace_Bolt Financial Performance" xfId="870" xr:uid="{00000000-0005-0000-0000-00001E010000}"/>
    <cellStyle name="_CurrencySpace_Bolt Financials and Comps" xfId="871" xr:uid="{00000000-0005-0000-0000-00001F010000}"/>
    <cellStyle name="_CurrencySpace_Book1" xfId="872" xr:uid="{00000000-0005-0000-0000-000020010000}"/>
    <cellStyle name="_CurrencySpace_Book1_1" xfId="873" xr:uid="{00000000-0005-0000-0000-000021010000}"/>
    <cellStyle name="_CurrencySpace_Complex Merger Plans" xfId="874" xr:uid="{00000000-0005-0000-0000-000022010000}"/>
    <cellStyle name="_CurrencySpace_contribution_analysis" xfId="875" xr:uid="{00000000-0005-0000-0000-000023010000}"/>
    <cellStyle name="_CurrencySpace_DCF - Generic" xfId="876" xr:uid="{00000000-0005-0000-0000-000024010000}"/>
    <cellStyle name="_CurrencySpace_Financials for LSG LSP EnCorp and Tufco" xfId="877" xr:uid="{00000000-0005-0000-0000-000025010000}"/>
    <cellStyle name="_CurrencySpace_Merger Plans v 2" xfId="878" xr:uid="{00000000-0005-0000-0000-000026010000}"/>
    <cellStyle name="_CurrencySpace_Model v6" xfId="879" xr:uid="{00000000-0005-0000-0000-000027010000}"/>
    <cellStyle name="_CurrencySpace_Modelv38" xfId="880" xr:uid="{00000000-0005-0000-0000-000028010000}"/>
    <cellStyle name="_CurrencySpace_SMF_Model_28Mar06_v4" xfId="881" xr:uid="{00000000-0005-0000-0000-000029010000}"/>
    <cellStyle name="_DataQualityTool" xfId="882" xr:uid="{00000000-0005-0000-0000-00002A010000}"/>
    <cellStyle name="_Ductworks_Take-off_sheets" xfId="883" xr:uid="{00000000-0005-0000-0000-00002B010000}"/>
    <cellStyle name="_Emircom Re-design Daman Towers  01-05-2007" xfId="884" xr:uid="{00000000-0005-0000-0000-00002C010000}"/>
    <cellStyle name="_Equipment Schedule (2)" xfId="22" xr:uid="{00000000-0005-0000-0000-00002D010000}"/>
    <cellStyle name="_Euro" xfId="885" xr:uid="{00000000-0005-0000-0000-00002E010000}"/>
    <cellStyle name="_External Works BOQ's" xfId="886" xr:uid="{00000000-0005-0000-0000-00002F010000}"/>
    <cellStyle name="_Fire Protection HVAC_split (2)" xfId="22821" xr:uid="{00000000-0005-0000-0000-000030010000}"/>
    <cellStyle name="_GI.N" xfId="887" xr:uid="{00000000-0005-0000-0000-000031010000}"/>
    <cellStyle name="_Heading" xfId="888" xr:uid="{00000000-0005-0000-0000-000032010000}"/>
    <cellStyle name="_Headline" xfId="889" xr:uid="{00000000-0005-0000-0000-000033010000}"/>
    <cellStyle name="_Highlight" xfId="890" xr:uid="{00000000-0005-0000-0000-000034010000}"/>
    <cellStyle name="_Manning Schedule (2)" xfId="23" xr:uid="{00000000-0005-0000-0000-000035010000}"/>
    <cellStyle name="_Multiple" xfId="891" xr:uid="{00000000-0005-0000-0000-000036010000}"/>
    <cellStyle name="_Multiple_AVP" xfId="892" xr:uid="{00000000-0005-0000-0000-000037010000}"/>
    <cellStyle name="_Multiple_Bolt Financials and Comps" xfId="893" xr:uid="{00000000-0005-0000-0000-000038010000}"/>
    <cellStyle name="_Multiple_Book1" xfId="894" xr:uid="{00000000-0005-0000-0000-000039010000}"/>
    <cellStyle name="_Multiple_Book1_1" xfId="895" xr:uid="{00000000-0005-0000-0000-00003A010000}"/>
    <cellStyle name="_Multiple_contribution_analysis" xfId="896" xr:uid="{00000000-0005-0000-0000-00003B010000}"/>
    <cellStyle name="_Multiple_Model v6" xfId="897" xr:uid="{00000000-0005-0000-0000-00003C010000}"/>
    <cellStyle name="_Multiple_Modelv38" xfId="898" xr:uid="{00000000-0005-0000-0000-00003D010000}"/>
    <cellStyle name="_Multiple_SMF_Model_28Mar06_v4" xfId="899" xr:uid="{00000000-0005-0000-0000-00003E010000}"/>
    <cellStyle name="_MultipleSpace" xfId="900" xr:uid="{00000000-0005-0000-0000-00003F010000}"/>
    <cellStyle name="_MultipleSpace_AVP" xfId="901" xr:uid="{00000000-0005-0000-0000-000040010000}"/>
    <cellStyle name="_MultipleSpace_Bolt Financials and Comps" xfId="902" xr:uid="{00000000-0005-0000-0000-000041010000}"/>
    <cellStyle name="_MultipleSpace_Book1" xfId="903" xr:uid="{00000000-0005-0000-0000-000042010000}"/>
    <cellStyle name="_MultipleSpace_Book1_1" xfId="904" xr:uid="{00000000-0005-0000-0000-000043010000}"/>
    <cellStyle name="_MultipleSpace_contribution_analysis" xfId="905" xr:uid="{00000000-0005-0000-0000-000044010000}"/>
    <cellStyle name="_MultipleSpace_Model v6" xfId="906" xr:uid="{00000000-0005-0000-0000-000045010000}"/>
    <cellStyle name="_MultipleSpace_Modelv38" xfId="907" xr:uid="{00000000-0005-0000-0000-000046010000}"/>
    <cellStyle name="_MultipleSpace_SMF_Model_28Mar06_v4" xfId="908" xr:uid="{00000000-0005-0000-0000-000047010000}"/>
    <cellStyle name="_Percent" xfId="909" xr:uid="{00000000-0005-0000-0000-000048010000}"/>
    <cellStyle name="_Percent_AVP" xfId="910" xr:uid="{00000000-0005-0000-0000-000049010000}"/>
    <cellStyle name="_Percent_Book1" xfId="911" xr:uid="{00000000-0005-0000-0000-00004A010000}"/>
    <cellStyle name="_Percent_contribution_analysis" xfId="912" xr:uid="{00000000-0005-0000-0000-00004B010000}"/>
    <cellStyle name="_PercentSpace" xfId="913" xr:uid="{00000000-0005-0000-0000-00004C010000}"/>
    <cellStyle name="_PercentSpace_AVP" xfId="914" xr:uid="{00000000-0005-0000-0000-00004D010000}"/>
    <cellStyle name="_PercentSpace_Book1" xfId="915" xr:uid="{00000000-0005-0000-0000-00004E010000}"/>
    <cellStyle name="_PercentSpace_contribution_analysis" xfId="916" xr:uid="{00000000-0005-0000-0000-00004F010000}"/>
    <cellStyle name="_Project Brief (2)" xfId="24" xr:uid="{00000000-0005-0000-0000-000050010000}"/>
    <cellStyle name="_RAFFLES2" xfId="25" xr:uid="{00000000-0005-0000-0000-000051010000}"/>
    <cellStyle name="_Rate Analysis for Ns Items MP" xfId="917" xr:uid="{00000000-0005-0000-0000-000052010000}"/>
    <cellStyle name="_SubHeading" xfId="918" xr:uid="{00000000-0005-0000-0000-000053010000}"/>
    <cellStyle name="_SubHeading_09 Bolt Financial Performance" xfId="919" xr:uid="{00000000-0005-0000-0000-000054010000}"/>
    <cellStyle name="_SubHeading_Bolt Financial Performance" xfId="920" xr:uid="{00000000-0005-0000-0000-000055010000}"/>
    <cellStyle name="_SubHeading_Merger Plans v 2" xfId="921" xr:uid="{00000000-0005-0000-0000-000056010000}"/>
    <cellStyle name="_SubHeading_Merger Plans v03" xfId="922" xr:uid="{00000000-0005-0000-0000-000057010000}"/>
    <cellStyle name="_SubHeading_WMB - Power Merger Plans v01" xfId="923" xr:uid="{00000000-0005-0000-0000-000058010000}"/>
    <cellStyle name="_Table" xfId="924" xr:uid="{00000000-0005-0000-0000-000059010000}"/>
    <cellStyle name="_Table_09 Bolt Financial Performance" xfId="925" xr:uid="{00000000-0005-0000-0000-00005A010000}"/>
    <cellStyle name="_Table_Bolt Financial Performance" xfId="926" xr:uid="{00000000-0005-0000-0000-00005B010000}"/>
    <cellStyle name="_Table_Bolt Financials and Comps" xfId="927" xr:uid="{00000000-0005-0000-0000-00005C010000}"/>
    <cellStyle name="_Table_Bolt Financials and Comps_DATA Input" xfId="928" xr:uid="{00000000-0005-0000-0000-00005D010000}"/>
    <cellStyle name="_Table_Book1" xfId="929" xr:uid="{00000000-0005-0000-0000-00005E010000}"/>
    <cellStyle name="_Table_Book1_DATA Input" xfId="930" xr:uid="{00000000-0005-0000-0000-00005F010000}"/>
    <cellStyle name="_Table_Merger Plans v 2" xfId="931" xr:uid="{00000000-0005-0000-0000-000060010000}"/>
    <cellStyle name="_Table_Merger Plans v 2_DATA Input" xfId="932" xr:uid="{00000000-0005-0000-0000-000061010000}"/>
    <cellStyle name="_Table_Merger Plans v01" xfId="933" xr:uid="{00000000-0005-0000-0000-000062010000}"/>
    <cellStyle name="_Table_Merger Plans v01_DATA Input" xfId="934" xr:uid="{00000000-0005-0000-0000-000063010000}"/>
    <cellStyle name="_Table_Merger Plans v03" xfId="935" xr:uid="{00000000-0005-0000-0000-000064010000}"/>
    <cellStyle name="_Table_Merger Plans v03 2" xfId="936" xr:uid="{00000000-0005-0000-0000-000065010000}"/>
    <cellStyle name="_Table_Merger Plans v03 3" xfId="937" xr:uid="{00000000-0005-0000-0000-000066010000}"/>
    <cellStyle name="_Table_Merger Plans v03_DATA Input" xfId="938" xr:uid="{00000000-0005-0000-0000-000067010000}"/>
    <cellStyle name="_Table_Merger Plans v04" xfId="939" xr:uid="{00000000-0005-0000-0000-000068010000}"/>
    <cellStyle name="_Table_Merger Plans v04 2" xfId="940" xr:uid="{00000000-0005-0000-0000-000069010000}"/>
    <cellStyle name="_Table_Merger Plans v04 3" xfId="941" xr:uid="{00000000-0005-0000-0000-00006A010000}"/>
    <cellStyle name="_Table_Merger Plans v04_DATA Input" xfId="942" xr:uid="{00000000-0005-0000-0000-00006B010000}"/>
    <cellStyle name="_TableHead" xfId="943" xr:uid="{00000000-0005-0000-0000-00006C010000}"/>
    <cellStyle name="_TableHead 2" xfId="944" xr:uid="{00000000-0005-0000-0000-00006D010000}"/>
    <cellStyle name="_TableHead_DATA Input" xfId="945" xr:uid="{00000000-0005-0000-0000-00006E010000}"/>
    <cellStyle name="_TableHeading" xfId="946" xr:uid="{00000000-0005-0000-0000-00006F010000}"/>
    <cellStyle name="_TableHeading 2" xfId="947" xr:uid="{00000000-0005-0000-0000-000070010000}"/>
    <cellStyle name="_TableHeading_DATA Input" xfId="948" xr:uid="{00000000-0005-0000-0000-000071010000}"/>
    <cellStyle name="_TableRowBorder" xfId="949" xr:uid="{00000000-0005-0000-0000-000072010000}"/>
    <cellStyle name="_TableRowBorder 2" xfId="950" xr:uid="{00000000-0005-0000-0000-000073010000}"/>
    <cellStyle name="_TableRowBorder_DATA Input" xfId="951" xr:uid="{00000000-0005-0000-0000-000074010000}"/>
    <cellStyle name="_TableRowHead" xfId="952" xr:uid="{00000000-0005-0000-0000-000075010000}"/>
    <cellStyle name="_TableRowHeading" xfId="953" xr:uid="{00000000-0005-0000-0000-000076010000}"/>
    <cellStyle name="_TableSuperHead" xfId="954" xr:uid="{00000000-0005-0000-0000-000077010000}"/>
    <cellStyle name="_TableSuperHead_Merger Plans v03" xfId="955" xr:uid="{00000000-0005-0000-0000-000078010000}"/>
    <cellStyle name="_TableSuperHead_Merger Plans v04" xfId="956" xr:uid="{00000000-0005-0000-0000-000079010000}"/>
    <cellStyle name="_TableSuperHeading" xfId="957" xr:uid="{00000000-0005-0000-0000-00007A010000}"/>
    <cellStyle name="_TableText" xfId="958" xr:uid="{00000000-0005-0000-0000-00007B010000}"/>
    <cellStyle name="_The Pearl - Doha (windows)" xfId="959" xr:uid="{00000000-0005-0000-0000-00007C010000}"/>
    <cellStyle name="_The Pearl Viva Bahriya - Doha Qatar R1" xfId="960" xr:uid="{00000000-0005-0000-0000-00007D010000}"/>
    <cellStyle name="_견적계획KCRC" xfId="26" xr:uid="{00000000-0005-0000-0000-00007E010000}"/>
    <cellStyle name="_견적양식-가로" xfId="27" xr:uid="{00000000-0005-0000-0000-00007F010000}"/>
    <cellStyle name="_입찰품의" xfId="28" xr:uid="{00000000-0005-0000-0000-000080010000}"/>
    <cellStyle name="_품의" xfId="29" xr:uid="{00000000-0005-0000-0000-000081010000}"/>
    <cellStyle name="_품의95" xfId="30" xr:uid="{00000000-0005-0000-0000-000082010000}"/>
    <cellStyle name="’Ê‰Ý [0.00]_GE 3 MINIMUM" xfId="961" xr:uid="{00000000-0005-0000-0000-000083010000}"/>
    <cellStyle name="’Ê‰Ý_GE 3 MINIMUM" xfId="962" xr:uid="{00000000-0005-0000-0000-000084010000}"/>
    <cellStyle name="£ BP" xfId="963" xr:uid="{00000000-0005-0000-0000-000085010000}"/>
    <cellStyle name="¥ JY" xfId="964" xr:uid="{00000000-0005-0000-0000-000086010000}"/>
    <cellStyle name="=C:\WINNT35\SYSTEM32\COMMAND.COM?COMPUTERNAME=P23580A?HOMEDRIVE=C:?" xfId="965" xr:uid="{00000000-0005-0000-0000-000087010000}"/>
    <cellStyle name="•W€_Comparables" xfId="966" xr:uid="{00000000-0005-0000-0000-000088010000}"/>
    <cellStyle name="•W_GE 3 MINIMUM" xfId="967" xr:uid="{00000000-0005-0000-0000-000089010000}"/>
    <cellStyle name="0" xfId="968" xr:uid="{00000000-0005-0000-0000-00008A010000}"/>
    <cellStyle name="0%" xfId="969" xr:uid="{00000000-0005-0000-0000-00008B010000}"/>
    <cellStyle name="0,0_x000d__x000a_NA_x000d__x000a_" xfId="970" xr:uid="{00000000-0005-0000-0000-00008C010000}"/>
    <cellStyle name="0.0" xfId="31" xr:uid="{00000000-0005-0000-0000-00008D010000}"/>
    <cellStyle name="0.0 2" xfId="19397" xr:uid="{00000000-0005-0000-0000-00008E010000}"/>
    <cellStyle name="0.0%" xfId="971" xr:uid="{00000000-0005-0000-0000-00008F010000}"/>
    <cellStyle name="0.00" xfId="32" xr:uid="{00000000-0005-0000-0000-000090010000}"/>
    <cellStyle name="0.00 2" xfId="19398" xr:uid="{00000000-0005-0000-0000-000091010000}"/>
    <cellStyle name="0.00%" xfId="972" xr:uid="{00000000-0005-0000-0000-000092010000}"/>
    <cellStyle name="0.000" xfId="973" xr:uid="{00000000-0005-0000-0000-000093010000}"/>
    <cellStyle name="0.0x" xfId="974" xr:uid="{00000000-0005-0000-0000-000094010000}"/>
    <cellStyle name="0.0x 2" xfId="975" xr:uid="{00000000-0005-0000-0000-000095010000}"/>
    <cellStyle name="0_CoP" xfId="976" xr:uid="{00000000-0005-0000-0000-000096010000}"/>
    <cellStyle name="0_CVX" xfId="977" xr:uid="{00000000-0005-0000-0000-000097010000}"/>
    <cellStyle name="0_GVAT DCF DDM RI Model - Simplified" xfId="978" xr:uid="{00000000-0005-0000-0000-000098010000}"/>
    <cellStyle name="0_GVAT DCF DDM RI model 2006-07" xfId="979" xr:uid="{00000000-0005-0000-0000-000099010000}"/>
    <cellStyle name="0_Hypothetical Acquisition_v004" xfId="980" xr:uid="{00000000-0005-0000-0000-00009A010000}"/>
    <cellStyle name="0_Model Template - NWN Aug 17 - CSA" xfId="981" xr:uid="{00000000-0005-0000-0000-00009B010000}"/>
    <cellStyle name="0_MW1" xfId="982" xr:uid="{00000000-0005-0000-0000-00009C010000}"/>
    <cellStyle name="0_New Model v25" xfId="983" xr:uid="{00000000-0005-0000-0000-00009D010000}"/>
    <cellStyle name="0_ROE- taking data feed from CIQ 12th May" xfId="984" xr:uid="{00000000-0005-0000-0000-00009E010000}"/>
    <cellStyle name="0_XOM" xfId="985" xr:uid="{00000000-0005-0000-0000-00009F010000}"/>
    <cellStyle name="1" xfId="986" xr:uid="{00000000-0005-0000-0000-0000A0010000}"/>
    <cellStyle name="1,comma" xfId="987" xr:uid="{00000000-0005-0000-0000-0000A1010000}"/>
    <cellStyle name="1/100000" xfId="988" xr:uid="{00000000-0005-0000-0000-0000A2010000}"/>
    <cellStyle name="10" xfId="989" xr:uid="{00000000-0005-0000-0000-0000A3010000}"/>
    <cellStyle name="12" xfId="990" xr:uid="{00000000-0005-0000-0000-0000A4010000}"/>
    <cellStyle name="14" xfId="991" xr:uid="{00000000-0005-0000-0000-0000A5010000}"/>
    <cellStyle name="18" xfId="992" xr:uid="{00000000-0005-0000-0000-0000A6010000}"/>
    <cellStyle name="1dec" xfId="993" xr:uid="{00000000-0005-0000-0000-0000A7010000}"/>
    <cellStyle name="20 % - Accent1" xfId="994" xr:uid="{00000000-0005-0000-0000-0000A8010000}"/>
    <cellStyle name="20 % - Accent2" xfId="995" xr:uid="{00000000-0005-0000-0000-0000A9010000}"/>
    <cellStyle name="20 % - Accent3" xfId="996" xr:uid="{00000000-0005-0000-0000-0000AA010000}"/>
    <cellStyle name="20 % - Accent4" xfId="997" xr:uid="{00000000-0005-0000-0000-0000AB010000}"/>
    <cellStyle name="20 % - Accent5" xfId="998" xr:uid="{00000000-0005-0000-0000-0000AC010000}"/>
    <cellStyle name="20 % - Accent6" xfId="999" xr:uid="{00000000-0005-0000-0000-0000AD010000}"/>
    <cellStyle name="20% - Accent1 10" xfId="1000" xr:uid="{00000000-0005-0000-0000-0000AE010000}"/>
    <cellStyle name="20% - Accent1 11" xfId="1001" xr:uid="{00000000-0005-0000-0000-0000AF010000}"/>
    <cellStyle name="20% - Accent1 12" xfId="1002" xr:uid="{00000000-0005-0000-0000-0000B0010000}"/>
    <cellStyle name="20% - Accent1 13" xfId="1003" xr:uid="{00000000-0005-0000-0000-0000B1010000}"/>
    <cellStyle name="20% - Accent1 14" xfId="1004" xr:uid="{00000000-0005-0000-0000-0000B2010000}"/>
    <cellStyle name="20% - Accent1 15" xfId="1005" xr:uid="{00000000-0005-0000-0000-0000B3010000}"/>
    <cellStyle name="20% - Accent1 16" xfId="1006" xr:uid="{00000000-0005-0000-0000-0000B4010000}"/>
    <cellStyle name="20% - Accent1 17" xfId="1007" xr:uid="{00000000-0005-0000-0000-0000B5010000}"/>
    <cellStyle name="20% - Accent1 18" xfId="1008" xr:uid="{00000000-0005-0000-0000-0000B6010000}"/>
    <cellStyle name="20% - Accent1 19" xfId="1009" xr:uid="{00000000-0005-0000-0000-0000B7010000}"/>
    <cellStyle name="20% - Accent1 2" xfId="33" xr:uid="{00000000-0005-0000-0000-0000B8010000}"/>
    <cellStyle name="20% - Accent1 2 10" xfId="1010" xr:uid="{00000000-0005-0000-0000-0000B9010000}"/>
    <cellStyle name="20% - Accent1 2 10 2" xfId="19422" xr:uid="{00000000-0005-0000-0000-0000BA010000}"/>
    <cellStyle name="20% - Accent1 2 11" xfId="1011" xr:uid="{00000000-0005-0000-0000-0000BB010000}"/>
    <cellStyle name="20% - Accent1 2 11 2" xfId="19423" xr:uid="{00000000-0005-0000-0000-0000BC010000}"/>
    <cellStyle name="20% - Accent1 2 12" xfId="1012" xr:uid="{00000000-0005-0000-0000-0000BD010000}"/>
    <cellStyle name="20% - Accent1 2 12 2" xfId="19424" xr:uid="{00000000-0005-0000-0000-0000BE010000}"/>
    <cellStyle name="20% - Accent1 2 13" xfId="1013" xr:uid="{00000000-0005-0000-0000-0000BF010000}"/>
    <cellStyle name="20% - Accent1 2 13 2" xfId="19425" xr:uid="{00000000-0005-0000-0000-0000C0010000}"/>
    <cellStyle name="20% - Accent1 2 14" xfId="1014" xr:uid="{00000000-0005-0000-0000-0000C1010000}"/>
    <cellStyle name="20% - Accent1 2 14 2" xfId="19426" xr:uid="{00000000-0005-0000-0000-0000C2010000}"/>
    <cellStyle name="20% - Accent1 2 15" xfId="1015" xr:uid="{00000000-0005-0000-0000-0000C3010000}"/>
    <cellStyle name="20% - Accent1 2 15 2" xfId="19427" xr:uid="{00000000-0005-0000-0000-0000C4010000}"/>
    <cellStyle name="20% - Accent1 2 16" xfId="1016" xr:uid="{00000000-0005-0000-0000-0000C5010000}"/>
    <cellStyle name="20% - Accent1 2 16 2" xfId="19428" xr:uid="{00000000-0005-0000-0000-0000C6010000}"/>
    <cellStyle name="20% - Accent1 2 17" xfId="1017" xr:uid="{00000000-0005-0000-0000-0000C7010000}"/>
    <cellStyle name="20% - Accent1 2 17 2" xfId="19429" xr:uid="{00000000-0005-0000-0000-0000C8010000}"/>
    <cellStyle name="20% - Accent1 2 18" xfId="1018" xr:uid="{00000000-0005-0000-0000-0000C9010000}"/>
    <cellStyle name="20% - Accent1 2 18 2" xfId="19430" xr:uid="{00000000-0005-0000-0000-0000CA010000}"/>
    <cellStyle name="20% - Accent1 2 19" xfId="1019" xr:uid="{00000000-0005-0000-0000-0000CB010000}"/>
    <cellStyle name="20% - Accent1 2 19 2" xfId="19431" xr:uid="{00000000-0005-0000-0000-0000CC010000}"/>
    <cellStyle name="20% - Accent1 2 2" xfId="1020" xr:uid="{00000000-0005-0000-0000-0000CD010000}"/>
    <cellStyle name="20% - Accent1 2 2 10" xfId="1021" xr:uid="{00000000-0005-0000-0000-0000CE010000}"/>
    <cellStyle name="20% - Accent1 2 2 10 2" xfId="19433" xr:uid="{00000000-0005-0000-0000-0000CF010000}"/>
    <cellStyle name="20% - Accent1 2 2 11" xfId="1022" xr:uid="{00000000-0005-0000-0000-0000D0010000}"/>
    <cellStyle name="20% - Accent1 2 2 11 2" xfId="19434" xr:uid="{00000000-0005-0000-0000-0000D1010000}"/>
    <cellStyle name="20% - Accent1 2 2 12" xfId="1023" xr:uid="{00000000-0005-0000-0000-0000D2010000}"/>
    <cellStyle name="20% - Accent1 2 2 12 2" xfId="19435" xr:uid="{00000000-0005-0000-0000-0000D3010000}"/>
    <cellStyle name="20% - Accent1 2 2 13" xfId="1024" xr:uid="{00000000-0005-0000-0000-0000D4010000}"/>
    <cellStyle name="20% - Accent1 2 2 13 2" xfId="19436" xr:uid="{00000000-0005-0000-0000-0000D5010000}"/>
    <cellStyle name="20% - Accent1 2 2 14" xfId="1025" xr:uid="{00000000-0005-0000-0000-0000D6010000}"/>
    <cellStyle name="20% - Accent1 2 2 14 2" xfId="19437" xr:uid="{00000000-0005-0000-0000-0000D7010000}"/>
    <cellStyle name="20% - Accent1 2 2 15" xfId="1026" xr:uid="{00000000-0005-0000-0000-0000D8010000}"/>
    <cellStyle name="20% - Accent1 2 2 15 2" xfId="19438" xr:uid="{00000000-0005-0000-0000-0000D9010000}"/>
    <cellStyle name="20% - Accent1 2 2 16" xfId="1027" xr:uid="{00000000-0005-0000-0000-0000DA010000}"/>
    <cellStyle name="20% - Accent1 2 2 16 2" xfId="19439" xr:uid="{00000000-0005-0000-0000-0000DB010000}"/>
    <cellStyle name="20% - Accent1 2 2 17" xfId="1028" xr:uid="{00000000-0005-0000-0000-0000DC010000}"/>
    <cellStyle name="20% - Accent1 2 2 17 2" xfId="19440" xr:uid="{00000000-0005-0000-0000-0000DD010000}"/>
    <cellStyle name="20% - Accent1 2 2 18" xfId="1029" xr:uid="{00000000-0005-0000-0000-0000DE010000}"/>
    <cellStyle name="20% - Accent1 2 2 18 2" xfId="19441" xr:uid="{00000000-0005-0000-0000-0000DF010000}"/>
    <cellStyle name="20% - Accent1 2 2 19" xfId="1030" xr:uid="{00000000-0005-0000-0000-0000E0010000}"/>
    <cellStyle name="20% - Accent1 2 2 19 2" xfId="19442" xr:uid="{00000000-0005-0000-0000-0000E1010000}"/>
    <cellStyle name="20% - Accent1 2 2 2" xfId="1031" xr:uid="{00000000-0005-0000-0000-0000E2010000}"/>
    <cellStyle name="20% - Accent1 2 2 2 2" xfId="19443" xr:uid="{00000000-0005-0000-0000-0000E3010000}"/>
    <cellStyle name="20% - Accent1 2 2 20" xfId="1032" xr:uid="{00000000-0005-0000-0000-0000E4010000}"/>
    <cellStyle name="20% - Accent1 2 2 20 2" xfId="19444" xr:uid="{00000000-0005-0000-0000-0000E5010000}"/>
    <cellStyle name="20% - Accent1 2 2 21" xfId="1033" xr:uid="{00000000-0005-0000-0000-0000E6010000}"/>
    <cellStyle name="20% - Accent1 2 2 21 2" xfId="19445" xr:uid="{00000000-0005-0000-0000-0000E7010000}"/>
    <cellStyle name="20% - Accent1 2 2 22" xfId="1034" xr:uid="{00000000-0005-0000-0000-0000E8010000}"/>
    <cellStyle name="20% - Accent1 2 2 22 2" xfId="19446" xr:uid="{00000000-0005-0000-0000-0000E9010000}"/>
    <cellStyle name="20% - Accent1 2 2 23" xfId="1035" xr:uid="{00000000-0005-0000-0000-0000EA010000}"/>
    <cellStyle name="20% - Accent1 2 2 23 2" xfId="19447" xr:uid="{00000000-0005-0000-0000-0000EB010000}"/>
    <cellStyle name="20% - Accent1 2 2 24" xfId="1036" xr:uid="{00000000-0005-0000-0000-0000EC010000}"/>
    <cellStyle name="20% - Accent1 2 2 24 2" xfId="19448" xr:uid="{00000000-0005-0000-0000-0000ED010000}"/>
    <cellStyle name="20% - Accent1 2 2 25" xfId="1037" xr:uid="{00000000-0005-0000-0000-0000EE010000}"/>
    <cellStyle name="20% - Accent1 2 2 25 2" xfId="19449" xr:uid="{00000000-0005-0000-0000-0000EF010000}"/>
    <cellStyle name="20% - Accent1 2 2 26" xfId="1038" xr:uid="{00000000-0005-0000-0000-0000F0010000}"/>
    <cellStyle name="20% - Accent1 2 2 26 2" xfId="19450" xr:uid="{00000000-0005-0000-0000-0000F1010000}"/>
    <cellStyle name="20% - Accent1 2 2 27" xfId="1039" xr:uid="{00000000-0005-0000-0000-0000F2010000}"/>
    <cellStyle name="20% - Accent1 2 2 27 2" xfId="19451" xr:uid="{00000000-0005-0000-0000-0000F3010000}"/>
    <cellStyle name="20% - Accent1 2 2 28" xfId="1040" xr:uid="{00000000-0005-0000-0000-0000F4010000}"/>
    <cellStyle name="20% - Accent1 2 2 28 2" xfId="19452" xr:uid="{00000000-0005-0000-0000-0000F5010000}"/>
    <cellStyle name="20% - Accent1 2 2 29" xfId="1041" xr:uid="{00000000-0005-0000-0000-0000F6010000}"/>
    <cellStyle name="20% - Accent1 2 2 29 2" xfId="19453" xr:uid="{00000000-0005-0000-0000-0000F7010000}"/>
    <cellStyle name="20% - Accent1 2 2 3" xfId="1042" xr:uid="{00000000-0005-0000-0000-0000F8010000}"/>
    <cellStyle name="20% - Accent1 2 2 3 2" xfId="19454" xr:uid="{00000000-0005-0000-0000-0000F9010000}"/>
    <cellStyle name="20% - Accent1 2 2 30" xfId="1043" xr:uid="{00000000-0005-0000-0000-0000FA010000}"/>
    <cellStyle name="20% - Accent1 2 2 30 2" xfId="19455" xr:uid="{00000000-0005-0000-0000-0000FB010000}"/>
    <cellStyle name="20% - Accent1 2 2 31" xfId="1044" xr:uid="{00000000-0005-0000-0000-0000FC010000}"/>
    <cellStyle name="20% - Accent1 2 2 31 2" xfId="19456" xr:uid="{00000000-0005-0000-0000-0000FD010000}"/>
    <cellStyle name="20% - Accent1 2 2 32" xfId="1045" xr:uid="{00000000-0005-0000-0000-0000FE010000}"/>
    <cellStyle name="20% - Accent1 2 2 32 2" xfId="19457" xr:uid="{00000000-0005-0000-0000-0000FF010000}"/>
    <cellStyle name="20% - Accent1 2 2 33" xfId="1046" xr:uid="{00000000-0005-0000-0000-000000020000}"/>
    <cellStyle name="20% - Accent1 2 2 33 2" xfId="19458" xr:uid="{00000000-0005-0000-0000-000001020000}"/>
    <cellStyle name="20% - Accent1 2 2 34" xfId="1047" xr:uid="{00000000-0005-0000-0000-000002020000}"/>
    <cellStyle name="20% - Accent1 2 2 34 2" xfId="19459" xr:uid="{00000000-0005-0000-0000-000003020000}"/>
    <cellStyle name="20% - Accent1 2 2 35" xfId="1048" xr:uid="{00000000-0005-0000-0000-000004020000}"/>
    <cellStyle name="20% - Accent1 2 2 35 2" xfId="19460" xr:uid="{00000000-0005-0000-0000-000005020000}"/>
    <cellStyle name="20% - Accent1 2 2 36" xfId="1049" xr:uid="{00000000-0005-0000-0000-000006020000}"/>
    <cellStyle name="20% - Accent1 2 2 36 2" xfId="19461" xr:uid="{00000000-0005-0000-0000-000007020000}"/>
    <cellStyle name="20% - Accent1 2 2 37" xfId="1050" xr:uid="{00000000-0005-0000-0000-000008020000}"/>
    <cellStyle name="20% - Accent1 2 2 37 2" xfId="19462" xr:uid="{00000000-0005-0000-0000-000009020000}"/>
    <cellStyle name="20% - Accent1 2 2 38" xfId="1051" xr:uid="{00000000-0005-0000-0000-00000A020000}"/>
    <cellStyle name="20% - Accent1 2 2 38 2" xfId="19463" xr:uid="{00000000-0005-0000-0000-00000B020000}"/>
    <cellStyle name="20% - Accent1 2 2 39" xfId="1052" xr:uid="{00000000-0005-0000-0000-00000C020000}"/>
    <cellStyle name="20% - Accent1 2 2 39 2" xfId="19464" xr:uid="{00000000-0005-0000-0000-00000D020000}"/>
    <cellStyle name="20% - Accent1 2 2 4" xfId="1053" xr:uid="{00000000-0005-0000-0000-00000E020000}"/>
    <cellStyle name="20% - Accent1 2 2 4 2" xfId="19465" xr:uid="{00000000-0005-0000-0000-00000F020000}"/>
    <cellStyle name="20% - Accent1 2 2 40" xfId="1054" xr:uid="{00000000-0005-0000-0000-000010020000}"/>
    <cellStyle name="20% - Accent1 2 2 40 2" xfId="19466" xr:uid="{00000000-0005-0000-0000-000011020000}"/>
    <cellStyle name="20% - Accent1 2 2 41" xfId="1055" xr:uid="{00000000-0005-0000-0000-000012020000}"/>
    <cellStyle name="20% - Accent1 2 2 41 2" xfId="19467" xr:uid="{00000000-0005-0000-0000-000013020000}"/>
    <cellStyle name="20% - Accent1 2 2 42" xfId="1056" xr:uid="{00000000-0005-0000-0000-000014020000}"/>
    <cellStyle name="20% - Accent1 2 2 42 2" xfId="19468" xr:uid="{00000000-0005-0000-0000-000015020000}"/>
    <cellStyle name="20% - Accent1 2 2 43" xfId="19432" xr:uid="{00000000-0005-0000-0000-000016020000}"/>
    <cellStyle name="20% - Accent1 2 2 5" xfId="1057" xr:uid="{00000000-0005-0000-0000-000017020000}"/>
    <cellStyle name="20% - Accent1 2 2 5 2" xfId="19469" xr:uid="{00000000-0005-0000-0000-000018020000}"/>
    <cellStyle name="20% - Accent1 2 2 6" xfId="1058" xr:uid="{00000000-0005-0000-0000-000019020000}"/>
    <cellStyle name="20% - Accent1 2 2 6 2" xfId="19470" xr:uid="{00000000-0005-0000-0000-00001A020000}"/>
    <cellStyle name="20% - Accent1 2 2 7" xfId="1059" xr:uid="{00000000-0005-0000-0000-00001B020000}"/>
    <cellStyle name="20% - Accent1 2 2 7 2" xfId="19471" xr:uid="{00000000-0005-0000-0000-00001C020000}"/>
    <cellStyle name="20% - Accent1 2 2 8" xfId="1060" xr:uid="{00000000-0005-0000-0000-00001D020000}"/>
    <cellStyle name="20% - Accent1 2 2 8 2" xfId="19472" xr:uid="{00000000-0005-0000-0000-00001E020000}"/>
    <cellStyle name="20% - Accent1 2 2 9" xfId="1061" xr:uid="{00000000-0005-0000-0000-00001F020000}"/>
    <cellStyle name="20% - Accent1 2 2 9 2" xfId="19473" xr:uid="{00000000-0005-0000-0000-000020020000}"/>
    <cellStyle name="20% - Accent1 2 2_DATA Input" xfId="1062" xr:uid="{00000000-0005-0000-0000-000021020000}"/>
    <cellStyle name="20% - Accent1 2 20" xfId="1063" xr:uid="{00000000-0005-0000-0000-000022020000}"/>
    <cellStyle name="20% - Accent1 2 20 2" xfId="19474" xr:uid="{00000000-0005-0000-0000-000023020000}"/>
    <cellStyle name="20% - Accent1 2 21" xfId="1064" xr:uid="{00000000-0005-0000-0000-000024020000}"/>
    <cellStyle name="20% - Accent1 2 21 2" xfId="19475" xr:uid="{00000000-0005-0000-0000-000025020000}"/>
    <cellStyle name="20% - Accent1 2 22" xfId="1065" xr:uid="{00000000-0005-0000-0000-000026020000}"/>
    <cellStyle name="20% - Accent1 2 22 2" xfId="19476" xr:uid="{00000000-0005-0000-0000-000027020000}"/>
    <cellStyle name="20% - Accent1 2 23" xfId="1066" xr:uid="{00000000-0005-0000-0000-000028020000}"/>
    <cellStyle name="20% - Accent1 2 23 2" xfId="19477" xr:uid="{00000000-0005-0000-0000-000029020000}"/>
    <cellStyle name="20% - Accent1 2 24" xfId="1067" xr:uid="{00000000-0005-0000-0000-00002A020000}"/>
    <cellStyle name="20% - Accent1 2 24 2" xfId="19478" xr:uid="{00000000-0005-0000-0000-00002B020000}"/>
    <cellStyle name="20% - Accent1 2 25" xfId="1068" xr:uid="{00000000-0005-0000-0000-00002C020000}"/>
    <cellStyle name="20% - Accent1 2 25 2" xfId="19479" xr:uid="{00000000-0005-0000-0000-00002D020000}"/>
    <cellStyle name="20% - Accent1 2 26" xfId="1069" xr:uid="{00000000-0005-0000-0000-00002E020000}"/>
    <cellStyle name="20% - Accent1 2 26 2" xfId="19480" xr:uid="{00000000-0005-0000-0000-00002F020000}"/>
    <cellStyle name="20% - Accent1 2 27" xfId="1070" xr:uid="{00000000-0005-0000-0000-000030020000}"/>
    <cellStyle name="20% - Accent1 2 27 2" xfId="19481" xr:uid="{00000000-0005-0000-0000-000031020000}"/>
    <cellStyle name="20% - Accent1 2 28" xfId="1071" xr:uid="{00000000-0005-0000-0000-000032020000}"/>
    <cellStyle name="20% - Accent1 2 28 2" xfId="19482" xr:uid="{00000000-0005-0000-0000-000033020000}"/>
    <cellStyle name="20% - Accent1 2 29" xfId="1072" xr:uid="{00000000-0005-0000-0000-000034020000}"/>
    <cellStyle name="20% - Accent1 2 29 2" xfId="19483" xr:uid="{00000000-0005-0000-0000-000035020000}"/>
    <cellStyle name="20% - Accent1 2 3" xfId="1073" xr:uid="{00000000-0005-0000-0000-000036020000}"/>
    <cellStyle name="20% - Accent1 2 3 2" xfId="19484" xr:uid="{00000000-0005-0000-0000-000037020000}"/>
    <cellStyle name="20% - Accent1 2 30" xfId="1074" xr:uid="{00000000-0005-0000-0000-000038020000}"/>
    <cellStyle name="20% - Accent1 2 30 2" xfId="19485" xr:uid="{00000000-0005-0000-0000-000039020000}"/>
    <cellStyle name="20% - Accent1 2 31" xfId="1075" xr:uid="{00000000-0005-0000-0000-00003A020000}"/>
    <cellStyle name="20% - Accent1 2 31 2" xfId="19486" xr:uid="{00000000-0005-0000-0000-00003B020000}"/>
    <cellStyle name="20% - Accent1 2 32" xfId="1076" xr:uid="{00000000-0005-0000-0000-00003C020000}"/>
    <cellStyle name="20% - Accent1 2 32 2" xfId="19487" xr:uid="{00000000-0005-0000-0000-00003D020000}"/>
    <cellStyle name="20% - Accent1 2 33" xfId="1077" xr:uid="{00000000-0005-0000-0000-00003E020000}"/>
    <cellStyle name="20% - Accent1 2 33 2" xfId="19488" xr:uid="{00000000-0005-0000-0000-00003F020000}"/>
    <cellStyle name="20% - Accent1 2 34" xfId="1078" xr:uid="{00000000-0005-0000-0000-000040020000}"/>
    <cellStyle name="20% - Accent1 2 34 2" xfId="19489" xr:uid="{00000000-0005-0000-0000-000041020000}"/>
    <cellStyle name="20% - Accent1 2 35" xfId="1079" xr:uid="{00000000-0005-0000-0000-000042020000}"/>
    <cellStyle name="20% - Accent1 2 35 2" xfId="19490" xr:uid="{00000000-0005-0000-0000-000043020000}"/>
    <cellStyle name="20% - Accent1 2 36" xfId="1080" xr:uid="{00000000-0005-0000-0000-000044020000}"/>
    <cellStyle name="20% - Accent1 2 36 2" xfId="19491" xr:uid="{00000000-0005-0000-0000-000045020000}"/>
    <cellStyle name="20% - Accent1 2 37" xfId="1081" xr:uid="{00000000-0005-0000-0000-000046020000}"/>
    <cellStyle name="20% - Accent1 2 37 2" xfId="19492" xr:uid="{00000000-0005-0000-0000-000047020000}"/>
    <cellStyle name="20% - Accent1 2 38" xfId="1082" xr:uid="{00000000-0005-0000-0000-000048020000}"/>
    <cellStyle name="20% - Accent1 2 38 2" xfId="19493" xr:uid="{00000000-0005-0000-0000-000049020000}"/>
    <cellStyle name="20% - Accent1 2 39" xfId="1083" xr:uid="{00000000-0005-0000-0000-00004A020000}"/>
    <cellStyle name="20% - Accent1 2 39 2" xfId="19494" xr:uid="{00000000-0005-0000-0000-00004B020000}"/>
    <cellStyle name="20% - Accent1 2 4" xfId="1084" xr:uid="{00000000-0005-0000-0000-00004C020000}"/>
    <cellStyle name="20% - Accent1 2 4 2" xfId="19495" xr:uid="{00000000-0005-0000-0000-00004D020000}"/>
    <cellStyle name="20% - Accent1 2 40" xfId="1085" xr:uid="{00000000-0005-0000-0000-00004E020000}"/>
    <cellStyle name="20% - Accent1 2 40 2" xfId="19496" xr:uid="{00000000-0005-0000-0000-00004F020000}"/>
    <cellStyle name="20% - Accent1 2 41" xfId="1086" xr:uid="{00000000-0005-0000-0000-000050020000}"/>
    <cellStyle name="20% - Accent1 2 41 2" xfId="19497" xr:uid="{00000000-0005-0000-0000-000051020000}"/>
    <cellStyle name="20% - Accent1 2 42" xfId="1087" xr:uid="{00000000-0005-0000-0000-000052020000}"/>
    <cellStyle name="20% - Accent1 2 42 2" xfId="19498" xr:uid="{00000000-0005-0000-0000-000053020000}"/>
    <cellStyle name="20% - Accent1 2 43" xfId="1088" xr:uid="{00000000-0005-0000-0000-000054020000}"/>
    <cellStyle name="20% - Accent1 2 43 2" xfId="19499" xr:uid="{00000000-0005-0000-0000-000055020000}"/>
    <cellStyle name="20% - Accent1 2 44" xfId="1089" xr:uid="{00000000-0005-0000-0000-000056020000}"/>
    <cellStyle name="20% - Accent1 2 44 2" xfId="19500" xr:uid="{00000000-0005-0000-0000-000057020000}"/>
    <cellStyle name="20% - Accent1 2 5" xfId="1090" xr:uid="{00000000-0005-0000-0000-000058020000}"/>
    <cellStyle name="20% - Accent1 2 5 2" xfId="19501" xr:uid="{00000000-0005-0000-0000-000059020000}"/>
    <cellStyle name="20% - Accent1 2 6" xfId="1091" xr:uid="{00000000-0005-0000-0000-00005A020000}"/>
    <cellStyle name="20% - Accent1 2 6 2" xfId="19502" xr:uid="{00000000-0005-0000-0000-00005B020000}"/>
    <cellStyle name="20% - Accent1 2 7" xfId="1092" xr:uid="{00000000-0005-0000-0000-00005C020000}"/>
    <cellStyle name="20% - Accent1 2 7 2" xfId="19503" xr:uid="{00000000-0005-0000-0000-00005D020000}"/>
    <cellStyle name="20% - Accent1 2 8" xfId="1093" xr:uid="{00000000-0005-0000-0000-00005E020000}"/>
    <cellStyle name="20% - Accent1 2 8 2" xfId="19504" xr:uid="{00000000-0005-0000-0000-00005F020000}"/>
    <cellStyle name="20% - Accent1 2 9" xfId="1094" xr:uid="{00000000-0005-0000-0000-000060020000}"/>
    <cellStyle name="20% - Accent1 2 9 2" xfId="19505" xr:uid="{00000000-0005-0000-0000-000061020000}"/>
    <cellStyle name="20% - Accent1 2_DATA Input" xfId="1095" xr:uid="{00000000-0005-0000-0000-000062020000}"/>
    <cellStyle name="20% - Accent1 20" xfId="1096" xr:uid="{00000000-0005-0000-0000-000063020000}"/>
    <cellStyle name="20% - Accent1 21" xfId="1097" xr:uid="{00000000-0005-0000-0000-000064020000}"/>
    <cellStyle name="20% - Accent1 22" xfId="1098" xr:uid="{00000000-0005-0000-0000-000065020000}"/>
    <cellStyle name="20% - Accent1 23" xfId="1099" xr:uid="{00000000-0005-0000-0000-000066020000}"/>
    <cellStyle name="20% - Accent1 24" xfId="1100" xr:uid="{00000000-0005-0000-0000-000067020000}"/>
    <cellStyle name="20% - Accent1 3" xfId="1101" xr:uid="{00000000-0005-0000-0000-000068020000}"/>
    <cellStyle name="20% - Accent1 3 10" xfId="1102" xr:uid="{00000000-0005-0000-0000-000069020000}"/>
    <cellStyle name="20% - Accent1 3 11" xfId="1103" xr:uid="{00000000-0005-0000-0000-00006A020000}"/>
    <cellStyle name="20% - Accent1 3 12" xfId="1104" xr:uid="{00000000-0005-0000-0000-00006B020000}"/>
    <cellStyle name="20% - Accent1 3 13" xfId="1105" xr:uid="{00000000-0005-0000-0000-00006C020000}"/>
    <cellStyle name="20% - Accent1 3 14" xfId="1106" xr:uid="{00000000-0005-0000-0000-00006D020000}"/>
    <cellStyle name="20% - Accent1 3 15" xfId="1107" xr:uid="{00000000-0005-0000-0000-00006E020000}"/>
    <cellStyle name="20% - Accent1 3 16" xfId="1108" xr:uid="{00000000-0005-0000-0000-00006F020000}"/>
    <cellStyle name="20% - Accent1 3 17" xfId="1109" xr:uid="{00000000-0005-0000-0000-000070020000}"/>
    <cellStyle name="20% - Accent1 3 18" xfId="1110" xr:uid="{00000000-0005-0000-0000-000071020000}"/>
    <cellStyle name="20% - Accent1 3 19" xfId="1111" xr:uid="{00000000-0005-0000-0000-000072020000}"/>
    <cellStyle name="20% - Accent1 3 2" xfId="1112" xr:uid="{00000000-0005-0000-0000-000073020000}"/>
    <cellStyle name="20% - Accent1 3 20" xfId="1113" xr:uid="{00000000-0005-0000-0000-000074020000}"/>
    <cellStyle name="20% - Accent1 3 21" xfId="1114" xr:uid="{00000000-0005-0000-0000-000075020000}"/>
    <cellStyle name="20% - Accent1 3 22" xfId="1115" xr:uid="{00000000-0005-0000-0000-000076020000}"/>
    <cellStyle name="20% - Accent1 3 23" xfId="1116" xr:uid="{00000000-0005-0000-0000-000077020000}"/>
    <cellStyle name="20% - Accent1 3 24" xfId="1117" xr:uid="{00000000-0005-0000-0000-000078020000}"/>
    <cellStyle name="20% - Accent1 3 25" xfId="1118" xr:uid="{00000000-0005-0000-0000-000079020000}"/>
    <cellStyle name="20% - Accent1 3 26" xfId="1119" xr:uid="{00000000-0005-0000-0000-00007A020000}"/>
    <cellStyle name="20% - Accent1 3 27" xfId="1120" xr:uid="{00000000-0005-0000-0000-00007B020000}"/>
    <cellStyle name="20% - Accent1 3 28" xfId="1121" xr:uid="{00000000-0005-0000-0000-00007C020000}"/>
    <cellStyle name="20% - Accent1 3 29" xfId="1122" xr:uid="{00000000-0005-0000-0000-00007D020000}"/>
    <cellStyle name="20% - Accent1 3 3" xfId="1123" xr:uid="{00000000-0005-0000-0000-00007E020000}"/>
    <cellStyle name="20% - Accent1 3 30" xfId="1124" xr:uid="{00000000-0005-0000-0000-00007F020000}"/>
    <cellStyle name="20% - Accent1 3 31" xfId="1125" xr:uid="{00000000-0005-0000-0000-000080020000}"/>
    <cellStyle name="20% - Accent1 3 32" xfId="1126" xr:uid="{00000000-0005-0000-0000-000081020000}"/>
    <cellStyle name="20% - Accent1 3 4" xfId="1127" xr:uid="{00000000-0005-0000-0000-000082020000}"/>
    <cellStyle name="20% - Accent1 3 5" xfId="1128" xr:uid="{00000000-0005-0000-0000-000083020000}"/>
    <cellStyle name="20% - Accent1 3 6" xfId="1129" xr:uid="{00000000-0005-0000-0000-000084020000}"/>
    <cellStyle name="20% - Accent1 3 7" xfId="1130" xr:uid="{00000000-0005-0000-0000-000085020000}"/>
    <cellStyle name="20% - Accent1 3 8" xfId="1131" xr:uid="{00000000-0005-0000-0000-000086020000}"/>
    <cellStyle name="20% - Accent1 3 9" xfId="1132" xr:uid="{00000000-0005-0000-0000-000087020000}"/>
    <cellStyle name="20% - Accent1 4" xfId="1133" xr:uid="{00000000-0005-0000-0000-000088020000}"/>
    <cellStyle name="20% - Accent1 5" xfId="1134" xr:uid="{00000000-0005-0000-0000-000089020000}"/>
    <cellStyle name="20% - Accent1 6" xfId="1135" xr:uid="{00000000-0005-0000-0000-00008A020000}"/>
    <cellStyle name="20% - Accent1 7" xfId="1136" xr:uid="{00000000-0005-0000-0000-00008B020000}"/>
    <cellStyle name="20% - Accent1 8" xfId="1137" xr:uid="{00000000-0005-0000-0000-00008C020000}"/>
    <cellStyle name="20% - Accent1 9" xfId="1138" xr:uid="{00000000-0005-0000-0000-00008D020000}"/>
    <cellStyle name="20% - Accent2 10" xfId="1139" xr:uid="{00000000-0005-0000-0000-00008E020000}"/>
    <cellStyle name="20% - Accent2 11" xfId="1140" xr:uid="{00000000-0005-0000-0000-00008F020000}"/>
    <cellStyle name="20% - Accent2 12" xfId="1141" xr:uid="{00000000-0005-0000-0000-000090020000}"/>
    <cellStyle name="20% - Accent2 13" xfId="1142" xr:uid="{00000000-0005-0000-0000-000091020000}"/>
    <cellStyle name="20% - Accent2 14" xfId="1143" xr:uid="{00000000-0005-0000-0000-000092020000}"/>
    <cellStyle name="20% - Accent2 15" xfId="1144" xr:uid="{00000000-0005-0000-0000-000093020000}"/>
    <cellStyle name="20% - Accent2 16" xfId="1145" xr:uid="{00000000-0005-0000-0000-000094020000}"/>
    <cellStyle name="20% - Accent2 17" xfId="1146" xr:uid="{00000000-0005-0000-0000-000095020000}"/>
    <cellStyle name="20% - Accent2 18" xfId="1147" xr:uid="{00000000-0005-0000-0000-000096020000}"/>
    <cellStyle name="20% - Accent2 19" xfId="1148" xr:uid="{00000000-0005-0000-0000-000097020000}"/>
    <cellStyle name="20% - Accent2 2" xfId="34" xr:uid="{00000000-0005-0000-0000-000098020000}"/>
    <cellStyle name="20% - Accent2 2 10" xfId="1149" xr:uid="{00000000-0005-0000-0000-000099020000}"/>
    <cellStyle name="20% - Accent2 2 10 2" xfId="19506" xr:uid="{00000000-0005-0000-0000-00009A020000}"/>
    <cellStyle name="20% - Accent2 2 11" xfId="1150" xr:uid="{00000000-0005-0000-0000-00009B020000}"/>
    <cellStyle name="20% - Accent2 2 11 2" xfId="19507" xr:uid="{00000000-0005-0000-0000-00009C020000}"/>
    <cellStyle name="20% - Accent2 2 12" xfId="1151" xr:uid="{00000000-0005-0000-0000-00009D020000}"/>
    <cellStyle name="20% - Accent2 2 12 2" xfId="19508" xr:uid="{00000000-0005-0000-0000-00009E020000}"/>
    <cellStyle name="20% - Accent2 2 13" xfId="1152" xr:uid="{00000000-0005-0000-0000-00009F020000}"/>
    <cellStyle name="20% - Accent2 2 13 2" xfId="19509" xr:uid="{00000000-0005-0000-0000-0000A0020000}"/>
    <cellStyle name="20% - Accent2 2 14" xfId="1153" xr:uid="{00000000-0005-0000-0000-0000A1020000}"/>
    <cellStyle name="20% - Accent2 2 14 2" xfId="19510" xr:uid="{00000000-0005-0000-0000-0000A2020000}"/>
    <cellStyle name="20% - Accent2 2 15" xfId="1154" xr:uid="{00000000-0005-0000-0000-0000A3020000}"/>
    <cellStyle name="20% - Accent2 2 15 2" xfId="19511" xr:uid="{00000000-0005-0000-0000-0000A4020000}"/>
    <cellStyle name="20% - Accent2 2 16" xfId="1155" xr:uid="{00000000-0005-0000-0000-0000A5020000}"/>
    <cellStyle name="20% - Accent2 2 16 2" xfId="19512" xr:uid="{00000000-0005-0000-0000-0000A6020000}"/>
    <cellStyle name="20% - Accent2 2 17" xfId="1156" xr:uid="{00000000-0005-0000-0000-0000A7020000}"/>
    <cellStyle name="20% - Accent2 2 17 2" xfId="19513" xr:uid="{00000000-0005-0000-0000-0000A8020000}"/>
    <cellStyle name="20% - Accent2 2 18" xfId="1157" xr:uid="{00000000-0005-0000-0000-0000A9020000}"/>
    <cellStyle name="20% - Accent2 2 18 2" xfId="19514" xr:uid="{00000000-0005-0000-0000-0000AA020000}"/>
    <cellStyle name="20% - Accent2 2 19" xfId="1158" xr:uid="{00000000-0005-0000-0000-0000AB020000}"/>
    <cellStyle name="20% - Accent2 2 19 2" xfId="19515" xr:uid="{00000000-0005-0000-0000-0000AC020000}"/>
    <cellStyle name="20% - Accent2 2 2" xfId="1159" xr:uid="{00000000-0005-0000-0000-0000AD020000}"/>
    <cellStyle name="20% - Accent2 2 2 10" xfId="1160" xr:uid="{00000000-0005-0000-0000-0000AE020000}"/>
    <cellStyle name="20% - Accent2 2 2 10 2" xfId="19517" xr:uid="{00000000-0005-0000-0000-0000AF020000}"/>
    <cellStyle name="20% - Accent2 2 2 11" xfId="1161" xr:uid="{00000000-0005-0000-0000-0000B0020000}"/>
    <cellStyle name="20% - Accent2 2 2 11 2" xfId="19518" xr:uid="{00000000-0005-0000-0000-0000B1020000}"/>
    <cellStyle name="20% - Accent2 2 2 12" xfId="1162" xr:uid="{00000000-0005-0000-0000-0000B2020000}"/>
    <cellStyle name="20% - Accent2 2 2 12 2" xfId="19519" xr:uid="{00000000-0005-0000-0000-0000B3020000}"/>
    <cellStyle name="20% - Accent2 2 2 13" xfId="1163" xr:uid="{00000000-0005-0000-0000-0000B4020000}"/>
    <cellStyle name="20% - Accent2 2 2 13 2" xfId="19520" xr:uid="{00000000-0005-0000-0000-0000B5020000}"/>
    <cellStyle name="20% - Accent2 2 2 14" xfId="1164" xr:uid="{00000000-0005-0000-0000-0000B6020000}"/>
    <cellStyle name="20% - Accent2 2 2 14 2" xfId="19521" xr:uid="{00000000-0005-0000-0000-0000B7020000}"/>
    <cellStyle name="20% - Accent2 2 2 15" xfId="1165" xr:uid="{00000000-0005-0000-0000-0000B8020000}"/>
    <cellStyle name="20% - Accent2 2 2 15 2" xfId="19522" xr:uid="{00000000-0005-0000-0000-0000B9020000}"/>
    <cellStyle name="20% - Accent2 2 2 16" xfId="1166" xr:uid="{00000000-0005-0000-0000-0000BA020000}"/>
    <cellStyle name="20% - Accent2 2 2 16 2" xfId="19523" xr:uid="{00000000-0005-0000-0000-0000BB020000}"/>
    <cellStyle name="20% - Accent2 2 2 17" xfId="1167" xr:uid="{00000000-0005-0000-0000-0000BC020000}"/>
    <cellStyle name="20% - Accent2 2 2 17 2" xfId="19524" xr:uid="{00000000-0005-0000-0000-0000BD020000}"/>
    <cellStyle name="20% - Accent2 2 2 18" xfId="1168" xr:uid="{00000000-0005-0000-0000-0000BE020000}"/>
    <cellStyle name="20% - Accent2 2 2 18 2" xfId="19525" xr:uid="{00000000-0005-0000-0000-0000BF020000}"/>
    <cellStyle name="20% - Accent2 2 2 19" xfId="1169" xr:uid="{00000000-0005-0000-0000-0000C0020000}"/>
    <cellStyle name="20% - Accent2 2 2 19 2" xfId="19526" xr:uid="{00000000-0005-0000-0000-0000C1020000}"/>
    <cellStyle name="20% - Accent2 2 2 2" xfId="1170" xr:uid="{00000000-0005-0000-0000-0000C2020000}"/>
    <cellStyle name="20% - Accent2 2 2 2 2" xfId="19527" xr:uid="{00000000-0005-0000-0000-0000C3020000}"/>
    <cellStyle name="20% - Accent2 2 2 20" xfId="1171" xr:uid="{00000000-0005-0000-0000-0000C4020000}"/>
    <cellStyle name="20% - Accent2 2 2 20 2" xfId="19528" xr:uid="{00000000-0005-0000-0000-0000C5020000}"/>
    <cellStyle name="20% - Accent2 2 2 21" xfId="1172" xr:uid="{00000000-0005-0000-0000-0000C6020000}"/>
    <cellStyle name="20% - Accent2 2 2 21 2" xfId="19529" xr:uid="{00000000-0005-0000-0000-0000C7020000}"/>
    <cellStyle name="20% - Accent2 2 2 22" xfId="1173" xr:uid="{00000000-0005-0000-0000-0000C8020000}"/>
    <cellStyle name="20% - Accent2 2 2 22 2" xfId="19530" xr:uid="{00000000-0005-0000-0000-0000C9020000}"/>
    <cellStyle name="20% - Accent2 2 2 23" xfId="1174" xr:uid="{00000000-0005-0000-0000-0000CA020000}"/>
    <cellStyle name="20% - Accent2 2 2 23 2" xfId="19531" xr:uid="{00000000-0005-0000-0000-0000CB020000}"/>
    <cellStyle name="20% - Accent2 2 2 24" xfId="1175" xr:uid="{00000000-0005-0000-0000-0000CC020000}"/>
    <cellStyle name="20% - Accent2 2 2 24 2" xfId="19532" xr:uid="{00000000-0005-0000-0000-0000CD020000}"/>
    <cellStyle name="20% - Accent2 2 2 25" xfId="1176" xr:uid="{00000000-0005-0000-0000-0000CE020000}"/>
    <cellStyle name="20% - Accent2 2 2 25 2" xfId="19533" xr:uid="{00000000-0005-0000-0000-0000CF020000}"/>
    <cellStyle name="20% - Accent2 2 2 26" xfId="1177" xr:uid="{00000000-0005-0000-0000-0000D0020000}"/>
    <cellStyle name="20% - Accent2 2 2 26 2" xfId="19534" xr:uid="{00000000-0005-0000-0000-0000D1020000}"/>
    <cellStyle name="20% - Accent2 2 2 27" xfId="1178" xr:uid="{00000000-0005-0000-0000-0000D2020000}"/>
    <cellStyle name="20% - Accent2 2 2 27 2" xfId="19535" xr:uid="{00000000-0005-0000-0000-0000D3020000}"/>
    <cellStyle name="20% - Accent2 2 2 28" xfId="1179" xr:uid="{00000000-0005-0000-0000-0000D4020000}"/>
    <cellStyle name="20% - Accent2 2 2 28 2" xfId="19536" xr:uid="{00000000-0005-0000-0000-0000D5020000}"/>
    <cellStyle name="20% - Accent2 2 2 29" xfId="1180" xr:uid="{00000000-0005-0000-0000-0000D6020000}"/>
    <cellStyle name="20% - Accent2 2 2 29 2" xfId="19537" xr:uid="{00000000-0005-0000-0000-0000D7020000}"/>
    <cellStyle name="20% - Accent2 2 2 3" xfId="1181" xr:uid="{00000000-0005-0000-0000-0000D8020000}"/>
    <cellStyle name="20% - Accent2 2 2 3 2" xfId="19538" xr:uid="{00000000-0005-0000-0000-0000D9020000}"/>
    <cellStyle name="20% - Accent2 2 2 30" xfId="1182" xr:uid="{00000000-0005-0000-0000-0000DA020000}"/>
    <cellStyle name="20% - Accent2 2 2 30 2" xfId="19539" xr:uid="{00000000-0005-0000-0000-0000DB020000}"/>
    <cellStyle name="20% - Accent2 2 2 31" xfId="1183" xr:uid="{00000000-0005-0000-0000-0000DC020000}"/>
    <cellStyle name="20% - Accent2 2 2 31 2" xfId="19540" xr:uid="{00000000-0005-0000-0000-0000DD020000}"/>
    <cellStyle name="20% - Accent2 2 2 32" xfId="1184" xr:uid="{00000000-0005-0000-0000-0000DE020000}"/>
    <cellStyle name="20% - Accent2 2 2 32 2" xfId="19541" xr:uid="{00000000-0005-0000-0000-0000DF020000}"/>
    <cellStyle name="20% - Accent2 2 2 33" xfId="1185" xr:uid="{00000000-0005-0000-0000-0000E0020000}"/>
    <cellStyle name="20% - Accent2 2 2 33 2" xfId="19542" xr:uid="{00000000-0005-0000-0000-0000E1020000}"/>
    <cellStyle name="20% - Accent2 2 2 34" xfId="1186" xr:uid="{00000000-0005-0000-0000-0000E2020000}"/>
    <cellStyle name="20% - Accent2 2 2 34 2" xfId="19543" xr:uid="{00000000-0005-0000-0000-0000E3020000}"/>
    <cellStyle name="20% - Accent2 2 2 35" xfId="1187" xr:uid="{00000000-0005-0000-0000-0000E4020000}"/>
    <cellStyle name="20% - Accent2 2 2 35 2" xfId="19544" xr:uid="{00000000-0005-0000-0000-0000E5020000}"/>
    <cellStyle name="20% - Accent2 2 2 36" xfId="1188" xr:uid="{00000000-0005-0000-0000-0000E6020000}"/>
    <cellStyle name="20% - Accent2 2 2 36 2" xfId="19545" xr:uid="{00000000-0005-0000-0000-0000E7020000}"/>
    <cellStyle name="20% - Accent2 2 2 37" xfId="1189" xr:uid="{00000000-0005-0000-0000-0000E8020000}"/>
    <cellStyle name="20% - Accent2 2 2 37 2" xfId="19546" xr:uid="{00000000-0005-0000-0000-0000E9020000}"/>
    <cellStyle name="20% - Accent2 2 2 38" xfId="1190" xr:uid="{00000000-0005-0000-0000-0000EA020000}"/>
    <cellStyle name="20% - Accent2 2 2 38 2" xfId="19547" xr:uid="{00000000-0005-0000-0000-0000EB020000}"/>
    <cellStyle name="20% - Accent2 2 2 39" xfId="1191" xr:uid="{00000000-0005-0000-0000-0000EC020000}"/>
    <cellStyle name="20% - Accent2 2 2 39 2" xfId="19548" xr:uid="{00000000-0005-0000-0000-0000ED020000}"/>
    <cellStyle name="20% - Accent2 2 2 4" xfId="1192" xr:uid="{00000000-0005-0000-0000-0000EE020000}"/>
    <cellStyle name="20% - Accent2 2 2 4 2" xfId="19549" xr:uid="{00000000-0005-0000-0000-0000EF020000}"/>
    <cellStyle name="20% - Accent2 2 2 40" xfId="1193" xr:uid="{00000000-0005-0000-0000-0000F0020000}"/>
    <cellStyle name="20% - Accent2 2 2 40 2" xfId="19550" xr:uid="{00000000-0005-0000-0000-0000F1020000}"/>
    <cellStyle name="20% - Accent2 2 2 41" xfId="1194" xr:uid="{00000000-0005-0000-0000-0000F2020000}"/>
    <cellStyle name="20% - Accent2 2 2 41 2" xfId="19551" xr:uid="{00000000-0005-0000-0000-0000F3020000}"/>
    <cellStyle name="20% - Accent2 2 2 42" xfId="1195" xr:uid="{00000000-0005-0000-0000-0000F4020000}"/>
    <cellStyle name="20% - Accent2 2 2 42 2" xfId="19552" xr:uid="{00000000-0005-0000-0000-0000F5020000}"/>
    <cellStyle name="20% - Accent2 2 2 43" xfId="19516" xr:uid="{00000000-0005-0000-0000-0000F6020000}"/>
    <cellStyle name="20% - Accent2 2 2 5" xfId="1196" xr:uid="{00000000-0005-0000-0000-0000F7020000}"/>
    <cellStyle name="20% - Accent2 2 2 5 2" xfId="19553" xr:uid="{00000000-0005-0000-0000-0000F8020000}"/>
    <cellStyle name="20% - Accent2 2 2 6" xfId="1197" xr:uid="{00000000-0005-0000-0000-0000F9020000}"/>
    <cellStyle name="20% - Accent2 2 2 6 2" xfId="19554" xr:uid="{00000000-0005-0000-0000-0000FA020000}"/>
    <cellStyle name="20% - Accent2 2 2 7" xfId="1198" xr:uid="{00000000-0005-0000-0000-0000FB020000}"/>
    <cellStyle name="20% - Accent2 2 2 7 2" xfId="19555" xr:uid="{00000000-0005-0000-0000-0000FC020000}"/>
    <cellStyle name="20% - Accent2 2 2 8" xfId="1199" xr:uid="{00000000-0005-0000-0000-0000FD020000}"/>
    <cellStyle name="20% - Accent2 2 2 8 2" xfId="19556" xr:uid="{00000000-0005-0000-0000-0000FE020000}"/>
    <cellStyle name="20% - Accent2 2 2 9" xfId="1200" xr:uid="{00000000-0005-0000-0000-0000FF020000}"/>
    <cellStyle name="20% - Accent2 2 2 9 2" xfId="19557" xr:uid="{00000000-0005-0000-0000-000000030000}"/>
    <cellStyle name="20% - Accent2 2 2_DATA Input" xfId="1201" xr:uid="{00000000-0005-0000-0000-000001030000}"/>
    <cellStyle name="20% - Accent2 2 20" xfId="1202" xr:uid="{00000000-0005-0000-0000-000002030000}"/>
    <cellStyle name="20% - Accent2 2 20 2" xfId="19558" xr:uid="{00000000-0005-0000-0000-000003030000}"/>
    <cellStyle name="20% - Accent2 2 21" xfId="1203" xr:uid="{00000000-0005-0000-0000-000004030000}"/>
    <cellStyle name="20% - Accent2 2 21 2" xfId="19559" xr:uid="{00000000-0005-0000-0000-000005030000}"/>
    <cellStyle name="20% - Accent2 2 22" xfId="1204" xr:uid="{00000000-0005-0000-0000-000006030000}"/>
    <cellStyle name="20% - Accent2 2 22 2" xfId="19560" xr:uid="{00000000-0005-0000-0000-000007030000}"/>
    <cellStyle name="20% - Accent2 2 23" xfId="1205" xr:uid="{00000000-0005-0000-0000-000008030000}"/>
    <cellStyle name="20% - Accent2 2 23 2" xfId="19561" xr:uid="{00000000-0005-0000-0000-000009030000}"/>
    <cellStyle name="20% - Accent2 2 24" xfId="1206" xr:uid="{00000000-0005-0000-0000-00000A030000}"/>
    <cellStyle name="20% - Accent2 2 24 2" xfId="19562" xr:uid="{00000000-0005-0000-0000-00000B030000}"/>
    <cellStyle name="20% - Accent2 2 25" xfId="1207" xr:uid="{00000000-0005-0000-0000-00000C030000}"/>
    <cellStyle name="20% - Accent2 2 25 2" xfId="19563" xr:uid="{00000000-0005-0000-0000-00000D030000}"/>
    <cellStyle name="20% - Accent2 2 26" xfId="1208" xr:uid="{00000000-0005-0000-0000-00000E030000}"/>
    <cellStyle name="20% - Accent2 2 26 2" xfId="19564" xr:uid="{00000000-0005-0000-0000-00000F030000}"/>
    <cellStyle name="20% - Accent2 2 27" xfId="1209" xr:uid="{00000000-0005-0000-0000-000010030000}"/>
    <cellStyle name="20% - Accent2 2 27 2" xfId="19565" xr:uid="{00000000-0005-0000-0000-000011030000}"/>
    <cellStyle name="20% - Accent2 2 28" xfId="1210" xr:uid="{00000000-0005-0000-0000-000012030000}"/>
    <cellStyle name="20% - Accent2 2 28 2" xfId="19566" xr:uid="{00000000-0005-0000-0000-000013030000}"/>
    <cellStyle name="20% - Accent2 2 29" xfId="1211" xr:uid="{00000000-0005-0000-0000-000014030000}"/>
    <cellStyle name="20% - Accent2 2 29 2" xfId="19567" xr:uid="{00000000-0005-0000-0000-000015030000}"/>
    <cellStyle name="20% - Accent2 2 3" xfId="1212" xr:uid="{00000000-0005-0000-0000-000016030000}"/>
    <cellStyle name="20% - Accent2 2 3 2" xfId="19568" xr:uid="{00000000-0005-0000-0000-000017030000}"/>
    <cellStyle name="20% - Accent2 2 30" xfId="1213" xr:uid="{00000000-0005-0000-0000-000018030000}"/>
    <cellStyle name="20% - Accent2 2 30 2" xfId="19569" xr:uid="{00000000-0005-0000-0000-000019030000}"/>
    <cellStyle name="20% - Accent2 2 31" xfId="1214" xr:uid="{00000000-0005-0000-0000-00001A030000}"/>
    <cellStyle name="20% - Accent2 2 31 2" xfId="19570" xr:uid="{00000000-0005-0000-0000-00001B030000}"/>
    <cellStyle name="20% - Accent2 2 32" xfId="1215" xr:uid="{00000000-0005-0000-0000-00001C030000}"/>
    <cellStyle name="20% - Accent2 2 32 2" xfId="19571" xr:uid="{00000000-0005-0000-0000-00001D030000}"/>
    <cellStyle name="20% - Accent2 2 33" xfId="1216" xr:uid="{00000000-0005-0000-0000-00001E030000}"/>
    <cellStyle name="20% - Accent2 2 33 2" xfId="19572" xr:uid="{00000000-0005-0000-0000-00001F030000}"/>
    <cellStyle name="20% - Accent2 2 34" xfId="1217" xr:uid="{00000000-0005-0000-0000-000020030000}"/>
    <cellStyle name="20% - Accent2 2 34 2" xfId="19573" xr:uid="{00000000-0005-0000-0000-000021030000}"/>
    <cellStyle name="20% - Accent2 2 35" xfId="1218" xr:uid="{00000000-0005-0000-0000-000022030000}"/>
    <cellStyle name="20% - Accent2 2 35 2" xfId="19574" xr:uid="{00000000-0005-0000-0000-000023030000}"/>
    <cellStyle name="20% - Accent2 2 36" xfId="1219" xr:uid="{00000000-0005-0000-0000-000024030000}"/>
    <cellStyle name="20% - Accent2 2 36 2" xfId="19575" xr:uid="{00000000-0005-0000-0000-000025030000}"/>
    <cellStyle name="20% - Accent2 2 37" xfId="1220" xr:uid="{00000000-0005-0000-0000-000026030000}"/>
    <cellStyle name="20% - Accent2 2 37 2" xfId="19576" xr:uid="{00000000-0005-0000-0000-000027030000}"/>
    <cellStyle name="20% - Accent2 2 38" xfId="1221" xr:uid="{00000000-0005-0000-0000-000028030000}"/>
    <cellStyle name="20% - Accent2 2 38 2" xfId="19577" xr:uid="{00000000-0005-0000-0000-000029030000}"/>
    <cellStyle name="20% - Accent2 2 39" xfId="1222" xr:uid="{00000000-0005-0000-0000-00002A030000}"/>
    <cellStyle name="20% - Accent2 2 39 2" xfId="19578" xr:uid="{00000000-0005-0000-0000-00002B030000}"/>
    <cellStyle name="20% - Accent2 2 4" xfId="1223" xr:uid="{00000000-0005-0000-0000-00002C030000}"/>
    <cellStyle name="20% - Accent2 2 4 2" xfId="19579" xr:uid="{00000000-0005-0000-0000-00002D030000}"/>
    <cellStyle name="20% - Accent2 2 40" xfId="1224" xr:uid="{00000000-0005-0000-0000-00002E030000}"/>
    <cellStyle name="20% - Accent2 2 40 2" xfId="19580" xr:uid="{00000000-0005-0000-0000-00002F030000}"/>
    <cellStyle name="20% - Accent2 2 41" xfId="1225" xr:uid="{00000000-0005-0000-0000-000030030000}"/>
    <cellStyle name="20% - Accent2 2 41 2" xfId="19581" xr:uid="{00000000-0005-0000-0000-000031030000}"/>
    <cellStyle name="20% - Accent2 2 42" xfId="1226" xr:uid="{00000000-0005-0000-0000-000032030000}"/>
    <cellStyle name="20% - Accent2 2 42 2" xfId="19582" xr:uid="{00000000-0005-0000-0000-000033030000}"/>
    <cellStyle name="20% - Accent2 2 43" xfId="1227" xr:uid="{00000000-0005-0000-0000-000034030000}"/>
    <cellStyle name="20% - Accent2 2 43 2" xfId="19583" xr:uid="{00000000-0005-0000-0000-000035030000}"/>
    <cellStyle name="20% - Accent2 2 44" xfId="1228" xr:uid="{00000000-0005-0000-0000-000036030000}"/>
    <cellStyle name="20% - Accent2 2 44 2" xfId="19584" xr:uid="{00000000-0005-0000-0000-000037030000}"/>
    <cellStyle name="20% - Accent2 2 5" xfId="1229" xr:uid="{00000000-0005-0000-0000-000038030000}"/>
    <cellStyle name="20% - Accent2 2 5 2" xfId="19585" xr:uid="{00000000-0005-0000-0000-000039030000}"/>
    <cellStyle name="20% - Accent2 2 6" xfId="1230" xr:uid="{00000000-0005-0000-0000-00003A030000}"/>
    <cellStyle name="20% - Accent2 2 6 2" xfId="19586" xr:uid="{00000000-0005-0000-0000-00003B030000}"/>
    <cellStyle name="20% - Accent2 2 7" xfId="1231" xr:uid="{00000000-0005-0000-0000-00003C030000}"/>
    <cellStyle name="20% - Accent2 2 7 2" xfId="19587" xr:uid="{00000000-0005-0000-0000-00003D030000}"/>
    <cellStyle name="20% - Accent2 2 8" xfId="1232" xr:uid="{00000000-0005-0000-0000-00003E030000}"/>
    <cellStyle name="20% - Accent2 2 8 2" xfId="19588" xr:uid="{00000000-0005-0000-0000-00003F030000}"/>
    <cellStyle name="20% - Accent2 2 9" xfId="1233" xr:uid="{00000000-0005-0000-0000-000040030000}"/>
    <cellStyle name="20% - Accent2 2 9 2" xfId="19589" xr:uid="{00000000-0005-0000-0000-000041030000}"/>
    <cellStyle name="20% - Accent2 2_DATA Input" xfId="1234" xr:uid="{00000000-0005-0000-0000-000042030000}"/>
    <cellStyle name="20% - Accent2 20" xfId="1235" xr:uid="{00000000-0005-0000-0000-000043030000}"/>
    <cellStyle name="20% - Accent2 21" xfId="1236" xr:uid="{00000000-0005-0000-0000-000044030000}"/>
    <cellStyle name="20% - Accent2 22" xfId="1237" xr:uid="{00000000-0005-0000-0000-000045030000}"/>
    <cellStyle name="20% - Accent2 23" xfId="1238" xr:uid="{00000000-0005-0000-0000-000046030000}"/>
    <cellStyle name="20% - Accent2 24" xfId="1239" xr:uid="{00000000-0005-0000-0000-000047030000}"/>
    <cellStyle name="20% - Accent2 3" xfId="1240" xr:uid="{00000000-0005-0000-0000-000048030000}"/>
    <cellStyle name="20% - Accent2 3 10" xfId="1241" xr:uid="{00000000-0005-0000-0000-000049030000}"/>
    <cellStyle name="20% - Accent2 3 11" xfId="1242" xr:uid="{00000000-0005-0000-0000-00004A030000}"/>
    <cellStyle name="20% - Accent2 3 12" xfId="1243" xr:uid="{00000000-0005-0000-0000-00004B030000}"/>
    <cellStyle name="20% - Accent2 3 13" xfId="1244" xr:uid="{00000000-0005-0000-0000-00004C030000}"/>
    <cellStyle name="20% - Accent2 3 14" xfId="1245" xr:uid="{00000000-0005-0000-0000-00004D030000}"/>
    <cellStyle name="20% - Accent2 3 15" xfId="1246" xr:uid="{00000000-0005-0000-0000-00004E030000}"/>
    <cellStyle name="20% - Accent2 3 16" xfId="1247" xr:uid="{00000000-0005-0000-0000-00004F030000}"/>
    <cellStyle name="20% - Accent2 3 17" xfId="1248" xr:uid="{00000000-0005-0000-0000-000050030000}"/>
    <cellStyle name="20% - Accent2 3 18" xfId="1249" xr:uid="{00000000-0005-0000-0000-000051030000}"/>
    <cellStyle name="20% - Accent2 3 19" xfId="1250" xr:uid="{00000000-0005-0000-0000-000052030000}"/>
    <cellStyle name="20% - Accent2 3 2" xfId="1251" xr:uid="{00000000-0005-0000-0000-000053030000}"/>
    <cellStyle name="20% - Accent2 3 20" xfId="1252" xr:uid="{00000000-0005-0000-0000-000054030000}"/>
    <cellStyle name="20% - Accent2 3 21" xfId="1253" xr:uid="{00000000-0005-0000-0000-000055030000}"/>
    <cellStyle name="20% - Accent2 3 22" xfId="1254" xr:uid="{00000000-0005-0000-0000-000056030000}"/>
    <cellStyle name="20% - Accent2 3 23" xfId="1255" xr:uid="{00000000-0005-0000-0000-000057030000}"/>
    <cellStyle name="20% - Accent2 3 24" xfId="1256" xr:uid="{00000000-0005-0000-0000-000058030000}"/>
    <cellStyle name="20% - Accent2 3 25" xfId="1257" xr:uid="{00000000-0005-0000-0000-000059030000}"/>
    <cellStyle name="20% - Accent2 3 26" xfId="1258" xr:uid="{00000000-0005-0000-0000-00005A030000}"/>
    <cellStyle name="20% - Accent2 3 27" xfId="1259" xr:uid="{00000000-0005-0000-0000-00005B030000}"/>
    <cellStyle name="20% - Accent2 3 28" xfId="1260" xr:uid="{00000000-0005-0000-0000-00005C030000}"/>
    <cellStyle name="20% - Accent2 3 29" xfId="1261" xr:uid="{00000000-0005-0000-0000-00005D030000}"/>
    <cellStyle name="20% - Accent2 3 3" xfId="1262" xr:uid="{00000000-0005-0000-0000-00005E030000}"/>
    <cellStyle name="20% - Accent2 3 30" xfId="1263" xr:uid="{00000000-0005-0000-0000-00005F030000}"/>
    <cellStyle name="20% - Accent2 3 31" xfId="1264" xr:uid="{00000000-0005-0000-0000-000060030000}"/>
    <cellStyle name="20% - Accent2 3 32" xfId="1265" xr:uid="{00000000-0005-0000-0000-000061030000}"/>
    <cellStyle name="20% - Accent2 3 4" xfId="1266" xr:uid="{00000000-0005-0000-0000-000062030000}"/>
    <cellStyle name="20% - Accent2 3 5" xfId="1267" xr:uid="{00000000-0005-0000-0000-000063030000}"/>
    <cellStyle name="20% - Accent2 3 6" xfId="1268" xr:uid="{00000000-0005-0000-0000-000064030000}"/>
    <cellStyle name="20% - Accent2 3 7" xfId="1269" xr:uid="{00000000-0005-0000-0000-000065030000}"/>
    <cellStyle name="20% - Accent2 3 8" xfId="1270" xr:uid="{00000000-0005-0000-0000-000066030000}"/>
    <cellStyle name="20% - Accent2 3 9" xfId="1271" xr:uid="{00000000-0005-0000-0000-000067030000}"/>
    <cellStyle name="20% - Accent2 4" xfId="1272" xr:uid="{00000000-0005-0000-0000-000068030000}"/>
    <cellStyle name="20% - Accent2 5" xfId="1273" xr:uid="{00000000-0005-0000-0000-000069030000}"/>
    <cellStyle name="20% - Accent2 6" xfId="1274" xr:uid="{00000000-0005-0000-0000-00006A030000}"/>
    <cellStyle name="20% - Accent2 7" xfId="1275" xr:uid="{00000000-0005-0000-0000-00006B030000}"/>
    <cellStyle name="20% - Accent2 8" xfId="1276" xr:uid="{00000000-0005-0000-0000-00006C030000}"/>
    <cellStyle name="20% - Accent2 9" xfId="1277" xr:uid="{00000000-0005-0000-0000-00006D030000}"/>
    <cellStyle name="20% - Accent3 10" xfId="1278" xr:uid="{00000000-0005-0000-0000-00006E030000}"/>
    <cellStyle name="20% - Accent3 11" xfId="1279" xr:uid="{00000000-0005-0000-0000-00006F030000}"/>
    <cellStyle name="20% - Accent3 12" xfId="1280" xr:uid="{00000000-0005-0000-0000-000070030000}"/>
    <cellStyle name="20% - Accent3 13" xfId="1281" xr:uid="{00000000-0005-0000-0000-000071030000}"/>
    <cellStyle name="20% - Accent3 14" xfId="1282" xr:uid="{00000000-0005-0000-0000-000072030000}"/>
    <cellStyle name="20% - Accent3 15" xfId="1283" xr:uid="{00000000-0005-0000-0000-000073030000}"/>
    <cellStyle name="20% - Accent3 16" xfId="1284" xr:uid="{00000000-0005-0000-0000-000074030000}"/>
    <cellStyle name="20% - Accent3 17" xfId="1285" xr:uid="{00000000-0005-0000-0000-000075030000}"/>
    <cellStyle name="20% - Accent3 18" xfId="1286" xr:uid="{00000000-0005-0000-0000-000076030000}"/>
    <cellStyle name="20% - Accent3 19" xfId="1287" xr:uid="{00000000-0005-0000-0000-000077030000}"/>
    <cellStyle name="20% - Accent3 2" xfId="35" xr:uid="{00000000-0005-0000-0000-000078030000}"/>
    <cellStyle name="20% - Accent3 2 10" xfId="1288" xr:uid="{00000000-0005-0000-0000-000079030000}"/>
    <cellStyle name="20% - Accent3 2 10 2" xfId="19590" xr:uid="{00000000-0005-0000-0000-00007A030000}"/>
    <cellStyle name="20% - Accent3 2 11" xfId="1289" xr:uid="{00000000-0005-0000-0000-00007B030000}"/>
    <cellStyle name="20% - Accent3 2 11 2" xfId="19591" xr:uid="{00000000-0005-0000-0000-00007C030000}"/>
    <cellStyle name="20% - Accent3 2 12" xfId="1290" xr:uid="{00000000-0005-0000-0000-00007D030000}"/>
    <cellStyle name="20% - Accent3 2 12 2" xfId="19592" xr:uid="{00000000-0005-0000-0000-00007E030000}"/>
    <cellStyle name="20% - Accent3 2 13" xfId="1291" xr:uid="{00000000-0005-0000-0000-00007F030000}"/>
    <cellStyle name="20% - Accent3 2 13 2" xfId="19593" xr:uid="{00000000-0005-0000-0000-000080030000}"/>
    <cellStyle name="20% - Accent3 2 14" xfId="1292" xr:uid="{00000000-0005-0000-0000-000081030000}"/>
    <cellStyle name="20% - Accent3 2 14 2" xfId="19594" xr:uid="{00000000-0005-0000-0000-000082030000}"/>
    <cellStyle name="20% - Accent3 2 15" xfId="1293" xr:uid="{00000000-0005-0000-0000-000083030000}"/>
    <cellStyle name="20% - Accent3 2 15 2" xfId="19595" xr:uid="{00000000-0005-0000-0000-000084030000}"/>
    <cellStyle name="20% - Accent3 2 16" xfId="1294" xr:uid="{00000000-0005-0000-0000-000085030000}"/>
    <cellStyle name="20% - Accent3 2 16 2" xfId="19596" xr:uid="{00000000-0005-0000-0000-000086030000}"/>
    <cellStyle name="20% - Accent3 2 17" xfId="1295" xr:uid="{00000000-0005-0000-0000-000087030000}"/>
    <cellStyle name="20% - Accent3 2 17 2" xfId="19597" xr:uid="{00000000-0005-0000-0000-000088030000}"/>
    <cellStyle name="20% - Accent3 2 18" xfId="1296" xr:uid="{00000000-0005-0000-0000-000089030000}"/>
    <cellStyle name="20% - Accent3 2 18 2" xfId="19598" xr:uid="{00000000-0005-0000-0000-00008A030000}"/>
    <cellStyle name="20% - Accent3 2 19" xfId="1297" xr:uid="{00000000-0005-0000-0000-00008B030000}"/>
    <cellStyle name="20% - Accent3 2 19 2" xfId="19599" xr:uid="{00000000-0005-0000-0000-00008C030000}"/>
    <cellStyle name="20% - Accent3 2 2" xfId="1298" xr:uid="{00000000-0005-0000-0000-00008D030000}"/>
    <cellStyle name="20% - Accent3 2 2 10" xfId="1299" xr:uid="{00000000-0005-0000-0000-00008E030000}"/>
    <cellStyle name="20% - Accent3 2 2 10 2" xfId="19601" xr:uid="{00000000-0005-0000-0000-00008F030000}"/>
    <cellStyle name="20% - Accent3 2 2 11" xfId="1300" xr:uid="{00000000-0005-0000-0000-000090030000}"/>
    <cellStyle name="20% - Accent3 2 2 11 2" xfId="19602" xr:uid="{00000000-0005-0000-0000-000091030000}"/>
    <cellStyle name="20% - Accent3 2 2 12" xfId="1301" xr:uid="{00000000-0005-0000-0000-000092030000}"/>
    <cellStyle name="20% - Accent3 2 2 12 2" xfId="19603" xr:uid="{00000000-0005-0000-0000-000093030000}"/>
    <cellStyle name="20% - Accent3 2 2 13" xfId="1302" xr:uid="{00000000-0005-0000-0000-000094030000}"/>
    <cellStyle name="20% - Accent3 2 2 13 2" xfId="19604" xr:uid="{00000000-0005-0000-0000-000095030000}"/>
    <cellStyle name="20% - Accent3 2 2 14" xfId="1303" xr:uid="{00000000-0005-0000-0000-000096030000}"/>
    <cellStyle name="20% - Accent3 2 2 14 2" xfId="19605" xr:uid="{00000000-0005-0000-0000-000097030000}"/>
    <cellStyle name="20% - Accent3 2 2 15" xfId="1304" xr:uid="{00000000-0005-0000-0000-000098030000}"/>
    <cellStyle name="20% - Accent3 2 2 15 2" xfId="19606" xr:uid="{00000000-0005-0000-0000-000099030000}"/>
    <cellStyle name="20% - Accent3 2 2 16" xfId="1305" xr:uid="{00000000-0005-0000-0000-00009A030000}"/>
    <cellStyle name="20% - Accent3 2 2 16 2" xfId="19607" xr:uid="{00000000-0005-0000-0000-00009B030000}"/>
    <cellStyle name="20% - Accent3 2 2 17" xfId="1306" xr:uid="{00000000-0005-0000-0000-00009C030000}"/>
    <cellStyle name="20% - Accent3 2 2 17 2" xfId="19608" xr:uid="{00000000-0005-0000-0000-00009D030000}"/>
    <cellStyle name="20% - Accent3 2 2 18" xfId="1307" xr:uid="{00000000-0005-0000-0000-00009E030000}"/>
    <cellStyle name="20% - Accent3 2 2 18 2" xfId="19609" xr:uid="{00000000-0005-0000-0000-00009F030000}"/>
    <cellStyle name="20% - Accent3 2 2 19" xfId="1308" xr:uid="{00000000-0005-0000-0000-0000A0030000}"/>
    <cellStyle name="20% - Accent3 2 2 19 2" xfId="19610" xr:uid="{00000000-0005-0000-0000-0000A1030000}"/>
    <cellStyle name="20% - Accent3 2 2 2" xfId="1309" xr:uid="{00000000-0005-0000-0000-0000A2030000}"/>
    <cellStyle name="20% - Accent3 2 2 2 2" xfId="19611" xr:uid="{00000000-0005-0000-0000-0000A3030000}"/>
    <cellStyle name="20% - Accent3 2 2 20" xfId="1310" xr:uid="{00000000-0005-0000-0000-0000A4030000}"/>
    <cellStyle name="20% - Accent3 2 2 20 2" xfId="19612" xr:uid="{00000000-0005-0000-0000-0000A5030000}"/>
    <cellStyle name="20% - Accent3 2 2 21" xfId="1311" xr:uid="{00000000-0005-0000-0000-0000A6030000}"/>
    <cellStyle name="20% - Accent3 2 2 21 2" xfId="19613" xr:uid="{00000000-0005-0000-0000-0000A7030000}"/>
    <cellStyle name="20% - Accent3 2 2 22" xfId="1312" xr:uid="{00000000-0005-0000-0000-0000A8030000}"/>
    <cellStyle name="20% - Accent3 2 2 22 2" xfId="19614" xr:uid="{00000000-0005-0000-0000-0000A9030000}"/>
    <cellStyle name="20% - Accent3 2 2 23" xfId="1313" xr:uid="{00000000-0005-0000-0000-0000AA030000}"/>
    <cellStyle name="20% - Accent3 2 2 23 2" xfId="19615" xr:uid="{00000000-0005-0000-0000-0000AB030000}"/>
    <cellStyle name="20% - Accent3 2 2 24" xfId="1314" xr:uid="{00000000-0005-0000-0000-0000AC030000}"/>
    <cellStyle name="20% - Accent3 2 2 24 2" xfId="19616" xr:uid="{00000000-0005-0000-0000-0000AD030000}"/>
    <cellStyle name="20% - Accent3 2 2 25" xfId="1315" xr:uid="{00000000-0005-0000-0000-0000AE030000}"/>
    <cellStyle name="20% - Accent3 2 2 25 2" xfId="19617" xr:uid="{00000000-0005-0000-0000-0000AF030000}"/>
    <cellStyle name="20% - Accent3 2 2 26" xfId="1316" xr:uid="{00000000-0005-0000-0000-0000B0030000}"/>
    <cellStyle name="20% - Accent3 2 2 26 2" xfId="19618" xr:uid="{00000000-0005-0000-0000-0000B1030000}"/>
    <cellStyle name="20% - Accent3 2 2 27" xfId="1317" xr:uid="{00000000-0005-0000-0000-0000B2030000}"/>
    <cellStyle name="20% - Accent3 2 2 27 2" xfId="19619" xr:uid="{00000000-0005-0000-0000-0000B3030000}"/>
    <cellStyle name="20% - Accent3 2 2 28" xfId="1318" xr:uid="{00000000-0005-0000-0000-0000B4030000}"/>
    <cellStyle name="20% - Accent3 2 2 28 2" xfId="19620" xr:uid="{00000000-0005-0000-0000-0000B5030000}"/>
    <cellStyle name="20% - Accent3 2 2 29" xfId="1319" xr:uid="{00000000-0005-0000-0000-0000B6030000}"/>
    <cellStyle name="20% - Accent3 2 2 29 2" xfId="19621" xr:uid="{00000000-0005-0000-0000-0000B7030000}"/>
    <cellStyle name="20% - Accent3 2 2 3" xfId="1320" xr:uid="{00000000-0005-0000-0000-0000B8030000}"/>
    <cellStyle name="20% - Accent3 2 2 3 2" xfId="19622" xr:uid="{00000000-0005-0000-0000-0000B9030000}"/>
    <cellStyle name="20% - Accent3 2 2 30" xfId="1321" xr:uid="{00000000-0005-0000-0000-0000BA030000}"/>
    <cellStyle name="20% - Accent3 2 2 30 2" xfId="19623" xr:uid="{00000000-0005-0000-0000-0000BB030000}"/>
    <cellStyle name="20% - Accent3 2 2 31" xfId="1322" xr:uid="{00000000-0005-0000-0000-0000BC030000}"/>
    <cellStyle name="20% - Accent3 2 2 31 2" xfId="19624" xr:uid="{00000000-0005-0000-0000-0000BD030000}"/>
    <cellStyle name="20% - Accent3 2 2 32" xfId="1323" xr:uid="{00000000-0005-0000-0000-0000BE030000}"/>
    <cellStyle name="20% - Accent3 2 2 32 2" xfId="19625" xr:uid="{00000000-0005-0000-0000-0000BF030000}"/>
    <cellStyle name="20% - Accent3 2 2 33" xfId="1324" xr:uid="{00000000-0005-0000-0000-0000C0030000}"/>
    <cellStyle name="20% - Accent3 2 2 33 2" xfId="19626" xr:uid="{00000000-0005-0000-0000-0000C1030000}"/>
    <cellStyle name="20% - Accent3 2 2 34" xfId="1325" xr:uid="{00000000-0005-0000-0000-0000C2030000}"/>
    <cellStyle name="20% - Accent3 2 2 34 2" xfId="19627" xr:uid="{00000000-0005-0000-0000-0000C3030000}"/>
    <cellStyle name="20% - Accent3 2 2 35" xfId="1326" xr:uid="{00000000-0005-0000-0000-0000C4030000}"/>
    <cellStyle name="20% - Accent3 2 2 35 2" xfId="19628" xr:uid="{00000000-0005-0000-0000-0000C5030000}"/>
    <cellStyle name="20% - Accent3 2 2 36" xfId="1327" xr:uid="{00000000-0005-0000-0000-0000C6030000}"/>
    <cellStyle name="20% - Accent3 2 2 36 2" xfId="19629" xr:uid="{00000000-0005-0000-0000-0000C7030000}"/>
    <cellStyle name="20% - Accent3 2 2 37" xfId="1328" xr:uid="{00000000-0005-0000-0000-0000C8030000}"/>
    <cellStyle name="20% - Accent3 2 2 37 2" xfId="19630" xr:uid="{00000000-0005-0000-0000-0000C9030000}"/>
    <cellStyle name="20% - Accent3 2 2 38" xfId="1329" xr:uid="{00000000-0005-0000-0000-0000CA030000}"/>
    <cellStyle name="20% - Accent3 2 2 38 2" xfId="19631" xr:uid="{00000000-0005-0000-0000-0000CB030000}"/>
    <cellStyle name="20% - Accent3 2 2 39" xfId="1330" xr:uid="{00000000-0005-0000-0000-0000CC030000}"/>
    <cellStyle name="20% - Accent3 2 2 39 2" xfId="19632" xr:uid="{00000000-0005-0000-0000-0000CD030000}"/>
    <cellStyle name="20% - Accent3 2 2 4" xfId="1331" xr:uid="{00000000-0005-0000-0000-0000CE030000}"/>
    <cellStyle name="20% - Accent3 2 2 4 2" xfId="19633" xr:uid="{00000000-0005-0000-0000-0000CF030000}"/>
    <cellStyle name="20% - Accent3 2 2 40" xfId="1332" xr:uid="{00000000-0005-0000-0000-0000D0030000}"/>
    <cellStyle name="20% - Accent3 2 2 40 2" xfId="19634" xr:uid="{00000000-0005-0000-0000-0000D1030000}"/>
    <cellStyle name="20% - Accent3 2 2 41" xfId="1333" xr:uid="{00000000-0005-0000-0000-0000D2030000}"/>
    <cellStyle name="20% - Accent3 2 2 41 2" xfId="19635" xr:uid="{00000000-0005-0000-0000-0000D3030000}"/>
    <cellStyle name="20% - Accent3 2 2 42" xfId="1334" xr:uid="{00000000-0005-0000-0000-0000D4030000}"/>
    <cellStyle name="20% - Accent3 2 2 42 2" xfId="19636" xr:uid="{00000000-0005-0000-0000-0000D5030000}"/>
    <cellStyle name="20% - Accent3 2 2 43" xfId="19600" xr:uid="{00000000-0005-0000-0000-0000D6030000}"/>
    <cellStyle name="20% - Accent3 2 2 5" xfId="1335" xr:uid="{00000000-0005-0000-0000-0000D7030000}"/>
    <cellStyle name="20% - Accent3 2 2 5 2" xfId="19637" xr:uid="{00000000-0005-0000-0000-0000D8030000}"/>
    <cellStyle name="20% - Accent3 2 2 6" xfId="1336" xr:uid="{00000000-0005-0000-0000-0000D9030000}"/>
    <cellStyle name="20% - Accent3 2 2 6 2" xfId="19638" xr:uid="{00000000-0005-0000-0000-0000DA030000}"/>
    <cellStyle name="20% - Accent3 2 2 7" xfId="1337" xr:uid="{00000000-0005-0000-0000-0000DB030000}"/>
    <cellStyle name="20% - Accent3 2 2 7 2" xfId="19639" xr:uid="{00000000-0005-0000-0000-0000DC030000}"/>
    <cellStyle name="20% - Accent3 2 2 8" xfId="1338" xr:uid="{00000000-0005-0000-0000-0000DD030000}"/>
    <cellStyle name="20% - Accent3 2 2 8 2" xfId="19640" xr:uid="{00000000-0005-0000-0000-0000DE030000}"/>
    <cellStyle name="20% - Accent3 2 2 9" xfId="1339" xr:uid="{00000000-0005-0000-0000-0000DF030000}"/>
    <cellStyle name="20% - Accent3 2 2 9 2" xfId="19641" xr:uid="{00000000-0005-0000-0000-0000E0030000}"/>
    <cellStyle name="20% - Accent3 2 2_DATA Input" xfId="1340" xr:uid="{00000000-0005-0000-0000-0000E1030000}"/>
    <cellStyle name="20% - Accent3 2 20" xfId="1341" xr:uid="{00000000-0005-0000-0000-0000E2030000}"/>
    <cellStyle name="20% - Accent3 2 20 2" xfId="19642" xr:uid="{00000000-0005-0000-0000-0000E3030000}"/>
    <cellStyle name="20% - Accent3 2 21" xfId="1342" xr:uid="{00000000-0005-0000-0000-0000E4030000}"/>
    <cellStyle name="20% - Accent3 2 21 2" xfId="19643" xr:uid="{00000000-0005-0000-0000-0000E5030000}"/>
    <cellStyle name="20% - Accent3 2 22" xfId="1343" xr:uid="{00000000-0005-0000-0000-0000E6030000}"/>
    <cellStyle name="20% - Accent3 2 22 2" xfId="19644" xr:uid="{00000000-0005-0000-0000-0000E7030000}"/>
    <cellStyle name="20% - Accent3 2 23" xfId="1344" xr:uid="{00000000-0005-0000-0000-0000E8030000}"/>
    <cellStyle name="20% - Accent3 2 23 2" xfId="19645" xr:uid="{00000000-0005-0000-0000-0000E9030000}"/>
    <cellStyle name="20% - Accent3 2 24" xfId="1345" xr:uid="{00000000-0005-0000-0000-0000EA030000}"/>
    <cellStyle name="20% - Accent3 2 24 2" xfId="19646" xr:uid="{00000000-0005-0000-0000-0000EB030000}"/>
    <cellStyle name="20% - Accent3 2 25" xfId="1346" xr:uid="{00000000-0005-0000-0000-0000EC030000}"/>
    <cellStyle name="20% - Accent3 2 25 2" xfId="19647" xr:uid="{00000000-0005-0000-0000-0000ED030000}"/>
    <cellStyle name="20% - Accent3 2 26" xfId="1347" xr:uid="{00000000-0005-0000-0000-0000EE030000}"/>
    <cellStyle name="20% - Accent3 2 26 2" xfId="19648" xr:uid="{00000000-0005-0000-0000-0000EF030000}"/>
    <cellStyle name="20% - Accent3 2 27" xfId="1348" xr:uid="{00000000-0005-0000-0000-0000F0030000}"/>
    <cellStyle name="20% - Accent3 2 27 2" xfId="19649" xr:uid="{00000000-0005-0000-0000-0000F1030000}"/>
    <cellStyle name="20% - Accent3 2 28" xfId="1349" xr:uid="{00000000-0005-0000-0000-0000F2030000}"/>
    <cellStyle name="20% - Accent3 2 28 2" xfId="19650" xr:uid="{00000000-0005-0000-0000-0000F3030000}"/>
    <cellStyle name="20% - Accent3 2 29" xfId="1350" xr:uid="{00000000-0005-0000-0000-0000F4030000}"/>
    <cellStyle name="20% - Accent3 2 29 2" xfId="19651" xr:uid="{00000000-0005-0000-0000-0000F5030000}"/>
    <cellStyle name="20% - Accent3 2 3" xfId="1351" xr:uid="{00000000-0005-0000-0000-0000F6030000}"/>
    <cellStyle name="20% - Accent3 2 3 2" xfId="19652" xr:uid="{00000000-0005-0000-0000-0000F7030000}"/>
    <cellStyle name="20% - Accent3 2 30" xfId="1352" xr:uid="{00000000-0005-0000-0000-0000F8030000}"/>
    <cellStyle name="20% - Accent3 2 30 2" xfId="19653" xr:uid="{00000000-0005-0000-0000-0000F9030000}"/>
    <cellStyle name="20% - Accent3 2 31" xfId="1353" xr:uid="{00000000-0005-0000-0000-0000FA030000}"/>
    <cellStyle name="20% - Accent3 2 31 2" xfId="19654" xr:uid="{00000000-0005-0000-0000-0000FB030000}"/>
    <cellStyle name="20% - Accent3 2 32" xfId="1354" xr:uid="{00000000-0005-0000-0000-0000FC030000}"/>
    <cellStyle name="20% - Accent3 2 32 2" xfId="19655" xr:uid="{00000000-0005-0000-0000-0000FD030000}"/>
    <cellStyle name="20% - Accent3 2 33" xfId="1355" xr:uid="{00000000-0005-0000-0000-0000FE030000}"/>
    <cellStyle name="20% - Accent3 2 33 2" xfId="19656" xr:uid="{00000000-0005-0000-0000-0000FF030000}"/>
    <cellStyle name="20% - Accent3 2 34" xfId="1356" xr:uid="{00000000-0005-0000-0000-000000040000}"/>
    <cellStyle name="20% - Accent3 2 34 2" xfId="19657" xr:uid="{00000000-0005-0000-0000-000001040000}"/>
    <cellStyle name="20% - Accent3 2 35" xfId="1357" xr:uid="{00000000-0005-0000-0000-000002040000}"/>
    <cellStyle name="20% - Accent3 2 35 2" xfId="19658" xr:uid="{00000000-0005-0000-0000-000003040000}"/>
    <cellStyle name="20% - Accent3 2 36" xfId="1358" xr:uid="{00000000-0005-0000-0000-000004040000}"/>
    <cellStyle name="20% - Accent3 2 36 2" xfId="19659" xr:uid="{00000000-0005-0000-0000-000005040000}"/>
    <cellStyle name="20% - Accent3 2 37" xfId="1359" xr:uid="{00000000-0005-0000-0000-000006040000}"/>
    <cellStyle name="20% - Accent3 2 37 2" xfId="19660" xr:uid="{00000000-0005-0000-0000-000007040000}"/>
    <cellStyle name="20% - Accent3 2 38" xfId="1360" xr:uid="{00000000-0005-0000-0000-000008040000}"/>
    <cellStyle name="20% - Accent3 2 38 2" xfId="19661" xr:uid="{00000000-0005-0000-0000-000009040000}"/>
    <cellStyle name="20% - Accent3 2 39" xfId="1361" xr:uid="{00000000-0005-0000-0000-00000A040000}"/>
    <cellStyle name="20% - Accent3 2 39 2" xfId="19662" xr:uid="{00000000-0005-0000-0000-00000B040000}"/>
    <cellStyle name="20% - Accent3 2 4" xfId="1362" xr:uid="{00000000-0005-0000-0000-00000C040000}"/>
    <cellStyle name="20% - Accent3 2 4 2" xfId="19663" xr:uid="{00000000-0005-0000-0000-00000D040000}"/>
    <cellStyle name="20% - Accent3 2 40" xfId="1363" xr:uid="{00000000-0005-0000-0000-00000E040000}"/>
    <cellStyle name="20% - Accent3 2 40 2" xfId="19664" xr:uid="{00000000-0005-0000-0000-00000F040000}"/>
    <cellStyle name="20% - Accent3 2 41" xfId="1364" xr:uid="{00000000-0005-0000-0000-000010040000}"/>
    <cellStyle name="20% - Accent3 2 41 2" xfId="19665" xr:uid="{00000000-0005-0000-0000-000011040000}"/>
    <cellStyle name="20% - Accent3 2 42" xfId="1365" xr:uid="{00000000-0005-0000-0000-000012040000}"/>
    <cellStyle name="20% - Accent3 2 42 2" xfId="19666" xr:uid="{00000000-0005-0000-0000-000013040000}"/>
    <cellStyle name="20% - Accent3 2 43" xfId="1366" xr:uid="{00000000-0005-0000-0000-000014040000}"/>
    <cellStyle name="20% - Accent3 2 43 2" xfId="19667" xr:uid="{00000000-0005-0000-0000-000015040000}"/>
    <cellStyle name="20% - Accent3 2 44" xfId="1367" xr:uid="{00000000-0005-0000-0000-000016040000}"/>
    <cellStyle name="20% - Accent3 2 44 2" xfId="19668" xr:uid="{00000000-0005-0000-0000-000017040000}"/>
    <cellStyle name="20% - Accent3 2 5" xfId="1368" xr:uid="{00000000-0005-0000-0000-000018040000}"/>
    <cellStyle name="20% - Accent3 2 5 2" xfId="19669" xr:uid="{00000000-0005-0000-0000-000019040000}"/>
    <cellStyle name="20% - Accent3 2 6" xfId="1369" xr:uid="{00000000-0005-0000-0000-00001A040000}"/>
    <cellStyle name="20% - Accent3 2 6 2" xfId="19670" xr:uid="{00000000-0005-0000-0000-00001B040000}"/>
    <cellStyle name="20% - Accent3 2 7" xfId="1370" xr:uid="{00000000-0005-0000-0000-00001C040000}"/>
    <cellStyle name="20% - Accent3 2 7 2" xfId="19671" xr:uid="{00000000-0005-0000-0000-00001D040000}"/>
    <cellStyle name="20% - Accent3 2 8" xfId="1371" xr:uid="{00000000-0005-0000-0000-00001E040000}"/>
    <cellStyle name="20% - Accent3 2 8 2" xfId="19672" xr:uid="{00000000-0005-0000-0000-00001F040000}"/>
    <cellStyle name="20% - Accent3 2 9" xfId="1372" xr:uid="{00000000-0005-0000-0000-000020040000}"/>
    <cellStyle name="20% - Accent3 2 9 2" xfId="19673" xr:uid="{00000000-0005-0000-0000-000021040000}"/>
    <cellStyle name="20% - Accent3 2_DATA Input" xfId="1373" xr:uid="{00000000-0005-0000-0000-000022040000}"/>
    <cellStyle name="20% - Accent3 20" xfId="1374" xr:uid="{00000000-0005-0000-0000-000023040000}"/>
    <cellStyle name="20% - Accent3 21" xfId="1375" xr:uid="{00000000-0005-0000-0000-000024040000}"/>
    <cellStyle name="20% - Accent3 22" xfId="1376" xr:uid="{00000000-0005-0000-0000-000025040000}"/>
    <cellStyle name="20% - Accent3 23" xfId="1377" xr:uid="{00000000-0005-0000-0000-000026040000}"/>
    <cellStyle name="20% - Accent3 24" xfId="1378" xr:uid="{00000000-0005-0000-0000-000027040000}"/>
    <cellStyle name="20% - Accent3 3" xfId="1379" xr:uid="{00000000-0005-0000-0000-000028040000}"/>
    <cellStyle name="20% - Accent3 3 10" xfId="1380" xr:uid="{00000000-0005-0000-0000-000029040000}"/>
    <cellStyle name="20% - Accent3 3 11" xfId="1381" xr:uid="{00000000-0005-0000-0000-00002A040000}"/>
    <cellStyle name="20% - Accent3 3 12" xfId="1382" xr:uid="{00000000-0005-0000-0000-00002B040000}"/>
    <cellStyle name="20% - Accent3 3 13" xfId="1383" xr:uid="{00000000-0005-0000-0000-00002C040000}"/>
    <cellStyle name="20% - Accent3 3 14" xfId="1384" xr:uid="{00000000-0005-0000-0000-00002D040000}"/>
    <cellStyle name="20% - Accent3 3 15" xfId="1385" xr:uid="{00000000-0005-0000-0000-00002E040000}"/>
    <cellStyle name="20% - Accent3 3 16" xfId="1386" xr:uid="{00000000-0005-0000-0000-00002F040000}"/>
    <cellStyle name="20% - Accent3 3 17" xfId="1387" xr:uid="{00000000-0005-0000-0000-000030040000}"/>
    <cellStyle name="20% - Accent3 3 18" xfId="1388" xr:uid="{00000000-0005-0000-0000-000031040000}"/>
    <cellStyle name="20% - Accent3 3 19" xfId="1389" xr:uid="{00000000-0005-0000-0000-000032040000}"/>
    <cellStyle name="20% - Accent3 3 2" xfId="1390" xr:uid="{00000000-0005-0000-0000-000033040000}"/>
    <cellStyle name="20% - Accent3 3 20" xfId="1391" xr:uid="{00000000-0005-0000-0000-000034040000}"/>
    <cellStyle name="20% - Accent3 3 21" xfId="1392" xr:uid="{00000000-0005-0000-0000-000035040000}"/>
    <cellStyle name="20% - Accent3 3 22" xfId="1393" xr:uid="{00000000-0005-0000-0000-000036040000}"/>
    <cellStyle name="20% - Accent3 3 23" xfId="1394" xr:uid="{00000000-0005-0000-0000-000037040000}"/>
    <cellStyle name="20% - Accent3 3 24" xfId="1395" xr:uid="{00000000-0005-0000-0000-000038040000}"/>
    <cellStyle name="20% - Accent3 3 25" xfId="1396" xr:uid="{00000000-0005-0000-0000-000039040000}"/>
    <cellStyle name="20% - Accent3 3 26" xfId="1397" xr:uid="{00000000-0005-0000-0000-00003A040000}"/>
    <cellStyle name="20% - Accent3 3 27" xfId="1398" xr:uid="{00000000-0005-0000-0000-00003B040000}"/>
    <cellStyle name="20% - Accent3 3 28" xfId="1399" xr:uid="{00000000-0005-0000-0000-00003C040000}"/>
    <cellStyle name="20% - Accent3 3 29" xfId="1400" xr:uid="{00000000-0005-0000-0000-00003D040000}"/>
    <cellStyle name="20% - Accent3 3 3" xfId="1401" xr:uid="{00000000-0005-0000-0000-00003E040000}"/>
    <cellStyle name="20% - Accent3 3 30" xfId="1402" xr:uid="{00000000-0005-0000-0000-00003F040000}"/>
    <cellStyle name="20% - Accent3 3 31" xfId="1403" xr:uid="{00000000-0005-0000-0000-000040040000}"/>
    <cellStyle name="20% - Accent3 3 32" xfId="1404" xr:uid="{00000000-0005-0000-0000-000041040000}"/>
    <cellStyle name="20% - Accent3 3 4" xfId="1405" xr:uid="{00000000-0005-0000-0000-000042040000}"/>
    <cellStyle name="20% - Accent3 3 5" xfId="1406" xr:uid="{00000000-0005-0000-0000-000043040000}"/>
    <cellStyle name="20% - Accent3 3 6" xfId="1407" xr:uid="{00000000-0005-0000-0000-000044040000}"/>
    <cellStyle name="20% - Accent3 3 7" xfId="1408" xr:uid="{00000000-0005-0000-0000-000045040000}"/>
    <cellStyle name="20% - Accent3 3 8" xfId="1409" xr:uid="{00000000-0005-0000-0000-000046040000}"/>
    <cellStyle name="20% - Accent3 3 9" xfId="1410" xr:uid="{00000000-0005-0000-0000-000047040000}"/>
    <cellStyle name="20% - Accent3 4" xfId="1411" xr:uid="{00000000-0005-0000-0000-000048040000}"/>
    <cellStyle name="20% - Accent3 5" xfId="1412" xr:uid="{00000000-0005-0000-0000-000049040000}"/>
    <cellStyle name="20% - Accent3 6" xfId="1413" xr:uid="{00000000-0005-0000-0000-00004A040000}"/>
    <cellStyle name="20% - Accent3 7" xfId="1414" xr:uid="{00000000-0005-0000-0000-00004B040000}"/>
    <cellStyle name="20% - Accent3 8" xfId="1415" xr:uid="{00000000-0005-0000-0000-00004C040000}"/>
    <cellStyle name="20% - Accent3 9" xfId="1416" xr:uid="{00000000-0005-0000-0000-00004D040000}"/>
    <cellStyle name="20% - Accent4 10" xfId="1417" xr:uid="{00000000-0005-0000-0000-00004E040000}"/>
    <cellStyle name="20% - Accent4 11" xfId="1418" xr:uid="{00000000-0005-0000-0000-00004F040000}"/>
    <cellStyle name="20% - Accent4 12" xfId="1419" xr:uid="{00000000-0005-0000-0000-000050040000}"/>
    <cellStyle name="20% - Accent4 13" xfId="1420" xr:uid="{00000000-0005-0000-0000-000051040000}"/>
    <cellStyle name="20% - Accent4 14" xfId="1421" xr:uid="{00000000-0005-0000-0000-000052040000}"/>
    <cellStyle name="20% - Accent4 15" xfId="1422" xr:uid="{00000000-0005-0000-0000-000053040000}"/>
    <cellStyle name="20% - Accent4 16" xfId="1423" xr:uid="{00000000-0005-0000-0000-000054040000}"/>
    <cellStyle name="20% - Accent4 17" xfId="1424" xr:uid="{00000000-0005-0000-0000-000055040000}"/>
    <cellStyle name="20% - Accent4 18" xfId="1425" xr:uid="{00000000-0005-0000-0000-000056040000}"/>
    <cellStyle name="20% - Accent4 19" xfId="1426" xr:uid="{00000000-0005-0000-0000-000057040000}"/>
    <cellStyle name="20% - Accent4 2" xfId="36" xr:uid="{00000000-0005-0000-0000-000058040000}"/>
    <cellStyle name="20% - Accent4 2 10" xfId="1427" xr:uid="{00000000-0005-0000-0000-000059040000}"/>
    <cellStyle name="20% - Accent4 2 10 2" xfId="19674" xr:uid="{00000000-0005-0000-0000-00005A040000}"/>
    <cellStyle name="20% - Accent4 2 11" xfId="1428" xr:uid="{00000000-0005-0000-0000-00005B040000}"/>
    <cellStyle name="20% - Accent4 2 11 2" xfId="19675" xr:uid="{00000000-0005-0000-0000-00005C040000}"/>
    <cellStyle name="20% - Accent4 2 12" xfId="1429" xr:uid="{00000000-0005-0000-0000-00005D040000}"/>
    <cellStyle name="20% - Accent4 2 12 2" xfId="19676" xr:uid="{00000000-0005-0000-0000-00005E040000}"/>
    <cellStyle name="20% - Accent4 2 13" xfId="1430" xr:uid="{00000000-0005-0000-0000-00005F040000}"/>
    <cellStyle name="20% - Accent4 2 13 2" xfId="19677" xr:uid="{00000000-0005-0000-0000-000060040000}"/>
    <cellStyle name="20% - Accent4 2 14" xfId="1431" xr:uid="{00000000-0005-0000-0000-000061040000}"/>
    <cellStyle name="20% - Accent4 2 14 2" xfId="19678" xr:uid="{00000000-0005-0000-0000-000062040000}"/>
    <cellStyle name="20% - Accent4 2 15" xfId="1432" xr:uid="{00000000-0005-0000-0000-000063040000}"/>
    <cellStyle name="20% - Accent4 2 15 2" xfId="19679" xr:uid="{00000000-0005-0000-0000-000064040000}"/>
    <cellStyle name="20% - Accent4 2 16" xfId="1433" xr:uid="{00000000-0005-0000-0000-000065040000}"/>
    <cellStyle name="20% - Accent4 2 16 2" xfId="19680" xr:uid="{00000000-0005-0000-0000-000066040000}"/>
    <cellStyle name="20% - Accent4 2 17" xfId="1434" xr:uid="{00000000-0005-0000-0000-000067040000}"/>
    <cellStyle name="20% - Accent4 2 17 2" xfId="19681" xr:uid="{00000000-0005-0000-0000-000068040000}"/>
    <cellStyle name="20% - Accent4 2 18" xfId="1435" xr:uid="{00000000-0005-0000-0000-000069040000}"/>
    <cellStyle name="20% - Accent4 2 18 2" xfId="19682" xr:uid="{00000000-0005-0000-0000-00006A040000}"/>
    <cellStyle name="20% - Accent4 2 19" xfId="1436" xr:uid="{00000000-0005-0000-0000-00006B040000}"/>
    <cellStyle name="20% - Accent4 2 19 2" xfId="19683" xr:uid="{00000000-0005-0000-0000-00006C040000}"/>
    <cellStyle name="20% - Accent4 2 2" xfId="1437" xr:uid="{00000000-0005-0000-0000-00006D040000}"/>
    <cellStyle name="20% - Accent4 2 2 10" xfId="1438" xr:uid="{00000000-0005-0000-0000-00006E040000}"/>
    <cellStyle name="20% - Accent4 2 2 10 2" xfId="19685" xr:uid="{00000000-0005-0000-0000-00006F040000}"/>
    <cellStyle name="20% - Accent4 2 2 11" xfId="1439" xr:uid="{00000000-0005-0000-0000-000070040000}"/>
    <cellStyle name="20% - Accent4 2 2 11 2" xfId="19686" xr:uid="{00000000-0005-0000-0000-000071040000}"/>
    <cellStyle name="20% - Accent4 2 2 12" xfId="1440" xr:uid="{00000000-0005-0000-0000-000072040000}"/>
    <cellStyle name="20% - Accent4 2 2 12 2" xfId="19687" xr:uid="{00000000-0005-0000-0000-000073040000}"/>
    <cellStyle name="20% - Accent4 2 2 13" xfId="1441" xr:uid="{00000000-0005-0000-0000-000074040000}"/>
    <cellStyle name="20% - Accent4 2 2 13 2" xfId="19688" xr:uid="{00000000-0005-0000-0000-000075040000}"/>
    <cellStyle name="20% - Accent4 2 2 14" xfId="1442" xr:uid="{00000000-0005-0000-0000-000076040000}"/>
    <cellStyle name="20% - Accent4 2 2 14 2" xfId="19689" xr:uid="{00000000-0005-0000-0000-000077040000}"/>
    <cellStyle name="20% - Accent4 2 2 15" xfId="1443" xr:uid="{00000000-0005-0000-0000-000078040000}"/>
    <cellStyle name="20% - Accent4 2 2 15 2" xfId="19690" xr:uid="{00000000-0005-0000-0000-000079040000}"/>
    <cellStyle name="20% - Accent4 2 2 16" xfId="1444" xr:uid="{00000000-0005-0000-0000-00007A040000}"/>
    <cellStyle name="20% - Accent4 2 2 16 2" xfId="19691" xr:uid="{00000000-0005-0000-0000-00007B040000}"/>
    <cellStyle name="20% - Accent4 2 2 17" xfId="1445" xr:uid="{00000000-0005-0000-0000-00007C040000}"/>
    <cellStyle name="20% - Accent4 2 2 17 2" xfId="19692" xr:uid="{00000000-0005-0000-0000-00007D040000}"/>
    <cellStyle name="20% - Accent4 2 2 18" xfId="1446" xr:uid="{00000000-0005-0000-0000-00007E040000}"/>
    <cellStyle name="20% - Accent4 2 2 18 2" xfId="19693" xr:uid="{00000000-0005-0000-0000-00007F040000}"/>
    <cellStyle name="20% - Accent4 2 2 19" xfId="1447" xr:uid="{00000000-0005-0000-0000-000080040000}"/>
    <cellStyle name="20% - Accent4 2 2 19 2" xfId="19694" xr:uid="{00000000-0005-0000-0000-000081040000}"/>
    <cellStyle name="20% - Accent4 2 2 2" xfId="1448" xr:uid="{00000000-0005-0000-0000-000082040000}"/>
    <cellStyle name="20% - Accent4 2 2 2 2" xfId="19695" xr:uid="{00000000-0005-0000-0000-000083040000}"/>
    <cellStyle name="20% - Accent4 2 2 20" xfId="1449" xr:uid="{00000000-0005-0000-0000-000084040000}"/>
    <cellStyle name="20% - Accent4 2 2 20 2" xfId="19696" xr:uid="{00000000-0005-0000-0000-000085040000}"/>
    <cellStyle name="20% - Accent4 2 2 21" xfId="1450" xr:uid="{00000000-0005-0000-0000-000086040000}"/>
    <cellStyle name="20% - Accent4 2 2 21 2" xfId="19697" xr:uid="{00000000-0005-0000-0000-000087040000}"/>
    <cellStyle name="20% - Accent4 2 2 22" xfId="1451" xr:uid="{00000000-0005-0000-0000-000088040000}"/>
    <cellStyle name="20% - Accent4 2 2 22 2" xfId="19698" xr:uid="{00000000-0005-0000-0000-000089040000}"/>
    <cellStyle name="20% - Accent4 2 2 23" xfId="1452" xr:uid="{00000000-0005-0000-0000-00008A040000}"/>
    <cellStyle name="20% - Accent4 2 2 23 2" xfId="19699" xr:uid="{00000000-0005-0000-0000-00008B040000}"/>
    <cellStyle name="20% - Accent4 2 2 24" xfId="1453" xr:uid="{00000000-0005-0000-0000-00008C040000}"/>
    <cellStyle name="20% - Accent4 2 2 24 2" xfId="19700" xr:uid="{00000000-0005-0000-0000-00008D040000}"/>
    <cellStyle name="20% - Accent4 2 2 25" xfId="1454" xr:uid="{00000000-0005-0000-0000-00008E040000}"/>
    <cellStyle name="20% - Accent4 2 2 25 2" xfId="19701" xr:uid="{00000000-0005-0000-0000-00008F040000}"/>
    <cellStyle name="20% - Accent4 2 2 26" xfId="1455" xr:uid="{00000000-0005-0000-0000-000090040000}"/>
    <cellStyle name="20% - Accent4 2 2 26 2" xfId="19702" xr:uid="{00000000-0005-0000-0000-000091040000}"/>
    <cellStyle name="20% - Accent4 2 2 27" xfId="1456" xr:uid="{00000000-0005-0000-0000-000092040000}"/>
    <cellStyle name="20% - Accent4 2 2 27 2" xfId="19703" xr:uid="{00000000-0005-0000-0000-000093040000}"/>
    <cellStyle name="20% - Accent4 2 2 28" xfId="1457" xr:uid="{00000000-0005-0000-0000-000094040000}"/>
    <cellStyle name="20% - Accent4 2 2 28 2" xfId="19704" xr:uid="{00000000-0005-0000-0000-000095040000}"/>
    <cellStyle name="20% - Accent4 2 2 29" xfId="1458" xr:uid="{00000000-0005-0000-0000-000096040000}"/>
    <cellStyle name="20% - Accent4 2 2 29 2" xfId="19705" xr:uid="{00000000-0005-0000-0000-000097040000}"/>
    <cellStyle name="20% - Accent4 2 2 3" xfId="1459" xr:uid="{00000000-0005-0000-0000-000098040000}"/>
    <cellStyle name="20% - Accent4 2 2 3 2" xfId="19706" xr:uid="{00000000-0005-0000-0000-000099040000}"/>
    <cellStyle name="20% - Accent4 2 2 30" xfId="1460" xr:uid="{00000000-0005-0000-0000-00009A040000}"/>
    <cellStyle name="20% - Accent4 2 2 30 2" xfId="19707" xr:uid="{00000000-0005-0000-0000-00009B040000}"/>
    <cellStyle name="20% - Accent4 2 2 31" xfId="1461" xr:uid="{00000000-0005-0000-0000-00009C040000}"/>
    <cellStyle name="20% - Accent4 2 2 31 2" xfId="19708" xr:uid="{00000000-0005-0000-0000-00009D040000}"/>
    <cellStyle name="20% - Accent4 2 2 32" xfId="1462" xr:uid="{00000000-0005-0000-0000-00009E040000}"/>
    <cellStyle name="20% - Accent4 2 2 32 2" xfId="19709" xr:uid="{00000000-0005-0000-0000-00009F040000}"/>
    <cellStyle name="20% - Accent4 2 2 33" xfId="1463" xr:uid="{00000000-0005-0000-0000-0000A0040000}"/>
    <cellStyle name="20% - Accent4 2 2 33 2" xfId="19710" xr:uid="{00000000-0005-0000-0000-0000A1040000}"/>
    <cellStyle name="20% - Accent4 2 2 34" xfId="1464" xr:uid="{00000000-0005-0000-0000-0000A2040000}"/>
    <cellStyle name="20% - Accent4 2 2 34 2" xfId="19711" xr:uid="{00000000-0005-0000-0000-0000A3040000}"/>
    <cellStyle name="20% - Accent4 2 2 35" xfId="1465" xr:uid="{00000000-0005-0000-0000-0000A4040000}"/>
    <cellStyle name="20% - Accent4 2 2 35 2" xfId="19712" xr:uid="{00000000-0005-0000-0000-0000A5040000}"/>
    <cellStyle name="20% - Accent4 2 2 36" xfId="1466" xr:uid="{00000000-0005-0000-0000-0000A6040000}"/>
    <cellStyle name="20% - Accent4 2 2 36 2" xfId="19713" xr:uid="{00000000-0005-0000-0000-0000A7040000}"/>
    <cellStyle name="20% - Accent4 2 2 37" xfId="1467" xr:uid="{00000000-0005-0000-0000-0000A8040000}"/>
    <cellStyle name="20% - Accent4 2 2 37 2" xfId="19714" xr:uid="{00000000-0005-0000-0000-0000A9040000}"/>
    <cellStyle name="20% - Accent4 2 2 38" xfId="1468" xr:uid="{00000000-0005-0000-0000-0000AA040000}"/>
    <cellStyle name="20% - Accent4 2 2 38 2" xfId="19715" xr:uid="{00000000-0005-0000-0000-0000AB040000}"/>
    <cellStyle name="20% - Accent4 2 2 39" xfId="1469" xr:uid="{00000000-0005-0000-0000-0000AC040000}"/>
    <cellStyle name="20% - Accent4 2 2 39 2" xfId="19716" xr:uid="{00000000-0005-0000-0000-0000AD040000}"/>
    <cellStyle name="20% - Accent4 2 2 4" xfId="1470" xr:uid="{00000000-0005-0000-0000-0000AE040000}"/>
    <cellStyle name="20% - Accent4 2 2 4 2" xfId="19717" xr:uid="{00000000-0005-0000-0000-0000AF040000}"/>
    <cellStyle name="20% - Accent4 2 2 40" xfId="1471" xr:uid="{00000000-0005-0000-0000-0000B0040000}"/>
    <cellStyle name="20% - Accent4 2 2 40 2" xfId="19718" xr:uid="{00000000-0005-0000-0000-0000B1040000}"/>
    <cellStyle name="20% - Accent4 2 2 41" xfId="1472" xr:uid="{00000000-0005-0000-0000-0000B2040000}"/>
    <cellStyle name="20% - Accent4 2 2 41 2" xfId="19719" xr:uid="{00000000-0005-0000-0000-0000B3040000}"/>
    <cellStyle name="20% - Accent4 2 2 42" xfId="1473" xr:uid="{00000000-0005-0000-0000-0000B4040000}"/>
    <cellStyle name="20% - Accent4 2 2 42 2" xfId="19720" xr:uid="{00000000-0005-0000-0000-0000B5040000}"/>
    <cellStyle name="20% - Accent4 2 2 43" xfId="19684" xr:uid="{00000000-0005-0000-0000-0000B6040000}"/>
    <cellStyle name="20% - Accent4 2 2 5" xfId="1474" xr:uid="{00000000-0005-0000-0000-0000B7040000}"/>
    <cellStyle name="20% - Accent4 2 2 5 2" xfId="19721" xr:uid="{00000000-0005-0000-0000-0000B8040000}"/>
    <cellStyle name="20% - Accent4 2 2 6" xfId="1475" xr:uid="{00000000-0005-0000-0000-0000B9040000}"/>
    <cellStyle name="20% - Accent4 2 2 6 2" xfId="19722" xr:uid="{00000000-0005-0000-0000-0000BA040000}"/>
    <cellStyle name="20% - Accent4 2 2 7" xfId="1476" xr:uid="{00000000-0005-0000-0000-0000BB040000}"/>
    <cellStyle name="20% - Accent4 2 2 7 2" xfId="19723" xr:uid="{00000000-0005-0000-0000-0000BC040000}"/>
    <cellStyle name="20% - Accent4 2 2 8" xfId="1477" xr:uid="{00000000-0005-0000-0000-0000BD040000}"/>
    <cellStyle name="20% - Accent4 2 2 8 2" xfId="19724" xr:uid="{00000000-0005-0000-0000-0000BE040000}"/>
    <cellStyle name="20% - Accent4 2 2 9" xfId="1478" xr:uid="{00000000-0005-0000-0000-0000BF040000}"/>
    <cellStyle name="20% - Accent4 2 2 9 2" xfId="19725" xr:uid="{00000000-0005-0000-0000-0000C0040000}"/>
    <cellStyle name="20% - Accent4 2 2_DATA Input" xfId="1479" xr:uid="{00000000-0005-0000-0000-0000C1040000}"/>
    <cellStyle name="20% - Accent4 2 20" xfId="1480" xr:uid="{00000000-0005-0000-0000-0000C2040000}"/>
    <cellStyle name="20% - Accent4 2 20 2" xfId="19726" xr:uid="{00000000-0005-0000-0000-0000C3040000}"/>
    <cellStyle name="20% - Accent4 2 21" xfId="1481" xr:uid="{00000000-0005-0000-0000-0000C4040000}"/>
    <cellStyle name="20% - Accent4 2 21 2" xfId="19727" xr:uid="{00000000-0005-0000-0000-0000C5040000}"/>
    <cellStyle name="20% - Accent4 2 22" xfId="1482" xr:uid="{00000000-0005-0000-0000-0000C6040000}"/>
    <cellStyle name="20% - Accent4 2 22 2" xfId="19728" xr:uid="{00000000-0005-0000-0000-0000C7040000}"/>
    <cellStyle name="20% - Accent4 2 23" xfId="1483" xr:uid="{00000000-0005-0000-0000-0000C8040000}"/>
    <cellStyle name="20% - Accent4 2 23 2" xfId="19729" xr:uid="{00000000-0005-0000-0000-0000C9040000}"/>
    <cellStyle name="20% - Accent4 2 24" xfId="1484" xr:uid="{00000000-0005-0000-0000-0000CA040000}"/>
    <cellStyle name="20% - Accent4 2 24 2" xfId="19730" xr:uid="{00000000-0005-0000-0000-0000CB040000}"/>
    <cellStyle name="20% - Accent4 2 25" xfId="1485" xr:uid="{00000000-0005-0000-0000-0000CC040000}"/>
    <cellStyle name="20% - Accent4 2 25 2" xfId="19731" xr:uid="{00000000-0005-0000-0000-0000CD040000}"/>
    <cellStyle name="20% - Accent4 2 26" xfId="1486" xr:uid="{00000000-0005-0000-0000-0000CE040000}"/>
    <cellStyle name="20% - Accent4 2 26 2" xfId="19732" xr:uid="{00000000-0005-0000-0000-0000CF040000}"/>
    <cellStyle name="20% - Accent4 2 27" xfId="1487" xr:uid="{00000000-0005-0000-0000-0000D0040000}"/>
    <cellStyle name="20% - Accent4 2 27 2" xfId="19733" xr:uid="{00000000-0005-0000-0000-0000D1040000}"/>
    <cellStyle name="20% - Accent4 2 28" xfId="1488" xr:uid="{00000000-0005-0000-0000-0000D2040000}"/>
    <cellStyle name="20% - Accent4 2 28 2" xfId="19734" xr:uid="{00000000-0005-0000-0000-0000D3040000}"/>
    <cellStyle name="20% - Accent4 2 29" xfId="1489" xr:uid="{00000000-0005-0000-0000-0000D4040000}"/>
    <cellStyle name="20% - Accent4 2 29 2" xfId="19735" xr:uid="{00000000-0005-0000-0000-0000D5040000}"/>
    <cellStyle name="20% - Accent4 2 3" xfId="1490" xr:uid="{00000000-0005-0000-0000-0000D6040000}"/>
    <cellStyle name="20% - Accent4 2 3 2" xfId="19736" xr:uid="{00000000-0005-0000-0000-0000D7040000}"/>
    <cellStyle name="20% - Accent4 2 30" xfId="1491" xr:uid="{00000000-0005-0000-0000-0000D8040000}"/>
    <cellStyle name="20% - Accent4 2 30 2" xfId="19737" xr:uid="{00000000-0005-0000-0000-0000D9040000}"/>
    <cellStyle name="20% - Accent4 2 31" xfId="1492" xr:uid="{00000000-0005-0000-0000-0000DA040000}"/>
    <cellStyle name="20% - Accent4 2 31 2" xfId="19738" xr:uid="{00000000-0005-0000-0000-0000DB040000}"/>
    <cellStyle name="20% - Accent4 2 32" xfId="1493" xr:uid="{00000000-0005-0000-0000-0000DC040000}"/>
    <cellStyle name="20% - Accent4 2 32 2" xfId="19739" xr:uid="{00000000-0005-0000-0000-0000DD040000}"/>
    <cellStyle name="20% - Accent4 2 33" xfId="1494" xr:uid="{00000000-0005-0000-0000-0000DE040000}"/>
    <cellStyle name="20% - Accent4 2 33 2" xfId="19740" xr:uid="{00000000-0005-0000-0000-0000DF040000}"/>
    <cellStyle name="20% - Accent4 2 34" xfId="1495" xr:uid="{00000000-0005-0000-0000-0000E0040000}"/>
    <cellStyle name="20% - Accent4 2 34 2" xfId="19741" xr:uid="{00000000-0005-0000-0000-0000E1040000}"/>
    <cellStyle name="20% - Accent4 2 35" xfId="1496" xr:uid="{00000000-0005-0000-0000-0000E2040000}"/>
    <cellStyle name="20% - Accent4 2 35 2" xfId="19742" xr:uid="{00000000-0005-0000-0000-0000E3040000}"/>
    <cellStyle name="20% - Accent4 2 36" xfId="1497" xr:uid="{00000000-0005-0000-0000-0000E4040000}"/>
    <cellStyle name="20% - Accent4 2 36 2" xfId="19743" xr:uid="{00000000-0005-0000-0000-0000E5040000}"/>
    <cellStyle name="20% - Accent4 2 37" xfId="1498" xr:uid="{00000000-0005-0000-0000-0000E6040000}"/>
    <cellStyle name="20% - Accent4 2 37 2" xfId="19744" xr:uid="{00000000-0005-0000-0000-0000E7040000}"/>
    <cellStyle name="20% - Accent4 2 38" xfId="1499" xr:uid="{00000000-0005-0000-0000-0000E8040000}"/>
    <cellStyle name="20% - Accent4 2 38 2" xfId="19745" xr:uid="{00000000-0005-0000-0000-0000E9040000}"/>
    <cellStyle name="20% - Accent4 2 39" xfId="1500" xr:uid="{00000000-0005-0000-0000-0000EA040000}"/>
    <cellStyle name="20% - Accent4 2 39 2" xfId="19746" xr:uid="{00000000-0005-0000-0000-0000EB040000}"/>
    <cellStyle name="20% - Accent4 2 4" xfId="1501" xr:uid="{00000000-0005-0000-0000-0000EC040000}"/>
    <cellStyle name="20% - Accent4 2 4 2" xfId="19747" xr:uid="{00000000-0005-0000-0000-0000ED040000}"/>
    <cellStyle name="20% - Accent4 2 40" xfId="1502" xr:uid="{00000000-0005-0000-0000-0000EE040000}"/>
    <cellStyle name="20% - Accent4 2 40 2" xfId="19748" xr:uid="{00000000-0005-0000-0000-0000EF040000}"/>
    <cellStyle name="20% - Accent4 2 41" xfId="1503" xr:uid="{00000000-0005-0000-0000-0000F0040000}"/>
    <cellStyle name="20% - Accent4 2 41 2" xfId="19749" xr:uid="{00000000-0005-0000-0000-0000F1040000}"/>
    <cellStyle name="20% - Accent4 2 42" xfId="1504" xr:uid="{00000000-0005-0000-0000-0000F2040000}"/>
    <cellStyle name="20% - Accent4 2 42 2" xfId="19750" xr:uid="{00000000-0005-0000-0000-0000F3040000}"/>
    <cellStyle name="20% - Accent4 2 43" xfId="1505" xr:uid="{00000000-0005-0000-0000-0000F4040000}"/>
    <cellStyle name="20% - Accent4 2 43 2" xfId="19751" xr:uid="{00000000-0005-0000-0000-0000F5040000}"/>
    <cellStyle name="20% - Accent4 2 44" xfId="1506" xr:uid="{00000000-0005-0000-0000-0000F6040000}"/>
    <cellStyle name="20% - Accent4 2 44 2" xfId="19752" xr:uid="{00000000-0005-0000-0000-0000F7040000}"/>
    <cellStyle name="20% - Accent4 2 5" xfId="1507" xr:uid="{00000000-0005-0000-0000-0000F8040000}"/>
    <cellStyle name="20% - Accent4 2 5 2" xfId="19753" xr:uid="{00000000-0005-0000-0000-0000F9040000}"/>
    <cellStyle name="20% - Accent4 2 6" xfId="1508" xr:uid="{00000000-0005-0000-0000-0000FA040000}"/>
    <cellStyle name="20% - Accent4 2 6 2" xfId="19754" xr:uid="{00000000-0005-0000-0000-0000FB040000}"/>
    <cellStyle name="20% - Accent4 2 7" xfId="1509" xr:uid="{00000000-0005-0000-0000-0000FC040000}"/>
    <cellStyle name="20% - Accent4 2 7 2" xfId="19755" xr:uid="{00000000-0005-0000-0000-0000FD040000}"/>
    <cellStyle name="20% - Accent4 2 8" xfId="1510" xr:uid="{00000000-0005-0000-0000-0000FE040000}"/>
    <cellStyle name="20% - Accent4 2 8 2" xfId="19756" xr:uid="{00000000-0005-0000-0000-0000FF040000}"/>
    <cellStyle name="20% - Accent4 2 9" xfId="1511" xr:uid="{00000000-0005-0000-0000-000000050000}"/>
    <cellStyle name="20% - Accent4 2 9 2" xfId="19757" xr:uid="{00000000-0005-0000-0000-000001050000}"/>
    <cellStyle name="20% - Accent4 2_DATA Input" xfId="1512" xr:uid="{00000000-0005-0000-0000-000002050000}"/>
    <cellStyle name="20% - Accent4 20" xfId="1513" xr:uid="{00000000-0005-0000-0000-000003050000}"/>
    <cellStyle name="20% - Accent4 21" xfId="1514" xr:uid="{00000000-0005-0000-0000-000004050000}"/>
    <cellStyle name="20% - Accent4 22" xfId="1515" xr:uid="{00000000-0005-0000-0000-000005050000}"/>
    <cellStyle name="20% - Accent4 23" xfId="1516" xr:uid="{00000000-0005-0000-0000-000006050000}"/>
    <cellStyle name="20% - Accent4 24" xfId="1517" xr:uid="{00000000-0005-0000-0000-000007050000}"/>
    <cellStyle name="20% - Accent4 3" xfId="1518" xr:uid="{00000000-0005-0000-0000-000008050000}"/>
    <cellStyle name="20% - Accent4 3 10" xfId="1519" xr:uid="{00000000-0005-0000-0000-000009050000}"/>
    <cellStyle name="20% - Accent4 3 11" xfId="1520" xr:uid="{00000000-0005-0000-0000-00000A050000}"/>
    <cellStyle name="20% - Accent4 3 12" xfId="1521" xr:uid="{00000000-0005-0000-0000-00000B050000}"/>
    <cellStyle name="20% - Accent4 3 13" xfId="1522" xr:uid="{00000000-0005-0000-0000-00000C050000}"/>
    <cellStyle name="20% - Accent4 3 14" xfId="1523" xr:uid="{00000000-0005-0000-0000-00000D050000}"/>
    <cellStyle name="20% - Accent4 3 15" xfId="1524" xr:uid="{00000000-0005-0000-0000-00000E050000}"/>
    <cellStyle name="20% - Accent4 3 16" xfId="1525" xr:uid="{00000000-0005-0000-0000-00000F050000}"/>
    <cellStyle name="20% - Accent4 3 17" xfId="1526" xr:uid="{00000000-0005-0000-0000-000010050000}"/>
    <cellStyle name="20% - Accent4 3 18" xfId="1527" xr:uid="{00000000-0005-0000-0000-000011050000}"/>
    <cellStyle name="20% - Accent4 3 19" xfId="1528" xr:uid="{00000000-0005-0000-0000-000012050000}"/>
    <cellStyle name="20% - Accent4 3 2" xfId="1529" xr:uid="{00000000-0005-0000-0000-000013050000}"/>
    <cellStyle name="20% - Accent4 3 20" xfId="1530" xr:uid="{00000000-0005-0000-0000-000014050000}"/>
    <cellStyle name="20% - Accent4 3 21" xfId="1531" xr:uid="{00000000-0005-0000-0000-000015050000}"/>
    <cellStyle name="20% - Accent4 3 22" xfId="1532" xr:uid="{00000000-0005-0000-0000-000016050000}"/>
    <cellStyle name="20% - Accent4 3 23" xfId="1533" xr:uid="{00000000-0005-0000-0000-000017050000}"/>
    <cellStyle name="20% - Accent4 3 24" xfId="1534" xr:uid="{00000000-0005-0000-0000-000018050000}"/>
    <cellStyle name="20% - Accent4 3 25" xfId="1535" xr:uid="{00000000-0005-0000-0000-000019050000}"/>
    <cellStyle name="20% - Accent4 3 26" xfId="1536" xr:uid="{00000000-0005-0000-0000-00001A050000}"/>
    <cellStyle name="20% - Accent4 3 27" xfId="1537" xr:uid="{00000000-0005-0000-0000-00001B050000}"/>
    <cellStyle name="20% - Accent4 3 28" xfId="1538" xr:uid="{00000000-0005-0000-0000-00001C050000}"/>
    <cellStyle name="20% - Accent4 3 29" xfId="1539" xr:uid="{00000000-0005-0000-0000-00001D050000}"/>
    <cellStyle name="20% - Accent4 3 3" xfId="1540" xr:uid="{00000000-0005-0000-0000-00001E050000}"/>
    <cellStyle name="20% - Accent4 3 30" xfId="1541" xr:uid="{00000000-0005-0000-0000-00001F050000}"/>
    <cellStyle name="20% - Accent4 3 31" xfId="1542" xr:uid="{00000000-0005-0000-0000-000020050000}"/>
    <cellStyle name="20% - Accent4 3 32" xfId="1543" xr:uid="{00000000-0005-0000-0000-000021050000}"/>
    <cellStyle name="20% - Accent4 3 4" xfId="1544" xr:uid="{00000000-0005-0000-0000-000022050000}"/>
    <cellStyle name="20% - Accent4 3 5" xfId="1545" xr:uid="{00000000-0005-0000-0000-000023050000}"/>
    <cellStyle name="20% - Accent4 3 6" xfId="1546" xr:uid="{00000000-0005-0000-0000-000024050000}"/>
    <cellStyle name="20% - Accent4 3 7" xfId="1547" xr:uid="{00000000-0005-0000-0000-000025050000}"/>
    <cellStyle name="20% - Accent4 3 8" xfId="1548" xr:uid="{00000000-0005-0000-0000-000026050000}"/>
    <cellStyle name="20% - Accent4 3 9" xfId="1549" xr:uid="{00000000-0005-0000-0000-000027050000}"/>
    <cellStyle name="20% - Accent4 4" xfId="1550" xr:uid="{00000000-0005-0000-0000-000028050000}"/>
    <cellStyle name="20% - Accent4 5" xfId="1551" xr:uid="{00000000-0005-0000-0000-000029050000}"/>
    <cellStyle name="20% - Accent4 6" xfId="1552" xr:uid="{00000000-0005-0000-0000-00002A050000}"/>
    <cellStyle name="20% - Accent4 7" xfId="1553" xr:uid="{00000000-0005-0000-0000-00002B050000}"/>
    <cellStyle name="20% - Accent4 8" xfId="1554" xr:uid="{00000000-0005-0000-0000-00002C050000}"/>
    <cellStyle name="20% - Accent4 9" xfId="1555" xr:uid="{00000000-0005-0000-0000-00002D050000}"/>
    <cellStyle name="20% - Accent5 10" xfId="1556" xr:uid="{00000000-0005-0000-0000-00002E050000}"/>
    <cellStyle name="20% - Accent5 11" xfId="1557" xr:uid="{00000000-0005-0000-0000-00002F050000}"/>
    <cellStyle name="20% - Accent5 12" xfId="1558" xr:uid="{00000000-0005-0000-0000-000030050000}"/>
    <cellStyle name="20% - Accent5 13" xfId="1559" xr:uid="{00000000-0005-0000-0000-000031050000}"/>
    <cellStyle name="20% - Accent5 14" xfId="1560" xr:uid="{00000000-0005-0000-0000-000032050000}"/>
    <cellStyle name="20% - Accent5 15" xfId="1561" xr:uid="{00000000-0005-0000-0000-000033050000}"/>
    <cellStyle name="20% - Accent5 16" xfId="1562" xr:uid="{00000000-0005-0000-0000-000034050000}"/>
    <cellStyle name="20% - Accent5 17" xfId="1563" xr:uid="{00000000-0005-0000-0000-000035050000}"/>
    <cellStyle name="20% - Accent5 18" xfId="1564" xr:uid="{00000000-0005-0000-0000-000036050000}"/>
    <cellStyle name="20% - Accent5 19" xfId="1565" xr:uid="{00000000-0005-0000-0000-000037050000}"/>
    <cellStyle name="20% - Accent5 2" xfId="37" xr:uid="{00000000-0005-0000-0000-000038050000}"/>
    <cellStyle name="20% - Accent5 2 10" xfId="1566" xr:uid="{00000000-0005-0000-0000-000039050000}"/>
    <cellStyle name="20% - Accent5 2 10 2" xfId="19758" xr:uid="{00000000-0005-0000-0000-00003A050000}"/>
    <cellStyle name="20% - Accent5 2 11" xfId="1567" xr:uid="{00000000-0005-0000-0000-00003B050000}"/>
    <cellStyle name="20% - Accent5 2 11 2" xfId="19759" xr:uid="{00000000-0005-0000-0000-00003C050000}"/>
    <cellStyle name="20% - Accent5 2 12" xfId="1568" xr:uid="{00000000-0005-0000-0000-00003D050000}"/>
    <cellStyle name="20% - Accent5 2 12 2" xfId="19760" xr:uid="{00000000-0005-0000-0000-00003E050000}"/>
    <cellStyle name="20% - Accent5 2 13" xfId="1569" xr:uid="{00000000-0005-0000-0000-00003F050000}"/>
    <cellStyle name="20% - Accent5 2 13 2" xfId="19761" xr:uid="{00000000-0005-0000-0000-000040050000}"/>
    <cellStyle name="20% - Accent5 2 14" xfId="1570" xr:uid="{00000000-0005-0000-0000-000041050000}"/>
    <cellStyle name="20% - Accent5 2 14 2" xfId="19762" xr:uid="{00000000-0005-0000-0000-000042050000}"/>
    <cellStyle name="20% - Accent5 2 15" xfId="1571" xr:uid="{00000000-0005-0000-0000-000043050000}"/>
    <cellStyle name="20% - Accent5 2 15 2" xfId="19763" xr:uid="{00000000-0005-0000-0000-000044050000}"/>
    <cellStyle name="20% - Accent5 2 16" xfId="1572" xr:uid="{00000000-0005-0000-0000-000045050000}"/>
    <cellStyle name="20% - Accent5 2 16 2" xfId="19764" xr:uid="{00000000-0005-0000-0000-000046050000}"/>
    <cellStyle name="20% - Accent5 2 17" xfId="1573" xr:uid="{00000000-0005-0000-0000-000047050000}"/>
    <cellStyle name="20% - Accent5 2 17 2" xfId="19765" xr:uid="{00000000-0005-0000-0000-000048050000}"/>
    <cellStyle name="20% - Accent5 2 18" xfId="1574" xr:uid="{00000000-0005-0000-0000-000049050000}"/>
    <cellStyle name="20% - Accent5 2 18 2" xfId="19766" xr:uid="{00000000-0005-0000-0000-00004A050000}"/>
    <cellStyle name="20% - Accent5 2 19" xfId="1575" xr:uid="{00000000-0005-0000-0000-00004B050000}"/>
    <cellStyle name="20% - Accent5 2 19 2" xfId="19767" xr:uid="{00000000-0005-0000-0000-00004C050000}"/>
    <cellStyle name="20% - Accent5 2 2" xfId="1576" xr:uid="{00000000-0005-0000-0000-00004D050000}"/>
    <cellStyle name="20% - Accent5 2 2 10" xfId="1577" xr:uid="{00000000-0005-0000-0000-00004E050000}"/>
    <cellStyle name="20% - Accent5 2 2 10 2" xfId="19769" xr:uid="{00000000-0005-0000-0000-00004F050000}"/>
    <cellStyle name="20% - Accent5 2 2 11" xfId="1578" xr:uid="{00000000-0005-0000-0000-000050050000}"/>
    <cellStyle name="20% - Accent5 2 2 11 2" xfId="19770" xr:uid="{00000000-0005-0000-0000-000051050000}"/>
    <cellStyle name="20% - Accent5 2 2 12" xfId="1579" xr:uid="{00000000-0005-0000-0000-000052050000}"/>
    <cellStyle name="20% - Accent5 2 2 12 2" xfId="19771" xr:uid="{00000000-0005-0000-0000-000053050000}"/>
    <cellStyle name="20% - Accent5 2 2 13" xfId="1580" xr:uid="{00000000-0005-0000-0000-000054050000}"/>
    <cellStyle name="20% - Accent5 2 2 13 2" xfId="19772" xr:uid="{00000000-0005-0000-0000-000055050000}"/>
    <cellStyle name="20% - Accent5 2 2 14" xfId="1581" xr:uid="{00000000-0005-0000-0000-000056050000}"/>
    <cellStyle name="20% - Accent5 2 2 14 2" xfId="19773" xr:uid="{00000000-0005-0000-0000-000057050000}"/>
    <cellStyle name="20% - Accent5 2 2 15" xfId="1582" xr:uid="{00000000-0005-0000-0000-000058050000}"/>
    <cellStyle name="20% - Accent5 2 2 15 2" xfId="19774" xr:uid="{00000000-0005-0000-0000-000059050000}"/>
    <cellStyle name="20% - Accent5 2 2 16" xfId="1583" xr:uid="{00000000-0005-0000-0000-00005A050000}"/>
    <cellStyle name="20% - Accent5 2 2 16 2" xfId="19775" xr:uid="{00000000-0005-0000-0000-00005B050000}"/>
    <cellStyle name="20% - Accent5 2 2 17" xfId="1584" xr:uid="{00000000-0005-0000-0000-00005C050000}"/>
    <cellStyle name="20% - Accent5 2 2 17 2" xfId="19776" xr:uid="{00000000-0005-0000-0000-00005D050000}"/>
    <cellStyle name="20% - Accent5 2 2 18" xfId="1585" xr:uid="{00000000-0005-0000-0000-00005E050000}"/>
    <cellStyle name="20% - Accent5 2 2 18 2" xfId="19777" xr:uid="{00000000-0005-0000-0000-00005F050000}"/>
    <cellStyle name="20% - Accent5 2 2 19" xfId="1586" xr:uid="{00000000-0005-0000-0000-000060050000}"/>
    <cellStyle name="20% - Accent5 2 2 19 2" xfId="19778" xr:uid="{00000000-0005-0000-0000-000061050000}"/>
    <cellStyle name="20% - Accent5 2 2 2" xfId="1587" xr:uid="{00000000-0005-0000-0000-000062050000}"/>
    <cellStyle name="20% - Accent5 2 2 2 2" xfId="19779" xr:uid="{00000000-0005-0000-0000-000063050000}"/>
    <cellStyle name="20% - Accent5 2 2 20" xfId="1588" xr:uid="{00000000-0005-0000-0000-000064050000}"/>
    <cellStyle name="20% - Accent5 2 2 20 2" xfId="19780" xr:uid="{00000000-0005-0000-0000-000065050000}"/>
    <cellStyle name="20% - Accent5 2 2 21" xfId="1589" xr:uid="{00000000-0005-0000-0000-000066050000}"/>
    <cellStyle name="20% - Accent5 2 2 21 2" xfId="19781" xr:uid="{00000000-0005-0000-0000-000067050000}"/>
    <cellStyle name="20% - Accent5 2 2 22" xfId="1590" xr:uid="{00000000-0005-0000-0000-000068050000}"/>
    <cellStyle name="20% - Accent5 2 2 22 2" xfId="19782" xr:uid="{00000000-0005-0000-0000-000069050000}"/>
    <cellStyle name="20% - Accent5 2 2 23" xfId="1591" xr:uid="{00000000-0005-0000-0000-00006A050000}"/>
    <cellStyle name="20% - Accent5 2 2 23 2" xfId="19783" xr:uid="{00000000-0005-0000-0000-00006B050000}"/>
    <cellStyle name="20% - Accent5 2 2 24" xfId="1592" xr:uid="{00000000-0005-0000-0000-00006C050000}"/>
    <cellStyle name="20% - Accent5 2 2 24 2" xfId="19784" xr:uid="{00000000-0005-0000-0000-00006D050000}"/>
    <cellStyle name="20% - Accent5 2 2 25" xfId="1593" xr:uid="{00000000-0005-0000-0000-00006E050000}"/>
    <cellStyle name="20% - Accent5 2 2 25 2" xfId="19785" xr:uid="{00000000-0005-0000-0000-00006F050000}"/>
    <cellStyle name="20% - Accent5 2 2 26" xfId="1594" xr:uid="{00000000-0005-0000-0000-000070050000}"/>
    <cellStyle name="20% - Accent5 2 2 26 2" xfId="19786" xr:uid="{00000000-0005-0000-0000-000071050000}"/>
    <cellStyle name="20% - Accent5 2 2 27" xfId="1595" xr:uid="{00000000-0005-0000-0000-000072050000}"/>
    <cellStyle name="20% - Accent5 2 2 27 2" xfId="19787" xr:uid="{00000000-0005-0000-0000-000073050000}"/>
    <cellStyle name="20% - Accent5 2 2 28" xfId="1596" xr:uid="{00000000-0005-0000-0000-000074050000}"/>
    <cellStyle name="20% - Accent5 2 2 28 2" xfId="19788" xr:uid="{00000000-0005-0000-0000-000075050000}"/>
    <cellStyle name="20% - Accent5 2 2 29" xfId="1597" xr:uid="{00000000-0005-0000-0000-000076050000}"/>
    <cellStyle name="20% - Accent5 2 2 29 2" xfId="19789" xr:uid="{00000000-0005-0000-0000-000077050000}"/>
    <cellStyle name="20% - Accent5 2 2 3" xfId="1598" xr:uid="{00000000-0005-0000-0000-000078050000}"/>
    <cellStyle name="20% - Accent5 2 2 3 2" xfId="19790" xr:uid="{00000000-0005-0000-0000-000079050000}"/>
    <cellStyle name="20% - Accent5 2 2 30" xfId="1599" xr:uid="{00000000-0005-0000-0000-00007A050000}"/>
    <cellStyle name="20% - Accent5 2 2 30 2" xfId="19791" xr:uid="{00000000-0005-0000-0000-00007B050000}"/>
    <cellStyle name="20% - Accent5 2 2 31" xfId="1600" xr:uid="{00000000-0005-0000-0000-00007C050000}"/>
    <cellStyle name="20% - Accent5 2 2 31 2" xfId="19792" xr:uid="{00000000-0005-0000-0000-00007D050000}"/>
    <cellStyle name="20% - Accent5 2 2 32" xfId="1601" xr:uid="{00000000-0005-0000-0000-00007E050000}"/>
    <cellStyle name="20% - Accent5 2 2 32 2" xfId="19793" xr:uid="{00000000-0005-0000-0000-00007F050000}"/>
    <cellStyle name="20% - Accent5 2 2 33" xfId="1602" xr:uid="{00000000-0005-0000-0000-000080050000}"/>
    <cellStyle name="20% - Accent5 2 2 33 2" xfId="19794" xr:uid="{00000000-0005-0000-0000-000081050000}"/>
    <cellStyle name="20% - Accent5 2 2 34" xfId="1603" xr:uid="{00000000-0005-0000-0000-000082050000}"/>
    <cellStyle name="20% - Accent5 2 2 34 2" xfId="19795" xr:uid="{00000000-0005-0000-0000-000083050000}"/>
    <cellStyle name="20% - Accent5 2 2 35" xfId="1604" xr:uid="{00000000-0005-0000-0000-000084050000}"/>
    <cellStyle name="20% - Accent5 2 2 35 2" xfId="19796" xr:uid="{00000000-0005-0000-0000-000085050000}"/>
    <cellStyle name="20% - Accent5 2 2 36" xfId="1605" xr:uid="{00000000-0005-0000-0000-000086050000}"/>
    <cellStyle name="20% - Accent5 2 2 36 2" xfId="19797" xr:uid="{00000000-0005-0000-0000-000087050000}"/>
    <cellStyle name="20% - Accent5 2 2 37" xfId="1606" xr:uid="{00000000-0005-0000-0000-000088050000}"/>
    <cellStyle name="20% - Accent5 2 2 37 2" xfId="19798" xr:uid="{00000000-0005-0000-0000-000089050000}"/>
    <cellStyle name="20% - Accent5 2 2 38" xfId="1607" xr:uid="{00000000-0005-0000-0000-00008A050000}"/>
    <cellStyle name="20% - Accent5 2 2 38 2" xfId="19799" xr:uid="{00000000-0005-0000-0000-00008B050000}"/>
    <cellStyle name="20% - Accent5 2 2 39" xfId="1608" xr:uid="{00000000-0005-0000-0000-00008C050000}"/>
    <cellStyle name="20% - Accent5 2 2 39 2" xfId="19800" xr:uid="{00000000-0005-0000-0000-00008D050000}"/>
    <cellStyle name="20% - Accent5 2 2 4" xfId="1609" xr:uid="{00000000-0005-0000-0000-00008E050000}"/>
    <cellStyle name="20% - Accent5 2 2 4 2" xfId="19801" xr:uid="{00000000-0005-0000-0000-00008F050000}"/>
    <cellStyle name="20% - Accent5 2 2 40" xfId="1610" xr:uid="{00000000-0005-0000-0000-000090050000}"/>
    <cellStyle name="20% - Accent5 2 2 40 2" xfId="19802" xr:uid="{00000000-0005-0000-0000-000091050000}"/>
    <cellStyle name="20% - Accent5 2 2 41" xfId="1611" xr:uid="{00000000-0005-0000-0000-000092050000}"/>
    <cellStyle name="20% - Accent5 2 2 41 2" xfId="19803" xr:uid="{00000000-0005-0000-0000-000093050000}"/>
    <cellStyle name="20% - Accent5 2 2 42" xfId="1612" xr:uid="{00000000-0005-0000-0000-000094050000}"/>
    <cellStyle name="20% - Accent5 2 2 42 2" xfId="19804" xr:uid="{00000000-0005-0000-0000-000095050000}"/>
    <cellStyle name="20% - Accent5 2 2 43" xfId="19768" xr:uid="{00000000-0005-0000-0000-000096050000}"/>
    <cellStyle name="20% - Accent5 2 2 5" xfId="1613" xr:uid="{00000000-0005-0000-0000-000097050000}"/>
    <cellStyle name="20% - Accent5 2 2 5 2" xfId="19805" xr:uid="{00000000-0005-0000-0000-000098050000}"/>
    <cellStyle name="20% - Accent5 2 2 6" xfId="1614" xr:uid="{00000000-0005-0000-0000-000099050000}"/>
    <cellStyle name="20% - Accent5 2 2 6 2" xfId="19806" xr:uid="{00000000-0005-0000-0000-00009A050000}"/>
    <cellStyle name="20% - Accent5 2 2 7" xfId="1615" xr:uid="{00000000-0005-0000-0000-00009B050000}"/>
    <cellStyle name="20% - Accent5 2 2 7 2" xfId="19807" xr:uid="{00000000-0005-0000-0000-00009C050000}"/>
    <cellStyle name="20% - Accent5 2 2 8" xfId="1616" xr:uid="{00000000-0005-0000-0000-00009D050000}"/>
    <cellStyle name="20% - Accent5 2 2 8 2" xfId="19808" xr:uid="{00000000-0005-0000-0000-00009E050000}"/>
    <cellStyle name="20% - Accent5 2 2 9" xfId="1617" xr:uid="{00000000-0005-0000-0000-00009F050000}"/>
    <cellStyle name="20% - Accent5 2 2 9 2" xfId="19809" xr:uid="{00000000-0005-0000-0000-0000A0050000}"/>
    <cellStyle name="20% - Accent5 2 2_DATA Input" xfId="1618" xr:uid="{00000000-0005-0000-0000-0000A1050000}"/>
    <cellStyle name="20% - Accent5 2 20" xfId="1619" xr:uid="{00000000-0005-0000-0000-0000A2050000}"/>
    <cellStyle name="20% - Accent5 2 20 2" xfId="19810" xr:uid="{00000000-0005-0000-0000-0000A3050000}"/>
    <cellStyle name="20% - Accent5 2 21" xfId="1620" xr:uid="{00000000-0005-0000-0000-0000A4050000}"/>
    <cellStyle name="20% - Accent5 2 21 2" xfId="19811" xr:uid="{00000000-0005-0000-0000-0000A5050000}"/>
    <cellStyle name="20% - Accent5 2 22" xfId="1621" xr:uid="{00000000-0005-0000-0000-0000A6050000}"/>
    <cellStyle name="20% - Accent5 2 22 2" xfId="19812" xr:uid="{00000000-0005-0000-0000-0000A7050000}"/>
    <cellStyle name="20% - Accent5 2 23" xfId="1622" xr:uid="{00000000-0005-0000-0000-0000A8050000}"/>
    <cellStyle name="20% - Accent5 2 23 2" xfId="19813" xr:uid="{00000000-0005-0000-0000-0000A9050000}"/>
    <cellStyle name="20% - Accent5 2 24" xfId="1623" xr:uid="{00000000-0005-0000-0000-0000AA050000}"/>
    <cellStyle name="20% - Accent5 2 24 2" xfId="19814" xr:uid="{00000000-0005-0000-0000-0000AB050000}"/>
    <cellStyle name="20% - Accent5 2 25" xfId="1624" xr:uid="{00000000-0005-0000-0000-0000AC050000}"/>
    <cellStyle name="20% - Accent5 2 25 2" xfId="19815" xr:uid="{00000000-0005-0000-0000-0000AD050000}"/>
    <cellStyle name="20% - Accent5 2 26" xfId="1625" xr:uid="{00000000-0005-0000-0000-0000AE050000}"/>
    <cellStyle name="20% - Accent5 2 26 2" xfId="19816" xr:uid="{00000000-0005-0000-0000-0000AF050000}"/>
    <cellStyle name="20% - Accent5 2 27" xfId="1626" xr:uid="{00000000-0005-0000-0000-0000B0050000}"/>
    <cellStyle name="20% - Accent5 2 27 2" xfId="19817" xr:uid="{00000000-0005-0000-0000-0000B1050000}"/>
    <cellStyle name="20% - Accent5 2 28" xfId="1627" xr:uid="{00000000-0005-0000-0000-0000B2050000}"/>
    <cellStyle name="20% - Accent5 2 28 2" xfId="19818" xr:uid="{00000000-0005-0000-0000-0000B3050000}"/>
    <cellStyle name="20% - Accent5 2 29" xfId="1628" xr:uid="{00000000-0005-0000-0000-0000B4050000}"/>
    <cellStyle name="20% - Accent5 2 29 2" xfId="19819" xr:uid="{00000000-0005-0000-0000-0000B5050000}"/>
    <cellStyle name="20% - Accent5 2 3" xfId="1629" xr:uid="{00000000-0005-0000-0000-0000B6050000}"/>
    <cellStyle name="20% - Accent5 2 3 2" xfId="19820" xr:uid="{00000000-0005-0000-0000-0000B7050000}"/>
    <cellStyle name="20% - Accent5 2 30" xfId="1630" xr:uid="{00000000-0005-0000-0000-0000B8050000}"/>
    <cellStyle name="20% - Accent5 2 30 2" xfId="19821" xr:uid="{00000000-0005-0000-0000-0000B9050000}"/>
    <cellStyle name="20% - Accent5 2 31" xfId="1631" xr:uid="{00000000-0005-0000-0000-0000BA050000}"/>
    <cellStyle name="20% - Accent5 2 31 2" xfId="19822" xr:uid="{00000000-0005-0000-0000-0000BB050000}"/>
    <cellStyle name="20% - Accent5 2 32" xfId="1632" xr:uid="{00000000-0005-0000-0000-0000BC050000}"/>
    <cellStyle name="20% - Accent5 2 32 2" xfId="19823" xr:uid="{00000000-0005-0000-0000-0000BD050000}"/>
    <cellStyle name="20% - Accent5 2 33" xfId="1633" xr:uid="{00000000-0005-0000-0000-0000BE050000}"/>
    <cellStyle name="20% - Accent5 2 33 2" xfId="19824" xr:uid="{00000000-0005-0000-0000-0000BF050000}"/>
    <cellStyle name="20% - Accent5 2 34" xfId="1634" xr:uid="{00000000-0005-0000-0000-0000C0050000}"/>
    <cellStyle name="20% - Accent5 2 34 2" xfId="19825" xr:uid="{00000000-0005-0000-0000-0000C1050000}"/>
    <cellStyle name="20% - Accent5 2 35" xfId="1635" xr:uid="{00000000-0005-0000-0000-0000C2050000}"/>
    <cellStyle name="20% - Accent5 2 35 2" xfId="19826" xr:uid="{00000000-0005-0000-0000-0000C3050000}"/>
    <cellStyle name="20% - Accent5 2 36" xfId="1636" xr:uid="{00000000-0005-0000-0000-0000C4050000}"/>
    <cellStyle name="20% - Accent5 2 36 2" xfId="19827" xr:uid="{00000000-0005-0000-0000-0000C5050000}"/>
    <cellStyle name="20% - Accent5 2 37" xfId="1637" xr:uid="{00000000-0005-0000-0000-0000C6050000}"/>
    <cellStyle name="20% - Accent5 2 37 2" xfId="19828" xr:uid="{00000000-0005-0000-0000-0000C7050000}"/>
    <cellStyle name="20% - Accent5 2 38" xfId="1638" xr:uid="{00000000-0005-0000-0000-0000C8050000}"/>
    <cellStyle name="20% - Accent5 2 38 2" xfId="19829" xr:uid="{00000000-0005-0000-0000-0000C9050000}"/>
    <cellStyle name="20% - Accent5 2 39" xfId="1639" xr:uid="{00000000-0005-0000-0000-0000CA050000}"/>
    <cellStyle name="20% - Accent5 2 39 2" xfId="19830" xr:uid="{00000000-0005-0000-0000-0000CB050000}"/>
    <cellStyle name="20% - Accent5 2 4" xfId="1640" xr:uid="{00000000-0005-0000-0000-0000CC050000}"/>
    <cellStyle name="20% - Accent5 2 4 2" xfId="19831" xr:uid="{00000000-0005-0000-0000-0000CD050000}"/>
    <cellStyle name="20% - Accent5 2 40" xfId="1641" xr:uid="{00000000-0005-0000-0000-0000CE050000}"/>
    <cellStyle name="20% - Accent5 2 40 2" xfId="19832" xr:uid="{00000000-0005-0000-0000-0000CF050000}"/>
    <cellStyle name="20% - Accent5 2 41" xfId="1642" xr:uid="{00000000-0005-0000-0000-0000D0050000}"/>
    <cellStyle name="20% - Accent5 2 41 2" xfId="19833" xr:uid="{00000000-0005-0000-0000-0000D1050000}"/>
    <cellStyle name="20% - Accent5 2 42" xfId="1643" xr:uid="{00000000-0005-0000-0000-0000D2050000}"/>
    <cellStyle name="20% - Accent5 2 42 2" xfId="19834" xr:uid="{00000000-0005-0000-0000-0000D3050000}"/>
    <cellStyle name="20% - Accent5 2 43" xfId="1644" xr:uid="{00000000-0005-0000-0000-0000D4050000}"/>
    <cellStyle name="20% - Accent5 2 43 2" xfId="19835" xr:uid="{00000000-0005-0000-0000-0000D5050000}"/>
    <cellStyle name="20% - Accent5 2 44" xfId="1645" xr:uid="{00000000-0005-0000-0000-0000D6050000}"/>
    <cellStyle name="20% - Accent5 2 44 2" xfId="19836" xr:uid="{00000000-0005-0000-0000-0000D7050000}"/>
    <cellStyle name="20% - Accent5 2 5" xfId="1646" xr:uid="{00000000-0005-0000-0000-0000D8050000}"/>
    <cellStyle name="20% - Accent5 2 5 2" xfId="19837" xr:uid="{00000000-0005-0000-0000-0000D9050000}"/>
    <cellStyle name="20% - Accent5 2 6" xfId="1647" xr:uid="{00000000-0005-0000-0000-0000DA050000}"/>
    <cellStyle name="20% - Accent5 2 6 2" xfId="19838" xr:uid="{00000000-0005-0000-0000-0000DB050000}"/>
    <cellStyle name="20% - Accent5 2 7" xfId="1648" xr:uid="{00000000-0005-0000-0000-0000DC050000}"/>
    <cellStyle name="20% - Accent5 2 7 2" xfId="19839" xr:uid="{00000000-0005-0000-0000-0000DD050000}"/>
    <cellStyle name="20% - Accent5 2 8" xfId="1649" xr:uid="{00000000-0005-0000-0000-0000DE050000}"/>
    <cellStyle name="20% - Accent5 2 8 2" xfId="19840" xr:uid="{00000000-0005-0000-0000-0000DF050000}"/>
    <cellStyle name="20% - Accent5 2 9" xfId="1650" xr:uid="{00000000-0005-0000-0000-0000E0050000}"/>
    <cellStyle name="20% - Accent5 2 9 2" xfId="19841" xr:uid="{00000000-0005-0000-0000-0000E1050000}"/>
    <cellStyle name="20% - Accent5 2_DATA Input" xfId="1651" xr:uid="{00000000-0005-0000-0000-0000E2050000}"/>
    <cellStyle name="20% - Accent5 20" xfId="1652" xr:uid="{00000000-0005-0000-0000-0000E3050000}"/>
    <cellStyle name="20% - Accent5 21" xfId="1653" xr:uid="{00000000-0005-0000-0000-0000E4050000}"/>
    <cellStyle name="20% - Accent5 22" xfId="1654" xr:uid="{00000000-0005-0000-0000-0000E5050000}"/>
    <cellStyle name="20% - Accent5 23" xfId="1655" xr:uid="{00000000-0005-0000-0000-0000E6050000}"/>
    <cellStyle name="20% - Accent5 24" xfId="1656" xr:uid="{00000000-0005-0000-0000-0000E7050000}"/>
    <cellStyle name="20% - Accent5 3" xfId="1657" xr:uid="{00000000-0005-0000-0000-0000E8050000}"/>
    <cellStyle name="20% - Accent5 3 10" xfId="1658" xr:uid="{00000000-0005-0000-0000-0000E9050000}"/>
    <cellStyle name="20% - Accent5 3 11" xfId="1659" xr:uid="{00000000-0005-0000-0000-0000EA050000}"/>
    <cellStyle name="20% - Accent5 3 12" xfId="1660" xr:uid="{00000000-0005-0000-0000-0000EB050000}"/>
    <cellStyle name="20% - Accent5 3 13" xfId="1661" xr:uid="{00000000-0005-0000-0000-0000EC050000}"/>
    <cellStyle name="20% - Accent5 3 14" xfId="1662" xr:uid="{00000000-0005-0000-0000-0000ED050000}"/>
    <cellStyle name="20% - Accent5 3 15" xfId="1663" xr:uid="{00000000-0005-0000-0000-0000EE050000}"/>
    <cellStyle name="20% - Accent5 3 16" xfId="1664" xr:uid="{00000000-0005-0000-0000-0000EF050000}"/>
    <cellStyle name="20% - Accent5 3 17" xfId="1665" xr:uid="{00000000-0005-0000-0000-0000F0050000}"/>
    <cellStyle name="20% - Accent5 3 18" xfId="1666" xr:uid="{00000000-0005-0000-0000-0000F1050000}"/>
    <cellStyle name="20% - Accent5 3 19" xfId="1667" xr:uid="{00000000-0005-0000-0000-0000F2050000}"/>
    <cellStyle name="20% - Accent5 3 2" xfId="1668" xr:uid="{00000000-0005-0000-0000-0000F3050000}"/>
    <cellStyle name="20% - Accent5 3 20" xfId="1669" xr:uid="{00000000-0005-0000-0000-0000F4050000}"/>
    <cellStyle name="20% - Accent5 3 21" xfId="1670" xr:uid="{00000000-0005-0000-0000-0000F5050000}"/>
    <cellStyle name="20% - Accent5 3 22" xfId="1671" xr:uid="{00000000-0005-0000-0000-0000F6050000}"/>
    <cellStyle name="20% - Accent5 3 23" xfId="1672" xr:uid="{00000000-0005-0000-0000-0000F7050000}"/>
    <cellStyle name="20% - Accent5 3 24" xfId="1673" xr:uid="{00000000-0005-0000-0000-0000F8050000}"/>
    <cellStyle name="20% - Accent5 3 25" xfId="1674" xr:uid="{00000000-0005-0000-0000-0000F9050000}"/>
    <cellStyle name="20% - Accent5 3 26" xfId="1675" xr:uid="{00000000-0005-0000-0000-0000FA050000}"/>
    <cellStyle name="20% - Accent5 3 27" xfId="1676" xr:uid="{00000000-0005-0000-0000-0000FB050000}"/>
    <cellStyle name="20% - Accent5 3 28" xfId="1677" xr:uid="{00000000-0005-0000-0000-0000FC050000}"/>
    <cellStyle name="20% - Accent5 3 29" xfId="1678" xr:uid="{00000000-0005-0000-0000-0000FD050000}"/>
    <cellStyle name="20% - Accent5 3 3" xfId="1679" xr:uid="{00000000-0005-0000-0000-0000FE050000}"/>
    <cellStyle name="20% - Accent5 3 30" xfId="1680" xr:uid="{00000000-0005-0000-0000-0000FF050000}"/>
    <cellStyle name="20% - Accent5 3 31" xfId="1681" xr:uid="{00000000-0005-0000-0000-000000060000}"/>
    <cellStyle name="20% - Accent5 3 32" xfId="1682" xr:uid="{00000000-0005-0000-0000-000001060000}"/>
    <cellStyle name="20% - Accent5 3 4" xfId="1683" xr:uid="{00000000-0005-0000-0000-000002060000}"/>
    <cellStyle name="20% - Accent5 3 5" xfId="1684" xr:uid="{00000000-0005-0000-0000-000003060000}"/>
    <cellStyle name="20% - Accent5 3 6" xfId="1685" xr:uid="{00000000-0005-0000-0000-000004060000}"/>
    <cellStyle name="20% - Accent5 3 7" xfId="1686" xr:uid="{00000000-0005-0000-0000-000005060000}"/>
    <cellStyle name="20% - Accent5 3 8" xfId="1687" xr:uid="{00000000-0005-0000-0000-000006060000}"/>
    <cellStyle name="20% - Accent5 3 9" xfId="1688" xr:uid="{00000000-0005-0000-0000-000007060000}"/>
    <cellStyle name="20% - Accent5 4" xfId="1689" xr:uid="{00000000-0005-0000-0000-000008060000}"/>
    <cellStyle name="20% - Accent5 5" xfId="1690" xr:uid="{00000000-0005-0000-0000-000009060000}"/>
    <cellStyle name="20% - Accent5 6" xfId="1691" xr:uid="{00000000-0005-0000-0000-00000A060000}"/>
    <cellStyle name="20% - Accent5 7" xfId="1692" xr:uid="{00000000-0005-0000-0000-00000B060000}"/>
    <cellStyle name="20% - Accent5 8" xfId="1693" xr:uid="{00000000-0005-0000-0000-00000C060000}"/>
    <cellStyle name="20% - Accent5 9" xfId="1694" xr:uid="{00000000-0005-0000-0000-00000D060000}"/>
    <cellStyle name="20% - Accent6 10" xfId="1695" xr:uid="{00000000-0005-0000-0000-00000E060000}"/>
    <cellStyle name="20% - Accent6 11" xfId="1696" xr:uid="{00000000-0005-0000-0000-00000F060000}"/>
    <cellStyle name="20% - Accent6 12" xfId="1697" xr:uid="{00000000-0005-0000-0000-000010060000}"/>
    <cellStyle name="20% - Accent6 13" xfId="1698" xr:uid="{00000000-0005-0000-0000-000011060000}"/>
    <cellStyle name="20% - Accent6 14" xfId="1699" xr:uid="{00000000-0005-0000-0000-000012060000}"/>
    <cellStyle name="20% - Accent6 15" xfId="1700" xr:uid="{00000000-0005-0000-0000-000013060000}"/>
    <cellStyle name="20% - Accent6 16" xfId="1701" xr:uid="{00000000-0005-0000-0000-000014060000}"/>
    <cellStyle name="20% - Accent6 17" xfId="1702" xr:uid="{00000000-0005-0000-0000-000015060000}"/>
    <cellStyle name="20% - Accent6 18" xfId="1703" xr:uid="{00000000-0005-0000-0000-000016060000}"/>
    <cellStyle name="20% - Accent6 19" xfId="1704" xr:uid="{00000000-0005-0000-0000-000017060000}"/>
    <cellStyle name="20% - Accent6 2" xfId="38" xr:uid="{00000000-0005-0000-0000-000018060000}"/>
    <cellStyle name="20% - Accent6 2 10" xfId="1705" xr:uid="{00000000-0005-0000-0000-000019060000}"/>
    <cellStyle name="20% - Accent6 2 10 2" xfId="19842" xr:uid="{00000000-0005-0000-0000-00001A060000}"/>
    <cellStyle name="20% - Accent6 2 11" xfId="1706" xr:uid="{00000000-0005-0000-0000-00001B060000}"/>
    <cellStyle name="20% - Accent6 2 11 2" xfId="19843" xr:uid="{00000000-0005-0000-0000-00001C060000}"/>
    <cellStyle name="20% - Accent6 2 12" xfId="1707" xr:uid="{00000000-0005-0000-0000-00001D060000}"/>
    <cellStyle name="20% - Accent6 2 12 2" xfId="19844" xr:uid="{00000000-0005-0000-0000-00001E060000}"/>
    <cellStyle name="20% - Accent6 2 13" xfId="1708" xr:uid="{00000000-0005-0000-0000-00001F060000}"/>
    <cellStyle name="20% - Accent6 2 13 2" xfId="19845" xr:uid="{00000000-0005-0000-0000-000020060000}"/>
    <cellStyle name="20% - Accent6 2 14" xfId="1709" xr:uid="{00000000-0005-0000-0000-000021060000}"/>
    <cellStyle name="20% - Accent6 2 14 2" xfId="19846" xr:uid="{00000000-0005-0000-0000-000022060000}"/>
    <cellStyle name="20% - Accent6 2 15" xfId="1710" xr:uid="{00000000-0005-0000-0000-000023060000}"/>
    <cellStyle name="20% - Accent6 2 15 2" xfId="19847" xr:uid="{00000000-0005-0000-0000-000024060000}"/>
    <cellStyle name="20% - Accent6 2 16" xfId="1711" xr:uid="{00000000-0005-0000-0000-000025060000}"/>
    <cellStyle name="20% - Accent6 2 16 2" xfId="19848" xr:uid="{00000000-0005-0000-0000-000026060000}"/>
    <cellStyle name="20% - Accent6 2 17" xfId="1712" xr:uid="{00000000-0005-0000-0000-000027060000}"/>
    <cellStyle name="20% - Accent6 2 17 2" xfId="19849" xr:uid="{00000000-0005-0000-0000-000028060000}"/>
    <cellStyle name="20% - Accent6 2 18" xfId="1713" xr:uid="{00000000-0005-0000-0000-000029060000}"/>
    <cellStyle name="20% - Accent6 2 18 2" xfId="19850" xr:uid="{00000000-0005-0000-0000-00002A060000}"/>
    <cellStyle name="20% - Accent6 2 19" xfId="1714" xr:uid="{00000000-0005-0000-0000-00002B060000}"/>
    <cellStyle name="20% - Accent6 2 19 2" xfId="19851" xr:uid="{00000000-0005-0000-0000-00002C060000}"/>
    <cellStyle name="20% - Accent6 2 2" xfId="1715" xr:uid="{00000000-0005-0000-0000-00002D060000}"/>
    <cellStyle name="20% - Accent6 2 2 10" xfId="1716" xr:uid="{00000000-0005-0000-0000-00002E060000}"/>
    <cellStyle name="20% - Accent6 2 2 10 2" xfId="19853" xr:uid="{00000000-0005-0000-0000-00002F060000}"/>
    <cellStyle name="20% - Accent6 2 2 11" xfId="1717" xr:uid="{00000000-0005-0000-0000-000030060000}"/>
    <cellStyle name="20% - Accent6 2 2 11 2" xfId="19854" xr:uid="{00000000-0005-0000-0000-000031060000}"/>
    <cellStyle name="20% - Accent6 2 2 12" xfId="1718" xr:uid="{00000000-0005-0000-0000-000032060000}"/>
    <cellStyle name="20% - Accent6 2 2 12 2" xfId="19855" xr:uid="{00000000-0005-0000-0000-000033060000}"/>
    <cellStyle name="20% - Accent6 2 2 13" xfId="1719" xr:uid="{00000000-0005-0000-0000-000034060000}"/>
    <cellStyle name="20% - Accent6 2 2 13 2" xfId="19856" xr:uid="{00000000-0005-0000-0000-000035060000}"/>
    <cellStyle name="20% - Accent6 2 2 14" xfId="1720" xr:uid="{00000000-0005-0000-0000-000036060000}"/>
    <cellStyle name="20% - Accent6 2 2 14 2" xfId="19857" xr:uid="{00000000-0005-0000-0000-000037060000}"/>
    <cellStyle name="20% - Accent6 2 2 15" xfId="1721" xr:uid="{00000000-0005-0000-0000-000038060000}"/>
    <cellStyle name="20% - Accent6 2 2 15 2" xfId="19858" xr:uid="{00000000-0005-0000-0000-000039060000}"/>
    <cellStyle name="20% - Accent6 2 2 16" xfId="1722" xr:uid="{00000000-0005-0000-0000-00003A060000}"/>
    <cellStyle name="20% - Accent6 2 2 16 2" xfId="19859" xr:uid="{00000000-0005-0000-0000-00003B060000}"/>
    <cellStyle name="20% - Accent6 2 2 17" xfId="1723" xr:uid="{00000000-0005-0000-0000-00003C060000}"/>
    <cellStyle name="20% - Accent6 2 2 17 2" xfId="19860" xr:uid="{00000000-0005-0000-0000-00003D060000}"/>
    <cellStyle name="20% - Accent6 2 2 18" xfId="1724" xr:uid="{00000000-0005-0000-0000-00003E060000}"/>
    <cellStyle name="20% - Accent6 2 2 18 2" xfId="19861" xr:uid="{00000000-0005-0000-0000-00003F060000}"/>
    <cellStyle name="20% - Accent6 2 2 19" xfId="1725" xr:uid="{00000000-0005-0000-0000-000040060000}"/>
    <cellStyle name="20% - Accent6 2 2 19 2" xfId="19862" xr:uid="{00000000-0005-0000-0000-000041060000}"/>
    <cellStyle name="20% - Accent6 2 2 2" xfId="1726" xr:uid="{00000000-0005-0000-0000-000042060000}"/>
    <cellStyle name="20% - Accent6 2 2 2 2" xfId="19863" xr:uid="{00000000-0005-0000-0000-000043060000}"/>
    <cellStyle name="20% - Accent6 2 2 20" xfId="1727" xr:uid="{00000000-0005-0000-0000-000044060000}"/>
    <cellStyle name="20% - Accent6 2 2 20 2" xfId="19864" xr:uid="{00000000-0005-0000-0000-000045060000}"/>
    <cellStyle name="20% - Accent6 2 2 21" xfId="1728" xr:uid="{00000000-0005-0000-0000-000046060000}"/>
    <cellStyle name="20% - Accent6 2 2 21 2" xfId="19865" xr:uid="{00000000-0005-0000-0000-000047060000}"/>
    <cellStyle name="20% - Accent6 2 2 22" xfId="1729" xr:uid="{00000000-0005-0000-0000-000048060000}"/>
    <cellStyle name="20% - Accent6 2 2 22 2" xfId="19866" xr:uid="{00000000-0005-0000-0000-000049060000}"/>
    <cellStyle name="20% - Accent6 2 2 23" xfId="1730" xr:uid="{00000000-0005-0000-0000-00004A060000}"/>
    <cellStyle name="20% - Accent6 2 2 23 2" xfId="19867" xr:uid="{00000000-0005-0000-0000-00004B060000}"/>
    <cellStyle name="20% - Accent6 2 2 24" xfId="1731" xr:uid="{00000000-0005-0000-0000-00004C060000}"/>
    <cellStyle name="20% - Accent6 2 2 24 2" xfId="19868" xr:uid="{00000000-0005-0000-0000-00004D060000}"/>
    <cellStyle name="20% - Accent6 2 2 25" xfId="1732" xr:uid="{00000000-0005-0000-0000-00004E060000}"/>
    <cellStyle name="20% - Accent6 2 2 25 2" xfId="19869" xr:uid="{00000000-0005-0000-0000-00004F060000}"/>
    <cellStyle name="20% - Accent6 2 2 26" xfId="1733" xr:uid="{00000000-0005-0000-0000-000050060000}"/>
    <cellStyle name="20% - Accent6 2 2 26 2" xfId="19870" xr:uid="{00000000-0005-0000-0000-000051060000}"/>
    <cellStyle name="20% - Accent6 2 2 27" xfId="1734" xr:uid="{00000000-0005-0000-0000-000052060000}"/>
    <cellStyle name="20% - Accent6 2 2 27 2" xfId="19871" xr:uid="{00000000-0005-0000-0000-000053060000}"/>
    <cellStyle name="20% - Accent6 2 2 28" xfId="1735" xr:uid="{00000000-0005-0000-0000-000054060000}"/>
    <cellStyle name="20% - Accent6 2 2 28 2" xfId="19872" xr:uid="{00000000-0005-0000-0000-000055060000}"/>
    <cellStyle name="20% - Accent6 2 2 29" xfId="1736" xr:uid="{00000000-0005-0000-0000-000056060000}"/>
    <cellStyle name="20% - Accent6 2 2 29 2" xfId="19873" xr:uid="{00000000-0005-0000-0000-000057060000}"/>
    <cellStyle name="20% - Accent6 2 2 3" xfId="1737" xr:uid="{00000000-0005-0000-0000-000058060000}"/>
    <cellStyle name="20% - Accent6 2 2 3 2" xfId="19874" xr:uid="{00000000-0005-0000-0000-000059060000}"/>
    <cellStyle name="20% - Accent6 2 2 30" xfId="1738" xr:uid="{00000000-0005-0000-0000-00005A060000}"/>
    <cellStyle name="20% - Accent6 2 2 30 2" xfId="19875" xr:uid="{00000000-0005-0000-0000-00005B060000}"/>
    <cellStyle name="20% - Accent6 2 2 31" xfId="1739" xr:uid="{00000000-0005-0000-0000-00005C060000}"/>
    <cellStyle name="20% - Accent6 2 2 31 2" xfId="19876" xr:uid="{00000000-0005-0000-0000-00005D060000}"/>
    <cellStyle name="20% - Accent6 2 2 32" xfId="1740" xr:uid="{00000000-0005-0000-0000-00005E060000}"/>
    <cellStyle name="20% - Accent6 2 2 32 2" xfId="19877" xr:uid="{00000000-0005-0000-0000-00005F060000}"/>
    <cellStyle name="20% - Accent6 2 2 33" xfId="1741" xr:uid="{00000000-0005-0000-0000-000060060000}"/>
    <cellStyle name="20% - Accent6 2 2 33 2" xfId="19878" xr:uid="{00000000-0005-0000-0000-000061060000}"/>
    <cellStyle name="20% - Accent6 2 2 34" xfId="1742" xr:uid="{00000000-0005-0000-0000-000062060000}"/>
    <cellStyle name="20% - Accent6 2 2 34 2" xfId="19879" xr:uid="{00000000-0005-0000-0000-000063060000}"/>
    <cellStyle name="20% - Accent6 2 2 35" xfId="1743" xr:uid="{00000000-0005-0000-0000-000064060000}"/>
    <cellStyle name="20% - Accent6 2 2 35 2" xfId="19880" xr:uid="{00000000-0005-0000-0000-000065060000}"/>
    <cellStyle name="20% - Accent6 2 2 36" xfId="1744" xr:uid="{00000000-0005-0000-0000-000066060000}"/>
    <cellStyle name="20% - Accent6 2 2 36 2" xfId="19881" xr:uid="{00000000-0005-0000-0000-000067060000}"/>
    <cellStyle name="20% - Accent6 2 2 37" xfId="1745" xr:uid="{00000000-0005-0000-0000-000068060000}"/>
    <cellStyle name="20% - Accent6 2 2 37 2" xfId="19882" xr:uid="{00000000-0005-0000-0000-000069060000}"/>
    <cellStyle name="20% - Accent6 2 2 38" xfId="1746" xr:uid="{00000000-0005-0000-0000-00006A060000}"/>
    <cellStyle name="20% - Accent6 2 2 38 2" xfId="19883" xr:uid="{00000000-0005-0000-0000-00006B060000}"/>
    <cellStyle name="20% - Accent6 2 2 39" xfId="1747" xr:uid="{00000000-0005-0000-0000-00006C060000}"/>
    <cellStyle name="20% - Accent6 2 2 39 2" xfId="19884" xr:uid="{00000000-0005-0000-0000-00006D060000}"/>
    <cellStyle name="20% - Accent6 2 2 4" xfId="1748" xr:uid="{00000000-0005-0000-0000-00006E060000}"/>
    <cellStyle name="20% - Accent6 2 2 4 2" xfId="19885" xr:uid="{00000000-0005-0000-0000-00006F060000}"/>
    <cellStyle name="20% - Accent6 2 2 40" xfId="1749" xr:uid="{00000000-0005-0000-0000-000070060000}"/>
    <cellStyle name="20% - Accent6 2 2 40 2" xfId="19886" xr:uid="{00000000-0005-0000-0000-000071060000}"/>
    <cellStyle name="20% - Accent6 2 2 41" xfId="1750" xr:uid="{00000000-0005-0000-0000-000072060000}"/>
    <cellStyle name="20% - Accent6 2 2 41 2" xfId="19887" xr:uid="{00000000-0005-0000-0000-000073060000}"/>
    <cellStyle name="20% - Accent6 2 2 42" xfId="1751" xr:uid="{00000000-0005-0000-0000-000074060000}"/>
    <cellStyle name="20% - Accent6 2 2 42 2" xfId="19888" xr:uid="{00000000-0005-0000-0000-000075060000}"/>
    <cellStyle name="20% - Accent6 2 2 43" xfId="19852" xr:uid="{00000000-0005-0000-0000-000076060000}"/>
    <cellStyle name="20% - Accent6 2 2 5" xfId="1752" xr:uid="{00000000-0005-0000-0000-000077060000}"/>
    <cellStyle name="20% - Accent6 2 2 5 2" xfId="19889" xr:uid="{00000000-0005-0000-0000-000078060000}"/>
    <cellStyle name="20% - Accent6 2 2 6" xfId="1753" xr:uid="{00000000-0005-0000-0000-000079060000}"/>
    <cellStyle name="20% - Accent6 2 2 6 2" xfId="19890" xr:uid="{00000000-0005-0000-0000-00007A060000}"/>
    <cellStyle name="20% - Accent6 2 2 7" xfId="1754" xr:uid="{00000000-0005-0000-0000-00007B060000}"/>
    <cellStyle name="20% - Accent6 2 2 7 2" xfId="19891" xr:uid="{00000000-0005-0000-0000-00007C060000}"/>
    <cellStyle name="20% - Accent6 2 2 8" xfId="1755" xr:uid="{00000000-0005-0000-0000-00007D060000}"/>
    <cellStyle name="20% - Accent6 2 2 8 2" xfId="19892" xr:uid="{00000000-0005-0000-0000-00007E060000}"/>
    <cellStyle name="20% - Accent6 2 2 9" xfId="1756" xr:uid="{00000000-0005-0000-0000-00007F060000}"/>
    <cellStyle name="20% - Accent6 2 2 9 2" xfId="19893" xr:uid="{00000000-0005-0000-0000-000080060000}"/>
    <cellStyle name="20% - Accent6 2 2_DATA Input" xfId="1757" xr:uid="{00000000-0005-0000-0000-000081060000}"/>
    <cellStyle name="20% - Accent6 2 20" xfId="1758" xr:uid="{00000000-0005-0000-0000-000082060000}"/>
    <cellStyle name="20% - Accent6 2 20 2" xfId="19894" xr:uid="{00000000-0005-0000-0000-000083060000}"/>
    <cellStyle name="20% - Accent6 2 21" xfId="1759" xr:uid="{00000000-0005-0000-0000-000084060000}"/>
    <cellStyle name="20% - Accent6 2 21 2" xfId="19895" xr:uid="{00000000-0005-0000-0000-000085060000}"/>
    <cellStyle name="20% - Accent6 2 22" xfId="1760" xr:uid="{00000000-0005-0000-0000-000086060000}"/>
    <cellStyle name="20% - Accent6 2 22 2" xfId="19896" xr:uid="{00000000-0005-0000-0000-000087060000}"/>
    <cellStyle name="20% - Accent6 2 23" xfId="1761" xr:uid="{00000000-0005-0000-0000-000088060000}"/>
    <cellStyle name="20% - Accent6 2 23 2" xfId="19897" xr:uid="{00000000-0005-0000-0000-000089060000}"/>
    <cellStyle name="20% - Accent6 2 24" xfId="1762" xr:uid="{00000000-0005-0000-0000-00008A060000}"/>
    <cellStyle name="20% - Accent6 2 24 2" xfId="19898" xr:uid="{00000000-0005-0000-0000-00008B060000}"/>
    <cellStyle name="20% - Accent6 2 25" xfId="1763" xr:uid="{00000000-0005-0000-0000-00008C060000}"/>
    <cellStyle name="20% - Accent6 2 25 2" xfId="19899" xr:uid="{00000000-0005-0000-0000-00008D060000}"/>
    <cellStyle name="20% - Accent6 2 26" xfId="1764" xr:uid="{00000000-0005-0000-0000-00008E060000}"/>
    <cellStyle name="20% - Accent6 2 26 2" xfId="19900" xr:uid="{00000000-0005-0000-0000-00008F060000}"/>
    <cellStyle name="20% - Accent6 2 27" xfId="1765" xr:uid="{00000000-0005-0000-0000-000090060000}"/>
    <cellStyle name="20% - Accent6 2 27 2" xfId="19901" xr:uid="{00000000-0005-0000-0000-000091060000}"/>
    <cellStyle name="20% - Accent6 2 28" xfId="1766" xr:uid="{00000000-0005-0000-0000-000092060000}"/>
    <cellStyle name="20% - Accent6 2 28 2" xfId="19902" xr:uid="{00000000-0005-0000-0000-000093060000}"/>
    <cellStyle name="20% - Accent6 2 29" xfId="1767" xr:uid="{00000000-0005-0000-0000-000094060000}"/>
    <cellStyle name="20% - Accent6 2 29 2" xfId="19903" xr:uid="{00000000-0005-0000-0000-000095060000}"/>
    <cellStyle name="20% - Accent6 2 3" xfId="1768" xr:uid="{00000000-0005-0000-0000-000096060000}"/>
    <cellStyle name="20% - Accent6 2 3 2" xfId="19904" xr:uid="{00000000-0005-0000-0000-000097060000}"/>
    <cellStyle name="20% - Accent6 2 30" xfId="1769" xr:uid="{00000000-0005-0000-0000-000098060000}"/>
    <cellStyle name="20% - Accent6 2 30 2" xfId="19905" xr:uid="{00000000-0005-0000-0000-000099060000}"/>
    <cellStyle name="20% - Accent6 2 31" xfId="1770" xr:uid="{00000000-0005-0000-0000-00009A060000}"/>
    <cellStyle name="20% - Accent6 2 31 2" xfId="19906" xr:uid="{00000000-0005-0000-0000-00009B060000}"/>
    <cellStyle name="20% - Accent6 2 32" xfId="1771" xr:uid="{00000000-0005-0000-0000-00009C060000}"/>
    <cellStyle name="20% - Accent6 2 32 2" xfId="19907" xr:uid="{00000000-0005-0000-0000-00009D060000}"/>
    <cellStyle name="20% - Accent6 2 33" xfId="1772" xr:uid="{00000000-0005-0000-0000-00009E060000}"/>
    <cellStyle name="20% - Accent6 2 33 2" xfId="19908" xr:uid="{00000000-0005-0000-0000-00009F060000}"/>
    <cellStyle name="20% - Accent6 2 34" xfId="1773" xr:uid="{00000000-0005-0000-0000-0000A0060000}"/>
    <cellStyle name="20% - Accent6 2 34 2" xfId="19909" xr:uid="{00000000-0005-0000-0000-0000A1060000}"/>
    <cellStyle name="20% - Accent6 2 35" xfId="1774" xr:uid="{00000000-0005-0000-0000-0000A2060000}"/>
    <cellStyle name="20% - Accent6 2 35 2" xfId="19910" xr:uid="{00000000-0005-0000-0000-0000A3060000}"/>
    <cellStyle name="20% - Accent6 2 36" xfId="1775" xr:uid="{00000000-0005-0000-0000-0000A4060000}"/>
    <cellStyle name="20% - Accent6 2 36 2" xfId="19911" xr:uid="{00000000-0005-0000-0000-0000A5060000}"/>
    <cellStyle name="20% - Accent6 2 37" xfId="1776" xr:uid="{00000000-0005-0000-0000-0000A6060000}"/>
    <cellStyle name="20% - Accent6 2 37 2" xfId="19912" xr:uid="{00000000-0005-0000-0000-0000A7060000}"/>
    <cellStyle name="20% - Accent6 2 38" xfId="1777" xr:uid="{00000000-0005-0000-0000-0000A8060000}"/>
    <cellStyle name="20% - Accent6 2 38 2" xfId="19913" xr:uid="{00000000-0005-0000-0000-0000A9060000}"/>
    <cellStyle name="20% - Accent6 2 39" xfId="1778" xr:uid="{00000000-0005-0000-0000-0000AA060000}"/>
    <cellStyle name="20% - Accent6 2 39 2" xfId="19914" xr:uid="{00000000-0005-0000-0000-0000AB060000}"/>
    <cellStyle name="20% - Accent6 2 4" xfId="1779" xr:uid="{00000000-0005-0000-0000-0000AC060000}"/>
    <cellStyle name="20% - Accent6 2 4 2" xfId="19915" xr:uid="{00000000-0005-0000-0000-0000AD060000}"/>
    <cellStyle name="20% - Accent6 2 40" xfId="1780" xr:uid="{00000000-0005-0000-0000-0000AE060000}"/>
    <cellStyle name="20% - Accent6 2 40 2" xfId="19916" xr:uid="{00000000-0005-0000-0000-0000AF060000}"/>
    <cellStyle name="20% - Accent6 2 41" xfId="1781" xr:uid="{00000000-0005-0000-0000-0000B0060000}"/>
    <cellStyle name="20% - Accent6 2 41 2" xfId="19917" xr:uid="{00000000-0005-0000-0000-0000B1060000}"/>
    <cellStyle name="20% - Accent6 2 42" xfId="1782" xr:uid="{00000000-0005-0000-0000-0000B2060000}"/>
    <cellStyle name="20% - Accent6 2 42 2" xfId="19918" xr:uid="{00000000-0005-0000-0000-0000B3060000}"/>
    <cellStyle name="20% - Accent6 2 43" xfId="1783" xr:uid="{00000000-0005-0000-0000-0000B4060000}"/>
    <cellStyle name="20% - Accent6 2 43 2" xfId="19919" xr:uid="{00000000-0005-0000-0000-0000B5060000}"/>
    <cellStyle name="20% - Accent6 2 44" xfId="1784" xr:uid="{00000000-0005-0000-0000-0000B6060000}"/>
    <cellStyle name="20% - Accent6 2 44 2" xfId="19920" xr:uid="{00000000-0005-0000-0000-0000B7060000}"/>
    <cellStyle name="20% - Accent6 2 5" xfId="1785" xr:uid="{00000000-0005-0000-0000-0000B8060000}"/>
    <cellStyle name="20% - Accent6 2 5 2" xfId="19921" xr:uid="{00000000-0005-0000-0000-0000B9060000}"/>
    <cellStyle name="20% - Accent6 2 6" xfId="1786" xr:uid="{00000000-0005-0000-0000-0000BA060000}"/>
    <cellStyle name="20% - Accent6 2 6 2" xfId="19922" xr:uid="{00000000-0005-0000-0000-0000BB060000}"/>
    <cellStyle name="20% - Accent6 2 7" xfId="1787" xr:uid="{00000000-0005-0000-0000-0000BC060000}"/>
    <cellStyle name="20% - Accent6 2 7 2" xfId="19923" xr:uid="{00000000-0005-0000-0000-0000BD060000}"/>
    <cellStyle name="20% - Accent6 2 8" xfId="1788" xr:uid="{00000000-0005-0000-0000-0000BE060000}"/>
    <cellStyle name="20% - Accent6 2 8 2" xfId="19924" xr:uid="{00000000-0005-0000-0000-0000BF060000}"/>
    <cellStyle name="20% - Accent6 2 9" xfId="1789" xr:uid="{00000000-0005-0000-0000-0000C0060000}"/>
    <cellStyle name="20% - Accent6 2 9 2" xfId="19925" xr:uid="{00000000-0005-0000-0000-0000C1060000}"/>
    <cellStyle name="20% - Accent6 2_DATA Input" xfId="1790" xr:uid="{00000000-0005-0000-0000-0000C2060000}"/>
    <cellStyle name="20% - Accent6 20" xfId="1791" xr:uid="{00000000-0005-0000-0000-0000C3060000}"/>
    <cellStyle name="20% - Accent6 21" xfId="1792" xr:uid="{00000000-0005-0000-0000-0000C4060000}"/>
    <cellStyle name="20% - Accent6 22" xfId="1793" xr:uid="{00000000-0005-0000-0000-0000C5060000}"/>
    <cellStyle name="20% - Accent6 23" xfId="1794" xr:uid="{00000000-0005-0000-0000-0000C6060000}"/>
    <cellStyle name="20% - Accent6 24" xfId="1795" xr:uid="{00000000-0005-0000-0000-0000C7060000}"/>
    <cellStyle name="20% - Accent6 3" xfId="1796" xr:uid="{00000000-0005-0000-0000-0000C8060000}"/>
    <cellStyle name="20% - Accent6 3 10" xfId="1797" xr:uid="{00000000-0005-0000-0000-0000C9060000}"/>
    <cellStyle name="20% - Accent6 3 11" xfId="1798" xr:uid="{00000000-0005-0000-0000-0000CA060000}"/>
    <cellStyle name="20% - Accent6 3 12" xfId="1799" xr:uid="{00000000-0005-0000-0000-0000CB060000}"/>
    <cellStyle name="20% - Accent6 3 13" xfId="1800" xr:uid="{00000000-0005-0000-0000-0000CC060000}"/>
    <cellStyle name="20% - Accent6 3 14" xfId="1801" xr:uid="{00000000-0005-0000-0000-0000CD060000}"/>
    <cellStyle name="20% - Accent6 3 15" xfId="1802" xr:uid="{00000000-0005-0000-0000-0000CE060000}"/>
    <cellStyle name="20% - Accent6 3 16" xfId="1803" xr:uid="{00000000-0005-0000-0000-0000CF060000}"/>
    <cellStyle name="20% - Accent6 3 17" xfId="1804" xr:uid="{00000000-0005-0000-0000-0000D0060000}"/>
    <cellStyle name="20% - Accent6 3 18" xfId="1805" xr:uid="{00000000-0005-0000-0000-0000D1060000}"/>
    <cellStyle name="20% - Accent6 3 19" xfId="1806" xr:uid="{00000000-0005-0000-0000-0000D2060000}"/>
    <cellStyle name="20% - Accent6 3 2" xfId="1807" xr:uid="{00000000-0005-0000-0000-0000D3060000}"/>
    <cellStyle name="20% - Accent6 3 20" xfId="1808" xr:uid="{00000000-0005-0000-0000-0000D4060000}"/>
    <cellStyle name="20% - Accent6 3 21" xfId="1809" xr:uid="{00000000-0005-0000-0000-0000D5060000}"/>
    <cellStyle name="20% - Accent6 3 22" xfId="1810" xr:uid="{00000000-0005-0000-0000-0000D6060000}"/>
    <cellStyle name="20% - Accent6 3 23" xfId="1811" xr:uid="{00000000-0005-0000-0000-0000D7060000}"/>
    <cellStyle name="20% - Accent6 3 24" xfId="1812" xr:uid="{00000000-0005-0000-0000-0000D8060000}"/>
    <cellStyle name="20% - Accent6 3 25" xfId="1813" xr:uid="{00000000-0005-0000-0000-0000D9060000}"/>
    <cellStyle name="20% - Accent6 3 26" xfId="1814" xr:uid="{00000000-0005-0000-0000-0000DA060000}"/>
    <cellStyle name="20% - Accent6 3 27" xfId="1815" xr:uid="{00000000-0005-0000-0000-0000DB060000}"/>
    <cellStyle name="20% - Accent6 3 28" xfId="1816" xr:uid="{00000000-0005-0000-0000-0000DC060000}"/>
    <cellStyle name="20% - Accent6 3 29" xfId="1817" xr:uid="{00000000-0005-0000-0000-0000DD060000}"/>
    <cellStyle name="20% - Accent6 3 3" xfId="1818" xr:uid="{00000000-0005-0000-0000-0000DE060000}"/>
    <cellStyle name="20% - Accent6 3 30" xfId="1819" xr:uid="{00000000-0005-0000-0000-0000DF060000}"/>
    <cellStyle name="20% - Accent6 3 31" xfId="1820" xr:uid="{00000000-0005-0000-0000-0000E0060000}"/>
    <cellStyle name="20% - Accent6 3 32" xfId="1821" xr:uid="{00000000-0005-0000-0000-0000E1060000}"/>
    <cellStyle name="20% - Accent6 3 4" xfId="1822" xr:uid="{00000000-0005-0000-0000-0000E2060000}"/>
    <cellStyle name="20% - Accent6 3 5" xfId="1823" xr:uid="{00000000-0005-0000-0000-0000E3060000}"/>
    <cellStyle name="20% - Accent6 3 6" xfId="1824" xr:uid="{00000000-0005-0000-0000-0000E4060000}"/>
    <cellStyle name="20% - Accent6 3 7" xfId="1825" xr:uid="{00000000-0005-0000-0000-0000E5060000}"/>
    <cellStyle name="20% - Accent6 3 8" xfId="1826" xr:uid="{00000000-0005-0000-0000-0000E6060000}"/>
    <cellStyle name="20% - Accent6 3 9" xfId="1827" xr:uid="{00000000-0005-0000-0000-0000E7060000}"/>
    <cellStyle name="20% - Accent6 4" xfId="1828" xr:uid="{00000000-0005-0000-0000-0000E8060000}"/>
    <cellStyle name="20% - Accent6 5" xfId="1829" xr:uid="{00000000-0005-0000-0000-0000E9060000}"/>
    <cellStyle name="20% - Accent6 6" xfId="1830" xr:uid="{00000000-0005-0000-0000-0000EA060000}"/>
    <cellStyle name="20% - Accent6 7" xfId="1831" xr:uid="{00000000-0005-0000-0000-0000EB060000}"/>
    <cellStyle name="20% - Accent6 8" xfId="1832" xr:uid="{00000000-0005-0000-0000-0000EC060000}"/>
    <cellStyle name="20% - Accent6 9" xfId="1833" xr:uid="{00000000-0005-0000-0000-0000ED060000}"/>
    <cellStyle name="20% - Colore 1" xfId="1834" xr:uid="{00000000-0005-0000-0000-0000EE060000}"/>
    <cellStyle name="20% - Colore 2" xfId="1835" xr:uid="{00000000-0005-0000-0000-0000EF060000}"/>
    <cellStyle name="20% - Colore 3" xfId="1836" xr:uid="{00000000-0005-0000-0000-0000F0060000}"/>
    <cellStyle name="20% - Colore 4" xfId="1837" xr:uid="{00000000-0005-0000-0000-0000F1060000}"/>
    <cellStyle name="20% - Colore 5" xfId="1838" xr:uid="{00000000-0005-0000-0000-0000F2060000}"/>
    <cellStyle name="20% - Colore 6" xfId="1839" xr:uid="{00000000-0005-0000-0000-0000F3060000}"/>
    <cellStyle name="20% - 강조색1" xfId="39" xr:uid="{00000000-0005-0000-0000-0000F4060000}"/>
    <cellStyle name="20% - 강조색2" xfId="40" xr:uid="{00000000-0005-0000-0000-0000F5060000}"/>
    <cellStyle name="20% - 강조색3" xfId="41" xr:uid="{00000000-0005-0000-0000-0000F6060000}"/>
    <cellStyle name="20% - 강조색4" xfId="42" xr:uid="{00000000-0005-0000-0000-0000F7060000}"/>
    <cellStyle name="20% - 강조색5" xfId="43" xr:uid="{00000000-0005-0000-0000-0000F8060000}"/>
    <cellStyle name="20% - 강조색6" xfId="44" xr:uid="{00000000-0005-0000-0000-0000F9060000}"/>
    <cellStyle name="20% - 强调文字颜色 1" xfId="1840" xr:uid="{00000000-0005-0000-0000-0000FA060000}"/>
    <cellStyle name="20% - 强调文字颜色 2" xfId="1841" xr:uid="{00000000-0005-0000-0000-0000FB060000}"/>
    <cellStyle name="20% - 强调文字颜色 3" xfId="1842" xr:uid="{00000000-0005-0000-0000-0000FC060000}"/>
    <cellStyle name="20% - 强调文字颜色 4" xfId="1843" xr:uid="{00000000-0005-0000-0000-0000FD060000}"/>
    <cellStyle name="20% - 强调文字颜色 5" xfId="1844" xr:uid="{00000000-0005-0000-0000-0000FE060000}"/>
    <cellStyle name="20% - 强调文字颜色 6" xfId="1845" xr:uid="{00000000-0005-0000-0000-0000FF060000}"/>
    <cellStyle name="24" xfId="1846" xr:uid="{00000000-0005-0000-0000-000000070000}"/>
    <cellStyle name="38" xfId="1847" xr:uid="{00000000-0005-0000-0000-000001070000}"/>
    <cellStyle name="38 2" xfId="1848" xr:uid="{00000000-0005-0000-0000-000002070000}"/>
    <cellStyle name="38 2 2" xfId="19927" xr:uid="{00000000-0005-0000-0000-000003070000}"/>
    <cellStyle name="38 3" xfId="1849" xr:uid="{00000000-0005-0000-0000-000004070000}"/>
    <cellStyle name="38 3 2" xfId="19928" xr:uid="{00000000-0005-0000-0000-000005070000}"/>
    <cellStyle name="38 4" xfId="19926" xr:uid="{00000000-0005-0000-0000-000006070000}"/>
    <cellStyle name="40 % - Accent1" xfId="1850" xr:uid="{00000000-0005-0000-0000-000007070000}"/>
    <cellStyle name="40 % - Accent2" xfId="1851" xr:uid="{00000000-0005-0000-0000-000008070000}"/>
    <cellStyle name="40 % - Accent3" xfId="1852" xr:uid="{00000000-0005-0000-0000-000009070000}"/>
    <cellStyle name="40 % - Accent4" xfId="1853" xr:uid="{00000000-0005-0000-0000-00000A070000}"/>
    <cellStyle name="40 % - Accent5" xfId="1854" xr:uid="{00000000-0005-0000-0000-00000B070000}"/>
    <cellStyle name="40 % - Accent6" xfId="1855" xr:uid="{00000000-0005-0000-0000-00000C070000}"/>
    <cellStyle name="40% - Accent1 10" xfId="1856" xr:uid="{00000000-0005-0000-0000-00000D070000}"/>
    <cellStyle name="40% - Accent1 11" xfId="1857" xr:uid="{00000000-0005-0000-0000-00000E070000}"/>
    <cellStyle name="40% - Accent1 12" xfId="1858" xr:uid="{00000000-0005-0000-0000-00000F070000}"/>
    <cellStyle name="40% - Accent1 13" xfId="1859" xr:uid="{00000000-0005-0000-0000-000010070000}"/>
    <cellStyle name="40% - Accent1 14" xfId="1860" xr:uid="{00000000-0005-0000-0000-000011070000}"/>
    <cellStyle name="40% - Accent1 15" xfId="1861" xr:uid="{00000000-0005-0000-0000-000012070000}"/>
    <cellStyle name="40% - Accent1 16" xfId="1862" xr:uid="{00000000-0005-0000-0000-000013070000}"/>
    <cellStyle name="40% - Accent1 17" xfId="1863" xr:uid="{00000000-0005-0000-0000-000014070000}"/>
    <cellStyle name="40% - Accent1 18" xfId="1864" xr:uid="{00000000-0005-0000-0000-000015070000}"/>
    <cellStyle name="40% - Accent1 19" xfId="1865" xr:uid="{00000000-0005-0000-0000-000016070000}"/>
    <cellStyle name="40% - Accent1 2" xfId="45" xr:uid="{00000000-0005-0000-0000-000017070000}"/>
    <cellStyle name="40% - Accent1 2 10" xfId="1866" xr:uid="{00000000-0005-0000-0000-000018070000}"/>
    <cellStyle name="40% - Accent1 2 10 2" xfId="19929" xr:uid="{00000000-0005-0000-0000-000019070000}"/>
    <cellStyle name="40% - Accent1 2 11" xfId="1867" xr:uid="{00000000-0005-0000-0000-00001A070000}"/>
    <cellStyle name="40% - Accent1 2 11 2" xfId="19930" xr:uid="{00000000-0005-0000-0000-00001B070000}"/>
    <cellStyle name="40% - Accent1 2 12" xfId="1868" xr:uid="{00000000-0005-0000-0000-00001C070000}"/>
    <cellStyle name="40% - Accent1 2 12 2" xfId="19931" xr:uid="{00000000-0005-0000-0000-00001D070000}"/>
    <cellStyle name="40% - Accent1 2 13" xfId="1869" xr:uid="{00000000-0005-0000-0000-00001E070000}"/>
    <cellStyle name="40% - Accent1 2 13 2" xfId="19932" xr:uid="{00000000-0005-0000-0000-00001F070000}"/>
    <cellStyle name="40% - Accent1 2 14" xfId="1870" xr:uid="{00000000-0005-0000-0000-000020070000}"/>
    <cellStyle name="40% - Accent1 2 14 2" xfId="19933" xr:uid="{00000000-0005-0000-0000-000021070000}"/>
    <cellStyle name="40% - Accent1 2 15" xfId="1871" xr:uid="{00000000-0005-0000-0000-000022070000}"/>
    <cellStyle name="40% - Accent1 2 15 2" xfId="19934" xr:uid="{00000000-0005-0000-0000-000023070000}"/>
    <cellStyle name="40% - Accent1 2 16" xfId="1872" xr:uid="{00000000-0005-0000-0000-000024070000}"/>
    <cellStyle name="40% - Accent1 2 16 2" xfId="19935" xr:uid="{00000000-0005-0000-0000-000025070000}"/>
    <cellStyle name="40% - Accent1 2 17" xfId="1873" xr:uid="{00000000-0005-0000-0000-000026070000}"/>
    <cellStyle name="40% - Accent1 2 17 2" xfId="19936" xr:uid="{00000000-0005-0000-0000-000027070000}"/>
    <cellStyle name="40% - Accent1 2 18" xfId="1874" xr:uid="{00000000-0005-0000-0000-000028070000}"/>
    <cellStyle name="40% - Accent1 2 18 2" xfId="19937" xr:uid="{00000000-0005-0000-0000-000029070000}"/>
    <cellStyle name="40% - Accent1 2 19" xfId="1875" xr:uid="{00000000-0005-0000-0000-00002A070000}"/>
    <cellStyle name="40% - Accent1 2 19 2" xfId="19938" xr:uid="{00000000-0005-0000-0000-00002B070000}"/>
    <cellStyle name="40% - Accent1 2 2" xfId="1876" xr:uid="{00000000-0005-0000-0000-00002C070000}"/>
    <cellStyle name="40% - Accent1 2 2 10" xfId="1877" xr:uid="{00000000-0005-0000-0000-00002D070000}"/>
    <cellStyle name="40% - Accent1 2 2 10 2" xfId="19940" xr:uid="{00000000-0005-0000-0000-00002E070000}"/>
    <cellStyle name="40% - Accent1 2 2 11" xfId="1878" xr:uid="{00000000-0005-0000-0000-00002F070000}"/>
    <cellStyle name="40% - Accent1 2 2 11 2" xfId="19941" xr:uid="{00000000-0005-0000-0000-000030070000}"/>
    <cellStyle name="40% - Accent1 2 2 12" xfId="1879" xr:uid="{00000000-0005-0000-0000-000031070000}"/>
    <cellStyle name="40% - Accent1 2 2 12 2" xfId="19942" xr:uid="{00000000-0005-0000-0000-000032070000}"/>
    <cellStyle name="40% - Accent1 2 2 13" xfId="1880" xr:uid="{00000000-0005-0000-0000-000033070000}"/>
    <cellStyle name="40% - Accent1 2 2 13 2" xfId="19943" xr:uid="{00000000-0005-0000-0000-000034070000}"/>
    <cellStyle name="40% - Accent1 2 2 14" xfId="1881" xr:uid="{00000000-0005-0000-0000-000035070000}"/>
    <cellStyle name="40% - Accent1 2 2 14 2" xfId="19944" xr:uid="{00000000-0005-0000-0000-000036070000}"/>
    <cellStyle name="40% - Accent1 2 2 15" xfId="1882" xr:uid="{00000000-0005-0000-0000-000037070000}"/>
    <cellStyle name="40% - Accent1 2 2 15 2" xfId="19945" xr:uid="{00000000-0005-0000-0000-000038070000}"/>
    <cellStyle name="40% - Accent1 2 2 16" xfId="1883" xr:uid="{00000000-0005-0000-0000-000039070000}"/>
    <cellStyle name="40% - Accent1 2 2 16 2" xfId="19946" xr:uid="{00000000-0005-0000-0000-00003A070000}"/>
    <cellStyle name="40% - Accent1 2 2 17" xfId="1884" xr:uid="{00000000-0005-0000-0000-00003B070000}"/>
    <cellStyle name="40% - Accent1 2 2 17 2" xfId="19947" xr:uid="{00000000-0005-0000-0000-00003C070000}"/>
    <cellStyle name="40% - Accent1 2 2 18" xfId="1885" xr:uid="{00000000-0005-0000-0000-00003D070000}"/>
    <cellStyle name="40% - Accent1 2 2 18 2" xfId="19948" xr:uid="{00000000-0005-0000-0000-00003E070000}"/>
    <cellStyle name="40% - Accent1 2 2 19" xfId="1886" xr:uid="{00000000-0005-0000-0000-00003F070000}"/>
    <cellStyle name="40% - Accent1 2 2 19 2" xfId="19949" xr:uid="{00000000-0005-0000-0000-000040070000}"/>
    <cellStyle name="40% - Accent1 2 2 2" xfId="1887" xr:uid="{00000000-0005-0000-0000-000041070000}"/>
    <cellStyle name="40% - Accent1 2 2 2 2" xfId="19950" xr:uid="{00000000-0005-0000-0000-000042070000}"/>
    <cellStyle name="40% - Accent1 2 2 20" xfId="1888" xr:uid="{00000000-0005-0000-0000-000043070000}"/>
    <cellStyle name="40% - Accent1 2 2 20 2" xfId="19951" xr:uid="{00000000-0005-0000-0000-000044070000}"/>
    <cellStyle name="40% - Accent1 2 2 21" xfId="1889" xr:uid="{00000000-0005-0000-0000-000045070000}"/>
    <cellStyle name="40% - Accent1 2 2 21 2" xfId="19952" xr:uid="{00000000-0005-0000-0000-000046070000}"/>
    <cellStyle name="40% - Accent1 2 2 22" xfId="1890" xr:uid="{00000000-0005-0000-0000-000047070000}"/>
    <cellStyle name="40% - Accent1 2 2 22 2" xfId="19953" xr:uid="{00000000-0005-0000-0000-000048070000}"/>
    <cellStyle name="40% - Accent1 2 2 23" xfId="1891" xr:uid="{00000000-0005-0000-0000-000049070000}"/>
    <cellStyle name="40% - Accent1 2 2 23 2" xfId="19954" xr:uid="{00000000-0005-0000-0000-00004A070000}"/>
    <cellStyle name="40% - Accent1 2 2 24" xfId="1892" xr:uid="{00000000-0005-0000-0000-00004B070000}"/>
    <cellStyle name="40% - Accent1 2 2 24 2" xfId="19955" xr:uid="{00000000-0005-0000-0000-00004C070000}"/>
    <cellStyle name="40% - Accent1 2 2 25" xfId="1893" xr:uid="{00000000-0005-0000-0000-00004D070000}"/>
    <cellStyle name="40% - Accent1 2 2 25 2" xfId="19956" xr:uid="{00000000-0005-0000-0000-00004E070000}"/>
    <cellStyle name="40% - Accent1 2 2 26" xfId="1894" xr:uid="{00000000-0005-0000-0000-00004F070000}"/>
    <cellStyle name="40% - Accent1 2 2 26 2" xfId="19957" xr:uid="{00000000-0005-0000-0000-000050070000}"/>
    <cellStyle name="40% - Accent1 2 2 27" xfId="1895" xr:uid="{00000000-0005-0000-0000-000051070000}"/>
    <cellStyle name="40% - Accent1 2 2 27 2" xfId="19958" xr:uid="{00000000-0005-0000-0000-000052070000}"/>
    <cellStyle name="40% - Accent1 2 2 28" xfId="1896" xr:uid="{00000000-0005-0000-0000-000053070000}"/>
    <cellStyle name="40% - Accent1 2 2 28 2" xfId="19959" xr:uid="{00000000-0005-0000-0000-000054070000}"/>
    <cellStyle name="40% - Accent1 2 2 29" xfId="1897" xr:uid="{00000000-0005-0000-0000-000055070000}"/>
    <cellStyle name="40% - Accent1 2 2 29 2" xfId="19960" xr:uid="{00000000-0005-0000-0000-000056070000}"/>
    <cellStyle name="40% - Accent1 2 2 3" xfId="1898" xr:uid="{00000000-0005-0000-0000-000057070000}"/>
    <cellStyle name="40% - Accent1 2 2 3 2" xfId="19961" xr:uid="{00000000-0005-0000-0000-000058070000}"/>
    <cellStyle name="40% - Accent1 2 2 30" xfId="1899" xr:uid="{00000000-0005-0000-0000-000059070000}"/>
    <cellStyle name="40% - Accent1 2 2 30 2" xfId="19962" xr:uid="{00000000-0005-0000-0000-00005A070000}"/>
    <cellStyle name="40% - Accent1 2 2 31" xfId="1900" xr:uid="{00000000-0005-0000-0000-00005B070000}"/>
    <cellStyle name="40% - Accent1 2 2 31 2" xfId="19963" xr:uid="{00000000-0005-0000-0000-00005C070000}"/>
    <cellStyle name="40% - Accent1 2 2 32" xfId="1901" xr:uid="{00000000-0005-0000-0000-00005D070000}"/>
    <cellStyle name="40% - Accent1 2 2 32 2" xfId="19964" xr:uid="{00000000-0005-0000-0000-00005E070000}"/>
    <cellStyle name="40% - Accent1 2 2 33" xfId="1902" xr:uid="{00000000-0005-0000-0000-00005F070000}"/>
    <cellStyle name="40% - Accent1 2 2 33 2" xfId="19965" xr:uid="{00000000-0005-0000-0000-000060070000}"/>
    <cellStyle name="40% - Accent1 2 2 34" xfId="1903" xr:uid="{00000000-0005-0000-0000-000061070000}"/>
    <cellStyle name="40% - Accent1 2 2 34 2" xfId="19966" xr:uid="{00000000-0005-0000-0000-000062070000}"/>
    <cellStyle name="40% - Accent1 2 2 35" xfId="1904" xr:uid="{00000000-0005-0000-0000-000063070000}"/>
    <cellStyle name="40% - Accent1 2 2 35 2" xfId="19967" xr:uid="{00000000-0005-0000-0000-000064070000}"/>
    <cellStyle name="40% - Accent1 2 2 36" xfId="1905" xr:uid="{00000000-0005-0000-0000-000065070000}"/>
    <cellStyle name="40% - Accent1 2 2 36 2" xfId="19968" xr:uid="{00000000-0005-0000-0000-000066070000}"/>
    <cellStyle name="40% - Accent1 2 2 37" xfId="1906" xr:uid="{00000000-0005-0000-0000-000067070000}"/>
    <cellStyle name="40% - Accent1 2 2 37 2" xfId="19969" xr:uid="{00000000-0005-0000-0000-000068070000}"/>
    <cellStyle name="40% - Accent1 2 2 38" xfId="1907" xr:uid="{00000000-0005-0000-0000-000069070000}"/>
    <cellStyle name="40% - Accent1 2 2 38 2" xfId="19970" xr:uid="{00000000-0005-0000-0000-00006A070000}"/>
    <cellStyle name="40% - Accent1 2 2 39" xfId="1908" xr:uid="{00000000-0005-0000-0000-00006B070000}"/>
    <cellStyle name="40% - Accent1 2 2 39 2" xfId="19971" xr:uid="{00000000-0005-0000-0000-00006C070000}"/>
    <cellStyle name="40% - Accent1 2 2 4" xfId="1909" xr:uid="{00000000-0005-0000-0000-00006D070000}"/>
    <cellStyle name="40% - Accent1 2 2 4 2" xfId="19972" xr:uid="{00000000-0005-0000-0000-00006E070000}"/>
    <cellStyle name="40% - Accent1 2 2 40" xfId="1910" xr:uid="{00000000-0005-0000-0000-00006F070000}"/>
    <cellStyle name="40% - Accent1 2 2 40 2" xfId="19973" xr:uid="{00000000-0005-0000-0000-000070070000}"/>
    <cellStyle name="40% - Accent1 2 2 41" xfId="1911" xr:uid="{00000000-0005-0000-0000-000071070000}"/>
    <cellStyle name="40% - Accent1 2 2 41 2" xfId="19974" xr:uid="{00000000-0005-0000-0000-000072070000}"/>
    <cellStyle name="40% - Accent1 2 2 42" xfId="1912" xr:uid="{00000000-0005-0000-0000-000073070000}"/>
    <cellStyle name="40% - Accent1 2 2 42 2" xfId="19975" xr:uid="{00000000-0005-0000-0000-000074070000}"/>
    <cellStyle name="40% - Accent1 2 2 43" xfId="19939" xr:uid="{00000000-0005-0000-0000-000075070000}"/>
    <cellStyle name="40% - Accent1 2 2 5" xfId="1913" xr:uid="{00000000-0005-0000-0000-000076070000}"/>
    <cellStyle name="40% - Accent1 2 2 5 2" xfId="19976" xr:uid="{00000000-0005-0000-0000-000077070000}"/>
    <cellStyle name="40% - Accent1 2 2 6" xfId="1914" xr:uid="{00000000-0005-0000-0000-000078070000}"/>
    <cellStyle name="40% - Accent1 2 2 6 2" xfId="19977" xr:uid="{00000000-0005-0000-0000-000079070000}"/>
    <cellStyle name="40% - Accent1 2 2 7" xfId="1915" xr:uid="{00000000-0005-0000-0000-00007A070000}"/>
    <cellStyle name="40% - Accent1 2 2 7 2" xfId="19978" xr:uid="{00000000-0005-0000-0000-00007B070000}"/>
    <cellStyle name="40% - Accent1 2 2 8" xfId="1916" xr:uid="{00000000-0005-0000-0000-00007C070000}"/>
    <cellStyle name="40% - Accent1 2 2 8 2" xfId="19979" xr:uid="{00000000-0005-0000-0000-00007D070000}"/>
    <cellStyle name="40% - Accent1 2 2 9" xfId="1917" xr:uid="{00000000-0005-0000-0000-00007E070000}"/>
    <cellStyle name="40% - Accent1 2 2 9 2" xfId="19980" xr:uid="{00000000-0005-0000-0000-00007F070000}"/>
    <cellStyle name="40% - Accent1 2 2_DATA Input" xfId="1918" xr:uid="{00000000-0005-0000-0000-000080070000}"/>
    <cellStyle name="40% - Accent1 2 20" xfId="1919" xr:uid="{00000000-0005-0000-0000-000081070000}"/>
    <cellStyle name="40% - Accent1 2 20 2" xfId="19981" xr:uid="{00000000-0005-0000-0000-000082070000}"/>
    <cellStyle name="40% - Accent1 2 21" xfId="1920" xr:uid="{00000000-0005-0000-0000-000083070000}"/>
    <cellStyle name="40% - Accent1 2 21 2" xfId="19982" xr:uid="{00000000-0005-0000-0000-000084070000}"/>
    <cellStyle name="40% - Accent1 2 22" xfId="1921" xr:uid="{00000000-0005-0000-0000-000085070000}"/>
    <cellStyle name="40% - Accent1 2 22 2" xfId="19983" xr:uid="{00000000-0005-0000-0000-000086070000}"/>
    <cellStyle name="40% - Accent1 2 23" xfId="1922" xr:uid="{00000000-0005-0000-0000-000087070000}"/>
    <cellStyle name="40% - Accent1 2 23 2" xfId="19984" xr:uid="{00000000-0005-0000-0000-000088070000}"/>
    <cellStyle name="40% - Accent1 2 24" xfId="1923" xr:uid="{00000000-0005-0000-0000-000089070000}"/>
    <cellStyle name="40% - Accent1 2 24 2" xfId="19985" xr:uid="{00000000-0005-0000-0000-00008A070000}"/>
    <cellStyle name="40% - Accent1 2 25" xfId="1924" xr:uid="{00000000-0005-0000-0000-00008B070000}"/>
    <cellStyle name="40% - Accent1 2 25 2" xfId="19986" xr:uid="{00000000-0005-0000-0000-00008C070000}"/>
    <cellStyle name="40% - Accent1 2 26" xfId="1925" xr:uid="{00000000-0005-0000-0000-00008D070000}"/>
    <cellStyle name="40% - Accent1 2 26 2" xfId="19987" xr:uid="{00000000-0005-0000-0000-00008E070000}"/>
    <cellStyle name="40% - Accent1 2 27" xfId="1926" xr:uid="{00000000-0005-0000-0000-00008F070000}"/>
    <cellStyle name="40% - Accent1 2 27 2" xfId="19988" xr:uid="{00000000-0005-0000-0000-000090070000}"/>
    <cellStyle name="40% - Accent1 2 28" xfId="1927" xr:uid="{00000000-0005-0000-0000-000091070000}"/>
    <cellStyle name="40% - Accent1 2 28 2" xfId="19989" xr:uid="{00000000-0005-0000-0000-000092070000}"/>
    <cellStyle name="40% - Accent1 2 29" xfId="1928" xr:uid="{00000000-0005-0000-0000-000093070000}"/>
    <cellStyle name="40% - Accent1 2 29 2" xfId="19990" xr:uid="{00000000-0005-0000-0000-000094070000}"/>
    <cellStyle name="40% - Accent1 2 3" xfId="1929" xr:uid="{00000000-0005-0000-0000-000095070000}"/>
    <cellStyle name="40% - Accent1 2 3 2" xfId="19991" xr:uid="{00000000-0005-0000-0000-000096070000}"/>
    <cellStyle name="40% - Accent1 2 30" xfId="1930" xr:uid="{00000000-0005-0000-0000-000097070000}"/>
    <cellStyle name="40% - Accent1 2 30 2" xfId="19992" xr:uid="{00000000-0005-0000-0000-000098070000}"/>
    <cellStyle name="40% - Accent1 2 31" xfId="1931" xr:uid="{00000000-0005-0000-0000-000099070000}"/>
    <cellStyle name="40% - Accent1 2 31 2" xfId="19993" xr:uid="{00000000-0005-0000-0000-00009A070000}"/>
    <cellStyle name="40% - Accent1 2 32" xfId="1932" xr:uid="{00000000-0005-0000-0000-00009B070000}"/>
    <cellStyle name="40% - Accent1 2 32 2" xfId="19994" xr:uid="{00000000-0005-0000-0000-00009C070000}"/>
    <cellStyle name="40% - Accent1 2 33" xfId="1933" xr:uid="{00000000-0005-0000-0000-00009D070000}"/>
    <cellStyle name="40% - Accent1 2 33 2" xfId="19995" xr:uid="{00000000-0005-0000-0000-00009E070000}"/>
    <cellStyle name="40% - Accent1 2 34" xfId="1934" xr:uid="{00000000-0005-0000-0000-00009F070000}"/>
    <cellStyle name="40% - Accent1 2 34 2" xfId="19996" xr:uid="{00000000-0005-0000-0000-0000A0070000}"/>
    <cellStyle name="40% - Accent1 2 35" xfId="1935" xr:uid="{00000000-0005-0000-0000-0000A1070000}"/>
    <cellStyle name="40% - Accent1 2 35 2" xfId="19997" xr:uid="{00000000-0005-0000-0000-0000A2070000}"/>
    <cellStyle name="40% - Accent1 2 36" xfId="1936" xr:uid="{00000000-0005-0000-0000-0000A3070000}"/>
    <cellStyle name="40% - Accent1 2 36 2" xfId="19998" xr:uid="{00000000-0005-0000-0000-0000A4070000}"/>
    <cellStyle name="40% - Accent1 2 37" xfId="1937" xr:uid="{00000000-0005-0000-0000-0000A5070000}"/>
    <cellStyle name="40% - Accent1 2 37 2" xfId="19999" xr:uid="{00000000-0005-0000-0000-0000A6070000}"/>
    <cellStyle name="40% - Accent1 2 38" xfId="1938" xr:uid="{00000000-0005-0000-0000-0000A7070000}"/>
    <cellStyle name="40% - Accent1 2 38 2" xfId="20000" xr:uid="{00000000-0005-0000-0000-0000A8070000}"/>
    <cellStyle name="40% - Accent1 2 39" xfId="1939" xr:uid="{00000000-0005-0000-0000-0000A9070000}"/>
    <cellStyle name="40% - Accent1 2 39 2" xfId="20001" xr:uid="{00000000-0005-0000-0000-0000AA070000}"/>
    <cellStyle name="40% - Accent1 2 4" xfId="1940" xr:uid="{00000000-0005-0000-0000-0000AB070000}"/>
    <cellStyle name="40% - Accent1 2 4 2" xfId="20002" xr:uid="{00000000-0005-0000-0000-0000AC070000}"/>
    <cellStyle name="40% - Accent1 2 40" xfId="1941" xr:uid="{00000000-0005-0000-0000-0000AD070000}"/>
    <cellStyle name="40% - Accent1 2 40 2" xfId="20003" xr:uid="{00000000-0005-0000-0000-0000AE070000}"/>
    <cellStyle name="40% - Accent1 2 41" xfId="1942" xr:uid="{00000000-0005-0000-0000-0000AF070000}"/>
    <cellStyle name="40% - Accent1 2 41 2" xfId="20004" xr:uid="{00000000-0005-0000-0000-0000B0070000}"/>
    <cellStyle name="40% - Accent1 2 42" xfId="1943" xr:uid="{00000000-0005-0000-0000-0000B1070000}"/>
    <cellStyle name="40% - Accent1 2 42 2" xfId="20005" xr:uid="{00000000-0005-0000-0000-0000B2070000}"/>
    <cellStyle name="40% - Accent1 2 43" xfId="1944" xr:uid="{00000000-0005-0000-0000-0000B3070000}"/>
    <cellStyle name="40% - Accent1 2 43 2" xfId="20006" xr:uid="{00000000-0005-0000-0000-0000B4070000}"/>
    <cellStyle name="40% - Accent1 2 44" xfId="1945" xr:uid="{00000000-0005-0000-0000-0000B5070000}"/>
    <cellStyle name="40% - Accent1 2 44 2" xfId="20007" xr:uid="{00000000-0005-0000-0000-0000B6070000}"/>
    <cellStyle name="40% - Accent1 2 5" xfId="1946" xr:uid="{00000000-0005-0000-0000-0000B7070000}"/>
    <cellStyle name="40% - Accent1 2 5 2" xfId="20008" xr:uid="{00000000-0005-0000-0000-0000B8070000}"/>
    <cellStyle name="40% - Accent1 2 6" xfId="1947" xr:uid="{00000000-0005-0000-0000-0000B9070000}"/>
    <cellStyle name="40% - Accent1 2 6 2" xfId="20009" xr:uid="{00000000-0005-0000-0000-0000BA070000}"/>
    <cellStyle name="40% - Accent1 2 7" xfId="1948" xr:uid="{00000000-0005-0000-0000-0000BB070000}"/>
    <cellStyle name="40% - Accent1 2 7 2" xfId="20010" xr:uid="{00000000-0005-0000-0000-0000BC070000}"/>
    <cellStyle name="40% - Accent1 2 8" xfId="1949" xr:uid="{00000000-0005-0000-0000-0000BD070000}"/>
    <cellStyle name="40% - Accent1 2 8 2" xfId="20011" xr:uid="{00000000-0005-0000-0000-0000BE070000}"/>
    <cellStyle name="40% - Accent1 2 9" xfId="1950" xr:uid="{00000000-0005-0000-0000-0000BF070000}"/>
    <cellStyle name="40% - Accent1 2 9 2" xfId="20012" xr:uid="{00000000-0005-0000-0000-0000C0070000}"/>
    <cellStyle name="40% - Accent1 2_DATA Input" xfId="1951" xr:uid="{00000000-0005-0000-0000-0000C1070000}"/>
    <cellStyle name="40% - Accent1 20" xfId="1952" xr:uid="{00000000-0005-0000-0000-0000C2070000}"/>
    <cellStyle name="40% - Accent1 21" xfId="1953" xr:uid="{00000000-0005-0000-0000-0000C3070000}"/>
    <cellStyle name="40% - Accent1 22" xfId="1954" xr:uid="{00000000-0005-0000-0000-0000C4070000}"/>
    <cellStyle name="40% - Accent1 23" xfId="1955" xr:uid="{00000000-0005-0000-0000-0000C5070000}"/>
    <cellStyle name="40% - Accent1 24" xfId="1956" xr:uid="{00000000-0005-0000-0000-0000C6070000}"/>
    <cellStyle name="40% - Accent1 3" xfId="1957" xr:uid="{00000000-0005-0000-0000-0000C7070000}"/>
    <cellStyle name="40% - Accent1 3 10" xfId="1958" xr:uid="{00000000-0005-0000-0000-0000C8070000}"/>
    <cellStyle name="40% - Accent1 3 11" xfId="1959" xr:uid="{00000000-0005-0000-0000-0000C9070000}"/>
    <cellStyle name="40% - Accent1 3 12" xfId="1960" xr:uid="{00000000-0005-0000-0000-0000CA070000}"/>
    <cellStyle name="40% - Accent1 3 13" xfId="1961" xr:uid="{00000000-0005-0000-0000-0000CB070000}"/>
    <cellStyle name="40% - Accent1 3 14" xfId="1962" xr:uid="{00000000-0005-0000-0000-0000CC070000}"/>
    <cellStyle name="40% - Accent1 3 15" xfId="1963" xr:uid="{00000000-0005-0000-0000-0000CD070000}"/>
    <cellStyle name="40% - Accent1 3 16" xfId="1964" xr:uid="{00000000-0005-0000-0000-0000CE070000}"/>
    <cellStyle name="40% - Accent1 3 17" xfId="1965" xr:uid="{00000000-0005-0000-0000-0000CF070000}"/>
    <cellStyle name="40% - Accent1 3 18" xfId="1966" xr:uid="{00000000-0005-0000-0000-0000D0070000}"/>
    <cellStyle name="40% - Accent1 3 19" xfId="1967" xr:uid="{00000000-0005-0000-0000-0000D1070000}"/>
    <cellStyle name="40% - Accent1 3 2" xfId="1968" xr:uid="{00000000-0005-0000-0000-0000D2070000}"/>
    <cellStyle name="40% - Accent1 3 20" xfId="1969" xr:uid="{00000000-0005-0000-0000-0000D3070000}"/>
    <cellStyle name="40% - Accent1 3 21" xfId="1970" xr:uid="{00000000-0005-0000-0000-0000D4070000}"/>
    <cellStyle name="40% - Accent1 3 22" xfId="1971" xr:uid="{00000000-0005-0000-0000-0000D5070000}"/>
    <cellStyle name="40% - Accent1 3 23" xfId="1972" xr:uid="{00000000-0005-0000-0000-0000D6070000}"/>
    <cellStyle name="40% - Accent1 3 24" xfId="1973" xr:uid="{00000000-0005-0000-0000-0000D7070000}"/>
    <cellStyle name="40% - Accent1 3 25" xfId="1974" xr:uid="{00000000-0005-0000-0000-0000D8070000}"/>
    <cellStyle name="40% - Accent1 3 26" xfId="1975" xr:uid="{00000000-0005-0000-0000-0000D9070000}"/>
    <cellStyle name="40% - Accent1 3 27" xfId="1976" xr:uid="{00000000-0005-0000-0000-0000DA070000}"/>
    <cellStyle name="40% - Accent1 3 28" xfId="1977" xr:uid="{00000000-0005-0000-0000-0000DB070000}"/>
    <cellStyle name="40% - Accent1 3 29" xfId="1978" xr:uid="{00000000-0005-0000-0000-0000DC070000}"/>
    <cellStyle name="40% - Accent1 3 3" xfId="1979" xr:uid="{00000000-0005-0000-0000-0000DD070000}"/>
    <cellStyle name="40% - Accent1 3 30" xfId="1980" xr:uid="{00000000-0005-0000-0000-0000DE070000}"/>
    <cellStyle name="40% - Accent1 3 31" xfId="1981" xr:uid="{00000000-0005-0000-0000-0000DF070000}"/>
    <cellStyle name="40% - Accent1 3 32" xfId="1982" xr:uid="{00000000-0005-0000-0000-0000E0070000}"/>
    <cellStyle name="40% - Accent1 3 4" xfId="1983" xr:uid="{00000000-0005-0000-0000-0000E1070000}"/>
    <cellStyle name="40% - Accent1 3 5" xfId="1984" xr:uid="{00000000-0005-0000-0000-0000E2070000}"/>
    <cellStyle name="40% - Accent1 3 6" xfId="1985" xr:uid="{00000000-0005-0000-0000-0000E3070000}"/>
    <cellStyle name="40% - Accent1 3 7" xfId="1986" xr:uid="{00000000-0005-0000-0000-0000E4070000}"/>
    <cellStyle name="40% - Accent1 3 8" xfId="1987" xr:uid="{00000000-0005-0000-0000-0000E5070000}"/>
    <cellStyle name="40% - Accent1 3 9" xfId="1988" xr:uid="{00000000-0005-0000-0000-0000E6070000}"/>
    <cellStyle name="40% - Accent1 4" xfId="1989" xr:uid="{00000000-0005-0000-0000-0000E7070000}"/>
    <cellStyle name="40% - Accent1 5" xfId="1990" xr:uid="{00000000-0005-0000-0000-0000E8070000}"/>
    <cellStyle name="40% - Accent1 6" xfId="1991" xr:uid="{00000000-0005-0000-0000-0000E9070000}"/>
    <cellStyle name="40% - Accent1 7" xfId="1992" xr:uid="{00000000-0005-0000-0000-0000EA070000}"/>
    <cellStyle name="40% - Accent1 8" xfId="1993" xr:uid="{00000000-0005-0000-0000-0000EB070000}"/>
    <cellStyle name="40% - Accent1 9" xfId="1994" xr:uid="{00000000-0005-0000-0000-0000EC070000}"/>
    <cellStyle name="40% - Accent2 10" xfId="1995" xr:uid="{00000000-0005-0000-0000-0000ED070000}"/>
    <cellStyle name="40% - Accent2 11" xfId="1996" xr:uid="{00000000-0005-0000-0000-0000EE070000}"/>
    <cellStyle name="40% - Accent2 12" xfId="1997" xr:uid="{00000000-0005-0000-0000-0000EF070000}"/>
    <cellStyle name="40% - Accent2 13" xfId="1998" xr:uid="{00000000-0005-0000-0000-0000F0070000}"/>
    <cellStyle name="40% - Accent2 14" xfId="1999" xr:uid="{00000000-0005-0000-0000-0000F1070000}"/>
    <cellStyle name="40% - Accent2 15" xfId="2000" xr:uid="{00000000-0005-0000-0000-0000F2070000}"/>
    <cellStyle name="40% - Accent2 16" xfId="2001" xr:uid="{00000000-0005-0000-0000-0000F3070000}"/>
    <cellStyle name="40% - Accent2 17" xfId="2002" xr:uid="{00000000-0005-0000-0000-0000F4070000}"/>
    <cellStyle name="40% - Accent2 18" xfId="2003" xr:uid="{00000000-0005-0000-0000-0000F5070000}"/>
    <cellStyle name="40% - Accent2 19" xfId="2004" xr:uid="{00000000-0005-0000-0000-0000F6070000}"/>
    <cellStyle name="40% - Accent2 2" xfId="46" xr:uid="{00000000-0005-0000-0000-0000F7070000}"/>
    <cellStyle name="40% - Accent2 2 10" xfId="2005" xr:uid="{00000000-0005-0000-0000-0000F8070000}"/>
    <cellStyle name="40% - Accent2 2 10 2" xfId="20013" xr:uid="{00000000-0005-0000-0000-0000F9070000}"/>
    <cellStyle name="40% - Accent2 2 11" xfId="2006" xr:uid="{00000000-0005-0000-0000-0000FA070000}"/>
    <cellStyle name="40% - Accent2 2 11 2" xfId="20014" xr:uid="{00000000-0005-0000-0000-0000FB070000}"/>
    <cellStyle name="40% - Accent2 2 12" xfId="2007" xr:uid="{00000000-0005-0000-0000-0000FC070000}"/>
    <cellStyle name="40% - Accent2 2 12 2" xfId="20015" xr:uid="{00000000-0005-0000-0000-0000FD070000}"/>
    <cellStyle name="40% - Accent2 2 13" xfId="2008" xr:uid="{00000000-0005-0000-0000-0000FE070000}"/>
    <cellStyle name="40% - Accent2 2 13 2" xfId="20016" xr:uid="{00000000-0005-0000-0000-0000FF070000}"/>
    <cellStyle name="40% - Accent2 2 14" xfId="2009" xr:uid="{00000000-0005-0000-0000-000000080000}"/>
    <cellStyle name="40% - Accent2 2 14 2" xfId="20017" xr:uid="{00000000-0005-0000-0000-000001080000}"/>
    <cellStyle name="40% - Accent2 2 15" xfId="2010" xr:uid="{00000000-0005-0000-0000-000002080000}"/>
    <cellStyle name="40% - Accent2 2 15 2" xfId="20018" xr:uid="{00000000-0005-0000-0000-000003080000}"/>
    <cellStyle name="40% - Accent2 2 16" xfId="2011" xr:uid="{00000000-0005-0000-0000-000004080000}"/>
    <cellStyle name="40% - Accent2 2 16 2" xfId="20019" xr:uid="{00000000-0005-0000-0000-000005080000}"/>
    <cellStyle name="40% - Accent2 2 17" xfId="2012" xr:uid="{00000000-0005-0000-0000-000006080000}"/>
    <cellStyle name="40% - Accent2 2 17 2" xfId="20020" xr:uid="{00000000-0005-0000-0000-000007080000}"/>
    <cellStyle name="40% - Accent2 2 18" xfId="2013" xr:uid="{00000000-0005-0000-0000-000008080000}"/>
    <cellStyle name="40% - Accent2 2 18 2" xfId="20021" xr:uid="{00000000-0005-0000-0000-000009080000}"/>
    <cellStyle name="40% - Accent2 2 19" xfId="2014" xr:uid="{00000000-0005-0000-0000-00000A080000}"/>
    <cellStyle name="40% - Accent2 2 19 2" xfId="20022" xr:uid="{00000000-0005-0000-0000-00000B080000}"/>
    <cellStyle name="40% - Accent2 2 2" xfId="2015" xr:uid="{00000000-0005-0000-0000-00000C080000}"/>
    <cellStyle name="40% - Accent2 2 2 10" xfId="2016" xr:uid="{00000000-0005-0000-0000-00000D080000}"/>
    <cellStyle name="40% - Accent2 2 2 10 2" xfId="20024" xr:uid="{00000000-0005-0000-0000-00000E080000}"/>
    <cellStyle name="40% - Accent2 2 2 11" xfId="2017" xr:uid="{00000000-0005-0000-0000-00000F080000}"/>
    <cellStyle name="40% - Accent2 2 2 11 2" xfId="20025" xr:uid="{00000000-0005-0000-0000-000010080000}"/>
    <cellStyle name="40% - Accent2 2 2 12" xfId="2018" xr:uid="{00000000-0005-0000-0000-000011080000}"/>
    <cellStyle name="40% - Accent2 2 2 12 2" xfId="20026" xr:uid="{00000000-0005-0000-0000-000012080000}"/>
    <cellStyle name="40% - Accent2 2 2 13" xfId="2019" xr:uid="{00000000-0005-0000-0000-000013080000}"/>
    <cellStyle name="40% - Accent2 2 2 13 2" xfId="20027" xr:uid="{00000000-0005-0000-0000-000014080000}"/>
    <cellStyle name="40% - Accent2 2 2 14" xfId="2020" xr:uid="{00000000-0005-0000-0000-000015080000}"/>
    <cellStyle name="40% - Accent2 2 2 14 2" xfId="20028" xr:uid="{00000000-0005-0000-0000-000016080000}"/>
    <cellStyle name="40% - Accent2 2 2 15" xfId="2021" xr:uid="{00000000-0005-0000-0000-000017080000}"/>
    <cellStyle name="40% - Accent2 2 2 15 2" xfId="20029" xr:uid="{00000000-0005-0000-0000-000018080000}"/>
    <cellStyle name="40% - Accent2 2 2 16" xfId="2022" xr:uid="{00000000-0005-0000-0000-000019080000}"/>
    <cellStyle name="40% - Accent2 2 2 16 2" xfId="20030" xr:uid="{00000000-0005-0000-0000-00001A080000}"/>
    <cellStyle name="40% - Accent2 2 2 17" xfId="2023" xr:uid="{00000000-0005-0000-0000-00001B080000}"/>
    <cellStyle name="40% - Accent2 2 2 17 2" xfId="20031" xr:uid="{00000000-0005-0000-0000-00001C080000}"/>
    <cellStyle name="40% - Accent2 2 2 18" xfId="2024" xr:uid="{00000000-0005-0000-0000-00001D080000}"/>
    <cellStyle name="40% - Accent2 2 2 18 2" xfId="20032" xr:uid="{00000000-0005-0000-0000-00001E080000}"/>
    <cellStyle name="40% - Accent2 2 2 19" xfId="2025" xr:uid="{00000000-0005-0000-0000-00001F080000}"/>
    <cellStyle name="40% - Accent2 2 2 19 2" xfId="20033" xr:uid="{00000000-0005-0000-0000-000020080000}"/>
    <cellStyle name="40% - Accent2 2 2 2" xfId="2026" xr:uid="{00000000-0005-0000-0000-000021080000}"/>
    <cellStyle name="40% - Accent2 2 2 2 2" xfId="20034" xr:uid="{00000000-0005-0000-0000-000022080000}"/>
    <cellStyle name="40% - Accent2 2 2 20" xfId="2027" xr:uid="{00000000-0005-0000-0000-000023080000}"/>
    <cellStyle name="40% - Accent2 2 2 20 2" xfId="20035" xr:uid="{00000000-0005-0000-0000-000024080000}"/>
    <cellStyle name="40% - Accent2 2 2 21" xfId="2028" xr:uid="{00000000-0005-0000-0000-000025080000}"/>
    <cellStyle name="40% - Accent2 2 2 21 2" xfId="20036" xr:uid="{00000000-0005-0000-0000-000026080000}"/>
    <cellStyle name="40% - Accent2 2 2 22" xfId="2029" xr:uid="{00000000-0005-0000-0000-000027080000}"/>
    <cellStyle name="40% - Accent2 2 2 22 2" xfId="20037" xr:uid="{00000000-0005-0000-0000-000028080000}"/>
    <cellStyle name="40% - Accent2 2 2 23" xfId="2030" xr:uid="{00000000-0005-0000-0000-000029080000}"/>
    <cellStyle name="40% - Accent2 2 2 23 2" xfId="20038" xr:uid="{00000000-0005-0000-0000-00002A080000}"/>
    <cellStyle name="40% - Accent2 2 2 24" xfId="2031" xr:uid="{00000000-0005-0000-0000-00002B080000}"/>
    <cellStyle name="40% - Accent2 2 2 24 2" xfId="20039" xr:uid="{00000000-0005-0000-0000-00002C080000}"/>
    <cellStyle name="40% - Accent2 2 2 25" xfId="2032" xr:uid="{00000000-0005-0000-0000-00002D080000}"/>
    <cellStyle name="40% - Accent2 2 2 25 2" xfId="20040" xr:uid="{00000000-0005-0000-0000-00002E080000}"/>
    <cellStyle name="40% - Accent2 2 2 26" xfId="2033" xr:uid="{00000000-0005-0000-0000-00002F080000}"/>
    <cellStyle name="40% - Accent2 2 2 26 2" xfId="20041" xr:uid="{00000000-0005-0000-0000-000030080000}"/>
    <cellStyle name="40% - Accent2 2 2 27" xfId="2034" xr:uid="{00000000-0005-0000-0000-000031080000}"/>
    <cellStyle name="40% - Accent2 2 2 27 2" xfId="20042" xr:uid="{00000000-0005-0000-0000-000032080000}"/>
    <cellStyle name="40% - Accent2 2 2 28" xfId="2035" xr:uid="{00000000-0005-0000-0000-000033080000}"/>
    <cellStyle name="40% - Accent2 2 2 28 2" xfId="20043" xr:uid="{00000000-0005-0000-0000-000034080000}"/>
    <cellStyle name="40% - Accent2 2 2 29" xfId="2036" xr:uid="{00000000-0005-0000-0000-000035080000}"/>
    <cellStyle name="40% - Accent2 2 2 29 2" xfId="20044" xr:uid="{00000000-0005-0000-0000-000036080000}"/>
    <cellStyle name="40% - Accent2 2 2 3" xfId="2037" xr:uid="{00000000-0005-0000-0000-000037080000}"/>
    <cellStyle name="40% - Accent2 2 2 3 2" xfId="20045" xr:uid="{00000000-0005-0000-0000-000038080000}"/>
    <cellStyle name="40% - Accent2 2 2 30" xfId="2038" xr:uid="{00000000-0005-0000-0000-000039080000}"/>
    <cellStyle name="40% - Accent2 2 2 30 2" xfId="20046" xr:uid="{00000000-0005-0000-0000-00003A080000}"/>
    <cellStyle name="40% - Accent2 2 2 31" xfId="2039" xr:uid="{00000000-0005-0000-0000-00003B080000}"/>
    <cellStyle name="40% - Accent2 2 2 31 2" xfId="20047" xr:uid="{00000000-0005-0000-0000-00003C080000}"/>
    <cellStyle name="40% - Accent2 2 2 32" xfId="2040" xr:uid="{00000000-0005-0000-0000-00003D080000}"/>
    <cellStyle name="40% - Accent2 2 2 32 2" xfId="20048" xr:uid="{00000000-0005-0000-0000-00003E080000}"/>
    <cellStyle name="40% - Accent2 2 2 33" xfId="2041" xr:uid="{00000000-0005-0000-0000-00003F080000}"/>
    <cellStyle name="40% - Accent2 2 2 33 2" xfId="20049" xr:uid="{00000000-0005-0000-0000-000040080000}"/>
    <cellStyle name="40% - Accent2 2 2 34" xfId="2042" xr:uid="{00000000-0005-0000-0000-000041080000}"/>
    <cellStyle name="40% - Accent2 2 2 34 2" xfId="20050" xr:uid="{00000000-0005-0000-0000-000042080000}"/>
    <cellStyle name="40% - Accent2 2 2 35" xfId="2043" xr:uid="{00000000-0005-0000-0000-000043080000}"/>
    <cellStyle name="40% - Accent2 2 2 35 2" xfId="20051" xr:uid="{00000000-0005-0000-0000-000044080000}"/>
    <cellStyle name="40% - Accent2 2 2 36" xfId="2044" xr:uid="{00000000-0005-0000-0000-000045080000}"/>
    <cellStyle name="40% - Accent2 2 2 36 2" xfId="20052" xr:uid="{00000000-0005-0000-0000-000046080000}"/>
    <cellStyle name="40% - Accent2 2 2 37" xfId="2045" xr:uid="{00000000-0005-0000-0000-000047080000}"/>
    <cellStyle name="40% - Accent2 2 2 37 2" xfId="20053" xr:uid="{00000000-0005-0000-0000-000048080000}"/>
    <cellStyle name="40% - Accent2 2 2 38" xfId="2046" xr:uid="{00000000-0005-0000-0000-000049080000}"/>
    <cellStyle name="40% - Accent2 2 2 38 2" xfId="20054" xr:uid="{00000000-0005-0000-0000-00004A080000}"/>
    <cellStyle name="40% - Accent2 2 2 39" xfId="2047" xr:uid="{00000000-0005-0000-0000-00004B080000}"/>
    <cellStyle name="40% - Accent2 2 2 39 2" xfId="20055" xr:uid="{00000000-0005-0000-0000-00004C080000}"/>
    <cellStyle name="40% - Accent2 2 2 4" xfId="2048" xr:uid="{00000000-0005-0000-0000-00004D080000}"/>
    <cellStyle name="40% - Accent2 2 2 4 2" xfId="20056" xr:uid="{00000000-0005-0000-0000-00004E080000}"/>
    <cellStyle name="40% - Accent2 2 2 40" xfId="2049" xr:uid="{00000000-0005-0000-0000-00004F080000}"/>
    <cellStyle name="40% - Accent2 2 2 40 2" xfId="20057" xr:uid="{00000000-0005-0000-0000-000050080000}"/>
    <cellStyle name="40% - Accent2 2 2 41" xfId="2050" xr:uid="{00000000-0005-0000-0000-000051080000}"/>
    <cellStyle name="40% - Accent2 2 2 41 2" xfId="20058" xr:uid="{00000000-0005-0000-0000-000052080000}"/>
    <cellStyle name="40% - Accent2 2 2 42" xfId="2051" xr:uid="{00000000-0005-0000-0000-000053080000}"/>
    <cellStyle name="40% - Accent2 2 2 42 2" xfId="20059" xr:uid="{00000000-0005-0000-0000-000054080000}"/>
    <cellStyle name="40% - Accent2 2 2 43" xfId="20023" xr:uid="{00000000-0005-0000-0000-000055080000}"/>
    <cellStyle name="40% - Accent2 2 2 5" xfId="2052" xr:uid="{00000000-0005-0000-0000-000056080000}"/>
    <cellStyle name="40% - Accent2 2 2 5 2" xfId="20060" xr:uid="{00000000-0005-0000-0000-000057080000}"/>
    <cellStyle name="40% - Accent2 2 2 6" xfId="2053" xr:uid="{00000000-0005-0000-0000-000058080000}"/>
    <cellStyle name="40% - Accent2 2 2 6 2" xfId="20061" xr:uid="{00000000-0005-0000-0000-000059080000}"/>
    <cellStyle name="40% - Accent2 2 2 7" xfId="2054" xr:uid="{00000000-0005-0000-0000-00005A080000}"/>
    <cellStyle name="40% - Accent2 2 2 7 2" xfId="20062" xr:uid="{00000000-0005-0000-0000-00005B080000}"/>
    <cellStyle name="40% - Accent2 2 2 8" xfId="2055" xr:uid="{00000000-0005-0000-0000-00005C080000}"/>
    <cellStyle name="40% - Accent2 2 2 8 2" xfId="20063" xr:uid="{00000000-0005-0000-0000-00005D080000}"/>
    <cellStyle name="40% - Accent2 2 2 9" xfId="2056" xr:uid="{00000000-0005-0000-0000-00005E080000}"/>
    <cellStyle name="40% - Accent2 2 2 9 2" xfId="20064" xr:uid="{00000000-0005-0000-0000-00005F080000}"/>
    <cellStyle name="40% - Accent2 2 2_DATA Input" xfId="2057" xr:uid="{00000000-0005-0000-0000-000060080000}"/>
    <cellStyle name="40% - Accent2 2 20" xfId="2058" xr:uid="{00000000-0005-0000-0000-000061080000}"/>
    <cellStyle name="40% - Accent2 2 20 2" xfId="20065" xr:uid="{00000000-0005-0000-0000-000062080000}"/>
    <cellStyle name="40% - Accent2 2 21" xfId="2059" xr:uid="{00000000-0005-0000-0000-000063080000}"/>
    <cellStyle name="40% - Accent2 2 21 2" xfId="20066" xr:uid="{00000000-0005-0000-0000-000064080000}"/>
    <cellStyle name="40% - Accent2 2 22" xfId="2060" xr:uid="{00000000-0005-0000-0000-000065080000}"/>
    <cellStyle name="40% - Accent2 2 22 2" xfId="20067" xr:uid="{00000000-0005-0000-0000-000066080000}"/>
    <cellStyle name="40% - Accent2 2 23" xfId="2061" xr:uid="{00000000-0005-0000-0000-000067080000}"/>
    <cellStyle name="40% - Accent2 2 23 2" xfId="20068" xr:uid="{00000000-0005-0000-0000-000068080000}"/>
    <cellStyle name="40% - Accent2 2 24" xfId="2062" xr:uid="{00000000-0005-0000-0000-000069080000}"/>
    <cellStyle name="40% - Accent2 2 24 2" xfId="20069" xr:uid="{00000000-0005-0000-0000-00006A080000}"/>
    <cellStyle name="40% - Accent2 2 25" xfId="2063" xr:uid="{00000000-0005-0000-0000-00006B080000}"/>
    <cellStyle name="40% - Accent2 2 25 2" xfId="20070" xr:uid="{00000000-0005-0000-0000-00006C080000}"/>
    <cellStyle name="40% - Accent2 2 26" xfId="2064" xr:uid="{00000000-0005-0000-0000-00006D080000}"/>
    <cellStyle name="40% - Accent2 2 26 2" xfId="20071" xr:uid="{00000000-0005-0000-0000-00006E080000}"/>
    <cellStyle name="40% - Accent2 2 27" xfId="2065" xr:uid="{00000000-0005-0000-0000-00006F080000}"/>
    <cellStyle name="40% - Accent2 2 27 2" xfId="20072" xr:uid="{00000000-0005-0000-0000-000070080000}"/>
    <cellStyle name="40% - Accent2 2 28" xfId="2066" xr:uid="{00000000-0005-0000-0000-000071080000}"/>
    <cellStyle name="40% - Accent2 2 28 2" xfId="20073" xr:uid="{00000000-0005-0000-0000-000072080000}"/>
    <cellStyle name="40% - Accent2 2 29" xfId="2067" xr:uid="{00000000-0005-0000-0000-000073080000}"/>
    <cellStyle name="40% - Accent2 2 29 2" xfId="20074" xr:uid="{00000000-0005-0000-0000-000074080000}"/>
    <cellStyle name="40% - Accent2 2 3" xfId="2068" xr:uid="{00000000-0005-0000-0000-000075080000}"/>
    <cellStyle name="40% - Accent2 2 3 2" xfId="20075" xr:uid="{00000000-0005-0000-0000-000076080000}"/>
    <cellStyle name="40% - Accent2 2 30" xfId="2069" xr:uid="{00000000-0005-0000-0000-000077080000}"/>
    <cellStyle name="40% - Accent2 2 30 2" xfId="20076" xr:uid="{00000000-0005-0000-0000-000078080000}"/>
    <cellStyle name="40% - Accent2 2 31" xfId="2070" xr:uid="{00000000-0005-0000-0000-000079080000}"/>
    <cellStyle name="40% - Accent2 2 31 2" xfId="20077" xr:uid="{00000000-0005-0000-0000-00007A080000}"/>
    <cellStyle name="40% - Accent2 2 32" xfId="2071" xr:uid="{00000000-0005-0000-0000-00007B080000}"/>
    <cellStyle name="40% - Accent2 2 32 2" xfId="20078" xr:uid="{00000000-0005-0000-0000-00007C080000}"/>
    <cellStyle name="40% - Accent2 2 33" xfId="2072" xr:uid="{00000000-0005-0000-0000-00007D080000}"/>
    <cellStyle name="40% - Accent2 2 33 2" xfId="20079" xr:uid="{00000000-0005-0000-0000-00007E080000}"/>
    <cellStyle name="40% - Accent2 2 34" xfId="2073" xr:uid="{00000000-0005-0000-0000-00007F080000}"/>
    <cellStyle name="40% - Accent2 2 34 2" xfId="20080" xr:uid="{00000000-0005-0000-0000-000080080000}"/>
    <cellStyle name="40% - Accent2 2 35" xfId="2074" xr:uid="{00000000-0005-0000-0000-000081080000}"/>
    <cellStyle name="40% - Accent2 2 35 2" xfId="20081" xr:uid="{00000000-0005-0000-0000-000082080000}"/>
    <cellStyle name="40% - Accent2 2 36" xfId="2075" xr:uid="{00000000-0005-0000-0000-000083080000}"/>
    <cellStyle name="40% - Accent2 2 36 2" xfId="20082" xr:uid="{00000000-0005-0000-0000-000084080000}"/>
    <cellStyle name="40% - Accent2 2 37" xfId="2076" xr:uid="{00000000-0005-0000-0000-000085080000}"/>
    <cellStyle name="40% - Accent2 2 37 2" xfId="20083" xr:uid="{00000000-0005-0000-0000-000086080000}"/>
    <cellStyle name="40% - Accent2 2 38" xfId="2077" xr:uid="{00000000-0005-0000-0000-000087080000}"/>
    <cellStyle name="40% - Accent2 2 38 2" xfId="20084" xr:uid="{00000000-0005-0000-0000-000088080000}"/>
    <cellStyle name="40% - Accent2 2 39" xfId="2078" xr:uid="{00000000-0005-0000-0000-000089080000}"/>
    <cellStyle name="40% - Accent2 2 39 2" xfId="20085" xr:uid="{00000000-0005-0000-0000-00008A080000}"/>
    <cellStyle name="40% - Accent2 2 4" xfId="2079" xr:uid="{00000000-0005-0000-0000-00008B080000}"/>
    <cellStyle name="40% - Accent2 2 4 2" xfId="20086" xr:uid="{00000000-0005-0000-0000-00008C080000}"/>
    <cellStyle name="40% - Accent2 2 40" xfId="2080" xr:uid="{00000000-0005-0000-0000-00008D080000}"/>
    <cellStyle name="40% - Accent2 2 40 2" xfId="20087" xr:uid="{00000000-0005-0000-0000-00008E080000}"/>
    <cellStyle name="40% - Accent2 2 41" xfId="2081" xr:uid="{00000000-0005-0000-0000-00008F080000}"/>
    <cellStyle name="40% - Accent2 2 41 2" xfId="20088" xr:uid="{00000000-0005-0000-0000-000090080000}"/>
    <cellStyle name="40% - Accent2 2 42" xfId="2082" xr:uid="{00000000-0005-0000-0000-000091080000}"/>
    <cellStyle name="40% - Accent2 2 42 2" xfId="20089" xr:uid="{00000000-0005-0000-0000-000092080000}"/>
    <cellStyle name="40% - Accent2 2 43" xfId="2083" xr:uid="{00000000-0005-0000-0000-000093080000}"/>
    <cellStyle name="40% - Accent2 2 43 2" xfId="20090" xr:uid="{00000000-0005-0000-0000-000094080000}"/>
    <cellStyle name="40% - Accent2 2 44" xfId="2084" xr:uid="{00000000-0005-0000-0000-000095080000}"/>
    <cellStyle name="40% - Accent2 2 44 2" xfId="20091" xr:uid="{00000000-0005-0000-0000-000096080000}"/>
    <cellStyle name="40% - Accent2 2 5" xfId="2085" xr:uid="{00000000-0005-0000-0000-000097080000}"/>
    <cellStyle name="40% - Accent2 2 5 2" xfId="20092" xr:uid="{00000000-0005-0000-0000-000098080000}"/>
    <cellStyle name="40% - Accent2 2 6" xfId="2086" xr:uid="{00000000-0005-0000-0000-000099080000}"/>
    <cellStyle name="40% - Accent2 2 6 2" xfId="20093" xr:uid="{00000000-0005-0000-0000-00009A080000}"/>
    <cellStyle name="40% - Accent2 2 7" xfId="2087" xr:uid="{00000000-0005-0000-0000-00009B080000}"/>
    <cellStyle name="40% - Accent2 2 7 2" xfId="20094" xr:uid="{00000000-0005-0000-0000-00009C080000}"/>
    <cellStyle name="40% - Accent2 2 8" xfId="2088" xr:uid="{00000000-0005-0000-0000-00009D080000}"/>
    <cellStyle name="40% - Accent2 2 8 2" xfId="20095" xr:uid="{00000000-0005-0000-0000-00009E080000}"/>
    <cellStyle name="40% - Accent2 2 9" xfId="2089" xr:uid="{00000000-0005-0000-0000-00009F080000}"/>
    <cellStyle name="40% - Accent2 2 9 2" xfId="20096" xr:uid="{00000000-0005-0000-0000-0000A0080000}"/>
    <cellStyle name="40% - Accent2 2_DATA Input" xfId="2090" xr:uid="{00000000-0005-0000-0000-0000A1080000}"/>
    <cellStyle name="40% - Accent2 20" xfId="2091" xr:uid="{00000000-0005-0000-0000-0000A2080000}"/>
    <cellStyle name="40% - Accent2 21" xfId="2092" xr:uid="{00000000-0005-0000-0000-0000A3080000}"/>
    <cellStyle name="40% - Accent2 22" xfId="2093" xr:uid="{00000000-0005-0000-0000-0000A4080000}"/>
    <cellStyle name="40% - Accent2 23" xfId="2094" xr:uid="{00000000-0005-0000-0000-0000A5080000}"/>
    <cellStyle name="40% - Accent2 24" xfId="2095" xr:uid="{00000000-0005-0000-0000-0000A6080000}"/>
    <cellStyle name="40% - Accent2 3" xfId="2096" xr:uid="{00000000-0005-0000-0000-0000A7080000}"/>
    <cellStyle name="40% - Accent2 3 10" xfId="2097" xr:uid="{00000000-0005-0000-0000-0000A8080000}"/>
    <cellStyle name="40% - Accent2 3 11" xfId="2098" xr:uid="{00000000-0005-0000-0000-0000A9080000}"/>
    <cellStyle name="40% - Accent2 3 12" xfId="2099" xr:uid="{00000000-0005-0000-0000-0000AA080000}"/>
    <cellStyle name="40% - Accent2 3 13" xfId="2100" xr:uid="{00000000-0005-0000-0000-0000AB080000}"/>
    <cellStyle name="40% - Accent2 3 14" xfId="2101" xr:uid="{00000000-0005-0000-0000-0000AC080000}"/>
    <cellStyle name="40% - Accent2 3 15" xfId="2102" xr:uid="{00000000-0005-0000-0000-0000AD080000}"/>
    <cellStyle name="40% - Accent2 3 16" xfId="2103" xr:uid="{00000000-0005-0000-0000-0000AE080000}"/>
    <cellStyle name="40% - Accent2 3 17" xfId="2104" xr:uid="{00000000-0005-0000-0000-0000AF080000}"/>
    <cellStyle name="40% - Accent2 3 18" xfId="2105" xr:uid="{00000000-0005-0000-0000-0000B0080000}"/>
    <cellStyle name="40% - Accent2 3 19" xfId="2106" xr:uid="{00000000-0005-0000-0000-0000B1080000}"/>
    <cellStyle name="40% - Accent2 3 2" xfId="2107" xr:uid="{00000000-0005-0000-0000-0000B2080000}"/>
    <cellStyle name="40% - Accent2 3 20" xfId="2108" xr:uid="{00000000-0005-0000-0000-0000B3080000}"/>
    <cellStyle name="40% - Accent2 3 21" xfId="2109" xr:uid="{00000000-0005-0000-0000-0000B4080000}"/>
    <cellStyle name="40% - Accent2 3 22" xfId="2110" xr:uid="{00000000-0005-0000-0000-0000B5080000}"/>
    <cellStyle name="40% - Accent2 3 23" xfId="2111" xr:uid="{00000000-0005-0000-0000-0000B6080000}"/>
    <cellStyle name="40% - Accent2 3 24" xfId="2112" xr:uid="{00000000-0005-0000-0000-0000B7080000}"/>
    <cellStyle name="40% - Accent2 3 25" xfId="2113" xr:uid="{00000000-0005-0000-0000-0000B8080000}"/>
    <cellStyle name="40% - Accent2 3 26" xfId="2114" xr:uid="{00000000-0005-0000-0000-0000B9080000}"/>
    <cellStyle name="40% - Accent2 3 27" xfId="2115" xr:uid="{00000000-0005-0000-0000-0000BA080000}"/>
    <cellStyle name="40% - Accent2 3 28" xfId="2116" xr:uid="{00000000-0005-0000-0000-0000BB080000}"/>
    <cellStyle name="40% - Accent2 3 29" xfId="2117" xr:uid="{00000000-0005-0000-0000-0000BC080000}"/>
    <cellStyle name="40% - Accent2 3 3" xfId="2118" xr:uid="{00000000-0005-0000-0000-0000BD080000}"/>
    <cellStyle name="40% - Accent2 3 30" xfId="2119" xr:uid="{00000000-0005-0000-0000-0000BE080000}"/>
    <cellStyle name="40% - Accent2 3 31" xfId="2120" xr:uid="{00000000-0005-0000-0000-0000BF080000}"/>
    <cellStyle name="40% - Accent2 3 32" xfId="2121" xr:uid="{00000000-0005-0000-0000-0000C0080000}"/>
    <cellStyle name="40% - Accent2 3 4" xfId="2122" xr:uid="{00000000-0005-0000-0000-0000C1080000}"/>
    <cellStyle name="40% - Accent2 3 5" xfId="2123" xr:uid="{00000000-0005-0000-0000-0000C2080000}"/>
    <cellStyle name="40% - Accent2 3 6" xfId="2124" xr:uid="{00000000-0005-0000-0000-0000C3080000}"/>
    <cellStyle name="40% - Accent2 3 7" xfId="2125" xr:uid="{00000000-0005-0000-0000-0000C4080000}"/>
    <cellStyle name="40% - Accent2 3 8" xfId="2126" xr:uid="{00000000-0005-0000-0000-0000C5080000}"/>
    <cellStyle name="40% - Accent2 3 9" xfId="2127" xr:uid="{00000000-0005-0000-0000-0000C6080000}"/>
    <cellStyle name="40% - Accent2 4" xfId="2128" xr:uid="{00000000-0005-0000-0000-0000C7080000}"/>
    <cellStyle name="40% - Accent2 5" xfId="2129" xr:uid="{00000000-0005-0000-0000-0000C8080000}"/>
    <cellStyle name="40% - Accent2 6" xfId="2130" xr:uid="{00000000-0005-0000-0000-0000C9080000}"/>
    <cellStyle name="40% - Accent2 7" xfId="2131" xr:uid="{00000000-0005-0000-0000-0000CA080000}"/>
    <cellStyle name="40% - Accent2 8" xfId="2132" xr:uid="{00000000-0005-0000-0000-0000CB080000}"/>
    <cellStyle name="40% - Accent2 9" xfId="2133" xr:uid="{00000000-0005-0000-0000-0000CC080000}"/>
    <cellStyle name="40% - Accent3 10" xfId="2134" xr:uid="{00000000-0005-0000-0000-0000CD080000}"/>
    <cellStyle name="40% - Accent3 11" xfId="2135" xr:uid="{00000000-0005-0000-0000-0000CE080000}"/>
    <cellStyle name="40% - Accent3 12" xfId="2136" xr:uid="{00000000-0005-0000-0000-0000CF080000}"/>
    <cellStyle name="40% - Accent3 13" xfId="2137" xr:uid="{00000000-0005-0000-0000-0000D0080000}"/>
    <cellStyle name="40% - Accent3 14" xfId="2138" xr:uid="{00000000-0005-0000-0000-0000D1080000}"/>
    <cellStyle name="40% - Accent3 15" xfId="2139" xr:uid="{00000000-0005-0000-0000-0000D2080000}"/>
    <cellStyle name="40% - Accent3 16" xfId="2140" xr:uid="{00000000-0005-0000-0000-0000D3080000}"/>
    <cellStyle name="40% - Accent3 17" xfId="2141" xr:uid="{00000000-0005-0000-0000-0000D4080000}"/>
    <cellStyle name="40% - Accent3 18" xfId="2142" xr:uid="{00000000-0005-0000-0000-0000D5080000}"/>
    <cellStyle name="40% - Accent3 19" xfId="2143" xr:uid="{00000000-0005-0000-0000-0000D6080000}"/>
    <cellStyle name="40% - Accent3 2" xfId="47" xr:uid="{00000000-0005-0000-0000-0000D7080000}"/>
    <cellStyle name="40% - Accent3 2 10" xfId="2144" xr:uid="{00000000-0005-0000-0000-0000D8080000}"/>
    <cellStyle name="40% - Accent3 2 10 2" xfId="20097" xr:uid="{00000000-0005-0000-0000-0000D9080000}"/>
    <cellStyle name="40% - Accent3 2 11" xfId="2145" xr:uid="{00000000-0005-0000-0000-0000DA080000}"/>
    <cellStyle name="40% - Accent3 2 11 2" xfId="20098" xr:uid="{00000000-0005-0000-0000-0000DB080000}"/>
    <cellStyle name="40% - Accent3 2 12" xfId="2146" xr:uid="{00000000-0005-0000-0000-0000DC080000}"/>
    <cellStyle name="40% - Accent3 2 12 2" xfId="20099" xr:uid="{00000000-0005-0000-0000-0000DD080000}"/>
    <cellStyle name="40% - Accent3 2 13" xfId="2147" xr:uid="{00000000-0005-0000-0000-0000DE080000}"/>
    <cellStyle name="40% - Accent3 2 13 2" xfId="20100" xr:uid="{00000000-0005-0000-0000-0000DF080000}"/>
    <cellStyle name="40% - Accent3 2 14" xfId="2148" xr:uid="{00000000-0005-0000-0000-0000E0080000}"/>
    <cellStyle name="40% - Accent3 2 14 2" xfId="20101" xr:uid="{00000000-0005-0000-0000-0000E1080000}"/>
    <cellStyle name="40% - Accent3 2 15" xfId="2149" xr:uid="{00000000-0005-0000-0000-0000E2080000}"/>
    <cellStyle name="40% - Accent3 2 15 2" xfId="20102" xr:uid="{00000000-0005-0000-0000-0000E3080000}"/>
    <cellStyle name="40% - Accent3 2 16" xfId="2150" xr:uid="{00000000-0005-0000-0000-0000E4080000}"/>
    <cellStyle name="40% - Accent3 2 16 2" xfId="20103" xr:uid="{00000000-0005-0000-0000-0000E5080000}"/>
    <cellStyle name="40% - Accent3 2 17" xfId="2151" xr:uid="{00000000-0005-0000-0000-0000E6080000}"/>
    <cellStyle name="40% - Accent3 2 17 2" xfId="20104" xr:uid="{00000000-0005-0000-0000-0000E7080000}"/>
    <cellStyle name="40% - Accent3 2 18" xfId="2152" xr:uid="{00000000-0005-0000-0000-0000E8080000}"/>
    <cellStyle name="40% - Accent3 2 18 2" xfId="20105" xr:uid="{00000000-0005-0000-0000-0000E9080000}"/>
    <cellStyle name="40% - Accent3 2 19" xfId="2153" xr:uid="{00000000-0005-0000-0000-0000EA080000}"/>
    <cellStyle name="40% - Accent3 2 19 2" xfId="20106" xr:uid="{00000000-0005-0000-0000-0000EB080000}"/>
    <cellStyle name="40% - Accent3 2 2" xfId="2154" xr:uid="{00000000-0005-0000-0000-0000EC080000}"/>
    <cellStyle name="40% - Accent3 2 2 10" xfId="2155" xr:uid="{00000000-0005-0000-0000-0000ED080000}"/>
    <cellStyle name="40% - Accent3 2 2 10 2" xfId="20108" xr:uid="{00000000-0005-0000-0000-0000EE080000}"/>
    <cellStyle name="40% - Accent3 2 2 11" xfId="2156" xr:uid="{00000000-0005-0000-0000-0000EF080000}"/>
    <cellStyle name="40% - Accent3 2 2 11 2" xfId="20109" xr:uid="{00000000-0005-0000-0000-0000F0080000}"/>
    <cellStyle name="40% - Accent3 2 2 12" xfId="2157" xr:uid="{00000000-0005-0000-0000-0000F1080000}"/>
    <cellStyle name="40% - Accent3 2 2 12 2" xfId="20110" xr:uid="{00000000-0005-0000-0000-0000F2080000}"/>
    <cellStyle name="40% - Accent3 2 2 13" xfId="2158" xr:uid="{00000000-0005-0000-0000-0000F3080000}"/>
    <cellStyle name="40% - Accent3 2 2 13 2" xfId="20111" xr:uid="{00000000-0005-0000-0000-0000F4080000}"/>
    <cellStyle name="40% - Accent3 2 2 14" xfId="2159" xr:uid="{00000000-0005-0000-0000-0000F5080000}"/>
    <cellStyle name="40% - Accent3 2 2 14 2" xfId="20112" xr:uid="{00000000-0005-0000-0000-0000F6080000}"/>
    <cellStyle name="40% - Accent3 2 2 15" xfId="2160" xr:uid="{00000000-0005-0000-0000-0000F7080000}"/>
    <cellStyle name="40% - Accent3 2 2 15 2" xfId="20113" xr:uid="{00000000-0005-0000-0000-0000F8080000}"/>
    <cellStyle name="40% - Accent3 2 2 16" xfId="2161" xr:uid="{00000000-0005-0000-0000-0000F9080000}"/>
    <cellStyle name="40% - Accent3 2 2 16 2" xfId="20114" xr:uid="{00000000-0005-0000-0000-0000FA080000}"/>
    <cellStyle name="40% - Accent3 2 2 17" xfId="2162" xr:uid="{00000000-0005-0000-0000-0000FB080000}"/>
    <cellStyle name="40% - Accent3 2 2 17 2" xfId="20115" xr:uid="{00000000-0005-0000-0000-0000FC080000}"/>
    <cellStyle name="40% - Accent3 2 2 18" xfId="2163" xr:uid="{00000000-0005-0000-0000-0000FD080000}"/>
    <cellStyle name="40% - Accent3 2 2 18 2" xfId="20116" xr:uid="{00000000-0005-0000-0000-0000FE080000}"/>
    <cellStyle name="40% - Accent3 2 2 19" xfId="2164" xr:uid="{00000000-0005-0000-0000-0000FF080000}"/>
    <cellStyle name="40% - Accent3 2 2 19 2" xfId="20117" xr:uid="{00000000-0005-0000-0000-000000090000}"/>
    <cellStyle name="40% - Accent3 2 2 2" xfId="2165" xr:uid="{00000000-0005-0000-0000-000001090000}"/>
    <cellStyle name="40% - Accent3 2 2 2 2" xfId="20118" xr:uid="{00000000-0005-0000-0000-000002090000}"/>
    <cellStyle name="40% - Accent3 2 2 20" xfId="2166" xr:uid="{00000000-0005-0000-0000-000003090000}"/>
    <cellStyle name="40% - Accent3 2 2 20 2" xfId="20119" xr:uid="{00000000-0005-0000-0000-000004090000}"/>
    <cellStyle name="40% - Accent3 2 2 21" xfId="2167" xr:uid="{00000000-0005-0000-0000-000005090000}"/>
    <cellStyle name="40% - Accent3 2 2 21 2" xfId="20120" xr:uid="{00000000-0005-0000-0000-000006090000}"/>
    <cellStyle name="40% - Accent3 2 2 22" xfId="2168" xr:uid="{00000000-0005-0000-0000-000007090000}"/>
    <cellStyle name="40% - Accent3 2 2 22 2" xfId="20121" xr:uid="{00000000-0005-0000-0000-000008090000}"/>
    <cellStyle name="40% - Accent3 2 2 23" xfId="2169" xr:uid="{00000000-0005-0000-0000-000009090000}"/>
    <cellStyle name="40% - Accent3 2 2 23 2" xfId="20122" xr:uid="{00000000-0005-0000-0000-00000A090000}"/>
    <cellStyle name="40% - Accent3 2 2 24" xfId="2170" xr:uid="{00000000-0005-0000-0000-00000B090000}"/>
    <cellStyle name="40% - Accent3 2 2 24 2" xfId="20123" xr:uid="{00000000-0005-0000-0000-00000C090000}"/>
    <cellStyle name="40% - Accent3 2 2 25" xfId="2171" xr:uid="{00000000-0005-0000-0000-00000D090000}"/>
    <cellStyle name="40% - Accent3 2 2 25 2" xfId="20124" xr:uid="{00000000-0005-0000-0000-00000E090000}"/>
    <cellStyle name="40% - Accent3 2 2 26" xfId="2172" xr:uid="{00000000-0005-0000-0000-00000F090000}"/>
    <cellStyle name="40% - Accent3 2 2 26 2" xfId="20125" xr:uid="{00000000-0005-0000-0000-000010090000}"/>
    <cellStyle name="40% - Accent3 2 2 27" xfId="2173" xr:uid="{00000000-0005-0000-0000-000011090000}"/>
    <cellStyle name="40% - Accent3 2 2 27 2" xfId="20126" xr:uid="{00000000-0005-0000-0000-000012090000}"/>
    <cellStyle name="40% - Accent3 2 2 28" xfId="2174" xr:uid="{00000000-0005-0000-0000-000013090000}"/>
    <cellStyle name="40% - Accent3 2 2 28 2" xfId="20127" xr:uid="{00000000-0005-0000-0000-000014090000}"/>
    <cellStyle name="40% - Accent3 2 2 29" xfId="2175" xr:uid="{00000000-0005-0000-0000-000015090000}"/>
    <cellStyle name="40% - Accent3 2 2 29 2" xfId="20128" xr:uid="{00000000-0005-0000-0000-000016090000}"/>
    <cellStyle name="40% - Accent3 2 2 3" xfId="2176" xr:uid="{00000000-0005-0000-0000-000017090000}"/>
    <cellStyle name="40% - Accent3 2 2 3 2" xfId="20129" xr:uid="{00000000-0005-0000-0000-000018090000}"/>
    <cellStyle name="40% - Accent3 2 2 30" xfId="2177" xr:uid="{00000000-0005-0000-0000-000019090000}"/>
    <cellStyle name="40% - Accent3 2 2 30 2" xfId="20130" xr:uid="{00000000-0005-0000-0000-00001A090000}"/>
    <cellStyle name="40% - Accent3 2 2 31" xfId="2178" xr:uid="{00000000-0005-0000-0000-00001B090000}"/>
    <cellStyle name="40% - Accent3 2 2 31 2" xfId="20131" xr:uid="{00000000-0005-0000-0000-00001C090000}"/>
    <cellStyle name="40% - Accent3 2 2 32" xfId="2179" xr:uid="{00000000-0005-0000-0000-00001D090000}"/>
    <cellStyle name="40% - Accent3 2 2 32 2" xfId="20132" xr:uid="{00000000-0005-0000-0000-00001E090000}"/>
    <cellStyle name="40% - Accent3 2 2 33" xfId="2180" xr:uid="{00000000-0005-0000-0000-00001F090000}"/>
    <cellStyle name="40% - Accent3 2 2 33 2" xfId="20133" xr:uid="{00000000-0005-0000-0000-000020090000}"/>
    <cellStyle name="40% - Accent3 2 2 34" xfId="2181" xr:uid="{00000000-0005-0000-0000-000021090000}"/>
    <cellStyle name="40% - Accent3 2 2 34 2" xfId="20134" xr:uid="{00000000-0005-0000-0000-000022090000}"/>
    <cellStyle name="40% - Accent3 2 2 35" xfId="2182" xr:uid="{00000000-0005-0000-0000-000023090000}"/>
    <cellStyle name="40% - Accent3 2 2 35 2" xfId="20135" xr:uid="{00000000-0005-0000-0000-000024090000}"/>
    <cellStyle name="40% - Accent3 2 2 36" xfId="2183" xr:uid="{00000000-0005-0000-0000-000025090000}"/>
    <cellStyle name="40% - Accent3 2 2 36 2" xfId="20136" xr:uid="{00000000-0005-0000-0000-000026090000}"/>
    <cellStyle name="40% - Accent3 2 2 37" xfId="2184" xr:uid="{00000000-0005-0000-0000-000027090000}"/>
    <cellStyle name="40% - Accent3 2 2 37 2" xfId="20137" xr:uid="{00000000-0005-0000-0000-000028090000}"/>
    <cellStyle name="40% - Accent3 2 2 38" xfId="2185" xr:uid="{00000000-0005-0000-0000-000029090000}"/>
    <cellStyle name="40% - Accent3 2 2 38 2" xfId="20138" xr:uid="{00000000-0005-0000-0000-00002A090000}"/>
    <cellStyle name="40% - Accent3 2 2 39" xfId="2186" xr:uid="{00000000-0005-0000-0000-00002B090000}"/>
    <cellStyle name="40% - Accent3 2 2 39 2" xfId="20139" xr:uid="{00000000-0005-0000-0000-00002C090000}"/>
    <cellStyle name="40% - Accent3 2 2 4" xfId="2187" xr:uid="{00000000-0005-0000-0000-00002D090000}"/>
    <cellStyle name="40% - Accent3 2 2 4 2" xfId="20140" xr:uid="{00000000-0005-0000-0000-00002E090000}"/>
    <cellStyle name="40% - Accent3 2 2 40" xfId="2188" xr:uid="{00000000-0005-0000-0000-00002F090000}"/>
    <cellStyle name="40% - Accent3 2 2 40 2" xfId="20141" xr:uid="{00000000-0005-0000-0000-000030090000}"/>
    <cellStyle name="40% - Accent3 2 2 41" xfId="2189" xr:uid="{00000000-0005-0000-0000-000031090000}"/>
    <cellStyle name="40% - Accent3 2 2 41 2" xfId="20142" xr:uid="{00000000-0005-0000-0000-000032090000}"/>
    <cellStyle name="40% - Accent3 2 2 42" xfId="2190" xr:uid="{00000000-0005-0000-0000-000033090000}"/>
    <cellStyle name="40% - Accent3 2 2 42 2" xfId="20143" xr:uid="{00000000-0005-0000-0000-000034090000}"/>
    <cellStyle name="40% - Accent3 2 2 43" xfId="20107" xr:uid="{00000000-0005-0000-0000-000035090000}"/>
    <cellStyle name="40% - Accent3 2 2 5" xfId="2191" xr:uid="{00000000-0005-0000-0000-000036090000}"/>
    <cellStyle name="40% - Accent3 2 2 5 2" xfId="20144" xr:uid="{00000000-0005-0000-0000-000037090000}"/>
    <cellStyle name="40% - Accent3 2 2 6" xfId="2192" xr:uid="{00000000-0005-0000-0000-000038090000}"/>
    <cellStyle name="40% - Accent3 2 2 6 2" xfId="20145" xr:uid="{00000000-0005-0000-0000-000039090000}"/>
    <cellStyle name="40% - Accent3 2 2 7" xfId="2193" xr:uid="{00000000-0005-0000-0000-00003A090000}"/>
    <cellStyle name="40% - Accent3 2 2 7 2" xfId="20146" xr:uid="{00000000-0005-0000-0000-00003B090000}"/>
    <cellStyle name="40% - Accent3 2 2 8" xfId="2194" xr:uid="{00000000-0005-0000-0000-00003C090000}"/>
    <cellStyle name="40% - Accent3 2 2 8 2" xfId="20147" xr:uid="{00000000-0005-0000-0000-00003D090000}"/>
    <cellStyle name="40% - Accent3 2 2 9" xfId="2195" xr:uid="{00000000-0005-0000-0000-00003E090000}"/>
    <cellStyle name="40% - Accent3 2 2 9 2" xfId="20148" xr:uid="{00000000-0005-0000-0000-00003F090000}"/>
    <cellStyle name="40% - Accent3 2 2_DATA Input" xfId="2196" xr:uid="{00000000-0005-0000-0000-000040090000}"/>
    <cellStyle name="40% - Accent3 2 20" xfId="2197" xr:uid="{00000000-0005-0000-0000-000041090000}"/>
    <cellStyle name="40% - Accent3 2 20 2" xfId="20149" xr:uid="{00000000-0005-0000-0000-000042090000}"/>
    <cellStyle name="40% - Accent3 2 21" xfId="2198" xr:uid="{00000000-0005-0000-0000-000043090000}"/>
    <cellStyle name="40% - Accent3 2 21 2" xfId="20150" xr:uid="{00000000-0005-0000-0000-000044090000}"/>
    <cellStyle name="40% - Accent3 2 22" xfId="2199" xr:uid="{00000000-0005-0000-0000-000045090000}"/>
    <cellStyle name="40% - Accent3 2 22 2" xfId="20151" xr:uid="{00000000-0005-0000-0000-000046090000}"/>
    <cellStyle name="40% - Accent3 2 23" xfId="2200" xr:uid="{00000000-0005-0000-0000-000047090000}"/>
    <cellStyle name="40% - Accent3 2 23 2" xfId="20152" xr:uid="{00000000-0005-0000-0000-000048090000}"/>
    <cellStyle name="40% - Accent3 2 24" xfId="2201" xr:uid="{00000000-0005-0000-0000-000049090000}"/>
    <cellStyle name="40% - Accent3 2 24 2" xfId="20153" xr:uid="{00000000-0005-0000-0000-00004A090000}"/>
    <cellStyle name="40% - Accent3 2 25" xfId="2202" xr:uid="{00000000-0005-0000-0000-00004B090000}"/>
    <cellStyle name="40% - Accent3 2 25 2" xfId="20154" xr:uid="{00000000-0005-0000-0000-00004C090000}"/>
    <cellStyle name="40% - Accent3 2 26" xfId="2203" xr:uid="{00000000-0005-0000-0000-00004D090000}"/>
    <cellStyle name="40% - Accent3 2 26 2" xfId="20155" xr:uid="{00000000-0005-0000-0000-00004E090000}"/>
    <cellStyle name="40% - Accent3 2 27" xfId="2204" xr:uid="{00000000-0005-0000-0000-00004F090000}"/>
    <cellStyle name="40% - Accent3 2 27 2" xfId="20156" xr:uid="{00000000-0005-0000-0000-000050090000}"/>
    <cellStyle name="40% - Accent3 2 28" xfId="2205" xr:uid="{00000000-0005-0000-0000-000051090000}"/>
    <cellStyle name="40% - Accent3 2 28 2" xfId="20157" xr:uid="{00000000-0005-0000-0000-000052090000}"/>
    <cellStyle name="40% - Accent3 2 29" xfId="2206" xr:uid="{00000000-0005-0000-0000-000053090000}"/>
    <cellStyle name="40% - Accent3 2 29 2" xfId="20158" xr:uid="{00000000-0005-0000-0000-000054090000}"/>
    <cellStyle name="40% - Accent3 2 3" xfId="2207" xr:uid="{00000000-0005-0000-0000-000055090000}"/>
    <cellStyle name="40% - Accent3 2 3 2" xfId="20159" xr:uid="{00000000-0005-0000-0000-000056090000}"/>
    <cellStyle name="40% - Accent3 2 30" xfId="2208" xr:uid="{00000000-0005-0000-0000-000057090000}"/>
    <cellStyle name="40% - Accent3 2 30 2" xfId="20160" xr:uid="{00000000-0005-0000-0000-000058090000}"/>
    <cellStyle name="40% - Accent3 2 31" xfId="2209" xr:uid="{00000000-0005-0000-0000-000059090000}"/>
    <cellStyle name="40% - Accent3 2 31 2" xfId="20161" xr:uid="{00000000-0005-0000-0000-00005A090000}"/>
    <cellStyle name="40% - Accent3 2 32" xfId="2210" xr:uid="{00000000-0005-0000-0000-00005B090000}"/>
    <cellStyle name="40% - Accent3 2 32 2" xfId="20162" xr:uid="{00000000-0005-0000-0000-00005C090000}"/>
    <cellStyle name="40% - Accent3 2 33" xfId="2211" xr:uid="{00000000-0005-0000-0000-00005D090000}"/>
    <cellStyle name="40% - Accent3 2 33 2" xfId="20163" xr:uid="{00000000-0005-0000-0000-00005E090000}"/>
    <cellStyle name="40% - Accent3 2 34" xfId="2212" xr:uid="{00000000-0005-0000-0000-00005F090000}"/>
    <cellStyle name="40% - Accent3 2 34 2" xfId="20164" xr:uid="{00000000-0005-0000-0000-000060090000}"/>
    <cellStyle name="40% - Accent3 2 35" xfId="2213" xr:uid="{00000000-0005-0000-0000-000061090000}"/>
    <cellStyle name="40% - Accent3 2 35 2" xfId="20165" xr:uid="{00000000-0005-0000-0000-000062090000}"/>
    <cellStyle name="40% - Accent3 2 36" xfId="2214" xr:uid="{00000000-0005-0000-0000-000063090000}"/>
    <cellStyle name="40% - Accent3 2 36 2" xfId="20166" xr:uid="{00000000-0005-0000-0000-000064090000}"/>
    <cellStyle name="40% - Accent3 2 37" xfId="2215" xr:uid="{00000000-0005-0000-0000-000065090000}"/>
    <cellStyle name="40% - Accent3 2 37 2" xfId="20167" xr:uid="{00000000-0005-0000-0000-000066090000}"/>
    <cellStyle name="40% - Accent3 2 38" xfId="2216" xr:uid="{00000000-0005-0000-0000-000067090000}"/>
    <cellStyle name="40% - Accent3 2 38 2" xfId="20168" xr:uid="{00000000-0005-0000-0000-000068090000}"/>
    <cellStyle name="40% - Accent3 2 39" xfId="2217" xr:uid="{00000000-0005-0000-0000-000069090000}"/>
    <cellStyle name="40% - Accent3 2 39 2" xfId="20169" xr:uid="{00000000-0005-0000-0000-00006A090000}"/>
    <cellStyle name="40% - Accent3 2 4" xfId="2218" xr:uid="{00000000-0005-0000-0000-00006B090000}"/>
    <cellStyle name="40% - Accent3 2 4 2" xfId="20170" xr:uid="{00000000-0005-0000-0000-00006C090000}"/>
    <cellStyle name="40% - Accent3 2 40" xfId="2219" xr:uid="{00000000-0005-0000-0000-00006D090000}"/>
    <cellStyle name="40% - Accent3 2 40 2" xfId="20171" xr:uid="{00000000-0005-0000-0000-00006E090000}"/>
    <cellStyle name="40% - Accent3 2 41" xfId="2220" xr:uid="{00000000-0005-0000-0000-00006F090000}"/>
    <cellStyle name="40% - Accent3 2 41 2" xfId="20172" xr:uid="{00000000-0005-0000-0000-000070090000}"/>
    <cellStyle name="40% - Accent3 2 42" xfId="2221" xr:uid="{00000000-0005-0000-0000-000071090000}"/>
    <cellStyle name="40% - Accent3 2 42 2" xfId="20173" xr:uid="{00000000-0005-0000-0000-000072090000}"/>
    <cellStyle name="40% - Accent3 2 43" xfId="2222" xr:uid="{00000000-0005-0000-0000-000073090000}"/>
    <cellStyle name="40% - Accent3 2 43 2" xfId="20174" xr:uid="{00000000-0005-0000-0000-000074090000}"/>
    <cellStyle name="40% - Accent3 2 44" xfId="2223" xr:uid="{00000000-0005-0000-0000-000075090000}"/>
    <cellStyle name="40% - Accent3 2 44 2" xfId="20175" xr:uid="{00000000-0005-0000-0000-000076090000}"/>
    <cellStyle name="40% - Accent3 2 5" xfId="2224" xr:uid="{00000000-0005-0000-0000-000077090000}"/>
    <cellStyle name="40% - Accent3 2 5 2" xfId="20176" xr:uid="{00000000-0005-0000-0000-000078090000}"/>
    <cellStyle name="40% - Accent3 2 6" xfId="2225" xr:uid="{00000000-0005-0000-0000-000079090000}"/>
    <cellStyle name="40% - Accent3 2 6 2" xfId="20177" xr:uid="{00000000-0005-0000-0000-00007A090000}"/>
    <cellStyle name="40% - Accent3 2 7" xfId="2226" xr:uid="{00000000-0005-0000-0000-00007B090000}"/>
    <cellStyle name="40% - Accent3 2 7 2" xfId="20178" xr:uid="{00000000-0005-0000-0000-00007C090000}"/>
    <cellStyle name="40% - Accent3 2 8" xfId="2227" xr:uid="{00000000-0005-0000-0000-00007D090000}"/>
    <cellStyle name="40% - Accent3 2 8 2" xfId="20179" xr:uid="{00000000-0005-0000-0000-00007E090000}"/>
    <cellStyle name="40% - Accent3 2 9" xfId="2228" xr:uid="{00000000-0005-0000-0000-00007F090000}"/>
    <cellStyle name="40% - Accent3 2 9 2" xfId="20180" xr:uid="{00000000-0005-0000-0000-000080090000}"/>
    <cellStyle name="40% - Accent3 2_DATA Input" xfId="2229" xr:uid="{00000000-0005-0000-0000-000081090000}"/>
    <cellStyle name="40% - Accent3 20" xfId="2230" xr:uid="{00000000-0005-0000-0000-000082090000}"/>
    <cellStyle name="40% - Accent3 21" xfId="2231" xr:uid="{00000000-0005-0000-0000-000083090000}"/>
    <cellStyle name="40% - Accent3 22" xfId="2232" xr:uid="{00000000-0005-0000-0000-000084090000}"/>
    <cellStyle name="40% - Accent3 23" xfId="2233" xr:uid="{00000000-0005-0000-0000-000085090000}"/>
    <cellStyle name="40% - Accent3 24" xfId="2234" xr:uid="{00000000-0005-0000-0000-000086090000}"/>
    <cellStyle name="40% - Accent3 3" xfId="2235" xr:uid="{00000000-0005-0000-0000-000087090000}"/>
    <cellStyle name="40% - Accent3 3 10" xfId="2236" xr:uid="{00000000-0005-0000-0000-000088090000}"/>
    <cellStyle name="40% - Accent3 3 11" xfId="2237" xr:uid="{00000000-0005-0000-0000-000089090000}"/>
    <cellStyle name="40% - Accent3 3 12" xfId="2238" xr:uid="{00000000-0005-0000-0000-00008A090000}"/>
    <cellStyle name="40% - Accent3 3 13" xfId="2239" xr:uid="{00000000-0005-0000-0000-00008B090000}"/>
    <cellStyle name="40% - Accent3 3 14" xfId="2240" xr:uid="{00000000-0005-0000-0000-00008C090000}"/>
    <cellStyle name="40% - Accent3 3 15" xfId="2241" xr:uid="{00000000-0005-0000-0000-00008D090000}"/>
    <cellStyle name="40% - Accent3 3 16" xfId="2242" xr:uid="{00000000-0005-0000-0000-00008E090000}"/>
    <cellStyle name="40% - Accent3 3 17" xfId="2243" xr:uid="{00000000-0005-0000-0000-00008F090000}"/>
    <cellStyle name="40% - Accent3 3 18" xfId="2244" xr:uid="{00000000-0005-0000-0000-000090090000}"/>
    <cellStyle name="40% - Accent3 3 19" xfId="2245" xr:uid="{00000000-0005-0000-0000-000091090000}"/>
    <cellStyle name="40% - Accent3 3 2" xfId="2246" xr:uid="{00000000-0005-0000-0000-000092090000}"/>
    <cellStyle name="40% - Accent3 3 20" xfId="2247" xr:uid="{00000000-0005-0000-0000-000093090000}"/>
    <cellStyle name="40% - Accent3 3 21" xfId="2248" xr:uid="{00000000-0005-0000-0000-000094090000}"/>
    <cellStyle name="40% - Accent3 3 22" xfId="2249" xr:uid="{00000000-0005-0000-0000-000095090000}"/>
    <cellStyle name="40% - Accent3 3 23" xfId="2250" xr:uid="{00000000-0005-0000-0000-000096090000}"/>
    <cellStyle name="40% - Accent3 3 24" xfId="2251" xr:uid="{00000000-0005-0000-0000-000097090000}"/>
    <cellStyle name="40% - Accent3 3 25" xfId="2252" xr:uid="{00000000-0005-0000-0000-000098090000}"/>
    <cellStyle name="40% - Accent3 3 26" xfId="2253" xr:uid="{00000000-0005-0000-0000-000099090000}"/>
    <cellStyle name="40% - Accent3 3 27" xfId="2254" xr:uid="{00000000-0005-0000-0000-00009A090000}"/>
    <cellStyle name="40% - Accent3 3 28" xfId="2255" xr:uid="{00000000-0005-0000-0000-00009B090000}"/>
    <cellStyle name="40% - Accent3 3 29" xfId="2256" xr:uid="{00000000-0005-0000-0000-00009C090000}"/>
    <cellStyle name="40% - Accent3 3 3" xfId="2257" xr:uid="{00000000-0005-0000-0000-00009D090000}"/>
    <cellStyle name="40% - Accent3 3 30" xfId="2258" xr:uid="{00000000-0005-0000-0000-00009E090000}"/>
    <cellStyle name="40% - Accent3 3 31" xfId="2259" xr:uid="{00000000-0005-0000-0000-00009F090000}"/>
    <cellStyle name="40% - Accent3 3 32" xfId="2260" xr:uid="{00000000-0005-0000-0000-0000A0090000}"/>
    <cellStyle name="40% - Accent3 3 4" xfId="2261" xr:uid="{00000000-0005-0000-0000-0000A1090000}"/>
    <cellStyle name="40% - Accent3 3 5" xfId="2262" xr:uid="{00000000-0005-0000-0000-0000A2090000}"/>
    <cellStyle name="40% - Accent3 3 6" xfId="2263" xr:uid="{00000000-0005-0000-0000-0000A3090000}"/>
    <cellStyle name="40% - Accent3 3 7" xfId="2264" xr:uid="{00000000-0005-0000-0000-0000A4090000}"/>
    <cellStyle name="40% - Accent3 3 8" xfId="2265" xr:uid="{00000000-0005-0000-0000-0000A5090000}"/>
    <cellStyle name="40% - Accent3 3 9" xfId="2266" xr:uid="{00000000-0005-0000-0000-0000A6090000}"/>
    <cellStyle name="40% - Accent3 4" xfId="2267" xr:uid="{00000000-0005-0000-0000-0000A7090000}"/>
    <cellStyle name="40% - Accent3 5" xfId="2268" xr:uid="{00000000-0005-0000-0000-0000A8090000}"/>
    <cellStyle name="40% - Accent3 6" xfId="2269" xr:uid="{00000000-0005-0000-0000-0000A9090000}"/>
    <cellStyle name="40% - Accent3 7" xfId="2270" xr:uid="{00000000-0005-0000-0000-0000AA090000}"/>
    <cellStyle name="40% - Accent3 8" xfId="2271" xr:uid="{00000000-0005-0000-0000-0000AB090000}"/>
    <cellStyle name="40% - Accent3 9" xfId="2272" xr:uid="{00000000-0005-0000-0000-0000AC090000}"/>
    <cellStyle name="40% - Accent4 10" xfId="2273" xr:uid="{00000000-0005-0000-0000-0000AD090000}"/>
    <cellStyle name="40% - Accent4 11" xfId="2274" xr:uid="{00000000-0005-0000-0000-0000AE090000}"/>
    <cellStyle name="40% - Accent4 12" xfId="2275" xr:uid="{00000000-0005-0000-0000-0000AF090000}"/>
    <cellStyle name="40% - Accent4 13" xfId="2276" xr:uid="{00000000-0005-0000-0000-0000B0090000}"/>
    <cellStyle name="40% - Accent4 14" xfId="2277" xr:uid="{00000000-0005-0000-0000-0000B1090000}"/>
    <cellStyle name="40% - Accent4 15" xfId="2278" xr:uid="{00000000-0005-0000-0000-0000B2090000}"/>
    <cellStyle name="40% - Accent4 16" xfId="2279" xr:uid="{00000000-0005-0000-0000-0000B3090000}"/>
    <cellStyle name="40% - Accent4 17" xfId="2280" xr:uid="{00000000-0005-0000-0000-0000B4090000}"/>
    <cellStyle name="40% - Accent4 18" xfId="2281" xr:uid="{00000000-0005-0000-0000-0000B5090000}"/>
    <cellStyle name="40% - Accent4 19" xfId="2282" xr:uid="{00000000-0005-0000-0000-0000B6090000}"/>
    <cellStyle name="40% - Accent4 2" xfId="48" xr:uid="{00000000-0005-0000-0000-0000B7090000}"/>
    <cellStyle name="40% - Accent4 2 10" xfId="2283" xr:uid="{00000000-0005-0000-0000-0000B8090000}"/>
    <cellStyle name="40% - Accent4 2 10 2" xfId="20181" xr:uid="{00000000-0005-0000-0000-0000B9090000}"/>
    <cellStyle name="40% - Accent4 2 11" xfId="2284" xr:uid="{00000000-0005-0000-0000-0000BA090000}"/>
    <cellStyle name="40% - Accent4 2 11 2" xfId="20182" xr:uid="{00000000-0005-0000-0000-0000BB090000}"/>
    <cellStyle name="40% - Accent4 2 12" xfId="2285" xr:uid="{00000000-0005-0000-0000-0000BC090000}"/>
    <cellStyle name="40% - Accent4 2 12 2" xfId="20183" xr:uid="{00000000-0005-0000-0000-0000BD090000}"/>
    <cellStyle name="40% - Accent4 2 13" xfId="2286" xr:uid="{00000000-0005-0000-0000-0000BE090000}"/>
    <cellStyle name="40% - Accent4 2 13 2" xfId="20184" xr:uid="{00000000-0005-0000-0000-0000BF090000}"/>
    <cellStyle name="40% - Accent4 2 14" xfId="2287" xr:uid="{00000000-0005-0000-0000-0000C0090000}"/>
    <cellStyle name="40% - Accent4 2 14 2" xfId="20185" xr:uid="{00000000-0005-0000-0000-0000C1090000}"/>
    <cellStyle name="40% - Accent4 2 15" xfId="2288" xr:uid="{00000000-0005-0000-0000-0000C2090000}"/>
    <cellStyle name="40% - Accent4 2 15 2" xfId="20186" xr:uid="{00000000-0005-0000-0000-0000C3090000}"/>
    <cellStyle name="40% - Accent4 2 16" xfId="2289" xr:uid="{00000000-0005-0000-0000-0000C4090000}"/>
    <cellStyle name="40% - Accent4 2 16 2" xfId="20187" xr:uid="{00000000-0005-0000-0000-0000C5090000}"/>
    <cellStyle name="40% - Accent4 2 17" xfId="2290" xr:uid="{00000000-0005-0000-0000-0000C6090000}"/>
    <cellStyle name="40% - Accent4 2 17 2" xfId="20188" xr:uid="{00000000-0005-0000-0000-0000C7090000}"/>
    <cellStyle name="40% - Accent4 2 18" xfId="2291" xr:uid="{00000000-0005-0000-0000-0000C8090000}"/>
    <cellStyle name="40% - Accent4 2 18 2" xfId="20189" xr:uid="{00000000-0005-0000-0000-0000C9090000}"/>
    <cellStyle name="40% - Accent4 2 19" xfId="2292" xr:uid="{00000000-0005-0000-0000-0000CA090000}"/>
    <cellStyle name="40% - Accent4 2 19 2" xfId="20190" xr:uid="{00000000-0005-0000-0000-0000CB090000}"/>
    <cellStyle name="40% - Accent4 2 2" xfId="2293" xr:uid="{00000000-0005-0000-0000-0000CC090000}"/>
    <cellStyle name="40% - Accent4 2 2 10" xfId="2294" xr:uid="{00000000-0005-0000-0000-0000CD090000}"/>
    <cellStyle name="40% - Accent4 2 2 10 2" xfId="20192" xr:uid="{00000000-0005-0000-0000-0000CE090000}"/>
    <cellStyle name="40% - Accent4 2 2 11" xfId="2295" xr:uid="{00000000-0005-0000-0000-0000CF090000}"/>
    <cellStyle name="40% - Accent4 2 2 11 2" xfId="20193" xr:uid="{00000000-0005-0000-0000-0000D0090000}"/>
    <cellStyle name="40% - Accent4 2 2 12" xfId="2296" xr:uid="{00000000-0005-0000-0000-0000D1090000}"/>
    <cellStyle name="40% - Accent4 2 2 12 2" xfId="20194" xr:uid="{00000000-0005-0000-0000-0000D2090000}"/>
    <cellStyle name="40% - Accent4 2 2 13" xfId="2297" xr:uid="{00000000-0005-0000-0000-0000D3090000}"/>
    <cellStyle name="40% - Accent4 2 2 13 2" xfId="20195" xr:uid="{00000000-0005-0000-0000-0000D4090000}"/>
    <cellStyle name="40% - Accent4 2 2 14" xfId="2298" xr:uid="{00000000-0005-0000-0000-0000D5090000}"/>
    <cellStyle name="40% - Accent4 2 2 14 2" xfId="20196" xr:uid="{00000000-0005-0000-0000-0000D6090000}"/>
    <cellStyle name="40% - Accent4 2 2 15" xfId="2299" xr:uid="{00000000-0005-0000-0000-0000D7090000}"/>
    <cellStyle name="40% - Accent4 2 2 15 2" xfId="20197" xr:uid="{00000000-0005-0000-0000-0000D8090000}"/>
    <cellStyle name="40% - Accent4 2 2 16" xfId="2300" xr:uid="{00000000-0005-0000-0000-0000D9090000}"/>
    <cellStyle name="40% - Accent4 2 2 16 2" xfId="20198" xr:uid="{00000000-0005-0000-0000-0000DA090000}"/>
    <cellStyle name="40% - Accent4 2 2 17" xfId="2301" xr:uid="{00000000-0005-0000-0000-0000DB090000}"/>
    <cellStyle name="40% - Accent4 2 2 17 2" xfId="20199" xr:uid="{00000000-0005-0000-0000-0000DC090000}"/>
    <cellStyle name="40% - Accent4 2 2 18" xfId="2302" xr:uid="{00000000-0005-0000-0000-0000DD090000}"/>
    <cellStyle name="40% - Accent4 2 2 18 2" xfId="20200" xr:uid="{00000000-0005-0000-0000-0000DE090000}"/>
    <cellStyle name="40% - Accent4 2 2 19" xfId="2303" xr:uid="{00000000-0005-0000-0000-0000DF090000}"/>
    <cellStyle name="40% - Accent4 2 2 19 2" xfId="20201" xr:uid="{00000000-0005-0000-0000-0000E0090000}"/>
    <cellStyle name="40% - Accent4 2 2 2" xfId="2304" xr:uid="{00000000-0005-0000-0000-0000E1090000}"/>
    <cellStyle name="40% - Accent4 2 2 2 2" xfId="20202" xr:uid="{00000000-0005-0000-0000-0000E2090000}"/>
    <cellStyle name="40% - Accent4 2 2 20" xfId="2305" xr:uid="{00000000-0005-0000-0000-0000E3090000}"/>
    <cellStyle name="40% - Accent4 2 2 20 2" xfId="20203" xr:uid="{00000000-0005-0000-0000-0000E4090000}"/>
    <cellStyle name="40% - Accent4 2 2 21" xfId="2306" xr:uid="{00000000-0005-0000-0000-0000E5090000}"/>
    <cellStyle name="40% - Accent4 2 2 21 2" xfId="20204" xr:uid="{00000000-0005-0000-0000-0000E6090000}"/>
    <cellStyle name="40% - Accent4 2 2 22" xfId="2307" xr:uid="{00000000-0005-0000-0000-0000E7090000}"/>
    <cellStyle name="40% - Accent4 2 2 22 2" xfId="20205" xr:uid="{00000000-0005-0000-0000-0000E8090000}"/>
    <cellStyle name="40% - Accent4 2 2 23" xfId="2308" xr:uid="{00000000-0005-0000-0000-0000E9090000}"/>
    <cellStyle name="40% - Accent4 2 2 23 2" xfId="20206" xr:uid="{00000000-0005-0000-0000-0000EA090000}"/>
    <cellStyle name="40% - Accent4 2 2 24" xfId="2309" xr:uid="{00000000-0005-0000-0000-0000EB090000}"/>
    <cellStyle name="40% - Accent4 2 2 24 2" xfId="20207" xr:uid="{00000000-0005-0000-0000-0000EC090000}"/>
    <cellStyle name="40% - Accent4 2 2 25" xfId="2310" xr:uid="{00000000-0005-0000-0000-0000ED090000}"/>
    <cellStyle name="40% - Accent4 2 2 25 2" xfId="20208" xr:uid="{00000000-0005-0000-0000-0000EE090000}"/>
    <cellStyle name="40% - Accent4 2 2 26" xfId="2311" xr:uid="{00000000-0005-0000-0000-0000EF090000}"/>
    <cellStyle name="40% - Accent4 2 2 26 2" xfId="20209" xr:uid="{00000000-0005-0000-0000-0000F0090000}"/>
    <cellStyle name="40% - Accent4 2 2 27" xfId="2312" xr:uid="{00000000-0005-0000-0000-0000F1090000}"/>
    <cellStyle name="40% - Accent4 2 2 27 2" xfId="20210" xr:uid="{00000000-0005-0000-0000-0000F2090000}"/>
    <cellStyle name="40% - Accent4 2 2 28" xfId="2313" xr:uid="{00000000-0005-0000-0000-0000F3090000}"/>
    <cellStyle name="40% - Accent4 2 2 28 2" xfId="20211" xr:uid="{00000000-0005-0000-0000-0000F4090000}"/>
    <cellStyle name="40% - Accent4 2 2 29" xfId="2314" xr:uid="{00000000-0005-0000-0000-0000F5090000}"/>
    <cellStyle name="40% - Accent4 2 2 29 2" xfId="20212" xr:uid="{00000000-0005-0000-0000-0000F6090000}"/>
    <cellStyle name="40% - Accent4 2 2 3" xfId="2315" xr:uid="{00000000-0005-0000-0000-0000F7090000}"/>
    <cellStyle name="40% - Accent4 2 2 3 2" xfId="20213" xr:uid="{00000000-0005-0000-0000-0000F8090000}"/>
    <cellStyle name="40% - Accent4 2 2 30" xfId="2316" xr:uid="{00000000-0005-0000-0000-0000F9090000}"/>
    <cellStyle name="40% - Accent4 2 2 30 2" xfId="20214" xr:uid="{00000000-0005-0000-0000-0000FA090000}"/>
    <cellStyle name="40% - Accent4 2 2 31" xfId="2317" xr:uid="{00000000-0005-0000-0000-0000FB090000}"/>
    <cellStyle name="40% - Accent4 2 2 31 2" xfId="20215" xr:uid="{00000000-0005-0000-0000-0000FC090000}"/>
    <cellStyle name="40% - Accent4 2 2 32" xfId="2318" xr:uid="{00000000-0005-0000-0000-0000FD090000}"/>
    <cellStyle name="40% - Accent4 2 2 32 2" xfId="20216" xr:uid="{00000000-0005-0000-0000-0000FE090000}"/>
    <cellStyle name="40% - Accent4 2 2 33" xfId="2319" xr:uid="{00000000-0005-0000-0000-0000FF090000}"/>
    <cellStyle name="40% - Accent4 2 2 33 2" xfId="20217" xr:uid="{00000000-0005-0000-0000-0000000A0000}"/>
    <cellStyle name="40% - Accent4 2 2 34" xfId="2320" xr:uid="{00000000-0005-0000-0000-0000010A0000}"/>
    <cellStyle name="40% - Accent4 2 2 34 2" xfId="20218" xr:uid="{00000000-0005-0000-0000-0000020A0000}"/>
    <cellStyle name="40% - Accent4 2 2 35" xfId="2321" xr:uid="{00000000-0005-0000-0000-0000030A0000}"/>
    <cellStyle name="40% - Accent4 2 2 35 2" xfId="20219" xr:uid="{00000000-0005-0000-0000-0000040A0000}"/>
    <cellStyle name="40% - Accent4 2 2 36" xfId="2322" xr:uid="{00000000-0005-0000-0000-0000050A0000}"/>
    <cellStyle name="40% - Accent4 2 2 36 2" xfId="20220" xr:uid="{00000000-0005-0000-0000-0000060A0000}"/>
    <cellStyle name="40% - Accent4 2 2 37" xfId="2323" xr:uid="{00000000-0005-0000-0000-0000070A0000}"/>
    <cellStyle name="40% - Accent4 2 2 37 2" xfId="20221" xr:uid="{00000000-0005-0000-0000-0000080A0000}"/>
    <cellStyle name="40% - Accent4 2 2 38" xfId="2324" xr:uid="{00000000-0005-0000-0000-0000090A0000}"/>
    <cellStyle name="40% - Accent4 2 2 38 2" xfId="20222" xr:uid="{00000000-0005-0000-0000-00000A0A0000}"/>
    <cellStyle name="40% - Accent4 2 2 39" xfId="2325" xr:uid="{00000000-0005-0000-0000-00000B0A0000}"/>
    <cellStyle name="40% - Accent4 2 2 39 2" xfId="20223" xr:uid="{00000000-0005-0000-0000-00000C0A0000}"/>
    <cellStyle name="40% - Accent4 2 2 4" xfId="2326" xr:uid="{00000000-0005-0000-0000-00000D0A0000}"/>
    <cellStyle name="40% - Accent4 2 2 4 2" xfId="20224" xr:uid="{00000000-0005-0000-0000-00000E0A0000}"/>
    <cellStyle name="40% - Accent4 2 2 40" xfId="2327" xr:uid="{00000000-0005-0000-0000-00000F0A0000}"/>
    <cellStyle name="40% - Accent4 2 2 40 2" xfId="20225" xr:uid="{00000000-0005-0000-0000-0000100A0000}"/>
    <cellStyle name="40% - Accent4 2 2 41" xfId="2328" xr:uid="{00000000-0005-0000-0000-0000110A0000}"/>
    <cellStyle name="40% - Accent4 2 2 41 2" xfId="20226" xr:uid="{00000000-0005-0000-0000-0000120A0000}"/>
    <cellStyle name="40% - Accent4 2 2 42" xfId="2329" xr:uid="{00000000-0005-0000-0000-0000130A0000}"/>
    <cellStyle name="40% - Accent4 2 2 42 2" xfId="20227" xr:uid="{00000000-0005-0000-0000-0000140A0000}"/>
    <cellStyle name="40% - Accent4 2 2 43" xfId="20191" xr:uid="{00000000-0005-0000-0000-0000150A0000}"/>
    <cellStyle name="40% - Accent4 2 2 5" xfId="2330" xr:uid="{00000000-0005-0000-0000-0000160A0000}"/>
    <cellStyle name="40% - Accent4 2 2 5 2" xfId="20228" xr:uid="{00000000-0005-0000-0000-0000170A0000}"/>
    <cellStyle name="40% - Accent4 2 2 6" xfId="2331" xr:uid="{00000000-0005-0000-0000-0000180A0000}"/>
    <cellStyle name="40% - Accent4 2 2 6 2" xfId="20229" xr:uid="{00000000-0005-0000-0000-0000190A0000}"/>
    <cellStyle name="40% - Accent4 2 2 7" xfId="2332" xr:uid="{00000000-0005-0000-0000-00001A0A0000}"/>
    <cellStyle name="40% - Accent4 2 2 7 2" xfId="20230" xr:uid="{00000000-0005-0000-0000-00001B0A0000}"/>
    <cellStyle name="40% - Accent4 2 2 8" xfId="2333" xr:uid="{00000000-0005-0000-0000-00001C0A0000}"/>
    <cellStyle name="40% - Accent4 2 2 8 2" xfId="20231" xr:uid="{00000000-0005-0000-0000-00001D0A0000}"/>
    <cellStyle name="40% - Accent4 2 2 9" xfId="2334" xr:uid="{00000000-0005-0000-0000-00001E0A0000}"/>
    <cellStyle name="40% - Accent4 2 2 9 2" xfId="20232" xr:uid="{00000000-0005-0000-0000-00001F0A0000}"/>
    <cellStyle name="40% - Accent4 2 2_DATA Input" xfId="2335" xr:uid="{00000000-0005-0000-0000-0000200A0000}"/>
    <cellStyle name="40% - Accent4 2 20" xfId="2336" xr:uid="{00000000-0005-0000-0000-0000210A0000}"/>
    <cellStyle name="40% - Accent4 2 20 2" xfId="20233" xr:uid="{00000000-0005-0000-0000-0000220A0000}"/>
    <cellStyle name="40% - Accent4 2 21" xfId="2337" xr:uid="{00000000-0005-0000-0000-0000230A0000}"/>
    <cellStyle name="40% - Accent4 2 21 2" xfId="20234" xr:uid="{00000000-0005-0000-0000-0000240A0000}"/>
    <cellStyle name="40% - Accent4 2 22" xfId="2338" xr:uid="{00000000-0005-0000-0000-0000250A0000}"/>
    <cellStyle name="40% - Accent4 2 22 2" xfId="20235" xr:uid="{00000000-0005-0000-0000-0000260A0000}"/>
    <cellStyle name="40% - Accent4 2 23" xfId="2339" xr:uid="{00000000-0005-0000-0000-0000270A0000}"/>
    <cellStyle name="40% - Accent4 2 23 2" xfId="20236" xr:uid="{00000000-0005-0000-0000-0000280A0000}"/>
    <cellStyle name="40% - Accent4 2 24" xfId="2340" xr:uid="{00000000-0005-0000-0000-0000290A0000}"/>
    <cellStyle name="40% - Accent4 2 24 2" xfId="20237" xr:uid="{00000000-0005-0000-0000-00002A0A0000}"/>
    <cellStyle name="40% - Accent4 2 25" xfId="2341" xr:uid="{00000000-0005-0000-0000-00002B0A0000}"/>
    <cellStyle name="40% - Accent4 2 25 2" xfId="20238" xr:uid="{00000000-0005-0000-0000-00002C0A0000}"/>
    <cellStyle name="40% - Accent4 2 26" xfId="2342" xr:uid="{00000000-0005-0000-0000-00002D0A0000}"/>
    <cellStyle name="40% - Accent4 2 26 2" xfId="20239" xr:uid="{00000000-0005-0000-0000-00002E0A0000}"/>
    <cellStyle name="40% - Accent4 2 27" xfId="2343" xr:uid="{00000000-0005-0000-0000-00002F0A0000}"/>
    <cellStyle name="40% - Accent4 2 27 2" xfId="20240" xr:uid="{00000000-0005-0000-0000-0000300A0000}"/>
    <cellStyle name="40% - Accent4 2 28" xfId="2344" xr:uid="{00000000-0005-0000-0000-0000310A0000}"/>
    <cellStyle name="40% - Accent4 2 28 2" xfId="20241" xr:uid="{00000000-0005-0000-0000-0000320A0000}"/>
    <cellStyle name="40% - Accent4 2 29" xfId="2345" xr:uid="{00000000-0005-0000-0000-0000330A0000}"/>
    <cellStyle name="40% - Accent4 2 29 2" xfId="20242" xr:uid="{00000000-0005-0000-0000-0000340A0000}"/>
    <cellStyle name="40% - Accent4 2 3" xfId="2346" xr:uid="{00000000-0005-0000-0000-0000350A0000}"/>
    <cellStyle name="40% - Accent4 2 3 2" xfId="20243" xr:uid="{00000000-0005-0000-0000-0000360A0000}"/>
    <cellStyle name="40% - Accent4 2 30" xfId="2347" xr:uid="{00000000-0005-0000-0000-0000370A0000}"/>
    <cellStyle name="40% - Accent4 2 30 2" xfId="20244" xr:uid="{00000000-0005-0000-0000-0000380A0000}"/>
    <cellStyle name="40% - Accent4 2 31" xfId="2348" xr:uid="{00000000-0005-0000-0000-0000390A0000}"/>
    <cellStyle name="40% - Accent4 2 31 2" xfId="20245" xr:uid="{00000000-0005-0000-0000-00003A0A0000}"/>
    <cellStyle name="40% - Accent4 2 32" xfId="2349" xr:uid="{00000000-0005-0000-0000-00003B0A0000}"/>
    <cellStyle name="40% - Accent4 2 32 2" xfId="20246" xr:uid="{00000000-0005-0000-0000-00003C0A0000}"/>
    <cellStyle name="40% - Accent4 2 33" xfId="2350" xr:uid="{00000000-0005-0000-0000-00003D0A0000}"/>
    <cellStyle name="40% - Accent4 2 33 2" xfId="20247" xr:uid="{00000000-0005-0000-0000-00003E0A0000}"/>
    <cellStyle name="40% - Accent4 2 34" xfId="2351" xr:uid="{00000000-0005-0000-0000-00003F0A0000}"/>
    <cellStyle name="40% - Accent4 2 34 2" xfId="20248" xr:uid="{00000000-0005-0000-0000-0000400A0000}"/>
    <cellStyle name="40% - Accent4 2 35" xfId="2352" xr:uid="{00000000-0005-0000-0000-0000410A0000}"/>
    <cellStyle name="40% - Accent4 2 35 2" xfId="20249" xr:uid="{00000000-0005-0000-0000-0000420A0000}"/>
    <cellStyle name="40% - Accent4 2 36" xfId="2353" xr:uid="{00000000-0005-0000-0000-0000430A0000}"/>
    <cellStyle name="40% - Accent4 2 36 2" xfId="20250" xr:uid="{00000000-0005-0000-0000-0000440A0000}"/>
    <cellStyle name="40% - Accent4 2 37" xfId="2354" xr:uid="{00000000-0005-0000-0000-0000450A0000}"/>
    <cellStyle name="40% - Accent4 2 37 2" xfId="20251" xr:uid="{00000000-0005-0000-0000-0000460A0000}"/>
    <cellStyle name="40% - Accent4 2 38" xfId="2355" xr:uid="{00000000-0005-0000-0000-0000470A0000}"/>
    <cellStyle name="40% - Accent4 2 38 2" xfId="20252" xr:uid="{00000000-0005-0000-0000-0000480A0000}"/>
    <cellStyle name="40% - Accent4 2 39" xfId="2356" xr:uid="{00000000-0005-0000-0000-0000490A0000}"/>
    <cellStyle name="40% - Accent4 2 39 2" xfId="20253" xr:uid="{00000000-0005-0000-0000-00004A0A0000}"/>
    <cellStyle name="40% - Accent4 2 4" xfId="2357" xr:uid="{00000000-0005-0000-0000-00004B0A0000}"/>
    <cellStyle name="40% - Accent4 2 4 2" xfId="20254" xr:uid="{00000000-0005-0000-0000-00004C0A0000}"/>
    <cellStyle name="40% - Accent4 2 40" xfId="2358" xr:uid="{00000000-0005-0000-0000-00004D0A0000}"/>
    <cellStyle name="40% - Accent4 2 40 2" xfId="20255" xr:uid="{00000000-0005-0000-0000-00004E0A0000}"/>
    <cellStyle name="40% - Accent4 2 41" xfId="2359" xr:uid="{00000000-0005-0000-0000-00004F0A0000}"/>
    <cellStyle name="40% - Accent4 2 41 2" xfId="20256" xr:uid="{00000000-0005-0000-0000-0000500A0000}"/>
    <cellStyle name="40% - Accent4 2 42" xfId="2360" xr:uid="{00000000-0005-0000-0000-0000510A0000}"/>
    <cellStyle name="40% - Accent4 2 42 2" xfId="20257" xr:uid="{00000000-0005-0000-0000-0000520A0000}"/>
    <cellStyle name="40% - Accent4 2 43" xfId="2361" xr:uid="{00000000-0005-0000-0000-0000530A0000}"/>
    <cellStyle name="40% - Accent4 2 43 2" xfId="20258" xr:uid="{00000000-0005-0000-0000-0000540A0000}"/>
    <cellStyle name="40% - Accent4 2 44" xfId="2362" xr:uid="{00000000-0005-0000-0000-0000550A0000}"/>
    <cellStyle name="40% - Accent4 2 44 2" xfId="20259" xr:uid="{00000000-0005-0000-0000-0000560A0000}"/>
    <cellStyle name="40% - Accent4 2 5" xfId="2363" xr:uid="{00000000-0005-0000-0000-0000570A0000}"/>
    <cellStyle name="40% - Accent4 2 5 2" xfId="20260" xr:uid="{00000000-0005-0000-0000-0000580A0000}"/>
    <cellStyle name="40% - Accent4 2 6" xfId="2364" xr:uid="{00000000-0005-0000-0000-0000590A0000}"/>
    <cellStyle name="40% - Accent4 2 6 2" xfId="20261" xr:uid="{00000000-0005-0000-0000-00005A0A0000}"/>
    <cellStyle name="40% - Accent4 2 7" xfId="2365" xr:uid="{00000000-0005-0000-0000-00005B0A0000}"/>
    <cellStyle name="40% - Accent4 2 7 2" xfId="20262" xr:uid="{00000000-0005-0000-0000-00005C0A0000}"/>
    <cellStyle name="40% - Accent4 2 8" xfId="2366" xr:uid="{00000000-0005-0000-0000-00005D0A0000}"/>
    <cellStyle name="40% - Accent4 2 8 2" xfId="20263" xr:uid="{00000000-0005-0000-0000-00005E0A0000}"/>
    <cellStyle name="40% - Accent4 2 9" xfId="2367" xr:uid="{00000000-0005-0000-0000-00005F0A0000}"/>
    <cellStyle name="40% - Accent4 2 9 2" xfId="20264" xr:uid="{00000000-0005-0000-0000-0000600A0000}"/>
    <cellStyle name="40% - Accent4 2_DATA Input" xfId="2368" xr:uid="{00000000-0005-0000-0000-0000610A0000}"/>
    <cellStyle name="40% - Accent4 20" xfId="2369" xr:uid="{00000000-0005-0000-0000-0000620A0000}"/>
    <cellStyle name="40% - Accent4 21" xfId="2370" xr:uid="{00000000-0005-0000-0000-0000630A0000}"/>
    <cellStyle name="40% - Accent4 22" xfId="2371" xr:uid="{00000000-0005-0000-0000-0000640A0000}"/>
    <cellStyle name="40% - Accent4 23" xfId="2372" xr:uid="{00000000-0005-0000-0000-0000650A0000}"/>
    <cellStyle name="40% - Accent4 24" xfId="2373" xr:uid="{00000000-0005-0000-0000-0000660A0000}"/>
    <cellStyle name="40% - Accent4 3" xfId="2374" xr:uid="{00000000-0005-0000-0000-0000670A0000}"/>
    <cellStyle name="40% - Accent4 3 10" xfId="2375" xr:uid="{00000000-0005-0000-0000-0000680A0000}"/>
    <cellStyle name="40% - Accent4 3 11" xfId="2376" xr:uid="{00000000-0005-0000-0000-0000690A0000}"/>
    <cellStyle name="40% - Accent4 3 12" xfId="2377" xr:uid="{00000000-0005-0000-0000-00006A0A0000}"/>
    <cellStyle name="40% - Accent4 3 13" xfId="2378" xr:uid="{00000000-0005-0000-0000-00006B0A0000}"/>
    <cellStyle name="40% - Accent4 3 14" xfId="2379" xr:uid="{00000000-0005-0000-0000-00006C0A0000}"/>
    <cellStyle name="40% - Accent4 3 15" xfId="2380" xr:uid="{00000000-0005-0000-0000-00006D0A0000}"/>
    <cellStyle name="40% - Accent4 3 16" xfId="2381" xr:uid="{00000000-0005-0000-0000-00006E0A0000}"/>
    <cellStyle name="40% - Accent4 3 17" xfId="2382" xr:uid="{00000000-0005-0000-0000-00006F0A0000}"/>
    <cellStyle name="40% - Accent4 3 18" xfId="2383" xr:uid="{00000000-0005-0000-0000-0000700A0000}"/>
    <cellStyle name="40% - Accent4 3 19" xfId="2384" xr:uid="{00000000-0005-0000-0000-0000710A0000}"/>
    <cellStyle name="40% - Accent4 3 2" xfId="2385" xr:uid="{00000000-0005-0000-0000-0000720A0000}"/>
    <cellStyle name="40% - Accent4 3 20" xfId="2386" xr:uid="{00000000-0005-0000-0000-0000730A0000}"/>
    <cellStyle name="40% - Accent4 3 21" xfId="2387" xr:uid="{00000000-0005-0000-0000-0000740A0000}"/>
    <cellStyle name="40% - Accent4 3 22" xfId="2388" xr:uid="{00000000-0005-0000-0000-0000750A0000}"/>
    <cellStyle name="40% - Accent4 3 23" xfId="2389" xr:uid="{00000000-0005-0000-0000-0000760A0000}"/>
    <cellStyle name="40% - Accent4 3 24" xfId="2390" xr:uid="{00000000-0005-0000-0000-0000770A0000}"/>
    <cellStyle name="40% - Accent4 3 25" xfId="2391" xr:uid="{00000000-0005-0000-0000-0000780A0000}"/>
    <cellStyle name="40% - Accent4 3 26" xfId="2392" xr:uid="{00000000-0005-0000-0000-0000790A0000}"/>
    <cellStyle name="40% - Accent4 3 27" xfId="2393" xr:uid="{00000000-0005-0000-0000-00007A0A0000}"/>
    <cellStyle name="40% - Accent4 3 28" xfId="2394" xr:uid="{00000000-0005-0000-0000-00007B0A0000}"/>
    <cellStyle name="40% - Accent4 3 29" xfId="2395" xr:uid="{00000000-0005-0000-0000-00007C0A0000}"/>
    <cellStyle name="40% - Accent4 3 3" xfId="2396" xr:uid="{00000000-0005-0000-0000-00007D0A0000}"/>
    <cellStyle name="40% - Accent4 3 30" xfId="2397" xr:uid="{00000000-0005-0000-0000-00007E0A0000}"/>
    <cellStyle name="40% - Accent4 3 31" xfId="2398" xr:uid="{00000000-0005-0000-0000-00007F0A0000}"/>
    <cellStyle name="40% - Accent4 3 32" xfId="2399" xr:uid="{00000000-0005-0000-0000-0000800A0000}"/>
    <cellStyle name="40% - Accent4 3 4" xfId="2400" xr:uid="{00000000-0005-0000-0000-0000810A0000}"/>
    <cellStyle name="40% - Accent4 3 5" xfId="2401" xr:uid="{00000000-0005-0000-0000-0000820A0000}"/>
    <cellStyle name="40% - Accent4 3 6" xfId="2402" xr:uid="{00000000-0005-0000-0000-0000830A0000}"/>
    <cellStyle name="40% - Accent4 3 7" xfId="2403" xr:uid="{00000000-0005-0000-0000-0000840A0000}"/>
    <cellStyle name="40% - Accent4 3 8" xfId="2404" xr:uid="{00000000-0005-0000-0000-0000850A0000}"/>
    <cellStyle name="40% - Accent4 3 9" xfId="2405" xr:uid="{00000000-0005-0000-0000-0000860A0000}"/>
    <cellStyle name="40% - Accent4 4" xfId="2406" xr:uid="{00000000-0005-0000-0000-0000870A0000}"/>
    <cellStyle name="40% - Accent4 5" xfId="2407" xr:uid="{00000000-0005-0000-0000-0000880A0000}"/>
    <cellStyle name="40% - Accent4 6" xfId="2408" xr:uid="{00000000-0005-0000-0000-0000890A0000}"/>
    <cellStyle name="40% - Accent4 7" xfId="2409" xr:uid="{00000000-0005-0000-0000-00008A0A0000}"/>
    <cellStyle name="40% - Accent4 8" xfId="2410" xr:uid="{00000000-0005-0000-0000-00008B0A0000}"/>
    <cellStyle name="40% - Accent4 9" xfId="2411" xr:uid="{00000000-0005-0000-0000-00008C0A0000}"/>
    <cellStyle name="40% - Accent5 10" xfId="2412" xr:uid="{00000000-0005-0000-0000-00008D0A0000}"/>
    <cellStyle name="40% - Accent5 11" xfId="2413" xr:uid="{00000000-0005-0000-0000-00008E0A0000}"/>
    <cellStyle name="40% - Accent5 12" xfId="2414" xr:uid="{00000000-0005-0000-0000-00008F0A0000}"/>
    <cellStyle name="40% - Accent5 13" xfId="2415" xr:uid="{00000000-0005-0000-0000-0000900A0000}"/>
    <cellStyle name="40% - Accent5 14" xfId="2416" xr:uid="{00000000-0005-0000-0000-0000910A0000}"/>
    <cellStyle name="40% - Accent5 15" xfId="2417" xr:uid="{00000000-0005-0000-0000-0000920A0000}"/>
    <cellStyle name="40% - Accent5 16" xfId="2418" xr:uid="{00000000-0005-0000-0000-0000930A0000}"/>
    <cellStyle name="40% - Accent5 17" xfId="2419" xr:uid="{00000000-0005-0000-0000-0000940A0000}"/>
    <cellStyle name="40% - Accent5 18" xfId="2420" xr:uid="{00000000-0005-0000-0000-0000950A0000}"/>
    <cellStyle name="40% - Accent5 19" xfId="2421" xr:uid="{00000000-0005-0000-0000-0000960A0000}"/>
    <cellStyle name="40% - Accent5 2" xfId="49" xr:uid="{00000000-0005-0000-0000-0000970A0000}"/>
    <cellStyle name="40% - Accent5 2 10" xfId="2422" xr:uid="{00000000-0005-0000-0000-0000980A0000}"/>
    <cellStyle name="40% - Accent5 2 10 2" xfId="20265" xr:uid="{00000000-0005-0000-0000-0000990A0000}"/>
    <cellStyle name="40% - Accent5 2 11" xfId="2423" xr:uid="{00000000-0005-0000-0000-00009A0A0000}"/>
    <cellStyle name="40% - Accent5 2 11 2" xfId="20266" xr:uid="{00000000-0005-0000-0000-00009B0A0000}"/>
    <cellStyle name="40% - Accent5 2 12" xfId="2424" xr:uid="{00000000-0005-0000-0000-00009C0A0000}"/>
    <cellStyle name="40% - Accent5 2 12 2" xfId="20267" xr:uid="{00000000-0005-0000-0000-00009D0A0000}"/>
    <cellStyle name="40% - Accent5 2 13" xfId="2425" xr:uid="{00000000-0005-0000-0000-00009E0A0000}"/>
    <cellStyle name="40% - Accent5 2 13 2" xfId="20268" xr:uid="{00000000-0005-0000-0000-00009F0A0000}"/>
    <cellStyle name="40% - Accent5 2 14" xfId="2426" xr:uid="{00000000-0005-0000-0000-0000A00A0000}"/>
    <cellStyle name="40% - Accent5 2 14 2" xfId="20269" xr:uid="{00000000-0005-0000-0000-0000A10A0000}"/>
    <cellStyle name="40% - Accent5 2 15" xfId="2427" xr:uid="{00000000-0005-0000-0000-0000A20A0000}"/>
    <cellStyle name="40% - Accent5 2 15 2" xfId="20270" xr:uid="{00000000-0005-0000-0000-0000A30A0000}"/>
    <cellStyle name="40% - Accent5 2 16" xfId="2428" xr:uid="{00000000-0005-0000-0000-0000A40A0000}"/>
    <cellStyle name="40% - Accent5 2 16 2" xfId="20271" xr:uid="{00000000-0005-0000-0000-0000A50A0000}"/>
    <cellStyle name="40% - Accent5 2 17" xfId="2429" xr:uid="{00000000-0005-0000-0000-0000A60A0000}"/>
    <cellStyle name="40% - Accent5 2 17 2" xfId="20272" xr:uid="{00000000-0005-0000-0000-0000A70A0000}"/>
    <cellStyle name="40% - Accent5 2 18" xfId="2430" xr:uid="{00000000-0005-0000-0000-0000A80A0000}"/>
    <cellStyle name="40% - Accent5 2 18 2" xfId="20273" xr:uid="{00000000-0005-0000-0000-0000A90A0000}"/>
    <cellStyle name="40% - Accent5 2 19" xfId="2431" xr:uid="{00000000-0005-0000-0000-0000AA0A0000}"/>
    <cellStyle name="40% - Accent5 2 19 2" xfId="20274" xr:uid="{00000000-0005-0000-0000-0000AB0A0000}"/>
    <cellStyle name="40% - Accent5 2 2" xfId="2432" xr:uid="{00000000-0005-0000-0000-0000AC0A0000}"/>
    <cellStyle name="40% - Accent5 2 2 10" xfId="2433" xr:uid="{00000000-0005-0000-0000-0000AD0A0000}"/>
    <cellStyle name="40% - Accent5 2 2 10 2" xfId="20276" xr:uid="{00000000-0005-0000-0000-0000AE0A0000}"/>
    <cellStyle name="40% - Accent5 2 2 11" xfId="2434" xr:uid="{00000000-0005-0000-0000-0000AF0A0000}"/>
    <cellStyle name="40% - Accent5 2 2 11 2" xfId="20277" xr:uid="{00000000-0005-0000-0000-0000B00A0000}"/>
    <cellStyle name="40% - Accent5 2 2 12" xfId="2435" xr:uid="{00000000-0005-0000-0000-0000B10A0000}"/>
    <cellStyle name="40% - Accent5 2 2 12 2" xfId="20278" xr:uid="{00000000-0005-0000-0000-0000B20A0000}"/>
    <cellStyle name="40% - Accent5 2 2 13" xfId="2436" xr:uid="{00000000-0005-0000-0000-0000B30A0000}"/>
    <cellStyle name="40% - Accent5 2 2 13 2" xfId="20279" xr:uid="{00000000-0005-0000-0000-0000B40A0000}"/>
    <cellStyle name="40% - Accent5 2 2 14" xfId="2437" xr:uid="{00000000-0005-0000-0000-0000B50A0000}"/>
    <cellStyle name="40% - Accent5 2 2 14 2" xfId="20280" xr:uid="{00000000-0005-0000-0000-0000B60A0000}"/>
    <cellStyle name="40% - Accent5 2 2 15" xfId="2438" xr:uid="{00000000-0005-0000-0000-0000B70A0000}"/>
    <cellStyle name="40% - Accent5 2 2 15 2" xfId="20281" xr:uid="{00000000-0005-0000-0000-0000B80A0000}"/>
    <cellStyle name="40% - Accent5 2 2 16" xfId="2439" xr:uid="{00000000-0005-0000-0000-0000B90A0000}"/>
    <cellStyle name="40% - Accent5 2 2 16 2" xfId="20282" xr:uid="{00000000-0005-0000-0000-0000BA0A0000}"/>
    <cellStyle name="40% - Accent5 2 2 17" xfId="2440" xr:uid="{00000000-0005-0000-0000-0000BB0A0000}"/>
    <cellStyle name="40% - Accent5 2 2 17 2" xfId="20283" xr:uid="{00000000-0005-0000-0000-0000BC0A0000}"/>
    <cellStyle name="40% - Accent5 2 2 18" xfId="2441" xr:uid="{00000000-0005-0000-0000-0000BD0A0000}"/>
    <cellStyle name="40% - Accent5 2 2 18 2" xfId="20284" xr:uid="{00000000-0005-0000-0000-0000BE0A0000}"/>
    <cellStyle name="40% - Accent5 2 2 19" xfId="2442" xr:uid="{00000000-0005-0000-0000-0000BF0A0000}"/>
    <cellStyle name="40% - Accent5 2 2 19 2" xfId="20285" xr:uid="{00000000-0005-0000-0000-0000C00A0000}"/>
    <cellStyle name="40% - Accent5 2 2 2" xfId="2443" xr:uid="{00000000-0005-0000-0000-0000C10A0000}"/>
    <cellStyle name="40% - Accent5 2 2 2 2" xfId="20286" xr:uid="{00000000-0005-0000-0000-0000C20A0000}"/>
    <cellStyle name="40% - Accent5 2 2 20" xfId="2444" xr:uid="{00000000-0005-0000-0000-0000C30A0000}"/>
    <cellStyle name="40% - Accent5 2 2 20 2" xfId="20287" xr:uid="{00000000-0005-0000-0000-0000C40A0000}"/>
    <cellStyle name="40% - Accent5 2 2 21" xfId="2445" xr:uid="{00000000-0005-0000-0000-0000C50A0000}"/>
    <cellStyle name="40% - Accent5 2 2 21 2" xfId="20288" xr:uid="{00000000-0005-0000-0000-0000C60A0000}"/>
    <cellStyle name="40% - Accent5 2 2 22" xfId="2446" xr:uid="{00000000-0005-0000-0000-0000C70A0000}"/>
    <cellStyle name="40% - Accent5 2 2 22 2" xfId="20289" xr:uid="{00000000-0005-0000-0000-0000C80A0000}"/>
    <cellStyle name="40% - Accent5 2 2 23" xfId="2447" xr:uid="{00000000-0005-0000-0000-0000C90A0000}"/>
    <cellStyle name="40% - Accent5 2 2 23 2" xfId="20290" xr:uid="{00000000-0005-0000-0000-0000CA0A0000}"/>
    <cellStyle name="40% - Accent5 2 2 24" xfId="2448" xr:uid="{00000000-0005-0000-0000-0000CB0A0000}"/>
    <cellStyle name="40% - Accent5 2 2 24 2" xfId="20291" xr:uid="{00000000-0005-0000-0000-0000CC0A0000}"/>
    <cellStyle name="40% - Accent5 2 2 25" xfId="2449" xr:uid="{00000000-0005-0000-0000-0000CD0A0000}"/>
    <cellStyle name="40% - Accent5 2 2 25 2" xfId="20292" xr:uid="{00000000-0005-0000-0000-0000CE0A0000}"/>
    <cellStyle name="40% - Accent5 2 2 26" xfId="2450" xr:uid="{00000000-0005-0000-0000-0000CF0A0000}"/>
    <cellStyle name="40% - Accent5 2 2 26 2" xfId="20293" xr:uid="{00000000-0005-0000-0000-0000D00A0000}"/>
    <cellStyle name="40% - Accent5 2 2 27" xfId="2451" xr:uid="{00000000-0005-0000-0000-0000D10A0000}"/>
    <cellStyle name="40% - Accent5 2 2 27 2" xfId="20294" xr:uid="{00000000-0005-0000-0000-0000D20A0000}"/>
    <cellStyle name="40% - Accent5 2 2 28" xfId="2452" xr:uid="{00000000-0005-0000-0000-0000D30A0000}"/>
    <cellStyle name="40% - Accent5 2 2 28 2" xfId="20295" xr:uid="{00000000-0005-0000-0000-0000D40A0000}"/>
    <cellStyle name="40% - Accent5 2 2 29" xfId="2453" xr:uid="{00000000-0005-0000-0000-0000D50A0000}"/>
    <cellStyle name="40% - Accent5 2 2 29 2" xfId="20296" xr:uid="{00000000-0005-0000-0000-0000D60A0000}"/>
    <cellStyle name="40% - Accent5 2 2 3" xfId="2454" xr:uid="{00000000-0005-0000-0000-0000D70A0000}"/>
    <cellStyle name="40% - Accent5 2 2 3 2" xfId="20297" xr:uid="{00000000-0005-0000-0000-0000D80A0000}"/>
    <cellStyle name="40% - Accent5 2 2 30" xfId="2455" xr:uid="{00000000-0005-0000-0000-0000D90A0000}"/>
    <cellStyle name="40% - Accent5 2 2 30 2" xfId="20298" xr:uid="{00000000-0005-0000-0000-0000DA0A0000}"/>
    <cellStyle name="40% - Accent5 2 2 31" xfId="2456" xr:uid="{00000000-0005-0000-0000-0000DB0A0000}"/>
    <cellStyle name="40% - Accent5 2 2 31 2" xfId="20299" xr:uid="{00000000-0005-0000-0000-0000DC0A0000}"/>
    <cellStyle name="40% - Accent5 2 2 32" xfId="2457" xr:uid="{00000000-0005-0000-0000-0000DD0A0000}"/>
    <cellStyle name="40% - Accent5 2 2 32 2" xfId="20300" xr:uid="{00000000-0005-0000-0000-0000DE0A0000}"/>
    <cellStyle name="40% - Accent5 2 2 33" xfId="2458" xr:uid="{00000000-0005-0000-0000-0000DF0A0000}"/>
    <cellStyle name="40% - Accent5 2 2 33 2" xfId="20301" xr:uid="{00000000-0005-0000-0000-0000E00A0000}"/>
    <cellStyle name="40% - Accent5 2 2 34" xfId="2459" xr:uid="{00000000-0005-0000-0000-0000E10A0000}"/>
    <cellStyle name="40% - Accent5 2 2 34 2" xfId="20302" xr:uid="{00000000-0005-0000-0000-0000E20A0000}"/>
    <cellStyle name="40% - Accent5 2 2 35" xfId="2460" xr:uid="{00000000-0005-0000-0000-0000E30A0000}"/>
    <cellStyle name="40% - Accent5 2 2 35 2" xfId="20303" xr:uid="{00000000-0005-0000-0000-0000E40A0000}"/>
    <cellStyle name="40% - Accent5 2 2 36" xfId="2461" xr:uid="{00000000-0005-0000-0000-0000E50A0000}"/>
    <cellStyle name="40% - Accent5 2 2 36 2" xfId="20304" xr:uid="{00000000-0005-0000-0000-0000E60A0000}"/>
    <cellStyle name="40% - Accent5 2 2 37" xfId="2462" xr:uid="{00000000-0005-0000-0000-0000E70A0000}"/>
    <cellStyle name="40% - Accent5 2 2 37 2" xfId="20305" xr:uid="{00000000-0005-0000-0000-0000E80A0000}"/>
    <cellStyle name="40% - Accent5 2 2 38" xfId="2463" xr:uid="{00000000-0005-0000-0000-0000E90A0000}"/>
    <cellStyle name="40% - Accent5 2 2 38 2" xfId="20306" xr:uid="{00000000-0005-0000-0000-0000EA0A0000}"/>
    <cellStyle name="40% - Accent5 2 2 39" xfId="2464" xr:uid="{00000000-0005-0000-0000-0000EB0A0000}"/>
    <cellStyle name="40% - Accent5 2 2 39 2" xfId="20307" xr:uid="{00000000-0005-0000-0000-0000EC0A0000}"/>
    <cellStyle name="40% - Accent5 2 2 4" xfId="2465" xr:uid="{00000000-0005-0000-0000-0000ED0A0000}"/>
    <cellStyle name="40% - Accent5 2 2 4 2" xfId="20308" xr:uid="{00000000-0005-0000-0000-0000EE0A0000}"/>
    <cellStyle name="40% - Accent5 2 2 40" xfId="2466" xr:uid="{00000000-0005-0000-0000-0000EF0A0000}"/>
    <cellStyle name="40% - Accent5 2 2 40 2" xfId="20309" xr:uid="{00000000-0005-0000-0000-0000F00A0000}"/>
    <cellStyle name="40% - Accent5 2 2 41" xfId="2467" xr:uid="{00000000-0005-0000-0000-0000F10A0000}"/>
    <cellStyle name="40% - Accent5 2 2 41 2" xfId="20310" xr:uid="{00000000-0005-0000-0000-0000F20A0000}"/>
    <cellStyle name="40% - Accent5 2 2 42" xfId="2468" xr:uid="{00000000-0005-0000-0000-0000F30A0000}"/>
    <cellStyle name="40% - Accent5 2 2 42 2" xfId="20311" xr:uid="{00000000-0005-0000-0000-0000F40A0000}"/>
    <cellStyle name="40% - Accent5 2 2 43" xfId="20275" xr:uid="{00000000-0005-0000-0000-0000F50A0000}"/>
    <cellStyle name="40% - Accent5 2 2 5" xfId="2469" xr:uid="{00000000-0005-0000-0000-0000F60A0000}"/>
    <cellStyle name="40% - Accent5 2 2 5 2" xfId="20312" xr:uid="{00000000-0005-0000-0000-0000F70A0000}"/>
    <cellStyle name="40% - Accent5 2 2 6" xfId="2470" xr:uid="{00000000-0005-0000-0000-0000F80A0000}"/>
    <cellStyle name="40% - Accent5 2 2 6 2" xfId="20313" xr:uid="{00000000-0005-0000-0000-0000F90A0000}"/>
    <cellStyle name="40% - Accent5 2 2 7" xfId="2471" xr:uid="{00000000-0005-0000-0000-0000FA0A0000}"/>
    <cellStyle name="40% - Accent5 2 2 7 2" xfId="20314" xr:uid="{00000000-0005-0000-0000-0000FB0A0000}"/>
    <cellStyle name="40% - Accent5 2 2 8" xfId="2472" xr:uid="{00000000-0005-0000-0000-0000FC0A0000}"/>
    <cellStyle name="40% - Accent5 2 2 8 2" xfId="20315" xr:uid="{00000000-0005-0000-0000-0000FD0A0000}"/>
    <cellStyle name="40% - Accent5 2 2 9" xfId="2473" xr:uid="{00000000-0005-0000-0000-0000FE0A0000}"/>
    <cellStyle name="40% - Accent5 2 2 9 2" xfId="20316" xr:uid="{00000000-0005-0000-0000-0000FF0A0000}"/>
    <cellStyle name="40% - Accent5 2 2_DATA Input" xfId="2474" xr:uid="{00000000-0005-0000-0000-0000000B0000}"/>
    <cellStyle name="40% - Accent5 2 20" xfId="2475" xr:uid="{00000000-0005-0000-0000-0000010B0000}"/>
    <cellStyle name="40% - Accent5 2 20 2" xfId="20317" xr:uid="{00000000-0005-0000-0000-0000020B0000}"/>
    <cellStyle name="40% - Accent5 2 21" xfId="2476" xr:uid="{00000000-0005-0000-0000-0000030B0000}"/>
    <cellStyle name="40% - Accent5 2 21 2" xfId="20318" xr:uid="{00000000-0005-0000-0000-0000040B0000}"/>
    <cellStyle name="40% - Accent5 2 22" xfId="2477" xr:uid="{00000000-0005-0000-0000-0000050B0000}"/>
    <cellStyle name="40% - Accent5 2 22 2" xfId="20319" xr:uid="{00000000-0005-0000-0000-0000060B0000}"/>
    <cellStyle name="40% - Accent5 2 23" xfId="2478" xr:uid="{00000000-0005-0000-0000-0000070B0000}"/>
    <cellStyle name="40% - Accent5 2 23 2" xfId="20320" xr:uid="{00000000-0005-0000-0000-0000080B0000}"/>
    <cellStyle name="40% - Accent5 2 24" xfId="2479" xr:uid="{00000000-0005-0000-0000-0000090B0000}"/>
    <cellStyle name="40% - Accent5 2 24 2" xfId="20321" xr:uid="{00000000-0005-0000-0000-00000A0B0000}"/>
    <cellStyle name="40% - Accent5 2 25" xfId="2480" xr:uid="{00000000-0005-0000-0000-00000B0B0000}"/>
    <cellStyle name="40% - Accent5 2 25 2" xfId="20322" xr:uid="{00000000-0005-0000-0000-00000C0B0000}"/>
    <cellStyle name="40% - Accent5 2 26" xfId="2481" xr:uid="{00000000-0005-0000-0000-00000D0B0000}"/>
    <cellStyle name="40% - Accent5 2 26 2" xfId="20323" xr:uid="{00000000-0005-0000-0000-00000E0B0000}"/>
    <cellStyle name="40% - Accent5 2 27" xfId="2482" xr:uid="{00000000-0005-0000-0000-00000F0B0000}"/>
    <cellStyle name="40% - Accent5 2 27 2" xfId="20324" xr:uid="{00000000-0005-0000-0000-0000100B0000}"/>
    <cellStyle name="40% - Accent5 2 28" xfId="2483" xr:uid="{00000000-0005-0000-0000-0000110B0000}"/>
    <cellStyle name="40% - Accent5 2 28 2" xfId="20325" xr:uid="{00000000-0005-0000-0000-0000120B0000}"/>
    <cellStyle name="40% - Accent5 2 29" xfId="2484" xr:uid="{00000000-0005-0000-0000-0000130B0000}"/>
    <cellStyle name="40% - Accent5 2 29 2" xfId="20326" xr:uid="{00000000-0005-0000-0000-0000140B0000}"/>
    <cellStyle name="40% - Accent5 2 3" xfId="2485" xr:uid="{00000000-0005-0000-0000-0000150B0000}"/>
    <cellStyle name="40% - Accent5 2 3 2" xfId="20327" xr:uid="{00000000-0005-0000-0000-0000160B0000}"/>
    <cellStyle name="40% - Accent5 2 30" xfId="2486" xr:uid="{00000000-0005-0000-0000-0000170B0000}"/>
    <cellStyle name="40% - Accent5 2 30 2" xfId="20328" xr:uid="{00000000-0005-0000-0000-0000180B0000}"/>
    <cellStyle name="40% - Accent5 2 31" xfId="2487" xr:uid="{00000000-0005-0000-0000-0000190B0000}"/>
    <cellStyle name="40% - Accent5 2 31 2" xfId="20329" xr:uid="{00000000-0005-0000-0000-00001A0B0000}"/>
    <cellStyle name="40% - Accent5 2 32" xfId="2488" xr:uid="{00000000-0005-0000-0000-00001B0B0000}"/>
    <cellStyle name="40% - Accent5 2 32 2" xfId="20330" xr:uid="{00000000-0005-0000-0000-00001C0B0000}"/>
    <cellStyle name="40% - Accent5 2 33" xfId="2489" xr:uid="{00000000-0005-0000-0000-00001D0B0000}"/>
    <cellStyle name="40% - Accent5 2 33 2" xfId="20331" xr:uid="{00000000-0005-0000-0000-00001E0B0000}"/>
    <cellStyle name="40% - Accent5 2 34" xfId="2490" xr:uid="{00000000-0005-0000-0000-00001F0B0000}"/>
    <cellStyle name="40% - Accent5 2 34 2" xfId="20332" xr:uid="{00000000-0005-0000-0000-0000200B0000}"/>
    <cellStyle name="40% - Accent5 2 35" xfId="2491" xr:uid="{00000000-0005-0000-0000-0000210B0000}"/>
    <cellStyle name="40% - Accent5 2 35 2" xfId="20333" xr:uid="{00000000-0005-0000-0000-0000220B0000}"/>
    <cellStyle name="40% - Accent5 2 36" xfId="2492" xr:uid="{00000000-0005-0000-0000-0000230B0000}"/>
    <cellStyle name="40% - Accent5 2 36 2" xfId="20334" xr:uid="{00000000-0005-0000-0000-0000240B0000}"/>
    <cellStyle name="40% - Accent5 2 37" xfId="2493" xr:uid="{00000000-0005-0000-0000-0000250B0000}"/>
    <cellStyle name="40% - Accent5 2 37 2" xfId="20335" xr:uid="{00000000-0005-0000-0000-0000260B0000}"/>
    <cellStyle name="40% - Accent5 2 38" xfId="2494" xr:uid="{00000000-0005-0000-0000-0000270B0000}"/>
    <cellStyle name="40% - Accent5 2 38 2" xfId="20336" xr:uid="{00000000-0005-0000-0000-0000280B0000}"/>
    <cellStyle name="40% - Accent5 2 39" xfId="2495" xr:uid="{00000000-0005-0000-0000-0000290B0000}"/>
    <cellStyle name="40% - Accent5 2 39 2" xfId="20337" xr:uid="{00000000-0005-0000-0000-00002A0B0000}"/>
    <cellStyle name="40% - Accent5 2 4" xfId="2496" xr:uid="{00000000-0005-0000-0000-00002B0B0000}"/>
    <cellStyle name="40% - Accent5 2 4 2" xfId="20338" xr:uid="{00000000-0005-0000-0000-00002C0B0000}"/>
    <cellStyle name="40% - Accent5 2 40" xfId="2497" xr:uid="{00000000-0005-0000-0000-00002D0B0000}"/>
    <cellStyle name="40% - Accent5 2 40 2" xfId="20339" xr:uid="{00000000-0005-0000-0000-00002E0B0000}"/>
    <cellStyle name="40% - Accent5 2 41" xfId="2498" xr:uid="{00000000-0005-0000-0000-00002F0B0000}"/>
    <cellStyle name="40% - Accent5 2 41 2" xfId="20340" xr:uid="{00000000-0005-0000-0000-0000300B0000}"/>
    <cellStyle name="40% - Accent5 2 42" xfId="2499" xr:uid="{00000000-0005-0000-0000-0000310B0000}"/>
    <cellStyle name="40% - Accent5 2 42 2" xfId="20341" xr:uid="{00000000-0005-0000-0000-0000320B0000}"/>
    <cellStyle name="40% - Accent5 2 43" xfId="2500" xr:uid="{00000000-0005-0000-0000-0000330B0000}"/>
    <cellStyle name="40% - Accent5 2 43 2" xfId="20342" xr:uid="{00000000-0005-0000-0000-0000340B0000}"/>
    <cellStyle name="40% - Accent5 2 44" xfId="2501" xr:uid="{00000000-0005-0000-0000-0000350B0000}"/>
    <cellStyle name="40% - Accent5 2 44 2" xfId="20343" xr:uid="{00000000-0005-0000-0000-0000360B0000}"/>
    <cellStyle name="40% - Accent5 2 5" xfId="2502" xr:uid="{00000000-0005-0000-0000-0000370B0000}"/>
    <cellStyle name="40% - Accent5 2 5 2" xfId="20344" xr:uid="{00000000-0005-0000-0000-0000380B0000}"/>
    <cellStyle name="40% - Accent5 2 6" xfId="2503" xr:uid="{00000000-0005-0000-0000-0000390B0000}"/>
    <cellStyle name="40% - Accent5 2 6 2" xfId="20345" xr:uid="{00000000-0005-0000-0000-00003A0B0000}"/>
    <cellStyle name="40% - Accent5 2 7" xfId="2504" xr:uid="{00000000-0005-0000-0000-00003B0B0000}"/>
    <cellStyle name="40% - Accent5 2 7 2" xfId="20346" xr:uid="{00000000-0005-0000-0000-00003C0B0000}"/>
    <cellStyle name="40% - Accent5 2 8" xfId="2505" xr:uid="{00000000-0005-0000-0000-00003D0B0000}"/>
    <cellStyle name="40% - Accent5 2 8 2" xfId="20347" xr:uid="{00000000-0005-0000-0000-00003E0B0000}"/>
    <cellStyle name="40% - Accent5 2 9" xfId="2506" xr:uid="{00000000-0005-0000-0000-00003F0B0000}"/>
    <cellStyle name="40% - Accent5 2 9 2" xfId="20348" xr:uid="{00000000-0005-0000-0000-0000400B0000}"/>
    <cellStyle name="40% - Accent5 2_DATA Input" xfId="2507" xr:uid="{00000000-0005-0000-0000-0000410B0000}"/>
    <cellStyle name="40% - Accent5 20" xfId="2508" xr:uid="{00000000-0005-0000-0000-0000420B0000}"/>
    <cellStyle name="40% - Accent5 21" xfId="2509" xr:uid="{00000000-0005-0000-0000-0000430B0000}"/>
    <cellStyle name="40% - Accent5 22" xfId="2510" xr:uid="{00000000-0005-0000-0000-0000440B0000}"/>
    <cellStyle name="40% - Accent5 23" xfId="2511" xr:uid="{00000000-0005-0000-0000-0000450B0000}"/>
    <cellStyle name="40% - Accent5 24" xfId="2512" xr:uid="{00000000-0005-0000-0000-0000460B0000}"/>
    <cellStyle name="40% - Accent5 3" xfId="2513" xr:uid="{00000000-0005-0000-0000-0000470B0000}"/>
    <cellStyle name="40% - Accent5 3 10" xfId="2514" xr:uid="{00000000-0005-0000-0000-0000480B0000}"/>
    <cellStyle name="40% - Accent5 3 11" xfId="2515" xr:uid="{00000000-0005-0000-0000-0000490B0000}"/>
    <cellStyle name="40% - Accent5 3 12" xfId="2516" xr:uid="{00000000-0005-0000-0000-00004A0B0000}"/>
    <cellStyle name="40% - Accent5 3 13" xfId="2517" xr:uid="{00000000-0005-0000-0000-00004B0B0000}"/>
    <cellStyle name="40% - Accent5 3 14" xfId="2518" xr:uid="{00000000-0005-0000-0000-00004C0B0000}"/>
    <cellStyle name="40% - Accent5 3 15" xfId="2519" xr:uid="{00000000-0005-0000-0000-00004D0B0000}"/>
    <cellStyle name="40% - Accent5 3 16" xfId="2520" xr:uid="{00000000-0005-0000-0000-00004E0B0000}"/>
    <cellStyle name="40% - Accent5 3 17" xfId="2521" xr:uid="{00000000-0005-0000-0000-00004F0B0000}"/>
    <cellStyle name="40% - Accent5 3 18" xfId="2522" xr:uid="{00000000-0005-0000-0000-0000500B0000}"/>
    <cellStyle name="40% - Accent5 3 19" xfId="2523" xr:uid="{00000000-0005-0000-0000-0000510B0000}"/>
    <cellStyle name="40% - Accent5 3 2" xfId="2524" xr:uid="{00000000-0005-0000-0000-0000520B0000}"/>
    <cellStyle name="40% - Accent5 3 20" xfId="2525" xr:uid="{00000000-0005-0000-0000-0000530B0000}"/>
    <cellStyle name="40% - Accent5 3 21" xfId="2526" xr:uid="{00000000-0005-0000-0000-0000540B0000}"/>
    <cellStyle name="40% - Accent5 3 22" xfId="2527" xr:uid="{00000000-0005-0000-0000-0000550B0000}"/>
    <cellStyle name="40% - Accent5 3 23" xfId="2528" xr:uid="{00000000-0005-0000-0000-0000560B0000}"/>
    <cellStyle name="40% - Accent5 3 24" xfId="2529" xr:uid="{00000000-0005-0000-0000-0000570B0000}"/>
    <cellStyle name="40% - Accent5 3 25" xfId="2530" xr:uid="{00000000-0005-0000-0000-0000580B0000}"/>
    <cellStyle name="40% - Accent5 3 26" xfId="2531" xr:uid="{00000000-0005-0000-0000-0000590B0000}"/>
    <cellStyle name="40% - Accent5 3 27" xfId="2532" xr:uid="{00000000-0005-0000-0000-00005A0B0000}"/>
    <cellStyle name="40% - Accent5 3 28" xfId="2533" xr:uid="{00000000-0005-0000-0000-00005B0B0000}"/>
    <cellStyle name="40% - Accent5 3 29" xfId="2534" xr:uid="{00000000-0005-0000-0000-00005C0B0000}"/>
    <cellStyle name="40% - Accent5 3 3" xfId="2535" xr:uid="{00000000-0005-0000-0000-00005D0B0000}"/>
    <cellStyle name="40% - Accent5 3 30" xfId="2536" xr:uid="{00000000-0005-0000-0000-00005E0B0000}"/>
    <cellStyle name="40% - Accent5 3 31" xfId="2537" xr:uid="{00000000-0005-0000-0000-00005F0B0000}"/>
    <cellStyle name="40% - Accent5 3 32" xfId="2538" xr:uid="{00000000-0005-0000-0000-0000600B0000}"/>
    <cellStyle name="40% - Accent5 3 4" xfId="2539" xr:uid="{00000000-0005-0000-0000-0000610B0000}"/>
    <cellStyle name="40% - Accent5 3 5" xfId="2540" xr:uid="{00000000-0005-0000-0000-0000620B0000}"/>
    <cellStyle name="40% - Accent5 3 6" xfId="2541" xr:uid="{00000000-0005-0000-0000-0000630B0000}"/>
    <cellStyle name="40% - Accent5 3 7" xfId="2542" xr:uid="{00000000-0005-0000-0000-0000640B0000}"/>
    <cellStyle name="40% - Accent5 3 8" xfId="2543" xr:uid="{00000000-0005-0000-0000-0000650B0000}"/>
    <cellStyle name="40% - Accent5 3 9" xfId="2544" xr:uid="{00000000-0005-0000-0000-0000660B0000}"/>
    <cellStyle name="40% - Accent5 4" xfId="2545" xr:uid="{00000000-0005-0000-0000-0000670B0000}"/>
    <cellStyle name="40% - Accent5 5" xfId="2546" xr:uid="{00000000-0005-0000-0000-0000680B0000}"/>
    <cellStyle name="40% - Accent5 6" xfId="2547" xr:uid="{00000000-0005-0000-0000-0000690B0000}"/>
    <cellStyle name="40% - Accent5 7" xfId="2548" xr:uid="{00000000-0005-0000-0000-00006A0B0000}"/>
    <cellStyle name="40% - Accent5 8" xfId="2549" xr:uid="{00000000-0005-0000-0000-00006B0B0000}"/>
    <cellStyle name="40% - Accent5 9" xfId="2550" xr:uid="{00000000-0005-0000-0000-00006C0B0000}"/>
    <cellStyle name="40% - Accent6 10" xfId="2551" xr:uid="{00000000-0005-0000-0000-00006D0B0000}"/>
    <cellStyle name="40% - Accent6 11" xfId="2552" xr:uid="{00000000-0005-0000-0000-00006E0B0000}"/>
    <cellStyle name="40% - Accent6 12" xfId="2553" xr:uid="{00000000-0005-0000-0000-00006F0B0000}"/>
    <cellStyle name="40% - Accent6 13" xfId="2554" xr:uid="{00000000-0005-0000-0000-0000700B0000}"/>
    <cellStyle name="40% - Accent6 14" xfId="2555" xr:uid="{00000000-0005-0000-0000-0000710B0000}"/>
    <cellStyle name="40% - Accent6 15" xfId="2556" xr:uid="{00000000-0005-0000-0000-0000720B0000}"/>
    <cellStyle name="40% - Accent6 16" xfId="2557" xr:uid="{00000000-0005-0000-0000-0000730B0000}"/>
    <cellStyle name="40% - Accent6 17" xfId="2558" xr:uid="{00000000-0005-0000-0000-0000740B0000}"/>
    <cellStyle name="40% - Accent6 18" xfId="2559" xr:uid="{00000000-0005-0000-0000-0000750B0000}"/>
    <cellStyle name="40% - Accent6 19" xfId="2560" xr:uid="{00000000-0005-0000-0000-0000760B0000}"/>
    <cellStyle name="40% - Accent6 2" xfId="50" xr:uid="{00000000-0005-0000-0000-0000770B0000}"/>
    <cellStyle name="40% - Accent6 2 10" xfId="2561" xr:uid="{00000000-0005-0000-0000-0000780B0000}"/>
    <cellStyle name="40% - Accent6 2 10 2" xfId="20349" xr:uid="{00000000-0005-0000-0000-0000790B0000}"/>
    <cellStyle name="40% - Accent6 2 11" xfId="2562" xr:uid="{00000000-0005-0000-0000-00007A0B0000}"/>
    <cellStyle name="40% - Accent6 2 11 2" xfId="20350" xr:uid="{00000000-0005-0000-0000-00007B0B0000}"/>
    <cellStyle name="40% - Accent6 2 12" xfId="2563" xr:uid="{00000000-0005-0000-0000-00007C0B0000}"/>
    <cellStyle name="40% - Accent6 2 12 2" xfId="20351" xr:uid="{00000000-0005-0000-0000-00007D0B0000}"/>
    <cellStyle name="40% - Accent6 2 13" xfId="2564" xr:uid="{00000000-0005-0000-0000-00007E0B0000}"/>
    <cellStyle name="40% - Accent6 2 13 2" xfId="20352" xr:uid="{00000000-0005-0000-0000-00007F0B0000}"/>
    <cellStyle name="40% - Accent6 2 14" xfId="2565" xr:uid="{00000000-0005-0000-0000-0000800B0000}"/>
    <cellStyle name="40% - Accent6 2 14 2" xfId="20353" xr:uid="{00000000-0005-0000-0000-0000810B0000}"/>
    <cellStyle name="40% - Accent6 2 15" xfId="2566" xr:uid="{00000000-0005-0000-0000-0000820B0000}"/>
    <cellStyle name="40% - Accent6 2 15 2" xfId="20354" xr:uid="{00000000-0005-0000-0000-0000830B0000}"/>
    <cellStyle name="40% - Accent6 2 16" xfId="2567" xr:uid="{00000000-0005-0000-0000-0000840B0000}"/>
    <cellStyle name="40% - Accent6 2 16 2" xfId="20355" xr:uid="{00000000-0005-0000-0000-0000850B0000}"/>
    <cellStyle name="40% - Accent6 2 17" xfId="2568" xr:uid="{00000000-0005-0000-0000-0000860B0000}"/>
    <cellStyle name="40% - Accent6 2 17 2" xfId="20356" xr:uid="{00000000-0005-0000-0000-0000870B0000}"/>
    <cellStyle name="40% - Accent6 2 18" xfId="2569" xr:uid="{00000000-0005-0000-0000-0000880B0000}"/>
    <cellStyle name="40% - Accent6 2 18 2" xfId="20357" xr:uid="{00000000-0005-0000-0000-0000890B0000}"/>
    <cellStyle name="40% - Accent6 2 19" xfId="2570" xr:uid="{00000000-0005-0000-0000-00008A0B0000}"/>
    <cellStyle name="40% - Accent6 2 19 2" xfId="20358" xr:uid="{00000000-0005-0000-0000-00008B0B0000}"/>
    <cellStyle name="40% - Accent6 2 2" xfId="2571" xr:uid="{00000000-0005-0000-0000-00008C0B0000}"/>
    <cellStyle name="40% - Accent6 2 2 10" xfId="2572" xr:uid="{00000000-0005-0000-0000-00008D0B0000}"/>
    <cellStyle name="40% - Accent6 2 2 10 2" xfId="20360" xr:uid="{00000000-0005-0000-0000-00008E0B0000}"/>
    <cellStyle name="40% - Accent6 2 2 11" xfId="2573" xr:uid="{00000000-0005-0000-0000-00008F0B0000}"/>
    <cellStyle name="40% - Accent6 2 2 11 2" xfId="20361" xr:uid="{00000000-0005-0000-0000-0000900B0000}"/>
    <cellStyle name="40% - Accent6 2 2 12" xfId="2574" xr:uid="{00000000-0005-0000-0000-0000910B0000}"/>
    <cellStyle name="40% - Accent6 2 2 12 2" xfId="20362" xr:uid="{00000000-0005-0000-0000-0000920B0000}"/>
    <cellStyle name="40% - Accent6 2 2 13" xfId="2575" xr:uid="{00000000-0005-0000-0000-0000930B0000}"/>
    <cellStyle name="40% - Accent6 2 2 13 2" xfId="20363" xr:uid="{00000000-0005-0000-0000-0000940B0000}"/>
    <cellStyle name="40% - Accent6 2 2 14" xfId="2576" xr:uid="{00000000-0005-0000-0000-0000950B0000}"/>
    <cellStyle name="40% - Accent6 2 2 14 2" xfId="20364" xr:uid="{00000000-0005-0000-0000-0000960B0000}"/>
    <cellStyle name="40% - Accent6 2 2 15" xfId="2577" xr:uid="{00000000-0005-0000-0000-0000970B0000}"/>
    <cellStyle name="40% - Accent6 2 2 15 2" xfId="20365" xr:uid="{00000000-0005-0000-0000-0000980B0000}"/>
    <cellStyle name="40% - Accent6 2 2 16" xfId="2578" xr:uid="{00000000-0005-0000-0000-0000990B0000}"/>
    <cellStyle name="40% - Accent6 2 2 16 2" xfId="20366" xr:uid="{00000000-0005-0000-0000-00009A0B0000}"/>
    <cellStyle name="40% - Accent6 2 2 17" xfId="2579" xr:uid="{00000000-0005-0000-0000-00009B0B0000}"/>
    <cellStyle name="40% - Accent6 2 2 17 2" xfId="20367" xr:uid="{00000000-0005-0000-0000-00009C0B0000}"/>
    <cellStyle name="40% - Accent6 2 2 18" xfId="2580" xr:uid="{00000000-0005-0000-0000-00009D0B0000}"/>
    <cellStyle name="40% - Accent6 2 2 18 2" xfId="20368" xr:uid="{00000000-0005-0000-0000-00009E0B0000}"/>
    <cellStyle name="40% - Accent6 2 2 19" xfId="2581" xr:uid="{00000000-0005-0000-0000-00009F0B0000}"/>
    <cellStyle name="40% - Accent6 2 2 19 2" xfId="20369" xr:uid="{00000000-0005-0000-0000-0000A00B0000}"/>
    <cellStyle name="40% - Accent6 2 2 2" xfId="2582" xr:uid="{00000000-0005-0000-0000-0000A10B0000}"/>
    <cellStyle name="40% - Accent6 2 2 2 2" xfId="20370" xr:uid="{00000000-0005-0000-0000-0000A20B0000}"/>
    <cellStyle name="40% - Accent6 2 2 20" xfId="2583" xr:uid="{00000000-0005-0000-0000-0000A30B0000}"/>
    <cellStyle name="40% - Accent6 2 2 20 2" xfId="20371" xr:uid="{00000000-0005-0000-0000-0000A40B0000}"/>
    <cellStyle name="40% - Accent6 2 2 21" xfId="2584" xr:uid="{00000000-0005-0000-0000-0000A50B0000}"/>
    <cellStyle name="40% - Accent6 2 2 21 2" xfId="20372" xr:uid="{00000000-0005-0000-0000-0000A60B0000}"/>
    <cellStyle name="40% - Accent6 2 2 22" xfId="2585" xr:uid="{00000000-0005-0000-0000-0000A70B0000}"/>
    <cellStyle name="40% - Accent6 2 2 22 2" xfId="20373" xr:uid="{00000000-0005-0000-0000-0000A80B0000}"/>
    <cellStyle name="40% - Accent6 2 2 23" xfId="2586" xr:uid="{00000000-0005-0000-0000-0000A90B0000}"/>
    <cellStyle name="40% - Accent6 2 2 23 2" xfId="20374" xr:uid="{00000000-0005-0000-0000-0000AA0B0000}"/>
    <cellStyle name="40% - Accent6 2 2 24" xfId="2587" xr:uid="{00000000-0005-0000-0000-0000AB0B0000}"/>
    <cellStyle name="40% - Accent6 2 2 24 2" xfId="20375" xr:uid="{00000000-0005-0000-0000-0000AC0B0000}"/>
    <cellStyle name="40% - Accent6 2 2 25" xfId="2588" xr:uid="{00000000-0005-0000-0000-0000AD0B0000}"/>
    <cellStyle name="40% - Accent6 2 2 25 2" xfId="20376" xr:uid="{00000000-0005-0000-0000-0000AE0B0000}"/>
    <cellStyle name="40% - Accent6 2 2 26" xfId="2589" xr:uid="{00000000-0005-0000-0000-0000AF0B0000}"/>
    <cellStyle name="40% - Accent6 2 2 26 2" xfId="20377" xr:uid="{00000000-0005-0000-0000-0000B00B0000}"/>
    <cellStyle name="40% - Accent6 2 2 27" xfId="2590" xr:uid="{00000000-0005-0000-0000-0000B10B0000}"/>
    <cellStyle name="40% - Accent6 2 2 27 2" xfId="20378" xr:uid="{00000000-0005-0000-0000-0000B20B0000}"/>
    <cellStyle name="40% - Accent6 2 2 28" xfId="2591" xr:uid="{00000000-0005-0000-0000-0000B30B0000}"/>
    <cellStyle name="40% - Accent6 2 2 28 2" xfId="20379" xr:uid="{00000000-0005-0000-0000-0000B40B0000}"/>
    <cellStyle name="40% - Accent6 2 2 29" xfId="2592" xr:uid="{00000000-0005-0000-0000-0000B50B0000}"/>
    <cellStyle name="40% - Accent6 2 2 29 2" xfId="20380" xr:uid="{00000000-0005-0000-0000-0000B60B0000}"/>
    <cellStyle name="40% - Accent6 2 2 3" xfId="2593" xr:uid="{00000000-0005-0000-0000-0000B70B0000}"/>
    <cellStyle name="40% - Accent6 2 2 3 2" xfId="20381" xr:uid="{00000000-0005-0000-0000-0000B80B0000}"/>
    <cellStyle name="40% - Accent6 2 2 30" xfId="2594" xr:uid="{00000000-0005-0000-0000-0000B90B0000}"/>
    <cellStyle name="40% - Accent6 2 2 30 2" xfId="20382" xr:uid="{00000000-0005-0000-0000-0000BA0B0000}"/>
    <cellStyle name="40% - Accent6 2 2 31" xfId="2595" xr:uid="{00000000-0005-0000-0000-0000BB0B0000}"/>
    <cellStyle name="40% - Accent6 2 2 31 2" xfId="20383" xr:uid="{00000000-0005-0000-0000-0000BC0B0000}"/>
    <cellStyle name="40% - Accent6 2 2 32" xfId="2596" xr:uid="{00000000-0005-0000-0000-0000BD0B0000}"/>
    <cellStyle name="40% - Accent6 2 2 32 2" xfId="20384" xr:uid="{00000000-0005-0000-0000-0000BE0B0000}"/>
    <cellStyle name="40% - Accent6 2 2 33" xfId="2597" xr:uid="{00000000-0005-0000-0000-0000BF0B0000}"/>
    <cellStyle name="40% - Accent6 2 2 33 2" xfId="20385" xr:uid="{00000000-0005-0000-0000-0000C00B0000}"/>
    <cellStyle name="40% - Accent6 2 2 34" xfId="2598" xr:uid="{00000000-0005-0000-0000-0000C10B0000}"/>
    <cellStyle name="40% - Accent6 2 2 34 2" xfId="20386" xr:uid="{00000000-0005-0000-0000-0000C20B0000}"/>
    <cellStyle name="40% - Accent6 2 2 35" xfId="2599" xr:uid="{00000000-0005-0000-0000-0000C30B0000}"/>
    <cellStyle name="40% - Accent6 2 2 35 2" xfId="20387" xr:uid="{00000000-0005-0000-0000-0000C40B0000}"/>
    <cellStyle name="40% - Accent6 2 2 36" xfId="2600" xr:uid="{00000000-0005-0000-0000-0000C50B0000}"/>
    <cellStyle name="40% - Accent6 2 2 36 2" xfId="20388" xr:uid="{00000000-0005-0000-0000-0000C60B0000}"/>
    <cellStyle name="40% - Accent6 2 2 37" xfId="2601" xr:uid="{00000000-0005-0000-0000-0000C70B0000}"/>
    <cellStyle name="40% - Accent6 2 2 37 2" xfId="20389" xr:uid="{00000000-0005-0000-0000-0000C80B0000}"/>
    <cellStyle name="40% - Accent6 2 2 38" xfId="2602" xr:uid="{00000000-0005-0000-0000-0000C90B0000}"/>
    <cellStyle name="40% - Accent6 2 2 38 2" xfId="20390" xr:uid="{00000000-0005-0000-0000-0000CA0B0000}"/>
    <cellStyle name="40% - Accent6 2 2 39" xfId="2603" xr:uid="{00000000-0005-0000-0000-0000CB0B0000}"/>
    <cellStyle name="40% - Accent6 2 2 39 2" xfId="20391" xr:uid="{00000000-0005-0000-0000-0000CC0B0000}"/>
    <cellStyle name="40% - Accent6 2 2 4" xfId="2604" xr:uid="{00000000-0005-0000-0000-0000CD0B0000}"/>
    <cellStyle name="40% - Accent6 2 2 4 2" xfId="20392" xr:uid="{00000000-0005-0000-0000-0000CE0B0000}"/>
    <cellStyle name="40% - Accent6 2 2 40" xfId="2605" xr:uid="{00000000-0005-0000-0000-0000CF0B0000}"/>
    <cellStyle name="40% - Accent6 2 2 40 2" xfId="20393" xr:uid="{00000000-0005-0000-0000-0000D00B0000}"/>
    <cellStyle name="40% - Accent6 2 2 41" xfId="2606" xr:uid="{00000000-0005-0000-0000-0000D10B0000}"/>
    <cellStyle name="40% - Accent6 2 2 41 2" xfId="20394" xr:uid="{00000000-0005-0000-0000-0000D20B0000}"/>
    <cellStyle name="40% - Accent6 2 2 42" xfId="2607" xr:uid="{00000000-0005-0000-0000-0000D30B0000}"/>
    <cellStyle name="40% - Accent6 2 2 42 2" xfId="20395" xr:uid="{00000000-0005-0000-0000-0000D40B0000}"/>
    <cellStyle name="40% - Accent6 2 2 43" xfId="20359" xr:uid="{00000000-0005-0000-0000-0000D50B0000}"/>
    <cellStyle name="40% - Accent6 2 2 5" xfId="2608" xr:uid="{00000000-0005-0000-0000-0000D60B0000}"/>
    <cellStyle name="40% - Accent6 2 2 5 2" xfId="20396" xr:uid="{00000000-0005-0000-0000-0000D70B0000}"/>
    <cellStyle name="40% - Accent6 2 2 6" xfId="2609" xr:uid="{00000000-0005-0000-0000-0000D80B0000}"/>
    <cellStyle name="40% - Accent6 2 2 6 2" xfId="20397" xr:uid="{00000000-0005-0000-0000-0000D90B0000}"/>
    <cellStyle name="40% - Accent6 2 2 7" xfId="2610" xr:uid="{00000000-0005-0000-0000-0000DA0B0000}"/>
    <cellStyle name="40% - Accent6 2 2 7 2" xfId="20398" xr:uid="{00000000-0005-0000-0000-0000DB0B0000}"/>
    <cellStyle name="40% - Accent6 2 2 8" xfId="2611" xr:uid="{00000000-0005-0000-0000-0000DC0B0000}"/>
    <cellStyle name="40% - Accent6 2 2 8 2" xfId="20399" xr:uid="{00000000-0005-0000-0000-0000DD0B0000}"/>
    <cellStyle name="40% - Accent6 2 2 9" xfId="2612" xr:uid="{00000000-0005-0000-0000-0000DE0B0000}"/>
    <cellStyle name="40% - Accent6 2 2 9 2" xfId="20400" xr:uid="{00000000-0005-0000-0000-0000DF0B0000}"/>
    <cellStyle name="40% - Accent6 2 2_DATA Input" xfId="2613" xr:uid="{00000000-0005-0000-0000-0000E00B0000}"/>
    <cellStyle name="40% - Accent6 2 20" xfId="2614" xr:uid="{00000000-0005-0000-0000-0000E10B0000}"/>
    <cellStyle name="40% - Accent6 2 20 2" xfId="20401" xr:uid="{00000000-0005-0000-0000-0000E20B0000}"/>
    <cellStyle name="40% - Accent6 2 21" xfId="2615" xr:uid="{00000000-0005-0000-0000-0000E30B0000}"/>
    <cellStyle name="40% - Accent6 2 21 2" xfId="20402" xr:uid="{00000000-0005-0000-0000-0000E40B0000}"/>
    <cellStyle name="40% - Accent6 2 22" xfId="2616" xr:uid="{00000000-0005-0000-0000-0000E50B0000}"/>
    <cellStyle name="40% - Accent6 2 22 2" xfId="20403" xr:uid="{00000000-0005-0000-0000-0000E60B0000}"/>
    <cellStyle name="40% - Accent6 2 23" xfId="2617" xr:uid="{00000000-0005-0000-0000-0000E70B0000}"/>
    <cellStyle name="40% - Accent6 2 23 2" xfId="20404" xr:uid="{00000000-0005-0000-0000-0000E80B0000}"/>
    <cellStyle name="40% - Accent6 2 24" xfId="2618" xr:uid="{00000000-0005-0000-0000-0000E90B0000}"/>
    <cellStyle name="40% - Accent6 2 24 2" xfId="20405" xr:uid="{00000000-0005-0000-0000-0000EA0B0000}"/>
    <cellStyle name="40% - Accent6 2 25" xfId="2619" xr:uid="{00000000-0005-0000-0000-0000EB0B0000}"/>
    <cellStyle name="40% - Accent6 2 25 2" xfId="20406" xr:uid="{00000000-0005-0000-0000-0000EC0B0000}"/>
    <cellStyle name="40% - Accent6 2 26" xfId="2620" xr:uid="{00000000-0005-0000-0000-0000ED0B0000}"/>
    <cellStyle name="40% - Accent6 2 26 2" xfId="20407" xr:uid="{00000000-0005-0000-0000-0000EE0B0000}"/>
    <cellStyle name="40% - Accent6 2 27" xfId="2621" xr:uid="{00000000-0005-0000-0000-0000EF0B0000}"/>
    <cellStyle name="40% - Accent6 2 27 2" xfId="20408" xr:uid="{00000000-0005-0000-0000-0000F00B0000}"/>
    <cellStyle name="40% - Accent6 2 28" xfId="2622" xr:uid="{00000000-0005-0000-0000-0000F10B0000}"/>
    <cellStyle name="40% - Accent6 2 28 2" xfId="20409" xr:uid="{00000000-0005-0000-0000-0000F20B0000}"/>
    <cellStyle name="40% - Accent6 2 29" xfId="2623" xr:uid="{00000000-0005-0000-0000-0000F30B0000}"/>
    <cellStyle name="40% - Accent6 2 29 2" xfId="20410" xr:uid="{00000000-0005-0000-0000-0000F40B0000}"/>
    <cellStyle name="40% - Accent6 2 3" xfId="2624" xr:uid="{00000000-0005-0000-0000-0000F50B0000}"/>
    <cellStyle name="40% - Accent6 2 3 2" xfId="20411" xr:uid="{00000000-0005-0000-0000-0000F60B0000}"/>
    <cellStyle name="40% - Accent6 2 30" xfId="2625" xr:uid="{00000000-0005-0000-0000-0000F70B0000}"/>
    <cellStyle name="40% - Accent6 2 30 2" xfId="20412" xr:uid="{00000000-0005-0000-0000-0000F80B0000}"/>
    <cellStyle name="40% - Accent6 2 31" xfId="2626" xr:uid="{00000000-0005-0000-0000-0000F90B0000}"/>
    <cellStyle name="40% - Accent6 2 31 2" xfId="20413" xr:uid="{00000000-0005-0000-0000-0000FA0B0000}"/>
    <cellStyle name="40% - Accent6 2 32" xfId="2627" xr:uid="{00000000-0005-0000-0000-0000FB0B0000}"/>
    <cellStyle name="40% - Accent6 2 32 2" xfId="20414" xr:uid="{00000000-0005-0000-0000-0000FC0B0000}"/>
    <cellStyle name="40% - Accent6 2 33" xfId="2628" xr:uid="{00000000-0005-0000-0000-0000FD0B0000}"/>
    <cellStyle name="40% - Accent6 2 33 2" xfId="20415" xr:uid="{00000000-0005-0000-0000-0000FE0B0000}"/>
    <cellStyle name="40% - Accent6 2 34" xfId="2629" xr:uid="{00000000-0005-0000-0000-0000FF0B0000}"/>
    <cellStyle name="40% - Accent6 2 34 2" xfId="20416" xr:uid="{00000000-0005-0000-0000-0000000C0000}"/>
    <cellStyle name="40% - Accent6 2 35" xfId="2630" xr:uid="{00000000-0005-0000-0000-0000010C0000}"/>
    <cellStyle name="40% - Accent6 2 35 2" xfId="20417" xr:uid="{00000000-0005-0000-0000-0000020C0000}"/>
    <cellStyle name="40% - Accent6 2 36" xfId="2631" xr:uid="{00000000-0005-0000-0000-0000030C0000}"/>
    <cellStyle name="40% - Accent6 2 36 2" xfId="20418" xr:uid="{00000000-0005-0000-0000-0000040C0000}"/>
    <cellStyle name="40% - Accent6 2 37" xfId="2632" xr:uid="{00000000-0005-0000-0000-0000050C0000}"/>
    <cellStyle name="40% - Accent6 2 37 2" xfId="20419" xr:uid="{00000000-0005-0000-0000-0000060C0000}"/>
    <cellStyle name="40% - Accent6 2 38" xfId="2633" xr:uid="{00000000-0005-0000-0000-0000070C0000}"/>
    <cellStyle name="40% - Accent6 2 38 2" xfId="20420" xr:uid="{00000000-0005-0000-0000-0000080C0000}"/>
    <cellStyle name="40% - Accent6 2 39" xfId="2634" xr:uid="{00000000-0005-0000-0000-0000090C0000}"/>
    <cellStyle name="40% - Accent6 2 39 2" xfId="20421" xr:uid="{00000000-0005-0000-0000-00000A0C0000}"/>
    <cellStyle name="40% - Accent6 2 4" xfId="2635" xr:uid="{00000000-0005-0000-0000-00000B0C0000}"/>
    <cellStyle name="40% - Accent6 2 4 2" xfId="20422" xr:uid="{00000000-0005-0000-0000-00000C0C0000}"/>
    <cellStyle name="40% - Accent6 2 40" xfId="2636" xr:uid="{00000000-0005-0000-0000-00000D0C0000}"/>
    <cellStyle name="40% - Accent6 2 40 2" xfId="20423" xr:uid="{00000000-0005-0000-0000-00000E0C0000}"/>
    <cellStyle name="40% - Accent6 2 41" xfId="2637" xr:uid="{00000000-0005-0000-0000-00000F0C0000}"/>
    <cellStyle name="40% - Accent6 2 41 2" xfId="20424" xr:uid="{00000000-0005-0000-0000-0000100C0000}"/>
    <cellStyle name="40% - Accent6 2 42" xfId="2638" xr:uid="{00000000-0005-0000-0000-0000110C0000}"/>
    <cellStyle name="40% - Accent6 2 42 2" xfId="20425" xr:uid="{00000000-0005-0000-0000-0000120C0000}"/>
    <cellStyle name="40% - Accent6 2 43" xfId="2639" xr:uid="{00000000-0005-0000-0000-0000130C0000}"/>
    <cellStyle name="40% - Accent6 2 43 2" xfId="20426" xr:uid="{00000000-0005-0000-0000-0000140C0000}"/>
    <cellStyle name="40% - Accent6 2 44" xfId="2640" xr:uid="{00000000-0005-0000-0000-0000150C0000}"/>
    <cellStyle name="40% - Accent6 2 44 2" xfId="20427" xr:uid="{00000000-0005-0000-0000-0000160C0000}"/>
    <cellStyle name="40% - Accent6 2 5" xfId="2641" xr:uid="{00000000-0005-0000-0000-0000170C0000}"/>
    <cellStyle name="40% - Accent6 2 5 2" xfId="20428" xr:uid="{00000000-0005-0000-0000-0000180C0000}"/>
    <cellStyle name="40% - Accent6 2 6" xfId="2642" xr:uid="{00000000-0005-0000-0000-0000190C0000}"/>
    <cellStyle name="40% - Accent6 2 6 2" xfId="20429" xr:uid="{00000000-0005-0000-0000-00001A0C0000}"/>
    <cellStyle name="40% - Accent6 2 7" xfId="2643" xr:uid="{00000000-0005-0000-0000-00001B0C0000}"/>
    <cellStyle name="40% - Accent6 2 7 2" xfId="20430" xr:uid="{00000000-0005-0000-0000-00001C0C0000}"/>
    <cellStyle name="40% - Accent6 2 8" xfId="2644" xr:uid="{00000000-0005-0000-0000-00001D0C0000}"/>
    <cellStyle name="40% - Accent6 2 8 2" xfId="20431" xr:uid="{00000000-0005-0000-0000-00001E0C0000}"/>
    <cellStyle name="40% - Accent6 2 9" xfId="2645" xr:uid="{00000000-0005-0000-0000-00001F0C0000}"/>
    <cellStyle name="40% - Accent6 2 9 2" xfId="20432" xr:uid="{00000000-0005-0000-0000-0000200C0000}"/>
    <cellStyle name="40% - Accent6 2_DATA Input" xfId="2646" xr:uid="{00000000-0005-0000-0000-0000210C0000}"/>
    <cellStyle name="40% - Accent6 20" xfId="2647" xr:uid="{00000000-0005-0000-0000-0000220C0000}"/>
    <cellStyle name="40% - Accent6 21" xfId="2648" xr:uid="{00000000-0005-0000-0000-0000230C0000}"/>
    <cellStyle name="40% - Accent6 22" xfId="2649" xr:uid="{00000000-0005-0000-0000-0000240C0000}"/>
    <cellStyle name="40% - Accent6 23" xfId="2650" xr:uid="{00000000-0005-0000-0000-0000250C0000}"/>
    <cellStyle name="40% - Accent6 24" xfId="2651" xr:uid="{00000000-0005-0000-0000-0000260C0000}"/>
    <cellStyle name="40% - Accent6 3" xfId="2652" xr:uid="{00000000-0005-0000-0000-0000270C0000}"/>
    <cellStyle name="40% - Accent6 3 10" xfId="2653" xr:uid="{00000000-0005-0000-0000-0000280C0000}"/>
    <cellStyle name="40% - Accent6 3 11" xfId="2654" xr:uid="{00000000-0005-0000-0000-0000290C0000}"/>
    <cellStyle name="40% - Accent6 3 12" xfId="2655" xr:uid="{00000000-0005-0000-0000-00002A0C0000}"/>
    <cellStyle name="40% - Accent6 3 13" xfId="2656" xr:uid="{00000000-0005-0000-0000-00002B0C0000}"/>
    <cellStyle name="40% - Accent6 3 14" xfId="2657" xr:uid="{00000000-0005-0000-0000-00002C0C0000}"/>
    <cellStyle name="40% - Accent6 3 15" xfId="2658" xr:uid="{00000000-0005-0000-0000-00002D0C0000}"/>
    <cellStyle name="40% - Accent6 3 16" xfId="2659" xr:uid="{00000000-0005-0000-0000-00002E0C0000}"/>
    <cellStyle name="40% - Accent6 3 17" xfId="2660" xr:uid="{00000000-0005-0000-0000-00002F0C0000}"/>
    <cellStyle name="40% - Accent6 3 18" xfId="2661" xr:uid="{00000000-0005-0000-0000-0000300C0000}"/>
    <cellStyle name="40% - Accent6 3 19" xfId="2662" xr:uid="{00000000-0005-0000-0000-0000310C0000}"/>
    <cellStyle name="40% - Accent6 3 2" xfId="2663" xr:uid="{00000000-0005-0000-0000-0000320C0000}"/>
    <cellStyle name="40% - Accent6 3 20" xfId="2664" xr:uid="{00000000-0005-0000-0000-0000330C0000}"/>
    <cellStyle name="40% - Accent6 3 21" xfId="2665" xr:uid="{00000000-0005-0000-0000-0000340C0000}"/>
    <cellStyle name="40% - Accent6 3 22" xfId="2666" xr:uid="{00000000-0005-0000-0000-0000350C0000}"/>
    <cellStyle name="40% - Accent6 3 23" xfId="2667" xr:uid="{00000000-0005-0000-0000-0000360C0000}"/>
    <cellStyle name="40% - Accent6 3 24" xfId="2668" xr:uid="{00000000-0005-0000-0000-0000370C0000}"/>
    <cellStyle name="40% - Accent6 3 25" xfId="2669" xr:uid="{00000000-0005-0000-0000-0000380C0000}"/>
    <cellStyle name="40% - Accent6 3 26" xfId="2670" xr:uid="{00000000-0005-0000-0000-0000390C0000}"/>
    <cellStyle name="40% - Accent6 3 27" xfId="2671" xr:uid="{00000000-0005-0000-0000-00003A0C0000}"/>
    <cellStyle name="40% - Accent6 3 28" xfId="2672" xr:uid="{00000000-0005-0000-0000-00003B0C0000}"/>
    <cellStyle name="40% - Accent6 3 29" xfId="2673" xr:uid="{00000000-0005-0000-0000-00003C0C0000}"/>
    <cellStyle name="40% - Accent6 3 3" xfId="2674" xr:uid="{00000000-0005-0000-0000-00003D0C0000}"/>
    <cellStyle name="40% - Accent6 3 30" xfId="2675" xr:uid="{00000000-0005-0000-0000-00003E0C0000}"/>
    <cellStyle name="40% - Accent6 3 31" xfId="2676" xr:uid="{00000000-0005-0000-0000-00003F0C0000}"/>
    <cellStyle name="40% - Accent6 3 32" xfId="2677" xr:uid="{00000000-0005-0000-0000-0000400C0000}"/>
    <cellStyle name="40% - Accent6 3 4" xfId="2678" xr:uid="{00000000-0005-0000-0000-0000410C0000}"/>
    <cellStyle name="40% - Accent6 3 5" xfId="2679" xr:uid="{00000000-0005-0000-0000-0000420C0000}"/>
    <cellStyle name="40% - Accent6 3 6" xfId="2680" xr:uid="{00000000-0005-0000-0000-0000430C0000}"/>
    <cellStyle name="40% - Accent6 3 7" xfId="2681" xr:uid="{00000000-0005-0000-0000-0000440C0000}"/>
    <cellStyle name="40% - Accent6 3 8" xfId="2682" xr:uid="{00000000-0005-0000-0000-0000450C0000}"/>
    <cellStyle name="40% - Accent6 3 9" xfId="2683" xr:uid="{00000000-0005-0000-0000-0000460C0000}"/>
    <cellStyle name="40% - Accent6 4" xfId="2684" xr:uid="{00000000-0005-0000-0000-0000470C0000}"/>
    <cellStyle name="40% - Accent6 5" xfId="2685" xr:uid="{00000000-0005-0000-0000-0000480C0000}"/>
    <cellStyle name="40% - Accent6 6" xfId="2686" xr:uid="{00000000-0005-0000-0000-0000490C0000}"/>
    <cellStyle name="40% - Accent6 7" xfId="2687" xr:uid="{00000000-0005-0000-0000-00004A0C0000}"/>
    <cellStyle name="40% - Accent6 8" xfId="2688" xr:uid="{00000000-0005-0000-0000-00004B0C0000}"/>
    <cellStyle name="40% - Accent6 9" xfId="2689" xr:uid="{00000000-0005-0000-0000-00004C0C0000}"/>
    <cellStyle name="40% - Colore 1" xfId="2690" xr:uid="{00000000-0005-0000-0000-00004D0C0000}"/>
    <cellStyle name="40% - Colore 2" xfId="2691" xr:uid="{00000000-0005-0000-0000-00004E0C0000}"/>
    <cellStyle name="40% - Colore 3" xfId="2692" xr:uid="{00000000-0005-0000-0000-00004F0C0000}"/>
    <cellStyle name="40% - Colore 4" xfId="2693" xr:uid="{00000000-0005-0000-0000-0000500C0000}"/>
    <cellStyle name="40% - Colore 5" xfId="2694" xr:uid="{00000000-0005-0000-0000-0000510C0000}"/>
    <cellStyle name="40% - Colore 6" xfId="2695" xr:uid="{00000000-0005-0000-0000-0000520C0000}"/>
    <cellStyle name="40% - 강조색1" xfId="51" xr:uid="{00000000-0005-0000-0000-0000530C0000}"/>
    <cellStyle name="40% - 강조색2" xfId="52" xr:uid="{00000000-0005-0000-0000-0000540C0000}"/>
    <cellStyle name="40% - 강조색3" xfId="53" xr:uid="{00000000-0005-0000-0000-0000550C0000}"/>
    <cellStyle name="40% - 강조색4" xfId="54" xr:uid="{00000000-0005-0000-0000-0000560C0000}"/>
    <cellStyle name="40% - 강조색5" xfId="55" xr:uid="{00000000-0005-0000-0000-0000570C0000}"/>
    <cellStyle name="40% - 강조색6" xfId="56" xr:uid="{00000000-0005-0000-0000-0000580C0000}"/>
    <cellStyle name="40% - 强调文字颜色 1" xfId="2696" xr:uid="{00000000-0005-0000-0000-0000590C0000}"/>
    <cellStyle name="40% - 强调文字颜色 2" xfId="2697" xr:uid="{00000000-0005-0000-0000-00005A0C0000}"/>
    <cellStyle name="40% - 强调文字颜色 3" xfId="2698" xr:uid="{00000000-0005-0000-0000-00005B0C0000}"/>
    <cellStyle name="40% - 强调文字颜色 4" xfId="2699" xr:uid="{00000000-0005-0000-0000-00005C0C0000}"/>
    <cellStyle name="40% - 强调文字颜色 5" xfId="2700" xr:uid="{00000000-0005-0000-0000-00005D0C0000}"/>
    <cellStyle name="40% - 强调文字颜色 6" xfId="2701" xr:uid="{00000000-0005-0000-0000-00005E0C0000}"/>
    <cellStyle name="60" xfId="57" xr:uid="{00000000-0005-0000-0000-00005F0C0000}"/>
    <cellStyle name="60 % - Accent1" xfId="2702" xr:uid="{00000000-0005-0000-0000-0000600C0000}"/>
    <cellStyle name="60 % - Accent2" xfId="2703" xr:uid="{00000000-0005-0000-0000-0000610C0000}"/>
    <cellStyle name="60 % - Accent3" xfId="2704" xr:uid="{00000000-0005-0000-0000-0000620C0000}"/>
    <cellStyle name="60 % - Accent4" xfId="2705" xr:uid="{00000000-0005-0000-0000-0000630C0000}"/>
    <cellStyle name="60 % - Accent5" xfId="2706" xr:uid="{00000000-0005-0000-0000-0000640C0000}"/>
    <cellStyle name="60 % - Accent6" xfId="2707" xr:uid="{00000000-0005-0000-0000-0000650C0000}"/>
    <cellStyle name="60% - Accent1 10" xfId="2708" xr:uid="{00000000-0005-0000-0000-0000660C0000}"/>
    <cellStyle name="60% - Accent1 11" xfId="2709" xr:uid="{00000000-0005-0000-0000-0000670C0000}"/>
    <cellStyle name="60% - Accent1 12" xfId="2710" xr:uid="{00000000-0005-0000-0000-0000680C0000}"/>
    <cellStyle name="60% - Accent1 13" xfId="2711" xr:uid="{00000000-0005-0000-0000-0000690C0000}"/>
    <cellStyle name="60% - Accent1 14" xfId="2712" xr:uid="{00000000-0005-0000-0000-00006A0C0000}"/>
    <cellStyle name="60% - Accent1 15" xfId="2713" xr:uid="{00000000-0005-0000-0000-00006B0C0000}"/>
    <cellStyle name="60% - Accent1 16" xfId="2714" xr:uid="{00000000-0005-0000-0000-00006C0C0000}"/>
    <cellStyle name="60% - Accent1 17" xfId="2715" xr:uid="{00000000-0005-0000-0000-00006D0C0000}"/>
    <cellStyle name="60% - Accent1 18" xfId="2716" xr:uid="{00000000-0005-0000-0000-00006E0C0000}"/>
    <cellStyle name="60% - Accent1 19" xfId="2717" xr:uid="{00000000-0005-0000-0000-00006F0C0000}"/>
    <cellStyle name="60% - Accent1 2" xfId="58" xr:uid="{00000000-0005-0000-0000-0000700C0000}"/>
    <cellStyle name="60% - Accent1 2 10" xfId="2718" xr:uid="{00000000-0005-0000-0000-0000710C0000}"/>
    <cellStyle name="60% - Accent1 2 11" xfId="2719" xr:uid="{00000000-0005-0000-0000-0000720C0000}"/>
    <cellStyle name="60% - Accent1 2 12" xfId="2720" xr:uid="{00000000-0005-0000-0000-0000730C0000}"/>
    <cellStyle name="60% - Accent1 2 13" xfId="2721" xr:uid="{00000000-0005-0000-0000-0000740C0000}"/>
    <cellStyle name="60% - Accent1 2 14" xfId="2722" xr:uid="{00000000-0005-0000-0000-0000750C0000}"/>
    <cellStyle name="60% - Accent1 2 15" xfId="2723" xr:uid="{00000000-0005-0000-0000-0000760C0000}"/>
    <cellStyle name="60% - Accent1 2 16" xfId="2724" xr:uid="{00000000-0005-0000-0000-0000770C0000}"/>
    <cellStyle name="60% - Accent1 2 17" xfId="2725" xr:uid="{00000000-0005-0000-0000-0000780C0000}"/>
    <cellStyle name="60% - Accent1 2 18" xfId="2726" xr:uid="{00000000-0005-0000-0000-0000790C0000}"/>
    <cellStyle name="60% - Accent1 2 19" xfId="2727" xr:uid="{00000000-0005-0000-0000-00007A0C0000}"/>
    <cellStyle name="60% - Accent1 2 2" xfId="2728" xr:uid="{00000000-0005-0000-0000-00007B0C0000}"/>
    <cellStyle name="60% - Accent1 2 20" xfId="2729" xr:uid="{00000000-0005-0000-0000-00007C0C0000}"/>
    <cellStyle name="60% - Accent1 2 21" xfId="2730" xr:uid="{00000000-0005-0000-0000-00007D0C0000}"/>
    <cellStyle name="60% - Accent1 2 22" xfId="2731" xr:uid="{00000000-0005-0000-0000-00007E0C0000}"/>
    <cellStyle name="60% - Accent1 2 23" xfId="2732" xr:uid="{00000000-0005-0000-0000-00007F0C0000}"/>
    <cellStyle name="60% - Accent1 2 24" xfId="2733" xr:uid="{00000000-0005-0000-0000-0000800C0000}"/>
    <cellStyle name="60% - Accent1 2 25" xfId="2734" xr:uid="{00000000-0005-0000-0000-0000810C0000}"/>
    <cellStyle name="60% - Accent1 2 26" xfId="2735" xr:uid="{00000000-0005-0000-0000-0000820C0000}"/>
    <cellStyle name="60% - Accent1 2 27" xfId="2736" xr:uid="{00000000-0005-0000-0000-0000830C0000}"/>
    <cellStyle name="60% - Accent1 2 28" xfId="2737" xr:uid="{00000000-0005-0000-0000-0000840C0000}"/>
    <cellStyle name="60% - Accent1 2 29" xfId="2738" xr:uid="{00000000-0005-0000-0000-0000850C0000}"/>
    <cellStyle name="60% - Accent1 2 3" xfId="2739" xr:uid="{00000000-0005-0000-0000-0000860C0000}"/>
    <cellStyle name="60% - Accent1 2 30" xfId="2740" xr:uid="{00000000-0005-0000-0000-0000870C0000}"/>
    <cellStyle name="60% - Accent1 2 31" xfId="2741" xr:uid="{00000000-0005-0000-0000-0000880C0000}"/>
    <cellStyle name="60% - Accent1 2 32" xfId="2742" xr:uid="{00000000-0005-0000-0000-0000890C0000}"/>
    <cellStyle name="60% - Accent1 2 33" xfId="2743" xr:uid="{00000000-0005-0000-0000-00008A0C0000}"/>
    <cellStyle name="60% - Accent1 2 34" xfId="2744" xr:uid="{00000000-0005-0000-0000-00008B0C0000}"/>
    <cellStyle name="60% - Accent1 2 35" xfId="2745" xr:uid="{00000000-0005-0000-0000-00008C0C0000}"/>
    <cellStyle name="60% - Accent1 2 36" xfId="2746" xr:uid="{00000000-0005-0000-0000-00008D0C0000}"/>
    <cellStyle name="60% - Accent1 2 37" xfId="2747" xr:uid="{00000000-0005-0000-0000-00008E0C0000}"/>
    <cellStyle name="60% - Accent1 2 38" xfId="2748" xr:uid="{00000000-0005-0000-0000-00008F0C0000}"/>
    <cellStyle name="60% - Accent1 2 39" xfId="2749" xr:uid="{00000000-0005-0000-0000-0000900C0000}"/>
    <cellStyle name="60% - Accent1 2 4" xfId="2750" xr:uid="{00000000-0005-0000-0000-0000910C0000}"/>
    <cellStyle name="60% - Accent1 2 40" xfId="2751" xr:uid="{00000000-0005-0000-0000-0000920C0000}"/>
    <cellStyle name="60% - Accent1 2 41" xfId="2752" xr:uid="{00000000-0005-0000-0000-0000930C0000}"/>
    <cellStyle name="60% - Accent1 2 42" xfId="2753" xr:uid="{00000000-0005-0000-0000-0000940C0000}"/>
    <cellStyle name="60% - Accent1 2 5" xfId="2754" xr:uid="{00000000-0005-0000-0000-0000950C0000}"/>
    <cellStyle name="60% - Accent1 2 6" xfId="2755" xr:uid="{00000000-0005-0000-0000-0000960C0000}"/>
    <cellStyle name="60% - Accent1 2 7" xfId="2756" xr:uid="{00000000-0005-0000-0000-0000970C0000}"/>
    <cellStyle name="60% - Accent1 2 8" xfId="2757" xr:uid="{00000000-0005-0000-0000-0000980C0000}"/>
    <cellStyle name="60% - Accent1 2 9" xfId="2758" xr:uid="{00000000-0005-0000-0000-0000990C0000}"/>
    <cellStyle name="60% - Accent1 2_DATA Input" xfId="2759" xr:uid="{00000000-0005-0000-0000-00009A0C0000}"/>
    <cellStyle name="60% - Accent1 20" xfId="2760" xr:uid="{00000000-0005-0000-0000-00009B0C0000}"/>
    <cellStyle name="60% - Accent1 21" xfId="2761" xr:uid="{00000000-0005-0000-0000-00009C0C0000}"/>
    <cellStyle name="60% - Accent1 22" xfId="2762" xr:uid="{00000000-0005-0000-0000-00009D0C0000}"/>
    <cellStyle name="60% - Accent1 23" xfId="2763" xr:uid="{00000000-0005-0000-0000-00009E0C0000}"/>
    <cellStyle name="60% - Accent1 24" xfId="2764" xr:uid="{00000000-0005-0000-0000-00009F0C0000}"/>
    <cellStyle name="60% - Accent1 3" xfId="2765" xr:uid="{00000000-0005-0000-0000-0000A00C0000}"/>
    <cellStyle name="60% - Accent1 3 10" xfId="2766" xr:uid="{00000000-0005-0000-0000-0000A10C0000}"/>
    <cellStyle name="60% - Accent1 3 11" xfId="2767" xr:uid="{00000000-0005-0000-0000-0000A20C0000}"/>
    <cellStyle name="60% - Accent1 3 12" xfId="2768" xr:uid="{00000000-0005-0000-0000-0000A30C0000}"/>
    <cellStyle name="60% - Accent1 3 13" xfId="2769" xr:uid="{00000000-0005-0000-0000-0000A40C0000}"/>
    <cellStyle name="60% - Accent1 3 14" xfId="2770" xr:uid="{00000000-0005-0000-0000-0000A50C0000}"/>
    <cellStyle name="60% - Accent1 3 15" xfId="2771" xr:uid="{00000000-0005-0000-0000-0000A60C0000}"/>
    <cellStyle name="60% - Accent1 3 16" xfId="2772" xr:uid="{00000000-0005-0000-0000-0000A70C0000}"/>
    <cellStyle name="60% - Accent1 3 17" xfId="2773" xr:uid="{00000000-0005-0000-0000-0000A80C0000}"/>
    <cellStyle name="60% - Accent1 3 18" xfId="2774" xr:uid="{00000000-0005-0000-0000-0000A90C0000}"/>
    <cellStyle name="60% - Accent1 3 19" xfId="2775" xr:uid="{00000000-0005-0000-0000-0000AA0C0000}"/>
    <cellStyle name="60% - Accent1 3 2" xfId="2776" xr:uid="{00000000-0005-0000-0000-0000AB0C0000}"/>
    <cellStyle name="60% - Accent1 3 20" xfId="2777" xr:uid="{00000000-0005-0000-0000-0000AC0C0000}"/>
    <cellStyle name="60% - Accent1 3 21" xfId="2778" xr:uid="{00000000-0005-0000-0000-0000AD0C0000}"/>
    <cellStyle name="60% - Accent1 3 22" xfId="2779" xr:uid="{00000000-0005-0000-0000-0000AE0C0000}"/>
    <cellStyle name="60% - Accent1 3 23" xfId="2780" xr:uid="{00000000-0005-0000-0000-0000AF0C0000}"/>
    <cellStyle name="60% - Accent1 3 24" xfId="2781" xr:uid="{00000000-0005-0000-0000-0000B00C0000}"/>
    <cellStyle name="60% - Accent1 3 25" xfId="2782" xr:uid="{00000000-0005-0000-0000-0000B10C0000}"/>
    <cellStyle name="60% - Accent1 3 26" xfId="2783" xr:uid="{00000000-0005-0000-0000-0000B20C0000}"/>
    <cellStyle name="60% - Accent1 3 27" xfId="2784" xr:uid="{00000000-0005-0000-0000-0000B30C0000}"/>
    <cellStyle name="60% - Accent1 3 28" xfId="2785" xr:uid="{00000000-0005-0000-0000-0000B40C0000}"/>
    <cellStyle name="60% - Accent1 3 29" xfId="2786" xr:uid="{00000000-0005-0000-0000-0000B50C0000}"/>
    <cellStyle name="60% - Accent1 3 3" xfId="2787" xr:uid="{00000000-0005-0000-0000-0000B60C0000}"/>
    <cellStyle name="60% - Accent1 3 30" xfId="2788" xr:uid="{00000000-0005-0000-0000-0000B70C0000}"/>
    <cellStyle name="60% - Accent1 3 31" xfId="2789" xr:uid="{00000000-0005-0000-0000-0000B80C0000}"/>
    <cellStyle name="60% - Accent1 3 32" xfId="2790" xr:uid="{00000000-0005-0000-0000-0000B90C0000}"/>
    <cellStyle name="60% - Accent1 3 4" xfId="2791" xr:uid="{00000000-0005-0000-0000-0000BA0C0000}"/>
    <cellStyle name="60% - Accent1 3 5" xfId="2792" xr:uid="{00000000-0005-0000-0000-0000BB0C0000}"/>
    <cellStyle name="60% - Accent1 3 6" xfId="2793" xr:uid="{00000000-0005-0000-0000-0000BC0C0000}"/>
    <cellStyle name="60% - Accent1 3 7" xfId="2794" xr:uid="{00000000-0005-0000-0000-0000BD0C0000}"/>
    <cellStyle name="60% - Accent1 3 8" xfId="2795" xr:uid="{00000000-0005-0000-0000-0000BE0C0000}"/>
    <cellStyle name="60% - Accent1 3 9" xfId="2796" xr:uid="{00000000-0005-0000-0000-0000BF0C0000}"/>
    <cellStyle name="60% - Accent1 4" xfId="2797" xr:uid="{00000000-0005-0000-0000-0000C00C0000}"/>
    <cellStyle name="60% - Accent1 5" xfId="2798" xr:uid="{00000000-0005-0000-0000-0000C10C0000}"/>
    <cellStyle name="60% - Accent1 6" xfId="2799" xr:uid="{00000000-0005-0000-0000-0000C20C0000}"/>
    <cellStyle name="60% - Accent1 7" xfId="2800" xr:uid="{00000000-0005-0000-0000-0000C30C0000}"/>
    <cellStyle name="60% - Accent1 8" xfId="2801" xr:uid="{00000000-0005-0000-0000-0000C40C0000}"/>
    <cellStyle name="60% - Accent1 9" xfId="2802" xr:uid="{00000000-0005-0000-0000-0000C50C0000}"/>
    <cellStyle name="60% - Accent2 10" xfId="2803" xr:uid="{00000000-0005-0000-0000-0000C60C0000}"/>
    <cellStyle name="60% - Accent2 11" xfId="2804" xr:uid="{00000000-0005-0000-0000-0000C70C0000}"/>
    <cellStyle name="60% - Accent2 12" xfId="2805" xr:uid="{00000000-0005-0000-0000-0000C80C0000}"/>
    <cellStyle name="60% - Accent2 13" xfId="2806" xr:uid="{00000000-0005-0000-0000-0000C90C0000}"/>
    <cellStyle name="60% - Accent2 14" xfId="2807" xr:uid="{00000000-0005-0000-0000-0000CA0C0000}"/>
    <cellStyle name="60% - Accent2 15" xfId="2808" xr:uid="{00000000-0005-0000-0000-0000CB0C0000}"/>
    <cellStyle name="60% - Accent2 16" xfId="2809" xr:uid="{00000000-0005-0000-0000-0000CC0C0000}"/>
    <cellStyle name="60% - Accent2 17" xfId="2810" xr:uid="{00000000-0005-0000-0000-0000CD0C0000}"/>
    <cellStyle name="60% - Accent2 18" xfId="2811" xr:uid="{00000000-0005-0000-0000-0000CE0C0000}"/>
    <cellStyle name="60% - Accent2 19" xfId="2812" xr:uid="{00000000-0005-0000-0000-0000CF0C0000}"/>
    <cellStyle name="60% - Accent2 2" xfId="59" xr:uid="{00000000-0005-0000-0000-0000D00C0000}"/>
    <cellStyle name="60% - Accent2 2 10" xfId="2813" xr:uid="{00000000-0005-0000-0000-0000D10C0000}"/>
    <cellStyle name="60% - Accent2 2 11" xfId="2814" xr:uid="{00000000-0005-0000-0000-0000D20C0000}"/>
    <cellStyle name="60% - Accent2 2 12" xfId="2815" xr:uid="{00000000-0005-0000-0000-0000D30C0000}"/>
    <cellStyle name="60% - Accent2 2 13" xfId="2816" xr:uid="{00000000-0005-0000-0000-0000D40C0000}"/>
    <cellStyle name="60% - Accent2 2 14" xfId="2817" xr:uid="{00000000-0005-0000-0000-0000D50C0000}"/>
    <cellStyle name="60% - Accent2 2 15" xfId="2818" xr:uid="{00000000-0005-0000-0000-0000D60C0000}"/>
    <cellStyle name="60% - Accent2 2 16" xfId="2819" xr:uid="{00000000-0005-0000-0000-0000D70C0000}"/>
    <cellStyle name="60% - Accent2 2 17" xfId="2820" xr:uid="{00000000-0005-0000-0000-0000D80C0000}"/>
    <cellStyle name="60% - Accent2 2 18" xfId="2821" xr:uid="{00000000-0005-0000-0000-0000D90C0000}"/>
    <cellStyle name="60% - Accent2 2 19" xfId="2822" xr:uid="{00000000-0005-0000-0000-0000DA0C0000}"/>
    <cellStyle name="60% - Accent2 2 2" xfId="2823" xr:uid="{00000000-0005-0000-0000-0000DB0C0000}"/>
    <cellStyle name="60% - Accent2 2 20" xfId="2824" xr:uid="{00000000-0005-0000-0000-0000DC0C0000}"/>
    <cellStyle name="60% - Accent2 2 21" xfId="2825" xr:uid="{00000000-0005-0000-0000-0000DD0C0000}"/>
    <cellStyle name="60% - Accent2 2 22" xfId="2826" xr:uid="{00000000-0005-0000-0000-0000DE0C0000}"/>
    <cellStyle name="60% - Accent2 2 23" xfId="2827" xr:uid="{00000000-0005-0000-0000-0000DF0C0000}"/>
    <cellStyle name="60% - Accent2 2 24" xfId="2828" xr:uid="{00000000-0005-0000-0000-0000E00C0000}"/>
    <cellStyle name="60% - Accent2 2 25" xfId="2829" xr:uid="{00000000-0005-0000-0000-0000E10C0000}"/>
    <cellStyle name="60% - Accent2 2 26" xfId="2830" xr:uid="{00000000-0005-0000-0000-0000E20C0000}"/>
    <cellStyle name="60% - Accent2 2 27" xfId="2831" xr:uid="{00000000-0005-0000-0000-0000E30C0000}"/>
    <cellStyle name="60% - Accent2 2 28" xfId="2832" xr:uid="{00000000-0005-0000-0000-0000E40C0000}"/>
    <cellStyle name="60% - Accent2 2 29" xfId="2833" xr:uid="{00000000-0005-0000-0000-0000E50C0000}"/>
    <cellStyle name="60% - Accent2 2 3" xfId="2834" xr:uid="{00000000-0005-0000-0000-0000E60C0000}"/>
    <cellStyle name="60% - Accent2 2 30" xfId="2835" xr:uid="{00000000-0005-0000-0000-0000E70C0000}"/>
    <cellStyle name="60% - Accent2 2 31" xfId="2836" xr:uid="{00000000-0005-0000-0000-0000E80C0000}"/>
    <cellStyle name="60% - Accent2 2 32" xfId="2837" xr:uid="{00000000-0005-0000-0000-0000E90C0000}"/>
    <cellStyle name="60% - Accent2 2 33" xfId="2838" xr:uid="{00000000-0005-0000-0000-0000EA0C0000}"/>
    <cellStyle name="60% - Accent2 2 34" xfId="2839" xr:uid="{00000000-0005-0000-0000-0000EB0C0000}"/>
    <cellStyle name="60% - Accent2 2 35" xfId="2840" xr:uid="{00000000-0005-0000-0000-0000EC0C0000}"/>
    <cellStyle name="60% - Accent2 2 36" xfId="2841" xr:uid="{00000000-0005-0000-0000-0000ED0C0000}"/>
    <cellStyle name="60% - Accent2 2 37" xfId="2842" xr:uid="{00000000-0005-0000-0000-0000EE0C0000}"/>
    <cellStyle name="60% - Accent2 2 38" xfId="2843" xr:uid="{00000000-0005-0000-0000-0000EF0C0000}"/>
    <cellStyle name="60% - Accent2 2 39" xfId="2844" xr:uid="{00000000-0005-0000-0000-0000F00C0000}"/>
    <cellStyle name="60% - Accent2 2 4" xfId="2845" xr:uid="{00000000-0005-0000-0000-0000F10C0000}"/>
    <cellStyle name="60% - Accent2 2 40" xfId="2846" xr:uid="{00000000-0005-0000-0000-0000F20C0000}"/>
    <cellStyle name="60% - Accent2 2 41" xfId="2847" xr:uid="{00000000-0005-0000-0000-0000F30C0000}"/>
    <cellStyle name="60% - Accent2 2 42" xfId="2848" xr:uid="{00000000-0005-0000-0000-0000F40C0000}"/>
    <cellStyle name="60% - Accent2 2 5" xfId="2849" xr:uid="{00000000-0005-0000-0000-0000F50C0000}"/>
    <cellStyle name="60% - Accent2 2 6" xfId="2850" xr:uid="{00000000-0005-0000-0000-0000F60C0000}"/>
    <cellStyle name="60% - Accent2 2 7" xfId="2851" xr:uid="{00000000-0005-0000-0000-0000F70C0000}"/>
    <cellStyle name="60% - Accent2 2 8" xfId="2852" xr:uid="{00000000-0005-0000-0000-0000F80C0000}"/>
    <cellStyle name="60% - Accent2 2 9" xfId="2853" xr:uid="{00000000-0005-0000-0000-0000F90C0000}"/>
    <cellStyle name="60% - Accent2 2_DATA Input" xfId="2854" xr:uid="{00000000-0005-0000-0000-0000FA0C0000}"/>
    <cellStyle name="60% - Accent2 20" xfId="2855" xr:uid="{00000000-0005-0000-0000-0000FB0C0000}"/>
    <cellStyle name="60% - Accent2 21" xfId="2856" xr:uid="{00000000-0005-0000-0000-0000FC0C0000}"/>
    <cellStyle name="60% - Accent2 22" xfId="2857" xr:uid="{00000000-0005-0000-0000-0000FD0C0000}"/>
    <cellStyle name="60% - Accent2 23" xfId="2858" xr:uid="{00000000-0005-0000-0000-0000FE0C0000}"/>
    <cellStyle name="60% - Accent2 24" xfId="2859" xr:uid="{00000000-0005-0000-0000-0000FF0C0000}"/>
    <cellStyle name="60% - Accent2 3" xfId="2860" xr:uid="{00000000-0005-0000-0000-0000000D0000}"/>
    <cellStyle name="60% - Accent2 3 10" xfId="2861" xr:uid="{00000000-0005-0000-0000-0000010D0000}"/>
    <cellStyle name="60% - Accent2 3 11" xfId="2862" xr:uid="{00000000-0005-0000-0000-0000020D0000}"/>
    <cellStyle name="60% - Accent2 3 12" xfId="2863" xr:uid="{00000000-0005-0000-0000-0000030D0000}"/>
    <cellStyle name="60% - Accent2 3 13" xfId="2864" xr:uid="{00000000-0005-0000-0000-0000040D0000}"/>
    <cellStyle name="60% - Accent2 3 14" xfId="2865" xr:uid="{00000000-0005-0000-0000-0000050D0000}"/>
    <cellStyle name="60% - Accent2 3 15" xfId="2866" xr:uid="{00000000-0005-0000-0000-0000060D0000}"/>
    <cellStyle name="60% - Accent2 3 16" xfId="2867" xr:uid="{00000000-0005-0000-0000-0000070D0000}"/>
    <cellStyle name="60% - Accent2 3 17" xfId="2868" xr:uid="{00000000-0005-0000-0000-0000080D0000}"/>
    <cellStyle name="60% - Accent2 3 18" xfId="2869" xr:uid="{00000000-0005-0000-0000-0000090D0000}"/>
    <cellStyle name="60% - Accent2 3 19" xfId="2870" xr:uid="{00000000-0005-0000-0000-00000A0D0000}"/>
    <cellStyle name="60% - Accent2 3 2" xfId="2871" xr:uid="{00000000-0005-0000-0000-00000B0D0000}"/>
    <cellStyle name="60% - Accent2 3 20" xfId="2872" xr:uid="{00000000-0005-0000-0000-00000C0D0000}"/>
    <cellStyle name="60% - Accent2 3 21" xfId="2873" xr:uid="{00000000-0005-0000-0000-00000D0D0000}"/>
    <cellStyle name="60% - Accent2 3 22" xfId="2874" xr:uid="{00000000-0005-0000-0000-00000E0D0000}"/>
    <cellStyle name="60% - Accent2 3 23" xfId="2875" xr:uid="{00000000-0005-0000-0000-00000F0D0000}"/>
    <cellStyle name="60% - Accent2 3 24" xfId="2876" xr:uid="{00000000-0005-0000-0000-0000100D0000}"/>
    <cellStyle name="60% - Accent2 3 25" xfId="2877" xr:uid="{00000000-0005-0000-0000-0000110D0000}"/>
    <cellStyle name="60% - Accent2 3 26" xfId="2878" xr:uid="{00000000-0005-0000-0000-0000120D0000}"/>
    <cellStyle name="60% - Accent2 3 27" xfId="2879" xr:uid="{00000000-0005-0000-0000-0000130D0000}"/>
    <cellStyle name="60% - Accent2 3 28" xfId="2880" xr:uid="{00000000-0005-0000-0000-0000140D0000}"/>
    <cellStyle name="60% - Accent2 3 29" xfId="2881" xr:uid="{00000000-0005-0000-0000-0000150D0000}"/>
    <cellStyle name="60% - Accent2 3 3" xfId="2882" xr:uid="{00000000-0005-0000-0000-0000160D0000}"/>
    <cellStyle name="60% - Accent2 3 30" xfId="2883" xr:uid="{00000000-0005-0000-0000-0000170D0000}"/>
    <cellStyle name="60% - Accent2 3 31" xfId="2884" xr:uid="{00000000-0005-0000-0000-0000180D0000}"/>
    <cellStyle name="60% - Accent2 3 32" xfId="2885" xr:uid="{00000000-0005-0000-0000-0000190D0000}"/>
    <cellStyle name="60% - Accent2 3 4" xfId="2886" xr:uid="{00000000-0005-0000-0000-00001A0D0000}"/>
    <cellStyle name="60% - Accent2 3 5" xfId="2887" xr:uid="{00000000-0005-0000-0000-00001B0D0000}"/>
    <cellStyle name="60% - Accent2 3 6" xfId="2888" xr:uid="{00000000-0005-0000-0000-00001C0D0000}"/>
    <cellStyle name="60% - Accent2 3 7" xfId="2889" xr:uid="{00000000-0005-0000-0000-00001D0D0000}"/>
    <cellStyle name="60% - Accent2 3 8" xfId="2890" xr:uid="{00000000-0005-0000-0000-00001E0D0000}"/>
    <cellStyle name="60% - Accent2 3 9" xfId="2891" xr:uid="{00000000-0005-0000-0000-00001F0D0000}"/>
    <cellStyle name="60% - Accent2 4" xfId="2892" xr:uid="{00000000-0005-0000-0000-0000200D0000}"/>
    <cellStyle name="60% - Accent2 5" xfId="2893" xr:uid="{00000000-0005-0000-0000-0000210D0000}"/>
    <cellStyle name="60% - Accent2 6" xfId="2894" xr:uid="{00000000-0005-0000-0000-0000220D0000}"/>
    <cellStyle name="60% - Accent2 7" xfId="2895" xr:uid="{00000000-0005-0000-0000-0000230D0000}"/>
    <cellStyle name="60% - Accent2 8" xfId="2896" xr:uid="{00000000-0005-0000-0000-0000240D0000}"/>
    <cellStyle name="60% - Accent2 9" xfId="2897" xr:uid="{00000000-0005-0000-0000-0000250D0000}"/>
    <cellStyle name="60% - Accent3 10" xfId="2898" xr:uid="{00000000-0005-0000-0000-0000260D0000}"/>
    <cellStyle name="60% - Accent3 11" xfId="2899" xr:uid="{00000000-0005-0000-0000-0000270D0000}"/>
    <cellStyle name="60% - Accent3 12" xfId="2900" xr:uid="{00000000-0005-0000-0000-0000280D0000}"/>
    <cellStyle name="60% - Accent3 13" xfId="2901" xr:uid="{00000000-0005-0000-0000-0000290D0000}"/>
    <cellStyle name="60% - Accent3 14" xfId="2902" xr:uid="{00000000-0005-0000-0000-00002A0D0000}"/>
    <cellStyle name="60% - Accent3 15" xfId="2903" xr:uid="{00000000-0005-0000-0000-00002B0D0000}"/>
    <cellStyle name="60% - Accent3 16" xfId="2904" xr:uid="{00000000-0005-0000-0000-00002C0D0000}"/>
    <cellStyle name="60% - Accent3 17" xfId="2905" xr:uid="{00000000-0005-0000-0000-00002D0D0000}"/>
    <cellStyle name="60% - Accent3 18" xfId="2906" xr:uid="{00000000-0005-0000-0000-00002E0D0000}"/>
    <cellStyle name="60% - Accent3 19" xfId="2907" xr:uid="{00000000-0005-0000-0000-00002F0D0000}"/>
    <cellStyle name="60% - Accent3 2" xfId="60" xr:uid="{00000000-0005-0000-0000-0000300D0000}"/>
    <cellStyle name="60% - Accent3 2 10" xfId="2908" xr:uid="{00000000-0005-0000-0000-0000310D0000}"/>
    <cellStyle name="60% - Accent3 2 11" xfId="2909" xr:uid="{00000000-0005-0000-0000-0000320D0000}"/>
    <cellStyle name="60% - Accent3 2 12" xfId="2910" xr:uid="{00000000-0005-0000-0000-0000330D0000}"/>
    <cellStyle name="60% - Accent3 2 13" xfId="2911" xr:uid="{00000000-0005-0000-0000-0000340D0000}"/>
    <cellStyle name="60% - Accent3 2 14" xfId="2912" xr:uid="{00000000-0005-0000-0000-0000350D0000}"/>
    <cellStyle name="60% - Accent3 2 15" xfId="2913" xr:uid="{00000000-0005-0000-0000-0000360D0000}"/>
    <cellStyle name="60% - Accent3 2 16" xfId="2914" xr:uid="{00000000-0005-0000-0000-0000370D0000}"/>
    <cellStyle name="60% - Accent3 2 17" xfId="2915" xr:uid="{00000000-0005-0000-0000-0000380D0000}"/>
    <cellStyle name="60% - Accent3 2 18" xfId="2916" xr:uid="{00000000-0005-0000-0000-0000390D0000}"/>
    <cellStyle name="60% - Accent3 2 19" xfId="2917" xr:uid="{00000000-0005-0000-0000-00003A0D0000}"/>
    <cellStyle name="60% - Accent3 2 2" xfId="2918" xr:uid="{00000000-0005-0000-0000-00003B0D0000}"/>
    <cellStyle name="60% - Accent3 2 20" xfId="2919" xr:uid="{00000000-0005-0000-0000-00003C0D0000}"/>
    <cellStyle name="60% - Accent3 2 21" xfId="2920" xr:uid="{00000000-0005-0000-0000-00003D0D0000}"/>
    <cellStyle name="60% - Accent3 2 22" xfId="2921" xr:uid="{00000000-0005-0000-0000-00003E0D0000}"/>
    <cellStyle name="60% - Accent3 2 23" xfId="2922" xr:uid="{00000000-0005-0000-0000-00003F0D0000}"/>
    <cellStyle name="60% - Accent3 2 24" xfId="2923" xr:uid="{00000000-0005-0000-0000-0000400D0000}"/>
    <cellStyle name="60% - Accent3 2 25" xfId="2924" xr:uid="{00000000-0005-0000-0000-0000410D0000}"/>
    <cellStyle name="60% - Accent3 2 26" xfId="2925" xr:uid="{00000000-0005-0000-0000-0000420D0000}"/>
    <cellStyle name="60% - Accent3 2 27" xfId="2926" xr:uid="{00000000-0005-0000-0000-0000430D0000}"/>
    <cellStyle name="60% - Accent3 2 28" xfId="2927" xr:uid="{00000000-0005-0000-0000-0000440D0000}"/>
    <cellStyle name="60% - Accent3 2 29" xfId="2928" xr:uid="{00000000-0005-0000-0000-0000450D0000}"/>
    <cellStyle name="60% - Accent3 2 3" xfId="2929" xr:uid="{00000000-0005-0000-0000-0000460D0000}"/>
    <cellStyle name="60% - Accent3 2 30" xfId="2930" xr:uid="{00000000-0005-0000-0000-0000470D0000}"/>
    <cellStyle name="60% - Accent3 2 31" xfId="2931" xr:uid="{00000000-0005-0000-0000-0000480D0000}"/>
    <cellStyle name="60% - Accent3 2 32" xfId="2932" xr:uid="{00000000-0005-0000-0000-0000490D0000}"/>
    <cellStyle name="60% - Accent3 2 33" xfId="2933" xr:uid="{00000000-0005-0000-0000-00004A0D0000}"/>
    <cellStyle name="60% - Accent3 2 34" xfId="2934" xr:uid="{00000000-0005-0000-0000-00004B0D0000}"/>
    <cellStyle name="60% - Accent3 2 35" xfId="2935" xr:uid="{00000000-0005-0000-0000-00004C0D0000}"/>
    <cellStyle name="60% - Accent3 2 36" xfId="2936" xr:uid="{00000000-0005-0000-0000-00004D0D0000}"/>
    <cellStyle name="60% - Accent3 2 37" xfId="2937" xr:uid="{00000000-0005-0000-0000-00004E0D0000}"/>
    <cellStyle name="60% - Accent3 2 38" xfId="2938" xr:uid="{00000000-0005-0000-0000-00004F0D0000}"/>
    <cellStyle name="60% - Accent3 2 39" xfId="2939" xr:uid="{00000000-0005-0000-0000-0000500D0000}"/>
    <cellStyle name="60% - Accent3 2 4" xfId="2940" xr:uid="{00000000-0005-0000-0000-0000510D0000}"/>
    <cellStyle name="60% - Accent3 2 40" xfId="2941" xr:uid="{00000000-0005-0000-0000-0000520D0000}"/>
    <cellStyle name="60% - Accent3 2 41" xfId="2942" xr:uid="{00000000-0005-0000-0000-0000530D0000}"/>
    <cellStyle name="60% - Accent3 2 42" xfId="2943" xr:uid="{00000000-0005-0000-0000-0000540D0000}"/>
    <cellStyle name="60% - Accent3 2 5" xfId="2944" xr:uid="{00000000-0005-0000-0000-0000550D0000}"/>
    <cellStyle name="60% - Accent3 2 6" xfId="2945" xr:uid="{00000000-0005-0000-0000-0000560D0000}"/>
    <cellStyle name="60% - Accent3 2 7" xfId="2946" xr:uid="{00000000-0005-0000-0000-0000570D0000}"/>
    <cellStyle name="60% - Accent3 2 8" xfId="2947" xr:uid="{00000000-0005-0000-0000-0000580D0000}"/>
    <cellStyle name="60% - Accent3 2 9" xfId="2948" xr:uid="{00000000-0005-0000-0000-0000590D0000}"/>
    <cellStyle name="60% - Accent3 2_DATA Input" xfId="2949" xr:uid="{00000000-0005-0000-0000-00005A0D0000}"/>
    <cellStyle name="60% - Accent3 20" xfId="2950" xr:uid="{00000000-0005-0000-0000-00005B0D0000}"/>
    <cellStyle name="60% - Accent3 21" xfId="2951" xr:uid="{00000000-0005-0000-0000-00005C0D0000}"/>
    <cellStyle name="60% - Accent3 22" xfId="2952" xr:uid="{00000000-0005-0000-0000-00005D0D0000}"/>
    <cellStyle name="60% - Accent3 23" xfId="2953" xr:uid="{00000000-0005-0000-0000-00005E0D0000}"/>
    <cellStyle name="60% - Accent3 24" xfId="2954" xr:uid="{00000000-0005-0000-0000-00005F0D0000}"/>
    <cellStyle name="60% - Accent3 3" xfId="2955" xr:uid="{00000000-0005-0000-0000-0000600D0000}"/>
    <cellStyle name="60% - Accent3 3 10" xfId="2956" xr:uid="{00000000-0005-0000-0000-0000610D0000}"/>
    <cellStyle name="60% - Accent3 3 11" xfId="2957" xr:uid="{00000000-0005-0000-0000-0000620D0000}"/>
    <cellStyle name="60% - Accent3 3 12" xfId="2958" xr:uid="{00000000-0005-0000-0000-0000630D0000}"/>
    <cellStyle name="60% - Accent3 3 13" xfId="2959" xr:uid="{00000000-0005-0000-0000-0000640D0000}"/>
    <cellStyle name="60% - Accent3 3 14" xfId="2960" xr:uid="{00000000-0005-0000-0000-0000650D0000}"/>
    <cellStyle name="60% - Accent3 3 15" xfId="2961" xr:uid="{00000000-0005-0000-0000-0000660D0000}"/>
    <cellStyle name="60% - Accent3 3 16" xfId="2962" xr:uid="{00000000-0005-0000-0000-0000670D0000}"/>
    <cellStyle name="60% - Accent3 3 17" xfId="2963" xr:uid="{00000000-0005-0000-0000-0000680D0000}"/>
    <cellStyle name="60% - Accent3 3 18" xfId="2964" xr:uid="{00000000-0005-0000-0000-0000690D0000}"/>
    <cellStyle name="60% - Accent3 3 19" xfId="2965" xr:uid="{00000000-0005-0000-0000-00006A0D0000}"/>
    <cellStyle name="60% - Accent3 3 2" xfId="2966" xr:uid="{00000000-0005-0000-0000-00006B0D0000}"/>
    <cellStyle name="60% - Accent3 3 20" xfId="2967" xr:uid="{00000000-0005-0000-0000-00006C0D0000}"/>
    <cellStyle name="60% - Accent3 3 21" xfId="2968" xr:uid="{00000000-0005-0000-0000-00006D0D0000}"/>
    <cellStyle name="60% - Accent3 3 22" xfId="2969" xr:uid="{00000000-0005-0000-0000-00006E0D0000}"/>
    <cellStyle name="60% - Accent3 3 23" xfId="2970" xr:uid="{00000000-0005-0000-0000-00006F0D0000}"/>
    <cellStyle name="60% - Accent3 3 24" xfId="2971" xr:uid="{00000000-0005-0000-0000-0000700D0000}"/>
    <cellStyle name="60% - Accent3 3 25" xfId="2972" xr:uid="{00000000-0005-0000-0000-0000710D0000}"/>
    <cellStyle name="60% - Accent3 3 26" xfId="2973" xr:uid="{00000000-0005-0000-0000-0000720D0000}"/>
    <cellStyle name="60% - Accent3 3 27" xfId="2974" xr:uid="{00000000-0005-0000-0000-0000730D0000}"/>
    <cellStyle name="60% - Accent3 3 28" xfId="2975" xr:uid="{00000000-0005-0000-0000-0000740D0000}"/>
    <cellStyle name="60% - Accent3 3 29" xfId="2976" xr:uid="{00000000-0005-0000-0000-0000750D0000}"/>
    <cellStyle name="60% - Accent3 3 3" xfId="2977" xr:uid="{00000000-0005-0000-0000-0000760D0000}"/>
    <cellStyle name="60% - Accent3 3 30" xfId="2978" xr:uid="{00000000-0005-0000-0000-0000770D0000}"/>
    <cellStyle name="60% - Accent3 3 31" xfId="2979" xr:uid="{00000000-0005-0000-0000-0000780D0000}"/>
    <cellStyle name="60% - Accent3 3 32" xfId="2980" xr:uid="{00000000-0005-0000-0000-0000790D0000}"/>
    <cellStyle name="60% - Accent3 3 4" xfId="2981" xr:uid="{00000000-0005-0000-0000-00007A0D0000}"/>
    <cellStyle name="60% - Accent3 3 5" xfId="2982" xr:uid="{00000000-0005-0000-0000-00007B0D0000}"/>
    <cellStyle name="60% - Accent3 3 6" xfId="2983" xr:uid="{00000000-0005-0000-0000-00007C0D0000}"/>
    <cellStyle name="60% - Accent3 3 7" xfId="2984" xr:uid="{00000000-0005-0000-0000-00007D0D0000}"/>
    <cellStyle name="60% - Accent3 3 8" xfId="2985" xr:uid="{00000000-0005-0000-0000-00007E0D0000}"/>
    <cellStyle name="60% - Accent3 3 9" xfId="2986" xr:uid="{00000000-0005-0000-0000-00007F0D0000}"/>
    <cellStyle name="60% - Accent3 4" xfId="2987" xr:uid="{00000000-0005-0000-0000-0000800D0000}"/>
    <cellStyle name="60% - Accent3 5" xfId="2988" xr:uid="{00000000-0005-0000-0000-0000810D0000}"/>
    <cellStyle name="60% - Accent3 6" xfId="2989" xr:uid="{00000000-0005-0000-0000-0000820D0000}"/>
    <cellStyle name="60% - Accent3 7" xfId="2990" xr:uid="{00000000-0005-0000-0000-0000830D0000}"/>
    <cellStyle name="60% - Accent3 8" xfId="2991" xr:uid="{00000000-0005-0000-0000-0000840D0000}"/>
    <cellStyle name="60% - Accent3 9" xfId="2992" xr:uid="{00000000-0005-0000-0000-0000850D0000}"/>
    <cellStyle name="60% - Accent4 10" xfId="2993" xr:uid="{00000000-0005-0000-0000-0000860D0000}"/>
    <cellStyle name="60% - Accent4 11" xfId="2994" xr:uid="{00000000-0005-0000-0000-0000870D0000}"/>
    <cellStyle name="60% - Accent4 12" xfId="2995" xr:uid="{00000000-0005-0000-0000-0000880D0000}"/>
    <cellStyle name="60% - Accent4 13" xfId="2996" xr:uid="{00000000-0005-0000-0000-0000890D0000}"/>
    <cellStyle name="60% - Accent4 14" xfId="2997" xr:uid="{00000000-0005-0000-0000-00008A0D0000}"/>
    <cellStyle name="60% - Accent4 15" xfId="2998" xr:uid="{00000000-0005-0000-0000-00008B0D0000}"/>
    <cellStyle name="60% - Accent4 16" xfId="2999" xr:uid="{00000000-0005-0000-0000-00008C0D0000}"/>
    <cellStyle name="60% - Accent4 17" xfId="3000" xr:uid="{00000000-0005-0000-0000-00008D0D0000}"/>
    <cellStyle name="60% - Accent4 18" xfId="3001" xr:uid="{00000000-0005-0000-0000-00008E0D0000}"/>
    <cellStyle name="60% - Accent4 19" xfId="3002" xr:uid="{00000000-0005-0000-0000-00008F0D0000}"/>
    <cellStyle name="60% - Accent4 2" xfId="61" xr:uid="{00000000-0005-0000-0000-0000900D0000}"/>
    <cellStyle name="60% - Accent4 2 10" xfId="3003" xr:uid="{00000000-0005-0000-0000-0000910D0000}"/>
    <cellStyle name="60% - Accent4 2 11" xfId="3004" xr:uid="{00000000-0005-0000-0000-0000920D0000}"/>
    <cellStyle name="60% - Accent4 2 12" xfId="3005" xr:uid="{00000000-0005-0000-0000-0000930D0000}"/>
    <cellStyle name="60% - Accent4 2 13" xfId="3006" xr:uid="{00000000-0005-0000-0000-0000940D0000}"/>
    <cellStyle name="60% - Accent4 2 14" xfId="3007" xr:uid="{00000000-0005-0000-0000-0000950D0000}"/>
    <cellStyle name="60% - Accent4 2 15" xfId="3008" xr:uid="{00000000-0005-0000-0000-0000960D0000}"/>
    <cellStyle name="60% - Accent4 2 16" xfId="3009" xr:uid="{00000000-0005-0000-0000-0000970D0000}"/>
    <cellStyle name="60% - Accent4 2 17" xfId="3010" xr:uid="{00000000-0005-0000-0000-0000980D0000}"/>
    <cellStyle name="60% - Accent4 2 18" xfId="3011" xr:uid="{00000000-0005-0000-0000-0000990D0000}"/>
    <cellStyle name="60% - Accent4 2 19" xfId="3012" xr:uid="{00000000-0005-0000-0000-00009A0D0000}"/>
    <cellStyle name="60% - Accent4 2 2" xfId="3013" xr:uid="{00000000-0005-0000-0000-00009B0D0000}"/>
    <cellStyle name="60% - Accent4 2 20" xfId="3014" xr:uid="{00000000-0005-0000-0000-00009C0D0000}"/>
    <cellStyle name="60% - Accent4 2 21" xfId="3015" xr:uid="{00000000-0005-0000-0000-00009D0D0000}"/>
    <cellStyle name="60% - Accent4 2 22" xfId="3016" xr:uid="{00000000-0005-0000-0000-00009E0D0000}"/>
    <cellStyle name="60% - Accent4 2 23" xfId="3017" xr:uid="{00000000-0005-0000-0000-00009F0D0000}"/>
    <cellStyle name="60% - Accent4 2 24" xfId="3018" xr:uid="{00000000-0005-0000-0000-0000A00D0000}"/>
    <cellStyle name="60% - Accent4 2 25" xfId="3019" xr:uid="{00000000-0005-0000-0000-0000A10D0000}"/>
    <cellStyle name="60% - Accent4 2 26" xfId="3020" xr:uid="{00000000-0005-0000-0000-0000A20D0000}"/>
    <cellStyle name="60% - Accent4 2 27" xfId="3021" xr:uid="{00000000-0005-0000-0000-0000A30D0000}"/>
    <cellStyle name="60% - Accent4 2 28" xfId="3022" xr:uid="{00000000-0005-0000-0000-0000A40D0000}"/>
    <cellStyle name="60% - Accent4 2 29" xfId="3023" xr:uid="{00000000-0005-0000-0000-0000A50D0000}"/>
    <cellStyle name="60% - Accent4 2 3" xfId="3024" xr:uid="{00000000-0005-0000-0000-0000A60D0000}"/>
    <cellStyle name="60% - Accent4 2 30" xfId="3025" xr:uid="{00000000-0005-0000-0000-0000A70D0000}"/>
    <cellStyle name="60% - Accent4 2 31" xfId="3026" xr:uid="{00000000-0005-0000-0000-0000A80D0000}"/>
    <cellStyle name="60% - Accent4 2 32" xfId="3027" xr:uid="{00000000-0005-0000-0000-0000A90D0000}"/>
    <cellStyle name="60% - Accent4 2 33" xfId="3028" xr:uid="{00000000-0005-0000-0000-0000AA0D0000}"/>
    <cellStyle name="60% - Accent4 2 34" xfId="3029" xr:uid="{00000000-0005-0000-0000-0000AB0D0000}"/>
    <cellStyle name="60% - Accent4 2 35" xfId="3030" xr:uid="{00000000-0005-0000-0000-0000AC0D0000}"/>
    <cellStyle name="60% - Accent4 2 36" xfId="3031" xr:uid="{00000000-0005-0000-0000-0000AD0D0000}"/>
    <cellStyle name="60% - Accent4 2 37" xfId="3032" xr:uid="{00000000-0005-0000-0000-0000AE0D0000}"/>
    <cellStyle name="60% - Accent4 2 38" xfId="3033" xr:uid="{00000000-0005-0000-0000-0000AF0D0000}"/>
    <cellStyle name="60% - Accent4 2 39" xfId="3034" xr:uid="{00000000-0005-0000-0000-0000B00D0000}"/>
    <cellStyle name="60% - Accent4 2 4" xfId="3035" xr:uid="{00000000-0005-0000-0000-0000B10D0000}"/>
    <cellStyle name="60% - Accent4 2 40" xfId="3036" xr:uid="{00000000-0005-0000-0000-0000B20D0000}"/>
    <cellStyle name="60% - Accent4 2 41" xfId="3037" xr:uid="{00000000-0005-0000-0000-0000B30D0000}"/>
    <cellStyle name="60% - Accent4 2 42" xfId="3038" xr:uid="{00000000-0005-0000-0000-0000B40D0000}"/>
    <cellStyle name="60% - Accent4 2 5" xfId="3039" xr:uid="{00000000-0005-0000-0000-0000B50D0000}"/>
    <cellStyle name="60% - Accent4 2 6" xfId="3040" xr:uid="{00000000-0005-0000-0000-0000B60D0000}"/>
    <cellStyle name="60% - Accent4 2 7" xfId="3041" xr:uid="{00000000-0005-0000-0000-0000B70D0000}"/>
    <cellStyle name="60% - Accent4 2 8" xfId="3042" xr:uid="{00000000-0005-0000-0000-0000B80D0000}"/>
    <cellStyle name="60% - Accent4 2 9" xfId="3043" xr:uid="{00000000-0005-0000-0000-0000B90D0000}"/>
    <cellStyle name="60% - Accent4 2_DATA Input" xfId="3044" xr:uid="{00000000-0005-0000-0000-0000BA0D0000}"/>
    <cellStyle name="60% - Accent4 20" xfId="3045" xr:uid="{00000000-0005-0000-0000-0000BB0D0000}"/>
    <cellStyle name="60% - Accent4 21" xfId="3046" xr:uid="{00000000-0005-0000-0000-0000BC0D0000}"/>
    <cellStyle name="60% - Accent4 22" xfId="3047" xr:uid="{00000000-0005-0000-0000-0000BD0D0000}"/>
    <cellStyle name="60% - Accent4 23" xfId="3048" xr:uid="{00000000-0005-0000-0000-0000BE0D0000}"/>
    <cellStyle name="60% - Accent4 24" xfId="3049" xr:uid="{00000000-0005-0000-0000-0000BF0D0000}"/>
    <cellStyle name="60% - Accent4 3" xfId="3050" xr:uid="{00000000-0005-0000-0000-0000C00D0000}"/>
    <cellStyle name="60% - Accent4 3 10" xfId="3051" xr:uid="{00000000-0005-0000-0000-0000C10D0000}"/>
    <cellStyle name="60% - Accent4 3 11" xfId="3052" xr:uid="{00000000-0005-0000-0000-0000C20D0000}"/>
    <cellStyle name="60% - Accent4 3 12" xfId="3053" xr:uid="{00000000-0005-0000-0000-0000C30D0000}"/>
    <cellStyle name="60% - Accent4 3 13" xfId="3054" xr:uid="{00000000-0005-0000-0000-0000C40D0000}"/>
    <cellStyle name="60% - Accent4 3 14" xfId="3055" xr:uid="{00000000-0005-0000-0000-0000C50D0000}"/>
    <cellStyle name="60% - Accent4 3 15" xfId="3056" xr:uid="{00000000-0005-0000-0000-0000C60D0000}"/>
    <cellStyle name="60% - Accent4 3 16" xfId="3057" xr:uid="{00000000-0005-0000-0000-0000C70D0000}"/>
    <cellStyle name="60% - Accent4 3 17" xfId="3058" xr:uid="{00000000-0005-0000-0000-0000C80D0000}"/>
    <cellStyle name="60% - Accent4 3 18" xfId="3059" xr:uid="{00000000-0005-0000-0000-0000C90D0000}"/>
    <cellStyle name="60% - Accent4 3 19" xfId="3060" xr:uid="{00000000-0005-0000-0000-0000CA0D0000}"/>
    <cellStyle name="60% - Accent4 3 2" xfId="3061" xr:uid="{00000000-0005-0000-0000-0000CB0D0000}"/>
    <cellStyle name="60% - Accent4 3 20" xfId="3062" xr:uid="{00000000-0005-0000-0000-0000CC0D0000}"/>
    <cellStyle name="60% - Accent4 3 21" xfId="3063" xr:uid="{00000000-0005-0000-0000-0000CD0D0000}"/>
    <cellStyle name="60% - Accent4 3 22" xfId="3064" xr:uid="{00000000-0005-0000-0000-0000CE0D0000}"/>
    <cellStyle name="60% - Accent4 3 23" xfId="3065" xr:uid="{00000000-0005-0000-0000-0000CF0D0000}"/>
    <cellStyle name="60% - Accent4 3 24" xfId="3066" xr:uid="{00000000-0005-0000-0000-0000D00D0000}"/>
    <cellStyle name="60% - Accent4 3 25" xfId="3067" xr:uid="{00000000-0005-0000-0000-0000D10D0000}"/>
    <cellStyle name="60% - Accent4 3 26" xfId="3068" xr:uid="{00000000-0005-0000-0000-0000D20D0000}"/>
    <cellStyle name="60% - Accent4 3 27" xfId="3069" xr:uid="{00000000-0005-0000-0000-0000D30D0000}"/>
    <cellStyle name="60% - Accent4 3 28" xfId="3070" xr:uid="{00000000-0005-0000-0000-0000D40D0000}"/>
    <cellStyle name="60% - Accent4 3 29" xfId="3071" xr:uid="{00000000-0005-0000-0000-0000D50D0000}"/>
    <cellStyle name="60% - Accent4 3 3" xfId="3072" xr:uid="{00000000-0005-0000-0000-0000D60D0000}"/>
    <cellStyle name="60% - Accent4 3 30" xfId="3073" xr:uid="{00000000-0005-0000-0000-0000D70D0000}"/>
    <cellStyle name="60% - Accent4 3 31" xfId="3074" xr:uid="{00000000-0005-0000-0000-0000D80D0000}"/>
    <cellStyle name="60% - Accent4 3 32" xfId="3075" xr:uid="{00000000-0005-0000-0000-0000D90D0000}"/>
    <cellStyle name="60% - Accent4 3 4" xfId="3076" xr:uid="{00000000-0005-0000-0000-0000DA0D0000}"/>
    <cellStyle name="60% - Accent4 3 5" xfId="3077" xr:uid="{00000000-0005-0000-0000-0000DB0D0000}"/>
    <cellStyle name="60% - Accent4 3 6" xfId="3078" xr:uid="{00000000-0005-0000-0000-0000DC0D0000}"/>
    <cellStyle name="60% - Accent4 3 7" xfId="3079" xr:uid="{00000000-0005-0000-0000-0000DD0D0000}"/>
    <cellStyle name="60% - Accent4 3 8" xfId="3080" xr:uid="{00000000-0005-0000-0000-0000DE0D0000}"/>
    <cellStyle name="60% - Accent4 3 9" xfId="3081" xr:uid="{00000000-0005-0000-0000-0000DF0D0000}"/>
    <cellStyle name="60% - Accent4 4" xfId="3082" xr:uid="{00000000-0005-0000-0000-0000E00D0000}"/>
    <cellStyle name="60% - Accent4 5" xfId="3083" xr:uid="{00000000-0005-0000-0000-0000E10D0000}"/>
    <cellStyle name="60% - Accent4 6" xfId="3084" xr:uid="{00000000-0005-0000-0000-0000E20D0000}"/>
    <cellStyle name="60% - Accent4 7" xfId="3085" xr:uid="{00000000-0005-0000-0000-0000E30D0000}"/>
    <cellStyle name="60% - Accent4 8" xfId="3086" xr:uid="{00000000-0005-0000-0000-0000E40D0000}"/>
    <cellStyle name="60% - Accent4 9" xfId="3087" xr:uid="{00000000-0005-0000-0000-0000E50D0000}"/>
    <cellStyle name="60% - Accent5 10" xfId="3088" xr:uid="{00000000-0005-0000-0000-0000E60D0000}"/>
    <cellStyle name="60% - Accent5 11" xfId="3089" xr:uid="{00000000-0005-0000-0000-0000E70D0000}"/>
    <cellStyle name="60% - Accent5 12" xfId="3090" xr:uid="{00000000-0005-0000-0000-0000E80D0000}"/>
    <cellStyle name="60% - Accent5 13" xfId="3091" xr:uid="{00000000-0005-0000-0000-0000E90D0000}"/>
    <cellStyle name="60% - Accent5 14" xfId="3092" xr:uid="{00000000-0005-0000-0000-0000EA0D0000}"/>
    <cellStyle name="60% - Accent5 15" xfId="3093" xr:uid="{00000000-0005-0000-0000-0000EB0D0000}"/>
    <cellStyle name="60% - Accent5 16" xfId="3094" xr:uid="{00000000-0005-0000-0000-0000EC0D0000}"/>
    <cellStyle name="60% - Accent5 17" xfId="3095" xr:uid="{00000000-0005-0000-0000-0000ED0D0000}"/>
    <cellStyle name="60% - Accent5 18" xfId="3096" xr:uid="{00000000-0005-0000-0000-0000EE0D0000}"/>
    <cellStyle name="60% - Accent5 19" xfId="3097" xr:uid="{00000000-0005-0000-0000-0000EF0D0000}"/>
    <cellStyle name="60% - Accent5 2" xfId="62" xr:uid="{00000000-0005-0000-0000-0000F00D0000}"/>
    <cellStyle name="60% - Accent5 2 10" xfId="3098" xr:uid="{00000000-0005-0000-0000-0000F10D0000}"/>
    <cellStyle name="60% - Accent5 2 11" xfId="3099" xr:uid="{00000000-0005-0000-0000-0000F20D0000}"/>
    <cellStyle name="60% - Accent5 2 12" xfId="3100" xr:uid="{00000000-0005-0000-0000-0000F30D0000}"/>
    <cellStyle name="60% - Accent5 2 13" xfId="3101" xr:uid="{00000000-0005-0000-0000-0000F40D0000}"/>
    <cellStyle name="60% - Accent5 2 14" xfId="3102" xr:uid="{00000000-0005-0000-0000-0000F50D0000}"/>
    <cellStyle name="60% - Accent5 2 15" xfId="3103" xr:uid="{00000000-0005-0000-0000-0000F60D0000}"/>
    <cellStyle name="60% - Accent5 2 16" xfId="3104" xr:uid="{00000000-0005-0000-0000-0000F70D0000}"/>
    <cellStyle name="60% - Accent5 2 17" xfId="3105" xr:uid="{00000000-0005-0000-0000-0000F80D0000}"/>
    <cellStyle name="60% - Accent5 2 18" xfId="3106" xr:uid="{00000000-0005-0000-0000-0000F90D0000}"/>
    <cellStyle name="60% - Accent5 2 19" xfId="3107" xr:uid="{00000000-0005-0000-0000-0000FA0D0000}"/>
    <cellStyle name="60% - Accent5 2 2" xfId="3108" xr:uid="{00000000-0005-0000-0000-0000FB0D0000}"/>
    <cellStyle name="60% - Accent5 2 20" xfId="3109" xr:uid="{00000000-0005-0000-0000-0000FC0D0000}"/>
    <cellStyle name="60% - Accent5 2 21" xfId="3110" xr:uid="{00000000-0005-0000-0000-0000FD0D0000}"/>
    <cellStyle name="60% - Accent5 2 22" xfId="3111" xr:uid="{00000000-0005-0000-0000-0000FE0D0000}"/>
    <cellStyle name="60% - Accent5 2 23" xfId="3112" xr:uid="{00000000-0005-0000-0000-0000FF0D0000}"/>
    <cellStyle name="60% - Accent5 2 24" xfId="3113" xr:uid="{00000000-0005-0000-0000-0000000E0000}"/>
    <cellStyle name="60% - Accent5 2 25" xfId="3114" xr:uid="{00000000-0005-0000-0000-0000010E0000}"/>
    <cellStyle name="60% - Accent5 2 26" xfId="3115" xr:uid="{00000000-0005-0000-0000-0000020E0000}"/>
    <cellStyle name="60% - Accent5 2 27" xfId="3116" xr:uid="{00000000-0005-0000-0000-0000030E0000}"/>
    <cellStyle name="60% - Accent5 2 28" xfId="3117" xr:uid="{00000000-0005-0000-0000-0000040E0000}"/>
    <cellStyle name="60% - Accent5 2 29" xfId="3118" xr:uid="{00000000-0005-0000-0000-0000050E0000}"/>
    <cellStyle name="60% - Accent5 2 3" xfId="3119" xr:uid="{00000000-0005-0000-0000-0000060E0000}"/>
    <cellStyle name="60% - Accent5 2 30" xfId="3120" xr:uid="{00000000-0005-0000-0000-0000070E0000}"/>
    <cellStyle name="60% - Accent5 2 31" xfId="3121" xr:uid="{00000000-0005-0000-0000-0000080E0000}"/>
    <cellStyle name="60% - Accent5 2 32" xfId="3122" xr:uid="{00000000-0005-0000-0000-0000090E0000}"/>
    <cellStyle name="60% - Accent5 2 33" xfId="3123" xr:uid="{00000000-0005-0000-0000-00000A0E0000}"/>
    <cellStyle name="60% - Accent5 2 34" xfId="3124" xr:uid="{00000000-0005-0000-0000-00000B0E0000}"/>
    <cellStyle name="60% - Accent5 2 35" xfId="3125" xr:uid="{00000000-0005-0000-0000-00000C0E0000}"/>
    <cellStyle name="60% - Accent5 2 36" xfId="3126" xr:uid="{00000000-0005-0000-0000-00000D0E0000}"/>
    <cellStyle name="60% - Accent5 2 37" xfId="3127" xr:uid="{00000000-0005-0000-0000-00000E0E0000}"/>
    <cellStyle name="60% - Accent5 2 38" xfId="3128" xr:uid="{00000000-0005-0000-0000-00000F0E0000}"/>
    <cellStyle name="60% - Accent5 2 39" xfId="3129" xr:uid="{00000000-0005-0000-0000-0000100E0000}"/>
    <cellStyle name="60% - Accent5 2 4" xfId="3130" xr:uid="{00000000-0005-0000-0000-0000110E0000}"/>
    <cellStyle name="60% - Accent5 2 40" xfId="3131" xr:uid="{00000000-0005-0000-0000-0000120E0000}"/>
    <cellStyle name="60% - Accent5 2 41" xfId="3132" xr:uid="{00000000-0005-0000-0000-0000130E0000}"/>
    <cellStyle name="60% - Accent5 2 42" xfId="3133" xr:uid="{00000000-0005-0000-0000-0000140E0000}"/>
    <cellStyle name="60% - Accent5 2 5" xfId="3134" xr:uid="{00000000-0005-0000-0000-0000150E0000}"/>
    <cellStyle name="60% - Accent5 2 6" xfId="3135" xr:uid="{00000000-0005-0000-0000-0000160E0000}"/>
    <cellStyle name="60% - Accent5 2 7" xfId="3136" xr:uid="{00000000-0005-0000-0000-0000170E0000}"/>
    <cellStyle name="60% - Accent5 2 8" xfId="3137" xr:uid="{00000000-0005-0000-0000-0000180E0000}"/>
    <cellStyle name="60% - Accent5 2 9" xfId="3138" xr:uid="{00000000-0005-0000-0000-0000190E0000}"/>
    <cellStyle name="60% - Accent5 2_DATA Input" xfId="3139" xr:uid="{00000000-0005-0000-0000-00001A0E0000}"/>
    <cellStyle name="60% - Accent5 20" xfId="3140" xr:uid="{00000000-0005-0000-0000-00001B0E0000}"/>
    <cellStyle name="60% - Accent5 21" xfId="3141" xr:uid="{00000000-0005-0000-0000-00001C0E0000}"/>
    <cellStyle name="60% - Accent5 22" xfId="3142" xr:uid="{00000000-0005-0000-0000-00001D0E0000}"/>
    <cellStyle name="60% - Accent5 23" xfId="3143" xr:uid="{00000000-0005-0000-0000-00001E0E0000}"/>
    <cellStyle name="60% - Accent5 24" xfId="3144" xr:uid="{00000000-0005-0000-0000-00001F0E0000}"/>
    <cellStyle name="60% - Accent5 3" xfId="3145" xr:uid="{00000000-0005-0000-0000-0000200E0000}"/>
    <cellStyle name="60% - Accent5 3 10" xfId="3146" xr:uid="{00000000-0005-0000-0000-0000210E0000}"/>
    <cellStyle name="60% - Accent5 3 11" xfId="3147" xr:uid="{00000000-0005-0000-0000-0000220E0000}"/>
    <cellStyle name="60% - Accent5 3 12" xfId="3148" xr:uid="{00000000-0005-0000-0000-0000230E0000}"/>
    <cellStyle name="60% - Accent5 3 13" xfId="3149" xr:uid="{00000000-0005-0000-0000-0000240E0000}"/>
    <cellStyle name="60% - Accent5 3 14" xfId="3150" xr:uid="{00000000-0005-0000-0000-0000250E0000}"/>
    <cellStyle name="60% - Accent5 3 15" xfId="3151" xr:uid="{00000000-0005-0000-0000-0000260E0000}"/>
    <cellStyle name="60% - Accent5 3 16" xfId="3152" xr:uid="{00000000-0005-0000-0000-0000270E0000}"/>
    <cellStyle name="60% - Accent5 3 17" xfId="3153" xr:uid="{00000000-0005-0000-0000-0000280E0000}"/>
    <cellStyle name="60% - Accent5 3 18" xfId="3154" xr:uid="{00000000-0005-0000-0000-0000290E0000}"/>
    <cellStyle name="60% - Accent5 3 19" xfId="3155" xr:uid="{00000000-0005-0000-0000-00002A0E0000}"/>
    <cellStyle name="60% - Accent5 3 2" xfId="3156" xr:uid="{00000000-0005-0000-0000-00002B0E0000}"/>
    <cellStyle name="60% - Accent5 3 20" xfId="3157" xr:uid="{00000000-0005-0000-0000-00002C0E0000}"/>
    <cellStyle name="60% - Accent5 3 21" xfId="3158" xr:uid="{00000000-0005-0000-0000-00002D0E0000}"/>
    <cellStyle name="60% - Accent5 3 22" xfId="3159" xr:uid="{00000000-0005-0000-0000-00002E0E0000}"/>
    <cellStyle name="60% - Accent5 3 23" xfId="3160" xr:uid="{00000000-0005-0000-0000-00002F0E0000}"/>
    <cellStyle name="60% - Accent5 3 24" xfId="3161" xr:uid="{00000000-0005-0000-0000-0000300E0000}"/>
    <cellStyle name="60% - Accent5 3 25" xfId="3162" xr:uid="{00000000-0005-0000-0000-0000310E0000}"/>
    <cellStyle name="60% - Accent5 3 26" xfId="3163" xr:uid="{00000000-0005-0000-0000-0000320E0000}"/>
    <cellStyle name="60% - Accent5 3 27" xfId="3164" xr:uid="{00000000-0005-0000-0000-0000330E0000}"/>
    <cellStyle name="60% - Accent5 3 28" xfId="3165" xr:uid="{00000000-0005-0000-0000-0000340E0000}"/>
    <cellStyle name="60% - Accent5 3 29" xfId="3166" xr:uid="{00000000-0005-0000-0000-0000350E0000}"/>
    <cellStyle name="60% - Accent5 3 3" xfId="3167" xr:uid="{00000000-0005-0000-0000-0000360E0000}"/>
    <cellStyle name="60% - Accent5 3 30" xfId="3168" xr:uid="{00000000-0005-0000-0000-0000370E0000}"/>
    <cellStyle name="60% - Accent5 3 31" xfId="3169" xr:uid="{00000000-0005-0000-0000-0000380E0000}"/>
    <cellStyle name="60% - Accent5 3 32" xfId="3170" xr:uid="{00000000-0005-0000-0000-0000390E0000}"/>
    <cellStyle name="60% - Accent5 3 4" xfId="3171" xr:uid="{00000000-0005-0000-0000-00003A0E0000}"/>
    <cellStyle name="60% - Accent5 3 5" xfId="3172" xr:uid="{00000000-0005-0000-0000-00003B0E0000}"/>
    <cellStyle name="60% - Accent5 3 6" xfId="3173" xr:uid="{00000000-0005-0000-0000-00003C0E0000}"/>
    <cellStyle name="60% - Accent5 3 7" xfId="3174" xr:uid="{00000000-0005-0000-0000-00003D0E0000}"/>
    <cellStyle name="60% - Accent5 3 8" xfId="3175" xr:uid="{00000000-0005-0000-0000-00003E0E0000}"/>
    <cellStyle name="60% - Accent5 3 9" xfId="3176" xr:uid="{00000000-0005-0000-0000-00003F0E0000}"/>
    <cellStyle name="60% - Accent5 4" xfId="3177" xr:uid="{00000000-0005-0000-0000-0000400E0000}"/>
    <cellStyle name="60% - Accent5 5" xfId="3178" xr:uid="{00000000-0005-0000-0000-0000410E0000}"/>
    <cellStyle name="60% - Accent5 6" xfId="3179" xr:uid="{00000000-0005-0000-0000-0000420E0000}"/>
    <cellStyle name="60% - Accent5 7" xfId="3180" xr:uid="{00000000-0005-0000-0000-0000430E0000}"/>
    <cellStyle name="60% - Accent5 8" xfId="3181" xr:uid="{00000000-0005-0000-0000-0000440E0000}"/>
    <cellStyle name="60% - Accent5 9" xfId="3182" xr:uid="{00000000-0005-0000-0000-0000450E0000}"/>
    <cellStyle name="60% - Accent6 10" xfId="3183" xr:uid="{00000000-0005-0000-0000-0000460E0000}"/>
    <cellStyle name="60% - Accent6 11" xfId="3184" xr:uid="{00000000-0005-0000-0000-0000470E0000}"/>
    <cellStyle name="60% - Accent6 12" xfId="3185" xr:uid="{00000000-0005-0000-0000-0000480E0000}"/>
    <cellStyle name="60% - Accent6 13" xfId="3186" xr:uid="{00000000-0005-0000-0000-0000490E0000}"/>
    <cellStyle name="60% - Accent6 14" xfId="3187" xr:uid="{00000000-0005-0000-0000-00004A0E0000}"/>
    <cellStyle name="60% - Accent6 15" xfId="3188" xr:uid="{00000000-0005-0000-0000-00004B0E0000}"/>
    <cellStyle name="60% - Accent6 16" xfId="3189" xr:uid="{00000000-0005-0000-0000-00004C0E0000}"/>
    <cellStyle name="60% - Accent6 17" xfId="3190" xr:uid="{00000000-0005-0000-0000-00004D0E0000}"/>
    <cellStyle name="60% - Accent6 18" xfId="3191" xr:uid="{00000000-0005-0000-0000-00004E0E0000}"/>
    <cellStyle name="60% - Accent6 19" xfId="3192" xr:uid="{00000000-0005-0000-0000-00004F0E0000}"/>
    <cellStyle name="60% - Accent6 2" xfId="63" xr:uid="{00000000-0005-0000-0000-0000500E0000}"/>
    <cellStyle name="60% - Accent6 2 10" xfId="3193" xr:uid="{00000000-0005-0000-0000-0000510E0000}"/>
    <cellStyle name="60% - Accent6 2 11" xfId="3194" xr:uid="{00000000-0005-0000-0000-0000520E0000}"/>
    <cellStyle name="60% - Accent6 2 12" xfId="3195" xr:uid="{00000000-0005-0000-0000-0000530E0000}"/>
    <cellStyle name="60% - Accent6 2 13" xfId="3196" xr:uid="{00000000-0005-0000-0000-0000540E0000}"/>
    <cellStyle name="60% - Accent6 2 14" xfId="3197" xr:uid="{00000000-0005-0000-0000-0000550E0000}"/>
    <cellStyle name="60% - Accent6 2 15" xfId="3198" xr:uid="{00000000-0005-0000-0000-0000560E0000}"/>
    <cellStyle name="60% - Accent6 2 16" xfId="3199" xr:uid="{00000000-0005-0000-0000-0000570E0000}"/>
    <cellStyle name="60% - Accent6 2 17" xfId="3200" xr:uid="{00000000-0005-0000-0000-0000580E0000}"/>
    <cellStyle name="60% - Accent6 2 18" xfId="3201" xr:uid="{00000000-0005-0000-0000-0000590E0000}"/>
    <cellStyle name="60% - Accent6 2 19" xfId="3202" xr:uid="{00000000-0005-0000-0000-00005A0E0000}"/>
    <cellStyle name="60% - Accent6 2 2" xfId="3203" xr:uid="{00000000-0005-0000-0000-00005B0E0000}"/>
    <cellStyle name="60% - Accent6 2 20" xfId="3204" xr:uid="{00000000-0005-0000-0000-00005C0E0000}"/>
    <cellStyle name="60% - Accent6 2 21" xfId="3205" xr:uid="{00000000-0005-0000-0000-00005D0E0000}"/>
    <cellStyle name="60% - Accent6 2 22" xfId="3206" xr:uid="{00000000-0005-0000-0000-00005E0E0000}"/>
    <cellStyle name="60% - Accent6 2 23" xfId="3207" xr:uid="{00000000-0005-0000-0000-00005F0E0000}"/>
    <cellStyle name="60% - Accent6 2 24" xfId="3208" xr:uid="{00000000-0005-0000-0000-0000600E0000}"/>
    <cellStyle name="60% - Accent6 2 25" xfId="3209" xr:uid="{00000000-0005-0000-0000-0000610E0000}"/>
    <cellStyle name="60% - Accent6 2 26" xfId="3210" xr:uid="{00000000-0005-0000-0000-0000620E0000}"/>
    <cellStyle name="60% - Accent6 2 27" xfId="3211" xr:uid="{00000000-0005-0000-0000-0000630E0000}"/>
    <cellStyle name="60% - Accent6 2 28" xfId="3212" xr:uid="{00000000-0005-0000-0000-0000640E0000}"/>
    <cellStyle name="60% - Accent6 2 29" xfId="3213" xr:uid="{00000000-0005-0000-0000-0000650E0000}"/>
    <cellStyle name="60% - Accent6 2 3" xfId="3214" xr:uid="{00000000-0005-0000-0000-0000660E0000}"/>
    <cellStyle name="60% - Accent6 2 30" xfId="3215" xr:uid="{00000000-0005-0000-0000-0000670E0000}"/>
    <cellStyle name="60% - Accent6 2 31" xfId="3216" xr:uid="{00000000-0005-0000-0000-0000680E0000}"/>
    <cellStyle name="60% - Accent6 2 32" xfId="3217" xr:uid="{00000000-0005-0000-0000-0000690E0000}"/>
    <cellStyle name="60% - Accent6 2 33" xfId="3218" xr:uid="{00000000-0005-0000-0000-00006A0E0000}"/>
    <cellStyle name="60% - Accent6 2 34" xfId="3219" xr:uid="{00000000-0005-0000-0000-00006B0E0000}"/>
    <cellStyle name="60% - Accent6 2 35" xfId="3220" xr:uid="{00000000-0005-0000-0000-00006C0E0000}"/>
    <cellStyle name="60% - Accent6 2 36" xfId="3221" xr:uid="{00000000-0005-0000-0000-00006D0E0000}"/>
    <cellStyle name="60% - Accent6 2 37" xfId="3222" xr:uid="{00000000-0005-0000-0000-00006E0E0000}"/>
    <cellStyle name="60% - Accent6 2 38" xfId="3223" xr:uid="{00000000-0005-0000-0000-00006F0E0000}"/>
    <cellStyle name="60% - Accent6 2 39" xfId="3224" xr:uid="{00000000-0005-0000-0000-0000700E0000}"/>
    <cellStyle name="60% - Accent6 2 4" xfId="3225" xr:uid="{00000000-0005-0000-0000-0000710E0000}"/>
    <cellStyle name="60% - Accent6 2 40" xfId="3226" xr:uid="{00000000-0005-0000-0000-0000720E0000}"/>
    <cellStyle name="60% - Accent6 2 41" xfId="3227" xr:uid="{00000000-0005-0000-0000-0000730E0000}"/>
    <cellStyle name="60% - Accent6 2 42" xfId="3228" xr:uid="{00000000-0005-0000-0000-0000740E0000}"/>
    <cellStyle name="60% - Accent6 2 5" xfId="3229" xr:uid="{00000000-0005-0000-0000-0000750E0000}"/>
    <cellStyle name="60% - Accent6 2 6" xfId="3230" xr:uid="{00000000-0005-0000-0000-0000760E0000}"/>
    <cellStyle name="60% - Accent6 2 7" xfId="3231" xr:uid="{00000000-0005-0000-0000-0000770E0000}"/>
    <cellStyle name="60% - Accent6 2 8" xfId="3232" xr:uid="{00000000-0005-0000-0000-0000780E0000}"/>
    <cellStyle name="60% - Accent6 2 9" xfId="3233" xr:uid="{00000000-0005-0000-0000-0000790E0000}"/>
    <cellStyle name="60% - Accent6 2_DATA Input" xfId="3234" xr:uid="{00000000-0005-0000-0000-00007A0E0000}"/>
    <cellStyle name="60% - Accent6 20" xfId="3235" xr:uid="{00000000-0005-0000-0000-00007B0E0000}"/>
    <cellStyle name="60% - Accent6 21" xfId="3236" xr:uid="{00000000-0005-0000-0000-00007C0E0000}"/>
    <cellStyle name="60% - Accent6 22" xfId="3237" xr:uid="{00000000-0005-0000-0000-00007D0E0000}"/>
    <cellStyle name="60% - Accent6 23" xfId="3238" xr:uid="{00000000-0005-0000-0000-00007E0E0000}"/>
    <cellStyle name="60% - Accent6 24" xfId="3239" xr:uid="{00000000-0005-0000-0000-00007F0E0000}"/>
    <cellStyle name="60% - Accent6 3" xfId="3240" xr:uid="{00000000-0005-0000-0000-0000800E0000}"/>
    <cellStyle name="60% - Accent6 3 10" xfId="3241" xr:uid="{00000000-0005-0000-0000-0000810E0000}"/>
    <cellStyle name="60% - Accent6 3 11" xfId="3242" xr:uid="{00000000-0005-0000-0000-0000820E0000}"/>
    <cellStyle name="60% - Accent6 3 12" xfId="3243" xr:uid="{00000000-0005-0000-0000-0000830E0000}"/>
    <cellStyle name="60% - Accent6 3 13" xfId="3244" xr:uid="{00000000-0005-0000-0000-0000840E0000}"/>
    <cellStyle name="60% - Accent6 3 14" xfId="3245" xr:uid="{00000000-0005-0000-0000-0000850E0000}"/>
    <cellStyle name="60% - Accent6 3 15" xfId="3246" xr:uid="{00000000-0005-0000-0000-0000860E0000}"/>
    <cellStyle name="60% - Accent6 3 16" xfId="3247" xr:uid="{00000000-0005-0000-0000-0000870E0000}"/>
    <cellStyle name="60% - Accent6 3 17" xfId="3248" xr:uid="{00000000-0005-0000-0000-0000880E0000}"/>
    <cellStyle name="60% - Accent6 3 18" xfId="3249" xr:uid="{00000000-0005-0000-0000-0000890E0000}"/>
    <cellStyle name="60% - Accent6 3 19" xfId="3250" xr:uid="{00000000-0005-0000-0000-00008A0E0000}"/>
    <cellStyle name="60% - Accent6 3 2" xfId="3251" xr:uid="{00000000-0005-0000-0000-00008B0E0000}"/>
    <cellStyle name="60% - Accent6 3 20" xfId="3252" xr:uid="{00000000-0005-0000-0000-00008C0E0000}"/>
    <cellStyle name="60% - Accent6 3 21" xfId="3253" xr:uid="{00000000-0005-0000-0000-00008D0E0000}"/>
    <cellStyle name="60% - Accent6 3 22" xfId="3254" xr:uid="{00000000-0005-0000-0000-00008E0E0000}"/>
    <cellStyle name="60% - Accent6 3 23" xfId="3255" xr:uid="{00000000-0005-0000-0000-00008F0E0000}"/>
    <cellStyle name="60% - Accent6 3 24" xfId="3256" xr:uid="{00000000-0005-0000-0000-0000900E0000}"/>
    <cellStyle name="60% - Accent6 3 25" xfId="3257" xr:uid="{00000000-0005-0000-0000-0000910E0000}"/>
    <cellStyle name="60% - Accent6 3 26" xfId="3258" xr:uid="{00000000-0005-0000-0000-0000920E0000}"/>
    <cellStyle name="60% - Accent6 3 27" xfId="3259" xr:uid="{00000000-0005-0000-0000-0000930E0000}"/>
    <cellStyle name="60% - Accent6 3 28" xfId="3260" xr:uid="{00000000-0005-0000-0000-0000940E0000}"/>
    <cellStyle name="60% - Accent6 3 29" xfId="3261" xr:uid="{00000000-0005-0000-0000-0000950E0000}"/>
    <cellStyle name="60% - Accent6 3 3" xfId="3262" xr:uid="{00000000-0005-0000-0000-0000960E0000}"/>
    <cellStyle name="60% - Accent6 3 30" xfId="3263" xr:uid="{00000000-0005-0000-0000-0000970E0000}"/>
    <cellStyle name="60% - Accent6 3 31" xfId="3264" xr:uid="{00000000-0005-0000-0000-0000980E0000}"/>
    <cellStyle name="60% - Accent6 3 32" xfId="3265" xr:uid="{00000000-0005-0000-0000-0000990E0000}"/>
    <cellStyle name="60% - Accent6 3 4" xfId="3266" xr:uid="{00000000-0005-0000-0000-00009A0E0000}"/>
    <cellStyle name="60% - Accent6 3 5" xfId="3267" xr:uid="{00000000-0005-0000-0000-00009B0E0000}"/>
    <cellStyle name="60% - Accent6 3 6" xfId="3268" xr:uid="{00000000-0005-0000-0000-00009C0E0000}"/>
    <cellStyle name="60% - Accent6 3 7" xfId="3269" xr:uid="{00000000-0005-0000-0000-00009D0E0000}"/>
    <cellStyle name="60% - Accent6 3 8" xfId="3270" xr:uid="{00000000-0005-0000-0000-00009E0E0000}"/>
    <cellStyle name="60% - Accent6 3 9" xfId="3271" xr:uid="{00000000-0005-0000-0000-00009F0E0000}"/>
    <cellStyle name="60% - Accent6 4" xfId="3272" xr:uid="{00000000-0005-0000-0000-0000A00E0000}"/>
    <cellStyle name="60% - Accent6 5" xfId="3273" xr:uid="{00000000-0005-0000-0000-0000A10E0000}"/>
    <cellStyle name="60% - Accent6 6" xfId="3274" xr:uid="{00000000-0005-0000-0000-0000A20E0000}"/>
    <cellStyle name="60% - Accent6 7" xfId="3275" xr:uid="{00000000-0005-0000-0000-0000A30E0000}"/>
    <cellStyle name="60% - Accent6 8" xfId="3276" xr:uid="{00000000-0005-0000-0000-0000A40E0000}"/>
    <cellStyle name="60% - Accent6 9" xfId="3277" xr:uid="{00000000-0005-0000-0000-0000A50E0000}"/>
    <cellStyle name="60% - Colore 1" xfId="3278" xr:uid="{00000000-0005-0000-0000-0000A60E0000}"/>
    <cellStyle name="60% - Colore 2" xfId="3279" xr:uid="{00000000-0005-0000-0000-0000A70E0000}"/>
    <cellStyle name="60% - Colore 3" xfId="3280" xr:uid="{00000000-0005-0000-0000-0000A80E0000}"/>
    <cellStyle name="60% - Colore 4" xfId="3281" xr:uid="{00000000-0005-0000-0000-0000A90E0000}"/>
    <cellStyle name="60% - Colore 5" xfId="3282" xr:uid="{00000000-0005-0000-0000-0000AA0E0000}"/>
    <cellStyle name="60% - Colore 6" xfId="3283" xr:uid="{00000000-0005-0000-0000-0000AB0E0000}"/>
    <cellStyle name="60% - 강조색1" xfId="64" xr:uid="{00000000-0005-0000-0000-0000AC0E0000}"/>
    <cellStyle name="60% - 강조색2" xfId="65" xr:uid="{00000000-0005-0000-0000-0000AD0E0000}"/>
    <cellStyle name="60% - 강조색3" xfId="66" xr:uid="{00000000-0005-0000-0000-0000AE0E0000}"/>
    <cellStyle name="60% - 강조색4" xfId="67" xr:uid="{00000000-0005-0000-0000-0000AF0E0000}"/>
    <cellStyle name="60% - 강조색5" xfId="68" xr:uid="{00000000-0005-0000-0000-0000B00E0000}"/>
    <cellStyle name="60% - 강조색6" xfId="69" xr:uid="{00000000-0005-0000-0000-0000B10E0000}"/>
    <cellStyle name="60% - 强调文字颜色 1" xfId="3284" xr:uid="{00000000-0005-0000-0000-0000B20E0000}"/>
    <cellStyle name="60% - 强调文字颜色 2" xfId="3285" xr:uid="{00000000-0005-0000-0000-0000B30E0000}"/>
    <cellStyle name="60% - 强调文字颜色 3" xfId="3286" xr:uid="{00000000-0005-0000-0000-0000B40E0000}"/>
    <cellStyle name="60% - 强调文字颜色 4" xfId="3287" xr:uid="{00000000-0005-0000-0000-0000B50E0000}"/>
    <cellStyle name="60% - 强调文字颜色 5" xfId="3288" xr:uid="{00000000-0005-0000-0000-0000B60E0000}"/>
    <cellStyle name="60% - 强调文字颜色 6" xfId="3289" xr:uid="{00000000-0005-0000-0000-0000B70E0000}"/>
    <cellStyle name="75" xfId="3290" xr:uid="{00000000-0005-0000-0000-0000B80E0000}"/>
    <cellStyle name="752131" xfId="3291" xr:uid="{00000000-0005-0000-0000-0000B90E0000}"/>
    <cellStyle name="8" xfId="3292" xr:uid="{00000000-0005-0000-0000-0000BA0E0000}"/>
    <cellStyle name="9" xfId="3293" xr:uid="{00000000-0005-0000-0000-0000BB0E0000}"/>
    <cellStyle name="a" xfId="3294" xr:uid="{00000000-0005-0000-0000-0000BC0E0000}"/>
    <cellStyle name="Accent1 - 20%" xfId="70" xr:uid="{00000000-0005-0000-0000-0000BD0E0000}"/>
    <cellStyle name="Accent1 - 40%" xfId="71" xr:uid="{00000000-0005-0000-0000-0000BE0E0000}"/>
    <cellStyle name="Accent1 - 60%" xfId="72" xr:uid="{00000000-0005-0000-0000-0000BF0E0000}"/>
    <cellStyle name="Accent1 10" xfId="3295" xr:uid="{00000000-0005-0000-0000-0000C00E0000}"/>
    <cellStyle name="Accent1 11" xfId="3296" xr:uid="{00000000-0005-0000-0000-0000C10E0000}"/>
    <cellStyle name="Accent1 12" xfId="3297" xr:uid="{00000000-0005-0000-0000-0000C20E0000}"/>
    <cellStyle name="Accent1 13" xfId="3298" xr:uid="{00000000-0005-0000-0000-0000C30E0000}"/>
    <cellStyle name="Accent1 14" xfId="3299" xr:uid="{00000000-0005-0000-0000-0000C40E0000}"/>
    <cellStyle name="Accent1 15" xfId="3300" xr:uid="{00000000-0005-0000-0000-0000C50E0000}"/>
    <cellStyle name="Accent1 16" xfId="3301" xr:uid="{00000000-0005-0000-0000-0000C60E0000}"/>
    <cellStyle name="Accent1 17" xfId="3302" xr:uid="{00000000-0005-0000-0000-0000C70E0000}"/>
    <cellStyle name="Accent1 18" xfId="3303" xr:uid="{00000000-0005-0000-0000-0000C80E0000}"/>
    <cellStyle name="Accent1 19" xfId="3304" xr:uid="{00000000-0005-0000-0000-0000C90E0000}"/>
    <cellStyle name="Accent1 2" xfId="73" xr:uid="{00000000-0005-0000-0000-0000CA0E0000}"/>
    <cellStyle name="Accent1 2 10" xfId="3305" xr:uid="{00000000-0005-0000-0000-0000CB0E0000}"/>
    <cellStyle name="Accent1 2 11" xfId="3306" xr:uid="{00000000-0005-0000-0000-0000CC0E0000}"/>
    <cellStyle name="Accent1 2 12" xfId="3307" xr:uid="{00000000-0005-0000-0000-0000CD0E0000}"/>
    <cellStyle name="Accent1 2 13" xfId="3308" xr:uid="{00000000-0005-0000-0000-0000CE0E0000}"/>
    <cellStyle name="Accent1 2 14" xfId="3309" xr:uid="{00000000-0005-0000-0000-0000CF0E0000}"/>
    <cellStyle name="Accent1 2 15" xfId="3310" xr:uid="{00000000-0005-0000-0000-0000D00E0000}"/>
    <cellStyle name="Accent1 2 16" xfId="3311" xr:uid="{00000000-0005-0000-0000-0000D10E0000}"/>
    <cellStyle name="Accent1 2 17" xfId="3312" xr:uid="{00000000-0005-0000-0000-0000D20E0000}"/>
    <cellStyle name="Accent1 2 18" xfId="3313" xr:uid="{00000000-0005-0000-0000-0000D30E0000}"/>
    <cellStyle name="Accent1 2 19" xfId="3314" xr:uid="{00000000-0005-0000-0000-0000D40E0000}"/>
    <cellStyle name="Accent1 2 2" xfId="3315" xr:uid="{00000000-0005-0000-0000-0000D50E0000}"/>
    <cellStyle name="Accent1 2 20" xfId="3316" xr:uid="{00000000-0005-0000-0000-0000D60E0000}"/>
    <cellStyle name="Accent1 2 21" xfId="3317" xr:uid="{00000000-0005-0000-0000-0000D70E0000}"/>
    <cellStyle name="Accent1 2 22" xfId="3318" xr:uid="{00000000-0005-0000-0000-0000D80E0000}"/>
    <cellStyle name="Accent1 2 23" xfId="3319" xr:uid="{00000000-0005-0000-0000-0000D90E0000}"/>
    <cellStyle name="Accent1 2 24" xfId="3320" xr:uid="{00000000-0005-0000-0000-0000DA0E0000}"/>
    <cellStyle name="Accent1 2 25" xfId="3321" xr:uid="{00000000-0005-0000-0000-0000DB0E0000}"/>
    <cellStyle name="Accent1 2 26" xfId="3322" xr:uid="{00000000-0005-0000-0000-0000DC0E0000}"/>
    <cellStyle name="Accent1 2 27" xfId="3323" xr:uid="{00000000-0005-0000-0000-0000DD0E0000}"/>
    <cellStyle name="Accent1 2 28" xfId="3324" xr:uid="{00000000-0005-0000-0000-0000DE0E0000}"/>
    <cellStyle name="Accent1 2 29" xfId="3325" xr:uid="{00000000-0005-0000-0000-0000DF0E0000}"/>
    <cellStyle name="Accent1 2 3" xfId="3326" xr:uid="{00000000-0005-0000-0000-0000E00E0000}"/>
    <cellStyle name="Accent1 2 30" xfId="3327" xr:uid="{00000000-0005-0000-0000-0000E10E0000}"/>
    <cellStyle name="Accent1 2 31" xfId="3328" xr:uid="{00000000-0005-0000-0000-0000E20E0000}"/>
    <cellStyle name="Accent1 2 32" xfId="3329" xr:uid="{00000000-0005-0000-0000-0000E30E0000}"/>
    <cellStyle name="Accent1 2 33" xfId="3330" xr:uid="{00000000-0005-0000-0000-0000E40E0000}"/>
    <cellStyle name="Accent1 2 34" xfId="3331" xr:uid="{00000000-0005-0000-0000-0000E50E0000}"/>
    <cellStyle name="Accent1 2 35" xfId="3332" xr:uid="{00000000-0005-0000-0000-0000E60E0000}"/>
    <cellStyle name="Accent1 2 36" xfId="3333" xr:uid="{00000000-0005-0000-0000-0000E70E0000}"/>
    <cellStyle name="Accent1 2 37" xfId="3334" xr:uid="{00000000-0005-0000-0000-0000E80E0000}"/>
    <cellStyle name="Accent1 2 38" xfId="3335" xr:uid="{00000000-0005-0000-0000-0000E90E0000}"/>
    <cellStyle name="Accent1 2 39" xfId="3336" xr:uid="{00000000-0005-0000-0000-0000EA0E0000}"/>
    <cellStyle name="Accent1 2 4" xfId="3337" xr:uid="{00000000-0005-0000-0000-0000EB0E0000}"/>
    <cellStyle name="Accent1 2 40" xfId="3338" xr:uid="{00000000-0005-0000-0000-0000EC0E0000}"/>
    <cellStyle name="Accent1 2 41" xfId="3339" xr:uid="{00000000-0005-0000-0000-0000ED0E0000}"/>
    <cellStyle name="Accent1 2 42" xfId="3340" xr:uid="{00000000-0005-0000-0000-0000EE0E0000}"/>
    <cellStyle name="Accent1 2 5" xfId="3341" xr:uid="{00000000-0005-0000-0000-0000EF0E0000}"/>
    <cellStyle name="Accent1 2 6" xfId="3342" xr:uid="{00000000-0005-0000-0000-0000F00E0000}"/>
    <cellStyle name="Accent1 2 7" xfId="3343" xr:uid="{00000000-0005-0000-0000-0000F10E0000}"/>
    <cellStyle name="Accent1 2 8" xfId="3344" xr:uid="{00000000-0005-0000-0000-0000F20E0000}"/>
    <cellStyle name="Accent1 2 9" xfId="3345" xr:uid="{00000000-0005-0000-0000-0000F30E0000}"/>
    <cellStyle name="Accent1 2_DATA Input" xfId="3346" xr:uid="{00000000-0005-0000-0000-0000F40E0000}"/>
    <cellStyle name="Accent1 20" xfId="3347" xr:uid="{00000000-0005-0000-0000-0000F50E0000}"/>
    <cellStyle name="Accent1 21" xfId="3348" xr:uid="{00000000-0005-0000-0000-0000F60E0000}"/>
    <cellStyle name="Accent1 22" xfId="3349" xr:uid="{00000000-0005-0000-0000-0000F70E0000}"/>
    <cellStyle name="Accent1 23" xfId="3350" xr:uid="{00000000-0005-0000-0000-0000F80E0000}"/>
    <cellStyle name="Accent1 24" xfId="3351" xr:uid="{00000000-0005-0000-0000-0000F90E0000}"/>
    <cellStyle name="Accent1 3" xfId="3352" xr:uid="{00000000-0005-0000-0000-0000FA0E0000}"/>
    <cellStyle name="Accent1 3 10" xfId="3353" xr:uid="{00000000-0005-0000-0000-0000FB0E0000}"/>
    <cellStyle name="Accent1 3 11" xfId="3354" xr:uid="{00000000-0005-0000-0000-0000FC0E0000}"/>
    <cellStyle name="Accent1 3 12" xfId="3355" xr:uid="{00000000-0005-0000-0000-0000FD0E0000}"/>
    <cellStyle name="Accent1 3 13" xfId="3356" xr:uid="{00000000-0005-0000-0000-0000FE0E0000}"/>
    <cellStyle name="Accent1 3 14" xfId="3357" xr:uid="{00000000-0005-0000-0000-0000FF0E0000}"/>
    <cellStyle name="Accent1 3 15" xfId="3358" xr:uid="{00000000-0005-0000-0000-0000000F0000}"/>
    <cellStyle name="Accent1 3 16" xfId="3359" xr:uid="{00000000-0005-0000-0000-0000010F0000}"/>
    <cellStyle name="Accent1 3 17" xfId="3360" xr:uid="{00000000-0005-0000-0000-0000020F0000}"/>
    <cellStyle name="Accent1 3 18" xfId="3361" xr:uid="{00000000-0005-0000-0000-0000030F0000}"/>
    <cellStyle name="Accent1 3 19" xfId="3362" xr:uid="{00000000-0005-0000-0000-0000040F0000}"/>
    <cellStyle name="Accent1 3 2" xfId="3363" xr:uid="{00000000-0005-0000-0000-0000050F0000}"/>
    <cellStyle name="Accent1 3 20" xfId="3364" xr:uid="{00000000-0005-0000-0000-0000060F0000}"/>
    <cellStyle name="Accent1 3 21" xfId="3365" xr:uid="{00000000-0005-0000-0000-0000070F0000}"/>
    <cellStyle name="Accent1 3 22" xfId="3366" xr:uid="{00000000-0005-0000-0000-0000080F0000}"/>
    <cellStyle name="Accent1 3 23" xfId="3367" xr:uid="{00000000-0005-0000-0000-0000090F0000}"/>
    <cellStyle name="Accent1 3 24" xfId="3368" xr:uid="{00000000-0005-0000-0000-00000A0F0000}"/>
    <cellStyle name="Accent1 3 25" xfId="3369" xr:uid="{00000000-0005-0000-0000-00000B0F0000}"/>
    <cellStyle name="Accent1 3 26" xfId="3370" xr:uid="{00000000-0005-0000-0000-00000C0F0000}"/>
    <cellStyle name="Accent1 3 27" xfId="3371" xr:uid="{00000000-0005-0000-0000-00000D0F0000}"/>
    <cellStyle name="Accent1 3 28" xfId="3372" xr:uid="{00000000-0005-0000-0000-00000E0F0000}"/>
    <cellStyle name="Accent1 3 29" xfId="3373" xr:uid="{00000000-0005-0000-0000-00000F0F0000}"/>
    <cellStyle name="Accent1 3 3" xfId="3374" xr:uid="{00000000-0005-0000-0000-0000100F0000}"/>
    <cellStyle name="Accent1 3 30" xfId="3375" xr:uid="{00000000-0005-0000-0000-0000110F0000}"/>
    <cellStyle name="Accent1 3 31" xfId="3376" xr:uid="{00000000-0005-0000-0000-0000120F0000}"/>
    <cellStyle name="Accent1 3 32" xfId="3377" xr:uid="{00000000-0005-0000-0000-0000130F0000}"/>
    <cellStyle name="Accent1 3 4" xfId="3378" xr:uid="{00000000-0005-0000-0000-0000140F0000}"/>
    <cellStyle name="Accent1 3 5" xfId="3379" xr:uid="{00000000-0005-0000-0000-0000150F0000}"/>
    <cellStyle name="Accent1 3 6" xfId="3380" xr:uid="{00000000-0005-0000-0000-0000160F0000}"/>
    <cellStyle name="Accent1 3 7" xfId="3381" xr:uid="{00000000-0005-0000-0000-0000170F0000}"/>
    <cellStyle name="Accent1 3 8" xfId="3382" xr:uid="{00000000-0005-0000-0000-0000180F0000}"/>
    <cellStyle name="Accent1 3 9" xfId="3383" xr:uid="{00000000-0005-0000-0000-0000190F0000}"/>
    <cellStyle name="Accent1 4" xfId="3384" xr:uid="{00000000-0005-0000-0000-00001A0F0000}"/>
    <cellStyle name="Accent1 5" xfId="3385" xr:uid="{00000000-0005-0000-0000-00001B0F0000}"/>
    <cellStyle name="Accent1 6" xfId="3386" xr:uid="{00000000-0005-0000-0000-00001C0F0000}"/>
    <cellStyle name="Accent1 7" xfId="3387" xr:uid="{00000000-0005-0000-0000-00001D0F0000}"/>
    <cellStyle name="Accent1 8" xfId="3388" xr:uid="{00000000-0005-0000-0000-00001E0F0000}"/>
    <cellStyle name="Accent1 9" xfId="3389" xr:uid="{00000000-0005-0000-0000-00001F0F0000}"/>
    <cellStyle name="Accent2 - 20%" xfId="74" xr:uid="{00000000-0005-0000-0000-0000200F0000}"/>
    <cellStyle name="Accent2 - 40%" xfId="75" xr:uid="{00000000-0005-0000-0000-0000210F0000}"/>
    <cellStyle name="Accent2 - 60%" xfId="76" xr:uid="{00000000-0005-0000-0000-0000220F0000}"/>
    <cellStyle name="Accent2 10" xfId="3390" xr:uid="{00000000-0005-0000-0000-0000230F0000}"/>
    <cellStyle name="Accent2 11" xfId="3391" xr:uid="{00000000-0005-0000-0000-0000240F0000}"/>
    <cellStyle name="Accent2 12" xfId="3392" xr:uid="{00000000-0005-0000-0000-0000250F0000}"/>
    <cellStyle name="Accent2 13" xfId="3393" xr:uid="{00000000-0005-0000-0000-0000260F0000}"/>
    <cellStyle name="Accent2 14" xfId="3394" xr:uid="{00000000-0005-0000-0000-0000270F0000}"/>
    <cellStyle name="Accent2 15" xfId="3395" xr:uid="{00000000-0005-0000-0000-0000280F0000}"/>
    <cellStyle name="Accent2 16" xfId="3396" xr:uid="{00000000-0005-0000-0000-0000290F0000}"/>
    <cellStyle name="Accent2 17" xfId="3397" xr:uid="{00000000-0005-0000-0000-00002A0F0000}"/>
    <cellStyle name="Accent2 18" xfId="3398" xr:uid="{00000000-0005-0000-0000-00002B0F0000}"/>
    <cellStyle name="Accent2 19" xfId="3399" xr:uid="{00000000-0005-0000-0000-00002C0F0000}"/>
    <cellStyle name="Accent2 2" xfId="77" xr:uid="{00000000-0005-0000-0000-00002D0F0000}"/>
    <cellStyle name="Accent2 2 10" xfId="3400" xr:uid="{00000000-0005-0000-0000-00002E0F0000}"/>
    <cellStyle name="Accent2 2 11" xfId="3401" xr:uid="{00000000-0005-0000-0000-00002F0F0000}"/>
    <cellStyle name="Accent2 2 12" xfId="3402" xr:uid="{00000000-0005-0000-0000-0000300F0000}"/>
    <cellStyle name="Accent2 2 13" xfId="3403" xr:uid="{00000000-0005-0000-0000-0000310F0000}"/>
    <cellStyle name="Accent2 2 14" xfId="3404" xr:uid="{00000000-0005-0000-0000-0000320F0000}"/>
    <cellStyle name="Accent2 2 15" xfId="3405" xr:uid="{00000000-0005-0000-0000-0000330F0000}"/>
    <cellStyle name="Accent2 2 16" xfId="3406" xr:uid="{00000000-0005-0000-0000-0000340F0000}"/>
    <cellStyle name="Accent2 2 17" xfId="3407" xr:uid="{00000000-0005-0000-0000-0000350F0000}"/>
    <cellStyle name="Accent2 2 18" xfId="3408" xr:uid="{00000000-0005-0000-0000-0000360F0000}"/>
    <cellStyle name="Accent2 2 19" xfId="3409" xr:uid="{00000000-0005-0000-0000-0000370F0000}"/>
    <cellStyle name="Accent2 2 2" xfId="3410" xr:uid="{00000000-0005-0000-0000-0000380F0000}"/>
    <cellStyle name="Accent2 2 20" xfId="3411" xr:uid="{00000000-0005-0000-0000-0000390F0000}"/>
    <cellStyle name="Accent2 2 21" xfId="3412" xr:uid="{00000000-0005-0000-0000-00003A0F0000}"/>
    <cellStyle name="Accent2 2 22" xfId="3413" xr:uid="{00000000-0005-0000-0000-00003B0F0000}"/>
    <cellStyle name="Accent2 2 23" xfId="3414" xr:uid="{00000000-0005-0000-0000-00003C0F0000}"/>
    <cellStyle name="Accent2 2 24" xfId="3415" xr:uid="{00000000-0005-0000-0000-00003D0F0000}"/>
    <cellStyle name="Accent2 2 25" xfId="3416" xr:uid="{00000000-0005-0000-0000-00003E0F0000}"/>
    <cellStyle name="Accent2 2 26" xfId="3417" xr:uid="{00000000-0005-0000-0000-00003F0F0000}"/>
    <cellStyle name="Accent2 2 27" xfId="3418" xr:uid="{00000000-0005-0000-0000-0000400F0000}"/>
    <cellStyle name="Accent2 2 28" xfId="3419" xr:uid="{00000000-0005-0000-0000-0000410F0000}"/>
    <cellStyle name="Accent2 2 29" xfId="3420" xr:uid="{00000000-0005-0000-0000-0000420F0000}"/>
    <cellStyle name="Accent2 2 3" xfId="3421" xr:uid="{00000000-0005-0000-0000-0000430F0000}"/>
    <cellStyle name="Accent2 2 30" xfId="3422" xr:uid="{00000000-0005-0000-0000-0000440F0000}"/>
    <cellStyle name="Accent2 2 31" xfId="3423" xr:uid="{00000000-0005-0000-0000-0000450F0000}"/>
    <cellStyle name="Accent2 2 32" xfId="3424" xr:uid="{00000000-0005-0000-0000-0000460F0000}"/>
    <cellStyle name="Accent2 2 33" xfId="3425" xr:uid="{00000000-0005-0000-0000-0000470F0000}"/>
    <cellStyle name="Accent2 2 34" xfId="3426" xr:uid="{00000000-0005-0000-0000-0000480F0000}"/>
    <cellStyle name="Accent2 2 35" xfId="3427" xr:uid="{00000000-0005-0000-0000-0000490F0000}"/>
    <cellStyle name="Accent2 2 36" xfId="3428" xr:uid="{00000000-0005-0000-0000-00004A0F0000}"/>
    <cellStyle name="Accent2 2 37" xfId="3429" xr:uid="{00000000-0005-0000-0000-00004B0F0000}"/>
    <cellStyle name="Accent2 2 38" xfId="3430" xr:uid="{00000000-0005-0000-0000-00004C0F0000}"/>
    <cellStyle name="Accent2 2 39" xfId="3431" xr:uid="{00000000-0005-0000-0000-00004D0F0000}"/>
    <cellStyle name="Accent2 2 4" xfId="3432" xr:uid="{00000000-0005-0000-0000-00004E0F0000}"/>
    <cellStyle name="Accent2 2 40" xfId="3433" xr:uid="{00000000-0005-0000-0000-00004F0F0000}"/>
    <cellStyle name="Accent2 2 41" xfId="3434" xr:uid="{00000000-0005-0000-0000-0000500F0000}"/>
    <cellStyle name="Accent2 2 42" xfId="3435" xr:uid="{00000000-0005-0000-0000-0000510F0000}"/>
    <cellStyle name="Accent2 2 5" xfId="3436" xr:uid="{00000000-0005-0000-0000-0000520F0000}"/>
    <cellStyle name="Accent2 2 6" xfId="3437" xr:uid="{00000000-0005-0000-0000-0000530F0000}"/>
    <cellStyle name="Accent2 2 7" xfId="3438" xr:uid="{00000000-0005-0000-0000-0000540F0000}"/>
    <cellStyle name="Accent2 2 8" xfId="3439" xr:uid="{00000000-0005-0000-0000-0000550F0000}"/>
    <cellStyle name="Accent2 2 9" xfId="3440" xr:uid="{00000000-0005-0000-0000-0000560F0000}"/>
    <cellStyle name="Accent2 2_DATA Input" xfId="3441" xr:uid="{00000000-0005-0000-0000-0000570F0000}"/>
    <cellStyle name="Accent2 20" xfId="3442" xr:uid="{00000000-0005-0000-0000-0000580F0000}"/>
    <cellStyle name="Accent2 21" xfId="3443" xr:uid="{00000000-0005-0000-0000-0000590F0000}"/>
    <cellStyle name="Accent2 22" xfId="3444" xr:uid="{00000000-0005-0000-0000-00005A0F0000}"/>
    <cellStyle name="Accent2 23" xfId="3445" xr:uid="{00000000-0005-0000-0000-00005B0F0000}"/>
    <cellStyle name="Accent2 24" xfId="3446" xr:uid="{00000000-0005-0000-0000-00005C0F0000}"/>
    <cellStyle name="Accent2 3" xfId="3447" xr:uid="{00000000-0005-0000-0000-00005D0F0000}"/>
    <cellStyle name="Accent2 3 10" xfId="3448" xr:uid="{00000000-0005-0000-0000-00005E0F0000}"/>
    <cellStyle name="Accent2 3 11" xfId="3449" xr:uid="{00000000-0005-0000-0000-00005F0F0000}"/>
    <cellStyle name="Accent2 3 12" xfId="3450" xr:uid="{00000000-0005-0000-0000-0000600F0000}"/>
    <cellStyle name="Accent2 3 13" xfId="3451" xr:uid="{00000000-0005-0000-0000-0000610F0000}"/>
    <cellStyle name="Accent2 3 14" xfId="3452" xr:uid="{00000000-0005-0000-0000-0000620F0000}"/>
    <cellStyle name="Accent2 3 15" xfId="3453" xr:uid="{00000000-0005-0000-0000-0000630F0000}"/>
    <cellStyle name="Accent2 3 16" xfId="3454" xr:uid="{00000000-0005-0000-0000-0000640F0000}"/>
    <cellStyle name="Accent2 3 17" xfId="3455" xr:uid="{00000000-0005-0000-0000-0000650F0000}"/>
    <cellStyle name="Accent2 3 18" xfId="3456" xr:uid="{00000000-0005-0000-0000-0000660F0000}"/>
    <cellStyle name="Accent2 3 19" xfId="3457" xr:uid="{00000000-0005-0000-0000-0000670F0000}"/>
    <cellStyle name="Accent2 3 2" xfId="3458" xr:uid="{00000000-0005-0000-0000-0000680F0000}"/>
    <cellStyle name="Accent2 3 20" xfId="3459" xr:uid="{00000000-0005-0000-0000-0000690F0000}"/>
    <cellStyle name="Accent2 3 21" xfId="3460" xr:uid="{00000000-0005-0000-0000-00006A0F0000}"/>
    <cellStyle name="Accent2 3 22" xfId="3461" xr:uid="{00000000-0005-0000-0000-00006B0F0000}"/>
    <cellStyle name="Accent2 3 23" xfId="3462" xr:uid="{00000000-0005-0000-0000-00006C0F0000}"/>
    <cellStyle name="Accent2 3 24" xfId="3463" xr:uid="{00000000-0005-0000-0000-00006D0F0000}"/>
    <cellStyle name="Accent2 3 25" xfId="3464" xr:uid="{00000000-0005-0000-0000-00006E0F0000}"/>
    <cellStyle name="Accent2 3 26" xfId="3465" xr:uid="{00000000-0005-0000-0000-00006F0F0000}"/>
    <cellStyle name="Accent2 3 27" xfId="3466" xr:uid="{00000000-0005-0000-0000-0000700F0000}"/>
    <cellStyle name="Accent2 3 28" xfId="3467" xr:uid="{00000000-0005-0000-0000-0000710F0000}"/>
    <cellStyle name="Accent2 3 29" xfId="3468" xr:uid="{00000000-0005-0000-0000-0000720F0000}"/>
    <cellStyle name="Accent2 3 3" xfId="3469" xr:uid="{00000000-0005-0000-0000-0000730F0000}"/>
    <cellStyle name="Accent2 3 30" xfId="3470" xr:uid="{00000000-0005-0000-0000-0000740F0000}"/>
    <cellStyle name="Accent2 3 31" xfId="3471" xr:uid="{00000000-0005-0000-0000-0000750F0000}"/>
    <cellStyle name="Accent2 3 32" xfId="3472" xr:uid="{00000000-0005-0000-0000-0000760F0000}"/>
    <cellStyle name="Accent2 3 4" xfId="3473" xr:uid="{00000000-0005-0000-0000-0000770F0000}"/>
    <cellStyle name="Accent2 3 5" xfId="3474" xr:uid="{00000000-0005-0000-0000-0000780F0000}"/>
    <cellStyle name="Accent2 3 6" xfId="3475" xr:uid="{00000000-0005-0000-0000-0000790F0000}"/>
    <cellStyle name="Accent2 3 7" xfId="3476" xr:uid="{00000000-0005-0000-0000-00007A0F0000}"/>
    <cellStyle name="Accent2 3 8" xfId="3477" xr:uid="{00000000-0005-0000-0000-00007B0F0000}"/>
    <cellStyle name="Accent2 3 9" xfId="3478" xr:uid="{00000000-0005-0000-0000-00007C0F0000}"/>
    <cellStyle name="Accent2 4" xfId="3479" xr:uid="{00000000-0005-0000-0000-00007D0F0000}"/>
    <cellStyle name="Accent2 5" xfId="3480" xr:uid="{00000000-0005-0000-0000-00007E0F0000}"/>
    <cellStyle name="Accent2 6" xfId="3481" xr:uid="{00000000-0005-0000-0000-00007F0F0000}"/>
    <cellStyle name="Accent2 7" xfId="3482" xr:uid="{00000000-0005-0000-0000-0000800F0000}"/>
    <cellStyle name="Accent2 8" xfId="3483" xr:uid="{00000000-0005-0000-0000-0000810F0000}"/>
    <cellStyle name="Accent2 9" xfId="3484" xr:uid="{00000000-0005-0000-0000-0000820F0000}"/>
    <cellStyle name="Accent3 - 20%" xfId="78" xr:uid="{00000000-0005-0000-0000-0000830F0000}"/>
    <cellStyle name="Accent3 - 40%" xfId="79" xr:uid="{00000000-0005-0000-0000-0000840F0000}"/>
    <cellStyle name="Accent3 - 60%" xfId="80" xr:uid="{00000000-0005-0000-0000-0000850F0000}"/>
    <cellStyle name="Accent3 10" xfId="3485" xr:uid="{00000000-0005-0000-0000-0000860F0000}"/>
    <cellStyle name="Accent3 11" xfId="3486" xr:uid="{00000000-0005-0000-0000-0000870F0000}"/>
    <cellStyle name="Accent3 12" xfId="3487" xr:uid="{00000000-0005-0000-0000-0000880F0000}"/>
    <cellStyle name="Accent3 13" xfId="3488" xr:uid="{00000000-0005-0000-0000-0000890F0000}"/>
    <cellStyle name="Accent3 14" xfId="3489" xr:uid="{00000000-0005-0000-0000-00008A0F0000}"/>
    <cellStyle name="Accent3 15" xfId="3490" xr:uid="{00000000-0005-0000-0000-00008B0F0000}"/>
    <cellStyle name="Accent3 16" xfId="3491" xr:uid="{00000000-0005-0000-0000-00008C0F0000}"/>
    <cellStyle name="Accent3 17" xfId="3492" xr:uid="{00000000-0005-0000-0000-00008D0F0000}"/>
    <cellStyle name="Accent3 18" xfId="3493" xr:uid="{00000000-0005-0000-0000-00008E0F0000}"/>
    <cellStyle name="Accent3 19" xfId="3494" xr:uid="{00000000-0005-0000-0000-00008F0F0000}"/>
    <cellStyle name="Accent3 2" xfId="81" xr:uid="{00000000-0005-0000-0000-0000900F0000}"/>
    <cellStyle name="Accent3 2 10" xfId="3495" xr:uid="{00000000-0005-0000-0000-0000910F0000}"/>
    <cellStyle name="Accent3 2 11" xfId="3496" xr:uid="{00000000-0005-0000-0000-0000920F0000}"/>
    <cellStyle name="Accent3 2 12" xfId="3497" xr:uid="{00000000-0005-0000-0000-0000930F0000}"/>
    <cellStyle name="Accent3 2 13" xfId="3498" xr:uid="{00000000-0005-0000-0000-0000940F0000}"/>
    <cellStyle name="Accent3 2 14" xfId="3499" xr:uid="{00000000-0005-0000-0000-0000950F0000}"/>
    <cellStyle name="Accent3 2 15" xfId="3500" xr:uid="{00000000-0005-0000-0000-0000960F0000}"/>
    <cellStyle name="Accent3 2 16" xfId="3501" xr:uid="{00000000-0005-0000-0000-0000970F0000}"/>
    <cellStyle name="Accent3 2 17" xfId="3502" xr:uid="{00000000-0005-0000-0000-0000980F0000}"/>
    <cellStyle name="Accent3 2 18" xfId="3503" xr:uid="{00000000-0005-0000-0000-0000990F0000}"/>
    <cellStyle name="Accent3 2 19" xfId="3504" xr:uid="{00000000-0005-0000-0000-00009A0F0000}"/>
    <cellStyle name="Accent3 2 2" xfId="3505" xr:uid="{00000000-0005-0000-0000-00009B0F0000}"/>
    <cellStyle name="Accent3 2 20" xfId="3506" xr:uid="{00000000-0005-0000-0000-00009C0F0000}"/>
    <cellStyle name="Accent3 2 21" xfId="3507" xr:uid="{00000000-0005-0000-0000-00009D0F0000}"/>
    <cellStyle name="Accent3 2 22" xfId="3508" xr:uid="{00000000-0005-0000-0000-00009E0F0000}"/>
    <cellStyle name="Accent3 2 23" xfId="3509" xr:uid="{00000000-0005-0000-0000-00009F0F0000}"/>
    <cellStyle name="Accent3 2 24" xfId="3510" xr:uid="{00000000-0005-0000-0000-0000A00F0000}"/>
    <cellStyle name="Accent3 2 25" xfId="3511" xr:uid="{00000000-0005-0000-0000-0000A10F0000}"/>
    <cellStyle name="Accent3 2 26" xfId="3512" xr:uid="{00000000-0005-0000-0000-0000A20F0000}"/>
    <cellStyle name="Accent3 2 27" xfId="3513" xr:uid="{00000000-0005-0000-0000-0000A30F0000}"/>
    <cellStyle name="Accent3 2 28" xfId="3514" xr:uid="{00000000-0005-0000-0000-0000A40F0000}"/>
    <cellStyle name="Accent3 2 29" xfId="3515" xr:uid="{00000000-0005-0000-0000-0000A50F0000}"/>
    <cellStyle name="Accent3 2 3" xfId="3516" xr:uid="{00000000-0005-0000-0000-0000A60F0000}"/>
    <cellStyle name="Accent3 2 30" xfId="3517" xr:uid="{00000000-0005-0000-0000-0000A70F0000}"/>
    <cellStyle name="Accent3 2 31" xfId="3518" xr:uid="{00000000-0005-0000-0000-0000A80F0000}"/>
    <cellStyle name="Accent3 2 32" xfId="3519" xr:uid="{00000000-0005-0000-0000-0000A90F0000}"/>
    <cellStyle name="Accent3 2 33" xfId="3520" xr:uid="{00000000-0005-0000-0000-0000AA0F0000}"/>
    <cellStyle name="Accent3 2 34" xfId="3521" xr:uid="{00000000-0005-0000-0000-0000AB0F0000}"/>
    <cellStyle name="Accent3 2 35" xfId="3522" xr:uid="{00000000-0005-0000-0000-0000AC0F0000}"/>
    <cellStyle name="Accent3 2 36" xfId="3523" xr:uid="{00000000-0005-0000-0000-0000AD0F0000}"/>
    <cellStyle name="Accent3 2 37" xfId="3524" xr:uid="{00000000-0005-0000-0000-0000AE0F0000}"/>
    <cellStyle name="Accent3 2 38" xfId="3525" xr:uid="{00000000-0005-0000-0000-0000AF0F0000}"/>
    <cellStyle name="Accent3 2 39" xfId="3526" xr:uid="{00000000-0005-0000-0000-0000B00F0000}"/>
    <cellStyle name="Accent3 2 4" xfId="3527" xr:uid="{00000000-0005-0000-0000-0000B10F0000}"/>
    <cellStyle name="Accent3 2 40" xfId="3528" xr:uid="{00000000-0005-0000-0000-0000B20F0000}"/>
    <cellStyle name="Accent3 2 41" xfId="3529" xr:uid="{00000000-0005-0000-0000-0000B30F0000}"/>
    <cellStyle name="Accent3 2 42" xfId="3530" xr:uid="{00000000-0005-0000-0000-0000B40F0000}"/>
    <cellStyle name="Accent3 2 5" xfId="3531" xr:uid="{00000000-0005-0000-0000-0000B50F0000}"/>
    <cellStyle name="Accent3 2 6" xfId="3532" xr:uid="{00000000-0005-0000-0000-0000B60F0000}"/>
    <cellStyle name="Accent3 2 7" xfId="3533" xr:uid="{00000000-0005-0000-0000-0000B70F0000}"/>
    <cellStyle name="Accent3 2 8" xfId="3534" xr:uid="{00000000-0005-0000-0000-0000B80F0000}"/>
    <cellStyle name="Accent3 2 9" xfId="3535" xr:uid="{00000000-0005-0000-0000-0000B90F0000}"/>
    <cellStyle name="Accent3 2_DATA Input" xfId="3536" xr:uid="{00000000-0005-0000-0000-0000BA0F0000}"/>
    <cellStyle name="Accent3 20" xfId="3537" xr:uid="{00000000-0005-0000-0000-0000BB0F0000}"/>
    <cellStyle name="Accent3 21" xfId="3538" xr:uid="{00000000-0005-0000-0000-0000BC0F0000}"/>
    <cellStyle name="Accent3 22" xfId="3539" xr:uid="{00000000-0005-0000-0000-0000BD0F0000}"/>
    <cellStyle name="Accent3 23" xfId="3540" xr:uid="{00000000-0005-0000-0000-0000BE0F0000}"/>
    <cellStyle name="Accent3 24" xfId="3541" xr:uid="{00000000-0005-0000-0000-0000BF0F0000}"/>
    <cellStyle name="Accent3 3" xfId="3542" xr:uid="{00000000-0005-0000-0000-0000C00F0000}"/>
    <cellStyle name="Accent3 3 10" xfId="3543" xr:uid="{00000000-0005-0000-0000-0000C10F0000}"/>
    <cellStyle name="Accent3 3 11" xfId="3544" xr:uid="{00000000-0005-0000-0000-0000C20F0000}"/>
    <cellStyle name="Accent3 3 12" xfId="3545" xr:uid="{00000000-0005-0000-0000-0000C30F0000}"/>
    <cellStyle name="Accent3 3 13" xfId="3546" xr:uid="{00000000-0005-0000-0000-0000C40F0000}"/>
    <cellStyle name="Accent3 3 14" xfId="3547" xr:uid="{00000000-0005-0000-0000-0000C50F0000}"/>
    <cellStyle name="Accent3 3 15" xfId="3548" xr:uid="{00000000-0005-0000-0000-0000C60F0000}"/>
    <cellStyle name="Accent3 3 16" xfId="3549" xr:uid="{00000000-0005-0000-0000-0000C70F0000}"/>
    <cellStyle name="Accent3 3 17" xfId="3550" xr:uid="{00000000-0005-0000-0000-0000C80F0000}"/>
    <cellStyle name="Accent3 3 18" xfId="3551" xr:uid="{00000000-0005-0000-0000-0000C90F0000}"/>
    <cellStyle name="Accent3 3 19" xfId="3552" xr:uid="{00000000-0005-0000-0000-0000CA0F0000}"/>
    <cellStyle name="Accent3 3 2" xfId="3553" xr:uid="{00000000-0005-0000-0000-0000CB0F0000}"/>
    <cellStyle name="Accent3 3 20" xfId="3554" xr:uid="{00000000-0005-0000-0000-0000CC0F0000}"/>
    <cellStyle name="Accent3 3 21" xfId="3555" xr:uid="{00000000-0005-0000-0000-0000CD0F0000}"/>
    <cellStyle name="Accent3 3 22" xfId="3556" xr:uid="{00000000-0005-0000-0000-0000CE0F0000}"/>
    <cellStyle name="Accent3 3 23" xfId="3557" xr:uid="{00000000-0005-0000-0000-0000CF0F0000}"/>
    <cellStyle name="Accent3 3 24" xfId="3558" xr:uid="{00000000-0005-0000-0000-0000D00F0000}"/>
    <cellStyle name="Accent3 3 25" xfId="3559" xr:uid="{00000000-0005-0000-0000-0000D10F0000}"/>
    <cellStyle name="Accent3 3 26" xfId="3560" xr:uid="{00000000-0005-0000-0000-0000D20F0000}"/>
    <cellStyle name="Accent3 3 27" xfId="3561" xr:uid="{00000000-0005-0000-0000-0000D30F0000}"/>
    <cellStyle name="Accent3 3 28" xfId="3562" xr:uid="{00000000-0005-0000-0000-0000D40F0000}"/>
    <cellStyle name="Accent3 3 29" xfId="3563" xr:uid="{00000000-0005-0000-0000-0000D50F0000}"/>
    <cellStyle name="Accent3 3 3" xfId="3564" xr:uid="{00000000-0005-0000-0000-0000D60F0000}"/>
    <cellStyle name="Accent3 3 30" xfId="3565" xr:uid="{00000000-0005-0000-0000-0000D70F0000}"/>
    <cellStyle name="Accent3 3 31" xfId="3566" xr:uid="{00000000-0005-0000-0000-0000D80F0000}"/>
    <cellStyle name="Accent3 3 32" xfId="3567" xr:uid="{00000000-0005-0000-0000-0000D90F0000}"/>
    <cellStyle name="Accent3 3 4" xfId="3568" xr:uid="{00000000-0005-0000-0000-0000DA0F0000}"/>
    <cellStyle name="Accent3 3 5" xfId="3569" xr:uid="{00000000-0005-0000-0000-0000DB0F0000}"/>
    <cellStyle name="Accent3 3 6" xfId="3570" xr:uid="{00000000-0005-0000-0000-0000DC0F0000}"/>
    <cellStyle name="Accent3 3 7" xfId="3571" xr:uid="{00000000-0005-0000-0000-0000DD0F0000}"/>
    <cellStyle name="Accent3 3 8" xfId="3572" xr:uid="{00000000-0005-0000-0000-0000DE0F0000}"/>
    <cellStyle name="Accent3 3 9" xfId="3573" xr:uid="{00000000-0005-0000-0000-0000DF0F0000}"/>
    <cellStyle name="Accent3 4" xfId="3574" xr:uid="{00000000-0005-0000-0000-0000E00F0000}"/>
    <cellStyle name="Accent3 5" xfId="3575" xr:uid="{00000000-0005-0000-0000-0000E10F0000}"/>
    <cellStyle name="Accent3 6" xfId="3576" xr:uid="{00000000-0005-0000-0000-0000E20F0000}"/>
    <cellStyle name="Accent3 7" xfId="3577" xr:uid="{00000000-0005-0000-0000-0000E30F0000}"/>
    <cellStyle name="Accent3 8" xfId="3578" xr:uid="{00000000-0005-0000-0000-0000E40F0000}"/>
    <cellStyle name="Accent3 9" xfId="3579" xr:uid="{00000000-0005-0000-0000-0000E50F0000}"/>
    <cellStyle name="Accent4 - 20%" xfId="82" xr:uid="{00000000-0005-0000-0000-0000E60F0000}"/>
    <cellStyle name="Accent4 - 40%" xfId="83" xr:uid="{00000000-0005-0000-0000-0000E70F0000}"/>
    <cellStyle name="Accent4 - 60%" xfId="84" xr:uid="{00000000-0005-0000-0000-0000E80F0000}"/>
    <cellStyle name="Accent4 10" xfId="3580" xr:uid="{00000000-0005-0000-0000-0000E90F0000}"/>
    <cellStyle name="Accent4 11" xfId="3581" xr:uid="{00000000-0005-0000-0000-0000EA0F0000}"/>
    <cellStyle name="Accent4 12" xfId="3582" xr:uid="{00000000-0005-0000-0000-0000EB0F0000}"/>
    <cellStyle name="Accent4 13" xfId="3583" xr:uid="{00000000-0005-0000-0000-0000EC0F0000}"/>
    <cellStyle name="Accent4 14" xfId="3584" xr:uid="{00000000-0005-0000-0000-0000ED0F0000}"/>
    <cellStyle name="Accent4 15" xfId="3585" xr:uid="{00000000-0005-0000-0000-0000EE0F0000}"/>
    <cellStyle name="Accent4 16" xfId="3586" xr:uid="{00000000-0005-0000-0000-0000EF0F0000}"/>
    <cellStyle name="Accent4 17" xfId="3587" xr:uid="{00000000-0005-0000-0000-0000F00F0000}"/>
    <cellStyle name="Accent4 18" xfId="3588" xr:uid="{00000000-0005-0000-0000-0000F10F0000}"/>
    <cellStyle name="Accent4 19" xfId="3589" xr:uid="{00000000-0005-0000-0000-0000F20F0000}"/>
    <cellStyle name="Accent4 2" xfId="85" xr:uid="{00000000-0005-0000-0000-0000F30F0000}"/>
    <cellStyle name="Accent4 2 10" xfId="3590" xr:uid="{00000000-0005-0000-0000-0000F40F0000}"/>
    <cellStyle name="Accent4 2 11" xfId="3591" xr:uid="{00000000-0005-0000-0000-0000F50F0000}"/>
    <cellStyle name="Accent4 2 12" xfId="3592" xr:uid="{00000000-0005-0000-0000-0000F60F0000}"/>
    <cellStyle name="Accent4 2 13" xfId="3593" xr:uid="{00000000-0005-0000-0000-0000F70F0000}"/>
    <cellStyle name="Accent4 2 14" xfId="3594" xr:uid="{00000000-0005-0000-0000-0000F80F0000}"/>
    <cellStyle name="Accent4 2 15" xfId="3595" xr:uid="{00000000-0005-0000-0000-0000F90F0000}"/>
    <cellStyle name="Accent4 2 16" xfId="3596" xr:uid="{00000000-0005-0000-0000-0000FA0F0000}"/>
    <cellStyle name="Accent4 2 17" xfId="3597" xr:uid="{00000000-0005-0000-0000-0000FB0F0000}"/>
    <cellStyle name="Accent4 2 18" xfId="3598" xr:uid="{00000000-0005-0000-0000-0000FC0F0000}"/>
    <cellStyle name="Accent4 2 19" xfId="3599" xr:uid="{00000000-0005-0000-0000-0000FD0F0000}"/>
    <cellStyle name="Accent4 2 2" xfId="3600" xr:uid="{00000000-0005-0000-0000-0000FE0F0000}"/>
    <cellStyle name="Accent4 2 20" xfId="3601" xr:uid="{00000000-0005-0000-0000-0000FF0F0000}"/>
    <cellStyle name="Accent4 2 21" xfId="3602" xr:uid="{00000000-0005-0000-0000-000000100000}"/>
    <cellStyle name="Accent4 2 22" xfId="3603" xr:uid="{00000000-0005-0000-0000-000001100000}"/>
    <cellStyle name="Accent4 2 23" xfId="3604" xr:uid="{00000000-0005-0000-0000-000002100000}"/>
    <cellStyle name="Accent4 2 24" xfId="3605" xr:uid="{00000000-0005-0000-0000-000003100000}"/>
    <cellStyle name="Accent4 2 25" xfId="3606" xr:uid="{00000000-0005-0000-0000-000004100000}"/>
    <cellStyle name="Accent4 2 26" xfId="3607" xr:uid="{00000000-0005-0000-0000-000005100000}"/>
    <cellStyle name="Accent4 2 27" xfId="3608" xr:uid="{00000000-0005-0000-0000-000006100000}"/>
    <cellStyle name="Accent4 2 28" xfId="3609" xr:uid="{00000000-0005-0000-0000-000007100000}"/>
    <cellStyle name="Accent4 2 29" xfId="3610" xr:uid="{00000000-0005-0000-0000-000008100000}"/>
    <cellStyle name="Accent4 2 3" xfId="3611" xr:uid="{00000000-0005-0000-0000-000009100000}"/>
    <cellStyle name="Accent4 2 30" xfId="3612" xr:uid="{00000000-0005-0000-0000-00000A100000}"/>
    <cellStyle name="Accent4 2 31" xfId="3613" xr:uid="{00000000-0005-0000-0000-00000B100000}"/>
    <cellStyle name="Accent4 2 32" xfId="3614" xr:uid="{00000000-0005-0000-0000-00000C100000}"/>
    <cellStyle name="Accent4 2 33" xfId="3615" xr:uid="{00000000-0005-0000-0000-00000D100000}"/>
    <cellStyle name="Accent4 2 34" xfId="3616" xr:uid="{00000000-0005-0000-0000-00000E100000}"/>
    <cellStyle name="Accent4 2 35" xfId="3617" xr:uid="{00000000-0005-0000-0000-00000F100000}"/>
    <cellStyle name="Accent4 2 36" xfId="3618" xr:uid="{00000000-0005-0000-0000-000010100000}"/>
    <cellStyle name="Accent4 2 37" xfId="3619" xr:uid="{00000000-0005-0000-0000-000011100000}"/>
    <cellStyle name="Accent4 2 38" xfId="3620" xr:uid="{00000000-0005-0000-0000-000012100000}"/>
    <cellStyle name="Accent4 2 39" xfId="3621" xr:uid="{00000000-0005-0000-0000-000013100000}"/>
    <cellStyle name="Accent4 2 4" xfId="3622" xr:uid="{00000000-0005-0000-0000-000014100000}"/>
    <cellStyle name="Accent4 2 40" xfId="3623" xr:uid="{00000000-0005-0000-0000-000015100000}"/>
    <cellStyle name="Accent4 2 41" xfId="3624" xr:uid="{00000000-0005-0000-0000-000016100000}"/>
    <cellStyle name="Accent4 2 42" xfId="3625" xr:uid="{00000000-0005-0000-0000-000017100000}"/>
    <cellStyle name="Accent4 2 5" xfId="3626" xr:uid="{00000000-0005-0000-0000-000018100000}"/>
    <cellStyle name="Accent4 2 6" xfId="3627" xr:uid="{00000000-0005-0000-0000-000019100000}"/>
    <cellStyle name="Accent4 2 7" xfId="3628" xr:uid="{00000000-0005-0000-0000-00001A100000}"/>
    <cellStyle name="Accent4 2 8" xfId="3629" xr:uid="{00000000-0005-0000-0000-00001B100000}"/>
    <cellStyle name="Accent4 2 9" xfId="3630" xr:uid="{00000000-0005-0000-0000-00001C100000}"/>
    <cellStyle name="Accent4 2_DATA Input" xfId="3631" xr:uid="{00000000-0005-0000-0000-00001D100000}"/>
    <cellStyle name="Accent4 20" xfId="3632" xr:uid="{00000000-0005-0000-0000-00001E100000}"/>
    <cellStyle name="Accent4 21" xfId="3633" xr:uid="{00000000-0005-0000-0000-00001F100000}"/>
    <cellStyle name="Accent4 22" xfId="3634" xr:uid="{00000000-0005-0000-0000-000020100000}"/>
    <cellStyle name="Accent4 23" xfId="3635" xr:uid="{00000000-0005-0000-0000-000021100000}"/>
    <cellStyle name="Accent4 24" xfId="3636" xr:uid="{00000000-0005-0000-0000-000022100000}"/>
    <cellStyle name="Accent4 3" xfId="3637" xr:uid="{00000000-0005-0000-0000-000023100000}"/>
    <cellStyle name="Accent4 3 10" xfId="3638" xr:uid="{00000000-0005-0000-0000-000024100000}"/>
    <cellStyle name="Accent4 3 11" xfId="3639" xr:uid="{00000000-0005-0000-0000-000025100000}"/>
    <cellStyle name="Accent4 3 12" xfId="3640" xr:uid="{00000000-0005-0000-0000-000026100000}"/>
    <cellStyle name="Accent4 3 13" xfId="3641" xr:uid="{00000000-0005-0000-0000-000027100000}"/>
    <cellStyle name="Accent4 3 14" xfId="3642" xr:uid="{00000000-0005-0000-0000-000028100000}"/>
    <cellStyle name="Accent4 3 15" xfId="3643" xr:uid="{00000000-0005-0000-0000-000029100000}"/>
    <cellStyle name="Accent4 3 16" xfId="3644" xr:uid="{00000000-0005-0000-0000-00002A100000}"/>
    <cellStyle name="Accent4 3 17" xfId="3645" xr:uid="{00000000-0005-0000-0000-00002B100000}"/>
    <cellStyle name="Accent4 3 18" xfId="3646" xr:uid="{00000000-0005-0000-0000-00002C100000}"/>
    <cellStyle name="Accent4 3 19" xfId="3647" xr:uid="{00000000-0005-0000-0000-00002D100000}"/>
    <cellStyle name="Accent4 3 2" xfId="3648" xr:uid="{00000000-0005-0000-0000-00002E100000}"/>
    <cellStyle name="Accent4 3 20" xfId="3649" xr:uid="{00000000-0005-0000-0000-00002F100000}"/>
    <cellStyle name="Accent4 3 21" xfId="3650" xr:uid="{00000000-0005-0000-0000-000030100000}"/>
    <cellStyle name="Accent4 3 22" xfId="3651" xr:uid="{00000000-0005-0000-0000-000031100000}"/>
    <cellStyle name="Accent4 3 23" xfId="3652" xr:uid="{00000000-0005-0000-0000-000032100000}"/>
    <cellStyle name="Accent4 3 24" xfId="3653" xr:uid="{00000000-0005-0000-0000-000033100000}"/>
    <cellStyle name="Accent4 3 25" xfId="3654" xr:uid="{00000000-0005-0000-0000-000034100000}"/>
    <cellStyle name="Accent4 3 26" xfId="3655" xr:uid="{00000000-0005-0000-0000-000035100000}"/>
    <cellStyle name="Accent4 3 27" xfId="3656" xr:uid="{00000000-0005-0000-0000-000036100000}"/>
    <cellStyle name="Accent4 3 28" xfId="3657" xr:uid="{00000000-0005-0000-0000-000037100000}"/>
    <cellStyle name="Accent4 3 29" xfId="3658" xr:uid="{00000000-0005-0000-0000-000038100000}"/>
    <cellStyle name="Accent4 3 3" xfId="3659" xr:uid="{00000000-0005-0000-0000-000039100000}"/>
    <cellStyle name="Accent4 3 30" xfId="3660" xr:uid="{00000000-0005-0000-0000-00003A100000}"/>
    <cellStyle name="Accent4 3 31" xfId="3661" xr:uid="{00000000-0005-0000-0000-00003B100000}"/>
    <cellStyle name="Accent4 3 32" xfId="3662" xr:uid="{00000000-0005-0000-0000-00003C100000}"/>
    <cellStyle name="Accent4 3 4" xfId="3663" xr:uid="{00000000-0005-0000-0000-00003D100000}"/>
    <cellStyle name="Accent4 3 5" xfId="3664" xr:uid="{00000000-0005-0000-0000-00003E100000}"/>
    <cellStyle name="Accent4 3 6" xfId="3665" xr:uid="{00000000-0005-0000-0000-00003F100000}"/>
    <cellStyle name="Accent4 3 7" xfId="3666" xr:uid="{00000000-0005-0000-0000-000040100000}"/>
    <cellStyle name="Accent4 3 8" xfId="3667" xr:uid="{00000000-0005-0000-0000-000041100000}"/>
    <cellStyle name="Accent4 3 9" xfId="3668" xr:uid="{00000000-0005-0000-0000-000042100000}"/>
    <cellStyle name="Accent4 4" xfId="3669" xr:uid="{00000000-0005-0000-0000-000043100000}"/>
    <cellStyle name="Accent4 5" xfId="3670" xr:uid="{00000000-0005-0000-0000-000044100000}"/>
    <cellStyle name="Accent4 6" xfId="3671" xr:uid="{00000000-0005-0000-0000-000045100000}"/>
    <cellStyle name="Accent4 7" xfId="3672" xr:uid="{00000000-0005-0000-0000-000046100000}"/>
    <cellStyle name="Accent4 8" xfId="3673" xr:uid="{00000000-0005-0000-0000-000047100000}"/>
    <cellStyle name="Accent4 9" xfId="3674" xr:uid="{00000000-0005-0000-0000-000048100000}"/>
    <cellStyle name="Accent5 - 20%" xfId="86" xr:uid="{00000000-0005-0000-0000-000049100000}"/>
    <cellStyle name="Accent5 - 40%" xfId="87" xr:uid="{00000000-0005-0000-0000-00004A100000}"/>
    <cellStyle name="Accent5 - 60%" xfId="88" xr:uid="{00000000-0005-0000-0000-00004B100000}"/>
    <cellStyle name="Accent5 10" xfId="3675" xr:uid="{00000000-0005-0000-0000-00004C100000}"/>
    <cellStyle name="Accent5 11" xfId="3676" xr:uid="{00000000-0005-0000-0000-00004D100000}"/>
    <cellStyle name="Accent5 12" xfId="3677" xr:uid="{00000000-0005-0000-0000-00004E100000}"/>
    <cellStyle name="Accent5 13" xfId="3678" xr:uid="{00000000-0005-0000-0000-00004F100000}"/>
    <cellStyle name="Accent5 14" xfId="3679" xr:uid="{00000000-0005-0000-0000-000050100000}"/>
    <cellStyle name="Accent5 15" xfId="3680" xr:uid="{00000000-0005-0000-0000-000051100000}"/>
    <cellStyle name="Accent5 16" xfId="3681" xr:uid="{00000000-0005-0000-0000-000052100000}"/>
    <cellStyle name="Accent5 17" xfId="3682" xr:uid="{00000000-0005-0000-0000-000053100000}"/>
    <cellStyle name="Accent5 18" xfId="3683" xr:uid="{00000000-0005-0000-0000-000054100000}"/>
    <cellStyle name="Accent5 19" xfId="3684" xr:uid="{00000000-0005-0000-0000-000055100000}"/>
    <cellStyle name="Accent5 2" xfId="89" xr:uid="{00000000-0005-0000-0000-000056100000}"/>
    <cellStyle name="Accent5 2 10" xfId="3685" xr:uid="{00000000-0005-0000-0000-000057100000}"/>
    <cellStyle name="Accent5 2 11" xfId="3686" xr:uid="{00000000-0005-0000-0000-000058100000}"/>
    <cellStyle name="Accent5 2 12" xfId="3687" xr:uid="{00000000-0005-0000-0000-000059100000}"/>
    <cellStyle name="Accent5 2 13" xfId="3688" xr:uid="{00000000-0005-0000-0000-00005A100000}"/>
    <cellStyle name="Accent5 2 14" xfId="3689" xr:uid="{00000000-0005-0000-0000-00005B100000}"/>
    <cellStyle name="Accent5 2 15" xfId="3690" xr:uid="{00000000-0005-0000-0000-00005C100000}"/>
    <cellStyle name="Accent5 2 16" xfId="3691" xr:uid="{00000000-0005-0000-0000-00005D100000}"/>
    <cellStyle name="Accent5 2 17" xfId="3692" xr:uid="{00000000-0005-0000-0000-00005E100000}"/>
    <cellStyle name="Accent5 2 18" xfId="3693" xr:uid="{00000000-0005-0000-0000-00005F100000}"/>
    <cellStyle name="Accent5 2 19" xfId="3694" xr:uid="{00000000-0005-0000-0000-000060100000}"/>
    <cellStyle name="Accent5 2 2" xfId="3695" xr:uid="{00000000-0005-0000-0000-000061100000}"/>
    <cellStyle name="Accent5 2 20" xfId="3696" xr:uid="{00000000-0005-0000-0000-000062100000}"/>
    <cellStyle name="Accent5 2 21" xfId="3697" xr:uid="{00000000-0005-0000-0000-000063100000}"/>
    <cellStyle name="Accent5 2 22" xfId="3698" xr:uid="{00000000-0005-0000-0000-000064100000}"/>
    <cellStyle name="Accent5 2 23" xfId="3699" xr:uid="{00000000-0005-0000-0000-000065100000}"/>
    <cellStyle name="Accent5 2 24" xfId="3700" xr:uid="{00000000-0005-0000-0000-000066100000}"/>
    <cellStyle name="Accent5 2 25" xfId="3701" xr:uid="{00000000-0005-0000-0000-000067100000}"/>
    <cellStyle name="Accent5 2 26" xfId="3702" xr:uid="{00000000-0005-0000-0000-000068100000}"/>
    <cellStyle name="Accent5 2 27" xfId="3703" xr:uid="{00000000-0005-0000-0000-000069100000}"/>
    <cellStyle name="Accent5 2 28" xfId="3704" xr:uid="{00000000-0005-0000-0000-00006A100000}"/>
    <cellStyle name="Accent5 2 29" xfId="3705" xr:uid="{00000000-0005-0000-0000-00006B100000}"/>
    <cellStyle name="Accent5 2 3" xfId="3706" xr:uid="{00000000-0005-0000-0000-00006C100000}"/>
    <cellStyle name="Accent5 2 30" xfId="3707" xr:uid="{00000000-0005-0000-0000-00006D100000}"/>
    <cellStyle name="Accent5 2 31" xfId="3708" xr:uid="{00000000-0005-0000-0000-00006E100000}"/>
    <cellStyle name="Accent5 2 32" xfId="3709" xr:uid="{00000000-0005-0000-0000-00006F100000}"/>
    <cellStyle name="Accent5 2 33" xfId="3710" xr:uid="{00000000-0005-0000-0000-000070100000}"/>
    <cellStyle name="Accent5 2 34" xfId="3711" xr:uid="{00000000-0005-0000-0000-000071100000}"/>
    <cellStyle name="Accent5 2 35" xfId="3712" xr:uid="{00000000-0005-0000-0000-000072100000}"/>
    <cellStyle name="Accent5 2 36" xfId="3713" xr:uid="{00000000-0005-0000-0000-000073100000}"/>
    <cellStyle name="Accent5 2 37" xfId="3714" xr:uid="{00000000-0005-0000-0000-000074100000}"/>
    <cellStyle name="Accent5 2 38" xfId="3715" xr:uid="{00000000-0005-0000-0000-000075100000}"/>
    <cellStyle name="Accent5 2 39" xfId="3716" xr:uid="{00000000-0005-0000-0000-000076100000}"/>
    <cellStyle name="Accent5 2 4" xfId="3717" xr:uid="{00000000-0005-0000-0000-000077100000}"/>
    <cellStyle name="Accent5 2 40" xfId="3718" xr:uid="{00000000-0005-0000-0000-000078100000}"/>
    <cellStyle name="Accent5 2 41" xfId="3719" xr:uid="{00000000-0005-0000-0000-000079100000}"/>
    <cellStyle name="Accent5 2 42" xfId="3720" xr:uid="{00000000-0005-0000-0000-00007A100000}"/>
    <cellStyle name="Accent5 2 5" xfId="3721" xr:uid="{00000000-0005-0000-0000-00007B100000}"/>
    <cellStyle name="Accent5 2 6" xfId="3722" xr:uid="{00000000-0005-0000-0000-00007C100000}"/>
    <cellStyle name="Accent5 2 7" xfId="3723" xr:uid="{00000000-0005-0000-0000-00007D100000}"/>
    <cellStyle name="Accent5 2 8" xfId="3724" xr:uid="{00000000-0005-0000-0000-00007E100000}"/>
    <cellStyle name="Accent5 2 9" xfId="3725" xr:uid="{00000000-0005-0000-0000-00007F100000}"/>
    <cellStyle name="Accent5 2_DATA Input" xfId="3726" xr:uid="{00000000-0005-0000-0000-000080100000}"/>
    <cellStyle name="Accent5 20" xfId="3727" xr:uid="{00000000-0005-0000-0000-000081100000}"/>
    <cellStyle name="Accent5 21" xfId="3728" xr:uid="{00000000-0005-0000-0000-000082100000}"/>
    <cellStyle name="Accent5 22" xfId="3729" xr:uid="{00000000-0005-0000-0000-000083100000}"/>
    <cellStyle name="Accent5 23" xfId="3730" xr:uid="{00000000-0005-0000-0000-000084100000}"/>
    <cellStyle name="Accent5 24" xfId="3731" xr:uid="{00000000-0005-0000-0000-000085100000}"/>
    <cellStyle name="Accent5 3" xfId="3732" xr:uid="{00000000-0005-0000-0000-000086100000}"/>
    <cellStyle name="Accent5 3 10" xfId="3733" xr:uid="{00000000-0005-0000-0000-000087100000}"/>
    <cellStyle name="Accent5 3 11" xfId="3734" xr:uid="{00000000-0005-0000-0000-000088100000}"/>
    <cellStyle name="Accent5 3 12" xfId="3735" xr:uid="{00000000-0005-0000-0000-000089100000}"/>
    <cellStyle name="Accent5 3 13" xfId="3736" xr:uid="{00000000-0005-0000-0000-00008A100000}"/>
    <cellStyle name="Accent5 3 14" xfId="3737" xr:uid="{00000000-0005-0000-0000-00008B100000}"/>
    <cellStyle name="Accent5 3 15" xfId="3738" xr:uid="{00000000-0005-0000-0000-00008C100000}"/>
    <cellStyle name="Accent5 3 16" xfId="3739" xr:uid="{00000000-0005-0000-0000-00008D100000}"/>
    <cellStyle name="Accent5 3 17" xfId="3740" xr:uid="{00000000-0005-0000-0000-00008E100000}"/>
    <cellStyle name="Accent5 3 18" xfId="3741" xr:uid="{00000000-0005-0000-0000-00008F100000}"/>
    <cellStyle name="Accent5 3 19" xfId="3742" xr:uid="{00000000-0005-0000-0000-000090100000}"/>
    <cellStyle name="Accent5 3 2" xfId="3743" xr:uid="{00000000-0005-0000-0000-000091100000}"/>
    <cellStyle name="Accent5 3 20" xfId="3744" xr:uid="{00000000-0005-0000-0000-000092100000}"/>
    <cellStyle name="Accent5 3 21" xfId="3745" xr:uid="{00000000-0005-0000-0000-000093100000}"/>
    <cellStyle name="Accent5 3 22" xfId="3746" xr:uid="{00000000-0005-0000-0000-000094100000}"/>
    <cellStyle name="Accent5 3 23" xfId="3747" xr:uid="{00000000-0005-0000-0000-000095100000}"/>
    <cellStyle name="Accent5 3 24" xfId="3748" xr:uid="{00000000-0005-0000-0000-000096100000}"/>
    <cellStyle name="Accent5 3 25" xfId="3749" xr:uid="{00000000-0005-0000-0000-000097100000}"/>
    <cellStyle name="Accent5 3 26" xfId="3750" xr:uid="{00000000-0005-0000-0000-000098100000}"/>
    <cellStyle name="Accent5 3 27" xfId="3751" xr:uid="{00000000-0005-0000-0000-000099100000}"/>
    <cellStyle name="Accent5 3 28" xfId="3752" xr:uid="{00000000-0005-0000-0000-00009A100000}"/>
    <cellStyle name="Accent5 3 29" xfId="3753" xr:uid="{00000000-0005-0000-0000-00009B100000}"/>
    <cellStyle name="Accent5 3 3" xfId="3754" xr:uid="{00000000-0005-0000-0000-00009C100000}"/>
    <cellStyle name="Accent5 3 30" xfId="3755" xr:uid="{00000000-0005-0000-0000-00009D100000}"/>
    <cellStyle name="Accent5 3 31" xfId="3756" xr:uid="{00000000-0005-0000-0000-00009E100000}"/>
    <cellStyle name="Accent5 3 32" xfId="3757" xr:uid="{00000000-0005-0000-0000-00009F100000}"/>
    <cellStyle name="Accent5 3 4" xfId="3758" xr:uid="{00000000-0005-0000-0000-0000A0100000}"/>
    <cellStyle name="Accent5 3 5" xfId="3759" xr:uid="{00000000-0005-0000-0000-0000A1100000}"/>
    <cellStyle name="Accent5 3 6" xfId="3760" xr:uid="{00000000-0005-0000-0000-0000A2100000}"/>
    <cellStyle name="Accent5 3 7" xfId="3761" xr:uid="{00000000-0005-0000-0000-0000A3100000}"/>
    <cellStyle name="Accent5 3 8" xfId="3762" xr:uid="{00000000-0005-0000-0000-0000A4100000}"/>
    <cellStyle name="Accent5 3 9" xfId="3763" xr:uid="{00000000-0005-0000-0000-0000A5100000}"/>
    <cellStyle name="Accent5 4" xfId="3764" xr:uid="{00000000-0005-0000-0000-0000A6100000}"/>
    <cellStyle name="Accent5 5" xfId="3765" xr:uid="{00000000-0005-0000-0000-0000A7100000}"/>
    <cellStyle name="Accent5 6" xfId="3766" xr:uid="{00000000-0005-0000-0000-0000A8100000}"/>
    <cellStyle name="Accent5 7" xfId="3767" xr:uid="{00000000-0005-0000-0000-0000A9100000}"/>
    <cellStyle name="Accent5 8" xfId="3768" xr:uid="{00000000-0005-0000-0000-0000AA100000}"/>
    <cellStyle name="Accent5 9" xfId="3769" xr:uid="{00000000-0005-0000-0000-0000AB100000}"/>
    <cellStyle name="Accent6 - 20%" xfId="90" xr:uid="{00000000-0005-0000-0000-0000AC100000}"/>
    <cellStyle name="Accent6 - 40%" xfId="91" xr:uid="{00000000-0005-0000-0000-0000AD100000}"/>
    <cellStyle name="Accent6 - 60%" xfId="92" xr:uid="{00000000-0005-0000-0000-0000AE100000}"/>
    <cellStyle name="Accent6 10" xfId="3770" xr:uid="{00000000-0005-0000-0000-0000AF100000}"/>
    <cellStyle name="Accent6 11" xfId="3771" xr:uid="{00000000-0005-0000-0000-0000B0100000}"/>
    <cellStyle name="Accent6 12" xfId="3772" xr:uid="{00000000-0005-0000-0000-0000B1100000}"/>
    <cellStyle name="Accent6 13" xfId="3773" xr:uid="{00000000-0005-0000-0000-0000B2100000}"/>
    <cellStyle name="Accent6 14" xfId="3774" xr:uid="{00000000-0005-0000-0000-0000B3100000}"/>
    <cellStyle name="Accent6 15" xfId="3775" xr:uid="{00000000-0005-0000-0000-0000B4100000}"/>
    <cellStyle name="Accent6 16" xfId="3776" xr:uid="{00000000-0005-0000-0000-0000B5100000}"/>
    <cellStyle name="Accent6 17" xfId="3777" xr:uid="{00000000-0005-0000-0000-0000B6100000}"/>
    <cellStyle name="Accent6 18" xfId="3778" xr:uid="{00000000-0005-0000-0000-0000B7100000}"/>
    <cellStyle name="Accent6 19" xfId="3779" xr:uid="{00000000-0005-0000-0000-0000B8100000}"/>
    <cellStyle name="Accent6 2" xfId="93" xr:uid="{00000000-0005-0000-0000-0000B9100000}"/>
    <cellStyle name="Accent6 2 10" xfId="3780" xr:uid="{00000000-0005-0000-0000-0000BA100000}"/>
    <cellStyle name="Accent6 2 11" xfId="3781" xr:uid="{00000000-0005-0000-0000-0000BB100000}"/>
    <cellStyle name="Accent6 2 12" xfId="3782" xr:uid="{00000000-0005-0000-0000-0000BC100000}"/>
    <cellStyle name="Accent6 2 13" xfId="3783" xr:uid="{00000000-0005-0000-0000-0000BD100000}"/>
    <cellStyle name="Accent6 2 14" xfId="3784" xr:uid="{00000000-0005-0000-0000-0000BE100000}"/>
    <cellStyle name="Accent6 2 15" xfId="3785" xr:uid="{00000000-0005-0000-0000-0000BF100000}"/>
    <cellStyle name="Accent6 2 16" xfId="3786" xr:uid="{00000000-0005-0000-0000-0000C0100000}"/>
    <cellStyle name="Accent6 2 17" xfId="3787" xr:uid="{00000000-0005-0000-0000-0000C1100000}"/>
    <cellStyle name="Accent6 2 18" xfId="3788" xr:uid="{00000000-0005-0000-0000-0000C2100000}"/>
    <cellStyle name="Accent6 2 19" xfId="3789" xr:uid="{00000000-0005-0000-0000-0000C3100000}"/>
    <cellStyle name="Accent6 2 2" xfId="3790" xr:uid="{00000000-0005-0000-0000-0000C4100000}"/>
    <cellStyle name="Accent6 2 20" xfId="3791" xr:uid="{00000000-0005-0000-0000-0000C5100000}"/>
    <cellStyle name="Accent6 2 21" xfId="3792" xr:uid="{00000000-0005-0000-0000-0000C6100000}"/>
    <cellStyle name="Accent6 2 22" xfId="3793" xr:uid="{00000000-0005-0000-0000-0000C7100000}"/>
    <cellStyle name="Accent6 2 23" xfId="3794" xr:uid="{00000000-0005-0000-0000-0000C8100000}"/>
    <cellStyle name="Accent6 2 24" xfId="3795" xr:uid="{00000000-0005-0000-0000-0000C9100000}"/>
    <cellStyle name="Accent6 2 25" xfId="3796" xr:uid="{00000000-0005-0000-0000-0000CA100000}"/>
    <cellStyle name="Accent6 2 26" xfId="3797" xr:uid="{00000000-0005-0000-0000-0000CB100000}"/>
    <cellStyle name="Accent6 2 27" xfId="3798" xr:uid="{00000000-0005-0000-0000-0000CC100000}"/>
    <cellStyle name="Accent6 2 28" xfId="3799" xr:uid="{00000000-0005-0000-0000-0000CD100000}"/>
    <cellStyle name="Accent6 2 29" xfId="3800" xr:uid="{00000000-0005-0000-0000-0000CE100000}"/>
    <cellStyle name="Accent6 2 3" xfId="3801" xr:uid="{00000000-0005-0000-0000-0000CF100000}"/>
    <cellStyle name="Accent6 2 30" xfId="3802" xr:uid="{00000000-0005-0000-0000-0000D0100000}"/>
    <cellStyle name="Accent6 2 31" xfId="3803" xr:uid="{00000000-0005-0000-0000-0000D1100000}"/>
    <cellStyle name="Accent6 2 32" xfId="3804" xr:uid="{00000000-0005-0000-0000-0000D2100000}"/>
    <cellStyle name="Accent6 2 33" xfId="3805" xr:uid="{00000000-0005-0000-0000-0000D3100000}"/>
    <cellStyle name="Accent6 2 34" xfId="3806" xr:uid="{00000000-0005-0000-0000-0000D4100000}"/>
    <cellStyle name="Accent6 2 35" xfId="3807" xr:uid="{00000000-0005-0000-0000-0000D5100000}"/>
    <cellStyle name="Accent6 2 36" xfId="3808" xr:uid="{00000000-0005-0000-0000-0000D6100000}"/>
    <cellStyle name="Accent6 2 37" xfId="3809" xr:uid="{00000000-0005-0000-0000-0000D7100000}"/>
    <cellStyle name="Accent6 2 38" xfId="3810" xr:uid="{00000000-0005-0000-0000-0000D8100000}"/>
    <cellStyle name="Accent6 2 39" xfId="3811" xr:uid="{00000000-0005-0000-0000-0000D9100000}"/>
    <cellStyle name="Accent6 2 4" xfId="3812" xr:uid="{00000000-0005-0000-0000-0000DA100000}"/>
    <cellStyle name="Accent6 2 40" xfId="3813" xr:uid="{00000000-0005-0000-0000-0000DB100000}"/>
    <cellStyle name="Accent6 2 41" xfId="3814" xr:uid="{00000000-0005-0000-0000-0000DC100000}"/>
    <cellStyle name="Accent6 2 42" xfId="3815" xr:uid="{00000000-0005-0000-0000-0000DD100000}"/>
    <cellStyle name="Accent6 2 5" xfId="3816" xr:uid="{00000000-0005-0000-0000-0000DE100000}"/>
    <cellStyle name="Accent6 2 6" xfId="3817" xr:uid="{00000000-0005-0000-0000-0000DF100000}"/>
    <cellStyle name="Accent6 2 7" xfId="3818" xr:uid="{00000000-0005-0000-0000-0000E0100000}"/>
    <cellStyle name="Accent6 2 8" xfId="3819" xr:uid="{00000000-0005-0000-0000-0000E1100000}"/>
    <cellStyle name="Accent6 2 9" xfId="3820" xr:uid="{00000000-0005-0000-0000-0000E2100000}"/>
    <cellStyle name="Accent6 2_DATA Input" xfId="3821" xr:uid="{00000000-0005-0000-0000-0000E3100000}"/>
    <cellStyle name="Accent6 20" xfId="3822" xr:uid="{00000000-0005-0000-0000-0000E4100000}"/>
    <cellStyle name="Accent6 21" xfId="3823" xr:uid="{00000000-0005-0000-0000-0000E5100000}"/>
    <cellStyle name="Accent6 22" xfId="3824" xr:uid="{00000000-0005-0000-0000-0000E6100000}"/>
    <cellStyle name="Accent6 23" xfId="3825" xr:uid="{00000000-0005-0000-0000-0000E7100000}"/>
    <cellStyle name="Accent6 24" xfId="3826" xr:uid="{00000000-0005-0000-0000-0000E8100000}"/>
    <cellStyle name="Accent6 3" xfId="3827" xr:uid="{00000000-0005-0000-0000-0000E9100000}"/>
    <cellStyle name="Accent6 3 10" xfId="3828" xr:uid="{00000000-0005-0000-0000-0000EA100000}"/>
    <cellStyle name="Accent6 3 11" xfId="3829" xr:uid="{00000000-0005-0000-0000-0000EB100000}"/>
    <cellStyle name="Accent6 3 12" xfId="3830" xr:uid="{00000000-0005-0000-0000-0000EC100000}"/>
    <cellStyle name="Accent6 3 13" xfId="3831" xr:uid="{00000000-0005-0000-0000-0000ED100000}"/>
    <cellStyle name="Accent6 3 14" xfId="3832" xr:uid="{00000000-0005-0000-0000-0000EE100000}"/>
    <cellStyle name="Accent6 3 15" xfId="3833" xr:uid="{00000000-0005-0000-0000-0000EF100000}"/>
    <cellStyle name="Accent6 3 16" xfId="3834" xr:uid="{00000000-0005-0000-0000-0000F0100000}"/>
    <cellStyle name="Accent6 3 17" xfId="3835" xr:uid="{00000000-0005-0000-0000-0000F1100000}"/>
    <cellStyle name="Accent6 3 18" xfId="3836" xr:uid="{00000000-0005-0000-0000-0000F2100000}"/>
    <cellStyle name="Accent6 3 19" xfId="3837" xr:uid="{00000000-0005-0000-0000-0000F3100000}"/>
    <cellStyle name="Accent6 3 2" xfId="3838" xr:uid="{00000000-0005-0000-0000-0000F4100000}"/>
    <cellStyle name="Accent6 3 20" xfId="3839" xr:uid="{00000000-0005-0000-0000-0000F5100000}"/>
    <cellStyle name="Accent6 3 21" xfId="3840" xr:uid="{00000000-0005-0000-0000-0000F6100000}"/>
    <cellStyle name="Accent6 3 22" xfId="3841" xr:uid="{00000000-0005-0000-0000-0000F7100000}"/>
    <cellStyle name="Accent6 3 23" xfId="3842" xr:uid="{00000000-0005-0000-0000-0000F8100000}"/>
    <cellStyle name="Accent6 3 24" xfId="3843" xr:uid="{00000000-0005-0000-0000-0000F9100000}"/>
    <cellStyle name="Accent6 3 25" xfId="3844" xr:uid="{00000000-0005-0000-0000-0000FA100000}"/>
    <cellStyle name="Accent6 3 26" xfId="3845" xr:uid="{00000000-0005-0000-0000-0000FB100000}"/>
    <cellStyle name="Accent6 3 27" xfId="3846" xr:uid="{00000000-0005-0000-0000-0000FC100000}"/>
    <cellStyle name="Accent6 3 28" xfId="3847" xr:uid="{00000000-0005-0000-0000-0000FD100000}"/>
    <cellStyle name="Accent6 3 29" xfId="3848" xr:uid="{00000000-0005-0000-0000-0000FE100000}"/>
    <cellStyle name="Accent6 3 3" xfId="3849" xr:uid="{00000000-0005-0000-0000-0000FF100000}"/>
    <cellStyle name="Accent6 3 30" xfId="3850" xr:uid="{00000000-0005-0000-0000-000000110000}"/>
    <cellStyle name="Accent6 3 31" xfId="3851" xr:uid="{00000000-0005-0000-0000-000001110000}"/>
    <cellStyle name="Accent6 3 32" xfId="3852" xr:uid="{00000000-0005-0000-0000-000002110000}"/>
    <cellStyle name="Accent6 3 4" xfId="3853" xr:uid="{00000000-0005-0000-0000-000003110000}"/>
    <cellStyle name="Accent6 3 5" xfId="3854" xr:uid="{00000000-0005-0000-0000-000004110000}"/>
    <cellStyle name="Accent6 3 6" xfId="3855" xr:uid="{00000000-0005-0000-0000-000005110000}"/>
    <cellStyle name="Accent6 3 7" xfId="3856" xr:uid="{00000000-0005-0000-0000-000006110000}"/>
    <cellStyle name="Accent6 3 8" xfId="3857" xr:uid="{00000000-0005-0000-0000-000007110000}"/>
    <cellStyle name="Accent6 3 9" xfId="3858" xr:uid="{00000000-0005-0000-0000-000008110000}"/>
    <cellStyle name="Accent6 4" xfId="3859" xr:uid="{00000000-0005-0000-0000-000009110000}"/>
    <cellStyle name="Accent6 5" xfId="3860" xr:uid="{00000000-0005-0000-0000-00000A110000}"/>
    <cellStyle name="Accent6 6" xfId="3861" xr:uid="{00000000-0005-0000-0000-00000B110000}"/>
    <cellStyle name="Accent6 7" xfId="3862" xr:uid="{00000000-0005-0000-0000-00000C110000}"/>
    <cellStyle name="Accent6 8" xfId="3863" xr:uid="{00000000-0005-0000-0000-00000D110000}"/>
    <cellStyle name="Accent6 9" xfId="3864" xr:uid="{00000000-0005-0000-0000-00000E110000}"/>
    <cellStyle name="Acctg" xfId="3865" xr:uid="{00000000-0005-0000-0000-00000F110000}"/>
    <cellStyle name="AeE­ [0]_¿­¸° INT" xfId="94" xr:uid="{00000000-0005-0000-0000-000010110000}"/>
    <cellStyle name="ÅëÈ­ [0]_±âÅ¸" xfId="95" xr:uid="{00000000-0005-0000-0000-000011110000}"/>
    <cellStyle name="AeE­ [0]_INQUIRY ¿μ¾÷AßAø " xfId="96" xr:uid="{00000000-0005-0000-0000-000012110000}"/>
    <cellStyle name="AeE­_¿­¸° INT" xfId="97" xr:uid="{00000000-0005-0000-0000-000013110000}"/>
    <cellStyle name="ÅëÈ­_±âÅ¸" xfId="98" xr:uid="{00000000-0005-0000-0000-000014110000}"/>
    <cellStyle name="AeE­_INQUIRY ¿μ¾÷AßAø " xfId="99" xr:uid="{00000000-0005-0000-0000-000015110000}"/>
    <cellStyle name="AFE" xfId="3866" xr:uid="{00000000-0005-0000-0000-000016110000}"/>
    <cellStyle name="al" xfId="3867" xr:uid="{00000000-0005-0000-0000-000017110000}"/>
    <cellStyle name="ALIGNMENT" xfId="100" xr:uid="{00000000-0005-0000-0000-000018110000}"/>
    <cellStyle name="ALL" xfId="3868" xr:uid="{00000000-0005-0000-0000-000019110000}"/>
    <cellStyle name="area" xfId="101" xr:uid="{00000000-0005-0000-0000-00001A110000}"/>
    <cellStyle name="area 2" xfId="102" xr:uid="{00000000-0005-0000-0000-00001B110000}"/>
    <cellStyle name="area 2 2" xfId="19400" xr:uid="{00000000-0005-0000-0000-00001C110000}"/>
    <cellStyle name="area 3" xfId="103" xr:uid="{00000000-0005-0000-0000-00001D110000}"/>
    <cellStyle name="area 3 2" xfId="19401" xr:uid="{00000000-0005-0000-0000-00001E110000}"/>
    <cellStyle name="area 4" xfId="104" xr:uid="{00000000-0005-0000-0000-00001F110000}"/>
    <cellStyle name="area 4 2" xfId="19402" xr:uid="{00000000-0005-0000-0000-000020110000}"/>
    <cellStyle name="area 5" xfId="19399" xr:uid="{00000000-0005-0000-0000-000021110000}"/>
    <cellStyle name="args.style" xfId="105" xr:uid="{00000000-0005-0000-0000-000022110000}"/>
    <cellStyle name="args.style 10" xfId="3869" xr:uid="{00000000-0005-0000-0000-000023110000}"/>
    <cellStyle name="args.style 11" xfId="3870" xr:uid="{00000000-0005-0000-0000-000024110000}"/>
    <cellStyle name="args.style 12" xfId="3871" xr:uid="{00000000-0005-0000-0000-000025110000}"/>
    <cellStyle name="args.style 13" xfId="3872" xr:uid="{00000000-0005-0000-0000-000026110000}"/>
    <cellStyle name="args.style 14" xfId="3873" xr:uid="{00000000-0005-0000-0000-000027110000}"/>
    <cellStyle name="args.style 15" xfId="3874" xr:uid="{00000000-0005-0000-0000-000028110000}"/>
    <cellStyle name="args.style 16" xfId="3875" xr:uid="{00000000-0005-0000-0000-000029110000}"/>
    <cellStyle name="args.style 17" xfId="3876" xr:uid="{00000000-0005-0000-0000-00002A110000}"/>
    <cellStyle name="args.style 18" xfId="3877" xr:uid="{00000000-0005-0000-0000-00002B110000}"/>
    <cellStyle name="args.style 19" xfId="3878" xr:uid="{00000000-0005-0000-0000-00002C110000}"/>
    <cellStyle name="args.style 2" xfId="3879" xr:uid="{00000000-0005-0000-0000-00002D110000}"/>
    <cellStyle name="args.style 20" xfId="3880" xr:uid="{00000000-0005-0000-0000-00002E110000}"/>
    <cellStyle name="args.style 21" xfId="3881" xr:uid="{00000000-0005-0000-0000-00002F110000}"/>
    <cellStyle name="args.style 22" xfId="3882" xr:uid="{00000000-0005-0000-0000-000030110000}"/>
    <cellStyle name="args.style 23" xfId="3883" xr:uid="{00000000-0005-0000-0000-000031110000}"/>
    <cellStyle name="args.style 24" xfId="3884" xr:uid="{00000000-0005-0000-0000-000032110000}"/>
    <cellStyle name="args.style 25" xfId="3885" xr:uid="{00000000-0005-0000-0000-000033110000}"/>
    <cellStyle name="args.style 26" xfId="3886" xr:uid="{00000000-0005-0000-0000-000034110000}"/>
    <cellStyle name="args.style 27" xfId="3887" xr:uid="{00000000-0005-0000-0000-000035110000}"/>
    <cellStyle name="args.style 28" xfId="3888" xr:uid="{00000000-0005-0000-0000-000036110000}"/>
    <cellStyle name="args.style 29" xfId="3889" xr:uid="{00000000-0005-0000-0000-000037110000}"/>
    <cellStyle name="args.style 3" xfId="3890" xr:uid="{00000000-0005-0000-0000-000038110000}"/>
    <cellStyle name="args.style 30" xfId="3891" xr:uid="{00000000-0005-0000-0000-000039110000}"/>
    <cellStyle name="args.style 31" xfId="3892" xr:uid="{00000000-0005-0000-0000-00003A110000}"/>
    <cellStyle name="args.style 32" xfId="3893" xr:uid="{00000000-0005-0000-0000-00003B110000}"/>
    <cellStyle name="args.style 4" xfId="3894" xr:uid="{00000000-0005-0000-0000-00003C110000}"/>
    <cellStyle name="args.style 5" xfId="3895" xr:uid="{00000000-0005-0000-0000-00003D110000}"/>
    <cellStyle name="args.style 6" xfId="3896" xr:uid="{00000000-0005-0000-0000-00003E110000}"/>
    <cellStyle name="args.style 7" xfId="3897" xr:uid="{00000000-0005-0000-0000-00003F110000}"/>
    <cellStyle name="args.style 8" xfId="3898" xr:uid="{00000000-0005-0000-0000-000040110000}"/>
    <cellStyle name="args.style 9" xfId="3899" xr:uid="{00000000-0005-0000-0000-000041110000}"/>
    <cellStyle name="Arial1 - Style1" xfId="3900" xr:uid="{00000000-0005-0000-0000-000042110000}"/>
    <cellStyle name="Arial1 - Style2" xfId="3901" xr:uid="{00000000-0005-0000-0000-000043110000}"/>
    <cellStyle name="Arial10" xfId="3902" xr:uid="{00000000-0005-0000-0000-000044110000}"/>
    <cellStyle name="Assumption" xfId="3903" xr:uid="{00000000-0005-0000-0000-000045110000}"/>
    <cellStyle name="Assumption 2" xfId="3904" xr:uid="{00000000-0005-0000-0000-000046110000}"/>
    <cellStyle name="Assumption 2 2" xfId="20434" xr:uid="{00000000-0005-0000-0000-000047110000}"/>
    <cellStyle name="Assumption 3" xfId="3905" xr:uid="{00000000-0005-0000-0000-000048110000}"/>
    <cellStyle name="Assumption 3 2" xfId="20435" xr:uid="{00000000-0005-0000-0000-000049110000}"/>
    <cellStyle name="Assumption 4" xfId="20433" xr:uid="{00000000-0005-0000-0000-00004A110000}"/>
    <cellStyle name="at" xfId="3906" xr:uid="{00000000-0005-0000-0000-00004B110000}"/>
    <cellStyle name="at 2" xfId="3907" xr:uid="{00000000-0005-0000-0000-00004C110000}"/>
    <cellStyle name="at 2 2" xfId="20437" xr:uid="{00000000-0005-0000-0000-00004D110000}"/>
    <cellStyle name="at 3" xfId="3908" xr:uid="{00000000-0005-0000-0000-00004E110000}"/>
    <cellStyle name="at 3 2" xfId="20438" xr:uid="{00000000-0005-0000-0000-00004F110000}"/>
    <cellStyle name="at 4" xfId="20436" xr:uid="{00000000-0005-0000-0000-000050110000}"/>
    <cellStyle name="AÞ¸¶ [0]_¿­¸° INT" xfId="106" xr:uid="{00000000-0005-0000-0000-000051110000}"/>
    <cellStyle name="ÄÞ¸¶ [0]_±âÅ¸" xfId="107" xr:uid="{00000000-0005-0000-0000-000052110000}"/>
    <cellStyle name="AÞ¸¶ [0]_INQUIRY ¿μ¾÷AßAø " xfId="108" xr:uid="{00000000-0005-0000-0000-000053110000}"/>
    <cellStyle name="AÞ¸¶_¿­¸° INT" xfId="109" xr:uid="{00000000-0005-0000-0000-000054110000}"/>
    <cellStyle name="ÄÞ¸¶_±âÅ¸" xfId="110" xr:uid="{00000000-0005-0000-0000-000055110000}"/>
    <cellStyle name="AÞ¸¶_INQUIRY ¿μ¾÷AßAø " xfId="111" xr:uid="{00000000-0005-0000-0000-000056110000}"/>
    <cellStyle name="Auto" xfId="3909" xr:uid="{00000000-0005-0000-0000-000057110000}"/>
    <cellStyle name="Avertissement" xfId="3910" xr:uid="{00000000-0005-0000-0000-000058110000}"/>
    <cellStyle name="b" xfId="3911" xr:uid="{00000000-0005-0000-0000-000059110000}"/>
    <cellStyle name="b%0" xfId="3912" xr:uid="{00000000-0005-0000-0000-00005A110000}"/>
    <cellStyle name="b%1" xfId="3913" xr:uid="{00000000-0005-0000-0000-00005B110000}"/>
    <cellStyle name="b%2" xfId="3914" xr:uid="{00000000-0005-0000-0000-00005C110000}"/>
    <cellStyle name="b_GI.N" xfId="3915" xr:uid="{00000000-0005-0000-0000-00005D110000}"/>
    <cellStyle name="b0" xfId="3916" xr:uid="{00000000-0005-0000-0000-00005E110000}"/>
    <cellStyle name="b09" xfId="3917" xr:uid="{00000000-0005-0000-0000-00005F110000}"/>
    <cellStyle name="b1" xfId="3918" xr:uid="{00000000-0005-0000-0000-000060110000}"/>
    <cellStyle name="b14" xfId="3919" xr:uid="{00000000-0005-0000-0000-000061110000}"/>
    <cellStyle name="b1x" xfId="3920" xr:uid="{00000000-0005-0000-0000-000062110000}"/>
    <cellStyle name="b1x 2" xfId="20439" xr:uid="{00000000-0005-0000-0000-000063110000}"/>
    <cellStyle name="b2" xfId="3921" xr:uid="{00000000-0005-0000-0000-000064110000}"/>
    <cellStyle name="Bad 10" xfId="3922" xr:uid="{00000000-0005-0000-0000-000065110000}"/>
    <cellStyle name="Bad 11" xfId="3923" xr:uid="{00000000-0005-0000-0000-000066110000}"/>
    <cellStyle name="Bad 12" xfId="3924" xr:uid="{00000000-0005-0000-0000-000067110000}"/>
    <cellStyle name="Bad 13" xfId="3925" xr:uid="{00000000-0005-0000-0000-000068110000}"/>
    <cellStyle name="Bad 14" xfId="3926" xr:uid="{00000000-0005-0000-0000-000069110000}"/>
    <cellStyle name="Bad 15" xfId="3927" xr:uid="{00000000-0005-0000-0000-00006A110000}"/>
    <cellStyle name="Bad 16" xfId="3928" xr:uid="{00000000-0005-0000-0000-00006B110000}"/>
    <cellStyle name="Bad 17" xfId="3929" xr:uid="{00000000-0005-0000-0000-00006C110000}"/>
    <cellStyle name="Bad 18" xfId="3930" xr:uid="{00000000-0005-0000-0000-00006D110000}"/>
    <cellStyle name="Bad 19" xfId="3931" xr:uid="{00000000-0005-0000-0000-00006E110000}"/>
    <cellStyle name="Bad 2" xfId="112" xr:uid="{00000000-0005-0000-0000-00006F110000}"/>
    <cellStyle name="Bad 2 10" xfId="3932" xr:uid="{00000000-0005-0000-0000-000070110000}"/>
    <cellStyle name="Bad 2 11" xfId="3933" xr:uid="{00000000-0005-0000-0000-000071110000}"/>
    <cellStyle name="Bad 2 12" xfId="3934" xr:uid="{00000000-0005-0000-0000-000072110000}"/>
    <cellStyle name="Bad 2 13" xfId="3935" xr:uid="{00000000-0005-0000-0000-000073110000}"/>
    <cellStyle name="Bad 2 14" xfId="3936" xr:uid="{00000000-0005-0000-0000-000074110000}"/>
    <cellStyle name="Bad 2 15" xfId="3937" xr:uid="{00000000-0005-0000-0000-000075110000}"/>
    <cellStyle name="Bad 2 16" xfId="3938" xr:uid="{00000000-0005-0000-0000-000076110000}"/>
    <cellStyle name="Bad 2 17" xfId="3939" xr:uid="{00000000-0005-0000-0000-000077110000}"/>
    <cellStyle name="Bad 2 18" xfId="3940" xr:uid="{00000000-0005-0000-0000-000078110000}"/>
    <cellStyle name="Bad 2 19" xfId="3941" xr:uid="{00000000-0005-0000-0000-000079110000}"/>
    <cellStyle name="Bad 2 2" xfId="3942" xr:uid="{00000000-0005-0000-0000-00007A110000}"/>
    <cellStyle name="Bad 2 20" xfId="3943" xr:uid="{00000000-0005-0000-0000-00007B110000}"/>
    <cellStyle name="Bad 2 21" xfId="3944" xr:uid="{00000000-0005-0000-0000-00007C110000}"/>
    <cellStyle name="Bad 2 22" xfId="3945" xr:uid="{00000000-0005-0000-0000-00007D110000}"/>
    <cellStyle name="Bad 2 23" xfId="3946" xr:uid="{00000000-0005-0000-0000-00007E110000}"/>
    <cellStyle name="Bad 2 24" xfId="3947" xr:uid="{00000000-0005-0000-0000-00007F110000}"/>
    <cellStyle name="Bad 2 25" xfId="3948" xr:uid="{00000000-0005-0000-0000-000080110000}"/>
    <cellStyle name="Bad 2 26" xfId="3949" xr:uid="{00000000-0005-0000-0000-000081110000}"/>
    <cellStyle name="Bad 2 27" xfId="3950" xr:uid="{00000000-0005-0000-0000-000082110000}"/>
    <cellStyle name="Bad 2 28" xfId="3951" xr:uid="{00000000-0005-0000-0000-000083110000}"/>
    <cellStyle name="Bad 2 29" xfId="3952" xr:uid="{00000000-0005-0000-0000-000084110000}"/>
    <cellStyle name="Bad 2 3" xfId="3953" xr:uid="{00000000-0005-0000-0000-000085110000}"/>
    <cellStyle name="Bad 2 30" xfId="3954" xr:uid="{00000000-0005-0000-0000-000086110000}"/>
    <cellStyle name="Bad 2 31" xfId="3955" xr:uid="{00000000-0005-0000-0000-000087110000}"/>
    <cellStyle name="Bad 2 32" xfId="3956" xr:uid="{00000000-0005-0000-0000-000088110000}"/>
    <cellStyle name="Bad 2 33" xfId="3957" xr:uid="{00000000-0005-0000-0000-000089110000}"/>
    <cellStyle name="Bad 2 34" xfId="3958" xr:uid="{00000000-0005-0000-0000-00008A110000}"/>
    <cellStyle name="Bad 2 35" xfId="3959" xr:uid="{00000000-0005-0000-0000-00008B110000}"/>
    <cellStyle name="Bad 2 36" xfId="3960" xr:uid="{00000000-0005-0000-0000-00008C110000}"/>
    <cellStyle name="Bad 2 37" xfId="3961" xr:uid="{00000000-0005-0000-0000-00008D110000}"/>
    <cellStyle name="Bad 2 38" xfId="3962" xr:uid="{00000000-0005-0000-0000-00008E110000}"/>
    <cellStyle name="Bad 2 39" xfId="3963" xr:uid="{00000000-0005-0000-0000-00008F110000}"/>
    <cellStyle name="Bad 2 4" xfId="3964" xr:uid="{00000000-0005-0000-0000-000090110000}"/>
    <cellStyle name="Bad 2 40" xfId="3965" xr:uid="{00000000-0005-0000-0000-000091110000}"/>
    <cellStyle name="Bad 2 41" xfId="3966" xr:uid="{00000000-0005-0000-0000-000092110000}"/>
    <cellStyle name="Bad 2 42" xfId="3967" xr:uid="{00000000-0005-0000-0000-000093110000}"/>
    <cellStyle name="Bad 2 5" xfId="3968" xr:uid="{00000000-0005-0000-0000-000094110000}"/>
    <cellStyle name="Bad 2 6" xfId="3969" xr:uid="{00000000-0005-0000-0000-000095110000}"/>
    <cellStyle name="Bad 2 7" xfId="3970" xr:uid="{00000000-0005-0000-0000-000096110000}"/>
    <cellStyle name="Bad 2 8" xfId="3971" xr:uid="{00000000-0005-0000-0000-000097110000}"/>
    <cellStyle name="Bad 2 9" xfId="3972" xr:uid="{00000000-0005-0000-0000-000098110000}"/>
    <cellStyle name="Bad 2_DATA Input" xfId="3973" xr:uid="{00000000-0005-0000-0000-000099110000}"/>
    <cellStyle name="Bad 20" xfId="3974" xr:uid="{00000000-0005-0000-0000-00009A110000}"/>
    <cellStyle name="Bad 21" xfId="3975" xr:uid="{00000000-0005-0000-0000-00009B110000}"/>
    <cellStyle name="Bad 22" xfId="3976" xr:uid="{00000000-0005-0000-0000-00009C110000}"/>
    <cellStyle name="Bad 23" xfId="3977" xr:uid="{00000000-0005-0000-0000-00009D110000}"/>
    <cellStyle name="Bad 24" xfId="3978" xr:uid="{00000000-0005-0000-0000-00009E110000}"/>
    <cellStyle name="Bad 3" xfId="3979" xr:uid="{00000000-0005-0000-0000-00009F110000}"/>
    <cellStyle name="Bad 3 10" xfId="3980" xr:uid="{00000000-0005-0000-0000-0000A0110000}"/>
    <cellStyle name="Bad 3 11" xfId="3981" xr:uid="{00000000-0005-0000-0000-0000A1110000}"/>
    <cellStyle name="Bad 3 12" xfId="3982" xr:uid="{00000000-0005-0000-0000-0000A2110000}"/>
    <cellStyle name="Bad 3 13" xfId="3983" xr:uid="{00000000-0005-0000-0000-0000A3110000}"/>
    <cellStyle name="Bad 3 14" xfId="3984" xr:uid="{00000000-0005-0000-0000-0000A4110000}"/>
    <cellStyle name="Bad 3 15" xfId="3985" xr:uid="{00000000-0005-0000-0000-0000A5110000}"/>
    <cellStyle name="Bad 3 16" xfId="3986" xr:uid="{00000000-0005-0000-0000-0000A6110000}"/>
    <cellStyle name="Bad 3 17" xfId="3987" xr:uid="{00000000-0005-0000-0000-0000A7110000}"/>
    <cellStyle name="Bad 3 18" xfId="3988" xr:uid="{00000000-0005-0000-0000-0000A8110000}"/>
    <cellStyle name="Bad 3 19" xfId="3989" xr:uid="{00000000-0005-0000-0000-0000A9110000}"/>
    <cellStyle name="Bad 3 2" xfId="3990" xr:uid="{00000000-0005-0000-0000-0000AA110000}"/>
    <cellStyle name="Bad 3 20" xfId="3991" xr:uid="{00000000-0005-0000-0000-0000AB110000}"/>
    <cellStyle name="Bad 3 21" xfId="3992" xr:uid="{00000000-0005-0000-0000-0000AC110000}"/>
    <cellStyle name="Bad 3 22" xfId="3993" xr:uid="{00000000-0005-0000-0000-0000AD110000}"/>
    <cellStyle name="Bad 3 23" xfId="3994" xr:uid="{00000000-0005-0000-0000-0000AE110000}"/>
    <cellStyle name="Bad 3 24" xfId="3995" xr:uid="{00000000-0005-0000-0000-0000AF110000}"/>
    <cellStyle name="Bad 3 25" xfId="3996" xr:uid="{00000000-0005-0000-0000-0000B0110000}"/>
    <cellStyle name="Bad 3 26" xfId="3997" xr:uid="{00000000-0005-0000-0000-0000B1110000}"/>
    <cellStyle name="Bad 3 27" xfId="3998" xr:uid="{00000000-0005-0000-0000-0000B2110000}"/>
    <cellStyle name="Bad 3 28" xfId="3999" xr:uid="{00000000-0005-0000-0000-0000B3110000}"/>
    <cellStyle name="Bad 3 29" xfId="4000" xr:uid="{00000000-0005-0000-0000-0000B4110000}"/>
    <cellStyle name="Bad 3 3" xfId="4001" xr:uid="{00000000-0005-0000-0000-0000B5110000}"/>
    <cellStyle name="Bad 3 30" xfId="4002" xr:uid="{00000000-0005-0000-0000-0000B6110000}"/>
    <cellStyle name="Bad 3 31" xfId="4003" xr:uid="{00000000-0005-0000-0000-0000B7110000}"/>
    <cellStyle name="Bad 3 32" xfId="4004" xr:uid="{00000000-0005-0000-0000-0000B8110000}"/>
    <cellStyle name="Bad 3 4" xfId="4005" xr:uid="{00000000-0005-0000-0000-0000B9110000}"/>
    <cellStyle name="Bad 3 5" xfId="4006" xr:uid="{00000000-0005-0000-0000-0000BA110000}"/>
    <cellStyle name="Bad 3 6" xfId="4007" xr:uid="{00000000-0005-0000-0000-0000BB110000}"/>
    <cellStyle name="Bad 3 7" xfId="4008" xr:uid="{00000000-0005-0000-0000-0000BC110000}"/>
    <cellStyle name="Bad 3 8" xfId="4009" xr:uid="{00000000-0005-0000-0000-0000BD110000}"/>
    <cellStyle name="Bad 3 9" xfId="4010" xr:uid="{00000000-0005-0000-0000-0000BE110000}"/>
    <cellStyle name="Bad 4" xfId="4011" xr:uid="{00000000-0005-0000-0000-0000BF110000}"/>
    <cellStyle name="Bad 5" xfId="4012" xr:uid="{00000000-0005-0000-0000-0000C0110000}"/>
    <cellStyle name="Bad 6" xfId="4013" xr:uid="{00000000-0005-0000-0000-0000C1110000}"/>
    <cellStyle name="Bad 7" xfId="4014" xr:uid="{00000000-0005-0000-0000-0000C2110000}"/>
    <cellStyle name="Bad 8" xfId="4015" xr:uid="{00000000-0005-0000-0000-0000C3110000}"/>
    <cellStyle name="Bad 9" xfId="4016" xr:uid="{00000000-0005-0000-0000-0000C4110000}"/>
    <cellStyle name="Band 2" xfId="4017" xr:uid="{00000000-0005-0000-0000-0000C5110000}"/>
    <cellStyle name="bay" xfId="22697" xr:uid="{00000000-0005-0000-0000-0000C6110000}"/>
    <cellStyle name="bl" xfId="4018" xr:uid="{00000000-0005-0000-0000-0000C7110000}"/>
    <cellStyle name="Black" xfId="4019" xr:uid="{00000000-0005-0000-0000-0000C8110000}"/>
    <cellStyle name="blank" xfId="113" xr:uid="{00000000-0005-0000-0000-0000C9110000}"/>
    <cellStyle name="blk" xfId="4020" xr:uid="{00000000-0005-0000-0000-0000CA110000}"/>
    <cellStyle name="Blue" xfId="4021" xr:uid="{00000000-0005-0000-0000-0000CB110000}"/>
    <cellStyle name="bo" xfId="4022" xr:uid="{00000000-0005-0000-0000-0000CC110000}"/>
    <cellStyle name="Body" xfId="4023" xr:uid="{00000000-0005-0000-0000-0000CD110000}"/>
    <cellStyle name="BOH" xfId="4024" xr:uid="{00000000-0005-0000-0000-0000CE110000}"/>
    <cellStyle name="Bold" xfId="4025" xr:uid="{00000000-0005-0000-0000-0000CF110000}"/>
    <cellStyle name="Bold 10" xfId="4026" xr:uid="{00000000-0005-0000-0000-0000D0110000}"/>
    <cellStyle name="Bold 12" xfId="4027" xr:uid="{00000000-0005-0000-0000-0000D1110000}"/>
    <cellStyle name="Bold 8" xfId="4028" xr:uid="{00000000-0005-0000-0000-0000D2110000}"/>
    <cellStyle name="Bold Italic 10" xfId="4029" xr:uid="{00000000-0005-0000-0000-0000D3110000}"/>
    <cellStyle name="Bold Italic 12" xfId="4030" xr:uid="{00000000-0005-0000-0000-0000D4110000}"/>
    <cellStyle name="Bold Italic 8" xfId="4031" xr:uid="{00000000-0005-0000-0000-0000D5110000}"/>
    <cellStyle name="Bold/Border" xfId="4032" xr:uid="{00000000-0005-0000-0000-0000D6110000}"/>
    <cellStyle name="Bold/Border 2" xfId="4033" xr:uid="{00000000-0005-0000-0000-0000D7110000}"/>
    <cellStyle name="boldno$" xfId="4034" xr:uid="{00000000-0005-0000-0000-0000D8110000}"/>
    <cellStyle name="boldwith$" xfId="4035" xr:uid="{00000000-0005-0000-0000-0000D9110000}"/>
    <cellStyle name="boq" xfId="4036" xr:uid="{00000000-0005-0000-0000-0000DA110000}"/>
    <cellStyle name="Border" xfId="4037" xr:uid="{00000000-0005-0000-0000-0000DB110000}"/>
    <cellStyle name="Bottom" xfId="4038" xr:uid="{00000000-0005-0000-0000-0000DC110000}"/>
    <cellStyle name="Bottom 2" xfId="4039" xr:uid="{00000000-0005-0000-0000-0000DD110000}"/>
    <cellStyle name="Bottom 2 2" xfId="20441" xr:uid="{00000000-0005-0000-0000-0000DE110000}"/>
    <cellStyle name="Bottom 3" xfId="4040" xr:uid="{00000000-0005-0000-0000-0000DF110000}"/>
    <cellStyle name="Bottom 3 2" xfId="20442" xr:uid="{00000000-0005-0000-0000-0000E0110000}"/>
    <cellStyle name="Bottom 4" xfId="20440" xr:uid="{00000000-0005-0000-0000-0000E1110000}"/>
    <cellStyle name="Bottom Border Line" xfId="4041" xr:uid="{00000000-0005-0000-0000-0000E2110000}"/>
    <cellStyle name="Bottom Border Line 2" xfId="4042" xr:uid="{00000000-0005-0000-0000-0000E3110000}"/>
    <cellStyle name="Bottom_DATA Input" xfId="4043" xr:uid="{00000000-0005-0000-0000-0000E4110000}"/>
    <cellStyle name="bout" xfId="4044" xr:uid="{00000000-0005-0000-0000-0000E5110000}"/>
    <cellStyle name="bout 2" xfId="4045" xr:uid="{00000000-0005-0000-0000-0000E6110000}"/>
    <cellStyle name="bout 2 2" xfId="20444" xr:uid="{00000000-0005-0000-0000-0000E7110000}"/>
    <cellStyle name="bout 3" xfId="20443" xr:uid="{00000000-0005-0000-0000-0000E8110000}"/>
    <cellStyle name="bt" xfId="4046" xr:uid="{00000000-0005-0000-0000-0000E9110000}"/>
    <cellStyle name="bt 2" xfId="4047" xr:uid="{00000000-0005-0000-0000-0000EA110000}"/>
    <cellStyle name="bt 3" xfId="4048" xr:uid="{00000000-0005-0000-0000-0000EB110000}"/>
    <cellStyle name="btit" xfId="4049" xr:uid="{00000000-0005-0000-0000-0000EC110000}"/>
    <cellStyle name="btit 2" xfId="4050" xr:uid="{00000000-0005-0000-0000-0000ED110000}"/>
    <cellStyle name="btit 3" xfId="4051" xr:uid="{00000000-0005-0000-0000-0000EE110000}"/>
    <cellStyle name="Bullet" xfId="4052" xr:uid="{00000000-0005-0000-0000-0000EF110000}"/>
    <cellStyle name="Burgendy" xfId="22698" xr:uid="{00000000-0005-0000-0000-0000F0110000}"/>
    <cellStyle name="c" xfId="4053" xr:uid="{00000000-0005-0000-0000-0000F1110000}"/>
    <cellStyle name="C                      " xfId="4054" xr:uid="{00000000-0005-0000-0000-0000F2110000}"/>
    <cellStyle name="c_Acc (Dil) Matrix (2)" xfId="4055" xr:uid="{00000000-0005-0000-0000-0000F3110000}"/>
    <cellStyle name="c_Ariz_Nevada (2)" xfId="4056" xr:uid="{00000000-0005-0000-0000-0000F4110000}"/>
    <cellStyle name="c_Bal Sheets" xfId="4057" xr:uid="{00000000-0005-0000-0000-0000F5110000}"/>
    <cellStyle name="c_Bal Sheets (2)" xfId="4058" xr:uid="{00000000-0005-0000-0000-0000F6110000}"/>
    <cellStyle name="c_CA Cases (2)" xfId="4059" xr:uid="{00000000-0005-0000-0000-0000F7110000}"/>
    <cellStyle name="c_Cal. (2)" xfId="4060" xr:uid="{00000000-0005-0000-0000-0000F8110000}"/>
    <cellStyle name="c_Cases (2)" xfId="4061" xr:uid="{00000000-0005-0000-0000-0000F9110000}"/>
    <cellStyle name="c_Celtic DCF" xfId="4062" xr:uid="{00000000-0005-0000-0000-0000FA110000}"/>
    <cellStyle name="c_Celtic DCF Inputs" xfId="4063" xr:uid="{00000000-0005-0000-0000-0000FB110000}"/>
    <cellStyle name="c_Credit" xfId="4064" xr:uid="{00000000-0005-0000-0000-0000FC110000}"/>
    <cellStyle name="c_Credit (2)" xfId="4065" xr:uid="{00000000-0005-0000-0000-0000FD110000}"/>
    <cellStyle name="c_Credit Buildup (2)" xfId="4066" xr:uid="{00000000-0005-0000-0000-0000FE110000}"/>
    <cellStyle name="c_Credit_CoP" xfId="4067" xr:uid="{00000000-0005-0000-0000-0000FF110000}"/>
    <cellStyle name="c_Credit_CoPa" xfId="4068" xr:uid="{00000000-0005-0000-0000-000000120000}"/>
    <cellStyle name="c_Credit_CoPModelwarea" xfId="4069" xr:uid="{00000000-0005-0000-0000-000001120000}"/>
    <cellStyle name="c_CredSens" xfId="4070" xr:uid="{00000000-0005-0000-0000-000002120000}"/>
    <cellStyle name="c_DCF Inputs" xfId="4071" xr:uid="{00000000-0005-0000-0000-000003120000}"/>
    <cellStyle name="c_DCF Inputs (2)" xfId="4072" xr:uid="{00000000-0005-0000-0000-000004120000}"/>
    <cellStyle name="c_DCF Inputs_CoP" xfId="4073" xr:uid="{00000000-0005-0000-0000-000005120000}"/>
    <cellStyle name="c_DCF Inputs_CoPa" xfId="4074" xr:uid="{00000000-0005-0000-0000-000006120000}"/>
    <cellStyle name="c_DCF Inputs_CoPModelwarea" xfId="4075" xr:uid="{00000000-0005-0000-0000-000007120000}"/>
    <cellStyle name="c_DCF Matrix" xfId="4076" xr:uid="{00000000-0005-0000-0000-000008120000}"/>
    <cellStyle name="c_DCF Matrix (2)" xfId="4077" xr:uid="{00000000-0005-0000-0000-000009120000}"/>
    <cellStyle name="c_DCF Matrix_CoP" xfId="4078" xr:uid="{00000000-0005-0000-0000-00000A120000}"/>
    <cellStyle name="c_DCF Matrix_CoPa" xfId="4079" xr:uid="{00000000-0005-0000-0000-00000B120000}"/>
    <cellStyle name="c_DCF Matrix_CoPModelwarea" xfId="4080" xr:uid="{00000000-0005-0000-0000-00000C120000}"/>
    <cellStyle name="c_Deal" xfId="4081" xr:uid="{00000000-0005-0000-0000-00000D120000}"/>
    <cellStyle name="c_Dental (2)" xfId="4082" xr:uid="{00000000-0005-0000-0000-00000E120000}"/>
    <cellStyle name="c_Dough" xfId="4083" xr:uid="{00000000-0005-0000-0000-00000F120000}"/>
    <cellStyle name="c_Dough_CoP" xfId="4084" xr:uid="{00000000-0005-0000-0000-000010120000}"/>
    <cellStyle name="c_Dough_CoPa" xfId="4085" xr:uid="{00000000-0005-0000-0000-000011120000}"/>
    <cellStyle name="c_Dough_CoPModelwarea" xfId="4086" xr:uid="{00000000-0005-0000-0000-000012120000}"/>
    <cellStyle name="c_Earnings" xfId="4087" xr:uid="{00000000-0005-0000-0000-000013120000}"/>
    <cellStyle name="c_Earnings (2)" xfId="4088" xr:uid="{00000000-0005-0000-0000-000014120000}"/>
    <cellStyle name="c_East Coast (2)" xfId="4089" xr:uid="{00000000-0005-0000-0000-000015120000}"/>
    <cellStyle name="c_equity contribution analysisIII" xfId="4090" xr:uid="{00000000-0005-0000-0000-000016120000}"/>
    <cellStyle name="c_Florida (2)" xfId="4091" xr:uid="{00000000-0005-0000-0000-000017120000}"/>
    <cellStyle name="c_Georgia (2)" xfId="4092" xr:uid="{00000000-0005-0000-0000-000018120000}"/>
    <cellStyle name="c_GI.N" xfId="4093" xr:uid="{00000000-0005-0000-0000-000019120000}"/>
    <cellStyle name="c_Grouse+Pelican" xfId="4094" xr:uid="{00000000-0005-0000-0000-00001A120000}"/>
    <cellStyle name="c_Hard Rock" xfId="4095" xr:uid="{00000000-0005-0000-0000-00001B120000}"/>
    <cellStyle name="c_Hard Rock (2)" xfId="4096" xr:uid="{00000000-0005-0000-0000-00001C120000}"/>
    <cellStyle name="c_HardInc " xfId="4097" xr:uid="{00000000-0005-0000-0000-00001D120000}"/>
    <cellStyle name="c_HardInc  (2)" xfId="4098" xr:uid="{00000000-0005-0000-0000-00001E120000}"/>
    <cellStyle name="c_Has-Gets (2)" xfId="4099" xr:uid="{00000000-0005-0000-0000-00001F120000}"/>
    <cellStyle name="c_Hist Inputs (2)" xfId="4100" xr:uid="{00000000-0005-0000-0000-000020120000}"/>
    <cellStyle name="c_IRR Sensitivity (2)" xfId="4101" xr:uid="{00000000-0005-0000-0000-000021120000}"/>
    <cellStyle name="c_JV_PFII" xfId="4102" xr:uid="{00000000-0005-0000-0000-000022120000}"/>
    <cellStyle name="c_LBO Summary" xfId="4103" xr:uid="{00000000-0005-0000-0000-000023120000}"/>
    <cellStyle name="c_Macros" xfId="4104" xr:uid="{00000000-0005-0000-0000-000024120000}"/>
    <cellStyle name="c_Macros (2)" xfId="4105" xr:uid="{00000000-0005-0000-0000-000025120000}"/>
    <cellStyle name="c_Macros_BUHR Mini-merger3" xfId="4106" xr:uid="{00000000-0005-0000-0000-000026120000}"/>
    <cellStyle name="c_Macros_Competitive Landscape" xfId="4107" xr:uid="{00000000-0005-0000-0000-000027120000}"/>
    <cellStyle name="c_Macros_Comps" xfId="4108" xr:uid="{00000000-0005-0000-0000-000028120000}"/>
    <cellStyle name="c_Macros_Comps (version 2)" xfId="4109" xr:uid="{00000000-0005-0000-0000-000029120000}"/>
    <cellStyle name="c_Manager (2)" xfId="4110" xr:uid="{00000000-0005-0000-0000-00002A120000}"/>
    <cellStyle name="c_Mango Merger" xfId="4111" xr:uid="{00000000-0005-0000-0000-00002B120000}"/>
    <cellStyle name="c_Mango Merger 3" xfId="4112" xr:uid="{00000000-0005-0000-0000-00002C120000}"/>
    <cellStyle name="c_model" xfId="4113" xr:uid="{00000000-0005-0000-0000-00002D120000}"/>
    <cellStyle name="c_Model Assumptions (2)" xfId="4114" xr:uid="{00000000-0005-0000-0000-00002E120000}"/>
    <cellStyle name="c_model10_07" xfId="4115" xr:uid="{00000000-0005-0000-0000-00002F120000}"/>
    <cellStyle name="c_model10_09" xfId="4116" xr:uid="{00000000-0005-0000-0000-000030120000}"/>
    <cellStyle name="c_model10_11" xfId="4117" xr:uid="{00000000-0005-0000-0000-000031120000}"/>
    <cellStyle name="c_model10_12" xfId="4118" xr:uid="{00000000-0005-0000-0000-000032120000}"/>
    <cellStyle name="c_model7_23" xfId="4119" xr:uid="{00000000-0005-0000-0000-000033120000}"/>
    <cellStyle name="c_model7_26b" xfId="4120" xr:uid="{00000000-0005-0000-0000-000034120000}"/>
    <cellStyle name="c_model7_27modified" xfId="4121" xr:uid="{00000000-0005-0000-0000-000035120000}"/>
    <cellStyle name="c_Module3" xfId="4122" xr:uid="{00000000-0005-0000-0000-000036120000}"/>
    <cellStyle name="c_Module3_CoP" xfId="4123" xr:uid="{00000000-0005-0000-0000-000037120000}"/>
    <cellStyle name="c_Module3_CoPa" xfId="4124" xr:uid="{00000000-0005-0000-0000-000038120000}"/>
    <cellStyle name="c_Module3_CoPModelwarea" xfId="4125" xr:uid="{00000000-0005-0000-0000-000039120000}"/>
    <cellStyle name="c_OBGYN (2)" xfId="4126" xr:uid="{00000000-0005-0000-0000-00003A120000}"/>
    <cellStyle name="c_Other Businesses (2)" xfId="4127" xr:uid="{00000000-0005-0000-0000-00003B120000}"/>
    <cellStyle name="c_Ownership" xfId="4128" xr:uid="{00000000-0005-0000-0000-00003C120000}"/>
    <cellStyle name="c_PFMA Cap" xfId="4129" xr:uid="{00000000-0005-0000-0000-00003D120000}"/>
    <cellStyle name="c_PFMA Cap_CoP" xfId="4130" xr:uid="{00000000-0005-0000-0000-00003E120000}"/>
    <cellStyle name="c_PFMA Cap_CoPa" xfId="4131" xr:uid="{00000000-0005-0000-0000-00003F120000}"/>
    <cellStyle name="c_PFMA Cap_CoPModelwarea" xfId="4132" xr:uid="{00000000-0005-0000-0000-000040120000}"/>
    <cellStyle name="c_PFMA Credit (2)" xfId="4133" xr:uid="{00000000-0005-0000-0000-000041120000}"/>
    <cellStyle name="c_PFMA Credit (2)_CoP" xfId="4134" xr:uid="{00000000-0005-0000-0000-000042120000}"/>
    <cellStyle name="c_PFMA Credit (2)_CoPa" xfId="4135" xr:uid="{00000000-0005-0000-0000-000043120000}"/>
    <cellStyle name="c_PFMA Credit (2)_CoPModelwarea" xfId="4136" xr:uid="{00000000-0005-0000-0000-000044120000}"/>
    <cellStyle name="c_PFMA Credit (2)_GI.N" xfId="4137" xr:uid="{00000000-0005-0000-0000-000045120000}"/>
    <cellStyle name="c_PFMA Income (2)" xfId="4138" xr:uid="{00000000-0005-0000-0000-000046120000}"/>
    <cellStyle name="c_Pippen (2)" xfId="4139" xr:uid="{00000000-0005-0000-0000-000047120000}"/>
    <cellStyle name="c_Pippen Cases (2)" xfId="4140" xr:uid="{00000000-0005-0000-0000-000048120000}"/>
    <cellStyle name="c_Pippen ValMatrix (2)" xfId="4141" xr:uid="{00000000-0005-0000-0000-000049120000}"/>
    <cellStyle name="c_PMAT (2)" xfId="4142" xr:uid="{00000000-0005-0000-0000-00004A120000}"/>
    <cellStyle name="c_PMAT (3)" xfId="4143" xr:uid="{00000000-0005-0000-0000-00004B120000}"/>
    <cellStyle name="c_PoundInc" xfId="4144" xr:uid="{00000000-0005-0000-0000-00004C120000}"/>
    <cellStyle name="c_PoundInc (2)" xfId="4145" xr:uid="{00000000-0005-0000-0000-00004D120000}"/>
    <cellStyle name="c_Poundstone (2)" xfId="4146" xr:uid="{00000000-0005-0000-0000-00004E120000}"/>
    <cellStyle name="c_Preliminary Poundstone (2)" xfId="4147" xr:uid="{00000000-0005-0000-0000-00004F120000}"/>
    <cellStyle name="c_RushValSum (2)" xfId="4148" xr:uid="{00000000-0005-0000-0000-000050120000}"/>
    <cellStyle name="c_Schedules" xfId="4149" xr:uid="{00000000-0005-0000-0000-000051120000}"/>
    <cellStyle name="c_spin_pf" xfId="4150" xr:uid="{00000000-0005-0000-0000-000052120000}"/>
    <cellStyle name="c_Stub Value" xfId="4151" xr:uid="{00000000-0005-0000-0000-000053120000}"/>
    <cellStyle name="c_Summary of Pro Forma (2)" xfId="4152" xr:uid="{00000000-0005-0000-0000-000054120000}"/>
    <cellStyle name="c_Summary of Pro Forma (3)" xfId="4153" xr:uid="{00000000-0005-0000-0000-000055120000}"/>
    <cellStyle name="c_Texas_Louisiana (2)" xfId="4154" xr:uid="{00000000-0005-0000-0000-000056120000}"/>
    <cellStyle name="c_Timex-Gucci Merger2" xfId="4155" xr:uid="{00000000-0005-0000-0000-000057120000}"/>
    <cellStyle name="c_Trans Assump (2)" xfId="4156" xr:uid="{00000000-0005-0000-0000-000058120000}"/>
    <cellStyle name="c_Unit Price Sen. (2)" xfId="4157" xr:uid="{00000000-0005-0000-0000-000059120000}"/>
    <cellStyle name="c_Valuation Summary" xfId="4158" xr:uid="{00000000-0005-0000-0000-00005A120000}"/>
    <cellStyle name="c_Valuation Summary (2)" xfId="4159" xr:uid="{00000000-0005-0000-0000-00005B120000}"/>
    <cellStyle name="c_Warrant" xfId="4160" xr:uid="{00000000-0005-0000-0000-00005C120000}"/>
    <cellStyle name="C￥AØ_¿­¸° INT" xfId="114" xr:uid="{00000000-0005-0000-0000-00005D120000}"/>
    <cellStyle name="Ç¥ÁØ_¿¬°£´©°è¿¹»ó" xfId="4161" xr:uid="{00000000-0005-0000-0000-00005E120000}"/>
    <cellStyle name="C￥AØ_¿μ¾÷CoE² " xfId="115" xr:uid="{00000000-0005-0000-0000-00005F120000}"/>
    <cellStyle name="Ç¥ÁØ_°¡¼³" xfId="116" xr:uid="{00000000-0005-0000-0000-000060120000}"/>
    <cellStyle name="C￥AØ_PERSONAL" xfId="117" xr:uid="{00000000-0005-0000-0000-000061120000}"/>
    <cellStyle name="c0" xfId="4162" xr:uid="{00000000-0005-0000-0000-000062120000}"/>
    <cellStyle name="C05_Style E Text" xfId="4163" xr:uid="{00000000-0005-0000-0000-000063120000}"/>
    <cellStyle name="cach" xfId="4164" xr:uid="{00000000-0005-0000-0000-000064120000}"/>
    <cellStyle name="Calc Currency (0)" xfId="118" xr:uid="{00000000-0005-0000-0000-000065120000}"/>
    <cellStyle name="Calc Currency (0) 2" xfId="119" xr:uid="{00000000-0005-0000-0000-000066120000}"/>
    <cellStyle name="Calc Currency (2)" xfId="120" xr:uid="{00000000-0005-0000-0000-000067120000}"/>
    <cellStyle name="Calc Percent (0)" xfId="121" xr:uid="{00000000-0005-0000-0000-000068120000}"/>
    <cellStyle name="Calc Percent (1)" xfId="122" xr:uid="{00000000-0005-0000-0000-000069120000}"/>
    <cellStyle name="Calc Percent (2)" xfId="123" xr:uid="{00000000-0005-0000-0000-00006A120000}"/>
    <cellStyle name="Calc Units (0)" xfId="124" xr:uid="{00000000-0005-0000-0000-00006B120000}"/>
    <cellStyle name="Calc Units (1)" xfId="125" xr:uid="{00000000-0005-0000-0000-00006C120000}"/>
    <cellStyle name="Calc Units (2)" xfId="126" xr:uid="{00000000-0005-0000-0000-00006D120000}"/>
    <cellStyle name="Calcolo" xfId="4165" xr:uid="{00000000-0005-0000-0000-00006E120000}"/>
    <cellStyle name="Calcul" xfId="4166" xr:uid="{00000000-0005-0000-0000-00006F120000}"/>
    <cellStyle name="Calculation 10" xfId="4167" xr:uid="{00000000-0005-0000-0000-000070120000}"/>
    <cellStyle name="Calculation 10 10" xfId="4168" xr:uid="{00000000-0005-0000-0000-000071120000}"/>
    <cellStyle name="Calculation 10 10 2" xfId="4169" xr:uid="{00000000-0005-0000-0000-000072120000}"/>
    <cellStyle name="Calculation 10 11" xfId="4170" xr:uid="{00000000-0005-0000-0000-000073120000}"/>
    <cellStyle name="Calculation 10 11 2" xfId="4171" xr:uid="{00000000-0005-0000-0000-000074120000}"/>
    <cellStyle name="Calculation 10 12" xfId="4172" xr:uid="{00000000-0005-0000-0000-000075120000}"/>
    <cellStyle name="Calculation 10 12 2" xfId="4173" xr:uid="{00000000-0005-0000-0000-000076120000}"/>
    <cellStyle name="Calculation 10 13" xfId="4174" xr:uid="{00000000-0005-0000-0000-000077120000}"/>
    <cellStyle name="Calculation 10 13 2" xfId="4175" xr:uid="{00000000-0005-0000-0000-000078120000}"/>
    <cellStyle name="Calculation 10 14" xfId="4176" xr:uid="{00000000-0005-0000-0000-000079120000}"/>
    <cellStyle name="Calculation 10 14 2" xfId="4177" xr:uid="{00000000-0005-0000-0000-00007A120000}"/>
    <cellStyle name="Calculation 10 15" xfId="4178" xr:uid="{00000000-0005-0000-0000-00007B120000}"/>
    <cellStyle name="Calculation 10 15 2" xfId="4179" xr:uid="{00000000-0005-0000-0000-00007C120000}"/>
    <cellStyle name="Calculation 10 16" xfId="4180" xr:uid="{00000000-0005-0000-0000-00007D120000}"/>
    <cellStyle name="Calculation 10 16 2" xfId="4181" xr:uid="{00000000-0005-0000-0000-00007E120000}"/>
    <cellStyle name="Calculation 10 17" xfId="4182" xr:uid="{00000000-0005-0000-0000-00007F120000}"/>
    <cellStyle name="Calculation 10 17 2" xfId="4183" xr:uid="{00000000-0005-0000-0000-000080120000}"/>
    <cellStyle name="Calculation 10 18" xfId="4184" xr:uid="{00000000-0005-0000-0000-000081120000}"/>
    <cellStyle name="Calculation 10 18 2" xfId="4185" xr:uid="{00000000-0005-0000-0000-000082120000}"/>
    <cellStyle name="Calculation 10 19" xfId="4186" xr:uid="{00000000-0005-0000-0000-000083120000}"/>
    <cellStyle name="Calculation 10 19 2" xfId="4187" xr:uid="{00000000-0005-0000-0000-000084120000}"/>
    <cellStyle name="Calculation 10 2" xfId="4188" xr:uid="{00000000-0005-0000-0000-000085120000}"/>
    <cellStyle name="Calculation 10 2 2" xfId="4189" xr:uid="{00000000-0005-0000-0000-000086120000}"/>
    <cellStyle name="Calculation 10 20" xfId="4190" xr:uid="{00000000-0005-0000-0000-000087120000}"/>
    <cellStyle name="Calculation 10 20 2" xfId="4191" xr:uid="{00000000-0005-0000-0000-000088120000}"/>
    <cellStyle name="Calculation 10 21" xfId="4192" xr:uid="{00000000-0005-0000-0000-000089120000}"/>
    <cellStyle name="Calculation 10 21 2" xfId="4193" xr:uid="{00000000-0005-0000-0000-00008A120000}"/>
    <cellStyle name="Calculation 10 22" xfId="4194" xr:uid="{00000000-0005-0000-0000-00008B120000}"/>
    <cellStyle name="Calculation 10 22 2" xfId="4195" xr:uid="{00000000-0005-0000-0000-00008C120000}"/>
    <cellStyle name="Calculation 10 23" xfId="4196" xr:uid="{00000000-0005-0000-0000-00008D120000}"/>
    <cellStyle name="Calculation 10 23 2" xfId="4197" xr:uid="{00000000-0005-0000-0000-00008E120000}"/>
    <cellStyle name="Calculation 10 24" xfId="4198" xr:uid="{00000000-0005-0000-0000-00008F120000}"/>
    <cellStyle name="Calculation 10 24 2" xfId="4199" xr:uid="{00000000-0005-0000-0000-000090120000}"/>
    <cellStyle name="Calculation 10 25" xfId="4200" xr:uid="{00000000-0005-0000-0000-000091120000}"/>
    <cellStyle name="Calculation 10 25 2" xfId="4201" xr:uid="{00000000-0005-0000-0000-000092120000}"/>
    <cellStyle name="Calculation 10 26" xfId="4202" xr:uid="{00000000-0005-0000-0000-000093120000}"/>
    <cellStyle name="Calculation 10 26 2" xfId="4203" xr:uid="{00000000-0005-0000-0000-000094120000}"/>
    <cellStyle name="Calculation 10 27" xfId="4204" xr:uid="{00000000-0005-0000-0000-000095120000}"/>
    <cellStyle name="Calculation 10 27 2" xfId="4205" xr:uid="{00000000-0005-0000-0000-000096120000}"/>
    <cellStyle name="Calculation 10 28" xfId="4206" xr:uid="{00000000-0005-0000-0000-000097120000}"/>
    <cellStyle name="Calculation 10 28 2" xfId="4207" xr:uid="{00000000-0005-0000-0000-000098120000}"/>
    <cellStyle name="Calculation 10 29" xfId="4208" xr:uid="{00000000-0005-0000-0000-000099120000}"/>
    <cellStyle name="Calculation 10 29 2" xfId="4209" xr:uid="{00000000-0005-0000-0000-00009A120000}"/>
    <cellStyle name="Calculation 10 3" xfId="4210" xr:uid="{00000000-0005-0000-0000-00009B120000}"/>
    <cellStyle name="Calculation 10 3 2" xfId="4211" xr:uid="{00000000-0005-0000-0000-00009C120000}"/>
    <cellStyle name="Calculation 10 30" xfId="4212" xr:uid="{00000000-0005-0000-0000-00009D120000}"/>
    <cellStyle name="Calculation 10 30 2" xfId="4213" xr:uid="{00000000-0005-0000-0000-00009E120000}"/>
    <cellStyle name="Calculation 10 31" xfId="4214" xr:uid="{00000000-0005-0000-0000-00009F120000}"/>
    <cellStyle name="Calculation 10 31 2" xfId="4215" xr:uid="{00000000-0005-0000-0000-0000A0120000}"/>
    <cellStyle name="Calculation 10 32" xfId="4216" xr:uid="{00000000-0005-0000-0000-0000A1120000}"/>
    <cellStyle name="Calculation 10 32 2" xfId="4217" xr:uid="{00000000-0005-0000-0000-0000A2120000}"/>
    <cellStyle name="Calculation 10 33" xfId="4218" xr:uid="{00000000-0005-0000-0000-0000A3120000}"/>
    <cellStyle name="Calculation 10 33 2" xfId="4219" xr:uid="{00000000-0005-0000-0000-0000A4120000}"/>
    <cellStyle name="Calculation 10 34" xfId="4220" xr:uid="{00000000-0005-0000-0000-0000A5120000}"/>
    <cellStyle name="Calculation 10 34 2" xfId="4221" xr:uid="{00000000-0005-0000-0000-0000A6120000}"/>
    <cellStyle name="Calculation 10 35" xfId="4222" xr:uid="{00000000-0005-0000-0000-0000A7120000}"/>
    <cellStyle name="Calculation 10 35 2" xfId="4223" xr:uid="{00000000-0005-0000-0000-0000A8120000}"/>
    <cellStyle name="Calculation 10 36" xfId="4224" xr:uid="{00000000-0005-0000-0000-0000A9120000}"/>
    <cellStyle name="Calculation 10 36 2" xfId="4225" xr:uid="{00000000-0005-0000-0000-0000AA120000}"/>
    <cellStyle name="Calculation 10 37" xfId="4226" xr:uid="{00000000-0005-0000-0000-0000AB120000}"/>
    <cellStyle name="Calculation 10 37 2" xfId="4227" xr:uid="{00000000-0005-0000-0000-0000AC120000}"/>
    <cellStyle name="Calculation 10 38" xfId="4228" xr:uid="{00000000-0005-0000-0000-0000AD120000}"/>
    <cellStyle name="Calculation 10 38 2" xfId="4229" xr:uid="{00000000-0005-0000-0000-0000AE120000}"/>
    <cellStyle name="Calculation 10 39" xfId="4230" xr:uid="{00000000-0005-0000-0000-0000AF120000}"/>
    <cellStyle name="Calculation 10 39 2" xfId="4231" xr:uid="{00000000-0005-0000-0000-0000B0120000}"/>
    <cellStyle name="Calculation 10 4" xfId="4232" xr:uid="{00000000-0005-0000-0000-0000B1120000}"/>
    <cellStyle name="Calculation 10 4 2" xfId="4233" xr:uid="{00000000-0005-0000-0000-0000B2120000}"/>
    <cellStyle name="Calculation 10 40" xfId="4234" xr:uid="{00000000-0005-0000-0000-0000B3120000}"/>
    <cellStyle name="Calculation 10 40 2" xfId="4235" xr:uid="{00000000-0005-0000-0000-0000B4120000}"/>
    <cellStyle name="Calculation 10 41" xfId="4236" xr:uid="{00000000-0005-0000-0000-0000B5120000}"/>
    <cellStyle name="Calculation 10 41 2" xfId="4237" xr:uid="{00000000-0005-0000-0000-0000B6120000}"/>
    <cellStyle name="Calculation 10 42" xfId="4238" xr:uid="{00000000-0005-0000-0000-0000B7120000}"/>
    <cellStyle name="Calculation 10 42 2" xfId="4239" xr:uid="{00000000-0005-0000-0000-0000B8120000}"/>
    <cellStyle name="Calculation 10 43" xfId="4240" xr:uid="{00000000-0005-0000-0000-0000B9120000}"/>
    <cellStyle name="Calculation 10 43 2" xfId="4241" xr:uid="{00000000-0005-0000-0000-0000BA120000}"/>
    <cellStyle name="Calculation 10 44" xfId="4242" xr:uid="{00000000-0005-0000-0000-0000BB120000}"/>
    <cellStyle name="Calculation 10 44 2" xfId="4243" xr:uid="{00000000-0005-0000-0000-0000BC120000}"/>
    <cellStyle name="Calculation 10 45" xfId="4244" xr:uid="{00000000-0005-0000-0000-0000BD120000}"/>
    <cellStyle name="Calculation 10 45 2" xfId="4245" xr:uid="{00000000-0005-0000-0000-0000BE120000}"/>
    <cellStyle name="Calculation 10 46" xfId="4246" xr:uid="{00000000-0005-0000-0000-0000BF120000}"/>
    <cellStyle name="Calculation 10 46 2" xfId="4247" xr:uid="{00000000-0005-0000-0000-0000C0120000}"/>
    <cellStyle name="Calculation 10 47" xfId="4248" xr:uid="{00000000-0005-0000-0000-0000C1120000}"/>
    <cellStyle name="Calculation 10 47 2" xfId="4249" xr:uid="{00000000-0005-0000-0000-0000C2120000}"/>
    <cellStyle name="Calculation 10 48" xfId="4250" xr:uid="{00000000-0005-0000-0000-0000C3120000}"/>
    <cellStyle name="Calculation 10 48 2" xfId="4251" xr:uid="{00000000-0005-0000-0000-0000C4120000}"/>
    <cellStyle name="Calculation 10 49" xfId="4252" xr:uid="{00000000-0005-0000-0000-0000C5120000}"/>
    <cellStyle name="Calculation 10 49 2" xfId="4253" xr:uid="{00000000-0005-0000-0000-0000C6120000}"/>
    <cellStyle name="Calculation 10 5" xfId="4254" xr:uid="{00000000-0005-0000-0000-0000C7120000}"/>
    <cellStyle name="Calculation 10 5 2" xfId="4255" xr:uid="{00000000-0005-0000-0000-0000C8120000}"/>
    <cellStyle name="Calculation 10 50" xfId="4256" xr:uid="{00000000-0005-0000-0000-0000C9120000}"/>
    <cellStyle name="Calculation 10 50 2" xfId="4257" xr:uid="{00000000-0005-0000-0000-0000CA120000}"/>
    <cellStyle name="Calculation 10 51" xfId="4258" xr:uid="{00000000-0005-0000-0000-0000CB120000}"/>
    <cellStyle name="Calculation 10 51 2" xfId="4259" xr:uid="{00000000-0005-0000-0000-0000CC120000}"/>
    <cellStyle name="Calculation 10 52" xfId="4260" xr:uid="{00000000-0005-0000-0000-0000CD120000}"/>
    <cellStyle name="Calculation 10 52 2" xfId="4261" xr:uid="{00000000-0005-0000-0000-0000CE120000}"/>
    <cellStyle name="Calculation 10 53" xfId="4262" xr:uid="{00000000-0005-0000-0000-0000CF120000}"/>
    <cellStyle name="Calculation 10 53 2" xfId="4263" xr:uid="{00000000-0005-0000-0000-0000D0120000}"/>
    <cellStyle name="Calculation 10 54" xfId="4264" xr:uid="{00000000-0005-0000-0000-0000D1120000}"/>
    <cellStyle name="Calculation 10 54 2" xfId="4265" xr:uid="{00000000-0005-0000-0000-0000D2120000}"/>
    <cellStyle name="Calculation 10 55" xfId="4266" xr:uid="{00000000-0005-0000-0000-0000D3120000}"/>
    <cellStyle name="Calculation 10 55 2" xfId="4267" xr:uid="{00000000-0005-0000-0000-0000D4120000}"/>
    <cellStyle name="Calculation 10 56" xfId="4268" xr:uid="{00000000-0005-0000-0000-0000D5120000}"/>
    <cellStyle name="Calculation 10 56 2" xfId="4269" xr:uid="{00000000-0005-0000-0000-0000D6120000}"/>
    <cellStyle name="Calculation 10 57" xfId="4270" xr:uid="{00000000-0005-0000-0000-0000D7120000}"/>
    <cellStyle name="Calculation 10 57 2" xfId="4271" xr:uid="{00000000-0005-0000-0000-0000D8120000}"/>
    <cellStyle name="Calculation 10 58" xfId="4272" xr:uid="{00000000-0005-0000-0000-0000D9120000}"/>
    <cellStyle name="Calculation 10 58 2" xfId="4273" xr:uid="{00000000-0005-0000-0000-0000DA120000}"/>
    <cellStyle name="Calculation 10 59" xfId="4274" xr:uid="{00000000-0005-0000-0000-0000DB120000}"/>
    <cellStyle name="Calculation 10 59 2" xfId="4275" xr:uid="{00000000-0005-0000-0000-0000DC120000}"/>
    <cellStyle name="Calculation 10 6" xfId="4276" xr:uid="{00000000-0005-0000-0000-0000DD120000}"/>
    <cellStyle name="Calculation 10 6 2" xfId="4277" xr:uid="{00000000-0005-0000-0000-0000DE120000}"/>
    <cellStyle name="Calculation 10 60" xfId="4278" xr:uid="{00000000-0005-0000-0000-0000DF120000}"/>
    <cellStyle name="Calculation 10 60 2" xfId="4279" xr:uid="{00000000-0005-0000-0000-0000E0120000}"/>
    <cellStyle name="Calculation 10 61" xfId="4280" xr:uid="{00000000-0005-0000-0000-0000E1120000}"/>
    <cellStyle name="Calculation 10 61 2" xfId="4281" xr:uid="{00000000-0005-0000-0000-0000E2120000}"/>
    <cellStyle name="Calculation 10 62" xfId="4282" xr:uid="{00000000-0005-0000-0000-0000E3120000}"/>
    <cellStyle name="Calculation 10 62 2" xfId="4283" xr:uid="{00000000-0005-0000-0000-0000E4120000}"/>
    <cellStyle name="Calculation 10 63" xfId="4284" xr:uid="{00000000-0005-0000-0000-0000E5120000}"/>
    <cellStyle name="Calculation 10 7" xfId="4285" xr:uid="{00000000-0005-0000-0000-0000E6120000}"/>
    <cellStyle name="Calculation 10 7 2" xfId="4286" xr:uid="{00000000-0005-0000-0000-0000E7120000}"/>
    <cellStyle name="Calculation 10 8" xfId="4287" xr:uid="{00000000-0005-0000-0000-0000E8120000}"/>
    <cellStyle name="Calculation 10 8 2" xfId="4288" xr:uid="{00000000-0005-0000-0000-0000E9120000}"/>
    <cellStyle name="Calculation 10 9" xfId="4289" xr:uid="{00000000-0005-0000-0000-0000EA120000}"/>
    <cellStyle name="Calculation 10 9 2" xfId="4290" xr:uid="{00000000-0005-0000-0000-0000EB120000}"/>
    <cellStyle name="Calculation 11" xfId="4291" xr:uid="{00000000-0005-0000-0000-0000EC120000}"/>
    <cellStyle name="Calculation 11 10" xfId="4292" xr:uid="{00000000-0005-0000-0000-0000ED120000}"/>
    <cellStyle name="Calculation 11 10 2" xfId="4293" xr:uid="{00000000-0005-0000-0000-0000EE120000}"/>
    <cellStyle name="Calculation 11 11" xfId="4294" xr:uid="{00000000-0005-0000-0000-0000EF120000}"/>
    <cellStyle name="Calculation 11 11 2" xfId="4295" xr:uid="{00000000-0005-0000-0000-0000F0120000}"/>
    <cellStyle name="Calculation 11 12" xfId="4296" xr:uid="{00000000-0005-0000-0000-0000F1120000}"/>
    <cellStyle name="Calculation 11 12 2" xfId="4297" xr:uid="{00000000-0005-0000-0000-0000F2120000}"/>
    <cellStyle name="Calculation 11 13" xfId="4298" xr:uid="{00000000-0005-0000-0000-0000F3120000}"/>
    <cellStyle name="Calculation 11 13 2" xfId="4299" xr:uid="{00000000-0005-0000-0000-0000F4120000}"/>
    <cellStyle name="Calculation 11 14" xfId="4300" xr:uid="{00000000-0005-0000-0000-0000F5120000}"/>
    <cellStyle name="Calculation 11 14 2" xfId="4301" xr:uid="{00000000-0005-0000-0000-0000F6120000}"/>
    <cellStyle name="Calculation 11 15" xfId="4302" xr:uid="{00000000-0005-0000-0000-0000F7120000}"/>
    <cellStyle name="Calculation 11 15 2" xfId="4303" xr:uid="{00000000-0005-0000-0000-0000F8120000}"/>
    <cellStyle name="Calculation 11 16" xfId="4304" xr:uid="{00000000-0005-0000-0000-0000F9120000}"/>
    <cellStyle name="Calculation 11 16 2" xfId="4305" xr:uid="{00000000-0005-0000-0000-0000FA120000}"/>
    <cellStyle name="Calculation 11 17" xfId="4306" xr:uid="{00000000-0005-0000-0000-0000FB120000}"/>
    <cellStyle name="Calculation 11 17 2" xfId="4307" xr:uid="{00000000-0005-0000-0000-0000FC120000}"/>
    <cellStyle name="Calculation 11 18" xfId="4308" xr:uid="{00000000-0005-0000-0000-0000FD120000}"/>
    <cellStyle name="Calculation 11 18 2" xfId="4309" xr:uid="{00000000-0005-0000-0000-0000FE120000}"/>
    <cellStyle name="Calculation 11 19" xfId="4310" xr:uid="{00000000-0005-0000-0000-0000FF120000}"/>
    <cellStyle name="Calculation 11 19 2" xfId="4311" xr:uid="{00000000-0005-0000-0000-000000130000}"/>
    <cellStyle name="Calculation 11 2" xfId="4312" xr:uid="{00000000-0005-0000-0000-000001130000}"/>
    <cellStyle name="Calculation 11 2 2" xfId="4313" xr:uid="{00000000-0005-0000-0000-000002130000}"/>
    <cellStyle name="Calculation 11 20" xfId="4314" xr:uid="{00000000-0005-0000-0000-000003130000}"/>
    <cellStyle name="Calculation 11 20 2" xfId="4315" xr:uid="{00000000-0005-0000-0000-000004130000}"/>
    <cellStyle name="Calculation 11 21" xfId="4316" xr:uid="{00000000-0005-0000-0000-000005130000}"/>
    <cellStyle name="Calculation 11 21 2" xfId="4317" xr:uid="{00000000-0005-0000-0000-000006130000}"/>
    <cellStyle name="Calculation 11 22" xfId="4318" xr:uid="{00000000-0005-0000-0000-000007130000}"/>
    <cellStyle name="Calculation 11 22 2" xfId="4319" xr:uid="{00000000-0005-0000-0000-000008130000}"/>
    <cellStyle name="Calculation 11 23" xfId="4320" xr:uid="{00000000-0005-0000-0000-000009130000}"/>
    <cellStyle name="Calculation 11 23 2" xfId="4321" xr:uid="{00000000-0005-0000-0000-00000A130000}"/>
    <cellStyle name="Calculation 11 24" xfId="4322" xr:uid="{00000000-0005-0000-0000-00000B130000}"/>
    <cellStyle name="Calculation 11 24 2" xfId="4323" xr:uid="{00000000-0005-0000-0000-00000C130000}"/>
    <cellStyle name="Calculation 11 25" xfId="4324" xr:uid="{00000000-0005-0000-0000-00000D130000}"/>
    <cellStyle name="Calculation 11 25 2" xfId="4325" xr:uid="{00000000-0005-0000-0000-00000E130000}"/>
    <cellStyle name="Calculation 11 26" xfId="4326" xr:uid="{00000000-0005-0000-0000-00000F130000}"/>
    <cellStyle name="Calculation 11 26 2" xfId="4327" xr:uid="{00000000-0005-0000-0000-000010130000}"/>
    <cellStyle name="Calculation 11 27" xfId="4328" xr:uid="{00000000-0005-0000-0000-000011130000}"/>
    <cellStyle name="Calculation 11 27 2" xfId="4329" xr:uid="{00000000-0005-0000-0000-000012130000}"/>
    <cellStyle name="Calculation 11 28" xfId="4330" xr:uid="{00000000-0005-0000-0000-000013130000}"/>
    <cellStyle name="Calculation 11 28 2" xfId="4331" xr:uid="{00000000-0005-0000-0000-000014130000}"/>
    <cellStyle name="Calculation 11 29" xfId="4332" xr:uid="{00000000-0005-0000-0000-000015130000}"/>
    <cellStyle name="Calculation 11 29 2" xfId="4333" xr:uid="{00000000-0005-0000-0000-000016130000}"/>
    <cellStyle name="Calculation 11 3" xfId="4334" xr:uid="{00000000-0005-0000-0000-000017130000}"/>
    <cellStyle name="Calculation 11 3 2" xfId="4335" xr:uid="{00000000-0005-0000-0000-000018130000}"/>
    <cellStyle name="Calculation 11 30" xfId="4336" xr:uid="{00000000-0005-0000-0000-000019130000}"/>
    <cellStyle name="Calculation 11 30 2" xfId="4337" xr:uid="{00000000-0005-0000-0000-00001A130000}"/>
    <cellStyle name="Calculation 11 31" xfId="4338" xr:uid="{00000000-0005-0000-0000-00001B130000}"/>
    <cellStyle name="Calculation 11 31 2" xfId="4339" xr:uid="{00000000-0005-0000-0000-00001C130000}"/>
    <cellStyle name="Calculation 11 32" xfId="4340" xr:uid="{00000000-0005-0000-0000-00001D130000}"/>
    <cellStyle name="Calculation 11 32 2" xfId="4341" xr:uid="{00000000-0005-0000-0000-00001E130000}"/>
    <cellStyle name="Calculation 11 33" xfId="4342" xr:uid="{00000000-0005-0000-0000-00001F130000}"/>
    <cellStyle name="Calculation 11 33 2" xfId="4343" xr:uid="{00000000-0005-0000-0000-000020130000}"/>
    <cellStyle name="Calculation 11 34" xfId="4344" xr:uid="{00000000-0005-0000-0000-000021130000}"/>
    <cellStyle name="Calculation 11 34 2" xfId="4345" xr:uid="{00000000-0005-0000-0000-000022130000}"/>
    <cellStyle name="Calculation 11 35" xfId="4346" xr:uid="{00000000-0005-0000-0000-000023130000}"/>
    <cellStyle name="Calculation 11 35 2" xfId="4347" xr:uid="{00000000-0005-0000-0000-000024130000}"/>
    <cellStyle name="Calculation 11 36" xfId="4348" xr:uid="{00000000-0005-0000-0000-000025130000}"/>
    <cellStyle name="Calculation 11 36 2" xfId="4349" xr:uid="{00000000-0005-0000-0000-000026130000}"/>
    <cellStyle name="Calculation 11 37" xfId="4350" xr:uid="{00000000-0005-0000-0000-000027130000}"/>
    <cellStyle name="Calculation 11 37 2" xfId="4351" xr:uid="{00000000-0005-0000-0000-000028130000}"/>
    <cellStyle name="Calculation 11 38" xfId="4352" xr:uid="{00000000-0005-0000-0000-000029130000}"/>
    <cellStyle name="Calculation 11 38 2" xfId="4353" xr:uid="{00000000-0005-0000-0000-00002A130000}"/>
    <cellStyle name="Calculation 11 39" xfId="4354" xr:uid="{00000000-0005-0000-0000-00002B130000}"/>
    <cellStyle name="Calculation 11 39 2" xfId="4355" xr:uid="{00000000-0005-0000-0000-00002C130000}"/>
    <cellStyle name="Calculation 11 4" xfId="4356" xr:uid="{00000000-0005-0000-0000-00002D130000}"/>
    <cellStyle name="Calculation 11 4 2" xfId="4357" xr:uid="{00000000-0005-0000-0000-00002E130000}"/>
    <cellStyle name="Calculation 11 40" xfId="4358" xr:uid="{00000000-0005-0000-0000-00002F130000}"/>
    <cellStyle name="Calculation 11 40 2" xfId="4359" xr:uid="{00000000-0005-0000-0000-000030130000}"/>
    <cellStyle name="Calculation 11 41" xfId="4360" xr:uid="{00000000-0005-0000-0000-000031130000}"/>
    <cellStyle name="Calculation 11 41 2" xfId="4361" xr:uid="{00000000-0005-0000-0000-000032130000}"/>
    <cellStyle name="Calculation 11 42" xfId="4362" xr:uid="{00000000-0005-0000-0000-000033130000}"/>
    <cellStyle name="Calculation 11 42 2" xfId="4363" xr:uid="{00000000-0005-0000-0000-000034130000}"/>
    <cellStyle name="Calculation 11 43" xfId="4364" xr:uid="{00000000-0005-0000-0000-000035130000}"/>
    <cellStyle name="Calculation 11 43 2" xfId="4365" xr:uid="{00000000-0005-0000-0000-000036130000}"/>
    <cellStyle name="Calculation 11 44" xfId="4366" xr:uid="{00000000-0005-0000-0000-000037130000}"/>
    <cellStyle name="Calculation 11 44 2" xfId="4367" xr:uid="{00000000-0005-0000-0000-000038130000}"/>
    <cellStyle name="Calculation 11 45" xfId="4368" xr:uid="{00000000-0005-0000-0000-000039130000}"/>
    <cellStyle name="Calculation 11 45 2" xfId="4369" xr:uid="{00000000-0005-0000-0000-00003A130000}"/>
    <cellStyle name="Calculation 11 46" xfId="4370" xr:uid="{00000000-0005-0000-0000-00003B130000}"/>
    <cellStyle name="Calculation 11 46 2" xfId="4371" xr:uid="{00000000-0005-0000-0000-00003C130000}"/>
    <cellStyle name="Calculation 11 47" xfId="4372" xr:uid="{00000000-0005-0000-0000-00003D130000}"/>
    <cellStyle name="Calculation 11 47 2" xfId="4373" xr:uid="{00000000-0005-0000-0000-00003E130000}"/>
    <cellStyle name="Calculation 11 48" xfId="4374" xr:uid="{00000000-0005-0000-0000-00003F130000}"/>
    <cellStyle name="Calculation 11 48 2" xfId="4375" xr:uid="{00000000-0005-0000-0000-000040130000}"/>
    <cellStyle name="Calculation 11 49" xfId="4376" xr:uid="{00000000-0005-0000-0000-000041130000}"/>
    <cellStyle name="Calculation 11 49 2" xfId="4377" xr:uid="{00000000-0005-0000-0000-000042130000}"/>
    <cellStyle name="Calculation 11 5" xfId="4378" xr:uid="{00000000-0005-0000-0000-000043130000}"/>
    <cellStyle name="Calculation 11 5 2" xfId="4379" xr:uid="{00000000-0005-0000-0000-000044130000}"/>
    <cellStyle name="Calculation 11 50" xfId="4380" xr:uid="{00000000-0005-0000-0000-000045130000}"/>
    <cellStyle name="Calculation 11 50 2" xfId="4381" xr:uid="{00000000-0005-0000-0000-000046130000}"/>
    <cellStyle name="Calculation 11 51" xfId="4382" xr:uid="{00000000-0005-0000-0000-000047130000}"/>
    <cellStyle name="Calculation 11 51 2" xfId="4383" xr:uid="{00000000-0005-0000-0000-000048130000}"/>
    <cellStyle name="Calculation 11 52" xfId="4384" xr:uid="{00000000-0005-0000-0000-000049130000}"/>
    <cellStyle name="Calculation 11 52 2" xfId="4385" xr:uid="{00000000-0005-0000-0000-00004A130000}"/>
    <cellStyle name="Calculation 11 53" xfId="4386" xr:uid="{00000000-0005-0000-0000-00004B130000}"/>
    <cellStyle name="Calculation 11 53 2" xfId="4387" xr:uid="{00000000-0005-0000-0000-00004C130000}"/>
    <cellStyle name="Calculation 11 54" xfId="4388" xr:uid="{00000000-0005-0000-0000-00004D130000}"/>
    <cellStyle name="Calculation 11 54 2" xfId="4389" xr:uid="{00000000-0005-0000-0000-00004E130000}"/>
    <cellStyle name="Calculation 11 55" xfId="4390" xr:uid="{00000000-0005-0000-0000-00004F130000}"/>
    <cellStyle name="Calculation 11 55 2" xfId="4391" xr:uid="{00000000-0005-0000-0000-000050130000}"/>
    <cellStyle name="Calculation 11 56" xfId="4392" xr:uid="{00000000-0005-0000-0000-000051130000}"/>
    <cellStyle name="Calculation 11 56 2" xfId="4393" xr:uid="{00000000-0005-0000-0000-000052130000}"/>
    <cellStyle name="Calculation 11 57" xfId="4394" xr:uid="{00000000-0005-0000-0000-000053130000}"/>
    <cellStyle name="Calculation 11 57 2" xfId="4395" xr:uid="{00000000-0005-0000-0000-000054130000}"/>
    <cellStyle name="Calculation 11 58" xfId="4396" xr:uid="{00000000-0005-0000-0000-000055130000}"/>
    <cellStyle name="Calculation 11 58 2" xfId="4397" xr:uid="{00000000-0005-0000-0000-000056130000}"/>
    <cellStyle name="Calculation 11 59" xfId="4398" xr:uid="{00000000-0005-0000-0000-000057130000}"/>
    <cellStyle name="Calculation 11 59 2" xfId="4399" xr:uid="{00000000-0005-0000-0000-000058130000}"/>
    <cellStyle name="Calculation 11 6" xfId="4400" xr:uid="{00000000-0005-0000-0000-000059130000}"/>
    <cellStyle name="Calculation 11 6 2" xfId="4401" xr:uid="{00000000-0005-0000-0000-00005A130000}"/>
    <cellStyle name="Calculation 11 60" xfId="4402" xr:uid="{00000000-0005-0000-0000-00005B130000}"/>
    <cellStyle name="Calculation 11 60 2" xfId="4403" xr:uid="{00000000-0005-0000-0000-00005C130000}"/>
    <cellStyle name="Calculation 11 61" xfId="4404" xr:uid="{00000000-0005-0000-0000-00005D130000}"/>
    <cellStyle name="Calculation 11 61 2" xfId="4405" xr:uid="{00000000-0005-0000-0000-00005E130000}"/>
    <cellStyle name="Calculation 11 62" xfId="4406" xr:uid="{00000000-0005-0000-0000-00005F130000}"/>
    <cellStyle name="Calculation 11 62 2" xfId="4407" xr:uid="{00000000-0005-0000-0000-000060130000}"/>
    <cellStyle name="Calculation 11 63" xfId="4408" xr:uid="{00000000-0005-0000-0000-000061130000}"/>
    <cellStyle name="Calculation 11 7" xfId="4409" xr:uid="{00000000-0005-0000-0000-000062130000}"/>
    <cellStyle name="Calculation 11 7 2" xfId="4410" xr:uid="{00000000-0005-0000-0000-000063130000}"/>
    <cellStyle name="Calculation 11 8" xfId="4411" xr:uid="{00000000-0005-0000-0000-000064130000}"/>
    <cellStyle name="Calculation 11 8 2" xfId="4412" xr:uid="{00000000-0005-0000-0000-000065130000}"/>
    <cellStyle name="Calculation 11 9" xfId="4413" xr:uid="{00000000-0005-0000-0000-000066130000}"/>
    <cellStyle name="Calculation 11 9 2" xfId="4414" xr:uid="{00000000-0005-0000-0000-000067130000}"/>
    <cellStyle name="Calculation 12" xfId="4415" xr:uid="{00000000-0005-0000-0000-000068130000}"/>
    <cellStyle name="Calculation 12 10" xfId="4416" xr:uid="{00000000-0005-0000-0000-000069130000}"/>
    <cellStyle name="Calculation 12 10 2" xfId="4417" xr:uid="{00000000-0005-0000-0000-00006A130000}"/>
    <cellStyle name="Calculation 12 11" xfId="4418" xr:uid="{00000000-0005-0000-0000-00006B130000}"/>
    <cellStyle name="Calculation 12 11 2" xfId="4419" xr:uid="{00000000-0005-0000-0000-00006C130000}"/>
    <cellStyle name="Calculation 12 12" xfId="4420" xr:uid="{00000000-0005-0000-0000-00006D130000}"/>
    <cellStyle name="Calculation 12 12 2" xfId="4421" xr:uid="{00000000-0005-0000-0000-00006E130000}"/>
    <cellStyle name="Calculation 12 13" xfId="4422" xr:uid="{00000000-0005-0000-0000-00006F130000}"/>
    <cellStyle name="Calculation 12 13 2" xfId="4423" xr:uid="{00000000-0005-0000-0000-000070130000}"/>
    <cellStyle name="Calculation 12 14" xfId="4424" xr:uid="{00000000-0005-0000-0000-000071130000}"/>
    <cellStyle name="Calculation 12 14 2" xfId="4425" xr:uid="{00000000-0005-0000-0000-000072130000}"/>
    <cellStyle name="Calculation 12 15" xfId="4426" xr:uid="{00000000-0005-0000-0000-000073130000}"/>
    <cellStyle name="Calculation 12 15 2" xfId="4427" xr:uid="{00000000-0005-0000-0000-000074130000}"/>
    <cellStyle name="Calculation 12 16" xfId="4428" xr:uid="{00000000-0005-0000-0000-000075130000}"/>
    <cellStyle name="Calculation 12 16 2" xfId="4429" xr:uid="{00000000-0005-0000-0000-000076130000}"/>
    <cellStyle name="Calculation 12 17" xfId="4430" xr:uid="{00000000-0005-0000-0000-000077130000}"/>
    <cellStyle name="Calculation 12 17 2" xfId="4431" xr:uid="{00000000-0005-0000-0000-000078130000}"/>
    <cellStyle name="Calculation 12 18" xfId="4432" xr:uid="{00000000-0005-0000-0000-000079130000}"/>
    <cellStyle name="Calculation 12 18 2" xfId="4433" xr:uid="{00000000-0005-0000-0000-00007A130000}"/>
    <cellStyle name="Calculation 12 19" xfId="4434" xr:uid="{00000000-0005-0000-0000-00007B130000}"/>
    <cellStyle name="Calculation 12 19 2" xfId="4435" xr:uid="{00000000-0005-0000-0000-00007C130000}"/>
    <cellStyle name="Calculation 12 2" xfId="4436" xr:uid="{00000000-0005-0000-0000-00007D130000}"/>
    <cellStyle name="Calculation 12 2 2" xfId="4437" xr:uid="{00000000-0005-0000-0000-00007E130000}"/>
    <cellStyle name="Calculation 12 20" xfId="4438" xr:uid="{00000000-0005-0000-0000-00007F130000}"/>
    <cellStyle name="Calculation 12 20 2" xfId="4439" xr:uid="{00000000-0005-0000-0000-000080130000}"/>
    <cellStyle name="Calculation 12 21" xfId="4440" xr:uid="{00000000-0005-0000-0000-000081130000}"/>
    <cellStyle name="Calculation 12 21 2" xfId="4441" xr:uid="{00000000-0005-0000-0000-000082130000}"/>
    <cellStyle name="Calculation 12 22" xfId="4442" xr:uid="{00000000-0005-0000-0000-000083130000}"/>
    <cellStyle name="Calculation 12 22 2" xfId="4443" xr:uid="{00000000-0005-0000-0000-000084130000}"/>
    <cellStyle name="Calculation 12 23" xfId="4444" xr:uid="{00000000-0005-0000-0000-000085130000}"/>
    <cellStyle name="Calculation 12 23 2" xfId="4445" xr:uid="{00000000-0005-0000-0000-000086130000}"/>
    <cellStyle name="Calculation 12 24" xfId="4446" xr:uid="{00000000-0005-0000-0000-000087130000}"/>
    <cellStyle name="Calculation 12 24 2" xfId="4447" xr:uid="{00000000-0005-0000-0000-000088130000}"/>
    <cellStyle name="Calculation 12 25" xfId="4448" xr:uid="{00000000-0005-0000-0000-000089130000}"/>
    <cellStyle name="Calculation 12 25 2" xfId="4449" xr:uid="{00000000-0005-0000-0000-00008A130000}"/>
    <cellStyle name="Calculation 12 26" xfId="4450" xr:uid="{00000000-0005-0000-0000-00008B130000}"/>
    <cellStyle name="Calculation 12 26 2" xfId="4451" xr:uid="{00000000-0005-0000-0000-00008C130000}"/>
    <cellStyle name="Calculation 12 27" xfId="4452" xr:uid="{00000000-0005-0000-0000-00008D130000}"/>
    <cellStyle name="Calculation 12 27 2" xfId="4453" xr:uid="{00000000-0005-0000-0000-00008E130000}"/>
    <cellStyle name="Calculation 12 28" xfId="4454" xr:uid="{00000000-0005-0000-0000-00008F130000}"/>
    <cellStyle name="Calculation 12 28 2" xfId="4455" xr:uid="{00000000-0005-0000-0000-000090130000}"/>
    <cellStyle name="Calculation 12 29" xfId="4456" xr:uid="{00000000-0005-0000-0000-000091130000}"/>
    <cellStyle name="Calculation 12 29 2" xfId="4457" xr:uid="{00000000-0005-0000-0000-000092130000}"/>
    <cellStyle name="Calculation 12 3" xfId="4458" xr:uid="{00000000-0005-0000-0000-000093130000}"/>
    <cellStyle name="Calculation 12 3 2" xfId="4459" xr:uid="{00000000-0005-0000-0000-000094130000}"/>
    <cellStyle name="Calculation 12 30" xfId="4460" xr:uid="{00000000-0005-0000-0000-000095130000}"/>
    <cellStyle name="Calculation 12 30 2" xfId="4461" xr:uid="{00000000-0005-0000-0000-000096130000}"/>
    <cellStyle name="Calculation 12 31" xfId="4462" xr:uid="{00000000-0005-0000-0000-000097130000}"/>
    <cellStyle name="Calculation 12 31 2" xfId="4463" xr:uid="{00000000-0005-0000-0000-000098130000}"/>
    <cellStyle name="Calculation 12 32" xfId="4464" xr:uid="{00000000-0005-0000-0000-000099130000}"/>
    <cellStyle name="Calculation 12 32 2" xfId="4465" xr:uid="{00000000-0005-0000-0000-00009A130000}"/>
    <cellStyle name="Calculation 12 33" xfId="4466" xr:uid="{00000000-0005-0000-0000-00009B130000}"/>
    <cellStyle name="Calculation 12 33 2" xfId="4467" xr:uid="{00000000-0005-0000-0000-00009C130000}"/>
    <cellStyle name="Calculation 12 34" xfId="4468" xr:uid="{00000000-0005-0000-0000-00009D130000}"/>
    <cellStyle name="Calculation 12 34 2" xfId="4469" xr:uid="{00000000-0005-0000-0000-00009E130000}"/>
    <cellStyle name="Calculation 12 35" xfId="4470" xr:uid="{00000000-0005-0000-0000-00009F130000}"/>
    <cellStyle name="Calculation 12 35 2" xfId="4471" xr:uid="{00000000-0005-0000-0000-0000A0130000}"/>
    <cellStyle name="Calculation 12 36" xfId="4472" xr:uid="{00000000-0005-0000-0000-0000A1130000}"/>
    <cellStyle name="Calculation 12 36 2" xfId="4473" xr:uid="{00000000-0005-0000-0000-0000A2130000}"/>
    <cellStyle name="Calculation 12 37" xfId="4474" xr:uid="{00000000-0005-0000-0000-0000A3130000}"/>
    <cellStyle name="Calculation 12 37 2" xfId="4475" xr:uid="{00000000-0005-0000-0000-0000A4130000}"/>
    <cellStyle name="Calculation 12 38" xfId="4476" xr:uid="{00000000-0005-0000-0000-0000A5130000}"/>
    <cellStyle name="Calculation 12 38 2" xfId="4477" xr:uid="{00000000-0005-0000-0000-0000A6130000}"/>
    <cellStyle name="Calculation 12 39" xfId="4478" xr:uid="{00000000-0005-0000-0000-0000A7130000}"/>
    <cellStyle name="Calculation 12 39 2" xfId="4479" xr:uid="{00000000-0005-0000-0000-0000A8130000}"/>
    <cellStyle name="Calculation 12 4" xfId="4480" xr:uid="{00000000-0005-0000-0000-0000A9130000}"/>
    <cellStyle name="Calculation 12 4 2" xfId="4481" xr:uid="{00000000-0005-0000-0000-0000AA130000}"/>
    <cellStyle name="Calculation 12 40" xfId="4482" xr:uid="{00000000-0005-0000-0000-0000AB130000}"/>
    <cellStyle name="Calculation 12 40 2" xfId="4483" xr:uid="{00000000-0005-0000-0000-0000AC130000}"/>
    <cellStyle name="Calculation 12 41" xfId="4484" xr:uid="{00000000-0005-0000-0000-0000AD130000}"/>
    <cellStyle name="Calculation 12 41 2" xfId="4485" xr:uid="{00000000-0005-0000-0000-0000AE130000}"/>
    <cellStyle name="Calculation 12 42" xfId="4486" xr:uid="{00000000-0005-0000-0000-0000AF130000}"/>
    <cellStyle name="Calculation 12 42 2" xfId="4487" xr:uid="{00000000-0005-0000-0000-0000B0130000}"/>
    <cellStyle name="Calculation 12 43" xfId="4488" xr:uid="{00000000-0005-0000-0000-0000B1130000}"/>
    <cellStyle name="Calculation 12 43 2" xfId="4489" xr:uid="{00000000-0005-0000-0000-0000B2130000}"/>
    <cellStyle name="Calculation 12 44" xfId="4490" xr:uid="{00000000-0005-0000-0000-0000B3130000}"/>
    <cellStyle name="Calculation 12 44 2" xfId="4491" xr:uid="{00000000-0005-0000-0000-0000B4130000}"/>
    <cellStyle name="Calculation 12 45" xfId="4492" xr:uid="{00000000-0005-0000-0000-0000B5130000}"/>
    <cellStyle name="Calculation 12 45 2" xfId="4493" xr:uid="{00000000-0005-0000-0000-0000B6130000}"/>
    <cellStyle name="Calculation 12 46" xfId="4494" xr:uid="{00000000-0005-0000-0000-0000B7130000}"/>
    <cellStyle name="Calculation 12 46 2" xfId="4495" xr:uid="{00000000-0005-0000-0000-0000B8130000}"/>
    <cellStyle name="Calculation 12 47" xfId="4496" xr:uid="{00000000-0005-0000-0000-0000B9130000}"/>
    <cellStyle name="Calculation 12 47 2" xfId="4497" xr:uid="{00000000-0005-0000-0000-0000BA130000}"/>
    <cellStyle name="Calculation 12 48" xfId="4498" xr:uid="{00000000-0005-0000-0000-0000BB130000}"/>
    <cellStyle name="Calculation 12 48 2" xfId="4499" xr:uid="{00000000-0005-0000-0000-0000BC130000}"/>
    <cellStyle name="Calculation 12 49" xfId="4500" xr:uid="{00000000-0005-0000-0000-0000BD130000}"/>
    <cellStyle name="Calculation 12 49 2" xfId="4501" xr:uid="{00000000-0005-0000-0000-0000BE130000}"/>
    <cellStyle name="Calculation 12 5" xfId="4502" xr:uid="{00000000-0005-0000-0000-0000BF130000}"/>
    <cellStyle name="Calculation 12 5 2" xfId="4503" xr:uid="{00000000-0005-0000-0000-0000C0130000}"/>
    <cellStyle name="Calculation 12 50" xfId="4504" xr:uid="{00000000-0005-0000-0000-0000C1130000}"/>
    <cellStyle name="Calculation 12 50 2" xfId="4505" xr:uid="{00000000-0005-0000-0000-0000C2130000}"/>
    <cellStyle name="Calculation 12 51" xfId="4506" xr:uid="{00000000-0005-0000-0000-0000C3130000}"/>
    <cellStyle name="Calculation 12 51 2" xfId="4507" xr:uid="{00000000-0005-0000-0000-0000C4130000}"/>
    <cellStyle name="Calculation 12 52" xfId="4508" xr:uid="{00000000-0005-0000-0000-0000C5130000}"/>
    <cellStyle name="Calculation 12 52 2" xfId="4509" xr:uid="{00000000-0005-0000-0000-0000C6130000}"/>
    <cellStyle name="Calculation 12 53" xfId="4510" xr:uid="{00000000-0005-0000-0000-0000C7130000}"/>
    <cellStyle name="Calculation 12 53 2" xfId="4511" xr:uid="{00000000-0005-0000-0000-0000C8130000}"/>
    <cellStyle name="Calculation 12 54" xfId="4512" xr:uid="{00000000-0005-0000-0000-0000C9130000}"/>
    <cellStyle name="Calculation 12 54 2" xfId="4513" xr:uid="{00000000-0005-0000-0000-0000CA130000}"/>
    <cellStyle name="Calculation 12 55" xfId="4514" xr:uid="{00000000-0005-0000-0000-0000CB130000}"/>
    <cellStyle name="Calculation 12 55 2" xfId="4515" xr:uid="{00000000-0005-0000-0000-0000CC130000}"/>
    <cellStyle name="Calculation 12 56" xfId="4516" xr:uid="{00000000-0005-0000-0000-0000CD130000}"/>
    <cellStyle name="Calculation 12 56 2" xfId="4517" xr:uid="{00000000-0005-0000-0000-0000CE130000}"/>
    <cellStyle name="Calculation 12 57" xfId="4518" xr:uid="{00000000-0005-0000-0000-0000CF130000}"/>
    <cellStyle name="Calculation 12 57 2" xfId="4519" xr:uid="{00000000-0005-0000-0000-0000D0130000}"/>
    <cellStyle name="Calculation 12 58" xfId="4520" xr:uid="{00000000-0005-0000-0000-0000D1130000}"/>
    <cellStyle name="Calculation 12 58 2" xfId="4521" xr:uid="{00000000-0005-0000-0000-0000D2130000}"/>
    <cellStyle name="Calculation 12 59" xfId="4522" xr:uid="{00000000-0005-0000-0000-0000D3130000}"/>
    <cellStyle name="Calculation 12 59 2" xfId="4523" xr:uid="{00000000-0005-0000-0000-0000D4130000}"/>
    <cellStyle name="Calculation 12 6" xfId="4524" xr:uid="{00000000-0005-0000-0000-0000D5130000}"/>
    <cellStyle name="Calculation 12 6 2" xfId="4525" xr:uid="{00000000-0005-0000-0000-0000D6130000}"/>
    <cellStyle name="Calculation 12 60" xfId="4526" xr:uid="{00000000-0005-0000-0000-0000D7130000}"/>
    <cellStyle name="Calculation 12 60 2" xfId="4527" xr:uid="{00000000-0005-0000-0000-0000D8130000}"/>
    <cellStyle name="Calculation 12 61" xfId="4528" xr:uid="{00000000-0005-0000-0000-0000D9130000}"/>
    <cellStyle name="Calculation 12 61 2" xfId="4529" xr:uid="{00000000-0005-0000-0000-0000DA130000}"/>
    <cellStyle name="Calculation 12 62" xfId="4530" xr:uid="{00000000-0005-0000-0000-0000DB130000}"/>
    <cellStyle name="Calculation 12 62 2" xfId="4531" xr:uid="{00000000-0005-0000-0000-0000DC130000}"/>
    <cellStyle name="Calculation 12 63" xfId="4532" xr:uid="{00000000-0005-0000-0000-0000DD130000}"/>
    <cellStyle name="Calculation 12 7" xfId="4533" xr:uid="{00000000-0005-0000-0000-0000DE130000}"/>
    <cellStyle name="Calculation 12 7 2" xfId="4534" xr:uid="{00000000-0005-0000-0000-0000DF130000}"/>
    <cellStyle name="Calculation 12 8" xfId="4535" xr:uid="{00000000-0005-0000-0000-0000E0130000}"/>
    <cellStyle name="Calculation 12 8 2" xfId="4536" xr:uid="{00000000-0005-0000-0000-0000E1130000}"/>
    <cellStyle name="Calculation 12 9" xfId="4537" xr:uid="{00000000-0005-0000-0000-0000E2130000}"/>
    <cellStyle name="Calculation 12 9 2" xfId="4538" xr:uid="{00000000-0005-0000-0000-0000E3130000}"/>
    <cellStyle name="Calculation 13" xfId="4539" xr:uid="{00000000-0005-0000-0000-0000E4130000}"/>
    <cellStyle name="Calculation 13 10" xfId="4540" xr:uid="{00000000-0005-0000-0000-0000E5130000}"/>
    <cellStyle name="Calculation 13 10 2" xfId="4541" xr:uid="{00000000-0005-0000-0000-0000E6130000}"/>
    <cellStyle name="Calculation 13 11" xfId="4542" xr:uid="{00000000-0005-0000-0000-0000E7130000}"/>
    <cellStyle name="Calculation 13 11 2" xfId="4543" xr:uid="{00000000-0005-0000-0000-0000E8130000}"/>
    <cellStyle name="Calculation 13 12" xfId="4544" xr:uid="{00000000-0005-0000-0000-0000E9130000}"/>
    <cellStyle name="Calculation 13 12 2" xfId="4545" xr:uid="{00000000-0005-0000-0000-0000EA130000}"/>
    <cellStyle name="Calculation 13 13" xfId="4546" xr:uid="{00000000-0005-0000-0000-0000EB130000}"/>
    <cellStyle name="Calculation 13 13 2" xfId="4547" xr:uid="{00000000-0005-0000-0000-0000EC130000}"/>
    <cellStyle name="Calculation 13 14" xfId="4548" xr:uid="{00000000-0005-0000-0000-0000ED130000}"/>
    <cellStyle name="Calculation 13 14 2" xfId="4549" xr:uid="{00000000-0005-0000-0000-0000EE130000}"/>
    <cellStyle name="Calculation 13 15" xfId="4550" xr:uid="{00000000-0005-0000-0000-0000EF130000}"/>
    <cellStyle name="Calculation 13 15 2" xfId="4551" xr:uid="{00000000-0005-0000-0000-0000F0130000}"/>
    <cellStyle name="Calculation 13 16" xfId="4552" xr:uid="{00000000-0005-0000-0000-0000F1130000}"/>
    <cellStyle name="Calculation 13 16 2" xfId="4553" xr:uid="{00000000-0005-0000-0000-0000F2130000}"/>
    <cellStyle name="Calculation 13 17" xfId="4554" xr:uid="{00000000-0005-0000-0000-0000F3130000}"/>
    <cellStyle name="Calculation 13 17 2" xfId="4555" xr:uid="{00000000-0005-0000-0000-0000F4130000}"/>
    <cellStyle name="Calculation 13 18" xfId="4556" xr:uid="{00000000-0005-0000-0000-0000F5130000}"/>
    <cellStyle name="Calculation 13 18 2" xfId="4557" xr:uid="{00000000-0005-0000-0000-0000F6130000}"/>
    <cellStyle name="Calculation 13 19" xfId="4558" xr:uid="{00000000-0005-0000-0000-0000F7130000}"/>
    <cellStyle name="Calculation 13 19 2" xfId="4559" xr:uid="{00000000-0005-0000-0000-0000F8130000}"/>
    <cellStyle name="Calculation 13 2" xfId="4560" xr:uid="{00000000-0005-0000-0000-0000F9130000}"/>
    <cellStyle name="Calculation 13 2 2" xfId="4561" xr:uid="{00000000-0005-0000-0000-0000FA130000}"/>
    <cellStyle name="Calculation 13 20" xfId="4562" xr:uid="{00000000-0005-0000-0000-0000FB130000}"/>
    <cellStyle name="Calculation 13 20 2" xfId="4563" xr:uid="{00000000-0005-0000-0000-0000FC130000}"/>
    <cellStyle name="Calculation 13 21" xfId="4564" xr:uid="{00000000-0005-0000-0000-0000FD130000}"/>
    <cellStyle name="Calculation 13 21 2" xfId="4565" xr:uid="{00000000-0005-0000-0000-0000FE130000}"/>
    <cellStyle name="Calculation 13 22" xfId="4566" xr:uid="{00000000-0005-0000-0000-0000FF130000}"/>
    <cellStyle name="Calculation 13 22 2" xfId="4567" xr:uid="{00000000-0005-0000-0000-000000140000}"/>
    <cellStyle name="Calculation 13 23" xfId="4568" xr:uid="{00000000-0005-0000-0000-000001140000}"/>
    <cellStyle name="Calculation 13 23 2" xfId="4569" xr:uid="{00000000-0005-0000-0000-000002140000}"/>
    <cellStyle name="Calculation 13 24" xfId="4570" xr:uid="{00000000-0005-0000-0000-000003140000}"/>
    <cellStyle name="Calculation 13 24 2" xfId="4571" xr:uid="{00000000-0005-0000-0000-000004140000}"/>
    <cellStyle name="Calculation 13 25" xfId="4572" xr:uid="{00000000-0005-0000-0000-000005140000}"/>
    <cellStyle name="Calculation 13 25 2" xfId="4573" xr:uid="{00000000-0005-0000-0000-000006140000}"/>
    <cellStyle name="Calculation 13 26" xfId="4574" xr:uid="{00000000-0005-0000-0000-000007140000}"/>
    <cellStyle name="Calculation 13 26 2" xfId="4575" xr:uid="{00000000-0005-0000-0000-000008140000}"/>
    <cellStyle name="Calculation 13 27" xfId="4576" xr:uid="{00000000-0005-0000-0000-000009140000}"/>
    <cellStyle name="Calculation 13 27 2" xfId="4577" xr:uid="{00000000-0005-0000-0000-00000A140000}"/>
    <cellStyle name="Calculation 13 28" xfId="4578" xr:uid="{00000000-0005-0000-0000-00000B140000}"/>
    <cellStyle name="Calculation 13 28 2" xfId="4579" xr:uid="{00000000-0005-0000-0000-00000C140000}"/>
    <cellStyle name="Calculation 13 29" xfId="4580" xr:uid="{00000000-0005-0000-0000-00000D140000}"/>
    <cellStyle name="Calculation 13 29 2" xfId="4581" xr:uid="{00000000-0005-0000-0000-00000E140000}"/>
    <cellStyle name="Calculation 13 3" xfId="4582" xr:uid="{00000000-0005-0000-0000-00000F140000}"/>
    <cellStyle name="Calculation 13 3 2" xfId="4583" xr:uid="{00000000-0005-0000-0000-000010140000}"/>
    <cellStyle name="Calculation 13 30" xfId="4584" xr:uid="{00000000-0005-0000-0000-000011140000}"/>
    <cellStyle name="Calculation 13 30 2" xfId="4585" xr:uid="{00000000-0005-0000-0000-000012140000}"/>
    <cellStyle name="Calculation 13 31" xfId="4586" xr:uid="{00000000-0005-0000-0000-000013140000}"/>
    <cellStyle name="Calculation 13 31 2" xfId="4587" xr:uid="{00000000-0005-0000-0000-000014140000}"/>
    <cellStyle name="Calculation 13 32" xfId="4588" xr:uid="{00000000-0005-0000-0000-000015140000}"/>
    <cellStyle name="Calculation 13 32 2" xfId="4589" xr:uid="{00000000-0005-0000-0000-000016140000}"/>
    <cellStyle name="Calculation 13 33" xfId="4590" xr:uid="{00000000-0005-0000-0000-000017140000}"/>
    <cellStyle name="Calculation 13 33 2" xfId="4591" xr:uid="{00000000-0005-0000-0000-000018140000}"/>
    <cellStyle name="Calculation 13 34" xfId="4592" xr:uid="{00000000-0005-0000-0000-000019140000}"/>
    <cellStyle name="Calculation 13 34 2" xfId="4593" xr:uid="{00000000-0005-0000-0000-00001A140000}"/>
    <cellStyle name="Calculation 13 35" xfId="4594" xr:uid="{00000000-0005-0000-0000-00001B140000}"/>
    <cellStyle name="Calculation 13 35 2" xfId="4595" xr:uid="{00000000-0005-0000-0000-00001C140000}"/>
    <cellStyle name="Calculation 13 36" xfId="4596" xr:uid="{00000000-0005-0000-0000-00001D140000}"/>
    <cellStyle name="Calculation 13 36 2" xfId="4597" xr:uid="{00000000-0005-0000-0000-00001E140000}"/>
    <cellStyle name="Calculation 13 37" xfId="4598" xr:uid="{00000000-0005-0000-0000-00001F140000}"/>
    <cellStyle name="Calculation 13 37 2" xfId="4599" xr:uid="{00000000-0005-0000-0000-000020140000}"/>
    <cellStyle name="Calculation 13 38" xfId="4600" xr:uid="{00000000-0005-0000-0000-000021140000}"/>
    <cellStyle name="Calculation 13 38 2" xfId="4601" xr:uid="{00000000-0005-0000-0000-000022140000}"/>
    <cellStyle name="Calculation 13 39" xfId="4602" xr:uid="{00000000-0005-0000-0000-000023140000}"/>
    <cellStyle name="Calculation 13 39 2" xfId="4603" xr:uid="{00000000-0005-0000-0000-000024140000}"/>
    <cellStyle name="Calculation 13 4" xfId="4604" xr:uid="{00000000-0005-0000-0000-000025140000}"/>
    <cellStyle name="Calculation 13 4 2" xfId="4605" xr:uid="{00000000-0005-0000-0000-000026140000}"/>
    <cellStyle name="Calculation 13 40" xfId="4606" xr:uid="{00000000-0005-0000-0000-000027140000}"/>
    <cellStyle name="Calculation 13 40 2" xfId="4607" xr:uid="{00000000-0005-0000-0000-000028140000}"/>
    <cellStyle name="Calculation 13 41" xfId="4608" xr:uid="{00000000-0005-0000-0000-000029140000}"/>
    <cellStyle name="Calculation 13 41 2" xfId="4609" xr:uid="{00000000-0005-0000-0000-00002A140000}"/>
    <cellStyle name="Calculation 13 42" xfId="4610" xr:uid="{00000000-0005-0000-0000-00002B140000}"/>
    <cellStyle name="Calculation 13 42 2" xfId="4611" xr:uid="{00000000-0005-0000-0000-00002C140000}"/>
    <cellStyle name="Calculation 13 43" xfId="4612" xr:uid="{00000000-0005-0000-0000-00002D140000}"/>
    <cellStyle name="Calculation 13 43 2" xfId="4613" xr:uid="{00000000-0005-0000-0000-00002E140000}"/>
    <cellStyle name="Calculation 13 44" xfId="4614" xr:uid="{00000000-0005-0000-0000-00002F140000}"/>
    <cellStyle name="Calculation 13 44 2" xfId="4615" xr:uid="{00000000-0005-0000-0000-000030140000}"/>
    <cellStyle name="Calculation 13 45" xfId="4616" xr:uid="{00000000-0005-0000-0000-000031140000}"/>
    <cellStyle name="Calculation 13 45 2" xfId="4617" xr:uid="{00000000-0005-0000-0000-000032140000}"/>
    <cellStyle name="Calculation 13 46" xfId="4618" xr:uid="{00000000-0005-0000-0000-000033140000}"/>
    <cellStyle name="Calculation 13 46 2" xfId="4619" xr:uid="{00000000-0005-0000-0000-000034140000}"/>
    <cellStyle name="Calculation 13 47" xfId="4620" xr:uid="{00000000-0005-0000-0000-000035140000}"/>
    <cellStyle name="Calculation 13 47 2" xfId="4621" xr:uid="{00000000-0005-0000-0000-000036140000}"/>
    <cellStyle name="Calculation 13 48" xfId="4622" xr:uid="{00000000-0005-0000-0000-000037140000}"/>
    <cellStyle name="Calculation 13 48 2" xfId="4623" xr:uid="{00000000-0005-0000-0000-000038140000}"/>
    <cellStyle name="Calculation 13 49" xfId="4624" xr:uid="{00000000-0005-0000-0000-000039140000}"/>
    <cellStyle name="Calculation 13 49 2" xfId="4625" xr:uid="{00000000-0005-0000-0000-00003A140000}"/>
    <cellStyle name="Calculation 13 5" xfId="4626" xr:uid="{00000000-0005-0000-0000-00003B140000}"/>
    <cellStyle name="Calculation 13 5 2" xfId="4627" xr:uid="{00000000-0005-0000-0000-00003C140000}"/>
    <cellStyle name="Calculation 13 50" xfId="4628" xr:uid="{00000000-0005-0000-0000-00003D140000}"/>
    <cellStyle name="Calculation 13 50 2" xfId="4629" xr:uid="{00000000-0005-0000-0000-00003E140000}"/>
    <cellStyle name="Calculation 13 51" xfId="4630" xr:uid="{00000000-0005-0000-0000-00003F140000}"/>
    <cellStyle name="Calculation 13 51 2" xfId="4631" xr:uid="{00000000-0005-0000-0000-000040140000}"/>
    <cellStyle name="Calculation 13 52" xfId="4632" xr:uid="{00000000-0005-0000-0000-000041140000}"/>
    <cellStyle name="Calculation 13 52 2" xfId="4633" xr:uid="{00000000-0005-0000-0000-000042140000}"/>
    <cellStyle name="Calculation 13 53" xfId="4634" xr:uid="{00000000-0005-0000-0000-000043140000}"/>
    <cellStyle name="Calculation 13 53 2" xfId="4635" xr:uid="{00000000-0005-0000-0000-000044140000}"/>
    <cellStyle name="Calculation 13 54" xfId="4636" xr:uid="{00000000-0005-0000-0000-000045140000}"/>
    <cellStyle name="Calculation 13 54 2" xfId="4637" xr:uid="{00000000-0005-0000-0000-000046140000}"/>
    <cellStyle name="Calculation 13 55" xfId="4638" xr:uid="{00000000-0005-0000-0000-000047140000}"/>
    <cellStyle name="Calculation 13 55 2" xfId="4639" xr:uid="{00000000-0005-0000-0000-000048140000}"/>
    <cellStyle name="Calculation 13 56" xfId="4640" xr:uid="{00000000-0005-0000-0000-000049140000}"/>
    <cellStyle name="Calculation 13 56 2" xfId="4641" xr:uid="{00000000-0005-0000-0000-00004A140000}"/>
    <cellStyle name="Calculation 13 57" xfId="4642" xr:uid="{00000000-0005-0000-0000-00004B140000}"/>
    <cellStyle name="Calculation 13 57 2" xfId="4643" xr:uid="{00000000-0005-0000-0000-00004C140000}"/>
    <cellStyle name="Calculation 13 58" xfId="4644" xr:uid="{00000000-0005-0000-0000-00004D140000}"/>
    <cellStyle name="Calculation 13 58 2" xfId="4645" xr:uid="{00000000-0005-0000-0000-00004E140000}"/>
    <cellStyle name="Calculation 13 59" xfId="4646" xr:uid="{00000000-0005-0000-0000-00004F140000}"/>
    <cellStyle name="Calculation 13 59 2" xfId="4647" xr:uid="{00000000-0005-0000-0000-000050140000}"/>
    <cellStyle name="Calculation 13 6" xfId="4648" xr:uid="{00000000-0005-0000-0000-000051140000}"/>
    <cellStyle name="Calculation 13 6 2" xfId="4649" xr:uid="{00000000-0005-0000-0000-000052140000}"/>
    <cellStyle name="Calculation 13 60" xfId="4650" xr:uid="{00000000-0005-0000-0000-000053140000}"/>
    <cellStyle name="Calculation 13 60 2" xfId="4651" xr:uid="{00000000-0005-0000-0000-000054140000}"/>
    <cellStyle name="Calculation 13 61" xfId="4652" xr:uid="{00000000-0005-0000-0000-000055140000}"/>
    <cellStyle name="Calculation 13 61 2" xfId="4653" xr:uid="{00000000-0005-0000-0000-000056140000}"/>
    <cellStyle name="Calculation 13 62" xfId="4654" xr:uid="{00000000-0005-0000-0000-000057140000}"/>
    <cellStyle name="Calculation 13 62 2" xfId="4655" xr:uid="{00000000-0005-0000-0000-000058140000}"/>
    <cellStyle name="Calculation 13 63" xfId="4656" xr:uid="{00000000-0005-0000-0000-000059140000}"/>
    <cellStyle name="Calculation 13 7" xfId="4657" xr:uid="{00000000-0005-0000-0000-00005A140000}"/>
    <cellStyle name="Calculation 13 7 2" xfId="4658" xr:uid="{00000000-0005-0000-0000-00005B140000}"/>
    <cellStyle name="Calculation 13 8" xfId="4659" xr:uid="{00000000-0005-0000-0000-00005C140000}"/>
    <cellStyle name="Calculation 13 8 2" xfId="4660" xr:uid="{00000000-0005-0000-0000-00005D140000}"/>
    <cellStyle name="Calculation 13 9" xfId="4661" xr:uid="{00000000-0005-0000-0000-00005E140000}"/>
    <cellStyle name="Calculation 13 9 2" xfId="4662" xr:uid="{00000000-0005-0000-0000-00005F140000}"/>
    <cellStyle name="Calculation 14" xfId="4663" xr:uid="{00000000-0005-0000-0000-000060140000}"/>
    <cellStyle name="Calculation 14 10" xfId="4664" xr:uid="{00000000-0005-0000-0000-000061140000}"/>
    <cellStyle name="Calculation 14 10 2" xfId="4665" xr:uid="{00000000-0005-0000-0000-000062140000}"/>
    <cellStyle name="Calculation 14 11" xfId="4666" xr:uid="{00000000-0005-0000-0000-000063140000}"/>
    <cellStyle name="Calculation 14 11 2" xfId="4667" xr:uid="{00000000-0005-0000-0000-000064140000}"/>
    <cellStyle name="Calculation 14 12" xfId="4668" xr:uid="{00000000-0005-0000-0000-000065140000}"/>
    <cellStyle name="Calculation 14 12 2" xfId="4669" xr:uid="{00000000-0005-0000-0000-000066140000}"/>
    <cellStyle name="Calculation 14 13" xfId="4670" xr:uid="{00000000-0005-0000-0000-000067140000}"/>
    <cellStyle name="Calculation 14 13 2" xfId="4671" xr:uid="{00000000-0005-0000-0000-000068140000}"/>
    <cellStyle name="Calculation 14 14" xfId="4672" xr:uid="{00000000-0005-0000-0000-000069140000}"/>
    <cellStyle name="Calculation 14 14 2" xfId="4673" xr:uid="{00000000-0005-0000-0000-00006A140000}"/>
    <cellStyle name="Calculation 14 15" xfId="4674" xr:uid="{00000000-0005-0000-0000-00006B140000}"/>
    <cellStyle name="Calculation 14 15 2" xfId="4675" xr:uid="{00000000-0005-0000-0000-00006C140000}"/>
    <cellStyle name="Calculation 14 16" xfId="4676" xr:uid="{00000000-0005-0000-0000-00006D140000}"/>
    <cellStyle name="Calculation 14 16 2" xfId="4677" xr:uid="{00000000-0005-0000-0000-00006E140000}"/>
    <cellStyle name="Calculation 14 17" xfId="4678" xr:uid="{00000000-0005-0000-0000-00006F140000}"/>
    <cellStyle name="Calculation 14 17 2" xfId="4679" xr:uid="{00000000-0005-0000-0000-000070140000}"/>
    <cellStyle name="Calculation 14 18" xfId="4680" xr:uid="{00000000-0005-0000-0000-000071140000}"/>
    <cellStyle name="Calculation 14 18 2" xfId="4681" xr:uid="{00000000-0005-0000-0000-000072140000}"/>
    <cellStyle name="Calculation 14 19" xfId="4682" xr:uid="{00000000-0005-0000-0000-000073140000}"/>
    <cellStyle name="Calculation 14 19 2" xfId="4683" xr:uid="{00000000-0005-0000-0000-000074140000}"/>
    <cellStyle name="Calculation 14 2" xfId="4684" xr:uid="{00000000-0005-0000-0000-000075140000}"/>
    <cellStyle name="Calculation 14 2 2" xfId="4685" xr:uid="{00000000-0005-0000-0000-000076140000}"/>
    <cellStyle name="Calculation 14 20" xfId="4686" xr:uid="{00000000-0005-0000-0000-000077140000}"/>
    <cellStyle name="Calculation 14 20 2" xfId="4687" xr:uid="{00000000-0005-0000-0000-000078140000}"/>
    <cellStyle name="Calculation 14 21" xfId="4688" xr:uid="{00000000-0005-0000-0000-000079140000}"/>
    <cellStyle name="Calculation 14 21 2" xfId="4689" xr:uid="{00000000-0005-0000-0000-00007A140000}"/>
    <cellStyle name="Calculation 14 22" xfId="4690" xr:uid="{00000000-0005-0000-0000-00007B140000}"/>
    <cellStyle name="Calculation 14 22 2" xfId="4691" xr:uid="{00000000-0005-0000-0000-00007C140000}"/>
    <cellStyle name="Calculation 14 23" xfId="4692" xr:uid="{00000000-0005-0000-0000-00007D140000}"/>
    <cellStyle name="Calculation 14 23 2" xfId="4693" xr:uid="{00000000-0005-0000-0000-00007E140000}"/>
    <cellStyle name="Calculation 14 24" xfId="4694" xr:uid="{00000000-0005-0000-0000-00007F140000}"/>
    <cellStyle name="Calculation 14 24 2" xfId="4695" xr:uid="{00000000-0005-0000-0000-000080140000}"/>
    <cellStyle name="Calculation 14 25" xfId="4696" xr:uid="{00000000-0005-0000-0000-000081140000}"/>
    <cellStyle name="Calculation 14 25 2" xfId="4697" xr:uid="{00000000-0005-0000-0000-000082140000}"/>
    <cellStyle name="Calculation 14 26" xfId="4698" xr:uid="{00000000-0005-0000-0000-000083140000}"/>
    <cellStyle name="Calculation 14 26 2" xfId="4699" xr:uid="{00000000-0005-0000-0000-000084140000}"/>
    <cellStyle name="Calculation 14 27" xfId="4700" xr:uid="{00000000-0005-0000-0000-000085140000}"/>
    <cellStyle name="Calculation 14 27 2" xfId="4701" xr:uid="{00000000-0005-0000-0000-000086140000}"/>
    <cellStyle name="Calculation 14 28" xfId="4702" xr:uid="{00000000-0005-0000-0000-000087140000}"/>
    <cellStyle name="Calculation 14 28 2" xfId="4703" xr:uid="{00000000-0005-0000-0000-000088140000}"/>
    <cellStyle name="Calculation 14 29" xfId="4704" xr:uid="{00000000-0005-0000-0000-000089140000}"/>
    <cellStyle name="Calculation 14 29 2" xfId="4705" xr:uid="{00000000-0005-0000-0000-00008A140000}"/>
    <cellStyle name="Calculation 14 3" xfId="4706" xr:uid="{00000000-0005-0000-0000-00008B140000}"/>
    <cellStyle name="Calculation 14 3 2" xfId="4707" xr:uid="{00000000-0005-0000-0000-00008C140000}"/>
    <cellStyle name="Calculation 14 30" xfId="4708" xr:uid="{00000000-0005-0000-0000-00008D140000}"/>
    <cellStyle name="Calculation 14 30 2" xfId="4709" xr:uid="{00000000-0005-0000-0000-00008E140000}"/>
    <cellStyle name="Calculation 14 31" xfId="4710" xr:uid="{00000000-0005-0000-0000-00008F140000}"/>
    <cellStyle name="Calculation 14 31 2" xfId="4711" xr:uid="{00000000-0005-0000-0000-000090140000}"/>
    <cellStyle name="Calculation 14 32" xfId="4712" xr:uid="{00000000-0005-0000-0000-000091140000}"/>
    <cellStyle name="Calculation 14 32 2" xfId="4713" xr:uid="{00000000-0005-0000-0000-000092140000}"/>
    <cellStyle name="Calculation 14 33" xfId="4714" xr:uid="{00000000-0005-0000-0000-000093140000}"/>
    <cellStyle name="Calculation 14 33 2" xfId="4715" xr:uid="{00000000-0005-0000-0000-000094140000}"/>
    <cellStyle name="Calculation 14 34" xfId="4716" xr:uid="{00000000-0005-0000-0000-000095140000}"/>
    <cellStyle name="Calculation 14 34 2" xfId="4717" xr:uid="{00000000-0005-0000-0000-000096140000}"/>
    <cellStyle name="Calculation 14 35" xfId="4718" xr:uid="{00000000-0005-0000-0000-000097140000}"/>
    <cellStyle name="Calculation 14 35 2" xfId="4719" xr:uid="{00000000-0005-0000-0000-000098140000}"/>
    <cellStyle name="Calculation 14 36" xfId="4720" xr:uid="{00000000-0005-0000-0000-000099140000}"/>
    <cellStyle name="Calculation 14 36 2" xfId="4721" xr:uid="{00000000-0005-0000-0000-00009A140000}"/>
    <cellStyle name="Calculation 14 37" xfId="4722" xr:uid="{00000000-0005-0000-0000-00009B140000}"/>
    <cellStyle name="Calculation 14 37 2" xfId="4723" xr:uid="{00000000-0005-0000-0000-00009C140000}"/>
    <cellStyle name="Calculation 14 38" xfId="4724" xr:uid="{00000000-0005-0000-0000-00009D140000}"/>
    <cellStyle name="Calculation 14 38 2" xfId="4725" xr:uid="{00000000-0005-0000-0000-00009E140000}"/>
    <cellStyle name="Calculation 14 39" xfId="4726" xr:uid="{00000000-0005-0000-0000-00009F140000}"/>
    <cellStyle name="Calculation 14 39 2" xfId="4727" xr:uid="{00000000-0005-0000-0000-0000A0140000}"/>
    <cellStyle name="Calculation 14 4" xfId="4728" xr:uid="{00000000-0005-0000-0000-0000A1140000}"/>
    <cellStyle name="Calculation 14 4 2" xfId="4729" xr:uid="{00000000-0005-0000-0000-0000A2140000}"/>
    <cellStyle name="Calculation 14 40" xfId="4730" xr:uid="{00000000-0005-0000-0000-0000A3140000}"/>
    <cellStyle name="Calculation 14 40 2" xfId="4731" xr:uid="{00000000-0005-0000-0000-0000A4140000}"/>
    <cellStyle name="Calculation 14 41" xfId="4732" xr:uid="{00000000-0005-0000-0000-0000A5140000}"/>
    <cellStyle name="Calculation 14 41 2" xfId="4733" xr:uid="{00000000-0005-0000-0000-0000A6140000}"/>
    <cellStyle name="Calculation 14 42" xfId="4734" xr:uid="{00000000-0005-0000-0000-0000A7140000}"/>
    <cellStyle name="Calculation 14 42 2" xfId="4735" xr:uid="{00000000-0005-0000-0000-0000A8140000}"/>
    <cellStyle name="Calculation 14 43" xfId="4736" xr:uid="{00000000-0005-0000-0000-0000A9140000}"/>
    <cellStyle name="Calculation 14 43 2" xfId="4737" xr:uid="{00000000-0005-0000-0000-0000AA140000}"/>
    <cellStyle name="Calculation 14 44" xfId="4738" xr:uid="{00000000-0005-0000-0000-0000AB140000}"/>
    <cellStyle name="Calculation 14 44 2" xfId="4739" xr:uid="{00000000-0005-0000-0000-0000AC140000}"/>
    <cellStyle name="Calculation 14 45" xfId="4740" xr:uid="{00000000-0005-0000-0000-0000AD140000}"/>
    <cellStyle name="Calculation 14 45 2" xfId="4741" xr:uid="{00000000-0005-0000-0000-0000AE140000}"/>
    <cellStyle name="Calculation 14 46" xfId="4742" xr:uid="{00000000-0005-0000-0000-0000AF140000}"/>
    <cellStyle name="Calculation 14 46 2" xfId="4743" xr:uid="{00000000-0005-0000-0000-0000B0140000}"/>
    <cellStyle name="Calculation 14 47" xfId="4744" xr:uid="{00000000-0005-0000-0000-0000B1140000}"/>
    <cellStyle name="Calculation 14 47 2" xfId="4745" xr:uid="{00000000-0005-0000-0000-0000B2140000}"/>
    <cellStyle name="Calculation 14 48" xfId="4746" xr:uid="{00000000-0005-0000-0000-0000B3140000}"/>
    <cellStyle name="Calculation 14 48 2" xfId="4747" xr:uid="{00000000-0005-0000-0000-0000B4140000}"/>
    <cellStyle name="Calculation 14 49" xfId="4748" xr:uid="{00000000-0005-0000-0000-0000B5140000}"/>
    <cellStyle name="Calculation 14 49 2" xfId="4749" xr:uid="{00000000-0005-0000-0000-0000B6140000}"/>
    <cellStyle name="Calculation 14 5" xfId="4750" xr:uid="{00000000-0005-0000-0000-0000B7140000}"/>
    <cellStyle name="Calculation 14 5 2" xfId="4751" xr:uid="{00000000-0005-0000-0000-0000B8140000}"/>
    <cellStyle name="Calculation 14 50" xfId="4752" xr:uid="{00000000-0005-0000-0000-0000B9140000}"/>
    <cellStyle name="Calculation 14 50 2" xfId="4753" xr:uid="{00000000-0005-0000-0000-0000BA140000}"/>
    <cellStyle name="Calculation 14 51" xfId="4754" xr:uid="{00000000-0005-0000-0000-0000BB140000}"/>
    <cellStyle name="Calculation 14 51 2" xfId="4755" xr:uid="{00000000-0005-0000-0000-0000BC140000}"/>
    <cellStyle name="Calculation 14 52" xfId="4756" xr:uid="{00000000-0005-0000-0000-0000BD140000}"/>
    <cellStyle name="Calculation 14 52 2" xfId="4757" xr:uid="{00000000-0005-0000-0000-0000BE140000}"/>
    <cellStyle name="Calculation 14 53" xfId="4758" xr:uid="{00000000-0005-0000-0000-0000BF140000}"/>
    <cellStyle name="Calculation 14 53 2" xfId="4759" xr:uid="{00000000-0005-0000-0000-0000C0140000}"/>
    <cellStyle name="Calculation 14 54" xfId="4760" xr:uid="{00000000-0005-0000-0000-0000C1140000}"/>
    <cellStyle name="Calculation 14 54 2" xfId="4761" xr:uid="{00000000-0005-0000-0000-0000C2140000}"/>
    <cellStyle name="Calculation 14 55" xfId="4762" xr:uid="{00000000-0005-0000-0000-0000C3140000}"/>
    <cellStyle name="Calculation 14 55 2" xfId="4763" xr:uid="{00000000-0005-0000-0000-0000C4140000}"/>
    <cellStyle name="Calculation 14 56" xfId="4764" xr:uid="{00000000-0005-0000-0000-0000C5140000}"/>
    <cellStyle name="Calculation 14 56 2" xfId="4765" xr:uid="{00000000-0005-0000-0000-0000C6140000}"/>
    <cellStyle name="Calculation 14 57" xfId="4766" xr:uid="{00000000-0005-0000-0000-0000C7140000}"/>
    <cellStyle name="Calculation 14 57 2" xfId="4767" xr:uid="{00000000-0005-0000-0000-0000C8140000}"/>
    <cellStyle name="Calculation 14 58" xfId="4768" xr:uid="{00000000-0005-0000-0000-0000C9140000}"/>
    <cellStyle name="Calculation 14 58 2" xfId="4769" xr:uid="{00000000-0005-0000-0000-0000CA140000}"/>
    <cellStyle name="Calculation 14 59" xfId="4770" xr:uid="{00000000-0005-0000-0000-0000CB140000}"/>
    <cellStyle name="Calculation 14 59 2" xfId="4771" xr:uid="{00000000-0005-0000-0000-0000CC140000}"/>
    <cellStyle name="Calculation 14 6" xfId="4772" xr:uid="{00000000-0005-0000-0000-0000CD140000}"/>
    <cellStyle name="Calculation 14 6 2" xfId="4773" xr:uid="{00000000-0005-0000-0000-0000CE140000}"/>
    <cellStyle name="Calculation 14 60" xfId="4774" xr:uid="{00000000-0005-0000-0000-0000CF140000}"/>
    <cellStyle name="Calculation 14 60 2" xfId="4775" xr:uid="{00000000-0005-0000-0000-0000D0140000}"/>
    <cellStyle name="Calculation 14 61" xfId="4776" xr:uid="{00000000-0005-0000-0000-0000D1140000}"/>
    <cellStyle name="Calculation 14 61 2" xfId="4777" xr:uid="{00000000-0005-0000-0000-0000D2140000}"/>
    <cellStyle name="Calculation 14 62" xfId="4778" xr:uid="{00000000-0005-0000-0000-0000D3140000}"/>
    <cellStyle name="Calculation 14 62 2" xfId="4779" xr:uid="{00000000-0005-0000-0000-0000D4140000}"/>
    <cellStyle name="Calculation 14 63" xfId="4780" xr:uid="{00000000-0005-0000-0000-0000D5140000}"/>
    <cellStyle name="Calculation 14 7" xfId="4781" xr:uid="{00000000-0005-0000-0000-0000D6140000}"/>
    <cellStyle name="Calculation 14 7 2" xfId="4782" xr:uid="{00000000-0005-0000-0000-0000D7140000}"/>
    <cellStyle name="Calculation 14 8" xfId="4783" xr:uid="{00000000-0005-0000-0000-0000D8140000}"/>
    <cellStyle name="Calculation 14 8 2" xfId="4784" xr:uid="{00000000-0005-0000-0000-0000D9140000}"/>
    <cellStyle name="Calculation 14 9" xfId="4785" xr:uid="{00000000-0005-0000-0000-0000DA140000}"/>
    <cellStyle name="Calculation 14 9 2" xfId="4786" xr:uid="{00000000-0005-0000-0000-0000DB140000}"/>
    <cellStyle name="Calculation 15" xfId="4787" xr:uid="{00000000-0005-0000-0000-0000DC140000}"/>
    <cellStyle name="Calculation 15 10" xfId="4788" xr:uid="{00000000-0005-0000-0000-0000DD140000}"/>
    <cellStyle name="Calculation 15 10 2" xfId="4789" xr:uid="{00000000-0005-0000-0000-0000DE140000}"/>
    <cellStyle name="Calculation 15 11" xfId="4790" xr:uid="{00000000-0005-0000-0000-0000DF140000}"/>
    <cellStyle name="Calculation 15 11 2" xfId="4791" xr:uid="{00000000-0005-0000-0000-0000E0140000}"/>
    <cellStyle name="Calculation 15 12" xfId="4792" xr:uid="{00000000-0005-0000-0000-0000E1140000}"/>
    <cellStyle name="Calculation 15 12 2" xfId="4793" xr:uid="{00000000-0005-0000-0000-0000E2140000}"/>
    <cellStyle name="Calculation 15 13" xfId="4794" xr:uid="{00000000-0005-0000-0000-0000E3140000}"/>
    <cellStyle name="Calculation 15 13 2" xfId="4795" xr:uid="{00000000-0005-0000-0000-0000E4140000}"/>
    <cellStyle name="Calculation 15 14" xfId="4796" xr:uid="{00000000-0005-0000-0000-0000E5140000}"/>
    <cellStyle name="Calculation 15 14 2" xfId="4797" xr:uid="{00000000-0005-0000-0000-0000E6140000}"/>
    <cellStyle name="Calculation 15 15" xfId="4798" xr:uid="{00000000-0005-0000-0000-0000E7140000}"/>
    <cellStyle name="Calculation 15 15 2" xfId="4799" xr:uid="{00000000-0005-0000-0000-0000E8140000}"/>
    <cellStyle name="Calculation 15 16" xfId="4800" xr:uid="{00000000-0005-0000-0000-0000E9140000}"/>
    <cellStyle name="Calculation 15 16 2" xfId="4801" xr:uid="{00000000-0005-0000-0000-0000EA140000}"/>
    <cellStyle name="Calculation 15 17" xfId="4802" xr:uid="{00000000-0005-0000-0000-0000EB140000}"/>
    <cellStyle name="Calculation 15 17 2" xfId="4803" xr:uid="{00000000-0005-0000-0000-0000EC140000}"/>
    <cellStyle name="Calculation 15 18" xfId="4804" xr:uid="{00000000-0005-0000-0000-0000ED140000}"/>
    <cellStyle name="Calculation 15 18 2" xfId="4805" xr:uid="{00000000-0005-0000-0000-0000EE140000}"/>
    <cellStyle name="Calculation 15 19" xfId="4806" xr:uid="{00000000-0005-0000-0000-0000EF140000}"/>
    <cellStyle name="Calculation 15 19 2" xfId="4807" xr:uid="{00000000-0005-0000-0000-0000F0140000}"/>
    <cellStyle name="Calculation 15 2" xfId="4808" xr:uid="{00000000-0005-0000-0000-0000F1140000}"/>
    <cellStyle name="Calculation 15 2 2" xfId="4809" xr:uid="{00000000-0005-0000-0000-0000F2140000}"/>
    <cellStyle name="Calculation 15 20" xfId="4810" xr:uid="{00000000-0005-0000-0000-0000F3140000}"/>
    <cellStyle name="Calculation 15 20 2" xfId="4811" xr:uid="{00000000-0005-0000-0000-0000F4140000}"/>
    <cellStyle name="Calculation 15 21" xfId="4812" xr:uid="{00000000-0005-0000-0000-0000F5140000}"/>
    <cellStyle name="Calculation 15 21 2" xfId="4813" xr:uid="{00000000-0005-0000-0000-0000F6140000}"/>
    <cellStyle name="Calculation 15 22" xfId="4814" xr:uid="{00000000-0005-0000-0000-0000F7140000}"/>
    <cellStyle name="Calculation 15 22 2" xfId="4815" xr:uid="{00000000-0005-0000-0000-0000F8140000}"/>
    <cellStyle name="Calculation 15 23" xfId="4816" xr:uid="{00000000-0005-0000-0000-0000F9140000}"/>
    <cellStyle name="Calculation 15 23 2" xfId="4817" xr:uid="{00000000-0005-0000-0000-0000FA140000}"/>
    <cellStyle name="Calculation 15 24" xfId="4818" xr:uid="{00000000-0005-0000-0000-0000FB140000}"/>
    <cellStyle name="Calculation 15 24 2" xfId="4819" xr:uid="{00000000-0005-0000-0000-0000FC140000}"/>
    <cellStyle name="Calculation 15 25" xfId="4820" xr:uid="{00000000-0005-0000-0000-0000FD140000}"/>
    <cellStyle name="Calculation 15 25 2" xfId="4821" xr:uid="{00000000-0005-0000-0000-0000FE140000}"/>
    <cellStyle name="Calculation 15 26" xfId="4822" xr:uid="{00000000-0005-0000-0000-0000FF140000}"/>
    <cellStyle name="Calculation 15 26 2" xfId="4823" xr:uid="{00000000-0005-0000-0000-000000150000}"/>
    <cellStyle name="Calculation 15 27" xfId="4824" xr:uid="{00000000-0005-0000-0000-000001150000}"/>
    <cellStyle name="Calculation 15 27 2" xfId="4825" xr:uid="{00000000-0005-0000-0000-000002150000}"/>
    <cellStyle name="Calculation 15 28" xfId="4826" xr:uid="{00000000-0005-0000-0000-000003150000}"/>
    <cellStyle name="Calculation 15 28 2" xfId="4827" xr:uid="{00000000-0005-0000-0000-000004150000}"/>
    <cellStyle name="Calculation 15 29" xfId="4828" xr:uid="{00000000-0005-0000-0000-000005150000}"/>
    <cellStyle name="Calculation 15 29 2" xfId="4829" xr:uid="{00000000-0005-0000-0000-000006150000}"/>
    <cellStyle name="Calculation 15 3" xfId="4830" xr:uid="{00000000-0005-0000-0000-000007150000}"/>
    <cellStyle name="Calculation 15 3 2" xfId="4831" xr:uid="{00000000-0005-0000-0000-000008150000}"/>
    <cellStyle name="Calculation 15 30" xfId="4832" xr:uid="{00000000-0005-0000-0000-000009150000}"/>
    <cellStyle name="Calculation 15 30 2" xfId="4833" xr:uid="{00000000-0005-0000-0000-00000A150000}"/>
    <cellStyle name="Calculation 15 31" xfId="4834" xr:uid="{00000000-0005-0000-0000-00000B150000}"/>
    <cellStyle name="Calculation 15 31 2" xfId="4835" xr:uid="{00000000-0005-0000-0000-00000C150000}"/>
    <cellStyle name="Calculation 15 32" xfId="4836" xr:uid="{00000000-0005-0000-0000-00000D150000}"/>
    <cellStyle name="Calculation 15 32 2" xfId="4837" xr:uid="{00000000-0005-0000-0000-00000E150000}"/>
    <cellStyle name="Calculation 15 33" xfId="4838" xr:uid="{00000000-0005-0000-0000-00000F150000}"/>
    <cellStyle name="Calculation 15 33 2" xfId="4839" xr:uid="{00000000-0005-0000-0000-000010150000}"/>
    <cellStyle name="Calculation 15 34" xfId="4840" xr:uid="{00000000-0005-0000-0000-000011150000}"/>
    <cellStyle name="Calculation 15 34 2" xfId="4841" xr:uid="{00000000-0005-0000-0000-000012150000}"/>
    <cellStyle name="Calculation 15 35" xfId="4842" xr:uid="{00000000-0005-0000-0000-000013150000}"/>
    <cellStyle name="Calculation 15 35 2" xfId="4843" xr:uid="{00000000-0005-0000-0000-000014150000}"/>
    <cellStyle name="Calculation 15 36" xfId="4844" xr:uid="{00000000-0005-0000-0000-000015150000}"/>
    <cellStyle name="Calculation 15 36 2" xfId="4845" xr:uid="{00000000-0005-0000-0000-000016150000}"/>
    <cellStyle name="Calculation 15 37" xfId="4846" xr:uid="{00000000-0005-0000-0000-000017150000}"/>
    <cellStyle name="Calculation 15 37 2" xfId="4847" xr:uid="{00000000-0005-0000-0000-000018150000}"/>
    <cellStyle name="Calculation 15 38" xfId="4848" xr:uid="{00000000-0005-0000-0000-000019150000}"/>
    <cellStyle name="Calculation 15 38 2" xfId="4849" xr:uid="{00000000-0005-0000-0000-00001A150000}"/>
    <cellStyle name="Calculation 15 39" xfId="4850" xr:uid="{00000000-0005-0000-0000-00001B150000}"/>
    <cellStyle name="Calculation 15 39 2" xfId="4851" xr:uid="{00000000-0005-0000-0000-00001C150000}"/>
    <cellStyle name="Calculation 15 4" xfId="4852" xr:uid="{00000000-0005-0000-0000-00001D150000}"/>
    <cellStyle name="Calculation 15 4 2" xfId="4853" xr:uid="{00000000-0005-0000-0000-00001E150000}"/>
    <cellStyle name="Calculation 15 40" xfId="4854" xr:uid="{00000000-0005-0000-0000-00001F150000}"/>
    <cellStyle name="Calculation 15 40 2" xfId="4855" xr:uid="{00000000-0005-0000-0000-000020150000}"/>
    <cellStyle name="Calculation 15 41" xfId="4856" xr:uid="{00000000-0005-0000-0000-000021150000}"/>
    <cellStyle name="Calculation 15 41 2" xfId="4857" xr:uid="{00000000-0005-0000-0000-000022150000}"/>
    <cellStyle name="Calculation 15 42" xfId="4858" xr:uid="{00000000-0005-0000-0000-000023150000}"/>
    <cellStyle name="Calculation 15 42 2" xfId="4859" xr:uid="{00000000-0005-0000-0000-000024150000}"/>
    <cellStyle name="Calculation 15 43" xfId="4860" xr:uid="{00000000-0005-0000-0000-000025150000}"/>
    <cellStyle name="Calculation 15 43 2" xfId="4861" xr:uid="{00000000-0005-0000-0000-000026150000}"/>
    <cellStyle name="Calculation 15 44" xfId="4862" xr:uid="{00000000-0005-0000-0000-000027150000}"/>
    <cellStyle name="Calculation 15 44 2" xfId="4863" xr:uid="{00000000-0005-0000-0000-000028150000}"/>
    <cellStyle name="Calculation 15 45" xfId="4864" xr:uid="{00000000-0005-0000-0000-000029150000}"/>
    <cellStyle name="Calculation 15 45 2" xfId="4865" xr:uid="{00000000-0005-0000-0000-00002A150000}"/>
    <cellStyle name="Calculation 15 46" xfId="4866" xr:uid="{00000000-0005-0000-0000-00002B150000}"/>
    <cellStyle name="Calculation 15 46 2" xfId="4867" xr:uid="{00000000-0005-0000-0000-00002C150000}"/>
    <cellStyle name="Calculation 15 47" xfId="4868" xr:uid="{00000000-0005-0000-0000-00002D150000}"/>
    <cellStyle name="Calculation 15 47 2" xfId="4869" xr:uid="{00000000-0005-0000-0000-00002E150000}"/>
    <cellStyle name="Calculation 15 48" xfId="4870" xr:uid="{00000000-0005-0000-0000-00002F150000}"/>
    <cellStyle name="Calculation 15 48 2" xfId="4871" xr:uid="{00000000-0005-0000-0000-000030150000}"/>
    <cellStyle name="Calculation 15 49" xfId="4872" xr:uid="{00000000-0005-0000-0000-000031150000}"/>
    <cellStyle name="Calculation 15 49 2" xfId="4873" xr:uid="{00000000-0005-0000-0000-000032150000}"/>
    <cellStyle name="Calculation 15 5" xfId="4874" xr:uid="{00000000-0005-0000-0000-000033150000}"/>
    <cellStyle name="Calculation 15 5 2" xfId="4875" xr:uid="{00000000-0005-0000-0000-000034150000}"/>
    <cellStyle name="Calculation 15 50" xfId="4876" xr:uid="{00000000-0005-0000-0000-000035150000}"/>
    <cellStyle name="Calculation 15 50 2" xfId="4877" xr:uid="{00000000-0005-0000-0000-000036150000}"/>
    <cellStyle name="Calculation 15 51" xfId="4878" xr:uid="{00000000-0005-0000-0000-000037150000}"/>
    <cellStyle name="Calculation 15 51 2" xfId="4879" xr:uid="{00000000-0005-0000-0000-000038150000}"/>
    <cellStyle name="Calculation 15 52" xfId="4880" xr:uid="{00000000-0005-0000-0000-000039150000}"/>
    <cellStyle name="Calculation 15 52 2" xfId="4881" xr:uid="{00000000-0005-0000-0000-00003A150000}"/>
    <cellStyle name="Calculation 15 53" xfId="4882" xr:uid="{00000000-0005-0000-0000-00003B150000}"/>
    <cellStyle name="Calculation 15 53 2" xfId="4883" xr:uid="{00000000-0005-0000-0000-00003C150000}"/>
    <cellStyle name="Calculation 15 54" xfId="4884" xr:uid="{00000000-0005-0000-0000-00003D150000}"/>
    <cellStyle name="Calculation 15 54 2" xfId="4885" xr:uid="{00000000-0005-0000-0000-00003E150000}"/>
    <cellStyle name="Calculation 15 55" xfId="4886" xr:uid="{00000000-0005-0000-0000-00003F150000}"/>
    <cellStyle name="Calculation 15 55 2" xfId="4887" xr:uid="{00000000-0005-0000-0000-000040150000}"/>
    <cellStyle name="Calculation 15 56" xfId="4888" xr:uid="{00000000-0005-0000-0000-000041150000}"/>
    <cellStyle name="Calculation 15 56 2" xfId="4889" xr:uid="{00000000-0005-0000-0000-000042150000}"/>
    <cellStyle name="Calculation 15 57" xfId="4890" xr:uid="{00000000-0005-0000-0000-000043150000}"/>
    <cellStyle name="Calculation 15 57 2" xfId="4891" xr:uid="{00000000-0005-0000-0000-000044150000}"/>
    <cellStyle name="Calculation 15 58" xfId="4892" xr:uid="{00000000-0005-0000-0000-000045150000}"/>
    <cellStyle name="Calculation 15 58 2" xfId="4893" xr:uid="{00000000-0005-0000-0000-000046150000}"/>
    <cellStyle name="Calculation 15 59" xfId="4894" xr:uid="{00000000-0005-0000-0000-000047150000}"/>
    <cellStyle name="Calculation 15 59 2" xfId="4895" xr:uid="{00000000-0005-0000-0000-000048150000}"/>
    <cellStyle name="Calculation 15 6" xfId="4896" xr:uid="{00000000-0005-0000-0000-000049150000}"/>
    <cellStyle name="Calculation 15 6 2" xfId="4897" xr:uid="{00000000-0005-0000-0000-00004A150000}"/>
    <cellStyle name="Calculation 15 60" xfId="4898" xr:uid="{00000000-0005-0000-0000-00004B150000}"/>
    <cellStyle name="Calculation 15 60 2" xfId="4899" xr:uid="{00000000-0005-0000-0000-00004C150000}"/>
    <cellStyle name="Calculation 15 61" xfId="4900" xr:uid="{00000000-0005-0000-0000-00004D150000}"/>
    <cellStyle name="Calculation 15 61 2" xfId="4901" xr:uid="{00000000-0005-0000-0000-00004E150000}"/>
    <cellStyle name="Calculation 15 62" xfId="4902" xr:uid="{00000000-0005-0000-0000-00004F150000}"/>
    <cellStyle name="Calculation 15 62 2" xfId="4903" xr:uid="{00000000-0005-0000-0000-000050150000}"/>
    <cellStyle name="Calculation 15 63" xfId="4904" xr:uid="{00000000-0005-0000-0000-000051150000}"/>
    <cellStyle name="Calculation 15 7" xfId="4905" xr:uid="{00000000-0005-0000-0000-000052150000}"/>
    <cellStyle name="Calculation 15 7 2" xfId="4906" xr:uid="{00000000-0005-0000-0000-000053150000}"/>
    <cellStyle name="Calculation 15 8" xfId="4907" xr:uid="{00000000-0005-0000-0000-000054150000}"/>
    <cellStyle name="Calculation 15 8 2" xfId="4908" xr:uid="{00000000-0005-0000-0000-000055150000}"/>
    <cellStyle name="Calculation 15 9" xfId="4909" xr:uid="{00000000-0005-0000-0000-000056150000}"/>
    <cellStyle name="Calculation 15 9 2" xfId="4910" xr:uid="{00000000-0005-0000-0000-000057150000}"/>
    <cellStyle name="Calculation 16" xfId="4911" xr:uid="{00000000-0005-0000-0000-000058150000}"/>
    <cellStyle name="Calculation 16 10" xfId="4912" xr:uid="{00000000-0005-0000-0000-000059150000}"/>
    <cellStyle name="Calculation 16 10 2" xfId="4913" xr:uid="{00000000-0005-0000-0000-00005A150000}"/>
    <cellStyle name="Calculation 16 11" xfId="4914" xr:uid="{00000000-0005-0000-0000-00005B150000}"/>
    <cellStyle name="Calculation 16 11 2" xfId="4915" xr:uid="{00000000-0005-0000-0000-00005C150000}"/>
    <cellStyle name="Calculation 16 12" xfId="4916" xr:uid="{00000000-0005-0000-0000-00005D150000}"/>
    <cellStyle name="Calculation 16 12 2" xfId="4917" xr:uid="{00000000-0005-0000-0000-00005E150000}"/>
    <cellStyle name="Calculation 16 13" xfId="4918" xr:uid="{00000000-0005-0000-0000-00005F150000}"/>
    <cellStyle name="Calculation 16 13 2" xfId="4919" xr:uid="{00000000-0005-0000-0000-000060150000}"/>
    <cellStyle name="Calculation 16 14" xfId="4920" xr:uid="{00000000-0005-0000-0000-000061150000}"/>
    <cellStyle name="Calculation 16 14 2" xfId="4921" xr:uid="{00000000-0005-0000-0000-000062150000}"/>
    <cellStyle name="Calculation 16 15" xfId="4922" xr:uid="{00000000-0005-0000-0000-000063150000}"/>
    <cellStyle name="Calculation 16 15 2" xfId="4923" xr:uid="{00000000-0005-0000-0000-000064150000}"/>
    <cellStyle name="Calculation 16 16" xfId="4924" xr:uid="{00000000-0005-0000-0000-000065150000}"/>
    <cellStyle name="Calculation 16 16 2" xfId="4925" xr:uid="{00000000-0005-0000-0000-000066150000}"/>
    <cellStyle name="Calculation 16 17" xfId="4926" xr:uid="{00000000-0005-0000-0000-000067150000}"/>
    <cellStyle name="Calculation 16 17 2" xfId="4927" xr:uid="{00000000-0005-0000-0000-000068150000}"/>
    <cellStyle name="Calculation 16 18" xfId="4928" xr:uid="{00000000-0005-0000-0000-000069150000}"/>
    <cellStyle name="Calculation 16 18 2" xfId="4929" xr:uid="{00000000-0005-0000-0000-00006A150000}"/>
    <cellStyle name="Calculation 16 19" xfId="4930" xr:uid="{00000000-0005-0000-0000-00006B150000}"/>
    <cellStyle name="Calculation 16 19 2" xfId="4931" xr:uid="{00000000-0005-0000-0000-00006C150000}"/>
    <cellStyle name="Calculation 16 2" xfId="4932" xr:uid="{00000000-0005-0000-0000-00006D150000}"/>
    <cellStyle name="Calculation 16 2 2" xfId="4933" xr:uid="{00000000-0005-0000-0000-00006E150000}"/>
    <cellStyle name="Calculation 16 20" xfId="4934" xr:uid="{00000000-0005-0000-0000-00006F150000}"/>
    <cellStyle name="Calculation 16 20 2" xfId="4935" xr:uid="{00000000-0005-0000-0000-000070150000}"/>
    <cellStyle name="Calculation 16 21" xfId="4936" xr:uid="{00000000-0005-0000-0000-000071150000}"/>
    <cellStyle name="Calculation 16 21 2" xfId="4937" xr:uid="{00000000-0005-0000-0000-000072150000}"/>
    <cellStyle name="Calculation 16 22" xfId="4938" xr:uid="{00000000-0005-0000-0000-000073150000}"/>
    <cellStyle name="Calculation 16 22 2" xfId="4939" xr:uid="{00000000-0005-0000-0000-000074150000}"/>
    <cellStyle name="Calculation 16 23" xfId="4940" xr:uid="{00000000-0005-0000-0000-000075150000}"/>
    <cellStyle name="Calculation 16 23 2" xfId="4941" xr:uid="{00000000-0005-0000-0000-000076150000}"/>
    <cellStyle name="Calculation 16 24" xfId="4942" xr:uid="{00000000-0005-0000-0000-000077150000}"/>
    <cellStyle name="Calculation 16 24 2" xfId="4943" xr:uid="{00000000-0005-0000-0000-000078150000}"/>
    <cellStyle name="Calculation 16 25" xfId="4944" xr:uid="{00000000-0005-0000-0000-000079150000}"/>
    <cellStyle name="Calculation 16 25 2" xfId="4945" xr:uid="{00000000-0005-0000-0000-00007A150000}"/>
    <cellStyle name="Calculation 16 26" xfId="4946" xr:uid="{00000000-0005-0000-0000-00007B150000}"/>
    <cellStyle name="Calculation 16 26 2" xfId="4947" xr:uid="{00000000-0005-0000-0000-00007C150000}"/>
    <cellStyle name="Calculation 16 27" xfId="4948" xr:uid="{00000000-0005-0000-0000-00007D150000}"/>
    <cellStyle name="Calculation 16 27 2" xfId="4949" xr:uid="{00000000-0005-0000-0000-00007E150000}"/>
    <cellStyle name="Calculation 16 28" xfId="4950" xr:uid="{00000000-0005-0000-0000-00007F150000}"/>
    <cellStyle name="Calculation 16 28 2" xfId="4951" xr:uid="{00000000-0005-0000-0000-000080150000}"/>
    <cellStyle name="Calculation 16 29" xfId="4952" xr:uid="{00000000-0005-0000-0000-000081150000}"/>
    <cellStyle name="Calculation 16 29 2" xfId="4953" xr:uid="{00000000-0005-0000-0000-000082150000}"/>
    <cellStyle name="Calculation 16 3" xfId="4954" xr:uid="{00000000-0005-0000-0000-000083150000}"/>
    <cellStyle name="Calculation 16 3 2" xfId="4955" xr:uid="{00000000-0005-0000-0000-000084150000}"/>
    <cellStyle name="Calculation 16 30" xfId="4956" xr:uid="{00000000-0005-0000-0000-000085150000}"/>
    <cellStyle name="Calculation 16 30 2" xfId="4957" xr:uid="{00000000-0005-0000-0000-000086150000}"/>
    <cellStyle name="Calculation 16 31" xfId="4958" xr:uid="{00000000-0005-0000-0000-000087150000}"/>
    <cellStyle name="Calculation 16 31 2" xfId="4959" xr:uid="{00000000-0005-0000-0000-000088150000}"/>
    <cellStyle name="Calculation 16 32" xfId="4960" xr:uid="{00000000-0005-0000-0000-000089150000}"/>
    <cellStyle name="Calculation 16 32 2" xfId="4961" xr:uid="{00000000-0005-0000-0000-00008A150000}"/>
    <cellStyle name="Calculation 16 33" xfId="4962" xr:uid="{00000000-0005-0000-0000-00008B150000}"/>
    <cellStyle name="Calculation 16 33 2" xfId="4963" xr:uid="{00000000-0005-0000-0000-00008C150000}"/>
    <cellStyle name="Calculation 16 34" xfId="4964" xr:uid="{00000000-0005-0000-0000-00008D150000}"/>
    <cellStyle name="Calculation 16 34 2" xfId="4965" xr:uid="{00000000-0005-0000-0000-00008E150000}"/>
    <cellStyle name="Calculation 16 35" xfId="4966" xr:uid="{00000000-0005-0000-0000-00008F150000}"/>
    <cellStyle name="Calculation 16 35 2" xfId="4967" xr:uid="{00000000-0005-0000-0000-000090150000}"/>
    <cellStyle name="Calculation 16 36" xfId="4968" xr:uid="{00000000-0005-0000-0000-000091150000}"/>
    <cellStyle name="Calculation 16 36 2" xfId="4969" xr:uid="{00000000-0005-0000-0000-000092150000}"/>
    <cellStyle name="Calculation 16 37" xfId="4970" xr:uid="{00000000-0005-0000-0000-000093150000}"/>
    <cellStyle name="Calculation 16 37 2" xfId="4971" xr:uid="{00000000-0005-0000-0000-000094150000}"/>
    <cellStyle name="Calculation 16 38" xfId="4972" xr:uid="{00000000-0005-0000-0000-000095150000}"/>
    <cellStyle name="Calculation 16 38 2" xfId="4973" xr:uid="{00000000-0005-0000-0000-000096150000}"/>
    <cellStyle name="Calculation 16 39" xfId="4974" xr:uid="{00000000-0005-0000-0000-000097150000}"/>
    <cellStyle name="Calculation 16 39 2" xfId="4975" xr:uid="{00000000-0005-0000-0000-000098150000}"/>
    <cellStyle name="Calculation 16 4" xfId="4976" xr:uid="{00000000-0005-0000-0000-000099150000}"/>
    <cellStyle name="Calculation 16 4 2" xfId="4977" xr:uid="{00000000-0005-0000-0000-00009A150000}"/>
    <cellStyle name="Calculation 16 40" xfId="4978" xr:uid="{00000000-0005-0000-0000-00009B150000}"/>
    <cellStyle name="Calculation 16 40 2" xfId="4979" xr:uid="{00000000-0005-0000-0000-00009C150000}"/>
    <cellStyle name="Calculation 16 41" xfId="4980" xr:uid="{00000000-0005-0000-0000-00009D150000}"/>
    <cellStyle name="Calculation 16 41 2" xfId="4981" xr:uid="{00000000-0005-0000-0000-00009E150000}"/>
    <cellStyle name="Calculation 16 42" xfId="4982" xr:uid="{00000000-0005-0000-0000-00009F150000}"/>
    <cellStyle name="Calculation 16 42 2" xfId="4983" xr:uid="{00000000-0005-0000-0000-0000A0150000}"/>
    <cellStyle name="Calculation 16 43" xfId="4984" xr:uid="{00000000-0005-0000-0000-0000A1150000}"/>
    <cellStyle name="Calculation 16 43 2" xfId="4985" xr:uid="{00000000-0005-0000-0000-0000A2150000}"/>
    <cellStyle name="Calculation 16 44" xfId="4986" xr:uid="{00000000-0005-0000-0000-0000A3150000}"/>
    <cellStyle name="Calculation 16 44 2" xfId="4987" xr:uid="{00000000-0005-0000-0000-0000A4150000}"/>
    <cellStyle name="Calculation 16 45" xfId="4988" xr:uid="{00000000-0005-0000-0000-0000A5150000}"/>
    <cellStyle name="Calculation 16 45 2" xfId="4989" xr:uid="{00000000-0005-0000-0000-0000A6150000}"/>
    <cellStyle name="Calculation 16 46" xfId="4990" xr:uid="{00000000-0005-0000-0000-0000A7150000}"/>
    <cellStyle name="Calculation 16 46 2" xfId="4991" xr:uid="{00000000-0005-0000-0000-0000A8150000}"/>
    <cellStyle name="Calculation 16 47" xfId="4992" xr:uid="{00000000-0005-0000-0000-0000A9150000}"/>
    <cellStyle name="Calculation 16 47 2" xfId="4993" xr:uid="{00000000-0005-0000-0000-0000AA150000}"/>
    <cellStyle name="Calculation 16 48" xfId="4994" xr:uid="{00000000-0005-0000-0000-0000AB150000}"/>
    <cellStyle name="Calculation 16 48 2" xfId="4995" xr:uid="{00000000-0005-0000-0000-0000AC150000}"/>
    <cellStyle name="Calculation 16 49" xfId="4996" xr:uid="{00000000-0005-0000-0000-0000AD150000}"/>
    <cellStyle name="Calculation 16 49 2" xfId="4997" xr:uid="{00000000-0005-0000-0000-0000AE150000}"/>
    <cellStyle name="Calculation 16 5" xfId="4998" xr:uid="{00000000-0005-0000-0000-0000AF150000}"/>
    <cellStyle name="Calculation 16 5 2" xfId="4999" xr:uid="{00000000-0005-0000-0000-0000B0150000}"/>
    <cellStyle name="Calculation 16 50" xfId="5000" xr:uid="{00000000-0005-0000-0000-0000B1150000}"/>
    <cellStyle name="Calculation 16 50 2" xfId="5001" xr:uid="{00000000-0005-0000-0000-0000B2150000}"/>
    <cellStyle name="Calculation 16 51" xfId="5002" xr:uid="{00000000-0005-0000-0000-0000B3150000}"/>
    <cellStyle name="Calculation 16 51 2" xfId="5003" xr:uid="{00000000-0005-0000-0000-0000B4150000}"/>
    <cellStyle name="Calculation 16 52" xfId="5004" xr:uid="{00000000-0005-0000-0000-0000B5150000}"/>
    <cellStyle name="Calculation 16 52 2" xfId="5005" xr:uid="{00000000-0005-0000-0000-0000B6150000}"/>
    <cellStyle name="Calculation 16 53" xfId="5006" xr:uid="{00000000-0005-0000-0000-0000B7150000}"/>
    <cellStyle name="Calculation 16 53 2" xfId="5007" xr:uid="{00000000-0005-0000-0000-0000B8150000}"/>
    <cellStyle name="Calculation 16 54" xfId="5008" xr:uid="{00000000-0005-0000-0000-0000B9150000}"/>
    <cellStyle name="Calculation 16 54 2" xfId="5009" xr:uid="{00000000-0005-0000-0000-0000BA150000}"/>
    <cellStyle name="Calculation 16 55" xfId="5010" xr:uid="{00000000-0005-0000-0000-0000BB150000}"/>
    <cellStyle name="Calculation 16 55 2" xfId="5011" xr:uid="{00000000-0005-0000-0000-0000BC150000}"/>
    <cellStyle name="Calculation 16 56" xfId="5012" xr:uid="{00000000-0005-0000-0000-0000BD150000}"/>
    <cellStyle name="Calculation 16 56 2" xfId="5013" xr:uid="{00000000-0005-0000-0000-0000BE150000}"/>
    <cellStyle name="Calculation 16 57" xfId="5014" xr:uid="{00000000-0005-0000-0000-0000BF150000}"/>
    <cellStyle name="Calculation 16 57 2" xfId="5015" xr:uid="{00000000-0005-0000-0000-0000C0150000}"/>
    <cellStyle name="Calculation 16 58" xfId="5016" xr:uid="{00000000-0005-0000-0000-0000C1150000}"/>
    <cellStyle name="Calculation 16 58 2" xfId="5017" xr:uid="{00000000-0005-0000-0000-0000C2150000}"/>
    <cellStyle name="Calculation 16 59" xfId="5018" xr:uid="{00000000-0005-0000-0000-0000C3150000}"/>
    <cellStyle name="Calculation 16 59 2" xfId="5019" xr:uid="{00000000-0005-0000-0000-0000C4150000}"/>
    <cellStyle name="Calculation 16 6" xfId="5020" xr:uid="{00000000-0005-0000-0000-0000C5150000}"/>
    <cellStyle name="Calculation 16 6 2" xfId="5021" xr:uid="{00000000-0005-0000-0000-0000C6150000}"/>
    <cellStyle name="Calculation 16 60" xfId="5022" xr:uid="{00000000-0005-0000-0000-0000C7150000}"/>
    <cellStyle name="Calculation 16 60 2" xfId="5023" xr:uid="{00000000-0005-0000-0000-0000C8150000}"/>
    <cellStyle name="Calculation 16 61" xfId="5024" xr:uid="{00000000-0005-0000-0000-0000C9150000}"/>
    <cellStyle name="Calculation 16 61 2" xfId="5025" xr:uid="{00000000-0005-0000-0000-0000CA150000}"/>
    <cellStyle name="Calculation 16 62" xfId="5026" xr:uid="{00000000-0005-0000-0000-0000CB150000}"/>
    <cellStyle name="Calculation 16 62 2" xfId="5027" xr:uid="{00000000-0005-0000-0000-0000CC150000}"/>
    <cellStyle name="Calculation 16 63" xfId="5028" xr:uid="{00000000-0005-0000-0000-0000CD150000}"/>
    <cellStyle name="Calculation 16 7" xfId="5029" xr:uid="{00000000-0005-0000-0000-0000CE150000}"/>
    <cellStyle name="Calculation 16 7 2" xfId="5030" xr:uid="{00000000-0005-0000-0000-0000CF150000}"/>
    <cellStyle name="Calculation 16 8" xfId="5031" xr:uid="{00000000-0005-0000-0000-0000D0150000}"/>
    <cellStyle name="Calculation 16 8 2" xfId="5032" xr:uid="{00000000-0005-0000-0000-0000D1150000}"/>
    <cellStyle name="Calculation 16 9" xfId="5033" xr:uid="{00000000-0005-0000-0000-0000D2150000}"/>
    <cellStyle name="Calculation 16 9 2" xfId="5034" xr:uid="{00000000-0005-0000-0000-0000D3150000}"/>
    <cellStyle name="Calculation 17" xfId="5035" xr:uid="{00000000-0005-0000-0000-0000D4150000}"/>
    <cellStyle name="Calculation 17 10" xfId="5036" xr:uid="{00000000-0005-0000-0000-0000D5150000}"/>
    <cellStyle name="Calculation 17 10 2" xfId="5037" xr:uid="{00000000-0005-0000-0000-0000D6150000}"/>
    <cellStyle name="Calculation 17 11" xfId="5038" xr:uid="{00000000-0005-0000-0000-0000D7150000}"/>
    <cellStyle name="Calculation 17 11 2" xfId="5039" xr:uid="{00000000-0005-0000-0000-0000D8150000}"/>
    <cellStyle name="Calculation 17 12" xfId="5040" xr:uid="{00000000-0005-0000-0000-0000D9150000}"/>
    <cellStyle name="Calculation 17 12 2" xfId="5041" xr:uid="{00000000-0005-0000-0000-0000DA150000}"/>
    <cellStyle name="Calculation 17 13" xfId="5042" xr:uid="{00000000-0005-0000-0000-0000DB150000}"/>
    <cellStyle name="Calculation 17 13 2" xfId="5043" xr:uid="{00000000-0005-0000-0000-0000DC150000}"/>
    <cellStyle name="Calculation 17 14" xfId="5044" xr:uid="{00000000-0005-0000-0000-0000DD150000}"/>
    <cellStyle name="Calculation 17 14 2" xfId="5045" xr:uid="{00000000-0005-0000-0000-0000DE150000}"/>
    <cellStyle name="Calculation 17 15" xfId="5046" xr:uid="{00000000-0005-0000-0000-0000DF150000}"/>
    <cellStyle name="Calculation 17 15 2" xfId="5047" xr:uid="{00000000-0005-0000-0000-0000E0150000}"/>
    <cellStyle name="Calculation 17 16" xfId="5048" xr:uid="{00000000-0005-0000-0000-0000E1150000}"/>
    <cellStyle name="Calculation 17 16 2" xfId="5049" xr:uid="{00000000-0005-0000-0000-0000E2150000}"/>
    <cellStyle name="Calculation 17 17" xfId="5050" xr:uid="{00000000-0005-0000-0000-0000E3150000}"/>
    <cellStyle name="Calculation 17 17 2" xfId="5051" xr:uid="{00000000-0005-0000-0000-0000E4150000}"/>
    <cellStyle name="Calculation 17 18" xfId="5052" xr:uid="{00000000-0005-0000-0000-0000E5150000}"/>
    <cellStyle name="Calculation 17 18 2" xfId="5053" xr:uid="{00000000-0005-0000-0000-0000E6150000}"/>
    <cellStyle name="Calculation 17 19" xfId="5054" xr:uid="{00000000-0005-0000-0000-0000E7150000}"/>
    <cellStyle name="Calculation 17 19 2" xfId="5055" xr:uid="{00000000-0005-0000-0000-0000E8150000}"/>
    <cellStyle name="Calculation 17 2" xfId="5056" xr:uid="{00000000-0005-0000-0000-0000E9150000}"/>
    <cellStyle name="Calculation 17 2 2" xfId="5057" xr:uid="{00000000-0005-0000-0000-0000EA150000}"/>
    <cellStyle name="Calculation 17 20" xfId="5058" xr:uid="{00000000-0005-0000-0000-0000EB150000}"/>
    <cellStyle name="Calculation 17 20 2" xfId="5059" xr:uid="{00000000-0005-0000-0000-0000EC150000}"/>
    <cellStyle name="Calculation 17 21" xfId="5060" xr:uid="{00000000-0005-0000-0000-0000ED150000}"/>
    <cellStyle name="Calculation 17 21 2" xfId="5061" xr:uid="{00000000-0005-0000-0000-0000EE150000}"/>
    <cellStyle name="Calculation 17 22" xfId="5062" xr:uid="{00000000-0005-0000-0000-0000EF150000}"/>
    <cellStyle name="Calculation 17 22 2" xfId="5063" xr:uid="{00000000-0005-0000-0000-0000F0150000}"/>
    <cellStyle name="Calculation 17 23" xfId="5064" xr:uid="{00000000-0005-0000-0000-0000F1150000}"/>
    <cellStyle name="Calculation 17 23 2" xfId="5065" xr:uid="{00000000-0005-0000-0000-0000F2150000}"/>
    <cellStyle name="Calculation 17 24" xfId="5066" xr:uid="{00000000-0005-0000-0000-0000F3150000}"/>
    <cellStyle name="Calculation 17 24 2" xfId="5067" xr:uid="{00000000-0005-0000-0000-0000F4150000}"/>
    <cellStyle name="Calculation 17 25" xfId="5068" xr:uid="{00000000-0005-0000-0000-0000F5150000}"/>
    <cellStyle name="Calculation 17 25 2" xfId="5069" xr:uid="{00000000-0005-0000-0000-0000F6150000}"/>
    <cellStyle name="Calculation 17 26" xfId="5070" xr:uid="{00000000-0005-0000-0000-0000F7150000}"/>
    <cellStyle name="Calculation 17 26 2" xfId="5071" xr:uid="{00000000-0005-0000-0000-0000F8150000}"/>
    <cellStyle name="Calculation 17 27" xfId="5072" xr:uid="{00000000-0005-0000-0000-0000F9150000}"/>
    <cellStyle name="Calculation 17 27 2" xfId="5073" xr:uid="{00000000-0005-0000-0000-0000FA150000}"/>
    <cellStyle name="Calculation 17 28" xfId="5074" xr:uid="{00000000-0005-0000-0000-0000FB150000}"/>
    <cellStyle name="Calculation 17 28 2" xfId="5075" xr:uid="{00000000-0005-0000-0000-0000FC150000}"/>
    <cellStyle name="Calculation 17 29" xfId="5076" xr:uid="{00000000-0005-0000-0000-0000FD150000}"/>
    <cellStyle name="Calculation 17 29 2" xfId="5077" xr:uid="{00000000-0005-0000-0000-0000FE150000}"/>
    <cellStyle name="Calculation 17 3" xfId="5078" xr:uid="{00000000-0005-0000-0000-0000FF150000}"/>
    <cellStyle name="Calculation 17 3 2" xfId="5079" xr:uid="{00000000-0005-0000-0000-000000160000}"/>
    <cellStyle name="Calculation 17 30" xfId="5080" xr:uid="{00000000-0005-0000-0000-000001160000}"/>
    <cellStyle name="Calculation 17 30 2" xfId="5081" xr:uid="{00000000-0005-0000-0000-000002160000}"/>
    <cellStyle name="Calculation 17 31" xfId="5082" xr:uid="{00000000-0005-0000-0000-000003160000}"/>
    <cellStyle name="Calculation 17 31 2" xfId="5083" xr:uid="{00000000-0005-0000-0000-000004160000}"/>
    <cellStyle name="Calculation 17 32" xfId="5084" xr:uid="{00000000-0005-0000-0000-000005160000}"/>
    <cellStyle name="Calculation 17 32 2" xfId="5085" xr:uid="{00000000-0005-0000-0000-000006160000}"/>
    <cellStyle name="Calculation 17 33" xfId="5086" xr:uid="{00000000-0005-0000-0000-000007160000}"/>
    <cellStyle name="Calculation 17 33 2" xfId="5087" xr:uid="{00000000-0005-0000-0000-000008160000}"/>
    <cellStyle name="Calculation 17 34" xfId="5088" xr:uid="{00000000-0005-0000-0000-000009160000}"/>
    <cellStyle name="Calculation 17 34 2" xfId="5089" xr:uid="{00000000-0005-0000-0000-00000A160000}"/>
    <cellStyle name="Calculation 17 35" xfId="5090" xr:uid="{00000000-0005-0000-0000-00000B160000}"/>
    <cellStyle name="Calculation 17 35 2" xfId="5091" xr:uid="{00000000-0005-0000-0000-00000C160000}"/>
    <cellStyle name="Calculation 17 36" xfId="5092" xr:uid="{00000000-0005-0000-0000-00000D160000}"/>
    <cellStyle name="Calculation 17 36 2" xfId="5093" xr:uid="{00000000-0005-0000-0000-00000E160000}"/>
    <cellStyle name="Calculation 17 37" xfId="5094" xr:uid="{00000000-0005-0000-0000-00000F160000}"/>
    <cellStyle name="Calculation 17 37 2" xfId="5095" xr:uid="{00000000-0005-0000-0000-000010160000}"/>
    <cellStyle name="Calculation 17 38" xfId="5096" xr:uid="{00000000-0005-0000-0000-000011160000}"/>
    <cellStyle name="Calculation 17 38 2" xfId="5097" xr:uid="{00000000-0005-0000-0000-000012160000}"/>
    <cellStyle name="Calculation 17 39" xfId="5098" xr:uid="{00000000-0005-0000-0000-000013160000}"/>
    <cellStyle name="Calculation 17 39 2" xfId="5099" xr:uid="{00000000-0005-0000-0000-000014160000}"/>
    <cellStyle name="Calculation 17 4" xfId="5100" xr:uid="{00000000-0005-0000-0000-000015160000}"/>
    <cellStyle name="Calculation 17 4 2" xfId="5101" xr:uid="{00000000-0005-0000-0000-000016160000}"/>
    <cellStyle name="Calculation 17 40" xfId="5102" xr:uid="{00000000-0005-0000-0000-000017160000}"/>
    <cellStyle name="Calculation 17 40 2" xfId="5103" xr:uid="{00000000-0005-0000-0000-000018160000}"/>
    <cellStyle name="Calculation 17 41" xfId="5104" xr:uid="{00000000-0005-0000-0000-000019160000}"/>
    <cellStyle name="Calculation 17 41 2" xfId="5105" xr:uid="{00000000-0005-0000-0000-00001A160000}"/>
    <cellStyle name="Calculation 17 42" xfId="5106" xr:uid="{00000000-0005-0000-0000-00001B160000}"/>
    <cellStyle name="Calculation 17 42 2" xfId="5107" xr:uid="{00000000-0005-0000-0000-00001C160000}"/>
    <cellStyle name="Calculation 17 43" xfId="5108" xr:uid="{00000000-0005-0000-0000-00001D160000}"/>
    <cellStyle name="Calculation 17 43 2" xfId="5109" xr:uid="{00000000-0005-0000-0000-00001E160000}"/>
    <cellStyle name="Calculation 17 44" xfId="5110" xr:uid="{00000000-0005-0000-0000-00001F160000}"/>
    <cellStyle name="Calculation 17 44 2" xfId="5111" xr:uid="{00000000-0005-0000-0000-000020160000}"/>
    <cellStyle name="Calculation 17 45" xfId="5112" xr:uid="{00000000-0005-0000-0000-000021160000}"/>
    <cellStyle name="Calculation 17 45 2" xfId="5113" xr:uid="{00000000-0005-0000-0000-000022160000}"/>
    <cellStyle name="Calculation 17 46" xfId="5114" xr:uid="{00000000-0005-0000-0000-000023160000}"/>
    <cellStyle name="Calculation 17 46 2" xfId="5115" xr:uid="{00000000-0005-0000-0000-000024160000}"/>
    <cellStyle name="Calculation 17 47" xfId="5116" xr:uid="{00000000-0005-0000-0000-000025160000}"/>
    <cellStyle name="Calculation 17 47 2" xfId="5117" xr:uid="{00000000-0005-0000-0000-000026160000}"/>
    <cellStyle name="Calculation 17 48" xfId="5118" xr:uid="{00000000-0005-0000-0000-000027160000}"/>
    <cellStyle name="Calculation 17 48 2" xfId="5119" xr:uid="{00000000-0005-0000-0000-000028160000}"/>
    <cellStyle name="Calculation 17 49" xfId="5120" xr:uid="{00000000-0005-0000-0000-000029160000}"/>
    <cellStyle name="Calculation 17 49 2" xfId="5121" xr:uid="{00000000-0005-0000-0000-00002A160000}"/>
    <cellStyle name="Calculation 17 5" xfId="5122" xr:uid="{00000000-0005-0000-0000-00002B160000}"/>
    <cellStyle name="Calculation 17 5 2" xfId="5123" xr:uid="{00000000-0005-0000-0000-00002C160000}"/>
    <cellStyle name="Calculation 17 50" xfId="5124" xr:uid="{00000000-0005-0000-0000-00002D160000}"/>
    <cellStyle name="Calculation 17 50 2" xfId="5125" xr:uid="{00000000-0005-0000-0000-00002E160000}"/>
    <cellStyle name="Calculation 17 51" xfId="5126" xr:uid="{00000000-0005-0000-0000-00002F160000}"/>
    <cellStyle name="Calculation 17 51 2" xfId="5127" xr:uid="{00000000-0005-0000-0000-000030160000}"/>
    <cellStyle name="Calculation 17 52" xfId="5128" xr:uid="{00000000-0005-0000-0000-000031160000}"/>
    <cellStyle name="Calculation 17 52 2" xfId="5129" xr:uid="{00000000-0005-0000-0000-000032160000}"/>
    <cellStyle name="Calculation 17 53" xfId="5130" xr:uid="{00000000-0005-0000-0000-000033160000}"/>
    <cellStyle name="Calculation 17 53 2" xfId="5131" xr:uid="{00000000-0005-0000-0000-000034160000}"/>
    <cellStyle name="Calculation 17 54" xfId="5132" xr:uid="{00000000-0005-0000-0000-000035160000}"/>
    <cellStyle name="Calculation 17 54 2" xfId="5133" xr:uid="{00000000-0005-0000-0000-000036160000}"/>
    <cellStyle name="Calculation 17 55" xfId="5134" xr:uid="{00000000-0005-0000-0000-000037160000}"/>
    <cellStyle name="Calculation 17 55 2" xfId="5135" xr:uid="{00000000-0005-0000-0000-000038160000}"/>
    <cellStyle name="Calculation 17 56" xfId="5136" xr:uid="{00000000-0005-0000-0000-000039160000}"/>
    <cellStyle name="Calculation 17 56 2" xfId="5137" xr:uid="{00000000-0005-0000-0000-00003A160000}"/>
    <cellStyle name="Calculation 17 57" xfId="5138" xr:uid="{00000000-0005-0000-0000-00003B160000}"/>
    <cellStyle name="Calculation 17 57 2" xfId="5139" xr:uid="{00000000-0005-0000-0000-00003C160000}"/>
    <cellStyle name="Calculation 17 58" xfId="5140" xr:uid="{00000000-0005-0000-0000-00003D160000}"/>
    <cellStyle name="Calculation 17 58 2" xfId="5141" xr:uid="{00000000-0005-0000-0000-00003E160000}"/>
    <cellStyle name="Calculation 17 59" xfId="5142" xr:uid="{00000000-0005-0000-0000-00003F160000}"/>
    <cellStyle name="Calculation 17 59 2" xfId="5143" xr:uid="{00000000-0005-0000-0000-000040160000}"/>
    <cellStyle name="Calculation 17 6" xfId="5144" xr:uid="{00000000-0005-0000-0000-000041160000}"/>
    <cellStyle name="Calculation 17 6 2" xfId="5145" xr:uid="{00000000-0005-0000-0000-000042160000}"/>
    <cellStyle name="Calculation 17 60" xfId="5146" xr:uid="{00000000-0005-0000-0000-000043160000}"/>
    <cellStyle name="Calculation 17 60 2" xfId="5147" xr:uid="{00000000-0005-0000-0000-000044160000}"/>
    <cellStyle name="Calculation 17 61" xfId="5148" xr:uid="{00000000-0005-0000-0000-000045160000}"/>
    <cellStyle name="Calculation 17 61 2" xfId="5149" xr:uid="{00000000-0005-0000-0000-000046160000}"/>
    <cellStyle name="Calculation 17 62" xfId="5150" xr:uid="{00000000-0005-0000-0000-000047160000}"/>
    <cellStyle name="Calculation 17 62 2" xfId="5151" xr:uid="{00000000-0005-0000-0000-000048160000}"/>
    <cellStyle name="Calculation 17 63" xfId="5152" xr:uid="{00000000-0005-0000-0000-000049160000}"/>
    <cellStyle name="Calculation 17 7" xfId="5153" xr:uid="{00000000-0005-0000-0000-00004A160000}"/>
    <cellStyle name="Calculation 17 7 2" xfId="5154" xr:uid="{00000000-0005-0000-0000-00004B160000}"/>
    <cellStyle name="Calculation 17 8" xfId="5155" xr:uid="{00000000-0005-0000-0000-00004C160000}"/>
    <cellStyle name="Calculation 17 8 2" xfId="5156" xr:uid="{00000000-0005-0000-0000-00004D160000}"/>
    <cellStyle name="Calculation 17 9" xfId="5157" xr:uid="{00000000-0005-0000-0000-00004E160000}"/>
    <cellStyle name="Calculation 17 9 2" xfId="5158" xr:uid="{00000000-0005-0000-0000-00004F160000}"/>
    <cellStyle name="Calculation 18" xfId="5159" xr:uid="{00000000-0005-0000-0000-000050160000}"/>
    <cellStyle name="Calculation 18 10" xfId="5160" xr:uid="{00000000-0005-0000-0000-000051160000}"/>
    <cellStyle name="Calculation 18 10 2" xfId="5161" xr:uid="{00000000-0005-0000-0000-000052160000}"/>
    <cellStyle name="Calculation 18 11" xfId="5162" xr:uid="{00000000-0005-0000-0000-000053160000}"/>
    <cellStyle name="Calculation 18 11 2" xfId="5163" xr:uid="{00000000-0005-0000-0000-000054160000}"/>
    <cellStyle name="Calculation 18 12" xfId="5164" xr:uid="{00000000-0005-0000-0000-000055160000}"/>
    <cellStyle name="Calculation 18 12 2" xfId="5165" xr:uid="{00000000-0005-0000-0000-000056160000}"/>
    <cellStyle name="Calculation 18 13" xfId="5166" xr:uid="{00000000-0005-0000-0000-000057160000}"/>
    <cellStyle name="Calculation 18 13 2" xfId="5167" xr:uid="{00000000-0005-0000-0000-000058160000}"/>
    <cellStyle name="Calculation 18 14" xfId="5168" xr:uid="{00000000-0005-0000-0000-000059160000}"/>
    <cellStyle name="Calculation 18 14 2" xfId="5169" xr:uid="{00000000-0005-0000-0000-00005A160000}"/>
    <cellStyle name="Calculation 18 15" xfId="5170" xr:uid="{00000000-0005-0000-0000-00005B160000}"/>
    <cellStyle name="Calculation 18 15 2" xfId="5171" xr:uid="{00000000-0005-0000-0000-00005C160000}"/>
    <cellStyle name="Calculation 18 16" xfId="5172" xr:uid="{00000000-0005-0000-0000-00005D160000}"/>
    <cellStyle name="Calculation 18 16 2" xfId="5173" xr:uid="{00000000-0005-0000-0000-00005E160000}"/>
    <cellStyle name="Calculation 18 17" xfId="5174" xr:uid="{00000000-0005-0000-0000-00005F160000}"/>
    <cellStyle name="Calculation 18 17 2" xfId="5175" xr:uid="{00000000-0005-0000-0000-000060160000}"/>
    <cellStyle name="Calculation 18 18" xfId="5176" xr:uid="{00000000-0005-0000-0000-000061160000}"/>
    <cellStyle name="Calculation 18 18 2" xfId="5177" xr:uid="{00000000-0005-0000-0000-000062160000}"/>
    <cellStyle name="Calculation 18 19" xfId="5178" xr:uid="{00000000-0005-0000-0000-000063160000}"/>
    <cellStyle name="Calculation 18 19 2" xfId="5179" xr:uid="{00000000-0005-0000-0000-000064160000}"/>
    <cellStyle name="Calculation 18 2" xfId="5180" xr:uid="{00000000-0005-0000-0000-000065160000}"/>
    <cellStyle name="Calculation 18 2 2" xfId="5181" xr:uid="{00000000-0005-0000-0000-000066160000}"/>
    <cellStyle name="Calculation 18 20" xfId="5182" xr:uid="{00000000-0005-0000-0000-000067160000}"/>
    <cellStyle name="Calculation 18 20 2" xfId="5183" xr:uid="{00000000-0005-0000-0000-000068160000}"/>
    <cellStyle name="Calculation 18 21" xfId="5184" xr:uid="{00000000-0005-0000-0000-000069160000}"/>
    <cellStyle name="Calculation 18 21 2" xfId="5185" xr:uid="{00000000-0005-0000-0000-00006A160000}"/>
    <cellStyle name="Calculation 18 22" xfId="5186" xr:uid="{00000000-0005-0000-0000-00006B160000}"/>
    <cellStyle name="Calculation 18 22 2" xfId="5187" xr:uid="{00000000-0005-0000-0000-00006C160000}"/>
    <cellStyle name="Calculation 18 23" xfId="5188" xr:uid="{00000000-0005-0000-0000-00006D160000}"/>
    <cellStyle name="Calculation 18 23 2" xfId="5189" xr:uid="{00000000-0005-0000-0000-00006E160000}"/>
    <cellStyle name="Calculation 18 24" xfId="5190" xr:uid="{00000000-0005-0000-0000-00006F160000}"/>
    <cellStyle name="Calculation 18 24 2" xfId="5191" xr:uid="{00000000-0005-0000-0000-000070160000}"/>
    <cellStyle name="Calculation 18 25" xfId="5192" xr:uid="{00000000-0005-0000-0000-000071160000}"/>
    <cellStyle name="Calculation 18 25 2" xfId="5193" xr:uid="{00000000-0005-0000-0000-000072160000}"/>
    <cellStyle name="Calculation 18 26" xfId="5194" xr:uid="{00000000-0005-0000-0000-000073160000}"/>
    <cellStyle name="Calculation 18 26 2" xfId="5195" xr:uid="{00000000-0005-0000-0000-000074160000}"/>
    <cellStyle name="Calculation 18 27" xfId="5196" xr:uid="{00000000-0005-0000-0000-000075160000}"/>
    <cellStyle name="Calculation 18 27 2" xfId="5197" xr:uid="{00000000-0005-0000-0000-000076160000}"/>
    <cellStyle name="Calculation 18 28" xfId="5198" xr:uid="{00000000-0005-0000-0000-000077160000}"/>
    <cellStyle name="Calculation 18 28 2" xfId="5199" xr:uid="{00000000-0005-0000-0000-000078160000}"/>
    <cellStyle name="Calculation 18 29" xfId="5200" xr:uid="{00000000-0005-0000-0000-000079160000}"/>
    <cellStyle name="Calculation 18 29 2" xfId="5201" xr:uid="{00000000-0005-0000-0000-00007A160000}"/>
    <cellStyle name="Calculation 18 3" xfId="5202" xr:uid="{00000000-0005-0000-0000-00007B160000}"/>
    <cellStyle name="Calculation 18 3 2" xfId="5203" xr:uid="{00000000-0005-0000-0000-00007C160000}"/>
    <cellStyle name="Calculation 18 30" xfId="5204" xr:uid="{00000000-0005-0000-0000-00007D160000}"/>
    <cellStyle name="Calculation 18 30 2" xfId="5205" xr:uid="{00000000-0005-0000-0000-00007E160000}"/>
    <cellStyle name="Calculation 18 31" xfId="5206" xr:uid="{00000000-0005-0000-0000-00007F160000}"/>
    <cellStyle name="Calculation 18 31 2" xfId="5207" xr:uid="{00000000-0005-0000-0000-000080160000}"/>
    <cellStyle name="Calculation 18 32" xfId="5208" xr:uid="{00000000-0005-0000-0000-000081160000}"/>
    <cellStyle name="Calculation 18 32 2" xfId="5209" xr:uid="{00000000-0005-0000-0000-000082160000}"/>
    <cellStyle name="Calculation 18 33" xfId="5210" xr:uid="{00000000-0005-0000-0000-000083160000}"/>
    <cellStyle name="Calculation 18 33 2" xfId="5211" xr:uid="{00000000-0005-0000-0000-000084160000}"/>
    <cellStyle name="Calculation 18 34" xfId="5212" xr:uid="{00000000-0005-0000-0000-000085160000}"/>
    <cellStyle name="Calculation 18 34 2" xfId="5213" xr:uid="{00000000-0005-0000-0000-000086160000}"/>
    <cellStyle name="Calculation 18 35" xfId="5214" xr:uid="{00000000-0005-0000-0000-000087160000}"/>
    <cellStyle name="Calculation 18 35 2" xfId="5215" xr:uid="{00000000-0005-0000-0000-000088160000}"/>
    <cellStyle name="Calculation 18 36" xfId="5216" xr:uid="{00000000-0005-0000-0000-000089160000}"/>
    <cellStyle name="Calculation 18 36 2" xfId="5217" xr:uid="{00000000-0005-0000-0000-00008A160000}"/>
    <cellStyle name="Calculation 18 37" xfId="5218" xr:uid="{00000000-0005-0000-0000-00008B160000}"/>
    <cellStyle name="Calculation 18 37 2" xfId="5219" xr:uid="{00000000-0005-0000-0000-00008C160000}"/>
    <cellStyle name="Calculation 18 38" xfId="5220" xr:uid="{00000000-0005-0000-0000-00008D160000}"/>
    <cellStyle name="Calculation 18 38 2" xfId="5221" xr:uid="{00000000-0005-0000-0000-00008E160000}"/>
    <cellStyle name="Calculation 18 39" xfId="5222" xr:uid="{00000000-0005-0000-0000-00008F160000}"/>
    <cellStyle name="Calculation 18 39 2" xfId="5223" xr:uid="{00000000-0005-0000-0000-000090160000}"/>
    <cellStyle name="Calculation 18 4" xfId="5224" xr:uid="{00000000-0005-0000-0000-000091160000}"/>
    <cellStyle name="Calculation 18 4 2" xfId="5225" xr:uid="{00000000-0005-0000-0000-000092160000}"/>
    <cellStyle name="Calculation 18 40" xfId="5226" xr:uid="{00000000-0005-0000-0000-000093160000}"/>
    <cellStyle name="Calculation 18 40 2" xfId="5227" xr:uid="{00000000-0005-0000-0000-000094160000}"/>
    <cellStyle name="Calculation 18 41" xfId="5228" xr:uid="{00000000-0005-0000-0000-000095160000}"/>
    <cellStyle name="Calculation 18 41 2" xfId="5229" xr:uid="{00000000-0005-0000-0000-000096160000}"/>
    <cellStyle name="Calculation 18 42" xfId="5230" xr:uid="{00000000-0005-0000-0000-000097160000}"/>
    <cellStyle name="Calculation 18 42 2" xfId="5231" xr:uid="{00000000-0005-0000-0000-000098160000}"/>
    <cellStyle name="Calculation 18 43" xfId="5232" xr:uid="{00000000-0005-0000-0000-000099160000}"/>
    <cellStyle name="Calculation 18 43 2" xfId="5233" xr:uid="{00000000-0005-0000-0000-00009A160000}"/>
    <cellStyle name="Calculation 18 44" xfId="5234" xr:uid="{00000000-0005-0000-0000-00009B160000}"/>
    <cellStyle name="Calculation 18 44 2" xfId="5235" xr:uid="{00000000-0005-0000-0000-00009C160000}"/>
    <cellStyle name="Calculation 18 45" xfId="5236" xr:uid="{00000000-0005-0000-0000-00009D160000}"/>
    <cellStyle name="Calculation 18 45 2" xfId="5237" xr:uid="{00000000-0005-0000-0000-00009E160000}"/>
    <cellStyle name="Calculation 18 46" xfId="5238" xr:uid="{00000000-0005-0000-0000-00009F160000}"/>
    <cellStyle name="Calculation 18 46 2" xfId="5239" xr:uid="{00000000-0005-0000-0000-0000A0160000}"/>
    <cellStyle name="Calculation 18 47" xfId="5240" xr:uid="{00000000-0005-0000-0000-0000A1160000}"/>
    <cellStyle name="Calculation 18 47 2" xfId="5241" xr:uid="{00000000-0005-0000-0000-0000A2160000}"/>
    <cellStyle name="Calculation 18 48" xfId="5242" xr:uid="{00000000-0005-0000-0000-0000A3160000}"/>
    <cellStyle name="Calculation 18 48 2" xfId="5243" xr:uid="{00000000-0005-0000-0000-0000A4160000}"/>
    <cellStyle name="Calculation 18 49" xfId="5244" xr:uid="{00000000-0005-0000-0000-0000A5160000}"/>
    <cellStyle name="Calculation 18 49 2" xfId="5245" xr:uid="{00000000-0005-0000-0000-0000A6160000}"/>
    <cellStyle name="Calculation 18 5" xfId="5246" xr:uid="{00000000-0005-0000-0000-0000A7160000}"/>
    <cellStyle name="Calculation 18 5 2" xfId="5247" xr:uid="{00000000-0005-0000-0000-0000A8160000}"/>
    <cellStyle name="Calculation 18 50" xfId="5248" xr:uid="{00000000-0005-0000-0000-0000A9160000}"/>
    <cellStyle name="Calculation 18 50 2" xfId="5249" xr:uid="{00000000-0005-0000-0000-0000AA160000}"/>
    <cellStyle name="Calculation 18 51" xfId="5250" xr:uid="{00000000-0005-0000-0000-0000AB160000}"/>
    <cellStyle name="Calculation 18 51 2" xfId="5251" xr:uid="{00000000-0005-0000-0000-0000AC160000}"/>
    <cellStyle name="Calculation 18 52" xfId="5252" xr:uid="{00000000-0005-0000-0000-0000AD160000}"/>
    <cellStyle name="Calculation 18 52 2" xfId="5253" xr:uid="{00000000-0005-0000-0000-0000AE160000}"/>
    <cellStyle name="Calculation 18 53" xfId="5254" xr:uid="{00000000-0005-0000-0000-0000AF160000}"/>
    <cellStyle name="Calculation 18 53 2" xfId="5255" xr:uid="{00000000-0005-0000-0000-0000B0160000}"/>
    <cellStyle name="Calculation 18 54" xfId="5256" xr:uid="{00000000-0005-0000-0000-0000B1160000}"/>
    <cellStyle name="Calculation 18 54 2" xfId="5257" xr:uid="{00000000-0005-0000-0000-0000B2160000}"/>
    <cellStyle name="Calculation 18 55" xfId="5258" xr:uid="{00000000-0005-0000-0000-0000B3160000}"/>
    <cellStyle name="Calculation 18 55 2" xfId="5259" xr:uid="{00000000-0005-0000-0000-0000B4160000}"/>
    <cellStyle name="Calculation 18 56" xfId="5260" xr:uid="{00000000-0005-0000-0000-0000B5160000}"/>
    <cellStyle name="Calculation 18 56 2" xfId="5261" xr:uid="{00000000-0005-0000-0000-0000B6160000}"/>
    <cellStyle name="Calculation 18 57" xfId="5262" xr:uid="{00000000-0005-0000-0000-0000B7160000}"/>
    <cellStyle name="Calculation 18 57 2" xfId="5263" xr:uid="{00000000-0005-0000-0000-0000B8160000}"/>
    <cellStyle name="Calculation 18 58" xfId="5264" xr:uid="{00000000-0005-0000-0000-0000B9160000}"/>
    <cellStyle name="Calculation 18 58 2" xfId="5265" xr:uid="{00000000-0005-0000-0000-0000BA160000}"/>
    <cellStyle name="Calculation 18 59" xfId="5266" xr:uid="{00000000-0005-0000-0000-0000BB160000}"/>
    <cellStyle name="Calculation 18 59 2" xfId="5267" xr:uid="{00000000-0005-0000-0000-0000BC160000}"/>
    <cellStyle name="Calculation 18 6" xfId="5268" xr:uid="{00000000-0005-0000-0000-0000BD160000}"/>
    <cellStyle name="Calculation 18 6 2" xfId="5269" xr:uid="{00000000-0005-0000-0000-0000BE160000}"/>
    <cellStyle name="Calculation 18 60" xfId="5270" xr:uid="{00000000-0005-0000-0000-0000BF160000}"/>
    <cellStyle name="Calculation 18 60 2" xfId="5271" xr:uid="{00000000-0005-0000-0000-0000C0160000}"/>
    <cellStyle name="Calculation 18 61" xfId="5272" xr:uid="{00000000-0005-0000-0000-0000C1160000}"/>
    <cellStyle name="Calculation 18 61 2" xfId="5273" xr:uid="{00000000-0005-0000-0000-0000C2160000}"/>
    <cellStyle name="Calculation 18 62" xfId="5274" xr:uid="{00000000-0005-0000-0000-0000C3160000}"/>
    <cellStyle name="Calculation 18 62 2" xfId="5275" xr:uid="{00000000-0005-0000-0000-0000C4160000}"/>
    <cellStyle name="Calculation 18 63" xfId="5276" xr:uid="{00000000-0005-0000-0000-0000C5160000}"/>
    <cellStyle name="Calculation 18 7" xfId="5277" xr:uid="{00000000-0005-0000-0000-0000C6160000}"/>
    <cellStyle name="Calculation 18 7 2" xfId="5278" xr:uid="{00000000-0005-0000-0000-0000C7160000}"/>
    <cellStyle name="Calculation 18 8" xfId="5279" xr:uid="{00000000-0005-0000-0000-0000C8160000}"/>
    <cellStyle name="Calculation 18 8 2" xfId="5280" xr:uid="{00000000-0005-0000-0000-0000C9160000}"/>
    <cellStyle name="Calculation 18 9" xfId="5281" xr:uid="{00000000-0005-0000-0000-0000CA160000}"/>
    <cellStyle name="Calculation 18 9 2" xfId="5282" xr:uid="{00000000-0005-0000-0000-0000CB160000}"/>
    <cellStyle name="Calculation 19" xfId="5283" xr:uid="{00000000-0005-0000-0000-0000CC160000}"/>
    <cellStyle name="Calculation 19 10" xfId="5284" xr:uid="{00000000-0005-0000-0000-0000CD160000}"/>
    <cellStyle name="Calculation 19 10 2" xfId="5285" xr:uid="{00000000-0005-0000-0000-0000CE160000}"/>
    <cellStyle name="Calculation 19 11" xfId="5286" xr:uid="{00000000-0005-0000-0000-0000CF160000}"/>
    <cellStyle name="Calculation 19 11 2" xfId="5287" xr:uid="{00000000-0005-0000-0000-0000D0160000}"/>
    <cellStyle name="Calculation 19 12" xfId="5288" xr:uid="{00000000-0005-0000-0000-0000D1160000}"/>
    <cellStyle name="Calculation 19 12 2" xfId="5289" xr:uid="{00000000-0005-0000-0000-0000D2160000}"/>
    <cellStyle name="Calculation 19 13" xfId="5290" xr:uid="{00000000-0005-0000-0000-0000D3160000}"/>
    <cellStyle name="Calculation 19 13 2" xfId="5291" xr:uid="{00000000-0005-0000-0000-0000D4160000}"/>
    <cellStyle name="Calculation 19 14" xfId="5292" xr:uid="{00000000-0005-0000-0000-0000D5160000}"/>
    <cellStyle name="Calculation 19 14 2" xfId="5293" xr:uid="{00000000-0005-0000-0000-0000D6160000}"/>
    <cellStyle name="Calculation 19 15" xfId="5294" xr:uid="{00000000-0005-0000-0000-0000D7160000}"/>
    <cellStyle name="Calculation 19 15 2" xfId="5295" xr:uid="{00000000-0005-0000-0000-0000D8160000}"/>
    <cellStyle name="Calculation 19 16" xfId="5296" xr:uid="{00000000-0005-0000-0000-0000D9160000}"/>
    <cellStyle name="Calculation 19 16 2" xfId="5297" xr:uid="{00000000-0005-0000-0000-0000DA160000}"/>
    <cellStyle name="Calculation 19 17" xfId="5298" xr:uid="{00000000-0005-0000-0000-0000DB160000}"/>
    <cellStyle name="Calculation 19 17 2" xfId="5299" xr:uid="{00000000-0005-0000-0000-0000DC160000}"/>
    <cellStyle name="Calculation 19 18" xfId="5300" xr:uid="{00000000-0005-0000-0000-0000DD160000}"/>
    <cellStyle name="Calculation 19 18 2" xfId="5301" xr:uid="{00000000-0005-0000-0000-0000DE160000}"/>
    <cellStyle name="Calculation 19 19" xfId="5302" xr:uid="{00000000-0005-0000-0000-0000DF160000}"/>
    <cellStyle name="Calculation 19 19 2" xfId="5303" xr:uid="{00000000-0005-0000-0000-0000E0160000}"/>
    <cellStyle name="Calculation 19 2" xfId="5304" xr:uid="{00000000-0005-0000-0000-0000E1160000}"/>
    <cellStyle name="Calculation 19 2 2" xfId="5305" xr:uid="{00000000-0005-0000-0000-0000E2160000}"/>
    <cellStyle name="Calculation 19 20" xfId="5306" xr:uid="{00000000-0005-0000-0000-0000E3160000}"/>
    <cellStyle name="Calculation 19 20 2" xfId="5307" xr:uid="{00000000-0005-0000-0000-0000E4160000}"/>
    <cellStyle name="Calculation 19 21" xfId="5308" xr:uid="{00000000-0005-0000-0000-0000E5160000}"/>
    <cellStyle name="Calculation 19 21 2" xfId="5309" xr:uid="{00000000-0005-0000-0000-0000E6160000}"/>
    <cellStyle name="Calculation 19 22" xfId="5310" xr:uid="{00000000-0005-0000-0000-0000E7160000}"/>
    <cellStyle name="Calculation 19 22 2" xfId="5311" xr:uid="{00000000-0005-0000-0000-0000E8160000}"/>
    <cellStyle name="Calculation 19 23" xfId="5312" xr:uid="{00000000-0005-0000-0000-0000E9160000}"/>
    <cellStyle name="Calculation 19 23 2" xfId="5313" xr:uid="{00000000-0005-0000-0000-0000EA160000}"/>
    <cellStyle name="Calculation 19 24" xfId="5314" xr:uid="{00000000-0005-0000-0000-0000EB160000}"/>
    <cellStyle name="Calculation 19 24 2" xfId="5315" xr:uid="{00000000-0005-0000-0000-0000EC160000}"/>
    <cellStyle name="Calculation 19 25" xfId="5316" xr:uid="{00000000-0005-0000-0000-0000ED160000}"/>
    <cellStyle name="Calculation 19 25 2" xfId="5317" xr:uid="{00000000-0005-0000-0000-0000EE160000}"/>
    <cellStyle name="Calculation 19 26" xfId="5318" xr:uid="{00000000-0005-0000-0000-0000EF160000}"/>
    <cellStyle name="Calculation 19 26 2" xfId="5319" xr:uid="{00000000-0005-0000-0000-0000F0160000}"/>
    <cellStyle name="Calculation 19 27" xfId="5320" xr:uid="{00000000-0005-0000-0000-0000F1160000}"/>
    <cellStyle name="Calculation 19 27 2" xfId="5321" xr:uid="{00000000-0005-0000-0000-0000F2160000}"/>
    <cellStyle name="Calculation 19 28" xfId="5322" xr:uid="{00000000-0005-0000-0000-0000F3160000}"/>
    <cellStyle name="Calculation 19 28 2" xfId="5323" xr:uid="{00000000-0005-0000-0000-0000F4160000}"/>
    <cellStyle name="Calculation 19 29" xfId="5324" xr:uid="{00000000-0005-0000-0000-0000F5160000}"/>
    <cellStyle name="Calculation 19 29 2" xfId="5325" xr:uid="{00000000-0005-0000-0000-0000F6160000}"/>
    <cellStyle name="Calculation 19 3" xfId="5326" xr:uid="{00000000-0005-0000-0000-0000F7160000}"/>
    <cellStyle name="Calculation 19 3 2" xfId="5327" xr:uid="{00000000-0005-0000-0000-0000F8160000}"/>
    <cellStyle name="Calculation 19 30" xfId="5328" xr:uid="{00000000-0005-0000-0000-0000F9160000}"/>
    <cellStyle name="Calculation 19 30 2" xfId="5329" xr:uid="{00000000-0005-0000-0000-0000FA160000}"/>
    <cellStyle name="Calculation 19 31" xfId="5330" xr:uid="{00000000-0005-0000-0000-0000FB160000}"/>
    <cellStyle name="Calculation 19 31 2" xfId="5331" xr:uid="{00000000-0005-0000-0000-0000FC160000}"/>
    <cellStyle name="Calculation 19 32" xfId="5332" xr:uid="{00000000-0005-0000-0000-0000FD160000}"/>
    <cellStyle name="Calculation 19 32 2" xfId="5333" xr:uid="{00000000-0005-0000-0000-0000FE160000}"/>
    <cellStyle name="Calculation 19 33" xfId="5334" xr:uid="{00000000-0005-0000-0000-0000FF160000}"/>
    <cellStyle name="Calculation 19 33 2" xfId="5335" xr:uid="{00000000-0005-0000-0000-000000170000}"/>
    <cellStyle name="Calculation 19 34" xfId="5336" xr:uid="{00000000-0005-0000-0000-000001170000}"/>
    <cellStyle name="Calculation 19 34 2" xfId="5337" xr:uid="{00000000-0005-0000-0000-000002170000}"/>
    <cellStyle name="Calculation 19 35" xfId="5338" xr:uid="{00000000-0005-0000-0000-000003170000}"/>
    <cellStyle name="Calculation 19 35 2" xfId="5339" xr:uid="{00000000-0005-0000-0000-000004170000}"/>
    <cellStyle name="Calculation 19 36" xfId="5340" xr:uid="{00000000-0005-0000-0000-000005170000}"/>
    <cellStyle name="Calculation 19 36 2" xfId="5341" xr:uid="{00000000-0005-0000-0000-000006170000}"/>
    <cellStyle name="Calculation 19 37" xfId="5342" xr:uid="{00000000-0005-0000-0000-000007170000}"/>
    <cellStyle name="Calculation 19 37 2" xfId="5343" xr:uid="{00000000-0005-0000-0000-000008170000}"/>
    <cellStyle name="Calculation 19 38" xfId="5344" xr:uid="{00000000-0005-0000-0000-000009170000}"/>
    <cellStyle name="Calculation 19 38 2" xfId="5345" xr:uid="{00000000-0005-0000-0000-00000A170000}"/>
    <cellStyle name="Calculation 19 39" xfId="5346" xr:uid="{00000000-0005-0000-0000-00000B170000}"/>
    <cellStyle name="Calculation 19 39 2" xfId="5347" xr:uid="{00000000-0005-0000-0000-00000C170000}"/>
    <cellStyle name="Calculation 19 4" xfId="5348" xr:uid="{00000000-0005-0000-0000-00000D170000}"/>
    <cellStyle name="Calculation 19 4 2" xfId="5349" xr:uid="{00000000-0005-0000-0000-00000E170000}"/>
    <cellStyle name="Calculation 19 40" xfId="5350" xr:uid="{00000000-0005-0000-0000-00000F170000}"/>
    <cellStyle name="Calculation 19 40 2" xfId="5351" xr:uid="{00000000-0005-0000-0000-000010170000}"/>
    <cellStyle name="Calculation 19 41" xfId="5352" xr:uid="{00000000-0005-0000-0000-000011170000}"/>
    <cellStyle name="Calculation 19 41 2" xfId="5353" xr:uid="{00000000-0005-0000-0000-000012170000}"/>
    <cellStyle name="Calculation 19 42" xfId="5354" xr:uid="{00000000-0005-0000-0000-000013170000}"/>
    <cellStyle name="Calculation 19 42 2" xfId="5355" xr:uid="{00000000-0005-0000-0000-000014170000}"/>
    <cellStyle name="Calculation 19 43" xfId="5356" xr:uid="{00000000-0005-0000-0000-000015170000}"/>
    <cellStyle name="Calculation 19 43 2" xfId="5357" xr:uid="{00000000-0005-0000-0000-000016170000}"/>
    <cellStyle name="Calculation 19 44" xfId="5358" xr:uid="{00000000-0005-0000-0000-000017170000}"/>
    <cellStyle name="Calculation 19 44 2" xfId="5359" xr:uid="{00000000-0005-0000-0000-000018170000}"/>
    <cellStyle name="Calculation 19 45" xfId="5360" xr:uid="{00000000-0005-0000-0000-000019170000}"/>
    <cellStyle name="Calculation 19 45 2" xfId="5361" xr:uid="{00000000-0005-0000-0000-00001A170000}"/>
    <cellStyle name="Calculation 19 46" xfId="5362" xr:uid="{00000000-0005-0000-0000-00001B170000}"/>
    <cellStyle name="Calculation 19 46 2" xfId="5363" xr:uid="{00000000-0005-0000-0000-00001C170000}"/>
    <cellStyle name="Calculation 19 47" xfId="5364" xr:uid="{00000000-0005-0000-0000-00001D170000}"/>
    <cellStyle name="Calculation 19 47 2" xfId="5365" xr:uid="{00000000-0005-0000-0000-00001E170000}"/>
    <cellStyle name="Calculation 19 48" xfId="5366" xr:uid="{00000000-0005-0000-0000-00001F170000}"/>
    <cellStyle name="Calculation 19 48 2" xfId="5367" xr:uid="{00000000-0005-0000-0000-000020170000}"/>
    <cellStyle name="Calculation 19 49" xfId="5368" xr:uid="{00000000-0005-0000-0000-000021170000}"/>
    <cellStyle name="Calculation 19 49 2" xfId="5369" xr:uid="{00000000-0005-0000-0000-000022170000}"/>
    <cellStyle name="Calculation 19 5" xfId="5370" xr:uid="{00000000-0005-0000-0000-000023170000}"/>
    <cellStyle name="Calculation 19 5 2" xfId="5371" xr:uid="{00000000-0005-0000-0000-000024170000}"/>
    <cellStyle name="Calculation 19 50" xfId="5372" xr:uid="{00000000-0005-0000-0000-000025170000}"/>
    <cellStyle name="Calculation 19 50 2" xfId="5373" xr:uid="{00000000-0005-0000-0000-000026170000}"/>
    <cellStyle name="Calculation 19 51" xfId="5374" xr:uid="{00000000-0005-0000-0000-000027170000}"/>
    <cellStyle name="Calculation 19 51 2" xfId="5375" xr:uid="{00000000-0005-0000-0000-000028170000}"/>
    <cellStyle name="Calculation 19 52" xfId="5376" xr:uid="{00000000-0005-0000-0000-000029170000}"/>
    <cellStyle name="Calculation 19 52 2" xfId="5377" xr:uid="{00000000-0005-0000-0000-00002A170000}"/>
    <cellStyle name="Calculation 19 53" xfId="5378" xr:uid="{00000000-0005-0000-0000-00002B170000}"/>
    <cellStyle name="Calculation 19 53 2" xfId="5379" xr:uid="{00000000-0005-0000-0000-00002C170000}"/>
    <cellStyle name="Calculation 19 54" xfId="5380" xr:uid="{00000000-0005-0000-0000-00002D170000}"/>
    <cellStyle name="Calculation 19 54 2" xfId="5381" xr:uid="{00000000-0005-0000-0000-00002E170000}"/>
    <cellStyle name="Calculation 19 55" xfId="5382" xr:uid="{00000000-0005-0000-0000-00002F170000}"/>
    <cellStyle name="Calculation 19 55 2" xfId="5383" xr:uid="{00000000-0005-0000-0000-000030170000}"/>
    <cellStyle name="Calculation 19 56" xfId="5384" xr:uid="{00000000-0005-0000-0000-000031170000}"/>
    <cellStyle name="Calculation 19 56 2" xfId="5385" xr:uid="{00000000-0005-0000-0000-000032170000}"/>
    <cellStyle name="Calculation 19 57" xfId="5386" xr:uid="{00000000-0005-0000-0000-000033170000}"/>
    <cellStyle name="Calculation 19 57 2" xfId="5387" xr:uid="{00000000-0005-0000-0000-000034170000}"/>
    <cellStyle name="Calculation 19 58" xfId="5388" xr:uid="{00000000-0005-0000-0000-000035170000}"/>
    <cellStyle name="Calculation 19 58 2" xfId="5389" xr:uid="{00000000-0005-0000-0000-000036170000}"/>
    <cellStyle name="Calculation 19 59" xfId="5390" xr:uid="{00000000-0005-0000-0000-000037170000}"/>
    <cellStyle name="Calculation 19 59 2" xfId="5391" xr:uid="{00000000-0005-0000-0000-000038170000}"/>
    <cellStyle name="Calculation 19 6" xfId="5392" xr:uid="{00000000-0005-0000-0000-000039170000}"/>
    <cellStyle name="Calculation 19 6 2" xfId="5393" xr:uid="{00000000-0005-0000-0000-00003A170000}"/>
    <cellStyle name="Calculation 19 60" xfId="5394" xr:uid="{00000000-0005-0000-0000-00003B170000}"/>
    <cellStyle name="Calculation 19 60 2" xfId="5395" xr:uid="{00000000-0005-0000-0000-00003C170000}"/>
    <cellStyle name="Calculation 19 61" xfId="5396" xr:uid="{00000000-0005-0000-0000-00003D170000}"/>
    <cellStyle name="Calculation 19 61 2" xfId="5397" xr:uid="{00000000-0005-0000-0000-00003E170000}"/>
    <cellStyle name="Calculation 19 62" xfId="5398" xr:uid="{00000000-0005-0000-0000-00003F170000}"/>
    <cellStyle name="Calculation 19 62 2" xfId="5399" xr:uid="{00000000-0005-0000-0000-000040170000}"/>
    <cellStyle name="Calculation 19 63" xfId="5400" xr:uid="{00000000-0005-0000-0000-000041170000}"/>
    <cellStyle name="Calculation 19 7" xfId="5401" xr:uid="{00000000-0005-0000-0000-000042170000}"/>
    <cellStyle name="Calculation 19 7 2" xfId="5402" xr:uid="{00000000-0005-0000-0000-000043170000}"/>
    <cellStyle name="Calculation 19 8" xfId="5403" xr:uid="{00000000-0005-0000-0000-000044170000}"/>
    <cellStyle name="Calculation 19 8 2" xfId="5404" xr:uid="{00000000-0005-0000-0000-000045170000}"/>
    <cellStyle name="Calculation 19 9" xfId="5405" xr:uid="{00000000-0005-0000-0000-000046170000}"/>
    <cellStyle name="Calculation 19 9 2" xfId="5406" xr:uid="{00000000-0005-0000-0000-000047170000}"/>
    <cellStyle name="Calculation 2" xfId="127" xr:uid="{00000000-0005-0000-0000-000048170000}"/>
    <cellStyle name="Calculation 2 10" xfId="5407" xr:uid="{00000000-0005-0000-0000-000049170000}"/>
    <cellStyle name="Calculation 2 10 2" xfId="5408" xr:uid="{00000000-0005-0000-0000-00004A170000}"/>
    <cellStyle name="Calculation 2 11" xfId="5409" xr:uid="{00000000-0005-0000-0000-00004B170000}"/>
    <cellStyle name="Calculation 2 11 2" xfId="5410" xr:uid="{00000000-0005-0000-0000-00004C170000}"/>
    <cellStyle name="Calculation 2 12" xfId="5411" xr:uid="{00000000-0005-0000-0000-00004D170000}"/>
    <cellStyle name="Calculation 2 12 2" xfId="5412" xr:uid="{00000000-0005-0000-0000-00004E170000}"/>
    <cellStyle name="Calculation 2 13" xfId="5413" xr:uid="{00000000-0005-0000-0000-00004F170000}"/>
    <cellStyle name="Calculation 2 13 2" xfId="5414" xr:uid="{00000000-0005-0000-0000-000050170000}"/>
    <cellStyle name="Calculation 2 14" xfId="5415" xr:uid="{00000000-0005-0000-0000-000051170000}"/>
    <cellStyle name="Calculation 2 14 2" xfId="5416" xr:uid="{00000000-0005-0000-0000-000052170000}"/>
    <cellStyle name="Calculation 2 15" xfId="5417" xr:uid="{00000000-0005-0000-0000-000053170000}"/>
    <cellStyle name="Calculation 2 15 2" xfId="5418" xr:uid="{00000000-0005-0000-0000-000054170000}"/>
    <cellStyle name="Calculation 2 16" xfId="5419" xr:uid="{00000000-0005-0000-0000-000055170000}"/>
    <cellStyle name="Calculation 2 16 2" xfId="5420" xr:uid="{00000000-0005-0000-0000-000056170000}"/>
    <cellStyle name="Calculation 2 17" xfId="5421" xr:uid="{00000000-0005-0000-0000-000057170000}"/>
    <cellStyle name="Calculation 2 17 2" xfId="5422" xr:uid="{00000000-0005-0000-0000-000058170000}"/>
    <cellStyle name="Calculation 2 18" xfId="5423" xr:uid="{00000000-0005-0000-0000-000059170000}"/>
    <cellStyle name="Calculation 2 18 2" xfId="5424" xr:uid="{00000000-0005-0000-0000-00005A170000}"/>
    <cellStyle name="Calculation 2 19" xfId="5425" xr:uid="{00000000-0005-0000-0000-00005B170000}"/>
    <cellStyle name="Calculation 2 19 2" xfId="5426" xr:uid="{00000000-0005-0000-0000-00005C170000}"/>
    <cellStyle name="Calculation 2 2" xfId="5427" xr:uid="{00000000-0005-0000-0000-00005D170000}"/>
    <cellStyle name="Calculation 2 2 2" xfId="5428" xr:uid="{00000000-0005-0000-0000-00005E170000}"/>
    <cellStyle name="Calculation 2 2 2 2" xfId="22822" xr:uid="{00000000-0005-0000-0000-00005F170000}"/>
    <cellStyle name="Calculation 2 2 3" xfId="22823" xr:uid="{00000000-0005-0000-0000-000060170000}"/>
    <cellStyle name="Calculation 2 2 4" xfId="22824" xr:uid="{00000000-0005-0000-0000-000061170000}"/>
    <cellStyle name="Calculation 2 2 4 2" xfId="22825" xr:uid="{00000000-0005-0000-0000-000062170000}"/>
    <cellStyle name="Calculation 2 20" xfId="5429" xr:uid="{00000000-0005-0000-0000-000063170000}"/>
    <cellStyle name="Calculation 2 20 2" xfId="5430" xr:uid="{00000000-0005-0000-0000-000064170000}"/>
    <cellStyle name="Calculation 2 21" xfId="5431" xr:uid="{00000000-0005-0000-0000-000065170000}"/>
    <cellStyle name="Calculation 2 21 2" xfId="5432" xr:uid="{00000000-0005-0000-0000-000066170000}"/>
    <cellStyle name="Calculation 2 22" xfId="5433" xr:uid="{00000000-0005-0000-0000-000067170000}"/>
    <cellStyle name="Calculation 2 22 2" xfId="5434" xr:uid="{00000000-0005-0000-0000-000068170000}"/>
    <cellStyle name="Calculation 2 23" xfId="5435" xr:uid="{00000000-0005-0000-0000-000069170000}"/>
    <cellStyle name="Calculation 2 23 2" xfId="5436" xr:uid="{00000000-0005-0000-0000-00006A170000}"/>
    <cellStyle name="Calculation 2 24" xfId="5437" xr:uid="{00000000-0005-0000-0000-00006B170000}"/>
    <cellStyle name="Calculation 2 24 2" xfId="5438" xr:uid="{00000000-0005-0000-0000-00006C170000}"/>
    <cellStyle name="Calculation 2 25" xfId="5439" xr:uid="{00000000-0005-0000-0000-00006D170000}"/>
    <cellStyle name="Calculation 2 25 2" xfId="5440" xr:uid="{00000000-0005-0000-0000-00006E170000}"/>
    <cellStyle name="Calculation 2 26" xfId="5441" xr:uid="{00000000-0005-0000-0000-00006F170000}"/>
    <cellStyle name="Calculation 2 26 2" xfId="5442" xr:uid="{00000000-0005-0000-0000-000070170000}"/>
    <cellStyle name="Calculation 2 27" xfId="5443" xr:uid="{00000000-0005-0000-0000-000071170000}"/>
    <cellStyle name="Calculation 2 27 2" xfId="5444" xr:uid="{00000000-0005-0000-0000-000072170000}"/>
    <cellStyle name="Calculation 2 28" xfId="5445" xr:uid="{00000000-0005-0000-0000-000073170000}"/>
    <cellStyle name="Calculation 2 28 2" xfId="5446" xr:uid="{00000000-0005-0000-0000-000074170000}"/>
    <cellStyle name="Calculation 2 29" xfId="5447" xr:uid="{00000000-0005-0000-0000-000075170000}"/>
    <cellStyle name="Calculation 2 29 2" xfId="5448" xr:uid="{00000000-0005-0000-0000-000076170000}"/>
    <cellStyle name="Calculation 2 3" xfId="5449" xr:uid="{00000000-0005-0000-0000-000077170000}"/>
    <cellStyle name="Calculation 2 3 2" xfId="5450" xr:uid="{00000000-0005-0000-0000-000078170000}"/>
    <cellStyle name="Calculation 2 3 2 2" xfId="22826" xr:uid="{00000000-0005-0000-0000-000079170000}"/>
    <cellStyle name="Calculation 2 3 3" xfId="22827" xr:uid="{00000000-0005-0000-0000-00007A170000}"/>
    <cellStyle name="Calculation 2 3 4" xfId="22828" xr:uid="{00000000-0005-0000-0000-00007B170000}"/>
    <cellStyle name="Calculation 2 3 4 2" xfId="22829" xr:uid="{00000000-0005-0000-0000-00007C170000}"/>
    <cellStyle name="Calculation 2 30" xfId="5451" xr:uid="{00000000-0005-0000-0000-00007D170000}"/>
    <cellStyle name="Calculation 2 30 2" xfId="5452" xr:uid="{00000000-0005-0000-0000-00007E170000}"/>
    <cellStyle name="Calculation 2 31" xfId="5453" xr:uid="{00000000-0005-0000-0000-00007F170000}"/>
    <cellStyle name="Calculation 2 31 2" xfId="5454" xr:uid="{00000000-0005-0000-0000-000080170000}"/>
    <cellStyle name="Calculation 2 32" xfId="5455" xr:uid="{00000000-0005-0000-0000-000081170000}"/>
    <cellStyle name="Calculation 2 32 2" xfId="5456" xr:uid="{00000000-0005-0000-0000-000082170000}"/>
    <cellStyle name="Calculation 2 33" xfId="5457" xr:uid="{00000000-0005-0000-0000-000083170000}"/>
    <cellStyle name="Calculation 2 33 2" xfId="5458" xr:uid="{00000000-0005-0000-0000-000084170000}"/>
    <cellStyle name="Calculation 2 34" xfId="5459" xr:uid="{00000000-0005-0000-0000-000085170000}"/>
    <cellStyle name="Calculation 2 34 2" xfId="5460" xr:uid="{00000000-0005-0000-0000-000086170000}"/>
    <cellStyle name="Calculation 2 35" xfId="5461" xr:uid="{00000000-0005-0000-0000-000087170000}"/>
    <cellStyle name="Calculation 2 35 2" xfId="5462" xr:uid="{00000000-0005-0000-0000-000088170000}"/>
    <cellStyle name="Calculation 2 36" xfId="5463" xr:uid="{00000000-0005-0000-0000-000089170000}"/>
    <cellStyle name="Calculation 2 36 2" xfId="5464" xr:uid="{00000000-0005-0000-0000-00008A170000}"/>
    <cellStyle name="Calculation 2 37" xfId="5465" xr:uid="{00000000-0005-0000-0000-00008B170000}"/>
    <cellStyle name="Calculation 2 37 2" xfId="5466" xr:uid="{00000000-0005-0000-0000-00008C170000}"/>
    <cellStyle name="Calculation 2 38" xfId="5467" xr:uid="{00000000-0005-0000-0000-00008D170000}"/>
    <cellStyle name="Calculation 2 38 2" xfId="5468" xr:uid="{00000000-0005-0000-0000-00008E170000}"/>
    <cellStyle name="Calculation 2 39" xfId="5469" xr:uid="{00000000-0005-0000-0000-00008F170000}"/>
    <cellStyle name="Calculation 2 39 2" xfId="5470" xr:uid="{00000000-0005-0000-0000-000090170000}"/>
    <cellStyle name="Calculation 2 4" xfId="5471" xr:uid="{00000000-0005-0000-0000-000091170000}"/>
    <cellStyle name="Calculation 2 4 2" xfId="5472" xr:uid="{00000000-0005-0000-0000-000092170000}"/>
    <cellStyle name="Calculation 2 40" xfId="5473" xr:uid="{00000000-0005-0000-0000-000093170000}"/>
    <cellStyle name="Calculation 2 40 2" xfId="5474" xr:uid="{00000000-0005-0000-0000-000094170000}"/>
    <cellStyle name="Calculation 2 41" xfId="5475" xr:uid="{00000000-0005-0000-0000-000095170000}"/>
    <cellStyle name="Calculation 2 41 2" xfId="5476" xr:uid="{00000000-0005-0000-0000-000096170000}"/>
    <cellStyle name="Calculation 2 42" xfId="5477" xr:uid="{00000000-0005-0000-0000-000097170000}"/>
    <cellStyle name="Calculation 2 42 2" xfId="5478" xr:uid="{00000000-0005-0000-0000-000098170000}"/>
    <cellStyle name="Calculation 2 43" xfId="5479" xr:uid="{00000000-0005-0000-0000-000099170000}"/>
    <cellStyle name="Calculation 2 43 2" xfId="5480" xr:uid="{00000000-0005-0000-0000-00009A170000}"/>
    <cellStyle name="Calculation 2 44" xfId="5481" xr:uid="{00000000-0005-0000-0000-00009B170000}"/>
    <cellStyle name="Calculation 2 44 2" xfId="5482" xr:uid="{00000000-0005-0000-0000-00009C170000}"/>
    <cellStyle name="Calculation 2 45" xfId="5483" xr:uid="{00000000-0005-0000-0000-00009D170000}"/>
    <cellStyle name="Calculation 2 45 2" xfId="5484" xr:uid="{00000000-0005-0000-0000-00009E170000}"/>
    <cellStyle name="Calculation 2 46" xfId="5485" xr:uid="{00000000-0005-0000-0000-00009F170000}"/>
    <cellStyle name="Calculation 2 46 2" xfId="5486" xr:uid="{00000000-0005-0000-0000-0000A0170000}"/>
    <cellStyle name="Calculation 2 47" xfId="5487" xr:uid="{00000000-0005-0000-0000-0000A1170000}"/>
    <cellStyle name="Calculation 2 47 2" xfId="5488" xr:uid="{00000000-0005-0000-0000-0000A2170000}"/>
    <cellStyle name="Calculation 2 48" xfId="5489" xr:uid="{00000000-0005-0000-0000-0000A3170000}"/>
    <cellStyle name="Calculation 2 48 2" xfId="5490" xr:uid="{00000000-0005-0000-0000-0000A4170000}"/>
    <cellStyle name="Calculation 2 49" xfId="5491" xr:uid="{00000000-0005-0000-0000-0000A5170000}"/>
    <cellStyle name="Calculation 2 49 2" xfId="5492" xr:uid="{00000000-0005-0000-0000-0000A6170000}"/>
    <cellStyle name="Calculation 2 5" xfId="5493" xr:uid="{00000000-0005-0000-0000-0000A7170000}"/>
    <cellStyle name="Calculation 2 5 2" xfId="5494" xr:uid="{00000000-0005-0000-0000-0000A8170000}"/>
    <cellStyle name="Calculation 2 50" xfId="5495" xr:uid="{00000000-0005-0000-0000-0000A9170000}"/>
    <cellStyle name="Calculation 2 50 2" xfId="5496" xr:uid="{00000000-0005-0000-0000-0000AA170000}"/>
    <cellStyle name="Calculation 2 51" xfId="5497" xr:uid="{00000000-0005-0000-0000-0000AB170000}"/>
    <cellStyle name="Calculation 2 51 2" xfId="5498" xr:uid="{00000000-0005-0000-0000-0000AC170000}"/>
    <cellStyle name="Calculation 2 52" xfId="5499" xr:uid="{00000000-0005-0000-0000-0000AD170000}"/>
    <cellStyle name="Calculation 2 52 2" xfId="5500" xr:uid="{00000000-0005-0000-0000-0000AE170000}"/>
    <cellStyle name="Calculation 2 53" xfId="5501" xr:uid="{00000000-0005-0000-0000-0000AF170000}"/>
    <cellStyle name="Calculation 2 53 2" xfId="5502" xr:uid="{00000000-0005-0000-0000-0000B0170000}"/>
    <cellStyle name="Calculation 2 54" xfId="5503" xr:uid="{00000000-0005-0000-0000-0000B1170000}"/>
    <cellStyle name="Calculation 2 54 2" xfId="5504" xr:uid="{00000000-0005-0000-0000-0000B2170000}"/>
    <cellStyle name="Calculation 2 55" xfId="5505" xr:uid="{00000000-0005-0000-0000-0000B3170000}"/>
    <cellStyle name="Calculation 2 55 2" xfId="5506" xr:uid="{00000000-0005-0000-0000-0000B4170000}"/>
    <cellStyle name="Calculation 2 56" xfId="5507" xr:uid="{00000000-0005-0000-0000-0000B5170000}"/>
    <cellStyle name="Calculation 2 56 2" xfId="5508" xr:uid="{00000000-0005-0000-0000-0000B6170000}"/>
    <cellStyle name="Calculation 2 57" xfId="5509" xr:uid="{00000000-0005-0000-0000-0000B7170000}"/>
    <cellStyle name="Calculation 2 57 2" xfId="5510" xr:uid="{00000000-0005-0000-0000-0000B8170000}"/>
    <cellStyle name="Calculation 2 58" xfId="5511" xr:uid="{00000000-0005-0000-0000-0000B9170000}"/>
    <cellStyle name="Calculation 2 58 2" xfId="5512" xr:uid="{00000000-0005-0000-0000-0000BA170000}"/>
    <cellStyle name="Calculation 2 59" xfId="5513" xr:uid="{00000000-0005-0000-0000-0000BB170000}"/>
    <cellStyle name="Calculation 2 59 2" xfId="5514" xr:uid="{00000000-0005-0000-0000-0000BC170000}"/>
    <cellStyle name="Calculation 2 6" xfId="5515" xr:uid="{00000000-0005-0000-0000-0000BD170000}"/>
    <cellStyle name="Calculation 2 6 2" xfId="5516" xr:uid="{00000000-0005-0000-0000-0000BE170000}"/>
    <cellStyle name="Calculation 2 60" xfId="5517" xr:uid="{00000000-0005-0000-0000-0000BF170000}"/>
    <cellStyle name="Calculation 2 60 2" xfId="5518" xr:uid="{00000000-0005-0000-0000-0000C0170000}"/>
    <cellStyle name="Calculation 2 61" xfId="5519" xr:uid="{00000000-0005-0000-0000-0000C1170000}"/>
    <cellStyle name="Calculation 2 61 2" xfId="5520" xr:uid="{00000000-0005-0000-0000-0000C2170000}"/>
    <cellStyle name="Calculation 2 62" xfId="5521" xr:uid="{00000000-0005-0000-0000-0000C3170000}"/>
    <cellStyle name="Calculation 2 62 2" xfId="5522" xr:uid="{00000000-0005-0000-0000-0000C4170000}"/>
    <cellStyle name="Calculation 2 63" xfId="5523" xr:uid="{00000000-0005-0000-0000-0000C5170000}"/>
    <cellStyle name="Calculation 2 7" xfId="5524" xr:uid="{00000000-0005-0000-0000-0000C6170000}"/>
    <cellStyle name="Calculation 2 7 2" xfId="5525" xr:uid="{00000000-0005-0000-0000-0000C7170000}"/>
    <cellStyle name="Calculation 2 8" xfId="5526" xr:uid="{00000000-0005-0000-0000-0000C8170000}"/>
    <cellStyle name="Calculation 2 8 2" xfId="5527" xr:uid="{00000000-0005-0000-0000-0000C9170000}"/>
    <cellStyle name="Calculation 2 9" xfId="5528" xr:uid="{00000000-0005-0000-0000-0000CA170000}"/>
    <cellStyle name="Calculation 2 9 2" xfId="5529" xr:uid="{00000000-0005-0000-0000-0000CB170000}"/>
    <cellStyle name="Calculation 2_DATA Input" xfId="5530" xr:uid="{00000000-0005-0000-0000-0000CC170000}"/>
    <cellStyle name="Calculation 20" xfId="5531" xr:uid="{00000000-0005-0000-0000-0000CD170000}"/>
    <cellStyle name="Calculation 20 10" xfId="5532" xr:uid="{00000000-0005-0000-0000-0000CE170000}"/>
    <cellStyle name="Calculation 20 10 2" xfId="5533" xr:uid="{00000000-0005-0000-0000-0000CF170000}"/>
    <cellStyle name="Calculation 20 11" xfId="5534" xr:uid="{00000000-0005-0000-0000-0000D0170000}"/>
    <cellStyle name="Calculation 20 11 2" xfId="5535" xr:uid="{00000000-0005-0000-0000-0000D1170000}"/>
    <cellStyle name="Calculation 20 12" xfId="5536" xr:uid="{00000000-0005-0000-0000-0000D2170000}"/>
    <cellStyle name="Calculation 20 12 2" xfId="5537" xr:uid="{00000000-0005-0000-0000-0000D3170000}"/>
    <cellStyle name="Calculation 20 13" xfId="5538" xr:uid="{00000000-0005-0000-0000-0000D4170000}"/>
    <cellStyle name="Calculation 20 13 2" xfId="5539" xr:uid="{00000000-0005-0000-0000-0000D5170000}"/>
    <cellStyle name="Calculation 20 14" xfId="5540" xr:uid="{00000000-0005-0000-0000-0000D6170000}"/>
    <cellStyle name="Calculation 20 14 2" xfId="5541" xr:uid="{00000000-0005-0000-0000-0000D7170000}"/>
    <cellStyle name="Calculation 20 15" xfId="5542" xr:uid="{00000000-0005-0000-0000-0000D8170000}"/>
    <cellStyle name="Calculation 20 15 2" xfId="5543" xr:uid="{00000000-0005-0000-0000-0000D9170000}"/>
    <cellStyle name="Calculation 20 16" xfId="5544" xr:uid="{00000000-0005-0000-0000-0000DA170000}"/>
    <cellStyle name="Calculation 20 16 2" xfId="5545" xr:uid="{00000000-0005-0000-0000-0000DB170000}"/>
    <cellStyle name="Calculation 20 17" xfId="5546" xr:uid="{00000000-0005-0000-0000-0000DC170000}"/>
    <cellStyle name="Calculation 20 17 2" xfId="5547" xr:uid="{00000000-0005-0000-0000-0000DD170000}"/>
    <cellStyle name="Calculation 20 18" xfId="5548" xr:uid="{00000000-0005-0000-0000-0000DE170000}"/>
    <cellStyle name="Calculation 20 18 2" xfId="5549" xr:uid="{00000000-0005-0000-0000-0000DF170000}"/>
    <cellStyle name="Calculation 20 19" xfId="5550" xr:uid="{00000000-0005-0000-0000-0000E0170000}"/>
    <cellStyle name="Calculation 20 19 2" xfId="5551" xr:uid="{00000000-0005-0000-0000-0000E1170000}"/>
    <cellStyle name="Calculation 20 2" xfId="5552" xr:uid="{00000000-0005-0000-0000-0000E2170000}"/>
    <cellStyle name="Calculation 20 2 2" xfId="5553" xr:uid="{00000000-0005-0000-0000-0000E3170000}"/>
    <cellStyle name="Calculation 20 20" xfId="5554" xr:uid="{00000000-0005-0000-0000-0000E4170000}"/>
    <cellStyle name="Calculation 20 20 2" xfId="5555" xr:uid="{00000000-0005-0000-0000-0000E5170000}"/>
    <cellStyle name="Calculation 20 21" xfId="5556" xr:uid="{00000000-0005-0000-0000-0000E6170000}"/>
    <cellStyle name="Calculation 20 21 2" xfId="5557" xr:uid="{00000000-0005-0000-0000-0000E7170000}"/>
    <cellStyle name="Calculation 20 22" xfId="5558" xr:uid="{00000000-0005-0000-0000-0000E8170000}"/>
    <cellStyle name="Calculation 20 22 2" xfId="5559" xr:uid="{00000000-0005-0000-0000-0000E9170000}"/>
    <cellStyle name="Calculation 20 23" xfId="5560" xr:uid="{00000000-0005-0000-0000-0000EA170000}"/>
    <cellStyle name="Calculation 20 23 2" xfId="5561" xr:uid="{00000000-0005-0000-0000-0000EB170000}"/>
    <cellStyle name="Calculation 20 24" xfId="5562" xr:uid="{00000000-0005-0000-0000-0000EC170000}"/>
    <cellStyle name="Calculation 20 24 2" xfId="5563" xr:uid="{00000000-0005-0000-0000-0000ED170000}"/>
    <cellStyle name="Calculation 20 25" xfId="5564" xr:uid="{00000000-0005-0000-0000-0000EE170000}"/>
    <cellStyle name="Calculation 20 25 2" xfId="5565" xr:uid="{00000000-0005-0000-0000-0000EF170000}"/>
    <cellStyle name="Calculation 20 26" xfId="5566" xr:uid="{00000000-0005-0000-0000-0000F0170000}"/>
    <cellStyle name="Calculation 20 26 2" xfId="5567" xr:uid="{00000000-0005-0000-0000-0000F1170000}"/>
    <cellStyle name="Calculation 20 27" xfId="5568" xr:uid="{00000000-0005-0000-0000-0000F2170000}"/>
    <cellStyle name="Calculation 20 27 2" xfId="5569" xr:uid="{00000000-0005-0000-0000-0000F3170000}"/>
    <cellStyle name="Calculation 20 28" xfId="5570" xr:uid="{00000000-0005-0000-0000-0000F4170000}"/>
    <cellStyle name="Calculation 20 28 2" xfId="5571" xr:uid="{00000000-0005-0000-0000-0000F5170000}"/>
    <cellStyle name="Calculation 20 29" xfId="5572" xr:uid="{00000000-0005-0000-0000-0000F6170000}"/>
    <cellStyle name="Calculation 20 29 2" xfId="5573" xr:uid="{00000000-0005-0000-0000-0000F7170000}"/>
    <cellStyle name="Calculation 20 3" xfId="5574" xr:uid="{00000000-0005-0000-0000-0000F8170000}"/>
    <cellStyle name="Calculation 20 3 2" xfId="5575" xr:uid="{00000000-0005-0000-0000-0000F9170000}"/>
    <cellStyle name="Calculation 20 30" xfId="5576" xr:uid="{00000000-0005-0000-0000-0000FA170000}"/>
    <cellStyle name="Calculation 20 30 2" xfId="5577" xr:uid="{00000000-0005-0000-0000-0000FB170000}"/>
    <cellStyle name="Calculation 20 31" xfId="5578" xr:uid="{00000000-0005-0000-0000-0000FC170000}"/>
    <cellStyle name="Calculation 20 31 2" xfId="5579" xr:uid="{00000000-0005-0000-0000-0000FD170000}"/>
    <cellStyle name="Calculation 20 32" xfId="5580" xr:uid="{00000000-0005-0000-0000-0000FE170000}"/>
    <cellStyle name="Calculation 20 32 2" xfId="5581" xr:uid="{00000000-0005-0000-0000-0000FF170000}"/>
    <cellStyle name="Calculation 20 33" xfId="5582" xr:uid="{00000000-0005-0000-0000-000000180000}"/>
    <cellStyle name="Calculation 20 33 2" xfId="5583" xr:uid="{00000000-0005-0000-0000-000001180000}"/>
    <cellStyle name="Calculation 20 34" xfId="5584" xr:uid="{00000000-0005-0000-0000-000002180000}"/>
    <cellStyle name="Calculation 20 34 2" xfId="5585" xr:uid="{00000000-0005-0000-0000-000003180000}"/>
    <cellStyle name="Calculation 20 35" xfId="5586" xr:uid="{00000000-0005-0000-0000-000004180000}"/>
    <cellStyle name="Calculation 20 35 2" xfId="5587" xr:uid="{00000000-0005-0000-0000-000005180000}"/>
    <cellStyle name="Calculation 20 36" xfId="5588" xr:uid="{00000000-0005-0000-0000-000006180000}"/>
    <cellStyle name="Calculation 20 36 2" xfId="5589" xr:uid="{00000000-0005-0000-0000-000007180000}"/>
    <cellStyle name="Calculation 20 37" xfId="5590" xr:uid="{00000000-0005-0000-0000-000008180000}"/>
    <cellStyle name="Calculation 20 37 2" xfId="5591" xr:uid="{00000000-0005-0000-0000-000009180000}"/>
    <cellStyle name="Calculation 20 38" xfId="5592" xr:uid="{00000000-0005-0000-0000-00000A180000}"/>
    <cellStyle name="Calculation 20 38 2" xfId="5593" xr:uid="{00000000-0005-0000-0000-00000B180000}"/>
    <cellStyle name="Calculation 20 39" xfId="5594" xr:uid="{00000000-0005-0000-0000-00000C180000}"/>
    <cellStyle name="Calculation 20 39 2" xfId="5595" xr:uid="{00000000-0005-0000-0000-00000D180000}"/>
    <cellStyle name="Calculation 20 4" xfId="5596" xr:uid="{00000000-0005-0000-0000-00000E180000}"/>
    <cellStyle name="Calculation 20 4 2" xfId="5597" xr:uid="{00000000-0005-0000-0000-00000F180000}"/>
    <cellStyle name="Calculation 20 40" xfId="5598" xr:uid="{00000000-0005-0000-0000-000010180000}"/>
    <cellStyle name="Calculation 20 40 2" xfId="5599" xr:uid="{00000000-0005-0000-0000-000011180000}"/>
    <cellStyle name="Calculation 20 41" xfId="5600" xr:uid="{00000000-0005-0000-0000-000012180000}"/>
    <cellStyle name="Calculation 20 41 2" xfId="5601" xr:uid="{00000000-0005-0000-0000-000013180000}"/>
    <cellStyle name="Calculation 20 42" xfId="5602" xr:uid="{00000000-0005-0000-0000-000014180000}"/>
    <cellStyle name="Calculation 20 42 2" xfId="5603" xr:uid="{00000000-0005-0000-0000-000015180000}"/>
    <cellStyle name="Calculation 20 43" xfId="5604" xr:uid="{00000000-0005-0000-0000-000016180000}"/>
    <cellStyle name="Calculation 20 43 2" xfId="5605" xr:uid="{00000000-0005-0000-0000-000017180000}"/>
    <cellStyle name="Calculation 20 44" xfId="5606" xr:uid="{00000000-0005-0000-0000-000018180000}"/>
    <cellStyle name="Calculation 20 44 2" xfId="5607" xr:uid="{00000000-0005-0000-0000-000019180000}"/>
    <cellStyle name="Calculation 20 45" xfId="5608" xr:uid="{00000000-0005-0000-0000-00001A180000}"/>
    <cellStyle name="Calculation 20 45 2" xfId="5609" xr:uid="{00000000-0005-0000-0000-00001B180000}"/>
    <cellStyle name="Calculation 20 46" xfId="5610" xr:uid="{00000000-0005-0000-0000-00001C180000}"/>
    <cellStyle name="Calculation 20 46 2" xfId="5611" xr:uid="{00000000-0005-0000-0000-00001D180000}"/>
    <cellStyle name="Calculation 20 47" xfId="5612" xr:uid="{00000000-0005-0000-0000-00001E180000}"/>
    <cellStyle name="Calculation 20 47 2" xfId="5613" xr:uid="{00000000-0005-0000-0000-00001F180000}"/>
    <cellStyle name="Calculation 20 48" xfId="5614" xr:uid="{00000000-0005-0000-0000-000020180000}"/>
    <cellStyle name="Calculation 20 48 2" xfId="5615" xr:uid="{00000000-0005-0000-0000-000021180000}"/>
    <cellStyle name="Calculation 20 49" xfId="5616" xr:uid="{00000000-0005-0000-0000-000022180000}"/>
    <cellStyle name="Calculation 20 49 2" xfId="5617" xr:uid="{00000000-0005-0000-0000-000023180000}"/>
    <cellStyle name="Calculation 20 5" xfId="5618" xr:uid="{00000000-0005-0000-0000-000024180000}"/>
    <cellStyle name="Calculation 20 5 2" xfId="5619" xr:uid="{00000000-0005-0000-0000-000025180000}"/>
    <cellStyle name="Calculation 20 50" xfId="5620" xr:uid="{00000000-0005-0000-0000-000026180000}"/>
    <cellStyle name="Calculation 20 50 2" xfId="5621" xr:uid="{00000000-0005-0000-0000-000027180000}"/>
    <cellStyle name="Calculation 20 51" xfId="5622" xr:uid="{00000000-0005-0000-0000-000028180000}"/>
    <cellStyle name="Calculation 20 51 2" xfId="5623" xr:uid="{00000000-0005-0000-0000-000029180000}"/>
    <cellStyle name="Calculation 20 52" xfId="5624" xr:uid="{00000000-0005-0000-0000-00002A180000}"/>
    <cellStyle name="Calculation 20 52 2" xfId="5625" xr:uid="{00000000-0005-0000-0000-00002B180000}"/>
    <cellStyle name="Calculation 20 53" xfId="5626" xr:uid="{00000000-0005-0000-0000-00002C180000}"/>
    <cellStyle name="Calculation 20 53 2" xfId="5627" xr:uid="{00000000-0005-0000-0000-00002D180000}"/>
    <cellStyle name="Calculation 20 54" xfId="5628" xr:uid="{00000000-0005-0000-0000-00002E180000}"/>
    <cellStyle name="Calculation 20 54 2" xfId="5629" xr:uid="{00000000-0005-0000-0000-00002F180000}"/>
    <cellStyle name="Calculation 20 55" xfId="5630" xr:uid="{00000000-0005-0000-0000-000030180000}"/>
    <cellStyle name="Calculation 20 55 2" xfId="5631" xr:uid="{00000000-0005-0000-0000-000031180000}"/>
    <cellStyle name="Calculation 20 56" xfId="5632" xr:uid="{00000000-0005-0000-0000-000032180000}"/>
    <cellStyle name="Calculation 20 56 2" xfId="5633" xr:uid="{00000000-0005-0000-0000-000033180000}"/>
    <cellStyle name="Calculation 20 57" xfId="5634" xr:uid="{00000000-0005-0000-0000-000034180000}"/>
    <cellStyle name="Calculation 20 57 2" xfId="5635" xr:uid="{00000000-0005-0000-0000-000035180000}"/>
    <cellStyle name="Calculation 20 58" xfId="5636" xr:uid="{00000000-0005-0000-0000-000036180000}"/>
    <cellStyle name="Calculation 20 58 2" xfId="5637" xr:uid="{00000000-0005-0000-0000-000037180000}"/>
    <cellStyle name="Calculation 20 59" xfId="5638" xr:uid="{00000000-0005-0000-0000-000038180000}"/>
    <cellStyle name="Calculation 20 59 2" xfId="5639" xr:uid="{00000000-0005-0000-0000-000039180000}"/>
    <cellStyle name="Calculation 20 6" xfId="5640" xr:uid="{00000000-0005-0000-0000-00003A180000}"/>
    <cellStyle name="Calculation 20 6 2" xfId="5641" xr:uid="{00000000-0005-0000-0000-00003B180000}"/>
    <cellStyle name="Calculation 20 60" xfId="5642" xr:uid="{00000000-0005-0000-0000-00003C180000}"/>
    <cellStyle name="Calculation 20 60 2" xfId="5643" xr:uid="{00000000-0005-0000-0000-00003D180000}"/>
    <cellStyle name="Calculation 20 61" xfId="5644" xr:uid="{00000000-0005-0000-0000-00003E180000}"/>
    <cellStyle name="Calculation 20 61 2" xfId="5645" xr:uid="{00000000-0005-0000-0000-00003F180000}"/>
    <cellStyle name="Calculation 20 62" xfId="5646" xr:uid="{00000000-0005-0000-0000-000040180000}"/>
    <cellStyle name="Calculation 20 62 2" xfId="5647" xr:uid="{00000000-0005-0000-0000-000041180000}"/>
    <cellStyle name="Calculation 20 63" xfId="5648" xr:uid="{00000000-0005-0000-0000-000042180000}"/>
    <cellStyle name="Calculation 20 7" xfId="5649" xr:uid="{00000000-0005-0000-0000-000043180000}"/>
    <cellStyle name="Calculation 20 7 2" xfId="5650" xr:uid="{00000000-0005-0000-0000-000044180000}"/>
    <cellStyle name="Calculation 20 8" xfId="5651" xr:uid="{00000000-0005-0000-0000-000045180000}"/>
    <cellStyle name="Calculation 20 8 2" xfId="5652" xr:uid="{00000000-0005-0000-0000-000046180000}"/>
    <cellStyle name="Calculation 20 9" xfId="5653" xr:uid="{00000000-0005-0000-0000-000047180000}"/>
    <cellStyle name="Calculation 20 9 2" xfId="5654" xr:uid="{00000000-0005-0000-0000-000048180000}"/>
    <cellStyle name="Calculation 21" xfId="5655" xr:uid="{00000000-0005-0000-0000-000049180000}"/>
    <cellStyle name="Calculation 21 10" xfId="5656" xr:uid="{00000000-0005-0000-0000-00004A180000}"/>
    <cellStyle name="Calculation 21 10 2" xfId="5657" xr:uid="{00000000-0005-0000-0000-00004B180000}"/>
    <cellStyle name="Calculation 21 11" xfId="5658" xr:uid="{00000000-0005-0000-0000-00004C180000}"/>
    <cellStyle name="Calculation 21 11 2" xfId="5659" xr:uid="{00000000-0005-0000-0000-00004D180000}"/>
    <cellStyle name="Calculation 21 12" xfId="5660" xr:uid="{00000000-0005-0000-0000-00004E180000}"/>
    <cellStyle name="Calculation 21 12 2" xfId="5661" xr:uid="{00000000-0005-0000-0000-00004F180000}"/>
    <cellStyle name="Calculation 21 13" xfId="5662" xr:uid="{00000000-0005-0000-0000-000050180000}"/>
    <cellStyle name="Calculation 21 13 2" xfId="5663" xr:uid="{00000000-0005-0000-0000-000051180000}"/>
    <cellStyle name="Calculation 21 14" xfId="5664" xr:uid="{00000000-0005-0000-0000-000052180000}"/>
    <cellStyle name="Calculation 21 14 2" xfId="5665" xr:uid="{00000000-0005-0000-0000-000053180000}"/>
    <cellStyle name="Calculation 21 15" xfId="5666" xr:uid="{00000000-0005-0000-0000-000054180000}"/>
    <cellStyle name="Calculation 21 15 2" xfId="5667" xr:uid="{00000000-0005-0000-0000-000055180000}"/>
    <cellStyle name="Calculation 21 16" xfId="5668" xr:uid="{00000000-0005-0000-0000-000056180000}"/>
    <cellStyle name="Calculation 21 16 2" xfId="5669" xr:uid="{00000000-0005-0000-0000-000057180000}"/>
    <cellStyle name="Calculation 21 17" xfId="5670" xr:uid="{00000000-0005-0000-0000-000058180000}"/>
    <cellStyle name="Calculation 21 17 2" xfId="5671" xr:uid="{00000000-0005-0000-0000-000059180000}"/>
    <cellStyle name="Calculation 21 18" xfId="5672" xr:uid="{00000000-0005-0000-0000-00005A180000}"/>
    <cellStyle name="Calculation 21 18 2" xfId="5673" xr:uid="{00000000-0005-0000-0000-00005B180000}"/>
    <cellStyle name="Calculation 21 19" xfId="5674" xr:uid="{00000000-0005-0000-0000-00005C180000}"/>
    <cellStyle name="Calculation 21 19 2" xfId="5675" xr:uid="{00000000-0005-0000-0000-00005D180000}"/>
    <cellStyle name="Calculation 21 2" xfId="5676" xr:uid="{00000000-0005-0000-0000-00005E180000}"/>
    <cellStyle name="Calculation 21 2 2" xfId="5677" xr:uid="{00000000-0005-0000-0000-00005F180000}"/>
    <cellStyle name="Calculation 21 20" xfId="5678" xr:uid="{00000000-0005-0000-0000-000060180000}"/>
    <cellStyle name="Calculation 21 20 2" xfId="5679" xr:uid="{00000000-0005-0000-0000-000061180000}"/>
    <cellStyle name="Calculation 21 21" xfId="5680" xr:uid="{00000000-0005-0000-0000-000062180000}"/>
    <cellStyle name="Calculation 21 21 2" xfId="5681" xr:uid="{00000000-0005-0000-0000-000063180000}"/>
    <cellStyle name="Calculation 21 22" xfId="5682" xr:uid="{00000000-0005-0000-0000-000064180000}"/>
    <cellStyle name="Calculation 21 22 2" xfId="5683" xr:uid="{00000000-0005-0000-0000-000065180000}"/>
    <cellStyle name="Calculation 21 23" xfId="5684" xr:uid="{00000000-0005-0000-0000-000066180000}"/>
    <cellStyle name="Calculation 21 23 2" xfId="5685" xr:uid="{00000000-0005-0000-0000-000067180000}"/>
    <cellStyle name="Calculation 21 24" xfId="5686" xr:uid="{00000000-0005-0000-0000-000068180000}"/>
    <cellStyle name="Calculation 21 24 2" xfId="5687" xr:uid="{00000000-0005-0000-0000-000069180000}"/>
    <cellStyle name="Calculation 21 25" xfId="5688" xr:uid="{00000000-0005-0000-0000-00006A180000}"/>
    <cellStyle name="Calculation 21 25 2" xfId="5689" xr:uid="{00000000-0005-0000-0000-00006B180000}"/>
    <cellStyle name="Calculation 21 26" xfId="5690" xr:uid="{00000000-0005-0000-0000-00006C180000}"/>
    <cellStyle name="Calculation 21 26 2" xfId="5691" xr:uid="{00000000-0005-0000-0000-00006D180000}"/>
    <cellStyle name="Calculation 21 27" xfId="5692" xr:uid="{00000000-0005-0000-0000-00006E180000}"/>
    <cellStyle name="Calculation 21 27 2" xfId="5693" xr:uid="{00000000-0005-0000-0000-00006F180000}"/>
    <cellStyle name="Calculation 21 28" xfId="5694" xr:uid="{00000000-0005-0000-0000-000070180000}"/>
    <cellStyle name="Calculation 21 28 2" xfId="5695" xr:uid="{00000000-0005-0000-0000-000071180000}"/>
    <cellStyle name="Calculation 21 29" xfId="5696" xr:uid="{00000000-0005-0000-0000-000072180000}"/>
    <cellStyle name="Calculation 21 29 2" xfId="5697" xr:uid="{00000000-0005-0000-0000-000073180000}"/>
    <cellStyle name="Calculation 21 3" xfId="5698" xr:uid="{00000000-0005-0000-0000-000074180000}"/>
    <cellStyle name="Calculation 21 3 2" xfId="5699" xr:uid="{00000000-0005-0000-0000-000075180000}"/>
    <cellStyle name="Calculation 21 30" xfId="5700" xr:uid="{00000000-0005-0000-0000-000076180000}"/>
    <cellStyle name="Calculation 21 30 2" xfId="5701" xr:uid="{00000000-0005-0000-0000-000077180000}"/>
    <cellStyle name="Calculation 21 31" xfId="5702" xr:uid="{00000000-0005-0000-0000-000078180000}"/>
    <cellStyle name="Calculation 21 31 2" xfId="5703" xr:uid="{00000000-0005-0000-0000-000079180000}"/>
    <cellStyle name="Calculation 21 32" xfId="5704" xr:uid="{00000000-0005-0000-0000-00007A180000}"/>
    <cellStyle name="Calculation 21 32 2" xfId="5705" xr:uid="{00000000-0005-0000-0000-00007B180000}"/>
    <cellStyle name="Calculation 21 33" xfId="5706" xr:uid="{00000000-0005-0000-0000-00007C180000}"/>
    <cellStyle name="Calculation 21 33 2" xfId="5707" xr:uid="{00000000-0005-0000-0000-00007D180000}"/>
    <cellStyle name="Calculation 21 34" xfId="5708" xr:uid="{00000000-0005-0000-0000-00007E180000}"/>
    <cellStyle name="Calculation 21 34 2" xfId="5709" xr:uid="{00000000-0005-0000-0000-00007F180000}"/>
    <cellStyle name="Calculation 21 35" xfId="5710" xr:uid="{00000000-0005-0000-0000-000080180000}"/>
    <cellStyle name="Calculation 21 35 2" xfId="5711" xr:uid="{00000000-0005-0000-0000-000081180000}"/>
    <cellStyle name="Calculation 21 36" xfId="5712" xr:uid="{00000000-0005-0000-0000-000082180000}"/>
    <cellStyle name="Calculation 21 36 2" xfId="5713" xr:uid="{00000000-0005-0000-0000-000083180000}"/>
    <cellStyle name="Calculation 21 37" xfId="5714" xr:uid="{00000000-0005-0000-0000-000084180000}"/>
    <cellStyle name="Calculation 21 37 2" xfId="5715" xr:uid="{00000000-0005-0000-0000-000085180000}"/>
    <cellStyle name="Calculation 21 38" xfId="5716" xr:uid="{00000000-0005-0000-0000-000086180000}"/>
    <cellStyle name="Calculation 21 38 2" xfId="5717" xr:uid="{00000000-0005-0000-0000-000087180000}"/>
    <cellStyle name="Calculation 21 39" xfId="5718" xr:uid="{00000000-0005-0000-0000-000088180000}"/>
    <cellStyle name="Calculation 21 39 2" xfId="5719" xr:uid="{00000000-0005-0000-0000-000089180000}"/>
    <cellStyle name="Calculation 21 4" xfId="5720" xr:uid="{00000000-0005-0000-0000-00008A180000}"/>
    <cellStyle name="Calculation 21 4 2" xfId="5721" xr:uid="{00000000-0005-0000-0000-00008B180000}"/>
    <cellStyle name="Calculation 21 40" xfId="5722" xr:uid="{00000000-0005-0000-0000-00008C180000}"/>
    <cellStyle name="Calculation 21 40 2" xfId="5723" xr:uid="{00000000-0005-0000-0000-00008D180000}"/>
    <cellStyle name="Calculation 21 41" xfId="5724" xr:uid="{00000000-0005-0000-0000-00008E180000}"/>
    <cellStyle name="Calculation 21 41 2" xfId="5725" xr:uid="{00000000-0005-0000-0000-00008F180000}"/>
    <cellStyle name="Calculation 21 42" xfId="5726" xr:uid="{00000000-0005-0000-0000-000090180000}"/>
    <cellStyle name="Calculation 21 42 2" xfId="5727" xr:uid="{00000000-0005-0000-0000-000091180000}"/>
    <cellStyle name="Calculation 21 43" xfId="5728" xr:uid="{00000000-0005-0000-0000-000092180000}"/>
    <cellStyle name="Calculation 21 43 2" xfId="5729" xr:uid="{00000000-0005-0000-0000-000093180000}"/>
    <cellStyle name="Calculation 21 44" xfId="5730" xr:uid="{00000000-0005-0000-0000-000094180000}"/>
    <cellStyle name="Calculation 21 44 2" xfId="5731" xr:uid="{00000000-0005-0000-0000-000095180000}"/>
    <cellStyle name="Calculation 21 45" xfId="5732" xr:uid="{00000000-0005-0000-0000-000096180000}"/>
    <cellStyle name="Calculation 21 45 2" xfId="5733" xr:uid="{00000000-0005-0000-0000-000097180000}"/>
    <cellStyle name="Calculation 21 46" xfId="5734" xr:uid="{00000000-0005-0000-0000-000098180000}"/>
    <cellStyle name="Calculation 21 46 2" xfId="5735" xr:uid="{00000000-0005-0000-0000-000099180000}"/>
    <cellStyle name="Calculation 21 47" xfId="5736" xr:uid="{00000000-0005-0000-0000-00009A180000}"/>
    <cellStyle name="Calculation 21 47 2" xfId="5737" xr:uid="{00000000-0005-0000-0000-00009B180000}"/>
    <cellStyle name="Calculation 21 48" xfId="5738" xr:uid="{00000000-0005-0000-0000-00009C180000}"/>
    <cellStyle name="Calculation 21 48 2" xfId="5739" xr:uid="{00000000-0005-0000-0000-00009D180000}"/>
    <cellStyle name="Calculation 21 49" xfId="5740" xr:uid="{00000000-0005-0000-0000-00009E180000}"/>
    <cellStyle name="Calculation 21 49 2" xfId="5741" xr:uid="{00000000-0005-0000-0000-00009F180000}"/>
    <cellStyle name="Calculation 21 5" xfId="5742" xr:uid="{00000000-0005-0000-0000-0000A0180000}"/>
    <cellStyle name="Calculation 21 5 2" xfId="5743" xr:uid="{00000000-0005-0000-0000-0000A1180000}"/>
    <cellStyle name="Calculation 21 50" xfId="5744" xr:uid="{00000000-0005-0000-0000-0000A2180000}"/>
    <cellStyle name="Calculation 21 50 2" xfId="5745" xr:uid="{00000000-0005-0000-0000-0000A3180000}"/>
    <cellStyle name="Calculation 21 51" xfId="5746" xr:uid="{00000000-0005-0000-0000-0000A4180000}"/>
    <cellStyle name="Calculation 21 51 2" xfId="5747" xr:uid="{00000000-0005-0000-0000-0000A5180000}"/>
    <cellStyle name="Calculation 21 52" xfId="5748" xr:uid="{00000000-0005-0000-0000-0000A6180000}"/>
    <cellStyle name="Calculation 21 52 2" xfId="5749" xr:uid="{00000000-0005-0000-0000-0000A7180000}"/>
    <cellStyle name="Calculation 21 53" xfId="5750" xr:uid="{00000000-0005-0000-0000-0000A8180000}"/>
    <cellStyle name="Calculation 21 53 2" xfId="5751" xr:uid="{00000000-0005-0000-0000-0000A9180000}"/>
    <cellStyle name="Calculation 21 54" xfId="5752" xr:uid="{00000000-0005-0000-0000-0000AA180000}"/>
    <cellStyle name="Calculation 21 54 2" xfId="5753" xr:uid="{00000000-0005-0000-0000-0000AB180000}"/>
    <cellStyle name="Calculation 21 55" xfId="5754" xr:uid="{00000000-0005-0000-0000-0000AC180000}"/>
    <cellStyle name="Calculation 21 55 2" xfId="5755" xr:uid="{00000000-0005-0000-0000-0000AD180000}"/>
    <cellStyle name="Calculation 21 56" xfId="5756" xr:uid="{00000000-0005-0000-0000-0000AE180000}"/>
    <cellStyle name="Calculation 21 56 2" xfId="5757" xr:uid="{00000000-0005-0000-0000-0000AF180000}"/>
    <cellStyle name="Calculation 21 57" xfId="5758" xr:uid="{00000000-0005-0000-0000-0000B0180000}"/>
    <cellStyle name="Calculation 21 57 2" xfId="5759" xr:uid="{00000000-0005-0000-0000-0000B1180000}"/>
    <cellStyle name="Calculation 21 58" xfId="5760" xr:uid="{00000000-0005-0000-0000-0000B2180000}"/>
    <cellStyle name="Calculation 21 58 2" xfId="5761" xr:uid="{00000000-0005-0000-0000-0000B3180000}"/>
    <cellStyle name="Calculation 21 59" xfId="5762" xr:uid="{00000000-0005-0000-0000-0000B4180000}"/>
    <cellStyle name="Calculation 21 59 2" xfId="5763" xr:uid="{00000000-0005-0000-0000-0000B5180000}"/>
    <cellStyle name="Calculation 21 6" xfId="5764" xr:uid="{00000000-0005-0000-0000-0000B6180000}"/>
    <cellStyle name="Calculation 21 6 2" xfId="5765" xr:uid="{00000000-0005-0000-0000-0000B7180000}"/>
    <cellStyle name="Calculation 21 60" xfId="5766" xr:uid="{00000000-0005-0000-0000-0000B8180000}"/>
    <cellStyle name="Calculation 21 60 2" xfId="5767" xr:uid="{00000000-0005-0000-0000-0000B9180000}"/>
    <cellStyle name="Calculation 21 61" xfId="5768" xr:uid="{00000000-0005-0000-0000-0000BA180000}"/>
    <cellStyle name="Calculation 21 61 2" xfId="5769" xr:uid="{00000000-0005-0000-0000-0000BB180000}"/>
    <cellStyle name="Calculation 21 62" xfId="5770" xr:uid="{00000000-0005-0000-0000-0000BC180000}"/>
    <cellStyle name="Calculation 21 62 2" xfId="5771" xr:uid="{00000000-0005-0000-0000-0000BD180000}"/>
    <cellStyle name="Calculation 21 63" xfId="5772" xr:uid="{00000000-0005-0000-0000-0000BE180000}"/>
    <cellStyle name="Calculation 21 7" xfId="5773" xr:uid="{00000000-0005-0000-0000-0000BF180000}"/>
    <cellStyle name="Calculation 21 7 2" xfId="5774" xr:uid="{00000000-0005-0000-0000-0000C0180000}"/>
    <cellStyle name="Calculation 21 8" xfId="5775" xr:uid="{00000000-0005-0000-0000-0000C1180000}"/>
    <cellStyle name="Calculation 21 8 2" xfId="5776" xr:uid="{00000000-0005-0000-0000-0000C2180000}"/>
    <cellStyle name="Calculation 21 9" xfId="5777" xr:uid="{00000000-0005-0000-0000-0000C3180000}"/>
    <cellStyle name="Calculation 21 9 2" xfId="5778" xr:uid="{00000000-0005-0000-0000-0000C4180000}"/>
    <cellStyle name="Calculation 22" xfId="5779" xr:uid="{00000000-0005-0000-0000-0000C5180000}"/>
    <cellStyle name="Calculation 22 10" xfId="5780" xr:uid="{00000000-0005-0000-0000-0000C6180000}"/>
    <cellStyle name="Calculation 22 10 2" xfId="5781" xr:uid="{00000000-0005-0000-0000-0000C7180000}"/>
    <cellStyle name="Calculation 22 11" xfId="5782" xr:uid="{00000000-0005-0000-0000-0000C8180000}"/>
    <cellStyle name="Calculation 22 11 2" xfId="5783" xr:uid="{00000000-0005-0000-0000-0000C9180000}"/>
    <cellStyle name="Calculation 22 12" xfId="5784" xr:uid="{00000000-0005-0000-0000-0000CA180000}"/>
    <cellStyle name="Calculation 22 12 2" xfId="5785" xr:uid="{00000000-0005-0000-0000-0000CB180000}"/>
    <cellStyle name="Calculation 22 13" xfId="5786" xr:uid="{00000000-0005-0000-0000-0000CC180000}"/>
    <cellStyle name="Calculation 22 13 2" xfId="5787" xr:uid="{00000000-0005-0000-0000-0000CD180000}"/>
    <cellStyle name="Calculation 22 14" xfId="5788" xr:uid="{00000000-0005-0000-0000-0000CE180000}"/>
    <cellStyle name="Calculation 22 14 2" xfId="5789" xr:uid="{00000000-0005-0000-0000-0000CF180000}"/>
    <cellStyle name="Calculation 22 15" xfId="5790" xr:uid="{00000000-0005-0000-0000-0000D0180000}"/>
    <cellStyle name="Calculation 22 15 2" xfId="5791" xr:uid="{00000000-0005-0000-0000-0000D1180000}"/>
    <cellStyle name="Calculation 22 16" xfId="5792" xr:uid="{00000000-0005-0000-0000-0000D2180000}"/>
    <cellStyle name="Calculation 22 16 2" xfId="5793" xr:uid="{00000000-0005-0000-0000-0000D3180000}"/>
    <cellStyle name="Calculation 22 17" xfId="5794" xr:uid="{00000000-0005-0000-0000-0000D4180000}"/>
    <cellStyle name="Calculation 22 17 2" xfId="5795" xr:uid="{00000000-0005-0000-0000-0000D5180000}"/>
    <cellStyle name="Calculation 22 18" xfId="5796" xr:uid="{00000000-0005-0000-0000-0000D6180000}"/>
    <cellStyle name="Calculation 22 18 2" xfId="5797" xr:uid="{00000000-0005-0000-0000-0000D7180000}"/>
    <cellStyle name="Calculation 22 19" xfId="5798" xr:uid="{00000000-0005-0000-0000-0000D8180000}"/>
    <cellStyle name="Calculation 22 19 2" xfId="5799" xr:uid="{00000000-0005-0000-0000-0000D9180000}"/>
    <cellStyle name="Calculation 22 2" xfId="5800" xr:uid="{00000000-0005-0000-0000-0000DA180000}"/>
    <cellStyle name="Calculation 22 2 2" xfId="5801" xr:uid="{00000000-0005-0000-0000-0000DB180000}"/>
    <cellStyle name="Calculation 22 20" xfId="5802" xr:uid="{00000000-0005-0000-0000-0000DC180000}"/>
    <cellStyle name="Calculation 22 20 2" xfId="5803" xr:uid="{00000000-0005-0000-0000-0000DD180000}"/>
    <cellStyle name="Calculation 22 21" xfId="5804" xr:uid="{00000000-0005-0000-0000-0000DE180000}"/>
    <cellStyle name="Calculation 22 21 2" xfId="5805" xr:uid="{00000000-0005-0000-0000-0000DF180000}"/>
    <cellStyle name="Calculation 22 22" xfId="5806" xr:uid="{00000000-0005-0000-0000-0000E0180000}"/>
    <cellStyle name="Calculation 22 22 2" xfId="5807" xr:uid="{00000000-0005-0000-0000-0000E1180000}"/>
    <cellStyle name="Calculation 22 23" xfId="5808" xr:uid="{00000000-0005-0000-0000-0000E2180000}"/>
    <cellStyle name="Calculation 22 23 2" xfId="5809" xr:uid="{00000000-0005-0000-0000-0000E3180000}"/>
    <cellStyle name="Calculation 22 24" xfId="5810" xr:uid="{00000000-0005-0000-0000-0000E4180000}"/>
    <cellStyle name="Calculation 22 24 2" xfId="5811" xr:uid="{00000000-0005-0000-0000-0000E5180000}"/>
    <cellStyle name="Calculation 22 25" xfId="5812" xr:uid="{00000000-0005-0000-0000-0000E6180000}"/>
    <cellStyle name="Calculation 22 25 2" xfId="5813" xr:uid="{00000000-0005-0000-0000-0000E7180000}"/>
    <cellStyle name="Calculation 22 26" xfId="5814" xr:uid="{00000000-0005-0000-0000-0000E8180000}"/>
    <cellStyle name="Calculation 22 26 2" xfId="5815" xr:uid="{00000000-0005-0000-0000-0000E9180000}"/>
    <cellStyle name="Calculation 22 27" xfId="5816" xr:uid="{00000000-0005-0000-0000-0000EA180000}"/>
    <cellStyle name="Calculation 22 27 2" xfId="5817" xr:uid="{00000000-0005-0000-0000-0000EB180000}"/>
    <cellStyle name="Calculation 22 28" xfId="5818" xr:uid="{00000000-0005-0000-0000-0000EC180000}"/>
    <cellStyle name="Calculation 22 28 2" xfId="5819" xr:uid="{00000000-0005-0000-0000-0000ED180000}"/>
    <cellStyle name="Calculation 22 29" xfId="5820" xr:uid="{00000000-0005-0000-0000-0000EE180000}"/>
    <cellStyle name="Calculation 22 29 2" xfId="5821" xr:uid="{00000000-0005-0000-0000-0000EF180000}"/>
    <cellStyle name="Calculation 22 3" xfId="5822" xr:uid="{00000000-0005-0000-0000-0000F0180000}"/>
    <cellStyle name="Calculation 22 3 2" xfId="5823" xr:uid="{00000000-0005-0000-0000-0000F1180000}"/>
    <cellStyle name="Calculation 22 30" xfId="5824" xr:uid="{00000000-0005-0000-0000-0000F2180000}"/>
    <cellStyle name="Calculation 22 30 2" xfId="5825" xr:uid="{00000000-0005-0000-0000-0000F3180000}"/>
    <cellStyle name="Calculation 22 31" xfId="5826" xr:uid="{00000000-0005-0000-0000-0000F4180000}"/>
    <cellStyle name="Calculation 22 31 2" xfId="5827" xr:uid="{00000000-0005-0000-0000-0000F5180000}"/>
    <cellStyle name="Calculation 22 32" xfId="5828" xr:uid="{00000000-0005-0000-0000-0000F6180000}"/>
    <cellStyle name="Calculation 22 32 2" xfId="5829" xr:uid="{00000000-0005-0000-0000-0000F7180000}"/>
    <cellStyle name="Calculation 22 33" xfId="5830" xr:uid="{00000000-0005-0000-0000-0000F8180000}"/>
    <cellStyle name="Calculation 22 33 2" xfId="5831" xr:uid="{00000000-0005-0000-0000-0000F9180000}"/>
    <cellStyle name="Calculation 22 34" xfId="5832" xr:uid="{00000000-0005-0000-0000-0000FA180000}"/>
    <cellStyle name="Calculation 22 34 2" xfId="5833" xr:uid="{00000000-0005-0000-0000-0000FB180000}"/>
    <cellStyle name="Calculation 22 35" xfId="5834" xr:uid="{00000000-0005-0000-0000-0000FC180000}"/>
    <cellStyle name="Calculation 22 35 2" xfId="5835" xr:uid="{00000000-0005-0000-0000-0000FD180000}"/>
    <cellStyle name="Calculation 22 36" xfId="5836" xr:uid="{00000000-0005-0000-0000-0000FE180000}"/>
    <cellStyle name="Calculation 22 36 2" xfId="5837" xr:uid="{00000000-0005-0000-0000-0000FF180000}"/>
    <cellStyle name="Calculation 22 37" xfId="5838" xr:uid="{00000000-0005-0000-0000-000000190000}"/>
    <cellStyle name="Calculation 22 37 2" xfId="5839" xr:uid="{00000000-0005-0000-0000-000001190000}"/>
    <cellStyle name="Calculation 22 38" xfId="5840" xr:uid="{00000000-0005-0000-0000-000002190000}"/>
    <cellStyle name="Calculation 22 38 2" xfId="5841" xr:uid="{00000000-0005-0000-0000-000003190000}"/>
    <cellStyle name="Calculation 22 39" xfId="5842" xr:uid="{00000000-0005-0000-0000-000004190000}"/>
    <cellStyle name="Calculation 22 39 2" xfId="5843" xr:uid="{00000000-0005-0000-0000-000005190000}"/>
    <cellStyle name="Calculation 22 4" xfId="5844" xr:uid="{00000000-0005-0000-0000-000006190000}"/>
    <cellStyle name="Calculation 22 4 2" xfId="5845" xr:uid="{00000000-0005-0000-0000-000007190000}"/>
    <cellStyle name="Calculation 22 40" xfId="5846" xr:uid="{00000000-0005-0000-0000-000008190000}"/>
    <cellStyle name="Calculation 22 40 2" xfId="5847" xr:uid="{00000000-0005-0000-0000-000009190000}"/>
    <cellStyle name="Calculation 22 41" xfId="5848" xr:uid="{00000000-0005-0000-0000-00000A190000}"/>
    <cellStyle name="Calculation 22 41 2" xfId="5849" xr:uid="{00000000-0005-0000-0000-00000B190000}"/>
    <cellStyle name="Calculation 22 42" xfId="5850" xr:uid="{00000000-0005-0000-0000-00000C190000}"/>
    <cellStyle name="Calculation 22 42 2" xfId="5851" xr:uid="{00000000-0005-0000-0000-00000D190000}"/>
    <cellStyle name="Calculation 22 43" xfId="5852" xr:uid="{00000000-0005-0000-0000-00000E190000}"/>
    <cellStyle name="Calculation 22 43 2" xfId="5853" xr:uid="{00000000-0005-0000-0000-00000F190000}"/>
    <cellStyle name="Calculation 22 44" xfId="5854" xr:uid="{00000000-0005-0000-0000-000010190000}"/>
    <cellStyle name="Calculation 22 44 2" xfId="5855" xr:uid="{00000000-0005-0000-0000-000011190000}"/>
    <cellStyle name="Calculation 22 45" xfId="5856" xr:uid="{00000000-0005-0000-0000-000012190000}"/>
    <cellStyle name="Calculation 22 45 2" xfId="5857" xr:uid="{00000000-0005-0000-0000-000013190000}"/>
    <cellStyle name="Calculation 22 46" xfId="5858" xr:uid="{00000000-0005-0000-0000-000014190000}"/>
    <cellStyle name="Calculation 22 46 2" xfId="5859" xr:uid="{00000000-0005-0000-0000-000015190000}"/>
    <cellStyle name="Calculation 22 47" xfId="5860" xr:uid="{00000000-0005-0000-0000-000016190000}"/>
    <cellStyle name="Calculation 22 47 2" xfId="5861" xr:uid="{00000000-0005-0000-0000-000017190000}"/>
    <cellStyle name="Calculation 22 48" xfId="5862" xr:uid="{00000000-0005-0000-0000-000018190000}"/>
    <cellStyle name="Calculation 22 48 2" xfId="5863" xr:uid="{00000000-0005-0000-0000-000019190000}"/>
    <cellStyle name="Calculation 22 49" xfId="5864" xr:uid="{00000000-0005-0000-0000-00001A190000}"/>
    <cellStyle name="Calculation 22 49 2" xfId="5865" xr:uid="{00000000-0005-0000-0000-00001B190000}"/>
    <cellStyle name="Calculation 22 5" xfId="5866" xr:uid="{00000000-0005-0000-0000-00001C190000}"/>
    <cellStyle name="Calculation 22 5 2" xfId="5867" xr:uid="{00000000-0005-0000-0000-00001D190000}"/>
    <cellStyle name="Calculation 22 50" xfId="5868" xr:uid="{00000000-0005-0000-0000-00001E190000}"/>
    <cellStyle name="Calculation 22 50 2" xfId="5869" xr:uid="{00000000-0005-0000-0000-00001F190000}"/>
    <cellStyle name="Calculation 22 51" xfId="5870" xr:uid="{00000000-0005-0000-0000-000020190000}"/>
    <cellStyle name="Calculation 22 51 2" xfId="5871" xr:uid="{00000000-0005-0000-0000-000021190000}"/>
    <cellStyle name="Calculation 22 52" xfId="5872" xr:uid="{00000000-0005-0000-0000-000022190000}"/>
    <cellStyle name="Calculation 22 52 2" xfId="5873" xr:uid="{00000000-0005-0000-0000-000023190000}"/>
    <cellStyle name="Calculation 22 53" xfId="5874" xr:uid="{00000000-0005-0000-0000-000024190000}"/>
    <cellStyle name="Calculation 22 53 2" xfId="5875" xr:uid="{00000000-0005-0000-0000-000025190000}"/>
    <cellStyle name="Calculation 22 54" xfId="5876" xr:uid="{00000000-0005-0000-0000-000026190000}"/>
    <cellStyle name="Calculation 22 54 2" xfId="5877" xr:uid="{00000000-0005-0000-0000-000027190000}"/>
    <cellStyle name="Calculation 22 55" xfId="5878" xr:uid="{00000000-0005-0000-0000-000028190000}"/>
    <cellStyle name="Calculation 22 55 2" xfId="5879" xr:uid="{00000000-0005-0000-0000-000029190000}"/>
    <cellStyle name="Calculation 22 56" xfId="5880" xr:uid="{00000000-0005-0000-0000-00002A190000}"/>
    <cellStyle name="Calculation 22 56 2" xfId="5881" xr:uid="{00000000-0005-0000-0000-00002B190000}"/>
    <cellStyle name="Calculation 22 57" xfId="5882" xr:uid="{00000000-0005-0000-0000-00002C190000}"/>
    <cellStyle name="Calculation 22 57 2" xfId="5883" xr:uid="{00000000-0005-0000-0000-00002D190000}"/>
    <cellStyle name="Calculation 22 58" xfId="5884" xr:uid="{00000000-0005-0000-0000-00002E190000}"/>
    <cellStyle name="Calculation 22 58 2" xfId="5885" xr:uid="{00000000-0005-0000-0000-00002F190000}"/>
    <cellStyle name="Calculation 22 59" xfId="5886" xr:uid="{00000000-0005-0000-0000-000030190000}"/>
    <cellStyle name="Calculation 22 59 2" xfId="5887" xr:uid="{00000000-0005-0000-0000-000031190000}"/>
    <cellStyle name="Calculation 22 6" xfId="5888" xr:uid="{00000000-0005-0000-0000-000032190000}"/>
    <cellStyle name="Calculation 22 6 2" xfId="5889" xr:uid="{00000000-0005-0000-0000-000033190000}"/>
    <cellStyle name="Calculation 22 60" xfId="5890" xr:uid="{00000000-0005-0000-0000-000034190000}"/>
    <cellStyle name="Calculation 22 60 2" xfId="5891" xr:uid="{00000000-0005-0000-0000-000035190000}"/>
    <cellStyle name="Calculation 22 61" xfId="5892" xr:uid="{00000000-0005-0000-0000-000036190000}"/>
    <cellStyle name="Calculation 22 61 2" xfId="5893" xr:uid="{00000000-0005-0000-0000-000037190000}"/>
    <cellStyle name="Calculation 22 62" xfId="5894" xr:uid="{00000000-0005-0000-0000-000038190000}"/>
    <cellStyle name="Calculation 22 62 2" xfId="5895" xr:uid="{00000000-0005-0000-0000-000039190000}"/>
    <cellStyle name="Calculation 22 63" xfId="5896" xr:uid="{00000000-0005-0000-0000-00003A190000}"/>
    <cellStyle name="Calculation 22 7" xfId="5897" xr:uid="{00000000-0005-0000-0000-00003B190000}"/>
    <cellStyle name="Calculation 22 7 2" xfId="5898" xr:uid="{00000000-0005-0000-0000-00003C190000}"/>
    <cellStyle name="Calculation 22 8" xfId="5899" xr:uid="{00000000-0005-0000-0000-00003D190000}"/>
    <cellStyle name="Calculation 22 8 2" xfId="5900" xr:uid="{00000000-0005-0000-0000-00003E190000}"/>
    <cellStyle name="Calculation 22 9" xfId="5901" xr:uid="{00000000-0005-0000-0000-00003F190000}"/>
    <cellStyle name="Calculation 22 9 2" xfId="5902" xr:uid="{00000000-0005-0000-0000-000040190000}"/>
    <cellStyle name="Calculation 23" xfId="5903" xr:uid="{00000000-0005-0000-0000-000041190000}"/>
    <cellStyle name="Calculation 23 10" xfId="5904" xr:uid="{00000000-0005-0000-0000-000042190000}"/>
    <cellStyle name="Calculation 23 10 2" xfId="5905" xr:uid="{00000000-0005-0000-0000-000043190000}"/>
    <cellStyle name="Calculation 23 11" xfId="5906" xr:uid="{00000000-0005-0000-0000-000044190000}"/>
    <cellStyle name="Calculation 23 11 2" xfId="5907" xr:uid="{00000000-0005-0000-0000-000045190000}"/>
    <cellStyle name="Calculation 23 12" xfId="5908" xr:uid="{00000000-0005-0000-0000-000046190000}"/>
    <cellStyle name="Calculation 23 12 2" xfId="5909" xr:uid="{00000000-0005-0000-0000-000047190000}"/>
    <cellStyle name="Calculation 23 13" xfId="5910" xr:uid="{00000000-0005-0000-0000-000048190000}"/>
    <cellStyle name="Calculation 23 13 2" xfId="5911" xr:uid="{00000000-0005-0000-0000-000049190000}"/>
    <cellStyle name="Calculation 23 14" xfId="5912" xr:uid="{00000000-0005-0000-0000-00004A190000}"/>
    <cellStyle name="Calculation 23 14 2" xfId="5913" xr:uid="{00000000-0005-0000-0000-00004B190000}"/>
    <cellStyle name="Calculation 23 15" xfId="5914" xr:uid="{00000000-0005-0000-0000-00004C190000}"/>
    <cellStyle name="Calculation 23 15 2" xfId="5915" xr:uid="{00000000-0005-0000-0000-00004D190000}"/>
    <cellStyle name="Calculation 23 16" xfId="5916" xr:uid="{00000000-0005-0000-0000-00004E190000}"/>
    <cellStyle name="Calculation 23 16 2" xfId="5917" xr:uid="{00000000-0005-0000-0000-00004F190000}"/>
    <cellStyle name="Calculation 23 17" xfId="5918" xr:uid="{00000000-0005-0000-0000-000050190000}"/>
    <cellStyle name="Calculation 23 17 2" xfId="5919" xr:uid="{00000000-0005-0000-0000-000051190000}"/>
    <cellStyle name="Calculation 23 18" xfId="5920" xr:uid="{00000000-0005-0000-0000-000052190000}"/>
    <cellStyle name="Calculation 23 18 2" xfId="5921" xr:uid="{00000000-0005-0000-0000-000053190000}"/>
    <cellStyle name="Calculation 23 19" xfId="5922" xr:uid="{00000000-0005-0000-0000-000054190000}"/>
    <cellStyle name="Calculation 23 19 2" xfId="5923" xr:uid="{00000000-0005-0000-0000-000055190000}"/>
    <cellStyle name="Calculation 23 2" xfId="5924" xr:uid="{00000000-0005-0000-0000-000056190000}"/>
    <cellStyle name="Calculation 23 2 2" xfId="5925" xr:uid="{00000000-0005-0000-0000-000057190000}"/>
    <cellStyle name="Calculation 23 20" xfId="5926" xr:uid="{00000000-0005-0000-0000-000058190000}"/>
    <cellStyle name="Calculation 23 20 2" xfId="5927" xr:uid="{00000000-0005-0000-0000-000059190000}"/>
    <cellStyle name="Calculation 23 21" xfId="5928" xr:uid="{00000000-0005-0000-0000-00005A190000}"/>
    <cellStyle name="Calculation 23 21 2" xfId="5929" xr:uid="{00000000-0005-0000-0000-00005B190000}"/>
    <cellStyle name="Calculation 23 22" xfId="5930" xr:uid="{00000000-0005-0000-0000-00005C190000}"/>
    <cellStyle name="Calculation 23 22 2" xfId="5931" xr:uid="{00000000-0005-0000-0000-00005D190000}"/>
    <cellStyle name="Calculation 23 23" xfId="5932" xr:uid="{00000000-0005-0000-0000-00005E190000}"/>
    <cellStyle name="Calculation 23 23 2" xfId="5933" xr:uid="{00000000-0005-0000-0000-00005F190000}"/>
    <cellStyle name="Calculation 23 24" xfId="5934" xr:uid="{00000000-0005-0000-0000-000060190000}"/>
    <cellStyle name="Calculation 23 24 2" xfId="5935" xr:uid="{00000000-0005-0000-0000-000061190000}"/>
    <cellStyle name="Calculation 23 25" xfId="5936" xr:uid="{00000000-0005-0000-0000-000062190000}"/>
    <cellStyle name="Calculation 23 25 2" xfId="5937" xr:uid="{00000000-0005-0000-0000-000063190000}"/>
    <cellStyle name="Calculation 23 26" xfId="5938" xr:uid="{00000000-0005-0000-0000-000064190000}"/>
    <cellStyle name="Calculation 23 26 2" xfId="5939" xr:uid="{00000000-0005-0000-0000-000065190000}"/>
    <cellStyle name="Calculation 23 27" xfId="5940" xr:uid="{00000000-0005-0000-0000-000066190000}"/>
    <cellStyle name="Calculation 23 27 2" xfId="5941" xr:uid="{00000000-0005-0000-0000-000067190000}"/>
    <cellStyle name="Calculation 23 28" xfId="5942" xr:uid="{00000000-0005-0000-0000-000068190000}"/>
    <cellStyle name="Calculation 23 28 2" xfId="5943" xr:uid="{00000000-0005-0000-0000-000069190000}"/>
    <cellStyle name="Calculation 23 29" xfId="5944" xr:uid="{00000000-0005-0000-0000-00006A190000}"/>
    <cellStyle name="Calculation 23 29 2" xfId="5945" xr:uid="{00000000-0005-0000-0000-00006B190000}"/>
    <cellStyle name="Calculation 23 3" xfId="5946" xr:uid="{00000000-0005-0000-0000-00006C190000}"/>
    <cellStyle name="Calculation 23 3 2" xfId="5947" xr:uid="{00000000-0005-0000-0000-00006D190000}"/>
    <cellStyle name="Calculation 23 30" xfId="5948" xr:uid="{00000000-0005-0000-0000-00006E190000}"/>
    <cellStyle name="Calculation 23 30 2" xfId="5949" xr:uid="{00000000-0005-0000-0000-00006F190000}"/>
    <cellStyle name="Calculation 23 31" xfId="5950" xr:uid="{00000000-0005-0000-0000-000070190000}"/>
    <cellStyle name="Calculation 23 31 2" xfId="5951" xr:uid="{00000000-0005-0000-0000-000071190000}"/>
    <cellStyle name="Calculation 23 32" xfId="5952" xr:uid="{00000000-0005-0000-0000-000072190000}"/>
    <cellStyle name="Calculation 23 32 2" xfId="5953" xr:uid="{00000000-0005-0000-0000-000073190000}"/>
    <cellStyle name="Calculation 23 33" xfId="5954" xr:uid="{00000000-0005-0000-0000-000074190000}"/>
    <cellStyle name="Calculation 23 33 2" xfId="5955" xr:uid="{00000000-0005-0000-0000-000075190000}"/>
    <cellStyle name="Calculation 23 34" xfId="5956" xr:uid="{00000000-0005-0000-0000-000076190000}"/>
    <cellStyle name="Calculation 23 34 2" xfId="5957" xr:uid="{00000000-0005-0000-0000-000077190000}"/>
    <cellStyle name="Calculation 23 35" xfId="5958" xr:uid="{00000000-0005-0000-0000-000078190000}"/>
    <cellStyle name="Calculation 23 35 2" xfId="5959" xr:uid="{00000000-0005-0000-0000-000079190000}"/>
    <cellStyle name="Calculation 23 36" xfId="5960" xr:uid="{00000000-0005-0000-0000-00007A190000}"/>
    <cellStyle name="Calculation 23 36 2" xfId="5961" xr:uid="{00000000-0005-0000-0000-00007B190000}"/>
    <cellStyle name="Calculation 23 37" xfId="5962" xr:uid="{00000000-0005-0000-0000-00007C190000}"/>
    <cellStyle name="Calculation 23 37 2" xfId="5963" xr:uid="{00000000-0005-0000-0000-00007D190000}"/>
    <cellStyle name="Calculation 23 38" xfId="5964" xr:uid="{00000000-0005-0000-0000-00007E190000}"/>
    <cellStyle name="Calculation 23 38 2" xfId="5965" xr:uid="{00000000-0005-0000-0000-00007F190000}"/>
    <cellStyle name="Calculation 23 39" xfId="5966" xr:uid="{00000000-0005-0000-0000-000080190000}"/>
    <cellStyle name="Calculation 23 39 2" xfId="5967" xr:uid="{00000000-0005-0000-0000-000081190000}"/>
    <cellStyle name="Calculation 23 4" xfId="5968" xr:uid="{00000000-0005-0000-0000-000082190000}"/>
    <cellStyle name="Calculation 23 4 2" xfId="5969" xr:uid="{00000000-0005-0000-0000-000083190000}"/>
    <cellStyle name="Calculation 23 40" xfId="5970" xr:uid="{00000000-0005-0000-0000-000084190000}"/>
    <cellStyle name="Calculation 23 40 2" xfId="5971" xr:uid="{00000000-0005-0000-0000-000085190000}"/>
    <cellStyle name="Calculation 23 41" xfId="5972" xr:uid="{00000000-0005-0000-0000-000086190000}"/>
    <cellStyle name="Calculation 23 41 2" xfId="5973" xr:uid="{00000000-0005-0000-0000-000087190000}"/>
    <cellStyle name="Calculation 23 42" xfId="5974" xr:uid="{00000000-0005-0000-0000-000088190000}"/>
    <cellStyle name="Calculation 23 42 2" xfId="5975" xr:uid="{00000000-0005-0000-0000-000089190000}"/>
    <cellStyle name="Calculation 23 43" xfId="5976" xr:uid="{00000000-0005-0000-0000-00008A190000}"/>
    <cellStyle name="Calculation 23 43 2" xfId="5977" xr:uid="{00000000-0005-0000-0000-00008B190000}"/>
    <cellStyle name="Calculation 23 44" xfId="5978" xr:uid="{00000000-0005-0000-0000-00008C190000}"/>
    <cellStyle name="Calculation 23 44 2" xfId="5979" xr:uid="{00000000-0005-0000-0000-00008D190000}"/>
    <cellStyle name="Calculation 23 45" xfId="5980" xr:uid="{00000000-0005-0000-0000-00008E190000}"/>
    <cellStyle name="Calculation 23 45 2" xfId="5981" xr:uid="{00000000-0005-0000-0000-00008F190000}"/>
    <cellStyle name="Calculation 23 46" xfId="5982" xr:uid="{00000000-0005-0000-0000-000090190000}"/>
    <cellStyle name="Calculation 23 46 2" xfId="5983" xr:uid="{00000000-0005-0000-0000-000091190000}"/>
    <cellStyle name="Calculation 23 47" xfId="5984" xr:uid="{00000000-0005-0000-0000-000092190000}"/>
    <cellStyle name="Calculation 23 47 2" xfId="5985" xr:uid="{00000000-0005-0000-0000-000093190000}"/>
    <cellStyle name="Calculation 23 48" xfId="5986" xr:uid="{00000000-0005-0000-0000-000094190000}"/>
    <cellStyle name="Calculation 23 48 2" xfId="5987" xr:uid="{00000000-0005-0000-0000-000095190000}"/>
    <cellStyle name="Calculation 23 49" xfId="5988" xr:uid="{00000000-0005-0000-0000-000096190000}"/>
    <cellStyle name="Calculation 23 49 2" xfId="5989" xr:uid="{00000000-0005-0000-0000-000097190000}"/>
    <cellStyle name="Calculation 23 5" xfId="5990" xr:uid="{00000000-0005-0000-0000-000098190000}"/>
    <cellStyle name="Calculation 23 5 2" xfId="5991" xr:uid="{00000000-0005-0000-0000-000099190000}"/>
    <cellStyle name="Calculation 23 50" xfId="5992" xr:uid="{00000000-0005-0000-0000-00009A190000}"/>
    <cellStyle name="Calculation 23 50 2" xfId="5993" xr:uid="{00000000-0005-0000-0000-00009B190000}"/>
    <cellStyle name="Calculation 23 51" xfId="5994" xr:uid="{00000000-0005-0000-0000-00009C190000}"/>
    <cellStyle name="Calculation 23 51 2" xfId="5995" xr:uid="{00000000-0005-0000-0000-00009D190000}"/>
    <cellStyle name="Calculation 23 52" xfId="5996" xr:uid="{00000000-0005-0000-0000-00009E190000}"/>
    <cellStyle name="Calculation 23 52 2" xfId="5997" xr:uid="{00000000-0005-0000-0000-00009F190000}"/>
    <cellStyle name="Calculation 23 53" xfId="5998" xr:uid="{00000000-0005-0000-0000-0000A0190000}"/>
    <cellStyle name="Calculation 23 53 2" xfId="5999" xr:uid="{00000000-0005-0000-0000-0000A1190000}"/>
    <cellStyle name="Calculation 23 54" xfId="6000" xr:uid="{00000000-0005-0000-0000-0000A2190000}"/>
    <cellStyle name="Calculation 23 54 2" xfId="6001" xr:uid="{00000000-0005-0000-0000-0000A3190000}"/>
    <cellStyle name="Calculation 23 55" xfId="6002" xr:uid="{00000000-0005-0000-0000-0000A4190000}"/>
    <cellStyle name="Calculation 23 55 2" xfId="6003" xr:uid="{00000000-0005-0000-0000-0000A5190000}"/>
    <cellStyle name="Calculation 23 56" xfId="6004" xr:uid="{00000000-0005-0000-0000-0000A6190000}"/>
    <cellStyle name="Calculation 23 56 2" xfId="6005" xr:uid="{00000000-0005-0000-0000-0000A7190000}"/>
    <cellStyle name="Calculation 23 57" xfId="6006" xr:uid="{00000000-0005-0000-0000-0000A8190000}"/>
    <cellStyle name="Calculation 23 57 2" xfId="6007" xr:uid="{00000000-0005-0000-0000-0000A9190000}"/>
    <cellStyle name="Calculation 23 58" xfId="6008" xr:uid="{00000000-0005-0000-0000-0000AA190000}"/>
    <cellStyle name="Calculation 23 58 2" xfId="6009" xr:uid="{00000000-0005-0000-0000-0000AB190000}"/>
    <cellStyle name="Calculation 23 59" xfId="6010" xr:uid="{00000000-0005-0000-0000-0000AC190000}"/>
    <cellStyle name="Calculation 23 59 2" xfId="6011" xr:uid="{00000000-0005-0000-0000-0000AD190000}"/>
    <cellStyle name="Calculation 23 6" xfId="6012" xr:uid="{00000000-0005-0000-0000-0000AE190000}"/>
    <cellStyle name="Calculation 23 6 2" xfId="6013" xr:uid="{00000000-0005-0000-0000-0000AF190000}"/>
    <cellStyle name="Calculation 23 60" xfId="6014" xr:uid="{00000000-0005-0000-0000-0000B0190000}"/>
    <cellStyle name="Calculation 23 60 2" xfId="6015" xr:uid="{00000000-0005-0000-0000-0000B1190000}"/>
    <cellStyle name="Calculation 23 61" xfId="6016" xr:uid="{00000000-0005-0000-0000-0000B2190000}"/>
    <cellStyle name="Calculation 23 61 2" xfId="6017" xr:uid="{00000000-0005-0000-0000-0000B3190000}"/>
    <cellStyle name="Calculation 23 62" xfId="6018" xr:uid="{00000000-0005-0000-0000-0000B4190000}"/>
    <cellStyle name="Calculation 23 62 2" xfId="6019" xr:uid="{00000000-0005-0000-0000-0000B5190000}"/>
    <cellStyle name="Calculation 23 63" xfId="6020" xr:uid="{00000000-0005-0000-0000-0000B6190000}"/>
    <cellStyle name="Calculation 23 7" xfId="6021" xr:uid="{00000000-0005-0000-0000-0000B7190000}"/>
    <cellStyle name="Calculation 23 7 2" xfId="6022" xr:uid="{00000000-0005-0000-0000-0000B8190000}"/>
    <cellStyle name="Calculation 23 8" xfId="6023" xr:uid="{00000000-0005-0000-0000-0000B9190000}"/>
    <cellStyle name="Calculation 23 8 2" xfId="6024" xr:uid="{00000000-0005-0000-0000-0000BA190000}"/>
    <cellStyle name="Calculation 23 9" xfId="6025" xr:uid="{00000000-0005-0000-0000-0000BB190000}"/>
    <cellStyle name="Calculation 23 9 2" xfId="6026" xr:uid="{00000000-0005-0000-0000-0000BC190000}"/>
    <cellStyle name="Calculation 24" xfId="6027" xr:uid="{00000000-0005-0000-0000-0000BD190000}"/>
    <cellStyle name="Calculation 24 10" xfId="6028" xr:uid="{00000000-0005-0000-0000-0000BE190000}"/>
    <cellStyle name="Calculation 24 10 2" xfId="6029" xr:uid="{00000000-0005-0000-0000-0000BF190000}"/>
    <cellStyle name="Calculation 24 11" xfId="6030" xr:uid="{00000000-0005-0000-0000-0000C0190000}"/>
    <cellStyle name="Calculation 24 11 2" xfId="6031" xr:uid="{00000000-0005-0000-0000-0000C1190000}"/>
    <cellStyle name="Calculation 24 12" xfId="6032" xr:uid="{00000000-0005-0000-0000-0000C2190000}"/>
    <cellStyle name="Calculation 24 12 2" xfId="6033" xr:uid="{00000000-0005-0000-0000-0000C3190000}"/>
    <cellStyle name="Calculation 24 13" xfId="6034" xr:uid="{00000000-0005-0000-0000-0000C4190000}"/>
    <cellStyle name="Calculation 24 13 2" xfId="6035" xr:uid="{00000000-0005-0000-0000-0000C5190000}"/>
    <cellStyle name="Calculation 24 14" xfId="6036" xr:uid="{00000000-0005-0000-0000-0000C6190000}"/>
    <cellStyle name="Calculation 24 14 2" xfId="6037" xr:uid="{00000000-0005-0000-0000-0000C7190000}"/>
    <cellStyle name="Calculation 24 15" xfId="6038" xr:uid="{00000000-0005-0000-0000-0000C8190000}"/>
    <cellStyle name="Calculation 24 15 2" xfId="6039" xr:uid="{00000000-0005-0000-0000-0000C9190000}"/>
    <cellStyle name="Calculation 24 16" xfId="6040" xr:uid="{00000000-0005-0000-0000-0000CA190000}"/>
    <cellStyle name="Calculation 24 16 2" xfId="6041" xr:uid="{00000000-0005-0000-0000-0000CB190000}"/>
    <cellStyle name="Calculation 24 17" xfId="6042" xr:uid="{00000000-0005-0000-0000-0000CC190000}"/>
    <cellStyle name="Calculation 24 17 2" xfId="6043" xr:uid="{00000000-0005-0000-0000-0000CD190000}"/>
    <cellStyle name="Calculation 24 18" xfId="6044" xr:uid="{00000000-0005-0000-0000-0000CE190000}"/>
    <cellStyle name="Calculation 24 18 2" xfId="6045" xr:uid="{00000000-0005-0000-0000-0000CF190000}"/>
    <cellStyle name="Calculation 24 19" xfId="6046" xr:uid="{00000000-0005-0000-0000-0000D0190000}"/>
    <cellStyle name="Calculation 24 19 2" xfId="6047" xr:uid="{00000000-0005-0000-0000-0000D1190000}"/>
    <cellStyle name="Calculation 24 2" xfId="6048" xr:uid="{00000000-0005-0000-0000-0000D2190000}"/>
    <cellStyle name="Calculation 24 2 2" xfId="6049" xr:uid="{00000000-0005-0000-0000-0000D3190000}"/>
    <cellStyle name="Calculation 24 20" xfId="6050" xr:uid="{00000000-0005-0000-0000-0000D4190000}"/>
    <cellStyle name="Calculation 24 20 2" xfId="6051" xr:uid="{00000000-0005-0000-0000-0000D5190000}"/>
    <cellStyle name="Calculation 24 21" xfId="6052" xr:uid="{00000000-0005-0000-0000-0000D6190000}"/>
    <cellStyle name="Calculation 24 21 2" xfId="6053" xr:uid="{00000000-0005-0000-0000-0000D7190000}"/>
    <cellStyle name="Calculation 24 22" xfId="6054" xr:uid="{00000000-0005-0000-0000-0000D8190000}"/>
    <cellStyle name="Calculation 24 22 2" xfId="6055" xr:uid="{00000000-0005-0000-0000-0000D9190000}"/>
    <cellStyle name="Calculation 24 23" xfId="6056" xr:uid="{00000000-0005-0000-0000-0000DA190000}"/>
    <cellStyle name="Calculation 24 23 2" xfId="6057" xr:uid="{00000000-0005-0000-0000-0000DB190000}"/>
    <cellStyle name="Calculation 24 24" xfId="6058" xr:uid="{00000000-0005-0000-0000-0000DC190000}"/>
    <cellStyle name="Calculation 24 24 2" xfId="6059" xr:uid="{00000000-0005-0000-0000-0000DD190000}"/>
    <cellStyle name="Calculation 24 25" xfId="6060" xr:uid="{00000000-0005-0000-0000-0000DE190000}"/>
    <cellStyle name="Calculation 24 25 2" xfId="6061" xr:uid="{00000000-0005-0000-0000-0000DF190000}"/>
    <cellStyle name="Calculation 24 26" xfId="6062" xr:uid="{00000000-0005-0000-0000-0000E0190000}"/>
    <cellStyle name="Calculation 24 26 2" xfId="6063" xr:uid="{00000000-0005-0000-0000-0000E1190000}"/>
    <cellStyle name="Calculation 24 27" xfId="6064" xr:uid="{00000000-0005-0000-0000-0000E2190000}"/>
    <cellStyle name="Calculation 24 27 2" xfId="6065" xr:uid="{00000000-0005-0000-0000-0000E3190000}"/>
    <cellStyle name="Calculation 24 28" xfId="6066" xr:uid="{00000000-0005-0000-0000-0000E4190000}"/>
    <cellStyle name="Calculation 24 28 2" xfId="6067" xr:uid="{00000000-0005-0000-0000-0000E5190000}"/>
    <cellStyle name="Calculation 24 29" xfId="6068" xr:uid="{00000000-0005-0000-0000-0000E6190000}"/>
    <cellStyle name="Calculation 24 29 2" xfId="6069" xr:uid="{00000000-0005-0000-0000-0000E7190000}"/>
    <cellStyle name="Calculation 24 3" xfId="6070" xr:uid="{00000000-0005-0000-0000-0000E8190000}"/>
    <cellStyle name="Calculation 24 3 2" xfId="6071" xr:uid="{00000000-0005-0000-0000-0000E9190000}"/>
    <cellStyle name="Calculation 24 30" xfId="6072" xr:uid="{00000000-0005-0000-0000-0000EA190000}"/>
    <cellStyle name="Calculation 24 30 2" xfId="6073" xr:uid="{00000000-0005-0000-0000-0000EB190000}"/>
    <cellStyle name="Calculation 24 31" xfId="6074" xr:uid="{00000000-0005-0000-0000-0000EC190000}"/>
    <cellStyle name="Calculation 24 31 2" xfId="6075" xr:uid="{00000000-0005-0000-0000-0000ED190000}"/>
    <cellStyle name="Calculation 24 32" xfId="6076" xr:uid="{00000000-0005-0000-0000-0000EE190000}"/>
    <cellStyle name="Calculation 24 32 2" xfId="6077" xr:uid="{00000000-0005-0000-0000-0000EF190000}"/>
    <cellStyle name="Calculation 24 33" xfId="6078" xr:uid="{00000000-0005-0000-0000-0000F0190000}"/>
    <cellStyle name="Calculation 24 33 2" xfId="6079" xr:uid="{00000000-0005-0000-0000-0000F1190000}"/>
    <cellStyle name="Calculation 24 34" xfId="6080" xr:uid="{00000000-0005-0000-0000-0000F2190000}"/>
    <cellStyle name="Calculation 24 34 2" xfId="6081" xr:uid="{00000000-0005-0000-0000-0000F3190000}"/>
    <cellStyle name="Calculation 24 35" xfId="6082" xr:uid="{00000000-0005-0000-0000-0000F4190000}"/>
    <cellStyle name="Calculation 24 35 2" xfId="6083" xr:uid="{00000000-0005-0000-0000-0000F5190000}"/>
    <cellStyle name="Calculation 24 36" xfId="6084" xr:uid="{00000000-0005-0000-0000-0000F6190000}"/>
    <cellStyle name="Calculation 24 36 2" xfId="6085" xr:uid="{00000000-0005-0000-0000-0000F7190000}"/>
    <cellStyle name="Calculation 24 37" xfId="6086" xr:uid="{00000000-0005-0000-0000-0000F8190000}"/>
    <cellStyle name="Calculation 24 37 2" xfId="6087" xr:uid="{00000000-0005-0000-0000-0000F9190000}"/>
    <cellStyle name="Calculation 24 38" xfId="6088" xr:uid="{00000000-0005-0000-0000-0000FA190000}"/>
    <cellStyle name="Calculation 24 38 2" xfId="6089" xr:uid="{00000000-0005-0000-0000-0000FB190000}"/>
    <cellStyle name="Calculation 24 39" xfId="6090" xr:uid="{00000000-0005-0000-0000-0000FC190000}"/>
    <cellStyle name="Calculation 24 39 2" xfId="6091" xr:uid="{00000000-0005-0000-0000-0000FD190000}"/>
    <cellStyle name="Calculation 24 4" xfId="6092" xr:uid="{00000000-0005-0000-0000-0000FE190000}"/>
    <cellStyle name="Calculation 24 4 2" xfId="6093" xr:uid="{00000000-0005-0000-0000-0000FF190000}"/>
    <cellStyle name="Calculation 24 40" xfId="6094" xr:uid="{00000000-0005-0000-0000-0000001A0000}"/>
    <cellStyle name="Calculation 24 40 2" xfId="6095" xr:uid="{00000000-0005-0000-0000-0000011A0000}"/>
    <cellStyle name="Calculation 24 41" xfId="6096" xr:uid="{00000000-0005-0000-0000-0000021A0000}"/>
    <cellStyle name="Calculation 24 41 2" xfId="6097" xr:uid="{00000000-0005-0000-0000-0000031A0000}"/>
    <cellStyle name="Calculation 24 42" xfId="6098" xr:uid="{00000000-0005-0000-0000-0000041A0000}"/>
    <cellStyle name="Calculation 24 42 2" xfId="6099" xr:uid="{00000000-0005-0000-0000-0000051A0000}"/>
    <cellStyle name="Calculation 24 43" xfId="6100" xr:uid="{00000000-0005-0000-0000-0000061A0000}"/>
    <cellStyle name="Calculation 24 43 2" xfId="6101" xr:uid="{00000000-0005-0000-0000-0000071A0000}"/>
    <cellStyle name="Calculation 24 44" xfId="6102" xr:uid="{00000000-0005-0000-0000-0000081A0000}"/>
    <cellStyle name="Calculation 24 44 2" xfId="6103" xr:uid="{00000000-0005-0000-0000-0000091A0000}"/>
    <cellStyle name="Calculation 24 45" xfId="6104" xr:uid="{00000000-0005-0000-0000-00000A1A0000}"/>
    <cellStyle name="Calculation 24 45 2" xfId="6105" xr:uid="{00000000-0005-0000-0000-00000B1A0000}"/>
    <cellStyle name="Calculation 24 46" xfId="6106" xr:uid="{00000000-0005-0000-0000-00000C1A0000}"/>
    <cellStyle name="Calculation 24 46 2" xfId="6107" xr:uid="{00000000-0005-0000-0000-00000D1A0000}"/>
    <cellStyle name="Calculation 24 47" xfId="6108" xr:uid="{00000000-0005-0000-0000-00000E1A0000}"/>
    <cellStyle name="Calculation 24 47 2" xfId="6109" xr:uid="{00000000-0005-0000-0000-00000F1A0000}"/>
    <cellStyle name="Calculation 24 48" xfId="6110" xr:uid="{00000000-0005-0000-0000-0000101A0000}"/>
    <cellStyle name="Calculation 24 48 2" xfId="6111" xr:uid="{00000000-0005-0000-0000-0000111A0000}"/>
    <cellStyle name="Calculation 24 49" xfId="6112" xr:uid="{00000000-0005-0000-0000-0000121A0000}"/>
    <cellStyle name="Calculation 24 49 2" xfId="6113" xr:uid="{00000000-0005-0000-0000-0000131A0000}"/>
    <cellStyle name="Calculation 24 5" xfId="6114" xr:uid="{00000000-0005-0000-0000-0000141A0000}"/>
    <cellStyle name="Calculation 24 5 2" xfId="6115" xr:uid="{00000000-0005-0000-0000-0000151A0000}"/>
    <cellStyle name="Calculation 24 50" xfId="6116" xr:uid="{00000000-0005-0000-0000-0000161A0000}"/>
    <cellStyle name="Calculation 24 50 2" xfId="6117" xr:uid="{00000000-0005-0000-0000-0000171A0000}"/>
    <cellStyle name="Calculation 24 51" xfId="6118" xr:uid="{00000000-0005-0000-0000-0000181A0000}"/>
    <cellStyle name="Calculation 24 51 2" xfId="6119" xr:uid="{00000000-0005-0000-0000-0000191A0000}"/>
    <cellStyle name="Calculation 24 52" xfId="6120" xr:uid="{00000000-0005-0000-0000-00001A1A0000}"/>
    <cellStyle name="Calculation 24 52 2" xfId="6121" xr:uid="{00000000-0005-0000-0000-00001B1A0000}"/>
    <cellStyle name="Calculation 24 53" xfId="6122" xr:uid="{00000000-0005-0000-0000-00001C1A0000}"/>
    <cellStyle name="Calculation 24 53 2" xfId="6123" xr:uid="{00000000-0005-0000-0000-00001D1A0000}"/>
    <cellStyle name="Calculation 24 54" xfId="6124" xr:uid="{00000000-0005-0000-0000-00001E1A0000}"/>
    <cellStyle name="Calculation 24 54 2" xfId="6125" xr:uid="{00000000-0005-0000-0000-00001F1A0000}"/>
    <cellStyle name="Calculation 24 55" xfId="6126" xr:uid="{00000000-0005-0000-0000-0000201A0000}"/>
    <cellStyle name="Calculation 24 55 2" xfId="6127" xr:uid="{00000000-0005-0000-0000-0000211A0000}"/>
    <cellStyle name="Calculation 24 56" xfId="6128" xr:uid="{00000000-0005-0000-0000-0000221A0000}"/>
    <cellStyle name="Calculation 24 56 2" xfId="6129" xr:uid="{00000000-0005-0000-0000-0000231A0000}"/>
    <cellStyle name="Calculation 24 57" xfId="6130" xr:uid="{00000000-0005-0000-0000-0000241A0000}"/>
    <cellStyle name="Calculation 24 57 2" xfId="6131" xr:uid="{00000000-0005-0000-0000-0000251A0000}"/>
    <cellStyle name="Calculation 24 58" xfId="6132" xr:uid="{00000000-0005-0000-0000-0000261A0000}"/>
    <cellStyle name="Calculation 24 58 2" xfId="6133" xr:uid="{00000000-0005-0000-0000-0000271A0000}"/>
    <cellStyle name="Calculation 24 59" xfId="6134" xr:uid="{00000000-0005-0000-0000-0000281A0000}"/>
    <cellStyle name="Calculation 24 59 2" xfId="6135" xr:uid="{00000000-0005-0000-0000-0000291A0000}"/>
    <cellStyle name="Calculation 24 6" xfId="6136" xr:uid="{00000000-0005-0000-0000-00002A1A0000}"/>
    <cellStyle name="Calculation 24 6 2" xfId="6137" xr:uid="{00000000-0005-0000-0000-00002B1A0000}"/>
    <cellStyle name="Calculation 24 60" xfId="6138" xr:uid="{00000000-0005-0000-0000-00002C1A0000}"/>
    <cellStyle name="Calculation 24 60 2" xfId="6139" xr:uid="{00000000-0005-0000-0000-00002D1A0000}"/>
    <cellStyle name="Calculation 24 61" xfId="6140" xr:uid="{00000000-0005-0000-0000-00002E1A0000}"/>
    <cellStyle name="Calculation 24 61 2" xfId="6141" xr:uid="{00000000-0005-0000-0000-00002F1A0000}"/>
    <cellStyle name="Calculation 24 62" xfId="6142" xr:uid="{00000000-0005-0000-0000-0000301A0000}"/>
    <cellStyle name="Calculation 24 62 2" xfId="6143" xr:uid="{00000000-0005-0000-0000-0000311A0000}"/>
    <cellStyle name="Calculation 24 63" xfId="6144" xr:uid="{00000000-0005-0000-0000-0000321A0000}"/>
    <cellStyle name="Calculation 24 7" xfId="6145" xr:uid="{00000000-0005-0000-0000-0000331A0000}"/>
    <cellStyle name="Calculation 24 7 2" xfId="6146" xr:uid="{00000000-0005-0000-0000-0000341A0000}"/>
    <cellStyle name="Calculation 24 8" xfId="6147" xr:uid="{00000000-0005-0000-0000-0000351A0000}"/>
    <cellStyle name="Calculation 24 8 2" xfId="6148" xr:uid="{00000000-0005-0000-0000-0000361A0000}"/>
    <cellStyle name="Calculation 24 9" xfId="6149" xr:uid="{00000000-0005-0000-0000-0000371A0000}"/>
    <cellStyle name="Calculation 24 9 2" xfId="6150" xr:uid="{00000000-0005-0000-0000-0000381A0000}"/>
    <cellStyle name="Calculation 3" xfId="6151" xr:uid="{00000000-0005-0000-0000-0000391A0000}"/>
    <cellStyle name="Calculation 3 10" xfId="6152" xr:uid="{00000000-0005-0000-0000-00003A1A0000}"/>
    <cellStyle name="Calculation 3 10 2" xfId="6153" xr:uid="{00000000-0005-0000-0000-00003B1A0000}"/>
    <cellStyle name="Calculation 3 11" xfId="6154" xr:uid="{00000000-0005-0000-0000-00003C1A0000}"/>
    <cellStyle name="Calculation 3 11 2" xfId="6155" xr:uid="{00000000-0005-0000-0000-00003D1A0000}"/>
    <cellStyle name="Calculation 3 12" xfId="6156" xr:uid="{00000000-0005-0000-0000-00003E1A0000}"/>
    <cellStyle name="Calculation 3 12 2" xfId="6157" xr:uid="{00000000-0005-0000-0000-00003F1A0000}"/>
    <cellStyle name="Calculation 3 13" xfId="6158" xr:uid="{00000000-0005-0000-0000-0000401A0000}"/>
    <cellStyle name="Calculation 3 13 2" xfId="6159" xr:uid="{00000000-0005-0000-0000-0000411A0000}"/>
    <cellStyle name="Calculation 3 14" xfId="6160" xr:uid="{00000000-0005-0000-0000-0000421A0000}"/>
    <cellStyle name="Calculation 3 14 2" xfId="6161" xr:uid="{00000000-0005-0000-0000-0000431A0000}"/>
    <cellStyle name="Calculation 3 15" xfId="6162" xr:uid="{00000000-0005-0000-0000-0000441A0000}"/>
    <cellStyle name="Calculation 3 15 2" xfId="6163" xr:uid="{00000000-0005-0000-0000-0000451A0000}"/>
    <cellStyle name="Calculation 3 16" xfId="6164" xr:uid="{00000000-0005-0000-0000-0000461A0000}"/>
    <cellStyle name="Calculation 3 16 2" xfId="6165" xr:uid="{00000000-0005-0000-0000-0000471A0000}"/>
    <cellStyle name="Calculation 3 17" xfId="6166" xr:uid="{00000000-0005-0000-0000-0000481A0000}"/>
    <cellStyle name="Calculation 3 17 2" xfId="6167" xr:uid="{00000000-0005-0000-0000-0000491A0000}"/>
    <cellStyle name="Calculation 3 18" xfId="6168" xr:uid="{00000000-0005-0000-0000-00004A1A0000}"/>
    <cellStyle name="Calculation 3 18 2" xfId="6169" xr:uid="{00000000-0005-0000-0000-00004B1A0000}"/>
    <cellStyle name="Calculation 3 19" xfId="6170" xr:uid="{00000000-0005-0000-0000-00004C1A0000}"/>
    <cellStyle name="Calculation 3 19 2" xfId="6171" xr:uid="{00000000-0005-0000-0000-00004D1A0000}"/>
    <cellStyle name="Calculation 3 2" xfId="6172" xr:uid="{00000000-0005-0000-0000-00004E1A0000}"/>
    <cellStyle name="Calculation 3 2 2" xfId="6173" xr:uid="{00000000-0005-0000-0000-00004F1A0000}"/>
    <cellStyle name="Calculation 3 20" xfId="6174" xr:uid="{00000000-0005-0000-0000-0000501A0000}"/>
    <cellStyle name="Calculation 3 20 2" xfId="6175" xr:uid="{00000000-0005-0000-0000-0000511A0000}"/>
    <cellStyle name="Calculation 3 21" xfId="6176" xr:uid="{00000000-0005-0000-0000-0000521A0000}"/>
    <cellStyle name="Calculation 3 21 2" xfId="6177" xr:uid="{00000000-0005-0000-0000-0000531A0000}"/>
    <cellStyle name="Calculation 3 22" xfId="6178" xr:uid="{00000000-0005-0000-0000-0000541A0000}"/>
    <cellStyle name="Calculation 3 22 2" xfId="6179" xr:uid="{00000000-0005-0000-0000-0000551A0000}"/>
    <cellStyle name="Calculation 3 23" xfId="6180" xr:uid="{00000000-0005-0000-0000-0000561A0000}"/>
    <cellStyle name="Calculation 3 23 2" xfId="6181" xr:uid="{00000000-0005-0000-0000-0000571A0000}"/>
    <cellStyle name="Calculation 3 24" xfId="6182" xr:uid="{00000000-0005-0000-0000-0000581A0000}"/>
    <cellStyle name="Calculation 3 24 2" xfId="6183" xr:uid="{00000000-0005-0000-0000-0000591A0000}"/>
    <cellStyle name="Calculation 3 25" xfId="6184" xr:uid="{00000000-0005-0000-0000-00005A1A0000}"/>
    <cellStyle name="Calculation 3 25 2" xfId="6185" xr:uid="{00000000-0005-0000-0000-00005B1A0000}"/>
    <cellStyle name="Calculation 3 26" xfId="6186" xr:uid="{00000000-0005-0000-0000-00005C1A0000}"/>
    <cellStyle name="Calculation 3 26 2" xfId="6187" xr:uid="{00000000-0005-0000-0000-00005D1A0000}"/>
    <cellStyle name="Calculation 3 27" xfId="6188" xr:uid="{00000000-0005-0000-0000-00005E1A0000}"/>
    <cellStyle name="Calculation 3 27 2" xfId="6189" xr:uid="{00000000-0005-0000-0000-00005F1A0000}"/>
    <cellStyle name="Calculation 3 28" xfId="6190" xr:uid="{00000000-0005-0000-0000-0000601A0000}"/>
    <cellStyle name="Calculation 3 28 2" xfId="6191" xr:uid="{00000000-0005-0000-0000-0000611A0000}"/>
    <cellStyle name="Calculation 3 29" xfId="6192" xr:uid="{00000000-0005-0000-0000-0000621A0000}"/>
    <cellStyle name="Calculation 3 29 2" xfId="6193" xr:uid="{00000000-0005-0000-0000-0000631A0000}"/>
    <cellStyle name="Calculation 3 3" xfId="6194" xr:uid="{00000000-0005-0000-0000-0000641A0000}"/>
    <cellStyle name="Calculation 3 3 2" xfId="6195" xr:uid="{00000000-0005-0000-0000-0000651A0000}"/>
    <cellStyle name="Calculation 3 30" xfId="6196" xr:uid="{00000000-0005-0000-0000-0000661A0000}"/>
    <cellStyle name="Calculation 3 30 2" xfId="6197" xr:uid="{00000000-0005-0000-0000-0000671A0000}"/>
    <cellStyle name="Calculation 3 31" xfId="6198" xr:uid="{00000000-0005-0000-0000-0000681A0000}"/>
    <cellStyle name="Calculation 3 31 2" xfId="6199" xr:uid="{00000000-0005-0000-0000-0000691A0000}"/>
    <cellStyle name="Calculation 3 32" xfId="6200" xr:uid="{00000000-0005-0000-0000-00006A1A0000}"/>
    <cellStyle name="Calculation 3 32 2" xfId="6201" xr:uid="{00000000-0005-0000-0000-00006B1A0000}"/>
    <cellStyle name="Calculation 3 33" xfId="6202" xr:uid="{00000000-0005-0000-0000-00006C1A0000}"/>
    <cellStyle name="Calculation 3 33 2" xfId="6203" xr:uid="{00000000-0005-0000-0000-00006D1A0000}"/>
    <cellStyle name="Calculation 3 34" xfId="6204" xr:uid="{00000000-0005-0000-0000-00006E1A0000}"/>
    <cellStyle name="Calculation 3 34 2" xfId="6205" xr:uid="{00000000-0005-0000-0000-00006F1A0000}"/>
    <cellStyle name="Calculation 3 35" xfId="6206" xr:uid="{00000000-0005-0000-0000-0000701A0000}"/>
    <cellStyle name="Calculation 3 35 2" xfId="6207" xr:uid="{00000000-0005-0000-0000-0000711A0000}"/>
    <cellStyle name="Calculation 3 36" xfId="6208" xr:uid="{00000000-0005-0000-0000-0000721A0000}"/>
    <cellStyle name="Calculation 3 36 2" xfId="6209" xr:uid="{00000000-0005-0000-0000-0000731A0000}"/>
    <cellStyle name="Calculation 3 37" xfId="6210" xr:uid="{00000000-0005-0000-0000-0000741A0000}"/>
    <cellStyle name="Calculation 3 37 2" xfId="6211" xr:uid="{00000000-0005-0000-0000-0000751A0000}"/>
    <cellStyle name="Calculation 3 38" xfId="6212" xr:uid="{00000000-0005-0000-0000-0000761A0000}"/>
    <cellStyle name="Calculation 3 38 2" xfId="6213" xr:uid="{00000000-0005-0000-0000-0000771A0000}"/>
    <cellStyle name="Calculation 3 39" xfId="6214" xr:uid="{00000000-0005-0000-0000-0000781A0000}"/>
    <cellStyle name="Calculation 3 39 2" xfId="6215" xr:uid="{00000000-0005-0000-0000-0000791A0000}"/>
    <cellStyle name="Calculation 3 4" xfId="6216" xr:uid="{00000000-0005-0000-0000-00007A1A0000}"/>
    <cellStyle name="Calculation 3 4 2" xfId="6217" xr:uid="{00000000-0005-0000-0000-00007B1A0000}"/>
    <cellStyle name="Calculation 3 40" xfId="6218" xr:uid="{00000000-0005-0000-0000-00007C1A0000}"/>
    <cellStyle name="Calculation 3 40 2" xfId="6219" xr:uid="{00000000-0005-0000-0000-00007D1A0000}"/>
    <cellStyle name="Calculation 3 41" xfId="6220" xr:uid="{00000000-0005-0000-0000-00007E1A0000}"/>
    <cellStyle name="Calculation 3 41 2" xfId="6221" xr:uid="{00000000-0005-0000-0000-00007F1A0000}"/>
    <cellStyle name="Calculation 3 42" xfId="6222" xr:uid="{00000000-0005-0000-0000-0000801A0000}"/>
    <cellStyle name="Calculation 3 42 2" xfId="6223" xr:uid="{00000000-0005-0000-0000-0000811A0000}"/>
    <cellStyle name="Calculation 3 43" xfId="6224" xr:uid="{00000000-0005-0000-0000-0000821A0000}"/>
    <cellStyle name="Calculation 3 43 2" xfId="6225" xr:uid="{00000000-0005-0000-0000-0000831A0000}"/>
    <cellStyle name="Calculation 3 44" xfId="6226" xr:uid="{00000000-0005-0000-0000-0000841A0000}"/>
    <cellStyle name="Calculation 3 44 2" xfId="6227" xr:uid="{00000000-0005-0000-0000-0000851A0000}"/>
    <cellStyle name="Calculation 3 45" xfId="6228" xr:uid="{00000000-0005-0000-0000-0000861A0000}"/>
    <cellStyle name="Calculation 3 45 2" xfId="6229" xr:uid="{00000000-0005-0000-0000-0000871A0000}"/>
    <cellStyle name="Calculation 3 46" xfId="6230" xr:uid="{00000000-0005-0000-0000-0000881A0000}"/>
    <cellStyle name="Calculation 3 46 2" xfId="6231" xr:uid="{00000000-0005-0000-0000-0000891A0000}"/>
    <cellStyle name="Calculation 3 47" xfId="6232" xr:uid="{00000000-0005-0000-0000-00008A1A0000}"/>
    <cellStyle name="Calculation 3 47 2" xfId="6233" xr:uid="{00000000-0005-0000-0000-00008B1A0000}"/>
    <cellStyle name="Calculation 3 48" xfId="6234" xr:uid="{00000000-0005-0000-0000-00008C1A0000}"/>
    <cellStyle name="Calculation 3 48 2" xfId="6235" xr:uid="{00000000-0005-0000-0000-00008D1A0000}"/>
    <cellStyle name="Calculation 3 49" xfId="6236" xr:uid="{00000000-0005-0000-0000-00008E1A0000}"/>
    <cellStyle name="Calculation 3 49 2" xfId="6237" xr:uid="{00000000-0005-0000-0000-00008F1A0000}"/>
    <cellStyle name="Calculation 3 5" xfId="6238" xr:uid="{00000000-0005-0000-0000-0000901A0000}"/>
    <cellStyle name="Calculation 3 5 2" xfId="6239" xr:uid="{00000000-0005-0000-0000-0000911A0000}"/>
    <cellStyle name="Calculation 3 50" xfId="6240" xr:uid="{00000000-0005-0000-0000-0000921A0000}"/>
    <cellStyle name="Calculation 3 50 2" xfId="6241" xr:uid="{00000000-0005-0000-0000-0000931A0000}"/>
    <cellStyle name="Calculation 3 51" xfId="6242" xr:uid="{00000000-0005-0000-0000-0000941A0000}"/>
    <cellStyle name="Calculation 3 51 2" xfId="6243" xr:uid="{00000000-0005-0000-0000-0000951A0000}"/>
    <cellStyle name="Calculation 3 52" xfId="6244" xr:uid="{00000000-0005-0000-0000-0000961A0000}"/>
    <cellStyle name="Calculation 3 52 2" xfId="6245" xr:uid="{00000000-0005-0000-0000-0000971A0000}"/>
    <cellStyle name="Calculation 3 53" xfId="6246" xr:uid="{00000000-0005-0000-0000-0000981A0000}"/>
    <cellStyle name="Calculation 3 53 2" xfId="6247" xr:uid="{00000000-0005-0000-0000-0000991A0000}"/>
    <cellStyle name="Calculation 3 54" xfId="6248" xr:uid="{00000000-0005-0000-0000-00009A1A0000}"/>
    <cellStyle name="Calculation 3 54 2" xfId="6249" xr:uid="{00000000-0005-0000-0000-00009B1A0000}"/>
    <cellStyle name="Calculation 3 55" xfId="6250" xr:uid="{00000000-0005-0000-0000-00009C1A0000}"/>
    <cellStyle name="Calculation 3 55 2" xfId="6251" xr:uid="{00000000-0005-0000-0000-00009D1A0000}"/>
    <cellStyle name="Calculation 3 56" xfId="6252" xr:uid="{00000000-0005-0000-0000-00009E1A0000}"/>
    <cellStyle name="Calculation 3 56 2" xfId="6253" xr:uid="{00000000-0005-0000-0000-00009F1A0000}"/>
    <cellStyle name="Calculation 3 57" xfId="6254" xr:uid="{00000000-0005-0000-0000-0000A01A0000}"/>
    <cellStyle name="Calculation 3 57 2" xfId="6255" xr:uid="{00000000-0005-0000-0000-0000A11A0000}"/>
    <cellStyle name="Calculation 3 58" xfId="6256" xr:uid="{00000000-0005-0000-0000-0000A21A0000}"/>
    <cellStyle name="Calculation 3 58 2" xfId="6257" xr:uid="{00000000-0005-0000-0000-0000A31A0000}"/>
    <cellStyle name="Calculation 3 59" xfId="6258" xr:uid="{00000000-0005-0000-0000-0000A41A0000}"/>
    <cellStyle name="Calculation 3 59 2" xfId="6259" xr:uid="{00000000-0005-0000-0000-0000A51A0000}"/>
    <cellStyle name="Calculation 3 6" xfId="6260" xr:uid="{00000000-0005-0000-0000-0000A61A0000}"/>
    <cellStyle name="Calculation 3 6 2" xfId="6261" xr:uid="{00000000-0005-0000-0000-0000A71A0000}"/>
    <cellStyle name="Calculation 3 60" xfId="6262" xr:uid="{00000000-0005-0000-0000-0000A81A0000}"/>
    <cellStyle name="Calculation 3 60 2" xfId="6263" xr:uid="{00000000-0005-0000-0000-0000A91A0000}"/>
    <cellStyle name="Calculation 3 61" xfId="6264" xr:uid="{00000000-0005-0000-0000-0000AA1A0000}"/>
    <cellStyle name="Calculation 3 61 2" xfId="6265" xr:uid="{00000000-0005-0000-0000-0000AB1A0000}"/>
    <cellStyle name="Calculation 3 62" xfId="6266" xr:uid="{00000000-0005-0000-0000-0000AC1A0000}"/>
    <cellStyle name="Calculation 3 62 2" xfId="6267" xr:uid="{00000000-0005-0000-0000-0000AD1A0000}"/>
    <cellStyle name="Calculation 3 63" xfId="6268" xr:uid="{00000000-0005-0000-0000-0000AE1A0000}"/>
    <cellStyle name="Calculation 3 7" xfId="6269" xr:uid="{00000000-0005-0000-0000-0000AF1A0000}"/>
    <cellStyle name="Calculation 3 7 2" xfId="6270" xr:uid="{00000000-0005-0000-0000-0000B01A0000}"/>
    <cellStyle name="Calculation 3 8" xfId="6271" xr:uid="{00000000-0005-0000-0000-0000B11A0000}"/>
    <cellStyle name="Calculation 3 8 2" xfId="6272" xr:uid="{00000000-0005-0000-0000-0000B21A0000}"/>
    <cellStyle name="Calculation 3 9" xfId="6273" xr:uid="{00000000-0005-0000-0000-0000B31A0000}"/>
    <cellStyle name="Calculation 3 9 2" xfId="6274" xr:uid="{00000000-0005-0000-0000-0000B41A0000}"/>
    <cellStyle name="Calculation 4" xfId="6275" xr:uid="{00000000-0005-0000-0000-0000B51A0000}"/>
    <cellStyle name="Calculation 4 10" xfId="6276" xr:uid="{00000000-0005-0000-0000-0000B61A0000}"/>
    <cellStyle name="Calculation 4 10 2" xfId="6277" xr:uid="{00000000-0005-0000-0000-0000B71A0000}"/>
    <cellStyle name="Calculation 4 11" xfId="6278" xr:uid="{00000000-0005-0000-0000-0000B81A0000}"/>
    <cellStyle name="Calculation 4 11 2" xfId="6279" xr:uid="{00000000-0005-0000-0000-0000B91A0000}"/>
    <cellStyle name="Calculation 4 12" xfId="6280" xr:uid="{00000000-0005-0000-0000-0000BA1A0000}"/>
    <cellStyle name="Calculation 4 12 2" xfId="6281" xr:uid="{00000000-0005-0000-0000-0000BB1A0000}"/>
    <cellStyle name="Calculation 4 13" xfId="6282" xr:uid="{00000000-0005-0000-0000-0000BC1A0000}"/>
    <cellStyle name="Calculation 4 13 2" xfId="6283" xr:uid="{00000000-0005-0000-0000-0000BD1A0000}"/>
    <cellStyle name="Calculation 4 14" xfId="6284" xr:uid="{00000000-0005-0000-0000-0000BE1A0000}"/>
    <cellStyle name="Calculation 4 14 2" xfId="6285" xr:uid="{00000000-0005-0000-0000-0000BF1A0000}"/>
    <cellStyle name="Calculation 4 15" xfId="6286" xr:uid="{00000000-0005-0000-0000-0000C01A0000}"/>
    <cellStyle name="Calculation 4 15 2" xfId="6287" xr:uid="{00000000-0005-0000-0000-0000C11A0000}"/>
    <cellStyle name="Calculation 4 16" xfId="6288" xr:uid="{00000000-0005-0000-0000-0000C21A0000}"/>
    <cellStyle name="Calculation 4 16 2" xfId="6289" xr:uid="{00000000-0005-0000-0000-0000C31A0000}"/>
    <cellStyle name="Calculation 4 17" xfId="6290" xr:uid="{00000000-0005-0000-0000-0000C41A0000}"/>
    <cellStyle name="Calculation 4 17 2" xfId="6291" xr:uid="{00000000-0005-0000-0000-0000C51A0000}"/>
    <cellStyle name="Calculation 4 18" xfId="6292" xr:uid="{00000000-0005-0000-0000-0000C61A0000}"/>
    <cellStyle name="Calculation 4 18 2" xfId="6293" xr:uid="{00000000-0005-0000-0000-0000C71A0000}"/>
    <cellStyle name="Calculation 4 19" xfId="6294" xr:uid="{00000000-0005-0000-0000-0000C81A0000}"/>
    <cellStyle name="Calculation 4 19 2" xfId="6295" xr:uid="{00000000-0005-0000-0000-0000C91A0000}"/>
    <cellStyle name="Calculation 4 2" xfId="6296" xr:uid="{00000000-0005-0000-0000-0000CA1A0000}"/>
    <cellStyle name="Calculation 4 2 2" xfId="6297" xr:uid="{00000000-0005-0000-0000-0000CB1A0000}"/>
    <cellStyle name="Calculation 4 20" xfId="6298" xr:uid="{00000000-0005-0000-0000-0000CC1A0000}"/>
    <cellStyle name="Calculation 4 20 2" xfId="6299" xr:uid="{00000000-0005-0000-0000-0000CD1A0000}"/>
    <cellStyle name="Calculation 4 21" xfId="6300" xr:uid="{00000000-0005-0000-0000-0000CE1A0000}"/>
    <cellStyle name="Calculation 4 21 2" xfId="6301" xr:uid="{00000000-0005-0000-0000-0000CF1A0000}"/>
    <cellStyle name="Calculation 4 22" xfId="6302" xr:uid="{00000000-0005-0000-0000-0000D01A0000}"/>
    <cellStyle name="Calculation 4 22 2" xfId="6303" xr:uid="{00000000-0005-0000-0000-0000D11A0000}"/>
    <cellStyle name="Calculation 4 23" xfId="6304" xr:uid="{00000000-0005-0000-0000-0000D21A0000}"/>
    <cellStyle name="Calculation 4 23 2" xfId="6305" xr:uid="{00000000-0005-0000-0000-0000D31A0000}"/>
    <cellStyle name="Calculation 4 24" xfId="6306" xr:uid="{00000000-0005-0000-0000-0000D41A0000}"/>
    <cellStyle name="Calculation 4 24 2" xfId="6307" xr:uid="{00000000-0005-0000-0000-0000D51A0000}"/>
    <cellStyle name="Calculation 4 25" xfId="6308" xr:uid="{00000000-0005-0000-0000-0000D61A0000}"/>
    <cellStyle name="Calculation 4 25 2" xfId="6309" xr:uid="{00000000-0005-0000-0000-0000D71A0000}"/>
    <cellStyle name="Calculation 4 26" xfId="6310" xr:uid="{00000000-0005-0000-0000-0000D81A0000}"/>
    <cellStyle name="Calculation 4 26 2" xfId="6311" xr:uid="{00000000-0005-0000-0000-0000D91A0000}"/>
    <cellStyle name="Calculation 4 27" xfId="6312" xr:uid="{00000000-0005-0000-0000-0000DA1A0000}"/>
    <cellStyle name="Calculation 4 27 2" xfId="6313" xr:uid="{00000000-0005-0000-0000-0000DB1A0000}"/>
    <cellStyle name="Calculation 4 28" xfId="6314" xr:uid="{00000000-0005-0000-0000-0000DC1A0000}"/>
    <cellStyle name="Calculation 4 28 2" xfId="6315" xr:uid="{00000000-0005-0000-0000-0000DD1A0000}"/>
    <cellStyle name="Calculation 4 29" xfId="6316" xr:uid="{00000000-0005-0000-0000-0000DE1A0000}"/>
    <cellStyle name="Calculation 4 29 2" xfId="6317" xr:uid="{00000000-0005-0000-0000-0000DF1A0000}"/>
    <cellStyle name="Calculation 4 3" xfId="6318" xr:uid="{00000000-0005-0000-0000-0000E01A0000}"/>
    <cellStyle name="Calculation 4 3 2" xfId="6319" xr:uid="{00000000-0005-0000-0000-0000E11A0000}"/>
    <cellStyle name="Calculation 4 30" xfId="6320" xr:uid="{00000000-0005-0000-0000-0000E21A0000}"/>
    <cellStyle name="Calculation 4 30 2" xfId="6321" xr:uid="{00000000-0005-0000-0000-0000E31A0000}"/>
    <cellStyle name="Calculation 4 31" xfId="6322" xr:uid="{00000000-0005-0000-0000-0000E41A0000}"/>
    <cellStyle name="Calculation 4 31 2" xfId="6323" xr:uid="{00000000-0005-0000-0000-0000E51A0000}"/>
    <cellStyle name="Calculation 4 32" xfId="6324" xr:uid="{00000000-0005-0000-0000-0000E61A0000}"/>
    <cellStyle name="Calculation 4 32 2" xfId="6325" xr:uid="{00000000-0005-0000-0000-0000E71A0000}"/>
    <cellStyle name="Calculation 4 33" xfId="6326" xr:uid="{00000000-0005-0000-0000-0000E81A0000}"/>
    <cellStyle name="Calculation 4 33 2" xfId="6327" xr:uid="{00000000-0005-0000-0000-0000E91A0000}"/>
    <cellStyle name="Calculation 4 34" xfId="6328" xr:uid="{00000000-0005-0000-0000-0000EA1A0000}"/>
    <cellStyle name="Calculation 4 34 2" xfId="6329" xr:uid="{00000000-0005-0000-0000-0000EB1A0000}"/>
    <cellStyle name="Calculation 4 35" xfId="6330" xr:uid="{00000000-0005-0000-0000-0000EC1A0000}"/>
    <cellStyle name="Calculation 4 35 2" xfId="6331" xr:uid="{00000000-0005-0000-0000-0000ED1A0000}"/>
    <cellStyle name="Calculation 4 36" xfId="6332" xr:uid="{00000000-0005-0000-0000-0000EE1A0000}"/>
    <cellStyle name="Calculation 4 36 2" xfId="6333" xr:uid="{00000000-0005-0000-0000-0000EF1A0000}"/>
    <cellStyle name="Calculation 4 37" xfId="6334" xr:uid="{00000000-0005-0000-0000-0000F01A0000}"/>
    <cellStyle name="Calculation 4 37 2" xfId="6335" xr:uid="{00000000-0005-0000-0000-0000F11A0000}"/>
    <cellStyle name="Calculation 4 38" xfId="6336" xr:uid="{00000000-0005-0000-0000-0000F21A0000}"/>
    <cellStyle name="Calculation 4 38 2" xfId="6337" xr:uid="{00000000-0005-0000-0000-0000F31A0000}"/>
    <cellStyle name="Calculation 4 39" xfId="6338" xr:uid="{00000000-0005-0000-0000-0000F41A0000}"/>
    <cellStyle name="Calculation 4 39 2" xfId="6339" xr:uid="{00000000-0005-0000-0000-0000F51A0000}"/>
    <cellStyle name="Calculation 4 4" xfId="6340" xr:uid="{00000000-0005-0000-0000-0000F61A0000}"/>
    <cellStyle name="Calculation 4 4 2" xfId="6341" xr:uid="{00000000-0005-0000-0000-0000F71A0000}"/>
    <cellStyle name="Calculation 4 40" xfId="6342" xr:uid="{00000000-0005-0000-0000-0000F81A0000}"/>
    <cellStyle name="Calculation 4 40 2" xfId="6343" xr:uid="{00000000-0005-0000-0000-0000F91A0000}"/>
    <cellStyle name="Calculation 4 41" xfId="6344" xr:uid="{00000000-0005-0000-0000-0000FA1A0000}"/>
    <cellStyle name="Calculation 4 41 2" xfId="6345" xr:uid="{00000000-0005-0000-0000-0000FB1A0000}"/>
    <cellStyle name="Calculation 4 42" xfId="6346" xr:uid="{00000000-0005-0000-0000-0000FC1A0000}"/>
    <cellStyle name="Calculation 4 42 2" xfId="6347" xr:uid="{00000000-0005-0000-0000-0000FD1A0000}"/>
    <cellStyle name="Calculation 4 43" xfId="6348" xr:uid="{00000000-0005-0000-0000-0000FE1A0000}"/>
    <cellStyle name="Calculation 4 43 2" xfId="6349" xr:uid="{00000000-0005-0000-0000-0000FF1A0000}"/>
    <cellStyle name="Calculation 4 44" xfId="6350" xr:uid="{00000000-0005-0000-0000-0000001B0000}"/>
    <cellStyle name="Calculation 4 44 2" xfId="6351" xr:uid="{00000000-0005-0000-0000-0000011B0000}"/>
    <cellStyle name="Calculation 4 45" xfId="6352" xr:uid="{00000000-0005-0000-0000-0000021B0000}"/>
    <cellStyle name="Calculation 4 45 2" xfId="6353" xr:uid="{00000000-0005-0000-0000-0000031B0000}"/>
    <cellStyle name="Calculation 4 46" xfId="6354" xr:uid="{00000000-0005-0000-0000-0000041B0000}"/>
    <cellStyle name="Calculation 4 46 2" xfId="6355" xr:uid="{00000000-0005-0000-0000-0000051B0000}"/>
    <cellStyle name="Calculation 4 47" xfId="6356" xr:uid="{00000000-0005-0000-0000-0000061B0000}"/>
    <cellStyle name="Calculation 4 47 2" xfId="6357" xr:uid="{00000000-0005-0000-0000-0000071B0000}"/>
    <cellStyle name="Calculation 4 48" xfId="6358" xr:uid="{00000000-0005-0000-0000-0000081B0000}"/>
    <cellStyle name="Calculation 4 48 2" xfId="6359" xr:uid="{00000000-0005-0000-0000-0000091B0000}"/>
    <cellStyle name="Calculation 4 49" xfId="6360" xr:uid="{00000000-0005-0000-0000-00000A1B0000}"/>
    <cellStyle name="Calculation 4 49 2" xfId="6361" xr:uid="{00000000-0005-0000-0000-00000B1B0000}"/>
    <cellStyle name="Calculation 4 5" xfId="6362" xr:uid="{00000000-0005-0000-0000-00000C1B0000}"/>
    <cellStyle name="Calculation 4 5 2" xfId="6363" xr:uid="{00000000-0005-0000-0000-00000D1B0000}"/>
    <cellStyle name="Calculation 4 50" xfId="6364" xr:uid="{00000000-0005-0000-0000-00000E1B0000}"/>
    <cellStyle name="Calculation 4 50 2" xfId="6365" xr:uid="{00000000-0005-0000-0000-00000F1B0000}"/>
    <cellStyle name="Calculation 4 51" xfId="6366" xr:uid="{00000000-0005-0000-0000-0000101B0000}"/>
    <cellStyle name="Calculation 4 51 2" xfId="6367" xr:uid="{00000000-0005-0000-0000-0000111B0000}"/>
    <cellStyle name="Calculation 4 52" xfId="6368" xr:uid="{00000000-0005-0000-0000-0000121B0000}"/>
    <cellStyle name="Calculation 4 52 2" xfId="6369" xr:uid="{00000000-0005-0000-0000-0000131B0000}"/>
    <cellStyle name="Calculation 4 53" xfId="6370" xr:uid="{00000000-0005-0000-0000-0000141B0000}"/>
    <cellStyle name="Calculation 4 53 2" xfId="6371" xr:uid="{00000000-0005-0000-0000-0000151B0000}"/>
    <cellStyle name="Calculation 4 54" xfId="6372" xr:uid="{00000000-0005-0000-0000-0000161B0000}"/>
    <cellStyle name="Calculation 4 54 2" xfId="6373" xr:uid="{00000000-0005-0000-0000-0000171B0000}"/>
    <cellStyle name="Calculation 4 55" xfId="6374" xr:uid="{00000000-0005-0000-0000-0000181B0000}"/>
    <cellStyle name="Calculation 4 55 2" xfId="6375" xr:uid="{00000000-0005-0000-0000-0000191B0000}"/>
    <cellStyle name="Calculation 4 56" xfId="6376" xr:uid="{00000000-0005-0000-0000-00001A1B0000}"/>
    <cellStyle name="Calculation 4 56 2" xfId="6377" xr:uid="{00000000-0005-0000-0000-00001B1B0000}"/>
    <cellStyle name="Calculation 4 57" xfId="6378" xr:uid="{00000000-0005-0000-0000-00001C1B0000}"/>
    <cellStyle name="Calculation 4 57 2" xfId="6379" xr:uid="{00000000-0005-0000-0000-00001D1B0000}"/>
    <cellStyle name="Calculation 4 58" xfId="6380" xr:uid="{00000000-0005-0000-0000-00001E1B0000}"/>
    <cellStyle name="Calculation 4 58 2" xfId="6381" xr:uid="{00000000-0005-0000-0000-00001F1B0000}"/>
    <cellStyle name="Calculation 4 59" xfId="6382" xr:uid="{00000000-0005-0000-0000-0000201B0000}"/>
    <cellStyle name="Calculation 4 59 2" xfId="6383" xr:uid="{00000000-0005-0000-0000-0000211B0000}"/>
    <cellStyle name="Calculation 4 6" xfId="6384" xr:uid="{00000000-0005-0000-0000-0000221B0000}"/>
    <cellStyle name="Calculation 4 6 2" xfId="6385" xr:uid="{00000000-0005-0000-0000-0000231B0000}"/>
    <cellStyle name="Calculation 4 60" xfId="6386" xr:uid="{00000000-0005-0000-0000-0000241B0000}"/>
    <cellStyle name="Calculation 4 60 2" xfId="6387" xr:uid="{00000000-0005-0000-0000-0000251B0000}"/>
    <cellStyle name="Calculation 4 61" xfId="6388" xr:uid="{00000000-0005-0000-0000-0000261B0000}"/>
    <cellStyle name="Calculation 4 61 2" xfId="6389" xr:uid="{00000000-0005-0000-0000-0000271B0000}"/>
    <cellStyle name="Calculation 4 62" xfId="6390" xr:uid="{00000000-0005-0000-0000-0000281B0000}"/>
    <cellStyle name="Calculation 4 62 2" xfId="6391" xr:uid="{00000000-0005-0000-0000-0000291B0000}"/>
    <cellStyle name="Calculation 4 63" xfId="6392" xr:uid="{00000000-0005-0000-0000-00002A1B0000}"/>
    <cellStyle name="Calculation 4 7" xfId="6393" xr:uid="{00000000-0005-0000-0000-00002B1B0000}"/>
    <cellStyle name="Calculation 4 7 2" xfId="6394" xr:uid="{00000000-0005-0000-0000-00002C1B0000}"/>
    <cellStyle name="Calculation 4 8" xfId="6395" xr:uid="{00000000-0005-0000-0000-00002D1B0000}"/>
    <cellStyle name="Calculation 4 8 2" xfId="6396" xr:uid="{00000000-0005-0000-0000-00002E1B0000}"/>
    <cellStyle name="Calculation 4 9" xfId="6397" xr:uid="{00000000-0005-0000-0000-00002F1B0000}"/>
    <cellStyle name="Calculation 4 9 2" xfId="6398" xr:uid="{00000000-0005-0000-0000-0000301B0000}"/>
    <cellStyle name="Calculation 5" xfId="6399" xr:uid="{00000000-0005-0000-0000-0000311B0000}"/>
    <cellStyle name="Calculation 5 10" xfId="6400" xr:uid="{00000000-0005-0000-0000-0000321B0000}"/>
    <cellStyle name="Calculation 5 10 2" xfId="6401" xr:uid="{00000000-0005-0000-0000-0000331B0000}"/>
    <cellStyle name="Calculation 5 11" xfId="6402" xr:uid="{00000000-0005-0000-0000-0000341B0000}"/>
    <cellStyle name="Calculation 5 11 2" xfId="6403" xr:uid="{00000000-0005-0000-0000-0000351B0000}"/>
    <cellStyle name="Calculation 5 12" xfId="6404" xr:uid="{00000000-0005-0000-0000-0000361B0000}"/>
    <cellStyle name="Calculation 5 12 2" xfId="6405" xr:uid="{00000000-0005-0000-0000-0000371B0000}"/>
    <cellStyle name="Calculation 5 13" xfId="6406" xr:uid="{00000000-0005-0000-0000-0000381B0000}"/>
    <cellStyle name="Calculation 5 13 2" xfId="6407" xr:uid="{00000000-0005-0000-0000-0000391B0000}"/>
    <cellStyle name="Calculation 5 14" xfId="6408" xr:uid="{00000000-0005-0000-0000-00003A1B0000}"/>
    <cellStyle name="Calculation 5 14 2" xfId="6409" xr:uid="{00000000-0005-0000-0000-00003B1B0000}"/>
    <cellStyle name="Calculation 5 15" xfId="6410" xr:uid="{00000000-0005-0000-0000-00003C1B0000}"/>
    <cellStyle name="Calculation 5 15 2" xfId="6411" xr:uid="{00000000-0005-0000-0000-00003D1B0000}"/>
    <cellStyle name="Calculation 5 16" xfId="6412" xr:uid="{00000000-0005-0000-0000-00003E1B0000}"/>
    <cellStyle name="Calculation 5 16 2" xfId="6413" xr:uid="{00000000-0005-0000-0000-00003F1B0000}"/>
    <cellStyle name="Calculation 5 17" xfId="6414" xr:uid="{00000000-0005-0000-0000-0000401B0000}"/>
    <cellStyle name="Calculation 5 17 2" xfId="6415" xr:uid="{00000000-0005-0000-0000-0000411B0000}"/>
    <cellStyle name="Calculation 5 18" xfId="6416" xr:uid="{00000000-0005-0000-0000-0000421B0000}"/>
    <cellStyle name="Calculation 5 18 2" xfId="6417" xr:uid="{00000000-0005-0000-0000-0000431B0000}"/>
    <cellStyle name="Calculation 5 19" xfId="6418" xr:uid="{00000000-0005-0000-0000-0000441B0000}"/>
    <cellStyle name="Calculation 5 19 2" xfId="6419" xr:uid="{00000000-0005-0000-0000-0000451B0000}"/>
    <cellStyle name="Calculation 5 2" xfId="6420" xr:uid="{00000000-0005-0000-0000-0000461B0000}"/>
    <cellStyle name="Calculation 5 2 2" xfId="6421" xr:uid="{00000000-0005-0000-0000-0000471B0000}"/>
    <cellStyle name="Calculation 5 20" xfId="6422" xr:uid="{00000000-0005-0000-0000-0000481B0000}"/>
    <cellStyle name="Calculation 5 20 2" xfId="6423" xr:uid="{00000000-0005-0000-0000-0000491B0000}"/>
    <cellStyle name="Calculation 5 21" xfId="6424" xr:uid="{00000000-0005-0000-0000-00004A1B0000}"/>
    <cellStyle name="Calculation 5 21 2" xfId="6425" xr:uid="{00000000-0005-0000-0000-00004B1B0000}"/>
    <cellStyle name="Calculation 5 22" xfId="6426" xr:uid="{00000000-0005-0000-0000-00004C1B0000}"/>
    <cellStyle name="Calculation 5 22 2" xfId="6427" xr:uid="{00000000-0005-0000-0000-00004D1B0000}"/>
    <cellStyle name="Calculation 5 23" xfId="6428" xr:uid="{00000000-0005-0000-0000-00004E1B0000}"/>
    <cellStyle name="Calculation 5 23 2" xfId="6429" xr:uid="{00000000-0005-0000-0000-00004F1B0000}"/>
    <cellStyle name="Calculation 5 24" xfId="6430" xr:uid="{00000000-0005-0000-0000-0000501B0000}"/>
    <cellStyle name="Calculation 5 24 2" xfId="6431" xr:uid="{00000000-0005-0000-0000-0000511B0000}"/>
    <cellStyle name="Calculation 5 25" xfId="6432" xr:uid="{00000000-0005-0000-0000-0000521B0000}"/>
    <cellStyle name="Calculation 5 25 2" xfId="6433" xr:uid="{00000000-0005-0000-0000-0000531B0000}"/>
    <cellStyle name="Calculation 5 26" xfId="6434" xr:uid="{00000000-0005-0000-0000-0000541B0000}"/>
    <cellStyle name="Calculation 5 26 2" xfId="6435" xr:uid="{00000000-0005-0000-0000-0000551B0000}"/>
    <cellStyle name="Calculation 5 27" xfId="6436" xr:uid="{00000000-0005-0000-0000-0000561B0000}"/>
    <cellStyle name="Calculation 5 27 2" xfId="6437" xr:uid="{00000000-0005-0000-0000-0000571B0000}"/>
    <cellStyle name="Calculation 5 28" xfId="6438" xr:uid="{00000000-0005-0000-0000-0000581B0000}"/>
    <cellStyle name="Calculation 5 28 2" xfId="6439" xr:uid="{00000000-0005-0000-0000-0000591B0000}"/>
    <cellStyle name="Calculation 5 29" xfId="6440" xr:uid="{00000000-0005-0000-0000-00005A1B0000}"/>
    <cellStyle name="Calculation 5 29 2" xfId="6441" xr:uid="{00000000-0005-0000-0000-00005B1B0000}"/>
    <cellStyle name="Calculation 5 3" xfId="6442" xr:uid="{00000000-0005-0000-0000-00005C1B0000}"/>
    <cellStyle name="Calculation 5 3 2" xfId="6443" xr:uid="{00000000-0005-0000-0000-00005D1B0000}"/>
    <cellStyle name="Calculation 5 30" xfId="6444" xr:uid="{00000000-0005-0000-0000-00005E1B0000}"/>
    <cellStyle name="Calculation 5 30 2" xfId="6445" xr:uid="{00000000-0005-0000-0000-00005F1B0000}"/>
    <cellStyle name="Calculation 5 31" xfId="6446" xr:uid="{00000000-0005-0000-0000-0000601B0000}"/>
    <cellStyle name="Calculation 5 31 2" xfId="6447" xr:uid="{00000000-0005-0000-0000-0000611B0000}"/>
    <cellStyle name="Calculation 5 32" xfId="6448" xr:uid="{00000000-0005-0000-0000-0000621B0000}"/>
    <cellStyle name="Calculation 5 32 2" xfId="6449" xr:uid="{00000000-0005-0000-0000-0000631B0000}"/>
    <cellStyle name="Calculation 5 33" xfId="6450" xr:uid="{00000000-0005-0000-0000-0000641B0000}"/>
    <cellStyle name="Calculation 5 33 2" xfId="6451" xr:uid="{00000000-0005-0000-0000-0000651B0000}"/>
    <cellStyle name="Calculation 5 34" xfId="6452" xr:uid="{00000000-0005-0000-0000-0000661B0000}"/>
    <cellStyle name="Calculation 5 34 2" xfId="6453" xr:uid="{00000000-0005-0000-0000-0000671B0000}"/>
    <cellStyle name="Calculation 5 35" xfId="6454" xr:uid="{00000000-0005-0000-0000-0000681B0000}"/>
    <cellStyle name="Calculation 5 35 2" xfId="6455" xr:uid="{00000000-0005-0000-0000-0000691B0000}"/>
    <cellStyle name="Calculation 5 36" xfId="6456" xr:uid="{00000000-0005-0000-0000-00006A1B0000}"/>
    <cellStyle name="Calculation 5 36 2" xfId="6457" xr:uid="{00000000-0005-0000-0000-00006B1B0000}"/>
    <cellStyle name="Calculation 5 37" xfId="6458" xr:uid="{00000000-0005-0000-0000-00006C1B0000}"/>
    <cellStyle name="Calculation 5 37 2" xfId="6459" xr:uid="{00000000-0005-0000-0000-00006D1B0000}"/>
    <cellStyle name="Calculation 5 38" xfId="6460" xr:uid="{00000000-0005-0000-0000-00006E1B0000}"/>
    <cellStyle name="Calculation 5 38 2" xfId="6461" xr:uid="{00000000-0005-0000-0000-00006F1B0000}"/>
    <cellStyle name="Calculation 5 39" xfId="6462" xr:uid="{00000000-0005-0000-0000-0000701B0000}"/>
    <cellStyle name="Calculation 5 39 2" xfId="6463" xr:uid="{00000000-0005-0000-0000-0000711B0000}"/>
    <cellStyle name="Calculation 5 4" xfId="6464" xr:uid="{00000000-0005-0000-0000-0000721B0000}"/>
    <cellStyle name="Calculation 5 4 2" xfId="6465" xr:uid="{00000000-0005-0000-0000-0000731B0000}"/>
    <cellStyle name="Calculation 5 40" xfId="6466" xr:uid="{00000000-0005-0000-0000-0000741B0000}"/>
    <cellStyle name="Calculation 5 40 2" xfId="6467" xr:uid="{00000000-0005-0000-0000-0000751B0000}"/>
    <cellStyle name="Calculation 5 41" xfId="6468" xr:uid="{00000000-0005-0000-0000-0000761B0000}"/>
    <cellStyle name="Calculation 5 41 2" xfId="6469" xr:uid="{00000000-0005-0000-0000-0000771B0000}"/>
    <cellStyle name="Calculation 5 42" xfId="6470" xr:uid="{00000000-0005-0000-0000-0000781B0000}"/>
    <cellStyle name="Calculation 5 42 2" xfId="6471" xr:uid="{00000000-0005-0000-0000-0000791B0000}"/>
    <cellStyle name="Calculation 5 43" xfId="6472" xr:uid="{00000000-0005-0000-0000-00007A1B0000}"/>
    <cellStyle name="Calculation 5 43 2" xfId="6473" xr:uid="{00000000-0005-0000-0000-00007B1B0000}"/>
    <cellStyle name="Calculation 5 44" xfId="6474" xr:uid="{00000000-0005-0000-0000-00007C1B0000}"/>
    <cellStyle name="Calculation 5 44 2" xfId="6475" xr:uid="{00000000-0005-0000-0000-00007D1B0000}"/>
    <cellStyle name="Calculation 5 45" xfId="6476" xr:uid="{00000000-0005-0000-0000-00007E1B0000}"/>
    <cellStyle name="Calculation 5 45 2" xfId="6477" xr:uid="{00000000-0005-0000-0000-00007F1B0000}"/>
    <cellStyle name="Calculation 5 46" xfId="6478" xr:uid="{00000000-0005-0000-0000-0000801B0000}"/>
    <cellStyle name="Calculation 5 46 2" xfId="6479" xr:uid="{00000000-0005-0000-0000-0000811B0000}"/>
    <cellStyle name="Calculation 5 47" xfId="6480" xr:uid="{00000000-0005-0000-0000-0000821B0000}"/>
    <cellStyle name="Calculation 5 47 2" xfId="6481" xr:uid="{00000000-0005-0000-0000-0000831B0000}"/>
    <cellStyle name="Calculation 5 48" xfId="6482" xr:uid="{00000000-0005-0000-0000-0000841B0000}"/>
    <cellStyle name="Calculation 5 48 2" xfId="6483" xr:uid="{00000000-0005-0000-0000-0000851B0000}"/>
    <cellStyle name="Calculation 5 49" xfId="6484" xr:uid="{00000000-0005-0000-0000-0000861B0000}"/>
    <cellStyle name="Calculation 5 49 2" xfId="6485" xr:uid="{00000000-0005-0000-0000-0000871B0000}"/>
    <cellStyle name="Calculation 5 5" xfId="6486" xr:uid="{00000000-0005-0000-0000-0000881B0000}"/>
    <cellStyle name="Calculation 5 5 2" xfId="6487" xr:uid="{00000000-0005-0000-0000-0000891B0000}"/>
    <cellStyle name="Calculation 5 50" xfId="6488" xr:uid="{00000000-0005-0000-0000-00008A1B0000}"/>
    <cellStyle name="Calculation 5 50 2" xfId="6489" xr:uid="{00000000-0005-0000-0000-00008B1B0000}"/>
    <cellStyle name="Calculation 5 51" xfId="6490" xr:uid="{00000000-0005-0000-0000-00008C1B0000}"/>
    <cellStyle name="Calculation 5 51 2" xfId="6491" xr:uid="{00000000-0005-0000-0000-00008D1B0000}"/>
    <cellStyle name="Calculation 5 52" xfId="6492" xr:uid="{00000000-0005-0000-0000-00008E1B0000}"/>
    <cellStyle name="Calculation 5 52 2" xfId="6493" xr:uid="{00000000-0005-0000-0000-00008F1B0000}"/>
    <cellStyle name="Calculation 5 53" xfId="6494" xr:uid="{00000000-0005-0000-0000-0000901B0000}"/>
    <cellStyle name="Calculation 5 53 2" xfId="6495" xr:uid="{00000000-0005-0000-0000-0000911B0000}"/>
    <cellStyle name="Calculation 5 54" xfId="6496" xr:uid="{00000000-0005-0000-0000-0000921B0000}"/>
    <cellStyle name="Calculation 5 54 2" xfId="6497" xr:uid="{00000000-0005-0000-0000-0000931B0000}"/>
    <cellStyle name="Calculation 5 55" xfId="6498" xr:uid="{00000000-0005-0000-0000-0000941B0000}"/>
    <cellStyle name="Calculation 5 55 2" xfId="6499" xr:uid="{00000000-0005-0000-0000-0000951B0000}"/>
    <cellStyle name="Calculation 5 56" xfId="6500" xr:uid="{00000000-0005-0000-0000-0000961B0000}"/>
    <cellStyle name="Calculation 5 56 2" xfId="6501" xr:uid="{00000000-0005-0000-0000-0000971B0000}"/>
    <cellStyle name="Calculation 5 57" xfId="6502" xr:uid="{00000000-0005-0000-0000-0000981B0000}"/>
    <cellStyle name="Calculation 5 57 2" xfId="6503" xr:uid="{00000000-0005-0000-0000-0000991B0000}"/>
    <cellStyle name="Calculation 5 58" xfId="6504" xr:uid="{00000000-0005-0000-0000-00009A1B0000}"/>
    <cellStyle name="Calculation 5 58 2" xfId="6505" xr:uid="{00000000-0005-0000-0000-00009B1B0000}"/>
    <cellStyle name="Calculation 5 59" xfId="6506" xr:uid="{00000000-0005-0000-0000-00009C1B0000}"/>
    <cellStyle name="Calculation 5 59 2" xfId="6507" xr:uid="{00000000-0005-0000-0000-00009D1B0000}"/>
    <cellStyle name="Calculation 5 6" xfId="6508" xr:uid="{00000000-0005-0000-0000-00009E1B0000}"/>
    <cellStyle name="Calculation 5 6 2" xfId="6509" xr:uid="{00000000-0005-0000-0000-00009F1B0000}"/>
    <cellStyle name="Calculation 5 60" xfId="6510" xr:uid="{00000000-0005-0000-0000-0000A01B0000}"/>
    <cellStyle name="Calculation 5 60 2" xfId="6511" xr:uid="{00000000-0005-0000-0000-0000A11B0000}"/>
    <cellStyle name="Calculation 5 61" xfId="6512" xr:uid="{00000000-0005-0000-0000-0000A21B0000}"/>
    <cellStyle name="Calculation 5 61 2" xfId="6513" xr:uid="{00000000-0005-0000-0000-0000A31B0000}"/>
    <cellStyle name="Calculation 5 62" xfId="6514" xr:uid="{00000000-0005-0000-0000-0000A41B0000}"/>
    <cellStyle name="Calculation 5 62 2" xfId="6515" xr:uid="{00000000-0005-0000-0000-0000A51B0000}"/>
    <cellStyle name="Calculation 5 63" xfId="6516" xr:uid="{00000000-0005-0000-0000-0000A61B0000}"/>
    <cellStyle name="Calculation 5 7" xfId="6517" xr:uid="{00000000-0005-0000-0000-0000A71B0000}"/>
    <cellStyle name="Calculation 5 7 2" xfId="6518" xr:uid="{00000000-0005-0000-0000-0000A81B0000}"/>
    <cellStyle name="Calculation 5 8" xfId="6519" xr:uid="{00000000-0005-0000-0000-0000A91B0000}"/>
    <cellStyle name="Calculation 5 8 2" xfId="6520" xr:uid="{00000000-0005-0000-0000-0000AA1B0000}"/>
    <cellStyle name="Calculation 5 9" xfId="6521" xr:uid="{00000000-0005-0000-0000-0000AB1B0000}"/>
    <cellStyle name="Calculation 5 9 2" xfId="6522" xr:uid="{00000000-0005-0000-0000-0000AC1B0000}"/>
    <cellStyle name="Calculation 6" xfId="6523" xr:uid="{00000000-0005-0000-0000-0000AD1B0000}"/>
    <cellStyle name="Calculation 6 10" xfId="6524" xr:uid="{00000000-0005-0000-0000-0000AE1B0000}"/>
    <cellStyle name="Calculation 6 10 2" xfId="6525" xr:uid="{00000000-0005-0000-0000-0000AF1B0000}"/>
    <cellStyle name="Calculation 6 11" xfId="6526" xr:uid="{00000000-0005-0000-0000-0000B01B0000}"/>
    <cellStyle name="Calculation 6 11 2" xfId="6527" xr:uid="{00000000-0005-0000-0000-0000B11B0000}"/>
    <cellStyle name="Calculation 6 12" xfId="6528" xr:uid="{00000000-0005-0000-0000-0000B21B0000}"/>
    <cellStyle name="Calculation 6 12 2" xfId="6529" xr:uid="{00000000-0005-0000-0000-0000B31B0000}"/>
    <cellStyle name="Calculation 6 13" xfId="6530" xr:uid="{00000000-0005-0000-0000-0000B41B0000}"/>
    <cellStyle name="Calculation 6 13 2" xfId="6531" xr:uid="{00000000-0005-0000-0000-0000B51B0000}"/>
    <cellStyle name="Calculation 6 14" xfId="6532" xr:uid="{00000000-0005-0000-0000-0000B61B0000}"/>
    <cellStyle name="Calculation 6 14 2" xfId="6533" xr:uid="{00000000-0005-0000-0000-0000B71B0000}"/>
    <cellStyle name="Calculation 6 15" xfId="6534" xr:uid="{00000000-0005-0000-0000-0000B81B0000}"/>
    <cellStyle name="Calculation 6 15 2" xfId="6535" xr:uid="{00000000-0005-0000-0000-0000B91B0000}"/>
    <cellStyle name="Calculation 6 16" xfId="6536" xr:uid="{00000000-0005-0000-0000-0000BA1B0000}"/>
    <cellStyle name="Calculation 6 16 2" xfId="6537" xr:uid="{00000000-0005-0000-0000-0000BB1B0000}"/>
    <cellStyle name="Calculation 6 17" xfId="6538" xr:uid="{00000000-0005-0000-0000-0000BC1B0000}"/>
    <cellStyle name="Calculation 6 17 2" xfId="6539" xr:uid="{00000000-0005-0000-0000-0000BD1B0000}"/>
    <cellStyle name="Calculation 6 18" xfId="6540" xr:uid="{00000000-0005-0000-0000-0000BE1B0000}"/>
    <cellStyle name="Calculation 6 18 2" xfId="6541" xr:uid="{00000000-0005-0000-0000-0000BF1B0000}"/>
    <cellStyle name="Calculation 6 19" xfId="6542" xr:uid="{00000000-0005-0000-0000-0000C01B0000}"/>
    <cellStyle name="Calculation 6 19 2" xfId="6543" xr:uid="{00000000-0005-0000-0000-0000C11B0000}"/>
    <cellStyle name="Calculation 6 2" xfId="6544" xr:uid="{00000000-0005-0000-0000-0000C21B0000}"/>
    <cellStyle name="Calculation 6 2 2" xfId="6545" xr:uid="{00000000-0005-0000-0000-0000C31B0000}"/>
    <cellStyle name="Calculation 6 20" xfId="6546" xr:uid="{00000000-0005-0000-0000-0000C41B0000}"/>
    <cellStyle name="Calculation 6 20 2" xfId="6547" xr:uid="{00000000-0005-0000-0000-0000C51B0000}"/>
    <cellStyle name="Calculation 6 21" xfId="6548" xr:uid="{00000000-0005-0000-0000-0000C61B0000}"/>
    <cellStyle name="Calculation 6 21 2" xfId="6549" xr:uid="{00000000-0005-0000-0000-0000C71B0000}"/>
    <cellStyle name="Calculation 6 22" xfId="6550" xr:uid="{00000000-0005-0000-0000-0000C81B0000}"/>
    <cellStyle name="Calculation 6 22 2" xfId="6551" xr:uid="{00000000-0005-0000-0000-0000C91B0000}"/>
    <cellStyle name="Calculation 6 23" xfId="6552" xr:uid="{00000000-0005-0000-0000-0000CA1B0000}"/>
    <cellStyle name="Calculation 6 23 2" xfId="6553" xr:uid="{00000000-0005-0000-0000-0000CB1B0000}"/>
    <cellStyle name="Calculation 6 24" xfId="6554" xr:uid="{00000000-0005-0000-0000-0000CC1B0000}"/>
    <cellStyle name="Calculation 6 24 2" xfId="6555" xr:uid="{00000000-0005-0000-0000-0000CD1B0000}"/>
    <cellStyle name="Calculation 6 25" xfId="6556" xr:uid="{00000000-0005-0000-0000-0000CE1B0000}"/>
    <cellStyle name="Calculation 6 25 2" xfId="6557" xr:uid="{00000000-0005-0000-0000-0000CF1B0000}"/>
    <cellStyle name="Calculation 6 26" xfId="6558" xr:uid="{00000000-0005-0000-0000-0000D01B0000}"/>
    <cellStyle name="Calculation 6 26 2" xfId="6559" xr:uid="{00000000-0005-0000-0000-0000D11B0000}"/>
    <cellStyle name="Calculation 6 27" xfId="6560" xr:uid="{00000000-0005-0000-0000-0000D21B0000}"/>
    <cellStyle name="Calculation 6 27 2" xfId="6561" xr:uid="{00000000-0005-0000-0000-0000D31B0000}"/>
    <cellStyle name="Calculation 6 28" xfId="6562" xr:uid="{00000000-0005-0000-0000-0000D41B0000}"/>
    <cellStyle name="Calculation 6 28 2" xfId="6563" xr:uid="{00000000-0005-0000-0000-0000D51B0000}"/>
    <cellStyle name="Calculation 6 29" xfId="6564" xr:uid="{00000000-0005-0000-0000-0000D61B0000}"/>
    <cellStyle name="Calculation 6 29 2" xfId="6565" xr:uid="{00000000-0005-0000-0000-0000D71B0000}"/>
    <cellStyle name="Calculation 6 3" xfId="6566" xr:uid="{00000000-0005-0000-0000-0000D81B0000}"/>
    <cellStyle name="Calculation 6 3 2" xfId="6567" xr:uid="{00000000-0005-0000-0000-0000D91B0000}"/>
    <cellStyle name="Calculation 6 30" xfId="6568" xr:uid="{00000000-0005-0000-0000-0000DA1B0000}"/>
    <cellStyle name="Calculation 6 30 2" xfId="6569" xr:uid="{00000000-0005-0000-0000-0000DB1B0000}"/>
    <cellStyle name="Calculation 6 31" xfId="6570" xr:uid="{00000000-0005-0000-0000-0000DC1B0000}"/>
    <cellStyle name="Calculation 6 31 2" xfId="6571" xr:uid="{00000000-0005-0000-0000-0000DD1B0000}"/>
    <cellStyle name="Calculation 6 32" xfId="6572" xr:uid="{00000000-0005-0000-0000-0000DE1B0000}"/>
    <cellStyle name="Calculation 6 32 2" xfId="6573" xr:uid="{00000000-0005-0000-0000-0000DF1B0000}"/>
    <cellStyle name="Calculation 6 33" xfId="6574" xr:uid="{00000000-0005-0000-0000-0000E01B0000}"/>
    <cellStyle name="Calculation 6 33 2" xfId="6575" xr:uid="{00000000-0005-0000-0000-0000E11B0000}"/>
    <cellStyle name="Calculation 6 34" xfId="6576" xr:uid="{00000000-0005-0000-0000-0000E21B0000}"/>
    <cellStyle name="Calculation 6 34 2" xfId="6577" xr:uid="{00000000-0005-0000-0000-0000E31B0000}"/>
    <cellStyle name="Calculation 6 35" xfId="6578" xr:uid="{00000000-0005-0000-0000-0000E41B0000}"/>
    <cellStyle name="Calculation 6 35 2" xfId="6579" xr:uid="{00000000-0005-0000-0000-0000E51B0000}"/>
    <cellStyle name="Calculation 6 36" xfId="6580" xr:uid="{00000000-0005-0000-0000-0000E61B0000}"/>
    <cellStyle name="Calculation 6 36 2" xfId="6581" xr:uid="{00000000-0005-0000-0000-0000E71B0000}"/>
    <cellStyle name="Calculation 6 37" xfId="6582" xr:uid="{00000000-0005-0000-0000-0000E81B0000}"/>
    <cellStyle name="Calculation 6 37 2" xfId="6583" xr:uid="{00000000-0005-0000-0000-0000E91B0000}"/>
    <cellStyle name="Calculation 6 38" xfId="6584" xr:uid="{00000000-0005-0000-0000-0000EA1B0000}"/>
    <cellStyle name="Calculation 6 38 2" xfId="6585" xr:uid="{00000000-0005-0000-0000-0000EB1B0000}"/>
    <cellStyle name="Calculation 6 39" xfId="6586" xr:uid="{00000000-0005-0000-0000-0000EC1B0000}"/>
    <cellStyle name="Calculation 6 39 2" xfId="6587" xr:uid="{00000000-0005-0000-0000-0000ED1B0000}"/>
    <cellStyle name="Calculation 6 4" xfId="6588" xr:uid="{00000000-0005-0000-0000-0000EE1B0000}"/>
    <cellStyle name="Calculation 6 4 2" xfId="6589" xr:uid="{00000000-0005-0000-0000-0000EF1B0000}"/>
    <cellStyle name="Calculation 6 40" xfId="6590" xr:uid="{00000000-0005-0000-0000-0000F01B0000}"/>
    <cellStyle name="Calculation 6 40 2" xfId="6591" xr:uid="{00000000-0005-0000-0000-0000F11B0000}"/>
    <cellStyle name="Calculation 6 41" xfId="6592" xr:uid="{00000000-0005-0000-0000-0000F21B0000}"/>
    <cellStyle name="Calculation 6 41 2" xfId="6593" xr:uid="{00000000-0005-0000-0000-0000F31B0000}"/>
    <cellStyle name="Calculation 6 42" xfId="6594" xr:uid="{00000000-0005-0000-0000-0000F41B0000}"/>
    <cellStyle name="Calculation 6 42 2" xfId="6595" xr:uid="{00000000-0005-0000-0000-0000F51B0000}"/>
    <cellStyle name="Calculation 6 43" xfId="6596" xr:uid="{00000000-0005-0000-0000-0000F61B0000}"/>
    <cellStyle name="Calculation 6 43 2" xfId="6597" xr:uid="{00000000-0005-0000-0000-0000F71B0000}"/>
    <cellStyle name="Calculation 6 44" xfId="6598" xr:uid="{00000000-0005-0000-0000-0000F81B0000}"/>
    <cellStyle name="Calculation 6 44 2" xfId="6599" xr:uid="{00000000-0005-0000-0000-0000F91B0000}"/>
    <cellStyle name="Calculation 6 45" xfId="6600" xr:uid="{00000000-0005-0000-0000-0000FA1B0000}"/>
    <cellStyle name="Calculation 6 45 2" xfId="6601" xr:uid="{00000000-0005-0000-0000-0000FB1B0000}"/>
    <cellStyle name="Calculation 6 46" xfId="6602" xr:uid="{00000000-0005-0000-0000-0000FC1B0000}"/>
    <cellStyle name="Calculation 6 46 2" xfId="6603" xr:uid="{00000000-0005-0000-0000-0000FD1B0000}"/>
    <cellStyle name="Calculation 6 47" xfId="6604" xr:uid="{00000000-0005-0000-0000-0000FE1B0000}"/>
    <cellStyle name="Calculation 6 47 2" xfId="6605" xr:uid="{00000000-0005-0000-0000-0000FF1B0000}"/>
    <cellStyle name="Calculation 6 48" xfId="6606" xr:uid="{00000000-0005-0000-0000-0000001C0000}"/>
    <cellStyle name="Calculation 6 48 2" xfId="6607" xr:uid="{00000000-0005-0000-0000-0000011C0000}"/>
    <cellStyle name="Calculation 6 49" xfId="6608" xr:uid="{00000000-0005-0000-0000-0000021C0000}"/>
    <cellStyle name="Calculation 6 49 2" xfId="6609" xr:uid="{00000000-0005-0000-0000-0000031C0000}"/>
    <cellStyle name="Calculation 6 5" xfId="6610" xr:uid="{00000000-0005-0000-0000-0000041C0000}"/>
    <cellStyle name="Calculation 6 5 2" xfId="6611" xr:uid="{00000000-0005-0000-0000-0000051C0000}"/>
    <cellStyle name="Calculation 6 50" xfId="6612" xr:uid="{00000000-0005-0000-0000-0000061C0000}"/>
    <cellStyle name="Calculation 6 50 2" xfId="6613" xr:uid="{00000000-0005-0000-0000-0000071C0000}"/>
    <cellStyle name="Calculation 6 51" xfId="6614" xr:uid="{00000000-0005-0000-0000-0000081C0000}"/>
    <cellStyle name="Calculation 6 51 2" xfId="6615" xr:uid="{00000000-0005-0000-0000-0000091C0000}"/>
    <cellStyle name="Calculation 6 52" xfId="6616" xr:uid="{00000000-0005-0000-0000-00000A1C0000}"/>
    <cellStyle name="Calculation 6 52 2" xfId="6617" xr:uid="{00000000-0005-0000-0000-00000B1C0000}"/>
    <cellStyle name="Calculation 6 53" xfId="6618" xr:uid="{00000000-0005-0000-0000-00000C1C0000}"/>
    <cellStyle name="Calculation 6 53 2" xfId="6619" xr:uid="{00000000-0005-0000-0000-00000D1C0000}"/>
    <cellStyle name="Calculation 6 54" xfId="6620" xr:uid="{00000000-0005-0000-0000-00000E1C0000}"/>
    <cellStyle name="Calculation 6 54 2" xfId="6621" xr:uid="{00000000-0005-0000-0000-00000F1C0000}"/>
    <cellStyle name="Calculation 6 55" xfId="6622" xr:uid="{00000000-0005-0000-0000-0000101C0000}"/>
    <cellStyle name="Calculation 6 55 2" xfId="6623" xr:uid="{00000000-0005-0000-0000-0000111C0000}"/>
    <cellStyle name="Calculation 6 56" xfId="6624" xr:uid="{00000000-0005-0000-0000-0000121C0000}"/>
    <cellStyle name="Calculation 6 56 2" xfId="6625" xr:uid="{00000000-0005-0000-0000-0000131C0000}"/>
    <cellStyle name="Calculation 6 57" xfId="6626" xr:uid="{00000000-0005-0000-0000-0000141C0000}"/>
    <cellStyle name="Calculation 6 57 2" xfId="6627" xr:uid="{00000000-0005-0000-0000-0000151C0000}"/>
    <cellStyle name="Calculation 6 58" xfId="6628" xr:uid="{00000000-0005-0000-0000-0000161C0000}"/>
    <cellStyle name="Calculation 6 58 2" xfId="6629" xr:uid="{00000000-0005-0000-0000-0000171C0000}"/>
    <cellStyle name="Calculation 6 59" xfId="6630" xr:uid="{00000000-0005-0000-0000-0000181C0000}"/>
    <cellStyle name="Calculation 6 59 2" xfId="6631" xr:uid="{00000000-0005-0000-0000-0000191C0000}"/>
    <cellStyle name="Calculation 6 6" xfId="6632" xr:uid="{00000000-0005-0000-0000-00001A1C0000}"/>
    <cellStyle name="Calculation 6 6 2" xfId="6633" xr:uid="{00000000-0005-0000-0000-00001B1C0000}"/>
    <cellStyle name="Calculation 6 60" xfId="6634" xr:uid="{00000000-0005-0000-0000-00001C1C0000}"/>
    <cellStyle name="Calculation 6 60 2" xfId="6635" xr:uid="{00000000-0005-0000-0000-00001D1C0000}"/>
    <cellStyle name="Calculation 6 61" xfId="6636" xr:uid="{00000000-0005-0000-0000-00001E1C0000}"/>
    <cellStyle name="Calculation 6 61 2" xfId="6637" xr:uid="{00000000-0005-0000-0000-00001F1C0000}"/>
    <cellStyle name="Calculation 6 62" xfId="6638" xr:uid="{00000000-0005-0000-0000-0000201C0000}"/>
    <cellStyle name="Calculation 6 62 2" xfId="6639" xr:uid="{00000000-0005-0000-0000-0000211C0000}"/>
    <cellStyle name="Calculation 6 63" xfId="6640" xr:uid="{00000000-0005-0000-0000-0000221C0000}"/>
    <cellStyle name="Calculation 6 7" xfId="6641" xr:uid="{00000000-0005-0000-0000-0000231C0000}"/>
    <cellStyle name="Calculation 6 7 2" xfId="6642" xr:uid="{00000000-0005-0000-0000-0000241C0000}"/>
    <cellStyle name="Calculation 6 8" xfId="6643" xr:uid="{00000000-0005-0000-0000-0000251C0000}"/>
    <cellStyle name="Calculation 6 8 2" xfId="6644" xr:uid="{00000000-0005-0000-0000-0000261C0000}"/>
    <cellStyle name="Calculation 6 9" xfId="6645" xr:uid="{00000000-0005-0000-0000-0000271C0000}"/>
    <cellStyle name="Calculation 6 9 2" xfId="6646" xr:uid="{00000000-0005-0000-0000-0000281C0000}"/>
    <cellStyle name="Calculation 7" xfId="6647" xr:uid="{00000000-0005-0000-0000-0000291C0000}"/>
    <cellStyle name="Calculation 7 10" xfId="6648" xr:uid="{00000000-0005-0000-0000-00002A1C0000}"/>
    <cellStyle name="Calculation 7 10 2" xfId="6649" xr:uid="{00000000-0005-0000-0000-00002B1C0000}"/>
    <cellStyle name="Calculation 7 11" xfId="6650" xr:uid="{00000000-0005-0000-0000-00002C1C0000}"/>
    <cellStyle name="Calculation 7 11 2" xfId="6651" xr:uid="{00000000-0005-0000-0000-00002D1C0000}"/>
    <cellStyle name="Calculation 7 12" xfId="6652" xr:uid="{00000000-0005-0000-0000-00002E1C0000}"/>
    <cellStyle name="Calculation 7 12 2" xfId="6653" xr:uid="{00000000-0005-0000-0000-00002F1C0000}"/>
    <cellStyle name="Calculation 7 13" xfId="6654" xr:uid="{00000000-0005-0000-0000-0000301C0000}"/>
    <cellStyle name="Calculation 7 13 2" xfId="6655" xr:uid="{00000000-0005-0000-0000-0000311C0000}"/>
    <cellStyle name="Calculation 7 14" xfId="6656" xr:uid="{00000000-0005-0000-0000-0000321C0000}"/>
    <cellStyle name="Calculation 7 14 2" xfId="6657" xr:uid="{00000000-0005-0000-0000-0000331C0000}"/>
    <cellStyle name="Calculation 7 15" xfId="6658" xr:uid="{00000000-0005-0000-0000-0000341C0000}"/>
    <cellStyle name="Calculation 7 15 2" xfId="6659" xr:uid="{00000000-0005-0000-0000-0000351C0000}"/>
    <cellStyle name="Calculation 7 16" xfId="6660" xr:uid="{00000000-0005-0000-0000-0000361C0000}"/>
    <cellStyle name="Calculation 7 16 2" xfId="6661" xr:uid="{00000000-0005-0000-0000-0000371C0000}"/>
    <cellStyle name="Calculation 7 17" xfId="6662" xr:uid="{00000000-0005-0000-0000-0000381C0000}"/>
    <cellStyle name="Calculation 7 17 2" xfId="6663" xr:uid="{00000000-0005-0000-0000-0000391C0000}"/>
    <cellStyle name="Calculation 7 18" xfId="6664" xr:uid="{00000000-0005-0000-0000-00003A1C0000}"/>
    <cellStyle name="Calculation 7 18 2" xfId="6665" xr:uid="{00000000-0005-0000-0000-00003B1C0000}"/>
    <cellStyle name="Calculation 7 19" xfId="6666" xr:uid="{00000000-0005-0000-0000-00003C1C0000}"/>
    <cellStyle name="Calculation 7 19 2" xfId="6667" xr:uid="{00000000-0005-0000-0000-00003D1C0000}"/>
    <cellStyle name="Calculation 7 2" xfId="6668" xr:uid="{00000000-0005-0000-0000-00003E1C0000}"/>
    <cellStyle name="Calculation 7 2 2" xfId="6669" xr:uid="{00000000-0005-0000-0000-00003F1C0000}"/>
    <cellStyle name="Calculation 7 20" xfId="6670" xr:uid="{00000000-0005-0000-0000-0000401C0000}"/>
    <cellStyle name="Calculation 7 20 2" xfId="6671" xr:uid="{00000000-0005-0000-0000-0000411C0000}"/>
    <cellStyle name="Calculation 7 21" xfId="6672" xr:uid="{00000000-0005-0000-0000-0000421C0000}"/>
    <cellStyle name="Calculation 7 21 2" xfId="6673" xr:uid="{00000000-0005-0000-0000-0000431C0000}"/>
    <cellStyle name="Calculation 7 22" xfId="6674" xr:uid="{00000000-0005-0000-0000-0000441C0000}"/>
    <cellStyle name="Calculation 7 22 2" xfId="6675" xr:uid="{00000000-0005-0000-0000-0000451C0000}"/>
    <cellStyle name="Calculation 7 23" xfId="6676" xr:uid="{00000000-0005-0000-0000-0000461C0000}"/>
    <cellStyle name="Calculation 7 23 2" xfId="6677" xr:uid="{00000000-0005-0000-0000-0000471C0000}"/>
    <cellStyle name="Calculation 7 24" xfId="6678" xr:uid="{00000000-0005-0000-0000-0000481C0000}"/>
    <cellStyle name="Calculation 7 24 2" xfId="6679" xr:uid="{00000000-0005-0000-0000-0000491C0000}"/>
    <cellStyle name="Calculation 7 25" xfId="6680" xr:uid="{00000000-0005-0000-0000-00004A1C0000}"/>
    <cellStyle name="Calculation 7 25 2" xfId="6681" xr:uid="{00000000-0005-0000-0000-00004B1C0000}"/>
    <cellStyle name="Calculation 7 26" xfId="6682" xr:uid="{00000000-0005-0000-0000-00004C1C0000}"/>
    <cellStyle name="Calculation 7 26 2" xfId="6683" xr:uid="{00000000-0005-0000-0000-00004D1C0000}"/>
    <cellStyle name="Calculation 7 27" xfId="6684" xr:uid="{00000000-0005-0000-0000-00004E1C0000}"/>
    <cellStyle name="Calculation 7 27 2" xfId="6685" xr:uid="{00000000-0005-0000-0000-00004F1C0000}"/>
    <cellStyle name="Calculation 7 28" xfId="6686" xr:uid="{00000000-0005-0000-0000-0000501C0000}"/>
    <cellStyle name="Calculation 7 28 2" xfId="6687" xr:uid="{00000000-0005-0000-0000-0000511C0000}"/>
    <cellStyle name="Calculation 7 29" xfId="6688" xr:uid="{00000000-0005-0000-0000-0000521C0000}"/>
    <cellStyle name="Calculation 7 29 2" xfId="6689" xr:uid="{00000000-0005-0000-0000-0000531C0000}"/>
    <cellStyle name="Calculation 7 3" xfId="6690" xr:uid="{00000000-0005-0000-0000-0000541C0000}"/>
    <cellStyle name="Calculation 7 3 2" xfId="6691" xr:uid="{00000000-0005-0000-0000-0000551C0000}"/>
    <cellStyle name="Calculation 7 30" xfId="6692" xr:uid="{00000000-0005-0000-0000-0000561C0000}"/>
    <cellStyle name="Calculation 7 30 2" xfId="6693" xr:uid="{00000000-0005-0000-0000-0000571C0000}"/>
    <cellStyle name="Calculation 7 31" xfId="6694" xr:uid="{00000000-0005-0000-0000-0000581C0000}"/>
    <cellStyle name="Calculation 7 31 2" xfId="6695" xr:uid="{00000000-0005-0000-0000-0000591C0000}"/>
    <cellStyle name="Calculation 7 32" xfId="6696" xr:uid="{00000000-0005-0000-0000-00005A1C0000}"/>
    <cellStyle name="Calculation 7 32 2" xfId="6697" xr:uid="{00000000-0005-0000-0000-00005B1C0000}"/>
    <cellStyle name="Calculation 7 33" xfId="6698" xr:uid="{00000000-0005-0000-0000-00005C1C0000}"/>
    <cellStyle name="Calculation 7 33 2" xfId="6699" xr:uid="{00000000-0005-0000-0000-00005D1C0000}"/>
    <cellStyle name="Calculation 7 34" xfId="6700" xr:uid="{00000000-0005-0000-0000-00005E1C0000}"/>
    <cellStyle name="Calculation 7 34 2" xfId="6701" xr:uid="{00000000-0005-0000-0000-00005F1C0000}"/>
    <cellStyle name="Calculation 7 35" xfId="6702" xr:uid="{00000000-0005-0000-0000-0000601C0000}"/>
    <cellStyle name="Calculation 7 35 2" xfId="6703" xr:uid="{00000000-0005-0000-0000-0000611C0000}"/>
    <cellStyle name="Calculation 7 36" xfId="6704" xr:uid="{00000000-0005-0000-0000-0000621C0000}"/>
    <cellStyle name="Calculation 7 36 2" xfId="6705" xr:uid="{00000000-0005-0000-0000-0000631C0000}"/>
    <cellStyle name="Calculation 7 37" xfId="6706" xr:uid="{00000000-0005-0000-0000-0000641C0000}"/>
    <cellStyle name="Calculation 7 37 2" xfId="6707" xr:uid="{00000000-0005-0000-0000-0000651C0000}"/>
    <cellStyle name="Calculation 7 38" xfId="6708" xr:uid="{00000000-0005-0000-0000-0000661C0000}"/>
    <cellStyle name="Calculation 7 38 2" xfId="6709" xr:uid="{00000000-0005-0000-0000-0000671C0000}"/>
    <cellStyle name="Calculation 7 39" xfId="6710" xr:uid="{00000000-0005-0000-0000-0000681C0000}"/>
    <cellStyle name="Calculation 7 39 2" xfId="6711" xr:uid="{00000000-0005-0000-0000-0000691C0000}"/>
    <cellStyle name="Calculation 7 4" xfId="6712" xr:uid="{00000000-0005-0000-0000-00006A1C0000}"/>
    <cellStyle name="Calculation 7 4 2" xfId="6713" xr:uid="{00000000-0005-0000-0000-00006B1C0000}"/>
    <cellStyle name="Calculation 7 40" xfId="6714" xr:uid="{00000000-0005-0000-0000-00006C1C0000}"/>
    <cellStyle name="Calculation 7 40 2" xfId="6715" xr:uid="{00000000-0005-0000-0000-00006D1C0000}"/>
    <cellStyle name="Calculation 7 41" xfId="6716" xr:uid="{00000000-0005-0000-0000-00006E1C0000}"/>
    <cellStyle name="Calculation 7 41 2" xfId="6717" xr:uid="{00000000-0005-0000-0000-00006F1C0000}"/>
    <cellStyle name="Calculation 7 42" xfId="6718" xr:uid="{00000000-0005-0000-0000-0000701C0000}"/>
    <cellStyle name="Calculation 7 42 2" xfId="6719" xr:uid="{00000000-0005-0000-0000-0000711C0000}"/>
    <cellStyle name="Calculation 7 43" xfId="6720" xr:uid="{00000000-0005-0000-0000-0000721C0000}"/>
    <cellStyle name="Calculation 7 43 2" xfId="6721" xr:uid="{00000000-0005-0000-0000-0000731C0000}"/>
    <cellStyle name="Calculation 7 44" xfId="6722" xr:uid="{00000000-0005-0000-0000-0000741C0000}"/>
    <cellStyle name="Calculation 7 44 2" xfId="6723" xr:uid="{00000000-0005-0000-0000-0000751C0000}"/>
    <cellStyle name="Calculation 7 45" xfId="6724" xr:uid="{00000000-0005-0000-0000-0000761C0000}"/>
    <cellStyle name="Calculation 7 45 2" xfId="6725" xr:uid="{00000000-0005-0000-0000-0000771C0000}"/>
    <cellStyle name="Calculation 7 46" xfId="6726" xr:uid="{00000000-0005-0000-0000-0000781C0000}"/>
    <cellStyle name="Calculation 7 46 2" xfId="6727" xr:uid="{00000000-0005-0000-0000-0000791C0000}"/>
    <cellStyle name="Calculation 7 47" xfId="6728" xr:uid="{00000000-0005-0000-0000-00007A1C0000}"/>
    <cellStyle name="Calculation 7 47 2" xfId="6729" xr:uid="{00000000-0005-0000-0000-00007B1C0000}"/>
    <cellStyle name="Calculation 7 48" xfId="6730" xr:uid="{00000000-0005-0000-0000-00007C1C0000}"/>
    <cellStyle name="Calculation 7 48 2" xfId="6731" xr:uid="{00000000-0005-0000-0000-00007D1C0000}"/>
    <cellStyle name="Calculation 7 49" xfId="6732" xr:uid="{00000000-0005-0000-0000-00007E1C0000}"/>
    <cellStyle name="Calculation 7 49 2" xfId="6733" xr:uid="{00000000-0005-0000-0000-00007F1C0000}"/>
    <cellStyle name="Calculation 7 5" xfId="6734" xr:uid="{00000000-0005-0000-0000-0000801C0000}"/>
    <cellStyle name="Calculation 7 5 2" xfId="6735" xr:uid="{00000000-0005-0000-0000-0000811C0000}"/>
    <cellStyle name="Calculation 7 50" xfId="6736" xr:uid="{00000000-0005-0000-0000-0000821C0000}"/>
    <cellStyle name="Calculation 7 50 2" xfId="6737" xr:uid="{00000000-0005-0000-0000-0000831C0000}"/>
    <cellStyle name="Calculation 7 51" xfId="6738" xr:uid="{00000000-0005-0000-0000-0000841C0000}"/>
    <cellStyle name="Calculation 7 51 2" xfId="6739" xr:uid="{00000000-0005-0000-0000-0000851C0000}"/>
    <cellStyle name="Calculation 7 52" xfId="6740" xr:uid="{00000000-0005-0000-0000-0000861C0000}"/>
    <cellStyle name="Calculation 7 52 2" xfId="6741" xr:uid="{00000000-0005-0000-0000-0000871C0000}"/>
    <cellStyle name="Calculation 7 53" xfId="6742" xr:uid="{00000000-0005-0000-0000-0000881C0000}"/>
    <cellStyle name="Calculation 7 53 2" xfId="6743" xr:uid="{00000000-0005-0000-0000-0000891C0000}"/>
    <cellStyle name="Calculation 7 54" xfId="6744" xr:uid="{00000000-0005-0000-0000-00008A1C0000}"/>
    <cellStyle name="Calculation 7 54 2" xfId="6745" xr:uid="{00000000-0005-0000-0000-00008B1C0000}"/>
    <cellStyle name="Calculation 7 55" xfId="6746" xr:uid="{00000000-0005-0000-0000-00008C1C0000}"/>
    <cellStyle name="Calculation 7 55 2" xfId="6747" xr:uid="{00000000-0005-0000-0000-00008D1C0000}"/>
    <cellStyle name="Calculation 7 56" xfId="6748" xr:uid="{00000000-0005-0000-0000-00008E1C0000}"/>
    <cellStyle name="Calculation 7 56 2" xfId="6749" xr:uid="{00000000-0005-0000-0000-00008F1C0000}"/>
    <cellStyle name="Calculation 7 57" xfId="6750" xr:uid="{00000000-0005-0000-0000-0000901C0000}"/>
    <cellStyle name="Calculation 7 57 2" xfId="6751" xr:uid="{00000000-0005-0000-0000-0000911C0000}"/>
    <cellStyle name="Calculation 7 58" xfId="6752" xr:uid="{00000000-0005-0000-0000-0000921C0000}"/>
    <cellStyle name="Calculation 7 58 2" xfId="6753" xr:uid="{00000000-0005-0000-0000-0000931C0000}"/>
    <cellStyle name="Calculation 7 59" xfId="6754" xr:uid="{00000000-0005-0000-0000-0000941C0000}"/>
    <cellStyle name="Calculation 7 59 2" xfId="6755" xr:uid="{00000000-0005-0000-0000-0000951C0000}"/>
    <cellStyle name="Calculation 7 6" xfId="6756" xr:uid="{00000000-0005-0000-0000-0000961C0000}"/>
    <cellStyle name="Calculation 7 6 2" xfId="6757" xr:uid="{00000000-0005-0000-0000-0000971C0000}"/>
    <cellStyle name="Calculation 7 60" xfId="6758" xr:uid="{00000000-0005-0000-0000-0000981C0000}"/>
    <cellStyle name="Calculation 7 60 2" xfId="6759" xr:uid="{00000000-0005-0000-0000-0000991C0000}"/>
    <cellStyle name="Calculation 7 61" xfId="6760" xr:uid="{00000000-0005-0000-0000-00009A1C0000}"/>
    <cellStyle name="Calculation 7 61 2" xfId="6761" xr:uid="{00000000-0005-0000-0000-00009B1C0000}"/>
    <cellStyle name="Calculation 7 62" xfId="6762" xr:uid="{00000000-0005-0000-0000-00009C1C0000}"/>
    <cellStyle name="Calculation 7 62 2" xfId="6763" xr:uid="{00000000-0005-0000-0000-00009D1C0000}"/>
    <cellStyle name="Calculation 7 63" xfId="6764" xr:uid="{00000000-0005-0000-0000-00009E1C0000}"/>
    <cellStyle name="Calculation 7 7" xfId="6765" xr:uid="{00000000-0005-0000-0000-00009F1C0000}"/>
    <cellStyle name="Calculation 7 7 2" xfId="6766" xr:uid="{00000000-0005-0000-0000-0000A01C0000}"/>
    <cellStyle name="Calculation 7 8" xfId="6767" xr:uid="{00000000-0005-0000-0000-0000A11C0000}"/>
    <cellStyle name="Calculation 7 8 2" xfId="6768" xr:uid="{00000000-0005-0000-0000-0000A21C0000}"/>
    <cellStyle name="Calculation 7 9" xfId="6769" xr:uid="{00000000-0005-0000-0000-0000A31C0000}"/>
    <cellStyle name="Calculation 7 9 2" xfId="6770" xr:uid="{00000000-0005-0000-0000-0000A41C0000}"/>
    <cellStyle name="Calculation 8" xfId="6771" xr:uid="{00000000-0005-0000-0000-0000A51C0000}"/>
    <cellStyle name="Calculation 8 10" xfId="6772" xr:uid="{00000000-0005-0000-0000-0000A61C0000}"/>
    <cellStyle name="Calculation 8 10 2" xfId="6773" xr:uid="{00000000-0005-0000-0000-0000A71C0000}"/>
    <cellStyle name="Calculation 8 11" xfId="6774" xr:uid="{00000000-0005-0000-0000-0000A81C0000}"/>
    <cellStyle name="Calculation 8 11 2" xfId="6775" xr:uid="{00000000-0005-0000-0000-0000A91C0000}"/>
    <cellStyle name="Calculation 8 12" xfId="6776" xr:uid="{00000000-0005-0000-0000-0000AA1C0000}"/>
    <cellStyle name="Calculation 8 12 2" xfId="6777" xr:uid="{00000000-0005-0000-0000-0000AB1C0000}"/>
    <cellStyle name="Calculation 8 13" xfId="6778" xr:uid="{00000000-0005-0000-0000-0000AC1C0000}"/>
    <cellStyle name="Calculation 8 13 2" xfId="6779" xr:uid="{00000000-0005-0000-0000-0000AD1C0000}"/>
    <cellStyle name="Calculation 8 14" xfId="6780" xr:uid="{00000000-0005-0000-0000-0000AE1C0000}"/>
    <cellStyle name="Calculation 8 14 2" xfId="6781" xr:uid="{00000000-0005-0000-0000-0000AF1C0000}"/>
    <cellStyle name="Calculation 8 15" xfId="6782" xr:uid="{00000000-0005-0000-0000-0000B01C0000}"/>
    <cellStyle name="Calculation 8 15 2" xfId="6783" xr:uid="{00000000-0005-0000-0000-0000B11C0000}"/>
    <cellStyle name="Calculation 8 16" xfId="6784" xr:uid="{00000000-0005-0000-0000-0000B21C0000}"/>
    <cellStyle name="Calculation 8 16 2" xfId="6785" xr:uid="{00000000-0005-0000-0000-0000B31C0000}"/>
    <cellStyle name="Calculation 8 17" xfId="6786" xr:uid="{00000000-0005-0000-0000-0000B41C0000}"/>
    <cellStyle name="Calculation 8 17 2" xfId="6787" xr:uid="{00000000-0005-0000-0000-0000B51C0000}"/>
    <cellStyle name="Calculation 8 18" xfId="6788" xr:uid="{00000000-0005-0000-0000-0000B61C0000}"/>
    <cellStyle name="Calculation 8 18 2" xfId="6789" xr:uid="{00000000-0005-0000-0000-0000B71C0000}"/>
    <cellStyle name="Calculation 8 19" xfId="6790" xr:uid="{00000000-0005-0000-0000-0000B81C0000}"/>
    <cellStyle name="Calculation 8 19 2" xfId="6791" xr:uid="{00000000-0005-0000-0000-0000B91C0000}"/>
    <cellStyle name="Calculation 8 2" xfId="6792" xr:uid="{00000000-0005-0000-0000-0000BA1C0000}"/>
    <cellStyle name="Calculation 8 2 2" xfId="6793" xr:uid="{00000000-0005-0000-0000-0000BB1C0000}"/>
    <cellStyle name="Calculation 8 20" xfId="6794" xr:uid="{00000000-0005-0000-0000-0000BC1C0000}"/>
    <cellStyle name="Calculation 8 20 2" xfId="6795" xr:uid="{00000000-0005-0000-0000-0000BD1C0000}"/>
    <cellStyle name="Calculation 8 21" xfId="6796" xr:uid="{00000000-0005-0000-0000-0000BE1C0000}"/>
    <cellStyle name="Calculation 8 21 2" xfId="6797" xr:uid="{00000000-0005-0000-0000-0000BF1C0000}"/>
    <cellStyle name="Calculation 8 22" xfId="6798" xr:uid="{00000000-0005-0000-0000-0000C01C0000}"/>
    <cellStyle name="Calculation 8 22 2" xfId="6799" xr:uid="{00000000-0005-0000-0000-0000C11C0000}"/>
    <cellStyle name="Calculation 8 23" xfId="6800" xr:uid="{00000000-0005-0000-0000-0000C21C0000}"/>
    <cellStyle name="Calculation 8 23 2" xfId="6801" xr:uid="{00000000-0005-0000-0000-0000C31C0000}"/>
    <cellStyle name="Calculation 8 24" xfId="6802" xr:uid="{00000000-0005-0000-0000-0000C41C0000}"/>
    <cellStyle name="Calculation 8 24 2" xfId="6803" xr:uid="{00000000-0005-0000-0000-0000C51C0000}"/>
    <cellStyle name="Calculation 8 25" xfId="6804" xr:uid="{00000000-0005-0000-0000-0000C61C0000}"/>
    <cellStyle name="Calculation 8 25 2" xfId="6805" xr:uid="{00000000-0005-0000-0000-0000C71C0000}"/>
    <cellStyle name="Calculation 8 26" xfId="6806" xr:uid="{00000000-0005-0000-0000-0000C81C0000}"/>
    <cellStyle name="Calculation 8 26 2" xfId="6807" xr:uid="{00000000-0005-0000-0000-0000C91C0000}"/>
    <cellStyle name="Calculation 8 27" xfId="6808" xr:uid="{00000000-0005-0000-0000-0000CA1C0000}"/>
    <cellStyle name="Calculation 8 27 2" xfId="6809" xr:uid="{00000000-0005-0000-0000-0000CB1C0000}"/>
    <cellStyle name="Calculation 8 28" xfId="6810" xr:uid="{00000000-0005-0000-0000-0000CC1C0000}"/>
    <cellStyle name="Calculation 8 28 2" xfId="6811" xr:uid="{00000000-0005-0000-0000-0000CD1C0000}"/>
    <cellStyle name="Calculation 8 29" xfId="6812" xr:uid="{00000000-0005-0000-0000-0000CE1C0000}"/>
    <cellStyle name="Calculation 8 29 2" xfId="6813" xr:uid="{00000000-0005-0000-0000-0000CF1C0000}"/>
    <cellStyle name="Calculation 8 3" xfId="6814" xr:uid="{00000000-0005-0000-0000-0000D01C0000}"/>
    <cellStyle name="Calculation 8 3 2" xfId="6815" xr:uid="{00000000-0005-0000-0000-0000D11C0000}"/>
    <cellStyle name="Calculation 8 30" xfId="6816" xr:uid="{00000000-0005-0000-0000-0000D21C0000}"/>
    <cellStyle name="Calculation 8 30 2" xfId="6817" xr:uid="{00000000-0005-0000-0000-0000D31C0000}"/>
    <cellStyle name="Calculation 8 31" xfId="6818" xr:uid="{00000000-0005-0000-0000-0000D41C0000}"/>
    <cellStyle name="Calculation 8 31 2" xfId="6819" xr:uid="{00000000-0005-0000-0000-0000D51C0000}"/>
    <cellStyle name="Calculation 8 32" xfId="6820" xr:uid="{00000000-0005-0000-0000-0000D61C0000}"/>
    <cellStyle name="Calculation 8 32 2" xfId="6821" xr:uid="{00000000-0005-0000-0000-0000D71C0000}"/>
    <cellStyle name="Calculation 8 33" xfId="6822" xr:uid="{00000000-0005-0000-0000-0000D81C0000}"/>
    <cellStyle name="Calculation 8 33 2" xfId="6823" xr:uid="{00000000-0005-0000-0000-0000D91C0000}"/>
    <cellStyle name="Calculation 8 34" xfId="6824" xr:uid="{00000000-0005-0000-0000-0000DA1C0000}"/>
    <cellStyle name="Calculation 8 34 2" xfId="6825" xr:uid="{00000000-0005-0000-0000-0000DB1C0000}"/>
    <cellStyle name="Calculation 8 35" xfId="6826" xr:uid="{00000000-0005-0000-0000-0000DC1C0000}"/>
    <cellStyle name="Calculation 8 35 2" xfId="6827" xr:uid="{00000000-0005-0000-0000-0000DD1C0000}"/>
    <cellStyle name="Calculation 8 36" xfId="6828" xr:uid="{00000000-0005-0000-0000-0000DE1C0000}"/>
    <cellStyle name="Calculation 8 36 2" xfId="6829" xr:uid="{00000000-0005-0000-0000-0000DF1C0000}"/>
    <cellStyle name="Calculation 8 37" xfId="6830" xr:uid="{00000000-0005-0000-0000-0000E01C0000}"/>
    <cellStyle name="Calculation 8 37 2" xfId="6831" xr:uid="{00000000-0005-0000-0000-0000E11C0000}"/>
    <cellStyle name="Calculation 8 38" xfId="6832" xr:uid="{00000000-0005-0000-0000-0000E21C0000}"/>
    <cellStyle name="Calculation 8 38 2" xfId="6833" xr:uid="{00000000-0005-0000-0000-0000E31C0000}"/>
    <cellStyle name="Calculation 8 39" xfId="6834" xr:uid="{00000000-0005-0000-0000-0000E41C0000}"/>
    <cellStyle name="Calculation 8 39 2" xfId="6835" xr:uid="{00000000-0005-0000-0000-0000E51C0000}"/>
    <cellStyle name="Calculation 8 4" xfId="6836" xr:uid="{00000000-0005-0000-0000-0000E61C0000}"/>
    <cellStyle name="Calculation 8 4 2" xfId="6837" xr:uid="{00000000-0005-0000-0000-0000E71C0000}"/>
    <cellStyle name="Calculation 8 40" xfId="6838" xr:uid="{00000000-0005-0000-0000-0000E81C0000}"/>
    <cellStyle name="Calculation 8 40 2" xfId="6839" xr:uid="{00000000-0005-0000-0000-0000E91C0000}"/>
    <cellStyle name="Calculation 8 41" xfId="6840" xr:uid="{00000000-0005-0000-0000-0000EA1C0000}"/>
    <cellStyle name="Calculation 8 41 2" xfId="6841" xr:uid="{00000000-0005-0000-0000-0000EB1C0000}"/>
    <cellStyle name="Calculation 8 42" xfId="6842" xr:uid="{00000000-0005-0000-0000-0000EC1C0000}"/>
    <cellStyle name="Calculation 8 42 2" xfId="6843" xr:uid="{00000000-0005-0000-0000-0000ED1C0000}"/>
    <cellStyle name="Calculation 8 43" xfId="6844" xr:uid="{00000000-0005-0000-0000-0000EE1C0000}"/>
    <cellStyle name="Calculation 8 43 2" xfId="6845" xr:uid="{00000000-0005-0000-0000-0000EF1C0000}"/>
    <cellStyle name="Calculation 8 44" xfId="6846" xr:uid="{00000000-0005-0000-0000-0000F01C0000}"/>
    <cellStyle name="Calculation 8 44 2" xfId="6847" xr:uid="{00000000-0005-0000-0000-0000F11C0000}"/>
    <cellStyle name="Calculation 8 45" xfId="6848" xr:uid="{00000000-0005-0000-0000-0000F21C0000}"/>
    <cellStyle name="Calculation 8 45 2" xfId="6849" xr:uid="{00000000-0005-0000-0000-0000F31C0000}"/>
    <cellStyle name="Calculation 8 46" xfId="6850" xr:uid="{00000000-0005-0000-0000-0000F41C0000}"/>
    <cellStyle name="Calculation 8 46 2" xfId="6851" xr:uid="{00000000-0005-0000-0000-0000F51C0000}"/>
    <cellStyle name="Calculation 8 47" xfId="6852" xr:uid="{00000000-0005-0000-0000-0000F61C0000}"/>
    <cellStyle name="Calculation 8 47 2" xfId="6853" xr:uid="{00000000-0005-0000-0000-0000F71C0000}"/>
    <cellStyle name="Calculation 8 48" xfId="6854" xr:uid="{00000000-0005-0000-0000-0000F81C0000}"/>
    <cellStyle name="Calculation 8 48 2" xfId="6855" xr:uid="{00000000-0005-0000-0000-0000F91C0000}"/>
    <cellStyle name="Calculation 8 49" xfId="6856" xr:uid="{00000000-0005-0000-0000-0000FA1C0000}"/>
    <cellStyle name="Calculation 8 49 2" xfId="6857" xr:uid="{00000000-0005-0000-0000-0000FB1C0000}"/>
    <cellStyle name="Calculation 8 5" xfId="6858" xr:uid="{00000000-0005-0000-0000-0000FC1C0000}"/>
    <cellStyle name="Calculation 8 5 2" xfId="6859" xr:uid="{00000000-0005-0000-0000-0000FD1C0000}"/>
    <cellStyle name="Calculation 8 50" xfId="6860" xr:uid="{00000000-0005-0000-0000-0000FE1C0000}"/>
    <cellStyle name="Calculation 8 50 2" xfId="6861" xr:uid="{00000000-0005-0000-0000-0000FF1C0000}"/>
    <cellStyle name="Calculation 8 51" xfId="6862" xr:uid="{00000000-0005-0000-0000-0000001D0000}"/>
    <cellStyle name="Calculation 8 51 2" xfId="6863" xr:uid="{00000000-0005-0000-0000-0000011D0000}"/>
    <cellStyle name="Calculation 8 52" xfId="6864" xr:uid="{00000000-0005-0000-0000-0000021D0000}"/>
    <cellStyle name="Calculation 8 52 2" xfId="6865" xr:uid="{00000000-0005-0000-0000-0000031D0000}"/>
    <cellStyle name="Calculation 8 53" xfId="6866" xr:uid="{00000000-0005-0000-0000-0000041D0000}"/>
    <cellStyle name="Calculation 8 53 2" xfId="6867" xr:uid="{00000000-0005-0000-0000-0000051D0000}"/>
    <cellStyle name="Calculation 8 54" xfId="6868" xr:uid="{00000000-0005-0000-0000-0000061D0000}"/>
    <cellStyle name="Calculation 8 54 2" xfId="6869" xr:uid="{00000000-0005-0000-0000-0000071D0000}"/>
    <cellStyle name="Calculation 8 55" xfId="6870" xr:uid="{00000000-0005-0000-0000-0000081D0000}"/>
    <cellStyle name="Calculation 8 55 2" xfId="6871" xr:uid="{00000000-0005-0000-0000-0000091D0000}"/>
    <cellStyle name="Calculation 8 56" xfId="6872" xr:uid="{00000000-0005-0000-0000-00000A1D0000}"/>
    <cellStyle name="Calculation 8 56 2" xfId="6873" xr:uid="{00000000-0005-0000-0000-00000B1D0000}"/>
    <cellStyle name="Calculation 8 57" xfId="6874" xr:uid="{00000000-0005-0000-0000-00000C1D0000}"/>
    <cellStyle name="Calculation 8 57 2" xfId="6875" xr:uid="{00000000-0005-0000-0000-00000D1D0000}"/>
    <cellStyle name="Calculation 8 58" xfId="6876" xr:uid="{00000000-0005-0000-0000-00000E1D0000}"/>
    <cellStyle name="Calculation 8 58 2" xfId="6877" xr:uid="{00000000-0005-0000-0000-00000F1D0000}"/>
    <cellStyle name="Calculation 8 59" xfId="6878" xr:uid="{00000000-0005-0000-0000-0000101D0000}"/>
    <cellStyle name="Calculation 8 59 2" xfId="6879" xr:uid="{00000000-0005-0000-0000-0000111D0000}"/>
    <cellStyle name="Calculation 8 6" xfId="6880" xr:uid="{00000000-0005-0000-0000-0000121D0000}"/>
    <cellStyle name="Calculation 8 6 2" xfId="6881" xr:uid="{00000000-0005-0000-0000-0000131D0000}"/>
    <cellStyle name="Calculation 8 60" xfId="6882" xr:uid="{00000000-0005-0000-0000-0000141D0000}"/>
    <cellStyle name="Calculation 8 60 2" xfId="6883" xr:uid="{00000000-0005-0000-0000-0000151D0000}"/>
    <cellStyle name="Calculation 8 61" xfId="6884" xr:uid="{00000000-0005-0000-0000-0000161D0000}"/>
    <cellStyle name="Calculation 8 61 2" xfId="6885" xr:uid="{00000000-0005-0000-0000-0000171D0000}"/>
    <cellStyle name="Calculation 8 62" xfId="6886" xr:uid="{00000000-0005-0000-0000-0000181D0000}"/>
    <cellStyle name="Calculation 8 62 2" xfId="6887" xr:uid="{00000000-0005-0000-0000-0000191D0000}"/>
    <cellStyle name="Calculation 8 63" xfId="6888" xr:uid="{00000000-0005-0000-0000-00001A1D0000}"/>
    <cellStyle name="Calculation 8 7" xfId="6889" xr:uid="{00000000-0005-0000-0000-00001B1D0000}"/>
    <cellStyle name="Calculation 8 7 2" xfId="6890" xr:uid="{00000000-0005-0000-0000-00001C1D0000}"/>
    <cellStyle name="Calculation 8 8" xfId="6891" xr:uid="{00000000-0005-0000-0000-00001D1D0000}"/>
    <cellStyle name="Calculation 8 8 2" xfId="6892" xr:uid="{00000000-0005-0000-0000-00001E1D0000}"/>
    <cellStyle name="Calculation 8 9" xfId="6893" xr:uid="{00000000-0005-0000-0000-00001F1D0000}"/>
    <cellStyle name="Calculation 8 9 2" xfId="6894" xr:uid="{00000000-0005-0000-0000-0000201D0000}"/>
    <cellStyle name="Calculation 9" xfId="6895" xr:uid="{00000000-0005-0000-0000-0000211D0000}"/>
    <cellStyle name="Calculation 9 10" xfId="6896" xr:uid="{00000000-0005-0000-0000-0000221D0000}"/>
    <cellStyle name="Calculation 9 10 2" xfId="6897" xr:uid="{00000000-0005-0000-0000-0000231D0000}"/>
    <cellStyle name="Calculation 9 11" xfId="6898" xr:uid="{00000000-0005-0000-0000-0000241D0000}"/>
    <cellStyle name="Calculation 9 11 2" xfId="6899" xr:uid="{00000000-0005-0000-0000-0000251D0000}"/>
    <cellStyle name="Calculation 9 12" xfId="6900" xr:uid="{00000000-0005-0000-0000-0000261D0000}"/>
    <cellStyle name="Calculation 9 12 2" xfId="6901" xr:uid="{00000000-0005-0000-0000-0000271D0000}"/>
    <cellStyle name="Calculation 9 13" xfId="6902" xr:uid="{00000000-0005-0000-0000-0000281D0000}"/>
    <cellStyle name="Calculation 9 13 2" xfId="6903" xr:uid="{00000000-0005-0000-0000-0000291D0000}"/>
    <cellStyle name="Calculation 9 14" xfId="6904" xr:uid="{00000000-0005-0000-0000-00002A1D0000}"/>
    <cellStyle name="Calculation 9 14 2" xfId="6905" xr:uid="{00000000-0005-0000-0000-00002B1D0000}"/>
    <cellStyle name="Calculation 9 15" xfId="6906" xr:uid="{00000000-0005-0000-0000-00002C1D0000}"/>
    <cellStyle name="Calculation 9 15 2" xfId="6907" xr:uid="{00000000-0005-0000-0000-00002D1D0000}"/>
    <cellStyle name="Calculation 9 16" xfId="6908" xr:uid="{00000000-0005-0000-0000-00002E1D0000}"/>
    <cellStyle name="Calculation 9 16 2" xfId="6909" xr:uid="{00000000-0005-0000-0000-00002F1D0000}"/>
    <cellStyle name="Calculation 9 17" xfId="6910" xr:uid="{00000000-0005-0000-0000-0000301D0000}"/>
    <cellStyle name="Calculation 9 17 2" xfId="6911" xr:uid="{00000000-0005-0000-0000-0000311D0000}"/>
    <cellStyle name="Calculation 9 18" xfId="6912" xr:uid="{00000000-0005-0000-0000-0000321D0000}"/>
    <cellStyle name="Calculation 9 18 2" xfId="6913" xr:uid="{00000000-0005-0000-0000-0000331D0000}"/>
    <cellStyle name="Calculation 9 19" xfId="6914" xr:uid="{00000000-0005-0000-0000-0000341D0000}"/>
    <cellStyle name="Calculation 9 19 2" xfId="6915" xr:uid="{00000000-0005-0000-0000-0000351D0000}"/>
    <cellStyle name="Calculation 9 2" xfId="6916" xr:uid="{00000000-0005-0000-0000-0000361D0000}"/>
    <cellStyle name="Calculation 9 2 2" xfId="6917" xr:uid="{00000000-0005-0000-0000-0000371D0000}"/>
    <cellStyle name="Calculation 9 20" xfId="6918" xr:uid="{00000000-0005-0000-0000-0000381D0000}"/>
    <cellStyle name="Calculation 9 20 2" xfId="6919" xr:uid="{00000000-0005-0000-0000-0000391D0000}"/>
    <cellStyle name="Calculation 9 21" xfId="6920" xr:uid="{00000000-0005-0000-0000-00003A1D0000}"/>
    <cellStyle name="Calculation 9 21 2" xfId="6921" xr:uid="{00000000-0005-0000-0000-00003B1D0000}"/>
    <cellStyle name="Calculation 9 22" xfId="6922" xr:uid="{00000000-0005-0000-0000-00003C1D0000}"/>
    <cellStyle name="Calculation 9 22 2" xfId="6923" xr:uid="{00000000-0005-0000-0000-00003D1D0000}"/>
    <cellStyle name="Calculation 9 23" xfId="6924" xr:uid="{00000000-0005-0000-0000-00003E1D0000}"/>
    <cellStyle name="Calculation 9 23 2" xfId="6925" xr:uid="{00000000-0005-0000-0000-00003F1D0000}"/>
    <cellStyle name="Calculation 9 24" xfId="6926" xr:uid="{00000000-0005-0000-0000-0000401D0000}"/>
    <cellStyle name="Calculation 9 24 2" xfId="6927" xr:uid="{00000000-0005-0000-0000-0000411D0000}"/>
    <cellStyle name="Calculation 9 25" xfId="6928" xr:uid="{00000000-0005-0000-0000-0000421D0000}"/>
    <cellStyle name="Calculation 9 25 2" xfId="6929" xr:uid="{00000000-0005-0000-0000-0000431D0000}"/>
    <cellStyle name="Calculation 9 26" xfId="6930" xr:uid="{00000000-0005-0000-0000-0000441D0000}"/>
    <cellStyle name="Calculation 9 26 2" xfId="6931" xr:uid="{00000000-0005-0000-0000-0000451D0000}"/>
    <cellStyle name="Calculation 9 27" xfId="6932" xr:uid="{00000000-0005-0000-0000-0000461D0000}"/>
    <cellStyle name="Calculation 9 27 2" xfId="6933" xr:uid="{00000000-0005-0000-0000-0000471D0000}"/>
    <cellStyle name="Calculation 9 28" xfId="6934" xr:uid="{00000000-0005-0000-0000-0000481D0000}"/>
    <cellStyle name="Calculation 9 28 2" xfId="6935" xr:uid="{00000000-0005-0000-0000-0000491D0000}"/>
    <cellStyle name="Calculation 9 29" xfId="6936" xr:uid="{00000000-0005-0000-0000-00004A1D0000}"/>
    <cellStyle name="Calculation 9 29 2" xfId="6937" xr:uid="{00000000-0005-0000-0000-00004B1D0000}"/>
    <cellStyle name="Calculation 9 3" xfId="6938" xr:uid="{00000000-0005-0000-0000-00004C1D0000}"/>
    <cellStyle name="Calculation 9 3 2" xfId="6939" xr:uid="{00000000-0005-0000-0000-00004D1D0000}"/>
    <cellStyle name="Calculation 9 30" xfId="6940" xr:uid="{00000000-0005-0000-0000-00004E1D0000}"/>
    <cellStyle name="Calculation 9 30 2" xfId="6941" xr:uid="{00000000-0005-0000-0000-00004F1D0000}"/>
    <cellStyle name="Calculation 9 31" xfId="6942" xr:uid="{00000000-0005-0000-0000-0000501D0000}"/>
    <cellStyle name="Calculation 9 31 2" xfId="6943" xr:uid="{00000000-0005-0000-0000-0000511D0000}"/>
    <cellStyle name="Calculation 9 32" xfId="6944" xr:uid="{00000000-0005-0000-0000-0000521D0000}"/>
    <cellStyle name="Calculation 9 32 2" xfId="6945" xr:uid="{00000000-0005-0000-0000-0000531D0000}"/>
    <cellStyle name="Calculation 9 33" xfId="6946" xr:uid="{00000000-0005-0000-0000-0000541D0000}"/>
    <cellStyle name="Calculation 9 33 2" xfId="6947" xr:uid="{00000000-0005-0000-0000-0000551D0000}"/>
    <cellStyle name="Calculation 9 34" xfId="6948" xr:uid="{00000000-0005-0000-0000-0000561D0000}"/>
    <cellStyle name="Calculation 9 34 2" xfId="6949" xr:uid="{00000000-0005-0000-0000-0000571D0000}"/>
    <cellStyle name="Calculation 9 35" xfId="6950" xr:uid="{00000000-0005-0000-0000-0000581D0000}"/>
    <cellStyle name="Calculation 9 35 2" xfId="6951" xr:uid="{00000000-0005-0000-0000-0000591D0000}"/>
    <cellStyle name="Calculation 9 36" xfId="6952" xr:uid="{00000000-0005-0000-0000-00005A1D0000}"/>
    <cellStyle name="Calculation 9 36 2" xfId="6953" xr:uid="{00000000-0005-0000-0000-00005B1D0000}"/>
    <cellStyle name="Calculation 9 37" xfId="6954" xr:uid="{00000000-0005-0000-0000-00005C1D0000}"/>
    <cellStyle name="Calculation 9 37 2" xfId="6955" xr:uid="{00000000-0005-0000-0000-00005D1D0000}"/>
    <cellStyle name="Calculation 9 38" xfId="6956" xr:uid="{00000000-0005-0000-0000-00005E1D0000}"/>
    <cellStyle name="Calculation 9 38 2" xfId="6957" xr:uid="{00000000-0005-0000-0000-00005F1D0000}"/>
    <cellStyle name="Calculation 9 39" xfId="6958" xr:uid="{00000000-0005-0000-0000-0000601D0000}"/>
    <cellStyle name="Calculation 9 39 2" xfId="6959" xr:uid="{00000000-0005-0000-0000-0000611D0000}"/>
    <cellStyle name="Calculation 9 4" xfId="6960" xr:uid="{00000000-0005-0000-0000-0000621D0000}"/>
    <cellStyle name="Calculation 9 4 2" xfId="6961" xr:uid="{00000000-0005-0000-0000-0000631D0000}"/>
    <cellStyle name="Calculation 9 40" xfId="6962" xr:uid="{00000000-0005-0000-0000-0000641D0000}"/>
    <cellStyle name="Calculation 9 40 2" xfId="6963" xr:uid="{00000000-0005-0000-0000-0000651D0000}"/>
    <cellStyle name="Calculation 9 41" xfId="6964" xr:uid="{00000000-0005-0000-0000-0000661D0000}"/>
    <cellStyle name="Calculation 9 41 2" xfId="6965" xr:uid="{00000000-0005-0000-0000-0000671D0000}"/>
    <cellStyle name="Calculation 9 42" xfId="6966" xr:uid="{00000000-0005-0000-0000-0000681D0000}"/>
    <cellStyle name="Calculation 9 42 2" xfId="6967" xr:uid="{00000000-0005-0000-0000-0000691D0000}"/>
    <cellStyle name="Calculation 9 43" xfId="6968" xr:uid="{00000000-0005-0000-0000-00006A1D0000}"/>
    <cellStyle name="Calculation 9 43 2" xfId="6969" xr:uid="{00000000-0005-0000-0000-00006B1D0000}"/>
    <cellStyle name="Calculation 9 44" xfId="6970" xr:uid="{00000000-0005-0000-0000-00006C1D0000}"/>
    <cellStyle name="Calculation 9 44 2" xfId="6971" xr:uid="{00000000-0005-0000-0000-00006D1D0000}"/>
    <cellStyle name="Calculation 9 45" xfId="6972" xr:uid="{00000000-0005-0000-0000-00006E1D0000}"/>
    <cellStyle name="Calculation 9 45 2" xfId="6973" xr:uid="{00000000-0005-0000-0000-00006F1D0000}"/>
    <cellStyle name="Calculation 9 46" xfId="6974" xr:uid="{00000000-0005-0000-0000-0000701D0000}"/>
    <cellStyle name="Calculation 9 46 2" xfId="6975" xr:uid="{00000000-0005-0000-0000-0000711D0000}"/>
    <cellStyle name="Calculation 9 47" xfId="6976" xr:uid="{00000000-0005-0000-0000-0000721D0000}"/>
    <cellStyle name="Calculation 9 47 2" xfId="6977" xr:uid="{00000000-0005-0000-0000-0000731D0000}"/>
    <cellStyle name="Calculation 9 48" xfId="6978" xr:uid="{00000000-0005-0000-0000-0000741D0000}"/>
    <cellStyle name="Calculation 9 48 2" xfId="6979" xr:uid="{00000000-0005-0000-0000-0000751D0000}"/>
    <cellStyle name="Calculation 9 49" xfId="6980" xr:uid="{00000000-0005-0000-0000-0000761D0000}"/>
    <cellStyle name="Calculation 9 49 2" xfId="6981" xr:uid="{00000000-0005-0000-0000-0000771D0000}"/>
    <cellStyle name="Calculation 9 5" xfId="6982" xr:uid="{00000000-0005-0000-0000-0000781D0000}"/>
    <cellStyle name="Calculation 9 5 2" xfId="6983" xr:uid="{00000000-0005-0000-0000-0000791D0000}"/>
    <cellStyle name="Calculation 9 50" xfId="6984" xr:uid="{00000000-0005-0000-0000-00007A1D0000}"/>
    <cellStyle name="Calculation 9 50 2" xfId="6985" xr:uid="{00000000-0005-0000-0000-00007B1D0000}"/>
    <cellStyle name="Calculation 9 51" xfId="6986" xr:uid="{00000000-0005-0000-0000-00007C1D0000}"/>
    <cellStyle name="Calculation 9 51 2" xfId="6987" xr:uid="{00000000-0005-0000-0000-00007D1D0000}"/>
    <cellStyle name="Calculation 9 52" xfId="6988" xr:uid="{00000000-0005-0000-0000-00007E1D0000}"/>
    <cellStyle name="Calculation 9 52 2" xfId="6989" xr:uid="{00000000-0005-0000-0000-00007F1D0000}"/>
    <cellStyle name="Calculation 9 53" xfId="6990" xr:uid="{00000000-0005-0000-0000-0000801D0000}"/>
    <cellStyle name="Calculation 9 53 2" xfId="6991" xr:uid="{00000000-0005-0000-0000-0000811D0000}"/>
    <cellStyle name="Calculation 9 54" xfId="6992" xr:uid="{00000000-0005-0000-0000-0000821D0000}"/>
    <cellStyle name="Calculation 9 54 2" xfId="6993" xr:uid="{00000000-0005-0000-0000-0000831D0000}"/>
    <cellStyle name="Calculation 9 55" xfId="6994" xr:uid="{00000000-0005-0000-0000-0000841D0000}"/>
    <cellStyle name="Calculation 9 55 2" xfId="6995" xr:uid="{00000000-0005-0000-0000-0000851D0000}"/>
    <cellStyle name="Calculation 9 56" xfId="6996" xr:uid="{00000000-0005-0000-0000-0000861D0000}"/>
    <cellStyle name="Calculation 9 56 2" xfId="6997" xr:uid="{00000000-0005-0000-0000-0000871D0000}"/>
    <cellStyle name="Calculation 9 57" xfId="6998" xr:uid="{00000000-0005-0000-0000-0000881D0000}"/>
    <cellStyle name="Calculation 9 57 2" xfId="6999" xr:uid="{00000000-0005-0000-0000-0000891D0000}"/>
    <cellStyle name="Calculation 9 58" xfId="7000" xr:uid="{00000000-0005-0000-0000-00008A1D0000}"/>
    <cellStyle name="Calculation 9 58 2" xfId="7001" xr:uid="{00000000-0005-0000-0000-00008B1D0000}"/>
    <cellStyle name="Calculation 9 59" xfId="7002" xr:uid="{00000000-0005-0000-0000-00008C1D0000}"/>
    <cellStyle name="Calculation 9 59 2" xfId="7003" xr:uid="{00000000-0005-0000-0000-00008D1D0000}"/>
    <cellStyle name="Calculation 9 6" xfId="7004" xr:uid="{00000000-0005-0000-0000-00008E1D0000}"/>
    <cellStyle name="Calculation 9 6 2" xfId="7005" xr:uid="{00000000-0005-0000-0000-00008F1D0000}"/>
    <cellStyle name="Calculation 9 60" xfId="7006" xr:uid="{00000000-0005-0000-0000-0000901D0000}"/>
    <cellStyle name="Calculation 9 60 2" xfId="7007" xr:uid="{00000000-0005-0000-0000-0000911D0000}"/>
    <cellStyle name="Calculation 9 61" xfId="7008" xr:uid="{00000000-0005-0000-0000-0000921D0000}"/>
    <cellStyle name="Calculation 9 61 2" xfId="7009" xr:uid="{00000000-0005-0000-0000-0000931D0000}"/>
    <cellStyle name="Calculation 9 62" xfId="7010" xr:uid="{00000000-0005-0000-0000-0000941D0000}"/>
    <cellStyle name="Calculation 9 62 2" xfId="7011" xr:uid="{00000000-0005-0000-0000-0000951D0000}"/>
    <cellStyle name="Calculation 9 63" xfId="7012" xr:uid="{00000000-0005-0000-0000-0000961D0000}"/>
    <cellStyle name="Calculation 9 7" xfId="7013" xr:uid="{00000000-0005-0000-0000-0000971D0000}"/>
    <cellStyle name="Calculation 9 7 2" xfId="7014" xr:uid="{00000000-0005-0000-0000-0000981D0000}"/>
    <cellStyle name="Calculation 9 8" xfId="7015" xr:uid="{00000000-0005-0000-0000-0000991D0000}"/>
    <cellStyle name="Calculation 9 8 2" xfId="7016" xr:uid="{00000000-0005-0000-0000-00009A1D0000}"/>
    <cellStyle name="Calculation 9 9" xfId="7017" xr:uid="{00000000-0005-0000-0000-00009B1D0000}"/>
    <cellStyle name="Calculation 9 9 2" xfId="7018" xr:uid="{00000000-0005-0000-0000-00009C1D0000}"/>
    <cellStyle name="category" xfId="128" xr:uid="{00000000-0005-0000-0000-00009D1D0000}"/>
    <cellStyle name="category 2" xfId="129" xr:uid="{00000000-0005-0000-0000-00009E1D0000}"/>
    <cellStyle name="ccl-tender" xfId="7019" xr:uid="{00000000-0005-0000-0000-00009F1D0000}"/>
    <cellStyle name="Cella collegata" xfId="7020" xr:uid="{00000000-0005-0000-0000-0000A01D0000}"/>
    <cellStyle name="Cella da controllare" xfId="7021" xr:uid="{00000000-0005-0000-0000-0000A11D0000}"/>
    <cellStyle name="Cellule liée" xfId="7022" xr:uid="{00000000-0005-0000-0000-0000A21D0000}"/>
    <cellStyle name="Cents" xfId="7023" xr:uid="{00000000-0005-0000-0000-0000A31D0000}"/>
    <cellStyle name="Changeable" xfId="7024" xr:uid="{00000000-0005-0000-0000-0000A41D0000}"/>
    <cellStyle name="ChartingText" xfId="7025" xr:uid="{00000000-0005-0000-0000-0000A51D0000}"/>
    <cellStyle name="Check Cell 10" xfId="7026" xr:uid="{00000000-0005-0000-0000-0000A61D0000}"/>
    <cellStyle name="Check Cell 11" xfId="7027" xr:uid="{00000000-0005-0000-0000-0000A71D0000}"/>
    <cellStyle name="Check Cell 12" xfId="7028" xr:uid="{00000000-0005-0000-0000-0000A81D0000}"/>
    <cellStyle name="Check Cell 13" xfId="7029" xr:uid="{00000000-0005-0000-0000-0000A91D0000}"/>
    <cellStyle name="Check Cell 14" xfId="7030" xr:uid="{00000000-0005-0000-0000-0000AA1D0000}"/>
    <cellStyle name="Check Cell 15" xfId="7031" xr:uid="{00000000-0005-0000-0000-0000AB1D0000}"/>
    <cellStyle name="Check Cell 16" xfId="7032" xr:uid="{00000000-0005-0000-0000-0000AC1D0000}"/>
    <cellStyle name="Check Cell 17" xfId="7033" xr:uid="{00000000-0005-0000-0000-0000AD1D0000}"/>
    <cellStyle name="Check Cell 18" xfId="7034" xr:uid="{00000000-0005-0000-0000-0000AE1D0000}"/>
    <cellStyle name="Check Cell 19" xfId="7035" xr:uid="{00000000-0005-0000-0000-0000AF1D0000}"/>
    <cellStyle name="Check Cell 2" xfId="130" xr:uid="{00000000-0005-0000-0000-0000B01D0000}"/>
    <cellStyle name="Check Cell 2 10" xfId="7036" xr:uid="{00000000-0005-0000-0000-0000B11D0000}"/>
    <cellStyle name="Check Cell 2 11" xfId="7037" xr:uid="{00000000-0005-0000-0000-0000B21D0000}"/>
    <cellStyle name="Check Cell 2 12" xfId="7038" xr:uid="{00000000-0005-0000-0000-0000B31D0000}"/>
    <cellStyle name="Check Cell 2 13" xfId="7039" xr:uid="{00000000-0005-0000-0000-0000B41D0000}"/>
    <cellStyle name="Check Cell 2 14" xfId="7040" xr:uid="{00000000-0005-0000-0000-0000B51D0000}"/>
    <cellStyle name="Check Cell 2 15" xfId="7041" xr:uid="{00000000-0005-0000-0000-0000B61D0000}"/>
    <cellStyle name="Check Cell 2 16" xfId="7042" xr:uid="{00000000-0005-0000-0000-0000B71D0000}"/>
    <cellStyle name="Check Cell 2 17" xfId="7043" xr:uid="{00000000-0005-0000-0000-0000B81D0000}"/>
    <cellStyle name="Check Cell 2 18" xfId="7044" xr:uid="{00000000-0005-0000-0000-0000B91D0000}"/>
    <cellStyle name="Check Cell 2 19" xfId="7045" xr:uid="{00000000-0005-0000-0000-0000BA1D0000}"/>
    <cellStyle name="Check Cell 2 2" xfId="7046" xr:uid="{00000000-0005-0000-0000-0000BB1D0000}"/>
    <cellStyle name="Check Cell 2 20" xfId="7047" xr:uid="{00000000-0005-0000-0000-0000BC1D0000}"/>
    <cellStyle name="Check Cell 2 21" xfId="7048" xr:uid="{00000000-0005-0000-0000-0000BD1D0000}"/>
    <cellStyle name="Check Cell 2 22" xfId="7049" xr:uid="{00000000-0005-0000-0000-0000BE1D0000}"/>
    <cellStyle name="Check Cell 2 23" xfId="7050" xr:uid="{00000000-0005-0000-0000-0000BF1D0000}"/>
    <cellStyle name="Check Cell 2 24" xfId="7051" xr:uid="{00000000-0005-0000-0000-0000C01D0000}"/>
    <cellStyle name="Check Cell 2 25" xfId="7052" xr:uid="{00000000-0005-0000-0000-0000C11D0000}"/>
    <cellStyle name="Check Cell 2 26" xfId="7053" xr:uid="{00000000-0005-0000-0000-0000C21D0000}"/>
    <cellStyle name="Check Cell 2 27" xfId="7054" xr:uid="{00000000-0005-0000-0000-0000C31D0000}"/>
    <cellStyle name="Check Cell 2 28" xfId="7055" xr:uid="{00000000-0005-0000-0000-0000C41D0000}"/>
    <cellStyle name="Check Cell 2 29" xfId="7056" xr:uid="{00000000-0005-0000-0000-0000C51D0000}"/>
    <cellStyle name="Check Cell 2 3" xfId="7057" xr:uid="{00000000-0005-0000-0000-0000C61D0000}"/>
    <cellStyle name="Check Cell 2 30" xfId="7058" xr:uid="{00000000-0005-0000-0000-0000C71D0000}"/>
    <cellStyle name="Check Cell 2 31" xfId="7059" xr:uid="{00000000-0005-0000-0000-0000C81D0000}"/>
    <cellStyle name="Check Cell 2 32" xfId="7060" xr:uid="{00000000-0005-0000-0000-0000C91D0000}"/>
    <cellStyle name="Check Cell 2 33" xfId="7061" xr:uid="{00000000-0005-0000-0000-0000CA1D0000}"/>
    <cellStyle name="Check Cell 2 34" xfId="7062" xr:uid="{00000000-0005-0000-0000-0000CB1D0000}"/>
    <cellStyle name="Check Cell 2 35" xfId="7063" xr:uid="{00000000-0005-0000-0000-0000CC1D0000}"/>
    <cellStyle name="Check Cell 2 36" xfId="7064" xr:uid="{00000000-0005-0000-0000-0000CD1D0000}"/>
    <cellStyle name="Check Cell 2 37" xfId="7065" xr:uid="{00000000-0005-0000-0000-0000CE1D0000}"/>
    <cellStyle name="Check Cell 2 38" xfId="7066" xr:uid="{00000000-0005-0000-0000-0000CF1D0000}"/>
    <cellStyle name="Check Cell 2 39" xfId="7067" xr:uid="{00000000-0005-0000-0000-0000D01D0000}"/>
    <cellStyle name="Check Cell 2 4" xfId="7068" xr:uid="{00000000-0005-0000-0000-0000D11D0000}"/>
    <cellStyle name="Check Cell 2 40" xfId="7069" xr:uid="{00000000-0005-0000-0000-0000D21D0000}"/>
    <cellStyle name="Check Cell 2 41" xfId="7070" xr:uid="{00000000-0005-0000-0000-0000D31D0000}"/>
    <cellStyle name="Check Cell 2 42" xfId="7071" xr:uid="{00000000-0005-0000-0000-0000D41D0000}"/>
    <cellStyle name="Check Cell 2 5" xfId="7072" xr:uid="{00000000-0005-0000-0000-0000D51D0000}"/>
    <cellStyle name="Check Cell 2 6" xfId="7073" xr:uid="{00000000-0005-0000-0000-0000D61D0000}"/>
    <cellStyle name="Check Cell 2 7" xfId="7074" xr:uid="{00000000-0005-0000-0000-0000D71D0000}"/>
    <cellStyle name="Check Cell 2 8" xfId="7075" xr:uid="{00000000-0005-0000-0000-0000D81D0000}"/>
    <cellStyle name="Check Cell 2 9" xfId="7076" xr:uid="{00000000-0005-0000-0000-0000D91D0000}"/>
    <cellStyle name="Check Cell 2_DATA Input" xfId="7077" xr:uid="{00000000-0005-0000-0000-0000DA1D0000}"/>
    <cellStyle name="Check Cell 20" xfId="7078" xr:uid="{00000000-0005-0000-0000-0000DB1D0000}"/>
    <cellStyle name="Check Cell 21" xfId="7079" xr:uid="{00000000-0005-0000-0000-0000DC1D0000}"/>
    <cellStyle name="Check Cell 22" xfId="7080" xr:uid="{00000000-0005-0000-0000-0000DD1D0000}"/>
    <cellStyle name="Check Cell 23" xfId="7081" xr:uid="{00000000-0005-0000-0000-0000DE1D0000}"/>
    <cellStyle name="Check Cell 24" xfId="7082" xr:uid="{00000000-0005-0000-0000-0000DF1D0000}"/>
    <cellStyle name="Check Cell 3" xfId="7083" xr:uid="{00000000-0005-0000-0000-0000E01D0000}"/>
    <cellStyle name="Check Cell 3 10" xfId="7084" xr:uid="{00000000-0005-0000-0000-0000E11D0000}"/>
    <cellStyle name="Check Cell 3 11" xfId="7085" xr:uid="{00000000-0005-0000-0000-0000E21D0000}"/>
    <cellStyle name="Check Cell 3 12" xfId="7086" xr:uid="{00000000-0005-0000-0000-0000E31D0000}"/>
    <cellStyle name="Check Cell 3 13" xfId="7087" xr:uid="{00000000-0005-0000-0000-0000E41D0000}"/>
    <cellStyle name="Check Cell 3 14" xfId="7088" xr:uid="{00000000-0005-0000-0000-0000E51D0000}"/>
    <cellStyle name="Check Cell 3 15" xfId="7089" xr:uid="{00000000-0005-0000-0000-0000E61D0000}"/>
    <cellStyle name="Check Cell 3 16" xfId="7090" xr:uid="{00000000-0005-0000-0000-0000E71D0000}"/>
    <cellStyle name="Check Cell 3 17" xfId="7091" xr:uid="{00000000-0005-0000-0000-0000E81D0000}"/>
    <cellStyle name="Check Cell 3 18" xfId="7092" xr:uid="{00000000-0005-0000-0000-0000E91D0000}"/>
    <cellStyle name="Check Cell 3 19" xfId="7093" xr:uid="{00000000-0005-0000-0000-0000EA1D0000}"/>
    <cellStyle name="Check Cell 3 2" xfId="7094" xr:uid="{00000000-0005-0000-0000-0000EB1D0000}"/>
    <cellStyle name="Check Cell 3 20" xfId="7095" xr:uid="{00000000-0005-0000-0000-0000EC1D0000}"/>
    <cellStyle name="Check Cell 3 21" xfId="7096" xr:uid="{00000000-0005-0000-0000-0000ED1D0000}"/>
    <cellStyle name="Check Cell 3 22" xfId="7097" xr:uid="{00000000-0005-0000-0000-0000EE1D0000}"/>
    <cellStyle name="Check Cell 3 23" xfId="7098" xr:uid="{00000000-0005-0000-0000-0000EF1D0000}"/>
    <cellStyle name="Check Cell 3 24" xfId="7099" xr:uid="{00000000-0005-0000-0000-0000F01D0000}"/>
    <cellStyle name="Check Cell 3 25" xfId="7100" xr:uid="{00000000-0005-0000-0000-0000F11D0000}"/>
    <cellStyle name="Check Cell 3 26" xfId="7101" xr:uid="{00000000-0005-0000-0000-0000F21D0000}"/>
    <cellStyle name="Check Cell 3 27" xfId="7102" xr:uid="{00000000-0005-0000-0000-0000F31D0000}"/>
    <cellStyle name="Check Cell 3 28" xfId="7103" xr:uid="{00000000-0005-0000-0000-0000F41D0000}"/>
    <cellStyle name="Check Cell 3 29" xfId="7104" xr:uid="{00000000-0005-0000-0000-0000F51D0000}"/>
    <cellStyle name="Check Cell 3 3" xfId="7105" xr:uid="{00000000-0005-0000-0000-0000F61D0000}"/>
    <cellStyle name="Check Cell 3 30" xfId="7106" xr:uid="{00000000-0005-0000-0000-0000F71D0000}"/>
    <cellStyle name="Check Cell 3 31" xfId="7107" xr:uid="{00000000-0005-0000-0000-0000F81D0000}"/>
    <cellStyle name="Check Cell 3 32" xfId="7108" xr:uid="{00000000-0005-0000-0000-0000F91D0000}"/>
    <cellStyle name="Check Cell 3 4" xfId="7109" xr:uid="{00000000-0005-0000-0000-0000FA1D0000}"/>
    <cellStyle name="Check Cell 3 5" xfId="7110" xr:uid="{00000000-0005-0000-0000-0000FB1D0000}"/>
    <cellStyle name="Check Cell 3 6" xfId="7111" xr:uid="{00000000-0005-0000-0000-0000FC1D0000}"/>
    <cellStyle name="Check Cell 3 7" xfId="7112" xr:uid="{00000000-0005-0000-0000-0000FD1D0000}"/>
    <cellStyle name="Check Cell 3 8" xfId="7113" xr:uid="{00000000-0005-0000-0000-0000FE1D0000}"/>
    <cellStyle name="Check Cell 3 9" xfId="7114" xr:uid="{00000000-0005-0000-0000-0000FF1D0000}"/>
    <cellStyle name="Check Cell 4" xfId="7115" xr:uid="{00000000-0005-0000-0000-0000001E0000}"/>
    <cellStyle name="Check Cell 5" xfId="7116" xr:uid="{00000000-0005-0000-0000-0000011E0000}"/>
    <cellStyle name="Check Cell 6" xfId="7117" xr:uid="{00000000-0005-0000-0000-0000021E0000}"/>
    <cellStyle name="Check Cell 7" xfId="7118" xr:uid="{00000000-0005-0000-0000-0000031E0000}"/>
    <cellStyle name="Check Cell 8" xfId="7119" xr:uid="{00000000-0005-0000-0000-0000041E0000}"/>
    <cellStyle name="Check Cell 9" xfId="7120" xr:uid="{00000000-0005-0000-0000-0000051E0000}"/>
    <cellStyle name="co" xfId="7121" xr:uid="{00000000-0005-0000-0000-0000061E0000}"/>
    <cellStyle name="Colhead_left" xfId="7122" xr:uid="{00000000-0005-0000-0000-0000071E0000}"/>
    <cellStyle name="Collegamento ipertestuale 2" xfId="7123" xr:uid="{00000000-0005-0000-0000-0000081E0000}"/>
    <cellStyle name="Colore 1" xfId="7124" xr:uid="{00000000-0005-0000-0000-0000091E0000}"/>
    <cellStyle name="Colore 2" xfId="7125" xr:uid="{00000000-0005-0000-0000-00000A1E0000}"/>
    <cellStyle name="Colore 3" xfId="7126" xr:uid="{00000000-0005-0000-0000-00000B1E0000}"/>
    <cellStyle name="Colore 4" xfId="7127" xr:uid="{00000000-0005-0000-0000-00000C1E0000}"/>
    <cellStyle name="Colore 5" xfId="7128" xr:uid="{00000000-0005-0000-0000-00000D1E0000}"/>
    <cellStyle name="Colore 6" xfId="7129" xr:uid="{00000000-0005-0000-0000-00000E1E0000}"/>
    <cellStyle name="Column centered" xfId="7130" xr:uid="{00000000-0005-0000-0000-00000F1E0000}"/>
    <cellStyle name="Column centered 2" xfId="20445" xr:uid="{00000000-0005-0000-0000-0000101E0000}"/>
    <cellStyle name="Column Head" xfId="7131" xr:uid="{00000000-0005-0000-0000-0000111E0000}"/>
    <cellStyle name="Column Heading" xfId="7132" xr:uid="{00000000-0005-0000-0000-0000121E0000}"/>
    <cellStyle name="Column text left" xfId="7133" xr:uid="{00000000-0005-0000-0000-0000131E0000}"/>
    <cellStyle name="Column text left 2" xfId="20446" xr:uid="{00000000-0005-0000-0000-0000141E0000}"/>
    <cellStyle name="Column_Head" xfId="131" xr:uid="{00000000-0005-0000-0000-0000151E0000}"/>
    <cellStyle name="ColumnHeaderNormal" xfId="7134" xr:uid="{00000000-0005-0000-0000-0000161E0000}"/>
    <cellStyle name="ColumnHeadings" xfId="7135" xr:uid="{00000000-0005-0000-0000-0000171E0000}"/>
    <cellStyle name="ColumnHeadings2" xfId="7136" xr:uid="{00000000-0005-0000-0000-0000181E0000}"/>
    <cellStyle name="ColumnHeadings2 2" xfId="7137" xr:uid="{00000000-0005-0000-0000-0000191E0000}"/>
    <cellStyle name="Comma" xfId="19286" builtinId="3"/>
    <cellStyle name="Comma  - Style1" xfId="7138" xr:uid="{00000000-0005-0000-0000-00001B1E0000}"/>
    <cellStyle name="Comma  - Style2" xfId="7139" xr:uid="{00000000-0005-0000-0000-00001C1E0000}"/>
    <cellStyle name="Comma  - Style3" xfId="7140" xr:uid="{00000000-0005-0000-0000-00001D1E0000}"/>
    <cellStyle name="Comma  - Style4" xfId="7141" xr:uid="{00000000-0005-0000-0000-00001E1E0000}"/>
    <cellStyle name="Comma  - Style5" xfId="7142" xr:uid="{00000000-0005-0000-0000-00001F1E0000}"/>
    <cellStyle name="Comma  - Style6" xfId="7143" xr:uid="{00000000-0005-0000-0000-0000201E0000}"/>
    <cellStyle name="Comma  - Style7" xfId="7144" xr:uid="{00000000-0005-0000-0000-0000211E0000}"/>
    <cellStyle name="Comma  - Style8" xfId="7145" xr:uid="{00000000-0005-0000-0000-0000221E0000}"/>
    <cellStyle name="Comma (0)" xfId="7146" xr:uid="{00000000-0005-0000-0000-0000231E0000}"/>
    <cellStyle name="Comma (1)" xfId="7147" xr:uid="{00000000-0005-0000-0000-0000241E0000}"/>
    <cellStyle name="Comma (2)" xfId="7148" xr:uid="{00000000-0005-0000-0000-0000251E0000}"/>
    <cellStyle name="Comma [0] 10" xfId="7149" xr:uid="{00000000-0005-0000-0000-0000261E0000}"/>
    <cellStyle name="Comma [0] 11" xfId="7150" xr:uid="{00000000-0005-0000-0000-0000271E0000}"/>
    <cellStyle name="Comma [0] 12" xfId="7151" xr:uid="{00000000-0005-0000-0000-0000281E0000}"/>
    <cellStyle name="Comma [0] 12 2" xfId="20447" xr:uid="{00000000-0005-0000-0000-0000291E0000}"/>
    <cellStyle name="Comma [0] 13" xfId="7152" xr:uid="{00000000-0005-0000-0000-00002A1E0000}"/>
    <cellStyle name="Comma [0] 14" xfId="7153" xr:uid="{00000000-0005-0000-0000-00002B1E0000}"/>
    <cellStyle name="Comma [0] 15" xfId="7154" xr:uid="{00000000-0005-0000-0000-00002C1E0000}"/>
    <cellStyle name="Comma [0] 16" xfId="7155" xr:uid="{00000000-0005-0000-0000-00002D1E0000}"/>
    <cellStyle name="Comma [0] 17" xfId="7156" xr:uid="{00000000-0005-0000-0000-00002E1E0000}"/>
    <cellStyle name="Comma [0] 18" xfId="7157" xr:uid="{00000000-0005-0000-0000-00002F1E0000}"/>
    <cellStyle name="Comma [0] 19" xfId="7158" xr:uid="{00000000-0005-0000-0000-0000301E0000}"/>
    <cellStyle name="Comma [0] 2" xfId="132" xr:uid="{00000000-0005-0000-0000-0000311E0000}"/>
    <cellStyle name="Comma [0] 2 10" xfId="7159" xr:uid="{00000000-0005-0000-0000-0000321E0000}"/>
    <cellStyle name="Comma [0] 2 11" xfId="7160" xr:uid="{00000000-0005-0000-0000-0000331E0000}"/>
    <cellStyle name="Comma [0] 2 12" xfId="7161" xr:uid="{00000000-0005-0000-0000-0000341E0000}"/>
    <cellStyle name="Comma [0] 2 13" xfId="7162" xr:uid="{00000000-0005-0000-0000-0000351E0000}"/>
    <cellStyle name="Comma [0] 2 14" xfId="7163" xr:uid="{00000000-0005-0000-0000-0000361E0000}"/>
    <cellStyle name="Comma [0] 2 15" xfId="7164" xr:uid="{00000000-0005-0000-0000-0000371E0000}"/>
    <cellStyle name="Comma [0] 2 16" xfId="7165" xr:uid="{00000000-0005-0000-0000-0000381E0000}"/>
    <cellStyle name="Comma [0] 2 17" xfId="7166" xr:uid="{00000000-0005-0000-0000-0000391E0000}"/>
    <cellStyle name="Comma [0] 2 18" xfId="7167" xr:uid="{00000000-0005-0000-0000-00003A1E0000}"/>
    <cellStyle name="Comma [0] 2 19" xfId="7168" xr:uid="{00000000-0005-0000-0000-00003B1E0000}"/>
    <cellStyle name="Comma [0] 2 2" xfId="133" xr:uid="{00000000-0005-0000-0000-00003C1E0000}"/>
    <cellStyle name="Comma [0] 2 20" xfId="7169" xr:uid="{00000000-0005-0000-0000-00003D1E0000}"/>
    <cellStyle name="Comma [0] 2 21" xfId="7170" xr:uid="{00000000-0005-0000-0000-00003E1E0000}"/>
    <cellStyle name="Comma [0] 2 22" xfId="7171" xr:uid="{00000000-0005-0000-0000-00003F1E0000}"/>
    <cellStyle name="Comma [0] 2 23" xfId="7172" xr:uid="{00000000-0005-0000-0000-0000401E0000}"/>
    <cellStyle name="Comma [0] 2 24" xfId="7173" xr:uid="{00000000-0005-0000-0000-0000411E0000}"/>
    <cellStyle name="Comma [0] 2 25" xfId="7174" xr:uid="{00000000-0005-0000-0000-0000421E0000}"/>
    <cellStyle name="Comma [0] 2 26" xfId="7175" xr:uid="{00000000-0005-0000-0000-0000431E0000}"/>
    <cellStyle name="Comma [0] 2 27" xfId="7176" xr:uid="{00000000-0005-0000-0000-0000441E0000}"/>
    <cellStyle name="Comma [0] 2 28" xfId="7177" xr:uid="{00000000-0005-0000-0000-0000451E0000}"/>
    <cellStyle name="Comma [0] 2 29" xfId="7178" xr:uid="{00000000-0005-0000-0000-0000461E0000}"/>
    <cellStyle name="Comma [0] 2 3" xfId="7179" xr:uid="{00000000-0005-0000-0000-0000471E0000}"/>
    <cellStyle name="Comma [0] 2 30" xfId="7180" xr:uid="{00000000-0005-0000-0000-0000481E0000}"/>
    <cellStyle name="Comma [0] 2 31" xfId="7181" xr:uid="{00000000-0005-0000-0000-0000491E0000}"/>
    <cellStyle name="Comma [0] 2 32" xfId="7182" xr:uid="{00000000-0005-0000-0000-00004A1E0000}"/>
    <cellStyle name="Comma [0] 2 33" xfId="7183" xr:uid="{00000000-0005-0000-0000-00004B1E0000}"/>
    <cellStyle name="Comma [0] 2 34" xfId="7184" xr:uid="{00000000-0005-0000-0000-00004C1E0000}"/>
    <cellStyle name="Comma [0] 2 35" xfId="7185" xr:uid="{00000000-0005-0000-0000-00004D1E0000}"/>
    <cellStyle name="Comma [0] 2 36" xfId="7186" xr:uid="{00000000-0005-0000-0000-00004E1E0000}"/>
    <cellStyle name="Comma [0] 2 37" xfId="7187" xr:uid="{00000000-0005-0000-0000-00004F1E0000}"/>
    <cellStyle name="Comma [0] 2 38" xfId="7188" xr:uid="{00000000-0005-0000-0000-0000501E0000}"/>
    <cellStyle name="Comma [0] 2 39" xfId="7189" xr:uid="{00000000-0005-0000-0000-0000511E0000}"/>
    <cellStyle name="Comma [0] 2 4" xfId="7190" xr:uid="{00000000-0005-0000-0000-0000521E0000}"/>
    <cellStyle name="Comma [0] 2 40" xfId="7191" xr:uid="{00000000-0005-0000-0000-0000531E0000}"/>
    <cellStyle name="Comma [0] 2 41" xfId="7192" xr:uid="{00000000-0005-0000-0000-0000541E0000}"/>
    <cellStyle name="Comma [0] 2 42" xfId="7193" xr:uid="{00000000-0005-0000-0000-0000551E0000}"/>
    <cellStyle name="Comma [0] 2 43" xfId="7194" xr:uid="{00000000-0005-0000-0000-0000561E0000}"/>
    <cellStyle name="Comma [0] 2 5" xfId="7195" xr:uid="{00000000-0005-0000-0000-0000571E0000}"/>
    <cellStyle name="Comma [0] 2 6" xfId="7196" xr:uid="{00000000-0005-0000-0000-0000581E0000}"/>
    <cellStyle name="Comma [0] 2 7" xfId="7197" xr:uid="{00000000-0005-0000-0000-0000591E0000}"/>
    <cellStyle name="Comma [0] 2 8" xfId="7198" xr:uid="{00000000-0005-0000-0000-00005A1E0000}"/>
    <cellStyle name="Comma [0] 2 9" xfId="7199" xr:uid="{00000000-0005-0000-0000-00005B1E0000}"/>
    <cellStyle name="Comma [0] 2_Input" xfId="7200" xr:uid="{00000000-0005-0000-0000-00005C1E0000}"/>
    <cellStyle name="Comma [0] 20" xfId="7201" xr:uid="{00000000-0005-0000-0000-00005D1E0000}"/>
    <cellStyle name="Comma [0] 21" xfId="7202" xr:uid="{00000000-0005-0000-0000-00005E1E0000}"/>
    <cellStyle name="Comma [0] 22" xfId="7203" xr:uid="{00000000-0005-0000-0000-00005F1E0000}"/>
    <cellStyle name="Comma [0] 23" xfId="7204" xr:uid="{00000000-0005-0000-0000-0000601E0000}"/>
    <cellStyle name="Comma [0] 24" xfId="7205" xr:uid="{00000000-0005-0000-0000-0000611E0000}"/>
    <cellStyle name="Comma [0] 25" xfId="7206" xr:uid="{00000000-0005-0000-0000-0000621E0000}"/>
    <cellStyle name="Comma [0] 26" xfId="7207" xr:uid="{00000000-0005-0000-0000-0000631E0000}"/>
    <cellStyle name="Comma [0] 27" xfId="7208" xr:uid="{00000000-0005-0000-0000-0000641E0000}"/>
    <cellStyle name="Comma [0] 28" xfId="7209" xr:uid="{00000000-0005-0000-0000-0000651E0000}"/>
    <cellStyle name="Comma [0] 29" xfId="7210" xr:uid="{00000000-0005-0000-0000-0000661E0000}"/>
    <cellStyle name="Comma [0] 3" xfId="7211" xr:uid="{00000000-0005-0000-0000-0000671E0000}"/>
    <cellStyle name="Comma [0] 3 2" xfId="7212" xr:uid="{00000000-0005-0000-0000-0000681E0000}"/>
    <cellStyle name="Comma [0] 30" xfId="7213" xr:uid="{00000000-0005-0000-0000-0000691E0000}"/>
    <cellStyle name="Comma [0] 31" xfId="7214" xr:uid="{00000000-0005-0000-0000-00006A1E0000}"/>
    <cellStyle name="Comma [0] 32" xfId="7215" xr:uid="{00000000-0005-0000-0000-00006B1E0000}"/>
    <cellStyle name="Comma [0] 33" xfId="7216" xr:uid="{00000000-0005-0000-0000-00006C1E0000}"/>
    <cellStyle name="Comma [0] 34" xfId="7217" xr:uid="{00000000-0005-0000-0000-00006D1E0000}"/>
    <cellStyle name="Comma [0] 35" xfId="7218" xr:uid="{00000000-0005-0000-0000-00006E1E0000}"/>
    <cellStyle name="Comma [0] 36" xfId="7219" xr:uid="{00000000-0005-0000-0000-00006F1E0000}"/>
    <cellStyle name="Comma [0] 37" xfId="7220" xr:uid="{00000000-0005-0000-0000-0000701E0000}"/>
    <cellStyle name="Comma [0] 38" xfId="7221" xr:uid="{00000000-0005-0000-0000-0000711E0000}"/>
    <cellStyle name="Comma [0] 39" xfId="7222" xr:uid="{00000000-0005-0000-0000-0000721E0000}"/>
    <cellStyle name="Comma [0] 4" xfId="7223" xr:uid="{00000000-0005-0000-0000-0000731E0000}"/>
    <cellStyle name="Comma [0] 40" xfId="7224" xr:uid="{00000000-0005-0000-0000-0000741E0000}"/>
    <cellStyle name="Comma [0] 41" xfId="7225" xr:uid="{00000000-0005-0000-0000-0000751E0000}"/>
    <cellStyle name="Comma [0] 41 2" xfId="20448" xr:uid="{00000000-0005-0000-0000-0000761E0000}"/>
    <cellStyle name="Comma [0] 42" xfId="7226" xr:uid="{00000000-0005-0000-0000-0000771E0000}"/>
    <cellStyle name="Comma [0] 42 2" xfId="7227" xr:uid="{00000000-0005-0000-0000-0000781E0000}"/>
    <cellStyle name="Comma [0] 42 2 2" xfId="20449" xr:uid="{00000000-0005-0000-0000-0000791E0000}"/>
    <cellStyle name="Comma [0] 42 3" xfId="7228" xr:uid="{00000000-0005-0000-0000-00007A1E0000}"/>
    <cellStyle name="Comma [0] 43" xfId="7229" xr:uid="{00000000-0005-0000-0000-00007B1E0000}"/>
    <cellStyle name="Comma [0] 43 2" xfId="20450" xr:uid="{00000000-0005-0000-0000-00007C1E0000}"/>
    <cellStyle name="Comma [0] 44" xfId="7230" xr:uid="{00000000-0005-0000-0000-00007D1E0000}"/>
    <cellStyle name="Comma [0] 45" xfId="7231" xr:uid="{00000000-0005-0000-0000-00007E1E0000}"/>
    <cellStyle name="Comma [0] 45 2" xfId="20451" xr:uid="{00000000-0005-0000-0000-00007F1E0000}"/>
    <cellStyle name="Comma [0] 46" xfId="7232" xr:uid="{00000000-0005-0000-0000-0000801E0000}"/>
    <cellStyle name="Comma [0] 5" xfId="7233" xr:uid="{00000000-0005-0000-0000-0000811E0000}"/>
    <cellStyle name="Comma [0] 6" xfId="7234" xr:uid="{00000000-0005-0000-0000-0000821E0000}"/>
    <cellStyle name="Comma [0] 7" xfId="7235" xr:uid="{00000000-0005-0000-0000-0000831E0000}"/>
    <cellStyle name="Comma [0] 8" xfId="7236" xr:uid="{00000000-0005-0000-0000-0000841E0000}"/>
    <cellStyle name="Comma [0] 9" xfId="7237" xr:uid="{00000000-0005-0000-0000-0000851E0000}"/>
    <cellStyle name="Comma [00]" xfId="134" xr:uid="{00000000-0005-0000-0000-0000861E0000}"/>
    <cellStyle name="Comma [1]" xfId="7238" xr:uid="{00000000-0005-0000-0000-0000871E0000}"/>
    <cellStyle name="Comma [2]" xfId="7239" xr:uid="{00000000-0005-0000-0000-0000881E0000}"/>
    <cellStyle name="Comma 0" xfId="7240" xr:uid="{00000000-0005-0000-0000-0000891E0000}"/>
    <cellStyle name="Comma 0*" xfId="7241" xr:uid="{00000000-0005-0000-0000-00008A1E0000}"/>
    <cellStyle name="Comma 10" xfId="135" xr:uid="{00000000-0005-0000-0000-00008B1E0000}"/>
    <cellStyle name="Comma 10 10" xfId="7242" xr:uid="{00000000-0005-0000-0000-00008C1E0000}"/>
    <cellStyle name="Comma 10 10 2" xfId="22830" xr:uid="{00000000-0005-0000-0000-00008D1E0000}"/>
    <cellStyle name="Comma 10 10 2 2" xfId="22831" xr:uid="{00000000-0005-0000-0000-00008E1E0000}"/>
    <cellStyle name="Comma 10 10 2 2 2" xfId="22832" xr:uid="{00000000-0005-0000-0000-00008F1E0000}"/>
    <cellStyle name="Comma 10 10 2 3" xfId="22833" xr:uid="{00000000-0005-0000-0000-0000901E0000}"/>
    <cellStyle name="Comma 10 10 3" xfId="22834" xr:uid="{00000000-0005-0000-0000-0000911E0000}"/>
    <cellStyle name="Comma 10 10 3 2" xfId="22835" xr:uid="{00000000-0005-0000-0000-0000921E0000}"/>
    <cellStyle name="Comma 10 10 4" xfId="22836" xr:uid="{00000000-0005-0000-0000-0000931E0000}"/>
    <cellStyle name="Comma 10 11" xfId="7243" xr:uid="{00000000-0005-0000-0000-0000941E0000}"/>
    <cellStyle name="Comma 10 11 2" xfId="22837" xr:uid="{00000000-0005-0000-0000-0000951E0000}"/>
    <cellStyle name="Comma 10 11 2 2" xfId="22838" xr:uid="{00000000-0005-0000-0000-0000961E0000}"/>
    <cellStyle name="Comma 10 11 2 2 2" xfId="22839" xr:uid="{00000000-0005-0000-0000-0000971E0000}"/>
    <cellStyle name="Comma 10 11 2 3" xfId="22840" xr:uid="{00000000-0005-0000-0000-0000981E0000}"/>
    <cellStyle name="Comma 10 11 3" xfId="22841" xr:uid="{00000000-0005-0000-0000-0000991E0000}"/>
    <cellStyle name="Comma 10 11 3 2" xfId="22842" xr:uid="{00000000-0005-0000-0000-00009A1E0000}"/>
    <cellStyle name="Comma 10 11 4" xfId="22843" xr:uid="{00000000-0005-0000-0000-00009B1E0000}"/>
    <cellStyle name="Comma 10 12" xfId="7244" xr:uid="{00000000-0005-0000-0000-00009C1E0000}"/>
    <cellStyle name="Comma 10 12 2" xfId="22844" xr:uid="{00000000-0005-0000-0000-00009D1E0000}"/>
    <cellStyle name="Comma 10 12 2 2" xfId="22845" xr:uid="{00000000-0005-0000-0000-00009E1E0000}"/>
    <cellStyle name="Comma 10 12 3" xfId="22846" xr:uid="{00000000-0005-0000-0000-00009F1E0000}"/>
    <cellStyle name="Comma 10 13" xfId="7245" xr:uid="{00000000-0005-0000-0000-0000A01E0000}"/>
    <cellStyle name="Comma 10 14" xfId="7246" xr:uid="{00000000-0005-0000-0000-0000A11E0000}"/>
    <cellStyle name="Comma 10 14 2" xfId="22847" xr:uid="{00000000-0005-0000-0000-0000A21E0000}"/>
    <cellStyle name="Comma 10 15" xfId="7247" xr:uid="{00000000-0005-0000-0000-0000A31E0000}"/>
    <cellStyle name="Comma 10 16" xfId="7248" xr:uid="{00000000-0005-0000-0000-0000A41E0000}"/>
    <cellStyle name="Comma 10 17" xfId="7249" xr:uid="{00000000-0005-0000-0000-0000A51E0000}"/>
    <cellStyle name="Comma 10 18" xfId="7250" xr:uid="{00000000-0005-0000-0000-0000A61E0000}"/>
    <cellStyle name="Comma 10 19" xfId="7251" xr:uid="{00000000-0005-0000-0000-0000A71E0000}"/>
    <cellStyle name="Comma 10 2" xfId="136" xr:uid="{00000000-0005-0000-0000-0000A81E0000}"/>
    <cellStyle name="Comma 10 2 10" xfId="22848" xr:uid="{00000000-0005-0000-0000-0000A91E0000}"/>
    <cellStyle name="Comma 10 2 10 2" xfId="22849" xr:uid="{00000000-0005-0000-0000-0000AA1E0000}"/>
    <cellStyle name="Comma 10 2 10 2 2" xfId="22850" xr:uid="{00000000-0005-0000-0000-0000AB1E0000}"/>
    <cellStyle name="Comma 10 2 10 3" xfId="22851" xr:uid="{00000000-0005-0000-0000-0000AC1E0000}"/>
    <cellStyle name="Comma 10 2 11" xfId="22852" xr:uid="{00000000-0005-0000-0000-0000AD1E0000}"/>
    <cellStyle name="Comma 10 2 12" xfId="22853" xr:uid="{00000000-0005-0000-0000-0000AE1E0000}"/>
    <cellStyle name="Comma 10 2 12 2" xfId="22854" xr:uid="{00000000-0005-0000-0000-0000AF1E0000}"/>
    <cellStyle name="Comma 10 2 13" xfId="22855" xr:uid="{00000000-0005-0000-0000-0000B01E0000}"/>
    <cellStyle name="Comma 10 2 2" xfId="7252" xr:uid="{00000000-0005-0000-0000-0000B11E0000}"/>
    <cellStyle name="Comma 10 2 2 10" xfId="22856" xr:uid="{00000000-0005-0000-0000-0000B21E0000}"/>
    <cellStyle name="Comma 10 2 2 2" xfId="7253" xr:uid="{00000000-0005-0000-0000-0000B31E0000}"/>
    <cellStyle name="Comma 10 2 2 2 2" xfId="22857" xr:uid="{00000000-0005-0000-0000-0000B41E0000}"/>
    <cellStyle name="Comma 10 2 2 2 2 2" xfId="22858" xr:uid="{00000000-0005-0000-0000-0000B51E0000}"/>
    <cellStyle name="Comma 10 2 2 2 2 2 2" xfId="22859" xr:uid="{00000000-0005-0000-0000-0000B61E0000}"/>
    <cellStyle name="Comma 10 2 2 2 2 2 2 2" xfId="22860" xr:uid="{00000000-0005-0000-0000-0000B71E0000}"/>
    <cellStyle name="Comma 10 2 2 2 2 2 2 2 2" xfId="22861" xr:uid="{00000000-0005-0000-0000-0000B81E0000}"/>
    <cellStyle name="Comma 10 2 2 2 2 2 2 3" xfId="22862" xr:uid="{00000000-0005-0000-0000-0000B91E0000}"/>
    <cellStyle name="Comma 10 2 2 2 2 2 3" xfId="22863" xr:uid="{00000000-0005-0000-0000-0000BA1E0000}"/>
    <cellStyle name="Comma 10 2 2 2 2 2 3 2" xfId="22864" xr:uid="{00000000-0005-0000-0000-0000BB1E0000}"/>
    <cellStyle name="Comma 10 2 2 2 2 2 4" xfId="22865" xr:uid="{00000000-0005-0000-0000-0000BC1E0000}"/>
    <cellStyle name="Comma 10 2 2 2 2 3" xfId="22866" xr:uid="{00000000-0005-0000-0000-0000BD1E0000}"/>
    <cellStyle name="Comma 10 2 2 2 2 3 2" xfId="22867" xr:uid="{00000000-0005-0000-0000-0000BE1E0000}"/>
    <cellStyle name="Comma 10 2 2 2 2 3 2 2" xfId="22868" xr:uid="{00000000-0005-0000-0000-0000BF1E0000}"/>
    <cellStyle name="Comma 10 2 2 2 2 3 2 2 2" xfId="22869" xr:uid="{00000000-0005-0000-0000-0000C01E0000}"/>
    <cellStyle name="Comma 10 2 2 2 2 3 2 3" xfId="22870" xr:uid="{00000000-0005-0000-0000-0000C11E0000}"/>
    <cellStyle name="Comma 10 2 2 2 2 3 3" xfId="22871" xr:uid="{00000000-0005-0000-0000-0000C21E0000}"/>
    <cellStyle name="Comma 10 2 2 2 2 3 3 2" xfId="22872" xr:uid="{00000000-0005-0000-0000-0000C31E0000}"/>
    <cellStyle name="Comma 10 2 2 2 2 3 4" xfId="22873" xr:uid="{00000000-0005-0000-0000-0000C41E0000}"/>
    <cellStyle name="Comma 10 2 2 2 2 4" xfId="22874" xr:uid="{00000000-0005-0000-0000-0000C51E0000}"/>
    <cellStyle name="Comma 10 2 2 2 2 4 2" xfId="22875" xr:uid="{00000000-0005-0000-0000-0000C61E0000}"/>
    <cellStyle name="Comma 10 2 2 2 2 4 2 2" xfId="22876" xr:uid="{00000000-0005-0000-0000-0000C71E0000}"/>
    <cellStyle name="Comma 10 2 2 2 2 4 3" xfId="22877" xr:uid="{00000000-0005-0000-0000-0000C81E0000}"/>
    <cellStyle name="Comma 10 2 2 2 2 5" xfId="22878" xr:uid="{00000000-0005-0000-0000-0000C91E0000}"/>
    <cellStyle name="Comma 10 2 2 2 2 5 2" xfId="22879" xr:uid="{00000000-0005-0000-0000-0000CA1E0000}"/>
    <cellStyle name="Comma 10 2 2 2 2 6" xfId="22880" xr:uid="{00000000-0005-0000-0000-0000CB1E0000}"/>
    <cellStyle name="Comma 10 2 2 2 3" xfId="22881" xr:uid="{00000000-0005-0000-0000-0000CC1E0000}"/>
    <cellStyle name="Comma 10 2 2 2 3 2" xfId="22882" xr:uid="{00000000-0005-0000-0000-0000CD1E0000}"/>
    <cellStyle name="Comma 10 2 2 2 3 2 2" xfId="22883" xr:uid="{00000000-0005-0000-0000-0000CE1E0000}"/>
    <cellStyle name="Comma 10 2 2 2 3 2 2 2" xfId="22884" xr:uid="{00000000-0005-0000-0000-0000CF1E0000}"/>
    <cellStyle name="Comma 10 2 2 2 3 2 2 2 2" xfId="22885" xr:uid="{00000000-0005-0000-0000-0000D01E0000}"/>
    <cellStyle name="Comma 10 2 2 2 3 2 2 3" xfId="22886" xr:uid="{00000000-0005-0000-0000-0000D11E0000}"/>
    <cellStyle name="Comma 10 2 2 2 3 2 3" xfId="22887" xr:uid="{00000000-0005-0000-0000-0000D21E0000}"/>
    <cellStyle name="Comma 10 2 2 2 3 2 3 2" xfId="22888" xr:uid="{00000000-0005-0000-0000-0000D31E0000}"/>
    <cellStyle name="Comma 10 2 2 2 3 2 4" xfId="22889" xr:uid="{00000000-0005-0000-0000-0000D41E0000}"/>
    <cellStyle name="Comma 10 2 2 2 3 3" xfId="22890" xr:uid="{00000000-0005-0000-0000-0000D51E0000}"/>
    <cellStyle name="Comma 10 2 2 2 3 3 2" xfId="22891" xr:uid="{00000000-0005-0000-0000-0000D61E0000}"/>
    <cellStyle name="Comma 10 2 2 2 3 3 2 2" xfId="22892" xr:uid="{00000000-0005-0000-0000-0000D71E0000}"/>
    <cellStyle name="Comma 10 2 2 2 3 3 3" xfId="22893" xr:uid="{00000000-0005-0000-0000-0000D81E0000}"/>
    <cellStyle name="Comma 10 2 2 2 3 4" xfId="22894" xr:uid="{00000000-0005-0000-0000-0000D91E0000}"/>
    <cellStyle name="Comma 10 2 2 2 3 4 2" xfId="22895" xr:uid="{00000000-0005-0000-0000-0000DA1E0000}"/>
    <cellStyle name="Comma 10 2 2 2 3 5" xfId="22896" xr:uid="{00000000-0005-0000-0000-0000DB1E0000}"/>
    <cellStyle name="Comma 10 2 2 2 4" xfId="22897" xr:uid="{00000000-0005-0000-0000-0000DC1E0000}"/>
    <cellStyle name="Comma 10 2 2 2 4 2" xfId="22898" xr:uid="{00000000-0005-0000-0000-0000DD1E0000}"/>
    <cellStyle name="Comma 10 2 2 2 4 2 2" xfId="22899" xr:uid="{00000000-0005-0000-0000-0000DE1E0000}"/>
    <cellStyle name="Comma 10 2 2 2 4 2 2 2" xfId="22900" xr:uid="{00000000-0005-0000-0000-0000DF1E0000}"/>
    <cellStyle name="Comma 10 2 2 2 4 2 3" xfId="22901" xr:uid="{00000000-0005-0000-0000-0000E01E0000}"/>
    <cellStyle name="Comma 10 2 2 2 4 3" xfId="22902" xr:uid="{00000000-0005-0000-0000-0000E11E0000}"/>
    <cellStyle name="Comma 10 2 2 2 4 3 2" xfId="22903" xr:uid="{00000000-0005-0000-0000-0000E21E0000}"/>
    <cellStyle name="Comma 10 2 2 2 4 4" xfId="22904" xr:uid="{00000000-0005-0000-0000-0000E31E0000}"/>
    <cellStyle name="Comma 10 2 2 2 5" xfId="22905" xr:uid="{00000000-0005-0000-0000-0000E41E0000}"/>
    <cellStyle name="Comma 10 2 2 2 5 2" xfId="22906" xr:uid="{00000000-0005-0000-0000-0000E51E0000}"/>
    <cellStyle name="Comma 10 2 2 2 5 2 2" xfId="22907" xr:uid="{00000000-0005-0000-0000-0000E61E0000}"/>
    <cellStyle name="Comma 10 2 2 2 5 2 2 2" xfId="22908" xr:uid="{00000000-0005-0000-0000-0000E71E0000}"/>
    <cellStyle name="Comma 10 2 2 2 5 2 3" xfId="22909" xr:uid="{00000000-0005-0000-0000-0000E81E0000}"/>
    <cellStyle name="Comma 10 2 2 2 5 3" xfId="22910" xr:uid="{00000000-0005-0000-0000-0000E91E0000}"/>
    <cellStyle name="Comma 10 2 2 2 5 3 2" xfId="22911" xr:uid="{00000000-0005-0000-0000-0000EA1E0000}"/>
    <cellStyle name="Comma 10 2 2 2 5 4" xfId="22912" xr:uid="{00000000-0005-0000-0000-0000EB1E0000}"/>
    <cellStyle name="Comma 10 2 2 2 6" xfId="22913" xr:uid="{00000000-0005-0000-0000-0000EC1E0000}"/>
    <cellStyle name="Comma 10 2 2 2 6 2" xfId="22914" xr:uid="{00000000-0005-0000-0000-0000ED1E0000}"/>
    <cellStyle name="Comma 10 2 2 2 6 2 2" xfId="22915" xr:uid="{00000000-0005-0000-0000-0000EE1E0000}"/>
    <cellStyle name="Comma 10 2 2 2 6 3" xfId="22916" xr:uid="{00000000-0005-0000-0000-0000EF1E0000}"/>
    <cellStyle name="Comma 10 2 2 2 7" xfId="22917" xr:uid="{00000000-0005-0000-0000-0000F01E0000}"/>
    <cellStyle name="Comma 10 2 2 2 7 2" xfId="22918" xr:uid="{00000000-0005-0000-0000-0000F11E0000}"/>
    <cellStyle name="Comma 10 2 2 2 8" xfId="22919" xr:uid="{00000000-0005-0000-0000-0000F21E0000}"/>
    <cellStyle name="Comma 10 2 2 3" xfId="7254" xr:uid="{00000000-0005-0000-0000-0000F31E0000}"/>
    <cellStyle name="Comma 10 2 2 3 2" xfId="7255" xr:uid="{00000000-0005-0000-0000-0000F41E0000}"/>
    <cellStyle name="Comma 10 2 2 3 2 2" xfId="22920" xr:uid="{00000000-0005-0000-0000-0000F51E0000}"/>
    <cellStyle name="Comma 10 2 2 3 2 2 2" xfId="22921" xr:uid="{00000000-0005-0000-0000-0000F61E0000}"/>
    <cellStyle name="Comma 10 2 2 3 2 2 2 2" xfId="22922" xr:uid="{00000000-0005-0000-0000-0000F71E0000}"/>
    <cellStyle name="Comma 10 2 2 3 2 2 3" xfId="22923" xr:uid="{00000000-0005-0000-0000-0000F81E0000}"/>
    <cellStyle name="Comma 10 2 2 3 2 3" xfId="22924" xr:uid="{00000000-0005-0000-0000-0000F91E0000}"/>
    <cellStyle name="Comma 10 2 2 3 2 3 2" xfId="22925" xr:uid="{00000000-0005-0000-0000-0000FA1E0000}"/>
    <cellStyle name="Comma 10 2 2 3 2 4" xfId="22926" xr:uid="{00000000-0005-0000-0000-0000FB1E0000}"/>
    <cellStyle name="Comma 10 2 2 3 3" xfId="22927" xr:uid="{00000000-0005-0000-0000-0000FC1E0000}"/>
    <cellStyle name="Comma 10 2 2 3 3 2" xfId="22928" xr:uid="{00000000-0005-0000-0000-0000FD1E0000}"/>
    <cellStyle name="Comma 10 2 2 3 3 2 2" xfId="22929" xr:uid="{00000000-0005-0000-0000-0000FE1E0000}"/>
    <cellStyle name="Comma 10 2 2 3 3 2 2 2" xfId="22930" xr:uid="{00000000-0005-0000-0000-0000FF1E0000}"/>
    <cellStyle name="Comma 10 2 2 3 3 2 3" xfId="22931" xr:uid="{00000000-0005-0000-0000-0000001F0000}"/>
    <cellStyle name="Comma 10 2 2 3 3 3" xfId="22932" xr:uid="{00000000-0005-0000-0000-0000011F0000}"/>
    <cellStyle name="Comma 10 2 2 3 3 3 2" xfId="22933" xr:uid="{00000000-0005-0000-0000-0000021F0000}"/>
    <cellStyle name="Comma 10 2 2 3 3 4" xfId="22934" xr:uid="{00000000-0005-0000-0000-0000031F0000}"/>
    <cellStyle name="Comma 10 2 2 3 4" xfId="22935" xr:uid="{00000000-0005-0000-0000-0000041F0000}"/>
    <cellStyle name="Comma 10 2 2 3 4 2" xfId="22936" xr:uid="{00000000-0005-0000-0000-0000051F0000}"/>
    <cellStyle name="Comma 10 2 2 3 4 2 2" xfId="22937" xr:uid="{00000000-0005-0000-0000-0000061F0000}"/>
    <cellStyle name="Comma 10 2 2 3 4 3" xfId="22938" xr:uid="{00000000-0005-0000-0000-0000071F0000}"/>
    <cellStyle name="Comma 10 2 2 3 5" xfId="22939" xr:uid="{00000000-0005-0000-0000-0000081F0000}"/>
    <cellStyle name="Comma 10 2 2 3 5 2" xfId="22940" xr:uid="{00000000-0005-0000-0000-0000091F0000}"/>
    <cellStyle name="Comma 10 2 2 3 6" xfId="22941" xr:uid="{00000000-0005-0000-0000-00000A1F0000}"/>
    <cellStyle name="Comma 10 2 2 4" xfId="22779" xr:uid="{00000000-0005-0000-0000-00000B1F0000}"/>
    <cellStyle name="Comma 10 2 2 4 2" xfId="22942" xr:uid="{00000000-0005-0000-0000-00000C1F0000}"/>
    <cellStyle name="Comma 10 2 2 4 2 2" xfId="22943" xr:uid="{00000000-0005-0000-0000-00000D1F0000}"/>
    <cellStyle name="Comma 10 2 2 4 2 2 2" xfId="22944" xr:uid="{00000000-0005-0000-0000-00000E1F0000}"/>
    <cellStyle name="Comma 10 2 2 4 2 2 2 2" xfId="22945" xr:uid="{00000000-0005-0000-0000-00000F1F0000}"/>
    <cellStyle name="Comma 10 2 2 4 2 2 3" xfId="22946" xr:uid="{00000000-0005-0000-0000-0000101F0000}"/>
    <cellStyle name="Comma 10 2 2 4 2 2 3 2" xfId="27975" xr:uid="{FFD1249B-5622-4735-8363-DC47554585F9}"/>
    <cellStyle name="Comma 10 2 2 4 2 3" xfId="22947" xr:uid="{00000000-0005-0000-0000-0000111F0000}"/>
    <cellStyle name="Comma 10 2 2 4 2 3 2" xfId="22948" xr:uid="{00000000-0005-0000-0000-0000121F0000}"/>
    <cellStyle name="Comma 10 2 2 4 2 4" xfId="22949" xr:uid="{00000000-0005-0000-0000-0000131F0000}"/>
    <cellStyle name="Comma 10 2 2 4 3" xfId="22950" xr:uid="{00000000-0005-0000-0000-0000141F0000}"/>
    <cellStyle name="Comma 10 2 2 4 3 2" xfId="22951" xr:uid="{00000000-0005-0000-0000-0000151F0000}"/>
    <cellStyle name="Comma 10 2 2 4 3 2 2" xfId="22952" xr:uid="{00000000-0005-0000-0000-0000161F0000}"/>
    <cellStyle name="Comma 10 2 2 4 3 3" xfId="22953" xr:uid="{00000000-0005-0000-0000-0000171F0000}"/>
    <cellStyle name="Comma 10 2 2 4 4" xfId="22954" xr:uid="{00000000-0005-0000-0000-0000181F0000}"/>
    <cellStyle name="Comma 10 2 2 4 4 2" xfId="22955" xr:uid="{00000000-0005-0000-0000-0000191F0000}"/>
    <cellStyle name="Comma 10 2 2 4 5" xfId="22956" xr:uid="{00000000-0005-0000-0000-00001A1F0000}"/>
    <cellStyle name="Comma 10 2 2 5" xfId="22957" xr:uid="{00000000-0005-0000-0000-00001B1F0000}"/>
    <cellStyle name="Comma 10 2 2 5 2" xfId="22958" xr:uid="{00000000-0005-0000-0000-00001C1F0000}"/>
    <cellStyle name="Comma 10 2 2 5 2 2" xfId="22959" xr:uid="{00000000-0005-0000-0000-00001D1F0000}"/>
    <cellStyle name="Comma 10 2 2 5 2 2 2" xfId="22960" xr:uid="{00000000-0005-0000-0000-00001E1F0000}"/>
    <cellStyle name="Comma 10 2 2 5 2 3" xfId="22961" xr:uid="{00000000-0005-0000-0000-00001F1F0000}"/>
    <cellStyle name="Comma 10 2 2 5 3" xfId="22962" xr:uid="{00000000-0005-0000-0000-0000201F0000}"/>
    <cellStyle name="Comma 10 2 2 5 3 2" xfId="22963" xr:uid="{00000000-0005-0000-0000-0000211F0000}"/>
    <cellStyle name="Comma 10 2 2 5 4" xfId="22964" xr:uid="{00000000-0005-0000-0000-0000221F0000}"/>
    <cellStyle name="Comma 10 2 2 6" xfId="22965" xr:uid="{00000000-0005-0000-0000-0000231F0000}"/>
    <cellStyle name="Comma 10 2 2 6 2" xfId="22966" xr:uid="{00000000-0005-0000-0000-0000241F0000}"/>
    <cellStyle name="Comma 10 2 2 6 2 2" xfId="22967" xr:uid="{00000000-0005-0000-0000-0000251F0000}"/>
    <cellStyle name="Comma 10 2 2 6 2 2 2" xfId="22968" xr:uid="{00000000-0005-0000-0000-0000261F0000}"/>
    <cellStyle name="Comma 10 2 2 6 2 3" xfId="22969" xr:uid="{00000000-0005-0000-0000-0000271F0000}"/>
    <cellStyle name="Comma 10 2 2 6 3" xfId="22970" xr:uid="{00000000-0005-0000-0000-0000281F0000}"/>
    <cellStyle name="Comma 10 2 2 6 3 2" xfId="22971" xr:uid="{00000000-0005-0000-0000-0000291F0000}"/>
    <cellStyle name="Comma 10 2 2 6 4" xfId="22972" xr:uid="{00000000-0005-0000-0000-00002A1F0000}"/>
    <cellStyle name="Comma 10 2 2 7" xfId="22973" xr:uid="{00000000-0005-0000-0000-00002B1F0000}"/>
    <cellStyle name="Comma 10 2 2 7 2" xfId="22974" xr:uid="{00000000-0005-0000-0000-00002C1F0000}"/>
    <cellStyle name="Comma 10 2 2 7 2 2" xfId="22975" xr:uid="{00000000-0005-0000-0000-00002D1F0000}"/>
    <cellStyle name="Comma 10 2 2 7 2 2 2" xfId="22976" xr:uid="{00000000-0005-0000-0000-00002E1F0000}"/>
    <cellStyle name="Comma 10 2 2 7 2 3" xfId="22977" xr:uid="{00000000-0005-0000-0000-00002F1F0000}"/>
    <cellStyle name="Comma 10 2 2 7 3" xfId="22978" xr:uid="{00000000-0005-0000-0000-0000301F0000}"/>
    <cellStyle name="Comma 10 2 2 7 3 2" xfId="22979" xr:uid="{00000000-0005-0000-0000-0000311F0000}"/>
    <cellStyle name="Comma 10 2 2 7 4" xfId="22980" xr:uid="{00000000-0005-0000-0000-0000321F0000}"/>
    <cellStyle name="Comma 10 2 2 8" xfId="22981" xr:uid="{00000000-0005-0000-0000-0000331F0000}"/>
    <cellStyle name="Comma 10 2 2 8 2" xfId="22982" xr:uid="{00000000-0005-0000-0000-0000341F0000}"/>
    <cellStyle name="Comma 10 2 2 8 2 2" xfId="22983" xr:uid="{00000000-0005-0000-0000-0000351F0000}"/>
    <cellStyle name="Comma 10 2 2 8 3" xfId="22984" xr:uid="{00000000-0005-0000-0000-0000361F0000}"/>
    <cellStyle name="Comma 10 2 2 9" xfId="22985" xr:uid="{00000000-0005-0000-0000-0000371F0000}"/>
    <cellStyle name="Comma 10 2 2 9 2" xfId="22986" xr:uid="{00000000-0005-0000-0000-0000381F0000}"/>
    <cellStyle name="Comma 10 2 3" xfId="7256" xr:uid="{00000000-0005-0000-0000-0000391F0000}"/>
    <cellStyle name="Comma 10 2 3 2" xfId="7257" xr:uid="{00000000-0005-0000-0000-00003A1F0000}"/>
    <cellStyle name="Comma 10 2 3 2 2" xfId="7258" xr:uid="{00000000-0005-0000-0000-00003B1F0000}"/>
    <cellStyle name="Comma 10 2 3 2 2 2" xfId="22987" xr:uid="{00000000-0005-0000-0000-00003C1F0000}"/>
    <cellStyle name="Comma 10 2 3 2 2 2 2" xfId="22988" xr:uid="{00000000-0005-0000-0000-00003D1F0000}"/>
    <cellStyle name="Comma 10 2 3 2 2 2 2 2" xfId="22989" xr:uid="{00000000-0005-0000-0000-00003E1F0000}"/>
    <cellStyle name="Comma 10 2 3 2 2 2 3" xfId="22990" xr:uid="{00000000-0005-0000-0000-00003F1F0000}"/>
    <cellStyle name="Comma 10 2 3 2 2 3" xfId="22991" xr:uid="{00000000-0005-0000-0000-0000401F0000}"/>
    <cellStyle name="Comma 10 2 3 2 2 3 2" xfId="22992" xr:uid="{00000000-0005-0000-0000-0000411F0000}"/>
    <cellStyle name="Comma 10 2 3 2 2 4" xfId="22993" xr:uid="{00000000-0005-0000-0000-0000421F0000}"/>
    <cellStyle name="Comma 10 2 3 2 3" xfId="22994" xr:uid="{00000000-0005-0000-0000-0000431F0000}"/>
    <cellStyle name="Comma 10 2 3 2 3 2" xfId="22995" xr:uid="{00000000-0005-0000-0000-0000441F0000}"/>
    <cellStyle name="Comma 10 2 3 2 3 2 2" xfId="22996" xr:uid="{00000000-0005-0000-0000-0000451F0000}"/>
    <cellStyle name="Comma 10 2 3 2 3 2 2 2" xfId="22997" xr:uid="{00000000-0005-0000-0000-0000461F0000}"/>
    <cellStyle name="Comma 10 2 3 2 3 2 3" xfId="22998" xr:uid="{00000000-0005-0000-0000-0000471F0000}"/>
    <cellStyle name="Comma 10 2 3 2 3 3" xfId="22999" xr:uid="{00000000-0005-0000-0000-0000481F0000}"/>
    <cellStyle name="Comma 10 2 3 2 3 3 2" xfId="23000" xr:uid="{00000000-0005-0000-0000-0000491F0000}"/>
    <cellStyle name="Comma 10 2 3 2 3 4" xfId="23001" xr:uid="{00000000-0005-0000-0000-00004A1F0000}"/>
    <cellStyle name="Comma 10 2 3 2 4" xfId="23002" xr:uid="{00000000-0005-0000-0000-00004B1F0000}"/>
    <cellStyle name="Comma 10 2 3 2 4 2" xfId="23003" xr:uid="{00000000-0005-0000-0000-00004C1F0000}"/>
    <cellStyle name="Comma 10 2 3 2 4 2 2" xfId="23004" xr:uid="{00000000-0005-0000-0000-00004D1F0000}"/>
    <cellStyle name="Comma 10 2 3 2 4 3" xfId="23005" xr:uid="{00000000-0005-0000-0000-00004E1F0000}"/>
    <cellStyle name="Comma 10 2 3 2 5" xfId="23006" xr:uid="{00000000-0005-0000-0000-00004F1F0000}"/>
    <cellStyle name="Comma 10 2 3 2 5 2" xfId="23007" xr:uid="{00000000-0005-0000-0000-0000501F0000}"/>
    <cellStyle name="Comma 10 2 3 2 6" xfId="23008" xr:uid="{00000000-0005-0000-0000-0000511F0000}"/>
    <cellStyle name="Comma 10 2 3 3" xfId="7259" xr:uid="{00000000-0005-0000-0000-0000521F0000}"/>
    <cellStyle name="Comma 10 2 3 3 2" xfId="23009" xr:uid="{00000000-0005-0000-0000-0000531F0000}"/>
    <cellStyle name="Comma 10 2 3 3 2 2" xfId="23010" xr:uid="{00000000-0005-0000-0000-0000541F0000}"/>
    <cellStyle name="Comma 10 2 3 3 2 2 2" xfId="23011" xr:uid="{00000000-0005-0000-0000-0000551F0000}"/>
    <cellStyle name="Comma 10 2 3 3 2 2 2 2" xfId="23012" xr:uid="{00000000-0005-0000-0000-0000561F0000}"/>
    <cellStyle name="Comma 10 2 3 3 2 2 3" xfId="23013" xr:uid="{00000000-0005-0000-0000-0000571F0000}"/>
    <cellStyle name="Comma 10 2 3 3 2 3" xfId="23014" xr:uid="{00000000-0005-0000-0000-0000581F0000}"/>
    <cellStyle name="Comma 10 2 3 3 2 3 2" xfId="23015" xr:uid="{00000000-0005-0000-0000-0000591F0000}"/>
    <cellStyle name="Comma 10 2 3 3 2 4" xfId="23016" xr:uid="{00000000-0005-0000-0000-00005A1F0000}"/>
    <cellStyle name="Comma 10 2 3 3 3" xfId="23017" xr:uid="{00000000-0005-0000-0000-00005B1F0000}"/>
    <cellStyle name="Comma 10 2 3 3 3 2" xfId="23018" xr:uid="{00000000-0005-0000-0000-00005C1F0000}"/>
    <cellStyle name="Comma 10 2 3 3 3 2 2" xfId="23019" xr:uid="{00000000-0005-0000-0000-00005D1F0000}"/>
    <cellStyle name="Comma 10 2 3 3 3 3" xfId="23020" xr:uid="{00000000-0005-0000-0000-00005E1F0000}"/>
    <cellStyle name="Comma 10 2 3 3 4" xfId="23021" xr:uid="{00000000-0005-0000-0000-00005F1F0000}"/>
    <cellStyle name="Comma 10 2 3 3 4 2" xfId="23022" xr:uid="{00000000-0005-0000-0000-0000601F0000}"/>
    <cellStyle name="Comma 10 2 3 3 5" xfId="23023" xr:uid="{00000000-0005-0000-0000-0000611F0000}"/>
    <cellStyle name="Comma 10 2 3 4" xfId="23024" xr:uid="{00000000-0005-0000-0000-0000621F0000}"/>
    <cellStyle name="Comma 10 2 3 4 2" xfId="23025" xr:uid="{00000000-0005-0000-0000-0000631F0000}"/>
    <cellStyle name="Comma 10 2 3 4 2 2" xfId="23026" xr:uid="{00000000-0005-0000-0000-0000641F0000}"/>
    <cellStyle name="Comma 10 2 3 4 2 2 2" xfId="23027" xr:uid="{00000000-0005-0000-0000-0000651F0000}"/>
    <cellStyle name="Comma 10 2 3 4 2 3" xfId="23028" xr:uid="{00000000-0005-0000-0000-0000661F0000}"/>
    <cellStyle name="Comma 10 2 3 4 3" xfId="23029" xr:uid="{00000000-0005-0000-0000-0000671F0000}"/>
    <cellStyle name="Comma 10 2 3 4 3 2" xfId="23030" xr:uid="{00000000-0005-0000-0000-0000681F0000}"/>
    <cellStyle name="Comma 10 2 3 4 4" xfId="23031" xr:uid="{00000000-0005-0000-0000-0000691F0000}"/>
    <cellStyle name="Comma 10 2 3 5" xfId="23032" xr:uid="{00000000-0005-0000-0000-00006A1F0000}"/>
    <cellStyle name="Comma 10 2 3 5 2" xfId="23033" xr:uid="{00000000-0005-0000-0000-00006B1F0000}"/>
    <cellStyle name="Comma 10 2 3 5 2 2" xfId="23034" xr:uid="{00000000-0005-0000-0000-00006C1F0000}"/>
    <cellStyle name="Comma 10 2 3 5 2 2 2" xfId="23035" xr:uid="{00000000-0005-0000-0000-00006D1F0000}"/>
    <cellStyle name="Comma 10 2 3 5 2 3" xfId="23036" xr:uid="{00000000-0005-0000-0000-00006E1F0000}"/>
    <cellStyle name="Comma 10 2 3 5 3" xfId="23037" xr:uid="{00000000-0005-0000-0000-00006F1F0000}"/>
    <cellStyle name="Comma 10 2 3 5 3 2" xfId="23038" xr:uid="{00000000-0005-0000-0000-0000701F0000}"/>
    <cellStyle name="Comma 10 2 3 5 4" xfId="23039" xr:uid="{00000000-0005-0000-0000-0000711F0000}"/>
    <cellStyle name="Comma 10 2 3 6" xfId="23040" xr:uid="{00000000-0005-0000-0000-0000721F0000}"/>
    <cellStyle name="Comma 10 2 3 6 2" xfId="23041" xr:uid="{00000000-0005-0000-0000-0000731F0000}"/>
    <cellStyle name="Comma 10 2 3 6 2 2" xfId="23042" xr:uid="{00000000-0005-0000-0000-0000741F0000}"/>
    <cellStyle name="Comma 10 2 3 6 3" xfId="23043" xr:uid="{00000000-0005-0000-0000-0000751F0000}"/>
    <cellStyle name="Comma 10 2 3 7" xfId="23044" xr:uid="{00000000-0005-0000-0000-0000761F0000}"/>
    <cellStyle name="Comma 10 2 3 7 2" xfId="23045" xr:uid="{00000000-0005-0000-0000-0000771F0000}"/>
    <cellStyle name="Comma 10 2 3 8" xfId="23046" xr:uid="{00000000-0005-0000-0000-0000781F0000}"/>
    <cellStyle name="Comma 10 2 4" xfId="23047" xr:uid="{00000000-0005-0000-0000-0000791F0000}"/>
    <cellStyle name="Comma 10 2 4 2" xfId="23048" xr:uid="{00000000-0005-0000-0000-00007A1F0000}"/>
    <cellStyle name="Comma 10 2 4 2 2" xfId="23049" xr:uid="{00000000-0005-0000-0000-00007B1F0000}"/>
    <cellStyle name="Comma 10 2 4 2 2 2" xfId="23050" xr:uid="{00000000-0005-0000-0000-00007C1F0000}"/>
    <cellStyle name="Comma 10 2 4 2 2 2 2" xfId="23051" xr:uid="{00000000-0005-0000-0000-00007D1F0000}"/>
    <cellStyle name="Comma 10 2 4 2 2 2 2 2" xfId="23052" xr:uid="{00000000-0005-0000-0000-00007E1F0000}"/>
    <cellStyle name="Comma 10 2 4 2 2 2 3" xfId="23053" xr:uid="{00000000-0005-0000-0000-00007F1F0000}"/>
    <cellStyle name="Comma 10 2 4 2 2 3" xfId="23054" xr:uid="{00000000-0005-0000-0000-0000801F0000}"/>
    <cellStyle name="Comma 10 2 4 2 2 3 2" xfId="23055" xr:uid="{00000000-0005-0000-0000-0000811F0000}"/>
    <cellStyle name="Comma 10 2 4 2 2 4" xfId="23056" xr:uid="{00000000-0005-0000-0000-0000821F0000}"/>
    <cellStyle name="Comma 10 2 4 2 3" xfId="23057" xr:uid="{00000000-0005-0000-0000-0000831F0000}"/>
    <cellStyle name="Comma 10 2 4 2 3 2" xfId="23058" xr:uid="{00000000-0005-0000-0000-0000841F0000}"/>
    <cellStyle name="Comma 10 2 4 2 3 2 2" xfId="23059" xr:uid="{00000000-0005-0000-0000-0000851F0000}"/>
    <cellStyle name="Comma 10 2 4 2 3 2 2 2" xfId="23060" xr:uid="{00000000-0005-0000-0000-0000861F0000}"/>
    <cellStyle name="Comma 10 2 4 2 3 2 3" xfId="23061" xr:uid="{00000000-0005-0000-0000-0000871F0000}"/>
    <cellStyle name="Comma 10 2 4 2 3 3" xfId="23062" xr:uid="{00000000-0005-0000-0000-0000881F0000}"/>
    <cellStyle name="Comma 10 2 4 2 3 3 2" xfId="23063" xr:uid="{00000000-0005-0000-0000-0000891F0000}"/>
    <cellStyle name="Comma 10 2 4 2 3 4" xfId="23064" xr:uid="{00000000-0005-0000-0000-00008A1F0000}"/>
    <cellStyle name="Comma 10 2 4 2 4" xfId="23065" xr:uid="{00000000-0005-0000-0000-00008B1F0000}"/>
    <cellStyle name="Comma 10 2 4 2 4 2" xfId="23066" xr:uid="{00000000-0005-0000-0000-00008C1F0000}"/>
    <cellStyle name="Comma 10 2 4 2 4 2 2" xfId="23067" xr:uid="{00000000-0005-0000-0000-00008D1F0000}"/>
    <cellStyle name="Comma 10 2 4 2 4 3" xfId="23068" xr:uid="{00000000-0005-0000-0000-00008E1F0000}"/>
    <cellStyle name="Comma 10 2 4 2 5" xfId="23069" xr:uid="{00000000-0005-0000-0000-00008F1F0000}"/>
    <cellStyle name="Comma 10 2 4 2 5 2" xfId="23070" xr:uid="{00000000-0005-0000-0000-0000901F0000}"/>
    <cellStyle name="Comma 10 2 4 2 6" xfId="23071" xr:uid="{00000000-0005-0000-0000-0000911F0000}"/>
    <cellStyle name="Comma 10 2 4 3" xfId="23072" xr:uid="{00000000-0005-0000-0000-0000921F0000}"/>
    <cellStyle name="Comma 10 2 4 3 2" xfId="23073" xr:uid="{00000000-0005-0000-0000-0000931F0000}"/>
    <cellStyle name="Comma 10 2 4 3 2 2" xfId="23074" xr:uid="{00000000-0005-0000-0000-0000941F0000}"/>
    <cellStyle name="Comma 10 2 4 3 2 2 2" xfId="23075" xr:uid="{00000000-0005-0000-0000-0000951F0000}"/>
    <cellStyle name="Comma 10 2 4 3 2 2 2 2" xfId="23076" xr:uid="{00000000-0005-0000-0000-0000961F0000}"/>
    <cellStyle name="Comma 10 2 4 3 2 2 3" xfId="23077" xr:uid="{00000000-0005-0000-0000-0000971F0000}"/>
    <cellStyle name="Comma 10 2 4 3 2 3" xfId="23078" xr:uid="{00000000-0005-0000-0000-0000981F0000}"/>
    <cellStyle name="Comma 10 2 4 3 2 3 2" xfId="23079" xr:uid="{00000000-0005-0000-0000-0000991F0000}"/>
    <cellStyle name="Comma 10 2 4 3 2 4" xfId="23080" xr:uid="{00000000-0005-0000-0000-00009A1F0000}"/>
    <cellStyle name="Comma 10 2 4 3 3" xfId="23081" xr:uid="{00000000-0005-0000-0000-00009B1F0000}"/>
    <cellStyle name="Comma 10 2 4 3 3 2" xfId="23082" xr:uid="{00000000-0005-0000-0000-00009C1F0000}"/>
    <cellStyle name="Comma 10 2 4 3 3 2 2" xfId="23083" xr:uid="{00000000-0005-0000-0000-00009D1F0000}"/>
    <cellStyle name="Comma 10 2 4 3 3 3" xfId="23084" xr:uid="{00000000-0005-0000-0000-00009E1F0000}"/>
    <cellStyle name="Comma 10 2 4 3 4" xfId="23085" xr:uid="{00000000-0005-0000-0000-00009F1F0000}"/>
    <cellStyle name="Comma 10 2 4 3 4 2" xfId="23086" xr:uid="{00000000-0005-0000-0000-0000A01F0000}"/>
    <cellStyle name="Comma 10 2 4 3 5" xfId="23087" xr:uid="{00000000-0005-0000-0000-0000A11F0000}"/>
    <cellStyle name="Comma 10 2 4 4" xfId="23088" xr:uid="{00000000-0005-0000-0000-0000A21F0000}"/>
    <cellStyle name="Comma 10 2 4 4 2" xfId="23089" xr:uid="{00000000-0005-0000-0000-0000A31F0000}"/>
    <cellStyle name="Comma 10 2 4 4 2 2" xfId="23090" xr:uid="{00000000-0005-0000-0000-0000A41F0000}"/>
    <cellStyle name="Comma 10 2 4 4 2 2 2" xfId="23091" xr:uid="{00000000-0005-0000-0000-0000A51F0000}"/>
    <cellStyle name="Comma 10 2 4 4 2 3" xfId="23092" xr:uid="{00000000-0005-0000-0000-0000A61F0000}"/>
    <cellStyle name="Comma 10 2 4 4 3" xfId="23093" xr:uid="{00000000-0005-0000-0000-0000A71F0000}"/>
    <cellStyle name="Comma 10 2 4 4 3 2" xfId="23094" xr:uid="{00000000-0005-0000-0000-0000A81F0000}"/>
    <cellStyle name="Comma 10 2 4 4 4" xfId="23095" xr:uid="{00000000-0005-0000-0000-0000A91F0000}"/>
    <cellStyle name="Comma 10 2 4 5" xfId="23096" xr:uid="{00000000-0005-0000-0000-0000AA1F0000}"/>
    <cellStyle name="Comma 10 2 4 5 2" xfId="23097" xr:uid="{00000000-0005-0000-0000-0000AB1F0000}"/>
    <cellStyle name="Comma 10 2 4 5 2 2" xfId="23098" xr:uid="{00000000-0005-0000-0000-0000AC1F0000}"/>
    <cellStyle name="Comma 10 2 4 5 2 2 2" xfId="23099" xr:uid="{00000000-0005-0000-0000-0000AD1F0000}"/>
    <cellStyle name="Comma 10 2 4 5 2 3" xfId="23100" xr:uid="{00000000-0005-0000-0000-0000AE1F0000}"/>
    <cellStyle name="Comma 10 2 4 5 3" xfId="23101" xr:uid="{00000000-0005-0000-0000-0000AF1F0000}"/>
    <cellStyle name="Comma 10 2 4 5 3 2" xfId="23102" xr:uid="{00000000-0005-0000-0000-0000B01F0000}"/>
    <cellStyle name="Comma 10 2 4 5 4" xfId="23103" xr:uid="{00000000-0005-0000-0000-0000B11F0000}"/>
    <cellStyle name="Comma 10 2 4 6" xfId="23104" xr:uid="{00000000-0005-0000-0000-0000B21F0000}"/>
    <cellStyle name="Comma 10 2 4 6 2" xfId="23105" xr:uid="{00000000-0005-0000-0000-0000B31F0000}"/>
    <cellStyle name="Comma 10 2 4 6 2 2" xfId="23106" xr:uid="{00000000-0005-0000-0000-0000B41F0000}"/>
    <cellStyle name="Comma 10 2 4 6 3" xfId="23107" xr:uid="{00000000-0005-0000-0000-0000B51F0000}"/>
    <cellStyle name="Comma 10 2 4 7" xfId="23108" xr:uid="{00000000-0005-0000-0000-0000B61F0000}"/>
    <cellStyle name="Comma 10 2 4 7 2" xfId="23109" xr:uid="{00000000-0005-0000-0000-0000B71F0000}"/>
    <cellStyle name="Comma 10 2 4 8" xfId="23110" xr:uid="{00000000-0005-0000-0000-0000B81F0000}"/>
    <cellStyle name="Comma 10 2 5" xfId="23111" xr:uid="{00000000-0005-0000-0000-0000B91F0000}"/>
    <cellStyle name="Comma 10 2 5 2" xfId="23112" xr:uid="{00000000-0005-0000-0000-0000BA1F0000}"/>
    <cellStyle name="Comma 10 2 5 2 2" xfId="23113" xr:uid="{00000000-0005-0000-0000-0000BB1F0000}"/>
    <cellStyle name="Comma 10 2 5 2 2 2" xfId="23114" xr:uid="{00000000-0005-0000-0000-0000BC1F0000}"/>
    <cellStyle name="Comma 10 2 5 2 2 2 2" xfId="23115" xr:uid="{00000000-0005-0000-0000-0000BD1F0000}"/>
    <cellStyle name="Comma 10 2 5 2 2 3" xfId="23116" xr:uid="{00000000-0005-0000-0000-0000BE1F0000}"/>
    <cellStyle name="Comma 10 2 5 2 3" xfId="23117" xr:uid="{00000000-0005-0000-0000-0000BF1F0000}"/>
    <cellStyle name="Comma 10 2 5 2 3 2" xfId="23118" xr:uid="{00000000-0005-0000-0000-0000C01F0000}"/>
    <cellStyle name="Comma 10 2 5 2 4" xfId="23119" xr:uid="{00000000-0005-0000-0000-0000C11F0000}"/>
    <cellStyle name="Comma 10 2 5 3" xfId="23120" xr:uid="{00000000-0005-0000-0000-0000C21F0000}"/>
    <cellStyle name="Comma 10 2 5 3 2" xfId="23121" xr:uid="{00000000-0005-0000-0000-0000C31F0000}"/>
    <cellStyle name="Comma 10 2 5 3 2 2" xfId="23122" xr:uid="{00000000-0005-0000-0000-0000C41F0000}"/>
    <cellStyle name="Comma 10 2 5 3 2 2 2" xfId="23123" xr:uid="{00000000-0005-0000-0000-0000C51F0000}"/>
    <cellStyle name="Comma 10 2 5 3 2 3" xfId="23124" xr:uid="{00000000-0005-0000-0000-0000C61F0000}"/>
    <cellStyle name="Comma 10 2 5 3 3" xfId="23125" xr:uid="{00000000-0005-0000-0000-0000C71F0000}"/>
    <cellStyle name="Comma 10 2 5 3 3 2" xfId="23126" xr:uid="{00000000-0005-0000-0000-0000C81F0000}"/>
    <cellStyle name="Comma 10 2 5 3 4" xfId="23127" xr:uid="{00000000-0005-0000-0000-0000C91F0000}"/>
    <cellStyle name="Comma 10 2 5 4" xfId="23128" xr:uid="{00000000-0005-0000-0000-0000CA1F0000}"/>
    <cellStyle name="Comma 10 2 5 4 2" xfId="23129" xr:uid="{00000000-0005-0000-0000-0000CB1F0000}"/>
    <cellStyle name="Comma 10 2 5 4 2 2" xfId="23130" xr:uid="{00000000-0005-0000-0000-0000CC1F0000}"/>
    <cellStyle name="Comma 10 2 5 4 3" xfId="23131" xr:uid="{00000000-0005-0000-0000-0000CD1F0000}"/>
    <cellStyle name="Comma 10 2 5 5" xfId="23132" xr:uid="{00000000-0005-0000-0000-0000CE1F0000}"/>
    <cellStyle name="Comma 10 2 5 5 2" xfId="23133" xr:uid="{00000000-0005-0000-0000-0000CF1F0000}"/>
    <cellStyle name="Comma 10 2 5 6" xfId="23134" xr:uid="{00000000-0005-0000-0000-0000D01F0000}"/>
    <cellStyle name="Comma 10 2 6" xfId="23135" xr:uid="{00000000-0005-0000-0000-0000D11F0000}"/>
    <cellStyle name="Comma 10 2 6 2" xfId="23136" xr:uid="{00000000-0005-0000-0000-0000D21F0000}"/>
    <cellStyle name="Comma 10 2 6 2 2" xfId="23137" xr:uid="{00000000-0005-0000-0000-0000D31F0000}"/>
    <cellStyle name="Comma 10 2 6 2 2 2" xfId="23138" xr:uid="{00000000-0005-0000-0000-0000D41F0000}"/>
    <cellStyle name="Comma 10 2 6 2 2 2 2" xfId="23139" xr:uid="{00000000-0005-0000-0000-0000D51F0000}"/>
    <cellStyle name="Comma 10 2 6 2 2 3" xfId="23140" xr:uid="{00000000-0005-0000-0000-0000D61F0000}"/>
    <cellStyle name="Comma 10 2 6 2 3" xfId="23141" xr:uid="{00000000-0005-0000-0000-0000D71F0000}"/>
    <cellStyle name="Comma 10 2 6 2 3 2" xfId="23142" xr:uid="{00000000-0005-0000-0000-0000D81F0000}"/>
    <cellStyle name="Comma 10 2 6 2 4" xfId="23143" xr:uid="{00000000-0005-0000-0000-0000D91F0000}"/>
    <cellStyle name="Comma 10 2 6 3" xfId="23144" xr:uid="{00000000-0005-0000-0000-0000DA1F0000}"/>
    <cellStyle name="Comma 10 2 6 3 2" xfId="23145" xr:uid="{00000000-0005-0000-0000-0000DB1F0000}"/>
    <cellStyle name="Comma 10 2 6 3 2 2" xfId="23146" xr:uid="{00000000-0005-0000-0000-0000DC1F0000}"/>
    <cellStyle name="Comma 10 2 6 3 3" xfId="23147" xr:uid="{00000000-0005-0000-0000-0000DD1F0000}"/>
    <cellStyle name="Comma 10 2 6 4" xfId="23148" xr:uid="{00000000-0005-0000-0000-0000DE1F0000}"/>
    <cellStyle name="Comma 10 2 6 4 2" xfId="23149" xr:uid="{00000000-0005-0000-0000-0000DF1F0000}"/>
    <cellStyle name="Comma 10 2 6 5" xfId="23150" xr:uid="{00000000-0005-0000-0000-0000E01F0000}"/>
    <cellStyle name="Comma 10 2 7" xfId="23151" xr:uid="{00000000-0005-0000-0000-0000E11F0000}"/>
    <cellStyle name="Comma 10 2 7 2" xfId="23152" xr:uid="{00000000-0005-0000-0000-0000E21F0000}"/>
    <cellStyle name="Comma 10 2 7 2 2" xfId="23153" xr:uid="{00000000-0005-0000-0000-0000E31F0000}"/>
    <cellStyle name="Comma 10 2 7 2 2 2" xfId="23154" xr:uid="{00000000-0005-0000-0000-0000E41F0000}"/>
    <cellStyle name="Comma 10 2 7 2 3" xfId="23155" xr:uid="{00000000-0005-0000-0000-0000E51F0000}"/>
    <cellStyle name="Comma 10 2 7 3" xfId="23156" xr:uid="{00000000-0005-0000-0000-0000E61F0000}"/>
    <cellStyle name="Comma 10 2 7 3 2" xfId="23157" xr:uid="{00000000-0005-0000-0000-0000E71F0000}"/>
    <cellStyle name="Comma 10 2 7 4" xfId="23158" xr:uid="{00000000-0005-0000-0000-0000E81F0000}"/>
    <cellStyle name="Comma 10 2 8" xfId="23159" xr:uid="{00000000-0005-0000-0000-0000E91F0000}"/>
    <cellStyle name="Comma 10 2 8 2" xfId="23160" xr:uid="{00000000-0005-0000-0000-0000EA1F0000}"/>
    <cellStyle name="Comma 10 2 8 2 2" xfId="23161" xr:uid="{00000000-0005-0000-0000-0000EB1F0000}"/>
    <cellStyle name="Comma 10 2 8 2 2 2" xfId="23162" xr:uid="{00000000-0005-0000-0000-0000EC1F0000}"/>
    <cellStyle name="Comma 10 2 8 2 3" xfId="23163" xr:uid="{00000000-0005-0000-0000-0000ED1F0000}"/>
    <cellStyle name="Comma 10 2 8 3" xfId="23164" xr:uid="{00000000-0005-0000-0000-0000EE1F0000}"/>
    <cellStyle name="Comma 10 2 8 3 2" xfId="23165" xr:uid="{00000000-0005-0000-0000-0000EF1F0000}"/>
    <cellStyle name="Comma 10 2 8 4" xfId="23166" xr:uid="{00000000-0005-0000-0000-0000F01F0000}"/>
    <cellStyle name="Comma 10 2 9" xfId="23167" xr:uid="{00000000-0005-0000-0000-0000F11F0000}"/>
    <cellStyle name="Comma 10 2 9 2" xfId="23168" xr:uid="{00000000-0005-0000-0000-0000F21F0000}"/>
    <cellStyle name="Comma 10 2 9 2 2" xfId="23169" xr:uid="{00000000-0005-0000-0000-0000F31F0000}"/>
    <cellStyle name="Comma 10 2 9 2 2 2" xfId="23170" xr:uid="{00000000-0005-0000-0000-0000F41F0000}"/>
    <cellStyle name="Comma 10 2 9 2 3" xfId="23171" xr:uid="{00000000-0005-0000-0000-0000F51F0000}"/>
    <cellStyle name="Comma 10 2 9 3" xfId="23172" xr:uid="{00000000-0005-0000-0000-0000F61F0000}"/>
    <cellStyle name="Comma 10 2 9 3 2" xfId="23173" xr:uid="{00000000-0005-0000-0000-0000F71F0000}"/>
    <cellStyle name="Comma 10 2 9 4" xfId="23174" xr:uid="{00000000-0005-0000-0000-0000F81F0000}"/>
    <cellStyle name="Comma 10 20" xfId="7260" xr:uid="{00000000-0005-0000-0000-0000F91F0000}"/>
    <cellStyle name="Comma 10 21" xfId="7261" xr:uid="{00000000-0005-0000-0000-0000FA1F0000}"/>
    <cellStyle name="Comma 10 22" xfId="7262" xr:uid="{00000000-0005-0000-0000-0000FB1F0000}"/>
    <cellStyle name="Comma 10 23" xfId="7263" xr:uid="{00000000-0005-0000-0000-0000FC1F0000}"/>
    <cellStyle name="Comma 10 24" xfId="7264" xr:uid="{00000000-0005-0000-0000-0000FD1F0000}"/>
    <cellStyle name="Comma 10 25" xfId="7265" xr:uid="{00000000-0005-0000-0000-0000FE1F0000}"/>
    <cellStyle name="Comma 10 26" xfId="7266" xr:uid="{00000000-0005-0000-0000-0000FF1F0000}"/>
    <cellStyle name="Comma 10 27" xfId="7267" xr:uid="{00000000-0005-0000-0000-000000200000}"/>
    <cellStyle name="Comma 10 28" xfId="7268" xr:uid="{00000000-0005-0000-0000-000001200000}"/>
    <cellStyle name="Comma 10 29" xfId="7269" xr:uid="{00000000-0005-0000-0000-000002200000}"/>
    <cellStyle name="Comma 10 3" xfId="137" xr:uid="{00000000-0005-0000-0000-000003200000}"/>
    <cellStyle name="Comma 10 3 10" xfId="23175" xr:uid="{00000000-0005-0000-0000-000004200000}"/>
    <cellStyle name="Comma 10 3 10 2" xfId="23176" xr:uid="{00000000-0005-0000-0000-000005200000}"/>
    <cellStyle name="Comma 10 3 10 2 2" xfId="23177" xr:uid="{00000000-0005-0000-0000-000006200000}"/>
    <cellStyle name="Comma 10 3 10 3" xfId="23178" xr:uid="{00000000-0005-0000-0000-000007200000}"/>
    <cellStyle name="Comma 10 3 11" xfId="23179" xr:uid="{00000000-0005-0000-0000-000008200000}"/>
    <cellStyle name="Comma 10 3 11 2" xfId="23180" xr:uid="{00000000-0005-0000-0000-000009200000}"/>
    <cellStyle name="Comma 10 3 12" xfId="23181" xr:uid="{00000000-0005-0000-0000-00000A200000}"/>
    <cellStyle name="Comma 10 3 2" xfId="23182" xr:uid="{00000000-0005-0000-0000-00000B200000}"/>
    <cellStyle name="Comma 10 3 2 10" xfId="23183" xr:uid="{00000000-0005-0000-0000-00000C200000}"/>
    <cellStyle name="Comma 10 3 2 2" xfId="23184" xr:uid="{00000000-0005-0000-0000-00000D200000}"/>
    <cellStyle name="Comma 10 3 2 2 2" xfId="23185" xr:uid="{00000000-0005-0000-0000-00000E200000}"/>
    <cellStyle name="Comma 10 3 2 2 2 2" xfId="23186" xr:uid="{00000000-0005-0000-0000-00000F200000}"/>
    <cellStyle name="Comma 10 3 2 2 2 2 2" xfId="23187" xr:uid="{00000000-0005-0000-0000-000010200000}"/>
    <cellStyle name="Comma 10 3 2 2 2 2 2 2" xfId="23188" xr:uid="{00000000-0005-0000-0000-000011200000}"/>
    <cellStyle name="Comma 10 3 2 2 2 2 2 2 2" xfId="23189" xr:uid="{00000000-0005-0000-0000-000012200000}"/>
    <cellStyle name="Comma 10 3 2 2 2 2 2 3" xfId="23190" xr:uid="{00000000-0005-0000-0000-000013200000}"/>
    <cellStyle name="Comma 10 3 2 2 2 2 3" xfId="23191" xr:uid="{00000000-0005-0000-0000-000014200000}"/>
    <cellStyle name="Comma 10 3 2 2 2 2 3 2" xfId="23192" xr:uid="{00000000-0005-0000-0000-000015200000}"/>
    <cellStyle name="Comma 10 3 2 2 2 2 4" xfId="23193" xr:uid="{00000000-0005-0000-0000-000016200000}"/>
    <cellStyle name="Comma 10 3 2 2 2 3" xfId="23194" xr:uid="{00000000-0005-0000-0000-000017200000}"/>
    <cellStyle name="Comma 10 3 2 2 2 3 2" xfId="23195" xr:uid="{00000000-0005-0000-0000-000018200000}"/>
    <cellStyle name="Comma 10 3 2 2 2 3 2 2" xfId="23196" xr:uid="{00000000-0005-0000-0000-000019200000}"/>
    <cellStyle name="Comma 10 3 2 2 2 3 2 2 2" xfId="23197" xr:uid="{00000000-0005-0000-0000-00001A200000}"/>
    <cellStyle name="Comma 10 3 2 2 2 3 2 3" xfId="23198" xr:uid="{00000000-0005-0000-0000-00001B200000}"/>
    <cellStyle name="Comma 10 3 2 2 2 3 3" xfId="23199" xr:uid="{00000000-0005-0000-0000-00001C200000}"/>
    <cellStyle name="Comma 10 3 2 2 2 3 3 2" xfId="23200" xr:uid="{00000000-0005-0000-0000-00001D200000}"/>
    <cellStyle name="Comma 10 3 2 2 2 3 4" xfId="23201" xr:uid="{00000000-0005-0000-0000-00001E200000}"/>
    <cellStyle name="Comma 10 3 2 2 2 4" xfId="23202" xr:uid="{00000000-0005-0000-0000-00001F200000}"/>
    <cellStyle name="Comma 10 3 2 2 2 4 2" xfId="23203" xr:uid="{00000000-0005-0000-0000-000020200000}"/>
    <cellStyle name="Comma 10 3 2 2 2 4 2 2" xfId="23204" xr:uid="{00000000-0005-0000-0000-000021200000}"/>
    <cellStyle name="Comma 10 3 2 2 2 4 3" xfId="23205" xr:uid="{00000000-0005-0000-0000-000022200000}"/>
    <cellStyle name="Comma 10 3 2 2 2 5" xfId="23206" xr:uid="{00000000-0005-0000-0000-000023200000}"/>
    <cellStyle name="Comma 10 3 2 2 2 5 2" xfId="23207" xr:uid="{00000000-0005-0000-0000-000024200000}"/>
    <cellStyle name="Comma 10 3 2 2 2 6" xfId="23208" xr:uid="{00000000-0005-0000-0000-000025200000}"/>
    <cellStyle name="Comma 10 3 2 2 3" xfId="23209" xr:uid="{00000000-0005-0000-0000-000026200000}"/>
    <cellStyle name="Comma 10 3 2 2 3 2" xfId="23210" xr:uid="{00000000-0005-0000-0000-000027200000}"/>
    <cellStyle name="Comma 10 3 2 2 3 2 2" xfId="23211" xr:uid="{00000000-0005-0000-0000-000028200000}"/>
    <cellStyle name="Comma 10 3 2 2 3 2 2 2" xfId="23212" xr:uid="{00000000-0005-0000-0000-000029200000}"/>
    <cellStyle name="Comma 10 3 2 2 3 2 2 2 2" xfId="23213" xr:uid="{00000000-0005-0000-0000-00002A200000}"/>
    <cellStyle name="Comma 10 3 2 2 3 2 2 3" xfId="23214" xr:uid="{00000000-0005-0000-0000-00002B200000}"/>
    <cellStyle name="Comma 10 3 2 2 3 2 3" xfId="23215" xr:uid="{00000000-0005-0000-0000-00002C200000}"/>
    <cellStyle name="Comma 10 3 2 2 3 2 3 2" xfId="23216" xr:uid="{00000000-0005-0000-0000-00002D200000}"/>
    <cellStyle name="Comma 10 3 2 2 3 2 4" xfId="23217" xr:uid="{00000000-0005-0000-0000-00002E200000}"/>
    <cellStyle name="Comma 10 3 2 2 3 3" xfId="23218" xr:uid="{00000000-0005-0000-0000-00002F200000}"/>
    <cellStyle name="Comma 10 3 2 2 3 3 2" xfId="23219" xr:uid="{00000000-0005-0000-0000-000030200000}"/>
    <cellStyle name="Comma 10 3 2 2 3 3 2 2" xfId="23220" xr:uid="{00000000-0005-0000-0000-000031200000}"/>
    <cellStyle name="Comma 10 3 2 2 3 3 3" xfId="23221" xr:uid="{00000000-0005-0000-0000-000032200000}"/>
    <cellStyle name="Comma 10 3 2 2 3 4" xfId="23222" xr:uid="{00000000-0005-0000-0000-000033200000}"/>
    <cellStyle name="Comma 10 3 2 2 3 4 2" xfId="23223" xr:uid="{00000000-0005-0000-0000-000034200000}"/>
    <cellStyle name="Comma 10 3 2 2 3 5" xfId="23224" xr:uid="{00000000-0005-0000-0000-000035200000}"/>
    <cellStyle name="Comma 10 3 2 2 4" xfId="23225" xr:uid="{00000000-0005-0000-0000-000036200000}"/>
    <cellStyle name="Comma 10 3 2 2 4 2" xfId="23226" xr:uid="{00000000-0005-0000-0000-000037200000}"/>
    <cellStyle name="Comma 10 3 2 2 4 2 2" xfId="23227" xr:uid="{00000000-0005-0000-0000-000038200000}"/>
    <cellStyle name="Comma 10 3 2 2 4 2 2 2" xfId="23228" xr:uid="{00000000-0005-0000-0000-000039200000}"/>
    <cellStyle name="Comma 10 3 2 2 4 2 3" xfId="23229" xr:uid="{00000000-0005-0000-0000-00003A200000}"/>
    <cellStyle name="Comma 10 3 2 2 4 3" xfId="23230" xr:uid="{00000000-0005-0000-0000-00003B200000}"/>
    <cellStyle name="Comma 10 3 2 2 4 3 2" xfId="23231" xr:uid="{00000000-0005-0000-0000-00003C200000}"/>
    <cellStyle name="Comma 10 3 2 2 4 4" xfId="23232" xr:uid="{00000000-0005-0000-0000-00003D200000}"/>
    <cellStyle name="Comma 10 3 2 2 5" xfId="23233" xr:uid="{00000000-0005-0000-0000-00003E200000}"/>
    <cellStyle name="Comma 10 3 2 2 5 2" xfId="23234" xr:uid="{00000000-0005-0000-0000-00003F200000}"/>
    <cellStyle name="Comma 10 3 2 2 5 2 2" xfId="23235" xr:uid="{00000000-0005-0000-0000-000040200000}"/>
    <cellStyle name="Comma 10 3 2 2 5 2 2 2" xfId="23236" xr:uid="{00000000-0005-0000-0000-000041200000}"/>
    <cellStyle name="Comma 10 3 2 2 5 2 3" xfId="23237" xr:uid="{00000000-0005-0000-0000-000042200000}"/>
    <cellStyle name="Comma 10 3 2 2 5 3" xfId="23238" xr:uid="{00000000-0005-0000-0000-000043200000}"/>
    <cellStyle name="Comma 10 3 2 2 5 3 2" xfId="23239" xr:uid="{00000000-0005-0000-0000-000044200000}"/>
    <cellStyle name="Comma 10 3 2 2 5 4" xfId="23240" xr:uid="{00000000-0005-0000-0000-000045200000}"/>
    <cellStyle name="Comma 10 3 2 2 6" xfId="23241" xr:uid="{00000000-0005-0000-0000-000046200000}"/>
    <cellStyle name="Comma 10 3 2 2 6 2" xfId="23242" xr:uid="{00000000-0005-0000-0000-000047200000}"/>
    <cellStyle name="Comma 10 3 2 2 6 2 2" xfId="23243" xr:uid="{00000000-0005-0000-0000-000048200000}"/>
    <cellStyle name="Comma 10 3 2 2 6 3" xfId="23244" xr:uid="{00000000-0005-0000-0000-000049200000}"/>
    <cellStyle name="Comma 10 3 2 2 7" xfId="23245" xr:uid="{00000000-0005-0000-0000-00004A200000}"/>
    <cellStyle name="Comma 10 3 2 2 7 2" xfId="23246" xr:uid="{00000000-0005-0000-0000-00004B200000}"/>
    <cellStyle name="Comma 10 3 2 2 8" xfId="23247" xr:uid="{00000000-0005-0000-0000-00004C200000}"/>
    <cellStyle name="Comma 10 3 2 3" xfId="23248" xr:uid="{00000000-0005-0000-0000-00004D200000}"/>
    <cellStyle name="Comma 10 3 2 3 2" xfId="23249" xr:uid="{00000000-0005-0000-0000-00004E200000}"/>
    <cellStyle name="Comma 10 3 2 3 2 2" xfId="23250" xr:uid="{00000000-0005-0000-0000-00004F200000}"/>
    <cellStyle name="Comma 10 3 2 3 2 2 2" xfId="23251" xr:uid="{00000000-0005-0000-0000-000050200000}"/>
    <cellStyle name="Comma 10 3 2 3 2 2 2 2" xfId="23252" xr:uid="{00000000-0005-0000-0000-000051200000}"/>
    <cellStyle name="Comma 10 3 2 3 2 2 3" xfId="23253" xr:uid="{00000000-0005-0000-0000-000052200000}"/>
    <cellStyle name="Comma 10 3 2 3 2 3" xfId="23254" xr:uid="{00000000-0005-0000-0000-000053200000}"/>
    <cellStyle name="Comma 10 3 2 3 2 3 2" xfId="23255" xr:uid="{00000000-0005-0000-0000-000054200000}"/>
    <cellStyle name="Comma 10 3 2 3 2 4" xfId="23256" xr:uid="{00000000-0005-0000-0000-000055200000}"/>
    <cellStyle name="Comma 10 3 2 3 3" xfId="23257" xr:uid="{00000000-0005-0000-0000-000056200000}"/>
    <cellStyle name="Comma 10 3 2 3 3 2" xfId="23258" xr:uid="{00000000-0005-0000-0000-000057200000}"/>
    <cellStyle name="Comma 10 3 2 3 3 2 2" xfId="23259" xr:uid="{00000000-0005-0000-0000-000058200000}"/>
    <cellStyle name="Comma 10 3 2 3 3 2 2 2" xfId="23260" xr:uid="{00000000-0005-0000-0000-000059200000}"/>
    <cellStyle name="Comma 10 3 2 3 3 2 3" xfId="23261" xr:uid="{00000000-0005-0000-0000-00005A200000}"/>
    <cellStyle name="Comma 10 3 2 3 3 3" xfId="23262" xr:uid="{00000000-0005-0000-0000-00005B200000}"/>
    <cellStyle name="Comma 10 3 2 3 3 3 2" xfId="23263" xr:uid="{00000000-0005-0000-0000-00005C200000}"/>
    <cellStyle name="Comma 10 3 2 3 3 4" xfId="23264" xr:uid="{00000000-0005-0000-0000-00005D200000}"/>
    <cellStyle name="Comma 10 3 2 3 4" xfId="23265" xr:uid="{00000000-0005-0000-0000-00005E200000}"/>
    <cellStyle name="Comma 10 3 2 3 4 2" xfId="23266" xr:uid="{00000000-0005-0000-0000-00005F200000}"/>
    <cellStyle name="Comma 10 3 2 3 4 2 2" xfId="23267" xr:uid="{00000000-0005-0000-0000-000060200000}"/>
    <cellStyle name="Comma 10 3 2 3 4 3" xfId="23268" xr:uid="{00000000-0005-0000-0000-000061200000}"/>
    <cellStyle name="Comma 10 3 2 3 5" xfId="23269" xr:uid="{00000000-0005-0000-0000-000062200000}"/>
    <cellStyle name="Comma 10 3 2 3 5 2" xfId="23270" xr:uid="{00000000-0005-0000-0000-000063200000}"/>
    <cellStyle name="Comma 10 3 2 3 6" xfId="23271" xr:uid="{00000000-0005-0000-0000-000064200000}"/>
    <cellStyle name="Comma 10 3 2 4" xfId="23272" xr:uid="{00000000-0005-0000-0000-000065200000}"/>
    <cellStyle name="Comma 10 3 2 4 2" xfId="23273" xr:uid="{00000000-0005-0000-0000-000066200000}"/>
    <cellStyle name="Comma 10 3 2 4 2 2" xfId="23274" xr:uid="{00000000-0005-0000-0000-000067200000}"/>
    <cellStyle name="Comma 10 3 2 4 2 2 2" xfId="23275" xr:uid="{00000000-0005-0000-0000-000068200000}"/>
    <cellStyle name="Comma 10 3 2 4 2 2 2 2" xfId="23276" xr:uid="{00000000-0005-0000-0000-000069200000}"/>
    <cellStyle name="Comma 10 3 2 4 2 2 3" xfId="23277" xr:uid="{00000000-0005-0000-0000-00006A200000}"/>
    <cellStyle name="Comma 10 3 2 4 2 3" xfId="23278" xr:uid="{00000000-0005-0000-0000-00006B200000}"/>
    <cellStyle name="Comma 10 3 2 4 2 3 2" xfId="23279" xr:uid="{00000000-0005-0000-0000-00006C200000}"/>
    <cellStyle name="Comma 10 3 2 4 2 4" xfId="23280" xr:uid="{00000000-0005-0000-0000-00006D200000}"/>
    <cellStyle name="Comma 10 3 2 4 3" xfId="23281" xr:uid="{00000000-0005-0000-0000-00006E200000}"/>
    <cellStyle name="Comma 10 3 2 4 3 2" xfId="23282" xr:uid="{00000000-0005-0000-0000-00006F200000}"/>
    <cellStyle name="Comma 10 3 2 4 3 2 2" xfId="23283" xr:uid="{00000000-0005-0000-0000-000070200000}"/>
    <cellStyle name="Comma 10 3 2 4 3 3" xfId="23284" xr:uid="{00000000-0005-0000-0000-000071200000}"/>
    <cellStyle name="Comma 10 3 2 4 4" xfId="23285" xr:uid="{00000000-0005-0000-0000-000072200000}"/>
    <cellStyle name="Comma 10 3 2 4 4 2" xfId="23286" xr:uid="{00000000-0005-0000-0000-000073200000}"/>
    <cellStyle name="Comma 10 3 2 4 5" xfId="23287" xr:uid="{00000000-0005-0000-0000-000074200000}"/>
    <cellStyle name="Comma 10 3 2 5" xfId="23288" xr:uid="{00000000-0005-0000-0000-000075200000}"/>
    <cellStyle name="Comma 10 3 2 5 2" xfId="23289" xr:uid="{00000000-0005-0000-0000-000076200000}"/>
    <cellStyle name="Comma 10 3 2 5 2 2" xfId="23290" xr:uid="{00000000-0005-0000-0000-000077200000}"/>
    <cellStyle name="Comma 10 3 2 5 2 2 2" xfId="23291" xr:uid="{00000000-0005-0000-0000-000078200000}"/>
    <cellStyle name="Comma 10 3 2 5 2 3" xfId="23292" xr:uid="{00000000-0005-0000-0000-000079200000}"/>
    <cellStyle name="Comma 10 3 2 5 3" xfId="23293" xr:uid="{00000000-0005-0000-0000-00007A200000}"/>
    <cellStyle name="Comma 10 3 2 5 3 2" xfId="23294" xr:uid="{00000000-0005-0000-0000-00007B200000}"/>
    <cellStyle name="Comma 10 3 2 5 4" xfId="23295" xr:uid="{00000000-0005-0000-0000-00007C200000}"/>
    <cellStyle name="Comma 10 3 2 6" xfId="23296" xr:uid="{00000000-0005-0000-0000-00007D200000}"/>
    <cellStyle name="Comma 10 3 2 6 2" xfId="23297" xr:uid="{00000000-0005-0000-0000-00007E200000}"/>
    <cellStyle name="Comma 10 3 2 6 2 2" xfId="23298" xr:uid="{00000000-0005-0000-0000-00007F200000}"/>
    <cellStyle name="Comma 10 3 2 6 2 2 2" xfId="23299" xr:uid="{00000000-0005-0000-0000-000080200000}"/>
    <cellStyle name="Comma 10 3 2 6 2 3" xfId="23300" xr:uid="{00000000-0005-0000-0000-000081200000}"/>
    <cellStyle name="Comma 10 3 2 6 3" xfId="23301" xr:uid="{00000000-0005-0000-0000-000082200000}"/>
    <cellStyle name="Comma 10 3 2 6 3 2" xfId="23302" xr:uid="{00000000-0005-0000-0000-000083200000}"/>
    <cellStyle name="Comma 10 3 2 6 4" xfId="23303" xr:uid="{00000000-0005-0000-0000-000084200000}"/>
    <cellStyle name="Comma 10 3 2 7" xfId="23304" xr:uid="{00000000-0005-0000-0000-000085200000}"/>
    <cellStyle name="Comma 10 3 2 7 2" xfId="23305" xr:uid="{00000000-0005-0000-0000-000086200000}"/>
    <cellStyle name="Comma 10 3 2 7 2 2" xfId="23306" xr:uid="{00000000-0005-0000-0000-000087200000}"/>
    <cellStyle name="Comma 10 3 2 7 2 2 2" xfId="23307" xr:uid="{00000000-0005-0000-0000-000088200000}"/>
    <cellStyle name="Comma 10 3 2 7 2 3" xfId="23308" xr:uid="{00000000-0005-0000-0000-000089200000}"/>
    <cellStyle name="Comma 10 3 2 7 3" xfId="23309" xr:uid="{00000000-0005-0000-0000-00008A200000}"/>
    <cellStyle name="Comma 10 3 2 7 3 2" xfId="23310" xr:uid="{00000000-0005-0000-0000-00008B200000}"/>
    <cellStyle name="Comma 10 3 2 7 4" xfId="23311" xr:uid="{00000000-0005-0000-0000-00008C200000}"/>
    <cellStyle name="Comma 10 3 2 8" xfId="23312" xr:uid="{00000000-0005-0000-0000-00008D200000}"/>
    <cellStyle name="Comma 10 3 2 8 2" xfId="23313" xr:uid="{00000000-0005-0000-0000-00008E200000}"/>
    <cellStyle name="Comma 10 3 2 8 2 2" xfId="23314" xr:uid="{00000000-0005-0000-0000-00008F200000}"/>
    <cellStyle name="Comma 10 3 2 8 3" xfId="23315" xr:uid="{00000000-0005-0000-0000-000090200000}"/>
    <cellStyle name="Comma 10 3 2 9" xfId="23316" xr:uid="{00000000-0005-0000-0000-000091200000}"/>
    <cellStyle name="Comma 10 3 2 9 2" xfId="23317" xr:uid="{00000000-0005-0000-0000-000092200000}"/>
    <cellStyle name="Comma 10 3 3" xfId="23318" xr:uid="{00000000-0005-0000-0000-000093200000}"/>
    <cellStyle name="Comma 10 3 3 2" xfId="23319" xr:uid="{00000000-0005-0000-0000-000094200000}"/>
    <cellStyle name="Comma 10 3 3 2 2" xfId="23320" xr:uid="{00000000-0005-0000-0000-000095200000}"/>
    <cellStyle name="Comma 10 3 3 2 2 2" xfId="23321" xr:uid="{00000000-0005-0000-0000-000096200000}"/>
    <cellStyle name="Comma 10 3 3 2 2 2 2" xfId="23322" xr:uid="{00000000-0005-0000-0000-000097200000}"/>
    <cellStyle name="Comma 10 3 3 2 2 2 2 2" xfId="23323" xr:uid="{00000000-0005-0000-0000-000098200000}"/>
    <cellStyle name="Comma 10 3 3 2 2 2 3" xfId="23324" xr:uid="{00000000-0005-0000-0000-000099200000}"/>
    <cellStyle name="Comma 10 3 3 2 2 3" xfId="23325" xr:uid="{00000000-0005-0000-0000-00009A200000}"/>
    <cellStyle name="Comma 10 3 3 2 2 3 2" xfId="23326" xr:uid="{00000000-0005-0000-0000-00009B200000}"/>
    <cellStyle name="Comma 10 3 3 2 2 4" xfId="23327" xr:uid="{00000000-0005-0000-0000-00009C200000}"/>
    <cellStyle name="Comma 10 3 3 2 3" xfId="23328" xr:uid="{00000000-0005-0000-0000-00009D200000}"/>
    <cellStyle name="Comma 10 3 3 2 3 2" xfId="23329" xr:uid="{00000000-0005-0000-0000-00009E200000}"/>
    <cellStyle name="Comma 10 3 3 2 3 2 2" xfId="23330" xr:uid="{00000000-0005-0000-0000-00009F200000}"/>
    <cellStyle name="Comma 10 3 3 2 3 2 2 2" xfId="23331" xr:uid="{00000000-0005-0000-0000-0000A0200000}"/>
    <cellStyle name="Comma 10 3 3 2 3 2 3" xfId="23332" xr:uid="{00000000-0005-0000-0000-0000A1200000}"/>
    <cellStyle name="Comma 10 3 3 2 3 3" xfId="23333" xr:uid="{00000000-0005-0000-0000-0000A2200000}"/>
    <cellStyle name="Comma 10 3 3 2 3 3 2" xfId="23334" xr:uid="{00000000-0005-0000-0000-0000A3200000}"/>
    <cellStyle name="Comma 10 3 3 2 3 4" xfId="23335" xr:uid="{00000000-0005-0000-0000-0000A4200000}"/>
    <cellStyle name="Comma 10 3 3 2 4" xfId="23336" xr:uid="{00000000-0005-0000-0000-0000A5200000}"/>
    <cellStyle name="Comma 10 3 3 2 4 2" xfId="23337" xr:uid="{00000000-0005-0000-0000-0000A6200000}"/>
    <cellStyle name="Comma 10 3 3 2 4 2 2" xfId="23338" xr:uid="{00000000-0005-0000-0000-0000A7200000}"/>
    <cellStyle name="Comma 10 3 3 2 4 3" xfId="23339" xr:uid="{00000000-0005-0000-0000-0000A8200000}"/>
    <cellStyle name="Comma 10 3 3 2 5" xfId="23340" xr:uid="{00000000-0005-0000-0000-0000A9200000}"/>
    <cellStyle name="Comma 10 3 3 2 5 2" xfId="23341" xr:uid="{00000000-0005-0000-0000-0000AA200000}"/>
    <cellStyle name="Comma 10 3 3 2 6" xfId="23342" xr:uid="{00000000-0005-0000-0000-0000AB200000}"/>
    <cellStyle name="Comma 10 3 3 3" xfId="23343" xr:uid="{00000000-0005-0000-0000-0000AC200000}"/>
    <cellStyle name="Comma 10 3 3 3 2" xfId="23344" xr:uid="{00000000-0005-0000-0000-0000AD200000}"/>
    <cellStyle name="Comma 10 3 3 3 2 2" xfId="23345" xr:uid="{00000000-0005-0000-0000-0000AE200000}"/>
    <cellStyle name="Comma 10 3 3 3 2 2 2" xfId="23346" xr:uid="{00000000-0005-0000-0000-0000AF200000}"/>
    <cellStyle name="Comma 10 3 3 3 2 2 2 2" xfId="23347" xr:uid="{00000000-0005-0000-0000-0000B0200000}"/>
    <cellStyle name="Comma 10 3 3 3 2 2 3" xfId="23348" xr:uid="{00000000-0005-0000-0000-0000B1200000}"/>
    <cellStyle name="Comma 10 3 3 3 2 3" xfId="23349" xr:uid="{00000000-0005-0000-0000-0000B2200000}"/>
    <cellStyle name="Comma 10 3 3 3 2 3 2" xfId="23350" xr:uid="{00000000-0005-0000-0000-0000B3200000}"/>
    <cellStyle name="Comma 10 3 3 3 2 4" xfId="23351" xr:uid="{00000000-0005-0000-0000-0000B4200000}"/>
    <cellStyle name="Comma 10 3 3 3 3" xfId="23352" xr:uid="{00000000-0005-0000-0000-0000B5200000}"/>
    <cellStyle name="Comma 10 3 3 3 3 2" xfId="23353" xr:uid="{00000000-0005-0000-0000-0000B6200000}"/>
    <cellStyle name="Comma 10 3 3 3 3 2 2" xfId="23354" xr:uid="{00000000-0005-0000-0000-0000B7200000}"/>
    <cellStyle name="Comma 10 3 3 3 3 3" xfId="23355" xr:uid="{00000000-0005-0000-0000-0000B8200000}"/>
    <cellStyle name="Comma 10 3 3 3 4" xfId="23356" xr:uid="{00000000-0005-0000-0000-0000B9200000}"/>
    <cellStyle name="Comma 10 3 3 3 4 2" xfId="23357" xr:uid="{00000000-0005-0000-0000-0000BA200000}"/>
    <cellStyle name="Comma 10 3 3 3 5" xfId="23358" xr:uid="{00000000-0005-0000-0000-0000BB200000}"/>
    <cellStyle name="Comma 10 3 3 4" xfId="23359" xr:uid="{00000000-0005-0000-0000-0000BC200000}"/>
    <cellStyle name="Comma 10 3 3 4 2" xfId="23360" xr:uid="{00000000-0005-0000-0000-0000BD200000}"/>
    <cellStyle name="Comma 10 3 3 4 2 2" xfId="23361" xr:uid="{00000000-0005-0000-0000-0000BE200000}"/>
    <cellStyle name="Comma 10 3 3 4 2 2 2" xfId="23362" xr:uid="{00000000-0005-0000-0000-0000BF200000}"/>
    <cellStyle name="Comma 10 3 3 4 2 3" xfId="23363" xr:uid="{00000000-0005-0000-0000-0000C0200000}"/>
    <cellStyle name="Comma 10 3 3 4 3" xfId="23364" xr:uid="{00000000-0005-0000-0000-0000C1200000}"/>
    <cellStyle name="Comma 10 3 3 4 3 2" xfId="23365" xr:uid="{00000000-0005-0000-0000-0000C2200000}"/>
    <cellStyle name="Comma 10 3 3 4 4" xfId="23366" xr:uid="{00000000-0005-0000-0000-0000C3200000}"/>
    <cellStyle name="Comma 10 3 3 5" xfId="23367" xr:uid="{00000000-0005-0000-0000-0000C4200000}"/>
    <cellStyle name="Comma 10 3 3 5 2" xfId="23368" xr:uid="{00000000-0005-0000-0000-0000C5200000}"/>
    <cellStyle name="Comma 10 3 3 5 2 2" xfId="23369" xr:uid="{00000000-0005-0000-0000-0000C6200000}"/>
    <cellStyle name="Comma 10 3 3 5 2 2 2" xfId="23370" xr:uid="{00000000-0005-0000-0000-0000C7200000}"/>
    <cellStyle name="Comma 10 3 3 5 2 3" xfId="23371" xr:uid="{00000000-0005-0000-0000-0000C8200000}"/>
    <cellStyle name="Comma 10 3 3 5 3" xfId="23372" xr:uid="{00000000-0005-0000-0000-0000C9200000}"/>
    <cellStyle name="Comma 10 3 3 5 3 2" xfId="23373" xr:uid="{00000000-0005-0000-0000-0000CA200000}"/>
    <cellStyle name="Comma 10 3 3 5 4" xfId="23374" xr:uid="{00000000-0005-0000-0000-0000CB200000}"/>
    <cellStyle name="Comma 10 3 3 6" xfId="23375" xr:uid="{00000000-0005-0000-0000-0000CC200000}"/>
    <cellStyle name="Comma 10 3 3 6 2" xfId="23376" xr:uid="{00000000-0005-0000-0000-0000CD200000}"/>
    <cellStyle name="Comma 10 3 3 6 2 2" xfId="23377" xr:uid="{00000000-0005-0000-0000-0000CE200000}"/>
    <cellStyle name="Comma 10 3 3 6 3" xfId="23378" xr:uid="{00000000-0005-0000-0000-0000CF200000}"/>
    <cellStyle name="Comma 10 3 3 7" xfId="23379" xr:uid="{00000000-0005-0000-0000-0000D0200000}"/>
    <cellStyle name="Comma 10 3 3 7 2" xfId="23380" xr:uid="{00000000-0005-0000-0000-0000D1200000}"/>
    <cellStyle name="Comma 10 3 3 8" xfId="23381" xr:uid="{00000000-0005-0000-0000-0000D2200000}"/>
    <cellStyle name="Comma 10 3 4" xfId="23382" xr:uid="{00000000-0005-0000-0000-0000D3200000}"/>
    <cellStyle name="Comma 10 3 4 2" xfId="23383" xr:uid="{00000000-0005-0000-0000-0000D4200000}"/>
    <cellStyle name="Comma 10 3 4 2 2" xfId="23384" xr:uid="{00000000-0005-0000-0000-0000D5200000}"/>
    <cellStyle name="Comma 10 3 4 2 2 2" xfId="23385" xr:uid="{00000000-0005-0000-0000-0000D6200000}"/>
    <cellStyle name="Comma 10 3 4 2 2 2 2" xfId="23386" xr:uid="{00000000-0005-0000-0000-0000D7200000}"/>
    <cellStyle name="Comma 10 3 4 2 2 2 2 2" xfId="23387" xr:uid="{00000000-0005-0000-0000-0000D8200000}"/>
    <cellStyle name="Comma 10 3 4 2 2 2 3" xfId="23388" xr:uid="{00000000-0005-0000-0000-0000D9200000}"/>
    <cellStyle name="Comma 10 3 4 2 2 3" xfId="23389" xr:uid="{00000000-0005-0000-0000-0000DA200000}"/>
    <cellStyle name="Comma 10 3 4 2 2 3 2" xfId="23390" xr:uid="{00000000-0005-0000-0000-0000DB200000}"/>
    <cellStyle name="Comma 10 3 4 2 2 4" xfId="23391" xr:uid="{00000000-0005-0000-0000-0000DC200000}"/>
    <cellStyle name="Comma 10 3 4 2 3" xfId="23392" xr:uid="{00000000-0005-0000-0000-0000DD200000}"/>
    <cellStyle name="Comma 10 3 4 2 3 2" xfId="23393" xr:uid="{00000000-0005-0000-0000-0000DE200000}"/>
    <cellStyle name="Comma 10 3 4 2 3 2 2" xfId="23394" xr:uid="{00000000-0005-0000-0000-0000DF200000}"/>
    <cellStyle name="Comma 10 3 4 2 3 2 2 2" xfId="23395" xr:uid="{00000000-0005-0000-0000-0000E0200000}"/>
    <cellStyle name="Comma 10 3 4 2 3 2 3" xfId="23396" xr:uid="{00000000-0005-0000-0000-0000E1200000}"/>
    <cellStyle name="Comma 10 3 4 2 3 3" xfId="23397" xr:uid="{00000000-0005-0000-0000-0000E2200000}"/>
    <cellStyle name="Comma 10 3 4 2 3 3 2" xfId="23398" xr:uid="{00000000-0005-0000-0000-0000E3200000}"/>
    <cellStyle name="Comma 10 3 4 2 3 4" xfId="23399" xr:uid="{00000000-0005-0000-0000-0000E4200000}"/>
    <cellStyle name="Comma 10 3 4 2 4" xfId="23400" xr:uid="{00000000-0005-0000-0000-0000E5200000}"/>
    <cellStyle name="Comma 10 3 4 2 4 2" xfId="23401" xr:uid="{00000000-0005-0000-0000-0000E6200000}"/>
    <cellStyle name="Comma 10 3 4 2 4 2 2" xfId="23402" xr:uid="{00000000-0005-0000-0000-0000E7200000}"/>
    <cellStyle name="Comma 10 3 4 2 4 3" xfId="23403" xr:uid="{00000000-0005-0000-0000-0000E8200000}"/>
    <cellStyle name="Comma 10 3 4 2 5" xfId="23404" xr:uid="{00000000-0005-0000-0000-0000E9200000}"/>
    <cellStyle name="Comma 10 3 4 2 5 2" xfId="23405" xr:uid="{00000000-0005-0000-0000-0000EA200000}"/>
    <cellStyle name="Comma 10 3 4 2 6" xfId="23406" xr:uid="{00000000-0005-0000-0000-0000EB200000}"/>
    <cellStyle name="Comma 10 3 4 3" xfId="23407" xr:uid="{00000000-0005-0000-0000-0000EC200000}"/>
    <cellStyle name="Comma 10 3 4 3 2" xfId="23408" xr:uid="{00000000-0005-0000-0000-0000ED200000}"/>
    <cellStyle name="Comma 10 3 4 3 2 2" xfId="23409" xr:uid="{00000000-0005-0000-0000-0000EE200000}"/>
    <cellStyle name="Comma 10 3 4 3 2 2 2" xfId="23410" xr:uid="{00000000-0005-0000-0000-0000EF200000}"/>
    <cellStyle name="Comma 10 3 4 3 2 2 2 2" xfId="23411" xr:uid="{00000000-0005-0000-0000-0000F0200000}"/>
    <cellStyle name="Comma 10 3 4 3 2 2 3" xfId="23412" xr:uid="{00000000-0005-0000-0000-0000F1200000}"/>
    <cellStyle name="Comma 10 3 4 3 2 3" xfId="23413" xr:uid="{00000000-0005-0000-0000-0000F2200000}"/>
    <cellStyle name="Comma 10 3 4 3 2 3 2" xfId="23414" xr:uid="{00000000-0005-0000-0000-0000F3200000}"/>
    <cellStyle name="Comma 10 3 4 3 2 4" xfId="23415" xr:uid="{00000000-0005-0000-0000-0000F4200000}"/>
    <cellStyle name="Comma 10 3 4 3 3" xfId="23416" xr:uid="{00000000-0005-0000-0000-0000F5200000}"/>
    <cellStyle name="Comma 10 3 4 3 3 2" xfId="23417" xr:uid="{00000000-0005-0000-0000-0000F6200000}"/>
    <cellStyle name="Comma 10 3 4 3 3 2 2" xfId="23418" xr:uid="{00000000-0005-0000-0000-0000F7200000}"/>
    <cellStyle name="Comma 10 3 4 3 3 3" xfId="23419" xr:uid="{00000000-0005-0000-0000-0000F8200000}"/>
    <cellStyle name="Comma 10 3 4 3 4" xfId="23420" xr:uid="{00000000-0005-0000-0000-0000F9200000}"/>
    <cellStyle name="Comma 10 3 4 3 4 2" xfId="23421" xr:uid="{00000000-0005-0000-0000-0000FA200000}"/>
    <cellStyle name="Comma 10 3 4 3 5" xfId="23422" xr:uid="{00000000-0005-0000-0000-0000FB200000}"/>
    <cellStyle name="Comma 10 3 4 4" xfId="23423" xr:uid="{00000000-0005-0000-0000-0000FC200000}"/>
    <cellStyle name="Comma 10 3 4 4 2" xfId="23424" xr:uid="{00000000-0005-0000-0000-0000FD200000}"/>
    <cellStyle name="Comma 10 3 4 4 2 2" xfId="23425" xr:uid="{00000000-0005-0000-0000-0000FE200000}"/>
    <cellStyle name="Comma 10 3 4 4 2 2 2" xfId="23426" xr:uid="{00000000-0005-0000-0000-0000FF200000}"/>
    <cellStyle name="Comma 10 3 4 4 2 3" xfId="23427" xr:uid="{00000000-0005-0000-0000-000000210000}"/>
    <cellStyle name="Comma 10 3 4 4 3" xfId="23428" xr:uid="{00000000-0005-0000-0000-000001210000}"/>
    <cellStyle name="Comma 10 3 4 4 3 2" xfId="23429" xr:uid="{00000000-0005-0000-0000-000002210000}"/>
    <cellStyle name="Comma 10 3 4 4 4" xfId="23430" xr:uid="{00000000-0005-0000-0000-000003210000}"/>
    <cellStyle name="Comma 10 3 4 5" xfId="23431" xr:uid="{00000000-0005-0000-0000-000004210000}"/>
    <cellStyle name="Comma 10 3 4 5 2" xfId="23432" xr:uid="{00000000-0005-0000-0000-000005210000}"/>
    <cellStyle name="Comma 10 3 4 5 2 2" xfId="23433" xr:uid="{00000000-0005-0000-0000-000006210000}"/>
    <cellStyle name="Comma 10 3 4 5 2 2 2" xfId="23434" xr:uid="{00000000-0005-0000-0000-000007210000}"/>
    <cellStyle name="Comma 10 3 4 5 2 3" xfId="23435" xr:uid="{00000000-0005-0000-0000-000008210000}"/>
    <cellStyle name="Comma 10 3 4 5 3" xfId="23436" xr:uid="{00000000-0005-0000-0000-000009210000}"/>
    <cellStyle name="Comma 10 3 4 5 3 2" xfId="23437" xr:uid="{00000000-0005-0000-0000-00000A210000}"/>
    <cellStyle name="Comma 10 3 4 5 4" xfId="23438" xr:uid="{00000000-0005-0000-0000-00000B210000}"/>
    <cellStyle name="Comma 10 3 4 6" xfId="23439" xr:uid="{00000000-0005-0000-0000-00000C210000}"/>
    <cellStyle name="Comma 10 3 4 6 2" xfId="23440" xr:uid="{00000000-0005-0000-0000-00000D210000}"/>
    <cellStyle name="Comma 10 3 4 6 2 2" xfId="23441" xr:uid="{00000000-0005-0000-0000-00000E210000}"/>
    <cellStyle name="Comma 10 3 4 6 3" xfId="23442" xr:uid="{00000000-0005-0000-0000-00000F210000}"/>
    <cellStyle name="Comma 10 3 4 7" xfId="23443" xr:uid="{00000000-0005-0000-0000-000010210000}"/>
    <cellStyle name="Comma 10 3 4 7 2" xfId="23444" xr:uid="{00000000-0005-0000-0000-000011210000}"/>
    <cellStyle name="Comma 10 3 4 8" xfId="23445" xr:uid="{00000000-0005-0000-0000-000012210000}"/>
    <cellStyle name="Comma 10 3 5" xfId="23446" xr:uid="{00000000-0005-0000-0000-000013210000}"/>
    <cellStyle name="Comma 10 3 5 2" xfId="23447" xr:uid="{00000000-0005-0000-0000-000014210000}"/>
    <cellStyle name="Comma 10 3 5 2 2" xfId="23448" xr:uid="{00000000-0005-0000-0000-000015210000}"/>
    <cellStyle name="Comma 10 3 5 2 2 2" xfId="23449" xr:uid="{00000000-0005-0000-0000-000016210000}"/>
    <cellStyle name="Comma 10 3 5 2 2 2 2" xfId="23450" xr:uid="{00000000-0005-0000-0000-000017210000}"/>
    <cellStyle name="Comma 10 3 5 2 2 3" xfId="23451" xr:uid="{00000000-0005-0000-0000-000018210000}"/>
    <cellStyle name="Comma 10 3 5 2 3" xfId="23452" xr:uid="{00000000-0005-0000-0000-000019210000}"/>
    <cellStyle name="Comma 10 3 5 2 3 2" xfId="23453" xr:uid="{00000000-0005-0000-0000-00001A210000}"/>
    <cellStyle name="Comma 10 3 5 2 4" xfId="23454" xr:uid="{00000000-0005-0000-0000-00001B210000}"/>
    <cellStyle name="Comma 10 3 5 3" xfId="23455" xr:uid="{00000000-0005-0000-0000-00001C210000}"/>
    <cellStyle name="Comma 10 3 5 3 2" xfId="23456" xr:uid="{00000000-0005-0000-0000-00001D210000}"/>
    <cellStyle name="Comma 10 3 5 3 2 2" xfId="23457" xr:uid="{00000000-0005-0000-0000-00001E210000}"/>
    <cellStyle name="Comma 10 3 5 3 2 2 2" xfId="23458" xr:uid="{00000000-0005-0000-0000-00001F210000}"/>
    <cellStyle name="Comma 10 3 5 3 2 3" xfId="23459" xr:uid="{00000000-0005-0000-0000-000020210000}"/>
    <cellStyle name="Comma 10 3 5 3 3" xfId="23460" xr:uid="{00000000-0005-0000-0000-000021210000}"/>
    <cellStyle name="Comma 10 3 5 3 3 2" xfId="23461" xr:uid="{00000000-0005-0000-0000-000022210000}"/>
    <cellStyle name="Comma 10 3 5 3 4" xfId="23462" xr:uid="{00000000-0005-0000-0000-000023210000}"/>
    <cellStyle name="Comma 10 3 5 4" xfId="23463" xr:uid="{00000000-0005-0000-0000-000024210000}"/>
    <cellStyle name="Comma 10 3 5 4 2" xfId="23464" xr:uid="{00000000-0005-0000-0000-000025210000}"/>
    <cellStyle name="Comma 10 3 5 4 2 2" xfId="23465" xr:uid="{00000000-0005-0000-0000-000026210000}"/>
    <cellStyle name="Comma 10 3 5 4 3" xfId="23466" xr:uid="{00000000-0005-0000-0000-000027210000}"/>
    <cellStyle name="Comma 10 3 5 5" xfId="23467" xr:uid="{00000000-0005-0000-0000-000028210000}"/>
    <cellStyle name="Comma 10 3 5 5 2" xfId="23468" xr:uid="{00000000-0005-0000-0000-000029210000}"/>
    <cellStyle name="Comma 10 3 5 6" xfId="23469" xr:uid="{00000000-0005-0000-0000-00002A210000}"/>
    <cellStyle name="Comma 10 3 6" xfId="23470" xr:uid="{00000000-0005-0000-0000-00002B210000}"/>
    <cellStyle name="Comma 10 3 6 2" xfId="23471" xr:uid="{00000000-0005-0000-0000-00002C210000}"/>
    <cellStyle name="Comma 10 3 6 2 2" xfId="23472" xr:uid="{00000000-0005-0000-0000-00002D210000}"/>
    <cellStyle name="Comma 10 3 6 2 2 2" xfId="23473" xr:uid="{00000000-0005-0000-0000-00002E210000}"/>
    <cellStyle name="Comma 10 3 6 2 2 2 2" xfId="23474" xr:uid="{00000000-0005-0000-0000-00002F210000}"/>
    <cellStyle name="Comma 10 3 6 2 2 3" xfId="23475" xr:uid="{00000000-0005-0000-0000-000030210000}"/>
    <cellStyle name="Comma 10 3 6 2 3" xfId="23476" xr:uid="{00000000-0005-0000-0000-000031210000}"/>
    <cellStyle name="Comma 10 3 6 2 3 2" xfId="23477" xr:uid="{00000000-0005-0000-0000-000032210000}"/>
    <cellStyle name="Comma 10 3 6 2 4" xfId="23478" xr:uid="{00000000-0005-0000-0000-000033210000}"/>
    <cellStyle name="Comma 10 3 6 3" xfId="23479" xr:uid="{00000000-0005-0000-0000-000034210000}"/>
    <cellStyle name="Comma 10 3 6 3 2" xfId="23480" xr:uid="{00000000-0005-0000-0000-000035210000}"/>
    <cellStyle name="Comma 10 3 6 3 2 2" xfId="23481" xr:uid="{00000000-0005-0000-0000-000036210000}"/>
    <cellStyle name="Comma 10 3 6 3 3" xfId="23482" xr:uid="{00000000-0005-0000-0000-000037210000}"/>
    <cellStyle name="Comma 10 3 6 4" xfId="23483" xr:uid="{00000000-0005-0000-0000-000038210000}"/>
    <cellStyle name="Comma 10 3 6 4 2" xfId="23484" xr:uid="{00000000-0005-0000-0000-000039210000}"/>
    <cellStyle name="Comma 10 3 6 5" xfId="23485" xr:uid="{00000000-0005-0000-0000-00003A210000}"/>
    <cellStyle name="Comma 10 3 7" xfId="23486" xr:uid="{00000000-0005-0000-0000-00003B210000}"/>
    <cellStyle name="Comma 10 3 7 2" xfId="23487" xr:uid="{00000000-0005-0000-0000-00003C210000}"/>
    <cellStyle name="Comma 10 3 7 2 2" xfId="23488" xr:uid="{00000000-0005-0000-0000-00003D210000}"/>
    <cellStyle name="Comma 10 3 7 2 2 2" xfId="23489" xr:uid="{00000000-0005-0000-0000-00003E210000}"/>
    <cellStyle name="Comma 10 3 7 2 3" xfId="23490" xr:uid="{00000000-0005-0000-0000-00003F210000}"/>
    <cellStyle name="Comma 10 3 7 3" xfId="23491" xr:uid="{00000000-0005-0000-0000-000040210000}"/>
    <cellStyle name="Comma 10 3 7 3 2" xfId="23492" xr:uid="{00000000-0005-0000-0000-000041210000}"/>
    <cellStyle name="Comma 10 3 7 4" xfId="23493" xr:uid="{00000000-0005-0000-0000-000042210000}"/>
    <cellStyle name="Comma 10 3 8" xfId="23494" xr:uid="{00000000-0005-0000-0000-000043210000}"/>
    <cellStyle name="Comma 10 3 8 2" xfId="23495" xr:uid="{00000000-0005-0000-0000-000044210000}"/>
    <cellStyle name="Comma 10 3 8 2 2" xfId="23496" xr:uid="{00000000-0005-0000-0000-000045210000}"/>
    <cellStyle name="Comma 10 3 8 2 2 2" xfId="23497" xr:uid="{00000000-0005-0000-0000-000046210000}"/>
    <cellStyle name="Comma 10 3 8 2 3" xfId="23498" xr:uid="{00000000-0005-0000-0000-000047210000}"/>
    <cellStyle name="Comma 10 3 8 3" xfId="23499" xr:uid="{00000000-0005-0000-0000-000048210000}"/>
    <cellStyle name="Comma 10 3 8 3 2" xfId="23500" xr:uid="{00000000-0005-0000-0000-000049210000}"/>
    <cellStyle name="Comma 10 3 8 4" xfId="23501" xr:uid="{00000000-0005-0000-0000-00004A210000}"/>
    <cellStyle name="Comma 10 3 9" xfId="23502" xr:uid="{00000000-0005-0000-0000-00004B210000}"/>
    <cellStyle name="Comma 10 3 9 2" xfId="23503" xr:uid="{00000000-0005-0000-0000-00004C210000}"/>
    <cellStyle name="Comma 10 3 9 2 2" xfId="23504" xr:uid="{00000000-0005-0000-0000-00004D210000}"/>
    <cellStyle name="Comma 10 3 9 2 2 2" xfId="23505" xr:uid="{00000000-0005-0000-0000-00004E210000}"/>
    <cellStyle name="Comma 10 3 9 2 3" xfId="23506" xr:uid="{00000000-0005-0000-0000-00004F210000}"/>
    <cellStyle name="Comma 10 3 9 3" xfId="23507" xr:uid="{00000000-0005-0000-0000-000050210000}"/>
    <cellStyle name="Comma 10 3 9 3 2" xfId="23508" xr:uid="{00000000-0005-0000-0000-000051210000}"/>
    <cellStyle name="Comma 10 3 9 4" xfId="23509" xr:uid="{00000000-0005-0000-0000-000052210000}"/>
    <cellStyle name="Comma 10 30" xfId="7270" xr:uid="{00000000-0005-0000-0000-000053210000}"/>
    <cellStyle name="Comma 10 31" xfId="7271" xr:uid="{00000000-0005-0000-0000-000054210000}"/>
    <cellStyle name="Comma 10 32" xfId="7272" xr:uid="{00000000-0005-0000-0000-000055210000}"/>
    <cellStyle name="Comma 10 33" xfId="7273" xr:uid="{00000000-0005-0000-0000-000056210000}"/>
    <cellStyle name="Comma 10 34" xfId="7274" xr:uid="{00000000-0005-0000-0000-000057210000}"/>
    <cellStyle name="Comma 10 35" xfId="7275" xr:uid="{00000000-0005-0000-0000-000058210000}"/>
    <cellStyle name="Comma 10 36" xfId="7276" xr:uid="{00000000-0005-0000-0000-000059210000}"/>
    <cellStyle name="Comma 10 37" xfId="7277" xr:uid="{00000000-0005-0000-0000-00005A210000}"/>
    <cellStyle name="Comma 10 38" xfId="7278" xr:uid="{00000000-0005-0000-0000-00005B210000}"/>
    <cellStyle name="Comma 10 39" xfId="7279" xr:uid="{00000000-0005-0000-0000-00005C210000}"/>
    <cellStyle name="Comma 10 4" xfId="7280" xr:uid="{00000000-0005-0000-0000-00005D210000}"/>
    <cellStyle name="Comma 10 4 10" xfId="23510" xr:uid="{00000000-0005-0000-0000-00005E210000}"/>
    <cellStyle name="Comma 10 4 2" xfId="23511" xr:uid="{00000000-0005-0000-0000-00005F210000}"/>
    <cellStyle name="Comma 10 4 2 2" xfId="23512" xr:uid="{00000000-0005-0000-0000-000060210000}"/>
    <cellStyle name="Comma 10 4 2 2 2" xfId="23513" xr:uid="{00000000-0005-0000-0000-000061210000}"/>
    <cellStyle name="Comma 10 4 2 2 2 2" xfId="23514" xr:uid="{00000000-0005-0000-0000-000062210000}"/>
    <cellStyle name="Comma 10 4 2 2 2 2 2" xfId="23515" xr:uid="{00000000-0005-0000-0000-000063210000}"/>
    <cellStyle name="Comma 10 4 2 2 2 2 2 2" xfId="23516" xr:uid="{00000000-0005-0000-0000-000064210000}"/>
    <cellStyle name="Comma 10 4 2 2 2 2 3" xfId="23517" xr:uid="{00000000-0005-0000-0000-000065210000}"/>
    <cellStyle name="Comma 10 4 2 2 2 3" xfId="23518" xr:uid="{00000000-0005-0000-0000-000066210000}"/>
    <cellStyle name="Comma 10 4 2 2 2 3 2" xfId="23519" xr:uid="{00000000-0005-0000-0000-000067210000}"/>
    <cellStyle name="Comma 10 4 2 2 2 4" xfId="23520" xr:uid="{00000000-0005-0000-0000-000068210000}"/>
    <cellStyle name="Comma 10 4 2 2 3" xfId="23521" xr:uid="{00000000-0005-0000-0000-000069210000}"/>
    <cellStyle name="Comma 10 4 2 2 3 2" xfId="23522" xr:uid="{00000000-0005-0000-0000-00006A210000}"/>
    <cellStyle name="Comma 10 4 2 2 3 2 2" xfId="23523" xr:uid="{00000000-0005-0000-0000-00006B210000}"/>
    <cellStyle name="Comma 10 4 2 2 3 2 2 2" xfId="23524" xr:uid="{00000000-0005-0000-0000-00006C210000}"/>
    <cellStyle name="Comma 10 4 2 2 3 2 3" xfId="23525" xr:uid="{00000000-0005-0000-0000-00006D210000}"/>
    <cellStyle name="Comma 10 4 2 2 3 3" xfId="23526" xr:uid="{00000000-0005-0000-0000-00006E210000}"/>
    <cellStyle name="Comma 10 4 2 2 3 3 2" xfId="23527" xr:uid="{00000000-0005-0000-0000-00006F210000}"/>
    <cellStyle name="Comma 10 4 2 2 3 4" xfId="23528" xr:uid="{00000000-0005-0000-0000-000070210000}"/>
    <cellStyle name="Comma 10 4 2 2 4" xfId="23529" xr:uid="{00000000-0005-0000-0000-000071210000}"/>
    <cellStyle name="Comma 10 4 2 2 4 2" xfId="23530" xr:uid="{00000000-0005-0000-0000-000072210000}"/>
    <cellStyle name="Comma 10 4 2 2 4 2 2" xfId="23531" xr:uid="{00000000-0005-0000-0000-000073210000}"/>
    <cellStyle name="Comma 10 4 2 2 4 3" xfId="23532" xr:uid="{00000000-0005-0000-0000-000074210000}"/>
    <cellStyle name="Comma 10 4 2 2 5" xfId="23533" xr:uid="{00000000-0005-0000-0000-000075210000}"/>
    <cellStyle name="Comma 10 4 2 2 5 2" xfId="23534" xr:uid="{00000000-0005-0000-0000-000076210000}"/>
    <cellStyle name="Comma 10 4 2 2 6" xfId="23535" xr:uid="{00000000-0005-0000-0000-000077210000}"/>
    <cellStyle name="Comma 10 4 2 3" xfId="23536" xr:uid="{00000000-0005-0000-0000-000078210000}"/>
    <cellStyle name="Comma 10 4 2 3 2" xfId="23537" xr:uid="{00000000-0005-0000-0000-000079210000}"/>
    <cellStyle name="Comma 10 4 2 3 2 2" xfId="23538" xr:uid="{00000000-0005-0000-0000-00007A210000}"/>
    <cellStyle name="Comma 10 4 2 3 2 2 2" xfId="23539" xr:uid="{00000000-0005-0000-0000-00007B210000}"/>
    <cellStyle name="Comma 10 4 2 3 2 2 2 2" xfId="23540" xr:uid="{00000000-0005-0000-0000-00007C210000}"/>
    <cellStyle name="Comma 10 4 2 3 2 2 3" xfId="23541" xr:uid="{00000000-0005-0000-0000-00007D210000}"/>
    <cellStyle name="Comma 10 4 2 3 2 3" xfId="23542" xr:uid="{00000000-0005-0000-0000-00007E210000}"/>
    <cellStyle name="Comma 10 4 2 3 2 3 2" xfId="23543" xr:uid="{00000000-0005-0000-0000-00007F210000}"/>
    <cellStyle name="Comma 10 4 2 3 2 4" xfId="23544" xr:uid="{00000000-0005-0000-0000-000080210000}"/>
    <cellStyle name="Comma 10 4 2 3 3" xfId="23545" xr:uid="{00000000-0005-0000-0000-000081210000}"/>
    <cellStyle name="Comma 10 4 2 3 3 2" xfId="23546" xr:uid="{00000000-0005-0000-0000-000082210000}"/>
    <cellStyle name="Comma 10 4 2 3 3 2 2" xfId="23547" xr:uid="{00000000-0005-0000-0000-000083210000}"/>
    <cellStyle name="Comma 10 4 2 3 3 3" xfId="23548" xr:uid="{00000000-0005-0000-0000-000084210000}"/>
    <cellStyle name="Comma 10 4 2 3 4" xfId="23549" xr:uid="{00000000-0005-0000-0000-000085210000}"/>
    <cellStyle name="Comma 10 4 2 3 4 2" xfId="23550" xr:uid="{00000000-0005-0000-0000-000086210000}"/>
    <cellStyle name="Comma 10 4 2 3 5" xfId="23551" xr:uid="{00000000-0005-0000-0000-000087210000}"/>
    <cellStyle name="Comma 10 4 2 4" xfId="23552" xr:uid="{00000000-0005-0000-0000-000088210000}"/>
    <cellStyle name="Comma 10 4 2 4 2" xfId="23553" xr:uid="{00000000-0005-0000-0000-000089210000}"/>
    <cellStyle name="Comma 10 4 2 4 2 2" xfId="23554" xr:uid="{00000000-0005-0000-0000-00008A210000}"/>
    <cellStyle name="Comma 10 4 2 4 2 2 2" xfId="23555" xr:uid="{00000000-0005-0000-0000-00008B210000}"/>
    <cellStyle name="Comma 10 4 2 4 2 3" xfId="23556" xr:uid="{00000000-0005-0000-0000-00008C210000}"/>
    <cellStyle name="Comma 10 4 2 4 3" xfId="23557" xr:uid="{00000000-0005-0000-0000-00008D210000}"/>
    <cellStyle name="Comma 10 4 2 4 3 2" xfId="23558" xr:uid="{00000000-0005-0000-0000-00008E210000}"/>
    <cellStyle name="Comma 10 4 2 4 4" xfId="23559" xr:uid="{00000000-0005-0000-0000-00008F210000}"/>
    <cellStyle name="Comma 10 4 2 5" xfId="23560" xr:uid="{00000000-0005-0000-0000-000090210000}"/>
    <cellStyle name="Comma 10 4 2 5 2" xfId="23561" xr:uid="{00000000-0005-0000-0000-000091210000}"/>
    <cellStyle name="Comma 10 4 2 5 2 2" xfId="23562" xr:uid="{00000000-0005-0000-0000-000092210000}"/>
    <cellStyle name="Comma 10 4 2 5 2 2 2" xfId="23563" xr:uid="{00000000-0005-0000-0000-000093210000}"/>
    <cellStyle name="Comma 10 4 2 5 2 3" xfId="23564" xr:uid="{00000000-0005-0000-0000-000094210000}"/>
    <cellStyle name="Comma 10 4 2 5 3" xfId="23565" xr:uid="{00000000-0005-0000-0000-000095210000}"/>
    <cellStyle name="Comma 10 4 2 5 3 2" xfId="23566" xr:uid="{00000000-0005-0000-0000-000096210000}"/>
    <cellStyle name="Comma 10 4 2 5 4" xfId="23567" xr:uid="{00000000-0005-0000-0000-000097210000}"/>
    <cellStyle name="Comma 10 4 2 6" xfId="23568" xr:uid="{00000000-0005-0000-0000-000098210000}"/>
    <cellStyle name="Comma 10 4 2 6 2" xfId="23569" xr:uid="{00000000-0005-0000-0000-000099210000}"/>
    <cellStyle name="Comma 10 4 2 6 2 2" xfId="23570" xr:uid="{00000000-0005-0000-0000-00009A210000}"/>
    <cellStyle name="Comma 10 4 2 6 3" xfId="23571" xr:uid="{00000000-0005-0000-0000-00009B210000}"/>
    <cellStyle name="Comma 10 4 2 7" xfId="23572" xr:uid="{00000000-0005-0000-0000-00009C210000}"/>
    <cellStyle name="Comma 10 4 2 7 2" xfId="23573" xr:uid="{00000000-0005-0000-0000-00009D210000}"/>
    <cellStyle name="Comma 10 4 2 8" xfId="23574" xr:uid="{00000000-0005-0000-0000-00009E210000}"/>
    <cellStyle name="Comma 10 4 3" xfId="23575" xr:uid="{00000000-0005-0000-0000-00009F210000}"/>
    <cellStyle name="Comma 10 4 3 2" xfId="23576" xr:uid="{00000000-0005-0000-0000-0000A0210000}"/>
    <cellStyle name="Comma 10 4 3 2 2" xfId="23577" xr:uid="{00000000-0005-0000-0000-0000A1210000}"/>
    <cellStyle name="Comma 10 4 3 2 2 2" xfId="23578" xr:uid="{00000000-0005-0000-0000-0000A2210000}"/>
    <cellStyle name="Comma 10 4 3 2 2 2 2" xfId="23579" xr:uid="{00000000-0005-0000-0000-0000A3210000}"/>
    <cellStyle name="Comma 10 4 3 2 2 3" xfId="23580" xr:uid="{00000000-0005-0000-0000-0000A4210000}"/>
    <cellStyle name="Comma 10 4 3 2 3" xfId="23581" xr:uid="{00000000-0005-0000-0000-0000A5210000}"/>
    <cellStyle name="Comma 10 4 3 2 3 2" xfId="23582" xr:uid="{00000000-0005-0000-0000-0000A6210000}"/>
    <cellStyle name="Comma 10 4 3 2 4" xfId="23583" xr:uid="{00000000-0005-0000-0000-0000A7210000}"/>
    <cellStyle name="Comma 10 4 3 3" xfId="23584" xr:uid="{00000000-0005-0000-0000-0000A8210000}"/>
    <cellStyle name="Comma 10 4 3 3 2" xfId="23585" xr:uid="{00000000-0005-0000-0000-0000A9210000}"/>
    <cellStyle name="Comma 10 4 3 3 2 2" xfId="23586" xr:uid="{00000000-0005-0000-0000-0000AA210000}"/>
    <cellStyle name="Comma 10 4 3 3 2 2 2" xfId="23587" xr:uid="{00000000-0005-0000-0000-0000AB210000}"/>
    <cellStyle name="Comma 10 4 3 3 2 3" xfId="23588" xr:uid="{00000000-0005-0000-0000-0000AC210000}"/>
    <cellStyle name="Comma 10 4 3 3 3" xfId="23589" xr:uid="{00000000-0005-0000-0000-0000AD210000}"/>
    <cellStyle name="Comma 10 4 3 3 3 2" xfId="23590" xr:uid="{00000000-0005-0000-0000-0000AE210000}"/>
    <cellStyle name="Comma 10 4 3 3 4" xfId="23591" xr:uid="{00000000-0005-0000-0000-0000AF210000}"/>
    <cellStyle name="Comma 10 4 3 4" xfId="23592" xr:uid="{00000000-0005-0000-0000-0000B0210000}"/>
    <cellStyle name="Comma 10 4 3 4 2" xfId="23593" xr:uid="{00000000-0005-0000-0000-0000B1210000}"/>
    <cellStyle name="Comma 10 4 3 4 2 2" xfId="23594" xr:uid="{00000000-0005-0000-0000-0000B2210000}"/>
    <cellStyle name="Comma 10 4 3 4 3" xfId="23595" xr:uid="{00000000-0005-0000-0000-0000B3210000}"/>
    <cellStyle name="Comma 10 4 3 5" xfId="23596" xr:uid="{00000000-0005-0000-0000-0000B4210000}"/>
    <cellStyle name="Comma 10 4 3 5 2" xfId="23597" xr:uid="{00000000-0005-0000-0000-0000B5210000}"/>
    <cellStyle name="Comma 10 4 3 6" xfId="23598" xr:uid="{00000000-0005-0000-0000-0000B6210000}"/>
    <cellStyle name="Comma 10 4 4" xfId="23599" xr:uid="{00000000-0005-0000-0000-0000B7210000}"/>
    <cellStyle name="Comma 10 4 4 2" xfId="23600" xr:uid="{00000000-0005-0000-0000-0000B8210000}"/>
    <cellStyle name="Comma 10 4 4 2 2" xfId="23601" xr:uid="{00000000-0005-0000-0000-0000B9210000}"/>
    <cellStyle name="Comma 10 4 4 2 2 2" xfId="23602" xr:uid="{00000000-0005-0000-0000-0000BA210000}"/>
    <cellStyle name="Comma 10 4 4 2 2 2 2" xfId="23603" xr:uid="{00000000-0005-0000-0000-0000BB210000}"/>
    <cellStyle name="Comma 10 4 4 2 2 3" xfId="23604" xr:uid="{00000000-0005-0000-0000-0000BC210000}"/>
    <cellStyle name="Comma 10 4 4 2 3" xfId="23605" xr:uid="{00000000-0005-0000-0000-0000BD210000}"/>
    <cellStyle name="Comma 10 4 4 2 3 2" xfId="23606" xr:uid="{00000000-0005-0000-0000-0000BE210000}"/>
    <cellStyle name="Comma 10 4 4 2 4" xfId="23607" xr:uid="{00000000-0005-0000-0000-0000BF210000}"/>
    <cellStyle name="Comma 10 4 4 3" xfId="23608" xr:uid="{00000000-0005-0000-0000-0000C0210000}"/>
    <cellStyle name="Comma 10 4 4 3 2" xfId="23609" xr:uid="{00000000-0005-0000-0000-0000C1210000}"/>
    <cellStyle name="Comma 10 4 4 3 2 2" xfId="23610" xr:uid="{00000000-0005-0000-0000-0000C2210000}"/>
    <cellStyle name="Comma 10 4 4 3 3" xfId="23611" xr:uid="{00000000-0005-0000-0000-0000C3210000}"/>
    <cellStyle name="Comma 10 4 4 4" xfId="23612" xr:uid="{00000000-0005-0000-0000-0000C4210000}"/>
    <cellStyle name="Comma 10 4 4 4 2" xfId="23613" xr:uid="{00000000-0005-0000-0000-0000C5210000}"/>
    <cellStyle name="Comma 10 4 4 5" xfId="23614" xr:uid="{00000000-0005-0000-0000-0000C6210000}"/>
    <cellStyle name="Comma 10 4 5" xfId="23615" xr:uid="{00000000-0005-0000-0000-0000C7210000}"/>
    <cellStyle name="Comma 10 4 5 2" xfId="23616" xr:uid="{00000000-0005-0000-0000-0000C8210000}"/>
    <cellStyle name="Comma 10 4 5 2 2" xfId="23617" xr:uid="{00000000-0005-0000-0000-0000C9210000}"/>
    <cellStyle name="Comma 10 4 5 2 2 2" xfId="23618" xr:uid="{00000000-0005-0000-0000-0000CA210000}"/>
    <cellStyle name="Comma 10 4 5 2 3" xfId="23619" xr:uid="{00000000-0005-0000-0000-0000CB210000}"/>
    <cellStyle name="Comma 10 4 5 3" xfId="23620" xr:uid="{00000000-0005-0000-0000-0000CC210000}"/>
    <cellStyle name="Comma 10 4 5 3 2" xfId="23621" xr:uid="{00000000-0005-0000-0000-0000CD210000}"/>
    <cellStyle name="Comma 10 4 5 4" xfId="23622" xr:uid="{00000000-0005-0000-0000-0000CE210000}"/>
    <cellStyle name="Comma 10 4 6" xfId="23623" xr:uid="{00000000-0005-0000-0000-0000CF210000}"/>
    <cellStyle name="Comma 10 4 6 2" xfId="23624" xr:uid="{00000000-0005-0000-0000-0000D0210000}"/>
    <cellStyle name="Comma 10 4 6 2 2" xfId="23625" xr:uid="{00000000-0005-0000-0000-0000D1210000}"/>
    <cellStyle name="Comma 10 4 6 2 2 2" xfId="23626" xr:uid="{00000000-0005-0000-0000-0000D2210000}"/>
    <cellStyle name="Comma 10 4 6 2 3" xfId="23627" xr:uid="{00000000-0005-0000-0000-0000D3210000}"/>
    <cellStyle name="Comma 10 4 6 3" xfId="23628" xr:uid="{00000000-0005-0000-0000-0000D4210000}"/>
    <cellStyle name="Comma 10 4 6 3 2" xfId="23629" xr:uid="{00000000-0005-0000-0000-0000D5210000}"/>
    <cellStyle name="Comma 10 4 6 4" xfId="23630" xr:uid="{00000000-0005-0000-0000-0000D6210000}"/>
    <cellStyle name="Comma 10 4 7" xfId="23631" xr:uid="{00000000-0005-0000-0000-0000D7210000}"/>
    <cellStyle name="Comma 10 4 7 2" xfId="23632" xr:uid="{00000000-0005-0000-0000-0000D8210000}"/>
    <cellStyle name="Comma 10 4 7 2 2" xfId="23633" xr:uid="{00000000-0005-0000-0000-0000D9210000}"/>
    <cellStyle name="Comma 10 4 7 2 2 2" xfId="23634" xr:uid="{00000000-0005-0000-0000-0000DA210000}"/>
    <cellStyle name="Comma 10 4 7 2 3" xfId="23635" xr:uid="{00000000-0005-0000-0000-0000DB210000}"/>
    <cellStyle name="Comma 10 4 7 3" xfId="23636" xr:uid="{00000000-0005-0000-0000-0000DC210000}"/>
    <cellStyle name="Comma 10 4 7 3 2" xfId="23637" xr:uid="{00000000-0005-0000-0000-0000DD210000}"/>
    <cellStyle name="Comma 10 4 7 4" xfId="23638" xr:uid="{00000000-0005-0000-0000-0000DE210000}"/>
    <cellStyle name="Comma 10 4 8" xfId="23639" xr:uid="{00000000-0005-0000-0000-0000DF210000}"/>
    <cellStyle name="Comma 10 4 8 2" xfId="23640" xr:uid="{00000000-0005-0000-0000-0000E0210000}"/>
    <cellStyle name="Comma 10 4 8 2 2" xfId="23641" xr:uid="{00000000-0005-0000-0000-0000E1210000}"/>
    <cellStyle name="Comma 10 4 8 3" xfId="23642" xr:uid="{00000000-0005-0000-0000-0000E2210000}"/>
    <cellStyle name="Comma 10 4 9" xfId="23643" xr:uid="{00000000-0005-0000-0000-0000E3210000}"/>
    <cellStyle name="Comma 10 4 9 2" xfId="23644" xr:uid="{00000000-0005-0000-0000-0000E4210000}"/>
    <cellStyle name="Comma 10 40" xfId="7281" xr:uid="{00000000-0005-0000-0000-0000E5210000}"/>
    <cellStyle name="Comma 10 41" xfId="7282" xr:uid="{00000000-0005-0000-0000-0000E6210000}"/>
    <cellStyle name="Comma 10 42" xfId="7283" xr:uid="{00000000-0005-0000-0000-0000E7210000}"/>
    <cellStyle name="Comma 10 43" xfId="7284" xr:uid="{00000000-0005-0000-0000-0000E8210000}"/>
    <cellStyle name="Comma 10 5" xfId="7285" xr:uid="{00000000-0005-0000-0000-0000E9210000}"/>
    <cellStyle name="Comma 10 5 2" xfId="23645" xr:uid="{00000000-0005-0000-0000-0000EA210000}"/>
    <cellStyle name="Comma 10 5 2 2" xfId="23646" xr:uid="{00000000-0005-0000-0000-0000EB210000}"/>
    <cellStyle name="Comma 10 5 2 2 2" xfId="23647" xr:uid="{00000000-0005-0000-0000-0000EC210000}"/>
    <cellStyle name="Comma 10 5 2 2 2 2" xfId="23648" xr:uid="{00000000-0005-0000-0000-0000ED210000}"/>
    <cellStyle name="Comma 10 5 2 2 2 2 2" xfId="23649" xr:uid="{00000000-0005-0000-0000-0000EE210000}"/>
    <cellStyle name="Comma 10 5 2 2 2 3" xfId="23650" xr:uid="{00000000-0005-0000-0000-0000EF210000}"/>
    <cellStyle name="Comma 10 5 2 2 3" xfId="23651" xr:uid="{00000000-0005-0000-0000-0000F0210000}"/>
    <cellStyle name="Comma 10 5 2 2 3 2" xfId="23652" xr:uid="{00000000-0005-0000-0000-0000F1210000}"/>
    <cellStyle name="Comma 10 5 2 2 4" xfId="23653" xr:uid="{00000000-0005-0000-0000-0000F2210000}"/>
    <cellStyle name="Comma 10 5 2 3" xfId="23654" xr:uid="{00000000-0005-0000-0000-0000F3210000}"/>
    <cellStyle name="Comma 10 5 2 3 2" xfId="23655" xr:uid="{00000000-0005-0000-0000-0000F4210000}"/>
    <cellStyle name="Comma 10 5 2 3 2 2" xfId="23656" xr:uid="{00000000-0005-0000-0000-0000F5210000}"/>
    <cellStyle name="Comma 10 5 2 3 2 2 2" xfId="23657" xr:uid="{00000000-0005-0000-0000-0000F6210000}"/>
    <cellStyle name="Comma 10 5 2 3 2 3" xfId="23658" xr:uid="{00000000-0005-0000-0000-0000F7210000}"/>
    <cellStyle name="Comma 10 5 2 3 3" xfId="23659" xr:uid="{00000000-0005-0000-0000-0000F8210000}"/>
    <cellStyle name="Comma 10 5 2 3 3 2" xfId="23660" xr:uid="{00000000-0005-0000-0000-0000F9210000}"/>
    <cellStyle name="Comma 10 5 2 3 4" xfId="23661" xr:uid="{00000000-0005-0000-0000-0000FA210000}"/>
    <cellStyle name="Comma 10 5 2 4" xfId="23662" xr:uid="{00000000-0005-0000-0000-0000FB210000}"/>
    <cellStyle name="Comma 10 5 2 4 2" xfId="23663" xr:uid="{00000000-0005-0000-0000-0000FC210000}"/>
    <cellStyle name="Comma 10 5 2 4 2 2" xfId="23664" xr:uid="{00000000-0005-0000-0000-0000FD210000}"/>
    <cellStyle name="Comma 10 5 2 4 3" xfId="23665" xr:uid="{00000000-0005-0000-0000-0000FE210000}"/>
    <cellStyle name="Comma 10 5 2 5" xfId="23666" xr:uid="{00000000-0005-0000-0000-0000FF210000}"/>
    <cellStyle name="Comma 10 5 2 5 2" xfId="23667" xr:uid="{00000000-0005-0000-0000-000000220000}"/>
    <cellStyle name="Comma 10 5 2 6" xfId="23668" xr:uid="{00000000-0005-0000-0000-000001220000}"/>
    <cellStyle name="Comma 10 5 3" xfId="23669" xr:uid="{00000000-0005-0000-0000-000002220000}"/>
    <cellStyle name="Comma 10 5 3 2" xfId="23670" xr:uid="{00000000-0005-0000-0000-000003220000}"/>
    <cellStyle name="Comma 10 5 3 2 2" xfId="23671" xr:uid="{00000000-0005-0000-0000-000004220000}"/>
    <cellStyle name="Comma 10 5 3 2 2 2" xfId="23672" xr:uid="{00000000-0005-0000-0000-000005220000}"/>
    <cellStyle name="Comma 10 5 3 2 2 2 2" xfId="23673" xr:uid="{00000000-0005-0000-0000-000006220000}"/>
    <cellStyle name="Comma 10 5 3 2 2 3" xfId="23674" xr:uid="{00000000-0005-0000-0000-000007220000}"/>
    <cellStyle name="Comma 10 5 3 2 3" xfId="23675" xr:uid="{00000000-0005-0000-0000-000008220000}"/>
    <cellStyle name="Comma 10 5 3 2 3 2" xfId="23676" xr:uid="{00000000-0005-0000-0000-000009220000}"/>
    <cellStyle name="Comma 10 5 3 2 4" xfId="23677" xr:uid="{00000000-0005-0000-0000-00000A220000}"/>
    <cellStyle name="Comma 10 5 3 3" xfId="23678" xr:uid="{00000000-0005-0000-0000-00000B220000}"/>
    <cellStyle name="Comma 10 5 3 3 2" xfId="23679" xr:uid="{00000000-0005-0000-0000-00000C220000}"/>
    <cellStyle name="Comma 10 5 3 3 2 2" xfId="23680" xr:uid="{00000000-0005-0000-0000-00000D220000}"/>
    <cellStyle name="Comma 10 5 3 3 3" xfId="23681" xr:uid="{00000000-0005-0000-0000-00000E220000}"/>
    <cellStyle name="Comma 10 5 3 4" xfId="23682" xr:uid="{00000000-0005-0000-0000-00000F220000}"/>
    <cellStyle name="Comma 10 5 3 4 2" xfId="23683" xr:uid="{00000000-0005-0000-0000-000010220000}"/>
    <cellStyle name="Comma 10 5 3 5" xfId="23684" xr:uid="{00000000-0005-0000-0000-000011220000}"/>
    <cellStyle name="Comma 10 5 4" xfId="23685" xr:uid="{00000000-0005-0000-0000-000012220000}"/>
    <cellStyle name="Comma 10 5 4 2" xfId="23686" xr:uid="{00000000-0005-0000-0000-000013220000}"/>
    <cellStyle name="Comma 10 5 4 2 2" xfId="23687" xr:uid="{00000000-0005-0000-0000-000014220000}"/>
    <cellStyle name="Comma 10 5 4 2 2 2" xfId="23688" xr:uid="{00000000-0005-0000-0000-000015220000}"/>
    <cellStyle name="Comma 10 5 4 2 3" xfId="23689" xr:uid="{00000000-0005-0000-0000-000016220000}"/>
    <cellStyle name="Comma 10 5 4 3" xfId="23690" xr:uid="{00000000-0005-0000-0000-000017220000}"/>
    <cellStyle name="Comma 10 5 4 3 2" xfId="23691" xr:uid="{00000000-0005-0000-0000-000018220000}"/>
    <cellStyle name="Comma 10 5 4 4" xfId="23692" xr:uid="{00000000-0005-0000-0000-000019220000}"/>
    <cellStyle name="Comma 10 5 5" xfId="23693" xr:uid="{00000000-0005-0000-0000-00001A220000}"/>
    <cellStyle name="Comma 10 5 5 2" xfId="23694" xr:uid="{00000000-0005-0000-0000-00001B220000}"/>
    <cellStyle name="Comma 10 5 5 2 2" xfId="23695" xr:uid="{00000000-0005-0000-0000-00001C220000}"/>
    <cellStyle name="Comma 10 5 5 2 2 2" xfId="23696" xr:uid="{00000000-0005-0000-0000-00001D220000}"/>
    <cellStyle name="Comma 10 5 5 2 3" xfId="23697" xr:uid="{00000000-0005-0000-0000-00001E220000}"/>
    <cellStyle name="Comma 10 5 5 3" xfId="23698" xr:uid="{00000000-0005-0000-0000-00001F220000}"/>
    <cellStyle name="Comma 10 5 5 3 2" xfId="23699" xr:uid="{00000000-0005-0000-0000-000020220000}"/>
    <cellStyle name="Comma 10 5 5 4" xfId="23700" xr:uid="{00000000-0005-0000-0000-000021220000}"/>
    <cellStyle name="Comma 10 5 6" xfId="23701" xr:uid="{00000000-0005-0000-0000-000022220000}"/>
    <cellStyle name="Comma 10 5 6 2" xfId="23702" xr:uid="{00000000-0005-0000-0000-000023220000}"/>
    <cellStyle name="Comma 10 5 6 2 2" xfId="23703" xr:uid="{00000000-0005-0000-0000-000024220000}"/>
    <cellStyle name="Comma 10 5 6 3" xfId="23704" xr:uid="{00000000-0005-0000-0000-000025220000}"/>
    <cellStyle name="Comma 10 5 7" xfId="23705" xr:uid="{00000000-0005-0000-0000-000026220000}"/>
    <cellStyle name="Comma 10 5 7 2" xfId="23706" xr:uid="{00000000-0005-0000-0000-000027220000}"/>
    <cellStyle name="Comma 10 5 8" xfId="23707" xr:uid="{00000000-0005-0000-0000-000028220000}"/>
    <cellStyle name="Comma 10 6" xfId="7286" xr:uid="{00000000-0005-0000-0000-000029220000}"/>
    <cellStyle name="Comma 10 6 2" xfId="23708" xr:uid="{00000000-0005-0000-0000-00002A220000}"/>
    <cellStyle name="Comma 10 6 2 2" xfId="23709" xr:uid="{00000000-0005-0000-0000-00002B220000}"/>
    <cellStyle name="Comma 10 6 2 2 2" xfId="23710" xr:uid="{00000000-0005-0000-0000-00002C220000}"/>
    <cellStyle name="Comma 10 6 2 2 2 2" xfId="23711" xr:uid="{00000000-0005-0000-0000-00002D220000}"/>
    <cellStyle name="Comma 10 6 2 2 2 2 2" xfId="23712" xr:uid="{00000000-0005-0000-0000-00002E220000}"/>
    <cellStyle name="Comma 10 6 2 2 2 3" xfId="23713" xr:uid="{00000000-0005-0000-0000-00002F220000}"/>
    <cellStyle name="Comma 10 6 2 2 3" xfId="23714" xr:uid="{00000000-0005-0000-0000-000030220000}"/>
    <cellStyle name="Comma 10 6 2 2 3 2" xfId="23715" xr:uid="{00000000-0005-0000-0000-000031220000}"/>
    <cellStyle name="Comma 10 6 2 2 4" xfId="23716" xr:uid="{00000000-0005-0000-0000-000032220000}"/>
    <cellStyle name="Comma 10 6 2 3" xfId="23717" xr:uid="{00000000-0005-0000-0000-000033220000}"/>
    <cellStyle name="Comma 10 6 2 3 2" xfId="23718" xr:uid="{00000000-0005-0000-0000-000034220000}"/>
    <cellStyle name="Comma 10 6 2 3 2 2" xfId="23719" xr:uid="{00000000-0005-0000-0000-000035220000}"/>
    <cellStyle name="Comma 10 6 2 3 2 2 2" xfId="23720" xr:uid="{00000000-0005-0000-0000-000036220000}"/>
    <cellStyle name="Comma 10 6 2 3 2 3" xfId="23721" xr:uid="{00000000-0005-0000-0000-000037220000}"/>
    <cellStyle name="Comma 10 6 2 3 3" xfId="23722" xr:uid="{00000000-0005-0000-0000-000038220000}"/>
    <cellStyle name="Comma 10 6 2 3 3 2" xfId="23723" xr:uid="{00000000-0005-0000-0000-000039220000}"/>
    <cellStyle name="Comma 10 6 2 3 4" xfId="23724" xr:uid="{00000000-0005-0000-0000-00003A220000}"/>
    <cellStyle name="Comma 10 6 2 4" xfId="23725" xr:uid="{00000000-0005-0000-0000-00003B220000}"/>
    <cellStyle name="Comma 10 6 2 4 2" xfId="23726" xr:uid="{00000000-0005-0000-0000-00003C220000}"/>
    <cellStyle name="Comma 10 6 2 4 2 2" xfId="23727" xr:uid="{00000000-0005-0000-0000-00003D220000}"/>
    <cellStyle name="Comma 10 6 2 4 3" xfId="23728" xr:uid="{00000000-0005-0000-0000-00003E220000}"/>
    <cellStyle name="Comma 10 6 2 5" xfId="23729" xr:uid="{00000000-0005-0000-0000-00003F220000}"/>
    <cellStyle name="Comma 10 6 2 5 2" xfId="23730" xr:uid="{00000000-0005-0000-0000-000040220000}"/>
    <cellStyle name="Comma 10 6 2 6" xfId="23731" xr:uid="{00000000-0005-0000-0000-000041220000}"/>
    <cellStyle name="Comma 10 6 3" xfId="23732" xr:uid="{00000000-0005-0000-0000-000042220000}"/>
    <cellStyle name="Comma 10 6 3 2" xfId="23733" xr:uid="{00000000-0005-0000-0000-000043220000}"/>
    <cellStyle name="Comma 10 6 3 2 2" xfId="23734" xr:uid="{00000000-0005-0000-0000-000044220000}"/>
    <cellStyle name="Comma 10 6 3 2 2 2" xfId="23735" xr:uid="{00000000-0005-0000-0000-000045220000}"/>
    <cellStyle name="Comma 10 6 3 2 2 2 2" xfId="23736" xr:uid="{00000000-0005-0000-0000-000046220000}"/>
    <cellStyle name="Comma 10 6 3 2 2 3" xfId="23737" xr:uid="{00000000-0005-0000-0000-000047220000}"/>
    <cellStyle name="Comma 10 6 3 2 3" xfId="23738" xr:uid="{00000000-0005-0000-0000-000048220000}"/>
    <cellStyle name="Comma 10 6 3 2 3 2" xfId="23739" xr:uid="{00000000-0005-0000-0000-000049220000}"/>
    <cellStyle name="Comma 10 6 3 2 4" xfId="23740" xr:uid="{00000000-0005-0000-0000-00004A220000}"/>
    <cellStyle name="Comma 10 6 3 3" xfId="23741" xr:uid="{00000000-0005-0000-0000-00004B220000}"/>
    <cellStyle name="Comma 10 6 3 3 2" xfId="23742" xr:uid="{00000000-0005-0000-0000-00004C220000}"/>
    <cellStyle name="Comma 10 6 3 3 2 2" xfId="23743" xr:uid="{00000000-0005-0000-0000-00004D220000}"/>
    <cellStyle name="Comma 10 6 3 3 3" xfId="23744" xr:uid="{00000000-0005-0000-0000-00004E220000}"/>
    <cellStyle name="Comma 10 6 3 4" xfId="23745" xr:uid="{00000000-0005-0000-0000-00004F220000}"/>
    <cellStyle name="Comma 10 6 3 4 2" xfId="23746" xr:uid="{00000000-0005-0000-0000-000050220000}"/>
    <cellStyle name="Comma 10 6 3 5" xfId="23747" xr:uid="{00000000-0005-0000-0000-000051220000}"/>
    <cellStyle name="Comma 10 6 4" xfId="23748" xr:uid="{00000000-0005-0000-0000-000052220000}"/>
    <cellStyle name="Comma 10 6 4 2" xfId="23749" xr:uid="{00000000-0005-0000-0000-000053220000}"/>
    <cellStyle name="Comma 10 6 4 2 2" xfId="23750" xr:uid="{00000000-0005-0000-0000-000054220000}"/>
    <cellStyle name="Comma 10 6 4 2 2 2" xfId="23751" xr:uid="{00000000-0005-0000-0000-000055220000}"/>
    <cellStyle name="Comma 10 6 4 2 3" xfId="23752" xr:uid="{00000000-0005-0000-0000-000056220000}"/>
    <cellStyle name="Comma 10 6 4 3" xfId="23753" xr:uid="{00000000-0005-0000-0000-000057220000}"/>
    <cellStyle name="Comma 10 6 4 3 2" xfId="23754" xr:uid="{00000000-0005-0000-0000-000058220000}"/>
    <cellStyle name="Comma 10 6 4 4" xfId="23755" xr:uid="{00000000-0005-0000-0000-000059220000}"/>
    <cellStyle name="Comma 10 6 5" xfId="23756" xr:uid="{00000000-0005-0000-0000-00005A220000}"/>
    <cellStyle name="Comma 10 6 5 2" xfId="23757" xr:uid="{00000000-0005-0000-0000-00005B220000}"/>
    <cellStyle name="Comma 10 6 5 2 2" xfId="23758" xr:uid="{00000000-0005-0000-0000-00005C220000}"/>
    <cellStyle name="Comma 10 6 5 2 2 2" xfId="23759" xr:uid="{00000000-0005-0000-0000-00005D220000}"/>
    <cellStyle name="Comma 10 6 5 2 3" xfId="23760" xr:uid="{00000000-0005-0000-0000-00005E220000}"/>
    <cellStyle name="Comma 10 6 5 3" xfId="23761" xr:uid="{00000000-0005-0000-0000-00005F220000}"/>
    <cellStyle name="Comma 10 6 5 3 2" xfId="23762" xr:uid="{00000000-0005-0000-0000-000060220000}"/>
    <cellStyle name="Comma 10 6 5 4" xfId="23763" xr:uid="{00000000-0005-0000-0000-000061220000}"/>
    <cellStyle name="Comma 10 6 6" xfId="23764" xr:uid="{00000000-0005-0000-0000-000062220000}"/>
    <cellStyle name="Comma 10 6 6 2" xfId="23765" xr:uid="{00000000-0005-0000-0000-000063220000}"/>
    <cellStyle name="Comma 10 6 6 2 2" xfId="23766" xr:uid="{00000000-0005-0000-0000-000064220000}"/>
    <cellStyle name="Comma 10 6 6 3" xfId="23767" xr:uid="{00000000-0005-0000-0000-000065220000}"/>
    <cellStyle name="Comma 10 6 7" xfId="23768" xr:uid="{00000000-0005-0000-0000-000066220000}"/>
    <cellStyle name="Comma 10 6 7 2" xfId="23769" xr:uid="{00000000-0005-0000-0000-000067220000}"/>
    <cellStyle name="Comma 10 6 8" xfId="23770" xr:uid="{00000000-0005-0000-0000-000068220000}"/>
    <cellStyle name="Comma 10 7" xfId="7287" xr:uid="{00000000-0005-0000-0000-000069220000}"/>
    <cellStyle name="Comma 10 7 2" xfId="23771" xr:uid="{00000000-0005-0000-0000-00006A220000}"/>
    <cellStyle name="Comma 10 7 2 2" xfId="23772" xr:uid="{00000000-0005-0000-0000-00006B220000}"/>
    <cellStyle name="Comma 10 7 2 2 2" xfId="23773" xr:uid="{00000000-0005-0000-0000-00006C220000}"/>
    <cellStyle name="Comma 10 7 2 2 2 2" xfId="23774" xr:uid="{00000000-0005-0000-0000-00006D220000}"/>
    <cellStyle name="Comma 10 7 2 2 3" xfId="23775" xr:uid="{00000000-0005-0000-0000-00006E220000}"/>
    <cellStyle name="Comma 10 7 2 3" xfId="23776" xr:uid="{00000000-0005-0000-0000-00006F220000}"/>
    <cellStyle name="Comma 10 7 2 3 2" xfId="23777" xr:uid="{00000000-0005-0000-0000-000070220000}"/>
    <cellStyle name="Comma 10 7 2 4" xfId="23778" xr:uid="{00000000-0005-0000-0000-000071220000}"/>
    <cellStyle name="Comma 10 7 3" xfId="23779" xr:uid="{00000000-0005-0000-0000-000072220000}"/>
    <cellStyle name="Comma 10 7 3 2" xfId="23780" xr:uid="{00000000-0005-0000-0000-000073220000}"/>
    <cellStyle name="Comma 10 7 3 2 2" xfId="23781" xr:uid="{00000000-0005-0000-0000-000074220000}"/>
    <cellStyle name="Comma 10 7 3 2 2 2" xfId="23782" xr:uid="{00000000-0005-0000-0000-000075220000}"/>
    <cellStyle name="Comma 10 7 3 2 3" xfId="23783" xr:uid="{00000000-0005-0000-0000-000076220000}"/>
    <cellStyle name="Comma 10 7 3 3" xfId="23784" xr:uid="{00000000-0005-0000-0000-000077220000}"/>
    <cellStyle name="Comma 10 7 3 3 2" xfId="23785" xr:uid="{00000000-0005-0000-0000-000078220000}"/>
    <cellStyle name="Comma 10 7 3 4" xfId="23786" xr:uid="{00000000-0005-0000-0000-000079220000}"/>
    <cellStyle name="Comma 10 7 4" xfId="23787" xr:uid="{00000000-0005-0000-0000-00007A220000}"/>
    <cellStyle name="Comma 10 7 4 2" xfId="23788" xr:uid="{00000000-0005-0000-0000-00007B220000}"/>
    <cellStyle name="Comma 10 7 4 2 2" xfId="23789" xr:uid="{00000000-0005-0000-0000-00007C220000}"/>
    <cellStyle name="Comma 10 7 4 3" xfId="23790" xr:uid="{00000000-0005-0000-0000-00007D220000}"/>
    <cellStyle name="Comma 10 7 5" xfId="23791" xr:uid="{00000000-0005-0000-0000-00007E220000}"/>
    <cellStyle name="Comma 10 7 5 2" xfId="23792" xr:uid="{00000000-0005-0000-0000-00007F220000}"/>
    <cellStyle name="Comma 10 7 6" xfId="23793" xr:uid="{00000000-0005-0000-0000-000080220000}"/>
    <cellStyle name="Comma 10 8" xfId="7288" xr:uid="{00000000-0005-0000-0000-000081220000}"/>
    <cellStyle name="Comma 10 8 2" xfId="23794" xr:uid="{00000000-0005-0000-0000-000082220000}"/>
    <cellStyle name="Comma 10 8 2 2" xfId="23795" xr:uid="{00000000-0005-0000-0000-000083220000}"/>
    <cellStyle name="Comma 10 8 2 2 2" xfId="23796" xr:uid="{00000000-0005-0000-0000-000084220000}"/>
    <cellStyle name="Comma 10 8 2 2 2 2" xfId="23797" xr:uid="{00000000-0005-0000-0000-000085220000}"/>
    <cellStyle name="Comma 10 8 2 2 3" xfId="23798" xr:uid="{00000000-0005-0000-0000-000086220000}"/>
    <cellStyle name="Comma 10 8 2 3" xfId="23799" xr:uid="{00000000-0005-0000-0000-000087220000}"/>
    <cellStyle name="Comma 10 8 2 3 2" xfId="23800" xr:uid="{00000000-0005-0000-0000-000088220000}"/>
    <cellStyle name="Comma 10 8 2 4" xfId="23801" xr:uid="{00000000-0005-0000-0000-000089220000}"/>
    <cellStyle name="Comma 10 8 3" xfId="23802" xr:uid="{00000000-0005-0000-0000-00008A220000}"/>
    <cellStyle name="Comma 10 8 3 2" xfId="23803" xr:uid="{00000000-0005-0000-0000-00008B220000}"/>
    <cellStyle name="Comma 10 8 3 2 2" xfId="23804" xr:uid="{00000000-0005-0000-0000-00008C220000}"/>
    <cellStyle name="Comma 10 8 3 3" xfId="23805" xr:uid="{00000000-0005-0000-0000-00008D220000}"/>
    <cellStyle name="Comma 10 8 4" xfId="23806" xr:uid="{00000000-0005-0000-0000-00008E220000}"/>
    <cellStyle name="Comma 10 8 4 2" xfId="23807" xr:uid="{00000000-0005-0000-0000-00008F220000}"/>
    <cellStyle name="Comma 10 8 5" xfId="23808" xr:uid="{00000000-0005-0000-0000-000090220000}"/>
    <cellStyle name="Comma 10 9" xfId="7289" xr:uid="{00000000-0005-0000-0000-000091220000}"/>
    <cellStyle name="Comma 10 9 2" xfId="23809" xr:uid="{00000000-0005-0000-0000-000092220000}"/>
    <cellStyle name="Comma 10 9 2 2" xfId="23810" xr:uid="{00000000-0005-0000-0000-000093220000}"/>
    <cellStyle name="Comma 10 9 2 2 2" xfId="23811" xr:uid="{00000000-0005-0000-0000-000094220000}"/>
    <cellStyle name="Comma 10 9 2 3" xfId="23812" xr:uid="{00000000-0005-0000-0000-000095220000}"/>
    <cellStyle name="Comma 10 9 3" xfId="23813" xr:uid="{00000000-0005-0000-0000-000096220000}"/>
    <cellStyle name="Comma 10 9 3 2" xfId="23814" xr:uid="{00000000-0005-0000-0000-000097220000}"/>
    <cellStyle name="Comma 10 9 4" xfId="23815" xr:uid="{00000000-0005-0000-0000-000098220000}"/>
    <cellStyle name="Comma 10_Costing - 992-R1" xfId="7290" xr:uid="{00000000-0005-0000-0000-000099220000}"/>
    <cellStyle name="Comma 100" xfId="7291" xr:uid="{00000000-0005-0000-0000-00009A220000}"/>
    <cellStyle name="Comma 100 2" xfId="7292" xr:uid="{00000000-0005-0000-0000-00009B220000}"/>
    <cellStyle name="Comma 101" xfId="7293" xr:uid="{00000000-0005-0000-0000-00009C220000}"/>
    <cellStyle name="Comma 101 2" xfId="7294" xr:uid="{00000000-0005-0000-0000-00009D220000}"/>
    <cellStyle name="Comma 101 3" xfId="7295" xr:uid="{00000000-0005-0000-0000-00009E220000}"/>
    <cellStyle name="Comma 102" xfId="7296" xr:uid="{00000000-0005-0000-0000-00009F220000}"/>
    <cellStyle name="Comma 102 2" xfId="7297" xr:uid="{00000000-0005-0000-0000-0000A0220000}"/>
    <cellStyle name="Comma 102 2 2" xfId="7298" xr:uid="{00000000-0005-0000-0000-0000A1220000}"/>
    <cellStyle name="Comma 102 2 2 2" xfId="7299" xr:uid="{00000000-0005-0000-0000-0000A2220000}"/>
    <cellStyle name="Comma 102 3" xfId="7300" xr:uid="{00000000-0005-0000-0000-0000A3220000}"/>
    <cellStyle name="Comma 103" xfId="7301" xr:uid="{00000000-0005-0000-0000-0000A4220000}"/>
    <cellStyle name="Comma 104" xfId="7302" xr:uid="{00000000-0005-0000-0000-0000A5220000}"/>
    <cellStyle name="Comma 105" xfId="7303" xr:uid="{00000000-0005-0000-0000-0000A6220000}"/>
    <cellStyle name="Comma 106" xfId="7304" xr:uid="{00000000-0005-0000-0000-0000A7220000}"/>
    <cellStyle name="Comma 107" xfId="7305" xr:uid="{00000000-0005-0000-0000-0000A8220000}"/>
    <cellStyle name="Comma 108" xfId="7306" xr:uid="{00000000-0005-0000-0000-0000A9220000}"/>
    <cellStyle name="Comma 109" xfId="7307" xr:uid="{00000000-0005-0000-0000-0000AA220000}"/>
    <cellStyle name="Comma 109 2" xfId="20452" xr:uid="{00000000-0005-0000-0000-0000AB220000}"/>
    <cellStyle name="Comma 11" xfId="138" xr:uid="{00000000-0005-0000-0000-0000AC220000}"/>
    <cellStyle name="Comma 11 2" xfId="139" xr:uid="{00000000-0005-0000-0000-0000AD220000}"/>
    <cellStyle name="Comma 11 2 2" xfId="7308" xr:uid="{00000000-0005-0000-0000-0000AE220000}"/>
    <cellStyle name="Comma 11 2 2 2" xfId="7309" xr:uid="{00000000-0005-0000-0000-0000AF220000}"/>
    <cellStyle name="Comma 11 3" xfId="7310" xr:uid="{00000000-0005-0000-0000-0000B0220000}"/>
    <cellStyle name="Comma 11 4" xfId="7311" xr:uid="{00000000-0005-0000-0000-0000B1220000}"/>
    <cellStyle name="Comma 11 5" xfId="7312" xr:uid="{00000000-0005-0000-0000-0000B2220000}"/>
    <cellStyle name="Comma 110" xfId="7313" xr:uid="{00000000-0005-0000-0000-0000B3220000}"/>
    <cellStyle name="Comma 111" xfId="7314" xr:uid="{00000000-0005-0000-0000-0000B4220000}"/>
    <cellStyle name="Comma 111 2" xfId="7315" xr:uid="{00000000-0005-0000-0000-0000B5220000}"/>
    <cellStyle name="Comma 111 3" xfId="7316" xr:uid="{00000000-0005-0000-0000-0000B6220000}"/>
    <cellStyle name="Comma 111 4" xfId="7317" xr:uid="{00000000-0005-0000-0000-0000B7220000}"/>
    <cellStyle name="Comma 112" xfId="7318" xr:uid="{00000000-0005-0000-0000-0000B8220000}"/>
    <cellStyle name="Comma 113" xfId="7319" xr:uid="{00000000-0005-0000-0000-0000B9220000}"/>
    <cellStyle name="Comma 113 2" xfId="20453" xr:uid="{00000000-0005-0000-0000-0000BA220000}"/>
    <cellStyle name="Comma 114" xfId="7320" xr:uid="{00000000-0005-0000-0000-0000BB220000}"/>
    <cellStyle name="Comma 115" xfId="7321" xr:uid="{00000000-0005-0000-0000-0000BC220000}"/>
    <cellStyle name="Comma 116" xfId="7322" xr:uid="{00000000-0005-0000-0000-0000BD220000}"/>
    <cellStyle name="Comma 117" xfId="7323" xr:uid="{00000000-0005-0000-0000-0000BE220000}"/>
    <cellStyle name="Comma 118" xfId="7324" xr:uid="{00000000-0005-0000-0000-0000BF220000}"/>
    <cellStyle name="Comma 119" xfId="7325" xr:uid="{00000000-0005-0000-0000-0000C0220000}"/>
    <cellStyle name="Comma 119 2" xfId="20454" xr:uid="{00000000-0005-0000-0000-0000C1220000}"/>
    <cellStyle name="Comma 12" xfId="140" xr:uid="{00000000-0005-0000-0000-0000C2220000}"/>
    <cellStyle name="Comma 12 2" xfId="141" xr:uid="{00000000-0005-0000-0000-0000C3220000}"/>
    <cellStyle name="Comma 12 3" xfId="7326" xr:uid="{00000000-0005-0000-0000-0000C4220000}"/>
    <cellStyle name="Comma 12 4" xfId="7327" xr:uid="{00000000-0005-0000-0000-0000C5220000}"/>
    <cellStyle name="Comma 120" xfId="7328" xr:uid="{00000000-0005-0000-0000-0000C6220000}"/>
    <cellStyle name="Comma 120 2" xfId="20455" xr:uid="{00000000-0005-0000-0000-0000C7220000}"/>
    <cellStyle name="Comma 121" xfId="7329" xr:uid="{00000000-0005-0000-0000-0000C8220000}"/>
    <cellStyle name="Comma 122" xfId="7330" xr:uid="{00000000-0005-0000-0000-0000C9220000}"/>
    <cellStyle name="Comma 122 2" xfId="20456" xr:uid="{00000000-0005-0000-0000-0000CA220000}"/>
    <cellStyle name="Comma 123" xfId="19281" xr:uid="{00000000-0005-0000-0000-0000CB220000}"/>
    <cellStyle name="Comma 123 2" xfId="19356" xr:uid="{00000000-0005-0000-0000-0000CC220000}"/>
    <cellStyle name="Comma 123 2 2" xfId="22626" xr:uid="{00000000-0005-0000-0000-0000CD220000}"/>
    <cellStyle name="Comma 123 3" xfId="22555" xr:uid="{00000000-0005-0000-0000-0000CE220000}"/>
    <cellStyle name="Comma 124" xfId="19353" xr:uid="{00000000-0005-0000-0000-0000CF220000}"/>
    <cellStyle name="Comma 124 3 2" xfId="22758" xr:uid="{00000000-0005-0000-0000-0000D0220000}"/>
    <cellStyle name="Comma 124 3 2 2" xfId="22763" xr:uid="{00000000-0005-0000-0000-0000D1220000}"/>
    <cellStyle name="Comma 124 3 2 2 2" xfId="27890" xr:uid="{00000000-0005-0000-0000-0000D2220000}"/>
    <cellStyle name="Comma 124 3 2 3" xfId="22771" xr:uid="{00000000-0005-0000-0000-0000D3220000}"/>
    <cellStyle name="Comma 124 3 2 3 2" xfId="27959" xr:uid="{0BB12F36-E8B1-494B-B55D-DC58C95B266A}"/>
    <cellStyle name="Comma 125" xfId="19355" xr:uid="{00000000-0005-0000-0000-0000D4220000}"/>
    <cellStyle name="Comma 125 2" xfId="22625" xr:uid="{00000000-0005-0000-0000-0000D5220000}"/>
    <cellStyle name="Comma 126" xfId="19359" xr:uid="{00000000-0005-0000-0000-0000D6220000}"/>
    <cellStyle name="Comma 126 2" xfId="22629" xr:uid="{00000000-0005-0000-0000-0000D7220000}"/>
    <cellStyle name="Comma 127" xfId="22664" xr:uid="{00000000-0005-0000-0000-0000D8220000}"/>
    <cellStyle name="Comma 127 2" xfId="22672" xr:uid="{00000000-0005-0000-0000-0000D9220000}"/>
    <cellStyle name="Comma 128" xfId="22669" xr:uid="{00000000-0005-0000-0000-0000DA220000}"/>
    <cellStyle name="Comma 128 2" xfId="22682" xr:uid="{00000000-0005-0000-0000-0000DB220000}"/>
    <cellStyle name="Comma 128 2 2" xfId="22783" xr:uid="{00000000-0005-0000-0000-0000DC220000}"/>
    <cellStyle name="Comma 129" xfId="22692" xr:uid="{00000000-0005-0000-0000-0000DD220000}"/>
    <cellStyle name="Comma 13" xfId="142" xr:uid="{00000000-0005-0000-0000-0000DE220000}"/>
    <cellStyle name="Comma 13 10" xfId="23816" xr:uid="{00000000-0005-0000-0000-0000DF220000}"/>
    <cellStyle name="Comma 13 10 2" xfId="23817" xr:uid="{00000000-0005-0000-0000-0000E0220000}"/>
    <cellStyle name="Comma 13 10 2 2" xfId="23818" xr:uid="{00000000-0005-0000-0000-0000E1220000}"/>
    <cellStyle name="Comma 13 10 2 2 2" xfId="23819" xr:uid="{00000000-0005-0000-0000-0000E2220000}"/>
    <cellStyle name="Comma 13 10 2 3" xfId="23820" xr:uid="{00000000-0005-0000-0000-0000E3220000}"/>
    <cellStyle name="Comma 13 10 3" xfId="23821" xr:uid="{00000000-0005-0000-0000-0000E4220000}"/>
    <cellStyle name="Comma 13 10 3 2" xfId="23822" xr:uid="{00000000-0005-0000-0000-0000E5220000}"/>
    <cellStyle name="Comma 13 10 4" xfId="23823" xr:uid="{00000000-0005-0000-0000-0000E6220000}"/>
    <cellStyle name="Comma 13 11" xfId="23824" xr:uid="{00000000-0005-0000-0000-0000E7220000}"/>
    <cellStyle name="Comma 13 11 2" xfId="23825" xr:uid="{00000000-0005-0000-0000-0000E8220000}"/>
    <cellStyle name="Comma 13 11 2 2" xfId="23826" xr:uid="{00000000-0005-0000-0000-0000E9220000}"/>
    <cellStyle name="Comma 13 11 3" xfId="23827" xr:uid="{00000000-0005-0000-0000-0000EA220000}"/>
    <cellStyle name="Comma 13 12" xfId="23828" xr:uid="{00000000-0005-0000-0000-0000EB220000}"/>
    <cellStyle name="Comma 13 13" xfId="23829" xr:uid="{00000000-0005-0000-0000-0000EC220000}"/>
    <cellStyle name="Comma 13 13 2" xfId="23830" xr:uid="{00000000-0005-0000-0000-0000ED220000}"/>
    <cellStyle name="Comma 13 14" xfId="23831" xr:uid="{00000000-0005-0000-0000-0000EE220000}"/>
    <cellStyle name="Comma 13 2" xfId="143" xr:uid="{00000000-0005-0000-0000-0000EF220000}"/>
    <cellStyle name="Comma 13 2 10" xfId="23832" xr:uid="{00000000-0005-0000-0000-0000F0220000}"/>
    <cellStyle name="Comma 13 2 2" xfId="23833" xr:uid="{00000000-0005-0000-0000-0000F1220000}"/>
    <cellStyle name="Comma 13 2 2 2" xfId="23834" xr:uid="{00000000-0005-0000-0000-0000F2220000}"/>
    <cellStyle name="Comma 13 2 2 2 2" xfId="23835" xr:uid="{00000000-0005-0000-0000-0000F3220000}"/>
    <cellStyle name="Comma 13 2 2 2 2 2" xfId="23836" xr:uid="{00000000-0005-0000-0000-0000F4220000}"/>
    <cellStyle name="Comma 13 2 2 2 2 2 2" xfId="23837" xr:uid="{00000000-0005-0000-0000-0000F5220000}"/>
    <cellStyle name="Comma 13 2 2 2 2 2 2 2" xfId="23838" xr:uid="{00000000-0005-0000-0000-0000F6220000}"/>
    <cellStyle name="Comma 13 2 2 2 2 2 3" xfId="23839" xr:uid="{00000000-0005-0000-0000-0000F7220000}"/>
    <cellStyle name="Comma 13 2 2 2 2 3" xfId="23840" xr:uid="{00000000-0005-0000-0000-0000F8220000}"/>
    <cellStyle name="Comma 13 2 2 2 2 3 2" xfId="23841" xr:uid="{00000000-0005-0000-0000-0000F9220000}"/>
    <cellStyle name="Comma 13 2 2 2 2 4" xfId="23842" xr:uid="{00000000-0005-0000-0000-0000FA220000}"/>
    <cellStyle name="Comma 13 2 2 2 3" xfId="23843" xr:uid="{00000000-0005-0000-0000-0000FB220000}"/>
    <cellStyle name="Comma 13 2 2 2 3 2" xfId="23844" xr:uid="{00000000-0005-0000-0000-0000FC220000}"/>
    <cellStyle name="Comma 13 2 2 2 3 2 2" xfId="23845" xr:uid="{00000000-0005-0000-0000-0000FD220000}"/>
    <cellStyle name="Comma 13 2 2 2 3 2 2 2" xfId="23846" xr:uid="{00000000-0005-0000-0000-0000FE220000}"/>
    <cellStyle name="Comma 13 2 2 2 3 2 3" xfId="23847" xr:uid="{00000000-0005-0000-0000-0000FF220000}"/>
    <cellStyle name="Comma 13 2 2 2 3 3" xfId="23848" xr:uid="{00000000-0005-0000-0000-000000230000}"/>
    <cellStyle name="Comma 13 2 2 2 3 3 2" xfId="23849" xr:uid="{00000000-0005-0000-0000-000001230000}"/>
    <cellStyle name="Comma 13 2 2 2 3 4" xfId="23850" xr:uid="{00000000-0005-0000-0000-000002230000}"/>
    <cellStyle name="Comma 13 2 2 2 4" xfId="23851" xr:uid="{00000000-0005-0000-0000-000003230000}"/>
    <cellStyle name="Comma 13 2 2 2 4 2" xfId="23852" xr:uid="{00000000-0005-0000-0000-000004230000}"/>
    <cellStyle name="Comma 13 2 2 2 4 2 2" xfId="23853" xr:uid="{00000000-0005-0000-0000-000005230000}"/>
    <cellStyle name="Comma 13 2 2 2 4 3" xfId="23854" xr:uid="{00000000-0005-0000-0000-000006230000}"/>
    <cellStyle name="Comma 13 2 2 2 5" xfId="23855" xr:uid="{00000000-0005-0000-0000-000007230000}"/>
    <cellStyle name="Comma 13 2 2 2 5 2" xfId="23856" xr:uid="{00000000-0005-0000-0000-000008230000}"/>
    <cellStyle name="Comma 13 2 2 2 6" xfId="23857" xr:uid="{00000000-0005-0000-0000-000009230000}"/>
    <cellStyle name="Comma 13 2 2 3" xfId="23858" xr:uid="{00000000-0005-0000-0000-00000A230000}"/>
    <cellStyle name="Comma 13 2 2 3 2" xfId="23859" xr:uid="{00000000-0005-0000-0000-00000B230000}"/>
    <cellStyle name="Comma 13 2 2 3 2 2" xfId="23860" xr:uid="{00000000-0005-0000-0000-00000C230000}"/>
    <cellStyle name="Comma 13 2 2 3 2 2 2" xfId="23861" xr:uid="{00000000-0005-0000-0000-00000D230000}"/>
    <cellStyle name="Comma 13 2 2 3 2 2 2 2" xfId="23862" xr:uid="{00000000-0005-0000-0000-00000E230000}"/>
    <cellStyle name="Comma 13 2 2 3 2 2 3" xfId="23863" xr:uid="{00000000-0005-0000-0000-00000F230000}"/>
    <cellStyle name="Comma 13 2 2 3 2 3" xfId="23864" xr:uid="{00000000-0005-0000-0000-000010230000}"/>
    <cellStyle name="Comma 13 2 2 3 2 3 2" xfId="23865" xr:uid="{00000000-0005-0000-0000-000011230000}"/>
    <cellStyle name="Comma 13 2 2 3 2 4" xfId="23866" xr:uid="{00000000-0005-0000-0000-000012230000}"/>
    <cellStyle name="Comma 13 2 2 3 3" xfId="23867" xr:uid="{00000000-0005-0000-0000-000013230000}"/>
    <cellStyle name="Comma 13 2 2 3 3 2" xfId="23868" xr:uid="{00000000-0005-0000-0000-000014230000}"/>
    <cellStyle name="Comma 13 2 2 3 3 2 2" xfId="23869" xr:uid="{00000000-0005-0000-0000-000015230000}"/>
    <cellStyle name="Comma 13 2 2 3 3 3" xfId="23870" xr:uid="{00000000-0005-0000-0000-000016230000}"/>
    <cellStyle name="Comma 13 2 2 3 4" xfId="23871" xr:uid="{00000000-0005-0000-0000-000017230000}"/>
    <cellStyle name="Comma 13 2 2 3 4 2" xfId="23872" xr:uid="{00000000-0005-0000-0000-000018230000}"/>
    <cellStyle name="Comma 13 2 2 3 5" xfId="23873" xr:uid="{00000000-0005-0000-0000-000019230000}"/>
    <cellStyle name="Comma 13 2 2 4" xfId="23874" xr:uid="{00000000-0005-0000-0000-00001A230000}"/>
    <cellStyle name="Comma 13 2 2 4 2" xfId="23875" xr:uid="{00000000-0005-0000-0000-00001B230000}"/>
    <cellStyle name="Comma 13 2 2 4 2 2" xfId="23876" xr:uid="{00000000-0005-0000-0000-00001C230000}"/>
    <cellStyle name="Comma 13 2 2 4 2 2 2" xfId="23877" xr:uid="{00000000-0005-0000-0000-00001D230000}"/>
    <cellStyle name="Comma 13 2 2 4 2 3" xfId="23878" xr:uid="{00000000-0005-0000-0000-00001E230000}"/>
    <cellStyle name="Comma 13 2 2 4 3" xfId="23879" xr:uid="{00000000-0005-0000-0000-00001F230000}"/>
    <cellStyle name="Comma 13 2 2 4 3 2" xfId="23880" xr:uid="{00000000-0005-0000-0000-000020230000}"/>
    <cellStyle name="Comma 13 2 2 4 4" xfId="23881" xr:uid="{00000000-0005-0000-0000-000021230000}"/>
    <cellStyle name="Comma 13 2 2 5" xfId="23882" xr:uid="{00000000-0005-0000-0000-000022230000}"/>
    <cellStyle name="Comma 13 2 2 5 2" xfId="23883" xr:uid="{00000000-0005-0000-0000-000023230000}"/>
    <cellStyle name="Comma 13 2 2 5 2 2" xfId="23884" xr:uid="{00000000-0005-0000-0000-000024230000}"/>
    <cellStyle name="Comma 13 2 2 5 2 2 2" xfId="23885" xr:uid="{00000000-0005-0000-0000-000025230000}"/>
    <cellStyle name="Comma 13 2 2 5 2 3" xfId="23886" xr:uid="{00000000-0005-0000-0000-000026230000}"/>
    <cellStyle name="Comma 13 2 2 5 3" xfId="23887" xr:uid="{00000000-0005-0000-0000-000027230000}"/>
    <cellStyle name="Comma 13 2 2 5 3 2" xfId="23888" xr:uid="{00000000-0005-0000-0000-000028230000}"/>
    <cellStyle name="Comma 13 2 2 5 4" xfId="23889" xr:uid="{00000000-0005-0000-0000-000029230000}"/>
    <cellStyle name="Comma 13 2 2 6" xfId="23890" xr:uid="{00000000-0005-0000-0000-00002A230000}"/>
    <cellStyle name="Comma 13 2 2 6 2" xfId="23891" xr:uid="{00000000-0005-0000-0000-00002B230000}"/>
    <cellStyle name="Comma 13 2 2 6 2 2" xfId="23892" xr:uid="{00000000-0005-0000-0000-00002C230000}"/>
    <cellStyle name="Comma 13 2 2 6 3" xfId="23893" xr:uid="{00000000-0005-0000-0000-00002D230000}"/>
    <cellStyle name="Comma 13 2 2 7" xfId="23894" xr:uid="{00000000-0005-0000-0000-00002E230000}"/>
    <cellStyle name="Comma 13 2 2 7 2" xfId="23895" xr:uid="{00000000-0005-0000-0000-00002F230000}"/>
    <cellStyle name="Comma 13 2 2 8" xfId="23896" xr:uid="{00000000-0005-0000-0000-000030230000}"/>
    <cellStyle name="Comma 13 2 3" xfId="23897" xr:uid="{00000000-0005-0000-0000-000031230000}"/>
    <cellStyle name="Comma 13 2 3 2" xfId="23898" xr:uid="{00000000-0005-0000-0000-000032230000}"/>
    <cellStyle name="Comma 13 2 3 2 2" xfId="23899" xr:uid="{00000000-0005-0000-0000-000033230000}"/>
    <cellStyle name="Comma 13 2 3 2 2 2" xfId="23900" xr:uid="{00000000-0005-0000-0000-000034230000}"/>
    <cellStyle name="Comma 13 2 3 2 2 2 2" xfId="23901" xr:uid="{00000000-0005-0000-0000-000035230000}"/>
    <cellStyle name="Comma 13 2 3 2 2 3" xfId="23902" xr:uid="{00000000-0005-0000-0000-000036230000}"/>
    <cellStyle name="Comma 13 2 3 2 3" xfId="23903" xr:uid="{00000000-0005-0000-0000-000037230000}"/>
    <cellStyle name="Comma 13 2 3 2 3 2" xfId="23904" xr:uid="{00000000-0005-0000-0000-000038230000}"/>
    <cellStyle name="Comma 13 2 3 2 4" xfId="23905" xr:uid="{00000000-0005-0000-0000-000039230000}"/>
    <cellStyle name="Comma 13 2 3 3" xfId="23906" xr:uid="{00000000-0005-0000-0000-00003A230000}"/>
    <cellStyle name="Comma 13 2 3 3 2" xfId="23907" xr:uid="{00000000-0005-0000-0000-00003B230000}"/>
    <cellStyle name="Comma 13 2 3 3 2 2" xfId="23908" xr:uid="{00000000-0005-0000-0000-00003C230000}"/>
    <cellStyle name="Comma 13 2 3 3 2 2 2" xfId="23909" xr:uid="{00000000-0005-0000-0000-00003D230000}"/>
    <cellStyle name="Comma 13 2 3 3 2 3" xfId="23910" xr:uid="{00000000-0005-0000-0000-00003E230000}"/>
    <cellStyle name="Comma 13 2 3 3 3" xfId="23911" xr:uid="{00000000-0005-0000-0000-00003F230000}"/>
    <cellStyle name="Comma 13 2 3 3 3 2" xfId="23912" xr:uid="{00000000-0005-0000-0000-000040230000}"/>
    <cellStyle name="Comma 13 2 3 3 4" xfId="23913" xr:uid="{00000000-0005-0000-0000-000041230000}"/>
    <cellStyle name="Comma 13 2 3 4" xfId="23914" xr:uid="{00000000-0005-0000-0000-000042230000}"/>
    <cellStyle name="Comma 13 2 3 4 2" xfId="23915" xr:uid="{00000000-0005-0000-0000-000043230000}"/>
    <cellStyle name="Comma 13 2 3 4 2 2" xfId="23916" xr:uid="{00000000-0005-0000-0000-000044230000}"/>
    <cellStyle name="Comma 13 2 3 4 3" xfId="23917" xr:uid="{00000000-0005-0000-0000-000045230000}"/>
    <cellStyle name="Comma 13 2 3 5" xfId="23918" xr:uid="{00000000-0005-0000-0000-000046230000}"/>
    <cellStyle name="Comma 13 2 3 5 2" xfId="23919" xr:uid="{00000000-0005-0000-0000-000047230000}"/>
    <cellStyle name="Comma 13 2 3 6" xfId="23920" xr:uid="{00000000-0005-0000-0000-000048230000}"/>
    <cellStyle name="Comma 13 2 4" xfId="23921" xr:uid="{00000000-0005-0000-0000-000049230000}"/>
    <cellStyle name="Comma 13 2 4 2" xfId="23922" xr:uid="{00000000-0005-0000-0000-00004A230000}"/>
    <cellStyle name="Comma 13 2 4 2 2" xfId="23923" xr:uid="{00000000-0005-0000-0000-00004B230000}"/>
    <cellStyle name="Comma 13 2 4 2 2 2" xfId="23924" xr:uid="{00000000-0005-0000-0000-00004C230000}"/>
    <cellStyle name="Comma 13 2 4 2 2 2 2" xfId="23925" xr:uid="{00000000-0005-0000-0000-00004D230000}"/>
    <cellStyle name="Comma 13 2 4 2 2 3" xfId="23926" xr:uid="{00000000-0005-0000-0000-00004E230000}"/>
    <cellStyle name="Comma 13 2 4 2 3" xfId="23927" xr:uid="{00000000-0005-0000-0000-00004F230000}"/>
    <cellStyle name="Comma 13 2 4 2 3 2" xfId="23928" xr:uid="{00000000-0005-0000-0000-000050230000}"/>
    <cellStyle name="Comma 13 2 4 2 4" xfId="23929" xr:uid="{00000000-0005-0000-0000-000051230000}"/>
    <cellStyle name="Comma 13 2 4 3" xfId="23930" xr:uid="{00000000-0005-0000-0000-000052230000}"/>
    <cellStyle name="Comma 13 2 4 3 2" xfId="23931" xr:uid="{00000000-0005-0000-0000-000053230000}"/>
    <cellStyle name="Comma 13 2 4 3 2 2" xfId="23932" xr:uid="{00000000-0005-0000-0000-000054230000}"/>
    <cellStyle name="Comma 13 2 4 3 3" xfId="23933" xr:uid="{00000000-0005-0000-0000-000055230000}"/>
    <cellStyle name="Comma 13 2 4 4" xfId="23934" xr:uid="{00000000-0005-0000-0000-000056230000}"/>
    <cellStyle name="Comma 13 2 4 4 2" xfId="23935" xr:uid="{00000000-0005-0000-0000-000057230000}"/>
    <cellStyle name="Comma 13 2 4 5" xfId="23936" xr:uid="{00000000-0005-0000-0000-000058230000}"/>
    <cellStyle name="Comma 13 2 5" xfId="23937" xr:uid="{00000000-0005-0000-0000-000059230000}"/>
    <cellStyle name="Comma 13 2 5 2" xfId="23938" xr:uid="{00000000-0005-0000-0000-00005A230000}"/>
    <cellStyle name="Comma 13 2 5 2 2" xfId="23939" xr:uid="{00000000-0005-0000-0000-00005B230000}"/>
    <cellStyle name="Comma 13 2 5 2 2 2" xfId="23940" xr:uid="{00000000-0005-0000-0000-00005C230000}"/>
    <cellStyle name="Comma 13 2 5 2 3" xfId="23941" xr:uid="{00000000-0005-0000-0000-00005D230000}"/>
    <cellStyle name="Comma 13 2 5 3" xfId="23942" xr:uid="{00000000-0005-0000-0000-00005E230000}"/>
    <cellStyle name="Comma 13 2 5 3 2" xfId="23943" xr:uid="{00000000-0005-0000-0000-00005F230000}"/>
    <cellStyle name="Comma 13 2 5 4" xfId="23944" xr:uid="{00000000-0005-0000-0000-000060230000}"/>
    <cellStyle name="Comma 13 2 6" xfId="23945" xr:uid="{00000000-0005-0000-0000-000061230000}"/>
    <cellStyle name="Comma 13 2 6 2" xfId="23946" xr:uid="{00000000-0005-0000-0000-000062230000}"/>
    <cellStyle name="Comma 13 2 6 2 2" xfId="23947" xr:uid="{00000000-0005-0000-0000-000063230000}"/>
    <cellStyle name="Comma 13 2 6 2 2 2" xfId="23948" xr:uid="{00000000-0005-0000-0000-000064230000}"/>
    <cellStyle name="Comma 13 2 6 2 3" xfId="23949" xr:uid="{00000000-0005-0000-0000-000065230000}"/>
    <cellStyle name="Comma 13 2 6 3" xfId="23950" xr:uid="{00000000-0005-0000-0000-000066230000}"/>
    <cellStyle name="Comma 13 2 6 3 2" xfId="23951" xr:uid="{00000000-0005-0000-0000-000067230000}"/>
    <cellStyle name="Comma 13 2 6 4" xfId="23952" xr:uid="{00000000-0005-0000-0000-000068230000}"/>
    <cellStyle name="Comma 13 2 7" xfId="23953" xr:uid="{00000000-0005-0000-0000-000069230000}"/>
    <cellStyle name="Comma 13 2 7 2" xfId="23954" xr:uid="{00000000-0005-0000-0000-00006A230000}"/>
    <cellStyle name="Comma 13 2 7 2 2" xfId="23955" xr:uid="{00000000-0005-0000-0000-00006B230000}"/>
    <cellStyle name="Comma 13 2 7 2 2 2" xfId="23956" xr:uid="{00000000-0005-0000-0000-00006C230000}"/>
    <cellStyle name="Comma 13 2 7 2 3" xfId="23957" xr:uid="{00000000-0005-0000-0000-00006D230000}"/>
    <cellStyle name="Comma 13 2 7 3" xfId="23958" xr:uid="{00000000-0005-0000-0000-00006E230000}"/>
    <cellStyle name="Comma 13 2 7 3 2" xfId="23959" xr:uid="{00000000-0005-0000-0000-00006F230000}"/>
    <cellStyle name="Comma 13 2 7 4" xfId="23960" xr:uid="{00000000-0005-0000-0000-000070230000}"/>
    <cellStyle name="Comma 13 2 8" xfId="23961" xr:uid="{00000000-0005-0000-0000-000071230000}"/>
    <cellStyle name="Comma 13 2 8 2" xfId="23962" xr:uid="{00000000-0005-0000-0000-000072230000}"/>
    <cellStyle name="Comma 13 2 8 2 2" xfId="23963" xr:uid="{00000000-0005-0000-0000-000073230000}"/>
    <cellStyle name="Comma 13 2 8 3" xfId="23964" xr:uid="{00000000-0005-0000-0000-000074230000}"/>
    <cellStyle name="Comma 13 2 9" xfId="23965" xr:uid="{00000000-0005-0000-0000-000075230000}"/>
    <cellStyle name="Comma 13 2 9 2" xfId="23966" xr:uid="{00000000-0005-0000-0000-000076230000}"/>
    <cellStyle name="Comma 13 3" xfId="23967" xr:uid="{00000000-0005-0000-0000-000077230000}"/>
    <cellStyle name="Comma 13 3 2" xfId="23968" xr:uid="{00000000-0005-0000-0000-000078230000}"/>
    <cellStyle name="Comma 13 3 2 2" xfId="23969" xr:uid="{00000000-0005-0000-0000-000079230000}"/>
    <cellStyle name="Comma 13 3 2 2 2" xfId="23970" xr:uid="{00000000-0005-0000-0000-00007A230000}"/>
    <cellStyle name="Comma 13 3 2 2 2 2" xfId="23971" xr:uid="{00000000-0005-0000-0000-00007B230000}"/>
    <cellStyle name="Comma 13 3 2 2 2 2 2" xfId="23972" xr:uid="{00000000-0005-0000-0000-00007C230000}"/>
    <cellStyle name="Comma 13 3 2 2 2 3" xfId="23973" xr:uid="{00000000-0005-0000-0000-00007D230000}"/>
    <cellStyle name="Comma 13 3 2 2 3" xfId="23974" xr:uid="{00000000-0005-0000-0000-00007E230000}"/>
    <cellStyle name="Comma 13 3 2 2 3 2" xfId="23975" xr:uid="{00000000-0005-0000-0000-00007F230000}"/>
    <cellStyle name="Comma 13 3 2 2 4" xfId="23976" xr:uid="{00000000-0005-0000-0000-000080230000}"/>
    <cellStyle name="Comma 13 3 2 3" xfId="23977" xr:uid="{00000000-0005-0000-0000-000081230000}"/>
    <cellStyle name="Comma 13 3 2 3 2" xfId="23978" xr:uid="{00000000-0005-0000-0000-000082230000}"/>
    <cellStyle name="Comma 13 3 2 3 2 2" xfId="23979" xr:uid="{00000000-0005-0000-0000-000083230000}"/>
    <cellStyle name="Comma 13 3 2 3 2 2 2" xfId="23980" xr:uid="{00000000-0005-0000-0000-000084230000}"/>
    <cellStyle name="Comma 13 3 2 3 2 3" xfId="23981" xr:uid="{00000000-0005-0000-0000-000085230000}"/>
    <cellStyle name="Comma 13 3 2 3 3" xfId="23982" xr:uid="{00000000-0005-0000-0000-000086230000}"/>
    <cellStyle name="Comma 13 3 2 3 3 2" xfId="23983" xr:uid="{00000000-0005-0000-0000-000087230000}"/>
    <cellStyle name="Comma 13 3 2 3 4" xfId="23984" xr:uid="{00000000-0005-0000-0000-000088230000}"/>
    <cellStyle name="Comma 13 3 2 4" xfId="23985" xr:uid="{00000000-0005-0000-0000-000089230000}"/>
    <cellStyle name="Comma 13 3 2 4 2" xfId="23986" xr:uid="{00000000-0005-0000-0000-00008A230000}"/>
    <cellStyle name="Comma 13 3 2 4 2 2" xfId="23987" xr:uid="{00000000-0005-0000-0000-00008B230000}"/>
    <cellStyle name="Comma 13 3 2 4 3" xfId="23988" xr:uid="{00000000-0005-0000-0000-00008C230000}"/>
    <cellStyle name="Comma 13 3 2 5" xfId="23989" xr:uid="{00000000-0005-0000-0000-00008D230000}"/>
    <cellStyle name="Comma 13 3 2 5 2" xfId="23990" xr:uid="{00000000-0005-0000-0000-00008E230000}"/>
    <cellStyle name="Comma 13 3 2 6" xfId="23991" xr:uid="{00000000-0005-0000-0000-00008F230000}"/>
    <cellStyle name="Comma 13 3 3" xfId="23992" xr:uid="{00000000-0005-0000-0000-000090230000}"/>
    <cellStyle name="Comma 13 3 3 2" xfId="23993" xr:uid="{00000000-0005-0000-0000-000091230000}"/>
    <cellStyle name="Comma 13 3 3 2 2" xfId="23994" xr:uid="{00000000-0005-0000-0000-000092230000}"/>
    <cellStyle name="Comma 13 3 3 2 2 2" xfId="23995" xr:uid="{00000000-0005-0000-0000-000093230000}"/>
    <cellStyle name="Comma 13 3 3 2 2 2 2" xfId="23996" xr:uid="{00000000-0005-0000-0000-000094230000}"/>
    <cellStyle name="Comma 13 3 3 2 2 3" xfId="23997" xr:uid="{00000000-0005-0000-0000-000095230000}"/>
    <cellStyle name="Comma 13 3 3 2 3" xfId="23998" xr:uid="{00000000-0005-0000-0000-000096230000}"/>
    <cellStyle name="Comma 13 3 3 2 3 2" xfId="23999" xr:uid="{00000000-0005-0000-0000-000097230000}"/>
    <cellStyle name="Comma 13 3 3 2 4" xfId="24000" xr:uid="{00000000-0005-0000-0000-000098230000}"/>
    <cellStyle name="Comma 13 3 3 3" xfId="24001" xr:uid="{00000000-0005-0000-0000-000099230000}"/>
    <cellStyle name="Comma 13 3 3 3 2" xfId="24002" xr:uid="{00000000-0005-0000-0000-00009A230000}"/>
    <cellStyle name="Comma 13 3 3 3 2 2" xfId="24003" xr:uid="{00000000-0005-0000-0000-00009B230000}"/>
    <cellStyle name="Comma 13 3 3 3 3" xfId="24004" xr:uid="{00000000-0005-0000-0000-00009C230000}"/>
    <cellStyle name="Comma 13 3 3 4" xfId="24005" xr:uid="{00000000-0005-0000-0000-00009D230000}"/>
    <cellStyle name="Comma 13 3 3 4 2" xfId="24006" xr:uid="{00000000-0005-0000-0000-00009E230000}"/>
    <cellStyle name="Comma 13 3 3 5" xfId="24007" xr:uid="{00000000-0005-0000-0000-00009F230000}"/>
    <cellStyle name="Comma 13 3 4" xfId="24008" xr:uid="{00000000-0005-0000-0000-0000A0230000}"/>
    <cellStyle name="Comma 13 3 4 2" xfId="24009" xr:uid="{00000000-0005-0000-0000-0000A1230000}"/>
    <cellStyle name="Comma 13 3 4 2 2" xfId="24010" xr:uid="{00000000-0005-0000-0000-0000A2230000}"/>
    <cellStyle name="Comma 13 3 4 2 2 2" xfId="24011" xr:uid="{00000000-0005-0000-0000-0000A3230000}"/>
    <cellStyle name="Comma 13 3 4 2 3" xfId="24012" xr:uid="{00000000-0005-0000-0000-0000A4230000}"/>
    <cellStyle name="Comma 13 3 4 3" xfId="24013" xr:uid="{00000000-0005-0000-0000-0000A5230000}"/>
    <cellStyle name="Comma 13 3 4 3 2" xfId="24014" xr:uid="{00000000-0005-0000-0000-0000A6230000}"/>
    <cellStyle name="Comma 13 3 4 4" xfId="24015" xr:uid="{00000000-0005-0000-0000-0000A7230000}"/>
    <cellStyle name="Comma 13 3 5" xfId="24016" xr:uid="{00000000-0005-0000-0000-0000A8230000}"/>
    <cellStyle name="Comma 13 3 5 2" xfId="24017" xr:uid="{00000000-0005-0000-0000-0000A9230000}"/>
    <cellStyle name="Comma 13 3 5 2 2" xfId="24018" xr:uid="{00000000-0005-0000-0000-0000AA230000}"/>
    <cellStyle name="Comma 13 3 5 2 2 2" xfId="24019" xr:uid="{00000000-0005-0000-0000-0000AB230000}"/>
    <cellStyle name="Comma 13 3 5 2 3" xfId="24020" xr:uid="{00000000-0005-0000-0000-0000AC230000}"/>
    <cellStyle name="Comma 13 3 5 3" xfId="24021" xr:uid="{00000000-0005-0000-0000-0000AD230000}"/>
    <cellStyle name="Comma 13 3 5 3 2" xfId="24022" xr:uid="{00000000-0005-0000-0000-0000AE230000}"/>
    <cellStyle name="Comma 13 3 5 4" xfId="24023" xr:uid="{00000000-0005-0000-0000-0000AF230000}"/>
    <cellStyle name="Comma 13 3 6" xfId="24024" xr:uid="{00000000-0005-0000-0000-0000B0230000}"/>
    <cellStyle name="Comma 13 3 6 2" xfId="24025" xr:uid="{00000000-0005-0000-0000-0000B1230000}"/>
    <cellStyle name="Comma 13 3 6 2 2" xfId="24026" xr:uid="{00000000-0005-0000-0000-0000B2230000}"/>
    <cellStyle name="Comma 13 3 6 3" xfId="24027" xr:uid="{00000000-0005-0000-0000-0000B3230000}"/>
    <cellStyle name="Comma 13 3 7" xfId="24028" xr:uid="{00000000-0005-0000-0000-0000B4230000}"/>
    <cellStyle name="Comma 13 3 7 2" xfId="24029" xr:uid="{00000000-0005-0000-0000-0000B5230000}"/>
    <cellStyle name="Comma 13 3 8" xfId="24030" xr:uid="{00000000-0005-0000-0000-0000B6230000}"/>
    <cellStyle name="Comma 13 4" xfId="24031" xr:uid="{00000000-0005-0000-0000-0000B7230000}"/>
    <cellStyle name="Comma 13 4 2" xfId="24032" xr:uid="{00000000-0005-0000-0000-0000B8230000}"/>
    <cellStyle name="Comma 13 4 2 2" xfId="24033" xr:uid="{00000000-0005-0000-0000-0000B9230000}"/>
    <cellStyle name="Comma 13 4 2 2 2" xfId="24034" xr:uid="{00000000-0005-0000-0000-0000BA230000}"/>
    <cellStyle name="Comma 13 4 2 2 2 2" xfId="24035" xr:uid="{00000000-0005-0000-0000-0000BB230000}"/>
    <cellStyle name="Comma 13 4 2 2 2 2 2" xfId="24036" xr:uid="{00000000-0005-0000-0000-0000BC230000}"/>
    <cellStyle name="Comma 13 4 2 2 2 3" xfId="24037" xr:uid="{00000000-0005-0000-0000-0000BD230000}"/>
    <cellStyle name="Comma 13 4 2 2 3" xfId="24038" xr:uid="{00000000-0005-0000-0000-0000BE230000}"/>
    <cellStyle name="Comma 13 4 2 2 3 2" xfId="24039" xr:uid="{00000000-0005-0000-0000-0000BF230000}"/>
    <cellStyle name="Comma 13 4 2 2 4" xfId="24040" xr:uid="{00000000-0005-0000-0000-0000C0230000}"/>
    <cellStyle name="Comma 13 4 2 3" xfId="24041" xr:uid="{00000000-0005-0000-0000-0000C1230000}"/>
    <cellStyle name="Comma 13 4 2 3 2" xfId="24042" xr:uid="{00000000-0005-0000-0000-0000C2230000}"/>
    <cellStyle name="Comma 13 4 2 3 2 2" xfId="24043" xr:uid="{00000000-0005-0000-0000-0000C3230000}"/>
    <cellStyle name="Comma 13 4 2 3 2 2 2" xfId="24044" xr:uid="{00000000-0005-0000-0000-0000C4230000}"/>
    <cellStyle name="Comma 13 4 2 3 2 3" xfId="24045" xr:uid="{00000000-0005-0000-0000-0000C5230000}"/>
    <cellStyle name="Comma 13 4 2 3 3" xfId="24046" xr:uid="{00000000-0005-0000-0000-0000C6230000}"/>
    <cellStyle name="Comma 13 4 2 3 3 2" xfId="24047" xr:uid="{00000000-0005-0000-0000-0000C7230000}"/>
    <cellStyle name="Comma 13 4 2 3 4" xfId="24048" xr:uid="{00000000-0005-0000-0000-0000C8230000}"/>
    <cellStyle name="Comma 13 4 2 4" xfId="24049" xr:uid="{00000000-0005-0000-0000-0000C9230000}"/>
    <cellStyle name="Comma 13 4 2 4 2" xfId="24050" xr:uid="{00000000-0005-0000-0000-0000CA230000}"/>
    <cellStyle name="Comma 13 4 2 4 2 2" xfId="24051" xr:uid="{00000000-0005-0000-0000-0000CB230000}"/>
    <cellStyle name="Comma 13 4 2 4 3" xfId="24052" xr:uid="{00000000-0005-0000-0000-0000CC230000}"/>
    <cellStyle name="Comma 13 4 2 5" xfId="24053" xr:uid="{00000000-0005-0000-0000-0000CD230000}"/>
    <cellStyle name="Comma 13 4 2 5 2" xfId="24054" xr:uid="{00000000-0005-0000-0000-0000CE230000}"/>
    <cellStyle name="Comma 13 4 2 6" xfId="24055" xr:uid="{00000000-0005-0000-0000-0000CF230000}"/>
    <cellStyle name="Comma 13 4 3" xfId="24056" xr:uid="{00000000-0005-0000-0000-0000D0230000}"/>
    <cellStyle name="Comma 13 4 3 2" xfId="24057" xr:uid="{00000000-0005-0000-0000-0000D1230000}"/>
    <cellStyle name="Comma 13 4 3 2 2" xfId="24058" xr:uid="{00000000-0005-0000-0000-0000D2230000}"/>
    <cellStyle name="Comma 13 4 3 2 2 2" xfId="24059" xr:uid="{00000000-0005-0000-0000-0000D3230000}"/>
    <cellStyle name="Comma 13 4 3 2 2 2 2" xfId="24060" xr:uid="{00000000-0005-0000-0000-0000D4230000}"/>
    <cellStyle name="Comma 13 4 3 2 2 3" xfId="24061" xr:uid="{00000000-0005-0000-0000-0000D5230000}"/>
    <cellStyle name="Comma 13 4 3 2 3" xfId="24062" xr:uid="{00000000-0005-0000-0000-0000D6230000}"/>
    <cellStyle name="Comma 13 4 3 2 3 2" xfId="24063" xr:uid="{00000000-0005-0000-0000-0000D7230000}"/>
    <cellStyle name="Comma 13 4 3 2 4" xfId="24064" xr:uid="{00000000-0005-0000-0000-0000D8230000}"/>
    <cellStyle name="Comma 13 4 3 3" xfId="24065" xr:uid="{00000000-0005-0000-0000-0000D9230000}"/>
    <cellStyle name="Comma 13 4 3 3 2" xfId="24066" xr:uid="{00000000-0005-0000-0000-0000DA230000}"/>
    <cellStyle name="Comma 13 4 3 3 2 2" xfId="24067" xr:uid="{00000000-0005-0000-0000-0000DB230000}"/>
    <cellStyle name="Comma 13 4 3 3 3" xfId="24068" xr:uid="{00000000-0005-0000-0000-0000DC230000}"/>
    <cellStyle name="Comma 13 4 3 4" xfId="24069" xr:uid="{00000000-0005-0000-0000-0000DD230000}"/>
    <cellStyle name="Comma 13 4 3 4 2" xfId="24070" xr:uid="{00000000-0005-0000-0000-0000DE230000}"/>
    <cellStyle name="Comma 13 4 3 5" xfId="24071" xr:uid="{00000000-0005-0000-0000-0000DF230000}"/>
    <cellStyle name="Comma 13 4 4" xfId="24072" xr:uid="{00000000-0005-0000-0000-0000E0230000}"/>
    <cellStyle name="Comma 13 4 4 2" xfId="24073" xr:uid="{00000000-0005-0000-0000-0000E1230000}"/>
    <cellStyle name="Comma 13 4 4 2 2" xfId="24074" xr:uid="{00000000-0005-0000-0000-0000E2230000}"/>
    <cellStyle name="Comma 13 4 4 2 2 2" xfId="24075" xr:uid="{00000000-0005-0000-0000-0000E3230000}"/>
    <cellStyle name="Comma 13 4 4 2 3" xfId="24076" xr:uid="{00000000-0005-0000-0000-0000E4230000}"/>
    <cellStyle name="Comma 13 4 4 3" xfId="24077" xr:uid="{00000000-0005-0000-0000-0000E5230000}"/>
    <cellStyle name="Comma 13 4 4 3 2" xfId="24078" xr:uid="{00000000-0005-0000-0000-0000E6230000}"/>
    <cellStyle name="Comma 13 4 4 4" xfId="24079" xr:uid="{00000000-0005-0000-0000-0000E7230000}"/>
    <cellStyle name="Comma 13 4 5" xfId="24080" xr:uid="{00000000-0005-0000-0000-0000E8230000}"/>
    <cellStyle name="Comma 13 4 5 2" xfId="24081" xr:uid="{00000000-0005-0000-0000-0000E9230000}"/>
    <cellStyle name="Comma 13 4 5 2 2" xfId="24082" xr:uid="{00000000-0005-0000-0000-0000EA230000}"/>
    <cellStyle name="Comma 13 4 5 2 2 2" xfId="24083" xr:uid="{00000000-0005-0000-0000-0000EB230000}"/>
    <cellStyle name="Comma 13 4 5 2 3" xfId="24084" xr:uid="{00000000-0005-0000-0000-0000EC230000}"/>
    <cellStyle name="Comma 13 4 5 3" xfId="24085" xr:uid="{00000000-0005-0000-0000-0000ED230000}"/>
    <cellStyle name="Comma 13 4 5 3 2" xfId="24086" xr:uid="{00000000-0005-0000-0000-0000EE230000}"/>
    <cellStyle name="Comma 13 4 5 4" xfId="24087" xr:uid="{00000000-0005-0000-0000-0000EF230000}"/>
    <cellStyle name="Comma 13 4 6" xfId="24088" xr:uid="{00000000-0005-0000-0000-0000F0230000}"/>
    <cellStyle name="Comma 13 4 6 2" xfId="24089" xr:uid="{00000000-0005-0000-0000-0000F1230000}"/>
    <cellStyle name="Comma 13 4 6 2 2" xfId="24090" xr:uid="{00000000-0005-0000-0000-0000F2230000}"/>
    <cellStyle name="Comma 13 4 6 3" xfId="24091" xr:uid="{00000000-0005-0000-0000-0000F3230000}"/>
    <cellStyle name="Comma 13 4 7" xfId="24092" xr:uid="{00000000-0005-0000-0000-0000F4230000}"/>
    <cellStyle name="Comma 13 4 7 2" xfId="24093" xr:uid="{00000000-0005-0000-0000-0000F5230000}"/>
    <cellStyle name="Comma 13 4 8" xfId="24094" xr:uid="{00000000-0005-0000-0000-0000F6230000}"/>
    <cellStyle name="Comma 13 5" xfId="24095" xr:uid="{00000000-0005-0000-0000-0000F7230000}"/>
    <cellStyle name="Comma 13 5 2" xfId="24096" xr:uid="{00000000-0005-0000-0000-0000F8230000}"/>
    <cellStyle name="Comma 13 5 2 2" xfId="24097" xr:uid="{00000000-0005-0000-0000-0000F9230000}"/>
    <cellStyle name="Comma 13 5 2 2 2" xfId="24098" xr:uid="{00000000-0005-0000-0000-0000FA230000}"/>
    <cellStyle name="Comma 13 5 2 2 2 2" xfId="24099" xr:uid="{00000000-0005-0000-0000-0000FB230000}"/>
    <cellStyle name="Comma 13 5 2 2 3" xfId="24100" xr:uid="{00000000-0005-0000-0000-0000FC230000}"/>
    <cellStyle name="Comma 13 5 2 3" xfId="24101" xr:uid="{00000000-0005-0000-0000-0000FD230000}"/>
    <cellStyle name="Comma 13 5 2 3 2" xfId="24102" xr:uid="{00000000-0005-0000-0000-0000FE230000}"/>
    <cellStyle name="Comma 13 5 2 4" xfId="24103" xr:uid="{00000000-0005-0000-0000-0000FF230000}"/>
    <cellStyle name="Comma 13 5 3" xfId="24104" xr:uid="{00000000-0005-0000-0000-000000240000}"/>
    <cellStyle name="Comma 13 5 3 2" xfId="24105" xr:uid="{00000000-0005-0000-0000-000001240000}"/>
    <cellStyle name="Comma 13 5 3 2 2" xfId="24106" xr:uid="{00000000-0005-0000-0000-000002240000}"/>
    <cellStyle name="Comma 13 5 3 2 2 2" xfId="24107" xr:uid="{00000000-0005-0000-0000-000003240000}"/>
    <cellStyle name="Comma 13 5 3 2 3" xfId="24108" xr:uid="{00000000-0005-0000-0000-000004240000}"/>
    <cellStyle name="Comma 13 5 3 3" xfId="24109" xr:uid="{00000000-0005-0000-0000-000005240000}"/>
    <cellStyle name="Comma 13 5 3 3 2" xfId="24110" xr:uid="{00000000-0005-0000-0000-000006240000}"/>
    <cellStyle name="Comma 13 5 3 4" xfId="24111" xr:uid="{00000000-0005-0000-0000-000007240000}"/>
    <cellStyle name="Comma 13 5 4" xfId="24112" xr:uid="{00000000-0005-0000-0000-000008240000}"/>
    <cellStyle name="Comma 13 5 4 2" xfId="24113" xr:uid="{00000000-0005-0000-0000-000009240000}"/>
    <cellStyle name="Comma 13 5 4 2 2" xfId="24114" xr:uid="{00000000-0005-0000-0000-00000A240000}"/>
    <cellStyle name="Comma 13 5 4 3" xfId="24115" xr:uid="{00000000-0005-0000-0000-00000B240000}"/>
    <cellStyle name="Comma 13 5 5" xfId="24116" xr:uid="{00000000-0005-0000-0000-00000C240000}"/>
    <cellStyle name="Comma 13 5 5 2" xfId="24117" xr:uid="{00000000-0005-0000-0000-00000D240000}"/>
    <cellStyle name="Comma 13 5 6" xfId="24118" xr:uid="{00000000-0005-0000-0000-00000E240000}"/>
    <cellStyle name="Comma 13 6" xfId="24119" xr:uid="{00000000-0005-0000-0000-00000F240000}"/>
    <cellStyle name="Comma 13 6 2" xfId="24120" xr:uid="{00000000-0005-0000-0000-000010240000}"/>
    <cellStyle name="Comma 13 6 2 2" xfId="24121" xr:uid="{00000000-0005-0000-0000-000011240000}"/>
    <cellStyle name="Comma 13 6 2 2 2" xfId="24122" xr:uid="{00000000-0005-0000-0000-000012240000}"/>
    <cellStyle name="Comma 13 6 2 2 2 2" xfId="24123" xr:uid="{00000000-0005-0000-0000-000013240000}"/>
    <cellStyle name="Comma 13 6 2 2 3" xfId="24124" xr:uid="{00000000-0005-0000-0000-000014240000}"/>
    <cellStyle name="Comma 13 6 2 3" xfId="24125" xr:uid="{00000000-0005-0000-0000-000015240000}"/>
    <cellStyle name="Comma 13 6 2 3 2" xfId="24126" xr:uid="{00000000-0005-0000-0000-000016240000}"/>
    <cellStyle name="Comma 13 6 2 4" xfId="24127" xr:uid="{00000000-0005-0000-0000-000017240000}"/>
    <cellStyle name="Comma 13 6 3" xfId="24128" xr:uid="{00000000-0005-0000-0000-000018240000}"/>
    <cellStyle name="Comma 13 6 3 2" xfId="24129" xr:uid="{00000000-0005-0000-0000-000019240000}"/>
    <cellStyle name="Comma 13 6 3 2 2" xfId="24130" xr:uid="{00000000-0005-0000-0000-00001A240000}"/>
    <cellStyle name="Comma 13 6 3 3" xfId="24131" xr:uid="{00000000-0005-0000-0000-00001B240000}"/>
    <cellStyle name="Comma 13 6 4" xfId="24132" xr:uid="{00000000-0005-0000-0000-00001C240000}"/>
    <cellStyle name="Comma 13 6 4 2" xfId="24133" xr:uid="{00000000-0005-0000-0000-00001D240000}"/>
    <cellStyle name="Comma 13 6 5" xfId="24134" xr:uid="{00000000-0005-0000-0000-00001E240000}"/>
    <cellStyle name="Comma 13 7" xfId="24135" xr:uid="{00000000-0005-0000-0000-00001F240000}"/>
    <cellStyle name="Comma 13 7 2" xfId="24136" xr:uid="{00000000-0005-0000-0000-000020240000}"/>
    <cellStyle name="Comma 13 7 2 2" xfId="24137" xr:uid="{00000000-0005-0000-0000-000021240000}"/>
    <cellStyle name="Comma 13 7 2 2 2" xfId="24138" xr:uid="{00000000-0005-0000-0000-000022240000}"/>
    <cellStyle name="Comma 13 7 2 3" xfId="24139" xr:uid="{00000000-0005-0000-0000-000023240000}"/>
    <cellStyle name="Comma 13 7 3" xfId="24140" xr:uid="{00000000-0005-0000-0000-000024240000}"/>
    <cellStyle name="Comma 13 7 3 2" xfId="24141" xr:uid="{00000000-0005-0000-0000-000025240000}"/>
    <cellStyle name="Comma 13 7 4" xfId="24142" xr:uid="{00000000-0005-0000-0000-000026240000}"/>
    <cellStyle name="Comma 13 8" xfId="24143" xr:uid="{00000000-0005-0000-0000-000027240000}"/>
    <cellStyle name="Comma 13 8 2" xfId="24144" xr:uid="{00000000-0005-0000-0000-000028240000}"/>
    <cellStyle name="Comma 13 8 2 2" xfId="24145" xr:uid="{00000000-0005-0000-0000-000029240000}"/>
    <cellStyle name="Comma 13 8 2 2 2" xfId="24146" xr:uid="{00000000-0005-0000-0000-00002A240000}"/>
    <cellStyle name="Comma 13 8 2 3" xfId="24147" xr:uid="{00000000-0005-0000-0000-00002B240000}"/>
    <cellStyle name="Comma 13 8 3" xfId="24148" xr:uid="{00000000-0005-0000-0000-00002C240000}"/>
    <cellStyle name="Comma 13 8 3 2" xfId="24149" xr:uid="{00000000-0005-0000-0000-00002D240000}"/>
    <cellStyle name="Comma 13 8 4" xfId="24150" xr:uid="{00000000-0005-0000-0000-00002E240000}"/>
    <cellStyle name="Comma 13 9" xfId="24151" xr:uid="{00000000-0005-0000-0000-00002F240000}"/>
    <cellStyle name="Comma 13 9 2" xfId="24152" xr:uid="{00000000-0005-0000-0000-000030240000}"/>
    <cellStyle name="Comma 13 9 2 2" xfId="24153" xr:uid="{00000000-0005-0000-0000-000031240000}"/>
    <cellStyle name="Comma 13 9 2 2 2" xfId="24154" xr:uid="{00000000-0005-0000-0000-000032240000}"/>
    <cellStyle name="Comma 13 9 2 3" xfId="24155" xr:uid="{00000000-0005-0000-0000-000033240000}"/>
    <cellStyle name="Comma 13 9 3" xfId="24156" xr:uid="{00000000-0005-0000-0000-000034240000}"/>
    <cellStyle name="Comma 13 9 3 2" xfId="24157" xr:uid="{00000000-0005-0000-0000-000035240000}"/>
    <cellStyle name="Comma 13 9 4" xfId="24158" xr:uid="{00000000-0005-0000-0000-000036240000}"/>
    <cellStyle name="Comma 130" xfId="22694" xr:uid="{00000000-0005-0000-0000-000037240000}"/>
    <cellStyle name="Comma 130 2" xfId="27968" xr:uid="{B23C60DB-20F0-4BCE-A52B-C81839099B04}"/>
    <cellStyle name="Comma 131" xfId="22752" xr:uid="{00000000-0005-0000-0000-000038240000}"/>
    <cellStyle name="Comma 131 2" xfId="22794" xr:uid="{00000000-0005-0000-0000-000039240000}"/>
    <cellStyle name="Comma 131 3" xfId="27942" xr:uid="{F2E37613-57C7-4A2D-B19F-A9A54B95252C}"/>
    <cellStyle name="Comma 131 4" xfId="27956" xr:uid="{7C6C5915-47BD-4E2E-8579-A878E3A5164A}"/>
    <cellStyle name="Comma 131 5" xfId="27965" xr:uid="{A6AF0AC8-694F-4F82-A383-EB97DDE0BF08}"/>
    <cellStyle name="Comma 132" xfId="22755" xr:uid="{00000000-0005-0000-0000-00003A240000}"/>
    <cellStyle name="Comma 133" xfId="22766" xr:uid="{00000000-0005-0000-0000-00003B240000}"/>
    <cellStyle name="Comma 134" xfId="22773" xr:uid="{00000000-0005-0000-0000-00003C240000}"/>
    <cellStyle name="Comma 135" xfId="22796" xr:uid="{00000000-0005-0000-0000-00003D240000}"/>
    <cellStyle name="Comma 136" xfId="22778" xr:uid="{00000000-0005-0000-0000-00003E240000}"/>
    <cellStyle name="Comma 137" xfId="22800" xr:uid="{00000000-0005-0000-0000-00003F240000}"/>
    <cellStyle name="Comma 138" xfId="22781" xr:uid="{00000000-0005-0000-0000-000040240000}"/>
    <cellStyle name="Comma 139" xfId="22811" xr:uid="{00000000-0005-0000-0000-000041240000}"/>
    <cellStyle name="Comma 14" xfId="144" xr:uid="{00000000-0005-0000-0000-000042240000}"/>
    <cellStyle name="Comma 14 2" xfId="145" xr:uid="{00000000-0005-0000-0000-000043240000}"/>
    <cellStyle name="Comma 14 2 2" xfId="24159" xr:uid="{00000000-0005-0000-0000-000044240000}"/>
    <cellStyle name="Comma 14 2 2 2" xfId="24160" xr:uid="{00000000-0005-0000-0000-000045240000}"/>
    <cellStyle name="Comma 14 2 2 2 2" xfId="24161" xr:uid="{00000000-0005-0000-0000-000046240000}"/>
    <cellStyle name="Comma 14 2 2 2 2 2" xfId="24162" xr:uid="{00000000-0005-0000-0000-000047240000}"/>
    <cellStyle name="Comma 14 2 2 2 3" xfId="24163" xr:uid="{00000000-0005-0000-0000-000048240000}"/>
    <cellStyle name="Comma 14 2 2 3" xfId="24164" xr:uid="{00000000-0005-0000-0000-000049240000}"/>
    <cellStyle name="Comma 14 2 2 3 2" xfId="24165" xr:uid="{00000000-0005-0000-0000-00004A240000}"/>
    <cellStyle name="Comma 14 2 2 4" xfId="24166" xr:uid="{00000000-0005-0000-0000-00004B240000}"/>
    <cellStyle name="Comma 14 2 3" xfId="24167" xr:uid="{00000000-0005-0000-0000-00004C240000}"/>
    <cellStyle name="Comma 14 2 3 2" xfId="24168" xr:uid="{00000000-0005-0000-0000-00004D240000}"/>
    <cellStyle name="Comma 14 2 3 2 2" xfId="24169" xr:uid="{00000000-0005-0000-0000-00004E240000}"/>
    <cellStyle name="Comma 14 2 3 3" xfId="24170" xr:uid="{00000000-0005-0000-0000-00004F240000}"/>
    <cellStyle name="Comma 14 2 4" xfId="24171" xr:uid="{00000000-0005-0000-0000-000050240000}"/>
    <cellStyle name="Comma 14 2 5" xfId="24172" xr:uid="{00000000-0005-0000-0000-000051240000}"/>
    <cellStyle name="Comma 14 2 5 2" xfId="24173" xr:uid="{00000000-0005-0000-0000-000052240000}"/>
    <cellStyle name="Comma 14 2 6" xfId="24174" xr:uid="{00000000-0005-0000-0000-000053240000}"/>
    <cellStyle name="Comma 14 3" xfId="146" xr:uid="{00000000-0005-0000-0000-000054240000}"/>
    <cellStyle name="Comma 14 3 2" xfId="19404" xr:uid="{00000000-0005-0000-0000-000055240000}"/>
    <cellStyle name="Comma 14 3 2 2" xfId="24175" xr:uid="{00000000-0005-0000-0000-000056240000}"/>
    <cellStyle name="Comma 14 3 2 2 2" xfId="24176" xr:uid="{00000000-0005-0000-0000-000057240000}"/>
    <cellStyle name="Comma 14 3 2 3" xfId="24177" xr:uid="{00000000-0005-0000-0000-000058240000}"/>
    <cellStyle name="Comma 14 3 3" xfId="24178" xr:uid="{00000000-0005-0000-0000-000059240000}"/>
    <cellStyle name="Comma 14 3 3 2" xfId="24179" xr:uid="{00000000-0005-0000-0000-00005A240000}"/>
    <cellStyle name="Comma 14 3 4" xfId="24180" xr:uid="{00000000-0005-0000-0000-00005B240000}"/>
    <cellStyle name="Comma 14 4" xfId="147" xr:uid="{00000000-0005-0000-0000-00005C240000}"/>
    <cellStyle name="Comma 14 4 2" xfId="24181" xr:uid="{00000000-0005-0000-0000-00005D240000}"/>
    <cellStyle name="Comma 14 4 2 2" xfId="24182" xr:uid="{00000000-0005-0000-0000-00005E240000}"/>
    <cellStyle name="Comma 14 4 2 2 2" xfId="24183" xr:uid="{00000000-0005-0000-0000-00005F240000}"/>
    <cellStyle name="Comma 14 4 2 3" xfId="24184" xr:uid="{00000000-0005-0000-0000-000060240000}"/>
    <cellStyle name="Comma 14 4 3" xfId="24185" xr:uid="{00000000-0005-0000-0000-000061240000}"/>
    <cellStyle name="Comma 14 4 3 2" xfId="24186" xr:uid="{00000000-0005-0000-0000-000062240000}"/>
    <cellStyle name="Comma 14 4 4" xfId="24187" xr:uid="{00000000-0005-0000-0000-000063240000}"/>
    <cellStyle name="Comma 14 5" xfId="19403" xr:uid="{00000000-0005-0000-0000-000064240000}"/>
    <cellStyle name="Comma 14 5 2" xfId="24188" xr:uid="{00000000-0005-0000-0000-000065240000}"/>
    <cellStyle name="Comma 14 5 2 2" xfId="24189" xr:uid="{00000000-0005-0000-0000-000066240000}"/>
    <cellStyle name="Comma 14 5 3" xfId="24190" xr:uid="{00000000-0005-0000-0000-000067240000}"/>
    <cellStyle name="Comma 14 6" xfId="24191" xr:uid="{00000000-0005-0000-0000-000068240000}"/>
    <cellStyle name="Comma 14 7" xfId="24192" xr:uid="{00000000-0005-0000-0000-000069240000}"/>
    <cellStyle name="Comma 14 7 2" xfId="24193" xr:uid="{00000000-0005-0000-0000-00006A240000}"/>
    <cellStyle name="Comma 14 8" xfId="24194" xr:uid="{00000000-0005-0000-0000-00006B240000}"/>
    <cellStyle name="Comma 140" xfId="27880" xr:uid="{00000000-0005-0000-0000-00006C240000}"/>
    <cellStyle name="Comma 141" xfId="27886" xr:uid="{00000000-0005-0000-0000-00006D240000}"/>
    <cellStyle name="Comma 141 2" xfId="27958" xr:uid="{D1D1C915-35E2-478B-B4A0-CBD014FA430D}"/>
    <cellStyle name="Comma 142" xfId="27914" xr:uid="{00000000-0005-0000-0000-00006E240000}"/>
    <cellStyle name="Comma 143" xfId="27926" xr:uid="{407D7273-46D6-4176-8D47-2D03AEA89039}"/>
    <cellStyle name="Comma 143 2" xfId="27948" xr:uid="{7BA8BF5C-A60E-4070-AC7F-0FFB1773DD64}"/>
    <cellStyle name="Comma 144" xfId="27935" xr:uid="{FAB3FDB0-2AC0-42D9-8CF2-A5BBBE844F3A}"/>
    <cellStyle name="Comma 145" xfId="27937" xr:uid="{3635B584-AB8A-41D9-B9B2-C1C40755A498}"/>
    <cellStyle name="Comma 146" xfId="27961" xr:uid="{8A58713D-8693-47B1-9612-457BD929F567}"/>
    <cellStyle name="Comma 147" xfId="27963" xr:uid="{1B356711-5007-4687-A788-E811FFDE94C5}"/>
    <cellStyle name="Comma 148" xfId="27971" xr:uid="{91233066-5481-4A48-9568-6311A3883112}"/>
    <cellStyle name="Comma 149" xfId="27974" xr:uid="{166BFAB1-8B78-4123-93AD-04D84911D5F1}"/>
    <cellStyle name="Comma 15" xfId="148" xr:uid="{00000000-0005-0000-0000-00006F240000}"/>
    <cellStyle name="Comma 15 2" xfId="7331" xr:uid="{00000000-0005-0000-0000-000070240000}"/>
    <cellStyle name="Comma 15 2 2" xfId="20457" xr:uid="{00000000-0005-0000-0000-000071240000}"/>
    <cellStyle name="Comma 15 2 2 2" xfId="24195" xr:uid="{00000000-0005-0000-0000-000072240000}"/>
    <cellStyle name="Comma 15 2 2 2 2" xfId="24196" xr:uid="{00000000-0005-0000-0000-000073240000}"/>
    <cellStyle name="Comma 15 2 2 2 2 2" xfId="24197" xr:uid="{00000000-0005-0000-0000-000074240000}"/>
    <cellStyle name="Comma 15 2 2 2 3" xfId="24198" xr:uid="{00000000-0005-0000-0000-000075240000}"/>
    <cellStyle name="Comma 15 2 2 3" xfId="24199" xr:uid="{00000000-0005-0000-0000-000076240000}"/>
    <cellStyle name="Comma 15 2 2 3 2" xfId="24200" xr:uid="{00000000-0005-0000-0000-000077240000}"/>
    <cellStyle name="Comma 15 2 2 4" xfId="24201" xr:uid="{00000000-0005-0000-0000-000078240000}"/>
    <cellStyle name="Comma 15 2 3" xfId="24202" xr:uid="{00000000-0005-0000-0000-000079240000}"/>
    <cellStyle name="Comma 15 2 3 2" xfId="24203" xr:uid="{00000000-0005-0000-0000-00007A240000}"/>
    <cellStyle name="Comma 15 2 3 2 2" xfId="24204" xr:uid="{00000000-0005-0000-0000-00007B240000}"/>
    <cellStyle name="Comma 15 2 3 3" xfId="24205" xr:uid="{00000000-0005-0000-0000-00007C240000}"/>
    <cellStyle name="Comma 15 2 4" xfId="24206" xr:uid="{00000000-0005-0000-0000-00007D240000}"/>
    <cellStyle name="Comma 15 2 5" xfId="24207" xr:uid="{00000000-0005-0000-0000-00007E240000}"/>
    <cellStyle name="Comma 15 2 5 2" xfId="24208" xr:uid="{00000000-0005-0000-0000-00007F240000}"/>
    <cellStyle name="Comma 15 2 6" xfId="24209" xr:uid="{00000000-0005-0000-0000-000080240000}"/>
    <cellStyle name="Comma 15 3" xfId="7332" xr:uid="{00000000-0005-0000-0000-000081240000}"/>
    <cellStyle name="Comma 15 3 2" xfId="24210" xr:uid="{00000000-0005-0000-0000-000082240000}"/>
    <cellStyle name="Comma 15 3 2 2" xfId="24211" xr:uid="{00000000-0005-0000-0000-000083240000}"/>
    <cellStyle name="Comma 15 3 2 2 2" xfId="24212" xr:uid="{00000000-0005-0000-0000-000084240000}"/>
    <cellStyle name="Comma 15 3 2 3" xfId="24213" xr:uid="{00000000-0005-0000-0000-000085240000}"/>
    <cellStyle name="Comma 15 3 3" xfId="24214" xr:uid="{00000000-0005-0000-0000-000086240000}"/>
    <cellStyle name="Comma 15 3 3 2" xfId="24215" xr:uid="{00000000-0005-0000-0000-000087240000}"/>
    <cellStyle name="Comma 15 3 4" xfId="24216" xr:uid="{00000000-0005-0000-0000-000088240000}"/>
    <cellStyle name="Comma 15 4" xfId="7333" xr:uid="{00000000-0005-0000-0000-000089240000}"/>
    <cellStyle name="Comma 15 4 2" xfId="24217" xr:uid="{00000000-0005-0000-0000-00008A240000}"/>
    <cellStyle name="Comma 15 4 2 2" xfId="24218" xr:uid="{00000000-0005-0000-0000-00008B240000}"/>
    <cellStyle name="Comma 15 4 2 2 2" xfId="24219" xr:uid="{00000000-0005-0000-0000-00008C240000}"/>
    <cellStyle name="Comma 15 4 2 3" xfId="24220" xr:uid="{00000000-0005-0000-0000-00008D240000}"/>
    <cellStyle name="Comma 15 4 3" xfId="24221" xr:uid="{00000000-0005-0000-0000-00008E240000}"/>
    <cellStyle name="Comma 15 4 3 2" xfId="24222" xr:uid="{00000000-0005-0000-0000-00008F240000}"/>
    <cellStyle name="Comma 15 4 4" xfId="24223" xr:uid="{00000000-0005-0000-0000-000090240000}"/>
    <cellStyle name="Comma 15 5" xfId="7334" xr:uid="{00000000-0005-0000-0000-000091240000}"/>
    <cellStyle name="Comma 15 5 2" xfId="24224" xr:uid="{00000000-0005-0000-0000-000092240000}"/>
    <cellStyle name="Comma 15 5 2 2" xfId="24225" xr:uid="{00000000-0005-0000-0000-000093240000}"/>
    <cellStyle name="Comma 15 5 3" xfId="24226" xr:uid="{00000000-0005-0000-0000-000094240000}"/>
    <cellStyle name="Comma 15 6" xfId="7335" xr:uid="{00000000-0005-0000-0000-000095240000}"/>
    <cellStyle name="Comma 15 7" xfId="7336" xr:uid="{00000000-0005-0000-0000-000096240000}"/>
    <cellStyle name="Comma 15 7 2" xfId="24227" xr:uid="{00000000-0005-0000-0000-000097240000}"/>
    <cellStyle name="Comma 15 8" xfId="7337" xr:uid="{00000000-0005-0000-0000-000098240000}"/>
    <cellStyle name="Comma 16" xfId="149" xr:uid="{00000000-0005-0000-0000-000099240000}"/>
    <cellStyle name="Comma 16 2" xfId="7338" xr:uid="{00000000-0005-0000-0000-00009A240000}"/>
    <cellStyle name="Comma 16 2 2" xfId="7339" xr:uid="{00000000-0005-0000-0000-00009B240000}"/>
    <cellStyle name="Comma 16 2 3" xfId="7340" xr:uid="{00000000-0005-0000-0000-00009C240000}"/>
    <cellStyle name="Comma 16 2 4" xfId="20458" xr:uid="{00000000-0005-0000-0000-00009D240000}"/>
    <cellStyle name="Comma 16 3" xfId="7341" xr:uid="{00000000-0005-0000-0000-00009E240000}"/>
    <cellStyle name="Comma 16 3 2" xfId="7342" xr:uid="{00000000-0005-0000-0000-00009F240000}"/>
    <cellStyle name="Comma 16 3 2 2" xfId="7343" xr:uid="{00000000-0005-0000-0000-0000A0240000}"/>
    <cellStyle name="Comma 16 3 2 2 2" xfId="7344" xr:uid="{00000000-0005-0000-0000-0000A1240000}"/>
    <cellStyle name="Comma 16 3 3" xfId="7345" xr:uid="{00000000-0005-0000-0000-0000A2240000}"/>
    <cellStyle name="Comma 16 4" xfId="7346" xr:uid="{00000000-0005-0000-0000-0000A3240000}"/>
    <cellStyle name="Comma 17" xfId="150" xr:uid="{00000000-0005-0000-0000-0000A4240000}"/>
    <cellStyle name="Comma 17 2" xfId="7347" xr:uid="{00000000-0005-0000-0000-0000A5240000}"/>
    <cellStyle name="Comma 18" xfId="151" xr:uid="{00000000-0005-0000-0000-0000A6240000}"/>
    <cellStyle name="Comma 18 2" xfId="7348" xr:uid="{00000000-0005-0000-0000-0000A7240000}"/>
    <cellStyle name="Comma 19" xfId="152" xr:uid="{00000000-0005-0000-0000-0000A8240000}"/>
    <cellStyle name="Comma 19 2" xfId="7349" xr:uid="{00000000-0005-0000-0000-0000A9240000}"/>
    <cellStyle name="Comma 19 2 2" xfId="20459" xr:uid="{00000000-0005-0000-0000-0000AA240000}"/>
    <cellStyle name="Comma 2" xfId="3" xr:uid="{00000000-0005-0000-0000-0000AB240000}"/>
    <cellStyle name="Comma 2 10" xfId="153" xr:uid="{00000000-0005-0000-0000-0000AC240000}"/>
    <cellStyle name="Comma 2 10 10" xfId="7350" xr:uid="{00000000-0005-0000-0000-0000AD240000}"/>
    <cellStyle name="Comma 2 10 11" xfId="7351" xr:uid="{00000000-0005-0000-0000-0000AE240000}"/>
    <cellStyle name="Comma 2 10 12" xfId="7352" xr:uid="{00000000-0005-0000-0000-0000AF240000}"/>
    <cellStyle name="Comma 2 10 13" xfId="7353" xr:uid="{00000000-0005-0000-0000-0000B0240000}"/>
    <cellStyle name="Comma 2 10 14" xfId="7354" xr:uid="{00000000-0005-0000-0000-0000B1240000}"/>
    <cellStyle name="Comma 2 10 15" xfId="7355" xr:uid="{00000000-0005-0000-0000-0000B2240000}"/>
    <cellStyle name="Comma 2 10 16" xfId="7356" xr:uid="{00000000-0005-0000-0000-0000B3240000}"/>
    <cellStyle name="Comma 2 10 17" xfId="7357" xr:uid="{00000000-0005-0000-0000-0000B4240000}"/>
    <cellStyle name="Comma 2 10 18" xfId="7358" xr:uid="{00000000-0005-0000-0000-0000B5240000}"/>
    <cellStyle name="Comma 2 10 19" xfId="7359" xr:uid="{00000000-0005-0000-0000-0000B6240000}"/>
    <cellStyle name="Comma 2 10 2" xfId="7360" xr:uid="{00000000-0005-0000-0000-0000B7240000}"/>
    <cellStyle name="Comma 2 10 20" xfId="7361" xr:uid="{00000000-0005-0000-0000-0000B8240000}"/>
    <cellStyle name="Comma 2 10 21" xfId="7362" xr:uid="{00000000-0005-0000-0000-0000B9240000}"/>
    <cellStyle name="Comma 2 10 22" xfId="7363" xr:uid="{00000000-0005-0000-0000-0000BA240000}"/>
    <cellStyle name="Comma 2 10 23" xfId="7364" xr:uid="{00000000-0005-0000-0000-0000BB240000}"/>
    <cellStyle name="Comma 2 10 24" xfId="7365" xr:uid="{00000000-0005-0000-0000-0000BC240000}"/>
    <cellStyle name="Comma 2 10 25" xfId="7366" xr:uid="{00000000-0005-0000-0000-0000BD240000}"/>
    <cellStyle name="Comma 2 10 26" xfId="7367" xr:uid="{00000000-0005-0000-0000-0000BE240000}"/>
    <cellStyle name="Comma 2 10 27" xfId="7368" xr:uid="{00000000-0005-0000-0000-0000BF240000}"/>
    <cellStyle name="Comma 2 10 28" xfId="7369" xr:uid="{00000000-0005-0000-0000-0000C0240000}"/>
    <cellStyle name="Comma 2 10 29" xfId="7370" xr:uid="{00000000-0005-0000-0000-0000C1240000}"/>
    <cellStyle name="Comma 2 10 3" xfId="7371" xr:uid="{00000000-0005-0000-0000-0000C2240000}"/>
    <cellStyle name="Comma 2 10 30" xfId="7372" xr:uid="{00000000-0005-0000-0000-0000C3240000}"/>
    <cellStyle name="Comma 2 10 31" xfId="7373" xr:uid="{00000000-0005-0000-0000-0000C4240000}"/>
    <cellStyle name="Comma 2 10 32" xfId="7374" xr:uid="{00000000-0005-0000-0000-0000C5240000}"/>
    <cellStyle name="Comma 2 10 33" xfId="7375" xr:uid="{00000000-0005-0000-0000-0000C6240000}"/>
    <cellStyle name="Comma 2 10 34" xfId="7376" xr:uid="{00000000-0005-0000-0000-0000C7240000}"/>
    <cellStyle name="Comma 2 10 35" xfId="7377" xr:uid="{00000000-0005-0000-0000-0000C8240000}"/>
    <cellStyle name="Comma 2 10 36" xfId="7378" xr:uid="{00000000-0005-0000-0000-0000C9240000}"/>
    <cellStyle name="Comma 2 10 37" xfId="7379" xr:uid="{00000000-0005-0000-0000-0000CA240000}"/>
    <cellStyle name="Comma 2 10 38" xfId="7380" xr:uid="{00000000-0005-0000-0000-0000CB240000}"/>
    <cellStyle name="Comma 2 10 39" xfId="7381" xr:uid="{00000000-0005-0000-0000-0000CC240000}"/>
    <cellStyle name="Comma 2 10 4" xfId="7382" xr:uid="{00000000-0005-0000-0000-0000CD240000}"/>
    <cellStyle name="Comma 2 10 40" xfId="7383" xr:uid="{00000000-0005-0000-0000-0000CE240000}"/>
    <cellStyle name="Comma 2 10 41" xfId="7384" xr:uid="{00000000-0005-0000-0000-0000CF240000}"/>
    <cellStyle name="Comma 2 10 42" xfId="7385" xr:uid="{00000000-0005-0000-0000-0000D0240000}"/>
    <cellStyle name="Comma 2 10 43" xfId="7386" xr:uid="{00000000-0005-0000-0000-0000D1240000}"/>
    <cellStyle name="Comma 2 10 44" xfId="7387" xr:uid="{00000000-0005-0000-0000-0000D2240000}"/>
    <cellStyle name="Comma 2 10 45" xfId="7388" xr:uid="{00000000-0005-0000-0000-0000D3240000}"/>
    <cellStyle name="Comma 2 10 5" xfId="7389" xr:uid="{00000000-0005-0000-0000-0000D4240000}"/>
    <cellStyle name="Comma 2 10 6" xfId="7390" xr:uid="{00000000-0005-0000-0000-0000D5240000}"/>
    <cellStyle name="Comma 2 10 7" xfId="7391" xr:uid="{00000000-0005-0000-0000-0000D6240000}"/>
    <cellStyle name="Comma 2 10 8" xfId="7392" xr:uid="{00000000-0005-0000-0000-0000D7240000}"/>
    <cellStyle name="Comma 2 10 9" xfId="7393" xr:uid="{00000000-0005-0000-0000-0000D8240000}"/>
    <cellStyle name="Comma 2 10_Input" xfId="7394" xr:uid="{00000000-0005-0000-0000-0000D9240000}"/>
    <cellStyle name="Comma 2 100" xfId="7395" xr:uid="{00000000-0005-0000-0000-0000DA240000}"/>
    <cellStyle name="Comma 2 101" xfId="7396" xr:uid="{00000000-0005-0000-0000-0000DB240000}"/>
    <cellStyle name="Comma 2 102" xfId="7397" xr:uid="{00000000-0005-0000-0000-0000DC240000}"/>
    <cellStyle name="Comma 2 103" xfId="7398" xr:uid="{00000000-0005-0000-0000-0000DD240000}"/>
    <cellStyle name="Comma 2 104" xfId="7399" xr:uid="{00000000-0005-0000-0000-0000DE240000}"/>
    <cellStyle name="Comma 2 105" xfId="7400" xr:uid="{00000000-0005-0000-0000-0000DF240000}"/>
    <cellStyle name="Comma 2 106" xfId="7401" xr:uid="{00000000-0005-0000-0000-0000E0240000}"/>
    <cellStyle name="Comma 2 107" xfId="7402" xr:uid="{00000000-0005-0000-0000-0000E1240000}"/>
    <cellStyle name="Comma 2 108" xfId="7403" xr:uid="{00000000-0005-0000-0000-0000E2240000}"/>
    <cellStyle name="Comma 2 109" xfId="7404" xr:uid="{00000000-0005-0000-0000-0000E3240000}"/>
    <cellStyle name="Comma 2 11" xfId="154" xr:uid="{00000000-0005-0000-0000-0000E4240000}"/>
    <cellStyle name="Comma 2 110" xfId="7405" xr:uid="{00000000-0005-0000-0000-0000E5240000}"/>
    <cellStyle name="Comma 2 111" xfId="7406" xr:uid="{00000000-0005-0000-0000-0000E6240000}"/>
    <cellStyle name="Comma 2 112" xfId="7407" xr:uid="{00000000-0005-0000-0000-0000E7240000}"/>
    <cellStyle name="Comma 2 113" xfId="7408" xr:uid="{00000000-0005-0000-0000-0000E8240000}"/>
    <cellStyle name="Comma 2 114" xfId="7409" xr:uid="{00000000-0005-0000-0000-0000E9240000}"/>
    <cellStyle name="Comma 2 115" xfId="7410" xr:uid="{00000000-0005-0000-0000-0000EA240000}"/>
    <cellStyle name="Comma 2 116" xfId="7411" xr:uid="{00000000-0005-0000-0000-0000EB240000}"/>
    <cellStyle name="Comma 2 117" xfId="7412" xr:uid="{00000000-0005-0000-0000-0000EC240000}"/>
    <cellStyle name="Comma 2 118" xfId="7413" xr:uid="{00000000-0005-0000-0000-0000ED240000}"/>
    <cellStyle name="Comma 2 119" xfId="7414" xr:uid="{00000000-0005-0000-0000-0000EE240000}"/>
    <cellStyle name="Comma 2 12" xfId="155" xr:uid="{00000000-0005-0000-0000-0000EF240000}"/>
    <cellStyle name="Comma 2 120" xfId="7415" xr:uid="{00000000-0005-0000-0000-0000F0240000}"/>
    <cellStyle name="Comma 2 121" xfId="7416" xr:uid="{00000000-0005-0000-0000-0000F1240000}"/>
    <cellStyle name="Comma 2 122" xfId="7417" xr:uid="{00000000-0005-0000-0000-0000F2240000}"/>
    <cellStyle name="Comma 2 123" xfId="7418" xr:uid="{00000000-0005-0000-0000-0000F3240000}"/>
    <cellStyle name="Comma 2 124" xfId="7419" xr:uid="{00000000-0005-0000-0000-0000F4240000}"/>
    <cellStyle name="Comma 2 125" xfId="7420" xr:uid="{00000000-0005-0000-0000-0000F5240000}"/>
    <cellStyle name="Comma 2 126" xfId="7421" xr:uid="{00000000-0005-0000-0000-0000F6240000}"/>
    <cellStyle name="Comma 2 127" xfId="7422" xr:uid="{00000000-0005-0000-0000-0000F7240000}"/>
    <cellStyle name="Comma 2 128" xfId="7423" xr:uid="{00000000-0005-0000-0000-0000F8240000}"/>
    <cellStyle name="Comma 2 129" xfId="7424" xr:uid="{00000000-0005-0000-0000-0000F9240000}"/>
    <cellStyle name="Comma 2 13" xfId="156" xr:uid="{00000000-0005-0000-0000-0000FA240000}"/>
    <cellStyle name="Comma 2 130" xfId="7425" xr:uid="{00000000-0005-0000-0000-0000FB240000}"/>
    <cellStyle name="Comma 2 131" xfId="7426" xr:uid="{00000000-0005-0000-0000-0000FC240000}"/>
    <cellStyle name="Comma 2 132" xfId="7427" xr:uid="{00000000-0005-0000-0000-0000FD240000}"/>
    <cellStyle name="Comma 2 133" xfId="7428" xr:uid="{00000000-0005-0000-0000-0000FE240000}"/>
    <cellStyle name="Comma 2 134" xfId="7429" xr:uid="{00000000-0005-0000-0000-0000FF240000}"/>
    <cellStyle name="Comma 2 135" xfId="7430" xr:uid="{00000000-0005-0000-0000-000000250000}"/>
    <cellStyle name="Comma 2 135 2" xfId="7431" xr:uid="{00000000-0005-0000-0000-000001250000}"/>
    <cellStyle name="Comma 2 135 3" xfId="7432" xr:uid="{00000000-0005-0000-0000-000002250000}"/>
    <cellStyle name="Comma 2 136" xfId="7433" xr:uid="{00000000-0005-0000-0000-000003250000}"/>
    <cellStyle name="Comma 2 136 2" xfId="20460" xr:uid="{00000000-0005-0000-0000-000004250000}"/>
    <cellStyle name="Comma 2 137" xfId="7434" xr:uid="{00000000-0005-0000-0000-000005250000}"/>
    <cellStyle name="Comma 2 138" xfId="7435" xr:uid="{00000000-0005-0000-0000-000006250000}"/>
    <cellStyle name="Comma 2 139" xfId="19277" xr:uid="{00000000-0005-0000-0000-000007250000}"/>
    <cellStyle name="Comma 2 14" xfId="157" xr:uid="{00000000-0005-0000-0000-000008250000}"/>
    <cellStyle name="Comma 2 140" xfId="19284" xr:uid="{00000000-0005-0000-0000-000009250000}"/>
    <cellStyle name="Comma 2 141" xfId="19394" xr:uid="{00000000-0005-0000-0000-00000A250000}"/>
    <cellStyle name="Comma 2 15" xfId="158" xr:uid="{00000000-0005-0000-0000-00000B250000}"/>
    <cellStyle name="Comma 2 16" xfId="159" xr:uid="{00000000-0005-0000-0000-00000C250000}"/>
    <cellStyle name="Comma 2 17" xfId="7436" xr:uid="{00000000-0005-0000-0000-00000D250000}"/>
    <cellStyle name="Comma 2 17 2" xfId="20461" xr:uid="{00000000-0005-0000-0000-00000E250000}"/>
    <cellStyle name="Comma 2 18" xfId="7437" xr:uid="{00000000-0005-0000-0000-00000F250000}"/>
    <cellStyle name="Comma 2 18 2" xfId="20462" xr:uid="{00000000-0005-0000-0000-000010250000}"/>
    <cellStyle name="Comma 2 19" xfId="7438" xr:uid="{00000000-0005-0000-0000-000011250000}"/>
    <cellStyle name="Comma 2 19 2" xfId="20463" xr:uid="{00000000-0005-0000-0000-000012250000}"/>
    <cellStyle name="Comma 2 2" xfId="160" xr:uid="{00000000-0005-0000-0000-000013250000}"/>
    <cellStyle name="Comma 2 2 10" xfId="7439" xr:uid="{00000000-0005-0000-0000-000014250000}"/>
    <cellStyle name="Comma 2 2 10 2" xfId="7440" xr:uid="{00000000-0005-0000-0000-000015250000}"/>
    <cellStyle name="Comma 2 2 10 3" xfId="22679" xr:uid="{00000000-0005-0000-0000-000016250000}"/>
    <cellStyle name="Comma 2 2 11" xfId="7441" xr:uid="{00000000-0005-0000-0000-000017250000}"/>
    <cellStyle name="Comma 2 2 12" xfId="7442" xr:uid="{00000000-0005-0000-0000-000018250000}"/>
    <cellStyle name="Comma 2 2 13" xfId="7443" xr:uid="{00000000-0005-0000-0000-000019250000}"/>
    <cellStyle name="Comma 2 2 14" xfId="7444" xr:uid="{00000000-0005-0000-0000-00001A250000}"/>
    <cellStyle name="Comma 2 2 15" xfId="7445" xr:uid="{00000000-0005-0000-0000-00001B250000}"/>
    <cellStyle name="Comma 2 2 16" xfId="7446" xr:uid="{00000000-0005-0000-0000-00001C250000}"/>
    <cellStyle name="Comma 2 2 17" xfId="7447" xr:uid="{00000000-0005-0000-0000-00001D250000}"/>
    <cellStyle name="Comma 2 2 18" xfId="7448" xr:uid="{00000000-0005-0000-0000-00001E250000}"/>
    <cellStyle name="Comma 2 2 19" xfId="7449" xr:uid="{00000000-0005-0000-0000-00001F250000}"/>
    <cellStyle name="Comma 2 2 2" xfId="161" xr:uid="{00000000-0005-0000-0000-000020250000}"/>
    <cellStyle name="Comma 2 2 2 2" xfId="7450" xr:uid="{00000000-0005-0000-0000-000021250000}"/>
    <cellStyle name="Comma 2 2 2 2 2" xfId="7451" xr:uid="{00000000-0005-0000-0000-000022250000}"/>
    <cellStyle name="Comma 2 2 20" xfId="7452" xr:uid="{00000000-0005-0000-0000-000023250000}"/>
    <cellStyle name="Comma 2 2 21" xfId="7453" xr:uid="{00000000-0005-0000-0000-000024250000}"/>
    <cellStyle name="Comma 2 2 22" xfId="7454" xr:uid="{00000000-0005-0000-0000-000025250000}"/>
    <cellStyle name="Comma 2 2 23" xfId="7455" xr:uid="{00000000-0005-0000-0000-000026250000}"/>
    <cellStyle name="Comma 2 2 24" xfId="7456" xr:uid="{00000000-0005-0000-0000-000027250000}"/>
    <cellStyle name="Comma 2 2 25" xfId="7457" xr:uid="{00000000-0005-0000-0000-000028250000}"/>
    <cellStyle name="Comma 2 2 26" xfId="7458" xr:uid="{00000000-0005-0000-0000-000029250000}"/>
    <cellStyle name="Comma 2 2 27" xfId="7459" xr:uid="{00000000-0005-0000-0000-00002A250000}"/>
    <cellStyle name="Comma 2 2 28" xfId="7460" xr:uid="{00000000-0005-0000-0000-00002B250000}"/>
    <cellStyle name="Comma 2 2 29" xfId="7461" xr:uid="{00000000-0005-0000-0000-00002C250000}"/>
    <cellStyle name="Comma 2 2 3" xfId="162" xr:uid="{00000000-0005-0000-0000-00002D250000}"/>
    <cellStyle name="Comma 2 2 3 2" xfId="7462" xr:uid="{00000000-0005-0000-0000-00002E250000}"/>
    <cellStyle name="Comma 2 2 3 2 2" xfId="7463" xr:uid="{00000000-0005-0000-0000-00002F250000}"/>
    <cellStyle name="Comma 2 2 30" xfId="7464" xr:uid="{00000000-0005-0000-0000-000030250000}"/>
    <cellStyle name="Comma 2 2 31" xfId="7465" xr:uid="{00000000-0005-0000-0000-000031250000}"/>
    <cellStyle name="Comma 2 2 32" xfId="7466" xr:uid="{00000000-0005-0000-0000-000032250000}"/>
    <cellStyle name="Comma 2 2 33" xfId="7467" xr:uid="{00000000-0005-0000-0000-000033250000}"/>
    <cellStyle name="Comma 2 2 34" xfId="7468" xr:uid="{00000000-0005-0000-0000-000034250000}"/>
    <cellStyle name="Comma 2 2 35" xfId="7469" xr:uid="{00000000-0005-0000-0000-000035250000}"/>
    <cellStyle name="Comma 2 2 36" xfId="7470" xr:uid="{00000000-0005-0000-0000-000036250000}"/>
    <cellStyle name="Comma 2 2 37" xfId="7471" xr:uid="{00000000-0005-0000-0000-000037250000}"/>
    <cellStyle name="Comma 2 2 38" xfId="7472" xr:uid="{00000000-0005-0000-0000-000038250000}"/>
    <cellStyle name="Comma 2 2 39" xfId="7473" xr:uid="{00000000-0005-0000-0000-000039250000}"/>
    <cellStyle name="Comma 2 2 4" xfId="163" xr:uid="{00000000-0005-0000-0000-00003A250000}"/>
    <cellStyle name="Comma 2 2 40" xfId="7474" xr:uid="{00000000-0005-0000-0000-00003B250000}"/>
    <cellStyle name="Comma 2 2 41" xfId="7475" xr:uid="{00000000-0005-0000-0000-00003C250000}"/>
    <cellStyle name="Comma 2 2 5" xfId="7476" xr:uid="{00000000-0005-0000-0000-00003D250000}"/>
    <cellStyle name="Comma 2 2 6" xfId="7477" xr:uid="{00000000-0005-0000-0000-00003E250000}"/>
    <cellStyle name="Comma 2 2 7" xfId="7478" xr:uid="{00000000-0005-0000-0000-00003F250000}"/>
    <cellStyle name="Comma 2 2 8" xfId="7479" xr:uid="{00000000-0005-0000-0000-000040250000}"/>
    <cellStyle name="Comma 2 2 9" xfId="7480" xr:uid="{00000000-0005-0000-0000-000041250000}"/>
    <cellStyle name="Comma 2 2_Book3" xfId="7481" xr:uid="{00000000-0005-0000-0000-000042250000}"/>
    <cellStyle name="Comma 2 20" xfId="7482" xr:uid="{00000000-0005-0000-0000-000043250000}"/>
    <cellStyle name="Comma 2 20 2" xfId="20464" xr:uid="{00000000-0005-0000-0000-000044250000}"/>
    <cellStyle name="Comma 2 21" xfId="7483" xr:uid="{00000000-0005-0000-0000-000045250000}"/>
    <cellStyle name="Comma 2 21 2" xfId="7484" xr:uid="{00000000-0005-0000-0000-000046250000}"/>
    <cellStyle name="Comma 2 21 2 2" xfId="7485" xr:uid="{00000000-0005-0000-0000-000047250000}"/>
    <cellStyle name="Comma 2 21 2 3" xfId="7486" xr:uid="{00000000-0005-0000-0000-000048250000}"/>
    <cellStyle name="Comma 2 21 2 4" xfId="20466" xr:uid="{00000000-0005-0000-0000-000049250000}"/>
    <cellStyle name="Comma 2 21 3" xfId="7487" xr:uid="{00000000-0005-0000-0000-00004A250000}"/>
    <cellStyle name="Comma 2 21 3 2" xfId="20467" xr:uid="{00000000-0005-0000-0000-00004B250000}"/>
    <cellStyle name="Comma 2 21 4" xfId="20465" xr:uid="{00000000-0005-0000-0000-00004C250000}"/>
    <cellStyle name="Comma 2 22" xfId="7488" xr:uid="{00000000-0005-0000-0000-00004D250000}"/>
    <cellStyle name="Comma 2 22 2" xfId="20468" xr:uid="{00000000-0005-0000-0000-00004E250000}"/>
    <cellStyle name="Comma 2 23" xfId="7489" xr:uid="{00000000-0005-0000-0000-00004F250000}"/>
    <cellStyle name="Comma 2 23 2" xfId="20469" xr:uid="{00000000-0005-0000-0000-000050250000}"/>
    <cellStyle name="Comma 2 24" xfId="7490" xr:uid="{00000000-0005-0000-0000-000051250000}"/>
    <cellStyle name="Comma 2 24 2" xfId="20470" xr:uid="{00000000-0005-0000-0000-000052250000}"/>
    <cellStyle name="Comma 2 25" xfId="7491" xr:uid="{00000000-0005-0000-0000-000053250000}"/>
    <cellStyle name="Comma 2 25 2" xfId="20471" xr:uid="{00000000-0005-0000-0000-000054250000}"/>
    <cellStyle name="Comma 2 26" xfId="7492" xr:uid="{00000000-0005-0000-0000-000055250000}"/>
    <cellStyle name="Comma 2 26 2" xfId="20472" xr:uid="{00000000-0005-0000-0000-000056250000}"/>
    <cellStyle name="Comma 2 27" xfId="7493" xr:uid="{00000000-0005-0000-0000-000057250000}"/>
    <cellStyle name="Comma 2 27 2" xfId="20473" xr:uid="{00000000-0005-0000-0000-000058250000}"/>
    <cellStyle name="Comma 2 28" xfId="7494" xr:uid="{00000000-0005-0000-0000-000059250000}"/>
    <cellStyle name="Comma 2 28 2" xfId="20474" xr:uid="{00000000-0005-0000-0000-00005A250000}"/>
    <cellStyle name="Comma 2 29" xfId="7495" xr:uid="{00000000-0005-0000-0000-00005B250000}"/>
    <cellStyle name="Comma 2 29 2" xfId="20475" xr:uid="{00000000-0005-0000-0000-00005C250000}"/>
    <cellStyle name="Comma 2 3" xfId="164" xr:uid="{00000000-0005-0000-0000-00005D250000}"/>
    <cellStyle name="Comma 2 3 2" xfId="7496" xr:uid="{00000000-0005-0000-0000-00005E250000}"/>
    <cellStyle name="Comma 2 3 2 2" xfId="24228" xr:uid="{00000000-0005-0000-0000-00005F250000}"/>
    <cellStyle name="Comma 2 3 2 2 2" xfId="24229" xr:uid="{00000000-0005-0000-0000-000060250000}"/>
    <cellStyle name="Comma 2 3 2 3" xfId="24230" xr:uid="{00000000-0005-0000-0000-000061250000}"/>
    <cellStyle name="Comma 2 3 3" xfId="7497" xr:uid="{00000000-0005-0000-0000-000062250000}"/>
    <cellStyle name="Comma 2 3 4" xfId="7498" xr:uid="{00000000-0005-0000-0000-000063250000}"/>
    <cellStyle name="Comma 2 30" xfId="7499" xr:uid="{00000000-0005-0000-0000-000064250000}"/>
    <cellStyle name="Comma 2 30 2" xfId="20476" xr:uid="{00000000-0005-0000-0000-000065250000}"/>
    <cellStyle name="Comma 2 31" xfId="7500" xr:uid="{00000000-0005-0000-0000-000066250000}"/>
    <cellStyle name="Comma 2 31 2" xfId="20477" xr:uid="{00000000-0005-0000-0000-000067250000}"/>
    <cellStyle name="Comma 2 32" xfId="7501" xr:uid="{00000000-0005-0000-0000-000068250000}"/>
    <cellStyle name="Comma 2 32 2" xfId="20478" xr:uid="{00000000-0005-0000-0000-000069250000}"/>
    <cellStyle name="Comma 2 33" xfId="7502" xr:uid="{00000000-0005-0000-0000-00006A250000}"/>
    <cellStyle name="Comma 2 33 2" xfId="20479" xr:uid="{00000000-0005-0000-0000-00006B250000}"/>
    <cellStyle name="Comma 2 34" xfId="7503" xr:uid="{00000000-0005-0000-0000-00006C250000}"/>
    <cellStyle name="Comma 2 34 2" xfId="20480" xr:uid="{00000000-0005-0000-0000-00006D250000}"/>
    <cellStyle name="Comma 2 35" xfId="7504" xr:uid="{00000000-0005-0000-0000-00006E250000}"/>
    <cellStyle name="Comma 2 35 2" xfId="20481" xr:uid="{00000000-0005-0000-0000-00006F250000}"/>
    <cellStyle name="Comma 2 36" xfId="7505" xr:uid="{00000000-0005-0000-0000-000070250000}"/>
    <cellStyle name="Comma 2 36 2" xfId="20482" xr:uid="{00000000-0005-0000-0000-000071250000}"/>
    <cellStyle name="Comma 2 37" xfId="7506" xr:uid="{00000000-0005-0000-0000-000072250000}"/>
    <cellStyle name="Comma 2 37 2" xfId="20483" xr:uid="{00000000-0005-0000-0000-000073250000}"/>
    <cellStyle name="Comma 2 38" xfId="7507" xr:uid="{00000000-0005-0000-0000-000074250000}"/>
    <cellStyle name="Comma 2 38 2" xfId="20484" xr:uid="{00000000-0005-0000-0000-000075250000}"/>
    <cellStyle name="Comma 2 39" xfId="7508" xr:uid="{00000000-0005-0000-0000-000076250000}"/>
    <cellStyle name="Comma 2 39 2" xfId="20485" xr:uid="{00000000-0005-0000-0000-000077250000}"/>
    <cellStyle name="Comma 2 4" xfId="165" xr:uid="{00000000-0005-0000-0000-000078250000}"/>
    <cellStyle name="Comma 2 4 2" xfId="166" xr:uid="{00000000-0005-0000-0000-000079250000}"/>
    <cellStyle name="Comma 2 4 2 10" xfId="167" xr:uid="{00000000-0005-0000-0000-00007A250000}"/>
    <cellStyle name="Comma 2 4 2 2" xfId="168" xr:uid="{00000000-0005-0000-0000-00007B250000}"/>
    <cellStyle name="Comma 2 4 2 3" xfId="169" xr:uid="{00000000-0005-0000-0000-00007C250000}"/>
    <cellStyle name="Comma 2 4 2 4" xfId="170" xr:uid="{00000000-0005-0000-0000-00007D250000}"/>
    <cellStyle name="Comma 2 4 2 5" xfId="171" xr:uid="{00000000-0005-0000-0000-00007E250000}"/>
    <cellStyle name="Comma 2 4 2 6" xfId="172" xr:uid="{00000000-0005-0000-0000-00007F250000}"/>
    <cellStyle name="Comma 2 4 2 7" xfId="173" xr:uid="{00000000-0005-0000-0000-000080250000}"/>
    <cellStyle name="Comma 2 4 2 8" xfId="174" xr:uid="{00000000-0005-0000-0000-000081250000}"/>
    <cellStyle name="Comma 2 4 2 9" xfId="175" xr:uid="{00000000-0005-0000-0000-000082250000}"/>
    <cellStyle name="Comma 2 4 3" xfId="7509" xr:uid="{00000000-0005-0000-0000-000083250000}"/>
    <cellStyle name="Comma 2 4 4" xfId="7510" xr:uid="{00000000-0005-0000-0000-000084250000}"/>
    <cellStyle name="Comma 2 4 5" xfId="7511" xr:uid="{00000000-0005-0000-0000-000085250000}"/>
    <cellStyle name="Comma 2 4 5 2" xfId="7512" xr:uid="{00000000-0005-0000-0000-000086250000}"/>
    <cellStyle name="Comma 2 4 6" xfId="7513" xr:uid="{00000000-0005-0000-0000-000087250000}"/>
    <cellStyle name="Comma 2 4 7" xfId="7514" xr:uid="{00000000-0005-0000-0000-000088250000}"/>
    <cellStyle name="Comma 2 4 8" xfId="7515" xr:uid="{00000000-0005-0000-0000-000089250000}"/>
    <cellStyle name="Comma 2 40" xfId="7516" xr:uid="{00000000-0005-0000-0000-00008A250000}"/>
    <cellStyle name="Comma 2 40 2" xfId="20486" xr:uid="{00000000-0005-0000-0000-00008B250000}"/>
    <cellStyle name="Comma 2 41" xfId="7517" xr:uid="{00000000-0005-0000-0000-00008C250000}"/>
    <cellStyle name="Comma 2 41 2" xfId="20487" xr:uid="{00000000-0005-0000-0000-00008D250000}"/>
    <cellStyle name="Comma 2 42" xfId="7518" xr:uid="{00000000-0005-0000-0000-00008E250000}"/>
    <cellStyle name="Comma 2 42 2" xfId="20488" xr:uid="{00000000-0005-0000-0000-00008F250000}"/>
    <cellStyle name="Comma 2 43" xfId="7519" xr:uid="{00000000-0005-0000-0000-000090250000}"/>
    <cellStyle name="Comma 2 43 2" xfId="20489" xr:uid="{00000000-0005-0000-0000-000091250000}"/>
    <cellStyle name="Comma 2 44" xfId="7520" xr:uid="{00000000-0005-0000-0000-000092250000}"/>
    <cellStyle name="Comma 2 44 2" xfId="20490" xr:uid="{00000000-0005-0000-0000-000093250000}"/>
    <cellStyle name="Comma 2 45" xfId="7521" xr:uid="{00000000-0005-0000-0000-000094250000}"/>
    <cellStyle name="Comma 2 45 2" xfId="20491" xr:uid="{00000000-0005-0000-0000-000095250000}"/>
    <cellStyle name="Comma 2 46" xfId="7522" xr:uid="{00000000-0005-0000-0000-000096250000}"/>
    <cellStyle name="Comma 2 46 2" xfId="20492" xr:uid="{00000000-0005-0000-0000-000097250000}"/>
    <cellStyle name="Comma 2 47" xfId="7523" xr:uid="{00000000-0005-0000-0000-000098250000}"/>
    <cellStyle name="Comma 2 47 2" xfId="20493" xr:uid="{00000000-0005-0000-0000-000099250000}"/>
    <cellStyle name="Comma 2 48" xfId="7524" xr:uid="{00000000-0005-0000-0000-00009A250000}"/>
    <cellStyle name="Comma 2 48 2" xfId="20494" xr:uid="{00000000-0005-0000-0000-00009B250000}"/>
    <cellStyle name="Comma 2 49" xfId="7525" xr:uid="{00000000-0005-0000-0000-00009C250000}"/>
    <cellStyle name="Comma 2 49 2" xfId="20495" xr:uid="{00000000-0005-0000-0000-00009D250000}"/>
    <cellStyle name="Comma 2 5" xfId="176" xr:uid="{00000000-0005-0000-0000-00009E250000}"/>
    <cellStyle name="Comma 2 5 10" xfId="177" xr:uid="{00000000-0005-0000-0000-00009F250000}"/>
    <cellStyle name="Comma 2 5 11" xfId="7526" xr:uid="{00000000-0005-0000-0000-0000A0250000}"/>
    <cellStyle name="Comma 2 5 12" xfId="7527" xr:uid="{00000000-0005-0000-0000-0000A1250000}"/>
    <cellStyle name="Comma 2 5 13" xfId="7528" xr:uid="{00000000-0005-0000-0000-0000A2250000}"/>
    <cellStyle name="Comma 2 5 14" xfId="7529" xr:uid="{00000000-0005-0000-0000-0000A3250000}"/>
    <cellStyle name="Comma 2 5 15" xfId="7530" xr:uid="{00000000-0005-0000-0000-0000A4250000}"/>
    <cellStyle name="Comma 2 5 16" xfId="7531" xr:uid="{00000000-0005-0000-0000-0000A5250000}"/>
    <cellStyle name="Comma 2 5 17" xfId="7532" xr:uid="{00000000-0005-0000-0000-0000A6250000}"/>
    <cellStyle name="Comma 2 5 18" xfId="7533" xr:uid="{00000000-0005-0000-0000-0000A7250000}"/>
    <cellStyle name="Comma 2 5 19" xfId="7534" xr:uid="{00000000-0005-0000-0000-0000A8250000}"/>
    <cellStyle name="Comma 2 5 2" xfId="178" xr:uid="{00000000-0005-0000-0000-0000A9250000}"/>
    <cellStyle name="Comma 2 5 2 2" xfId="179" xr:uid="{00000000-0005-0000-0000-0000AA250000}"/>
    <cellStyle name="Comma 2 5 2 3" xfId="180" xr:uid="{00000000-0005-0000-0000-0000AB250000}"/>
    <cellStyle name="Comma 2 5 20" xfId="7535" xr:uid="{00000000-0005-0000-0000-0000AC250000}"/>
    <cellStyle name="Comma 2 5 21" xfId="7536" xr:uid="{00000000-0005-0000-0000-0000AD250000}"/>
    <cellStyle name="Comma 2 5 22" xfId="7537" xr:uid="{00000000-0005-0000-0000-0000AE250000}"/>
    <cellStyle name="Comma 2 5 23" xfId="7538" xr:uid="{00000000-0005-0000-0000-0000AF250000}"/>
    <cellStyle name="Comma 2 5 24" xfId="7539" xr:uid="{00000000-0005-0000-0000-0000B0250000}"/>
    <cellStyle name="Comma 2 5 25" xfId="7540" xr:uid="{00000000-0005-0000-0000-0000B1250000}"/>
    <cellStyle name="Comma 2 5 26" xfId="7541" xr:uid="{00000000-0005-0000-0000-0000B2250000}"/>
    <cellStyle name="Comma 2 5 27" xfId="7542" xr:uid="{00000000-0005-0000-0000-0000B3250000}"/>
    <cellStyle name="Comma 2 5 28" xfId="7543" xr:uid="{00000000-0005-0000-0000-0000B4250000}"/>
    <cellStyle name="Comma 2 5 29" xfId="7544" xr:uid="{00000000-0005-0000-0000-0000B5250000}"/>
    <cellStyle name="Comma 2 5 3" xfId="181" xr:uid="{00000000-0005-0000-0000-0000B6250000}"/>
    <cellStyle name="Comma 2 5 3 2" xfId="182" xr:uid="{00000000-0005-0000-0000-0000B7250000}"/>
    <cellStyle name="Comma 2 5 30" xfId="7545" xr:uid="{00000000-0005-0000-0000-0000B8250000}"/>
    <cellStyle name="Comma 2 5 31" xfId="7546" xr:uid="{00000000-0005-0000-0000-0000B9250000}"/>
    <cellStyle name="Comma 2 5 32" xfId="7547" xr:uid="{00000000-0005-0000-0000-0000BA250000}"/>
    <cellStyle name="Comma 2 5 33" xfId="7548" xr:uid="{00000000-0005-0000-0000-0000BB250000}"/>
    <cellStyle name="Comma 2 5 34" xfId="7549" xr:uid="{00000000-0005-0000-0000-0000BC250000}"/>
    <cellStyle name="Comma 2 5 35" xfId="7550" xr:uid="{00000000-0005-0000-0000-0000BD250000}"/>
    <cellStyle name="Comma 2 5 36" xfId="7551" xr:uid="{00000000-0005-0000-0000-0000BE250000}"/>
    <cellStyle name="Comma 2 5 37" xfId="7552" xr:uid="{00000000-0005-0000-0000-0000BF250000}"/>
    <cellStyle name="Comma 2 5 37 2" xfId="7553" xr:uid="{00000000-0005-0000-0000-0000C0250000}"/>
    <cellStyle name="Comma 2 5 37 3" xfId="7554" xr:uid="{00000000-0005-0000-0000-0000C1250000}"/>
    <cellStyle name="Comma 2 5 38" xfId="7555" xr:uid="{00000000-0005-0000-0000-0000C2250000}"/>
    <cellStyle name="Comma 2 5 39" xfId="7556" xr:uid="{00000000-0005-0000-0000-0000C3250000}"/>
    <cellStyle name="Comma 2 5 39 2" xfId="7557" xr:uid="{00000000-0005-0000-0000-0000C4250000}"/>
    <cellStyle name="Comma 2 5 39 2 2" xfId="7558" xr:uid="{00000000-0005-0000-0000-0000C5250000}"/>
    <cellStyle name="Comma 2 5 39 2 2 2" xfId="7559" xr:uid="{00000000-0005-0000-0000-0000C6250000}"/>
    <cellStyle name="Comma 2 5 39 3" xfId="7560" xr:uid="{00000000-0005-0000-0000-0000C7250000}"/>
    <cellStyle name="Comma 2 5 39 4" xfId="7561" xr:uid="{00000000-0005-0000-0000-0000C8250000}"/>
    <cellStyle name="Comma 2 5 39 5" xfId="7562" xr:uid="{00000000-0005-0000-0000-0000C9250000}"/>
    <cellStyle name="Comma 2 5 4" xfId="183" xr:uid="{00000000-0005-0000-0000-0000CA250000}"/>
    <cellStyle name="Comma 2 5 40" xfId="7563" xr:uid="{00000000-0005-0000-0000-0000CB250000}"/>
    <cellStyle name="Comma 2 5 41" xfId="7564" xr:uid="{00000000-0005-0000-0000-0000CC250000}"/>
    <cellStyle name="Comma 2 5 42" xfId="7565" xr:uid="{00000000-0005-0000-0000-0000CD250000}"/>
    <cellStyle name="Comma 2 5 43" xfId="7566" xr:uid="{00000000-0005-0000-0000-0000CE250000}"/>
    <cellStyle name="Comma 2 5 5" xfId="184" xr:uid="{00000000-0005-0000-0000-0000CF250000}"/>
    <cellStyle name="Comma 2 5 6" xfId="185" xr:uid="{00000000-0005-0000-0000-0000D0250000}"/>
    <cellStyle name="Comma 2 5 7" xfId="186" xr:uid="{00000000-0005-0000-0000-0000D1250000}"/>
    <cellStyle name="Comma 2 5 8" xfId="187" xr:uid="{00000000-0005-0000-0000-0000D2250000}"/>
    <cellStyle name="Comma 2 5 9" xfId="188" xr:uid="{00000000-0005-0000-0000-0000D3250000}"/>
    <cellStyle name="Comma 2 50" xfId="7567" xr:uid="{00000000-0005-0000-0000-0000D4250000}"/>
    <cellStyle name="Comma 2 50 2" xfId="20496" xr:uid="{00000000-0005-0000-0000-0000D5250000}"/>
    <cellStyle name="Comma 2 51" xfId="7568" xr:uid="{00000000-0005-0000-0000-0000D6250000}"/>
    <cellStyle name="Comma 2 51 2" xfId="20497" xr:uid="{00000000-0005-0000-0000-0000D7250000}"/>
    <cellStyle name="Comma 2 52" xfId="7569" xr:uid="{00000000-0005-0000-0000-0000D8250000}"/>
    <cellStyle name="Comma 2 52 2" xfId="20498" xr:uid="{00000000-0005-0000-0000-0000D9250000}"/>
    <cellStyle name="Comma 2 53" xfId="7570" xr:uid="{00000000-0005-0000-0000-0000DA250000}"/>
    <cellStyle name="Comma 2 53 2" xfId="20499" xr:uid="{00000000-0005-0000-0000-0000DB250000}"/>
    <cellStyle name="Comma 2 54" xfId="7571" xr:uid="{00000000-0005-0000-0000-0000DC250000}"/>
    <cellStyle name="Comma 2 54 2" xfId="20500" xr:uid="{00000000-0005-0000-0000-0000DD250000}"/>
    <cellStyle name="Comma 2 55" xfId="7572" xr:uid="{00000000-0005-0000-0000-0000DE250000}"/>
    <cellStyle name="Comma 2 55 2" xfId="20501" xr:uid="{00000000-0005-0000-0000-0000DF250000}"/>
    <cellStyle name="Comma 2 56" xfId="7573" xr:uid="{00000000-0005-0000-0000-0000E0250000}"/>
    <cellStyle name="Comma 2 56 2" xfId="20502" xr:uid="{00000000-0005-0000-0000-0000E1250000}"/>
    <cellStyle name="Comma 2 57" xfId="7574" xr:uid="{00000000-0005-0000-0000-0000E2250000}"/>
    <cellStyle name="Comma 2 57 2" xfId="20503" xr:uid="{00000000-0005-0000-0000-0000E3250000}"/>
    <cellStyle name="Comma 2 58" xfId="7575" xr:uid="{00000000-0005-0000-0000-0000E4250000}"/>
    <cellStyle name="Comma 2 58 2" xfId="20504" xr:uid="{00000000-0005-0000-0000-0000E5250000}"/>
    <cellStyle name="Comma 2 59" xfId="7576" xr:uid="{00000000-0005-0000-0000-0000E6250000}"/>
    <cellStyle name="Comma 2 6" xfId="189" xr:uid="{00000000-0005-0000-0000-0000E7250000}"/>
    <cellStyle name="Comma 2 6 2" xfId="190" xr:uid="{00000000-0005-0000-0000-0000E8250000}"/>
    <cellStyle name="Comma 2 6 2 2" xfId="7577" xr:uid="{00000000-0005-0000-0000-0000E9250000}"/>
    <cellStyle name="Comma 2 6 3" xfId="191" xr:uid="{00000000-0005-0000-0000-0000EA250000}"/>
    <cellStyle name="Comma 2 6 4" xfId="192" xr:uid="{00000000-0005-0000-0000-0000EB250000}"/>
    <cellStyle name="Comma 2 6 4 2" xfId="27916" xr:uid="{00000000-0005-0000-0000-0000EC250000}"/>
    <cellStyle name="Comma 2 6 5" xfId="193" xr:uid="{00000000-0005-0000-0000-0000ED250000}"/>
    <cellStyle name="Comma 2 60" xfId="7578" xr:uid="{00000000-0005-0000-0000-0000EE250000}"/>
    <cellStyle name="Comma 2 61" xfId="7579" xr:uid="{00000000-0005-0000-0000-0000EF250000}"/>
    <cellStyle name="Comma 2 62" xfId="7580" xr:uid="{00000000-0005-0000-0000-0000F0250000}"/>
    <cellStyle name="Comma 2 63" xfId="7581" xr:uid="{00000000-0005-0000-0000-0000F1250000}"/>
    <cellStyle name="Comma 2 64" xfId="7582" xr:uid="{00000000-0005-0000-0000-0000F2250000}"/>
    <cellStyle name="Comma 2 65" xfId="7583" xr:uid="{00000000-0005-0000-0000-0000F3250000}"/>
    <cellStyle name="Comma 2 66" xfId="7584" xr:uid="{00000000-0005-0000-0000-0000F4250000}"/>
    <cellStyle name="Comma 2 67" xfId="7585" xr:uid="{00000000-0005-0000-0000-0000F5250000}"/>
    <cellStyle name="Comma 2 68" xfId="7586" xr:uid="{00000000-0005-0000-0000-0000F6250000}"/>
    <cellStyle name="Comma 2 69" xfId="7587" xr:uid="{00000000-0005-0000-0000-0000F7250000}"/>
    <cellStyle name="Comma 2 7" xfId="194" xr:uid="{00000000-0005-0000-0000-0000F8250000}"/>
    <cellStyle name="Comma 2 70" xfId="7588" xr:uid="{00000000-0005-0000-0000-0000F9250000}"/>
    <cellStyle name="Comma 2 70 2" xfId="20505" xr:uid="{00000000-0005-0000-0000-0000FA250000}"/>
    <cellStyle name="Comma 2 71" xfId="7589" xr:uid="{00000000-0005-0000-0000-0000FB250000}"/>
    <cellStyle name="Comma 2 71 2" xfId="20506" xr:uid="{00000000-0005-0000-0000-0000FC250000}"/>
    <cellStyle name="Comma 2 72" xfId="7590" xr:uid="{00000000-0005-0000-0000-0000FD250000}"/>
    <cellStyle name="Comma 2 73" xfId="7591" xr:uid="{00000000-0005-0000-0000-0000FE250000}"/>
    <cellStyle name="Comma 2 74" xfId="7592" xr:uid="{00000000-0005-0000-0000-0000FF250000}"/>
    <cellStyle name="Comma 2 75" xfId="7593" xr:uid="{00000000-0005-0000-0000-000000260000}"/>
    <cellStyle name="Comma 2 76" xfId="7594" xr:uid="{00000000-0005-0000-0000-000001260000}"/>
    <cellStyle name="Comma 2 77" xfId="7595" xr:uid="{00000000-0005-0000-0000-000002260000}"/>
    <cellStyle name="Comma 2 78" xfId="7596" xr:uid="{00000000-0005-0000-0000-000003260000}"/>
    <cellStyle name="Comma 2 79" xfId="7597" xr:uid="{00000000-0005-0000-0000-000004260000}"/>
    <cellStyle name="Comma 2 8" xfId="195" xr:uid="{00000000-0005-0000-0000-000005260000}"/>
    <cellStyle name="Comma 2 80" xfId="7598" xr:uid="{00000000-0005-0000-0000-000006260000}"/>
    <cellStyle name="Comma 2 81" xfId="7599" xr:uid="{00000000-0005-0000-0000-000007260000}"/>
    <cellStyle name="Comma 2 82" xfId="7600" xr:uid="{00000000-0005-0000-0000-000008260000}"/>
    <cellStyle name="Comma 2 83" xfId="7601" xr:uid="{00000000-0005-0000-0000-000009260000}"/>
    <cellStyle name="Comma 2 84" xfId="7602" xr:uid="{00000000-0005-0000-0000-00000A260000}"/>
    <cellStyle name="Comma 2 85" xfId="7603" xr:uid="{00000000-0005-0000-0000-00000B260000}"/>
    <cellStyle name="Comma 2 86" xfId="7604" xr:uid="{00000000-0005-0000-0000-00000C260000}"/>
    <cellStyle name="Comma 2 87" xfId="7605" xr:uid="{00000000-0005-0000-0000-00000D260000}"/>
    <cellStyle name="Comma 2 88" xfId="7606" xr:uid="{00000000-0005-0000-0000-00000E260000}"/>
    <cellStyle name="Comma 2 89" xfId="7607" xr:uid="{00000000-0005-0000-0000-00000F260000}"/>
    <cellStyle name="Comma 2 9" xfId="196" xr:uid="{00000000-0005-0000-0000-000010260000}"/>
    <cellStyle name="Comma 2 9 10" xfId="7608" xr:uid="{00000000-0005-0000-0000-000011260000}"/>
    <cellStyle name="Comma 2 9 11" xfId="7609" xr:uid="{00000000-0005-0000-0000-000012260000}"/>
    <cellStyle name="Comma 2 9 12" xfId="7610" xr:uid="{00000000-0005-0000-0000-000013260000}"/>
    <cellStyle name="Comma 2 9 13" xfId="7611" xr:uid="{00000000-0005-0000-0000-000014260000}"/>
    <cellStyle name="Comma 2 9 14" xfId="7612" xr:uid="{00000000-0005-0000-0000-000015260000}"/>
    <cellStyle name="Comma 2 9 15" xfId="7613" xr:uid="{00000000-0005-0000-0000-000016260000}"/>
    <cellStyle name="Comma 2 9 16" xfId="7614" xr:uid="{00000000-0005-0000-0000-000017260000}"/>
    <cellStyle name="Comma 2 9 17" xfId="7615" xr:uid="{00000000-0005-0000-0000-000018260000}"/>
    <cellStyle name="Comma 2 9 18" xfId="7616" xr:uid="{00000000-0005-0000-0000-000019260000}"/>
    <cellStyle name="Comma 2 9 19" xfId="7617" xr:uid="{00000000-0005-0000-0000-00001A260000}"/>
    <cellStyle name="Comma 2 9 2" xfId="7618" xr:uid="{00000000-0005-0000-0000-00001B260000}"/>
    <cellStyle name="Comma 2 9 20" xfId="7619" xr:uid="{00000000-0005-0000-0000-00001C260000}"/>
    <cellStyle name="Comma 2 9 21" xfId="7620" xr:uid="{00000000-0005-0000-0000-00001D260000}"/>
    <cellStyle name="Comma 2 9 22" xfId="7621" xr:uid="{00000000-0005-0000-0000-00001E260000}"/>
    <cellStyle name="Comma 2 9 23" xfId="7622" xr:uid="{00000000-0005-0000-0000-00001F260000}"/>
    <cellStyle name="Comma 2 9 24" xfId="7623" xr:uid="{00000000-0005-0000-0000-000020260000}"/>
    <cellStyle name="Comma 2 9 25" xfId="7624" xr:uid="{00000000-0005-0000-0000-000021260000}"/>
    <cellStyle name="Comma 2 9 26" xfId="7625" xr:uid="{00000000-0005-0000-0000-000022260000}"/>
    <cellStyle name="Comma 2 9 27" xfId="7626" xr:uid="{00000000-0005-0000-0000-000023260000}"/>
    <cellStyle name="Comma 2 9 28" xfId="7627" xr:uid="{00000000-0005-0000-0000-000024260000}"/>
    <cellStyle name="Comma 2 9 29" xfId="7628" xr:uid="{00000000-0005-0000-0000-000025260000}"/>
    <cellStyle name="Comma 2 9 3" xfId="7629" xr:uid="{00000000-0005-0000-0000-000026260000}"/>
    <cellStyle name="Comma 2 9 30" xfId="7630" xr:uid="{00000000-0005-0000-0000-000027260000}"/>
    <cellStyle name="Comma 2 9 31" xfId="7631" xr:uid="{00000000-0005-0000-0000-000028260000}"/>
    <cellStyle name="Comma 2 9 32" xfId="7632" xr:uid="{00000000-0005-0000-0000-000029260000}"/>
    <cellStyle name="Comma 2 9 33" xfId="7633" xr:uid="{00000000-0005-0000-0000-00002A260000}"/>
    <cellStyle name="Comma 2 9 34" xfId="7634" xr:uid="{00000000-0005-0000-0000-00002B260000}"/>
    <cellStyle name="Comma 2 9 35" xfId="7635" xr:uid="{00000000-0005-0000-0000-00002C260000}"/>
    <cellStyle name="Comma 2 9 36" xfId="7636" xr:uid="{00000000-0005-0000-0000-00002D260000}"/>
    <cellStyle name="Comma 2 9 37" xfId="7637" xr:uid="{00000000-0005-0000-0000-00002E260000}"/>
    <cellStyle name="Comma 2 9 38" xfId="7638" xr:uid="{00000000-0005-0000-0000-00002F260000}"/>
    <cellStyle name="Comma 2 9 39" xfId="7639" xr:uid="{00000000-0005-0000-0000-000030260000}"/>
    <cellStyle name="Comma 2 9 4" xfId="7640" xr:uid="{00000000-0005-0000-0000-000031260000}"/>
    <cellStyle name="Comma 2 9 40" xfId="7641" xr:uid="{00000000-0005-0000-0000-000032260000}"/>
    <cellStyle name="Comma 2 9 41" xfId="7642" xr:uid="{00000000-0005-0000-0000-000033260000}"/>
    <cellStyle name="Comma 2 9 42" xfId="7643" xr:uid="{00000000-0005-0000-0000-000034260000}"/>
    <cellStyle name="Comma 2 9 5" xfId="7644" xr:uid="{00000000-0005-0000-0000-000035260000}"/>
    <cellStyle name="Comma 2 9 6" xfId="7645" xr:uid="{00000000-0005-0000-0000-000036260000}"/>
    <cellStyle name="Comma 2 9 7" xfId="7646" xr:uid="{00000000-0005-0000-0000-000037260000}"/>
    <cellStyle name="Comma 2 9 8" xfId="7647" xr:uid="{00000000-0005-0000-0000-000038260000}"/>
    <cellStyle name="Comma 2 9 9" xfId="7648" xr:uid="{00000000-0005-0000-0000-000039260000}"/>
    <cellStyle name="Comma 2 90" xfId="7649" xr:uid="{00000000-0005-0000-0000-00003A260000}"/>
    <cellStyle name="Comma 2 91" xfId="7650" xr:uid="{00000000-0005-0000-0000-00003B260000}"/>
    <cellStyle name="Comma 2 92" xfId="7651" xr:uid="{00000000-0005-0000-0000-00003C260000}"/>
    <cellStyle name="Comma 2 93" xfId="7652" xr:uid="{00000000-0005-0000-0000-00003D260000}"/>
    <cellStyle name="Comma 2 94" xfId="7653" xr:uid="{00000000-0005-0000-0000-00003E260000}"/>
    <cellStyle name="Comma 2 95" xfId="7654" xr:uid="{00000000-0005-0000-0000-00003F260000}"/>
    <cellStyle name="Comma 2 96" xfId="7655" xr:uid="{00000000-0005-0000-0000-000040260000}"/>
    <cellStyle name="Comma 2 97" xfId="7656" xr:uid="{00000000-0005-0000-0000-000041260000}"/>
    <cellStyle name="Comma 2 98" xfId="7657" xr:uid="{00000000-0005-0000-0000-000042260000}"/>
    <cellStyle name="Comma 2 99" xfId="7658" xr:uid="{00000000-0005-0000-0000-000043260000}"/>
    <cellStyle name="Comma 2_03 - ARZANAH AMC BOQ" xfId="7659" xr:uid="{00000000-0005-0000-0000-000044260000}"/>
    <cellStyle name="Comma 20" xfId="197" xr:uid="{00000000-0005-0000-0000-000045260000}"/>
    <cellStyle name="Comma 20 2" xfId="7660" xr:uid="{00000000-0005-0000-0000-000046260000}"/>
    <cellStyle name="Comma 20 2 2" xfId="7661" xr:uid="{00000000-0005-0000-0000-000047260000}"/>
    <cellStyle name="Comma 20 3" xfId="22696" xr:uid="{00000000-0005-0000-0000-000048260000}"/>
    <cellStyle name="Comma 20 3 2" xfId="27924" xr:uid="{D6329459-EA4C-472A-9221-C782B71D1328}"/>
    <cellStyle name="Comma 20 3 2 2" xfId="27941" xr:uid="{DA514BB6-ADF8-42C0-BC54-C18D0CC3F1B6}"/>
    <cellStyle name="Comma 20 3 2 3" xfId="27954" xr:uid="{EE89B569-5DF1-4FE3-8575-AD8E3883618E}"/>
    <cellStyle name="Comma 20 3 3" xfId="27929" xr:uid="{0B95275B-860D-49B9-BB0D-38621C5D704C}"/>
    <cellStyle name="Comma 20 3 3 2" xfId="27940" xr:uid="{1782FFC5-63C7-44F5-B240-1AE8C7B5A169}"/>
    <cellStyle name="Comma 20 3 4" xfId="27939" xr:uid="{8F70185E-00AB-4E96-8CC4-4B41F1F5C178}"/>
    <cellStyle name="Comma 20 3 5" xfId="27944" xr:uid="{AFEB6DB7-F7CB-4381-ABE1-BD0C7DCB9152}"/>
    <cellStyle name="Comma 20 3 5 2" xfId="27946" xr:uid="{EACEFBDB-B604-44AF-AA8F-48933D28FA1E}"/>
    <cellStyle name="Comma 20 3 5 3" xfId="27953" xr:uid="{262A1D5F-4549-4D3D-B75E-5D003B06F255}"/>
    <cellStyle name="Comma 20 3 6" xfId="27969" xr:uid="{88AEF912-FE53-4095-A0F1-16408DA31492}"/>
    <cellStyle name="Comma 21" xfId="198" xr:uid="{00000000-0005-0000-0000-000049260000}"/>
    <cellStyle name="Comma 21 2" xfId="7662" xr:uid="{00000000-0005-0000-0000-00004A260000}"/>
    <cellStyle name="Comma 21 2 2" xfId="20507" xr:uid="{00000000-0005-0000-0000-00004B260000}"/>
    <cellStyle name="Comma 22" xfId="199" xr:uid="{00000000-0005-0000-0000-00004C260000}"/>
    <cellStyle name="Comma 22 2" xfId="7663" xr:uid="{00000000-0005-0000-0000-00004D260000}"/>
    <cellStyle name="Comma 22 2 2" xfId="20508" xr:uid="{00000000-0005-0000-0000-00004E260000}"/>
    <cellStyle name="Comma 22 3" xfId="7664" xr:uid="{00000000-0005-0000-0000-00004F260000}"/>
    <cellStyle name="Comma 22 3 2" xfId="20509" xr:uid="{00000000-0005-0000-0000-000050260000}"/>
    <cellStyle name="Comma 23" xfId="200" xr:uid="{00000000-0005-0000-0000-000051260000}"/>
    <cellStyle name="Comma 23 2" xfId="7665" xr:uid="{00000000-0005-0000-0000-000052260000}"/>
    <cellStyle name="Comma 23 2 2" xfId="20510" xr:uid="{00000000-0005-0000-0000-000053260000}"/>
    <cellStyle name="Comma 23 3" xfId="7666" xr:uid="{00000000-0005-0000-0000-000054260000}"/>
    <cellStyle name="Comma 23 3 2" xfId="20511" xr:uid="{00000000-0005-0000-0000-000055260000}"/>
    <cellStyle name="Comma 24" xfId="201" xr:uid="{00000000-0005-0000-0000-000056260000}"/>
    <cellStyle name="Comma 24 2" xfId="7667" xr:uid="{00000000-0005-0000-0000-000057260000}"/>
    <cellStyle name="Comma 25" xfId="202" xr:uid="{00000000-0005-0000-0000-000058260000}"/>
    <cellStyle name="Comma 26" xfId="203" xr:uid="{00000000-0005-0000-0000-000059260000}"/>
    <cellStyle name="Comma 26 2" xfId="7668" xr:uid="{00000000-0005-0000-0000-00005A260000}"/>
    <cellStyle name="Comma 26 2 2" xfId="20512" xr:uid="{00000000-0005-0000-0000-00005B260000}"/>
    <cellStyle name="Comma 26 3" xfId="7669" xr:uid="{00000000-0005-0000-0000-00005C260000}"/>
    <cellStyle name="Comma 26 3 2" xfId="20513" xr:uid="{00000000-0005-0000-0000-00005D260000}"/>
    <cellStyle name="Comma 27" xfId="204" xr:uid="{00000000-0005-0000-0000-00005E260000}"/>
    <cellStyle name="Comma 28" xfId="205" xr:uid="{00000000-0005-0000-0000-00005F260000}"/>
    <cellStyle name="Comma 29" xfId="206" xr:uid="{00000000-0005-0000-0000-000060260000}"/>
    <cellStyle name="Comma 3" xfId="207" xr:uid="{00000000-0005-0000-0000-000061260000}"/>
    <cellStyle name="Comma 3 10" xfId="7670" xr:uid="{00000000-0005-0000-0000-000062260000}"/>
    <cellStyle name="Comma 3 11" xfId="7671" xr:uid="{00000000-0005-0000-0000-000063260000}"/>
    <cellStyle name="Comma 3 12" xfId="7672" xr:uid="{00000000-0005-0000-0000-000064260000}"/>
    <cellStyle name="Comma 3 13" xfId="7673" xr:uid="{00000000-0005-0000-0000-000065260000}"/>
    <cellStyle name="Comma 3 14" xfId="7674" xr:uid="{00000000-0005-0000-0000-000066260000}"/>
    <cellStyle name="Comma 3 15" xfId="7675" xr:uid="{00000000-0005-0000-0000-000067260000}"/>
    <cellStyle name="Comma 3 16" xfId="7676" xr:uid="{00000000-0005-0000-0000-000068260000}"/>
    <cellStyle name="Comma 3 17" xfId="7677" xr:uid="{00000000-0005-0000-0000-000069260000}"/>
    <cellStyle name="Comma 3 18" xfId="7678" xr:uid="{00000000-0005-0000-0000-00006A260000}"/>
    <cellStyle name="Comma 3 19" xfId="7679" xr:uid="{00000000-0005-0000-0000-00006B260000}"/>
    <cellStyle name="Comma 3 2" xfId="208" xr:uid="{00000000-0005-0000-0000-00006C260000}"/>
    <cellStyle name="Comma 3 2 10" xfId="24231" xr:uid="{00000000-0005-0000-0000-00006D260000}"/>
    <cellStyle name="Comma 3 2 10 2" xfId="24232" xr:uid="{00000000-0005-0000-0000-00006E260000}"/>
    <cellStyle name="Comma 3 2 10 2 2" xfId="24233" xr:uid="{00000000-0005-0000-0000-00006F260000}"/>
    <cellStyle name="Comma 3 2 10 2 2 2" xfId="24234" xr:uid="{00000000-0005-0000-0000-000070260000}"/>
    <cellStyle name="Comma 3 2 10 2 3" xfId="24235" xr:uid="{00000000-0005-0000-0000-000071260000}"/>
    <cellStyle name="Comma 3 2 10 3" xfId="24236" xr:uid="{00000000-0005-0000-0000-000072260000}"/>
    <cellStyle name="Comma 3 2 10 3 2" xfId="24237" xr:uid="{00000000-0005-0000-0000-000073260000}"/>
    <cellStyle name="Comma 3 2 10 4" xfId="24238" xr:uid="{00000000-0005-0000-0000-000074260000}"/>
    <cellStyle name="Comma 3 2 11" xfId="24239" xr:uid="{00000000-0005-0000-0000-000075260000}"/>
    <cellStyle name="Comma 3 2 11 2" xfId="24240" xr:uid="{00000000-0005-0000-0000-000076260000}"/>
    <cellStyle name="Comma 3 2 11 2 2" xfId="24241" xr:uid="{00000000-0005-0000-0000-000077260000}"/>
    <cellStyle name="Comma 3 2 11 2 2 2" xfId="24242" xr:uid="{00000000-0005-0000-0000-000078260000}"/>
    <cellStyle name="Comma 3 2 11 2 3" xfId="24243" xr:uid="{00000000-0005-0000-0000-000079260000}"/>
    <cellStyle name="Comma 3 2 11 3" xfId="24244" xr:uid="{00000000-0005-0000-0000-00007A260000}"/>
    <cellStyle name="Comma 3 2 11 3 2" xfId="24245" xr:uid="{00000000-0005-0000-0000-00007B260000}"/>
    <cellStyle name="Comma 3 2 11 4" xfId="24246" xr:uid="{00000000-0005-0000-0000-00007C260000}"/>
    <cellStyle name="Comma 3 2 12" xfId="24247" xr:uid="{00000000-0005-0000-0000-00007D260000}"/>
    <cellStyle name="Comma 3 2 12 2" xfId="24248" xr:uid="{00000000-0005-0000-0000-00007E260000}"/>
    <cellStyle name="Comma 3 2 12 2 2" xfId="24249" xr:uid="{00000000-0005-0000-0000-00007F260000}"/>
    <cellStyle name="Comma 3 2 12 3" xfId="24250" xr:uid="{00000000-0005-0000-0000-000080260000}"/>
    <cellStyle name="Comma 3 2 13" xfId="24251" xr:uid="{00000000-0005-0000-0000-000081260000}"/>
    <cellStyle name="Comma 3 2 14" xfId="24252" xr:uid="{00000000-0005-0000-0000-000082260000}"/>
    <cellStyle name="Comma 3 2 14 2" xfId="24253" xr:uid="{00000000-0005-0000-0000-000083260000}"/>
    <cellStyle name="Comma 3 2 15" xfId="24254" xr:uid="{00000000-0005-0000-0000-000084260000}"/>
    <cellStyle name="Comma 3 2 2" xfId="5" xr:uid="{00000000-0005-0000-0000-000085260000}"/>
    <cellStyle name="Comma 3 2 2 10" xfId="24255" xr:uid="{00000000-0005-0000-0000-000086260000}"/>
    <cellStyle name="Comma 3 2 2 10 2" xfId="24256" xr:uid="{00000000-0005-0000-0000-000087260000}"/>
    <cellStyle name="Comma 3 2 2 10 2 2" xfId="24257" xr:uid="{00000000-0005-0000-0000-000088260000}"/>
    <cellStyle name="Comma 3 2 2 10 3" xfId="24258" xr:uid="{00000000-0005-0000-0000-000089260000}"/>
    <cellStyle name="Comma 3 2 2 11" xfId="24259" xr:uid="{00000000-0005-0000-0000-00008A260000}"/>
    <cellStyle name="Comma 3 2 2 12" xfId="24260" xr:uid="{00000000-0005-0000-0000-00008B260000}"/>
    <cellStyle name="Comma 3 2 2 12 2" xfId="24261" xr:uid="{00000000-0005-0000-0000-00008C260000}"/>
    <cellStyle name="Comma 3 2 2 13" xfId="24262" xr:uid="{00000000-0005-0000-0000-00008D260000}"/>
    <cellStyle name="Comma 3 2 2 2" xfId="24263" xr:uid="{00000000-0005-0000-0000-00008E260000}"/>
    <cellStyle name="Comma 3 2 2 2 10" xfId="24264" xr:uid="{00000000-0005-0000-0000-00008F260000}"/>
    <cellStyle name="Comma 3 2 2 2 2" xfId="24265" xr:uid="{00000000-0005-0000-0000-000090260000}"/>
    <cellStyle name="Comma 3 2 2 2 2 2" xfId="24266" xr:uid="{00000000-0005-0000-0000-000091260000}"/>
    <cellStyle name="Comma 3 2 2 2 2 2 2" xfId="24267" xr:uid="{00000000-0005-0000-0000-000092260000}"/>
    <cellStyle name="Comma 3 2 2 2 2 2 2 2" xfId="24268" xr:uid="{00000000-0005-0000-0000-000093260000}"/>
    <cellStyle name="Comma 3 2 2 2 2 2 2 2 2" xfId="24269" xr:uid="{00000000-0005-0000-0000-000094260000}"/>
    <cellStyle name="Comma 3 2 2 2 2 2 2 2 2 2" xfId="24270" xr:uid="{00000000-0005-0000-0000-000095260000}"/>
    <cellStyle name="Comma 3 2 2 2 2 2 2 2 3" xfId="24271" xr:uid="{00000000-0005-0000-0000-000096260000}"/>
    <cellStyle name="Comma 3 2 2 2 2 2 2 3" xfId="24272" xr:uid="{00000000-0005-0000-0000-000097260000}"/>
    <cellStyle name="Comma 3 2 2 2 2 2 2 3 2" xfId="24273" xr:uid="{00000000-0005-0000-0000-000098260000}"/>
    <cellStyle name="Comma 3 2 2 2 2 2 2 4" xfId="24274" xr:uid="{00000000-0005-0000-0000-000099260000}"/>
    <cellStyle name="Comma 3 2 2 2 2 2 3" xfId="24275" xr:uid="{00000000-0005-0000-0000-00009A260000}"/>
    <cellStyle name="Comma 3 2 2 2 2 2 3 2" xfId="24276" xr:uid="{00000000-0005-0000-0000-00009B260000}"/>
    <cellStyle name="Comma 3 2 2 2 2 2 3 2 2" xfId="24277" xr:uid="{00000000-0005-0000-0000-00009C260000}"/>
    <cellStyle name="Comma 3 2 2 2 2 2 3 2 2 2" xfId="24278" xr:uid="{00000000-0005-0000-0000-00009D260000}"/>
    <cellStyle name="Comma 3 2 2 2 2 2 3 2 3" xfId="24279" xr:uid="{00000000-0005-0000-0000-00009E260000}"/>
    <cellStyle name="Comma 3 2 2 2 2 2 3 3" xfId="24280" xr:uid="{00000000-0005-0000-0000-00009F260000}"/>
    <cellStyle name="Comma 3 2 2 2 2 2 3 3 2" xfId="24281" xr:uid="{00000000-0005-0000-0000-0000A0260000}"/>
    <cellStyle name="Comma 3 2 2 2 2 2 3 4" xfId="24282" xr:uid="{00000000-0005-0000-0000-0000A1260000}"/>
    <cellStyle name="Comma 3 2 2 2 2 2 4" xfId="24283" xr:uid="{00000000-0005-0000-0000-0000A2260000}"/>
    <cellStyle name="Comma 3 2 2 2 2 2 4 2" xfId="24284" xr:uid="{00000000-0005-0000-0000-0000A3260000}"/>
    <cellStyle name="Comma 3 2 2 2 2 2 4 2 2" xfId="24285" xr:uid="{00000000-0005-0000-0000-0000A4260000}"/>
    <cellStyle name="Comma 3 2 2 2 2 2 4 3" xfId="24286" xr:uid="{00000000-0005-0000-0000-0000A5260000}"/>
    <cellStyle name="Comma 3 2 2 2 2 2 5" xfId="24287" xr:uid="{00000000-0005-0000-0000-0000A6260000}"/>
    <cellStyle name="Comma 3 2 2 2 2 2 5 2" xfId="24288" xr:uid="{00000000-0005-0000-0000-0000A7260000}"/>
    <cellStyle name="Comma 3 2 2 2 2 2 6" xfId="24289" xr:uid="{00000000-0005-0000-0000-0000A8260000}"/>
    <cellStyle name="Comma 3 2 2 2 2 3" xfId="24290" xr:uid="{00000000-0005-0000-0000-0000A9260000}"/>
    <cellStyle name="Comma 3 2 2 2 2 3 2" xfId="24291" xr:uid="{00000000-0005-0000-0000-0000AA260000}"/>
    <cellStyle name="Comma 3 2 2 2 2 3 2 2" xfId="24292" xr:uid="{00000000-0005-0000-0000-0000AB260000}"/>
    <cellStyle name="Comma 3 2 2 2 2 3 2 2 2" xfId="24293" xr:uid="{00000000-0005-0000-0000-0000AC260000}"/>
    <cellStyle name="Comma 3 2 2 2 2 3 2 2 2 2" xfId="24294" xr:uid="{00000000-0005-0000-0000-0000AD260000}"/>
    <cellStyle name="Comma 3 2 2 2 2 3 2 2 3" xfId="24295" xr:uid="{00000000-0005-0000-0000-0000AE260000}"/>
    <cellStyle name="Comma 3 2 2 2 2 3 2 3" xfId="24296" xr:uid="{00000000-0005-0000-0000-0000AF260000}"/>
    <cellStyle name="Comma 3 2 2 2 2 3 2 3 2" xfId="24297" xr:uid="{00000000-0005-0000-0000-0000B0260000}"/>
    <cellStyle name="Comma 3 2 2 2 2 3 2 4" xfId="24298" xr:uid="{00000000-0005-0000-0000-0000B1260000}"/>
    <cellStyle name="Comma 3 2 2 2 2 3 3" xfId="24299" xr:uid="{00000000-0005-0000-0000-0000B2260000}"/>
    <cellStyle name="Comma 3 2 2 2 2 3 3 2" xfId="24300" xr:uid="{00000000-0005-0000-0000-0000B3260000}"/>
    <cellStyle name="Comma 3 2 2 2 2 3 3 2 2" xfId="24301" xr:uid="{00000000-0005-0000-0000-0000B4260000}"/>
    <cellStyle name="Comma 3 2 2 2 2 3 3 3" xfId="24302" xr:uid="{00000000-0005-0000-0000-0000B5260000}"/>
    <cellStyle name="Comma 3 2 2 2 2 3 4" xfId="24303" xr:uid="{00000000-0005-0000-0000-0000B6260000}"/>
    <cellStyle name="Comma 3 2 2 2 2 3 4 2" xfId="24304" xr:uid="{00000000-0005-0000-0000-0000B7260000}"/>
    <cellStyle name="Comma 3 2 2 2 2 3 5" xfId="24305" xr:uid="{00000000-0005-0000-0000-0000B8260000}"/>
    <cellStyle name="Comma 3 2 2 2 2 4" xfId="24306" xr:uid="{00000000-0005-0000-0000-0000B9260000}"/>
    <cellStyle name="Comma 3 2 2 2 2 4 2" xfId="24307" xr:uid="{00000000-0005-0000-0000-0000BA260000}"/>
    <cellStyle name="Comma 3 2 2 2 2 4 2 2" xfId="24308" xr:uid="{00000000-0005-0000-0000-0000BB260000}"/>
    <cellStyle name="Comma 3 2 2 2 2 4 2 2 2" xfId="24309" xr:uid="{00000000-0005-0000-0000-0000BC260000}"/>
    <cellStyle name="Comma 3 2 2 2 2 4 2 3" xfId="24310" xr:uid="{00000000-0005-0000-0000-0000BD260000}"/>
    <cellStyle name="Comma 3 2 2 2 2 4 3" xfId="24311" xr:uid="{00000000-0005-0000-0000-0000BE260000}"/>
    <cellStyle name="Comma 3 2 2 2 2 4 3 2" xfId="24312" xr:uid="{00000000-0005-0000-0000-0000BF260000}"/>
    <cellStyle name="Comma 3 2 2 2 2 4 4" xfId="24313" xr:uid="{00000000-0005-0000-0000-0000C0260000}"/>
    <cellStyle name="Comma 3 2 2 2 2 5" xfId="24314" xr:uid="{00000000-0005-0000-0000-0000C1260000}"/>
    <cellStyle name="Comma 3 2 2 2 2 5 2" xfId="24315" xr:uid="{00000000-0005-0000-0000-0000C2260000}"/>
    <cellStyle name="Comma 3 2 2 2 2 5 2 2" xfId="24316" xr:uid="{00000000-0005-0000-0000-0000C3260000}"/>
    <cellStyle name="Comma 3 2 2 2 2 5 2 2 2" xfId="24317" xr:uid="{00000000-0005-0000-0000-0000C4260000}"/>
    <cellStyle name="Comma 3 2 2 2 2 5 2 3" xfId="24318" xr:uid="{00000000-0005-0000-0000-0000C5260000}"/>
    <cellStyle name="Comma 3 2 2 2 2 5 3" xfId="24319" xr:uid="{00000000-0005-0000-0000-0000C6260000}"/>
    <cellStyle name="Comma 3 2 2 2 2 5 3 2" xfId="24320" xr:uid="{00000000-0005-0000-0000-0000C7260000}"/>
    <cellStyle name="Comma 3 2 2 2 2 5 4" xfId="24321" xr:uid="{00000000-0005-0000-0000-0000C8260000}"/>
    <cellStyle name="Comma 3 2 2 2 2 6" xfId="24322" xr:uid="{00000000-0005-0000-0000-0000C9260000}"/>
    <cellStyle name="Comma 3 2 2 2 2 6 2" xfId="24323" xr:uid="{00000000-0005-0000-0000-0000CA260000}"/>
    <cellStyle name="Comma 3 2 2 2 2 6 2 2" xfId="24324" xr:uid="{00000000-0005-0000-0000-0000CB260000}"/>
    <cellStyle name="Comma 3 2 2 2 2 6 3" xfId="24325" xr:uid="{00000000-0005-0000-0000-0000CC260000}"/>
    <cellStyle name="Comma 3 2 2 2 2 7" xfId="24326" xr:uid="{00000000-0005-0000-0000-0000CD260000}"/>
    <cellStyle name="Comma 3 2 2 2 2 7 2" xfId="24327" xr:uid="{00000000-0005-0000-0000-0000CE260000}"/>
    <cellStyle name="Comma 3 2 2 2 2 8" xfId="24328" xr:uid="{00000000-0005-0000-0000-0000CF260000}"/>
    <cellStyle name="Comma 3 2 2 2 3" xfId="24329" xr:uid="{00000000-0005-0000-0000-0000D0260000}"/>
    <cellStyle name="Comma 3 2 2 2 3 2" xfId="24330" xr:uid="{00000000-0005-0000-0000-0000D1260000}"/>
    <cellStyle name="Comma 3 2 2 2 3 2 2" xfId="24331" xr:uid="{00000000-0005-0000-0000-0000D2260000}"/>
    <cellStyle name="Comma 3 2 2 2 3 2 2 2" xfId="24332" xr:uid="{00000000-0005-0000-0000-0000D3260000}"/>
    <cellStyle name="Comma 3 2 2 2 3 2 2 2 2" xfId="24333" xr:uid="{00000000-0005-0000-0000-0000D4260000}"/>
    <cellStyle name="Comma 3 2 2 2 3 2 2 3" xfId="24334" xr:uid="{00000000-0005-0000-0000-0000D5260000}"/>
    <cellStyle name="Comma 3 2 2 2 3 2 3" xfId="24335" xr:uid="{00000000-0005-0000-0000-0000D6260000}"/>
    <cellStyle name="Comma 3 2 2 2 3 2 3 2" xfId="24336" xr:uid="{00000000-0005-0000-0000-0000D7260000}"/>
    <cellStyle name="Comma 3 2 2 2 3 2 4" xfId="24337" xr:uid="{00000000-0005-0000-0000-0000D8260000}"/>
    <cellStyle name="Comma 3 2 2 2 3 3" xfId="24338" xr:uid="{00000000-0005-0000-0000-0000D9260000}"/>
    <cellStyle name="Comma 3 2 2 2 3 3 2" xfId="24339" xr:uid="{00000000-0005-0000-0000-0000DA260000}"/>
    <cellStyle name="Comma 3 2 2 2 3 3 2 2" xfId="24340" xr:uid="{00000000-0005-0000-0000-0000DB260000}"/>
    <cellStyle name="Comma 3 2 2 2 3 3 2 2 2" xfId="24341" xr:uid="{00000000-0005-0000-0000-0000DC260000}"/>
    <cellStyle name="Comma 3 2 2 2 3 3 2 3" xfId="24342" xr:uid="{00000000-0005-0000-0000-0000DD260000}"/>
    <cellStyle name="Comma 3 2 2 2 3 3 3" xfId="24343" xr:uid="{00000000-0005-0000-0000-0000DE260000}"/>
    <cellStyle name="Comma 3 2 2 2 3 3 3 2" xfId="24344" xr:uid="{00000000-0005-0000-0000-0000DF260000}"/>
    <cellStyle name="Comma 3 2 2 2 3 3 4" xfId="24345" xr:uid="{00000000-0005-0000-0000-0000E0260000}"/>
    <cellStyle name="Comma 3 2 2 2 3 4" xfId="24346" xr:uid="{00000000-0005-0000-0000-0000E1260000}"/>
    <cellStyle name="Comma 3 2 2 2 3 4 2" xfId="24347" xr:uid="{00000000-0005-0000-0000-0000E2260000}"/>
    <cellStyle name="Comma 3 2 2 2 3 4 2 2" xfId="24348" xr:uid="{00000000-0005-0000-0000-0000E3260000}"/>
    <cellStyle name="Comma 3 2 2 2 3 4 3" xfId="24349" xr:uid="{00000000-0005-0000-0000-0000E4260000}"/>
    <cellStyle name="Comma 3 2 2 2 3 5" xfId="24350" xr:uid="{00000000-0005-0000-0000-0000E5260000}"/>
    <cellStyle name="Comma 3 2 2 2 3 5 2" xfId="24351" xr:uid="{00000000-0005-0000-0000-0000E6260000}"/>
    <cellStyle name="Comma 3 2 2 2 3 6" xfId="24352" xr:uid="{00000000-0005-0000-0000-0000E7260000}"/>
    <cellStyle name="Comma 3 2 2 2 4" xfId="24353" xr:uid="{00000000-0005-0000-0000-0000E8260000}"/>
    <cellStyle name="Comma 3 2 2 2 4 2" xfId="24354" xr:uid="{00000000-0005-0000-0000-0000E9260000}"/>
    <cellStyle name="Comma 3 2 2 2 4 2 2" xfId="24355" xr:uid="{00000000-0005-0000-0000-0000EA260000}"/>
    <cellStyle name="Comma 3 2 2 2 4 2 2 2" xfId="24356" xr:uid="{00000000-0005-0000-0000-0000EB260000}"/>
    <cellStyle name="Comma 3 2 2 2 4 2 2 2 2" xfId="24357" xr:uid="{00000000-0005-0000-0000-0000EC260000}"/>
    <cellStyle name="Comma 3 2 2 2 4 2 2 3" xfId="24358" xr:uid="{00000000-0005-0000-0000-0000ED260000}"/>
    <cellStyle name="Comma 3 2 2 2 4 2 3" xfId="24359" xr:uid="{00000000-0005-0000-0000-0000EE260000}"/>
    <cellStyle name="Comma 3 2 2 2 4 2 3 2" xfId="24360" xr:uid="{00000000-0005-0000-0000-0000EF260000}"/>
    <cellStyle name="Comma 3 2 2 2 4 2 4" xfId="24361" xr:uid="{00000000-0005-0000-0000-0000F0260000}"/>
    <cellStyle name="Comma 3 2 2 2 4 3" xfId="24362" xr:uid="{00000000-0005-0000-0000-0000F1260000}"/>
    <cellStyle name="Comma 3 2 2 2 4 3 2" xfId="24363" xr:uid="{00000000-0005-0000-0000-0000F2260000}"/>
    <cellStyle name="Comma 3 2 2 2 4 3 2 2" xfId="24364" xr:uid="{00000000-0005-0000-0000-0000F3260000}"/>
    <cellStyle name="Comma 3 2 2 2 4 3 3" xfId="24365" xr:uid="{00000000-0005-0000-0000-0000F4260000}"/>
    <cellStyle name="Comma 3 2 2 2 4 4" xfId="24366" xr:uid="{00000000-0005-0000-0000-0000F5260000}"/>
    <cellStyle name="Comma 3 2 2 2 4 4 2" xfId="24367" xr:uid="{00000000-0005-0000-0000-0000F6260000}"/>
    <cellStyle name="Comma 3 2 2 2 4 5" xfId="24368" xr:uid="{00000000-0005-0000-0000-0000F7260000}"/>
    <cellStyle name="Comma 3 2 2 2 5" xfId="24369" xr:uid="{00000000-0005-0000-0000-0000F8260000}"/>
    <cellStyle name="Comma 3 2 2 2 5 2" xfId="24370" xr:uid="{00000000-0005-0000-0000-0000F9260000}"/>
    <cellStyle name="Comma 3 2 2 2 5 2 2" xfId="24371" xr:uid="{00000000-0005-0000-0000-0000FA260000}"/>
    <cellStyle name="Comma 3 2 2 2 5 2 2 2" xfId="24372" xr:uid="{00000000-0005-0000-0000-0000FB260000}"/>
    <cellStyle name="Comma 3 2 2 2 5 2 3" xfId="24373" xr:uid="{00000000-0005-0000-0000-0000FC260000}"/>
    <cellStyle name="Comma 3 2 2 2 5 3" xfId="24374" xr:uid="{00000000-0005-0000-0000-0000FD260000}"/>
    <cellStyle name="Comma 3 2 2 2 5 3 2" xfId="24375" xr:uid="{00000000-0005-0000-0000-0000FE260000}"/>
    <cellStyle name="Comma 3 2 2 2 5 4" xfId="24376" xr:uid="{00000000-0005-0000-0000-0000FF260000}"/>
    <cellStyle name="Comma 3 2 2 2 6" xfId="24377" xr:uid="{00000000-0005-0000-0000-000000270000}"/>
    <cellStyle name="Comma 3 2 2 2 6 2" xfId="24378" xr:uid="{00000000-0005-0000-0000-000001270000}"/>
    <cellStyle name="Comma 3 2 2 2 6 2 2" xfId="24379" xr:uid="{00000000-0005-0000-0000-000002270000}"/>
    <cellStyle name="Comma 3 2 2 2 6 2 2 2" xfId="24380" xr:uid="{00000000-0005-0000-0000-000003270000}"/>
    <cellStyle name="Comma 3 2 2 2 6 2 3" xfId="24381" xr:uid="{00000000-0005-0000-0000-000004270000}"/>
    <cellStyle name="Comma 3 2 2 2 6 3" xfId="24382" xr:uid="{00000000-0005-0000-0000-000005270000}"/>
    <cellStyle name="Comma 3 2 2 2 6 3 2" xfId="24383" xr:uid="{00000000-0005-0000-0000-000006270000}"/>
    <cellStyle name="Comma 3 2 2 2 6 4" xfId="24384" xr:uid="{00000000-0005-0000-0000-000007270000}"/>
    <cellStyle name="Comma 3 2 2 2 7" xfId="24385" xr:uid="{00000000-0005-0000-0000-000008270000}"/>
    <cellStyle name="Comma 3 2 2 2 7 2" xfId="24386" xr:uid="{00000000-0005-0000-0000-000009270000}"/>
    <cellStyle name="Comma 3 2 2 2 7 2 2" xfId="24387" xr:uid="{00000000-0005-0000-0000-00000A270000}"/>
    <cellStyle name="Comma 3 2 2 2 7 2 2 2" xfId="24388" xr:uid="{00000000-0005-0000-0000-00000B270000}"/>
    <cellStyle name="Comma 3 2 2 2 7 2 3" xfId="24389" xr:uid="{00000000-0005-0000-0000-00000C270000}"/>
    <cellStyle name="Comma 3 2 2 2 7 3" xfId="24390" xr:uid="{00000000-0005-0000-0000-00000D270000}"/>
    <cellStyle name="Comma 3 2 2 2 7 3 2" xfId="24391" xr:uid="{00000000-0005-0000-0000-00000E270000}"/>
    <cellStyle name="Comma 3 2 2 2 7 4" xfId="24392" xr:uid="{00000000-0005-0000-0000-00000F270000}"/>
    <cellStyle name="Comma 3 2 2 2 8" xfId="24393" xr:uid="{00000000-0005-0000-0000-000010270000}"/>
    <cellStyle name="Comma 3 2 2 2 8 2" xfId="24394" xr:uid="{00000000-0005-0000-0000-000011270000}"/>
    <cellStyle name="Comma 3 2 2 2 8 2 2" xfId="24395" xr:uid="{00000000-0005-0000-0000-000012270000}"/>
    <cellStyle name="Comma 3 2 2 2 8 3" xfId="24396" xr:uid="{00000000-0005-0000-0000-000013270000}"/>
    <cellStyle name="Comma 3 2 2 2 9" xfId="24397" xr:uid="{00000000-0005-0000-0000-000014270000}"/>
    <cellStyle name="Comma 3 2 2 2 9 2" xfId="24398" xr:uid="{00000000-0005-0000-0000-000015270000}"/>
    <cellStyle name="Comma 3 2 2 3" xfId="24399" xr:uid="{00000000-0005-0000-0000-000016270000}"/>
    <cellStyle name="Comma 3 2 2 3 2" xfId="24400" xr:uid="{00000000-0005-0000-0000-000017270000}"/>
    <cellStyle name="Comma 3 2 2 3 2 2" xfId="24401" xr:uid="{00000000-0005-0000-0000-000018270000}"/>
    <cellStyle name="Comma 3 2 2 3 2 2 2" xfId="24402" xr:uid="{00000000-0005-0000-0000-000019270000}"/>
    <cellStyle name="Comma 3 2 2 3 2 2 2 2" xfId="24403" xr:uid="{00000000-0005-0000-0000-00001A270000}"/>
    <cellStyle name="Comma 3 2 2 3 2 2 2 2 2" xfId="24404" xr:uid="{00000000-0005-0000-0000-00001B270000}"/>
    <cellStyle name="Comma 3 2 2 3 2 2 2 3" xfId="24405" xr:uid="{00000000-0005-0000-0000-00001C270000}"/>
    <cellStyle name="Comma 3 2 2 3 2 2 3" xfId="24406" xr:uid="{00000000-0005-0000-0000-00001D270000}"/>
    <cellStyle name="Comma 3 2 2 3 2 2 3 2" xfId="24407" xr:uid="{00000000-0005-0000-0000-00001E270000}"/>
    <cellStyle name="Comma 3 2 2 3 2 2 4" xfId="24408" xr:uid="{00000000-0005-0000-0000-00001F270000}"/>
    <cellStyle name="Comma 3 2 2 3 2 3" xfId="24409" xr:uid="{00000000-0005-0000-0000-000020270000}"/>
    <cellStyle name="Comma 3 2 2 3 2 3 2" xfId="24410" xr:uid="{00000000-0005-0000-0000-000021270000}"/>
    <cellStyle name="Comma 3 2 2 3 2 3 2 2" xfId="24411" xr:uid="{00000000-0005-0000-0000-000022270000}"/>
    <cellStyle name="Comma 3 2 2 3 2 3 2 2 2" xfId="24412" xr:uid="{00000000-0005-0000-0000-000023270000}"/>
    <cellStyle name="Comma 3 2 2 3 2 3 2 3" xfId="24413" xr:uid="{00000000-0005-0000-0000-000024270000}"/>
    <cellStyle name="Comma 3 2 2 3 2 3 3" xfId="24414" xr:uid="{00000000-0005-0000-0000-000025270000}"/>
    <cellStyle name="Comma 3 2 2 3 2 3 3 2" xfId="24415" xr:uid="{00000000-0005-0000-0000-000026270000}"/>
    <cellStyle name="Comma 3 2 2 3 2 3 4" xfId="24416" xr:uid="{00000000-0005-0000-0000-000027270000}"/>
    <cellStyle name="Comma 3 2 2 3 2 4" xfId="24417" xr:uid="{00000000-0005-0000-0000-000028270000}"/>
    <cellStyle name="Comma 3 2 2 3 2 4 2" xfId="24418" xr:uid="{00000000-0005-0000-0000-000029270000}"/>
    <cellStyle name="Comma 3 2 2 3 2 4 2 2" xfId="24419" xr:uid="{00000000-0005-0000-0000-00002A270000}"/>
    <cellStyle name="Comma 3 2 2 3 2 4 3" xfId="24420" xr:uid="{00000000-0005-0000-0000-00002B270000}"/>
    <cellStyle name="Comma 3 2 2 3 2 5" xfId="24421" xr:uid="{00000000-0005-0000-0000-00002C270000}"/>
    <cellStyle name="Comma 3 2 2 3 2 5 2" xfId="24422" xr:uid="{00000000-0005-0000-0000-00002D270000}"/>
    <cellStyle name="Comma 3 2 2 3 2 6" xfId="24423" xr:uid="{00000000-0005-0000-0000-00002E270000}"/>
    <cellStyle name="Comma 3 2 2 3 3" xfId="24424" xr:uid="{00000000-0005-0000-0000-00002F270000}"/>
    <cellStyle name="Comma 3 2 2 3 3 2" xfId="24425" xr:uid="{00000000-0005-0000-0000-000030270000}"/>
    <cellStyle name="Comma 3 2 2 3 3 2 2" xfId="24426" xr:uid="{00000000-0005-0000-0000-000031270000}"/>
    <cellStyle name="Comma 3 2 2 3 3 2 2 2" xfId="24427" xr:uid="{00000000-0005-0000-0000-000032270000}"/>
    <cellStyle name="Comma 3 2 2 3 3 2 2 2 2" xfId="24428" xr:uid="{00000000-0005-0000-0000-000033270000}"/>
    <cellStyle name="Comma 3 2 2 3 3 2 2 3" xfId="24429" xr:uid="{00000000-0005-0000-0000-000034270000}"/>
    <cellStyle name="Comma 3 2 2 3 3 2 3" xfId="24430" xr:uid="{00000000-0005-0000-0000-000035270000}"/>
    <cellStyle name="Comma 3 2 2 3 3 2 3 2" xfId="24431" xr:uid="{00000000-0005-0000-0000-000036270000}"/>
    <cellStyle name="Comma 3 2 2 3 3 2 4" xfId="24432" xr:uid="{00000000-0005-0000-0000-000037270000}"/>
    <cellStyle name="Comma 3 2 2 3 3 3" xfId="24433" xr:uid="{00000000-0005-0000-0000-000038270000}"/>
    <cellStyle name="Comma 3 2 2 3 3 3 2" xfId="24434" xr:uid="{00000000-0005-0000-0000-000039270000}"/>
    <cellStyle name="Comma 3 2 2 3 3 3 2 2" xfId="24435" xr:uid="{00000000-0005-0000-0000-00003A270000}"/>
    <cellStyle name="Comma 3 2 2 3 3 3 3" xfId="24436" xr:uid="{00000000-0005-0000-0000-00003B270000}"/>
    <cellStyle name="Comma 3 2 2 3 3 4" xfId="24437" xr:uid="{00000000-0005-0000-0000-00003C270000}"/>
    <cellStyle name="Comma 3 2 2 3 3 4 2" xfId="24438" xr:uid="{00000000-0005-0000-0000-00003D270000}"/>
    <cellStyle name="Comma 3 2 2 3 3 5" xfId="24439" xr:uid="{00000000-0005-0000-0000-00003E270000}"/>
    <cellStyle name="Comma 3 2 2 3 4" xfId="24440" xr:uid="{00000000-0005-0000-0000-00003F270000}"/>
    <cellStyle name="Comma 3 2 2 3 4 2" xfId="24441" xr:uid="{00000000-0005-0000-0000-000040270000}"/>
    <cellStyle name="Comma 3 2 2 3 4 2 2" xfId="24442" xr:uid="{00000000-0005-0000-0000-000041270000}"/>
    <cellStyle name="Comma 3 2 2 3 4 2 2 2" xfId="24443" xr:uid="{00000000-0005-0000-0000-000042270000}"/>
    <cellStyle name="Comma 3 2 2 3 4 2 3" xfId="24444" xr:uid="{00000000-0005-0000-0000-000043270000}"/>
    <cellStyle name="Comma 3 2 2 3 4 3" xfId="24445" xr:uid="{00000000-0005-0000-0000-000044270000}"/>
    <cellStyle name="Comma 3 2 2 3 4 3 2" xfId="24446" xr:uid="{00000000-0005-0000-0000-000045270000}"/>
    <cellStyle name="Comma 3 2 2 3 4 4" xfId="24447" xr:uid="{00000000-0005-0000-0000-000046270000}"/>
    <cellStyle name="Comma 3 2 2 3 5" xfId="24448" xr:uid="{00000000-0005-0000-0000-000047270000}"/>
    <cellStyle name="Comma 3 2 2 3 5 2" xfId="24449" xr:uid="{00000000-0005-0000-0000-000048270000}"/>
    <cellStyle name="Comma 3 2 2 3 5 2 2" xfId="24450" xr:uid="{00000000-0005-0000-0000-000049270000}"/>
    <cellStyle name="Comma 3 2 2 3 5 2 2 2" xfId="24451" xr:uid="{00000000-0005-0000-0000-00004A270000}"/>
    <cellStyle name="Comma 3 2 2 3 5 2 3" xfId="24452" xr:uid="{00000000-0005-0000-0000-00004B270000}"/>
    <cellStyle name="Comma 3 2 2 3 5 3" xfId="24453" xr:uid="{00000000-0005-0000-0000-00004C270000}"/>
    <cellStyle name="Comma 3 2 2 3 5 3 2" xfId="24454" xr:uid="{00000000-0005-0000-0000-00004D270000}"/>
    <cellStyle name="Comma 3 2 2 3 5 4" xfId="24455" xr:uid="{00000000-0005-0000-0000-00004E270000}"/>
    <cellStyle name="Comma 3 2 2 3 6" xfId="24456" xr:uid="{00000000-0005-0000-0000-00004F270000}"/>
    <cellStyle name="Comma 3 2 2 3 6 2" xfId="24457" xr:uid="{00000000-0005-0000-0000-000050270000}"/>
    <cellStyle name="Comma 3 2 2 3 6 2 2" xfId="24458" xr:uid="{00000000-0005-0000-0000-000051270000}"/>
    <cellStyle name="Comma 3 2 2 3 6 3" xfId="24459" xr:uid="{00000000-0005-0000-0000-000052270000}"/>
    <cellStyle name="Comma 3 2 2 3 7" xfId="24460" xr:uid="{00000000-0005-0000-0000-000053270000}"/>
    <cellStyle name="Comma 3 2 2 3 7 2" xfId="24461" xr:uid="{00000000-0005-0000-0000-000054270000}"/>
    <cellStyle name="Comma 3 2 2 3 8" xfId="24462" xr:uid="{00000000-0005-0000-0000-000055270000}"/>
    <cellStyle name="Comma 3 2 2 4" xfId="24463" xr:uid="{00000000-0005-0000-0000-000056270000}"/>
    <cellStyle name="Comma 3 2 2 4 2" xfId="24464" xr:uid="{00000000-0005-0000-0000-000057270000}"/>
    <cellStyle name="Comma 3 2 2 4 2 2" xfId="24465" xr:uid="{00000000-0005-0000-0000-000058270000}"/>
    <cellStyle name="Comma 3 2 2 4 2 2 2" xfId="24466" xr:uid="{00000000-0005-0000-0000-000059270000}"/>
    <cellStyle name="Comma 3 2 2 4 2 2 2 2" xfId="24467" xr:uid="{00000000-0005-0000-0000-00005A270000}"/>
    <cellStyle name="Comma 3 2 2 4 2 2 2 2 2" xfId="24468" xr:uid="{00000000-0005-0000-0000-00005B270000}"/>
    <cellStyle name="Comma 3 2 2 4 2 2 2 3" xfId="24469" xr:uid="{00000000-0005-0000-0000-00005C270000}"/>
    <cellStyle name="Comma 3 2 2 4 2 2 3" xfId="24470" xr:uid="{00000000-0005-0000-0000-00005D270000}"/>
    <cellStyle name="Comma 3 2 2 4 2 2 3 2" xfId="24471" xr:uid="{00000000-0005-0000-0000-00005E270000}"/>
    <cellStyle name="Comma 3 2 2 4 2 2 4" xfId="24472" xr:uid="{00000000-0005-0000-0000-00005F270000}"/>
    <cellStyle name="Comma 3 2 2 4 2 3" xfId="24473" xr:uid="{00000000-0005-0000-0000-000060270000}"/>
    <cellStyle name="Comma 3 2 2 4 2 3 2" xfId="24474" xr:uid="{00000000-0005-0000-0000-000061270000}"/>
    <cellStyle name="Comma 3 2 2 4 2 3 2 2" xfId="24475" xr:uid="{00000000-0005-0000-0000-000062270000}"/>
    <cellStyle name="Comma 3 2 2 4 2 3 2 2 2" xfId="24476" xr:uid="{00000000-0005-0000-0000-000063270000}"/>
    <cellStyle name="Comma 3 2 2 4 2 3 2 3" xfId="24477" xr:uid="{00000000-0005-0000-0000-000064270000}"/>
    <cellStyle name="Comma 3 2 2 4 2 3 3" xfId="24478" xr:uid="{00000000-0005-0000-0000-000065270000}"/>
    <cellStyle name="Comma 3 2 2 4 2 3 3 2" xfId="24479" xr:uid="{00000000-0005-0000-0000-000066270000}"/>
    <cellStyle name="Comma 3 2 2 4 2 3 4" xfId="24480" xr:uid="{00000000-0005-0000-0000-000067270000}"/>
    <cellStyle name="Comma 3 2 2 4 2 4" xfId="24481" xr:uid="{00000000-0005-0000-0000-000068270000}"/>
    <cellStyle name="Comma 3 2 2 4 2 4 2" xfId="24482" xr:uid="{00000000-0005-0000-0000-000069270000}"/>
    <cellStyle name="Comma 3 2 2 4 2 4 2 2" xfId="24483" xr:uid="{00000000-0005-0000-0000-00006A270000}"/>
    <cellStyle name="Comma 3 2 2 4 2 4 3" xfId="24484" xr:uid="{00000000-0005-0000-0000-00006B270000}"/>
    <cellStyle name="Comma 3 2 2 4 2 5" xfId="24485" xr:uid="{00000000-0005-0000-0000-00006C270000}"/>
    <cellStyle name="Comma 3 2 2 4 2 5 2" xfId="24486" xr:uid="{00000000-0005-0000-0000-00006D270000}"/>
    <cellStyle name="Comma 3 2 2 4 2 6" xfId="24487" xr:uid="{00000000-0005-0000-0000-00006E270000}"/>
    <cellStyle name="Comma 3 2 2 4 3" xfId="24488" xr:uid="{00000000-0005-0000-0000-00006F270000}"/>
    <cellStyle name="Comma 3 2 2 4 3 2" xfId="24489" xr:uid="{00000000-0005-0000-0000-000070270000}"/>
    <cellStyle name="Comma 3 2 2 4 3 2 2" xfId="24490" xr:uid="{00000000-0005-0000-0000-000071270000}"/>
    <cellStyle name="Comma 3 2 2 4 3 2 2 2" xfId="24491" xr:uid="{00000000-0005-0000-0000-000072270000}"/>
    <cellStyle name="Comma 3 2 2 4 3 2 2 2 2" xfId="24492" xr:uid="{00000000-0005-0000-0000-000073270000}"/>
    <cellStyle name="Comma 3 2 2 4 3 2 2 3" xfId="24493" xr:uid="{00000000-0005-0000-0000-000074270000}"/>
    <cellStyle name="Comma 3 2 2 4 3 2 3" xfId="24494" xr:uid="{00000000-0005-0000-0000-000075270000}"/>
    <cellStyle name="Comma 3 2 2 4 3 2 3 2" xfId="24495" xr:uid="{00000000-0005-0000-0000-000076270000}"/>
    <cellStyle name="Comma 3 2 2 4 3 2 4" xfId="24496" xr:uid="{00000000-0005-0000-0000-000077270000}"/>
    <cellStyle name="Comma 3 2 2 4 3 3" xfId="24497" xr:uid="{00000000-0005-0000-0000-000078270000}"/>
    <cellStyle name="Comma 3 2 2 4 3 3 2" xfId="24498" xr:uid="{00000000-0005-0000-0000-000079270000}"/>
    <cellStyle name="Comma 3 2 2 4 3 3 2 2" xfId="24499" xr:uid="{00000000-0005-0000-0000-00007A270000}"/>
    <cellStyle name="Comma 3 2 2 4 3 3 3" xfId="24500" xr:uid="{00000000-0005-0000-0000-00007B270000}"/>
    <cellStyle name="Comma 3 2 2 4 3 4" xfId="24501" xr:uid="{00000000-0005-0000-0000-00007C270000}"/>
    <cellStyle name="Comma 3 2 2 4 3 4 2" xfId="24502" xr:uid="{00000000-0005-0000-0000-00007D270000}"/>
    <cellStyle name="Comma 3 2 2 4 3 5" xfId="24503" xr:uid="{00000000-0005-0000-0000-00007E270000}"/>
    <cellStyle name="Comma 3 2 2 4 4" xfId="24504" xr:uid="{00000000-0005-0000-0000-00007F270000}"/>
    <cellStyle name="Comma 3 2 2 4 4 2" xfId="24505" xr:uid="{00000000-0005-0000-0000-000080270000}"/>
    <cellStyle name="Comma 3 2 2 4 4 2 2" xfId="24506" xr:uid="{00000000-0005-0000-0000-000081270000}"/>
    <cellStyle name="Comma 3 2 2 4 4 2 2 2" xfId="24507" xr:uid="{00000000-0005-0000-0000-000082270000}"/>
    <cellStyle name="Comma 3 2 2 4 4 2 3" xfId="24508" xr:uid="{00000000-0005-0000-0000-000083270000}"/>
    <cellStyle name="Comma 3 2 2 4 4 3" xfId="24509" xr:uid="{00000000-0005-0000-0000-000084270000}"/>
    <cellStyle name="Comma 3 2 2 4 4 3 2" xfId="24510" xr:uid="{00000000-0005-0000-0000-000085270000}"/>
    <cellStyle name="Comma 3 2 2 4 4 4" xfId="24511" xr:uid="{00000000-0005-0000-0000-000086270000}"/>
    <cellStyle name="Comma 3 2 2 4 5" xfId="24512" xr:uid="{00000000-0005-0000-0000-000087270000}"/>
    <cellStyle name="Comma 3 2 2 4 5 2" xfId="24513" xr:uid="{00000000-0005-0000-0000-000088270000}"/>
    <cellStyle name="Comma 3 2 2 4 5 2 2" xfId="24514" xr:uid="{00000000-0005-0000-0000-000089270000}"/>
    <cellStyle name="Comma 3 2 2 4 5 2 2 2" xfId="24515" xr:uid="{00000000-0005-0000-0000-00008A270000}"/>
    <cellStyle name="Comma 3 2 2 4 5 2 3" xfId="24516" xr:uid="{00000000-0005-0000-0000-00008B270000}"/>
    <cellStyle name="Comma 3 2 2 4 5 3" xfId="24517" xr:uid="{00000000-0005-0000-0000-00008C270000}"/>
    <cellStyle name="Comma 3 2 2 4 5 3 2" xfId="24518" xr:uid="{00000000-0005-0000-0000-00008D270000}"/>
    <cellStyle name="Comma 3 2 2 4 5 4" xfId="24519" xr:uid="{00000000-0005-0000-0000-00008E270000}"/>
    <cellStyle name="Comma 3 2 2 4 6" xfId="24520" xr:uid="{00000000-0005-0000-0000-00008F270000}"/>
    <cellStyle name="Comma 3 2 2 4 6 2" xfId="24521" xr:uid="{00000000-0005-0000-0000-000090270000}"/>
    <cellStyle name="Comma 3 2 2 4 6 2 2" xfId="24522" xr:uid="{00000000-0005-0000-0000-000091270000}"/>
    <cellStyle name="Comma 3 2 2 4 6 3" xfId="24523" xr:uid="{00000000-0005-0000-0000-000092270000}"/>
    <cellStyle name="Comma 3 2 2 4 7" xfId="24524" xr:uid="{00000000-0005-0000-0000-000093270000}"/>
    <cellStyle name="Comma 3 2 2 4 7 2" xfId="24525" xr:uid="{00000000-0005-0000-0000-000094270000}"/>
    <cellStyle name="Comma 3 2 2 4 8" xfId="24526" xr:uid="{00000000-0005-0000-0000-000095270000}"/>
    <cellStyle name="Comma 3 2 2 5" xfId="24527" xr:uid="{00000000-0005-0000-0000-000096270000}"/>
    <cellStyle name="Comma 3 2 2 5 2" xfId="24528" xr:uid="{00000000-0005-0000-0000-000097270000}"/>
    <cellStyle name="Comma 3 2 2 5 2 2" xfId="24529" xr:uid="{00000000-0005-0000-0000-000098270000}"/>
    <cellStyle name="Comma 3 2 2 5 2 2 2" xfId="24530" xr:uid="{00000000-0005-0000-0000-000099270000}"/>
    <cellStyle name="Comma 3 2 2 5 2 2 2 2" xfId="24531" xr:uid="{00000000-0005-0000-0000-00009A270000}"/>
    <cellStyle name="Comma 3 2 2 5 2 2 3" xfId="24532" xr:uid="{00000000-0005-0000-0000-00009B270000}"/>
    <cellStyle name="Comma 3 2 2 5 2 3" xfId="24533" xr:uid="{00000000-0005-0000-0000-00009C270000}"/>
    <cellStyle name="Comma 3 2 2 5 2 3 2" xfId="24534" xr:uid="{00000000-0005-0000-0000-00009D270000}"/>
    <cellStyle name="Comma 3 2 2 5 2 4" xfId="24535" xr:uid="{00000000-0005-0000-0000-00009E270000}"/>
    <cellStyle name="Comma 3 2 2 5 3" xfId="24536" xr:uid="{00000000-0005-0000-0000-00009F270000}"/>
    <cellStyle name="Comma 3 2 2 5 3 2" xfId="24537" xr:uid="{00000000-0005-0000-0000-0000A0270000}"/>
    <cellStyle name="Comma 3 2 2 5 3 2 2" xfId="24538" xr:uid="{00000000-0005-0000-0000-0000A1270000}"/>
    <cellStyle name="Comma 3 2 2 5 3 2 2 2" xfId="24539" xr:uid="{00000000-0005-0000-0000-0000A2270000}"/>
    <cellStyle name="Comma 3 2 2 5 3 2 3" xfId="24540" xr:uid="{00000000-0005-0000-0000-0000A3270000}"/>
    <cellStyle name="Comma 3 2 2 5 3 3" xfId="24541" xr:uid="{00000000-0005-0000-0000-0000A4270000}"/>
    <cellStyle name="Comma 3 2 2 5 3 3 2" xfId="24542" xr:uid="{00000000-0005-0000-0000-0000A5270000}"/>
    <cellStyle name="Comma 3 2 2 5 3 4" xfId="24543" xr:uid="{00000000-0005-0000-0000-0000A6270000}"/>
    <cellStyle name="Comma 3 2 2 5 4" xfId="24544" xr:uid="{00000000-0005-0000-0000-0000A7270000}"/>
    <cellStyle name="Comma 3 2 2 5 4 2" xfId="24545" xr:uid="{00000000-0005-0000-0000-0000A8270000}"/>
    <cellStyle name="Comma 3 2 2 5 4 2 2" xfId="24546" xr:uid="{00000000-0005-0000-0000-0000A9270000}"/>
    <cellStyle name="Comma 3 2 2 5 4 3" xfId="24547" xr:uid="{00000000-0005-0000-0000-0000AA270000}"/>
    <cellStyle name="Comma 3 2 2 5 5" xfId="24548" xr:uid="{00000000-0005-0000-0000-0000AB270000}"/>
    <cellStyle name="Comma 3 2 2 5 5 2" xfId="24549" xr:uid="{00000000-0005-0000-0000-0000AC270000}"/>
    <cellStyle name="Comma 3 2 2 5 6" xfId="24550" xr:uid="{00000000-0005-0000-0000-0000AD270000}"/>
    <cellStyle name="Comma 3 2 2 6" xfId="24551" xr:uid="{00000000-0005-0000-0000-0000AE270000}"/>
    <cellStyle name="Comma 3 2 2 6 2" xfId="24552" xr:uid="{00000000-0005-0000-0000-0000AF270000}"/>
    <cellStyle name="Comma 3 2 2 6 2 2" xfId="24553" xr:uid="{00000000-0005-0000-0000-0000B0270000}"/>
    <cellStyle name="Comma 3 2 2 6 2 2 2" xfId="24554" xr:uid="{00000000-0005-0000-0000-0000B1270000}"/>
    <cellStyle name="Comma 3 2 2 6 2 2 2 2" xfId="24555" xr:uid="{00000000-0005-0000-0000-0000B2270000}"/>
    <cellStyle name="Comma 3 2 2 6 2 2 3" xfId="24556" xr:uid="{00000000-0005-0000-0000-0000B3270000}"/>
    <cellStyle name="Comma 3 2 2 6 2 3" xfId="24557" xr:uid="{00000000-0005-0000-0000-0000B4270000}"/>
    <cellStyle name="Comma 3 2 2 6 2 3 2" xfId="24558" xr:uid="{00000000-0005-0000-0000-0000B5270000}"/>
    <cellStyle name="Comma 3 2 2 6 2 4" xfId="24559" xr:uid="{00000000-0005-0000-0000-0000B6270000}"/>
    <cellStyle name="Comma 3 2 2 6 3" xfId="24560" xr:uid="{00000000-0005-0000-0000-0000B7270000}"/>
    <cellStyle name="Comma 3 2 2 6 3 2" xfId="24561" xr:uid="{00000000-0005-0000-0000-0000B8270000}"/>
    <cellStyle name="Comma 3 2 2 6 3 2 2" xfId="24562" xr:uid="{00000000-0005-0000-0000-0000B9270000}"/>
    <cellStyle name="Comma 3 2 2 6 3 3" xfId="24563" xr:uid="{00000000-0005-0000-0000-0000BA270000}"/>
    <cellStyle name="Comma 3 2 2 6 4" xfId="24564" xr:uid="{00000000-0005-0000-0000-0000BB270000}"/>
    <cellStyle name="Comma 3 2 2 6 4 2" xfId="24565" xr:uid="{00000000-0005-0000-0000-0000BC270000}"/>
    <cellStyle name="Comma 3 2 2 6 5" xfId="24566" xr:uid="{00000000-0005-0000-0000-0000BD270000}"/>
    <cellStyle name="Comma 3 2 2 7" xfId="24567" xr:uid="{00000000-0005-0000-0000-0000BE270000}"/>
    <cellStyle name="Comma 3 2 2 7 2" xfId="24568" xr:uid="{00000000-0005-0000-0000-0000BF270000}"/>
    <cellStyle name="Comma 3 2 2 7 2 2" xfId="24569" xr:uid="{00000000-0005-0000-0000-0000C0270000}"/>
    <cellStyle name="Comma 3 2 2 7 2 2 2" xfId="24570" xr:uid="{00000000-0005-0000-0000-0000C1270000}"/>
    <cellStyle name="Comma 3 2 2 7 2 3" xfId="24571" xr:uid="{00000000-0005-0000-0000-0000C2270000}"/>
    <cellStyle name="Comma 3 2 2 7 3" xfId="24572" xr:uid="{00000000-0005-0000-0000-0000C3270000}"/>
    <cellStyle name="Comma 3 2 2 7 3 2" xfId="24573" xr:uid="{00000000-0005-0000-0000-0000C4270000}"/>
    <cellStyle name="Comma 3 2 2 7 4" xfId="24574" xr:uid="{00000000-0005-0000-0000-0000C5270000}"/>
    <cellStyle name="Comma 3 2 2 8" xfId="24575" xr:uid="{00000000-0005-0000-0000-0000C6270000}"/>
    <cellStyle name="Comma 3 2 2 8 2" xfId="24576" xr:uid="{00000000-0005-0000-0000-0000C7270000}"/>
    <cellStyle name="Comma 3 2 2 8 2 2" xfId="24577" xr:uid="{00000000-0005-0000-0000-0000C8270000}"/>
    <cellStyle name="Comma 3 2 2 8 2 2 2" xfId="24578" xr:uid="{00000000-0005-0000-0000-0000C9270000}"/>
    <cellStyle name="Comma 3 2 2 8 2 3" xfId="24579" xr:uid="{00000000-0005-0000-0000-0000CA270000}"/>
    <cellStyle name="Comma 3 2 2 8 3" xfId="24580" xr:uid="{00000000-0005-0000-0000-0000CB270000}"/>
    <cellStyle name="Comma 3 2 2 8 3 2" xfId="24581" xr:uid="{00000000-0005-0000-0000-0000CC270000}"/>
    <cellStyle name="Comma 3 2 2 8 4" xfId="24582" xr:uid="{00000000-0005-0000-0000-0000CD270000}"/>
    <cellStyle name="Comma 3 2 2 9" xfId="24583" xr:uid="{00000000-0005-0000-0000-0000CE270000}"/>
    <cellStyle name="Comma 3 2 2 9 2" xfId="24584" xr:uid="{00000000-0005-0000-0000-0000CF270000}"/>
    <cellStyle name="Comma 3 2 2 9 2 2" xfId="24585" xr:uid="{00000000-0005-0000-0000-0000D0270000}"/>
    <cellStyle name="Comma 3 2 2 9 2 2 2" xfId="24586" xr:uid="{00000000-0005-0000-0000-0000D1270000}"/>
    <cellStyle name="Comma 3 2 2 9 2 3" xfId="24587" xr:uid="{00000000-0005-0000-0000-0000D2270000}"/>
    <cellStyle name="Comma 3 2 2 9 3" xfId="24588" xr:uid="{00000000-0005-0000-0000-0000D3270000}"/>
    <cellStyle name="Comma 3 2 2 9 3 2" xfId="24589" xr:uid="{00000000-0005-0000-0000-0000D4270000}"/>
    <cellStyle name="Comma 3 2 2 9 4" xfId="24590" xr:uid="{00000000-0005-0000-0000-0000D5270000}"/>
    <cellStyle name="Comma 3 2 3" xfId="24591" xr:uid="{00000000-0005-0000-0000-0000D6270000}"/>
    <cellStyle name="Comma 3 2 3 10" xfId="24592" xr:uid="{00000000-0005-0000-0000-0000D7270000}"/>
    <cellStyle name="Comma 3 2 3 10 2" xfId="24593" xr:uid="{00000000-0005-0000-0000-0000D8270000}"/>
    <cellStyle name="Comma 3 2 3 10 2 2" xfId="24594" xr:uid="{00000000-0005-0000-0000-0000D9270000}"/>
    <cellStyle name="Comma 3 2 3 10 3" xfId="24595" xr:uid="{00000000-0005-0000-0000-0000DA270000}"/>
    <cellStyle name="Comma 3 2 3 11" xfId="24596" xr:uid="{00000000-0005-0000-0000-0000DB270000}"/>
    <cellStyle name="Comma 3 2 3 11 2" xfId="24597" xr:uid="{00000000-0005-0000-0000-0000DC270000}"/>
    <cellStyle name="Comma 3 2 3 12" xfId="24598" xr:uid="{00000000-0005-0000-0000-0000DD270000}"/>
    <cellStyle name="Comma 3 2 3 2" xfId="24599" xr:uid="{00000000-0005-0000-0000-0000DE270000}"/>
    <cellStyle name="Comma 3 2 3 2 10" xfId="24600" xr:uid="{00000000-0005-0000-0000-0000DF270000}"/>
    <cellStyle name="Comma 3 2 3 2 2" xfId="24601" xr:uid="{00000000-0005-0000-0000-0000E0270000}"/>
    <cellStyle name="Comma 3 2 3 2 2 2" xfId="24602" xr:uid="{00000000-0005-0000-0000-0000E1270000}"/>
    <cellStyle name="Comma 3 2 3 2 2 2 2" xfId="24603" xr:uid="{00000000-0005-0000-0000-0000E2270000}"/>
    <cellStyle name="Comma 3 2 3 2 2 2 2 2" xfId="24604" xr:uid="{00000000-0005-0000-0000-0000E3270000}"/>
    <cellStyle name="Comma 3 2 3 2 2 2 2 2 2" xfId="24605" xr:uid="{00000000-0005-0000-0000-0000E4270000}"/>
    <cellStyle name="Comma 3 2 3 2 2 2 2 2 2 2" xfId="24606" xr:uid="{00000000-0005-0000-0000-0000E5270000}"/>
    <cellStyle name="Comma 3 2 3 2 2 2 2 2 3" xfId="24607" xr:uid="{00000000-0005-0000-0000-0000E6270000}"/>
    <cellStyle name="Comma 3 2 3 2 2 2 2 3" xfId="24608" xr:uid="{00000000-0005-0000-0000-0000E7270000}"/>
    <cellStyle name="Comma 3 2 3 2 2 2 2 3 2" xfId="24609" xr:uid="{00000000-0005-0000-0000-0000E8270000}"/>
    <cellStyle name="Comma 3 2 3 2 2 2 2 4" xfId="24610" xr:uid="{00000000-0005-0000-0000-0000E9270000}"/>
    <cellStyle name="Comma 3 2 3 2 2 2 3" xfId="24611" xr:uid="{00000000-0005-0000-0000-0000EA270000}"/>
    <cellStyle name="Comma 3 2 3 2 2 2 3 2" xfId="24612" xr:uid="{00000000-0005-0000-0000-0000EB270000}"/>
    <cellStyle name="Comma 3 2 3 2 2 2 3 2 2" xfId="24613" xr:uid="{00000000-0005-0000-0000-0000EC270000}"/>
    <cellStyle name="Comma 3 2 3 2 2 2 3 2 2 2" xfId="24614" xr:uid="{00000000-0005-0000-0000-0000ED270000}"/>
    <cellStyle name="Comma 3 2 3 2 2 2 3 2 3" xfId="24615" xr:uid="{00000000-0005-0000-0000-0000EE270000}"/>
    <cellStyle name="Comma 3 2 3 2 2 2 3 3" xfId="24616" xr:uid="{00000000-0005-0000-0000-0000EF270000}"/>
    <cellStyle name="Comma 3 2 3 2 2 2 3 3 2" xfId="24617" xr:uid="{00000000-0005-0000-0000-0000F0270000}"/>
    <cellStyle name="Comma 3 2 3 2 2 2 3 4" xfId="24618" xr:uid="{00000000-0005-0000-0000-0000F1270000}"/>
    <cellStyle name="Comma 3 2 3 2 2 2 4" xfId="24619" xr:uid="{00000000-0005-0000-0000-0000F2270000}"/>
    <cellStyle name="Comma 3 2 3 2 2 2 4 2" xfId="24620" xr:uid="{00000000-0005-0000-0000-0000F3270000}"/>
    <cellStyle name="Comma 3 2 3 2 2 2 4 2 2" xfId="24621" xr:uid="{00000000-0005-0000-0000-0000F4270000}"/>
    <cellStyle name="Comma 3 2 3 2 2 2 4 3" xfId="24622" xr:uid="{00000000-0005-0000-0000-0000F5270000}"/>
    <cellStyle name="Comma 3 2 3 2 2 2 5" xfId="24623" xr:uid="{00000000-0005-0000-0000-0000F6270000}"/>
    <cellStyle name="Comma 3 2 3 2 2 2 5 2" xfId="24624" xr:uid="{00000000-0005-0000-0000-0000F7270000}"/>
    <cellStyle name="Comma 3 2 3 2 2 2 6" xfId="24625" xr:uid="{00000000-0005-0000-0000-0000F8270000}"/>
    <cellStyle name="Comma 3 2 3 2 2 3" xfId="24626" xr:uid="{00000000-0005-0000-0000-0000F9270000}"/>
    <cellStyle name="Comma 3 2 3 2 2 3 2" xfId="24627" xr:uid="{00000000-0005-0000-0000-0000FA270000}"/>
    <cellStyle name="Comma 3 2 3 2 2 3 2 2" xfId="24628" xr:uid="{00000000-0005-0000-0000-0000FB270000}"/>
    <cellStyle name="Comma 3 2 3 2 2 3 2 2 2" xfId="24629" xr:uid="{00000000-0005-0000-0000-0000FC270000}"/>
    <cellStyle name="Comma 3 2 3 2 2 3 2 2 2 2" xfId="24630" xr:uid="{00000000-0005-0000-0000-0000FD270000}"/>
    <cellStyle name="Comma 3 2 3 2 2 3 2 2 3" xfId="24631" xr:uid="{00000000-0005-0000-0000-0000FE270000}"/>
    <cellStyle name="Comma 3 2 3 2 2 3 2 3" xfId="24632" xr:uid="{00000000-0005-0000-0000-0000FF270000}"/>
    <cellStyle name="Comma 3 2 3 2 2 3 2 3 2" xfId="24633" xr:uid="{00000000-0005-0000-0000-000000280000}"/>
    <cellStyle name="Comma 3 2 3 2 2 3 2 4" xfId="24634" xr:uid="{00000000-0005-0000-0000-000001280000}"/>
    <cellStyle name="Comma 3 2 3 2 2 3 3" xfId="24635" xr:uid="{00000000-0005-0000-0000-000002280000}"/>
    <cellStyle name="Comma 3 2 3 2 2 3 3 2" xfId="24636" xr:uid="{00000000-0005-0000-0000-000003280000}"/>
    <cellStyle name="Comma 3 2 3 2 2 3 3 2 2" xfId="24637" xr:uid="{00000000-0005-0000-0000-000004280000}"/>
    <cellStyle name="Comma 3 2 3 2 2 3 3 3" xfId="24638" xr:uid="{00000000-0005-0000-0000-000005280000}"/>
    <cellStyle name="Comma 3 2 3 2 2 3 4" xfId="24639" xr:uid="{00000000-0005-0000-0000-000006280000}"/>
    <cellStyle name="Comma 3 2 3 2 2 3 4 2" xfId="24640" xr:uid="{00000000-0005-0000-0000-000007280000}"/>
    <cellStyle name="Comma 3 2 3 2 2 3 5" xfId="24641" xr:uid="{00000000-0005-0000-0000-000008280000}"/>
    <cellStyle name="Comma 3 2 3 2 2 4" xfId="24642" xr:uid="{00000000-0005-0000-0000-000009280000}"/>
    <cellStyle name="Comma 3 2 3 2 2 4 2" xfId="24643" xr:uid="{00000000-0005-0000-0000-00000A280000}"/>
    <cellStyle name="Comma 3 2 3 2 2 4 2 2" xfId="24644" xr:uid="{00000000-0005-0000-0000-00000B280000}"/>
    <cellStyle name="Comma 3 2 3 2 2 4 2 2 2" xfId="24645" xr:uid="{00000000-0005-0000-0000-00000C280000}"/>
    <cellStyle name="Comma 3 2 3 2 2 4 2 3" xfId="24646" xr:uid="{00000000-0005-0000-0000-00000D280000}"/>
    <cellStyle name="Comma 3 2 3 2 2 4 3" xfId="24647" xr:uid="{00000000-0005-0000-0000-00000E280000}"/>
    <cellStyle name="Comma 3 2 3 2 2 4 3 2" xfId="24648" xr:uid="{00000000-0005-0000-0000-00000F280000}"/>
    <cellStyle name="Comma 3 2 3 2 2 4 4" xfId="24649" xr:uid="{00000000-0005-0000-0000-000010280000}"/>
    <cellStyle name="Comma 3 2 3 2 2 5" xfId="24650" xr:uid="{00000000-0005-0000-0000-000011280000}"/>
    <cellStyle name="Comma 3 2 3 2 2 5 2" xfId="24651" xr:uid="{00000000-0005-0000-0000-000012280000}"/>
    <cellStyle name="Comma 3 2 3 2 2 5 2 2" xfId="24652" xr:uid="{00000000-0005-0000-0000-000013280000}"/>
    <cellStyle name="Comma 3 2 3 2 2 5 2 2 2" xfId="24653" xr:uid="{00000000-0005-0000-0000-000014280000}"/>
    <cellStyle name="Comma 3 2 3 2 2 5 2 3" xfId="24654" xr:uid="{00000000-0005-0000-0000-000015280000}"/>
    <cellStyle name="Comma 3 2 3 2 2 5 3" xfId="24655" xr:uid="{00000000-0005-0000-0000-000016280000}"/>
    <cellStyle name="Comma 3 2 3 2 2 5 3 2" xfId="24656" xr:uid="{00000000-0005-0000-0000-000017280000}"/>
    <cellStyle name="Comma 3 2 3 2 2 5 4" xfId="24657" xr:uid="{00000000-0005-0000-0000-000018280000}"/>
    <cellStyle name="Comma 3 2 3 2 2 6" xfId="24658" xr:uid="{00000000-0005-0000-0000-000019280000}"/>
    <cellStyle name="Comma 3 2 3 2 2 6 2" xfId="24659" xr:uid="{00000000-0005-0000-0000-00001A280000}"/>
    <cellStyle name="Comma 3 2 3 2 2 6 2 2" xfId="24660" xr:uid="{00000000-0005-0000-0000-00001B280000}"/>
    <cellStyle name="Comma 3 2 3 2 2 6 3" xfId="24661" xr:uid="{00000000-0005-0000-0000-00001C280000}"/>
    <cellStyle name="Comma 3 2 3 2 2 7" xfId="24662" xr:uid="{00000000-0005-0000-0000-00001D280000}"/>
    <cellStyle name="Comma 3 2 3 2 2 7 2" xfId="24663" xr:uid="{00000000-0005-0000-0000-00001E280000}"/>
    <cellStyle name="Comma 3 2 3 2 2 8" xfId="24664" xr:uid="{00000000-0005-0000-0000-00001F280000}"/>
    <cellStyle name="Comma 3 2 3 2 3" xfId="24665" xr:uid="{00000000-0005-0000-0000-000020280000}"/>
    <cellStyle name="Comma 3 2 3 2 3 2" xfId="24666" xr:uid="{00000000-0005-0000-0000-000021280000}"/>
    <cellStyle name="Comma 3 2 3 2 3 2 2" xfId="24667" xr:uid="{00000000-0005-0000-0000-000022280000}"/>
    <cellStyle name="Comma 3 2 3 2 3 2 2 2" xfId="24668" xr:uid="{00000000-0005-0000-0000-000023280000}"/>
    <cellStyle name="Comma 3 2 3 2 3 2 2 2 2" xfId="24669" xr:uid="{00000000-0005-0000-0000-000024280000}"/>
    <cellStyle name="Comma 3 2 3 2 3 2 2 3" xfId="24670" xr:uid="{00000000-0005-0000-0000-000025280000}"/>
    <cellStyle name="Comma 3 2 3 2 3 2 3" xfId="24671" xr:uid="{00000000-0005-0000-0000-000026280000}"/>
    <cellStyle name="Comma 3 2 3 2 3 2 3 2" xfId="24672" xr:uid="{00000000-0005-0000-0000-000027280000}"/>
    <cellStyle name="Comma 3 2 3 2 3 2 4" xfId="24673" xr:uid="{00000000-0005-0000-0000-000028280000}"/>
    <cellStyle name="Comma 3 2 3 2 3 3" xfId="24674" xr:uid="{00000000-0005-0000-0000-000029280000}"/>
    <cellStyle name="Comma 3 2 3 2 3 3 2" xfId="24675" xr:uid="{00000000-0005-0000-0000-00002A280000}"/>
    <cellStyle name="Comma 3 2 3 2 3 3 2 2" xfId="24676" xr:uid="{00000000-0005-0000-0000-00002B280000}"/>
    <cellStyle name="Comma 3 2 3 2 3 3 2 2 2" xfId="24677" xr:uid="{00000000-0005-0000-0000-00002C280000}"/>
    <cellStyle name="Comma 3 2 3 2 3 3 2 3" xfId="24678" xr:uid="{00000000-0005-0000-0000-00002D280000}"/>
    <cellStyle name="Comma 3 2 3 2 3 3 3" xfId="24679" xr:uid="{00000000-0005-0000-0000-00002E280000}"/>
    <cellStyle name="Comma 3 2 3 2 3 3 3 2" xfId="24680" xr:uid="{00000000-0005-0000-0000-00002F280000}"/>
    <cellStyle name="Comma 3 2 3 2 3 3 4" xfId="24681" xr:uid="{00000000-0005-0000-0000-000030280000}"/>
    <cellStyle name="Comma 3 2 3 2 3 4" xfId="24682" xr:uid="{00000000-0005-0000-0000-000031280000}"/>
    <cellStyle name="Comma 3 2 3 2 3 4 2" xfId="24683" xr:uid="{00000000-0005-0000-0000-000032280000}"/>
    <cellStyle name="Comma 3 2 3 2 3 4 2 2" xfId="24684" xr:uid="{00000000-0005-0000-0000-000033280000}"/>
    <cellStyle name="Comma 3 2 3 2 3 4 3" xfId="24685" xr:uid="{00000000-0005-0000-0000-000034280000}"/>
    <cellStyle name="Comma 3 2 3 2 3 5" xfId="24686" xr:uid="{00000000-0005-0000-0000-000035280000}"/>
    <cellStyle name="Comma 3 2 3 2 3 5 2" xfId="24687" xr:uid="{00000000-0005-0000-0000-000036280000}"/>
    <cellStyle name="Comma 3 2 3 2 3 6" xfId="24688" xr:uid="{00000000-0005-0000-0000-000037280000}"/>
    <cellStyle name="Comma 3 2 3 2 4" xfId="24689" xr:uid="{00000000-0005-0000-0000-000038280000}"/>
    <cellStyle name="Comma 3 2 3 2 4 2" xfId="24690" xr:uid="{00000000-0005-0000-0000-000039280000}"/>
    <cellStyle name="Comma 3 2 3 2 4 2 2" xfId="24691" xr:uid="{00000000-0005-0000-0000-00003A280000}"/>
    <cellStyle name="Comma 3 2 3 2 4 2 2 2" xfId="24692" xr:uid="{00000000-0005-0000-0000-00003B280000}"/>
    <cellStyle name="Comma 3 2 3 2 4 2 2 2 2" xfId="24693" xr:uid="{00000000-0005-0000-0000-00003C280000}"/>
    <cellStyle name="Comma 3 2 3 2 4 2 2 3" xfId="24694" xr:uid="{00000000-0005-0000-0000-00003D280000}"/>
    <cellStyle name="Comma 3 2 3 2 4 2 3" xfId="24695" xr:uid="{00000000-0005-0000-0000-00003E280000}"/>
    <cellStyle name="Comma 3 2 3 2 4 2 3 2" xfId="24696" xr:uid="{00000000-0005-0000-0000-00003F280000}"/>
    <cellStyle name="Comma 3 2 3 2 4 2 4" xfId="24697" xr:uid="{00000000-0005-0000-0000-000040280000}"/>
    <cellStyle name="Comma 3 2 3 2 4 3" xfId="24698" xr:uid="{00000000-0005-0000-0000-000041280000}"/>
    <cellStyle name="Comma 3 2 3 2 4 3 2" xfId="24699" xr:uid="{00000000-0005-0000-0000-000042280000}"/>
    <cellStyle name="Comma 3 2 3 2 4 3 2 2" xfId="24700" xr:uid="{00000000-0005-0000-0000-000043280000}"/>
    <cellStyle name="Comma 3 2 3 2 4 3 3" xfId="24701" xr:uid="{00000000-0005-0000-0000-000044280000}"/>
    <cellStyle name="Comma 3 2 3 2 4 4" xfId="24702" xr:uid="{00000000-0005-0000-0000-000045280000}"/>
    <cellStyle name="Comma 3 2 3 2 4 4 2" xfId="24703" xr:uid="{00000000-0005-0000-0000-000046280000}"/>
    <cellStyle name="Comma 3 2 3 2 4 5" xfId="24704" xr:uid="{00000000-0005-0000-0000-000047280000}"/>
    <cellStyle name="Comma 3 2 3 2 5" xfId="24705" xr:uid="{00000000-0005-0000-0000-000048280000}"/>
    <cellStyle name="Comma 3 2 3 2 5 2" xfId="24706" xr:uid="{00000000-0005-0000-0000-000049280000}"/>
    <cellStyle name="Comma 3 2 3 2 5 2 2" xfId="24707" xr:uid="{00000000-0005-0000-0000-00004A280000}"/>
    <cellStyle name="Comma 3 2 3 2 5 2 2 2" xfId="24708" xr:uid="{00000000-0005-0000-0000-00004B280000}"/>
    <cellStyle name="Comma 3 2 3 2 5 2 3" xfId="24709" xr:uid="{00000000-0005-0000-0000-00004C280000}"/>
    <cellStyle name="Comma 3 2 3 2 5 3" xfId="24710" xr:uid="{00000000-0005-0000-0000-00004D280000}"/>
    <cellStyle name="Comma 3 2 3 2 5 3 2" xfId="24711" xr:uid="{00000000-0005-0000-0000-00004E280000}"/>
    <cellStyle name="Comma 3 2 3 2 5 4" xfId="24712" xr:uid="{00000000-0005-0000-0000-00004F280000}"/>
    <cellStyle name="Comma 3 2 3 2 6" xfId="24713" xr:uid="{00000000-0005-0000-0000-000050280000}"/>
    <cellStyle name="Comma 3 2 3 2 6 2" xfId="24714" xr:uid="{00000000-0005-0000-0000-000051280000}"/>
    <cellStyle name="Comma 3 2 3 2 6 2 2" xfId="24715" xr:uid="{00000000-0005-0000-0000-000052280000}"/>
    <cellStyle name="Comma 3 2 3 2 6 2 2 2" xfId="24716" xr:uid="{00000000-0005-0000-0000-000053280000}"/>
    <cellStyle name="Comma 3 2 3 2 6 2 3" xfId="24717" xr:uid="{00000000-0005-0000-0000-000054280000}"/>
    <cellStyle name="Comma 3 2 3 2 6 3" xfId="24718" xr:uid="{00000000-0005-0000-0000-000055280000}"/>
    <cellStyle name="Comma 3 2 3 2 6 3 2" xfId="24719" xr:uid="{00000000-0005-0000-0000-000056280000}"/>
    <cellStyle name="Comma 3 2 3 2 6 4" xfId="24720" xr:uid="{00000000-0005-0000-0000-000057280000}"/>
    <cellStyle name="Comma 3 2 3 2 7" xfId="24721" xr:uid="{00000000-0005-0000-0000-000058280000}"/>
    <cellStyle name="Comma 3 2 3 2 7 2" xfId="24722" xr:uid="{00000000-0005-0000-0000-000059280000}"/>
    <cellStyle name="Comma 3 2 3 2 7 2 2" xfId="24723" xr:uid="{00000000-0005-0000-0000-00005A280000}"/>
    <cellStyle name="Comma 3 2 3 2 7 2 2 2" xfId="24724" xr:uid="{00000000-0005-0000-0000-00005B280000}"/>
    <cellStyle name="Comma 3 2 3 2 7 2 3" xfId="24725" xr:uid="{00000000-0005-0000-0000-00005C280000}"/>
    <cellStyle name="Comma 3 2 3 2 7 3" xfId="24726" xr:uid="{00000000-0005-0000-0000-00005D280000}"/>
    <cellStyle name="Comma 3 2 3 2 7 3 2" xfId="24727" xr:uid="{00000000-0005-0000-0000-00005E280000}"/>
    <cellStyle name="Comma 3 2 3 2 7 4" xfId="24728" xr:uid="{00000000-0005-0000-0000-00005F280000}"/>
    <cellStyle name="Comma 3 2 3 2 8" xfId="24729" xr:uid="{00000000-0005-0000-0000-000060280000}"/>
    <cellStyle name="Comma 3 2 3 2 8 2" xfId="24730" xr:uid="{00000000-0005-0000-0000-000061280000}"/>
    <cellStyle name="Comma 3 2 3 2 8 2 2" xfId="24731" xr:uid="{00000000-0005-0000-0000-000062280000}"/>
    <cellStyle name="Comma 3 2 3 2 8 3" xfId="24732" xr:uid="{00000000-0005-0000-0000-000063280000}"/>
    <cellStyle name="Comma 3 2 3 2 9" xfId="24733" xr:uid="{00000000-0005-0000-0000-000064280000}"/>
    <cellStyle name="Comma 3 2 3 2 9 2" xfId="24734" xr:uid="{00000000-0005-0000-0000-000065280000}"/>
    <cellStyle name="Comma 3 2 3 3" xfId="24735" xr:uid="{00000000-0005-0000-0000-000066280000}"/>
    <cellStyle name="Comma 3 2 3 3 2" xfId="24736" xr:uid="{00000000-0005-0000-0000-000067280000}"/>
    <cellStyle name="Comma 3 2 3 3 2 2" xfId="24737" xr:uid="{00000000-0005-0000-0000-000068280000}"/>
    <cellStyle name="Comma 3 2 3 3 2 2 2" xfId="24738" xr:uid="{00000000-0005-0000-0000-000069280000}"/>
    <cellStyle name="Comma 3 2 3 3 2 2 2 2" xfId="24739" xr:uid="{00000000-0005-0000-0000-00006A280000}"/>
    <cellStyle name="Comma 3 2 3 3 2 2 2 2 2" xfId="24740" xr:uid="{00000000-0005-0000-0000-00006B280000}"/>
    <cellStyle name="Comma 3 2 3 3 2 2 2 3" xfId="24741" xr:uid="{00000000-0005-0000-0000-00006C280000}"/>
    <cellStyle name="Comma 3 2 3 3 2 2 3" xfId="24742" xr:uid="{00000000-0005-0000-0000-00006D280000}"/>
    <cellStyle name="Comma 3 2 3 3 2 2 3 2" xfId="24743" xr:uid="{00000000-0005-0000-0000-00006E280000}"/>
    <cellStyle name="Comma 3 2 3 3 2 2 4" xfId="24744" xr:uid="{00000000-0005-0000-0000-00006F280000}"/>
    <cellStyle name="Comma 3 2 3 3 2 3" xfId="24745" xr:uid="{00000000-0005-0000-0000-000070280000}"/>
    <cellStyle name="Comma 3 2 3 3 2 3 2" xfId="24746" xr:uid="{00000000-0005-0000-0000-000071280000}"/>
    <cellStyle name="Comma 3 2 3 3 2 3 2 2" xfId="24747" xr:uid="{00000000-0005-0000-0000-000072280000}"/>
    <cellStyle name="Comma 3 2 3 3 2 3 2 2 2" xfId="24748" xr:uid="{00000000-0005-0000-0000-000073280000}"/>
    <cellStyle name="Comma 3 2 3 3 2 3 2 3" xfId="24749" xr:uid="{00000000-0005-0000-0000-000074280000}"/>
    <cellStyle name="Comma 3 2 3 3 2 3 3" xfId="24750" xr:uid="{00000000-0005-0000-0000-000075280000}"/>
    <cellStyle name="Comma 3 2 3 3 2 3 3 2" xfId="24751" xr:uid="{00000000-0005-0000-0000-000076280000}"/>
    <cellStyle name="Comma 3 2 3 3 2 3 4" xfId="24752" xr:uid="{00000000-0005-0000-0000-000077280000}"/>
    <cellStyle name="Comma 3 2 3 3 2 4" xfId="24753" xr:uid="{00000000-0005-0000-0000-000078280000}"/>
    <cellStyle name="Comma 3 2 3 3 2 4 2" xfId="24754" xr:uid="{00000000-0005-0000-0000-000079280000}"/>
    <cellStyle name="Comma 3 2 3 3 2 4 2 2" xfId="24755" xr:uid="{00000000-0005-0000-0000-00007A280000}"/>
    <cellStyle name="Comma 3 2 3 3 2 4 3" xfId="24756" xr:uid="{00000000-0005-0000-0000-00007B280000}"/>
    <cellStyle name="Comma 3 2 3 3 2 5" xfId="24757" xr:uid="{00000000-0005-0000-0000-00007C280000}"/>
    <cellStyle name="Comma 3 2 3 3 2 5 2" xfId="24758" xr:uid="{00000000-0005-0000-0000-00007D280000}"/>
    <cellStyle name="Comma 3 2 3 3 2 6" xfId="24759" xr:uid="{00000000-0005-0000-0000-00007E280000}"/>
    <cellStyle name="Comma 3 2 3 3 3" xfId="24760" xr:uid="{00000000-0005-0000-0000-00007F280000}"/>
    <cellStyle name="Comma 3 2 3 3 3 2" xfId="24761" xr:uid="{00000000-0005-0000-0000-000080280000}"/>
    <cellStyle name="Comma 3 2 3 3 3 2 2" xfId="24762" xr:uid="{00000000-0005-0000-0000-000081280000}"/>
    <cellStyle name="Comma 3 2 3 3 3 2 2 2" xfId="24763" xr:uid="{00000000-0005-0000-0000-000082280000}"/>
    <cellStyle name="Comma 3 2 3 3 3 2 2 2 2" xfId="24764" xr:uid="{00000000-0005-0000-0000-000083280000}"/>
    <cellStyle name="Comma 3 2 3 3 3 2 2 3" xfId="24765" xr:uid="{00000000-0005-0000-0000-000084280000}"/>
    <cellStyle name="Comma 3 2 3 3 3 2 3" xfId="24766" xr:uid="{00000000-0005-0000-0000-000085280000}"/>
    <cellStyle name="Comma 3 2 3 3 3 2 3 2" xfId="24767" xr:uid="{00000000-0005-0000-0000-000086280000}"/>
    <cellStyle name="Comma 3 2 3 3 3 2 4" xfId="24768" xr:uid="{00000000-0005-0000-0000-000087280000}"/>
    <cellStyle name="Comma 3 2 3 3 3 3" xfId="24769" xr:uid="{00000000-0005-0000-0000-000088280000}"/>
    <cellStyle name="Comma 3 2 3 3 3 3 2" xfId="24770" xr:uid="{00000000-0005-0000-0000-000089280000}"/>
    <cellStyle name="Comma 3 2 3 3 3 3 2 2" xfId="24771" xr:uid="{00000000-0005-0000-0000-00008A280000}"/>
    <cellStyle name="Comma 3 2 3 3 3 3 3" xfId="24772" xr:uid="{00000000-0005-0000-0000-00008B280000}"/>
    <cellStyle name="Comma 3 2 3 3 3 4" xfId="24773" xr:uid="{00000000-0005-0000-0000-00008C280000}"/>
    <cellStyle name="Comma 3 2 3 3 3 4 2" xfId="24774" xr:uid="{00000000-0005-0000-0000-00008D280000}"/>
    <cellStyle name="Comma 3 2 3 3 3 5" xfId="24775" xr:uid="{00000000-0005-0000-0000-00008E280000}"/>
    <cellStyle name="Comma 3 2 3 3 4" xfId="24776" xr:uid="{00000000-0005-0000-0000-00008F280000}"/>
    <cellStyle name="Comma 3 2 3 3 4 2" xfId="24777" xr:uid="{00000000-0005-0000-0000-000090280000}"/>
    <cellStyle name="Comma 3 2 3 3 4 2 2" xfId="24778" xr:uid="{00000000-0005-0000-0000-000091280000}"/>
    <cellStyle name="Comma 3 2 3 3 4 2 2 2" xfId="24779" xr:uid="{00000000-0005-0000-0000-000092280000}"/>
    <cellStyle name="Comma 3 2 3 3 4 2 3" xfId="24780" xr:uid="{00000000-0005-0000-0000-000093280000}"/>
    <cellStyle name="Comma 3 2 3 3 4 3" xfId="24781" xr:uid="{00000000-0005-0000-0000-000094280000}"/>
    <cellStyle name="Comma 3 2 3 3 4 3 2" xfId="24782" xr:uid="{00000000-0005-0000-0000-000095280000}"/>
    <cellStyle name="Comma 3 2 3 3 4 4" xfId="24783" xr:uid="{00000000-0005-0000-0000-000096280000}"/>
    <cellStyle name="Comma 3 2 3 3 5" xfId="24784" xr:uid="{00000000-0005-0000-0000-000097280000}"/>
    <cellStyle name="Comma 3 2 3 3 5 2" xfId="24785" xr:uid="{00000000-0005-0000-0000-000098280000}"/>
    <cellStyle name="Comma 3 2 3 3 5 2 2" xfId="24786" xr:uid="{00000000-0005-0000-0000-000099280000}"/>
    <cellStyle name="Comma 3 2 3 3 5 2 2 2" xfId="24787" xr:uid="{00000000-0005-0000-0000-00009A280000}"/>
    <cellStyle name="Comma 3 2 3 3 5 2 3" xfId="24788" xr:uid="{00000000-0005-0000-0000-00009B280000}"/>
    <cellStyle name="Comma 3 2 3 3 5 3" xfId="24789" xr:uid="{00000000-0005-0000-0000-00009C280000}"/>
    <cellStyle name="Comma 3 2 3 3 5 3 2" xfId="24790" xr:uid="{00000000-0005-0000-0000-00009D280000}"/>
    <cellStyle name="Comma 3 2 3 3 5 4" xfId="24791" xr:uid="{00000000-0005-0000-0000-00009E280000}"/>
    <cellStyle name="Comma 3 2 3 3 6" xfId="24792" xr:uid="{00000000-0005-0000-0000-00009F280000}"/>
    <cellStyle name="Comma 3 2 3 3 6 2" xfId="24793" xr:uid="{00000000-0005-0000-0000-0000A0280000}"/>
    <cellStyle name="Comma 3 2 3 3 6 2 2" xfId="24794" xr:uid="{00000000-0005-0000-0000-0000A1280000}"/>
    <cellStyle name="Comma 3 2 3 3 6 3" xfId="24795" xr:uid="{00000000-0005-0000-0000-0000A2280000}"/>
    <cellStyle name="Comma 3 2 3 3 7" xfId="24796" xr:uid="{00000000-0005-0000-0000-0000A3280000}"/>
    <cellStyle name="Comma 3 2 3 3 7 2" xfId="24797" xr:uid="{00000000-0005-0000-0000-0000A4280000}"/>
    <cellStyle name="Comma 3 2 3 3 8" xfId="24798" xr:uid="{00000000-0005-0000-0000-0000A5280000}"/>
    <cellStyle name="Comma 3 2 3 4" xfId="24799" xr:uid="{00000000-0005-0000-0000-0000A6280000}"/>
    <cellStyle name="Comma 3 2 3 4 2" xfId="24800" xr:uid="{00000000-0005-0000-0000-0000A7280000}"/>
    <cellStyle name="Comma 3 2 3 4 2 2" xfId="24801" xr:uid="{00000000-0005-0000-0000-0000A8280000}"/>
    <cellStyle name="Comma 3 2 3 4 2 2 2" xfId="24802" xr:uid="{00000000-0005-0000-0000-0000A9280000}"/>
    <cellStyle name="Comma 3 2 3 4 2 2 2 2" xfId="24803" xr:uid="{00000000-0005-0000-0000-0000AA280000}"/>
    <cellStyle name="Comma 3 2 3 4 2 2 2 2 2" xfId="24804" xr:uid="{00000000-0005-0000-0000-0000AB280000}"/>
    <cellStyle name="Comma 3 2 3 4 2 2 2 3" xfId="24805" xr:uid="{00000000-0005-0000-0000-0000AC280000}"/>
    <cellStyle name="Comma 3 2 3 4 2 2 3" xfId="24806" xr:uid="{00000000-0005-0000-0000-0000AD280000}"/>
    <cellStyle name="Comma 3 2 3 4 2 2 3 2" xfId="24807" xr:uid="{00000000-0005-0000-0000-0000AE280000}"/>
    <cellStyle name="Comma 3 2 3 4 2 2 4" xfId="24808" xr:uid="{00000000-0005-0000-0000-0000AF280000}"/>
    <cellStyle name="Comma 3 2 3 4 2 3" xfId="24809" xr:uid="{00000000-0005-0000-0000-0000B0280000}"/>
    <cellStyle name="Comma 3 2 3 4 2 3 2" xfId="24810" xr:uid="{00000000-0005-0000-0000-0000B1280000}"/>
    <cellStyle name="Comma 3 2 3 4 2 3 2 2" xfId="24811" xr:uid="{00000000-0005-0000-0000-0000B2280000}"/>
    <cellStyle name="Comma 3 2 3 4 2 3 2 2 2" xfId="24812" xr:uid="{00000000-0005-0000-0000-0000B3280000}"/>
    <cellStyle name="Comma 3 2 3 4 2 3 2 3" xfId="24813" xr:uid="{00000000-0005-0000-0000-0000B4280000}"/>
    <cellStyle name="Comma 3 2 3 4 2 3 3" xfId="24814" xr:uid="{00000000-0005-0000-0000-0000B5280000}"/>
    <cellStyle name="Comma 3 2 3 4 2 3 3 2" xfId="24815" xr:uid="{00000000-0005-0000-0000-0000B6280000}"/>
    <cellStyle name="Comma 3 2 3 4 2 3 4" xfId="24816" xr:uid="{00000000-0005-0000-0000-0000B7280000}"/>
    <cellStyle name="Comma 3 2 3 4 2 4" xfId="24817" xr:uid="{00000000-0005-0000-0000-0000B8280000}"/>
    <cellStyle name="Comma 3 2 3 4 2 4 2" xfId="24818" xr:uid="{00000000-0005-0000-0000-0000B9280000}"/>
    <cellStyle name="Comma 3 2 3 4 2 4 2 2" xfId="24819" xr:uid="{00000000-0005-0000-0000-0000BA280000}"/>
    <cellStyle name="Comma 3 2 3 4 2 4 3" xfId="24820" xr:uid="{00000000-0005-0000-0000-0000BB280000}"/>
    <cellStyle name="Comma 3 2 3 4 2 5" xfId="24821" xr:uid="{00000000-0005-0000-0000-0000BC280000}"/>
    <cellStyle name="Comma 3 2 3 4 2 5 2" xfId="24822" xr:uid="{00000000-0005-0000-0000-0000BD280000}"/>
    <cellStyle name="Comma 3 2 3 4 2 6" xfId="24823" xr:uid="{00000000-0005-0000-0000-0000BE280000}"/>
    <cellStyle name="Comma 3 2 3 4 3" xfId="24824" xr:uid="{00000000-0005-0000-0000-0000BF280000}"/>
    <cellStyle name="Comma 3 2 3 4 3 2" xfId="24825" xr:uid="{00000000-0005-0000-0000-0000C0280000}"/>
    <cellStyle name="Comma 3 2 3 4 3 2 2" xfId="24826" xr:uid="{00000000-0005-0000-0000-0000C1280000}"/>
    <cellStyle name="Comma 3 2 3 4 3 2 2 2" xfId="24827" xr:uid="{00000000-0005-0000-0000-0000C2280000}"/>
    <cellStyle name="Comma 3 2 3 4 3 2 2 2 2" xfId="24828" xr:uid="{00000000-0005-0000-0000-0000C3280000}"/>
    <cellStyle name="Comma 3 2 3 4 3 2 2 3" xfId="24829" xr:uid="{00000000-0005-0000-0000-0000C4280000}"/>
    <cellStyle name="Comma 3 2 3 4 3 2 3" xfId="24830" xr:uid="{00000000-0005-0000-0000-0000C5280000}"/>
    <cellStyle name="Comma 3 2 3 4 3 2 3 2" xfId="24831" xr:uid="{00000000-0005-0000-0000-0000C6280000}"/>
    <cellStyle name="Comma 3 2 3 4 3 2 4" xfId="24832" xr:uid="{00000000-0005-0000-0000-0000C7280000}"/>
    <cellStyle name="Comma 3 2 3 4 3 3" xfId="24833" xr:uid="{00000000-0005-0000-0000-0000C8280000}"/>
    <cellStyle name="Comma 3 2 3 4 3 3 2" xfId="24834" xr:uid="{00000000-0005-0000-0000-0000C9280000}"/>
    <cellStyle name="Comma 3 2 3 4 3 3 2 2" xfId="24835" xr:uid="{00000000-0005-0000-0000-0000CA280000}"/>
    <cellStyle name="Comma 3 2 3 4 3 3 3" xfId="24836" xr:uid="{00000000-0005-0000-0000-0000CB280000}"/>
    <cellStyle name="Comma 3 2 3 4 3 4" xfId="24837" xr:uid="{00000000-0005-0000-0000-0000CC280000}"/>
    <cellStyle name="Comma 3 2 3 4 3 4 2" xfId="24838" xr:uid="{00000000-0005-0000-0000-0000CD280000}"/>
    <cellStyle name="Comma 3 2 3 4 3 5" xfId="24839" xr:uid="{00000000-0005-0000-0000-0000CE280000}"/>
    <cellStyle name="Comma 3 2 3 4 4" xfId="24840" xr:uid="{00000000-0005-0000-0000-0000CF280000}"/>
    <cellStyle name="Comma 3 2 3 4 4 2" xfId="24841" xr:uid="{00000000-0005-0000-0000-0000D0280000}"/>
    <cellStyle name="Comma 3 2 3 4 4 2 2" xfId="24842" xr:uid="{00000000-0005-0000-0000-0000D1280000}"/>
    <cellStyle name="Comma 3 2 3 4 4 2 2 2" xfId="24843" xr:uid="{00000000-0005-0000-0000-0000D2280000}"/>
    <cellStyle name="Comma 3 2 3 4 4 2 3" xfId="24844" xr:uid="{00000000-0005-0000-0000-0000D3280000}"/>
    <cellStyle name="Comma 3 2 3 4 4 3" xfId="24845" xr:uid="{00000000-0005-0000-0000-0000D4280000}"/>
    <cellStyle name="Comma 3 2 3 4 4 3 2" xfId="24846" xr:uid="{00000000-0005-0000-0000-0000D5280000}"/>
    <cellStyle name="Comma 3 2 3 4 4 4" xfId="24847" xr:uid="{00000000-0005-0000-0000-0000D6280000}"/>
    <cellStyle name="Comma 3 2 3 4 5" xfId="24848" xr:uid="{00000000-0005-0000-0000-0000D7280000}"/>
    <cellStyle name="Comma 3 2 3 4 5 2" xfId="24849" xr:uid="{00000000-0005-0000-0000-0000D8280000}"/>
    <cellStyle name="Comma 3 2 3 4 5 2 2" xfId="24850" xr:uid="{00000000-0005-0000-0000-0000D9280000}"/>
    <cellStyle name="Comma 3 2 3 4 5 2 2 2" xfId="24851" xr:uid="{00000000-0005-0000-0000-0000DA280000}"/>
    <cellStyle name="Comma 3 2 3 4 5 2 3" xfId="24852" xr:uid="{00000000-0005-0000-0000-0000DB280000}"/>
    <cellStyle name="Comma 3 2 3 4 5 3" xfId="24853" xr:uid="{00000000-0005-0000-0000-0000DC280000}"/>
    <cellStyle name="Comma 3 2 3 4 5 3 2" xfId="24854" xr:uid="{00000000-0005-0000-0000-0000DD280000}"/>
    <cellStyle name="Comma 3 2 3 4 5 4" xfId="24855" xr:uid="{00000000-0005-0000-0000-0000DE280000}"/>
    <cellStyle name="Comma 3 2 3 4 6" xfId="24856" xr:uid="{00000000-0005-0000-0000-0000DF280000}"/>
    <cellStyle name="Comma 3 2 3 4 6 2" xfId="24857" xr:uid="{00000000-0005-0000-0000-0000E0280000}"/>
    <cellStyle name="Comma 3 2 3 4 6 2 2" xfId="24858" xr:uid="{00000000-0005-0000-0000-0000E1280000}"/>
    <cellStyle name="Comma 3 2 3 4 6 3" xfId="24859" xr:uid="{00000000-0005-0000-0000-0000E2280000}"/>
    <cellStyle name="Comma 3 2 3 4 7" xfId="24860" xr:uid="{00000000-0005-0000-0000-0000E3280000}"/>
    <cellStyle name="Comma 3 2 3 4 7 2" xfId="24861" xr:uid="{00000000-0005-0000-0000-0000E4280000}"/>
    <cellStyle name="Comma 3 2 3 4 8" xfId="24862" xr:uid="{00000000-0005-0000-0000-0000E5280000}"/>
    <cellStyle name="Comma 3 2 3 5" xfId="24863" xr:uid="{00000000-0005-0000-0000-0000E6280000}"/>
    <cellStyle name="Comma 3 2 3 5 2" xfId="24864" xr:uid="{00000000-0005-0000-0000-0000E7280000}"/>
    <cellStyle name="Comma 3 2 3 5 2 2" xfId="24865" xr:uid="{00000000-0005-0000-0000-0000E8280000}"/>
    <cellStyle name="Comma 3 2 3 5 2 2 2" xfId="24866" xr:uid="{00000000-0005-0000-0000-0000E9280000}"/>
    <cellStyle name="Comma 3 2 3 5 2 2 2 2" xfId="24867" xr:uid="{00000000-0005-0000-0000-0000EA280000}"/>
    <cellStyle name="Comma 3 2 3 5 2 2 3" xfId="24868" xr:uid="{00000000-0005-0000-0000-0000EB280000}"/>
    <cellStyle name="Comma 3 2 3 5 2 3" xfId="24869" xr:uid="{00000000-0005-0000-0000-0000EC280000}"/>
    <cellStyle name="Comma 3 2 3 5 2 3 2" xfId="24870" xr:uid="{00000000-0005-0000-0000-0000ED280000}"/>
    <cellStyle name="Comma 3 2 3 5 2 4" xfId="24871" xr:uid="{00000000-0005-0000-0000-0000EE280000}"/>
    <cellStyle name="Comma 3 2 3 5 3" xfId="24872" xr:uid="{00000000-0005-0000-0000-0000EF280000}"/>
    <cellStyle name="Comma 3 2 3 5 3 2" xfId="24873" xr:uid="{00000000-0005-0000-0000-0000F0280000}"/>
    <cellStyle name="Comma 3 2 3 5 3 2 2" xfId="24874" xr:uid="{00000000-0005-0000-0000-0000F1280000}"/>
    <cellStyle name="Comma 3 2 3 5 3 2 2 2" xfId="24875" xr:uid="{00000000-0005-0000-0000-0000F2280000}"/>
    <cellStyle name="Comma 3 2 3 5 3 2 3" xfId="24876" xr:uid="{00000000-0005-0000-0000-0000F3280000}"/>
    <cellStyle name="Comma 3 2 3 5 3 3" xfId="24877" xr:uid="{00000000-0005-0000-0000-0000F4280000}"/>
    <cellStyle name="Comma 3 2 3 5 3 3 2" xfId="24878" xr:uid="{00000000-0005-0000-0000-0000F5280000}"/>
    <cellStyle name="Comma 3 2 3 5 3 4" xfId="24879" xr:uid="{00000000-0005-0000-0000-0000F6280000}"/>
    <cellStyle name="Comma 3 2 3 5 4" xfId="24880" xr:uid="{00000000-0005-0000-0000-0000F7280000}"/>
    <cellStyle name="Comma 3 2 3 5 4 2" xfId="24881" xr:uid="{00000000-0005-0000-0000-0000F8280000}"/>
    <cellStyle name="Comma 3 2 3 5 4 2 2" xfId="24882" xr:uid="{00000000-0005-0000-0000-0000F9280000}"/>
    <cellStyle name="Comma 3 2 3 5 4 3" xfId="24883" xr:uid="{00000000-0005-0000-0000-0000FA280000}"/>
    <cellStyle name="Comma 3 2 3 5 5" xfId="24884" xr:uid="{00000000-0005-0000-0000-0000FB280000}"/>
    <cellStyle name="Comma 3 2 3 5 5 2" xfId="24885" xr:uid="{00000000-0005-0000-0000-0000FC280000}"/>
    <cellStyle name="Comma 3 2 3 5 6" xfId="24886" xr:uid="{00000000-0005-0000-0000-0000FD280000}"/>
    <cellStyle name="Comma 3 2 3 6" xfId="24887" xr:uid="{00000000-0005-0000-0000-0000FE280000}"/>
    <cellStyle name="Comma 3 2 3 6 2" xfId="24888" xr:uid="{00000000-0005-0000-0000-0000FF280000}"/>
    <cellStyle name="Comma 3 2 3 6 2 2" xfId="24889" xr:uid="{00000000-0005-0000-0000-000000290000}"/>
    <cellStyle name="Comma 3 2 3 6 2 2 2" xfId="24890" xr:uid="{00000000-0005-0000-0000-000001290000}"/>
    <cellStyle name="Comma 3 2 3 6 2 2 2 2" xfId="24891" xr:uid="{00000000-0005-0000-0000-000002290000}"/>
    <cellStyle name="Comma 3 2 3 6 2 2 3" xfId="24892" xr:uid="{00000000-0005-0000-0000-000003290000}"/>
    <cellStyle name="Comma 3 2 3 6 2 3" xfId="24893" xr:uid="{00000000-0005-0000-0000-000004290000}"/>
    <cellStyle name="Comma 3 2 3 6 2 3 2" xfId="24894" xr:uid="{00000000-0005-0000-0000-000005290000}"/>
    <cellStyle name="Comma 3 2 3 6 2 4" xfId="24895" xr:uid="{00000000-0005-0000-0000-000006290000}"/>
    <cellStyle name="Comma 3 2 3 6 3" xfId="24896" xr:uid="{00000000-0005-0000-0000-000007290000}"/>
    <cellStyle name="Comma 3 2 3 6 3 2" xfId="24897" xr:uid="{00000000-0005-0000-0000-000008290000}"/>
    <cellStyle name="Comma 3 2 3 6 3 2 2" xfId="24898" xr:uid="{00000000-0005-0000-0000-000009290000}"/>
    <cellStyle name="Comma 3 2 3 6 3 3" xfId="24899" xr:uid="{00000000-0005-0000-0000-00000A290000}"/>
    <cellStyle name="Comma 3 2 3 6 4" xfId="24900" xr:uid="{00000000-0005-0000-0000-00000B290000}"/>
    <cellStyle name="Comma 3 2 3 6 4 2" xfId="24901" xr:uid="{00000000-0005-0000-0000-00000C290000}"/>
    <cellStyle name="Comma 3 2 3 6 5" xfId="24902" xr:uid="{00000000-0005-0000-0000-00000D290000}"/>
    <cellStyle name="Comma 3 2 3 7" xfId="24903" xr:uid="{00000000-0005-0000-0000-00000E290000}"/>
    <cellStyle name="Comma 3 2 3 7 2" xfId="24904" xr:uid="{00000000-0005-0000-0000-00000F290000}"/>
    <cellStyle name="Comma 3 2 3 7 2 2" xfId="24905" xr:uid="{00000000-0005-0000-0000-000010290000}"/>
    <cellStyle name="Comma 3 2 3 7 2 2 2" xfId="24906" xr:uid="{00000000-0005-0000-0000-000011290000}"/>
    <cellStyle name="Comma 3 2 3 7 2 3" xfId="24907" xr:uid="{00000000-0005-0000-0000-000012290000}"/>
    <cellStyle name="Comma 3 2 3 7 3" xfId="24908" xr:uid="{00000000-0005-0000-0000-000013290000}"/>
    <cellStyle name="Comma 3 2 3 7 3 2" xfId="24909" xr:uid="{00000000-0005-0000-0000-000014290000}"/>
    <cellStyle name="Comma 3 2 3 7 4" xfId="24910" xr:uid="{00000000-0005-0000-0000-000015290000}"/>
    <cellStyle name="Comma 3 2 3 8" xfId="24911" xr:uid="{00000000-0005-0000-0000-000016290000}"/>
    <cellStyle name="Comma 3 2 3 8 2" xfId="24912" xr:uid="{00000000-0005-0000-0000-000017290000}"/>
    <cellStyle name="Comma 3 2 3 8 2 2" xfId="24913" xr:uid="{00000000-0005-0000-0000-000018290000}"/>
    <cellStyle name="Comma 3 2 3 8 2 2 2" xfId="24914" xr:uid="{00000000-0005-0000-0000-000019290000}"/>
    <cellStyle name="Comma 3 2 3 8 2 3" xfId="24915" xr:uid="{00000000-0005-0000-0000-00001A290000}"/>
    <cellStyle name="Comma 3 2 3 8 3" xfId="24916" xr:uid="{00000000-0005-0000-0000-00001B290000}"/>
    <cellStyle name="Comma 3 2 3 8 3 2" xfId="24917" xr:uid="{00000000-0005-0000-0000-00001C290000}"/>
    <cellStyle name="Comma 3 2 3 8 4" xfId="24918" xr:uid="{00000000-0005-0000-0000-00001D290000}"/>
    <cellStyle name="Comma 3 2 3 9" xfId="24919" xr:uid="{00000000-0005-0000-0000-00001E290000}"/>
    <cellStyle name="Comma 3 2 3 9 2" xfId="24920" xr:uid="{00000000-0005-0000-0000-00001F290000}"/>
    <cellStyle name="Comma 3 2 3 9 2 2" xfId="24921" xr:uid="{00000000-0005-0000-0000-000020290000}"/>
    <cellStyle name="Comma 3 2 3 9 2 2 2" xfId="24922" xr:uid="{00000000-0005-0000-0000-000021290000}"/>
    <cellStyle name="Comma 3 2 3 9 2 3" xfId="24923" xr:uid="{00000000-0005-0000-0000-000022290000}"/>
    <cellStyle name="Comma 3 2 3 9 3" xfId="24924" xr:uid="{00000000-0005-0000-0000-000023290000}"/>
    <cellStyle name="Comma 3 2 3 9 3 2" xfId="24925" xr:uid="{00000000-0005-0000-0000-000024290000}"/>
    <cellStyle name="Comma 3 2 3 9 4" xfId="24926" xr:uid="{00000000-0005-0000-0000-000025290000}"/>
    <cellStyle name="Comma 3 2 4" xfId="24927" xr:uid="{00000000-0005-0000-0000-000026290000}"/>
    <cellStyle name="Comma 3 2 4 10" xfId="24928" xr:uid="{00000000-0005-0000-0000-000027290000}"/>
    <cellStyle name="Comma 3 2 4 2" xfId="24929" xr:uid="{00000000-0005-0000-0000-000028290000}"/>
    <cellStyle name="Comma 3 2 4 2 2" xfId="24930" xr:uid="{00000000-0005-0000-0000-000029290000}"/>
    <cellStyle name="Comma 3 2 4 2 2 2" xfId="24931" xr:uid="{00000000-0005-0000-0000-00002A290000}"/>
    <cellStyle name="Comma 3 2 4 2 2 2 2" xfId="24932" xr:uid="{00000000-0005-0000-0000-00002B290000}"/>
    <cellStyle name="Comma 3 2 4 2 2 2 2 2" xfId="24933" xr:uid="{00000000-0005-0000-0000-00002C290000}"/>
    <cellStyle name="Comma 3 2 4 2 2 2 2 2 2" xfId="24934" xr:uid="{00000000-0005-0000-0000-00002D290000}"/>
    <cellStyle name="Comma 3 2 4 2 2 2 2 3" xfId="24935" xr:uid="{00000000-0005-0000-0000-00002E290000}"/>
    <cellStyle name="Comma 3 2 4 2 2 2 3" xfId="24936" xr:uid="{00000000-0005-0000-0000-00002F290000}"/>
    <cellStyle name="Comma 3 2 4 2 2 2 3 2" xfId="24937" xr:uid="{00000000-0005-0000-0000-000030290000}"/>
    <cellStyle name="Comma 3 2 4 2 2 2 4" xfId="24938" xr:uid="{00000000-0005-0000-0000-000031290000}"/>
    <cellStyle name="Comma 3 2 4 2 2 3" xfId="24939" xr:uid="{00000000-0005-0000-0000-000032290000}"/>
    <cellStyle name="Comma 3 2 4 2 2 3 2" xfId="24940" xr:uid="{00000000-0005-0000-0000-000033290000}"/>
    <cellStyle name="Comma 3 2 4 2 2 3 2 2" xfId="24941" xr:uid="{00000000-0005-0000-0000-000034290000}"/>
    <cellStyle name="Comma 3 2 4 2 2 3 2 2 2" xfId="24942" xr:uid="{00000000-0005-0000-0000-000035290000}"/>
    <cellStyle name="Comma 3 2 4 2 2 3 2 3" xfId="24943" xr:uid="{00000000-0005-0000-0000-000036290000}"/>
    <cellStyle name="Comma 3 2 4 2 2 3 3" xfId="24944" xr:uid="{00000000-0005-0000-0000-000037290000}"/>
    <cellStyle name="Comma 3 2 4 2 2 3 3 2" xfId="24945" xr:uid="{00000000-0005-0000-0000-000038290000}"/>
    <cellStyle name="Comma 3 2 4 2 2 3 4" xfId="24946" xr:uid="{00000000-0005-0000-0000-000039290000}"/>
    <cellStyle name="Comma 3 2 4 2 2 4" xfId="24947" xr:uid="{00000000-0005-0000-0000-00003A290000}"/>
    <cellStyle name="Comma 3 2 4 2 2 4 2" xfId="24948" xr:uid="{00000000-0005-0000-0000-00003B290000}"/>
    <cellStyle name="Comma 3 2 4 2 2 4 2 2" xfId="24949" xr:uid="{00000000-0005-0000-0000-00003C290000}"/>
    <cellStyle name="Comma 3 2 4 2 2 4 3" xfId="24950" xr:uid="{00000000-0005-0000-0000-00003D290000}"/>
    <cellStyle name="Comma 3 2 4 2 2 5" xfId="24951" xr:uid="{00000000-0005-0000-0000-00003E290000}"/>
    <cellStyle name="Comma 3 2 4 2 2 5 2" xfId="24952" xr:uid="{00000000-0005-0000-0000-00003F290000}"/>
    <cellStyle name="Comma 3 2 4 2 2 6" xfId="24953" xr:uid="{00000000-0005-0000-0000-000040290000}"/>
    <cellStyle name="Comma 3 2 4 2 3" xfId="24954" xr:uid="{00000000-0005-0000-0000-000041290000}"/>
    <cellStyle name="Comma 3 2 4 2 3 2" xfId="24955" xr:uid="{00000000-0005-0000-0000-000042290000}"/>
    <cellStyle name="Comma 3 2 4 2 3 2 2" xfId="24956" xr:uid="{00000000-0005-0000-0000-000043290000}"/>
    <cellStyle name="Comma 3 2 4 2 3 2 2 2" xfId="24957" xr:uid="{00000000-0005-0000-0000-000044290000}"/>
    <cellStyle name="Comma 3 2 4 2 3 2 2 2 2" xfId="24958" xr:uid="{00000000-0005-0000-0000-000045290000}"/>
    <cellStyle name="Comma 3 2 4 2 3 2 2 3" xfId="24959" xr:uid="{00000000-0005-0000-0000-000046290000}"/>
    <cellStyle name="Comma 3 2 4 2 3 2 3" xfId="24960" xr:uid="{00000000-0005-0000-0000-000047290000}"/>
    <cellStyle name="Comma 3 2 4 2 3 2 3 2" xfId="24961" xr:uid="{00000000-0005-0000-0000-000048290000}"/>
    <cellStyle name="Comma 3 2 4 2 3 2 4" xfId="24962" xr:uid="{00000000-0005-0000-0000-000049290000}"/>
    <cellStyle name="Comma 3 2 4 2 3 3" xfId="24963" xr:uid="{00000000-0005-0000-0000-00004A290000}"/>
    <cellStyle name="Comma 3 2 4 2 3 3 2" xfId="24964" xr:uid="{00000000-0005-0000-0000-00004B290000}"/>
    <cellStyle name="Comma 3 2 4 2 3 3 2 2" xfId="24965" xr:uid="{00000000-0005-0000-0000-00004C290000}"/>
    <cellStyle name="Comma 3 2 4 2 3 3 3" xfId="24966" xr:uid="{00000000-0005-0000-0000-00004D290000}"/>
    <cellStyle name="Comma 3 2 4 2 3 4" xfId="24967" xr:uid="{00000000-0005-0000-0000-00004E290000}"/>
    <cellStyle name="Comma 3 2 4 2 3 4 2" xfId="24968" xr:uid="{00000000-0005-0000-0000-00004F290000}"/>
    <cellStyle name="Comma 3 2 4 2 3 5" xfId="24969" xr:uid="{00000000-0005-0000-0000-000050290000}"/>
    <cellStyle name="Comma 3 2 4 2 4" xfId="24970" xr:uid="{00000000-0005-0000-0000-000051290000}"/>
    <cellStyle name="Comma 3 2 4 2 4 2" xfId="24971" xr:uid="{00000000-0005-0000-0000-000052290000}"/>
    <cellStyle name="Comma 3 2 4 2 4 2 2" xfId="24972" xr:uid="{00000000-0005-0000-0000-000053290000}"/>
    <cellStyle name="Comma 3 2 4 2 4 2 2 2" xfId="24973" xr:uid="{00000000-0005-0000-0000-000054290000}"/>
    <cellStyle name="Comma 3 2 4 2 4 2 3" xfId="24974" xr:uid="{00000000-0005-0000-0000-000055290000}"/>
    <cellStyle name="Comma 3 2 4 2 4 3" xfId="24975" xr:uid="{00000000-0005-0000-0000-000056290000}"/>
    <cellStyle name="Comma 3 2 4 2 4 3 2" xfId="24976" xr:uid="{00000000-0005-0000-0000-000057290000}"/>
    <cellStyle name="Comma 3 2 4 2 4 4" xfId="24977" xr:uid="{00000000-0005-0000-0000-000058290000}"/>
    <cellStyle name="Comma 3 2 4 2 5" xfId="24978" xr:uid="{00000000-0005-0000-0000-000059290000}"/>
    <cellStyle name="Comma 3 2 4 2 5 2" xfId="24979" xr:uid="{00000000-0005-0000-0000-00005A290000}"/>
    <cellStyle name="Comma 3 2 4 2 5 2 2" xfId="24980" xr:uid="{00000000-0005-0000-0000-00005B290000}"/>
    <cellStyle name="Comma 3 2 4 2 5 2 2 2" xfId="24981" xr:uid="{00000000-0005-0000-0000-00005C290000}"/>
    <cellStyle name="Comma 3 2 4 2 5 2 3" xfId="24982" xr:uid="{00000000-0005-0000-0000-00005D290000}"/>
    <cellStyle name="Comma 3 2 4 2 5 3" xfId="24983" xr:uid="{00000000-0005-0000-0000-00005E290000}"/>
    <cellStyle name="Comma 3 2 4 2 5 3 2" xfId="24984" xr:uid="{00000000-0005-0000-0000-00005F290000}"/>
    <cellStyle name="Comma 3 2 4 2 5 4" xfId="24985" xr:uid="{00000000-0005-0000-0000-000060290000}"/>
    <cellStyle name="Comma 3 2 4 2 6" xfId="24986" xr:uid="{00000000-0005-0000-0000-000061290000}"/>
    <cellStyle name="Comma 3 2 4 2 6 2" xfId="24987" xr:uid="{00000000-0005-0000-0000-000062290000}"/>
    <cellStyle name="Comma 3 2 4 2 6 2 2" xfId="24988" xr:uid="{00000000-0005-0000-0000-000063290000}"/>
    <cellStyle name="Comma 3 2 4 2 6 3" xfId="24989" xr:uid="{00000000-0005-0000-0000-000064290000}"/>
    <cellStyle name="Comma 3 2 4 2 7" xfId="24990" xr:uid="{00000000-0005-0000-0000-000065290000}"/>
    <cellStyle name="Comma 3 2 4 2 7 2" xfId="24991" xr:uid="{00000000-0005-0000-0000-000066290000}"/>
    <cellStyle name="Comma 3 2 4 2 8" xfId="24992" xr:uid="{00000000-0005-0000-0000-000067290000}"/>
    <cellStyle name="Comma 3 2 4 3" xfId="24993" xr:uid="{00000000-0005-0000-0000-000068290000}"/>
    <cellStyle name="Comma 3 2 4 3 2" xfId="24994" xr:uid="{00000000-0005-0000-0000-000069290000}"/>
    <cellStyle name="Comma 3 2 4 3 2 2" xfId="24995" xr:uid="{00000000-0005-0000-0000-00006A290000}"/>
    <cellStyle name="Comma 3 2 4 3 2 2 2" xfId="24996" xr:uid="{00000000-0005-0000-0000-00006B290000}"/>
    <cellStyle name="Comma 3 2 4 3 2 2 2 2" xfId="24997" xr:uid="{00000000-0005-0000-0000-00006C290000}"/>
    <cellStyle name="Comma 3 2 4 3 2 2 3" xfId="24998" xr:uid="{00000000-0005-0000-0000-00006D290000}"/>
    <cellStyle name="Comma 3 2 4 3 2 3" xfId="24999" xr:uid="{00000000-0005-0000-0000-00006E290000}"/>
    <cellStyle name="Comma 3 2 4 3 2 3 2" xfId="25000" xr:uid="{00000000-0005-0000-0000-00006F290000}"/>
    <cellStyle name="Comma 3 2 4 3 2 4" xfId="25001" xr:uid="{00000000-0005-0000-0000-000070290000}"/>
    <cellStyle name="Comma 3 2 4 3 3" xfId="25002" xr:uid="{00000000-0005-0000-0000-000071290000}"/>
    <cellStyle name="Comma 3 2 4 3 3 2" xfId="25003" xr:uid="{00000000-0005-0000-0000-000072290000}"/>
    <cellStyle name="Comma 3 2 4 3 3 2 2" xfId="25004" xr:uid="{00000000-0005-0000-0000-000073290000}"/>
    <cellStyle name="Comma 3 2 4 3 3 2 2 2" xfId="25005" xr:uid="{00000000-0005-0000-0000-000074290000}"/>
    <cellStyle name="Comma 3 2 4 3 3 2 3" xfId="25006" xr:uid="{00000000-0005-0000-0000-000075290000}"/>
    <cellStyle name="Comma 3 2 4 3 3 3" xfId="25007" xr:uid="{00000000-0005-0000-0000-000076290000}"/>
    <cellStyle name="Comma 3 2 4 3 3 3 2" xfId="25008" xr:uid="{00000000-0005-0000-0000-000077290000}"/>
    <cellStyle name="Comma 3 2 4 3 3 4" xfId="25009" xr:uid="{00000000-0005-0000-0000-000078290000}"/>
    <cellStyle name="Comma 3 2 4 3 4" xfId="25010" xr:uid="{00000000-0005-0000-0000-000079290000}"/>
    <cellStyle name="Comma 3 2 4 3 4 2" xfId="25011" xr:uid="{00000000-0005-0000-0000-00007A290000}"/>
    <cellStyle name="Comma 3 2 4 3 4 2 2" xfId="25012" xr:uid="{00000000-0005-0000-0000-00007B290000}"/>
    <cellStyle name="Comma 3 2 4 3 4 3" xfId="25013" xr:uid="{00000000-0005-0000-0000-00007C290000}"/>
    <cellStyle name="Comma 3 2 4 3 5" xfId="25014" xr:uid="{00000000-0005-0000-0000-00007D290000}"/>
    <cellStyle name="Comma 3 2 4 3 5 2" xfId="25015" xr:uid="{00000000-0005-0000-0000-00007E290000}"/>
    <cellStyle name="Comma 3 2 4 3 6" xfId="25016" xr:uid="{00000000-0005-0000-0000-00007F290000}"/>
    <cellStyle name="Comma 3 2 4 4" xfId="25017" xr:uid="{00000000-0005-0000-0000-000080290000}"/>
    <cellStyle name="Comma 3 2 4 4 2" xfId="25018" xr:uid="{00000000-0005-0000-0000-000081290000}"/>
    <cellStyle name="Comma 3 2 4 4 2 2" xfId="25019" xr:uid="{00000000-0005-0000-0000-000082290000}"/>
    <cellStyle name="Comma 3 2 4 4 2 2 2" xfId="25020" xr:uid="{00000000-0005-0000-0000-000083290000}"/>
    <cellStyle name="Comma 3 2 4 4 2 2 2 2" xfId="25021" xr:uid="{00000000-0005-0000-0000-000084290000}"/>
    <cellStyle name="Comma 3 2 4 4 2 2 3" xfId="25022" xr:uid="{00000000-0005-0000-0000-000085290000}"/>
    <cellStyle name="Comma 3 2 4 4 2 3" xfId="25023" xr:uid="{00000000-0005-0000-0000-000086290000}"/>
    <cellStyle name="Comma 3 2 4 4 2 3 2" xfId="25024" xr:uid="{00000000-0005-0000-0000-000087290000}"/>
    <cellStyle name="Comma 3 2 4 4 2 4" xfId="25025" xr:uid="{00000000-0005-0000-0000-000088290000}"/>
    <cellStyle name="Comma 3 2 4 4 3" xfId="25026" xr:uid="{00000000-0005-0000-0000-000089290000}"/>
    <cellStyle name="Comma 3 2 4 4 3 2" xfId="25027" xr:uid="{00000000-0005-0000-0000-00008A290000}"/>
    <cellStyle name="Comma 3 2 4 4 3 2 2" xfId="25028" xr:uid="{00000000-0005-0000-0000-00008B290000}"/>
    <cellStyle name="Comma 3 2 4 4 3 3" xfId="25029" xr:uid="{00000000-0005-0000-0000-00008C290000}"/>
    <cellStyle name="Comma 3 2 4 4 4" xfId="25030" xr:uid="{00000000-0005-0000-0000-00008D290000}"/>
    <cellStyle name="Comma 3 2 4 4 4 2" xfId="25031" xr:uid="{00000000-0005-0000-0000-00008E290000}"/>
    <cellStyle name="Comma 3 2 4 4 5" xfId="25032" xr:uid="{00000000-0005-0000-0000-00008F290000}"/>
    <cellStyle name="Comma 3 2 4 5" xfId="25033" xr:uid="{00000000-0005-0000-0000-000090290000}"/>
    <cellStyle name="Comma 3 2 4 5 2" xfId="25034" xr:uid="{00000000-0005-0000-0000-000091290000}"/>
    <cellStyle name="Comma 3 2 4 5 2 2" xfId="25035" xr:uid="{00000000-0005-0000-0000-000092290000}"/>
    <cellStyle name="Comma 3 2 4 5 2 2 2" xfId="25036" xr:uid="{00000000-0005-0000-0000-000093290000}"/>
    <cellStyle name="Comma 3 2 4 5 2 3" xfId="25037" xr:uid="{00000000-0005-0000-0000-000094290000}"/>
    <cellStyle name="Comma 3 2 4 5 3" xfId="25038" xr:uid="{00000000-0005-0000-0000-000095290000}"/>
    <cellStyle name="Comma 3 2 4 5 3 2" xfId="25039" xr:uid="{00000000-0005-0000-0000-000096290000}"/>
    <cellStyle name="Comma 3 2 4 5 4" xfId="25040" xr:uid="{00000000-0005-0000-0000-000097290000}"/>
    <cellStyle name="Comma 3 2 4 6" xfId="25041" xr:uid="{00000000-0005-0000-0000-000098290000}"/>
    <cellStyle name="Comma 3 2 4 6 2" xfId="25042" xr:uid="{00000000-0005-0000-0000-000099290000}"/>
    <cellStyle name="Comma 3 2 4 6 2 2" xfId="25043" xr:uid="{00000000-0005-0000-0000-00009A290000}"/>
    <cellStyle name="Comma 3 2 4 6 2 2 2" xfId="25044" xr:uid="{00000000-0005-0000-0000-00009B290000}"/>
    <cellStyle name="Comma 3 2 4 6 2 3" xfId="25045" xr:uid="{00000000-0005-0000-0000-00009C290000}"/>
    <cellStyle name="Comma 3 2 4 6 3" xfId="25046" xr:uid="{00000000-0005-0000-0000-00009D290000}"/>
    <cellStyle name="Comma 3 2 4 6 3 2" xfId="25047" xr:uid="{00000000-0005-0000-0000-00009E290000}"/>
    <cellStyle name="Comma 3 2 4 6 4" xfId="25048" xr:uid="{00000000-0005-0000-0000-00009F290000}"/>
    <cellStyle name="Comma 3 2 4 7" xfId="25049" xr:uid="{00000000-0005-0000-0000-0000A0290000}"/>
    <cellStyle name="Comma 3 2 4 7 2" xfId="25050" xr:uid="{00000000-0005-0000-0000-0000A1290000}"/>
    <cellStyle name="Comma 3 2 4 7 2 2" xfId="25051" xr:uid="{00000000-0005-0000-0000-0000A2290000}"/>
    <cellStyle name="Comma 3 2 4 7 2 2 2" xfId="25052" xr:uid="{00000000-0005-0000-0000-0000A3290000}"/>
    <cellStyle name="Comma 3 2 4 7 2 3" xfId="25053" xr:uid="{00000000-0005-0000-0000-0000A4290000}"/>
    <cellStyle name="Comma 3 2 4 7 3" xfId="25054" xr:uid="{00000000-0005-0000-0000-0000A5290000}"/>
    <cellStyle name="Comma 3 2 4 7 3 2" xfId="25055" xr:uid="{00000000-0005-0000-0000-0000A6290000}"/>
    <cellStyle name="Comma 3 2 4 7 4" xfId="25056" xr:uid="{00000000-0005-0000-0000-0000A7290000}"/>
    <cellStyle name="Comma 3 2 4 8" xfId="25057" xr:uid="{00000000-0005-0000-0000-0000A8290000}"/>
    <cellStyle name="Comma 3 2 4 8 2" xfId="25058" xr:uid="{00000000-0005-0000-0000-0000A9290000}"/>
    <cellStyle name="Comma 3 2 4 8 2 2" xfId="25059" xr:uid="{00000000-0005-0000-0000-0000AA290000}"/>
    <cellStyle name="Comma 3 2 4 8 3" xfId="25060" xr:uid="{00000000-0005-0000-0000-0000AB290000}"/>
    <cellStyle name="Comma 3 2 4 9" xfId="25061" xr:uid="{00000000-0005-0000-0000-0000AC290000}"/>
    <cellStyle name="Comma 3 2 4 9 2" xfId="25062" xr:uid="{00000000-0005-0000-0000-0000AD290000}"/>
    <cellStyle name="Comma 3 2 5" xfId="25063" xr:uid="{00000000-0005-0000-0000-0000AE290000}"/>
    <cellStyle name="Comma 3 2 5 2" xfId="25064" xr:uid="{00000000-0005-0000-0000-0000AF290000}"/>
    <cellStyle name="Comma 3 2 5 2 2" xfId="25065" xr:uid="{00000000-0005-0000-0000-0000B0290000}"/>
    <cellStyle name="Comma 3 2 5 2 2 2" xfId="25066" xr:uid="{00000000-0005-0000-0000-0000B1290000}"/>
    <cellStyle name="Comma 3 2 5 2 2 2 2" xfId="25067" xr:uid="{00000000-0005-0000-0000-0000B2290000}"/>
    <cellStyle name="Comma 3 2 5 2 2 2 2 2" xfId="25068" xr:uid="{00000000-0005-0000-0000-0000B3290000}"/>
    <cellStyle name="Comma 3 2 5 2 2 2 3" xfId="25069" xr:uid="{00000000-0005-0000-0000-0000B4290000}"/>
    <cellStyle name="Comma 3 2 5 2 2 3" xfId="25070" xr:uid="{00000000-0005-0000-0000-0000B5290000}"/>
    <cellStyle name="Comma 3 2 5 2 2 3 2" xfId="25071" xr:uid="{00000000-0005-0000-0000-0000B6290000}"/>
    <cellStyle name="Comma 3 2 5 2 2 4" xfId="25072" xr:uid="{00000000-0005-0000-0000-0000B7290000}"/>
    <cellStyle name="Comma 3 2 5 2 3" xfId="25073" xr:uid="{00000000-0005-0000-0000-0000B8290000}"/>
    <cellStyle name="Comma 3 2 5 2 3 2" xfId="25074" xr:uid="{00000000-0005-0000-0000-0000B9290000}"/>
    <cellStyle name="Comma 3 2 5 2 3 2 2" xfId="25075" xr:uid="{00000000-0005-0000-0000-0000BA290000}"/>
    <cellStyle name="Comma 3 2 5 2 3 2 2 2" xfId="25076" xr:uid="{00000000-0005-0000-0000-0000BB290000}"/>
    <cellStyle name="Comma 3 2 5 2 3 2 3" xfId="25077" xr:uid="{00000000-0005-0000-0000-0000BC290000}"/>
    <cellStyle name="Comma 3 2 5 2 3 3" xfId="25078" xr:uid="{00000000-0005-0000-0000-0000BD290000}"/>
    <cellStyle name="Comma 3 2 5 2 3 3 2" xfId="25079" xr:uid="{00000000-0005-0000-0000-0000BE290000}"/>
    <cellStyle name="Comma 3 2 5 2 3 4" xfId="25080" xr:uid="{00000000-0005-0000-0000-0000BF290000}"/>
    <cellStyle name="Comma 3 2 5 2 4" xfId="25081" xr:uid="{00000000-0005-0000-0000-0000C0290000}"/>
    <cellStyle name="Comma 3 2 5 2 4 2" xfId="25082" xr:uid="{00000000-0005-0000-0000-0000C1290000}"/>
    <cellStyle name="Comma 3 2 5 2 4 2 2" xfId="25083" xr:uid="{00000000-0005-0000-0000-0000C2290000}"/>
    <cellStyle name="Comma 3 2 5 2 4 3" xfId="25084" xr:uid="{00000000-0005-0000-0000-0000C3290000}"/>
    <cellStyle name="Comma 3 2 5 2 5" xfId="25085" xr:uid="{00000000-0005-0000-0000-0000C4290000}"/>
    <cellStyle name="Comma 3 2 5 2 5 2" xfId="25086" xr:uid="{00000000-0005-0000-0000-0000C5290000}"/>
    <cellStyle name="Comma 3 2 5 2 6" xfId="25087" xr:uid="{00000000-0005-0000-0000-0000C6290000}"/>
    <cellStyle name="Comma 3 2 5 3" xfId="25088" xr:uid="{00000000-0005-0000-0000-0000C7290000}"/>
    <cellStyle name="Comma 3 2 5 3 2" xfId="25089" xr:uid="{00000000-0005-0000-0000-0000C8290000}"/>
    <cellStyle name="Comma 3 2 5 3 2 2" xfId="25090" xr:uid="{00000000-0005-0000-0000-0000C9290000}"/>
    <cellStyle name="Comma 3 2 5 3 2 2 2" xfId="25091" xr:uid="{00000000-0005-0000-0000-0000CA290000}"/>
    <cellStyle name="Comma 3 2 5 3 2 2 2 2" xfId="25092" xr:uid="{00000000-0005-0000-0000-0000CB290000}"/>
    <cellStyle name="Comma 3 2 5 3 2 2 3" xfId="25093" xr:uid="{00000000-0005-0000-0000-0000CC290000}"/>
    <cellStyle name="Comma 3 2 5 3 2 3" xfId="25094" xr:uid="{00000000-0005-0000-0000-0000CD290000}"/>
    <cellStyle name="Comma 3 2 5 3 2 3 2" xfId="25095" xr:uid="{00000000-0005-0000-0000-0000CE290000}"/>
    <cellStyle name="Comma 3 2 5 3 2 4" xfId="25096" xr:uid="{00000000-0005-0000-0000-0000CF290000}"/>
    <cellStyle name="Comma 3 2 5 3 3" xfId="25097" xr:uid="{00000000-0005-0000-0000-0000D0290000}"/>
    <cellStyle name="Comma 3 2 5 3 3 2" xfId="25098" xr:uid="{00000000-0005-0000-0000-0000D1290000}"/>
    <cellStyle name="Comma 3 2 5 3 3 2 2" xfId="25099" xr:uid="{00000000-0005-0000-0000-0000D2290000}"/>
    <cellStyle name="Comma 3 2 5 3 3 3" xfId="25100" xr:uid="{00000000-0005-0000-0000-0000D3290000}"/>
    <cellStyle name="Comma 3 2 5 3 4" xfId="25101" xr:uid="{00000000-0005-0000-0000-0000D4290000}"/>
    <cellStyle name="Comma 3 2 5 3 4 2" xfId="25102" xr:uid="{00000000-0005-0000-0000-0000D5290000}"/>
    <cellStyle name="Comma 3 2 5 3 5" xfId="25103" xr:uid="{00000000-0005-0000-0000-0000D6290000}"/>
    <cellStyle name="Comma 3 2 5 4" xfId="25104" xr:uid="{00000000-0005-0000-0000-0000D7290000}"/>
    <cellStyle name="Comma 3 2 5 4 2" xfId="25105" xr:uid="{00000000-0005-0000-0000-0000D8290000}"/>
    <cellStyle name="Comma 3 2 5 4 2 2" xfId="25106" xr:uid="{00000000-0005-0000-0000-0000D9290000}"/>
    <cellStyle name="Comma 3 2 5 4 2 2 2" xfId="25107" xr:uid="{00000000-0005-0000-0000-0000DA290000}"/>
    <cellStyle name="Comma 3 2 5 4 2 3" xfId="25108" xr:uid="{00000000-0005-0000-0000-0000DB290000}"/>
    <cellStyle name="Comma 3 2 5 4 3" xfId="25109" xr:uid="{00000000-0005-0000-0000-0000DC290000}"/>
    <cellStyle name="Comma 3 2 5 4 3 2" xfId="25110" xr:uid="{00000000-0005-0000-0000-0000DD290000}"/>
    <cellStyle name="Comma 3 2 5 4 4" xfId="25111" xr:uid="{00000000-0005-0000-0000-0000DE290000}"/>
    <cellStyle name="Comma 3 2 5 5" xfId="25112" xr:uid="{00000000-0005-0000-0000-0000DF290000}"/>
    <cellStyle name="Comma 3 2 5 5 2" xfId="25113" xr:uid="{00000000-0005-0000-0000-0000E0290000}"/>
    <cellStyle name="Comma 3 2 5 5 2 2" xfId="25114" xr:uid="{00000000-0005-0000-0000-0000E1290000}"/>
    <cellStyle name="Comma 3 2 5 5 2 2 2" xfId="25115" xr:uid="{00000000-0005-0000-0000-0000E2290000}"/>
    <cellStyle name="Comma 3 2 5 5 2 3" xfId="25116" xr:uid="{00000000-0005-0000-0000-0000E3290000}"/>
    <cellStyle name="Comma 3 2 5 5 3" xfId="25117" xr:uid="{00000000-0005-0000-0000-0000E4290000}"/>
    <cellStyle name="Comma 3 2 5 5 3 2" xfId="25118" xr:uid="{00000000-0005-0000-0000-0000E5290000}"/>
    <cellStyle name="Comma 3 2 5 5 4" xfId="25119" xr:uid="{00000000-0005-0000-0000-0000E6290000}"/>
    <cellStyle name="Comma 3 2 5 6" xfId="25120" xr:uid="{00000000-0005-0000-0000-0000E7290000}"/>
    <cellStyle name="Comma 3 2 5 6 2" xfId="25121" xr:uid="{00000000-0005-0000-0000-0000E8290000}"/>
    <cellStyle name="Comma 3 2 5 6 2 2" xfId="25122" xr:uid="{00000000-0005-0000-0000-0000E9290000}"/>
    <cellStyle name="Comma 3 2 5 6 3" xfId="25123" xr:uid="{00000000-0005-0000-0000-0000EA290000}"/>
    <cellStyle name="Comma 3 2 5 7" xfId="25124" xr:uid="{00000000-0005-0000-0000-0000EB290000}"/>
    <cellStyle name="Comma 3 2 5 7 2" xfId="25125" xr:uid="{00000000-0005-0000-0000-0000EC290000}"/>
    <cellStyle name="Comma 3 2 5 8" xfId="25126" xr:uid="{00000000-0005-0000-0000-0000ED290000}"/>
    <cellStyle name="Comma 3 2 6" xfId="25127" xr:uid="{00000000-0005-0000-0000-0000EE290000}"/>
    <cellStyle name="Comma 3 2 6 2" xfId="25128" xr:uid="{00000000-0005-0000-0000-0000EF290000}"/>
    <cellStyle name="Comma 3 2 6 2 2" xfId="25129" xr:uid="{00000000-0005-0000-0000-0000F0290000}"/>
    <cellStyle name="Comma 3 2 6 2 2 2" xfId="25130" xr:uid="{00000000-0005-0000-0000-0000F1290000}"/>
    <cellStyle name="Comma 3 2 6 2 2 2 2" xfId="25131" xr:uid="{00000000-0005-0000-0000-0000F2290000}"/>
    <cellStyle name="Comma 3 2 6 2 2 2 2 2" xfId="25132" xr:uid="{00000000-0005-0000-0000-0000F3290000}"/>
    <cellStyle name="Comma 3 2 6 2 2 2 3" xfId="25133" xr:uid="{00000000-0005-0000-0000-0000F4290000}"/>
    <cellStyle name="Comma 3 2 6 2 2 3" xfId="25134" xr:uid="{00000000-0005-0000-0000-0000F5290000}"/>
    <cellStyle name="Comma 3 2 6 2 2 3 2" xfId="25135" xr:uid="{00000000-0005-0000-0000-0000F6290000}"/>
    <cellStyle name="Comma 3 2 6 2 2 4" xfId="25136" xr:uid="{00000000-0005-0000-0000-0000F7290000}"/>
    <cellStyle name="Comma 3 2 6 2 3" xfId="25137" xr:uid="{00000000-0005-0000-0000-0000F8290000}"/>
    <cellStyle name="Comma 3 2 6 2 3 2" xfId="25138" xr:uid="{00000000-0005-0000-0000-0000F9290000}"/>
    <cellStyle name="Comma 3 2 6 2 3 2 2" xfId="25139" xr:uid="{00000000-0005-0000-0000-0000FA290000}"/>
    <cellStyle name="Comma 3 2 6 2 3 2 2 2" xfId="25140" xr:uid="{00000000-0005-0000-0000-0000FB290000}"/>
    <cellStyle name="Comma 3 2 6 2 3 2 3" xfId="25141" xr:uid="{00000000-0005-0000-0000-0000FC290000}"/>
    <cellStyle name="Comma 3 2 6 2 3 3" xfId="25142" xr:uid="{00000000-0005-0000-0000-0000FD290000}"/>
    <cellStyle name="Comma 3 2 6 2 3 3 2" xfId="25143" xr:uid="{00000000-0005-0000-0000-0000FE290000}"/>
    <cellStyle name="Comma 3 2 6 2 3 4" xfId="25144" xr:uid="{00000000-0005-0000-0000-0000FF290000}"/>
    <cellStyle name="Comma 3 2 6 2 4" xfId="25145" xr:uid="{00000000-0005-0000-0000-0000002A0000}"/>
    <cellStyle name="Comma 3 2 6 2 4 2" xfId="25146" xr:uid="{00000000-0005-0000-0000-0000012A0000}"/>
    <cellStyle name="Comma 3 2 6 2 4 2 2" xfId="25147" xr:uid="{00000000-0005-0000-0000-0000022A0000}"/>
    <cellStyle name="Comma 3 2 6 2 4 3" xfId="25148" xr:uid="{00000000-0005-0000-0000-0000032A0000}"/>
    <cellStyle name="Comma 3 2 6 2 5" xfId="25149" xr:uid="{00000000-0005-0000-0000-0000042A0000}"/>
    <cellStyle name="Comma 3 2 6 2 5 2" xfId="25150" xr:uid="{00000000-0005-0000-0000-0000052A0000}"/>
    <cellStyle name="Comma 3 2 6 2 6" xfId="25151" xr:uid="{00000000-0005-0000-0000-0000062A0000}"/>
    <cellStyle name="Comma 3 2 6 3" xfId="25152" xr:uid="{00000000-0005-0000-0000-0000072A0000}"/>
    <cellStyle name="Comma 3 2 6 3 2" xfId="25153" xr:uid="{00000000-0005-0000-0000-0000082A0000}"/>
    <cellStyle name="Comma 3 2 6 3 2 2" xfId="25154" xr:uid="{00000000-0005-0000-0000-0000092A0000}"/>
    <cellStyle name="Comma 3 2 6 3 2 2 2" xfId="25155" xr:uid="{00000000-0005-0000-0000-00000A2A0000}"/>
    <cellStyle name="Comma 3 2 6 3 2 2 2 2" xfId="25156" xr:uid="{00000000-0005-0000-0000-00000B2A0000}"/>
    <cellStyle name="Comma 3 2 6 3 2 2 3" xfId="25157" xr:uid="{00000000-0005-0000-0000-00000C2A0000}"/>
    <cellStyle name="Comma 3 2 6 3 2 3" xfId="25158" xr:uid="{00000000-0005-0000-0000-00000D2A0000}"/>
    <cellStyle name="Comma 3 2 6 3 2 3 2" xfId="25159" xr:uid="{00000000-0005-0000-0000-00000E2A0000}"/>
    <cellStyle name="Comma 3 2 6 3 2 4" xfId="25160" xr:uid="{00000000-0005-0000-0000-00000F2A0000}"/>
    <cellStyle name="Comma 3 2 6 3 3" xfId="25161" xr:uid="{00000000-0005-0000-0000-0000102A0000}"/>
    <cellStyle name="Comma 3 2 6 3 3 2" xfId="25162" xr:uid="{00000000-0005-0000-0000-0000112A0000}"/>
    <cellStyle name="Comma 3 2 6 3 3 2 2" xfId="25163" xr:uid="{00000000-0005-0000-0000-0000122A0000}"/>
    <cellStyle name="Comma 3 2 6 3 3 3" xfId="25164" xr:uid="{00000000-0005-0000-0000-0000132A0000}"/>
    <cellStyle name="Comma 3 2 6 3 4" xfId="25165" xr:uid="{00000000-0005-0000-0000-0000142A0000}"/>
    <cellStyle name="Comma 3 2 6 3 4 2" xfId="25166" xr:uid="{00000000-0005-0000-0000-0000152A0000}"/>
    <cellStyle name="Comma 3 2 6 3 5" xfId="25167" xr:uid="{00000000-0005-0000-0000-0000162A0000}"/>
    <cellStyle name="Comma 3 2 6 4" xfId="25168" xr:uid="{00000000-0005-0000-0000-0000172A0000}"/>
    <cellStyle name="Comma 3 2 6 4 2" xfId="25169" xr:uid="{00000000-0005-0000-0000-0000182A0000}"/>
    <cellStyle name="Comma 3 2 6 4 2 2" xfId="25170" xr:uid="{00000000-0005-0000-0000-0000192A0000}"/>
    <cellStyle name="Comma 3 2 6 4 2 2 2" xfId="25171" xr:uid="{00000000-0005-0000-0000-00001A2A0000}"/>
    <cellStyle name="Comma 3 2 6 4 2 3" xfId="25172" xr:uid="{00000000-0005-0000-0000-00001B2A0000}"/>
    <cellStyle name="Comma 3 2 6 4 3" xfId="25173" xr:uid="{00000000-0005-0000-0000-00001C2A0000}"/>
    <cellStyle name="Comma 3 2 6 4 3 2" xfId="25174" xr:uid="{00000000-0005-0000-0000-00001D2A0000}"/>
    <cellStyle name="Comma 3 2 6 4 4" xfId="25175" xr:uid="{00000000-0005-0000-0000-00001E2A0000}"/>
    <cellStyle name="Comma 3 2 6 5" xfId="25176" xr:uid="{00000000-0005-0000-0000-00001F2A0000}"/>
    <cellStyle name="Comma 3 2 6 5 2" xfId="25177" xr:uid="{00000000-0005-0000-0000-0000202A0000}"/>
    <cellStyle name="Comma 3 2 6 5 2 2" xfId="25178" xr:uid="{00000000-0005-0000-0000-0000212A0000}"/>
    <cellStyle name="Comma 3 2 6 5 2 2 2" xfId="25179" xr:uid="{00000000-0005-0000-0000-0000222A0000}"/>
    <cellStyle name="Comma 3 2 6 5 2 3" xfId="25180" xr:uid="{00000000-0005-0000-0000-0000232A0000}"/>
    <cellStyle name="Comma 3 2 6 5 3" xfId="25181" xr:uid="{00000000-0005-0000-0000-0000242A0000}"/>
    <cellStyle name="Comma 3 2 6 5 3 2" xfId="25182" xr:uid="{00000000-0005-0000-0000-0000252A0000}"/>
    <cellStyle name="Comma 3 2 6 5 4" xfId="25183" xr:uid="{00000000-0005-0000-0000-0000262A0000}"/>
    <cellStyle name="Comma 3 2 6 6" xfId="25184" xr:uid="{00000000-0005-0000-0000-0000272A0000}"/>
    <cellStyle name="Comma 3 2 6 6 2" xfId="25185" xr:uid="{00000000-0005-0000-0000-0000282A0000}"/>
    <cellStyle name="Comma 3 2 6 6 2 2" xfId="25186" xr:uid="{00000000-0005-0000-0000-0000292A0000}"/>
    <cellStyle name="Comma 3 2 6 6 3" xfId="25187" xr:uid="{00000000-0005-0000-0000-00002A2A0000}"/>
    <cellStyle name="Comma 3 2 6 7" xfId="25188" xr:uid="{00000000-0005-0000-0000-00002B2A0000}"/>
    <cellStyle name="Comma 3 2 6 7 2" xfId="25189" xr:uid="{00000000-0005-0000-0000-00002C2A0000}"/>
    <cellStyle name="Comma 3 2 6 8" xfId="25190" xr:uid="{00000000-0005-0000-0000-00002D2A0000}"/>
    <cellStyle name="Comma 3 2 7" xfId="25191" xr:uid="{00000000-0005-0000-0000-00002E2A0000}"/>
    <cellStyle name="Comma 3 2 7 2" xfId="25192" xr:uid="{00000000-0005-0000-0000-00002F2A0000}"/>
    <cellStyle name="Comma 3 2 7 2 2" xfId="25193" xr:uid="{00000000-0005-0000-0000-0000302A0000}"/>
    <cellStyle name="Comma 3 2 7 2 2 2" xfId="25194" xr:uid="{00000000-0005-0000-0000-0000312A0000}"/>
    <cellStyle name="Comma 3 2 7 2 2 2 2" xfId="25195" xr:uid="{00000000-0005-0000-0000-0000322A0000}"/>
    <cellStyle name="Comma 3 2 7 2 2 3" xfId="25196" xr:uid="{00000000-0005-0000-0000-0000332A0000}"/>
    <cellStyle name="Comma 3 2 7 2 3" xfId="25197" xr:uid="{00000000-0005-0000-0000-0000342A0000}"/>
    <cellStyle name="Comma 3 2 7 2 3 2" xfId="25198" xr:uid="{00000000-0005-0000-0000-0000352A0000}"/>
    <cellStyle name="Comma 3 2 7 2 4" xfId="25199" xr:uid="{00000000-0005-0000-0000-0000362A0000}"/>
    <cellStyle name="Comma 3 2 7 3" xfId="25200" xr:uid="{00000000-0005-0000-0000-0000372A0000}"/>
    <cellStyle name="Comma 3 2 7 3 2" xfId="25201" xr:uid="{00000000-0005-0000-0000-0000382A0000}"/>
    <cellStyle name="Comma 3 2 7 3 2 2" xfId="25202" xr:uid="{00000000-0005-0000-0000-0000392A0000}"/>
    <cellStyle name="Comma 3 2 7 3 2 2 2" xfId="25203" xr:uid="{00000000-0005-0000-0000-00003A2A0000}"/>
    <cellStyle name="Comma 3 2 7 3 2 3" xfId="25204" xr:uid="{00000000-0005-0000-0000-00003B2A0000}"/>
    <cellStyle name="Comma 3 2 7 3 3" xfId="25205" xr:uid="{00000000-0005-0000-0000-00003C2A0000}"/>
    <cellStyle name="Comma 3 2 7 3 3 2" xfId="25206" xr:uid="{00000000-0005-0000-0000-00003D2A0000}"/>
    <cellStyle name="Comma 3 2 7 3 4" xfId="25207" xr:uid="{00000000-0005-0000-0000-00003E2A0000}"/>
    <cellStyle name="Comma 3 2 7 4" xfId="25208" xr:uid="{00000000-0005-0000-0000-00003F2A0000}"/>
    <cellStyle name="Comma 3 2 7 4 2" xfId="25209" xr:uid="{00000000-0005-0000-0000-0000402A0000}"/>
    <cellStyle name="Comma 3 2 7 4 2 2" xfId="25210" xr:uid="{00000000-0005-0000-0000-0000412A0000}"/>
    <cellStyle name="Comma 3 2 7 4 3" xfId="25211" xr:uid="{00000000-0005-0000-0000-0000422A0000}"/>
    <cellStyle name="Comma 3 2 7 5" xfId="25212" xr:uid="{00000000-0005-0000-0000-0000432A0000}"/>
    <cellStyle name="Comma 3 2 7 5 2" xfId="25213" xr:uid="{00000000-0005-0000-0000-0000442A0000}"/>
    <cellStyle name="Comma 3 2 7 6" xfId="25214" xr:uid="{00000000-0005-0000-0000-0000452A0000}"/>
    <cellStyle name="Comma 3 2 8" xfId="25215" xr:uid="{00000000-0005-0000-0000-0000462A0000}"/>
    <cellStyle name="Comma 3 2 8 2" xfId="25216" xr:uid="{00000000-0005-0000-0000-0000472A0000}"/>
    <cellStyle name="Comma 3 2 8 2 2" xfId="25217" xr:uid="{00000000-0005-0000-0000-0000482A0000}"/>
    <cellStyle name="Comma 3 2 8 2 2 2" xfId="25218" xr:uid="{00000000-0005-0000-0000-0000492A0000}"/>
    <cellStyle name="Comma 3 2 8 2 2 2 2" xfId="25219" xr:uid="{00000000-0005-0000-0000-00004A2A0000}"/>
    <cellStyle name="Comma 3 2 8 2 2 3" xfId="25220" xr:uid="{00000000-0005-0000-0000-00004B2A0000}"/>
    <cellStyle name="Comma 3 2 8 2 3" xfId="25221" xr:uid="{00000000-0005-0000-0000-00004C2A0000}"/>
    <cellStyle name="Comma 3 2 8 2 3 2" xfId="25222" xr:uid="{00000000-0005-0000-0000-00004D2A0000}"/>
    <cellStyle name="Comma 3 2 8 2 4" xfId="25223" xr:uid="{00000000-0005-0000-0000-00004E2A0000}"/>
    <cellStyle name="Comma 3 2 8 3" xfId="25224" xr:uid="{00000000-0005-0000-0000-00004F2A0000}"/>
    <cellStyle name="Comma 3 2 8 3 2" xfId="25225" xr:uid="{00000000-0005-0000-0000-0000502A0000}"/>
    <cellStyle name="Comma 3 2 8 3 2 2" xfId="25226" xr:uid="{00000000-0005-0000-0000-0000512A0000}"/>
    <cellStyle name="Comma 3 2 8 3 3" xfId="25227" xr:uid="{00000000-0005-0000-0000-0000522A0000}"/>
    <cellStyle name="Comma 3 2 8 4" xfId="25228" xr:uid="{00000000-0005-0000-0000-0000532A0000}"/>
    <cellStyle name="Comma 3 2 8 4 2" xfId="25229" xr:uid="{00000000-0005-0000-0000-0000542A0000}"/>
    <cellStyle name="Comma 3 2 8 5" xfId="25230" xr:uid="{00000000-0005-0000-0000-0000552A0000}"/>
    <cellStyle name="Comma 3 2 9" xfId="25231" xr:uid="{00000000-0005-0000-0000-0000562A0000}"/>
    <cellStyle name="Comma 3 2 9 2" xfId="25232" xr:uid="{00000000-0005-0000-0000-0000572A0000}"/>
    <cellStyle name="Comma 3 2 9 2 2" xfId="25233" xr:uid="{00000000-0005-0000-0000-0000582A0000}"/>
    <cellStyle name="Comma 3 2 9 2 2 2" xfId="25234" xr:uid="{00000000-0005-0000-0000-0000592A0000}"/>
    <cellStyle name="Comma 3 2 9 2 3" xfId="25235" xr:uid="{00000000-0005-0000-0000-00005A2A0000}"/>
    <cellStyle name="Comma 3 2 9 3" xfId="25236" xr:uid="{00000000-0005-0000-0000-00005B2A0000}"/>
    <cellStyle name="Comma 3 2 9 3 2" xfId="25237" xr:uid="{00000000-0005-0000-0000-00005C2A0000}"/>
    <cellStyle name="Comma 3 2 9 4" xfId="25238" xr:uid="{00000000-0005-0000-0000-00005D2A0000}"/>
    <cellStyle name="Comma 3 20" xfId="7680" xr:uid="{00000000-0005-0000-0000-00005E2A0000}"/>
    <cellStyle name="Comma 3 21" xfId="7681" xr:uid="{00000000-0005-0000-0000-00005F2A0000}"/>
    <cellStyle name="Comma 3 22" xfId="7682" xr:uid="{00000000-0005-0000-0000-0000602A0000}"/>
    <cellStyle name="Comma 3 23" xfId="7683" xr:uid="{00000000-0005-0000-0000-0000612A0000}"/>
    <cellStyle name="Comma 3 24" xfId="7684" xr:uid="{00000000-0005-0000-0000-0000622A0000}"/>
    <cellStyle name="Comma 3 25" xfId="7685" xr:uid="{00000000-0005-0000-0000-0000632A0000}"/>
    <cellStyle name="Comma 3 26" xfId="7686" xr:uid="{00000000-0005-0000-0000-0000642A0000}"/>
    <cellStyle name="Comma 3 27" xfId="7687" xr:uid="{00000000-0005-0000-0000-0000652A0000}"/>
    <cellStyle name="Comma 3 28" xfId="7688" xr:uid="{00000000-0005-0000-0000-0000662A0000}"/>
    <cellStyle name="Comma 3 29" xfId="7689" xr:uid="{00000000-0005-0000-0000-0000672A0000}"/>
    <cellStyle name="Comma 3 3" xfId="209" xr:uid="{00000000-0005-0000-0000-0000682A0000}"/>
    <cellStyle name="Comma 3 3 2" xfId="7690" xr:uid="{00000000-0005-0000-0000-0000692A0000}"/>
    <cellStyle name="Comma 3 3 2 2" xfId="27891" xr:uid="{00000000-0005-0000-0000-00006A2A0000}"/>
    <cellStyle name="Comma 3 3 3" xfId="7691" xr:uid="{00000000-0005-0000-0000-00006B2A0000}"/>
    <cellStyle name="Comma 3 30" xfId="7692" xr:uid="{00000000-0005-0000-0000-00006C2A0000}"/>
    <cellStyle name="Comma 3 31" xfId="7693" xr:uid="{00000000-0005-0000-0000-00006D2A0000}"/>
    <cellStyle name="Comma 3 32" xfId="7694" xr:uid="{00000000-0005-0000-0000-00006E2A0000}"/>
    <cellStyle name="Comma 3 33" xfId="7695" xr:uid="{00000000-0005-0000-0000-00006F2A0000}"/>
    <cellStyle name="Comma 3 34" xfId="7696" xr:uid="{00000000-0005-0000-0000-0000702A0000}"/>
    <cellStyle name="Comma 3 35" xfId="7697" xr:uid="{00000000-0005-0000-0000-0000712A0000}"/>
    <cellStyle name="Comma 3 36" xfId="7698" xr:uid="{00000000-0005-0000-0000-0000722A0000}"/>
    <cellStyle name="Comma 3 37" xfId="7699" xr:uid="{00000000-0005-0000-0000-0000732A0000}"/>
    <cellStyle name="Comma 3 38" xfId="7700" xr:uid="{00000000-0005-0000-0000-0000742A0000}"/>
    <cellStyle name="Comma 3 38 2" xfId="7701" xr:uid="{00000000-0005-0000-0000-0000752A0000}"/>
    <cellStyle name="Comma 3 39" xfId="7702" xr:uid="{00000000-0005-0000-0000-0000762A0000}"/>
    <cellStyle name="Comma 3 4" xfId="210" xr:uid="{00000000-0005-0000-0000-0000772A0000}"/>
    <cellStyle name="Comma 3 4 10" xfId="7703" xr:uid="{00000000-0005-0000-0000-0000782A0000}"/>
    <cellStyle name="Comma 3 4 11" xfId="7704" xr:uid="{00000000-0005-0000-0000-0000792A0000}"/>
    <cellStyle name="Comma 3 4 2" xfId="7705" xr:uid="{00000000-0005-0000-0000-00007A2A0000}"/>
    <cellStyle name="Comma 3 4 3" xfId="7706" xr:uid="{00000000-0005-0000-0000-00007B2A0000}"/>
    <cellStyle name="Comma 3 4 4" xfId="7707" xr:uid="{00000000-0005-0000-0000-00007C2A0000}"/>
    <cellStyle name="Comma 3 4 5" xfId="7708" xr:uid="{00000000-0005-0000-0000-00007D2A0000}"/>
    <cellStyle name="Comma 3 4 6" xfId="7709" xr:uid="{00000000-0005-0000-0000-00007E2A0000}"/>
    <cellStyle name="Comma 3 4 7" xfId="7710" xr:uid="{00000000-0005-0000-0000-00007F2A0000}"/>
    <cellStyle name="Comma 3 4 8" xfId="7711" xr:uid="{00000000-0005-0000-0000-0000802A0000}"/>
    <cellStyle name="Comma 3 4 9" xfId="7712" xr:uid="{00000000-0005-0000-0000-0000812A0000}"/>
    <cellStyle name="Comma 3 40" xfId="7713" xr:uid="{00000000-0005-0000-0000-0000822A0000}"/>
    <cellStyle name="Comma 3 41" xfId="7714" xr:uid="{00000000-0005-0000-0000-0000832A0000}"/>
    <cellStyle name="Comma 3 42" xfId="7715" xr:uid="{00000000-0005-0000-0000-0000842A0000}"/>
    <cellStyle name="Comma 3 43" xfId="7716" xr:uid="{00000000-0005-0000-0000-0000852A0000}"/>
    <cellStyle name="Comma 3 43 2" xfId="22777" xr:uid="{00000000-0005-0000-0000-0000862A0000}"/>
    <cellStyle name="Comma 3 44" xfId="22757" xr:uid="{00000000-0005-0000-0000-0000872A0000}"/>
    <cellStyle name="Comma 3 44 2" xfId="22762" xr:uid="{00000000-0005-0000-0000-0000882A0000}"/>
    <cellStyle name="Comma 3 45" xfId="22770" xr:uid="{00000000-0005-0000-0000-0000892A0000}"/>
    <cellStyle name="Comma 3 46" xfId="27889" xr:uid="{00000000-0005-0000-0000-00008A2A0000}"/>
    <cellStyle name="Comma 3 5" xfId="7717" xr:uid="{00000000-0005-0000-0000-00008B2A0000}"/>
    <cellStyle name="Comma 3 6" xfId="7718" xr:uid="{00000000-0005-0000-0000-00008C2A0000}"/>
    <cellStyle name="Comma 3 7" xfId="7719" xr:uid="{00000000-0005-0000-0000-00008D2A0000}"/>
    <cellStyle name="Comma 3 8" xfId="7720" xr:uid="{00000000-0005-0000-0000-00008E2A0000}"/>
    <cellStyle name="Comma 3 9" xfId="7721" xr:uid="{00000000-0005-0000-0000-00008F2A0000}"/>
    <cellStyle name="Comma 3_1 LEAF HINGED DOOR WITH THERMAL BREAK" xfId="7722" xr:uid="{00000000-0005-0000-0000-0000902A0000}"/>
    <cellStyle name="Comma 30" xfId="211" xr:uid="{00000000-0005-0000-0000-0000912A0000}"/>
    <cellStyle name="Comma 30 2" xfId="19405" xr:uid="{00000000-0005-0000-0000-0000922A0000}"/>
    <cellStyle name="Comma 31" xfId="212" xr:uid="{00000000-0005-0000-0000-0000932A0000}"/>
    <cellStyle name="Comma 32" xfId="213" xr:uid="{00000000-0005-0000-0000-0000942A0000}"/>
    <cellStyle name="Comma 33" xfId="214" xr:uid="{00000000-0005-0000-0000-0000952A0000}"/>
    <cellStyle name="Comma 33 2" xfId="7723" xr:uid="{00000000-0005-0000-0000-0000962A0000}"/>
    <cellStyle name="Comma 33 2 2" xfId="20514" xr:uid="{00000000-0005-0000-0000-0000972A0000}"/>
    <cellStyle name="Comma 34" xfId="215" xr:uid="{00000000-0005-0000-0000-0000982A0000}"/>
    <cellStyle name="Comma 34 2" xfId="7724" xr:uid="{00000000-0005-0000-0000-0000992A0000}"/>
    <cellStyle name="Comma 35" xfId="216" xr:uid="{00000000-0005-0000-0000-00009A2A0000}"/>
    <cellStyle name="Comma 35 2" xfId="22677" xr:uid="{00000000-0005-0000-0000-00009B2A0000}"/>
    <cellStyle name="Comma 35 2 2" xfId="22686" xr:uid="{00000000-0005-0000-0000-00009C2A0000}"/>
    <cellStyle name="Comma 35 2 2 2" xfId="22788" xr:uid="{00000000-0005-0000-0000-00009D2A0000}"/>
    <cellStyle name="Comma 35 3" xfId="27922" xr:uid="{AB96A4DF-8F98-469A-B124-ED154F3416AB}"/>
    <cellStyle name="Comma 35 4" xfId="27933" xr:uid="{77E3B838-EEBB-4A17-97CB-275EA0205525}"/>
    <cellStyle name="Comma 36" xfId="7725" xr:uid="{00000000-0005-0000-0000-00009E2A0000}"/>
    <cellStyle name="Comma 36 2 2" xfId="19285" xr:uid="{00000000-0005-0000-0000-00009F2A0000}"/>
    <cellStyle name="Comma 36 2 2 2" xfId="22557" xr:uid="{00000000-0005-0000-0000-0000A02A0000}"/>
    <cellStyle name="Comma 37" xfId="7726" xr:uid="{00000000-0005-0000-0000-0000A12A0000}"/>
    <cellStyle name="Comma 38" xfId="7727" xr:uid="{00000000-0005-0000-0000-0000A22A0000}"/>
    <cellStyle name="Comma 38 2" xfId="27915" xr:uid="{00000000-0005-0000-0000-0000A32A0000}"/>
    <cellStyle name="Comma 39" xfId="7728" xr:uid="{00000000-0005-0000-0000-0000A42A0000}"/>
    <cellStyle name="Comma 4" xfId="217" xr:uid="{00000000-0005-0000-0000-0000A52A0000}"/>
    <cellStyle name="Comma 4 10" xfId="218" xr:uid="{00000000-0005-0000-0000-0000A62A0000}"/>
    <cellStyle name="Comma 4 11" xfId="219" xr:uid="{00000000-0005-0000-0000-0000A72A0000}"/>
    <cellStyle name="Comma 4 12" xfId="220" xr:uid="{00000000-0005-0000-0000-0000A82A0000}"/>
    <cellStyle name="Comma 4 13" xfId="221" xr:uid="{00000000-0005-0000-0000-0000A92A0000}"/>
    <cellStyle name="Comma 4 14" xfId="222" xr:uid="{00000000-0005-0000-0000-0000AA2A0000}"/>
    <cellStyle name="Comma 4 15" xfId="223" xr:uid="{00000000-0005-0000-0000-0000AB2A0000}"/>
    <cellStyle name="Comma 4 16" xfId="224" xr:uid="{00000000-0005-0000-0000-0000AC2A0000}"/>
    <cellStyle name="Comma 4 17" xfId="7729" xr:uid="{00000000-0005-0000-0000-0000AD2A0000}"/>
    <cellStyle name="Comma 4 18" xfId="7730" xr:uid="{00000000-0005-0000-0000-0000AE2A0000}"/>
    <cellStyle name="Comma 4 19" xfId="7731" xr:uid="{00000000-0005-0000-0000-0000AF2A0000}"/>
    <cellStyle name="Comma 4 2" xfId="225" xr:uid="{00000000-0005-0000-0000-0000B02A0000}"/>
    <cellStyle name="Comma 4 2 2" xfId="7732" xr:uid="{00000000-0005-0000-0000-0000B12A0000}"/>
    <cellStyle name="Comma 4 2 2 10" xfId="7733" xr:uid="{00000000-0005-0000-0000-0000B22A0000}"/>
    <cellStyle name="Comma 4 2 2 11" xfId="7734" xr:uid="{00000000-0005-0000-0000-0000B32A0000}"/>
    <cellStyle name="Comma 4 2 2 12" xfId="7735" xr:uid="{00000000-0005-0000-0000-0000B42A0000}"/>
    <cellStyle name="Comma 4 2 2 13" xfId="7736" xr:uid="{00000000-0005-0000-0000-0000B52A0000}"/>
    <cellStyle name="Comma 4 2 2 14" xfId="7737" xr:uid="{00000000-0005-0000-0000-0000B62A0000}"/>
    <cellStyle name="Comma 4 2 2 15" xfId="7738" xr:uid="{00000000-0005-0000-0000-0000B72A0000}"/>
    <cellStyle name="Comma 4 2 2 16" xfId="7739" xr:uid="{00000000-0005-0000-0000-0000B82A0000}"/>
    <cellStyle name="Comma 4 2 2 17" xfId="7740" xr:uid="{00000000-0005-0000-0000-0000B92A0000}"/>
    <cellStyle name="Comma 4 2 2 18" xfId="7741" xr:uid="{00000000-0005-0000-0000-0000BA2A0000}"/>
    <cellStyle name="Comma 4 2 2 19" xfId="7742" xr:uid="{00000000-0005-0000-0000-0000BB2A0000}"/>
    <cellStyle name="Comma 4 2 2 2" xfId="7743" xr:uid="{00000000-0005-0000-0000-0000BC2A0000}"/>
    <cellStyle name="Comma 4 2 2 20" xfId="7744" xr:uid="{00000000-0005-0000-0000-0000BD2A0000}"/>
    <cellStyle name="Comma 4 2 2 21" xfId="7745" xr:uid="{00000000-0005-0000-0000-0000BE2A0000}"/>
    <cellStyle name="Comma 4 2 2 22" xfId="7746" xr:uid="{00000000-0005-0000-0000-0000BF2A0000}"/>
    <cellStyle name="Comma 4 2 2 23" xfId="7747" xr:uid="{00000000-0005-0000-0000-0000C02A0000}"/>
    <cellStyle name="Comma 4 2 2 24" xfId="7748" xr:uid="{00000000-0005-0000-0000-0000C12A0000}"/>
    <cellStyle name="Comma 4 2 2 25" xfId="7749" xr:uid="{00000000-0005-0000-0000-0000C22A0000}"/>
    <cellStyle name="Comma 4 2 2 26" xfId="7750" xr:uid="{00000000-0005-0000-0000-0000C32A0000}"/>
    <cellStyle name="Comma 4 2 2 27" xfId="7751" xr:uid="{00000000-0005-0000-0000-0000C42A0000}"/>
    <cellStyle name="Comma 4 2 2 28" xfId="7752" xr:uid="{00000000-0005-0000-0000-0000C52A0000}"/>
    <cellStyle name="Comma 4 2 2 29" xfId="7753" xr:uid="{00000000-0005-0000-0000-0000C62A0000}"/>
    <cellStyle name="Comma 4 2 2 3" xfId="7754" xr:uid="{00000000-0005-0000-0000-0000C72A0000}"/>
    <cellStyle name="Comma 4 2 2 30" xfId="7755" xr:uid="{00000000-0005-0000-0000-0000C82A0000}"/>
    <cellStyle name="Comma 4 2 2 31" xfId="7756" xr:uid="{00000000-0005-0000-0000-0000C92A0000}"/>
    <cellStyle name="Comma 4 2 2 32" xfId="7757" xr:uid="{00000000-0005-0000-0000-0000CA2A0000}"/>
    <cellStyle name="Comma 4 2 2 33" xfId="7758" xr:uid="{00000000-0005-0000-0000-0000CB2A0000}"/>
    <cellStyle name="Comma 4 2 2 34" xfId="7759" xr:uid="{00000000-0005-0000-0000-0000CC2A0000}"/>
    <cellStyle name="Comma 4 2 2 35" xfId="7760" xr:uid="{00000000-0005-0000-0000-0000CD2A0000}"/>
    <cellStyle name="Comma 4 2 2 36" xfId="7761" xr:uid="{00000000-0005-0000-0000-0000CE2A0000}"/>
    <cellStyle name="Comma 4 2 2 37" xfId="7762" xr:uid="{00000000-0005-0000-0000-0000CF2A0000}"/>
    <cellStyle name="Comma 4 2 2 38" xfId="7763" xr:uid="{00000000-0005-0000-0000-0000D02A0000}"/>
    <cellStyle name="Comma 4 2 2 39" xfId="7764" xr:uid="{00000000-0005-0000-0000-0000D12A0000}"/>
    <cellStyle name="Comma 4 2 2 4" xfId="7765" xr:uid="{00000000-0005-0000-0000-0000D22A0000}"/>
    <cellStyle name="Comma 4 2 2 40" xfId="7766" xr:uid="{00000000-0005-0000-0000-0000D32A0000}"/>
    <cellStyle name="Comma 4 2 2 41" xfId="7767" xr:uid="{00000000-0005-0000-0000-0000D42A0000}"/>
    <cellStyle name="Comma 4 2 2 42" xfId="7768" xr:uid="{00000000-0005-0000-0000-0000D52A0000}"/>
    <cellStyle name="Comma 4 2 2 43" xfId="7769" xr:uid="{00000000-0005-0000-0000-0000D62A0000}"/>
    <cellStyle name="Comma 4 2 2 44" xfId="7770" xr:uid="{00000000-0005-0000-0000-0000D72A0000}"/>
    <cellStyle name="Comma 4 2 2 5" xfId="7771" xr:uid="{00000000-0005-0000-0000-0000D82A0000}"/>
    <cellStyle name="Comma 4 2 2 6" xfId="7772" xr:uid="{00000000-0005-0000-0000-0000D92A0000}"/>
    <cellStyle name="Comma 4 2 2 7" xfId="7773" xr:uid="{00000000-0005-0000-0000-0000DA2A0000}"/>
    <cellStyle name="Comma 4 2 2 8" xfId="7774" xr:uid="{00000000-0005-0000-0000-0000DB2A0000}"/>
    <cellStyle name="Comma 4 2 2 9" xfId="7775" xr:uid="{00000000-0005-0000-0000-0000DC2A0000}"/>
    <cellStyle name="Comma 4 2 2_Input" xfId="7776" xr:uid="{00000000-0005-0000-0000-0000DD2A0000}"/>
    <cellStyle name="Comma 4 2 3" xfId="7777" xr:uid="{00000000-0005-0000-0000-0000DE2A0000}"/>
    <cellStyle name="Comma 4 2 4" xfId="7778" xr:uid="{00000000-0005-0000-0000-0000DF2A0000}"/>
    <cellStyle name="Comma 4 2 5" xfId="7779" xr:uid="{00000000-0005-0000-0000-0000E02A0000}"/>
    <cellStyle name="Comma 4 20" xfId="7780" xr:uid="{00000000-0005-0000-0000-0000E12A0000}"/>
    <cellStyle name="Comma 4 21" xfId="7781" xr:uid="{00000000-0005-0000-0000-0000E22A0000}"/>
    <cellStyle name="Comma 4 22" xfId="7782" xr:uid="{00000000-0005-0000-0000-0000E32A0000}"/>
    <cellStyle name="Comma 4 23" xfId="7783" xr:uid="{00000000-0005-0000-0000-0000E42A0000}"/>
    <cellStyle name="Comma 4 24" xfId="7784" xr:uid="{00000000-0005-0000-0000-0000E52A0000}"/>
    <cellStyle name="Comma 4 25" xfId="7785" xr:uid="{00000000-0005-0000-0000-0000E62A0000}"/>
    <cellStyle name="Comma 4 26" xfId="7786" xr:uid="{00000000-0005-0000-0000-0000E72A0000}"/>
    <cellStyle name="Comma 4 27" xfId="7787" xr:uid="{00000000-0005-0000-0000-0000E82A0000}"/>
    <cellStyle name="Comma 4 28" xfId="7788" xr:uid="{00000000-0005-0000-0000-0000E92A0000}"/>
    <cellStyle name="Comma 4 29" xfId="7789" xr:uid="{00000000-0005-0000-0000-0000EA2A0000}"/>
    <cellStyle name="Comma 4 3" xfId="226" xr:uid="{00000000-0005-0000-0000-0000EB2A0000}"/>
    <cellStyle name="Comma 4 3 10" xfId="7790" xr:uid="{00000000-0005-0000-0000-0000EC2A0000}"/>
    <cellStyle name="Comma 4 3 11" xfId="7791" xr:uid="{00000000-0005-0000-0000-0000ED2A0000}"/>
    <cellStyle name="Comma 4 3 12" xfId="7792" xr:uid="{00000000-0005-0000-0000-0000EE2A0000}"/>
    <cellStyle name="Comma 4 3 13" xfId="7793" xr:uid="{00000000-0005-0000-0000-0000EF2A0000}"/>
    <cellStyle name="Comma 4 3 14" xfId="7794" xr:uid="{00000000-0005-0000-0000-0000F02A0000}"/>
    <cellStyle name="Comma 4 3 15" xfId="7795" xr:uid="{00000000-0005-0000-0000-0000F12A0000}"/>
    <cellStyle name="Comma 4 3 16" xfId="7796" xr:uid="{00000000-0005-0000-0000-0000F22A0000}"/>
    <cellStyle name="Comma 4 3 17" xfId="7797" xr:uid="{00000000-0005-0000-0000-0000F32A0000}"/>
    <cellStyle name="Comma 4 3 18" xfId="7798" xr:uid="{00000000-0005-0000-0000-0000F42A0000}"/>
    <cellStyle name="Comma 4 3 19" xfId="7799" xr:uid="{00000000-0005-0000-0000-0000F52A0000}"/>
    <cellStyle name="Comma 4 3 2" xfId="7800" xr:uid="{00000000-0005-0000-0000-0000F62A0000}"/>
    <cellStyle name="Comma 4 3 20" xfId="7801" xr:uid="{00000000-0005-0000-0000-0000F72A0000}"/>
    <cellStyle name="Comma 4 3 21" xfId="7802" xr:uid="{00000000-0005-0000-0000-0000F82A0000}"/>
    <cellStyle name="Comma 4 3 22" xfId="7803" xr:uid="{00000000-0005-0000-0000-0000F92A0000}"/>
    <cellStyle name="Comma 4 3 23" xfId="7804" xr:uid="{00000000-0005-0000-0000-0000FA2A0000}"/>
    <cellStyle name="Comma 4 3 24" xfId="7805" xr:uid="{00000000-0005-0000-0000-0000FB2A0000}"/>
    <cellStyle name="Comma 4 3 25" xfId="7806" xr:uid="{00000000-0005-0000-0000-0000FC2A0000}"/>
    <cellStyle name="Comma 4 3 26" xfId="7807" xr:uid="{00000000-0005-0000-0000-0000FD2A0000}"/>
    <cellStyle name="Comma 4 3 27" xfId="7808" xr:uid="{00000000-0005-0000-0000-0000FE2A0000}"/>
    <cellStyle name="Comma 4 3 28" xfId="7809" xr:uid="{00000000-0005-0000-0000-0000FF2A0000}"/>
    <cellStyle name="Comma 4 3 29" xfId="7810" xr:uid="{00000000-0005-0000-0000-0000002B0000}"/>
    <cellStyle name="Comma 4 3 3" xfId="7811" xr:uid="{00000000-0005-0000-0000-0000012B0000}"/>
    <cellStyle name="Comma 4 3 30" xfId="7812" xr:uid="{00000000-0005-0000-0000-0000022B0000}"/>
    <cellStyle name="Comma 4 3 31" xfId="7813" xr:uid="{00000000-0005-0000-0000-0000032B0000}"/>
    <cellStyle name="Comma 4 3 32" xfId="7814" xr:uid="{00000000-0005-0000-0000-0000042B0000}"/>
    <cellStyle name="Comma 4 3 33" xfId="7815" xr:uid="{00000000-0005-0000-0000-0000052B0000}"/>
    <cellStyle name="Comma 4 3 34" xfId="7816" xr:uid="{00000000-0005-0000-0000-0000062B0000}"/>
    <cellStyle name="Comma 4 3 35" xfId="7817" xr:uid="{00000000-0005-0000-0000-0000072B0000}"/>
    <cellStyle name="Comma 4 3 36" xfId="7818" xr:uid="{00000000-0005-0000-0000-0000082B0000}"/>
    <cellStyle name="Comma 4 3 37" xfId="7819" xr:uid="{00000000-0005-0000-0000-0000092B0000}"/>
    <cellStyle name="Comma 4 3 38" xfId="7820" xr:uid="{00000000-0005-0000-0000-00000A2B0000}"/>
    <cellStyle name="Comma 4 3 39" xfId="7821" xr:uid="{00000000-0005-0000-0000-00000B2B0000}"/>
    <cellStyle name="Comma 4 3 4" xfId="7822" xr:uid="{00000000-0005-0000-0000-00000C2B0000}"/>
    <cellStyle name="Comma 4 3 40" xfId="7823" xr:uid="{00000000-0005-0000-0000-00000D2B0000}"/>
    <cellStyle name="Comma 4 3 41" xfId="7824" xr:uid="{00000000-0005-0000-0000-00000E2B0000}"/>
    <cellStyle name="Comma 4 3 42" xfId="7825" xr:uid="{00000000-0005-0000-0000-00000F2B0000}"/>
    <cellStyle name="Comma 4 3 43" xfId="7826" xr:uid="{00000000-0005-0000-0000-0000102B0000}"/>
    <cellStyle name="Comma 4 3 5" xfId="7827" xr:uid="{00000000-0005-0000-0000-0000112B0000}"/>
    <cellStyle name="Comma 4 3 6" xfId="7828" xr:uid="{00000000-0005-0000-0000-0000122B0000}"/>
    <cellStyle name="Comma 4 3 7" xfId="7829" xr:uid="{00000000-0005-0000-0000-0000132B0000}"/>
    <cellStyle name="Comma 4 3 8" xfId="7830" xr:uid="{00000000-0005-0000-0000-0000142B0000}"/>
    <cellStyle name="Comma 4 3 9" xfId="7831" xr:uid="{00000000-0005-0000-0000-0000152B0000}"/>
    <cellStyle name="Comma 4 3_Input" xfId="7832" xr:uid="{00000000-0005-0000-0000-0000162B0000}"/>
    <cellStyle name="Comma 4 30" xfId="7833" xr:uid="{00000000-0005-0000-0000-0000172B0000}"/>
    <cellStyle name="Comma 4 31" xfId="7834" xr:uid="{00000000-0005-0000-0000-0000182B0000}"/>
    <cellStyle name="Comma 4 32" xfId="7835" xr:uid="{00000000-0005-0000-0000-0000192B0000}"/>
    <cellStyle name="Comma 4 33" xfId="7836" xr:uid="{00000000-0005-0000-0000-00001A2B0000}"/>
    <cellStyle name="Comma 4 34" xfId="7837" xr:uid="{00000000-0005-0000-0000-00001B2B0000}"/>
    <cellStyle name="Comma 4 35" xfId="7838" xr:uid="{00000000-0005-0000-0000-00001C2B0000}"/>
    <cellStyle name="Comma 4 36" xfId="7839" xr:uid="{00000000-0005-0000-0000-00001D2B0000}"/>
    <cellStyle name="Comma 4 37" xfId="7840" xr:uid="{00000000-0005-0000-0000-00001E2B0000}"/>
    <cellStyle name="Comma 4 38" xfId="7841" xr:uid="{00000000-0005-0000-0000-00001F2B0000}"/>
    <cellStyle name="Comma 4 39" xfId="7842" xr:uid="{00000000-0005-0000-0000-0000202B0000}"/>
    <cellStyle name="Comma 4 4" xfId="227" xr:uid="{00000000-0005-0000-0000-0000212B0000}"/>
    <cellStyle name="Comma 4 40" xfId="7843" xr:uid="{00000000-0005-0000-0000-0000222B0000}"/>
    <cellStyle name="Comma 4 41" xfId="7844" xr:uid="{00000000-0005-0000-0000-0000232B0000}"/>
    <cellStyle name="Comma 4 42" xfId="7845" xr:uid="{00000000-0005-0000-0000-0000242B0000}"/>
    <cellStyle name="Comma 4 43" xfId="7846" xr:uid="{00000000-0005-0000-0000-0000252B0000}"/>
    <cellStyle name="Comma 4 44" xfId="7847" xr:uid="{00000000-0005-0000-0000-0000262B0000}"/>
    <cellStyle name="Comma 4 45" xfId="7848" xr:uid="{00000000-0005-0000-0000-0000272B0000}"/>
    <cellStyle name="Comma 4 46" xfId="27927" xr:uid="{55C389C5-5A4B-4A9F-93C4-D4A7C75F263A}"/>
    <cellStyle name="Comma 4 46 2" xfId="27949" xr:uid="{F4353DD7-A6F5-438D-821F-B675CCD323CB}"/>
    <cellStyle name="Comma 4 5" xfId="228" xr:uid="{00000000-0005-0000-0000-0000282B0000}"/>
    <cellStyle name="Comma 4 6" xfId="229" xr:uid="{00000000-0005-0000-0000-0000292B0000}"/>
    <cellStyle name="Comma 4 7" xfId="230" xr:uid="{00000000-0005-0000-0000-00002A2B0000}"/>
    <cellStyle name="Comma 4 8" xfId="231" xr:uid="{00000000-0005-0000-0000-00002B2B0000}"/>
    <cellStyle name="Comma 4 9" xfId="232" xr:uid="{00000000-0005-0000-0000-00002C2B0000}"/>
    <cellStyle name="Comma 4_1001-R0" xfId="7849" xr:uid="{00000000-0005-0000-0000-00002D2B0000}"/>
    <cellStyle name="Comma 40" xfId="7850" xr:uid="{00000000-0005-0000-0000-00002E2B0000}"/>
    <cellStyle name="Comma 40 2" xfId="22680" xr:uid="{00000000-0005-0000-0000-00002F2B0000}"/>
    <cellStyle name="Comma 40 2 2" xfId="22687" xr:uid="{00000000-0005-0000-0000-0000302B0000}"/>
    <cellStyle name="Comma 40 2 2 2" xfId="22789" xr:uid="{00000000-0005-0000-0000-0000312B0000}"/>
    <cellStyle name="Comma 40 3" xfId="22792" xr:uid="{00000000-0005-0000-0000-0000322B0000}"/>
    <cellStyle name="Comma 40 4" xfId="27921" xr:uid="{41E5913B-EE6F-4A24-ADBD-0B14F2D7AB85}"/>
    <cellStyle name="Comma 40 4 2" xfId="27934" xr:uid="{6BC0C35B-7EAA-4AD2-A7CE-F5C4F80B04B0}"/>
    <cellStyle name="Comma 40 5" xfId="27932" xr:uid="{ADAB79BC-DF80-47FC-8D63-B120333F6F9B}"/>
    <cellStyle name="Comma 41" xfId="7851" xr:uid="{00000000-0005-0000-0000-0000332B0000}"/>
    <cellStyle name="Comma 42" xfId="7852" xr:uid="{00000000-0005-0000-0000-0000342B0000}"/>
    <cellStyle name="Comma 43" xfId="7853" xr:uid="{00000000-0005-0000-0000-0000352B0000}"/>
    <cellStyle name="Comma 44" xfId="7854" xr:uid="{00000000-0005-0000-0000-0000362B0000}"/>
    <cellStyle name="Comma 45" xfId="7855" xr:uid="{00000000-0005-0000-0000-0000372B0000}"/>
    <cellStyle name="Comma 46" xfId="7856" xr:uid="{00000000-0005-0000-0000-0000382B0000}"/>
    <cellStyle name="Comma 47" xfId="7857" xr:uid="{00000000-0005-0000-0000-0000392B0000}"/>
    <cellStyle name="Comma 48" xfId="7858" xr:uid="{00000000-0005-0000-0000-00003A2B0000}"/>
    <cellStyle name="Comma 49" xfId="7859" xr:uid="{00000000-0005-0000-0000-00003B2B0000}"/>
    <cellStyle name="Comma 5" xfId="233" xr:uid="{00000000-0005-0000-0000-00003C2B0000}"/>
    <cellStyle name="Comma 5 10" xfId="7860" xr:uid="{00000000-0005-0000-0000-00003D2B0000}"/>
    <cellStyle name="Comma 5 10 2" xfId="20515" xr:uid="{00000000-0005-0000-0000-00003E2B0000}"/>
    <cellStyle name="Comma 5 10 3" xfId="22699" xr:uid="{00000000-0005-0000-0000-00003F2B0000}"/>
    <cellStyle name="Comma 5 11" xfId="7861" xr:uid="{00000000-0005-0000-0000-0000402B0000}"/>
    <cellStyle name="Comma 5 11 2" xfId="20516" xr:uid="{00000000-0005-0000-0000-0000412B0000}"/>
    <cellStyle name="Comma 5 12" xfId="7862" xr:uid="{00000000-0005-0000-0000-0000422B0000}"/>
    <cellStyle name="Comma 5 12 2" xfId="20517" xr:uid="{00000000-0005-0000-0000-0000432B0000}"/>
    <cellStyle name="Comma 5 13" xfId="7863" xr:uid="{00000000-0005-0000-0000-0000442B0000}"/>
    <cellStyle name="Comma 5 13 2" xfId="20518" xr:uid="{00000000-0005-0000-0000-0000452B0000}"/>
    <cellStyle name="Comma 5 14" xfId="7864" xr:uid="{00000000-0005-0000-0000-0000462B0000}"/>
    <cellStyle name="Comma 5 14 2" xfId="20519" xr:uid="{00000000-0005-0000-0000-0000472B0000}"/>
    <cellStyle name="Comma 5 15" xfId="7865" xr:uid="{00000000-0005-0000-0000-0000482B0000}"/>
    <cellStyle name="Comma 5 15 2" xfId="20520" xr:uid="{00000000-0005-0000-0000-0000492B0000}"/>
    <cellStyle name="Comma 5 16" xfId="7866" xr:uid="{00000000-0005-0000-0000-00004A2B0000}"/>
    <cellStyle name="Comma 5 16 2" xfId="20521" xr:uid="{00000000-0005-0000-0000-00004B2B0000}"/>
    <cellStyle name="Comma 5 17" xfId="7867" xr:uid="{00000000-0005-0000-0000-00004C2B0000}"/>
    <cellStyle name="Comma 5 17 2" xfId="20522" xr:uid="{00000000-0005-0000-0000-00004D2B0000}"/>
    <cellStyle name="Comma 5 18" xfId="7868" xr:uid="{00000000-0005-0000-0000-00004E2B0000}"/>
    <cellStyle name="Comma 5 18 2" xfId="20523" xr:uid="{00000000-0005-0000-0000-00004F2B0000}"/>
    <cellStyle name="Comma 5 19" xfId="7869" xr:uid="{00000000-0005-0000-0000-0000502B0000}"/>
    <cellStyle name="Comma 5 19 2" xfId="20524" xr:uid="{00000000-0005-0000-0000-0000512B0000}"/>
    <cellStyle name="Comma 5 2" xfId="234" xr:uid="{00000000-0005-0000-0000-0000522B0000}"/>
    <cellStyle name="Comma 5 2 10" xfId="7870" xr:uid="{00000000-0005-0000-0000-0000532B0000}"/>
    <cellStyle name="Comma 5 2 10 2" xfId="20525" xr:uid="{00000000-0005-0000-0000-0000542B0000}"/>
    <cellStyle name="Comma 5 2 11" xfId="7871" xr:uid="{00000000-0005-0000-0000-0000552B0000}"/>
    <cellStyle name="Comma 5 2 11 2" xfId="20526" xr:uid="{00000000-0005-0000-0000-0000562B0000}"/>
    <cellStyle name="Comma 5 2 12" xfId="7872" xr:uid="{00000000-0005-0000-0000-0000572B0000}"/>
    <cellStyle name="Comma 5 2 12 2" xfId="20527" xr:uid="{00000000-0005-0000-0000-0000582B0000}"/>
    <cellStyle name="Comma 5 2 13" xfId="7873" xr:uid="{00000000-0005-0000-0000-0000592B0000}"/>
    <cellStyle name="Comma 5 2 13 2" xfId="20528" xr:uid="{00000000-0005-0000-0000-00005A2B0000}"/>
    <cellStyle name="Comma 5 2 14" xfId="7874" xr:uid="{00000000-0005-0000-0000-00005B2B0000}"/>
    <cellStyle name="Comma 5 2 14 2" xfId="20529" xr:uid="{00000000-0005-0000-0000-00005C2B0000}"/>
    <cellStyle name="Comma 5 2 15" xfId="7875" xr:uid="{00000000-0005-0000-0000-00005D2B0000}"/>
    <cellStyle name="Comma 5 2 15 2" xfId="20530" xr:uid="{00000000-0005-0000-0000-00005E2B0000}"/>
    <cellStyle name="Comma 5 2 16" xfId="7876" xr:uid="{00000000-0005-0000-0000-00005F2B0000}"/>
    <cellStyle name="Comma 5 2 16 2" xfId="20531" xr:uid="{00000000-0005-0000-0000-0000602B0000}"/>
    <cellStyle name="Comma 5 2 17" xfId="7877" xr:uid="{00000000-0005-0000-0000-0000612B0000}"/>
    <cellStyle name="Comma 5 2 17 2" xfId="20532" xr:uid="{00000000-0005-0000-0000-0000622B0000}"/>
    <cellStyle name="Comma 5 2 18" xfId="7878" xr:uid="{00000000-0005-0000-0000-0000632B0000}"/>
    <cellStyle name="Comma 5 2 18 2" xfId="20533" xr:uid="{00000000-0005-0000-0000-0000642B0000}"/>
    <cellStyle name="Comma 5 2 19" xfId="7879" xr:uid="{00000000-0005-0000-0000-0000652B0000}"/>
    <cellStyle name="Comma 5 2 19 2" xfId="20534" xr:uid="{00000000-0005-0000-0000-0000662B0000}"/>
    <cellStyle name="Comma 5 2 2" xfId="235" xr:uid="{00000000-0005-0000-0000-0000672B0000}"/>
    <cellStyle name="Comma 5 2 2 2" xfId="7880" xr:uid="{00000000-0005-0000-0000-0000682B0000}"/>
    <cellStyle name="Comma 5 2 2 3" xfId="7881" xr:uid="{00000000-0005-0000-0000-0000692B0000}"/>
    <cellStyle name="Comma 5 2 2 4" xfId="7882" xr:uid="{00000000-0005-0000-0000-00006A2B0000}"/>
    <cellStyle name="Comma 5 2 2 4 2" xfId="7883" xr:uid="{00000000-0005-0000-0000-00006B2B0000}"/>
    <cellStyle name="Comma 5 2 2 4 2 2" xfId="20536" xr:uid="{00000000-0005-0000-0000-00006C2B0000}"/>
    <cellStyle name="Comma 5 2 2 4 3" xfId="20535" xr:uid="{00000000-0005-0000-0000-00006D2B0000}"/>
    <cellStyle name="Comma 5 2 2 5" xfId="7884" xr:uid="{00000000-0005-0000-0000-00006E2B0000}"/>
    <cellStyle name="Comma 5 2 2_BOQ" xfId="7885" xr:uid="{00000000-0005-0000-0000-00006F2B0000}"/>
    <cellStyle name="Comma 5 2 20" xfId="7886" xr:uid="{00000000-0005-0000-0000-0000702B0000}"/>
    <cellStyle name="Comma 5 2 20 2" xfId="20537" xr:uid="{00000000-0005-0000-0000-0000712B0000}"/>
    <cellStyle name="Comma 5 2 21" xfId="7887" xr:uid="{00000000-0005-0000-0000-0000722B0000}"/>
    <cellStyle name="Comma 5 2 21 2" xfId="20538" xr:uid="{00000000-0005-0000-0000-0000732B0000}"/>
    <cellStyle name="Comma 5 2 22" xfId="7888" xr:uid="{00000000-0005-0000-0000-0000742B0000}"/>
    <cellStyle name="Comma 5 2 22 2" xfId="20539" xr:uid="{00000000-0005-0000-0000-0000752B0000}"/>
    <cellStyle name="Comma 5 2 23" xfId="7889" xr:uid="{00000000-0005-0000-0000-0000762B0000}"/>
    <cellStyle name="Comma 5 2 23 2" xfId="20540" xr:uid="{00000000-0005-0000-0000-0000772B0000}"/>
    <cellStyle name="Comma 5 2 24" xfId="7890" xr:uid="{00000000-0005-0000-0000-0000782B0000}"/>
    <cellStyle name="Comma 5 2 24 2" xfId="20541" xr:uid="{00000000-0005-0000-0000-0000792B0000}"/>
    <cellStyle name="Comma 5 2 25" xfId="7891" xr:uid="{00000000-0005-0000-0000-00007A2B0000}"/>
    <cellStyle name="Comma 5 2 25 2" xfId="20542" xr:uid="{00000000-0005-0000-0000-00007B2B0000}"/>
    <cellStyle name="Comma 5 2 26" xfId="7892" xr:uid="{00000000-0005-0000-0000-00007C2B0000}"/>
    <cellStyle name="Comma 5 2 26 2" xfId="20543" xr:uid="{00000000-0005-0000-0000-00007D2B0000}"/>
    <cellStyle name="Comma 5 2 27" xfId="7893" xr:uid="{00000000-0005-0000-0000-00007E2B0000}"/>
    <cellStyle name="Comma 5 2 27 2" xfId="20544" xr:uid="{00000000-0005-0000-0000-00007F2B0000}"/>
    <cellStyle name="Comma 5 2 28" xfId="7894" xr:uid="{00000000-0005-0000-0000-0000802B0000}"/>
    <cellStyle name="Comma 5 2 28 2" xfId="20545" xr:uid="{00000000-0005-0000-0000-0000812B0000}"/>
    <cellStyle name="Comma 5 2 29" xfId="7895" xr:uid="{00000000-0005-0000-0000-0000822B0000}"/>
    <cellStyle name="Comma 5 2 29 2" xfId="20546" xr:uid="{00000000-0005-0000-0000-0000832B0000}"/>
    <cellStyle name="Comma 5 2 3" xfId="7896" xr:uid="{00000000-0005-0000-0000-0000842B0000}"/>
    <cellStyle name="Comma 5 2 3 2" xfId="7897" xr:uid="{00000000-0005-0000-0000-0000852B0000}"/>
    <cellStyle name="Comma 5 2 3 3" xfId="20547" xr:uid="{00000000-0005-0000-0000-0000862B0000}"/>
    <cellStyle name="Comma 5 2 30" xfId="7898" xr:uid="{00000000-0005-0000-0000-0000872B0000}"/>
    <cellStyle name="Comma 5 2 30 2" xfId="20548" xr:uid="{00000000-0005-0000-0000-0000882B0000}"/>
    <cellStyle name="Comma 5 2 31" xfId="7899" xr:uid="{00000000-0005-0000-0000-0000892B0000}"/>
    <cellStyle name="Comma 5 2 31 2" xfId="20549" xr:uid="{00000000-0005-0000-0000-00008A2B0000}"/>
    <cellStyle name="Comma 5 2 32" xfId="7900" xr:uid="{00000000-0005-0000-0000-00008B2B0000}"/>
    <cellStyle name="Comma 5 2 32 2" xfId="20550" xr:uid="{00000000-0005-0000-0000-00008C2B0000}"/>
    <cellStyle name="Comma 5 2 33" xfId="7901" xr:uid="{00000000-0005-0000-0000-00008D2B0000}"/>
    <cellStyle name="Comma 5 2 33 2" xfId="20551" xr:uid="{00000000-0005-0000-0000-00008E2B0000}"/>
    <cellStyle name="Comma 5 2 34" xfId="7902" xr:uid="{00000000-0005-0000-0000-00008F2B0000}"/>
    <cellStyle name="Comma 5 2 34 2" xfId="20552" xr:uid="{00000000-0005-0000-0000-0000902B0000}"/>
    <cellStyle name="Comma 5 2 35" xfId="7903" xr:uid="{00000000-0005-0000-0000-0000912B0000}"/>
    <cellStyle name="Comma 5 2 35 2" xfId="20553" xr:uid="{00000000-0005-0000-0000-0000922B0000}"/>
    <cellStyle name="Comma 5 2 36" xfId="7904" xr:uid="{00000000-0005-0000-0000-0000932B0000}"/>
    <cellStyle name="Comma 5 2 36 2" xfId="20554" xr:uid="{00000000-0005-0000-0000-0000942B0000}"/>
    <cellStyle name="Comma 5 2 37" xfId="7905" xr:uid="{00000000-0005-0000-0000-0000952B0000}"/>
    <cellStyle name="Comma 5 2 37 2" xfId="20555" xr:uid="{00000000-0005-0000-0000-0000962B0000}"/>
    <cellStyle name="Comma 5 2 38" xfId="7906" xr:uid="{00000000-0005-0000-0000-0000972B0000}"/>
    <cellStyle name="Comma 5 2 38 2" xfId="20556" xr:uid="{00000000-0005-0000-0000-0000982B0000}"/>
    <cellStyle name="Comma 5 2 39" xfId="7907" xr:uid="{00000000-0005-0000-0000-0000992B0000}"/>
    <cellStyle name="Comma 5 2 39 2" xfId="20557" xr:uid="{00000000-0005-0000-0000-00009A2B0000}"/>
    <cellStyle name="Comma 5 2 4" xfId="7908" xr:uid="{00000000-0005-0000-0000-00009B2B0000}"/>
    <cellStyle name="Comma 5 2 4 2" xfId="20558" xr:uid="{00000000-0005-0000-0000-00009C2B0000}"/>
    <cellStyle name="Comma 5 2 40" xfId="7909" xr:uid="{00000000-0005-0000-0000-00009D2B0000}"/>
    <cellStyle name="Comma 5 2 40 2" xfId="20559" xr:uid="{00000000-0005-0000-0000-00009E2B0000}"/>
    <cellStyle name="Comma 5 2 41" xfId="7910" xr:uid="{00000000-0005-0000-0000-00009F2B0000}"/>
    <cellStyle name="Comma 5 2 41 2" xfId="20560" xr:uid="{00000000-0005-0000-0000-0000A02B0000}"/>
    <cellStyle name="Comma 5 2 42" xfId="7911" xr:uid="{00000000-0005-0000-0000-0000A12B0000}"/>
    <cellStyle name="Comma 5 2 42 2" xfId="20561" xr:uid="{00000000-0005-0000-0000-0000A22B0000}"/>
    <cellStyle name="Comma 5 2 43" xfId="7912" xr:uid="{00000000-0005-0000-0000-0000A32B0000}"/>
    <cellStyle name="Comma 5 2 43 2" xfId="20562" xr:uid="{00000000-0005-0000-0000-0000A42B0000}"/>
    <cellStyle name="Comma 5 2 5" xfId="7913" xr:uid="{00000000-0005-0000-0000-0000A52B0000}"/>
    <cellStyle name="Comma 5 2 5 2" xfId="20563" xr:uid="{00000000-0005-0000-0000-0000A62B0000}"/>
    <cellStyle name="Comma 5 2 6" xfId="7914" xr:uid="{00000000-0005-0000-0000-0000A72B0000}"/>
    <cellStyle name="Comma 5 2 6 2" xfId="20564" xr:uid="{00000000-0005-0000-0000-0000A82B0000}"/>
    <cellStyle name="Comma 5 2 7" xfId="7915" xr:uid="{00000000-0005-0000-0000-0000A92B0000}"/>
    <cellStyle name="Comma 5 2 7 2" xfId="20565" xr:uid="{00000000-0005-0000-0000-0000AA2B0000}"/>
    <cellStyle name="Comma 5 2 8" xfId="7916" xr:uid="{00000000-0005-0000-0000-0000AB2B0000}"/>
    <cellStyle name="Comma 5 2 8 2" xfId="20566" xr:uid="{00000000-0005-0000-0000-0000AC2B0000}"/>
    <cellStyle name="Comma 5 2 9" xfId="7917" xr:uid="{00000000-0005-0000-0000-0000AD2B0000}"/>
    <cellStyle name="Comma 5 2 9 2" xfId="20567" xr:uid="{00000000-0005-0000-0000-0000AE2B0000}"/>
    <cellStyle name="Comma 5 2_ADNOC HQ - 100% Off Site Parking BOQ" xfId="7918" xr:uid="{00000000-0005-0000-0000-0000AF2B0000}"/>
    <cellStyle name="Comma 5 20" xfId="7919" xr:uid="{00000000-0005-0000-0000-0000B02B0000}"/>
    <cellStyle name="Comma 5 20 2" xfId="20568" xr:uid="{00000000-0005-0000-0000-0000B12B0000}"/>
    <cellStyle name="Comma 5 21" xfId="7920" xr:uid="{00000000-0005-0000-0000-0000B22B0000}"/>
    <cellStyle name="Comma 5 21 2" xfId="20569" xr:uid="{00000000-0005-0000-0000-0000B32B0000}"/>
    <cellStyle name="Comma 5 22" xfId="7921" xr:uid="{00000000-0005-0000-0000-0000B42B0000}"/>
    <cellStyle name="Comma 5 22 2" xfId="20570" xr:uid="{00000000-0005-0000-0000-0000B52B0000}"/>
    <cellStyle name="Comma 5 23" xfId="7922" xr:uid="{00000000-0005-0000-0000-0000B62B0000}"/>
    <cellStyle name="Comma 5 23 2" xfId="20571" xr:uid="{00000000-0005-0000-0000-0000B72B0000}"/>
    <cellStyle name="Comma 5 24" xfId="7923" xr:uid="{00000000-0005-0000-0000-0000B82B0000}"/>
    <cellStyle name="Comma 5 24 2" xfId="20572" xr:uid="{00000000-0005-0000-0000-0000B92B0000}"/>
    <cellStyle name="Comma 5 25" xfId="7924" xr:uid="{00000000-0005-0000-0000-0000BA2B0000}"/>
    <cellStyle name="Comma 5 25 2" xfId="20573" xr:uid="{00000000-0005-0000-0000-0000BB2B0000}"/>
    <cellStyle name="Comma 5 26" xfId="7925" xr:uid="{00000000-0005-0000-0000-0000BC2B0000}"/>
    <cellStyle name="Comma 5 26 2" xfId="20574" xr:uid="{00000000-0005-0000-0000-0000BD2B0000}"/>
    <cellStyle name="Comma 5 27" xfId="7926" xr:uid="{00000000-0005-0000-0000-0000BE2B0000}"/>
    <cellStyle name="Comma 5 27 2" xfId="20575" xr:uid="{00000000-0005-0000-0000-0000BF2B0000}"/>
    <cellStyle name="Comma 5 28" xfId="7927" xr:uid="{00000000-0005-0000-0000-0000C02B0000}"/>
    <cellStyle name="Comma 5 28 2" xfId="20576" xr:uid="{00000000-0005-0000-0000-0000C12B0000}"/>
    <cellStyle name="Comma 5 29" xfId="7928" xr:uid="{00000000-0005-0000-0000-0000C22B0000}"/>
    <cellStyle name="Comma 5 29 2" xfId="20577" xr:uid="{00000000-0005-0000-0000-0000C32B0000}"/>
    <cellStyle name="Comma 5 3" xfId="236" xr:uid="{00000000-0005-0000-0000-0000C42B0000}"/>
    <cellStyle name="Comma 5 3 10" xfId="7929" xr:uid="{00000000-0005-0000-0000-0000C52B0000}"/>
    <cellStyle name="Comma 5 3 10 2" xfId="20578" xr:uid="{00000000-0005-0000-0000-0000C62B0000}"/>
    <cellStyle name="Comma 5 3 11" xfId="7930" xr:uid="{00000000-0005-0000-0000-0000C72B0000}"/>
    <cellStyle name="Comma 5 3 11 2" xfId="20579" xr:uid="{00000000-0005-0000-0000-0000C82B0000}"/>
    <cellStyle name="Comma 5 3 12" xfId="7931" xr:uid="{00000000-0005-0000-0000-0000C92B0000}"/>
    <cellStyle name="Comma 5 3 12 2" xfId="20580" xr:uid="{00000000-0005-0000-0000-0000CA2B0000}"/>
    <cellStyle name="Comma 5 3 13" xfId="7932" xr:uid="{00000000-0005-0000-0000-0000CB2B0000}"/>
    <cellStyle name="Comma 5 3 13 2" xfId="20581" xr:uid="{00000000-0005-0000-0000-0000CC2B0000}"/>
    <cellStyle name="Comma 5 3 14" xfId="7933" xr:uid="{00000000-0005-0000-0000-0000CD2B0000}"/>
    <cellStyle name="Comma 5 3 14 2" xfId="20582" xr:uid="{00000000-0005-0000-0000-0000CE2B0000}"/>
    <cellStyle name="Comma 5 3 15" xfId="7934" xr:uid="{00000000-0005-0000-0000-0000CF2B0000}"/>
    <cellStyle name="Comma 5 3 15 2" xfId="20583" xr:uid="{00000000-0005-0000-0000-0000D02B0000}"/>
    <cellStyle name="Comma 5 3 16" xfId="7935" xr:uid="{00000000-0005-0000-0000-0000D12B0000}"/>
    <cellStyle name="Comma 5 3 16 2" xfId="20584" xr:uid="{00000000-0005-0000-0000-0000D22B0000}"/>
    <cellStyle name="Comma 5 3 17" xfId="7936" xr:uid="{00000000-0005-0000-0000-0000D32B0000}"/>
    <cellStyle name="Comma 5 3 17 2" xfId="20585" xr:uid="{00000000-0005-0000-0000-0000D42B0000}"/>
    <cellStyle name="Comma 5 3 18" xfId="7937" xr:uid="{00000000-0005-0000-0000-0000D52B0000}"/>
    <cellStyle name="Comma 5 3 18 2" xfId="20586" xr:uid="{00000000-0005-0000-0000-0000D62B0000}"/>
    <cellStyle name="Comma 5 3 19" xfId="7938" xr:uid="{00000000-0005-0000-0000-0000D72B0000}"/>
    <cellStyle name="Comma 5 3 19 2" xfId="20587" xr:uid="{00000000-0005-0000-0000-0000D82B0000}"/>
    <cellStyle name="Comma 5 3 2" xfId="7939" xr:uid="{00000000-0005-0000-0000-0000D92B0000}"/>
    <cellStyle name="Comma 5 3 2 2" xfId="20588" xr:uid="{00000000-0005-0000-0000-0000DA2B0000}"/>
    <cellStyle name="Comma 5 3 20" xfId="7940" xr:uid="{00000000-0005-0000-0000-0000DB2B0000}"/>
    <cellStyle name="Comma 5 3 20 2" xfId="20589" xr:uid="{00000000-0005-0000-0000-0000DC2B0000}"/>
    <cellStyle name="Comma 5 3 21" xfId="7941" xr:uid="{00000000-0005-0000-0000-0000DD2B0000}"/>
    <cellStyle name="Comma 5 3 21 2" xfId="20590" xr:uid="{00000000-0005-0000-0000-0000DE2B0000}"/>
    <cellStyle name="Comma 5 3 22" xfId="7942" xr:uid="{00000000-0005-0000-0000-0000DF2B0000}"/>
    <cellStyle name="Comma 5 3 22 2" xfId="20591" xr:uid="{00000000-0005-0000-0000-0000E02B0000}"/>
    <cellStyle name="Comma 5 3 23" xfId="7943" xr:uid="{00000000-0005-0000-0000-0000E12B0000}"/>
    <cellStyle name="Comma 5 3 23 2" xfId="20592" xr:uid="{00000000-0005-0000-0000-0000E22B0000}"/>
    <cellStyle name="Comma 5 3 24" xfId="7944" xr:uid="{00000000-0005-0000-0000-0000E32B0000}"/>
    <cellStyle name="Comma 5 3 24 2" xfId="20593" xr:uid="{00000000-0005-0000-0000-0000E42B0000}"/>
    <cellStyle name="Comma 5 3 25" xfId="7945" xr:uid="{00000000-0005-0000-0000-0000E52B0000}"/>
    <cellStyle name="Comma 5 3 25 2" xfId="20594" xr:uid="{00000000-0005-0000-0000-0000E62B0000}"/>
    <cellStyle name="Comma 5 3 26" xfId="7946" xr:uid="{00000000-0005-0000-0000-0000E72B0000}"/>
    <cellStyle name="Comma 5 3 26 2" xfId="20595" xr:uid="{00000000-0005-0000-0000-0000E82B0000}"/>
    <cellStyle name="Comma 5 3 27" xfId="7947" xr:uid="{00000000-0005-0000-0000-0000E92B0000}"/>
    <cellStyle name="Comma 5 3 27 2" xfId="20596" xr:uid="{00000000-0005-0000-0000-0000EA2B0000}"/>
    <cellStyle name="Comma 5 3 28" xfId="7948" xr:uid="{00000000-0005-0000-0000-0000EB2B0000}"/>
    <cellStyle name="Comma 5 3 28 2" xfId="20597" xr:uid="{00000000-0005-0000-0000-0000EC2B0000}"/>
    <cellStyle name="Comma 5 3 29" xfId="7949" xr:uid="{00000000-0005-0000-0000-0000ED2B0000}"/>
    <cellStyle name="Comma 5 3 29 2" xfId="20598" xr:uid="{00000000-0005-0000-0000-0000EE2B0000}"/>
    <cellStyle name="Comma 5 3 3" xfId="7950" xr:uid="{00000000-0005-0000-0000-0000EF2B0000}"/>
    <cellStyle name="Comma 5 3 3 2" xfId="20599" xr:uid="{00000000-0005-0000-0000-0000F02B0000}"/>
    <cellStyle name="Comma 5 3 30" xfId="7951" xr:uid="{00000000-0005-0000-0000-0000F12B0000}"/>
    <cellStyle name="Comma 5 3 30 2" xfId="20600" xr:uid="{00000000-0005-0000-0000-0000F22B0000}"/>
    <cellStyle name="Comma 5 3 31" xfId="7952" xr:uid="{00000000-0005-0000-0000-0000F32B0000}"/>
    <cellStyle name="Comma 5 3 31 2" xfId="20601" xr:uid="{00000000-0005-0000-0000-0000F42B0000}"/>
    <cellStyle name="Comma 5 3 32" xfId="7953" xr:uid="{00000000-0005-0000-0000-0000F52B0000}"/>
    <cellStyle name="Comma 5 3 32 2" xfId="20602" xr:uid="{00000000-0005-0000-0000-0000F62B0000}"/>
    <cellStyle name="Comma 5 3 33" xfId="7954" xr:uid="{00000000-0005-0000-0000-0000F72B0000}"/>
    <cellStyle name="Comma 5 3 33 2" xfId="20603" xr:uid="{00000000-0005-0000-0000-0000F82B0000}"/>
    <cellStyle name="Comma 5 3 34" xfId="7955" xr:uid="{00000000-0005-0000-0000-0000F92B0000}"/>
    <cellStyle name="Comma 5 3 34 2" xfId="20604" xr:uid="{00000000-0005-0000-0000-0000FA2B0000}"/>
    <cellStyle name="Comma 5 3 35" xfId="7956" xr:uid="{00000000-0005-0000-0000-0000FB2B0000}"/>
    <cellStyle name="Comma 5 3 35 2" xfId="20605" xr:uid="{00000000-0005-0000-0000-0000FC2B0000}"/>
    <cellStyle name="Comma 5 3 36" xfId="7957" xr:uid="{00000000-0005-0000-0000-0000FD2B0000}"/>
    <cellStyle name="Comma 5 3 36 2" xfId="20606" xr:uid="{00000000-0005-0000-0000-0000FE2B0000}"/>
    <cellStyle name="Comma 5 3 4" xfId="7958" xr:uid="{00000000-0005-0000-0000-0000FF2B0000}"/>
    <cellStyle name="Comma 5 3 4 2" xfId="20607" xr:uid="{00000000-0005-0000-0000-0000002C0000}"/>
    <cellStyle name="Comma 5 3 5" xfId="7959" xr:uid="{00000000-0005-0000-0000-0000012C0000}"/>
    <cellStyle name="Comma 5 3 5 2" xfId="20608" xr:uid="{00000000-0005-0000-0000-0000022C0000}"/>
    <cellStyle name="Comma 5 3 6" xfId="7960" xr:uid="{00000000-0005-0000-0000-0000032C0000}"/>
    <cellStyle name="Comma 5 3 6 2" xfId="20609" xr:uid="{00000000-0005-0000-0000-0000042C0000}"/>
    <cellStyle name="Comma 5 3 7" xfId="7961" xr:uid="{00000000-0005-0000-0000-0000052C0000}"/>
    <cellStyle name="Comma 5 3 7 2" xfId="20610" xr:uid="{00000000-0005-0000-0000-0000062C0000}"/>
    <cellStyle name="Comma 5 3 8" xfId="7962" xr:uid="{00000000-0005-0000-0000-0000072C0000}"/>
    <cellStyle name="Comma 5 3 8 2" xfId="20611" xr:uid="{00000000-0005-0000-0000-0000082C0000}"/>
    <cellStyle name="Comma 5 3 9" xfId="7963" xr:uid="{00000000-0005-0000-0000-0000092C0000}"/>
    <cellStyle name="Comma 5 3 9 2" xfId="20612" xr:uid="{00000000-0005-0000-0000-00000A2C0000}"/>
    <cellStyle name="Comma 5 30" xfId="7964" xr:uid="{00000000-0005-0000-0000-00000B2C0000}"/>
    <cellStyle name="Comma 5 30 2" xfId="20613" xr:uid="{00000000-0005-0000-0000-00000C2C0000}"/>
    <cellStyle name="Comma 5 31" xfId="7965" xr:uid="{00000000-0005-0000-0000-00000D2C0000}"/>
    <cellStyle name="Comma 5 31 2" xfId="20614" xr:uid="{00000000-0005-0000-0000-00000E2C0000}"/>
    <cellStyle name="Comma 5 32" xfId="7966" xr:uid="{00000000-0005-0000-0000-00000F2C0000}"/>
    <cellStyle name="Comma 5 32 2" xfId="20615" xr:uid="{00000000-0005-0000-0000-0000102C0000}"/>
    <cellStyle name="Comma 5 33" xfId="7967" xr:uid="{00000000-0005-0000-0000-0000112C0000}"/>
    <cellStyle name="Comma 5 33 2" xfId="20616" xr:uid="{00000000-0005-0000-0000-0000122C0000}"/>
    <cellStyle name="Comma 5 34" xfId="7968" xr:uid="{00000000-0005-0000-0000-0000132C0000}"/>
    <cellStyle name="Comma 5 34 2" xfId="20617" xr:uid="{00000000-0005-0000-0000-0000142C0000}"/>
    <cellStyle name="Comma 5 35" xfId="7969" xr:uid="{00000000-0005-0000-0000-0000152C0000}"/>
    <cellStyle name="Comma 5 35 2" xfId="20618" xr:uid="{00000000-0005-0000-0000-0000162C0000}"/>
    <cellStyle name="Comma 5 36" xfId="7970" xr:uid="{00000000-0005-0000-0000-0000172C0000}"/>
    <cellStyle name="Comma 5 36 2" xfId="20619" xr:uid="{00000000-0005-0000-0000-0000182C0000}"/>
    <cellStyle name="Comma 5 37" xfId="7971" xr:uid="{00000000-0005-0000-0000-0000192C0000}"/>
    <cellStyle name="Comma 5 37 2" xfId="20620" xr:uid="{00000000-0005-0000-0000-00001A2C0000}"/>
    <cellStyle name="Comma 5 38" xfId="7972" xr:uid="{00000000-0005-0000-0000-00001B2C0000}"/>
    <cellStyle name="Comma 5 38 2" xfId="20621" xr:uid="{00000000-0005-0000-0000-00001C2C0000}"/>
    <cellStyle name="Comma 5 39" xfId="7973" xr:uid="{00000000-0005-0000-0000-00001D2C0000}"/>
    <cellStyle name="Comma 5 39 2" xfId="20622" xr:uid="{00000000-0005-0000-0000-00001E2C0000}"/>
    <cellStyle name="Comma 5 4" xfId="7974" xr:uid="{00000000-0005-0000-0000-00001F2C0000}"/>
    <cellStyle name="Comma 5 4 2" xfId="20623" xr:uid="{00000000-0005-0000-0000-0000202C0000}"/>
    <cellStyle name="Comma 5 40" xfId="7975" xr:uid="{00000000-0005-0000-0000-0000212C0000}"/>
    <cellStyle name="Comma 5 40 2" xfId="20624" xr:uid="{00000000-0005-0000-0000-0000222C0000}"/>
    <cellStyle name="Comma 5 41" xfId="7976" xr:uid="{00000000-0005-0000-0000-0000232C0000}"/>
    <cellStyle name="Comma 5 41 2" xfId="20625" xr:uid="{00000000-0005-0000-0000-0000242C0000}"/>
    <cellStyle name="Comma 5 42" xfId="7977" xr:uid="{00000000-0005-0000-0000-0000252C0000}"/>
    <cellStyle name="Comma 5 42 2" xfId="20626" xr:uid="{00000000-0005-0000-0000-0000262C0000}"/>
    <cellStyle name="Comma 5 43" xfId="7978" xr:uid="{00000000-0005-0000-0000-0000272C0000}"/>
    <cellStyle name="Comma 5 43 2" xfId="20627" xr:uid="{00000000-0005-0000-0000-0000282C0000}"/>
    <cellStyle name="Comma 5 44" xfId="7979" xr:uid="{00000000-0005-0000-0000-0000292C0000}"/>
    <cellStyle name="Comma 5 45" xfId="7980" xr:uid="{00000000-0005-0000-0000-00002A2C0000}"/>
    <cellStyle name="Comma 5 46" xfId="7981" xr:uid="{00000000-0005-0000-0000-00002B2C0000}"/>
    <cellStyle name="Comma 5 47" xfId="7982" xr:uid="{00000000-0005-0000-0000-00002C2C0000}"/>
    <cellStyle name="Comma 5 48" xfId="7983" xr:uid="{00000000-0005-0000-0000-00002D2C0000}"/>
    <cellStyle name="Comma 5 49" xfId="7984" xr:uid="{00000000-0005-0000-0000-00002E2C0000}"/>
    <cellStyle name="Comma 5 5" xfId="7985" xr:uid="{00000000-0005-0000-0000-00002F2C0000}"/>
    <cellStyle name="Comma 5 5 2" xfId="20628" xr:uid="{00000000-0005-0000-0000-0000302C0000}"/>
    <cellStyle name="Comma 5 50" xfId="7986" xr:uid="{00000000-0005-0000-0000-0000312C0000}"/>
    <cellStyle name="Comma 5 51" xfId="7987" xr:uid="{00000000-0005-0000-0000-0000322C0000}"/>
    <cellStyle name="Comma 5 52" xfId="7988" xr:uid="{00000000-0005-0000-0000-0000332C0000}"/>
    <cellStyle name="Comma 5 53" xfId="7989" xr:uid="{00000000-0005-0000-0000-0000342C0000}"/>
    <cellStyle name="Comma 5 54" xfId="7990" xr:uid="{00000000-0005-0000-0000-0000352C0000}"/>
    <cellStyle name="Comma 5 55" xfId="7991" xr:uid="{00000000-0005-0000-0000-0000362C0000}"/>
    <cellStyle name="Comma 5 56" xfId="7992" xr:uid="{00000000-0005-0000-0000-0000372C0000}"/>
    <cellStyle name="Comma 5 56 2" xfId="20629" xr:uid="{00000000-0005-0000-0000-0000382C0000}"/>
    <cellStyle name="Comma 5 57" xfId="7993" xr:uid="{00000000-0005-0000-0000-0000392C0000}"/>
    <cellStyle name="Comma 5 57 2" xfId="20630" xr:uid="{00000000-0005-0000-0000-00003A2C0000}"/>
    <cellStyle name="Comma 5 58" xfId="7994" xr:uid="{00000000-0005-0000-0000-00003B2C0000}"/>
    <cellStyle name="Comma 5 58 2" xfId="20631" xr:uid="{00000000-0005-0000-0000-00003C2C0000}"/>
    <cellStyle name="Comma 5 59" xfId="7995" xr:uid="{00000000-0005-0000-0000-00003D2C0000}"/>
    <cellStyle name="Comma 5 59 2" xfId="20632" xr:uid="{00000000-0005-0000-0000-00003E2C0000}"/>
    <cellStyle name="Comma 5 6" xfId="7996" xr:uid="{00000000-0005-0000-0000-00003F2C0000}"/>
    <cellStyle name="Comma 5 6 2" xfId="20633" xr:uid="{00000000-0005-0000-0000-0000402C0000}"/>
    <cellStyle name="Comma 5 60" xfId="7997" xr:uid="{00000000-0005-0000-0000-0000412C0000}"/>
    <cellStyle name="Comma 5 60 2" xfId="20634" xr:uid="{00000000-0005-0000-0000-0000422C0000}"/>
    <cellStyle name="Comma 5 61" xfId="7998" xr:uid="{00000000-0005-0000-0000-0000432C0000}"/>
    <cellStyle name="Comma 5 61 2" xfId="20635" xr:uid="{00000000-0005-0000-0000-0000442C0000}"/>
    <cellStyle name="Comma 5 62" xfId="7999" xr:uid="{00000000-0005-0000-0000-0000452C0000}"/>
    <cellStyle name="Comma 5 62 2" xfId="20636" xr:uid="{00000000-0005-0000-0000-0000462C0000}"/>
    <cellStyle name="Comma 5 63" xfId="8000" xr:uid="{00000000-0005-0000-0000-0000472C0000}"/>
    <cellStyle name="Comma 5 63 2" xfId="20637" xr:uid="{00000000-0005-0000-0000-0000482C0000}"/>
    <cellStyle name="Comma 5 64" xfId="8001" xr:uid="{00000000-0005-0000-0000-0000492C0000}"/>
    <cellStyle name="Comma 5 64 2" xfId="20638" xr:uid="{00000000-0005-0000-0000-00004A2C0000}"/>
    <cellStyle name="Comma 5 65" xfId="8002" xr:uid="{00000000-0005-0000-0000-00004B2C0000}"/>
    <cellStyle name="Comma 5 65 2" xfId="20639" xr:uid="{00000000-0005-0000-0000-00004C2C0000}"/>
    <cellStyle name="Comma 5 66" xfId="8003" xr:uid="{00000000-0005-0000-0000-00004D2C0000}"/>
    <cellStyle name="Comma 5 66 2" xfId="20640" xr:uid="{00000000-0005-0000-0000-00004E2C0000}"/>
    <cellStyle name="Comma 5 67" xfId="8004" xr:uid="{00000000-0005-0000-0000-00004F2C0000}"/>
    <cellStyle name="Comma 5 67 2" xfId="20641" xr:uid="{00000000-0005-0000-0000-0000502C0000}"/>
    <cellStyle name="Comma 5 68" xfId="8005" xr:uid="{00000000-0005-0000-0000-0000512C0000}"/>
    <cellStyle name="Comma 5 68 2" xfId="20642" xr:uid="{00000000-0005-0000-0000-0000522C0000}"/>
    <cellStyle name="Comma 5 69" xfId="8006" xr:uid="{00000000-0005-0000-0000-0000532C0000}"/>
    <cellStyle name="Comma 5 69 2" xfId="20643" xr:uid="{00000000-0005-0000-0000-0000542C0000}"/>
    <cellStyle name="Comma 5 7" xfId="8007" xr:uid="{00000000-0005-0000-0000-0000552C0000}"/>
    <cellStyle name="Comma 5 7 2" xfId="20644" xr:uid="{00000000-0005-0000-0000-0000562C0000}"/>
    <cellStyle name="Comma 5 70" xfId="8008" xr:uid="{00000000-0005-0000-0000-0000572C0000}"/>
    <cellStyle name="Comma 5 70 2" xfId="20645" xr:uid="{00000000-0005-0000-0000-0000582C0000}"/>
    <cellStyle name="Comma 5 71" xfId="8009" xr:uid="{00000000-0005-0000-0000-0000592C0000}"/>
    <cellStyle name="Comma 5 71 2" xfId="20646" xr:uid="{00000000-0005-0000-0000-00005A2C0000}"/>
    <cellStyle name="Comma 5 72" xfId="8010" xr:uid="{00000000-0005-0000-0000-00005B2C0000}"/>
    <cellStyle name="Comma 5 72 2" xfId="20647" xr:uid="{00000000-0005-0000-0000-00005C2C0000}"/>
    <cellStyle name="Comma 5 73" xfId="8011" xr:uid="{00000000-0005-0000-0000-00005D2C0000}"/>
    <cellStyle name="Comma 5 73 2" xfId="20648" xr:uid="{00000000-0005-0000-0000-00005E2C0000}"/>
    <cellStyle name="Comma 5 74" xfId="8012" xr:uid="{00000000-0005-0000-0000-00005F2C0000}"/>
    <cellStyle name="Comma 5 74 2" xfId="20649" xr:uid="{00000000-0005-0000-0000-0000602C0000}"/>
    <cellStyle name="Comma 5 75" xfId="8013" xr:uid="{00000000-0005-0000-0000-0000612C0000}"/>
    <cellStyle name="Comma 5 8" xfId="8014" xr:uid="{00000000-0005-0000-0000-0000622C0000}"/>
    <cellStyle name="Comma 5 8 2" xfId="20650" xr:uid="{00000000-0005-0000-0000-0000632C0000}"/>
    <cellStyle name="Comma 5 9" xfId="8015" xr:uid="{00000000-0005-0000-0000-0000642C0000}"/>
    <cellStyle name="Comma 5 9 2" xfId="20651" xr:uid="{00000000-0005-0000-0000-0000652C0000}"/>
    <cellStyle name="Comma 5_4 Costing One Tower R2 FINAL SP (36 M) Material list" xfId="8016" xr:uid="{00000000-0005-0000-0000-0000662C0000}"/>
    <cellStyle name="Comma 50" xfId="8017" xr:uid="{00000000-0005-0000-0000-0000672C0000}"/>
    <cellStyle name="Comma 51" xfId="8018" xr:uid="{00000000-0005-0000-0000-0000682C0000}"/>
    <cellStyle name="Comma 52" xfId="8019" xr:uid="{00000000-0005-0000-0000-0000692C0000}"/>
    <cellStyle name="Comma 53" xfId="8020" xr:uid="{00000000-0005-0000-0000-00006A2C0000}"/>
    <cellStyle name="Comma 54" xfId="8021" xr:uid="{00000000-0005-0000-0000-00006B2C0000}"/>
    <cellStyle name="Comma 55" xfId="8022" xr:uid="{00000000-0005-0000-0000-00006C2C0000}"/>
    <cellStyle name="Comma 56" xfId="8023" xr:uid="{00000000-0005-0000-0000-00006D2C0000}"/>
    <cellStyle name="Comma 57" xfId="8024" xr:uid="{00000000-0005-0000-0000-00006E2C0000}"/>
    <cellStyle name="Comma 58" xfId="8025" xr:uid="{00000000-0005-0000-0000-00006F2C0000}"/>
    <cellStyle name="Comma 59" xfId="8026" xr:uid="{00000000-0005-0000-0000-0000702C0000}"/>
    <cellStyle name="Comma 6" xfId="237" xr:uid="{00000000-0005-0000-0000-0000712C0000}"/>
    <cellStyle name="Comma 6 10" xfId="8027" xr:uid="{00000000-0005-0000-0000-0000722C0000}"/>
    <cellStyle name="Comma 6 10 2" xfId="20652" xr:uid="{00000000-0005-0000-0000-0000732C0000}"/>
    <cellStyle name="Comma 6 11" xfId="8028" xr:uid="{00000000-0005-0000-0000-0000742C0000}"/>
    <cellStyle name="Comma 6 11 2" xfId="20653" xr:uid="{00000000-0005-0000-0000-0000752C0000}"/>
    <cellStyle name="Comma 6 12" xfId="8029" xr:uid="{00000000-0005-0000-0000-0000762C0000}"/>
    <cellStyle name="Comma 6 12 2" xfId="20654" xr:uid="{00000000-0005-0000-0000-0000772C0000}"/>
    <cellStyle name="Comma 6 13" xfId="8030" xr:uid="{00000000-0005-0000-0000-0000782C0000}"/>
    <cellStyle name="Comma 6 13 2" xfId="20655" xr:uid="{00000000-0005-0000-0000-0000792C0000}"/>
    <cellStyle name="Comma 6 14" xfId="8031" xr:uid="{00000000-0005-0000-0000-00007A2C0000}"/>
    <cellStyle name="Comma 6 14 2" xfId="20656" xr:uid="{00000000-0005-0000-0000-00007B2C0000}"/>
    <cellStyle name="Comma 6 15" xfId="8032" xr:uid="{00000000-0005-0000-0000-00007C2C0000}"/>
    <cellStyle name="Comma 6 15 2" xfId="20657" xr:uid="{00000000-0005-0000-0000-00007D2C0000}"/>
    <cellStyle name="Comma 6 16" xfId="8033" xr:uid="{00000000-0005-0000-0000-00007E2C0000}"/>
    <cellStyle name="Comma 6 16 2" xfId="20658" xr:uid="{00000000-0005-0000-0000-00007F2C0000}"/>
    <cellStyle name="Comma 6 17" xfId="8034" xr:uid="{00000000-0005-0000-0000-0000802C0000}"/>
    <cellStyle name="Comma 6 17 2" xfId="20659" xr:uid="{00000000-0005-0000-0000-0000812C0000}"/>
    <cellStyle name="Comma 6 18" xfId="8035" xr:uid="{00000000-0005-0000-0000-0000822C0000}"/>
    <cellStyle name="Comma 6 18 2" xfId="20660" xr:uid="{00000000-0005-0000-0000-0000832C0000}"/>
    <cellStyle name="Comma 6 19" xfId="8036" xr:uid="{00000000-0005-0000-0000-0000842C0000}"/>
    <cellStyle name="Comma 6 19 2" xfId="20661" xr:uid="{00000000-0005-0000-0000-0000852C0000}"/>
    <cellStyle name="Comma 6 2" xfId="238" xr:uid="{00000000-0005-0000-0000-0000862C0000}"/>
    <cellStyle name="Comma 6 2 2" xfId="239" xr:uid="{00000000-0005-0000-0000-0000872C0000}"/>
    <cellStyle name="Comma 6 2 2 2" xfId="8037" xr:uid="{00000000-0005-0000-0000-0000882C0000}"/>
    <cellStyle name="Comma 6 2 2_Revision-1 100%SD Parking Bill 30-08-2010" xfId="8038" xr:uid="{00000000-0005-0000-0000-0000892C0000}"/>
    <cellStyle name="Comma 6 2 3" xfId="8039" xr:uid="{00000000-0005-0000-0000-00008A2C0000}"/>
    <cellStyle name="Comma 6 2 4" xfId="8040" xr:uid="{00000000-0005-0000-0000-00008B2C0000}"/>
    <cellStyle name="Comma 6 2 5" xfId="8041" xr:uid="{00000000-0005-0000-0000-00008C2C0000}"/>
    <cellStyle name="Comma 6 2_BOQ" xfId="8042" xr:uid="{00000000-0005-0000-0000-00008D2C0000}"/>
    <cellStyle name="Comma 6 20" xfId="8043" xr:uid="{00000000-0005-0000-0000-00008E2C0000}"/>
    <cellStyle name="Comma 6 20 2" xfId="20662" xr:uid="{00000000-0005-0000-0000-00008F2C0000}"/>
    <cellStyle name="Comma 6 21" xfId="8044" xr:uid="{00000000-0005-0000-0000-0000902C0000}"/>
    <cellStyle name="Comma 6 21 2" xfId="20663" xr:uid="{00000000-0005-0000-0000-0000912C0000}"/>
    <cellStyle name="Comma 6 22" xfId="8045" xr:uid="{00000000-0005-0000-0000-0000922C0000}"/>
    <cellStyle name="Comma 6 22 2" xfId="20664" xr:uid="{00000000-0005-0000-0000-0000932C0000}"/>
    <cellStyle name="Comma 6 23" xfId="8046" xr:uid="{00000000-0005-0000-0000-0000942C0000}"/>
    <cellStyle name="Comma 6 23 2" xfId="20665" xr:uid="{00000000-0005-0000-0000-0000952C0000}"/>
    <cellStyle name="Comma 6 24" xfId="8047" xr:uid="{00000000-0005-0000-0000-0000962C0000}"/>
    <cellStyle name="Comma 6 24 2" xfId="20666" xr:uid="{00000000-0005-0000-0000-0000972C0000}"/>
    <cellStyle name="Comma 6 25" xfId="8048" xr:uid="{00000000-0005-0000-0000-0000982C0000}"/>
    <cellStyle name="Comma 6 25 2" xfId="20667" xr:uid="{00000000-0005-0000-0000-0000992C0000}"/>
    <cellStyle name="Comma 6 26" xfId="8049" xr:uid="{00000000-0005-0000-0000-00009A2C0000}"/>
    <cellStyle name="Comma 6 26 2" xfId="20668" xr:uid="{00000000-0005-0000-0000-00009B2C0000}"/>
    <cellStyle name="Comma 6 27" xfId="8050" xr:uid="{00000000-0005-0000-0000-00009C2C0000}"/>
    <cellStyle name="Comma 6 27 2" xfId="20669" xr:uid="{00000000-0005-0000-0000-00009D2C0000}"/>
    <cellStyle name="Comma 6 28" xfId="8051" xr:uid="{00000000-0005-0000-0000-00009E2C0000}"/>
    <cellStyle name="Comma 6 28 2" xfId="20670" xr:uid="{00000000-0005-0000-0000-00009F2C0000}"/>
    <cellStyle name="Comma 6 29" xfId="8052" xr:uid="{00000000-0005-0000-0000-0000A02C0000}"/>
    <cellStyle name="Comma 6 29 2" xfId="20671" xr:uid="{00000000-0005-0000-0000-0000A12C0000}"/>
    <cellStyle name="Comma 6 3" xfId="240" xr:uid="{00000000-0005-0000-0000-0000A22C0000}"/>
    <cellStyle name="Comma 6 3 2" xfId="8053" xr:uid="{00000000-0005-0000-0000-0000A32C0000}"/>
    <cellStyle name="Comma 6 30" xfId="8054" xr:uid="{00000000-0005-0000-0000-0000A42C0000}"/>
    <cellStyle name="Comma 6 30 2" xfId="20672" xr:uid="{00000000-0005-0000-0000-0000A52C0000}"/>
    <cellStyle name="Comma 6 31" xfId="8055" xr:uid="{00000000-0005-0000-0000-0000A62C0000}"/>
    <cellStyle name="Comma 6 31 2" xfId="20673" xr:uid="{00000000-0005-0000-0000-0000A72C0000}"/>
    <cellStyle name="Comma 6 32" xfId="8056" xr:uid="{00000000-0005-0000-0000-0000A82C0000}"/>
    <cellStyle name="Comma 6 32 2" xfId="20674" xr:uid="{00000000-0005-0000-0000-0000A92C0000}"/>
    <cellStyle name="Comma 6 33" xfId="8057" xr:uid="{00000000-0005-0000-0000-0000AA2C0000}"/>
    <cellStyle name="Comma 6 33 2" xfId="20675" xr:uid="{00000000-0005-0000-0000-0000AB2C0000}"/>
    <cellStyle name="Comma 6 34" xfId="8058" xr:uid="{00000000-0005-0000-0000-0000AC2C0000}"/>
    <cellStyle name="Comma 6 34 2" xfId="20676" xr:uid="{00000000-0005-0000-0000-0000AD2C0000}"/>
    <cellStyle name="Comma 6 35" xfId="8059" xr:uid="{00000000-0005-0000-0000-0000AE2C0000}"/>
    <cellStyle name="Comma 6 35 2" xfId="20677" xr:uid="{00000000-0005-0000-0000-0000AF2C0000}"/>
    <cellStyle name="Comma 6 36" xfId="8060" xr:uid="{00000000-0005-0000-0000-0000B02C0000}"/>
    <cellStyle name="Comma 6 36 2" xfId="20678" xr:uid="{00000000-0005-0000-0000-0000B12C0000}"/>
    <cellStyle name="Comma 6 37" xfId="8061" xr:uid="{00000000-0005-0000-0000-0000B22C0000}"/>
    <cellStyle name="Comma 6 37 2" xfId="20679" xr:uid="{00000000-0005-0000-0000-0000B32C0000}"/>
    <cellStyle name="Comma 6 38" xfId="8062" xr:uid="{00000000-0005-0000-0000-0000B42C0000}"/>
    <cellStyle name="Comma 6 38 2" xfId="20680" xr:uid="{00000000-0005-0000-0000-0000B52C0000}"/>
    <cellStyle name="Comma 6 39" xfId="8063" xr:uid="{00000000-0005-0000-0000-0000B62C0000}"/>
    <cellStyle name="Comma 6 39 2" xfId="20681" xr:uid="{00000000-0005-0000-0000-0000B72C0000}"/>
    <cellStyle name="Comma 6 4" xfId="8064" xr:uid="{00000000-0005-0000-0000-0000B82C0000}"/>
    <cellStyle name="Comma 6 4 2" xfId="20682" xr:uid="{00000000-0005-0000-0000-0000B92C0000}"/>
    <cellStyle name="Comma 6 40" xfId="8065" xr:uid="{00000000-0005-0000-0000-0000BA2C0000}"/>
    <cellStyle name="Comma 6 40 2" xfId="20683" xr:uid="{00000000-0005-0000-0000-0000BB2C0000}"/>
    <cellStyle name="Comma 6 41" xfId="8066" xr:uid="{00000000-0005-0000-0000-0000BC2C0000}"/>
    <cellStyle name="Comma 6 41 2" xfId="20684" xr:uid="{00000000-0005-0000-0000-0000BD2C0000}"/>
    <cellStyle name="Comma 6 42" xfId="8067" xr:uid="{00000000-0005-0000-0000-0000BE2C0000}"/>
    <cellStyle name="Comma 6 42 2" xfId="20685" xr:uid="{00000000-0005-0000-0000-0000BF2C0000}"/>
    <cellStyle name="Comma 6 43" xfId="8068" xr:uid="{00000000-0005-0000-0000-0000C02C0000}"/>
    <cellStyle name="Comma 6 43 2" xfId="20686" xr:uid="{00000000-0005-0000-0000-0000C12C0000}"/>
    <cellStyle name="Comma 6 44" xfId="8069" xr:uid="{00000000-0005-0000-0000-0000C22C0000}"/>
    <cellStyle name="Comma 6 44 2" xfId="20687" xr:uid="{00000000-0005-0000-0000-0000C32C0000}"/>
    <cellStyle name="Comma 6 5" xfId="8070" xr:uid="{00000000-0005-0000-0000-0000C42C0000}"/>
    <cellStyle name="Comma 6 5 2" xfId="20688" xr:uid="{00000000-0005-0000-0000-0000C52C0000}"/>
    <cellStyle name="Comma 6 6" xfId="8071" xr:uid="{00000000-0005-0000-0000-0000C62C0000}"/>
    <cellStyle name="Comma 6 6 2" xfId="20689" xr:uid="{00000000-0005-0000-0000-0000C72C0000}"/>
    <cellStyle name="Comma 6 7" xfId="8072" xr:uid="{00000000-0005-0000-0000-0000C82C0000}"/>
    <cellStyle name="Comma 6 7 2" xfId="20690" xr:uid="{00000000-0005-0000-0000-0000C92C0000}"/>
    <cellStyle name="Comma 6 8" xfId="8073" xr:uid="{00000000-0005-0000-0000-0000CA2C0000}"/>
    <cellStyle name="Comma 6 8 2" xfId="20691" xr:uid="{00000000-0005-0000-0000-0000CB2C0000}"/>
    <cellStyle name="Comma 6 9" xfId="8074" xr:uid="{00000000-0005-0000-0000-0000CC2C0000}"/>
    <cellStyle name="Comma 6 9 2" xfId="20692" xr:uid="{00000000-0005-0000-0000-0000CD2C0000}"/>
    <cellStyle name="Comma 6_2. MBQ1  BC PMMB RW P" xfId="8075" xr:uid="{00000000-0005-0000-0000-0000CE2C0000}"/>
    <cellStyle name="Comma 60" xfId="8076" xr:uid="{00000000-0005-0000-0000-0000CF2C0000}"/>
    <cellStyle name="Comma 61" xfId="8077" xr:uid="{00000000-0005-0000-0000-0000D02C0000}"/>
    <cellStyle name="Comma 62" xfId="8078" xr:uid="{00000000-0005-0000-0000-0000D12C0000}"/>
    <cellStyle name="Comma 63" xfId="8079" xr:uid="{00000000-0005-0000-0000-0000D22C0000}"/>
    <cellStyle name="Comma 64" xfId="8080" xr:uid="{00000000-0005-0000-0000-0000D32C0000}"/>
    <cellStyle name="Comma 65" xfId="8081" xr:uid="{00000000-0005-0000-0000-0000D42C0000}"/>
    <cellStyle name="Comma 65 2" xfId="8082" xr:uid="{00000000-0005-0000-0000-0000D52C0000}"/>
    <cellStyle name="Comma 65 2 2" xfId="20693" xr:uid="{00000000-0005-0000-0000-0000D62C0000}"/>
    <cellStyle name="Comma 66" xfId="8083" xr:uid="{00000000-0005-0000-0000-0000D72C0000}"/>
    <cellStyle name="Comma 66 2" xfId="20694" xr:uid="{00000000-0005-0000-0000-0000D82C0000}"/>
    <cellStyle name="Comma 67" xfId="8084" xr:uid="{00000000-0005-0000-0000-0000D92C0000}"/>
    <cellStyle name="Comma 67 2" xfId="20695" xr:uid="{00000000-0005-0000-0000-0000DA2C0000}"/>
    <cellStyle name="Comma 68" xfId="8085" xr:uid="{00000000-0005-0000-0000-0000DB2C0000}"/>
    <cellStyle name="Comma 68 2" xfId="20696" xr:uid="{00000000-0005-0000-0000-0000DC2C0000}"/>
    <cellStyle name="Comma 69" xfId="8086" xr:uid="{00000000-0005-0000-0000-0000DD2C0000}"/>
    <cellStyle name="Comma 69 2" xfId="8087" xr:uid="{00000000-0005-0000-0000-0000DE2C0000}"/>
    <cellStyle name="Comma 69 2 2" xfId="8088" xr:uid="{00000000-0005-0000-0000-0000DF2C0000}"/>
    <cellStyle name="Comma 69 2 3" xfId="8089" xr:uid="{00000000-0005-0000-0000-0000E02C0000}"/>
    <cellStyle name="Comma 7" xfId="241" xr:uid="{00000000-0005-0000-0000-0000E12C0000}"/>
    <cellStyle name="Comma 7 10" xfId="8090" xr:uid="{00000000-0005-0000-0000-0000E22C0000}"/>
    <cellStyle name="Comma 7 10 2" xfId="25239" xr:uid="{00000000-0005-0000-0000-0000E32C0000}"/>
    <cellStyle name="Comma 7 10 2 2" xfId="25240" xr:uid="{00000000-0005-0000-0000-0000E42C0000}"/>
    <cellStyle name="Comma 7 10 2 2 2" xfId="25241" xr:uid="{00000000-0005-0000-0000-0000E52C0000}"/>
    <cellStyle name="Comma 7 10 2 3" xfId="25242" xr:uid="{00000000-0005-0000-0000-0000E62C0000}"/>
    <cellStyle name="Comma 7 10 3" xfId="25243" xr:uid="{00000000-0005-0000-0000-0000E72C0000}"/>
    <cellStyle name="Comma 7 10 3 2" xfId="25244" xr:uid="{00000000-0005-0000-0000-0000E82C0000}"/>
    <cellStyle name="Comma 7 10 4" xfId="25245" xr:uid="{00000000-0005-0000-0000-0000E92C0000}"/>
    <cellStyle name="Comma 7 11" xfId="8091" xr:uid="{00000000-0005-0000-0000-0000EA2C0000}"/>
    <cellStyle name="Comma 7 11 2" xfId="25246" xr:uid="{00000000-0005-0000-0000-0000EB2C0000}"/>
    <cellStyle name="Comma 7 11 2 2" xfId="25247" xr:uid="{00000000-0005-0000-0000-0000EC2C0000}"/>
    <cellStyle name="Comma 7 11 2 2 2" xfId="25248" xr:uid="{00000000-0005-0000-0000-0000ED2C0000}"/>
    <cellStyle name="Comma 7 11 2 3" xfId="25249" xr:uid="{00000000-0005-0000-0000-0000EE2C0000}"/>
    <cellStyle name="Comma 7 11 3" xfId="25250" xr:uid="{00000000-0005-0000-0000-0000EF2C0000}"/>
    <cellStyle name="Comma 7 11 3 2" xfId="25251" xr:uid="{00000000-0005-0000-0000-0000F02C0000}"/>
    <cellStyle name="Comma 7 11 4" xfId="25252" xr:uid="{00000000-0005-0000-0000-0000F12C0000}"/>
    <cellStyle name="Comma 7 12" xfId="8092" xr:uid="{00000000-0005-0000-0000-0000F22C0000}"/>
    <cellStyle name="Comma 7 12 2" xfId="25253" xr:uid="{00000000-0005-0000-0000-0000F32C0000}"/>
    <cellStyle name="Comma 7 12 2 2" xfId="25254" xr:uid="{00000000-0005-0000-0000-0000F42C0000}"/>
    <cellStyle name="Comma 7 12 2 2 2" xfId="25255" xr:uid="{00000000-0005-0000-0000-0000F52C0000}"/>
    <cellStyle name="Comma 7 12 2 3" xfId="25256" xr:uid="{00000000-0005-0000-0000-0000F62C0000}"/>
    <cellStyle name="Comma 7 12 3" xfId="25257" xr:uid="{00000000-0005-0000-0000-0000F72C0000}"/>
    <cellStyle name="Comma 7 12 3 2" xfId="25258" xr:uid="{00000000-0005-0000-0000-0000F82C0000}"/>
    <cellStyle name="Comma 7 12 4" xfId="25259" xr:uid="{00000000-0005-0000-0000-0000F92C0000}"/>
    <cellStyle name="Comma 7 13" xfId="8093" xr:uid="{00000000-0005-0000-0000-0000FA2C0000}"/>
    <cellStyle name="Comma 7 13 2" xfId="25260" xr:uid="{00000000-0005-0000-0000-0000FB2C0000}"/>
    <cellStyle name="Comma 7 13 2 2" xfId="25261" xr:uid="{00000000-0005-0000-0000-0000FC2C0000}"/>
    <cellStyle name="Comma 7 13 3" xfId="25262" xr:uid="{00000000-0005-0000-0000-0000FD2C0000}"/>
    <cellStyle name="Comma 7 14" xfId="8094" xr:uid="{00000000-0005-0000-0000-0000FE2C0000}"/>
    <cellStyle name="Comma 7 15" xfId="8095" xr:uid="{00000000-0005-0000-0000-0000FF2C0000}"/>
    <cellStyle name="Comma 7 15 2" xfId="25263" xr:uid="{00000000-0005-0000-0000-0000002D0000}"/>
    <cellStyle name="Comma 7 16" xfId="8096" xr:uid="{00000000-0005-0000-0000-0000012D0000}"/>
    <cellStyle name="Comma 7 17" xfId="8097" xr:uid="{00000000-0005-0000-0000-0000022D0000}"/>
    <cellStyle name="Comma 7 18" xfId="8098" xr:uid="{00000000-0005-0000-0000-0000032D0000}"/>
    <cellStyle name="Comma 7 19" xfId="8099" xr:uid="{00000000-0005-0000-0000-0000042D0000}"/>
    <cellStyle name="Comma 7 2" xfId="242" xr:uid="{00000000-0005-0000-0000-0000052D0000}"/>
    <cellStyle name="Comma 7 2 10" xfId="25264" xr:uid="{00000000-0005-0000-0000-0000062D0000}"/>
    <cellStyle name="Comma 7 2 10 2" xfId="25265" xr:uid="{00000000-0005-0000-0000-0000072D0000}"/>
    <cellStyle name="Comma 7 2 10 2 2" xfId="25266" xr:uid="{00000000-0005-0000-0000-0000082D0000}"/>
    <cellStyle name="Comma 7 2 10 3" xfId="25267" xr:uid="{00000000-0005-0000-0000-0000092D0000}"/>
    <cellStyle name="Comma 7 2 11" xfId="25268" xr:uid="{00000000-0005-0000-0000-00000A2D0000}"/>
    <cellStyle name="Comma 7 2 12" xfId="25269" xr:uid="{00000000-0005-0000-0000-00000B2D0000}"/>
    <cellStyle name="Comma 7 2 12 2" xfId="25270" xr:uid="{00000000-0005-0000-0000-00000C2D0000}"/>
    <cellStyle name="Comma 7 2 13" xfId="25271" xr:uid="{00000000-0005-0000-0000-00000D2D0000}"/>
    <cellStyle name="Comma 7 2 2" xfId="8100" xr:uid="{00000000-0005-0000-0000-00000E2D0000}"/>
    <cellStyle name="Comma 7 2 2 10" xfId="25272" xr:uid="{00000000-0005-0000-0000-00000F2D0000}"/>
    <cellStyle name="Comma 7 2 2 2" xfId="25273" xr:uid="{00000000-0005-0000-0000-0000102D0000}"/>
    <cellStyle name="Comma 7 2 2 2 2" xfId="25274" xr:uid="{00000000-0005-0000-0000-0000112D0000}"/>
    <cellStyle name="Comma 7 2 2 2 2 2" xfId="25275" xr:uid="{00000000-0005-0000-0000-0000122D0000}"/>
    <cellStyle name="Comma 7 2 2 2 2 2 2" xfId="25276" xr:uid="{00000000-0005-0000-0000-0000132D0000}"/>
    <cellStyle name="Comma 7 2 2 2 2 2 2 2" xfId="25277" xr:uid="{00000000-0005-0000-0000-0000142D0000}"/>
    <cellStyle name="Comma 7 2 2 2 2 2 2 2 2" xfId="25278" xr:uid="{00000000-0005-0000-0000-0000152D0000}"/>
    <cellStyle name="Comma 7 2 2 2 2 2 2 3" xfId="25279" xr:uid="{00000000-0005-0000-0000-0000162D0000}"/>
    <cellStyle name="Comma 7 2 2 2 2 2 3" xfId="25280" xr:uid="{00000000-0005-0000-0000-0000172D0000}"/>
    <cellStyle name="Comma 7 2 2 2 2 2 3 2" xfId="25281" xr:uid="{00000000-0005-0000-0000-0000182D0000}"/>
    <cellStyle name="Comma 7 2 2 2 2 2 4" xfId="25282" xr:uid="{00000000-0005-0000-0000-0000192D0000}"/>
    <cellStyle name="Comma 7 2 2 2 2 3" xfId="25283" xr:uid="{00000000-0005-0000-0000-00001A2D0000}"/>
    <cellStyle name="Comma 7 2 2 2 2 3 2" xfId="25284" xr:uid="{00000000-0005-0000-0000-00001B2D0000}"/>
    <cellStyle name="Comma 7 2 2 2 2 3 2 2" xfId="25285" xr:uid="{00000000-0005-0000-0000-00001C2D0000}"/>
    <cellStyle name="Comma 7 2 2 2 2 3 2 2 2" xfId="25286" xr:uid="{00000000-0005-0000-0000-00001D2D0000}"/>
    <cellStyle name="Comma 7 2 2 2 2 3 2 3" xfId="25287" xr:uid="{00000000-0005-0000-0000-00001E2D0000}"/>
    <cellStyle name="Comma 7 2 2 2 2 3 3" xfId="25288" xr:uid="{00000000-0005-0000-0000-00001F2D0000}"/>
    <cellStyle name="Comma 7 2 2 2 2 3 3 2" xfId="25289" xr:uid="{00000000-0005-0000-0000-0000202D0000}"/>
    <cellStyle name="Comma 7 2 2 2 2 3 4" xfId="25290" xr:uid="{00000000-0005-0000-0000-0000212D0000}"/>
    <cellStyle name="Comma 7 2 2 2 2 4" xfId="25291" xr:uid="{00000000-0005-0000-0000-0000222D0000}"/>
    <cellStyle name="Comma 7 2 2 2 2 4 2" xfId="25292" xr:uid="{00000000-0005-0000-0000-0000232D0000}"/>
    <cellStyle name="Comma 7 2 2 2 2 4 2 2" xfId="25293" xr:uid="{00000000-0005-0000-0000-0000242D0000}"/>
    <cellStyle name="Comma 7 2 2 2 2 4 3" xfId="25294" xr:uid="{00000000-0005-0000-0000-0000252D0000}"/>
    <cellStyle name="Comma 7 2 2 2 2 5" xfId="25295" xr:uid="{00000000-0005-0000-0000-0000262D0000}"/>
    <cellStyle name="Comma 7 2 2 2 2 5 2" xfId="25296" xr:uid="{00000000-0005-0000-0000-0000272D0000}"/>
    <cellStyle name="Comma 7 2 2 2 2 6" xfId="25297" xr:uid="{00000000-0005-0000-0000-0000282D0000}"/>
    <cellStyle name="Comma 7 2 2 2 3" xfId="25298" xr:uid="{00000000-0005-0000-0000-0000292D0000}"/>
    <cellStyle name="Comma 7 2 2 2 3 2" xfId="25299" xr:uid="{00000000-0005-0000-0000-00002A2D0000}"/>
    <cellStyle name="Comma 7 2 2 2 3 2 2" xfId="25300" xr:uid="{00000000-0005-0000-0000-00002B2D0000}"/>
    <cellStyle name="Comma 7 2 2 2 3 2 2 2" xfId="25301" xr:uid="{00000000-0005-0000-0000-00002C2D0000}"/>
    <cellStyle name="Comma 7 2 2 2 3 2 2 2 2" xfId="25302" xr:uid="{00000000-0005-0000-0000-00002D2D0000}"/>
    <cellStyle name="Comma 7 2 2 2 3 2 2 3" xfId="25303" xr:uid="{00000000-0005-0000-0000-00002E2D0000}"/>
    <cellStyle name="Comma 7 2 2 2 3 2 3" xfId="25304" xr:uid="{00000000-0005-0000-0000-00002F2D0000}"/>
    <cellStyle name="Comma 7 2 2 2 3 2 3 2" xfId="25305" xr:uid="{00000000-0005-0000-0000-0000302D0000}"/>
    <cellStyle name="Comma 7 2 2 2 3 2 4" xfId="25306" xr:uid="{00000000-0005-0000-0000-0000312D0000}"/>
    <cellStyle name="Comma 7 2 2 2 3 3" xfId="25307" xr:uid="{00000000-0005-0000-0000-0000322D0000}"/>
    <cellStyle name="Comma 7 2 2 2 3 3 2" xfId="25308" xr:uid="{00000000-0005-0000-0000-0000332D0000}"/>
    <cellStyle name="Comma 7 2 2 2 3 3 2 2" xfId="25309" xr:uid="{00000000-0005-0000-0000-0000342D0000}"/>
    <cellStyle name="Comma 7 2 2 2 3 3 3" xfId="25310" xr:uid="{00000000-0005-0000-0000-0000352D0000}"/>
    <cellStyle name="Comma 7 2 2 2 3 4" xfId="25311" xr:uid="{00000000-0005-0000-0000-0000362D0000}"/>
    <cellStyle name="Comma 7 2 2 2 3 4 2" xfId="25312" xr:uid="{00000000-0005-0000-0000-0000372D0000}"/>
    <cellStyle name="Comma 7 2 2 2 3 5" xfId="25313" xr:uid="{00000000-0005-0000-0000-0000382D0000}"/>
    <cellStyle name="Comma 7 2 2 2 4" xfId="25314" xr:uid="{00000000-0005-0000-0000-0000392D0000}"/>
    <cellStyle name="Comma 7 2 2 2 4 2" xfId="25315" xr:uid="{00000000-0005-0000-0000-00003A2D0000}"/>
    <cellStyle name="Comma 7 2 2 2 4 2 2" xfId="25316" xr:uid="{00000000-0005-0000-0000-00003B2D0000}"/>
    <cellStyle name="Comma 7 2 2 2 4 2 2 2" xfId="25317" xr:uid="{00000000-0005-0000-0000-00003C2D0000}"/>
    <cellStyle name="Comma 7 2 2 2 4 2 3" xfId="25318" xr:uid="{00000000-0005-0000-0000-00003D2D0000}"/>
    <cellStyle name="Comma 7 2 2 2 4 3" xfId="25319" xr:uid="{00000000-0005-0000-0000-00003E2D0000}"/>
    <cellStyle name="Comma 7 2 2 2 4 3 2" xfId="25320" xr:uid="{00000000-0005-0000-0000-00003F2D0000}"/>
    <cellStyle name="Comma 7 2 2 2 4 4" xfId="25321" xr:uid="{00000000-0005-0000-0000-0000402D0000}"/>
    <cellStyle name="Comma 7 2 2 2 5" xfId="25322" xr:uid="{00000000-0005-0000-0000-0000412D0000}"/>
    <cellStyle name="Comma 7 2 2 2 5 2" xfId="25323" xr:uid="{00000000-0005-0000-0000-0000422D0000}"/>
    <cellStyle name="Comma 7 2 2 2 5 2 2" xfId="25324" xr:uid="{00000000-0005-0000-0000-0000432D0000}"/>
    <cellStyle name="Comma 7 2 2 2 5 2 2 2" xfId="25325" xr:uid="{00000000-0005-0000-0000-0000442D0000}"/>
    <cellStyle name="Comma 7 2 2 2 5 2 3" xfId="25326" xr:uid="{00000000-0005-0000-0000-0000452D0000}"/>
    <cellStyle name="Comma 7 2 2 2 5 3" xfId="25327" xr:uid="{00000000-0005-0000-0000-0000462D0000}"/>
    <cellStyle name="Comma 7 2 2 2 5 3 2" xfId="25328" xr:uid="{00000000-0005-0000-0000-0000472D0000}"/>
    <cellStyle name="Comma 7 2 2 2 5 4" xfId="25329" xr:uid="{00000000-0005-0000-0000-0000482D0000}"/>
    <cellStyle name="Comma 7 2 2 2 6" xfId="25330" xr:uid="{00000000-0005-0000-0000-0000492D0000}"/>
    <cellStyle name="Comma 7 2 2 2 6 2" xfId="25331" xr:uid="{00000000-0005-0000-0000-00004A2D0000}"/>
    <cellStyle name="Comma 7 2 2 2 6 2 2" xfId="25332" xr:uid="{00000000-0005-0000-0000-00004B2D0000}"/>
    <cellStyle name="Comma 7 2 2 2 6 3" xfId="25333" xr:uid="{00000000-0005-0000-0000-00004C2D0000}"/>
    <cellStyle name="Comma 7 2 2 2 7" xfId="25334" xr:uid="{00000000-0005-0000-0000-00004D2D0000}"/>
    <cellStyle name="Comma 7 2 2 2 7 2" xfId="25335" xr:uid="{00000000-0005-0000-0000-00004E2D0000}"/>
    <cellStyle name="Comma 7 2 2 2 8" xfId="25336" xr:uid="{00000000-0005-0000-0000-00004F2D0000}"/>
    <cellStyle name="Comma 7 2 2 3" xfId="25337" xr:uid="{00000000-0005-0000-0000-0000502D0000}"/>
    <cellStyle name="Comma 7 2 2 3 2" xfId="25338" xr:uid="{00000000-0005-0000-0000-0000512D0000}"/>
    <cellStyle name="Comma 7 2 2 3 2 2" xfId="25339" xr:uid="{00000000-0005-0000-0000-0000522D0000}"/>
    <cellStyle name="Comma 7 2 2 3 2 2 2" xfId="25340" xr:uid="{00000000-0005-0000-0000-0000532D0000}"/>
    <cellStyle name="Comma 7 2 2 3 2 2 2 2" xfId="25341" xr:uid="{00000000-0005-0000-0000-0000542D0000}"/>
    <cellStyle name="Comma 7 2 2 3 2 2 3" xfId="25342" xr:uid="{00000000-0005-0000-0000-0000552D0000}"/>
    <cellStyle name="Comma 7 2 2 3 2 3" xfId="25343" xr:uid="{00000000-0005-0000-0000-0000562D0000}"/>
    <cellStyle name="Comma 7 2 2 3 2 3 2" xfId="25344" xr:uid="{00000000-0005-0000-0000-0000572D0000}"/>
    <cellStyle name="Comma 7 2 2 3 2 4" xfId="25345" xr:uid="{00000000-0005-0000-0000-0000582D0000}"/>
    <cellStyle name="Comma 7 2 2 3 3" xfId="25346" xr:uid="{00000000-0005-0000-0000-0000592D0000}"/>
    <cellStyle name="Comma 7 2 2 3 3 2" xfId="25347" xr:uid="{00000000-0005-0000-0000-00005A2D0000}"/>
    <cellStyle name="Comma 7 2 2 3 3 2 2" xfId="25348" xr:uid="{00000000-0005-0000-0000-00005B2D0000}"/>
    <cellStyle name="Comma 7 2 2 3 3 2 2 2" xfId="25349" xr:uid="{00000000-0005-0000-0000-00005C2D0000}"/>
    <cellStyle name="Comma 7 2 2 3 3 2 3" xfId="25350" xr:uid="{00000000-0005-0000-0000-00005D2D0000}"/>
    <cellStyle name="Comma 7 2 2 3 3 3" xfId="25351" xr:uid="{00000000-0005-0000-0000-00005E2D0000}"/>
    <cellStyle name="Comma 7 2 2 3 3 3 2" xfId="25352" xr:uid="{00000000-0005-0000-0000-00005F2D0000}"/>
    <cellStyle name="Comma 7 2 2 3 3 4" xfId="25353" xr:uid="{00000000-0005-0000-0000-0000602D0000}"/>
    <cellStyle name="Comma 7 2 2 3 4" xfId="25354" xr:uid="{00000000-0005-0000-0000-0000612D0000}"/>
    <cellStyle name="Comma 7 2 2 3 4 2" xfId="25355" xr:uid="{00000000-0005-0000-0000-0000622D0000}"/>
    <cellStyle name="Comma 7 2 2 3 4 2 2" xfId="25356" xr:uid="{00000000-0005-0000-0000-0000632D0000}"/>
    <cellStyle name="Comma 7 2 2 3 4 3" xfId="25357" xr:uid="{00000000-0005-0000-0000-0000642D0000}"/>
    <cellStyle name="Comma 7 2 2 3 5" xfId="25358" xr:uid="{00000000-0005-0000-0000-0000652D0000}"/>
    <cellStyle name="Comma 7 2 2 3 5 2" xfId="25359" xr:uid="{00000000-0005-0000-0000-0000662D0000}"/>
    <cellStyle name="Comma 7 2 2 3 6" xfId="25360" xr:uid="{00000000-0005-0000-0000-0000672D0000}"/>
    <cellStyle name="Comma 7 2 2 4" xfId="25361" xr:uid="{00000000-0005-0000-0000-0000682D0000}"/>
    <cellStyle name="Comma 7 2 2 4 2" xfId="25362" xr:uid="{00000000-0005-0000-0000-0000692D0000}"/>
    <cellStyle name="Comma 7 2 2 4 2 2" xfId="25363" xr:uid="{00000000-0005-0000-0000-00006A2D0000}"/>
    <cellStyle name="Comma 7 2 2 4 2 2 2" xfId="25364" xr:uid="{00000000-0005-0000-0000-00006B2D0000}"/>
    <cellStyle name="Comma 7 2 2 4 2 2 2 2" xfId="25365" xr:uid="{00000000-0005-0000-0000-00006C2D0000}"/>
    <cellStyle name="Comma 7 2 2 4 2 2 3" xfId="25366" xr:uid="{00000000-0005-0000-0000-00006D2D0000}"/>
    <cellStyle name="Comma 7 2 2 4 2 3" xfId="25367" xr:uid="{00000000-0005-0000-0000-00006E2D0000}"/>
    <cellStyle name="Comma 7 2 2 4 2 3 2" xfId="25368" xr:uid="{00000000-0005-0000-0000-00006F2D0000}"/>
    <cellStyle name="Comma 7 2 2 4 2 4" xfId="25369" xr:uid="{00000000-0005-0000-0000-0000702D0000}"/>
    <cellStyle name="Comma 7 2 2 4 3" xfId="25370" xr:uid="{00000000-0005-0000-0000-0000712D0000}"/>
    <cellStyle name="Comma 7 2 2 4 3 2" xfId="25371" xr:uid="{00000000-0005-0000-0000-0000722D0000}"/>
    <cellStyle name="Comma 7 2 2 4 3 2 2" xfId="25372" xr:uid="{00000000-0005-0000-0000-0000732D0000}"/>
    <cellStyle name="Comma 7 2 2 4 3 3" xfId="25373" xr:uid="{00000000-0005-0000-0000-0000742D0000}"/>
    <cellStyle name="Comma 7 2 2 4 4" xfId="25374" xr:uid="{00000000-0005-0000-0000-0000752D0000}"/>
    <cellStyle name="Comma 7 2 2 4 4 2" xfId="25375" xr:uid="{00000000-0005-0000-0000-0000762D0000}"/>
    <cellStyle name="Comma 7 2 2 4 5" xfId="25376" xr:uid="{00000000-0005-0000-0000-0000772D0000}"/>
    <cellStyle name="Comma 7 2 2 5" xfId="25377" xr:uid="{00000000-0005-0000-0000-0000782D0000}"/>
    <cellStyle name="Comma 7 2 2 5 2" xfId="25378" xr:uid="{00000000-0005-0000-0000-0000792D0000}"/>
    <cellStyle name="Comma 7 2 2 5 2 2" xfId="25379" xr:uid="{00000000-0005-0000-0000-00007A2D0000}"/>
    <cellStyle name="Comma 7 2 2 5 2 2 2" xfId="25380" xr:uid="{00000000-0005-0000-0000-00007B2D0000}"/>
    <cellStyle name="Comma 7 2 2 5 2 3" xfId="25381" xr:uid="{00000000-0005-0000-0000-00007C2D0000}"/>
    <cellStyle name="Comma 7 2 2 5 3" xfId="25382" xr:uid="{00000000-0005-0000-0000-00007D2D0000}"/>
    <cellStyle name="Comma 7 2 2 5 3 2" xfId="25383" xr:uid="{00000000-0005-0000-0000-00007E2D0000}"/>
    <cellStyle name="Comma 7 2 2 5 4" xfId="25384" xr:uid="{00000000-0005-0000-0000-00007F2D0000}"/>
    <cellStyle name="Comma 7 2 2 6" xfId="25385" xr:uid="{00000000-0005-0000-0000-0000802D0000}"/>
    <cellStyle name="Comma 7 2 2 6 2" xfId="25386" xr:uid="{00000000-0005-0000-0000-0000812D0000}"/>
    <cellStyle name="Comma 7 2 2 6 2 2" xfId="25387" xr:uid="{00000000-0005-0000-0000-0000822D0000}"/>
    <cellStyle name="Comma 7 2 2 6 2 2 2" xfId="25388" xr:uid="{00000000-0005-0000-0000-0000832D0000}"/>
    <cellStyle name="Comma 7 2 2 6 2 3" xfId="25389" xr:uid="{00000000-0005-0000-0000-0000842D0000}"/>
    <cellStyle name="Comma 7 2 2 6 3" xfId="25390" xr:uid="{00000000-0005-0000-0000-0000852D0000}"/>
    <cellStyle name="Comma 7 2 2 6 3 2" xfId="25391" xr:uid="{00000000-0005-0000-0000-0000862D0000}"/>
    <cellStyle name="Comma 7 2 2 6 4" xfId="25392" xr:uid="{00000000-0005-0000-0000-0000872D0000}"/>
    <cellStyle name="Comma 7 2 2 7" xfId="25393" xr:uid="{00000000-0005-0000-0000-0000882D0000}"/>
    <cellStyle name="Comma 7 2 2 7 2" xfId="25394" xr:uid="{00000000-0005-0000-0000-0000892D0000}"/>
    <cellStyle name="Comma 7 2 2 7 2 2" xfId="25395" xr:uid="{00000000-0005-0000-0000-00008A2D0000}"/>
    <cellStyle name="Comma 7 2 2 7 2 2 2" xfId="25396" xr:uid="{00000000-0005-0000-0000-00008B2D0000}"/>
    <cellStyle name="Comma 7 2 2 7 2 3" xfId="25397" xr:uid="{00000000-0005-0000-0000-00008C2D0000}"/>
    <cellStyle name="Comma 7 2 2 7 3" xfId="25398" xr:uid="{00000000-0005-0000-0000-00008D2D0000}"/>
    <cellStyle name="Comma 7 2 2 7 3 2" xfId="25399" xr:uid="{00000000-0005-0000-0000-00008E2D0000}"/>
    <cellStyle name="Comma 7 2 2 7 4" xfId="25400" xr:uid="{00000000-0005-0000-0000-00008F2D0000}"/>
    <cellStyle name="Comma 7 2 2 8" xfId="25401" xr:uid="{00000000-0005-0000-0000-0000902D0000}"/>
    <cellStyle name="Comma 7 2 2 8 2" xfId="25402" xr:uid="{00000000-0005-0000-0000-0000912D0000}"/>
    <cellStyle name="Comma 7 2 2 8 2 2" xfId="25403" xr:uid="{00000000-0005-0000-0000-0000922D0000}"/>
    <cellStyle name="Comma 7 2 2 8 3" xfId="25404" xr:uid="{00000000-0005-0000-0000-0000932D0000}"/>
    <cellStyle name="Comma 7 2 2 9" xfId="25405" xr:uid="{00000000-0005-0000-0000-0000942D0000}"/>
    <cellStyle name="Comma 7 2 2 9 2" xfId="25406" xr:uid="{00000000-0005-0000-0000-0000952D0000}"/>
    <cellStyle name="Comma 7 2 3" xfId="8101" xr:uid="{00000000-0005-0000-0000-0000962D0000}"/>
    <cellStyle name="Comma 7 2 3 2" xfId="25407" xr:uid="{00000000-0005-0000-0000-0000972D0000}"/>
    <cellStyle name="Comma 7 2 3 2 2" xfId="25408" xr:uid="{00000000-0005-0000-0000-0000982D0000}"/>
    <cellStyle name="Comma 7 2 3 2 2 2" xfId="25409" xr:uid="{00000000-0005-0000-0000-0000992D0000}"/>
    <cellStyle name="Comma 7 2 3 2 2 2 2" xfId="25410" xr:uid="{00000000-0005-0000-0000-00009A2D0000}"/>
    <cellStyle name="Comma 7 2 3 2 2 2 2 2" xfId="25411" xr:uid="{00000000-0005-0000-0000-00009B2D0000}"/>
    <cellStyle name="Comma 7 2 3 2 2 2 3" xfId="25412" xr:uid="{00000000-0005-0000-0000-00009C2D0000}"/>
    <cellStyle name="Comma 7 2 3 2 2 3" xfId="25413" xr:uid="{00000000-0005-0000-0000-00009D2D0000}"/>
    <cellStyle name="Comma 7 2 3 2 2 3 2" xfId="25414" xr:uid="{00000000-0005-0000-0000-00009E2D0000}"/>
    <cellStyle name="Comma 7 2 3 2 2 4" xfId="25415" xr:uid="{00000000-0005-0000-0000-00009F2D0000}"/>
    <cellStyle name="Comma 7 2 3 2 3" xfId="25416" xr:uid="{00000000-0005-0000-0000-0000A02D0000}"/>
    <cellStyle name="Comma 7 2 3 2 3 2" xfId="25417" xr:uid="{00000000-0005-0000-0000-0000A12D0000}"/>
    <cellStyle name="Comma 7 2 3 2 3 2 2" xfId="25418" xr:uid="{00000000-0005-0000-0000-0000A22D0000}"/>
    <cellStyle name="Comma 7 2 3 2 3 2 2 2" xfId="25419" xr:uid="{00000000-0005-0000-0000-0000A32D0000}"/>
    <cellStyle name="Comma 7 2 3 2 3 2 3" xfId="25420" xr:uid="{00000000-0005-0000-0000-0000A42D0000}"/>
    <cellStyle name="Comma 7 2 3 2 3 3" xfId="25421" xr:uid="{00000000-0005-0000-0000-0000A52D0000}"/>
    <cellStyle name="Comma 7 2 3 2 3 3 2" xfId="25422" xr:uid="{00000000-0005-0000-0000-0000A62D0000}"/>
    <cellStyle name="Comma 7 2 3 2 3 4" xfId="25423" xr:uid="{00000000-0005-0000-0000-0000A72D0000}"/>
    <cellStyle name="Comma 7 2 3 2 4" xfId="25424" xr:uid="{00000000-0005-0000-0000-0000A82D0000}"/>
    <cellStyle name="Comma 7 2 3 2 4 2" xfId="25425" xr:uid="{00000000-0005-0000-0000-0000A92D0000}"/>
    <cellStyle name="Comma 7 2 3 2 4 2 2" xfId="25426" xr:uid="{00000000-0005-0000-0000-0000AA2D0000}"/>
    <cellStyle name="Comma 7 2 3 2 4 3" xfId="25427" xr:uid="{00000000-0005-0000-0000-0000AB2D0000}"/>
    <cellStyle name="Comma 7 2 3 2 5" xfId="25428" xr:uid="{00000000-0005-0000-0000-0000AC2D0000}"/>
    <cellStyle name="Comma 7 2 3 2 5 2" xfId="25429" xr:uid="{00000000-0005-0000-0000-0000AD2D0000}"/>
    <cellStyle name="Comma 7 2 3 2 6" xfId="25430" xr:uid="{00000000-0005-0000-0000-0000AE2D0000}"/>
    <cellStyle name="Comma 7 2 3 3" xfId="25431" xr:uid="{00000000-0005-0000-0000-0000AF2D0000}"/>
    <cellStyle name="Comma 7 2 3 3 2" xfId="25432" xr:uid="{00000000-0005-0000-0000-0000B02D0000}"/>
    <cellStyle name="Comma 7 2 3 3 2 2" xfId="25433" xr:uid="{00000000-0005-0000-0000-0000B12D0000}"/>
    <cellStyle name="Comma 7 2 3 3 2 2 2" xfId="25434" xr:uid="{00000000-0005-0000-0000-0000B22D0000}"/>
    <cellStyle name="Comma 7 2 3 3 2 2 2 2" xfId="25435" xr:uid="{00000000-0005-0000-0000-0000B32D0000}"/>
    <cellStyle name="Comma 7 2 3 3 2 2 3" xfId="25436" xr:uid="{00000000-0005-0000-0000-0000B42D0000}"/>
    <cellStyle name="Comma 7 2 3 3 2 3" xfId="25437" xr:uid="{00000000-0005-0000-0000-0000B52D0000}"/>
    <cellStyle name="Comma 7 2 3 3 2 3 2" xfId="25438" xr:uid="{00000000-0005-0000-0000-0000B62D0000}"/>
    <cellStyle name="Comma 7 2 3 3 2 4" xfId="25439" xr:uid="{00000000-0005-0000-0000-0000B72D0000}"/>
    <cellStyle name="Comma 7 2 3 3 3" xfId="25440" xr:uid="{00000000-0005-0000-0000-0000B82D0000}"/>
    <cellStyle name="Comma 7 2 3 3 3 2" xfId="25441" xr:uid="{00000000-0005-0000-0000-0000B92D0000}"/>
    <cellStyle name="Comma 7 2 3 3 3 2 2" xfId="25442" xr:uid="{00000000-0005-0000-0000-0000BA2D0000}"/>
    <cellStyle name="Comma 7 2 3 3 3 3" xfId="25443" xr:uid="{00000000-0005-0000-0000-0000BB2D0000}"/>
    <cellStyle name="Comma 7 2 3 3 4" xfId="25444" xr:uid="{00000000-0005-0000-0000-0000BC2D0000}"/>
    <cellStyle name="Comma 7 2 3 3 4 2" xfId="25445" xr:uid="{00000000-0005-0000-0000-0000BD2D0000}"/>
    <cellStyle name="Comma 7 2 3 3 5" xfId="25446" xr:uid="{00000000-0005-0000-0000-0000BE2D0000}"/>
    <cellStyle name="Comma 7 2 3 4" xfId="25447" xr:uid="{00000000-0005-0000-0000-0000BF2D0000}"/>
    <cellStyle name="Comma 7 2 3 4 2" xfId="25448" xr:uid="{00000000-0005-0000-0000-0000C02D0000}"/>
    <cellStyle name="Comma 7 2 3 4 2 2" xfId="25449" xr:uid="{00000000-0005-0000-0000-0000C12D0000}"/>
    <cellStyle name="Comma 7 2 3 4 2 2 2" xfId="25450" xr:uid="{00000000-0005-0000-0000-0000C22D0000}"/>
    <cellStyle name="Comma 7 2 3 4 2 3" xfId="25451" xr:uid="{00000000-0005-0000-0000-0000C32D0000}"/>
    <cellStyle name="Comma 7 2 3 4 3" xfId="25452" xr:uid="{00000000-0005-0000-0000-0000C42D0000}"/>
    <cellStyle name="Comma 7 2 3 4 3 2" xfId="25453" xr:uid="{00000000-0005-0000-0000-0000C52D0000}"/>
    <cellStyle name="Comma 7 2 3 4 4" xfId="25454" xr:uid="{00000000-0005-0000-0000-0000C62D0000}"/>
    <cellStyle name="Comma 7 2 3 5" xfId="25455" xr:uid="{00000000-0005-0000-0000-0000C72D0000}"/>
    <cellStyle name="Comma 7 2 3 5 2" xfId="25456" xr:uid="{00000000-0005-0000-0000-0000C82D0000}"/>
    <cellStyle name="Comma 7 2 3 5 2 2" xfId="25457" xr:uid="{00000000-0005-0000-0000-0000C92D0000}"/>
    <cellStyle name="Comma 7 2 3 5 2 2 2" xfId="25458" xr:uid="{00000000-0005-0000-0000-0000CA2D0000}"/>
    <cellStyle name="Comma 7 2 3 5 2 3" xfId="25459" xr:uid="{00000000-0005-0000-0000-0000CB2D0000}"/>
    <cellStyle name="Comma 7 2 3 5 3" xfId="25460" xr:uid="{00000000-0005-0000-0000-0000CC2D0000}"/>
    <cellStyle name="Comma 7 2 3 5 3 2" xfId="25461" xr:uid="{00000000-0005-0000-0000-0000CD2D0000}"/>
    <cellStyle name="Comma 7 2 3 5 4" xfId="25462" xr:uid="{00000000-0005-0000-0000-0000CE2D0000}"/>
    <cellStyle name="Comma 7 2 3 6" xfId="25463" xr:uid="{00000000-0005-0000-0000-0000CF2D0000}"/>
    <cellStyle name="Comma 7 2 3 6 2" xfId="25464" xr:uid="{00000000-0005-0000-0000-0000D02D0000}"/>
    <cellStyle name="Comma 7 2 3 6 2 2" xfId="25465" xr:uid="{00000000-0005-0000-0000-0000D12D0000}"/>
    <cellStyle name="Comma 7 2 3 6 3" xfId="25466" xr:uid="{00000000-0005-0000-0000-0000D22D0000}"/>
    <cellStyle name="Comma 7 2 3 7" xfId="25467" xr:uid="{00000000-0005-0000-0000-0000D32D0000}"/>
    <cellStyle name="Comma 7 2 3 7 2" xfId="25468" xr:uid="{00000000-0005-0000-0000-0000D42D0000}"/>
    <cellStyle name="Comma 7 2 3 8" xfId="25469" xr:uid="{00000000-0005-0000-0000-0000D52D0000}"/>
    <cellStyle name="Comma 7 2 4" xfId="8102" xr:uid="{00000000-0005-0000-0000-0000D62D0000}"/>
    <cellStyle name="Comma 7 2 4 2" xfId="25470" xr:uid="{00000000-0005-0000-0000-0000D72D0000}"/>
    <cellStyle name="Comma 7 2 4 2 2" xfId="25471" xr:uid="{00000000-0005-0000-0000-0000D82D0000}"/>
    <cellStyle name="Comma 7 2 4 2 2 2" xfId="25472" xr:uid="{00000000-0005-0000-0000-0000D92D0000}"/>
    <cellStyle name="Comma 7 2 4 2 2 2 2" xfId="25473" xr:uid="{00000000-0005-0000-0000-0000DA2D0000}"/>
    <cellStyle name="Comma 7 2 4 2 2 2 2 2" xfId="25474" xr:uid="{00000000-0005-0000-0000-0000DB2D0000}"/>
    <cellStyle name="Comma 7 2 4 2 2 2 3" xfId="25475" xr:uid="{00000000-0005-0000-0000-0000DC2D0000}"/>
    <cellStyle name="Comma 7 2 4 2 2 3" xfId="25476" xr:uid="{00000000-0005-0000-0000-0000DD2D0000}"/>
    <cellStyle name="Comma 7 2 4 2 2 3 2" xfId="25477" xr:uid="{00000000-0005-0000-0000-0000DE2D0000}"/>
    <cellStyle name="Comma 7 2 4 2 2 4" xfId="25478" xr:uid="{00000000-0005-0000-0000-0000DF2D0000}"/>
    <cellStyle name="Comma 7 2 4 2 3" xfId="25479" xr:uid="{00000000-0005-0000-0000-0000E02D0000}"/>
    <cellStyle name="Comma 7 2 4 2 3 2" xfId="25480" xr:uid="{00000000-0005-0000-0000-0000E12D0000}"/>
    <cellStyle name="Comma 7 2 4 2 3 2 2" xfId="25481" xr:uid="{00000000-0005-0000-0000-0000E22D0000}"/>
    <cellStyle name="Comma 7 2 4 2 3 2 2 2" xfId="25482" xr:uid="{00000000-0005-0000-0000-0000E32D0000}"/>
    <cellStyle name="Comma 7 2 4 2 3 2 3" xfId="25483" xr:uid="{00000000-0005-0000-0000-0000E42D0000}"/>
    <cellStyle name="Comma 7 2 4 2 3 3" xfId="25484" xr:uid="{00000000-0005-0000-0000-0000E52D0000}"/>
    <cellStyle name="Comma 7 2 4 2 3 3 2" xfId="25485" xr:uid="{00000000-0005-0000-0000-0000E62D0000}"/>
    <cellStyle name="Comma 7 2 4 2 3 4" xfId="25486" xr:uid="{00000000-0005-0000-0000-0000E72D0000}"/>
    <cellStyle name="Comma 7 2 4 2 4" xfId="25487" xr:uid="{00000000-0005-0000-0000-0000E82D0000}"/>
    <cellStyle name="Comma 7 2 4 2 4 2" xfId="25488" xr:uid="{00000000-0005-0000-0000-0000E92D0000}"/>
    <cellStyle name="Comma 7 2 4 2 4 2 2" xfId="25489" xr:uid="{00000000-0005-0000-0000-0000EA2D0000}"/>
    <cellStyle name="Comma 7 2 4 2 4 3" xfId="25490" xr:uid="{00000000-0005-0000-0000-0000EB2D0000}"/>
    <cellStyle name="Comma 7 2 4 2 5" xfId="25491" xr:uid="{00000000-0005-0000-0000-0000EC2D0000}"/>
    <cellStyle name="Comma 7 2 4 2 5 2" xfId="25492" xr:uid="{00000000-0005-0000-0000-0000ED2D0000}"/>
    <cellStyle name="Comma 7 2 4 2 6" xfId="25493" xr:uid="{00000000-0005-0000-0000-0000EE2D0000}"/>
    <cellStyle name="Comma 7 2 4 3" xfId="25494" xr:uid="{00000000-0005-0000-0000-0000EF2D0000}"/>
    <cellStyle name="Comma 7 2 4 3 2" xfId="25495" xr:uid="{00000000-0005-0000-0000-0000F02D0000}"/>
    <cellStyle name="Comma 7 2 4 3 2 2" xfId="25496" xr:uid="{00000000-0005-0000-0000-0000F12D0000}"/>
    <cellStyle name="Comma 7 2 4 3 2 2 2" xfId="25497" xr:uid="{00000000-0005-0000-0000-0000F22D0000}"/>
    <cellStyle name="Comma 7 2 4 3 2 2 2 2" xfId="25498" xr:uid="{00000000-0005-0000-0000-0000F32D0000}"/>
    <cellStyle name="Comma 7 2 4 3 2 2 3" xfId="25499" xr:uid="{00000000-0005-0000-0000-0000F42D0000}"/>
    <cellStyle name="Comma 7 2 4 3 2 3" xfId="25500" xr:uid="{00000000-0005-0000-0000-0000F52D0000}"/>
    <cellStyle name="Comma 7 2 4 3 2 3 2" xfId="25501" xr:uid="{00000000-0005-0000-0000-0000F62D0000}"/>
    <cellStyle name="Comma 7 2 4 3 2 4" xfId="25502" xr:uid="{00000000-0005-0000-0000-0000F72D0000}"/>
    <cellStyle name="Comma 7 2 4 3 3" xfId="25503" xr:uid="{00000000-0005-0000-0000-0000F82D0000}"/>
    <cellStyle name="Comma 7 2 4 3 3 2" xfId="25504" xr:uid="{00000000-0005-0000-0000-0000F92D0000}"/>
    <cellStyle name="Comma 7 2 4 3 3 2 2" xfId="25505" xr:uid="{00000000-0005-0000-0000-0000FA2D0000}"/>
    <cellStyle name="Comma 7 2 4 3 3 3" xfId="25506" xr:uid="{00000000-0005-0000-0000-0000FB2D0000}"/>
    <cellStyle name="Comma 7 2 4 3 4" xfId="25507" xr:uid="{00000000-0005-0000-0000-0000FC2D0000}"/>
    <cellStyle name="Comma 7 2 4 3 4 2" xfId="25508" xr:uid="{00000000-0005-0000-0000-0000FD2D0000}"/>
    <cellStyle name="Comma 7 2 4 3 5" xfId="25509" xr:uid="{00000000-0005-0000-0000-0000FE2D0000}"/>
    <cellStyle name="Comma 7 2 4 4" xfId="25510" xr:uid="{00000000-0005-0000-0000-0000FF2D0000}"/>
    <cellStyle name="Comma 7 2 4 4 2" xfId="25511" xr:uid="{00000000-0005-0000-0000-0000002E0000}"/>
    <cellStyle name="Comma 7 2 4 4 2 2" xfId="25512" xr:uid="{00000000-0005-0000-0000-0000012E0000}"/>
    <cellStyle name="Comma 7 2 4 4 2 2 2" xfId="25513" xr:uid="{00000000-0005-0000-0000-0000022E0000}"/>
    <cellStyle name="Comma 7 2 4 4 2 3" xfId="25514" xr:uid="{00000000-0005-0000-0000-0000032E0000}"/>
    <cellStyle name="Comma 7 2 4 4 3" xfId="25515" xr:uid="{00000000-0005-0000-0000-0000042E0000}"/>
    <cellStyle name="Comma 7 2 4 4 3 2" xfId="25516" xr:uid="{00000000-0005-0000-0000-0000052E0000}"/>
    <cellStyle name="Comma 7 2 4 4 4" xfId="25517" xr:uid="{00000000-0005-0000-0000-0000062E0000}"/>
    <cellStyle name="Comma 7 2 4 5" xfId="25518" xr:uid="{00000000-0005-0000-0000-0000072E0000}"/>
    <cellStyle name="Comma 7 2 4 5 2" xfId="25519" xr:uid="{00000000-0005-0000-0000-0000082E0000}"/>
    <cellStyle name="Comma 7 2 4 5 2 2" xfId="25520" xr:uid="{00000000-0005-0000-0000-0000092E0000}"/>
    <cellStyle name="Comma 7 2 4 5 2 2 2" xfId="25521" xr:uid="{00000000-0005-0000-0000-00000A2E0000}"/>
    <cellStyle name="Comma 7 2 4 5 2 3" xfId="25522" xr:uid="{00000000-0005-0000-0000-00000B2E0000}"/>
    <cellStyle name="Comma 7 2 4 5 3" xfId="25523" xr:uid="{00000000-0005-0000-0000-00000C2E0000}"/>
    <cellStyle name="Comma 7 2 4 5 3 2" xfId="25524" xr:uid="{00000000-0005-0000-0000-00000D2E0000}"/>
    <cellStyle name="Comma 7 2 4 5 4" xfId="25525" xr:uid="{00000000-0005-0000-0000-00000E2E0000}"/>
    <cellStyle name="Comma 7 2 4 6" xfId="25526" xr:uid="{00000000-0005-0000-0000-00000F2E0000}"/>
    <cellStyle name="Comma 7 2 4 6 2" xfId="25527" xr:uid="{00000000-0005-0000-0000-0000102E0000}"/>
    <cellStyle name="Comma 7 2 4 6 2 2" xfId="25528" xr:uid="{00000000-0005-0000-0000-0000112E0000}"/>
    <cellStyle name="Comma 7 2 4 6 3" xfId="25529" xr:uid="{00000000-0005-0000-0000-0000122E0000}"/>
    <cellStyle name="Comma 7 2 4 7" xfId="25530" xr:uid="{00000000-0005-0000-0000-0000132E0000}"/>
    <cellStyle name="Comma 7 2 4 7 2" xfId="25531" xr:uid="{00000000-0005-0000-0000-0000142E0000}"/>
    <cellStyle name="Comma 7 2 4 8" xfId="25532" xr:uid="{00000000-0005-0000-0000-0000152E0000}"/>
    <cellStyle name="Comma 7 2 5" xfId="8103" xr:uid="{00000000-0005-0000-0000-0000162E0000}"/>
    <cellStyle name="Comma 7 2 5 2" xfId="25533" xr:uid="{00000000-0005-0000-0000-0000172E0000}"/>
    <cellStyle name="Comma 7 2 5 2 2" xfId="25534" xr:uid="{00000000-0005-0000-0000-0000182E0000}"/>
    <cellStyle name="Comma 7 2 5 2 2 2" xfId="25535" xr:uid="{00000000-0005-0000-0000-0000192E0000}"/>
    <cellStyle name="Comma 7 2 5 2 2 2 2" xfId="25536" xr:uid="{00000000-0005-0000-0000-00001A2E0000}"/>
    <cellStyle name="Comma 7 2 5 2 2 3" xfId="25537" xr:uid="{00000000-0005-0000-0000-00001B2E0000}"/>
    <cellStyle name="Comma 7 2 5 2 3" xfId="25538" xr:uid="{00000000-0005-0000-0000-00001C2E0000}"/>
    <cellStyle name="Comma 7 2 5 2 3 2" xfId="25539" xr:uid="{00000000-0005-0000-0000-00001D2E0000}"/>
    <cellStyle name="Comma 7 2 5 2 4" xfId="25540" xr:uid="{00000000-0005-0000-0000-00001E2E0000}"/>
    <cellStyle name="Comma 7 2 5 3" xfId="25541" xr:uid="{00000000-0005-0000-0000-00001F2E0000}"/>
    <cellStyle name="Comma 7 2 5 3 2" xfId="25542" xr:uid="{00000000-0005-0000-0000-0000202E0000}"/>
    <cellStyle name="Comma 7 2 5 3 2 2" xfId="25543" xr:uid="{00000000-0005-0000-0000-0000212E0000}"/>
    <cellStyle name="Comma 7 2 5 3 2 2 2" xfId="25544" xr:uid="{00000000-0005-0000-0000-0000222E0000}"/>
    <cellStyle name="Comma 7 2 5 3 2 3" xfId="25545" xr:uid="{00000000-0005-0000-0000-0000232E0000}"/>
    <cellStyle name="Comma 7 2 5 3 3" xfId="25546" xr:uid="{00000000-0005-0000-0000-0000242E0000}"/>
    <cellStyle name="Comma 7 2 5 3 3 2" xfId="25547" xr:uid="{00000000-0005-0000-0000-0000252E0000}"/>
    <cellStyle name="Comma 7 2 5 3 4" xfId="25548" xr:uid="{00000000-0005-0000-0000-0000262E0000}"/>
    <cellStyle name="Comma 7 2 5 4" xfId="25549" xr:uid="{00000000-0005-0000-0000-0000272E0000}"/>
    <cellStyle name="Comma 7 2 5 4 2" xfId="25550" xr:uid="{00000000-0005-0000-0000-0000282E0000}"/>
    <cellStyle name="Comma 7 2 5 4 2 2" xfId="25551" xr:uid="{00000000-0005-0000-0000-0000292E0000}"/>
    <cellStyle name="Comma 7 2 5 4 3" xfId="25552" xr:uid="{00000000-0005-0000-0000-00002A2E0000}"/>
    <cellStyle name="Comma 7 2 5 5" xfId="25553" xr:uid="{00000000-0005-0000-0000-00002B2E0000}"/>
    <cellStyle name="Comma 7 2 5 5 2" xfId="25554" xr:uid="{00000000-0005-0000-0000-00002C2E0000}"/>
    <cellStyle name="Comma 7 2 5 6" xfId="25555" xr:uid="{00000000-0005-0000-0000-00002D2E0000}"/>
    <cellStyle name="Comma 7 2 6" xfId="8104" xr:uid="{00000000-0005-0000-0000-00002E2E0000}"/>
    <cellStyle name="Comma 7 2 6 2" xfId="25556" xr:uid="{00000000-0005-0000-0000-00002F2E0000}"/>
    <cellStyle name="Comma 7 2 6 2 2" xfId="25557" xr:uid="{00000000-0005-0000-0000-0000302E0000}"/>
    <cellStyle name="Comma 7 2 6 2 2 2" xfId="25558" xr:uid="{00000000-0005-0000-0000-0000312E0000}"/>
    <cellStyle name="Comma 7 2 6 2 2 2 2" xfId="25559" xr:uid="{00000000-0005-0000-0000-0000322E0000}"/>
    <cellStyle name="Comma 7 2 6 2 2 3" xfId="25560" xr:uid="{00000000-0005-0000-0000-0000332E0000}"/>
    <cellStyle name="Comma 7 2 6 2 3" xfId="25561" xr:uid="{00000000-0005-0000-0000-0000342E0000}"/>
    <cellStyle name="Comma 7 2 6 2 3 2" xfId="25562" xr:uid="{00000000-0005-0000-0000-0000352E0000}"/>
    <cellStyle name="Comma 7 2 6 2 4" xfId="25563" xr:uid="{00000000-0005-0000-0000-0000362E0000}"/>
    <cellStyle name="Comma 7 2 6 3" xfId="25564" xr:uid="{00000000-0005-0000-0000-0000372E0000}"/>
    <cellStyle name="Comma 7 2 6 3 2" xfId="25565" xr:uid="{00000000-0005-0000-0000-0000382E0000}"/>
    <cellStyle name="Comma 7 2 6 3 2 2" xfId="25566" xr:uid="{00000000-0005-0000-0000-0000392E0000}"/>
    <cellStyle name="Comma 7 2 6 3 3" xfId="25567" xr:uid="{00000000-0005-0000-0000-00003A2E0000}"/>
    <cellStyle name="Comma 7 2 6 4" xfId="25568" xr:uid="{00000000-0005-0000-0000-00003B2E0000}"/>
    <cellStyle name="Comma 7 2 6 4 2" xfId="25569" xr:uid="{00000000-0005-0000-0000-00003C2E0000}"/>
    <cellStyle name="Comma 7 2 6 5" xfId="25570" xr:uid="{00000000-0005-0000-0000-00003D2E0000}"/>
    <cellStyle name="Comma 7 2 7" xfId="8105" xr:uid="{00000000-0005-0000-0000-00003E2E0000}"/>
    <cellStyle name="Comma 7 2 7 2" xfId="25571" xr:uid="{00000000-0005-0000-0000-00003F2E0000}"/>
    <cellStyle name="Comma 7 2 7 2 2" xfId="25572" xr:uid="{00000000-0005-0000-0000-0000402E0000}"/>
    <cellStyle name="Comma 7 2 7 2 2 2" xfId="25573" xr:uid="{00000000-0005-0000-0000-0000412E0000}"/>
    <cellStyle name="Comma 7 2 7 2 3" xfId="25574" xr:uid="{00000000-0005-0000-0000-0000422E0000}"/>
    <cellStyle name="Comma 7 2 7 3" xfId="25575" xr:uid="{00000000-0005-0000-0000-0000432E0000}"/>
    <cellStyle name="Comma 7 2 7 3 2" xfId="25576" xr:uid="{00000000-0005-0000-0000-0000442E0000}"/>
    <cellStyle name="Comma 7 2 7 4" xfId="25577" xr:uid="{00000000-0005-0000-0000-0000452E0000}"/>
    <cellStyle name="Comma 7 2 8" xfId="8106" xr:uid="{00000000-0005-0000-0000-0000462E0000}"/>
    <cellStyle name="Comma 7 2 8 2" xfId="25578" xr:uid="{00000000-0005-0000-0000-0000472E0000}"/>
    <cellStyle name="Comma 7 2 8 2 2" xfId="25579" xr:uid="{00000000-0005-0000-0000-0000482E0000}"/>
    <cellStyle name="Comma 7 2 8 2 2 2" xfId="25580" xr:uid="{00000000-0005-0000-0000-0000492E0000}"/>
    <cellStyle name="Comma 7 2 8 2 3" xfId="25581" xr:uid="{00000000-0005-0000-0000-00004A2E0000}"/>
    <cellStyle name="Comma 7 2 8 3" xfId="25582" xr:uid="{00000000-0005-0000-0000-00004B2E0000}"/>
    <cellStyle name="Comma 7 2 8 3 2" xfId="25583" xr:uid="{00000000-0005-0000-0000-00004C2E0000}"/>
    <cellStyle name="Comma 7 2 8 4" xfId="25584" xr:uid="{00000000-0005-0000-0000-00004D2E0000}"/>
    <cellStyle name="Comma 7 2 9" xfId="25585" xr:uid="{00000000-0005-0000-0000-00004E2E0000}"/>
    <cellStyle name="Comma 7 2 9 2" xfId="25586" xr:uid="{00000000-0005-0000-0000-00004F2E0000}"/>
    <cellStyle name="Comma 7 2 9 2 2" xfId="25587" xr:uid="{00000000-0005-0000-0000-0000502E0000}"/>
    <cellStyle name="Comma 7 2 9 2 2 2" xfId="25588" xr:uid="{00000000-0005-0000-0000-0000512E0000}"/>
    <cellStyle name="Comma 7 2 9 2 3" xfId="25589" xr:uid="{00000000-0005-0000-0000-0000522E0000}"/>
    <cellStyle name="Comma 7 2 9 3" xfId="25590" xr:uid="{00000000-0005-0000-0000-0000532E0000}"/>
    <cellStyle name="Comma 7 2 9 3 2" xfId="25591" xr:uid="{00000000-0005-0000-0000-0000542E0000}"/>
    <cellStyle name="Comma 7 2 9 4" xfId="25592" xr:uid="{00000000-0005-0000-0000-0000552E0000}"/>
    <cellStyle name="Comma 7 20" xfId="8107" xr:uid="{00000000-0005-0000-0000-0000562E0000}"/>
    <cellStyle name="Comma 7 21" xfId="8108" xr:uid="{00000000-0005-0000-0000-0000572E0000}"/>
    <cellStyle name="Comma 7 22" xfId="8109" xr:uid="{00000000-0005-0000-0000-0000582E0000}"/>
    <cellStyle name="Comma 7 23" xfId="8110" xr:uid="{00000000-0005-0000-0000-0000592E0000}"/>
    <cellStyle name="Comma 7 24" xfId="8111" xr:uid="{00000000-0005-0000-0000-00005A2E0000}"/>
    <cellStyle name="Comma 7 25" xfId="8112" xr:uid="{00000000-0005-0000-0000-00005B2E0000}"/>
    <cellStyle name="Comma 7 26" xfId="8113" xr:uid="{00000000-0005-0000-0000-00005C2E0000}"/>
    <cellStyle name="Comma 7 27" xfId="8114" xr:uid="{00000000-0005-0000-0000-00005D2E0000}"/>
    <cellStyle name="Comma 7 28" xfId="8115" xr:uid="{00000000-0005-0000-0000-00005E2E0000}"/>
    <cellStyle name="Comma 7 29" xfId="8116" xr:uid="{00000000-0005-0000-0000-00005F2E0000}"/>
    <cellStyle name="Comma 7 3" xfId="243" xr:uid="{00000000-0005-0000-0000-0000602E0000}"/>
    <cellStyle name="Comma 7 3 10" xfId="25593" xr:uid="{00000000-0005-0000-0000-0000612E0000}"/>
    <cellStyle name="Comma 7 3 10 2" xfId="25594" xr:uid="{00000000-0005-0000-0000-0000622E0000}"/>
    <cellStyle name="Comma 7 3 10 2 2" xfId="25595" xr:uid="{00000000-0005-0000-0000-0000632E0000}"/>
    <cellStyle name="Comma 7 3 10 3" xfId="25596" xr:uid="{00000000-0005-0000-0000-0000642E0000}"/>
    <cellStyle name="Comma 7 3 11" xfId="25597" xr:uid="{00000000-0005-0000-0000-0000652E0000}"/>
    <cellStyle name="Comma 7 3 11 2" xfId="25598" xr:uid="{00000000-0005-0000-0000-0000662E0000}"/>
    <cellStyle name="Comma 7 3 12" xfId="25599" xr:uid="{00000000-0005-0000-0000-0000672E0000}"/>
    <cellStyle name="Comma 7 3 2" xfId="25600" xr:uid="{00000000-0005-0000-0000-0000682E0000}"/>
    <cellStyle name="Comma 7 3 2 10" xfId="25601" xr:uid="{00000000-0005-0000-0000-0000692E0000}"/>
    <cellStyle name="Comma 7 3 2 2" xfId="25602" xr:uid="{00000000-0005-0000-0000-00006A2E0000}"/>
    <cellStyle name="Comma 7 3 2 2 2" xfId="25603" xr:uid="{00000000-0005-0000-0000-00006B2E0000}"/>
    <cellStyle name="Comma 7 3 2 2 2 2" xfId="25604" xr:uid="{00000000-0005-0000-0000-00006C2E0000}"/>
    <cellStyle name="Comma 7 3 2 2 2 2 2" xfId="25605" xr:uid="{00000000-0005-0000-0000-00006D2E0000}"/>
    <cellStyle name="Comma 7 3 2 2 2 2 2 2" xfId="25606" xr:uid="{00000000-0005-0000-0000-00006E2E0000}"/>
    <cellStyle name="Comma 7 3 2 2 2 2 2 2 2" xfId="25607" xr:uid="{00000000-0005-0000-0000-00006F2E0000}"/>
    <cellStyle name="Comma 7 3 2 2 2 2 2 3" xfId="25608" xr:uid="{00000000-0005-0000-0000-0000702E0000}"/>
    <cellStyle name="Comma 7 3 2 2 2 2 3" xfId="25609" xr:uid="{00000000-0005-0000-0000-0000712E0000}"/>
    <cellStyle name="Comma 7 3 2 2 2 2 3 2" xfId="25610" xr:uid="{00000000-0005-0000-0000-0000722E0000}"/>
    <cellStyle name="Comma 7 3 2 2 2 2 4" xfId="25611" xr:uid="{00000000-0005-0000-0000-0000732E0000}"/>
    <cellStyle name="Comma 7 3 2 2 2 3" xfId="25612" xr:uid="{00000000-0005-0000-0000-0000742E0000}"/>
    <cellStyle name="Comma 7 3 2 2 2 3 2" xfId="25613" xr:uid="{00000000-0005-0000-0000-0000752E0000}"/>
    <cellStyle name="Comma 7 3 2 2 2 3 2 2" xfId="25614" xr:uid="{00000000-0005-0000-0000-0000762E0000}"/>
    <cellStyle name="Comma 7 3 2 2 2 3 2 2 2" xfId="25615" xr:uid="{00000000-0005-0000-0000-0000772E0000}"/>
    <cellStyle name="Comma 7 3 2 2 2 3 2 3" xfId="25616" xr:uid="{00000000-0005-0000-0000-0000782E0000}"/>
    <cellStyle name="Comma 7 3 2 2 2 3 3" xfId="25617" xr:uid="{00000000-0005-0000-0000-0000792E0000}"/>
    <cellStyle name="Comma 7 3 2 2 2 3 3 2" xfId="25618" xr:uid="{00000000-0005-0000-0000-00007A2E0000}"/>
    <cellStyle name="Comma 7 3 2 2 2 3 4" xfId="25619" xr:uid="{00000000-0005-0000-0000-00007B2E0000}"/>
    <cellStyle name="Comma 7 3 2 2 2 4" xfId="25620" xr:uid="{00000000-0005-0000-0000-00007C2E0000}"/>
    <cellStyle name="Comma 7 3 2 2 2 4 2" xfId="25621" xr:uid="{00000000-0005-0000-0000-00007D2E0000}"/>
    <cellStyle name="Comma 7 3 2 2 2 4 2 2" xfId="25622" xr:uid="{00000000-0005-0000-0000-00007E2E0000}"/>
    <cellStyle name="Comma 7 3 2 2 2 4 3" xfId="25623" xr:uid="{00000000-0005-0000-0000-00007F2E0000}"/>
    <cellStyle name="Comma 7 3 2 2 2 5" xfId="25624" xr:uid="{00000000-0005-0000-0000-0000802E0000}"/>
    <cellStyle name="Comma 7 3 2 2 2 5 2" xfId="25625" xr:uid="{00000000-0005-0000-0000-0000812E0000}"/>
    <cellStyle name="Comma 7 3 2 2 2 6" xfId="25626" xr:uid="{00000000-0005-0000-0000-0000822E0000}"/>
    <cellStyle name="Comma 7 3 2 2 3" xfId="25627" xr:uid="{00000000-0005-0000-0000-0000832E0000}"/>
    <cellStyle name="Comma 7 3 2 2 3 2" xfId="25628" xr:uid="{00000000-0005-0000-0000-0000842E0000}"/>
    <cellStyle name="Comma 7 3 2 2 3 2 2" xfId="25629" xr:uid="{00000000-0005-0000-0000-0000852E0000}"/>
    <cellStyle name="Comma 7 3 2 2 3 2 2 2" xfId="25630" xr:uid="{00000000-0005-0000-0000-0000862E0000}"/>
    <cellStyle name="Comma 7 3 2 2 3 2 2 2 2" xfId="25631" xr:uid="{00000000-0005-0000-0000-0000872E0000}"/>
    <cellStyle name="Comma 7 3 2 2 3 2 2 3" xfId="25632" xr:uid="{00000000-0005-0000-0000-0000882E0000}"/>
    <cellStyle name="Comma 7 3 2 2 3 2 3" xfId="25633" xr:uid="{00000000-0005-0000-0000-0000892E0000}"/>
    <cellStyle name="Comma 7 3 2 2 3 2 3 2" xfId="25634" xr:uid="{00000000-0005-0000-0000-00008A2E0000}"/>
    <cellStyle name="Comma 7 3 2 2 3 2 4" xfId="25635" xr:uid="{00000000-0005-0000-0000-00008B2E0000}"/>
    <cellStyle name="Comma 7 3 2 2 3 3" xfId="25636" xr:uid="{00000000-0005-0000-0000-00008C2E0000}"/>
    <cellStyle name="Comma 7 3 2 2 3 3 2" xfId="25637" xr:uid="{00000000-0005-0000-0000-00008D2E0000}"/>
    <cellStyle name="Comma 7 3 2 2 3 3 2 2" xfId="25638" xr:uid="{00000000-0005-0000-0000-00008E2E0000}"/>
    <cellStyle name="Comma 7 3 2 2 3 3 3" xfId="25639" xr:uid="{00000000-0005-0000-0000-00008F2E0000}"/>
    <cellStyle name="Comma 7 3 2 2 3 4" xfId="25640" xr:uid="{00000000-0005-0000-0000-0000902E0000}"/>
    <cellStyle name="Comma 7 3 2 2 3 4 2" xfId="25641" xr:uid="{00000000-0005-0000-0000-0000912E0000}"/>
    <cellStyle name="Comma 7 3 2 2 3 5" xfId="25642" xr:uid="{00000000-0005-0000-0000-0000922E0000}"/>
    <cellStyle name="Comma 7 3 2 2 4" xfId="25643" xr:uid="{00000000-0005-0000-0000-0000932E0000}"/>
    <cellStyle name="Comma 7 3 2 2 4 2" xfId="25644" xr:uid="{00000000-0005-0000-0000-0000942E0000}"/>
    <cellStyle name="Comma 7 3 2 2 4 2 2" xfId="25645" xr:uid="{00000000-0005-0000-0000-0000952E0000}"/>
    <cellStyle name="Comma 7 3 2 2 4 2 2 2" xfId="25646" xr:uid="{00000000-0005-0000-0000-0000962E0000}"/>
    <cellStyle name="Comma 7 3 2 2 4 2 3" xfId="25647" xr:uid="{00000000-0005-0000-0000-0000972E0000}"/>
    <cellStyle name="Comma 7 3 2 2 4 3" xfId="25648" xr:uid="{00000000-0005-0000-0000-0000982E0000}"/>
    <cellStyle name="Comma 7 3 2 2 4 3 2" xfId="25649" xr:uid="{00000000-0005-0000-0000-0000992E0000}"/>
    <cellStyle name="Comma 7 3 2 2 4 4" xfId="25650" xr:uid="{00000000-0005-0000-0000-00009A2E0000}"/>
    <cellStyle name="Comma 7 3 2 2 5" xfId="25651" xr:uid="{00000000-0005-0000-0000-00009B2E0000}"/>
    <cellStyle name="Comma 7 3 2 2 5 2" xfId="25652" xr:uid="{00000000-0005-0000-0000-00009C2E0000}"/>
    <cellStyle name="Comma 7 3 2 2 5 2 2" xfId="25653" xr:uid="{00000000-0005-0000-0000-00009D2E0000}"/>
    <cellStyle name="Comma 7 3 2 2 5 2 2 2" xfId="25654" xr:uid="{00000000-0005-0000-0000-00009E2E0000}"/>
    <cellStyle name="Comma 7 3 2 2 5 2 3" xfId="25655" xr:uid="{00000000-0005-0000-0000-00009F2E0000}"/>
    <cellStyle name="Comma 7 3 2 2 5 3" xfId="25656" xr:uid="{00000000-0005-0000-0000-0000A02E0000}"/>
    <cellStyle name="Comma 7 3 2 2 5 3 2" xfId="25657" xr:uid="{00000000-0005-0000-0000-0000A12E0000}"/>
    <cellStyle name="Comma 7 3 2 2 5 4" xfId="25658" xr:uid="{00000000-0005-0000-0000-0000A22E0000}"/>
    <cellStyle name="Comma 7 3 2 2 6" xfId="25659" xr:uid="{00000000-0005-0000-0000-0000A32E0000}"/>
    <cellStyle name="Comma 7 3 2 2 6 2" xfId="25660" xr:uid="{00000000-0005-0000-0000-0000A42E0000}"/>
    <cellStyle name="Comma 7 3 2 2 6 2 2" xfId="25661" xr:uid="{00000000-0005-0000-0000-0000A52E0000}"/>
    <cellStyle name="Comma 7 3 2 2 6 3" xfId="25662" xr:uid="{00000000-0005-0000-0000-0000A62E0000}"/>
    <cellStyle name="Comma 7 3 2 2 7" xfId="25663" xr:uid="{00000000-0005-0000-0000-0000A72E0000}"/>
    <cellStyle name="Comma 7 3 2 2 7 2" xfId="25664" xr:uid="{00000000-0005-0000-0000-0000A82E0000}"/>
    <cellStyle name="Comma 7 3 2 2 8" xfId="25665" xr:uid="{00000000-0005-0000-0000-0000A92E0000}"/>
    <cellStyle name="Comma 7 3 2 3" xfId="25666" xr:uid="{00000000-0005-0000-0000-0000AA2E0000}"/>
    <cellStyle name="Comma 7 3 2 3 2" xfId="25667" xr:uid="{00000000-0005-0000-0000-0000AB2E0000}"/>
    <cellStyle name="Comma 7 3 2 3 2 2" xfId="25668" xr:uid="{00000000-0005-0000-0000-0000AC2E0000}"/>
    <cellStyle name="Comma 7 3 2 3 2 2 2" xfId="25669" xr:uid="{00000000-0005-0000-0000-0000AD2E0000}"/>
    <cellStyle name="Comma 7 3 2 3 2 2 2 2" xfId="25670" xr:uid="{00000000-0005-0000-0000-0000AE2E0000}"/>
    <cellStyle name="Comma 7 3 2 3 2 2 3" xfId="25671" xr:uid="{00000000-0005-0000-0000-0000AF2E0000}"/>
    <cellStyle name="Comma 7 3 2 3 2 3" xfId="25672" xr:uid="{00000000-0005-0000-0000-0000B02E0000}"/>
    <cellStyle name="Comma 7 3 2 3 2 3 2" xfId="25673" xr:uid="{00000000-0005-0000-0000-0000B12E0000}"/>
    <cellStyle name="Comma 7 3 2 3 2 4" xfId="25674" xr:uid="{00000000-0005-0000-0000-0000B22E0000}"/>
    <cellStyle name="Comma 7 3 2 3 3" xfId="25675" xr:uid="{00000000-0005-0000-0000-0000B32E0000}"/>
    <cellStyle name="Comma 7 3 2 3 3 2" xfId="25676" xr:uid="{00000000-0005-0000-0000-0000B42E0000}"/>
    <cellStyle name="Comma 7 3 2 3 3 2 2" xfId="25677" xr:uid="{00000000-0005-0000-0000-0000B52E0000}"/>
    <cellStyle name="Comma 7 3 2 3 3 2 2 2" xfId="25678" xr:uid="{00000000-0005-0000-0000-0000B62E0000}"/>
    <cellStyle name="Comma 7 3 2 3 3 2 3" xfId="25679" xr:uid="{00000000-0005-0000-0000-0000B72E0000}"/>
    <cellStyle name="Comma 7 3 2 3 3 3" xfId="25680" xr:uid="{00000000-0005-0000-0000-0000B82E0000}"/>
    <cellStyle name="Comma 7 3 2 3 3 3 2" xfId="25681" xr:uid="{00000000-0005-0000-0000-0000B92E0000}"/>
    <cellStyle name="Comma 7 3 2 3 3 4" xfId="25682" xr:uid="{00000000-0005-0000-0000-0000BA2E0000}"/>
    <cellStyle name="Comma 7 3 2 3 4" xfId="25683" xr:uid="{00000000-0005-0000-0000-0000BB2E0000}"/>
    <cellStyle name="Comma 7 3 2 3 4 2" xfId="25684" xr:uid="{00000000-0005-0000-0000-0000BC2E0000}"/>
    <cellStyle name="Comma 7 3 2 3 4 2 2" xfId="25685" xr:uid="{00000000-0005-0000-0000-0000BD2E0000}"/>
    <cellStyle name="Comma 7 3 2 3 4 3" xfId="25686" xr:uid="{00000000-0005-0000-0000-0000BE2E0000}"/>
    <cellStyle name="Comma 7 3 2 3 5" xfId="25687" xr:uid="{00000000-0005-0000-0000-0000BF2E0000}"/>
    <cellStyle name="Comma 7 3 2 3 5 2" xfId="25688" xr:uid="{00000000-0005-0000-0000-0000C02E0000}"/>
    <cellStyle name="Comma 7 3 2 3 6" xfId="25689" xr:uid="{00000000-0005-0000-0000-0000C12E0000}"/>
    <cellStyle name="Comma 7 3 2 4" xfId="25690" xr:uid="{00000000-0005-0000-0000-0000C22E0000}"/>
    <cellStyle name="Comma 7 3 2 4 2" xfId="25691" xr:uid="{00000000-0005-0000-0000-0000C32E0000}"/>
    <cellStyle name="Comma 7 3 2 4 2 2" xfId="25692" xr:uid="{00000000-0005-0000-0000-0000C42E0000}"/>
    <cellStyle name="Comma 7 3 2 4 2 2 2" xfId="25693" xr:uid="{00000000-0005-0000-0000-0000C52E0000}"/>
    <cellStyle name="Comma 7 3 2 4 2 2 2 2" xfId="25694" xr:uid="{00000000-0005-0000-0000-0000C62E0000}"/>
    <cellStyle name="Comma 7 3 2 4 2 2 3" xfId="25695" xr:uid="{00000000-0005-0000-0000-0000C72E0000}"/>
    <cellStyle name="Comma 7 3 2 4 2 3" xfId="25696" xr:uid="{00000000-0005-0000-0000-0000C82E0000}"/>
    <cellStyle name="Comma 7 3 2 4 2 3 2" xfId="25697" xr:uid="{00000000-0005-0000-0000-0000C92E0000}"/>
    <cellStyle name="Comma 7 3 2 4 2 4" xfId="25698" xr:uid="{00000000-0005-0000-0000-0000CA2E0000}"/>
    <cellStyle name="Comma 7 3 2 4 3" xfId="25699" xr:uid="{00000000-0005-0000-0000-0000CB2E0000}"/>
    <cellStyle name="Comma 7 3 2 4 3 2" xfId="25700" xr:uid="{00000000-0005-0000-0000-0000CC2E0000}"/>
    <cellStyle name="Comma 7 3 2 4 3 2 2" xfId="25701" xr:uid="{00000000-0005-0000-0000-0000CD2E0000}"/>
    <cellStyle name="Comma 7 3 2 4 3 3" xfId="25702" xr:uid="{00000000-0005-0000-0000-0000CE2E0000}"/>
    <cellStyle name="Comma 7 3 2 4 4" xfId="25703" xr:uid="{00000000-0005-0000-0000-0000CF2E0000}"/>
    <cellStyle name="Comma 7 3 2 4 4 2" xfId="25704" xr:uid="{00000000-0005-0000-0000-0000D02E0000}"/>
    <cellStyle name="Comma 7 3 2 4 5" xfId="25705" xr:uid="{00000000-0005-0000-0000-0000D12E0000}"/>
    <cellStyle name="Comma 7 3 2 5" xfId="25706" xr:uid="{00000000-0005-0000-0000-0000D22E0000}"/>
    <cellStyle name="Comma 7 3 2 5 2" xfId="25707" xr:uid="{00000000-0005-0000-0000-0000D32E0000}"/>
    <cellStyle name="Comma 7 3 2 5 2 2" xfId="25708" xr:uid="{00000000-0005-0000-0000-0000D42E0000}"/>
    <cellStyle name="Comma 7 3 2 5 2 2 2" xfId="25709" xr:uid="{00000000-0005-0000-0000-0000D52E0000}"/>
    <cellStyle name="Comma 7 3 2 5 2 3" xfId="25710" xr:uid="{00000000-0005-0000-0000-0000D62E0000}"/>
    <cellStyle name="Comma 7 3 2 5 3" xfId="25711" xr:uid="{00000000-0005-0000-0000-0000D72E0000}"/>
    <cellStyle name="Comma 7 3 2 5 3 2" xfId="25712" xr:uid="{00000000-0005-0000-0000-0000D82E0000}"/>
    <cellStyle name="Comma 7 3 2 5 4" xfId="25713" xr:uid="{00000000-0005-0000-0000-0000D92E0000}"/>
    <cellStyle name="Comma 7 3 2 6" xfId="25714" xr:uid="{00000000-0005-0000-0000-0000DA2E0000}"/>
    <cellStyle name="Comma 7 3 2 6 2" xfId="25715" xr:uid="{00000000-0005-0000-0000-0000DB2E0000}"/>
    <cellStyle name="Comma 7 3 2 6 2 2" xfId="25716" xr:uid="{00000000-0005-0000-0000-0000DC2E0000}"/>
    <cellStyle name="Comma 7 3 2 6 2 2 2" xfId="25717" xr:uid="{00000000-0005-0000-0000-0000DD2E0000}"/>
    <cellStyle name="Comma 7 3 2 6 2 3" xfId="25718" xr:uid="{00000000-0005-0000-0000-0000DE2E0000}"/>
    <cellStyle name="Comma 7 3 2 6 3" xfId="25719" xr:uid="{00000000-0005-0000-0000-0000DF2E0000}"/>
    <cellStyle name="Comma 7 3 2 6 3 2" xfId="25720" xr:uid="{00000000-0005-0000-0000-0000E02E0000}"/>
    <cellStyle name="Comma 7 3 2 6 4" xfId="25721" xr:uid="{00000000-0005-0000-0000-0000E12E0000}"/>
    <cellStyle name="Comma 7 3 2 7" xfId="25722" xr:uid="{00000000-0005-0000-0000-0000E22E0000}"/>
    <cellStyle name="Comma 7 3 2 7 2" xfId="25723" xr:uid="{00000000-0005-0000-0000-0000E32E0000}"/>
    <cellStyle name="Comma 7 3 2 7 2 2" xfId="25724" xr:uid="{00000000-0005-0000-0000-0000E42E0000}"/>
    <cellStyle name="Comma 7 3 2 7 2 2 2" xfId="25725" xr:uid="{00000000-0005-0000-0000-0000E52E0000}"/>
    <cellStyle name="Comma 7 3 2 7 2 3" xfId="25726" xr:uid="{00000000-0005-0000-0000-0000E62E0000}"/>
    <cellStyle name="Comma 7 3 2 7 3" xfId="25727" xr:uid="{00000000-0005-0000-0000-0000E72E0000}"/>
    <cellStyle name="Comma 7 3 2 7 3 2" xfId="25728" xr:uid="{00000000-0005-0000-0000-0000E82E0000}"/>
    <cellStyle name="Comma 7 3 2 7 4" xfId="25729" xr:uid="{00000000-0005-0000-0000-0000E92E0000}"/>
    <cellStyle name="Comma 7 3 2 8" xfId="25730" xr:uid="{00000000-0005-0000-0000-0000EA2E0000}"/>
    <cellStyle name="Comma 7 3 2 8 2" xfId="25731" xr:uid="{00000000-0005-0000-0000-0000EB2E0000}"/>
    <cellStyle name="Comma 7 3 2 8 2 2" xfId="25732" xr:uid="{00000000-0005-0000-0000-0000EC2E0000}"/>
    <cellStyle name="Comma 7 3 2 8 3" xfId="25733" xr:uid="{00000000-0005-0000-0000-0000ED2E0000}"/>
    <cellStyle name="Comma 7 3 2 9" xfId="25734" xr:uid="{00000000-0005-0000-0000-0000EE2E0000}"/>
    <cellStyle name="Comma 7 3 2 9 2" xfId="25735" xr:uid="{00000000-0005-0000-0000-0000EF2E0000}"/>
    <cellStyle name="Comma 7 3 3" xfId="25736" xr:uid="{00000000-0005-0000-0000-0000F02E0000}"/>
    <cellStyle name="Comma 7 3 3 2" xfId="25737" xr:uid="{00000000-0005-0000-0000-0000F12E0000}"/>
    <cellStyle name="Comma 7 3 3 2 2" xfId="25738" xr:uid="{00000000-0005-0000-0000-0000F22E0000}"/>
    <cellStyle name="Comma 7 3 3 2 2 2" xfId="25739" xr:uid="{00000000-0005-0000-0000-0000F32E0000}"/>
    <cellStyle name="Comma 7 3 3 2 2 2 2" xfId="25740" xr:uid="{00000000-0005-0000-0000-0000F42E0000}"/>
    <cellStyle name="Comma 7 3 3 2 2 2 2 2" xfId="25741" xr:uid="{00000000-0005-0000-0000-0000F52E0000}"/>
    <cellStyle name="Comma 7 3 3 2 2 2 3" xfId="25742" xr:uid="{00000000-0005-0000-0000-0000F62E0000}"/>
    <cellStyle name="Comma 7 3 3 2 2 3" xfId="25743" xr:uid="{00000000-0005-0000-0000-0000F72E0000}"/>
    <cellStyle name="Comma 7 3 3 2 2 3 2" xfId="25744" xr:uid="{00000000-0005-0000-0000-0000F82E0000}"/>
    <cellStyle name="Comma 7 3 3 2 2 4" xfId="25745" xr:uid="{00000000-0005-0000-0000-0000F92E0000}"/>
    <cellStyle name="Comma 7 3 3 2 3" xfId="25746" xr:uid="{00000000-0005-0000-0000-0000FA2E0000}"/>
    <cellStyle name="Comma 7 3 3 2 3 2" xfId="25747" xr:uid="{00000000-0005-0000-0000-0000FB2E0000}"/>
    <cellStyle name="Comma 7 3 3 2 3 2 2" xfId="25748" xr:uid="{00000000-0005-0000-0000-0000FC2E0000}"/>
    <cellStyle name="Comma 7 3 3 2 3 2 2 2" xfId="25749" xr:uid="{00000000-0005-0000-0000-0000FD2E0000}"/>
    <cellStyle name="Comma 7 3 3 2 3 2 3" xfId="25750" xr:uid="{00000000-0005-0000-0000-0000FE2E0000}"/>
    <cellStyle name="Comma 7 3 3 2 3 3" xfId="25751" xr:uid="{00000000-0005-0000-0000-0000FF2E0000}"/>
    <cellStyle name="Comma 7 3 3 2 3 3 2" xfId="25752" xr:uid="{00000000-0005-0000-0000-0000002F0000}"/>
    <cellStyle name="Comma 7 3 3 2 3 4" xfId="25753" xr:uid="{00000000-0005-0000-0000-0000012F0000}"/>
    <cellStyle name="Comma 7 3 3 2 4" xfId="25754" xr:uid="{00000000-0005-0000-0000-0000022F0000}"/>
    <cellStyle name="Comma 7 3 3 2 4 2" xfId="25755" xr:uid="{00000000-0005-0000-0000-0000032F0000}"/>
    <cellStyle name="Comma 7 3 3 2 4 2 2" xfId="25756" xr:uid="{00000000-0005-0000-0000-0000042F0000}"/>
    <cellStyle name="Comma 7 3 3 2 4 3" xfId="25757" xr:uid="{00000000-0005-0000-0000-0000052F0000}"/>
    <cellStyle name="Comma 7 3 3 2 5" xfId="25758" xr:uid="{00000000-0005-0000-0000-0000062F0000}"/>
    <cellStyle name="Comma 7 3 3 2 5 2" xfId="25759" xr:uid="{00000000-0005-0000-0000-0000072F0000}"/>
    <cellStyle name="Comma 7 3 3 2 6" xfId="25760" xr:uid="{00000000-0005-0000-0000-0000082F0000}"/>
    <cellStyle name="Comma 7 3 3 3" xfId="25761" xr:uid="{00000000-0005-0000-0000-0000092F0000}"/>
    <cellStyle name="Comma 7 3 3 3 2" xfId="25762" xr:uid="{00000000-0005-0000-0000-00000A2F0000}"/>
    <cellStyle name="Comma 7 3 3 3 2 2" xfId="25763" xr:uid="{00000000-0005-0000-0000-00000B2F0000}"/>
    <cellStyle name="Comma 7 3 3 3 2 2 2" xfId="25764" xr:uid="{00000000-0005-0000-0000-00000C2F0000}"/>
    <cellStyle name="Comma 7 3 3 3 2 2 2 2" xfId="25765" xr:uid="{00000000-0005-0000-0000-00000D2F0000}"/>
    <cellStyle name="Comma 7 3 3 3 2 2 3" xfId="25766" xr:uid="{00000000-0005-0000-0000-00000E2F0000}"/>
    <cellStyle name="Comma 7 3 3 3 2 3" xfId="25767" xr:uid="{00000000-0005-0000-0000-00000F2F0000}"/>
    <cellStyle name="Comma 7 3 3 3 2 3 2" xfId="25768" xr:uid="{00000000-0005-0000-0000-0000102F0000}"/>
    <cellStyle name="Comma 7 3 3 3 2 4" xfId="25769" xr:uid="{00000000-0005-0000-0000-0000112F0000}"/>
    <cellStyle name="Comma 7 3 3 3 3" xfId="25770" xr:uid="{00000000-0005-0000-0000-0000122F0000}"/>
    <cellStyle name="Comma 7 3 3 3 3 2" xfId="25771" xr:uid="{00000000-0005-0000-0000-0000132F0000}"/>
    <cellStyle name="Comma 7 3 3 3 3 2 2" xfId="25772" xr:uid="{00000000-0005-0000-0000-0000142F0000}"/>
    <cellStyle name="Comma 7 3 3 3 3 3" xfId="25773" xr:uid="{00000000-0005-0000-0000-0000152F0000}"/>
    <cellStyle name="Comma 7 3 3 3 4" xfId="25774" xr:uid="{00000000-0005-0000-0000-0000162F0000}"/>
    <cellStyle name="Comma 7 3 3 3 4 2" xfId="25775" xr:uid="{00000000-0005-0000-0000-0000172F0000}"/>
    <cellStyle name="Comma 7 3 3 3 5" xfId="25776" xr:uid="{00000000-0005-0000-0000-0000182F0000}"/>
    <cellStyle name="Comma 7 3 3 4" xfId="25777" xr:uid="{00000000-0005-0000-0000-0000192F0000}"/>
    <cellStyle name="Comma 7 3 3 4 2" xfId="25778" xr:uid="{00000000-0005-0000-0000-00001A2F0000}"/>
    <cellStyle name="Comma 7 3 3 4 2 2" xfId="25779" xr:uid="{00000000-0005-0000-0000-00001B2F0000}"/>
    <cellStyle name="Comma 7 3 3 4 2 2 2" xfId="25780" xr:uid="{00000000-0005-0000-0000-00001C2F0000}"/>
    <cellStyle name="Comma 7 3 3 4 2 3" xfId="25781" xr:uid="{00000000-0005-0000-0000-00001D2F0000}"/>
    <cellStyle name="Comma 7 3 3 4 3" xfId="25782" xr:uid="{00000000-0005-0000-0000-00001E2F0000}"/>
    <cellStyle name="Comma 7 3 3 4 3 2" xfId="25783" xr:uid="{00000000-0005-0000-0000-00001F2F0000}"/>
    <cellStyle name="Comma 7 3 3 4 4" xfId="25784" xr:uid="{00000000-0005-0000-0000-0000202F0000}"/>
    <cellStyle name="Comma 7 3 3 5" xfId="25785" xr:uid="{00000000-0005-0000-0000-0000212F0000}"/>
    <cellStyle name="Comma 7 3 3 5 2" xfId="25786" xr:uid="{00000000-0005-0000-0000-0000222F0000}"/>
    <cellStyle name="Comma 7 3 3 5 2 2" xfId="25787" xr:uid="{00000000-0005-0000-0000-0000232F0000}"/>
    <cellStyle name="Comma 7 3 3 5 2 2 2" xfId="25788" xr:uid="{00000000-0005-0000-0000-0000242F0000}"/>
    <cellStyle name="Comma 7 3 3 5 2 3" xfId="25789" xr:uid="{00000000-0005-0000-0000-0000252F0000}"/>
    <cellStyle name="Comma 7 3 3 5 3" xfId="25790" xr:uid="{00000000-0005-0000-0000-0000262F0000}"/>
    <cellStyle name="Comma 7 3 3 5 3 2" xfId="25791" xr:uid="{00000000-0005-0000-0000-0000272F0000}"/>
    <cellStyle name="Comma 7 3 3 5 4" xfId="25792" xr:uid="{00000000-0005-0000-0000-0000282F0000}"/>
    <cellStyle name="Comma 7 3 3 6" xfId="25793" xr:uid="{00000000-0005-0000-0000-0000292F0000}"/>
    <cellStyle name="Comma 7 3 3 6 2" xfId="25794" xr:uid="{00000000-0005-0000-0000-00002A2F0000}"/>
    <cellStyle name="Comma 7 3 3 6 2 2" xfId="25795" xr:uid="{00000000-0005-0000-0000-00002B2F0000}"/>
    <cellStyle name="Comma 7 3 3 6 3" xfId="25796" xr:uid="{00000000-0005-0000-0000-00002C2F0000}"/>
    <cellStyle name="Comma 7 3 3 7" xfId="25797" xr:uid="{00000000-0005-0000-0000-00002D2F0000}"/>
    <cellStyle name="Comma 7 3 3 7 2" xfId="25798" xr:uid="{00000000-0005-0000-0000-00002E2F0000}"/>
    <cellStyle name="Comma 7 3 3 8" xfId="25799" xr:uid="{00000000-0005-0000-0000-00002F2F0000}"/>
    <cellStyle name="Comma 7 3 4" xfId="25800" xr:uid="{00000000-0005-0000-0000-0000302F0000}"/>
    <cellStyle name="Comma 7 3 4 2" xfId="25801" xr:uid="{00000000-0005-0000-0000-0000312F0000}"/>
    <cellStyle name="Comma 7 3 4 2 2" xfId="25802" xr:uid="{00000000-0005-0000-0000-0000322F0000}"/>
    <cellStyle name="Comma 7 3 4 2 2 2" xfId="25803" xr:uid="{00000000-0005-0000-0000-0000332F0000}"/>
    <cellStyle name="Comma 7 3 4 2 2 2 2" xfId="25804" xr:uid="{00000000-0005-0000-0000-0000342F0000}"/>
    <cellStyle name="Comma 7 3 4 2 2 2 2 2" xfId="25805" xr:uid="{00000000-0005-0000-0000-0000352F0000}"/>
    <cellStyle name="Comma 7 3 4 2 2 2 3" xfId="25806" xr:uid="{00000000-0005-0000-0000-0000362F0000}"/>
    <cellStyle name="Comma 7 3 4 2 2 3" xfId="25807" xr:uid="{00000000-0005-0000-0000-0000372F0000}"/>
    <cellStyle name="Comma 7 3 4 2 2 3 2" xfId="25808" xr:uid="{00000000-0005-0000-0000-0000382F0000}"/>
    <cellStyle name="Comma 7 3 4 2 2 4" xfId="25809" xr:uid="{00000000-0005-0000-0000-0000392F0000}"/>
    <cellStyle name="Comma 7 3 4 2 3" xfId="25810" xr:uid="{00000000-0005-0000-0000-00003A2F0000}"/>
    <cellStyle name="Comma 7 3 4 2 3 2" xfId="25811" xr:uid="{00000000-0005-0000-0000-00003B2F0000}"/>
    <cellStyle name="Comma 7 3 4 2 3 2 2" xfId="25812" xr:uid="{00000000-0005-0000-0000-00003C2F0000}"/>
    <cellStyle name="Comma 7 3 4 2 3 2 2 2" xfId="25813" xr:uid="{00000000-0005-0000-0000-00003D2F0000}"/>
    <cellStyle name="Comma 7 3 4 2 3 2 3" xfId="25814" xr:uid="{00000000-0005-0000-0000-00003E2F0000}"/>
    <cellStyle name="Comma 7 3 4 2 3 3" xfId="25815" xr:uid="{00000000-0005-0000-0000-00003F2F0000}"/>
    <cellStyle name="Comma 7 3 4 2 3 3 2" xfId="25816" xr:uid="{00000000-0005-0000-0000-0000402F0000}"/>
    <cellStyle name="Comma 7 3 4 2 3 4" xfId="25817" xr:uid="{00000000-0005-0000-0000-0000412F0000}"/>
    <cellStyle name="Comma 7 3 4 2 4" xfId="25818" xr:uid="{00000000-0005-0000-0000-0000422F0000}"/>
    <cellStyle name="Comma 7 3 4 2 4 2" xfId="25819" xr:uid="{00000000-0005-0000-0000-0000432F0000}"/>
    <cellStyle name="Comma 7 3 4 2 4 2 2" xfId="25820" xr:uid="{00000000-0005-0000-0000-0000442F0000}"/>
    <cellStyle name="Comma 7 3 4 2 4 3" xfId="25821" xr:uid="{00000000-0005-0000-0000-0000452F0000}"/>
    <cellStyle name="Comma 7 3 4 2 5" xfId="25822" xr:uid="{00000000-0005-0000-0000-0000462F0000}"/>
    <cellStyle name="Comma 7 3 4 2 5 2" xfId="25823" xr:uid="{00000000-0005-0000-0000-0000472F0000}"/>
    <cellStyle name="Comma 7 3 4 2 6" xfId="25824" xr:uid="{00000000-0005-0000-0000-0000482F0000}"/>
    <cellStyle name="Comma 7 3 4 3" xfId="25825" xr:uid="{00000000-0005-0000-0000-0000492F0000}"/>
    <cellStyle name="Comma 7 3 4 3 2" xfId="25826" xr:uid="{00000000-0005-0000-0000-00004A2F0000}"/>
    <cellStyle name="Comma 7 3 4 3 2 2" xfId="25827" xr:uid="{00000000-0005-0000-0000-00004B2F0000}"/>
    <cellStyle name="Comma 7 3 4 3 2 2 2" xfId="25828" xr:uid="{00000000-0005-0000-0000-00004C2F0000}"/>
    <cellStyle name="Comma 7 3 4 3 2 2 2 2" xfId="25829" xr:uid="{00000000-0005-0000-0000-00004D2F0000}"/>
    <cellStyle name="Comma 7 3 4 3 2 2 3" xfId="25830" xr:uid="{00000000-0005-0000-0000-00004E2F0000}"/>
    <cellStyle name="Comma 7 3 4 3 2 3" xfId="25831" xr:uid="{00000000-0005-0000-0000-00004F2F0000}"/>
    <cellStyle name="Comma 7 3 4 3 2 3 2" xfId="25832" xr:uid="{00000000-0005-0000-0000-0000502F0000}"/>
    <cellStyle name="Comma 7 3 4 3 2 4" xfId="25833" xr:uid="{00000000-0005-0000-0000-0000512F0000}"/>
    <cellStyle name="Comma 7 3 4 3 3" xfId="25834" xr:uid="{00000000-0005-0000-0000-0000522F0000}"/>
    <cellStyle name="Comma 7 3 4 3 3 2" xfId="25835" xr:uid="{00000000-0005-0000-0000-0000532F0000}"/>
    <cellStyle name="Comma 7 3 4 3 3 2 2" xfId="25836" xr:uid="{00000000-0005-0000-0000-0000542F0000}"/>
    <cellStyle name="Comma 7 3 4 3 3 3" xfId="25837" xr:uid="{00000000-0005-0000-0000-0000552F0000}"/>
    <cellStyle name="Comma 7 3 4 3 4" xfId="25838" xr:uid="{00000000-0005-0000-0000-0000562F0000}"/>
    <cellStyle name="Comma 7 3 4 3 4 2" xfId="25839" xr:uid="{00000000-0005-0000-0000-0000572F0000}"/>
    <cellStyle name="Comma 7 3 4 3 5" xfId="25840" xr:uid="{00000000-0005-0000-0000-0000582F0000}"/>
    <cellStyle name="Comma 7 3 4 4" xfId="25841" xr:uid="{00000000-0005-0000-0000-0000592F0000}"/>
    <cellStyle name="Comma 7 3 4 4 2" xfId="25842" xr:uid="{00000000-0005-0000-0000-00005A2F0000}"/>
    <cellStyle name="Comma 7 3 4 4 2 2" xfId="25843" xr:uid="{00000000-0005-0000-0000-00005B2F0000}"/>
    <cellStyle name="Comma 7 3 4 4 2 2 2" xfId="25844" xr:uid="{00000000-0005-0000-0000-00005C2F0000}"/>
    <cellStyle name="Comma 7 3 4 4 2 3" xfId="25845" xr:uid="{00000000-0005-0000-0000-00005D2F0000}"/>
    <cellStyle name="Comma 7 3 4 4 3" xfId="25846" xr:uid="{00000000-0005-0000-0000-00005E2F0000}"/>
    <cellStyle name="Comma 7 3 4 4 3 2" xfId="25847" xr:uid="{00000000-0005-0000-0000-00005F2F0000}"/>
    <cellStyle name="Comma 7 3 4 4 4" xfId="25848" xr:uid="{00000000-0005-0000-0000-0000602F0000}"/>
    <cellStyle name="Comma 7 3 4 5" xfId="25849" xr:uid="{00000000-0005-0000-0000-0000612F0000}"/>
    <cellStyle name="Comma 7 3 4 5 2" xfId="25850" xr:uid="{00000000-0005-0000-0000-0000622F0000}"/>
    <cellStyle name="Comma 7 3 4 5 2 2" xfId="25851" xr:uid="{00000000-0005-0000-0000-0000632F0000}"/>
    <cellStyle name="Comma 7 3 4 5 2 2 2" xfId="25852" xr:uid="{00000000-0005-0000-0000-0000642F0000}"/>
    <cellStyle name="Comma 7 3 4 5 2 3" xfId="25853" xr:uid="{00000000-0005-0000-0000-0000652F0000}"/>
    <cellStyle name="Comma 7 3 4 5 3" xfId="25854" xr:uid="{00000000-0005-0000-0000-0000662F0000}"/>
    <cellStyle name="Comma 7 3 4 5 3 2" xfId="25855" xr:uid="{00000000-0005-0000-0000-0000672F0000}"/>
    <cellStyle name="Comma 7 3 4 5 4" xfId="25856" xr:uid="{00000000-0005-0000-0000-0000682F0000}"/>
    <cellStyle name="Comma 7 3 4 6" xfId="25857" xr:uid="{00000000-0005-0000-0000-0000692F0000}"/>
    <cellStyle name="Comma 7 3 4 6 2" xfId="25858" xr:uid="{00000000-0005-0000-0000-00006A2F0000}"/>
    <cellStyle name="Comma 7 3 4 6 2 2" xfId="25859" xr:uid="{00000000-0005-0000-0000-00006B2F0000}"/>
    <cellStyle name="Comma 7 3 4 6 3" xfId="25860" xr:uid="{00000000-0005-0000-0000-00006C2F0000}"/>
    <cellStyle name="Comma 7 3 4 7" xfId="25861" xr:uid="{00000000-0005-0000-0000-00006D2F0000}"/>
    <cellStyle name="Comma 7 3 4 7 2" xfId="25862" xr:uid="{00000000-0005-0000-0000-00006E2F0000}"/>
    <cellStyle name="Comma 7 3 4 8" xfId="25863" xr:uid="{00000000-0005-0000-0000-00006F2F0000}"/>
    <cellStyle name="Comma 7 3 5" xfId="25864" xr:uid="{00000000-0005-0000-0000-0000702F0000}"/>
    <cellStyle name="Comma 7 3 5 2" xfId="25865" xr:uid="{00000000-0005-0000-0000-0000712F0000}"/>
    <cellStyle name="Comma 7 3 5 2 2" xfId="25866" xr:uid="{00000000-0005-0000-0000-0000722F0000}"/>
    <cellStyle name="Comma 7 3 5 2 2 2" xfId="25867" xr:uid="{00000000-0005-0000-0000-0000732F0000}"/>
    <cellStyle name="Comma 7 3 5 2 2 2 2" xfId="25868" xr:uid="{00000000-0005-0000-0000-0000742F0000}"/>
    <cellStyle name="Comma 7 3 5 2 2 3" xfId="25869" xr:uid="{00000000-0005-0000-0000-0000752F0000}"/>
    <cellStyle name="Comma 7 3 5 2 3" xfId="25870" xr:uid="{00000000-0005-0000-0000-0000762F0000}"/>
    <cellStyle name="Comma 7 3 5 2 3 2" xfId="25871" xr:uid="{00000000-0005-0000-0000-0000772F0000}"/>
    <cellStyle name="Comma 7 3 5 2 4" xfId="25872" xr:uid="{00000000-0005-0000-0000-0000782F0000}"/>
    <cellStyle name="Comma 7 3 5 3" xfId="25873" xr:uid="{00000000-0005-0000-0000-0000792F0000}"/>
    <cellStyle name="Comma 7 3 5 3 2" xfId="25874" xr:uid="{00000000-0005-0000-0000-00007A2F0000}"/>
    <cellStyle name="Comma 7 3 5 3 2 2" xfId="25875" xr:uid="{00000000-0005-0000-0000-00007B2F0000}"/>
    <cellStyle name="Comma 7 3 5 3 2 2 2" xfId="25876" xr:uid="{00000000-0005-0000-0000-00007C2F0000}"/>
    <cellStyle name="Comma 7 3 5 3 2 3" xfId="25877" xr:uid="{00000000-0005-0000-0000-00007D2F0000}"/>
    <cellStyle name="Comma 7 3 5 3 3" xfId="25878" xr:uid="{00000000-0005-0000-0000-00007E2F0000}"/>
    <cellStyle name="Comma 7 3 5 3 3 2" xfId="25879" xr:uid="{00000000-0005-0000-0000-00007F2F0000}"/>
    <cellStyle name="Comma 7 3 5 3 4" xfId="25880" xr:uid="{00000000-0005-0000-0000-0000802F0000}"/>
    <cellStyle name="Comma 7 3 5 4" xfId="25881" xr:uid="{00000000-0005-0000-0000-0000812F0000}"/>
    <cellStyle name="Comma 7 3 5 4 2" xfId="25882" xr:uid="{00000000-0005-0000-0000-0000822F0000}"/>
    <cellStyle name="Comma 7 3 5 4 2 2" xfId="25883" xr:uid="{00000000-0005-0000-0000-0000832F0000}"/>
    <cellStyle name="Comma 7 3 5 4 3" xfId="25884" xr:uid="{00000000-0005-0000-0000-0000842F0000}"/>
    <cellStyle name="Comma 7 3 5 5" xfId="25885" xr:uid="{00000000-0005-0000-0000-0000852F0000}"/>
    <cellStyle name="Comma 7 3 5 5 2" xfId="25886" xr:uid="{00000000-0005-0000-0000-0000862F0000}"/>
    <cellStyle name="Comma 7 3 5 6" xfId="25887" xr:uid="{00000000-0005-0000-0000-0000872F0000}"/>
    <cellStyle name="Comma 7 3 6" xfId="25888" xr:uid="{00000000-0005-0000-0000-0000882F0000}"/>
    <cellStyle name="Comma 7 3 6 2" xfId="25889" xr:uid="{00000000-0005-0000-0000-0000892F0000}"/>
    <cellStyle name="Comma 7 3 6 2 2" xfId="25890" xr:uid="{00000000-0005-0000-0000-00008A2F0000}"/>
    <cellStyle name="Comma 7 3 6 2 2 2" xfId="25891" xr:uid="{00000000-0005-0000-0000-00008B2F0000}"/>
    <cellStyle name="Comma 7 3 6 2 2 2 2" xfId="25892" xr:uid="{00000000-0005-0000-0000-00008C2F0000}"/>
    <cellStyle name="Comma 7 3 6 2 2 3" xfId="25893" xr:uid="{00000000-0005-0000-0000-00008D2F0000}"/>
    <cellStyle name="Comma 7 3 6 2 3" xfId="25894" xr:uid="{00000000-0005-0000-0000-00008E2F0000}"/>
    <cellStyle name="Comma 7 3 6 2 3 2" xfId="25895" xr:uid="{00000000-0005-0000-0000-00008F2F0000}"/>
    <cellStyle name="Comma 7 3 6 2 4" xfId="25896" xr:uid="{00000000-0005-0000-0000-0000902F0000}"/>
    <cellStyle name="Comma 7 3 6 3" xfId="25897" xr:uid="{00000000-0005-0000-0000-0000912F0000}"/>
    <cellStyle name="Comma 7 3 6 3 2" xfId="25898" xr:uid="{00000000-0005-0000-0000-0000922F0000}"/>
    <cellStyle name="Comma 7 3 6 3 2 2" xfId="25899" xr:uid="{00000000-0005-0000-0000-0000932F0000}"/>
    <cellStyle name="Comma 7 3 6 3 3" xfId="25900" xr:uid="{00000000-0005-0000-0000-0000942F0000}"/>
    <cellStyle name="Comma 7 3 6 4" xfId="25901" xr:uid="{00000000-0005-0000-0000-0000952F0000}"/>
    <cellStyle name="Comma 7 3 6 4 2" xfId="25902" xr:uid="{00000000-0005-0000-0000-0000962F0000}"/>
    <cellStyle name="Comma 7 3 6 5" xfId="25903" xr:uid="{00000000-0005-0000-0000-0000972F0000}"/>
    <cellStyle name="Comma 7 3 7" xfId="25904" xr:uid="{00000000-0005-0000-0000-0000982F0000}"/>
    <cellStyle name="Comma 7 3 7 2" xfId="25905" xr:uid="{00000000-0005-0000-0000-0000992F0000}"/>
    <cellStyle name="Comma 7 3 7 2 2" xfId="25906" xr:uid="{00000000-0005-0000-0000-00009A2F0000}"/>
    <cellStyle name="Comma 7 3 7 2 2 2" xfId="25907" xr:uid="{00000000-0005-0000-0000-00009B2F0000}"/>
    <cellStyle name="Comma 7 3 7 2 3" xfId="25908" xr:uid="{00000000-0005-0000-0000-00009C2F0000}"/>
    <cellStyle name="Comma 7 3 7 3" xfId="25909" xr:uid="{00000000-0005-0000-0000-00009D2F0000}"/>
    <cellStyle name="Comma 7 3 7 3 2" xfId="25910" xr:uid="{00000000-0005-0000-0000-00009E2F0000}"/>
    <cellStyle name="Comma 7 3 7 4" xfId="25911" xr:uid="{00000000-0005-0000-0000-00009F2F0000}"/>
    <cellStyle name="Comma 7 3 8" xfId="25912" xr:uid="{00000000-0005-0000-0000-0000A02F0000}"/>
    <cellStyle name="Comma 7 3 8 2" xfId="25913" xr:uid="{00000000-0005-0000-0000-0000A12F0000}"/>
    <cellStyle name="Comma 7 3 8 2 2" xfId="25914" xr:uid="{00000000-0005-0000-0000-0000A22F0000}"/>
    <cellStyle name="Comma 7 3 8 2 2 2" xfId="25915" xr:uid="{00000000-0005-0000-0000-0000A32F0000}"/>
    <cellStyle name="Comma 7 3 8 2 3" xfId="25916" xr:uid="{00000000-0005-0000-0000-0000A42F0000}"/>
    <cellStyle name="Comma 7 3 8 3" xfId="25917" xr:uid="{00000000-0005-0000-0000-0000A52F0000}"/>
    <cellStyle name="Comma 7 3 8 3 2" xfId="25918" xr:uid="{00000000-0005-0000-0000-0000A62F0000}"/>
    <cellStyle name="Comma 7 3 8 4" xfId="25919" xr:uid="{00000000-0005-0000-0000-0000A72F0000}"/>
    <cellStyle name="Comma 7 3 9" xfId="25920" xr:uid="{00000000-0005-0000-0000-0000A82F0000}"/>
    <cellStyle name="Comma 7 3 9 2" xfId="25921" xr:uid="{00000000-0005-0000-0000-0000A92F0000}"/>
    <cellStyle name="Comma 7 3 9 2 2" xfId="25922" xr:uid="{00000000-0005-0000-0000-0000AA2F0000}"/>
    <cellStyle name="Comma 7 3 9 2 2 2" xfId="25923" xr:uid="{00000000-0005-0000-0000-0000AB2F0000}"/>
    <cellStyle name="Comma 7 3 9 2 3" xfId="25924" xr:uid="{00000000-0005-0000-0000-0000AC2F0000}"/>
    <cellStyle name="Comma 7 3 9 3" xfId="25925" xr:uid="{00000000-0005-0000-0000-0000AD2F0000}"/>
    <cellStyle name="Comma 7 3 9 3 2" xfId="25926" xr:uid="{00000000-0005-0000-0000-0000AE2F0000}"/>
    <cellStyle name="Comma 7 3 9 4" xfId="25927" xr:uid="{00000000-0005-0000-0000-0000AF2F0000}"/>
    <cellStyle name="Comma 7 30" xfId="8117" xr:uid="{00000000-0005-0000-0000-0000B02F0000}"/>
    <cellStyle name="Comma 7 31" xfId="8118" xr:uid="{00000000-0005-0000-0000-0000B12F0000}"/>
    <cellStyle name="Comma 7 32" xfId="8119" xr:uid="{00000000-0005-0000-0000-0000B22F0000}"/>
    <cellStyle name="Comma 7 33" xfId="8120" xr:uid="{00000000-0005-0000-0000-0000B32F0000}"/>
    <cellStyle name="Comma 7 34" xfId="8121" xr:uid="{00000000-0005-0000-0000-0000B42F0000}"/>
    <cellStyle name="Comma 7 35" xfId="8122" xr:uid="{00000000-0005-0000-0000-0000B52F0000}"/>
    <cellStyle name="Comma 7 36" xfId="8123" xr:uid="{00000000-0005-0000-0000-0000B62F0000}"/>
    <cellStyle name="Comma 7 37" xfId="8124" xr:uid="{00000000-0005-0000-0000-0000B72F0000}"/>
    <cellStyle name="Comma 7 38" xfId="8125" xr:uid="{00000000-0005-0000-0000-0000B82F0000}"/>
    <cellStyle name="Comma 7 39" xfId="8126" xr:uid="{00000000-0005-0000-0000-0000B92F0000}"/>
    <cellStyle name="Comma 7 4" xfId="8127" xr:uid="{00000000-0005-0000-0000-0000BA2F0000}"/>
    <cellStyle name="Comma 7 4 10" xfId="25928" xr:uid="{00000000-0005-0000-0000-0000BB2F0000}"/>
    <cellStyle name="Comma 7 4 10 2" xfId="25929" xr:uid="{00000000-0005-0000-0000-0000BC2F0000}"/>
    <cellStyle name="Comma 7 4 10 2 2" xfId="25930" xr:uid="{00000000-0005-0000-0000-0000BD2F0000}"/>
    <cellStyle name="Comma 7 4 10 3" xfId="25931" xr:uid="{00000000-0005-0000-0000-0000BE2F0000}"/>
    <cellStyle name="Comma 7 4 11" xfId="25932" xr:uid="{00000000-0005-0000-0000-0000BF2F0000}"/>
    <cellStyle name="Comma 7 4 11 2" xfId="25933" xr:uid="{00000000-0005-0000-0000-0000C02F0000}"/>
    <cellStyle name="Comma 7 4 12" xfId="25934" xr:uid="{00000000-0005-0000-0000-0000C12F0000}"/>
    <cellStyle name="Comma 7 4 2" xfId="25935" xr:uid="{00000000-0005-0000-0000-0000C22F0000}"/>
    <cellStyle name="Comma 7 4 2 10" xfId="25936" xr:uid="{00000000-0005-0000-0000-0000C32F0000}"/>
    <cellStyle name="Comma 7 4 2 2" xfId="25937" xr:uid="{00000000-0005-0000-0000-0000C42F0000}"/>
    <cellStyle name="Comma 7 4 2 2 2" xfId="25938" xr:uid="{00000000-0005-0000-0000-0000C52F0000}"/>
    <cellStyle name="Comma 7 4 2 2 2 2" xfId="25939" xr:uid="{00000000-0005-0000-0000-0000C62F0000}"/>
    <cellStyle name="Comma 7 4 2 2 2 2 2" xfId="25940" xr:uid="{00000000-0005-0000-0000-0000C72F0000}"/>
    <cellStyle name="Comma 7 4 2 2 2 2 2 2" xfId="25941" xr:uid="{00000000-0005-0000-0000-0000C82F0000}"/>
    <cellStyle name="Comma 7 4 2 2 2 2 2 2 2" xfId="25942" xr:uid="{00000000-0005-0000-0000-0000C92F0000}"/>
    <cellStyle name="Comma 7 4 2 2 2 2 2 3" xfId="25943" xr:uid="{00000000-0005-0000-0000-0000CA2F0000}"/>
    <cellStyle name="Comma 7 4 2 2 2 2 3" xfId="25944" xr:uid="{00000000-0005-0000-0000-0000CB2F0000}"/>
    <cellStyle name="Comma 7 4 2 2 2 2 3 2" xfId="25945" xr:uid="{00000000-0005-0000-0000-0000CC2F0000}"/>
    <cellStyle name="Comma 7 4 2 2 2 2 4" xfId="25946" xr:uid="{00000000-0005-0000-0000-0000CD2F0000}"/>
    <cellStyle name="Comma 7 4 2 2 2 3" xfId="25947" xr:uid="{00000000-0005-0000-0000-0000CE2F0000}"/>
    <cellStyle name="Comma 7 4 2 2 2 3 2" xfId="25948" xr:uid="{00000000-0005-0000-0000-0000CF2F0000}"/>
    <cellStyle name="Comma 7 4 2 2 2 3 2 2" xfId="25949" xr:uid="{00000000-0005-0000-0000-0000D02F0000}"/>
    <cellStyle name="Comma 7 4 2 2 2 3 2 2 2" xfId="25950" xr:uid="{00000000-0005-0000-0000-0000D12F0000}"/>
    <cellStyle name="Comma 7 4 2 2 2 3 2 3" xfId="25951" xr:uid="{00000000-0005-0000-0000-0000D22F0000}"/>
    <cellStyle name="Comma 7 4 2 2 2 3 3" xfId="25952" xr:uid="{00000000-0005-0000-0000-0000D32F0000}"/>
    <cellStyle name="Comma 7 4 2 2 2 3 3 2" xfId="25953" xr:uid="{00000000-0005-0000-0000-0000D42F0000}"/>
    <cellStyle name="Comma 7 4 2 2 2 3 4" xfId="25954" xr:uid="{00000000-0005-0000-0000-0000D52F0000}"/>
    <cellStyle name="Comma 7 4 2 2 2 4" xfId="25955" xr:uid="{00000000-0005-0000-0000-0000D62F0000}"/>
    <cellStyle name="Comma 7 4 2 2 2 4 2" xfId="25956" xr:uid="{00000000-0005-0000-0000-0000D72F0000}"/>
    <cellStyle name="Comma 7 4 2 2 2 4 2 2" xfId="25957" xr:uid="{00000000-0005-0000-0000-0000D82F0000}"/>
    <cellStyle name="Comma 7 4 2 2 2 4 3" xfId="25958" xr:uid="{00000000-0005-0000-0000-0000D92F0000}"/>
    <cellStyle name="Comma 7 4 2 2 2 5" xfId="25959" xr:uid="{00000000-0005-0000-0000-0000DA2F0000}"/>
    <cellStyle name="Comma 7 4 2 2 2 5 2" xfId="25960" xr:uid="{00000000-0005-0000-0000-0000DB2F0000}"/>
    <cellStyle name="Comma 7 4 2 2 2 6" xfId="25961" xr:uid="{00000000-0005-0000-0000-0000DC2F0000}"/>
    <cellStyle name="Comma 7 4 2 2 3" xfId="25962" xr:uid="{00000000-0005-0000-0000-0000DD2F0000}"/>
    <cellStyle name="Comma 7 4 2 2 3 2" xfId="25963" xr:uid="{00000000-0005-0000-0000-0000DE2F0000}"/>
    <cellStyle name="Comma 7 4 2 2 3 2 2" xfId="25964" xr:uid="{00000000-0005-0000-0000-0000DF2F0000}"/>
    <cellStyle name="Comma 7 4 2 2 3 2 2 2" xfId="25965" xr:uid="{00000000-0005-0000-0000-0000E02F0000}"/>
    <cellStyle name="Comma 7 4 2 2 3 2 2 2 2" xfId="25966" xr:uid="{00000000-0005-0000-0000-0000E12F0000}"/>
    <cellStyle name="Comma 7 4 2 2 3 2 2 3" xfId="25967" xr:uid="{00000000-0005-0000-0000-0000E22F0000}"/>
    <cellStyle name="Comma 7 4 2 2 3 2 3" xfId="25968" xr:uid="{00000000-0005-0000-0000-0000E32F0000}"/>
    <cellStyle name="Comma 7 4 2 2 3 2 3 2" xfId="25969" xr:uid="{00000000-0005-0000-0000-0000E42F0000}"/>
    <cellStyle name="Comma 7 4 2 2 3 2 4" xfId="25970" xr:uid="{00000000-0005-0000-0000-0000E52F0000}"/>
    <cellStyle name="Comma 7 4 2 2 3 3" xfId="25971" xr:uid="{00000000-0005-0000-0000-0000E62F0000}"/>
    <cellStyle name="Comma 7 4 2 2 3 3 2" xfId="25972" xr:uid="{00000000-0005-0000-0000-0000E72F0000}"/>
    <cellStyle name="Comma 7 4 2 2 3 3 2 2" xfId="25973" xr:uid="{00000000-0005-0000-0000-0000E82F0000}"/>
    <cellStyle name="Comma 7 4 2 2 3 3 3" xfId="25974" xr:uid="{00000000-0005-0000-0000-0000E92F0000}"/>
    <cellStyle name="Comma 7 4 2 2 3 4" xfId="25975" xr:uid="{00000000-0005-0000-0000-0000EA2F0000}"/>
    <cellStyle name="Comma 7 4 2 2 3 4 2" xfId="25976" xr:uid="{00000000-0005-0000-0000-0000EB2F0000}"/>
    <cellStyle name="Comma 7 4 2 2 3 5" xfId="25977" xr:uid="{00000000-0005-0000-0000-0000EC2F0000}"/>
    <cellStyle name="Comma 7 4 2 2 4" xfId="25978" xr:uid="{00000000-0005-0000-0000-0000ED2F0000}"/>
    <cellStyle name="Comma 7 4 2 2 4 2" xfId="25979" xr:uid="{00000000-0005-0000-0000-0000EE2F0000}"/>
    <cellStyle name="Comma 7 4 2 2 4 2 2" xfId="25980" xr:uid="{00000000-0005-0000-0000-0000EF2F0000}"/>
    <cellStyle name="Comma 7 4 2 2 4 2 2 2" xfId="25981" xr:uid="{00000000-0005-0000-0000-0000F02F0000}"/>
    <cellStyle name="Comma 7 4 2 2 4 2 3" xfId="25982" xr:uid="{00000000-0005-0000-0000-0000F12F0000}"/>
    <cellStyle name="Comma 7 4 2 2 4 3" xfId="25983" xr:uid="{00000000-0005-0000-0000-0000F22F0000}"/>
    <cellStyle name="Comma 7 4 2 2 4 3 2" xfId="25984" xr:uid="{00000000-0005-0000-0000-0000F32F0000}"/>
    <cellStyle name="Comma 7 4 2 2 4 4" xfId="25985" xr:uid="{00000000-0005-0000-0000-0000F42F0000}"/>
    <cellStyle name="Comma 7 4 2 2 5" xfId="25986" xr:uid="{00000000-0005-0000-0000-0000F52F0000}"/>
    <cellStyle name="Comma 7 4 2 2 5 2" xfId="25987" xr:uid="{00000000-0005-0000-0000-0000F62F0000}"/>
    <cellStyle name="Comma 7 4 2 2 5 2 2" xfId="25988" xr:uid="{00000000-0005-0000-0000-0000F72F0000}"/>
    <cellStyle name="Comma 7 4 2 2 5 2 2 2" xfId="25989" xr:uid="{00000000-0005-0000-0000-0000F82F0000}"/>
    <cellStyle name="Comma 7 4 2 2 5 2 3" xfId="25990" xr:uid="{00000000-0005-0000-0000-0000F92F0000}"/>
    <cellStyle name="Comma 7 4 2 2 5 3" xfId="25991" xr:uid="{00000000-0005-0000-0000-0000FA2F0000}"/>
    <cellStyle name="Comma 7 4 2 2 5 3 2" xfId="25992" xr:uid="{00000000-0005-0000-0000-0000FB2F0000}"/>
    <cellStyle name="Comma 7 4 2 2 5 4" xfId="25993" xr:uid="{00000000-0005-0000-0000-0000FC2F0000}"/>
    <cellStyle name="Comma 7 4 2 2 6" xfId="25994" xr:uid="{00000000-0005-0000-0000-0000FD2F0000}"/>
    <cellStyle name="Comma 7 4 2 2 6 2" xfId="25995" xr:uid="{00000000-0005-0000-0000-0000FE2F0000}"/>
    <cellStyle name="Comma 7 4 2 2 6 2 2" xfId="25996" xr:uid="{00000000-0005-0000-0000-0000FF2F0000}"/>
    <cellStyle name="Comma 7 4 2 2 6 3" xfId="25997" xr:uid="{00000000-0005-0000-0000-000000300000}"/>
    <cellStyle name="Comma 7 4 2 2 7" xfId="25998" xr:uid="{00000000-0005-0000-0000-000001300000}"/>
    <cellStyle name="Comma 7 4 2 2 7 2" xfId="25999" xr:uid="{00000000-0005-0000-0000-000002300000}"/>
    <cellStyle name="Comma 7 4 2 2 8" xfId="26000" xr:uid="{00000000-0005-0000-0000-000003300000}"/>
    <cellStyle name="Comma 7 4 2 3" xfId="26001" xr:uid="{00000000-0005-0000-0000-000004300000}"/>
    <cellStyle name="Comma 7 4 2 3 2" xfId="26002" xr:uid="{00000000-0005-0000-0000-000005300000}"/>
    <cellStyle name="Comma 7 4 2 3 2 2" xfId="26003" xr:uid="{00000000-0005-0000-0000-000006300000}"/>
    <cellStyle name="Comma 7 4 2 3 2 2 2" xfId="26004" xr:uid="{00000000-0005-0000-0000-000007300000}"/>
    <cellStyle name="Comma 7 4 2 3 2 2 2 2" xfId="26005" xr:uid="{00000000-0005-0000-0000-000008300000}"/>
    <cellStyle name="Comma 7 4 2 3 2 2 3" xfId="26006" xr:uid="{00000000-0005-0000-0000-000009300000}"/>
    <cellStyle name="Comma 7 4 2 3 2 3" xfId="26007" xr:uid="{00000000-0005-0000-0000-00000A300000}"/>
    <cellStyle name="Comma 7 4 2 3 2 3 2" xfId="26008" xr:uid="{00000000-0005-0000-0000-00000B300000}"/>
    <cellStyle name="Comma 7 4 2 3 2 4" xfId="26009" xr:uid="{00000000-0005-0000-0000-00000C300000}"/>
    <cellStyle name="Comma 7 4 2 3 3" xfId="26010" xr:uid="{00000000-0005-0000-0000-00000D300000}"/>
    <cellStyle name="Comma 7 4 2 3 3 2" xfId="26011" xr:uid="{00000000-0005-0000-0000-00000E300000}"/>
    <cellStyle name="Comma 7 4 2 3 3 2 2" xfId="26012" xr:uid="{00000000-0005-0000-0000-00000F300000}"/>
    <cellStyle name="Comma 7 4 2 3 3 2 2 2" xfId="26013" xr:uid="{00000000-0005-0000-0000-000010300000}"/>
    <cellStyle name="Comma 7 4 2 3 3 2 3" xfId="26014" xr:uid="{00000000-0005-0000-0000-000011300000}"/>
    <cellStyle name="Comma 7 4 2 3 3 3" xfId="26015" xr:uid="{00000000-0005-0000-0000-000012300000}"/>
    <cellStyle name="Comma 7 4 2 3 3 3 2" xfId="26016" xr:uid="{00000000-0005-0000-0000-000013300000}"/>
    <cellStyle name="Comma 7 4 2 3 3 4" xfId="26017" xr:uid="{00000000-0005-0000-0000-000014300000}"/>
    <cellStyle name="Comma 7 4 2 3 4" xfId="26018" xr:uid="{00000000-0005-0000-0000-000015300000}"/>
    <cellStyle name="Comma 7 4 2 3 4 2" xfId="26019" xr:uid="{00000000-0005-0000-0000-000016300000}"/>
    <cellStyle name="Comma 7 4 2 3 4 2 2" xfId="26020" xr:uid="{00000000-0005-0000-0000-000017300000}"/>
    <cellStyle name="Comma 7 4 2 3 4 3" xfId="26021" xr:uid="{00000000-0005-0000-0000-000018300000}"/>
    <cellStyle name="Comma 7 4 2 3 5" xfId="26022" xr:uid="{00000000-0005-0000-0000-000019300000}"/>
    <cellStyle name="Comma 7 4 2 3 5 2" xfId="26023" xr:uid="{00000000-0005-0000-0000-00001A300000}"/>
    <cellStyle name="Comma 7 4 2 3 6" xfId="26024" xr:uid="{00000000-0005-0000-0000-00001B300000}"/>
    <cellStyle name="Comma 7 4 2 4" xfId="26025" xr:uid="{00000000-0005-0000-0000-00001C300000}"/>
    <cellStyle name="Comma 7 4 2 4 2" xfId="26026" xr:uid="{00000000-0005-0000-0000-00001D300000}"/>
    <cellStyle name="Comma 7 4 2 4 2 2" xfId="26027" xr:uid="{00000000-0005-0000-0000-00001E300000}"/>
    <cellStyle name="Comma 7 4 2 4 2 2 2" xfId="26028" xr:uid="{00000000-0005-0000-0000-00001F300000}"/>
    <cellStyle name="Comma 7 4 2 4 2 2 2 2" xfId="26029" xr:uid="{00000000-0005-0000-0000-000020300000}"/>
    <cellStyle name="Comma 7 4 2 4 2 2 3" xfId="26030" xr:uid="{00000000-0005-0000-0000-000021300000}"/>
    <cellStyle name="Comma 7 4 2 4 2 3" xfId="26031" xr:uid="{00000000-0005-0000-0000-000022300000}"/>
    <cellStyle name="Comma 7 4 2 4 2 3 2" xfId="26032" xr:uid="{00000000-0005-0000-0000-000023300000}"/>
    <cellStyle name="Comma 7 4 2 4 2 4" xfId="26033" xr:uid="{00000000-0005-0000-0000-000024300000}"/>
    <cellStyle name="Comma 7 4 2 4 3" xfId="26034" xr:uid="{00000000-0005-0000-0000-000025300000}"/>
    <cellStyle name="Comma 7 4 2 4 3 2" xfId="26035" xr:uid="{00000000-0005-0000-0000-000026300000}"/>
    <cellStyle name="Comma 7 4 2 4 3 2 2" xfId="26036" xr:uid="{00000000-0005-0000-0000-000027300000}"/>
    <cellStyle name="Comma 7 4 2 4 3 3" xfId="26037" xr:uid="{00000000-0005-0000-0000-000028300000}"/>
    <cellStyle name="Comma 7 4 2 4 4" xfId="26038" xr:uid="{00000000-0005-0000-0000-000029300000}"/>
    <cellStyle name="Comma 7 4 2 4 4 2" xfId="26039" xr:uid="{00000000-0005-0000-0000-00002A300000}"/>
    <cellStyle name="Comma 7 4 2 4 5" xfId="26040" xr:uid="{00000000-0005-0000-0000-00002B300000}"/>
    <cellStyle name="Comma 7 4 2 5" xfId="26041" xr:uid="{00000000-0005-0000-0000-00002C300000}"/>
    <cellStyle name="Comma 7 4 2 5 2" xfId="26042" xr:uid="{00000000-0005-0000-0000-00002D300000}"/>
    <cellStyle name="Comma 7 4 2 5 2 2" xfId="26043" xr:uid="{00000000-0005-0000-0000-00002E300000}"/>
    <cellStyle name="Comma 7 4 2 5 2 2 2" xfId="26044" xr:uid="{00000000-0005-0000-0000-00002F300000}"/>
    <cellStyle name="Comma 7 4 2 5 2 3" xfId="26045" xr:uid="{00000000-0005-0000-0000-000030300000}"/>
    <cellStyle name="Comma 7 4 2 5 3" xfId="26046" xr:uid="{00000000-0005-0000-0000-000031300000}"/>
    <cellStyle name="Comma 7 4 2 5 3 2" xfId="26047" xr:uid="{00000000-0005-0000-0000-000032300000}"/>
    <cellStyle name="Comma 7 4 2 5 4" xfId="26048" xr:uid="{00000000-0005-0000-0000-000033300000}"/>
    <cellStyle name="Comma 7 4 2 6" xfId="26049" xr:uid="{00000000-0005-0000-0000-000034300000}"/>
    <cellStyle name="Comma 7 4 2 6 2" xfId="26050" xr:uid="{00000000-0005-0000-0000-000035300000}"/>
    <cellStyle name="Comma 7 4 2 6 2 2" xfId="26051" xr:uid="{00000000-0005-0000-0000-000036300000}"/>
    <cellStyle name="Comma 7 4 2 6 2 2 2" xfId="26052" xr:uid="{00000000-0005-0000-0000-000037300000}"/>
    <cellStyle name="Comma 7 4 2 6 2 3" xfId="26053" xr:uid="{00000000-0005-0000-0000-000038300000}"/>
    <cellStyle name="Comma 7 4 2 6 3" xfId="26054" xr:uid="{00000000-0005-0000-0000-000039300000}"/>
    <cellStyle name="Comma 7 4 2 6 3 2" xfId="26055" xr:uid="{00000000-0005-0000-0000-00003A300000}"/>
    <cellStyle name="Comma 7 4 2 6 4" xfId="26056" xr:uid="{00000000-0005-0000-0000-00003B300000}"/>
    <cellStyle name="Comma 7 4 2 7" xfId="26057" xr:uid="{00000000-0005-0000-0000-00003C300000}"/>
    <cellStyle name="Comma 7 4 2 7 2" xfId="26058" xr:uid="{00000000-0005-0000-0000-00003D300000}"/>
    <cellStyle name="Comma 7 4 2 7 2 2" xfId="26059" xr:uid="{00000000-0005-0000-0000-00003E300000}"/>
    <cellStyle name="Comma 7 4 2 7 2 2 2" xfId="26060" xr:uid="{00000000-0005-0000-0000-00003F300000}"/>
    <cellStyle name="Comma 7 4 2 7 2 3" xfId="26061" xr:uid="{00000000-0005-0000-0000-000040300000}"/>
    <cellStyle name="Comma 7 4 2 7 3" xfId="26062" xr:uid="{00000000-0005-0000-0000-000041300000}"/>
    <cellStyle name="Comma 7 4 2 7 3 2" xfId="26063" xr:uid="{00000000-0005-0000-0000-000042300000}"/>
    <cellStyle name="Comma 7 4 2 7 4" xfId="26064" xr:uid="{00000000-0005-0000-0000-000043300000}"/>
    <cellStyle name="Comma 7 4 2 8" xfId="26065" xr:uid="{00000000-0005-0000-0000-000044300000}"/>
    <cellStyle name="Comma 7 4 2 8 2" xfId="26066" xr:uid="{00000000-0005-0000-0000-000045300000}"/>
    <cellStyle name="Comma 7 4 2 8 2 2" xfId="26067" xr:uid="{00000000-0005-0000-0000-000046300000}"/>
    <cellStyle name="Comma 7 4 2 8 3" xfId="26068" xr:uid="{00000000-0005-0000-0000-000047300000}"/>
    <cellStyle name="Comma 7 4 2 9" xfId="26069" xr:uid="{00000000-0005-0000-0000-000048300000}"/>
    <cellStyle name="Comma 7 4 2 9 2" xfId="26070" xr:uid="{00000000-0005-0000-0000-000049300000}"/>
    <cellStyle name="Comma 7 4 3" xfId="26071" xr:uid="{00000000-0005-0000-0000-00004A300000}"/>
    <cellStyle name="Comma 7 4 3 2" xfId="26072" xr:uid="{00000000-0005-0000-0000-00004B300000}"/>
    <cellStyle name="Comma 7 4 3 2 2" xfId="26073" xr:uid="{00000000-0005-0000-0000-00004C300000}"/>
    <cellStyle name="Comma 7 4 3 2 2 2" xfId="26074" xr:uid="{00000000-0005-0000-0000-00004D300000}"/>
    <cellStyle name="Comma 7 4 3 2 2 2 2" xfId="26075" xr:uid="{00000000-0005-0000-0000-00004E300000}"/>
    <cellStyle name="Comma 7 4 3 2 2 2 2 2" xfId="26076" xr:uid="{00000000-0005-0000-0000-00004F300000}"/>
    <cellStyle name="Comma 7 4 3 2 2 2 3" xfId="26077" xr:uid="{00000000-0005-0000-0000-000050300000}"/>
    <cellStyle name="Comma 7 4 3 2 2 3" xfId="26078" xr:uid="{00000000-0005-0000-0000-000051300000}"/>
    <cellStyle name="Comma 7 4 3 2 2 3 2" xfId="26079" xr:uid="{00000000-0005-0000-0000-000052300000}"/>
    <cellStyle name="Comma 7 4 3 2 2 4" xfId="26080" xr:uid="{00000000-0005-0000-0000-000053300000}"/>
    <cellStyle name="Comma 7 4 3 2 3" xfId="26081" xr:uid="{00000000-0005-0000-0000-000054300000}"/>
    <cellStyle name="Comma 7 4 3 2 3 2" xfId="26082" xr:uid="{00000000-0005-0000-0000-000055300000}"/>
    <cellStyle name="Comma 7 4 3 2 3 2 2" xfId="26083" xr:uid="{00000000-0005-0000-0000-000056300000}"/>
    <cellStyle name="Comma 7 4 3 2 3 2 2 2" xfId="26084" xr:uid="{00000000-0005-0000-0000-000057300000}"/>
    <cellStyle name="Comma 7 4 3 2 3 2 3" xfId="26085" xr:uid="{00000000-0005-0000-0000-000058300000}"/>
    <cellStyle name="Comma 7 4 3 2 3 3" xfId="26086" xr:uid="{00000000-0005-0000-0000-000059300000}"/>
    <cellStyle name="Comma 7 4 3 2 3 3 2" xfId="26087" xr:uid="{00000000-0005-0000-0000-00005A300000}"/>
    <cellStyle name="Comma 7 4 3 2 3 4" xfId="26088" xr:uid="{00000000-0005-0000-0000-00005B300000}"/>
    <cellStyle name="Comma 7 4 3 2 4" xfId="26089" xr:uid="{00000000-0005-0000-0000-00005C300000}"/>
    <cellStyle name="Comma 7 4 3 2 4 2" xfId="26090" xr:uid="{00000000-0005-0000-0000-00005D300000}"/>
    <cellStyle name="Comma 7 4 3 2 4 2 2" xfId="26091" xr:uid="{00000000-0005-0000-0000-00005E300000}"/>
    <cellStyle name="Comma 7 4 3 2 4 3" xfId="26092" xr:uid="{00000000-0005-0000-0000-00005F300000}"/>
    <cellStyle name="Comma 7 4 3 2 5" xfId="26093" xr:uid="{00000000-0005-0000-0000-000060300000}"/>
    <cellStyle name="Comma 7 4 3 2 5 2" xfId="26094" xr:uid="{00000000-0005-0000-0000-000061300000}"/>
    <cellStyle name="Comma 7 4 3 2 6" xfId="26095" xr:uid="{00000000-0005-0000-0000-000062300000}"/>
    <cellStyle name="Comma 7 4 3 3" xfId="26096" xr:uid="{00000000-0005-0000-0000-000063300000}"/>
    <cellStyle name="Comma 7 4 3 3 2" xfId="26097" xr:uid="{00000000-0005-0000-0000-000064300000}"/>
    <cellStyle name="Comma 7 4 3 3 2 2" xfId="26098" xr:uid="{00000000-0005-0000-0000-000065300000}"/>
    <cellStyle name="Comma 7 4 3 3 2 2 2" xfId="26099" xr:uid="{00000000-0005-0000-0000-000066300000}"/>
    <cellStyle name="Comma 7 4 3 3 2 2 2 2" xfId="26100" xr:uid="{00000000-0005-0000-0000-000067300000}"/>
    <cellStyle name="Comma 7 4 3 3 2 2 3" xfId="26101" xr:uid="{00000000-0005-0000-0000-000068300000}"/>
    <cellStyle name="Comma 7 4 3 3 2 3" xfId="26102" xr:uid="{00000000-0005-0000-0000-000069300000}"/>
    <cellStyle name="Comma 7 4 3 3 2 3 2" xfId="26103" xr:uid="{00000000-0005-0000-0000-00006A300000}"/>
    <cellStyle name="Comma 7 4 3 3 2 4" xfId="26104" xr:uid="{00000000-0005-0000-0000-00006B300000}"/>
    <cellStyle name="Comma 7 4 3 3 3" xfId="26105" xr:uid="{00000000-0005-0000-0000-00006C300000}"/>
    <cellStyle name="Comma 7 4 3 3 3 2" xfId="26106" xr:uid="{00000000-0005-0000-0000-00006D300000}"/>
    <cellStyle name="Comma 7 4 3 3 3 2 2" xfId="26107" xr:uid="{00000000-0005-0000-0000-00006E300000}"/>
    <cellStyle name="Comma 7 4 3 3 3 3" xfId="26108" xr:uid="{00000000-0005-0000-0000-00006F300000}"/>
    <cellStyle name="Comma 7 4 3 3 4" xfId="26109" xr:uid="{00000000-0005-0000-0000-000070300000}"/>
    <cellStyle name="Comma 7 4 3 3 4 2" xfId="26110" xr:uid="{00000000-0005-0000-0000-000071300000}"/>
    <cellStyle name="Comma 7 4 3 3 5" xfId="26111" xr:uid="{00000000-0005-0000-0000-000072300000}"/>
    <cellStyle name="Comma 7 4 3 4" xfId="26112" xr:uid="{00000000-0005-0000-0000-000073300000}"/>
    <cellStyle name="Comma 7 4 3 4 2" xfId="26113" xr:uid="{00000000-0005-0000-0000-000074300000}"/>
    <cellStyle name="Comma 7 4 3 4 2 2" xfId="26114" xr:uid="{00000000-0005-0000-0000-000075300000}"/>
    <cellStyle name="Comma 7 4 3 4 2 2 2" xfId="26115" xr:uid="{00000000-0005-0000-0000-000076300000}"/>
    <cellStyle name="Comma 7 4 3 4 2 3" xfId="26116" xr:uid="{00000000-0005-0000-0000-000077300000}"/>
    <cellStyle name="Comma 7 4 3 4 3" xfId="26117" xr:uid="{00000000-0005-0000-0000-000078300000}"/>
    <cellStyle name="Comma 7 4 3 4 3 2" xfId="26118" xr:uid="{00000000-0005-0000-0000-000079300000}"/>
    <cellStyle name="Comma 7 4 3 4 4" xfId="26119" xr:uid="{00000000-0005-0000-0000-00007A300000}"/>
    <cellStyle name="Comma 7 4 3 5" xfId="26120" xr:uid="{00000000-0005-0000-0000-00007B300000}"/>
    <cellStyle name="Comma 7 4 3 5 2" xfId="26121" xr:uid="{00000000-0005-0000-0000-00007C300000}"/>
    <cellStyle name="Comma 7 4 3 5 2 2" xfId="26122" xr:uid="{00000000-0005-0000-0000-00007D300000}"/>
    <cellStyle name="Comma 7 4 3 5 2 2 2" xfId="26123" xr:uid="{00000000-0005-0000-0000-00007E300000}"/>
    <cellStyle name="Comma 7 4 3 5 2 3" xfId="26124" xr:uid="{00000000-0005-0000-0000-00007F300000}"/>
    <cellStyle name="Comma 7 4 3 5 3" xfId="26125" xr:uid="{00000000-0005-0000-0000-000080300000}"/>
    <cellStyle name="Comma 7 4 3 5 3 2" xfId="26126" xr:uid="{00000000-0005-0000-0000-000081300000}"/>
    <cellStyle name="Comma 7 4 3 5 4" xfId="26127" xr:uid="{00000000-0005-0000-0000-000082300000}"/>
    <cellStyle name="Comma 7 4 3 6" xfId="26128" xr:uid="{00000000-0005-0000-0000-000083300000}"/>
    <cellStyle name="Comma 7 4 3 6 2" xfId="26129" xr:uid="{00000000-0005-0000-0000-000084300000}"/>
    <cellStyle name="Comma 7 4 3 6 2 2" xfId="26130" xr:uid="{00000000-0005-0000-0000-000085300000}"/>
    <cellStyle name="Comma 7 4 3 6 3" xfId="26131" xr:uid="{00000000-0005-0000-0000-000086300000}"/>
    <cellStyle name="Comma 7 4 3 7" xfId="26132" xr:uid="{00000000-0005-0000-0000-000087300000}"/>
    <cellStyle name="Comma 7 4 3 7 2" xfId="26133" xr:uid="{00000000-0005-0000-0000-000088300000}"/>
    <cellStyle name="Comma 7 4 3 8" xfId="26134" xr:uid="{00000000-0005-0000-0000-000089300000}"/>
    <cellStyle name="Comma 7 4 4" xfId="26135" xr:uid="{00000000-0005-0000-0000-00008A300000}"/>
    <cellStyle name="Comma 7 4 4 2" xfId="26136" xr:uid="{00000000-0005-0000-0000-00008B300000}"/>
    <cellStyle name="Comma 7 4 4 2 2" xfId="26137" xr:uid="{00000000-0005-0000-0000-00008C300000}"/>
    <cellStyle name="Comma 7 4 4 2 2 2" xfId="26138" xr:uid="{00000000-0005-0000-0000-00008D300000}"/>
    <cellStyle name="Comma 7 4 4 2 2 2 2" xfId="26139" xr:uid="{00000000-0005-0000-0000-00008E300000}"/>
    <cellStyle name="Comma 7 4 4 2 2 2 2 2" xfId="26140" xr:uid="{00000000-0005-0000-0000-00008F300000}"/>
    <cellStyle name="Comma 7 4 4 2 2 2 3" xfId="26141" xr:uid="{00000000-0005-0000-0000-000090300000}"/>
    <cellStyle name="Comma 7 4 4 2 2 3" xfId="26142" xr:uid="{00000000-0005-0000-0000-000091300000}"/>
    <cellStyle name="Comma 7 4 4 2 2 3 2" xfId="26143" xr:uid="{00000000-0005-0000-0000-000092300000}"/>
    <cellStyle name="Comma 7 4 4 2 2 4" xfId="26144" xr:uid="{00000000-0005-0000-0000-000093300000}"/>
    <cellStyle name="Comma 7 4 4 2 3" xfId="26145" xr:uid="{00000000-0005-0000-0000-000094300000}"/>
    <cellStyle name="Comma 7 4 4 2 3 2" xfId="26146" xr:uid="{00000000-0005-0000-0000-000095300000}"/>
    <cellStyle name="Comma 7 4 4 2 3 2 2" xfId="26147" xr:uid="{00000000-0005-0000-0000-000096300000}"/>
    <cellStyle name="Comma 7 4 4 2 3 2 2 2" xfId="26148" xr:uid="{00000000-0005-0000-0000-000097300000}"/>
    <cellStyle name="Comma 7 4 4 2 3 2 3" xfId="26149" xr:uid="{00000000-0005-0000-0000-000098300000}"/>
    <cellStyle name="Comma 7 4 4 2 3 3" xfId="26150" xr:uid="{00000000-0005-0000-0000-000099300000}"/>
    <cellStyle name="Comma 7 4 4 2 3 3 2" xfId="26151" xr:uid="{00000000-0005-0000-0000-00009A300000}"/>
    <cellStyle name="Comma 7 4 4 2 3 4" xfId="26152" xr:uid="{00000000-0005-0000-0000-00009B300000}"/>
    <cellStyle name="Comma 7 4 4 2 4" xfId="26153" xr:uid="{00000000-0005-0000-0000-00009C300000}"/>
    <cellStyle name="Comma 7 4 4 2 4 2" xfId="26154" xr:uid="{00000000-0005-0000-0000-00009D300000}"/>
    <cellStyle name="Comma 7 4 4 2 4 2 2" xfId="26155" xr:uid="{00000000-0005-0000-0000-00009E300000}"/>
    <cellStyle name="Comma 7 4 4 2 4 3" xfId="26156" xr:uid="{00000000-0005-0000-0000-00009F300000}"/>
    <cellStyle name="Comma 7 4 4 2 5" xfId="26157" xr:uid="{00000000-0005-0000-0000-0000A0300000}"/>
    <cellStyle name="Comma 7 4 4 2 5 2" xfId="26158" xr:uid="{00000000-0005-0000-0000-0000A1300000}"/>
    <cellStyle name="Comma 7 4 4 2 6" xfId="26159" xr:uid="{00000000-0005-0000-0000-0000A2300000}"/>
    <cellStyle name="Comma 7 4 4 3" xfId="26160" xr:uid="{00000000-0005-0000-0000-0000A3300000}"/>
    <cellStyle name="Comma 7 4 4 3 2" xfId="26161" xr:uid="{00000000-0005-0000-0000-0000A4300000}"/>
    <cellStyle name="Comma 7 4 4 3 2 2" xfId="26162" xr:uid="{00000000-0005-0000-0000-0000A5300000}"/>
    <cellStyle name="Comma 7 4 4 3 2 2 2" xfId="26163" xr:uid="{00000000-0005-0000-0000-0000A6300000}"/>
    <cellStyle name="Comma 7 4 4 3 2 2 2 2" xfId="26164" xr:uid="{00000000-0005-0000-0000-0000A7300000}"/>
    <cellStyle name="Comma 7 4 4 3 2 2 3" xfId="26165" xr:uid="{00000000-0005-0000-0000-0000A8300000}"/>
    <cellStyle name="Comma 7 4 4 3 2 3" xfId="26166" xr:uid="{00000000-0005-0000-0000-0000A9300000}"/>
    <cellStyle name="Comma 7 4 4 3 2 3 2" xfId="26167" xr:uid="{00000000-0005-0000-0000-0000AA300000}"/>
    <cellStyle name="Comma 7 4 4 3 2 4" xfId="26168" xr:uid="{00000000-0005-0000-0000-0000AB300000}"/>
    <cellStyle name="Comma 7 4 4 3 3" xfId="26169" xr:uid="{00000000-0005-0000-0000-0000AC300000}"/>
    <cellStyle name="Comma 7 4 4 3 3 2" xfId="26170" xr:uid="{00000000-0005-0000-0000-0000AD300000}"/>
    <cellStyle name="Comma 7 4 4 3 3 2 2" xfId="26171" xr:uid="{00000000-0005-0000-0000-0000AE300000}"/>
    <cellStyle name="Comma 7 4 4 3 3 3" xfId="26172" xr:uid="{00000000-0005-0000-0000-0000AF300000}"/>
    <cellStyle name="Comma 7 4 4 3 4" xfId="26173" xr:uid="{00000000-0005-0000-0000-0000B0300000}"/>
    <cellStyle name="Comma 7 4 4 3 4 2" xfId="26174" xr:uid="{00000000-0005-0000-0000-0000B1300000}"/>
    <cellStyle name="Comma 7 4 4 3 5" xfId="26175" xr:uid="{00000000-0005-0000-0000-0000B2300000}"/>
    <cellStyle name="Comma 7 4 4 4" xfId="26176" xr:uid="{00000000-0005-0000-0000-0000B3300000}"/>
    <cellStyle name="Comma 7 4 4 4 2" xfId="26177" xr:uid="{00000000-0005-0000-0000-0000B4300000}"/>
    <cellStyle name="Comma 7 4 4 4 2 2" xfId="26178" xr:uid="{00000000-0005-0000-0000-0000B5300000}"/>
    <cellStyle name="Comma 7 4 4 4 2 2 2" xfId="26179" xr:uid="{00000000-0005-0000-0000-0000B6300000}"/>
    <cellStyle name="Comma 7 4 4 4 2 3" xfId="26180" xr:uid="{00000000-0005-0000-0000-0000B7300000}"/>
    <cellStyle name="Comma 7 4 4 4 3" xfId="26181" xr:uid="{00000000-0005-0000-0000-0000B8300000}"/>
    <cellStyle name="Comma 7 4 4 4 3 2" xfId="26182" xr:uid="{00000000-0005-0000-0000-0000B9300000}"/>
    <cellStyle name="Comma 7 4 4 4 4" xfId="26183" xr:uid="{00000000-0005-0000-0000-0000BA300000}"/>
    <cellStyle name="Comma 7 4 4 5" xfId="26184" xr:uid="{00000000-0005-0000-0000-0000BB300000}"/>
    <cellStyle name="Comma 7 4 4 5 2" xfId="26185" xr:uid="{00000000-0005-0000-0000-0000BC300000}"/>
    <cellStyle name="Comma 7 4 4 5 2 2" xfId="26186" xr:uid="{00000000-0005-0000-0000-0000BD300000}"/>
    <cellStyle name="Comma 7 4 4 5 2 2 2" xfId="26187" xr:uid="{00000000-0005-0000-0000-0000BE300000}"/>
    <cellStyle name="Comma 7 4 4 5 2 3" xfId="26188" xr:uid="{00000000-0005-0000-0000-0000BF300000}"/>
    <cellStyle name="Comma 7 4 4 5 3" xfId="26189" xr:uid="{00000000-0005-0000-0000-0000C0300000}"/>
    <cellStyle name="Comma 7 4 4 5 3 2" xfId="26190" xr:uid="{00000000-0005-0000-0000-0000C1300000}"/>
    <cellStyle name="Comma 7 4 4 5 4" xfId="26191" xr:uid="{00000000-0005-0000-0000-0000C2300000}"/>
    <cellStyle name="Comma 7 4 4 6" xfId="26192" xr:uid="{00000000-0005-0000-0000-0000C3300000}"/>
    <cellStyle name="Comma 7 4 4 6 2" xfId="26193" xr:uid="{00000000-0005-0000-0000-0000C4300000}"/>
    <cellStyle name="Comma 7 4 4 6 2 2" xfId="26194" xr:uid="{00000000-0005-0000-0000-0000C5300000}"/>
    <cellStyle name="Comma 7 4 4 6 3" xfId="26195" xr:uid="{00000000-0005-0000-0000-0000C6300000}"/>
    <cellStyle name="Comma 7 4 4 7" xfId="26196" xr:uid="{00000000-0005-0000-0000-0000C7300000}"/>
    <cellStyle name="Comma 7 4 4 7 2" xfId="26197" xr:uid="{00000000-0005-0000-0000-0000C8300000}"/>
    <cellStyle name="Comma 7 4 4 8" xfId="26198" xr:uid="{00000000-0005-0000-0000-0000C9300000}"/>
    <cellStyle name="Comma 7 4 5" xfId="26199" xr:uid="{00000000-0005-0000-0000-0000CA300000}"/>
    <cellStyle name="Comma 7 4 5 2" xfId="26200" xr:uid="{00000000-0005-0000-0000-0000CB300000}"/>
    <cellStyle name="Comma 7 4 5 2 2" xfId="26201" xr:uid="{00000000-0005-0000-0000-0000CC300000}"/>
    <cellStyle name="Comma 7 4 5 2 2 2" xfId="26202" xr:uid="{00000000-0005-0000-0000-0000CD300000}"/>
    <cellStyle name="Comma 7 4 5 2 2 2 2" xfId="26203" xr:uid="{00000000-0005-0000-0000-0000CE300000}"/>
    <cellStyle name="Comma 7 4 5 2 2 3" xfId="26204" xr:uid="{00000000-0005-0000-0000-0000CF300000}"/>
    <cellStyle name="Comma 7 4 5 2 3" xfId="26205" xr:uid="{00000000-0005-0000-0000-0000D0300000}"/>
    <cellStyle name="Comma 7 4 5 2 3 2" xfId="26206" xr:uid="{00000000-0005-0000-0000-0000D1300000}"/>
    <cellStyle name="Comma 7 4 5 2 4" xfId="26207" xr:uid="{00000000-0005-0000-0000-0000D2300000}"/>
    <cellStyle name="Comma 7 4 5 3" xfId="26208" xr:uid="{00000000-0005-0000-0000-0000D3300000}"/>
    <cellStyle name="Comma 7 4 5 3 2" xfId="26209" xr:uid="{00000000-0005-0000-0000-0000D4300000}"/>
    <cellStyle name="Comma 7 4 5 3 2 2" xfId="26210" xr:uid="{00000000-0005-0000-0000-0000D5300000}"/>
    <cellStyle name="Comma 7 4 5 3 2 2 2" xfId="26211" xr:uid="{00000000-0005-0000-0000-0000D6300000}"/>
    <cellStyle name="Comma 7 4 5 3 2 3" xfId="26212" xr:uid="{00000000-0005-0000-0000-0000D7300000}"/>
    <cellStyle name="Comma 7 4 5 3 3" xfId="26213" xr:uid="{00000000-0005-0000-0000-0000D8300000}"/>
    <cellStyle name="Comma 7 4 5 3 3 2" xfId="26214" xr:uid="{00000000-0005-0000-0000-0000D9300000}"/>
    <cellStyle name="Comma 7 4 5 3 4" xfId="26215" xr:uid="{00000000-0005-0000-0000-0000DA300000}"/>
    <cellStyle name="Comma 7 4 5 4" xfId="26216" xr:uid="{00000000-0005-0000-0000-0000DB300000}"/>
    <cellStyle name="Comma 7 4 5 4 2" xfId="26217" xr:uid="{00000000-0005-0000-0000-0000DC300000}"/>
    <cellStyle name="Comma 7 4 5 4 2 2" xfId="26218" xr:uid="{00000000-0005-0000-0000-0000DD300000}"/>
    <cellStyle name="Comma 7 4 5 4 3" xfId="26219" xr:uid="{00000000-0005-0000-0000-0000DE300000}"/>
    <cellStyle name="Comma 7 4 5 5" xfId="26220" xr:uid="{00000000-0005-0000-0000-0000DF300000}"/>
    <cellStyle name="Comma 7 4 5 5 2" xfId="26221" xr:uid="{00000000-0005-0000-0000-0000E0300000}"/>
    <cellStyle name="Comma 7 4 5 6" xfId="26222" xr:uid="{00000000-0005-0000-0000-0000E1300000}"/>
    <cellStyle name="Comma 7 4 6" xfId="26223" xr:uid="{00000000-0005-0000-0000-0000E2300000}"/>
    <cellStyle name="Comma 7 4 6 2" xfId="26224" xr:uid="{00000000-0005-0000-0000-0000E3300000}"/>
    <cellStyle name="Comma 7 4 6 2 2" xfId="26225" xr:uid="{00000000-0005-0000-0000-0000E4300000}"/>
    <cellStyle name="Comma 7 4 6 2 2 2" xfId="26226" xr:uid="{00000000-0005-0000-0000-0000E5300000}"/>
    <cellStyle name="Comma 7 4 6 2 2 2 2" xfId="26227" xr:uid="{00000000-0005-0000-0000-0000E6300000}"/>
    <cellStyle name="Comma 7 4 6 2 2 3" xfId="26228" xr:uid="{00000000-0005-0000-0000-0000E7300000}"/>
    <cellStyle name="Comma 7 4 6 2 3" xfId="26229" xr:uid="{00000000-0005-0000-0000-0000E8300000}"/>
    <cellStyle name="Comma 7 4 6 2 3 2" xfId="26230" xr:uid="{00000000-0005-0000-0000-0000E9300000}"/>
    <cellStyle name="Comma 7 4 6 2 4" xfId="26231" xr:uid="{00000000-0005-0000-0000-0000EA300000}"/>
    <cellStyle name="Comma 7 4 6 3" xfId="26232" xr:uid="{00000000-0005-0000-0000-0000EB300000}"/>
    <cellStyle name="Comma 7 4 6 3 2" xfId="26233" xr:uid="{00000000-0005-0000-0000-0000EC300000}"/>
    <cellStyle name="Comma 7 4 6 3 2 2" xfId="26234" xr:uid="{00000000-0005-0000-0000-0000ED300000}"/>
    <cellStyle name="Comma 7 4 6 3 3" xfId="26235" xr:uid="{00000000-0005-0000-0000-0000EE300000}"/>
    <cellStyle name="Comma 7 4 6 4" xfId="26236" xr:uid="{00000000-0005-0000-0000-0000EF300000}"/>
    <cellStyle name="Comma 7 4 6 4 2" xfId="26237" xr:uid="{00000000-0005-0000-0000-0000F0300000}"/>
    <cellStyle name="Comma 7 4 6 5" xfId="26238" xr:uid="{00000000-0005-0000-0000-0000F1300000}"/>
    <cellStyle name="Comma 7 4 7" xfId="26239" xr:uid="{00000000-0005-0000-0000-0000F2300000}"/>
    <cellStyle name="Comma 7 4 7 2" xfId="26240" xr:uid="{00000000-0005-0000-0000-0000F3300000}"/>
    <cellStyle name="Comma 7 4 7 2 2" xfId="26241" xr:uid="{00000000-0005-0000-0000-0000F4300000}"/>
    <cellStyle name="Comma 7 4 7 2 2 2" xfId="26242" xr:uid="{00000000-0005-0000-0000-0000F5300000}"/>
    <cellStyle name="Comma 7 4 7 2 3" xfId="26243" xr:uid="{00000000-0005-0000-0000-0000F6300000}"/>
    <cellStyle name="Comma 7 4 7 3" xfId="26244" xr:uid="{00000000-0005-0000-0000-0000F7300000}"/>
    <cellStyle name="Comma 7 4 7 3 2" xfId="26245" xr:uid="{00000000-0005-0000-0000-0000F8300000}"/>
    <cellStyle name="Comma 7 4 7 4" xfId="26246" xr:uid="{00000000-0005-0000-0000-0000F9300000}"/>
    <cellStyle name="Comma 7 4 8" xfId="26247" xr:uid="{00000000-0005-0000-0000-0000FA300000}"/>
    <cellStyle name="Comma 7 4 8 2" xfId="26248" xr:uid="{00000000-0005-0000-0000-0000FB300000}"/>
    <cellStyle name="Comma 7 4 8 2 2" xfId="26249" xr:uid="{00000000-0005-0000-0000-0000FC300000}"/>
    <cellStyle name="Comma 7 4 8 2 2 2" xfId="26250" xr:uid="{00000000-0005-0000-0000-0000FD300000}"/>
    <cellStyle name="Comma 7 4 8 2 3" xfId="26251" xr:uid="{00000000-0005-0000-0000-0000FE300000}"/>
    <cellStyle name="Comma 7 4 8 3" xfId="26252" xr:uid="{00000000-0005-0000-0000-0000FF300000}"/>
    <cellStyle name="Comma 7 4 8 3 2" xfId="26253" xr:uid="{00000000-0005-0000-0000-000000310000}"/>
    <cellStyle name="Comma 7 4 8 4" xfId="26254" xr:uid="{00000000-0005-0000-0000-000001310000}"/>
    <cellStyle name="Comma 7 4 9" xfId="26255" xr:uid="{00000000-0005-0000-0000-000002310000}"/>
    <cellStyle name="Comma 7 4 9 2" xfId="26256" xr:uid="{00000000-0005-0000-0000-000003310000}"/>
    <cellStyle name="Comma 7 4 9 2 2" xfId="26257" xr:uid="{00000000-0005-0000-0000-000004310000}"/>
    <cellStyle name="Comma 7 4 9 2 2 2" xfId="26258" xr:uid="{00000000-0005-0000-0000-000005310000}"/>
    <cellStyle name="Comma 7 4 9 2 3" xfId="26259" xr:uid="{00000000-0005-0000-0000-000006310000}"/>
    <cellStyle name="Comma 7 4 9 3" xfId="26260" xr:uid="{00000000-0005-0000-0000-000007310000}"/>
    <cellStyle name="Comma 7 4 9 3 2" xfId="26261" xr:uid="{00000000-0005-0000-0000-000008310000}"/>
    <cellStyle name="Comma 7 4 9 4" xfId="26262" xr:uid="{00000000-0005-0000-0000-000009310000}"/>
    <cellStyle name="Comma 7 40" xfId="8128" xr:uid="{00000000-0005-0000-0000-00000A310000}"/>
    <cellStyle name="Comma 7 41" xfId="8129" xr:uid="{00000000-0005-0000-0000-00000B310000}"/>
    <cellStyle name="Comma 7 42" xfId="8130" xr:uid="{00000000-0005-0000-0000-00000C310000}"/>
    <cellStyle name="Comma 7 43" xfId="8131" xr:uid="{00000000-0005-0000-0000-00000D310000}"/>
    <cellStyle name="Comma 7 44" xfId="8132" xr:uid="{00000000-0005-0000-0000-00000E310000}"/>
    <cellStyle name="Comma 7 44 2" xfId="8133" xr:uid="{00000000-0005-0000-0000-00000F310000}"/>
    <cellStyle name="Comma 7 44 2 2" xfId="8134" xr:uid="{00000000-0005-0000-0000-000010310000}"/>
    <cellStyle name="Comma 7 44 2 2 2" xfId="20698" xr:uid="{00000000-0005-0000-0000-000011310000}"/>
    <cellStyle name="Comma 7 44 2 3" xfId="20697" xr:uid="{00000000-0005-0000-0000-000012310000}"/>
    <cellStyle name="Comma 7 45" xfId="22700" xr:uid="{00000000-0005-0000-0000-000013310000}"/>
    <cellStyle name="Comma 7 45 2" xfId="22701" xr:uid="{00000000-0005-0000-0000-000014310000}"/>
    <cellStyle name="Comma 7 5" xfId="8135" xr:uid="{00000000-0005-0000-0000-000015310000}"/>
    <cellStyle name="Comma 7 5 10" xfId="26263" xr:uid="{00000000-0005-0000-0000-000016310000}"/>
    <cellStyle name="Comma 7 5 2" xfId="26264" xr:uid="{00000000-0005-0000-0000-000017310000}"/>
    <cellStyle name="Comma 7 5 2 2" xfId="26265" xr:uid="{00000000-0005-0000-0000-000018310000}"/>
    <cellStyle name="Comma 7 5 2 2 2" xfId="26266" xr:uid="{00000000-0005-0000-0000-000019310000}"/>
    <cellStyle name="Comma 7 5 2 2 2 2" xfId="26267" xr:uid="{00000000-0005-0000-0000-00001A310000}"/>
    <cellStyle name="Comma 7 5 2 2 2 2 2" xfId="26268" xr:uid="{00000000-0005-0000-0000-00001B310000}"/>
    <cellStyle name="Comma 7 5 2 2 2 2 2 2" xfId="26269" xr:uid="{00000000-0005-0000-0000-00001C310000}"/>
    <cellStyle name="Comma 7 5 2 2 2 2 3" xfId="26270" xr:uid="{00000000-0005-0000-0000-00001D310000}"/>
    <cellStyle name="Comma 7 5 2 2 2 3" xfId="26271" xr:uid="{00000000-0005-0000-0000-00001E310000}"/>
    <cellStyle name="Comma 7 5 2 2 2 3 2" xfId="26272" xr:uid="{00000000-0005-0000-0000-00001F310000}"/>
    <cellStyle name="Comma 7 5 2 2 2 4" xfId="26273" xr:uid="{00000000-0005-0000-0000-000020310000}"/>
    <cellStyle name="Comma 7 5 2 2 3" xfId="26274" xr:uid="{00000000-0005-0000-0000-000021310000}"/>
    <cellStyle name="Comma 7 5 2 2 3 2" xfId="26275" xr:uid="{00000000-0005-0000-0000-000022310000}"/>
    <cellStyle name="Comma 7 5 2 2 3 2 2" xfId="26276" xr:uid="{00000000-0005-0000-0000-000023310000}"/>
    <cellStyle name="Comma 7 5 2 2 3 2 2 2" xfId="26277" xr:uid="{00000000-0005-0000-0000-000024310000}"/>
    <cellStyle name="Comma 7 5 2 2 3 2 3" xfId="26278" xr:uid="{00000000-0005-0000-0000-000025310000}"/>
    <cellStyle name="Comma 7 5 2 2 3 3" xfId="26279" xr:uid="{00000000-0005-0000-0000-000026310000}"/>
    <cellStyle name="Comma 7 5 2 2 3 3 2" xfId="26280" xr:uid="{00000000-0005-0000-0000-000027310000}"/>
    <cellStyle name="Comma 7 5 2 2 3 4" xfId="26281" xr:uid="{00000000-0005-0000-0000-000028310000}"/>
    <cellStyle name="Comma 7 5 2 2 4" xfId="26282" xr:uid="{00000000-0005-0000-0000-000029310000}"/>
    <cellStyle name="Comma 7 5 2 2 4 2" xfId="26283" xr:uid="{00000000-0005-0000-0000-00002A310000}"/>
    <cellStyle name="Comma 7 5 2 2 4 2 2" xfId="26284" xr:uid="{00000000-0005-0000-0000-00002B310000}"/>
    <cellStyle name="Comma 7 5 2 2 4 3" xfId="26285" xr:uid="{00000000-0005-0000-0000-00002C310000}"/>
    <cellStyle name="Comma 7 5 2 2 5" xfId="26286" xr:uid="{00000000-0005-0000-0000-00002D310000}"/>
    <cellStyle name="Comma 7 5 2 2 5 2" xfId="26287" xr:uid="{00000000-0005-0000-0000-00002E310000}"/>
    <cellStyle name="Comma 7 5 2 2 6" xfId="26288" xr:uid="{00000000-0005-0000-0000-00002F310000}"/>
    <cellStyle name="Comma 7 5 2 3" xfId="26289" xr:uid="{00000000-0005-0000-0000-000030310000}"/>
    <cellStyle name="Comma 7 5 2 3 2" xfId="26290" xr:uid="{00000000-0005-0000-0000-000031310000}"/>
    <cellStyle name="Comma 7 5 2 3 2 2" xfId="26291" xr:uid="{00000000-0005-0000-0000-000032310000}"/>
    <cellStyle name="Comma 7 5 2 3 2 2 2" xfId="26292" xr:uid="{00000000-0005-0000-0000-000033310000}"/>
    <cellStyle name="Comma 7 5 2 3 2 2 2 2" xfId="26293" xr:uid="{00000000-0005-0000-0000-000034310000}"/>
    <cellStyle name="Comma 7 5 2 3 2 2 3" xfId="26294" xr:uid="{00000000-0005-0000-0000-000035310000}"/>
    <cellStyle name="Comma 7 5 2 3 2 3" xfId="26295" xr:uid="{00000000-0005-0000-0000-000036310000}"/>
    <cellStyle name="Comma 7 5 2 3 2 3 2" xfId="26296" xr:uid="{00000000-0005-0000-0000-000037310000}"/>
    <cellStyle name="Comma 7 5 2 3 2 4" xfId="26297" xr:uid="{00000000-0005-0000-0000-000038310000}"/>
    <cellStyle name="Comma 7 5 2 3 3" xfId="26298" xr:uid="{00000000-0005-0000-0000-000039310000}"/>
    <cellStyle name="Comma 7 5 2 3 3 2" xfId="26299" xr:uid="{00000000-0005-0000-0000-00003A310000}"/>
    <cellStyle name="Comma 7 5 2 3 3 2 2" xfId="26300" xr:uid="{00000000-0005-0000-0000-00003B310000}"/>
    <cellStyle name="Comma 7 5 2 3 3 3" xfId="26301" xr:uid="{00000000-0005-0000-0000-00003C310000}"/>
    <cellStyle name="Comma 7 5 2 3 4" xfId="26302" xr:uid="{00000000-0005-0000-0000-00003D310000}"/>
    <cellStyle name="Comma 7 5 2 3 4 2" xfId="26303" xr:uid="{00000000-0005-0000-0000-00003E310000}"/>
    <cellStyle name="Comma 7 5 2 3 5" xfId="26304" xr:uid="{00000000-0005-0000-0000-00003F310000}"/>
    <cellStyle name="Comma 7 5 2 4" xfId="26305" xr:uid="{00000000-0005-0000-0000-000040310000}"/>
    <cellStyle name="Comma 7 5 2 4 2" xfId="26306" xr:uid="{00000000-0005-0000-0000-000041310000}"/>
    <cellStyle name="Comma 7 5 2 4 2 2" xfId="26307" xr:uid="{00000000-0005-0000-0000-000042310000}"/>
    <cellStyle name="Comma 7 5 2 4 2 2 2" xfId="26308" xr:uid="{00000000-0005-0000-0000-000043310000}"/>
    <cellStyle name="Comma 7 5 2 4 2 3" xfId="26309" xr:uid="{00000000-0005-0000-0000-000044310000}"/>
    <cellStyle name="Comma 7 5 2 4 3" xfId="26310" xr:uid="{00000000-0005-0000-0000-000045310000}"/>
    <cellStyle name="Comma 7 5 2 4 3 2" xfId="26311" xr:uid="{00000000-0005-0000-0000-000046310000}"/>
    <cellStyle name="Comma 7 5 2 4 4" xfId="26312" xr:uid="{00000000-0005-0000-0000-000047310000}"/>
    <cellStyle name="Comma 7 5 2 5" xfId="26313" xr:uid="{00000000-0005-0000-0000-000048310000}"/>
    <cellStyle name="Comma 7 5 2 5 2" xfId="26314" xr:uid="{00000000-0005-0000-0000-000049310000}"/>
    <cellStyle name="Comma 7 5 2 5 2 2" xfId="26315" xr:uid="{00000000-0005-0000-0000-00004A310000}"/>
    <cellStyle name="Comma 7 5 2 5 2 2 2" xfId="26316" xr:uid="{00000000-0005-0000-0000-00004B310000}"/>
    <cellStyle name="Comma 7 5 2 5 2 3" xfId="26317" xr:uid="{00000000-0005-0000-0000-00004C310000}"/>
    <cellStyle name="Comma 7 5 2 5 3" xfId="26318" xr:uid="{00000000-0005-0000-0000-00004D310000}"/>
    <cellStyle name="Comma 7 5 2 5 3 2" xfId="26319" xr:uid="{00000000-0005-0000-0000-00004E310000}"/>
    <cellStyle name="Comma 7 5 2 5 4" xfId="26320" xr:uid="{00000000-0005-0000-0000-00004F310000}"/>
    <cellStyle name="Comma 7 5 2 6" xfId="26321" xr:uid="{00000000-0005-0000-0000-000050310000}"/>
    <cellStyle name="Comma 7 5 2 6 2" xfId="26322" xr:uid="{00000000-0005-0000-0000-000051310000}"/>
    <cellStyle name="Comma 7 5 2 6 2 2" xfId="26323" xr:uid="{00000000-0005-0000-0000-000052310000}"/>
    <cellStyle name="Comma 7 5 2 6 3" xfId="26324" xr:uid="{00000000-0005-0000-0000-000053310000}"/>
    <cellStyle name="Comma 7 5 2 7" xfId="26325" xr:uid="{00000000-0005-0000-0000-000054310000}"/>
    <cellStyle name="Comma 7 5 2 7 2" xfId="26326" xr:uid="{00000000-0005-0000-0000-000055310000}"/>
    <cellStyle name="Comma 7 5 2 8" xfId="26327" xr:uid="{00000000-0005-0000-0000-000056310000}"/>
    <cellStyle name="Comma 7 5 3" xfId="26328" xr:uid="{00000000-0005-0000-0000-000057310000}"/>
    <cellStyle name="Comma 7 5 3 2" xfId="26329" xr:uid="{00000000-0005-0000-0000-000058310000}"/>
    <cellStyle name="Comma 7 5 3 2 2" xfId="26330" xr:uid="{00000000-0005-0000-0000-000059310000}"/>
    <cellStyle name="Comma 7 5 3 2 2 2" xfId="26331" xr:uid="{00000000-0005-0000-0000-00005A310000}"/>
    <cellStyle name="Comma 7 5 3 2 2 2 2" xfId="26332" xr:uid="{00000000-0005-0000-0000-00005B310000}"/>
    <cellStyle name="Comma 7 5 3 2 2 3" xfId="26333" xr:uid="{00000000-0005-0000-0000-00005C310000}"/>
    <cellStyle name="Comma 7 5 3 2 3" xfId="26334" xr:uid="{00000000-0005-0000-0000-00005D310000}"/>
    <cellStyle name="Comma 7 5 3 2 3 2" xfId="26335" xr:uid="{00000000-0005-0000-0000-00005E310000}"/>
    <cellStyle name="Comma 7 5 3 2 4" xfId="26336" xr:uid="{00000000-0005-0000-0000-00005F310000}"/>
    <cellStyle name="Comma 7 5 3 3" xfId="26337" xr:uid="{00000000-0005-0000-0000-000060310000}"/>
    <cellStyle name="Comma 7 5 3 3 2" xfId="26338" xr:uid="{00000000-0005-0000-0000-000061310000}"/>
    <cellStyle name="Comma 7 5 3 3 2 2" xfId="26339" xr:uid="{00000000-0005-0000-0000-000062310000}"/>
    <cellStyle name="Comma 7 5 3 3 2 2 2" xfId="26340" xr:uid="{00000000-0005-0000-0000-000063310000}"/>
    <cellStyle name="Comma 7 5 3 3 2 3" xfId="26341" xr:uid="{00000000-0005-0000-0000-000064310000}"/>
    <cellStyle name="Comma 7 5 3 3 3" xfId="26342" xr:uid="{00000000-0005-0000-0000-000065310000}"/>
    <cellStyle name="Comma 7 5 3 3 3 2" xfId="26343" xr:uid="{00000000-0005-0000-0000-000066310000}"/>
    <cellStyle name="Comma 7 5 3 3 4" xfId="26344" xr:uid="{00000000-0005-0000-0000-000067310000}"/>
    <cellStyle name="Comma 7 5 3 4" xfId="26345" xr:uid="{00000000-0005-0000-0000-000068310000}"/>
    <cellStyle name="Comma 7 5 3 4 2" xfId="26346" xr:uid="{00000000-0005-0000-0000-000069310000}"/>
    <cellStyle name="Comma 7 5 3 4 2 2" xfId="26347" xr:uid="{00000000-0005-0000-0000-00006A310000}"/>
    <cellStyle name="Comma 7 5 3 4 3" xfId="26348" xr:uid="{00000000-0005-0000-0000-00006B310000}"/>
    <cellStyle name="Comma 7 5 3 5" xfId="26349" xr:uid="{00000000-0005-0000-0000-00006C310000}"/>
    <cellStyle name="Comma 7 5 3 5 2" xfId="26350" xr:uid="{00000000-0005-0000-0000-00006D310000}"/>
    <cellStyle name="Comma 7 5 3 6" xfId="26351" xr:uid="{00000000-0005-0000-0000-00006E310000}"/>
    <cellStyle name="Comma 7 5 4" xfId="26352" xr:uid="{00000000-0005-0000-0000-00006F310000}"/>
    <cellStyle name="Comma 7 5 4 2" xfId="26353" xr:uid="{00000000-0005-0000-0000-000070310000}"/>
    <cellStyle name="Comma 7 5 4 2 2" xfId="26354" xr:uid="{00000000-0005-0000-0000-000071310000}"/>
    <cellStyle name="Comma 7 5 4 2 2 2" xfId="26355" xr:uid="{00000000-0005-0000-0000-000072310000}"/>
    <cellStyle name="Comma 7 5 4 2 2 2 2" xfId="26356" xr:uid="{00000000-0005-0000-0000-000073310000}"/>
    <cellStyle name="Comma 7 5 4 2 2 3" xfId="26357" xr:uid="{00000000-0005-0000-0000-000074310000}"/>
    <cellStyle name="Comma 7 5 4 2 3" xfId="26358" xr:uid="{00000000-0005-0000-0000-000075310000}"/>
    <cellStyle name="Comma 7 5 4 2 3 2" xfId="26359" xr:uid="{00000000-0005-0000-0000-000076310000}"/>
    <cellStyle name="Comma 7 5 4 2 4" xfId="26360" xr:uid="{00000000-0005-0000-0000-000077310000}"/>
    <cellStyle name="Comma 7 5 4 3" xfId="26361" xr:uid="{00000000-0005-0000-0000-000078310000}"/>
    <cellStyle name="Comma 7 5 4 3 2" xfId="26362" xr:uid="{00000000-0005-0000-0000-000079310000}"/>
    <cellStyle name="Comma 7 5 4 3 2 2" xfId="26363" xr:uid="{00000000-0005-0000-0000-00007A310000}"/>
    <cellStyle name="Comma 7 5 4 3 3" xfId="26364" xr:uid="{00000000-0005-0000-0000-00007B310000}"/>
    <cellStyle name="Comma 7 5 4 4" xfId="26365" xr:uid="{00000000-0005-0000-0000-00007C310000}"/>
    <cellStyle name="Comma 7 5 4 4 2" xfId="26366" xr:uid="{00000000-0005-0000-0000-00007D310000}"/>
    <cellStyle name="Comma 7 5 4 5" xfId="26367" xr:uid="{00000000-0005-0000-0000-00007E310000}"/>
    <cellStyle name="Comma 7 5 5" xfId="26368" xr:uid="{00000000-0005-0000-0000-00007F310000}"/>
    <cellStyle name="Comma 7 5 5 2" xfId="26369" xr:uid="{00000000-0005-0000-0000-000080310000}"/>
    <cellStyle name="Comma 7 5 5 2 2" xfId="26370" xr:uid="{00000000-0005-0000-0000-000081310000}"/>
    <cellStyle name="Comma 7 5 5 2 2 2" xfId="26371" xr:uid="{00000000-0005-0000-0000-000082310000}"/>
    <cellStyle name="Comma 7 5 5 2 3" xfId="26372" xr:uid="{00000000-0005-0000-0000-000083310000}"/>
    <cellStyle name="Comma 7 5 5 3" xfId="26373" xr:uid="{00000000-0005-0000-0000-000084310000}"/>
    <cellStyle name="Comma 7 5 5 3 2" xfId="26374" xr:uid="{00000000-0005-0000-0000-000085310000}"/>
    <cellStyle name="Comma 7 5 5 4" xfId="26375" xr:uid="{00000000-0005-0000-0000-000086310000}"/>
    <cellStyle name="Comma 7 5 6" xfId="26376" xr:uid="{00000000-0005-0000-0000-000087310000}"/>
    <cellStyle name="Comma 7 5 6 2" xfId="26377" xr:uid="{00000000-0005-0000-0000-000088310000}"/>
    <cellStyle name="Comma 7 5 6 2 2" xfId="26378" xr:uid="{00000000-0005-0000-0000-000089310000}"/>
    <cellStyle name="Comma 7 5 6 2 2 2" xfId="26379" xr:uid="{00000000-0005-0000-0000-00008A310000}"/>
    <cellStyle name="Comma 7 5 6 2 3" xfId="26380" xr:uid="{00000000-0005-0000-0000-00008B310000}"/>
    <cellStyle name="Comma 7 5 6 3" xfId="26381" xr:uid="{00000000-0005-0000-0000-00008C310000}"/>
    <cellStyle name="Comma 7 5 6 3 2" xfId="26382" xr:uid="{00000000-0005-0000-0000-00008D310000}"/>
    <cellStyle name="Comma 7 5 6 4" xfId="26383" xr:uid="{00000000-0005-0000-0000-00008E310000}"/>
    <cellStyle name="Comma 7 5 7" xfId="26384" xr:uid="{00000000-0005-0000-0000-00008F310000}"/>
    <cellStyle name="Comma 7 5 7 2" xfId="26385" xr:uid="{00000000-0005-0000-0000-000090310000}"/>
    <cellStyle name="Comma 7 5 7 2 2" xfId="26386" xr:uid="{00000000-0005-0000-0000-000091310000}"/>
    <cellStyle name="Comma 7 5 7 2 2 2" xfId="26387" xr:uid="{00000000-0005-0000-0000-000092310000}"/>
    <cellStyle name="Comma 7 5 7 2 3" xfId="26388" xr:uid="{00000000-0005-0000-0000-000093310000}"/>
    <cellStyle name="Comma 7 5 7 3" xfId="26389" xr:uid="{00000000-0005-0000-0000-000094310000}"/>
    <cellStyle name="Comma 7 5 7 3 2" xfId="26390" xr:uid="{00000000-0005-0000-0000-000095310000}"/>
    <cellStyle name="Comma 7 5 7 4" xfId="26391" xr:uid="{00000000-0005-0000-0000-000096310000}"/>
    <cellStyle name="Comma 7 5 8" xfId="26392" xr:uid="{00000000-0005-0000-0000-000097310000}"/>
    <cellStyle name="Comma 7 5 8 2" xfId="26393" xr:uid="{00000000-0005-0000-0000-000098310000}"/>
    <cellStyle name="Comma 7 5 8 2 2" xfId="26394" xr:uid="{00000000-0005-0000-0000-000099310000}"/>
    <cellStyle name="Comma 7 5 8 3" xfId="26395" xr:uid="{00000000-0005-0000-0000-00009A310000}"/>
    <cellStyle name="Comma 7 5 9" xfId="26396" xr:uid="{00000000-0005-0000-0000-00009B310000}"/>
    <cellStyle name="Comma 7 5 9 2" xfId="26397" xr:uid="{00000000-0005-0000-0000-00009C310000}"/>
    <cellStyle name="Comma 7 6" xfId="8136" xr:uid="{00000000-0005-0000-0000-00009D310000}"/>
    <cellStyle name="Comma 7 6 2" xfId="26398" xr:uid="{00000000-0005-0000-0000-00009E310000}"/>
    <cellStyle name="Comma 7 6 2 2" xfId="26399" xr:uid="{00000000-0005-0000-0000-00009F310000}"/>
    <cellStyle name="Comma 7 6 2 2 2" xfId="26400" xr:uid="{00000000-0005-0000-0000-0000A0310000}"/>
    <cellStyle name="Comma 7 6 2 2 2 2" xfId="26401" xr:uid="{00000000-0005-0000-0000-0000A1310000}"/>
    <cellStyle name="Comma 7 6 2 2 2 2 2" xfId="26402" xr:uid="{00000000-0005-0000-0000-0000A2310000}"/>
    <cellStyle name="Comma 7 6 2 2 2 3" xfId="26403" xr:uid="{00000000-0005-0000-0000-0000A3310000}"/>
    <cellStyle name="Comma 7 6 2 2 3" xfId="26404" xr:uid="{00000000-0005-0000-0000-0000A4310000}"/>
    <cellStyle name="Comma 7 6 2 2 3 2" xfId="26405" xr:uid="{00000000-0005-0000-0000-0000A5310000}"/>
    <cellStyle name="Comma 7 6 2 2 4" xfId="26406" xr:uid="{00000000-0005-0000-0000-0000A6310000}"/>
    <cellStyle name="Comma 7 6 2 3" xfId="26407" xr:uid="{00000000-0005-0000-0000-0000A7310000}"/>
    <cellStyle name="Comma 7 6 2 3 2" xfId="26408" xr:uid="{00000000-0005-0000-0000-0000A8310000}"/>
    <cellStyle name="Comma 7 6 2 3 2 2" xfId="26409" xr:uid="{00000000-0005-0000-0000-0000A9310000}"/>
    <cellStyle name="Comma 7 6 2 3 2 2 2" xfId="26410" xr:uid="{00000000-0005-0000-0000-0000AA310000}"/>
    <cellStyle name="Comma 7 6 2 3 2 3" xfId="26411" xr:uid="{00000000-0005-0000-0000-0000AB310000}"/>
    <cellStyle name="Comma 7 6 2 3 3" xfId="26412" xr:uid="{00000000-0005-0000-0000-0000AC310000}"/>
    <cellStyle name="Comma 7 6 2 3 3 2" xfId="26413" xr:uid="{00000000-0005-0000-0000-0000AD310000}"/>
    <cellStyle name="Comma 7 6 2 3 4" xfId="26414" xr:uid="{00000000-0005-0000-0000-0000AE310000}"/>
    <cellStyle name="Comma 7 6 2 4" xfId="26415" xr:uid="{00000000-0005-0000-0000-0000AF310000}"/>
    <cellStyle name="Comma 7 6 2 4 2" xfId="26416" xr:uid="{00000000-0005-0000-0000-0000B0310000}"/>
    <cellStyle name="Comma 7 6 2 4 2 2" xfId="26417" xr:uid="{00000000-0005-0000-0000-0000B1310000}"/>
    <cellStyle name="Comma 7 6 2 4 3" xfId="26418" xr:uid="{00000000-0005-0000-0000-0000B2310000}"/>
    <cellStyle name="Comma 7 6 2 5" xfId="26419" xr:uid="{00000000-0005-0000-0000-0000B3310000}"/>
    <cellStyle name="Comma 7 6 2 5 2" xfId="26420" xr:uid="{00000000-0005-0000-0000-0000B4310000}"/>
    <cellStyle name="Comma 7 6 2 6" xfId="26421" xr:uid="{00000000-0005-0000-0000-0000B5310000}"/>
    <cellStyle name="Comma 7 6 3" xfId="26422" xr:uid="{00000000-0005-0000-0000-0000B6310000}"/>
    <cellStyle name="Comma 7 6 3 2" xfId="26423" xr:uid="{00000000-0005-0000-0000-0000B7310000}"/>
    <cellStyle name="Comma 7 6 3 2 2" xfId="26424" xr:uid="{00000000-0005-0000-0000-0000B8310000}"/>
    <cellStyle name="Comma 7 6 3 2 2 2" xfId="26425" xr:uid="{00000000-0005-0000-0000-0000B9310000}"/>
    <cellStyle name="Comma 7 6 3 2 2 2 2" xfId="26426" xr:uid="{00000000-0005-0000-0000-0000BA310000}"/>
    <cellStyle name="Comma 7 6 3 2 2 3" xfId="26427" xr:uid="{00000000-0005-0000-0000-0000BB310000}"/>
    <cellStyle name="Comma 7 6 3 2 3" xfId="26428" xr:uid="{00000000-0005-0000-0000-0000BC310000}"/>
    <cellStyle name="Comma 7 6 3 2 3 2" xfId="26429" xr:uid="{00000000-0005-0000-0000-0000BD310000}"/>
    <cellStyle name="Comma 7 6 3 2 4" xfId="26430" xr:uid="{00000000-0005-0000-0000-0000BE310000}"/>
    <cellStyle name="Comma 7 6 3 3" xfId="26431" xr:uid="{00000000-0005-0000-0000-0000BF310000}"/>
    <cellStyle name="Comma 7 6 3 3 2" xfId="26432" xr:uid="{00000000-0005-0000-0000-0000C0310000}"/>
    <cellStyle name="Comma 7 6 3 3 2 2" xfId="26433" xr:uid="{00000000-0005-0000-0000-0000C1310000}"/>
    <cellStyle name="Comma 7 6 3 3 3" xfId="26434" xr:uid="{00000000-0005-0000-0000-0000C2310000}"/>
    <cellStyle name="Comma 7 6 3 4" xfId="26435" xr:uid="{00000000-0005-0000-0000-0000C3310000}"/>
    <cellStyle name="Comma 7 6 3 4 2" xfId="26436" xr:uid="{00000000-0005-0000-0000-0000C4310000}"/>
    <cellStyle name="Comma 7 6 3 5" xfId="26437" xr:uid="{00000000-0005-0000-0000-0000C5310000}"/>
    <cellStyle name="Comma 7 6 4" xfId="26438" xr:uid="{00000000-0005-0000-0000-0000C6310000}"/>
    <cellStyle name="Comma 7 6 4 2" xfId="26439" xr:uid="{00000000-0005-0000-0000-0000C7310000}"/>
    <cellStyle name="Comma 7 6 4 2 2" xfId="26440" xr:uid="{00000000-0005-0000-0000-0000C8310000}"/>
    <cellStyle name="Comma 7 6 4 2 2 2" xfId="26441" xr:uid="{00000000-0005-0000-0000-0000C9310000}"/>
    <cellStyle name="Comma 7 6 4 2 3" xfId="26442" xr:uid="{00000000-0005-0000-0000-0000CA310000}"/>
    <cellStyle name="Comma 7 6 4 3" xfId="26443" xr:uid="{00000000-0005-0000-0000-0000CB310000}"/>
    <cellStyle name="Comma 7 6 4 3 2" xfId="26444" xr:uid="{00000000-0005-0000-0000-0000CC310000}"/>
    <cellStyle name="Comma 7 6 4 4" xfId="26445" xr:uid="{00000000-0005-0000-0000-0000CD310000}"/>
    <cellStyle name="Comma 7 6 5" xfId="26446" xr:uid="{00000000-0005-0000-0000-0000CE310000}"/>
    <cellStyle name="Comma 7 6 5 2" xfId="26447" xr:uid="{00000000-0005-0000-0000-0000CF310000}"/>
    <cellStyle name="Comma 7 6 5 2 2" xfId="26448" xr:uid="{00000000-0005-0000-0000-0000D0310000}"/>
    <cellStyle name="Comma 7 6 5 2 2 2" xfId="26449" xr:uid="{00000000-0005-0000-0000-0000D1310000}"/>
    <cellStyle name="Comma 7 6 5 2 3" xfId="26450" xr:uid="{00000000-0005-0000-0000-0000D2310000}"/>
    <cellStyle name="Comma 7 6 5 3" xfId="26451" xr:uid="{00000000-0005-0000-0000-0000D3310000}"/>
    <cellStyle name="Comma 7 6 5 3 2" xfId="26452" xr:uid="{00000000-0005-0000-0000-0000D4310000}"/>
    <cellStyle name="Comma 7 6 5 4" xfId="26453" xr:uid="{00000000-0005-0000-0000-0000D5310000}"/>
    <cellStyle name="Comma 7 6 6" xfId="26454" xr:uid="{00000000-0005-0000-0000-0000D6310000}"/>
    <cellStyle name="Comma 7 6 6 2" xfId="26455" xr:uid="{00000000-0005-0000-0000-0000D7310000}"/>
    <cellStyle name="Comma 7 6 6 2 2" xfId="26456" xr:uid="{00000000-0005-0000-0000-0000D8310000}"/>
    <cellStyle name="Comma 7 6 6 3" xfId="26457" xr:uid="{00000000-0005-0000-0000-0000D9310000}"/>
    <cellStyle name="Comma 7 6 7" xfId="26458" xr:uid="{00000000-0005-0000-0000-0000DA310000}"/>
    <cellStyle name="Comma 7 6 7 2" xfId="26459" xr:uid="{00000000-0005-0000-0000-0000DB310000}"/>
    <cellStyle name="Comma 7 6 8" xfId="26460" xr:uid="{00000000-0005-0000-0000-0000DC310000}"/>
    <cellStyle name="Comma 7 7" xfId="8137" xr:uid="{00000000-0005-0000-0000-0000DD310000}"/>
    <cellStyle name="Comma 7 7 2" xfId="26461" xr:uid="{00000000-0005-0000-0000-0000DE310000}"/>
    <cellStyle name="Comma 7 7 2 2" xfId="26462" xr:uid="{00000000-0005-0000-0000-0000DF310000}"/>
    <cellStyle name="Comma 7 7 2 2 2" xfId="26463" xr:uid="{00000000-0005-0000-0000-0000E0310000}"/>
    <cellStyle name="Comma 7 7 2 2 2 2" xfId="26464" xr:uid="{00000000-0005-0000-0000-0000E1310000}"/>
    <cellStyle name="Comma 7 7 2 2 2 2 2" xfId="26465" xr:uid="{00000000-0005-0000-0000-0000E2310000}"/>
    <cellStyle name="Comma 7 7 2 2 2 3" xfId="26466" xr:uid="{00000000-0005-0000-0000-0000E3310000}"/>
    <cellStyle name="Comma 7 7 2 2 3" xfId="26467" xr:uid="{00000000-0005-0000-0000-0000E4310000}"/>
    <cellStyle name="Comma 7 7 2 2 3 2" xfId="26468" xr:uid="{00000000-0005-0000-0000-0000E5310000}"/>
    <cellStyle name="Comma 7 7 2 2 4" xfId="26469" xr:uid="{00000000-0005-0000-0000-0000E6310000}"/>
    <cellStyle name="Comma 7 7 2 3" xfId="26470" xr:uid="{00000000-0005-0000-0000-0000E7310000}"/>
    <cellStyle name="Comma 7 7 2 3 2" xfId="26471" xr:uid="{00000000-0005-0000-0000-0000E8310000}"/>
    <cellStyle name="Comma 7 7 2 3 2 2" xfId="26472" xr:uid="{00000000-0005-0000-0000-0000E9310000}"/>
    <cellStyle name="Comma 7 7 2 3 2 2 2" xfId="26473" xr:uid="{00000000-0005-0000-0000-0000EA310000}"/>
    <cellStyle name="Comma 7 7 2 3 2 3" xfId="26474" xr:uid="{00000000-0005-0000-0000-0000EB310000}"/>
    <cellStyle name="Comma 7 7 2 3 3" xfId="26475" xr:uid="{00000000-0005-0000-0000-0000EC310000}"/>
    <cellStyle name="Comma 7 7 2 3 3 2" xfId="26476" xr:uid="{00000000-0005-0000-0000-0000ED310000}"/>
    <cellStyle name="Comma 7 7 2 3 4" xfId="26477" xr:uid="{00000000-0005-0000-0000-0000EE310000}"/>
    <cellStyle name="Comma 7 7 2 4" xfId="26478" xr:uid="{00000000-0005-0000-0000-0000EF310000}"/>
    <cellStyle name="Comma 7 7 2 4 2" xfId="26479" xr:uid="{00000000-0005-0000-0000-0000F0310000}"/>
    <cellStyle name="Comma 7 7 2 4 2 2" xfId="26480" xr:uid="{00000000-0005-0000-0000-0000F1310000}"/>
    <cellStyle name="Comma 7 7 2 4 3" xfId="26481" xr:uid="{00000000-0005-0000-0000-0000F2310000}"/>
    <cellStyle name="Comma 7 7 2 5" xfId="26482" xr:uid="{00000000-0005-0000-0000-0000F3310000}"/>
    <cellStyle name="Comma 7 7 2 5 2" xfId="26483" xr:uid="{00000000-0005-0000-0000-0000F4310000}"/>
    <cellStyle name="Comma 7 7 2 6" xfId="26484" xr:uid="{00000000-0005-0000-0000-0000F5310000}"/>
    <cellStyle name="Comma 7 7 3" xfId="26485" xr:uid="{00000000-0005-0000-0000-0000F6310000}"/>
    <cellStyle name="Comma 7 7 3 2" xfId="26486" xr:uid="{00000000-0005-0000-0000-0000F7310000}"/>
    <cellStyle name="Comma 7 7 3 2 2" xfId="26487" xr:uid="{00000000-0005-0000-0000-0000F8310000}"/>
    <cellStyle name="Comma 7 7 3 2 2 2" xfId="26488" xr:uid="{00000000-0005-0000-0000-0000F9310000}"/>
    <cellStyle name="Comma 7 7 3 2 2 2 2" xfId="26489" xr:uid="{00000000-0005-0000-0000-0000FA310000}"/>
    <cellStyle name="Comma 7 7 3 2 2 3" xfId="26490" xr:uid="{00000000-0005-0000-0000-0000FB310000}"/>
    <cellStyle name="Comma 7 7 3 2 3" xfId="26491" xr:uid="{00000000-0005-0000-0000-0000FC310000}"/>
    <cellStyle name="Comma 7 7 3 2 3 2" xfId="26492" xr:uid="{00000000-0005-0000-0000-0000FD310000}"/>
    <cellStyle name="Comma 7 7 3 2 4" xfId="26493" xr:uid="{00000000-0005-0000-0000-0000FE310000}"/>
    <cellStyle name="Comma 7 7 3 3" xfId="26494" xr:uid="{00000000-0005-0000-0000-0000FF310000}"/>
    <cellStyle name="Comma 7 7 3 3 2" xfId="26495" xr:uid="{00000000-0005-0000-0000-000000320000}"/>
    <cellStyle name="Comma 7 7 3 3 2 2" xfId="26496" xr:uid="{00000000-0005-0000-0000-000001320000}"/>
    <cellStyle name="Comma 7 7 3 3 3" xfId="26497" xr:uid="{00000000-0005-0000-0000-000002320000}"/>
    <cellStyle name="Comma 7 7 3 4" xfId="26498" xr:uid="{00000000-0005-0000-0000-000003320000}"/>
    <cellStyle name="Comma 7 7 3 4 2" xfId="26499" xr:uid="{00000000-0005-0000-0000-000004320000}"/>
    <cellStyle name="Comma 7 7 3 5" xfId="26500" xr:uid="{00000000-0005-0000-0000-000005320000}"/>
    <cellStyle name="Comma 7 7 4" xfId="26501" xr:uid="{00000000-0005-0000-0000-000006320000}"/>
    <cellStyle name="Comma 7 7 4 2" xfId="26502" xr:uid="{00000000-0005-0000-0000-000007320000}"/>
    <cellStyle name="Comma 7 7 4 2 2" xfId="26503" xr:uid="{00000000-0005-0000-0000-000008320000}"/>
    <cellStyle name="Comma 7 7 4 2 2 2" xfId="26504" xr:uid="{00000000-0005-0000-0000-000009320000}"/>
    <cellStyle name="Comma 7 7 4 2 3" xfId="26505" xr:uid="{00000000-0005-0000-0000-00000A320000}"/>
    <cellStyle name="Comma 7 7 4 3" xfId="26506" xr:uid="{00000000-0005-0000-0000-00000B320000}"/>
    <cellStyle name="Comma 7 7 4 3 2" xfId="26507" xr:uid="{00000000-0005-0000-0000-00000C320000}"/>
    <cellStyle name="Comma 7 7 4 4" xfId="26508" xr:uid="{00000000-0005-0000-0000-00000D320000}"/>
    <cellStyle name="Comma 7 7 5" xfId="26509" xr:uid="{00000000-0005-0000-0000-00000E320000}"/>
    <cellStyle name="Comma 7 7 5 2" xfId="26510" xr:uid="{00000000-0005-0000-0000-00000F320000}"/>
    <cellStyle name="Comma 7 7 5 2 2" xfId="26511" xr:uid="{00000000-0005-0000-0000-000010320000}"/>
    <cellStyle name="Comma 7 7 5 2 2 2" xfId="26512" xr:uid="{00000000-0005-0000-0000-000011320000}"/>
    <cellStyle name="Comma 7 7 5 2 3" xfId="26513" xr:uid="{00000000-0005-0000-0000-000012320000}"/>
    <cellStyle name="Comma 7 7 5 3" xfId="26514" xr:uid="{00000000-0005-0000-0000-000013320000}"/>
    <cellStyle name="Comma 7 7 5 3 2" xfId="26515" xr:uid="{00000000-0005-0000-0000-000014320000}"/>
    <cellStyle name="Comma 7 7 5 4" xfId="26516" xr:uid="{00000000-0005-0000-0000-000015320000}"/>
    <cellStyle name="Comma 7 7 6" xfId="26517" xr:uid="{00000000-0005-0000-0000-000016320000}"/>
    <cellStyle name="Comma 7 7 6 2" xfId="26518" xr:uid="{00000000-0005-0000-0000-000017320000}"/>
    <cellStyle name="Comma 7 7 6 2 2" xfId="26519" xr:uid="{00000000-0005-0000-0000-000018320000}"/>
    <cellStyle name="Comma 7 7 6 3" xfId="26520" xr:uid="{00000000-0005-0000-0000-000019320000}"/>
    <cellStyle name="Comma 7 7 7" xfId="26521" xr:uid="{00000000-0005-0000-0000-00001A320000}"/>
    <cellStyle name="Comma 7 7 7 2" xfId="26522" xr:uid="{00000000-0005-0000-0000-00001B320000}"/>
    <cellStyle name="Comma 7 7 8" xfId="26523" xr:uid="{00000000-0005-0000-0000-00001C320000}"/>
    <cellStyle name="Comma 7 8" xfId="8138" xr:uid="{00000000-0005-0000-0000-00001D320000}"/>
    <cellStyle name="Comma 7 8 2" xfId="26524" xr:uid="{00000000-0005-0000-0000-00001E320000}"/>
    <cellStyle name="Comma 7 8 2 2" xfId="26525" xr:uid="{00000000-0005-0000-0000-00001F320000}"/>
    <cellStyle name="Comma 7 8 2 2 2" xfId="26526" xr:uid="{00000000-0005-0000-0000-000020320000}"/>
    <cellStyle name="Comma 7 8 2 2 2 2" xfId="26527" xr:uid="{00000000-0005-0000-0000-000021320000}"/>
    <cellStyle name="Comma 7 8 2 2 3" xfId="26528" xr:uid="{00000000-0005-0000-0000-000022320000}"/>
    <cellStyle name="Comma 7 8 2 3" xfId="26529" xr:uid="{00000000-0005-0000-0000-000023320000}"/>
    <cellStyle name="Comma 7 8 2 3 2" xfId="26530" xr:uid="{00000000-0005-0000-0000-000024320000}"/>
    <cellStyle name="Comma 7 8 2 4" xfId="26531" xr:uid="{00000000-0005-0000-0000-000025320000}"/>
    <cellStyle name="Comma 7 8 3" xfId="26532" xr:uid="{00000000-0005-0000-0000-000026320000}"/>
    <cellStyle name="Comma 7 8 3 2" xfId="26533" xr:uid="{00000000-0005-0000-0000-000027320000}"/>
    <cellStyle name="Comma 7 8 3 2 2" xfId="26534" xr:uid="{00000000-0005-0000-0000-000028320000}"/>
    <cellStyle name="Comma 7 8 3 2 2 2" xfId="26535" xr:uid="{00000000-0005-0000-0000-000029320000}"/>
    <cellStyle name="Comma 7 8 3 2 3" xfId="26536" xr:uid="{00000000-0005-0000-0000-00002A320000}"/>
    <cellStyle name="Comma 7 8 3 3" xfId="26537" xr:uid="{00000000-0005-0000-0000-00002B320000}"/>
    <cellStyle name="Comma 7 8 3 3 2" xfId="26538" xr:uid="{00000000-0005-0000-0000-00002C320000}"/>
    <cellStyle name="Comma 7 8 3 4" xfId="26539" xr:uid="{00000000-0005-0000-0000-00002D320000}"/>
    <cellStyle name="Comma 7 8 4" xfId="26540" xr:uid="{00000000-0005-0000-0000-00002E320000}"/>
    <cellStyle name="Comma 7 8 4 2" xfId="26541" xr:uid="{00000000-0005-0000-0000-00002F320000}"/>
    <cellStyle name="Comma 7 8 4 2 2" xfId="26542" xr:uid="{00000000-0005-0000-0000-000030320000}"/>
    <cellStyle name="Comma 7 8 4 3" xfId="26543" xr:uid="{00000000-0005-0000-0000-000031320000}"/>
    <cellStyle name="Comma 7 8 5" xfId="26544" xr:uid="{00000000-0005-0000-0000-000032320000}"/>
    <cellStyle name="Comma 7 8 5 2" xfId="26545" xr:uid="{00000000-0005-0000-0000-000033320000}"/>
    <cellStyle name="Comma 7 8 6" xfId="26546" xr:uid="{00000000-0005-0000-0000-000034320000}"/>
    <cellStyle name="Comma 7 9" xfId="8139" xr:uid="{00000000-0005-0000-0000-000035320000}"/>
    <cellStyle name="Comma 7 9 2" xfId="26547" xr:uid="{00000000-0005-0000-0000-000036320000}"/>
    <cellStyle name="Comma 7 9 2 2" xfId="26548" xr:uid="{00000000-0005-0000-0000-000037320000}"/>
    <cellStyle name="Comma 7 9 2 2 2" xfId="26549" xr:uid="{00000000-0005-0000-0000-000038320000}"/>
    <cellStyle name="Comma 7 9 2 2 2 2" xfId="26550" xr:uid="{00000000-0005-0000-0000-000039320000}"/>
    <cellStyle name="Comma 7 9 2 2 3" xfId="26551" xr:uid="{00000000-0005-0000-0000-00003A320000}"/>
    <cellStyle name="Comma 7 9 2 3" xfId="26552" xr:uid="{00000000-0005-0000-0000-00003B320000}"/>
    <cellStyle name="Comma 7 9 2 3 2" xfId="26553" xr:uid="{00000000-0005-0000-0000-00003C320000}"/>
    <cellStyle name="Comma 7 9 2 4" xfId="26554" xr:uid="{00000000-0005-0000-0000-00003D320000}"/>
    <cellStyle name="Comma 7 9 3" xfId="26555" xr:uid="{00000000-0005-0000-0000-00003E320000}"/>
    <cellStyle name="Comma 7 9 3 2" xfId="26556" xr:uid="{00000000-0005-0000-0000-00003F320000}"/>
    <cellStyle name="Comma 7 9 3 2 2" xfId="26557" xr:uid="{00000000-0005-0000-0000-000040320000}"/>
    <cellStyle name="Comma 7 9 3 3" xfId="26558" xr:uid="{00000000-0005-0000-0000-000041320000}"/>
    <cellStyle name="Comma 7 9 4" xfId="26559" xr:uid="{00000000-0005-0000-0000-000042320000}"/>
    <cellStyle name="Comma 7 9 4 2" xfId="26560" xr:uid="{00000000-0005-0000-0000-000043320000}"/>
    <cellStyle name="Comma 7 9 5" xfId="26561" xr:uid="{00000000-0005-0000-0000-000044320000}"/>
    <cellStyle name="Comma 7_3. MBQ1 BC PMMB MW P" xfId="8140" xr:uid="{00000000-0005-0000-0000-000045320000}"/>
    <cellStyle name="Comma 70" xfId="8141" xr:uid="{00000000-0005-0000-0000-000046320000}"/>
    <cellStyle name="Comma 70 2" xfId="20699" xr:uid="{00000000-0005-0000-0000-000047320000}"/>
    <cellStyle name="Comma 71" xfId="8142" xr:uid="{00000000-0005-0000-0000-000048320000}"/>
    <cellStyle name="Comma 71 2" xfId="8143" xr:uid="{00000000-0005-0000-0000-000049320000}"/>
    <cellStyle name="Comma 72" xfId="8144" xr:uid="{00000000-0005-0000-0000-00004A320000}"/>
    <cellStyle name="Comma 73" xfId="8145" xr:uid="{00000000-0005-0000-0000-00004B320000}"/>
    <cellStyle name="Comma 74" xfId="8146" xr:uid="{00000000-0005-0000-0000-00004C320000}"/>
    <cellStyle name="Comma 75" xfId="8147" xr:uid="{00000000-0005-0000-0000-00004D320000}"/>
    <cellStyle name="Comma 75 2" xfId="8148" xr:uid="{00000000-0005-0000-0000-00004E320000}"/>
    <cellStyle name="Comma 75 2 2" xfId="8149" xr:uid="{00000000-0005-0000-0000-00004F320000}"/>
    <cellStyle name="Comma 75 2 2 2" xfId="8150" xr:uid="{00000000-0005-0000-0000-000050320000}"/>
    <cellStyle name="Comma 75 2 2 2 2" xfId="8151" xr:uid="{00000000-0005-0000-0000-000051320000}"/>
    <cellStyle name="Comma 75 2 3" xfId="8152" xr:uid="{00000000-0005-0000-0000-000052320000}"/>
    <cellStyle name="Comma 75 2 3 2" xfId="8153" xr:uid="{00000000-0005-0000-0000-000053320000}"/>
    <cellStyle name="Comma 75 2 3 2 2" xfId="8154" xr:uid="{00000000-0005-0000-0000-000054320000}"/>
    <cellStyle name="Comma 75 2 3 3" xfId="8155" xr:uid="{00000000-0005-0000-0000-000055320000}"/>
    <cellStyle name="Comma 75 2 3 4" xfId="8156" xr:uid="{00000000-0005-0000-0000-000056320000}"/>
    <cellStyle name="Comma 75 2 3 5" xfId="8157" xr:uid="{00000000-0005-0000-0000-000057320000}"/>
    <cellStyle name="Comma 75 2 3 6" xfId="8158" xr:uid="{00000000-0005-0000-0000-000058320000}"/>
    <cellStyle name="Comma 75 2 3 7" xfId="8159" xr:uid="{00000000-0005-0000-0000-000059320000}"/>
    <cellStyle name="Comma 75 2 4" xfId="8160" xr:uid="{00000000-0005-0000-0000-00005A320000}"/>
    <cellStyle name="Comma 76" xfId="8161" xr:uid="{00000000-0005-0000-0000-00005B320000}"/>
    <cellStyle name="Comma 76 2" xfId="8162" xr:uid="{00000000-0005-0000-0000-00005C320000}"/>
    <cellStyle name="Comma 77" xfId="8163" xr:uid="{00000000-0005-0000-0000-00005D320000}"/>
    <cellStyle name="Comma 77 2" xfId="8164" xr:uid="{00000000-0005-0000-0000-00005E320000}"/>
    <cellStyle name="Comma 77 3" xfId="8165" xr:uid="{00000000-0005-0000-0000-00005F320000}"/>
    <cellStyle name="Comma 77 3 2" xfId="8166" xr:uid="{00000000-0005-0000-0000-000060320000}"/>
    <cellStyle name="Comma 77 3 2 2" xfId="8167" xr:uid="{00000000-0005-0000-0000-000061320000}"/>
    <cellStyle name="Comma 77 3 2 3" xfId="8168" xr:uid="{00000000-0005-0000-0000-000062320000}"/>
    <cellStyle name="Comma 77 3 3" xfId="8169" xr:uid="{00000000-0005-0000-0000-000063320000}"/>
    <cellStyle name="Comma 77 3 3 2" xfId="8170" xr:uid="{00000000-0005-0000-0000-000064320000}"/>
    <cellStyle name="Comma 77 3 3 2 2" xfId="8171" xr:uid="{00000000-0005-0000-0000-000065320000}"/>
    <cellStyle name="Comma 77 3 4" xfId="8172" xr:uid="{00000000-0005-0000-0000-000066320000}"/>
    <cellStyle name="Comma 77 4" xfId="8173" xr:uid="{00000000-0005-0000-0000-000067320000}"/>
    <cellStyle name="Comma 77 5" xfId="8174" xr:uid="{00000000-0005-0000-0000-000068320000}"/>
    <cellStyle name="Comma 78" xfId="8175" xr:uid="{00000000-0005-0000-0000-000069320000}"/>
    <cellStyle name="Comma 78 2" xfId="8176" xr:uid="{00000000-0005-0000-0000-00006A320000}"/>
    <cellStyle name="Comma 78 3" xfId="8177" xr:uid="{00000000-0005-0000-0000-00006B320000}"/>
    <cellStyle name="Comma 79" xfId="8178" xr:uid="{00000000-0005-0000-0000-00006C320000}"/>
    <cellStyle name="Comma 8" xfId="244" xr:uid="{00000000-0005-0000-0000-00006D320000}"/>
    <cellStyle name="Comma 8 10" xfId="8179" xr:uid="{00000000-0005-0000-0000-00006E320000}"/>
    <cellStyle name="Comma 8 10 2" xfId="20700" xr:uid="{00000000-0005-0000-0000-00006F320000}"/>
    <cellStyle name="Comma 8 10 2 2" xfId="26562" xr:uid="{00000000-0005-0000-0000-000070320000}"/>
    <cellStyle name="Comma 8 10 2 2 2" xfId="26563" xr:uid="{00000000-0005-0000-0000-000071320000}"/>
    <cellStyle name="Comma 8 10 2 3" xfId="26564" xr:uid="{00000000-0005-0000-0000-000072320000}"/>
    <cellStyle name="Comma 8 10 3" xfId="26565" xr:uid="{00000000-0005-0000-0000-000073320000}"/>
    <cellStyle name="Comma 8 10 3 2" xfId="26566" xr:uid="{00000000-0005-0000-0000-000074320000}"/>
    <cellStyle name="Comma 8 10 4" xfId="26567" xr:uid="{00000000-0005-0000-0000-000075320000}"/>
    <cellStyle name="Comma 8 11" xfId="8180" xr:uid="{00000000-0005-0000-0000-000076320000}"/>
    <cellStyle name="Comma 8 11 2" xfId="20701" xr:uid="{00000000-0005-0000-0000-000077320000}"/>
    <cellStyle name="Comma 8 11 2 2" xfId="26568" xr:uid="{00000000-0005-0000-0000-000078320000}"/>
    <cellStyle name="Comma 8 11 2 2 2" xfId="26569" xr:uid="{00000000-0005-0000-0000-000079320000}"/>
    <cellStyle name="Comma 8 11 2 3" xfId="26570" xr:uid="{00000000-0005-0000-0000-00007A320000}"/>
    <cellStyle name="Comma 8 11 3" xfId="26571" xr:uid="{00000000-0005-0000-0000-00007B320000}"/>
    <cellStyle name="Comma 8 11 3 2" xfId="26572" xr:uid="{00000000-0005-0000-0000-00007C320000}"/>
    <cellStyle name="Comma 8 11 4" xfId="26573" xr:uid="{00000000-0005-0000-0000-00007D320000}"/>
    <cellStyle name="Comma 8 12" xfId="8181" xr:uid="{00000000-0005-0000-0000-00007E320000}"/>
    <cellStyle name="Comma 8 12 2" xfId="20702" xr:uid="{00000000-0005-0000-0000-00007F320000}"/>
    <cellStyle name="Comma 8 12 2 2" xfId="26574" xr:uid="{00000000-0005-0000-0000-000080320000}"/>
    <cellStyle name="Comma 8 12 2 2 2" xfId="26575" xr:uid="{00000000-0005-0000-0000-000081320000}"/>
    <cellStyle name="Comma 8 12 2 3" xfId="26576" xr:uid="{00000000-0005-0000-0000-000082320000}"/>
    <cellStyle name="Comma 8 12 3" xfId="26577" xr:uid="{00000000-0005-0000-0000-000083320000}"/>
    <cellStyle name="Comma 8 12 3 2" xfId="26578" xr:uid="{00000000-0005-0000-0000-000084320000}"/>
    <cellStyle name="Comma 8 12 4" xfId="26579" xr:uid="{00000000-0005-0000-0000-000085320000}"/>
    <cellStyle name="Comma 8 13" xfId="8182" xr:uid="{00000000-0005-0000-0000-000086320000}"/>
    <cellStyle name="Comma 8 13 2" xfId="20703" xr:uid="{00000000-0005-0000-0000-000087320000}"/>
    <cellStyle name="Comma 8 13 2 2" xfId="26580" xr:uid="{00000000-0005-0000-0000-000088320000}"/>
    <cellStyle name="Comma 8 13 3" xfId="26581" xr:uid="{00000000-0005-0000-0000-000089320000}"/>
    <cellStyle name="Comma 8 14" xfId="8183" xr:uid="{00000000-0005-0000-0000-00008A320000}"/>
    <cellStyle name="Comma 8 14 2" xfId="20704" xr:uid="{00000000-0005-0000-0000-00008B320000}"/>
    <cellStyle name="Comma 8 15" xfId="8184" xr:uid="{00000000-0005-0000-0000-00008C320000}"/>
    <cellStyle name="Comma 8 15 2" xfId="20705" xr:uid="{00000000-0005-0000-0000-00008D320000}"/>
    <cellStyle name="Comma 8 16" xfId="8185" xr:uid="{00000000-0005-0000-0000-00008E320000}"/>
    <cellStyle name="Comma 8 16 2" xfId="20706" xr:uid="{00000000-0005-0000-0000-00008F320000}"/>
    <cellStyle name="Comma 8 17" xfId="8186" xr:uid="{00000000-0005-0000-0000-000090320000}"/>
    <cellStyle name="Comma 8 17 2" xfId="20707" xr:uid="{00000000-0005-0000-0000-000091320000}"/>
    <cellStyle name="Comma 8 18" xfId="8187" xr:uid="{00000000-0005-0000-0000-000092320000}"/>
    <cellStyle name="Comma 8 18 2" xfId="20708" xr:uid="{00000000-0005-0000-0000-000093320000}"/>
    <cellStyle name="Comma 8 19" xfId="8188" xr:uid="{00000000-0005-0000-0000-000094320000}"/>
    <cellStyle name="Comma 8 19 2" xfId="20709" xr:uid="{00000000-0005-0000-0000-000095320000}"/>
    <cellStyle name="Comma 8 2" xfId="245" xr:uid="{00000000-0005-0000-0000-000096320000}"/>
    <cellStyle name="Comma 8 2 10" xfId="26582" xr:uid="{00000000-0005-0000-0000-000097320000}"/>
    <cellStyle name="Comma 8 2 10 2" xfId="26583" xr:uid="{00000000-0005-0000-0000-000098320000}"/>
    <cellStyle name="Comma 8 2 10 2 2" xfId="26584" xr:uid="{00000000-0005-0000-0000-000099320000}"/>
    <cellStyle name="Comma 8 2 10 3" xfId="26585" xr:uid="{00000000-0005-0000-0000-00009A320000}"/>
    <cellStyle name="Comma 8 2 11" xfId="26586" xr:uid="{00000000-0005-0000-0000-00009B320000}"/>
    <cellStyle name="Comma 8 2 12" xfId="26587" xr:uid="{00000000-0005-0000-0000-00009C320000}"/>
    <cellStyle name="Comma 8 2 12 2" xfId="26588" xr:uid="{00000000-0005-0000-0000-00009D320000}"/>
    <cellStyle name="Comma 8 2 13" xfId="26589" xr:uid="{00000000-0005-0000-0000-00009E320000}"/>
    <cellStyle name="Comma 8 2 2" xfId="8189" xr:uid="{00000000-0005-0000-0000-00009F320000}"/>
    <cellStyle name="Comma 8 2 2 10" xfId="26590" xr:uid="{00000000-0005-0000-0000-0000A0320000}"/>
    <cellStyle name="Comma 8 2 2 2" xfId="26591" xr:uid="{00000000-0005-0000-0000-0000A1320000}"/>
    <cellStyle name="Comma 8 2 2 2 2" xfId="26592" xr:uid="{00000000-0005-0000-0000-0000A2320000}"/>
    <cellStyle name="Comma 8 2 2 2 2 2" xfId="26593" xr:uid="{00000000-0005-0000-0000-0000A3320000}"/>
    <cellStyle name="Comma 8 2 2 2 2 2 2" xfId="26594" xr:uid="{00000000-0005-0000-0000-0000A4320000}"/>
    <cellStyle name="Comma 8 2 2 2 2 2 2 2" xfId="26595" xr:uid="{00000000-0005-0000-0000-0000A5320000}"/>
    <cellStyle name="Comma 8 2 2 2 2 2 2 2 2" xfId="26596" xr:uid="{00000000-0005-0000-0000-0000A6320000}"/>
    <cellStyle name="Comma 8 2 2 2 2 2 2 3" xfId="26597" xr:uid="{00000000-0005-0000-0000-0000A7320000}"/>
    <cellStyle name="Comma 8 2 2 2 2 2 3" xfId="26598" xr:uid="{00000000-0005-0000-0000-0000A8320000}"/>
    <cellStyle name="Comma 8 2 2 2 2 2 3 2" xfId="26599" xr:uid="{00000000-0005-0000-0000-0000A9320000}"/>
    <cellStyle name="Comma 8 2 2 2 2 2 4" xfId="26600" xr:uid="{00000000-0005-0000-0000-0000AA320000}"/>
    <cellStyle name="Comma 8 2 2 2 2 3" xfId="26601" xr:uid="{00000000-0005-0000-0000-0000AB320000}"/>
    <cellStyle name="Comma 8 2 2 2 2 3 2" xfId="26602" xr:uid="{00000000-0005-0000-0000-0000AC320000}"/>
    <cellStyle name="Comma 8 2 2 2 2 3 2 2" xfId="26603" xr:uid="{00000000-0005-0000-0000-0000AD320000}"/>
    <cellStyle name="Comma 8 2 2 2 2 3 2 2 2" xfId="26604" xr:uid="{00000000-0005-0000-0000-0000AE320000}"/>
    <cellStyle name="Comma 8 2 2 2 2 3 2 3" xfId="26605" xr:uid="{00000000-0005-0000-0000-0000AF320000}"/>
    <cellStyle name="Comma 8 2 2 2 2 3 3" xfId="26606" xr:uid="{00000000-0005-0000-0000-0000B0320000}"/>
    <cellStyle name="Comma 8 2 2 2 2 3 3 2" xfId="26607" xr:uid="{00000000-0005-0000-0000-0000B1320000}"/>
    <cellStyle name="Comma 8 2 2 2 2 3 4" xfId="26608" xr:uid="{00000000-0005-0000-0000-0000B2320000}"/>
    <cellStyle name="Comma 8 2 2 2 2 4" xfId="26609" xr:uid="{00000000-0005-0000-0000-0000B3320000}"/>
    <cellStyle name="Comma 8 2 2 2 2 4 2" xfId="26610" xr:uid="{00000000-0005-0000-0000-0000B4320000}"/>
    <cellStyle name="Comma 8 2 2 2 2 4 2 2" xfId="26611" xr:uid="{00000000-0005-0000-0000-0000B5320000}"/>
    <cellStyle name="Comma 8 2 2 2 2 4 3" xfId="26612" xr:uid="{00000000-0005-0000-0000-0000B6320000}"/>
    <cellStyle name="Comma 8 2 2 2 2 5" xfId="26613" xr:uid="{00000000-0005-0000-0000-0000B7320000}"/>
    <cellStyle name="Comma 8 2 2 2 2 5 2" xfId="26614" xr:uid="{00000000-0005-0000-0000-0000B8320000}"/>
    <cellStyle name="Comma 8 2 2 2 2 6" xfId="26615" xr:uid="{00000000-0005-0000-0000-0000B9320000}"/>
    <cellStyle name="Comma 8 2 2 2 3" xfId="26616" xr:uid="{00000000-0005-0000-0000-0000BA320000}"/>
    <cellStyle name="Comma 8 2 2 2 3 2" xfId="26617" xr:uid="{00000000-0005-0000-0000-0000BB320000}"/>
    <cellStyle name="Comma 8 2 2 2 3 2 2" xfId="26618" xr:uid="{00000000-0005-0000-0000-0000BC320000}"/>
    <cellStyle name="Comma 8 2 2 2 3 2 2 2" xfId="26619" xr:uid="{00000000-0005-0000-0000-0000BD320000}"/>
    <cellStyle name="Comma 8 2 2 2 3 2 2 2 2" xfId="26620" xr:uid="{00000000-0005-0000-0000-0000BE320000}"/>
    <cellStyle name="Comma 8 2 2 2 3 2 2 3" xfId="26621" xr:uid="{00000000-0005-0000-0000-0000BF320000}"/>
    <cellStyle name="Comma 8 2 2 2 3 2 3" xfId="26622" xr:uid="{00000000-0005-0000-0000-0000C0320000}"/>
    <cellStyle name="Comma 8 2 2 2 3 2 3 2" xfId="26623" xr:uid="{00000000-0005-0000-0000-0000C1320000}"/>
    <cellStyle name="Comma 8 2 2 2 3 2 4" xfId="26624" xr:uid="{00000000-0005-0000-0000-0000C2320000}"/>
    <cellStyle name="Comma 8 2 2 2 3 3" xfId="26625" xr:uid="{00000000-0005-0000-0000-0000C3320000}"/>
    <cellStyle name="Comma 8 2 2 2 3 3 2" xfId="26626" xr:uid="{00000000-0005-0000-0000-0000C4320000}"/>
    <cellStyle name="Comma 8 2 2 2 3 3 2 2" xfId="26627" xr:uid="{00000000-0005-0000-0000-0000C5320000}"/>
    <cellStyle name="Comma 8 2 2 2 3 3 3" xfId="26628" xr:uid="{00000000-0005-0000-0000-0000C6320000}"/>
    <cellStyle name="Comma 8 2 2 2 3 4" xfId="26629" xr:uid="{00000000-0005-0000-0000-0000C7320000}"/>
    <cellStyle name="Comma 8 2 2 2 3 4 2" xfId="26630" xr:uid="{00000000-0005-0000-0000-0000C8320000}"/>
    <cellStyle name="Comma 8 2 2 2 3 5" xfId="26631" xr:uid="{00000000-0005-0000-0000-0000C9320000}"/>
    <cellStyle name="Comma 8 2 2 2 4" xfId="26632" xr:uid="{00000000-0005-0000-0000-0000CA320000}"/>
    <cellStyle name="Comma 8 2 2 2 4 2" xfId="26633" xr:uid="{00000000-0005-0000-0000-0000CB320000}"/>
    <cellStyle name="Comma 8 2 2 2 4 2 2" xfId="26634" xr:uid="{00000000-0005-0000-0000-0000CC320000}"/>
    <cellStyle name="Comma 8 2 2 2 4 2 2 2" xfId="26635" xr:uid="{00000000-0005-0000-0000-0000CD320000}"/>
    <cellStyle name="Comma 8 2 2 2 4 2 3" xfId="26636" xr:uid="{00000000-0005-0000-0000-0000CE320000}"/>
    <cellStyle name="Comma 8 2 2 2 4 3" xfId="26637" xr:uid="{00000000-0005-0000-0000-0000CF320000}"/>
    <cellStyle name="Comma 8 2 2 2 4 3 2" xfId="26638" xr:uid="{00000000-0005-0000-0000-0000D0320000}"/>
    <cellStyle name="Comma 8 2 2 2 4 4" xfId="26639" xr:uid="{00000000-0005-0000-0000-0000D1320000}"/>
    <cellStyle name="Comma 8 2 2 2 5" xfId="26640" xr:uid="{00000000-0005-0000-0000-0000D2320000}"/>
    <cellStyle name="Comma 8 2 2 2 5 2" xfId="26641" xr:uid="{00000000-0005-0000-0000-0000D3320000}"/>
    <cellStyle name="Comma 8 2 2 2 5 2 2" xfId="26642" xr:uid="{00000000-0005-0000-0000-0000D4320000}"/>
    <cellStyle name="Comma 8 2 2 2 5 2 2 2" xfId="26643" xr:uid="{00000000-0005-0000-0000-0000D5320000}"/>
    <cellStyle name="Comma 8 2 2 2 5 2 3" xfId="26644" xr:uid="{00000000-0005-0000-0000-0000D6320000}"/>
    <cellStyle name="Comma 8 2 2 2 5 3" xfId="26645" xr:uid="{00000000-0005-0000-0000-0000D7320000}"/>
    <cellStyle name="Comma 8 2 2 2 5 3 2" xfId="26646" xr:uid="{00000000-0005-0000-0000-0000D8320000}"/>
    <cellStyle name="Comma 8 2 2 2 5 4" xfId="26647" xr:uid="{00000000-0005-0000-0000-0000D9320000}"/>
    <cellStyle name="Comma 8 2 2 2 6" xfId="26648" xr:uid="{00000000-0005-0000-0000-0000DA320000}"/>
    <cellStyle name="Comma 8 2 2 2 6 2" xfId="26649" xr:uid="{00000000-0005-0000-0000-0000DB320000}"/>
    <cellStyle name="Comma 8 2 2 2 6 2 2" xfId="26650" xr:uid="{00000000-0005-0000-0000-0000DC320000}"/>
    <cellStyle name="Comma 8 2 2 2 6 3" xfId="26651" xr:uid="{00000000-0005-0000-0000-0000DD320000}"/>
    <cellStyle name="Comma 8 2 2 2 7" xfId="26652" xr:uid="{00000000-0005-0000-0000-0000DE320000}"/>
    <cellStyle name="Comma 8 2 2 2 7 2" xfId="26653" xr:uid="{00000000-0005-0000-0000-0000DF320000}"/>
    <cellStyle name="Comma 8 2 2 2 8" xfId="26654" xr:uid="{00000000-0005-0000-0000-0000E0320000}"/>
    <cellStyle name="Comma 8 2 2 3" xfId="26655" xr:uid="{00000000-0005-0000-0000-0000E1320000}"/>
    <cellStyle name="Comma 8 2 2 3 2" xfId="26656" xr:uid="{00000000-0005-0000-0000-0000E2320000}"/>
    <cellStyle name="Comma 8 2 2 3 2 2" xfId="26657" xr:uid="{00000000-0005-0000-0000-0000E3320000}"/>
    <cellStyle name="Comma 8 2 2 3 2 2 2" xfId="26658" xr:uid="{00000000-0005-0000-0000-0000E4320000}"/>
    <cellStyle name="Comma 8 2 2 3 2 2 2 2" xfId="26659" xr:uid="{00000000-0005-0000-0000-0000E5320000}"/>
    <cellStyle name="Comma 8 2 2 3 2 2 3" xfId="26660" xr:uid="{00000000-0005-0000-0000-0000E6320000}"/>
    <cellStyle name="Comma 8 2 2 3 2 3" xfId="26661" xr:uid="{00000000-0005-0000-0000-0000E7320000}"/>
    <cellStyle name="Comma 8 2 2 3 2 3 2" xfId="26662" xr:uid="{00000000-0005-0000-0000-0000E8320000}"/>
    <cellStyle name="Comma 8 2 2 3 2 4" xfId="26663" xr:uid="{00000000-0005-0000-0000-0000E9320000}"/>
    <cellStyle name="Comma 8 2 2 3 3" xfId="26664" xr:uid="{00000000-0005-0000-0000-0000EA320000}"/>
    <cellStyle name="Comma 8 2 2 3 3 2" xfId="26665" xr:uid="{00000000-0005-0000-0000-0000EB320000}"/>
    <cellStyle name="Comma 8 2 2 3 3 2 2" xfId="26666" xr:uid="{00000000-0005-0000-0000-0000EC320000}"/>
    <cellStyle name="Comma 8 2 2 3 3 2 2 2" xfId="26667" xr:uid="{00000000-0005-0000-0000-0000ED320000}"/>
    <cellStyle name="Comma 8 2 2 3 3 2 3" xfId="26668" xr:uid="{00000000-0005-0000-0000-0000EE320000}"/>
    <cellStyle name="Comma 8 2 2 3 3 3" xfId="26669" xr:uid="{00000000-0005-0000-0000-0000EF320000}"/>
    <cellStyle name="Comma 8 2 2 3 3 3 2" xfId="26670" xr:uid="{00000000-0005-0000-0000-0000F0320000}"/>
    <cellStyle name="Comma 8 2 2 3 3 4" xfId="26671" xr:uid="{00000000-0005-0000-0000-0000F1320000}"/>
    <cellStyle name="Comma 8 2 2 3 4" xfId="26672" xr:uid="{00000000-0005-0000-0000-0000F2320000}"/>
    <cellStyle name="Comma 8 2 2 3 4 2" xfId="26673" xr:uid="{00000000-0005-0000-0000-0000F3320000}"/>
    <cellStyle name="Comma 8 2 2 3 4 2 2" xfId="26674" xr:uid="{00000000-0005-0000-0000-0000F4320000}"/>
    <cellStyle name="Comma 8 2 2 3 4 3" xfId="26675" xr:uid="{00000000-0005-0000-0000-0000F5320000}"/>
    <cellStyle name="Comma 8 2 2 3 5" xfId="26676" xr:uid="{00000000-0005-0000-0000-0000F6320000}"/>
    <cellStyle name="Comma 8 2 2 3 5 2" xfId="26677" xr:uid="{00000000-0005-0000-0000-0000F7320000}"/>
    <cellStyle name="Comma 8 2 2 3 6" xfId="26678" xr:uid="{00000000-0005-0000-0000-0000F8320000}"/>
    <cellStyle name="Comma 8 2 2 4" xfId="26679" xr:uid="{00000000-0005-0000-0000-0000F9320000}"/>
    <cellStyle name="Comma 8 2 2 4 2" xfId="26680" xr:uid="{00000000-0005-0000-0000-0000FA320000}"/>
    <cellStyle name="Comma 8 2 2 4 2 2" xfId="26681" xr:uid="{00000000-0005-0000-0000-0000FB320000}"/>
    <cellStyle name="Comma 8 2 2 4 2 2 2" xfId="26682" xr:uid="{00000000-0005-0000-0000-0000FC320000}"/>
    <cellStyle name="Comma 8 2 2 4 2 2 2 2" xfId="26683" xr:uid="{00000000-0005-0000-0000-0000FD320000}"/>
    <cellStyle name="Comma 8 2 2 4 2 2 3" xfId="26684" xr:uid="{00000000-0005-0000-0000-0000FE320000}"/>
    <cellStyle name="Comma 8 2 2 4 2 3" xfId="26685" xr:uid="{00000000-0005-0000-0000-0000FF320000}"/>
    <cellStyle name="Comma 8 2 2 4 2 3 2" xfId="26686" xr:uid="{00000000-0005-0000-0000-000000330000}"/>
    <cellStyle name="Comma 8 2 2 4 2 4" xfId="26687" xr:uid="{00000000-0005-0000-0000-000001330000}"/>
    <cellStyle name="Comma 8 2 2 4 3" xfId="26688" xr:uid="{00000000-0005-0000-0000-000002330000}"/>
    <cellStyle name="Comma 8 2 2 4 3 2" xfId="26689" xr:uid="{00000000-0005-0000-0000-000003330000}"/>
    <cellStyle name="Comma 8 2 2 4 3 2 2" xfId="26690" xr:uid="{00000000-0005-0000-0000-000004330000}"/>
    <cellStyle name="Comma 8 2 2 4 3 3" xfId="26691" xr:uid="{00000000-0005-0000-0000-000005330000}"/>
    <cellStyle name="Comma 8 2 2 4 4" xfId="26692" xr:uid="{00000000-0005-0000-0000-000006330000}"/>
    <cellStyle name="Comma 8 2 2 4 4 2" xfId="26693" xr:uid="{00000000-0005-0000-0000-000007330000}"/>
    <cellStyle name="Comma 8 2 2 4 5" xfId="26694" xr:uid="{00000000-0005-0000-0000-000008330000}"/>
    <cellStyle name="Comma 8 2 2 5" xfId="26695" xr:uid="{00000000-0005-0000-0000-000009330000}"/>
    <cellStyle name="Comma 8 2 2 5 2" xfId="26696" xr:uid="{00000000-0005-0000-0000-00000A330000}"/>
    <cellStyle name="Comma 8 2 2 5 2 2" xfId="26697" xr:uid="{00000000-0005-0000-0000-00000B330000}"/>
    <cellStyle name="Comma 8 2 2 5 2 2 2" xfId="26698" xr:uid="{00000000-0005-0000-0000-00000C330000}"/>
    <cellStyle name="Comma 8 2 2 5 2 3" xfId="26699" xr:uid="{00000000-0005-0000-0000-00000D330000}"/>
    <cellStyle name="Comma 8 2 2 5 3" xfId="26700" xr:uid="{00000000-0005-0000-0000-00000E330000}"/>
    <cellStyle name="Comma 8 2 2 5 3 2" xfId="26701" xr:uid="{00000000-0005-0000-0000-00000F330000}"/>
    <cellStyle name="Comma 8 2 2 5 4" xfId="26702" xr:uid="{00000000-0005-0000-0000-000010330000}"/>
    <cellStyle name="Comma 8 2 2 6" xfId="26703" xr:uid="{00000000-0005-0000-0000-000011330000}"/>
    <cellStyle name="Comma 8 2 2 6 2" xfId="26704" xr:uid="{00000000-0005-0000-0000-000012330000}"/>
    <cellStyle name="Comma 8 2 2 6 2 2" xfId="26705" xr:uid="{00000000-0005-0000-0000-000013330000}"/>
    <cellStyle name="Comma 8 2 2 6 2 2 2" xfId="26706" xr:uid="{00000000-0005-0000-0000-000014330000}"/>
    <cellStyle name="Comma 8 2 2 6 2 3" xfId="26707" xr:uid="{00000000-0005-0000-0000-000015330000}"/>
    <cellStyle name="Comma 8 2 2 6 3" xfId="26708" xr:uid="{00000000-0005-0000-0000-000016330000}"/>
    <cellStyle name="Comma 8 2 2 6 3 2" xfId="26709" xr:uid="{00000000-0005-0000-0000-000017330000}"/>
    <cellStyle name="Comma 8 2 2 6 4" xfId="26710" xr:uid="{00000000-0005-0000-0000-000018330000}"/>
    <cellStyle name="Comma 8 2 2 7" xfId="26711" xr:uid="{00000000-0005-0000-0000-000019330000}"/>
    <cellStyle name="Comma 8 2 2 7 2" xfId="26712" xr:uid="{00000000-0005-0000-0000-00001A330000}"/>
    <cellStyle name="Comma 8 2 2 7 2 2" xfId="26713" xr:uid="{00000000-0005-0000-0000-00001B330000}"/>
    <cellStyle name="Comma 8 2 2 7 2 2 2" xfId="26714" xr:uid="{00000000-0005-0000-0000-00001C330000}"/>
    <cellStyle name="Comma 8 2 2 7 2 3" xfId="26715" xr:uid="{00000000-0005-0000-0000-00001D330000}"/>
    <cellStyle name="Comma 8 2 2 7 3" xfId="26716" xr:uid="{00000000-0005-0000-0000-00001E330000}"/>
    <cellStyle name="Comma 8 2 2 7 3 2" xfId="26717" xr:uid="{00000000-0005-0000-0000-00001F330000}"/>
    <cellStyle name="Comma 8 2 2 7 4" xfId="26718" xr:uid="{00000000-0005-0000-0000-000020330000}"/>
    <cellStyle name="Comma 8 2 2 8" xfId="26719" xr:uid="{00000000-0005-0000-0000-000021330000}"/>
    <cellStyle name="Comma 8 2 2 8 2" xfId="26720" xr:uid="{00000000-0005-0000-0000-000022330000}"/>
    <cellStyle name="Comma 8 2 2 8 2 2" xfId="26721" xr:uid="{00000000-0005-0000-0000-000023330000}"/>
    <cellStyle name="Comma 8 2 2 8 3" xfId="26722" xr:uid="{00000000-0005-0000-0000-000024330000}"/>
    <cellStyle name="Comma 8 2 2 9" xfId="26723" xr:uid="{00000000-0005-0000-0000-000025330000}"/>
    <cellStyle name="Comma 8 2 2 9 2" xfId="26724" xr:uid="{00000000-0005-0000-0000-000026330000}"/>
    <cellStyle name="Comma 8 2 3" xfId="26725" xr:uid="{00000000-0005-0000-0000-000027330000}"/>
    <cellStyle name="Comma 8 2 3 2" xfId="26726" xr:uid="{00000000-0005-0000-0000-000028330000}"/>
    <cellStyle name="Comma 8 2 3 2 2" xfId="26727" xr:uid="{00000000-0005-0000-0000-000029330000}"/>
    <cellStyle name="Comma 8 2 3 2 2 2" xfId="26728" xr:uid="{00000000-0005-0000-0000-00002A330000}"/>
    <cellStyle name="Comma 8 2 3 2 2 2 2" xfId="26729" xr:uid="{00000000-0005-0000-0000-00002B330000}"/>
    <cellStyle name="Comma 8 2 3 2 2 2 2 2" xfId="26730" xr:uid="{00000000-0005-0000-0000-00002C330000}"/>
    <cellStyle name="Comma 8 2 3 2 2 2 3" xfId="26731" xr:uid="{00000000-0005-0000-0000-00002D330000}"/>
    <cellStyle name="Comma 8 2 3 2 2 3" xfId="26732" xr:uid="{00000000-0005-0000-0000-00002E330000}"/>
    <cellStyle name="Comma 8 2 3 2 2 3 2" xfId="26733" xr:uid="{00000000-0005-0000-0000-00002F330000}"/>
    <cellStyle name="Comma 8 2 3 2 2 4" xfId="26734" xr:uid="{00000000-0005-0000-0000-000030330000}"/>
    <cellStyle name="Comma 8 2 3 2 3" xfId="26735" xr:uid="{00000000-0005-0000-0000-000031330000}"/>
    <cellStyle name="Comma 8 2 3 2 3 2" xfId="26736" xr:uid="{00000000-0005-0000-0000-000032330000}"/>
    <cellStyle name="Comma 8 2 3 2 3 2 2" xfId="26737" xr:uid="{00000000-0005-0000-0000-000033330000}"/>
    <cellStyle name="Comma 8 2 3 2 3 2 2 2" xfId="26738" xr:uid="{00000000-0005-0000-0000-000034330000}"/>
    <cellStyle name="Comma 8 2 3 2 3 2 3" xfId="26739" xr:uid="{00000000-0005-0000-0000-000035330000}"/>
    <cellStyle name="Comma 8 2 3 2 3 3" xfId="26740" xr:uid="{00000000-0005-0000-0000-000036330000}"/>
    <cellStyle name="Comma 8 2 3 2 3 3 2" xfId="26741" xr:uid="{00000000-0005-0000-0000-000037330000}"/>
    <cellStyle name="Comma 8 2 3 2 3 4" xfId="26742" xr:uid="{00000000-0005-0000-0000-000038330000}"/>
    <cellStyle name="Comma 8 2 3 2 4" xfId="26743" xr:uid="{00000000-0005-0000-0000-000039330000}"/>
    <cellStyle name="Comma 8 2 3 2 4 2" xfId="26744" xr:uid="{00000000-0005-0000-0000-00003A330000}"/>
    <cellStyle name="Comma 8 2 3 2 4 2 2" xfId="26745" xr:uid="{00000000-0005-0000-0000-00003B330000}"/>
    <cellStyle name="Comma 8 2 3 2 4 3" xfId="26746" xr:uid="{00000000-0005-0000-0000-00003C330000}"/>
    <cellStyle name="Comma 8 2 3 2 5" xfId="26747" xr:uid="{00000000-0005-0000-0000-00003D330000}"/>
    <cellStyle name="Comma 8 2 3 2 5 2" xfId="26748" xr:uid="{00000000-0005-0000-0000-00003E330000}"/>
    <cellStyle name="Comma 8 2 3 2 6" xfId="26749" xr:uid="{00000000-0005-0000-0000-00003F330000}"/>
    <cellStyle name="Comma 8 2 3 3" xfId="26750" xr:uid="{00000000-0005-0000-0000-000040330000}"/>
    <cellStyle name="Comma 8 2 3 3 2" xfId="26751" xr:uid="{00000000-0005-0000-0000-000041330000}"/>
    <cellStyle name="Comma 8 2 3 3 2 2" xfId="26752" xr:uid="{00000000-0005-0000-0000-000042330000}"/>
    <cellStyle name="Comma 8 2 3 3 2 2 2" xfId="26753" xr:uid="{00000000-0005-0000-0000-000043330000}"/>
    <cellStyle name="Comma 8 2 3 3 2 2 2 2" xfId="26754" xr:uid="{00000000-0005-0000-0000-000044330000}"/>
    <cellStyle name="Comma 8 2 3 3 2 2 3" xfId="26755" xr:uid="{00000000-0005-0000-0000-000045330000}"/>
    <cellStyle name="Comma 8 2 3 3 2 3" xfId="26756" xr:uid="{00000000-0005-0000-0000-000046330000}"/>
    <cellStyle name="Comma 8 2 3 3 2 3 2" xfId="26757" xr:uid="{00000000-0005-0000-0000-000047330000}"/>
    <cellStyle name="Comma 8 2 3 3 2 4" xfId="26758" xr:uid="{00000000-0005-0000-0000-000048330000}"/>
    <cellStyle name="Comma 8 2 3 3 3" xfId="26759" xr:uid="{00000000-0005-0000-0000-000049330000}"/>
    <cellStyle name="Comma 8 2 3 3 3 2" xfId="26760" xr:uid="{00000000-0005-0000-0000-00004A330000}"/>
    <cellStyle name="Comma 8 2 3 3 3 2 2" xfId="26761" xr:uid="{00000000-0005-0000-0000-00004B330000}"/>
    <cellStyle name="Comma 8 2 3 3 3 3" xfId="26762" xr:uid="{00000000-0005-0000-0000-00004C330000}"/>
    <cellStyle name="Comma 8 2 3 3 4" xfId="26763" xr:uid="{00000000-0005-0000-0000-00004D330000}"/>
    <cellStyle name="Comma 8 2 3 3 4 2" xfId="26764" xr:uid="{00000000-0005-0000-0000-00004E330000}"/>
    <cellStyle name="Comma 8 2 3 3 5" xfId="26765" xr:uid="{00000000-0005-0000-0000-00004F330000}"/>
    <cellStyle name="Comma 8 2 3 4" xfId="26766" xr:uid="{00000000-0005-0000-0000-000050330000}"/>
    <cellStyle name="Comma 8 2 3 4 2" xfId="26767" xr:uid="{00000000-0005-0000-0000-000051330000}"/>
    <cellStyle name="Comma 8 2 3 4 2 2" xfId="26768" xr:uid="{00000000-0005-0000-0000-000052330000}"/>
    <cellStyle name="Comma 8 2 3 4 2 2 2" xfId="26769" xr:uid="{00000000-0005-0000-0000-000053330000}"/>
    <cellStyle name="Comma 8 2 3 4 2 3" xfId="26770" xr:uid="{00000000-0005-0000-0000-000054330000}"/>
    <cellStyle name="Comma 8 2 3 4 3" xfId="26771" xr:uid="{00000000-0005-0000-0000-000055330000}"/>
    <cellStyle name="Comma 8 2 3 4 3 2" xfId="26772" xr:uid="{00000000-0005-0000-0000-000056330000}"/>
    <cellStyle name="Comma 8 2 3 4 4" xfId="26773" xr:uid="{00000000-0005-0000-0000-000057330000}"/>
    <cellStyle name="Comma 8 2 3 5" xfId="26774" xr:uid="{00000000-0005-0000-0000-000058330000}"/>
    <cellStyle name="Comma 8 2 3 5 2" xfId="26775" xr:uid="{00000000-0005-0000-0000-000059330000}"/>
    <cellStyle name="Comma 8 2 3 5 2 2" xfId="26776" xr:uid="{00000000-0005-0000-0000-00005A330000}"/>
    <cellStyle name="Comma 8 2 3 5 2 2 2" xfId="26777" xr:uid="{00000000-0005-0000-0000-00005B330000}"/>
    <cellStyle name="Comma 8 2 3 5 2 3" xfId="26778" xr:uid="{00000000-0005-0000-0000-00005C330000}"/>
    <cellStyle name="Comma 8 2 3 5 3" xfId="26779" xr:uid="{00000000-0005-0000-0000-00005D330000}"/>
    <cellStyle name="Comma 8 2 3 5 3 2" xfId="26780" xr:uid="{00000000-0005-0000-0000-00005E330000}"/>
    <cellStyle name="Comma 8 2 3 5 4" xfId="26781" xr:uid="{00000000-0005-0000-0000-00005F330000}"/>
    <cellStyle name="Comma 8 2 3 6" xfId="26782" xr:uid="{00000000-0005-0000-0000-000060330000}"/>
    <cellStyle name="Comma 8 2 3 6 2" xfId="26783" xr:uid="{00000000-0005-0000-0000-000061330000}"/>
    <cellStyle name="Comma 8 2 3 6 2 2" xfId="26784" xr:uid="{00000000-0005-0000-0000-000062330000}"/>
    <cellStyle name="Comma 8 2 3 6 3" xfId="26785" xr:uid="{00000000-0005-0000-0000-000063330000}"/>
    <cellStyle name="Comma 8 2 3 7" xfId="26786" xr:uid="{00000000-0005-0000-0000-000064330000}"/>
    <cellStyle name="Comma 8 2 3 7 2" xfId="26787" xr:uid="{00000000-0005-0000-0000-000065330000}"/>
    <cellStyle name="Comma 8 2 3 8" xfId="26788" xr:uid="{00000000-0005-0000-0000-000066330000}"/>
    <cellStyle name="Comma 8 2 4" xfId="26789" xr:uid="{00000000-0005-0000-0000-000067330000}"/>
    <cellStyle name="Comma 8 2 4 2" xfId="26790" xr:uid="{00000000-0005-0000-0000-000068330000}"/>
    <cellStyle name="Comma 8 2 4 2 2" xfId="26791" xr:uid="{00000000-0005-0000-0000-000069330000}"/>
    <cellStyle name="Comma 8 2 4 2 2 2" xfId="26792" xr:uid="{00000000-0005-0000-0000-00006A330000}"/>
    <cellStyle name="Comma 8 2 4 2 2 2 2" xfId="26793" xr:uid="{00000000-0005-0000-0000-00006B330000}"/>
    <cellStyle name="Comma 8 2 4 2 2 2 2 2" xfId="26794" xr:uid="{00000000-0005-0000-0000-00006C330000}"/>
    <cellStyle name="Comma 8 2 4 2 2 2 3" xfId="26795" xr:uid="{00000000-0005-0000-0000-00006D330000}"/>
    <cellStyle name="Comma 8 2 4 2 2 3" xfId="26796" xr:uid="{00000000-0005-0000-0000-00006E330000}"/>
    <cellStyle name="Comma 8 2 4 2 2 3 2" xfId="26797" xr:uid="{00000000-0005-0000-0000-00006F330000}"/>
    <cellStyle name="Comma 8 2 4 2 2 4" xfId="26798" xr:uid="{00000000-0005-0000-0000-000070330000}"/>
    <cellStyle name="Comma 8 2 4 2 3" xfId="26799" xr:uid="{00000000-0005-0000-0000-000071330000}"/>
    <cellStyle name="Comma 8 2 4 2 3 2" xfId="26800" xr:uid="{00000000-0005-0000-0000-000072330000}"/>
    <cellStyle name="Comma 8 2 4 2 3 2 2" xfId="26801" xr:uid="{00000000-0005-0000-0000-000073330000}"/>
    <cellStyle name="Comma 8 2 4 2 3 2 2 2" xfId="26802" xr:uid="{00000000-0005-0000-0000-000074330000}"/>
    <cellStyle name="Comma 8 2 4 2 3 2 3" xfId="26803" xr:uid="{00000000-0005-0000-0000-000075330000}"/>
    <cellStyle name="Comma 8 2 4 2 3 3" xfId="26804" xr:uid="{00000000-0005-0000-0000-000076330000}"/>
    <cellStyle name="Comma 8 2 4 2 3 3 2" xfId="26805" xr:uid="{00000000-0005-0000-0000-000077330000}"/>
    <cellStyle name="Comma 8 2 4 2 3 4" xfId="26806" xr:uid="{00000000-0005-0000-0000-000078330000}"/>
    <cellStyle name="Comma 8 2 4 2 4" xfId="26807" xr:uid="{00000000-0005-0000-0000-000079330000}"/>
    <cellStyle name="Comma 8 2 4 2 4 2" xfId="26808" xr:uid="{00000000-0005-0000-0000-00007A330000}"/>
    <cellStyle name="Comma 8 2 4 2 4 2 2" xfId="26809" xr:uid="{00000000-0005-0000-0000-00007B330000}"/>
    <cellStyle name="Comma 8 2 4 2 4 3" xfId="26810" xr:uid="{00000000-0005-0000-0000-00007C330000}"/>
    <cellStyle name="Comma 8 2 4 2 5" xfId="26811" xr:uid="{00000000-0005-0000-0000-00007D330000}"/>
    <cellStyle name="Comma 8 2 4 2 5 2" xfId="26812" xr:uid="{00000000-0005-0000-0000-00007E330000}"/>
    <cellStyle name="Comma 8 2 4 2 6" xfId="26813" xr:uid="{00000000-0005-0000-0000-00007F330000}"/>
    <cellStyle name="Comma 8 2 4 3" xfId="26814" xr:uid="{00000000-0005-0000-0000-000080330000}"/>
    <cellStyle name="Comma 8 2 4 3 2" xfId="26815" xr:uid="{00000000-0005-0000-0000-000081330000}"/>
    <cellStyle name="Comma 8 2 4 3 2 2" xfId="26816" xr:uid="{00000000-0005-0000-0000-000082330000}"/>
    <cellStyle name="Comma 8 2 4 3 2 2 2" xfId="26817" xr:uid="{00000000-0005-0000-0000-000083330000}"/>
    <cellStyle name="Comma 8 2 4 3 2 2 2 2" xfId="26818" xr:uid="{00000000-0005-0000-0000-000084330000}"/>
    <cellStyle name="Comma 8 2 4 3 2 2 3" xfId="26819" xr:uid="{00000000-0005-0000-0000-000085330000}"/>
    <cellStyle name="Comma 8 2 4 3 2 3" xfId="26820" xr:uid="{00000000-0005-0000-0000-000086330000}"/>
    <cellStyle name="Comma 8 2 4 3 2 3 2" xfId="26821" xr:uid="{00000000-0005-0000-0000-000087330000}"/>
    <cellStyle name="Comma 8 2 4 3 2 4" xfId="26822" xr:uid="{00000000-0005-0000-0000-000088330000}"/>
    <cellStyle name="Comma 8 2 4 3 3" xfId="26823" xr:uid="{00000000-0005-0000-0000-000089330000}"/>
    <cellStyle name="Comma 8 2 4 3 3 2" xfId="26824" xr:uid="{00000000-0005-0000-0000-00008A330000}"/>
    <cellStyle name="Comma 8 2 4 3 3 2 2" xfId="26825" xr:uid="{00000000-0005-0000-0000-00008B330000}"/>
    <cellStyle name="Comma 8 2 4 3 3 3" xfId="26826" xr:uid="{00000000-0005-0000-0000-00008C330000}"/>
    <cellStyle name="Comma 8 2 4 3 4" xfId="26827" xr:uid="{00000000-0005-0000-0000-00008D330000}"/>
    <cellStyle name="Comma 8 2 4 3 4 2" xfId="26828" xr:uid="{00000000-0005-0000-0000-00008E330000}"/>
    <cellStyle name="Comma 8 2 4 3 5" xfId="26829" xr:uid="{00000000-0005-0000-0000-00008F330000}"/>
    <cellStyle name="Comma 8 2 4 4" xfId="26830" xr:uid="{00000000-0005-0000-0000-000090330000}"/>
    <cellStyle name="Comma 8 2 4 4 2" xfId="26831" xr:uid="{00000000-0005-0000-0000-000091330000}"/>
    <cellStyle name="Comma 8 2 4 4 2 2" xfId="26832" xr:uid="{00000000-0005-0000-0000-000092330000}"/>
    <cellStyle name="Comma 8 2 4 4 2 2 2" xfId="26833" xr:uid="{00000000-0005-0000-0000-000093330000}"/>
    <cellStyle name="Comma 8 2 4 4 2 3" xfId="26834" xr:uid="{00000000-0005-0000-0000-000094330000}"/>
    <cellStyle name="Comma 8 2 4 4 3" xfId="26835" xr:uid="{00000000-0005-0000-0000-000095330000}"/>
    <cellStyle name="Comma 8 2 4 4 3 2" xfId="26836" xr:uid="{00000000-0005-0000-0000-000096330000}"/>
    <cellStyle name="Comma 8 2 4 4 4" xfId="26837" xr:uid="{00000000-0005-0000-0000-000097330000}"/>
    <cellStyle name="Comma 8 2 4 5" xfId="26838" xr:uid="{00000000-0005-0000-0000-000098330000}"/>
    <cellStyle name="Comma 8 2 4 5 2" xfId="26839" xr:uid="{00000000-0005-0000-0000-000099330000}"/>
    <cellStyle name="Comma 8 2 4 5 2 2" xfId="26840" xr:uid="{00000000-0005-0000-0000-00009A330000}"/>
    <cellStyle name="Comma 8 2 4 5 2 2 2" xfId="26841" xr:uid="{00000000-0005-0000-0000-00009B330000}"/>
    <cellStyle name="Comma 8 2 4 5 2 3" xfId="26842" xr:uid="{00000000-0005-0000-0000-00009C330000}"/>
    <cellStyle name="Comma 8 2 4 5 3" xfId="26843" xr:uid="{00000000-0005-0000-0000-00009D330000}"/>
    <cellStyle name="Comma 8 2 4 5 3 2" xfId="26844" xr:uid="{00000000-0005-0000-0000-00009E330000}"/>
    <cellStyle name="Comma 8 2 4 5 4" xfId="26845" xr:uid="{00000000-0005-0000-0000-00009F330000}"/>
    <cellStyle name="Comma 8 2 4 6" xfId="26846" xr:uid="{00000000-0005-0000-0000-0000A0330000}"/>
    <cellStyle name="Comma 8 2 4 6 2" xfId="26847" xr:uid="{00000000-0005-0000-0000-0000A1330000}"/>
    <cellStyle name="Comma 8 2 4 6 2 2" xfId="26848" xr:uid="{00000000-0005-0000-0000-0000A2330000}"/>
    <cellStyle name="Comma 8 2 4 6 3" xfId="26849" xr:uid="{00000000-0005-0000-0000-0000A3330000}"/>
    <cellStyle name="Comma 8 2 4 7" xfId="26850" xr:uid="{00000000-0005-0000-0000-0000A4330000}"/>
    <cellStyle name="Comma 8 2 4 7 2" xfId="26851" xr:uid="{00000000-0005-0000-0000-0000A5330000}"/>
    <cellStyle name="Comma 8 2 4 8" xfId="26852" xr:uid="{00000000-0005-0000-0000-0000A6330000}"/>
    <cellStyle name="Comma 8 2 5" xfId="26853" xr:uid="{00000000-0005-0000-0000-0000A7330000}"/>
    <cellStyle name="Comma 8 2 5 2" xfId="26854" xr:uid="{00000000-0005-0000-0000-0000A8330000}"/>
    <cellStyle name="Comma 8 2 5 2 2" xfId="26855" xr:uid="{00000000-0005-0000-0000-0000A9330000}"/>
    <cellStyle name="Comma 8 2 5 2 2 2" xfId="26856" xr:uid="{00000000-0005-0000-0000-0000AA330000}"/>
    <cellStyle name="Comma 8 2 5 2 2 2 2" xfId="26857" xr:uid="{00000000-0005-0000-0000-0000AB330000}"/>
    <cellStyle name="Comma 8 2 5 2 2 3" xfId="26858" xr:uid="{00000000-0005-0000-0000-0000AC330000}"/>
    <cellStyle name="Comma 8 2 5 2 3" xfId="26859" xr:uid="{00000000-0005-0000-0000-0000AD330000}"/>
    <cellStyle name="Comma 8 2 5 2 3 2" xfId="26860" xr:uid="{00000000-0005-0000-0000-0000AE330000}"/>
    <cellStyle name="Comma 8 2 5 2 4" xfId="26861" xr:uid="{00000000-0005-0000-0000-0000AF330000}"/>
    <cellStyle name="Comma 8 2 5 3" xfId="26862" xr:uid="{00000000-0005-0000-0000-0000B0330000}"/>
    <cellStyle name="Comma 8 2 5 3 2" xfId="26863" xr:uid="{00000000-0005-0000-0000-0000B1330000}"/>
    <cellStyle name="Comma 8 2 5 3 2 2" xfId="26864" xr:uid="{00000000-0005-0000-0000-0000B2330000}"/>
    <cellStyle name="Comma 8 2 5 3 2 2 2" xfId="26865" xr:uid="{00000000-0005-0000-0000-0000B3330000}"/>
    <cellStyle name="Comma 8 2 5 3 2 3" xfId="26866" xr:uid="{00000000-0005-0000-0000-0000B4330000}"/>
    <cellStyle name="Comma 8 2 5 3 3" xfId="26867" xr:uid="{00000000-0005-0000-0000-0000B5330000}"/>
    <cellStyle name="Comma 8 2 5 3 3 2" xfId="26868" xr:uid="{00000000-0005-0000-0000-0000B6330000}"/>
    <cellStyle name="Comma 8 2 5 3 4" xfId="26869" xr:uid="{00000000-0005-0000-0000-0000B7330000}"/>
    <cellStyle name="Comma 8 2 5 4" xfId="26870" xr:uid="{00000000-0005-0000-0000-0000B8330000}"/>
    <cellStyle name="Comma 8 2 5 4 2" xfId="26871" xr:uid="{00000000-0005-0000-0000-0000B9330000}"/>
    <cellStyle name="Comma 8 2 5 4 2 2" xfId="26872" xr:uid="{00000000-0005-0000-0000-0000BA330000}"/>
    <cellStyle name="Comma 8 2 5 4 3" xfId="26873" xr:uid="{00000000-0005-0000-0000-0000BB330000}"/>
    <cellStyle name="Comma 8 2 5 5" xfId="26874" xr:uid="{00000000-0005-0000-0000-0000BC330000}"/>
    <cellStyle name="Comma 8 2 5 5 2" xfId="26875" xr:uid="{00000000-0005-0000-0000-0000BD330000}"/>
    <cellStyle name="Comma 8 2 5 6" xfId="26876" xr:uid="{00000000-0005-0000-0000-0000BE330000}"/>
    <cellStyle name="Comma 8 2 6" xfId="26877" xr:uid="{00000000-0005-0000-0000-0000BF330000}"/>
    <cellStyle name="Comma 8 2 6 2" xfId="26878" xr:uid="{00000000-0005-0000-0000-0000C0330000}"/>
    <cellStyle name="Comma 8 2 6 2 2" xfId="26879" xr:uid="{00000000-0005-0000-0000-0000C1330000}"/>
    <cellStyle name="Comma 8 2 6 2 2 2" xfId="26880" xr:uid="{00000000-0005-0000-0000-0000C2330000}"/>
    <cellStyle name="Comma 8 2 6 2 2 2 2" xfId="26881" xr:uid="{00000000-0005-0000-0000-0000C3330000}"/>
    <cellStyle name="Comma 8 2 6 2 2 3" xfId="26882" xr:uid="{00000000-0005-0000-0000-0000C4330000}"/>
    <cellStyle name="Comma 8 2 6 2 3" xfId="26883" xr:uid="{00000000-0005-0000-0000-0000C5330000}"/>
    <cellStyle name="Comma 8 2 6 2 3 2" xfId="26884" xr:uid="{00000000-0005-0000-0000-0000C6330000}"/>
    <cellStyle name="Comma 8 2 6 2 4" xfId="26885" xr:uid="{00000000-0005-0000-0000-0000C7330000}"/>
    <cellStyle name="Comma 8 2 6 3" xfId="26886" xr:uid="{00000000-0005-0000-0000-0000C8330000}"/>
    <cellStyle name="Comma 8 2 6 3 2" xfId="26887" xr:uid="{00000000-0005-0000-0000-0000C9330000}"/>
    <cellStyle name="Comma 8 2 6 3 2 2" xfId="26888" xr:uid="{00000000-0005-0000-0000-0000CA330000}"/>
    <cellStyle name="Comma 8 2 6 3 3" xfId="26889" xr:uid="{00000000-0005-0000-0000-0000CB330000}"/>
    <cellStyle name="Comma 8 2 6 4" xfId="26890" xr:uid="{00000000-0005-0000-0000-0000CC330000}"/>
    <cellStyle name="Comma 8 2 6 4 2" xfId="26891" xr:uid="{00000000-0005-0000-0000-0000CD330000}"/>
    <cellStyle name="Comma 8 2 6 5" xfId="26892" xr:uid="{00000000-0005-0000-0000-0000CE330000}"/>
    <cellStyle name="Comma 8 2 7" xfId="26893" xr:uid="{00000000-0005-0000-0000-0000CF330000}"/>
    <cellStyle name="Comma 8 2 7 2" xfId="26894" xr:uid="{00000000-0005-0000-0000-0000D0330000}"/>
    <cellStyle name="Comma 8 2 7 2 2" xfId="26895" xr:uid="{00000000-0005-0000-0000-0000D1330000}"/>
    <cellStyle name="Comma 8 2 7 2 2 2" xfId="26896" xr:uid="{00000000-0005-0000-0000-0000D2330000}"/>
    <cellStyle name="Comma 8 2 7 2 3" xfId="26897" xr:uid="{00000000-0005-0000-0000-0000D3330000}"/>
    <cellStyle name="Comma 8 2 7 3" xfId="26898" xr:uid="{00000000-0005-0000-0000-0000D4330000}"/>
    <cellStyle name="Comma 8 2 7 3 2" xfId="26899" xr:uid="{00000000-0005-0000-0000-0000D5330000}"/>
    <cellStyle name="Comma 8 2 7 4" xfId="26900" xr:uid="{00000000-0005-0000-0000-0000D6330000}"/>
    <cellStyle name="Comma 8 2 8" xfId="26901" xr:uid="{00000000-0005-0000-0000-0000D7330000}"/>
    <cellStyle name="Comma 8 2 8 2" xfId="26902" xr:uid="{00000000-0005-0000-0000-0000D8330000}"/>
    <cellStyle name="Comma 8 2 8 2 2" xfId="26903" xr:uid="{00000000-0005-0000-0000-0000D9330000}"/>
    <cellStyle name="Comma 8 2 8 2 2 2" xfId="26904" xr:uid="{00000000-0005-0000-0000-0000DA330000}"/>
    <cellStyle name="Comma 8 2 8 2 3" xfId="26905" xr:uid="{00000000-0005-0000-0000-0000DB330000}"/>
    <cellStyle name="Comma 8 2 8 3" xfId="26906" xr:uid="{00000000-0005-0000-0000-0000DC330000}"/>
    <cellStyle name="Comma 8 2 8 3 2" xfId="26907" xr:uid="{00000000-0005-0000-0000-0000DD330000}"/>
    <cellStyle name="Comma 8 2 8 4" xfId="26908" xr:uid="{00000000-0005-0000-0000-0000DE330000}"/>
    <cellStyle name="Comma 8 2 9" xfId="26909" xr:uid="{00000000-0005-0000-0000-0000DF330000}"/>
    <cellStyle name="Comma 8 2 9 2" xfId="26910" xr:uid="{00000000-0005-0000-0000-0000E0330000}"/>
    <cellStyle name="Comma 8 2 9 2 2" xfId="26911" xr:uid="{00000000-0005-0000-0000-0000E1330000}"/>
    <cellStyle name="Comma 8 2 9 2 2 2" xfId="26912" xr:uid="{00000000-0005-0000-0000-0000E2330000}"/>
    <cellStyle name="Comma 8 2 9 2 3" xfId="26913" xr:uid="{00000000-0005-0000-0000-0000E3330000}"/>
    <cellStyle name="Comma 8 2 9 3" xfId="26914" xr:uid="{00000000-0005-0000-0000-0000E4330000}"/>
    <cellStyle name="Comma 8 2 9 3 2" xfId="26915" xr:uid="{00000000-0005-0000-0000-0000E5330000}"/>
    <cellStyle name="Comma 8 2 9 4" xfId="26916" xr:uid="{00000000-0005-0000-0000-0000E6330000}"/>
    <cellStyle name="Comma 8 20" xfId="8190" xr:uid="{00000000-0005-0000-0000-0000E7330000}"/>
    <cellStyle name="Comma 8 20 2" xfId="20710" xr:uid="{00000000-0005-0000-0000-0000E8330000}"/>
    <cellStyle name="Comma 8 21" xfId="8191" xr:uid="{00000000-0005-0000-0000-0000E9330000}"/>
    <cellStyle name="Comma 8 21 2" xfId="20711" xr:uid="{00000000-0005-0000-0000-0000EA330000}"/>
    <cellStyle name="Comma 8 22" xfId="8192" xr:uid="{00000000-0005-0000-0000-0000EB330000}"/>
    <cellStyle name="Comma 8 22 2" xfId="20712" xr:uid="{00000000-0005-0000-0000-0000EC330000}"/>
    <cellStyle name="Comma 8 23" xfId="8193" xr:uid="{00000000-0005-0000-0000-0000ED330000}"/>
    <cellStyle name="Comma 8 23 2" xfId="20713" xr:uid="{00000000-0005-0000-0000-0000EE330000}"/>
    <cellStyle name="Comma 8 24" xfId="8194" xr:uid="{00000000-0005-0000-0000-0000EF330000}"/>
    <cellStyle name="Comma 8 24 2" xfId="20714" xr:uid="{00000000-0005-0000-0000-0000F0330000}"/>
    <cellStyle name="Comma 8 25" xfId="8195" xr:uid="{00000000-0005-0000-0000-0000F1330000}"/>
    <cellStyle name="Comma 8 25 2" xfId="20715" xr:uid="{00000000-0005-0000-0000-0000F2330000}"/>
    <cellStyle name="Comma 8 26" xfId="8196" xr:uid="{00000000-0005-0000-0000-0000F3330000}"/>
    <cellStyle name="Comma 8 26 2" xfId="20716" xr:uid="{00000000-0005-0000-0000-0000F4330000}"/>
    <cellStyle name="Comma 8 27" xfId="8197" xr:uid="{00000000-0005-0000-0000-0000F5330000}"/>
    <cellStyle name="Comma 8 27 2" xfId="20717" xr:uid="{00000000-0005-0000-0000-0000F6330000}"/>
    <cellStyle name="Comma 8 28" xfId="8198" xr:uid="{00000000-0005-0000-0000-0000F7330000}"/>
    <cellStyle name="Comma 8 28 2" xfId="20718" xr:uid="{00000000-0005-0000-0000-0000F8330000}"/>
    <cellStyle name="Comma 8 29" xfId="8199" xr:uid="{00000000-0005-0000-0000-0000F9330000}"/>
    <cellStyle name="Comma 8 29 2" xfId="20719" xr:uid="{00000000-0005-0000-0000-0000FA330000}"/>
    <cellStyle name="Comma 8 3" xfId="8200" xr:uid="{00000000-0005-0000-0000-0000FB330000}"/>
    <cellStyle name="Comma 8 3 10" xfId="26917" xr:uid="{00000000-0005-0000-0000-0000FC330000}"/>
    <cellStyle name="Comma 8 3 10 2" xfId="26918" xr:uid="{00000000-0005-0000-0000-0000FD330000}"/>
    <cellStyle name="Comma 8 3 10 2 2" xfId="26919" xr:uid="{00000000-0005-0000-0000-0000FE330000}"/>
    <cellStyle name="Comma 8 3 10 3" xfId="26920" xr:uid="{00000000-0005-0000-0000-0000FF330000}"/>
    <cellStyle name="Comma 8 3 11" xfId="26921" xr:uid="{00000000-0005-0000-0000-000000340000}"/>
    <cellStyle name="Comma 8 3 11 2" xfId="26922" xr:uid="{00000000-0005-0000-0000-000001340000}"/>
    <cellStyle name="Comma 8 3 12" xfId="26923" xr:uid="{00000000-0005-0000-0000-000002340000}"/>
    <cellStyle name="Comma 8 3 2" xfId="20720" xr:uid="{00000000-0005-0000-0000-000003340000}"/>
    <cellStyle name="Comma 8 3 2 10" xfId="26924" xr:uid="{00000000-0005-0000-0000-000004340000}"/>
    <cellStyle name="Comma 8 3 2 2" xfId="26925" xr:uid="{00000000-0005-0000-0000-000005340000}"/>
    <cellStyle name="Comma 8 3 2 2 2" xfId="26926" xr:uid="{00000000-0005-0000-0000-000006340000}"/>
    <cellStyle name="Comma 8 3 2 2 2 2" xfId="26927" xr:uid="{00000000-0005-0000-0000-000007340000}"/>
    <cellStyle name="Comma 8 3 2 2 2 2 2" xfId="26928" xr:uid="{00000000-0005-0000-0000-000008340000}"/>
    <cellStyle name="Comma 8 3 2 2 2 2 2 2" xfId="26929" xr:uid="{00000000-0005-0000-0000-000009340000}"/>
    <cellStyle name="Comma 8 3 2 2 2 2 2 2 2" xfId="26930" xr:uid="{00000000-0005-0000-0000-00000A340000}"/>
    <cellStyle name="Comma 8 3 2 2 2 2 2 3" xfId="26931" xr:uid="{00000000-0005-0000-0000-00000B340000}"/>
    <cellStyle name="Comma 8 3 2 2 2 2 3" xfId="26932" xr:uid="{00000000-0005-0000-0000-00000C340000}"/>
    <cellStyle name="Comma 8 3 2 2 2 2 3 2" xfId="26933" xr:uid="{00000000-0005-0000-0000-00000D340000}"/>
    <cellStyle name="Comma 8 3 2 2 2 2 4" xfId="26934" xr:uid="{00000000-0005-0000-0000-00000E340000}"/>
    <cellStyle name="Comma 8 3 2 2 2 3" xfId="26935" xr:uid="{00000000-0005-0000-0000-00000F340000}"/>
    <cellStyle name="Comma 8 3 2 2 2 3 2" xfId="26936" xr:uid="{00000000-0005-0000-0000-000010340000}"/>
    <cellStyle name="Comma 8 3 2 2 2 3 2 2" xfId="26937" xr:uid="{00000000-0005-0000-0000-000011340000}"/>
    <cellStyle name="Comma 8 3 2 2 2 3 2 2 2" xfId="26938" xr:uid="{00000000-0005-0000-0000-000012340000}"/>
    <cellStyle name="Comma 8 3 2 2 2 3 2 3" xfId="26939" xr:uid="{00000000-0005-0000-0000-000013340000}"/>
    <cellStyle name="Comma 8 3 2 2 2 3 3" xfId="26940" xr:uid="{00000000-0005-0000-0000-000014340000}"/>
    <cellStyle name="Comma 8 3 2 2 2 3 3 2" xfId="26941" xr:uid="{00000000-0005-0000-0000-000015340000}"/>
    <cellStyle name="Comma 8 3 2 2 2 3 4" xfId="26942" xr:uid="{00000000-0005-0000-0000-000016340000}"/>
    <cellStyle name="Comma 8 3 2 2 2 4" xfId="26943" xr:uid="{00000000-0005-0000-0000-000017340000}"/>
    <cellStyle name="Comma 8 3 2 2 2 4 2" xfId="26944" xr:uid="{00000000-0005-0000-0000-000018340000}"/>
    <cellStyle name="Comma 8 3 2 2 2 4 2 2" xfId="26945" xr:uid="{00000000-0005-0000-0000-000019340000}"/>
    <cellStyle name="Comma 8 3 2 2 2 4 3" xfId="26946" xr:uid="{00000000-0005-0000-0000-00001A340000}"/>
    <cellStyle name="Comma 8 3 2 2 2 5" xfId="26947" xr:uid="{00000000-0005-0000-0000-00001B340000}"/>
    <cellStyle name="Comma 8 3 2 2 2 5 2" xfId="26948" xr:uid="{00000000-0005-0000-0000-00001C340000}"/>
    <cellStyle name="Comma 8 3 2 2 2 6" xfId="26949" xr:uid="{00000000-0005-0000-0000-00001D340000}"/>
    <cellStyle name="Comma 8 3 2 2 3" xfId="26950" xr:uid="{00000000-0005-0000-0000-00001E340000}"/>
    <cellStyle name="Comma 8 3 2 2 3 2" xfId="26951" xr:uid="{00000000-0005-0000-0000-00001F340000}"/>
    <cellStyle name="Comma 8 3 2 2 3 2 2" xfId="26952" xr:uid="{00000000-0005-0000-0000-000020340000}"/>
    <cellStyle name="Comma 8 3 2 2 3 2 2 2" xfId="26953" xr:uid="{00000000-0005-0000-0000-000021340000}"/>
    <cellStyle name="Comma 8 3 2 2 3 2 2 2 2" xfId="26954" xr:uid="{00000000-0005-0000-0000-000022340000}"/>
    <cellStyle name="Comma 8 3 2 2 3 2 2 3" xfId="26955" xr:uid="{00000000-0005-0000-0000-000023340000}"/>
    <cellStyle name="Comma 8 3 2 2 3 2 3" xfId="26956" xr:uid="{00000000-0005-0000-0000-000024340000}"/>
    <cellStyle name="Comma 8 3 2 2 3 2 3 2" xfId="26957" xr:uid="{00000000-0005-0000-0000-000025340000}"/>
    <cellStyle name="Comma 8 3 2 2 3 2 4" xfId="26958" xr:uid="{00000000-0005-0000-0000-000026340000}"/>
    <cellStyle name="Comma 8 3 2 2 3 3" xfId="26959" xr:uid="{00000000-0005-0000-0000-000027340000}"/>
    <cellStyle name="Comma 8 3 2 2 3 3 2" xfId="26960" xr:uid="{00000000-0005-0000-0000-000028340000}"/>
    <cellStyle name="Comma 8 3 2 2 3 3 2 2" xfId="26961" xr:uid="{00000000-0005-0000-0000-000029340000}"/>
    <cellStyle name="Comma 8 3 2 2 3 3 3" xfId="26962" xr:uid="{00000000-0005-0000-0000-00002A340000}"/>
    <cellStyle name="Comma 8 3 2 2 3 4" xfId="26963" xr:uid="{00000000-0005-0000-0000-00002B340000}"/>
    <cellStyle name="Comma 8 3 2 2 3 4 2" xfId="26964" xr:uid="{00000000-0005-0000-0000-00002C340000}"/>
    <cellStyle name="Comma 8 3 2 2 3 5" xfId="26965" xr:uid="{00000000-0005-0000-0000-00002D340000}"/>
    <cellStyle name="Comma 8 3 2 2 4" xfId="26966" xr:uid="{00000000-0005-0000-0000-00002E340000}"/>
    <cellStyle name="Comma 8 3 2 2 4 2" xfId="26967" xr:uid="{00000000-0005-0000-0000-00002F340000}"/>
    <cellStyle name="Comma 8 3 2 2 4 2 2" xfId="26968" xr:uid="{00000000-0005-0000-0000-000030340000}"/>
    <cellStyle name="Comma 8 3 2 2 4 2 2 2" xfId="26969" xr:uid="{00000000-0005-0000-0000-000031340000}"/>
    <cellStyle name="Comma 8 3 2 2 4 2 3" xfId="26970" xr:uid="{00000000-0005-0000-0000-000032340000}"/>
    <cellStyle name="Comma 8 3 2 2 4 3" xfId="26971" xr:uid="{00000000-0005-0000-0000-000033340000}"/>
    <cellStyle name="Comma 8 3 2 2 4 3 2" xfId="26972" xr:uid="{00000000-0005-0000-0000-000034340000}"/>
    <cellStyle name="Comma 8 3 2 2 4 4" xfId="26973" xr:uid="{00000000-0005-0000-0000-000035340000}"/>
    <cellStyle name="Comma 8 3 2 2 5" xfId="26974" xr:uid="{00000000-0005-0000-0000-000036340000}"/>
    <cellStyle name="Comma 8 3 2 2 5 2" xfId="26975" xr:uid="{00000000-0005-0000-0000-000037340000}"/>
    <cellStyle name="Comma 8 3 2 2 5 2 2" xfId="26976" xr:uid="{00000000-0005-0000-0000-000038340000}"/>
    <cellStyle name="Comma 8 3 2 2 5 2 2 2" xfId="26977" xr:uid="{00000000-0005-0000-0000-000039340000}"/>
    <cellStyle name="Comma 8 3 2 2 5 2 3" xfId="26978" xr:uid="{00000000-0005-0000-0000-00003A340000}"/>
    <cellStyle name="Comma 8 3 2 2 5 3" xfId="26979" xr:uid="{00000000-0005-0000-0000-00003B340000}"/>
    <cellStyle name="Comma 8 3 2 2 5 3 2" xfId="26980" xr:uid="{00000000-0005-0000-0000-00003C340000}"/>
    <cellStyle name="Comma 8 3 2 2 5 4" xfId="26981" xr:uid="{00000000-0005-0000-0000-00003D340000}"/>
    <cellStyle name="Comma 8 3 2 2 6" xfId="26982" xr:uid="{00000000-0005-0000-0000-00003E340000}"/>
    <cellStyle name="Comma 8 3 2 2 6 2" xfId="26983" xr:uid="{00000000-0005-0000-0000-00003F340000}"/>
    <cellStyle name="Comma 8 3 2 2 6 2 2" xfId="26984" xr:uid="{00000000-0005-0000-0000-000040340000}"/>
    <cellStyle name="Comma 8 3 2 2 6 3" xfId="26985" xr:uid="{00000000-0005-0000-0000-000041340000}"/>
    <cellStyle name="Comma 8 3 2 2 7" xfId="26986" xr:uid="{00000000-0005-0000-0000-000042340000}"/>
    <cellStyle name="Comma 8 3 2 2 7 2" xfId="26987" xr:uid="{00000000-0005-0000-0000-000043340000}"/>
    <cellStyle name="Comma 8 3 2 2 8" xfId="26988" xr:uid="{00000000-0005-0000-0000-000044340000}"/>
    <cellStyle name="Comma 8 3 2 3" xfId="26989" xr:uid="{00000000-0005-0000-0000-000045340000}"/>
    <cellStyle name="Comma 8 3 2 3 2" xfId="26990" xr:uid="{00000000-0005-0000-0000-000046340000}"/>
    <cellStyle name="Comma 8 3 2 3 2 2" xfId="26991" xr:uid="{00000000-0005-0000-0000-000047340000}"/>
    <cellStyle name="Comma 8 3 2 3 2 2 2" xfId="26992" xr:uid="{00000000-0005-0000-0000-000048340000}"/>
    <cellStyle name="Comma 8 3 2 3 2 2 2 2" xfId="26993" xr:uid="{00000000-0005-0000-0000-000049340000}"/>
    <cellStyle name="Comma 8 3 2 3 2 2 3" xfId="26994" xr:uid="{00000000-0005-0000-0000-00004A340000}"/>
    <cellStyle name="Comma 8 3 2 3 2 3" xfId="26995" xr:uid="{00000000-0005-0000-0000-00004B340000}"/>
    <cellStyle name="Comma 8 3 2 3 2 3 2" xfId="26996" xr:uid="{00000000-0005-0000-0000-00004C340000}"/>
    <cellStyle name="Comma 8 3 2 3 2 4" xfId="26997" xr:uid="{00000000-0005-0000-0000-00004D340000}"/>
    <cellStyle name="Comma 8 3 2 3 3" xfId="26998" xr:uid="{00000000-0005-0000-0000-00004E340000}"/>
    <cellStyle name="Comma 8 3 2 3 3 2" xfId="26999" xr:uid="{00000000-0005-0000-0000-00004F340000}"/>
    <cellStyle name="Comma 8 3 2 3 3 2 2" xfId="27000" xr:uid="{00000000-0005-0000-0000-000050340000}"/>
    <cellStyle name="Comma 8 3 2 3 3 2 2 2" xfId="27001" xr:uid="{00000000-0005-0000-0000-000051340000}"/>
    <cellStyle name="Comma 8 3 2 3 3 2 3" xfId="27002" xr:uid="{00000000-0005-0000-0000-000052340000}"/>
    <cellStyle name="Comma 8 3 2 3 3 3" xfId="27003" xr:uid="{00000000-0005-0000-0000-000053340000}"/>
    <cellStyle name="Comma 8 3 2 3 3 3 2" xfId="27004" xr:uid="{00000000-0005-0000-0000-000054340000}"/>
    <cellStyle name="Comma 8 3 2 3 3 4" xfId="27005" xr:uid="{00000000-0005-0000-0000-000055340000}"/>
    <cellStyle name="Comma 8 3 2 3 4" xfId="27006" xr:uid="{00000000-0005-0000-0000-000056340000}"/>
    <cellStyle name="Comma 8 3 2 3 4 2" xfId="27007" xr:uid="{00000000-0005-0000-0000-000057340000}"/>
    <cellStyle name="Comma 8 3 2 3 4 2 2" xfId="27008" xr:uid="{00000000-0005-0000-0000-000058340000}"/>
    <cellStyle name="Comma 8 3 2 3 4 3" xfId="27009" xr:uid="{00000000-0005-0000-0000-000059340000}"/>
    <cellStyle name="Comma 8 3 2 3 5" xfId="27010" xr:uid="{00000000-0005-0000-0000-00005A340000}"/>
    <cellStyle name="Comma 8 3 2 3 5 2" xfId="27011" xr:uid="{00000000-0005-0000-0000-00005B340000}"/>
    <cellStyle name="Comma 8 3 2 3 6" xfId="27012" xr:uid="{00000000-0005-0000-0000-00005C340000}"/>
    <cellStyle name="Comma 8 3 2 4" xfId="27013" xr:uid="{00000000-0005-0000-0000-00005D340000}"/>
    <cellStyle name="Comma 8 3 2 4 2" xfId="27014" xr:uid="{00000000-0005-0000-0000-00005E340000}"/>
    <cellStyle name="Comma 8 3 2 4 2 2" xfId="27015" xr:uid="{00000000-0005-0000-0000-00005F340000}"/>
    <cellStyle name="Comma 8 3 2 4 2 2 2" xfId="27016" xr:uid="{00000000-0005-0000-0000-000060340000}"/>
    <cellStyle name="Comma 8 3 2 4 2 2 2 2" xfId="27017" xr:uid="{00000000-0005-0000-0000-000061340000}"/>
    <cellStyle name="Comma 8 3 2 4 2 2 3" xfId="27018" xr:uid="{00000000-0005-0000-0000-000062340000}"/>
    <cellStyle name="Comma 8 3 2 4 2 3" xfId="27019" xr:uid="{00000000-0005-0000-0000-000063340000}"/>
    <cellStyle name="Comma 8 3 2 4 2 3 2" xfId="27020" xr:uid="{00000000-0005-0000-0000-000064340000}"/>
    <cellStyle name="Comma 8 3 2 4 2 4" xfId="27021" xr:uid="{00000000-0005-0000-0000-000065340000}"/>
    <cellStyle name="Comma 8 3 2 4 3" xfId="27022" xr:uid="{00000000-0005-0000-0000-000066340000}"/>
    <cellStyle name="Comma 8 3 2 4 3 2" xfId="27023" xr:uid="{00000000-0005-0000-0000-000067340000}"/>
    <cellStyle name="Comma 8 3 2 4 3 2 2" xfId="27024" xr:uid="{00000000-0005-0000-0000-000068340000}"/>
    <cellStyle name="Comma 8 3 2 4 3 3" xfId="27025" xr:uid="{00000000-0005-0000-0000-000069340000}"/>
    <cellStyle name="Comma 8 3 2 4 4" xfId="27026" xr:uid="{00000000-0005-0000-0000-00006A340000}"/>
    <cellStyle name="Comma 8 3 2 4 4 2" xfId="27027" xr:uid="{00000000-0005-0000-0000-00006B340000}"/>
    <cellStyle name="Comma 8 3 2 4 5" xfId="27028" xr:uid="{00000000-0005-0000-0000-00006C340000}"/>
    <cellStyle name="Comma 8 3 2 5" xfId="27029" xr:uid="{00000000-0005-0000-0000-00006D340000}"/>
    <cellStyle name="Comma 8 3 2 5 2" xfId="27030" xr:uid="{00000000-0005-0000-0000-00006E340000}"/>
    <cellStyle name="Comma 8 3 2 5 2 2" xfId="27031" xr:uid="{00000000-0005-0000-0000-00006F340000}"/>
    <cellStyle name="Comma 8 3 2 5 2 2 2" xfId="27032" xr:uid="{00000000-0005-0000-0000-000070340000}"/>
    <cellStyle name="Comma 8 3 2 5 2 3" xfId="27033" xr:uid="{00000000-0005-0000-0000-000071340000}"/>
    <cellStyle name="Comma 8 3 2 5 3" xfId="27034" xr:uid="{00000000-0005-0000-0000-000072340000}"/>
    <cellStyle name="Comma 8 3 2 5 3 2" xfId="27035" xr:uid="{00000000-0005-0000-0000-000073340000}"/>
    <cellStyle name="Comma 8 3 2 5 4" xfId="27036" xr:uid="{00000000-0005-0000-0000-000074340000}"/>
    <cellStyle name="Comma 8 3 2 6" xfId="27037" xr:uid="{00000000-0005-0000-0000-000075340000}"/>
    <cellStyle name="Comma 8 3 2 6 2" xfId="27038" xr:uid="{00000000-0005-0000-0000-000076340000}"/>
    <cellStyle name="Comma 8 3 2 6 2 2" xfId="27039" xr:uid="{00000000-0005-0000-0000-000077340000}"/>
    <cellStyle name="Comma 8 3 2 6 2 2 2" xfId="27040" xr:uid="{00000000-0005-0000-0000-000078340000}"/>
    <cellStyle name="Comma 8 3 2 6 2 3" xfId="27041" xr:uid="{00000000-0005-0000-0000-000079340000}"/>
    <cellStyle name="Comma 8 3 2 6 3" xfId="27042" xr:uid="{00000000-0005-0000-0000-00007A340000}"/>
    <cellStyle name="Comma 8 3 2 6 3 2" xfId="27043" xr:uid="{00000000-0005-0000-0000-00007B340000}"/>
    <cellStyle name="Comma 8 3 2 6 4" xfId="27044" xr:uid="{00000000-0005-0000-0000-00007C340000}"/>
    <cellStyle name="Comma 8 3 2 7" xfId="27045" xr:uid="{00000000-0005-0000-0000-00007D340000}"/>
    <cellStyle name="Comma 8 3 2 7 2" xfId="27046" xr:uid="{00000000-0005-0000-0000-00007E340000}"/>
    <cellStyle name="Comma 8 3 2 7 2 2" xfId="27047" xr:uid="{00000000-0005-0000-0000-00007F340000}"/>
    <cellStyle name="Comma 8 3 2 7 2 2 2" xfId="27048" xr:uid="{00000000-0005-0000-0000-000080340000}"/>
    <cellStyle name="Comma 8 3 2 7 2 3" xfId="27049" xr:uid="{00000000-0005-0000-0000-000081340000}"/>
    <cellStyle name="Comma 8 3 2 7 3" xfId="27050" xr:uid="{00000000-0005-0000-0000-000082340000}"/>
    <cellStyle name="Comma 8 3 2 7 3 2" xfId="27051" xr:uid="{00000000-0005-0000-0000-000083340000}"/>
    <cellStyle name="Comma 8 3 2 7 4" xfId="27052" xr:uid="{00000000-0005-0000-0000-000084340000}"/>
    <cellStyle name="Comma 8 3 2 8" xfId="27053" xr:uid="{00000000-0005-0000-0000-000085340000}"/>
    <cellStyle name="Comma 8 3 2 8 2" xfId="27054" xr:uid="{00000000-0005-0000-0000-000086340000}"/>
    <cellStyle name="Comma 8 3 2 8 2 2" xfId="27055" xr:uid="{00000000-0005-0000-0000-000087340000}"/>
    <cellStyle name="Comma 8 3 2 8 3" xfId="27056" xr:uid="{00000000-0005-0000-0000-000088340000}"/>
    <cellStyle name="Comma 8 3 2 9" xfId="27057" xr:uid="{00000000-0005-0000-0000-000089340000}"/>
    <cellStyle name="Comma 8 3 2 9 2" xfId="27058" xr:uid="{00000000-0005-0000-0000-00008A340000}"/>
    <cellStyle name="Comma 8 3 3" xfId="27059" xr:uid="{00000000-0005-0000-0000-00008B340000}"/>
    <cellStyle name="Comma 8 3 3 2" xfId="27060" xr:uid="{00000000-0005-0000-0000-00008C340000}"/>
    <cellStyle name="Comma 8 3 3 2 2" xfId="27061" xr:uid="{00000000-0005-0000-0000-00008D340000}"/>
    <cellStyle name="Comma 8 3 3 2 2 2" xfId="27062" xr:uid="{00000000-0005-0000-0000-00008E340000}"/>
    <cellStyle name="Comma 8 3 3 2 2 2 2" xfId="27063" xr:uid="{00000000-0005-0000-0000-00008F340000}"/>
    <cellStyle name="Comma 8 3 3 2 2 2 2 2" xfId="27064" xr:uid="{00000000-0005-0000-0000-000090340000}"/>
    <cellStyle name="Comma 8 3 3 2 2 2 3" xfId="27065" xr:uid="{00000000-0005-0000-0000-000091340000}"/>
    <cellStyle name="Comma 8 3 3 2 2 3" xfId="27066" xr:uid="{00000000-0005-0000-0000-000092340000}"/>
    <cellStyle name="Comma 8 3 3 2 2 3 2" xfId="27067" xr:uid="{00000000-0005-0000-0000-000093340000}"/>
    <cellStyle name="Comma 8 3 3 2 2 4" xfId="27068" xr:uid="{00000000-0005-0000-0000-000094340000}"/>
    <cellStyle name="Comma 8 3 3 2 3" xfId="27069" xr:uid="{00000000-0005-0000-0000-000095340000}"/>
    <cellStyle name="Comma 8 3 3 2 3 2" xfId="27070" xr:uid="{00000000-0005-0000-0000-000096340000}"/>
    <cellStyle name="Comma 8 3 3 2 3 2 2" xfId="27071" xr:uid="{00000000-0005-0000-0000-000097340000}"/>
    <cellStyle name="Comma 8 3 3 2 3 2 2 2" xfId="27072" xr:uid="{00000000-0005-0000-0000-000098340000}"/>
    <cellStyle name="Comma 8 3 3 2 3 2 3" xfId="27073" xr:uid="{00000000-0005-0000-0000-000099340000}"/>
    <cellStyle name="Comma 8 3 3 2 3 3" xfId="27074" xr:uid="{00000000-0005-0000-0000-00009A340000}"/>
    <cellStyle name="Comma 8 3 3 2 3 3 2" xfId="27075" xr:uid="{00000000-0005-0000-0000-00009B340000}"/>
    <cellStyle name="Comma 8 3 3 2 3 4" xfId="27076" xr:uid="{00000000-0005-0000-0000-00009C340000}"/>
    <cellStyle name="Comma 8 3 3 2 4" xfId="27077" xr:uid="{00000000-0005-0000-0000-00009D340000}"/>
    <cellStyle name="Comma 8 3 3 2 4 2" xfId="27078" xr:uid="{00000000-0005-0000-0000-00009E340000}"/>
    <cellStyle name="Comma 8 3 3 2 4 2 2" xfId="27079" xr:uid="{00000000-0005-0000-0000-00009F340000}"/>
    <cellStyle name="Comma 8 3 3 2 4 3" xfId="27080" xr:uid="{00000000-0005-0000-0000-0000A0340000}"/>
    <cellStyle name="Comma 8 3 3 2 5" xfId="27081" xr:uid="{00000000-0005-0000-0000-0000A1340000}"/>
    <cellStyle name="Comma 8 3 3 2 5 2" xfId="27082" xr:uid="{00000000-0005-0000-0000-0000A2340000}"/>
    <cellStyle name="Comma 8 3 3 2 6" xfId="27083" xr:uid="{00000000-0005-0000-0000-0000A3340000}"/>
    <cellStyle name="Comma 8 3 3 3" xfId="27084" xr:uid="{00000000-0005-0000-0000-0000A4340000}"/>
    <cellStyle name="Comma 8 3 3 3 2" xfId="27085" xr:uid="{00000000-0005-0000-0000-0000A5340000}"/>
    <cellStyle name="Comma 8 3 3 3 2 2" xfId="27086" xr:uid="{00000000-0005-0000-0000-0000A6340000}"/>
    <cellStyle name="Comma 8 3 3 3 2 2 2" xfId="27087" xr:uid="{00000000-0005-0000-0000-0000A7340000}"/>
    <cellStyle name="Comma 8 3 3 3 2 2 2 2" xfId="27088" xr:uid="{00000000-0005-0000-0000-0000A8340000}"/>
    <cellStyle name="Comma 8 3 3 3 2 2 3" xfId="27089" xr:uid="{00000000-0005-0000-0000-0000A9340000}"/>
    <cellStyle name="Comma 8 3 3 3 2 3" xfId="27090" xr:uid="{00000000-0005-0000-0000-0000AA340000}"/>
    <cellStyle name="Comma 8 3 3 3 2 3 2" xfId="27091" xr:uid="{00000000-0005-0000-0000-0000AB340000}"/>
    <cellStyle name="Comma 8 3 3 3 2 4" xfId="27092" xr:uid="{00000000-0005-0000-0000-0000AC340000}"/>
    <cellStyle name="Comma 8 3 3 3 3" xfId="27093" xr:uid="{00000000-0005-0000-0000-0000AD340000}"/>
    <cellStyle name="Comma 8 3 3 3 3 2" xfId="27094" xr:uid="{00000000-0005-0000-0000-0000AE340000}"/>
    <cellStyle name="Comma 8 3 3 3 3 2 2" xfId="27095" xr:uid="{00000000-0005-0000-0000-0000AF340000}"/>
    <cellStyle name="Comma 8 3 3 3 3 3" xfId="27096" xr:uid="{00000000-0005-0000-0000-0000B0340000}"/>
    <cellStyle name="Comma 8 3 3 3 4" xfId="27097" xr:uid="{00000000-0005-0000-0000-0000B1340000}"/>
    <cellStyle name="Comma 8 3 3 3 4 2" xfId="27098" xr:uid="{00000000-0005-0000-0000-0000B2340000}"/>
    <cellStyle name="Comma 8 3 3 3 5" xfId="27099" xr:uid="{00000000-0005-0000-0000-0000B3340000}"/>
    <cellStyle name="Comma 8 3 3 4" xfId="27100" xr:uid="{00000000-0005-0000-0000-0000B4340000}"/>
    <cellStyle name="Comma 8 3 3 4 2" xfId="27101" xr:uid="{00000000-0005-0000-0000-0000B5340000}"/>
    <cellStyle name="Comma 8 3 3 4 2 2" xfId="27102" xr:uid="{00000000-0005-0000-0000-0000B6340000}"/>
    <cellStyle name="Comma 8 3 3 4 2 2 2" xfId="27103" xr:uid="{00000000-0005-0000-0000-0000B7340000}"/>
    <cellStyle name="Comma 8 3 3 4 2 3" xfId="27104" xr:uid="{00000000-0005-0000-0000-0000B8340000}"/>
    <cellStyle name="Comma 8 3 3 4 3" xfId="27105" xr:uid="{00000000-0005-0000-0000-0000B9340000}"/>
    <cellStyle name="Comma 8 3 3 4 3 2" xfId="27106" xr:uid="{00000000-0005-0000-0000-0000BA340000}"/>
    <cellStyle name="Comma 8 3 3 4 4" xfId="27107" xr:uid="{00000000-0005-0000-0000-0000BB340000}"/>
    <cellStyle name="Comma 8 3 3 5" xfId="27108" xr:uid="{00000000-0005-0000-0000-0000BC340000}"/>
    <cellStyle name="Comma 8 3 3 5 2" xfId="27109" xr:uid="{00000000-0005-0000-0000-0000BD340000}"/>
    <cellStyle name="Comma 8 3 3 5 2 2" xfId="27110" xr:uid="{00000000-0005-0000-0000-0000BE340000}"/>
    <cellStyle name="Comma 8 3 3 5 2 2 2" xfId="27111" xr:uid="{00000000-0005-0000-0000-0000BF340000}"/>
    <cellStyle name="Comma 8 3 3 5 2 3" xfId="27112" xr:uid="{00000000-0005-0000-0000-0000C0340000}"/>
    <cellStyle name="Comma 8 3 3 5 3" xfId="27113" xr:uid="{00000000-0005-0000-0000-0000C1340000}"/>
    <cellStyle name="Comma 8 3 3 5 3 2" xfId="27114" xr:uid="{00000000-0005-0000-0000-0000C2340000}"/>
    <cellStyle name="Comma 8 3 3 5 4" xfId="27115" xr:uid="{00000000-0005-0000-0000-0000C3340000}"/>
    <cellStyle name="Comma 8 3 3 6" xfId="27116" xr:uid="{00000000-0005-0000-0000-0000C4340000}"/>
    <cellStyle name="Comma 8 3 3 6 2" xfId="27117" xr:uid="{00000000-0005-0000-0000-0000C5340000}"/>
    <cellStyle name="Comma 8 3 3 6 2 2" xfId="27118" xr:uid="{00000000-0005-0000-0000-0000C6340000}"/>
    <cellStyle name="Comma 8 3 3 6 3" xfId="27119" xr:uid="{00000000-0005-0000-0000-0000C7340000}"/>
    <cellStyle name="Comma 8 3 3 7" xfId="27120" xr:uid="{00000000-0005-0000-0000-0000C8340000}"/>
    <cellStyle name="Comma 8 3 3 7 2" xfId="27121" xr:uid="{00000000-0005-0000-0000-0000C9340000}"/>
    <cellStyle name="Comma 8 3 3 8" xfId="27122" xr:uid="{00000000-0005-0000-0000-0000CA340000}"/>
    <cellStyle name="Comma 8 3 4" xfId="27123" xr:uid="{00000000-0005-0000-0000-0000CB340000}"/>
    <cellStyle name="Comma 8 3 4 2" xfId="27124" xr:uid="{00000000-0005-0000-0000-0000CC340000}"/>
    <cellStyle name="Comma 8 3 4 2 2" xfId="27125" xr:uid="{00000000-0005-0000-0000-0000CD340000}"/>
    <cellStyle name="Comma 8 3 4 2 2 2" xfId="27126" xr:uid="{00000000-0005-0000-0000-0000CE340000}"/>
    <cellStyle name="Comma 8 3 4 2 2 2 2" xfId="27127" xr:uid="{00000000-0005-0000-0000-0000CF340000}"/>
    <cellStyle name="Comma 8 3 4 2 2 2 2 2" xfId="27128" xr:uid="{00000000-0005-0000-0000-0000D0340000}"/>
    <cellStyle name="Comma 8 3 4 2 2 2 3" xfId="27129" xr:uid="{00000000-0005-0000-0000-0000D1340000}"/>
    <cellStyle name="Comma 8 3 4 2 2 3" xfId="27130" xr:uid="{00000000-0005-0000-0000-0000D2340000}"/>
    <cellStyle name="Comma 8 3 4 2 2 3 2" xfId="27131" xr:uid="{00000000-0005-0000-0000-0000D3340000}"/>
    <cellStyle name="Comma 8 3 4 2 2 4" xfId="27132" xr:uid="{00000000-0005-0000-0000-0000D4340000}"/>
    <cellStyle name="Comma 8 3 4 2 3" xfId="27133" xr:uid="{00000000-0005-0000-0000-0000D5340000}"/>
    <cellStyle name="Comma 8 3 4 2 3 2" xfId="27134" xr:uid="{00000000-0005-0000-0000-0000D6340000}"/>
    <cellStyle name="Comma 8 3 4 2 3 2 2" xfId="27135" xr:uid="{00000000-0005-0000-0000-0000D7340000}"/>
    <cellStyle name="Comma 8 3 4 2 3 2 2 2" xfId="27136" xr:uid="{00000000-0005-0000-0000-0000D8340000}"/>
    <cellStyle name="Comma 8 3 4 2 3 2 3" xfId="27137" xr:uid="{00000000-0005-0000-0000-0000D9340000}"/>
    <cellStyle name="Comma 8 3 4 2 3 3" xfId="27138" xr:uid="{00000000-0005-0000-0000-0000DA340000}"/>
    <cellStyle name="Comma 8 3 4 2 3 3 2" xfId="27139" xr:uid="{00000000-0005-0000-0000-0000DB340000}"/>
    <cellStyle name="Comma 8 3 4 2 3 4" xfId="27140" xr:uid="{00000000-0005-0000-0000-0000DC340000}"/>
    <cellStyle name="Comma 8 3 4 2 4" xfId="27141" xr:uid="{00000000-0005-0000-0000-0000DD340000}"/>
    <cellStyle name="Comma 8 3 4 2 4 2" xfId="27142" xr:uid="{00000000-0005-0000-0000-0000DE340000}"/>
    <cellStyle name="Comma 8 3 4 2 4 2 2" xfId="27143" xr:uid="{00000000-0005-0000-0000-0000DF340000}"/>
    <cellStyle name="Comma 8 3 4 2 4 3" xfId="27144" xr:uid="{00000000-0005-0000-0000-0000E0340000}"/>
    <cellStyle name="Comma 8 3 4 2 5" xfId="27145" xr:uid="{00000000-0005-0000-0000-0000E1340000}"/>
    <cellStyle name="Comma 8 3 4 2 5 2" xfId="27146" xr:uid="{00000000-0005-0000-0000-0000E2340000}"/>
    <cellStyle name="Comma 8 3 4 2 6" xfId="27147" xr:uid="{00000000-0005-0000-0000-0000E3340000}"/>
    <cellStyle name="Comma 8 3 4 3" xfId="27148" xr:uid="{00000000-0005-0000-0000-0000E4340000}"/>
    <cellStyle name="Comma 8 3 4 3 2" xfId="27149" xr:uid="{00000000-0005-0000-0000-0000E5340000}"/>
    <cellStyle name="Comma 8 3 4 3 2 2" xfId="27150" xr:uid="{00000000-0005-0000-0000-0000E6340000}"/>
    <cellStyle name="Comma 8 3 4 3 2 2 2" xfId="27151" xr:uid="{00000000-0005-0000-0000-0000E7340000}"/>
    <cellStyle name="Comma 8 3 4 3 2 2 2 2" xfId="27152" xr:uid="{00000000-0005-0000-0000-0000E8340000}"/>
    <cellStyle name="Comma 8 3 4 3 2 2 3" xfId="27153" xr:uid="{00000000-0005-0000-0000-0000E9340000}"/>
    <cellStyle name="Comma 8 3 4 3 2 3" xfId="27154" xr:uid="{00000000-0005-0000-0000-0000EA340000}"/>
    <cellStyle name="Comma 8 3 4 3 2 3 2" xfId="27155" xr:uid="{00000000-0005-0000-0000-0000EB340000}"/>
    <cellStyle name="Comma 8 3 4 3 2 4" xfId="27156" xr:uid="{00000000-0005-0000-0000-0000EC340000}"/>
    <cellStyle name="Comma 8 3 4 3 3" xfId="27157" xr:uid="{00000000-0005-0000-0000-0000ED340000}"/>
    <cellStyle name="Comma 8 3 4 3 3 2" xfId="27158" xr:uid="{00000000-0005-0000-0000-0000EE340000}"/>
    <cellStyle name="Comma 8 3 4 3 3 2 2" xfId="27159" xr:uid="{00000000-0005-0000-0000-0000EF340000}"/>
    <cellStyle name="Comma 8 3 4 3 3 3" xfId="27160" xr:uid="{00000000-0005-0000-0000-0000F0340000}"/>
    <cellStyle name="Comma 8 3 4 3 4" xfId="27161" xr:uid="{00000000-0005-0000-0000-0000F1340000}"/>
    <cellStyle name="Comma 8 3 4 3 4 2" xfId="27162" xr:uid="{00000000-0005-0000-0000-0000F2340000}"/>
    <cellStyle name="Comma 8 3 4 3 5" xfId="27163" xr:uid="{00000000-0005-0000-0000-0000F3340000}"/>
    <cellStyle name="Comma 8 3 4 4" xfId="27164" xr:uid="{00000000-0005-0000-0000-0000F4340000}"/>
    <cellStyle name="Comma 8 3 4 4 2" xfId="27165" xr:uid="{00000000-0005-0000-0000-0000F5340000}"/>
    <cellStyle name="Comma 8 3 4 4 2 2" xfId="27166" xr:uid="{00000000-0005-0000-0000-0000F6340000}"/>
    <cellStyle name="Comma 8 3 4 4 2 2 2" xfId="27167" xr:uid="{00000000-0005-0000-0000-0000F7340000}"/>
    <cellStyle name="Comma 8 3 4 4 2 3" xfId="27168" xr:uid="{00000000-0005-0000-0000-0000F8340000}"/>
    <cellStyle name="Comma 8 3 4 4 3" xfId="27169" xr:uid="{00000000-0005-0000-0000-0000F9340000}"/>
    <cellStyle name="Comma 8 3 4 4 3 2" xfId="27170" xr:uid="{00000000-0005-0000-0000-0000FA340000}"/>
    <cellStyle name="Comma 8 3 4 4 4" xfId="27171" xr:uid="{00000000-0005-0000-0000-0000FB340000}"/>
    <cellStyle name="Comma 8 3 4 5" xfId="27172" xr:uid="{00000000-0005-0000-0000-0000FC340000}"/>
    <cellStyle name="Comma 8 3 4 5 2" xfId="27173" xr:uid="{00000000-0005-0000-0000-0000FD340000}"/>
    <cellStyle name="Comma 8 3 4 5 2 2" xfId="27174" xr:uid="{00000000-0005-0000-0000-0000FE340000}"/>
    <cellStyle name="Comma 8 3 4 5 2 2 2" xfId="27175" xr:uid="{00000000-0005-0000-0000-0000FF340000}"/>
    <cellStyle name="Comma 8 3 4 5 2 3" xfId="27176" xr:uid="{00000000-0005-0000-0000-000000350000}"/>
    <cellStyle name="Comma 8 3 4 5 3" xfId="27177" xr:uid="{00000000-0005-0000-0000-000001350000}"/>
    <cellStyle name="Comma 8 3 4 5 3 2" xfId="27178" xr:uid="{00000000-0005-0000-0000-000002350000}"/>
    <cellStyle name="Comma 8 3 4 5 4" xfId="27179" xr:uid="{00000000-0005-0000-0000-000003350000}"/>
    <cellStyle name="Comma 8 3 4 6" xfId="27180" xr:uid="{00000000-0005-0000-0000-000004350000}"/>
    <cellStyle name="Comma 8 3 4 6 2" xfId="27181" xr:uid="{00000000-0005-0000-0000-000005350000}"/>
    <cellStyle name="Comma 8 3 4 6 2 2" xfId="27182" xr:uid="{00000000-0005-0000-0000-000006350000}"/>
    <cellStyle name="Comma 8 3 4 6 3" xfId="27183" xr:uid="{00000000-0005-0000-0000-000007350000}"/>
    <cellStyle name="Comma 8 3 4 7" xfId="27184" xr:uid="{00000000-0005-0000-0000-000008350000}"/>
    <cellStyle name="Comma 8 3 4 7 2" xfId="27185" xr:uid="{00000000-0005-0000-0000-000009350000}"/>
    <cellStyle name="Comma 8 3 4 8" xfId="27186" xr:uid="{00000000-0005-0000-0000-00000A350000}"/>
    <cellStyle name="Comma 8 3 5" xfId="27187" xr:uid="{00000000-0005-0000-0000-00000B350000}"/>
    <cellStyle name="Comma 8 3 5 2" xfId="27188" xr:uid="{00000000-0005-0000-0000-00000C350000}"/>
    <cellStyle name="Comma 8 3 5 2 2" xfId="27189" xr:uid="{00000000-0005-0000-0000-00000D350000}"/>
    <cellStyle name="Comma 8 3 5 2 2 2" xfId="27190" xr:uid="{00000000-0005-0000-0000-00000E350000}"/>
    <cellStyle name="Comma 8 3 5 2 2 2 2" xfId="27191" xr:uid="{00000000-0005-0000-0000-00000F350000}"/>
    <cellStyle name="Comma 8 3 5 2 2 3" xfId="27192" xr:uid="{00000000-0005-0000-0000-000010350000}"/>
    <cellStyle name="Comma 8 3 5 2 3" xfId="27193" xr:uid="{00000000-0005-0000-0000-000011350000}"/>
    <cellStyle name="Comma 8 3 5 2 3 2" xfId="27194" xr:uid="{00000000-0005-0000-0000-000012350000}"/>
    <cellStyle name="Comma 8 3 5 2 4" xfId="27195" xr:uid="{00000000-0005-0000-0000-000013350000}"/>
    <cellStyle name="Comma 8 3 5 3" xfId="27196" xr:uid="{00000000-0005-0000-0000-000014350000}"/>
    <cellStyle name="Comma 8 3 5 3 2" xfId="27197" xr:uid="{00000000-0005-0000-0000-000015350000}"/>
    <cellStyle name="Comma 8 3 5 3 2 2" xfId="27198" xr:uid="{00000000-0005-0000-0000-000016350000}"/>
    <cellStyle name="Comma 8 3 5 3 2 2 2" xfId="27199" xr:uid="{00000000-0005-0000-0000-000017350000}"/>
    <cellStyle name="Comma 8 3 5 3 2 3" xfId="27200" xr:uid="{00000000-0005-0000-0000-000018350000}"/>
    <cellStyle name="Comma 8 3 5 3 3" xfId="27201" xr:uid="{00000000-0005-0000-0000-000019350000}"/>
    <cellStyle name="Comma 8 3 5 3 3 2" xfId="27202" xr:uid="{00000000-0005-0000-0000-00001A350000}"/>
    <cellStyle name="Comma 8 3 5 3 4" xfId="27203" xr:uid="{00000000-0005-0000-0000-00001B350000}"/>
    <cellStyle name="Comma 8 3 5 4" xfId="27204" xr:uid="{00000000-0005-0000-0000-00001C350000}"/>
    <cellStyle name="Comma 8 3 5 4 2" xfId="27205" xr:uid="{00000000-0005-0000-0000-00001D350000}"/>
    <cellStyle name="Comma 8 3 5 4 2 2" xfId="27206" xr:uid="{00000000-0005-0000-0000-00001E350000}"/>
    <cellStyle name="Comma 8 3 5 4 3" xfId="27207" xr:uid="{00000000-0005-0000-0000-00001F350000}"/>
    <cellStyle name="Comma 8 3 5 5" xfId="27208" xr:uid="{00000000-0005-0000-0000-000020350000}"/>
    <cellStyle name="Comma 8 3 5 5 2" xfId="27209" xr:uid="{00000000-0005-0000-0000-000021350000}"/>
    <cellStyle name="Comma 8 3 5 6" xfId="27210" xr:uid="{00000000-0005-0000-0000-000022350000}"/>
    <cellStyle name="Comma 8 3 6" xfId="27211" xr:uid="{00000000-0005-0000-0000-000023350000}"/>
    <cellStyle name="Comma 8 3 6 2" xfId="27212" xr:uid="{00000000-0005-0000-0000-000024350000}"/>
    <cellStyle name="Comma 8 3 6 2 2" xfId="27213" xr:uid="{00000000-0005-0000-0000-000025350000}"/>
    <cellStyle name="Comma 8 3 6 2 2 2" xfId="27214" xr:uid="{00000000-0005-0000-0000-000026350000}"/>
    <cellStyle name="Comma 8 3 6 2 2 2 2" xfId="27215" xr:uid="{00000000-0005-0000-0000-000027350000}"/>
    <cellStyle name="Comma 8 3 6 2 2 3" xfId="27216" xr:uid="{00000000-0005-0000-0000-000028350000}"/>
    <cellStyle name="Comma 8 3 6 2 3" xfId="27217" xr:uid="{00000000-0005-0000-0000-000029350000}"/>
    <cellStyle name="Comma 8 3 6 2 3 2" xfId="27218" xr:uid="{00000000-0005-0000-0000-00002A350000}"/>
    <cellStyle name="Comma 8 3 6 2 4" xfId="27219" xr:uid="{00000000-0005-0000-0000-00002B350000}"/>
    <cellStyle name="Comma 8 3 6 3" xfId="27220" xr:uid="{00000000-0005-0000-0000-00002C350000}"/>
    <cellStyle name="Comma 8 3 6 3 2" xfId="27221" xr:uid="{00000000-0005-0000-0000-00002D350000}"/>
    <cellStyle name="Comma 8 3 6 3 2 2" xfId="27222" xr:uid="{00000000-0005-0000-0000-00002E350000}"/>
    <cellStyle name="Comma 8 3 6 3 3" xfId="27223" xr:uid="{00000000-0005-0000-0000-00002F350000}"/>
    <cellStyle name="Comma 8 3 6 4" xfId="27224" xr:uid="{00000000-0005-0000-0000-000030350000}"/>
    <cellStyle name="Comma 8 3 6 4 2" xfId="27225" xr:uid="{00000000-0005-0000-0000-000031350000}"/>
    <cellStyle name="Comma 8 3 6 5" xfId="27226" xr:uid="{00000000-0005-0000-0000-000032350000}"/>
    <cellStyle name="Comma 8 3 7" xfId="27227" xr:uid="{00000000-0005-0000-0000-000033350000}"/>
    <cellStyle name="Comma 8 3 7 2" xfId="27228" xr:uid="{00000000-0005-0000-0000-000034350000}"/>
    <cellStyle name="Comma 8 3 7 2 2" xfId="27229" xr:uid="{00000000-0005-0000-0000-000035350000}"/>
    <cellStyle name="Comma 8 3 7 2 2 2" xfId="27230" xr:uid="{00000000-0005-0000-0000-000036350000}"/>
    <cellStyle name="Comma 8 3 7 2 3" xfId="27231" xr:uid="{00000000-0005-0000-0000-000037350000}"/>
    <cellStyle name="Comma 8 3 7 3" xfId="27232" xr:uid="{00000000-0005-0000-0000-000038350000}"/>
    <cellStyle name="Comma 8 3 7 3 2" xfId="27233" xr:uid="{00000000-0005-0000-0000-000039350000}"/>
    <cellStyle name="Comma 8 3 7 4" xfId="27234" xr:uid="{00000000-0005-0000-0000-00003A350000}"/>
    <cellStyle name="Comma 8 3 8" xfId="27235" xr:uid="{00000000-0005-0000-0000-00003B350000}"/>
    <cellStyle name="Comma 8 3 8 2" xfId="27236" xr:uid="{00000000-0005-0000-0000-00003C350000}"/>
    <cellStyle name="Comma 8 3 8 2 2" xfId="27237" xr:uid="{00000000-0005-0000-0000-00003D350000}"/>
    <cellStyle name="Comma 8 3 8 2 2 2" xfId="27238" xr:uid="{00000000-0005-0000-0000-00003E350000}"/>
    <cellStyle name="Comma 8 3 8 2 3" xfId="27239" xr:uid="{00000000-0005-0000-0000-00003F350000}"/>
    <cellStyle name="Comma 8 3 8 3" xfId="27240" xr:uid="{00000000-0005-0000-0000-000040350000}"/>
    <cellStyle name="Comma 8 3 8 3 2" xfId="27241" xr:uid="{00000000-0005-0000-0000-000041350000}"/>
    <cellStyle name="Comma 8 3 8 4" xfId="27242" xr:uid="{00000000-0005-0000-0000-000042350000}"/>
    <cellStyle name="Comma 8 3 9" xfId="27243" xr:uid="{00000000-0005-0000-0000-000043350000}"/>
    <cellStyle name="Comma 8 3 9 2" xfId="27244" xr:uid="{00000000-0005-0000-0000-000044350000}"/>
    <cellStyle name="Comma 8 3 9 2 2" xfId="27245" xr:uid="{00000000-0005-0000-0000-000045350000}"/>
    <cellStyle name="Comma 8 3 9 2 2 2" xfId="27246" xr:uid="{00000000-0005-0000-0000-000046350000}"/>
    <cellStyle name="Comma 8 3 9 2 3" xfId="27247" xr:uid="{00000000-0005-0000-0000-000047350000}"/>
    <cellStyle name="Comma 8 3 9 3" xfId="27248" xr:uid="{00000000-0005-0000-0000-000048350000}"/>
    <cellStyle name="Comma 8 3 9 3 2" xfId="27249" xr:uid="{00000000-0005-0000-0000-000049350000}"/>
    <cellStyle name="Comma 8 3 9 4" xfId="27250" xr:uid="{00000000-0005-0000-0000-00004A350000}"/>
    <cellStyle name="Comma 8 30" xfId="8201" xr:uid="{00000000-0005-0000-0000-00004B350000}"/>
    <cellStyle name="Comma 8 30 2" xfId="20721" xr:uid="{00000000-0005-0000-0000-00004C350000}"/>
    <cellStyle name="Comma 8 31" xfId="8202" xr:uid="{00000000-0005-0000-0000-00004D350000}"/>
    <cellStyle name="Comma 8 31 2" xfId="20722" xr:uid="{00000000-0005-0000-0000-00004E350000}"/>
    <cellStyle name="Comma 8 32" xfId="8203" xr:uid="{00000000-0005-0000-0000-00004F350000}"/>
    <cellStyle name="Comma 8 32 2" xfId="20723" xr:uid="{00000000-0005-0000-0000-000050350000}"/>
    <cellStyle name="Comma 8 33" xfId="8204" xr:uid="{00000000-0005-0000-0000-000051350000}"/>
    <cellStyle name="Comma 8 33 2" xfId="20724" xr:uid="{00000000-0005-0000-0000-000052350000}"/>
    <cellStyle name="Comma 8 34" xfId="8205" xr:uid="{00000000-0005-0000-0000-000053350000}"/>
    <cellStyle name="Comma 8 34 2" xfId="20725" xr:uid="{00000000-0005-0000-0000-000054350000}"/>
    <cellStyle name="Comma 8 35" xfId="8206" xr:uid="{00000000-0005-0000-0000-000055350000}"/>
    <cellStyle name="Comma 8 35 2" xfId="20726" xr:uid="{00000000-0005-0000-0000-000056350000}"/>
    <cellStyle name="Comma 8 36" xfId="8207" xr:uid="{00000000-0005-0000-0000-000057350000}"/>
    <cellStyle name="Comma 8 36 2" xfId="20727" xr:uid="{00000000-0005-0000-0000-000058350000}"/>
    <cellStyle name="Comma 8 37" xfId="8208" xr:uid="{00000000-0005-0000-0000-000059350000}"/>
    <cellStyle name="Comma 8 37 2" xfId="20728" xr:uid="{00000000-0005-0000-0000-00005A350000}"/>
    <cellStyle name="Comma 8 38" xfId="8209" xr:uid="{00000000-0005-0000-0000-00005B350000}"/>
    <cellStyle name="Comma 8 38 2" xfId="20729" xr:uid="{00000000-0005-0000-0000-00005C350000}"/>
    <cellStyle name="Comma 8 39" xfId="8210" xr:uid="{00000000-0005-0000-0000-00005D350000}"/>
    <cellStyle name="Comma 8 39 2" xfId="20730" xr:uid="{00000000-0005-0000-0000-00005E350000}"/>
    <cellStyle name="Comma 8 4" xfId="8211" xr:uid="{00000000-0005-0000-0000-00005F350000}"/>
    <cellStyle name="Comma 8 4 10" xfId="27251" xr:uid="{00000000-0005-0000-0000-000060350000}"/>
    <cellStyle name="Comma 8 4 10 2" xfId="27252" xr:uid="{00000000-0005-0000-0000-000061350000}"/>
    <cellStyle name="Comma 8 4 10 2 2" xfId="27253" xr:uid="{00000000-0005-0000-0000-000062350000}"/>
    <cellStyle name="Comma 8 4 10 3" xfId="27254" xr:uid="{00000000-0005-0000-0000-000063350000}"/>
    <cellStyle name="Comma 8 4 11" xfId="27255" xr:uid="{00000000-0005-0000-0000-000064350000}"/>
    <cellStyle name="Comma 8 4 11 2" xfId="27256" xr:uid="{00000000-0005-0000-0000-000065350000}"/>
    <cellStyle name="Comma 8 4 12" xfId="27257" xr:uid="{00000000-0005-0000-0000-000066350000}"/>
    <cellStyle name="Comma 8 4 2" xfId="20731" xr:uid="{00000000-0005-0000-0000-000067350000}"/>
    <cellStyle name="Comma 8 4 2 10" xfId="27258" xr:uid="{00000000-0005-0000-0000-000068350000}"/>
    <cellStyle name="Comma 8 4 2 2" xfId="27259" xr:uid="{00000000-0005-0000-0000-000069350000}"/>
    <cellStyle name="Comma 8 4 2 2 2" xfId="27260" xr:uid="{00000000-0005-0000-0000-00006A350000}"/>
    <cellStyle name="Comma 8 4 2 2 2 2" xfId="27261" xr:uid="{00000000-0005-0000-0000-00006B350000}"/>
    <cellStyle name="Comma 8 4 2 2 2 2 2" xfId="27262" xr:uid="{00000000-0005-0000-0000-00006C350000}"/>
    <cellStyle name="Comma 8 4 2 2 2 2 2 2" xfId="27263" xr:uid="{00000000-0005-0000-0000-00006D350000}"/>
    <cellStyle name="Comma 8 4 2 2 2 2 2 2 2" xfId="27264" xr:uid="{00000000-0005-0000-0000-00006E350000}"/>
    <cellStyle name="Comma 8 4 2 2 2 2 2 3" xfId="27265" xr:uid="{00000000-0005-0000-0000-00006F350000}"/>
    <cellStyle name="Comma 8 4 2 2 2 2 3" xfId="27266" xr:uid="{00000000-0005-0000-0000-000070350000}"/>
    <cellStyle name="Comma 8 4 2 2 2 2 3 2" xfId="27267" xr:uid="{00000000-0005-0000-0000-000071350000}"/>
    <cellStyle name="Comma 8 4 2 2 2 2 4" xfId="27268" xr:uid="{00000000-0005-0000-0000-000072350000}"/>
    <cellStyle name="Comma 8 4 2 2 2 3" xfId="27269" xr:uid="{00000000-0005-0000-0000-000073350000}"/>
    <cellStyle name="Comma 8 4 2 2 2 3 2" xfId="27270" xr:uid="{00000000-0005-0000-0000-000074350000}"/>
    <cellStyle name="Comma 8 4 2 2 2 3 2 2" xfId="27271" xr:uid="{00000000-0005-0000-0000-000075350000}"/>
    <cellStyle name="Comma 8 4 2 2 2 3 2 2 2" xfId="27272" xr:uid="{00000000-0005-0000-0000-000076350000}"/>
    <cellStyle name="Comma 8 4 2 2 2 3 2 3" xfId="27273" xr:uid="{00000000-0005-0000-0000-000077350000}"/>
    <cellStyle name="Comma 8 4 2 2 2 3 3" xfId="27274" xr:uid="{00000000-0005-0000-0000-000078350000}"/>
    <cellStyle name="Comma 8 4 2 2 2 3 3 2" xfId="27275" xr:uid="{00000000-0005-0000-0000-000079350000}"/>
    <cellStyle name="Comma 8 4 2 2 2 3 4" xfId="27276" xr:uid="{00000000-0005-0000-0000-00007A350000}"/>
    <cellStyle name="Comma 8 4 2 2 2 4" xfId="27277" xr:uid="{00000000-0005-0000-0000-00007B350000}"/>
    <cellStyle name="Comma 8 4 2 2 2 4 2" xfId="27278" xr:uid="{00000000-0005-0000-0000-00007C350000}"/>
    <cellStyle name="Comma 8 4 2 2 2 4 2 2" xfId="27279" xr:uid="{00000000-0005-0000-0000-00007D350000}"/>
    <cellStyle name="Comma 8 4 2 2 2 4 3" xfId="27280" xr:uid="{00000000-0005-0000-0000-00007E350000}"/>
    <cellStyle name="Comma 8 4 2 2 2 5" xfId="27281" xr:uid="{00000000-0005-0000-0000-00007F350000}"/>
    <cellStyle name="Comma 8 4 2 2 2 5 2" xfId="27282" xr:uid="{00000000-0005-0000-0000-000080350000}"/>
    <cellStyle name="Comma 8 4 2 2 2 6" xfId="27283" xr:uid="{00000000-0005-0000-0000-000081350000}"/>
    <cellStyle name="Comma 8 4 2 2 3" xfId="27284" xr:uid="{00000000-0005-0000-0000-000082350000}"/>
    <cellStyle name="Comma 8 4 2 2 3 2" xfId="27285" xr:uid="{00000000-0005-0000-0000-000083350000}"/>
    <cellStyle name="Comma 8 4 2 2 3 2 2" xfId="27286" xr:uid="{00000000-0005-0000-0000-000084350000}"/>
    <cellStyle name="Comma 8 4 2 2 3 2 2 2" xfId="27287" xr:uid="{00000000-0005-0000-0000-000085350000}"/>
    <cellStyle name="Comma 8 4 2 2 3 2 2 2 2" xfId="27288" xr:uid="{00000000-0005-0000-0000-000086350000}"/>
    <cellStyle name="Comma 8 4 2 2 3 2 2 3" xfId="27289" xr:uid="{00000000-0005-0000-0000-000087350000}"/>
    <cellStyle name="Comma 8 4 2 2 3 2 3" xfId="27290" xr:uid="{00000000-0005-0000-0000-000088350000}"/>
    <cellStyle name="Comma 8 4 2 2 3 2 3 2" xfId="27291" xr:uid="{00000000-0005-0000-0000-000089350000}"/>
    <cellStyle name="Comma 8 4 2 2 3 2 4" xfId="27292" xr:uid="{00000000-0005-0000-0000-00008A350000}"/>
    <cellStyle name="Comma 8 4 2 2 3 3" xfId="27293" xr:uid="{00000000-0005-0000-0000-00008B350000}"/>
    <cellStyle name="Comma 8 4 2 2 3 3 2" xfId="27294" xr:uid="{00000000-0005-0000-0000-00008C350000}"/>
    <cellStyle name="Comma 8 4 2 2 3 3 2 2" xfId="27295" xr:uid="{00000000-0005-0000-0000-00008D350000}"/>
    <cellStyle name="Comma 8 4 2 2 3 3 3" xfId="27296" xr:uid="{00000000-0005-0000-0000-00008E350000}"/>
    <cellStyle name="Comma 8 4 2 2 3 4" xfId="27297" xr:uid="{00000000-0005-0000-0000-00008F350000}"/>
    <cellStyle name="Comma 8 4 2 2 3 4 2" xfId="27298" xr:uid="{00000000-0005-0000-0000-000090350000}"/>
    <cellStyle name="Comma 8 4 2 2 3 5" xfId="27299" xr:uid="{00000000-0005-0000-0000-000091350000}"/>
    <cellStyle name="Comma 8 4 2 2 4" xfId="27300" xr:uid="{00000000-0005-0000-0000-000092350000}"/>
    <cellStyle name="Comma 8 4 2 2 4 2" xfId="27301" xr:uid="{00000000-0005-0000-0000-000093350000}"/>
    <cellStyle name="Comma 8 4 2 2 4 2 2" xfId="27302" xr:uid="{00000000-0005-0000-0000-000094350000}"/>
    <cellStyle name="Comma 8 4 2 2 4 2 2 2" xfId="27303" xr:uid="{00000000-0005-0000-0000-000095350000}"/>
    <cellStyle name="Comma 8 4 2 2 4 2 3" xfId="27304" xr:uid="{00000000-0005-0000-0000-000096350000}"/>
    <cellStyle name="Comma 8 4 2 2 4 3" xfId="27305" xr:uid="{00000000-0005-0000-0000-000097350000}"/>
    <cellStyle name="Comma 8 4 2 2 4 3 2" xfId="27306" xr:uid="{00000000-0005-0000-0000-000098350000}"/>
    <cellStyle name="Comma 8 4 2 2 4 4" xfId="27307" xr:uid="{00000000-0005-0000-0000-000099350000}"/>
    <cellStyle name="Comma 8 4 2 2 5" xfId="27308" xr:uid="{00000000-0005-0000-0000-00009A350000}"/>
    <cellStyle name="Comma 8 4 2 2 5 2" xfId="27309" xr:uid="{00000000-0005-0000-0000-00009B350000}"/>
    <cellStyle name="Comma 8 4 2 2 5 2 2" xfId="27310" xr:uid="{00000000-0005-0000-0000-00009C350000}"/>
    <cellStyle name="Comma 8 4 2 2 5 2 2 2" xfId="27311" xr:uid="{00000000-0005-0000-0000-00009D350000}"/>
    <cellStyle name="Comma 8 4 2 2 5 2 3" xfId="27312" xr:uid="{00000000-0005-0000-0000-00009E350000}"/>
    <cellStyle name="Comma 8 4 2 2 5 3" xfId="27313" xr:uid="{00000000-0005-0000-0000-00009F350000}"/>
    <cellStyle name="Comma 8 4 2 2 5 3 2" xfId="27314" xr:uid="{00000000-0005-0000-0000-0000A0350000}"/>
    <cellStyle name="Comma 8 4 2 2 5 4" xfId="27315" xr:uid="{00000000-0005-0000-0000-0000A1350000}"/>
    <cellStyle name="Comma 8 4 2 2 6" xfId="27316" xr:uid="{00000000-0005-0000-0000-0000A2350000}"/>
    <cellStyle name="Comma 8 4 2 2 6 2" xfId="27317" xr:uid="{00000000-0005-0000-0000-0000A3350000}"/>
    <cellStyle name="Comma 8 4 2 2 6 2 2" xfId="27318" xr:uid="{00000000-0005-0000-0000-0000A4350000}"/>
    <cellStyle name="Comma 8 4 2 2 6 3" xfId="27319" xr:uid="{00000000-0005-0000-0000-0000A5350000}"/>
    <cellStyle name="Comma 8 4 2 2 7" xfId="27320" xr:uid="{00000000-0005-0000-0000-0000A6350000}"/>
    <cellStyle name="Comma 8 4 2 2 7 2" xfId="27321" xr:uid="{00000000-0005-0000-0000-0000A7350000}"/>
    <cellStyle name="Comma 8 4 2 2 8" xfId="27322" xr:uid="{00000000-0005-0000-0000-0000A8350000}"/>
    <cellStyle name="Comma 8 4 2 3" xfId="27323" xr:uid="{00000000-0005-0000-0000-0000A9350000}"/>
    <cellStyle name="Comma 8 4 2 3 2" xfId="27324" xr:uid="{00000000-0005-0000-0000-0000AA350000}"/>
    <cellStyle name="Comma 8 4 2 3 2 2" xfId="27325" xr:uid="{00000000-0005-0000-0000-0000AB350000}"/>
    <cellStyle name="Comma 8 4 2 3 2 2 2" xfId="27326" xr:uid="{00000000-0005-0000-0000-0000AC350000}"/>
    <cellStyle name="Comma 8 4 2 3 2 2 2 2" xfId="27327" xr:uid="{00000000-0005-0000-0000-0000AD350000}"/>
    <cellStyle name="Comma 8 4 2 3 2 2 3" xfId="27328" xr:uid="{00000000-0005-0000-0000-0000AE350000}"/>
    <cellStyle name="Comma 8 4 2 3 2 3" xfId="27329" xr:uid="{00000000-0005-0000-0000-0000AF350000}"/>
    <cellStyle name="Comma 8 4 2 3 2 3 2" xfId="27330" xr:uid="{00000000-0005-0000-0000-0000B0350000}"/>
    <cellStyle name="Comma 8 4 2 3 2 4" xfId="27331" xr:uid="{00000000-0005-0000-0000-0000B1350000}"/>
    <cellStyle name="Comma 8 4 2 3 3" xfId="27332" xr:uid="{00000000-0005-0000-0000-0000B2350000}"/>
    <cellStyle name="Comma 8 4 2 3 3 2" xfId="27333" xr:uid="{00000000-0005-0000-0000-0000B3350000}"/>
    <cellStyle name="Comma 8 4 2 3 3 2 2" xfId="27334" xr:uid="{00000000-0005-0000-0000-0000B4350000}"/>
    <cellStyle name="Comma 8 4 2 3 3 2 2 2" xfId="27335" xr:uid="{00000000-0005-0000-0000-0000B5350000}"/>
    <cellStyle name="Comma 8 4 2 3 3 2 3" xfId="27336" xr:uid="{00000000-0005-0000-0000-0000B6350000}"/>
    <cellStyle name="Comma 8 4 2 3 3 3" xfId="27337" xr:uid="{00000000-0005-0000-0000-0000B7350000}"/>
    <cellStyle name="Comma 8 4 2 3 3 3 2" xfId="27338" xr:uid="{00000000-0005-0000-0000-0000B8350000}"/>
    <cellStyle name="Comma 8 4 2 3 3 4" xfId="27339" xr:uid="{00000000-0005-0000-0000-0000B9350000}"/>
    <cellStyle name="Comma 8 4 2 3 4" xfId="27340" xr:uid="{00000000-0005-0000-0000-0000BA350000}"/>
    <cellStyle name="Comma 8 4 2 3 4 2" xfId="27341" xr:uid="{00000000-0005-0000-0000-0000BB350000}"/>
    <cellStyle name="Comma 8 4 2 3 4 2 2" xfId="27342" xr:uid="{00000000-0005-0000-0000-0000BC350000}"/>
    <cellStyle name="Comma 8 4 2 3 4 3" xfId="27343" xr:uid="{00000000-0005-0000-0000-0000BD350000}"/>
    <cellStyle name="Comma 8 4 2 3 5" xfId="27344" xr:uid="{00000000-0005-0000-0000-0000BE350000}"/>
    <cellStyle name="Comma 8 4 2 3 5 2" xfId="27345" xr:uid="{00000000-0005-0000-0000-0000BF350000}"/>
    <cellStyle name="Comma 8 4 2 3 6" xfId="27346" xr:uid="{00000000-0005-0000-0000-0000C0350000}"/>
    <cellStyle name="Comma 8 4 2 4" xfId="27347" xr:uid="{00000000-0005-0000-0000-0000C1350000}"/>
    <cellStyle name="Comma 8 4 2 4 2" xfId="27348" xr:uid="{00000000-0005-0000-0000-0000C2350000}"/>
    <cellStyle name="Comma 8 4 2 4 2 2" xfId="27349" xr:uid="{00000000-0005-0000-0000-0000C3350000}"/>
    <cellStyle name="Comma 8 4 2 4 2 2 2" xfId="27350" xr:uid="{00000000-0005-0000-0000-0000C4350000}"/>
    <cellStyle name="Comma 8 4 2 4 2 2 2 2" xfId="27351" xr:uid="{00000000-0005-0000-0000-0000C5350000}"/>
    <cellStyle name="Comma 8 4 2 4 2 2 3" xfId="27352" xr:uid="{00000000-0005-0000-0000-0000C6350000}"/>
    <cellStyle name="Comma 8 4 2 4 2 3" xfId="27353" xr:uid="{00000000-0005-0000-0000-0000C7350000}"/>
    <cellStyle name="Comma 8 4 2 4 2 3 2" xfId="27354" xr:uid="{00000000-0005-0000-0000-0000C8350000}"/>
    <cellStyle name="Comma 8 4 2 4 2 4" xfId="27355" xr:uid="{00000000-0005-0000-0000-0000C9350000}"/>
    <cellStyle name="Comma 8 4 2 4 3" xfId="27356" xr:uid="{00000000-0005-0000-0000-0000CA350000}"/>
    <cellStyle name="Comma 8 4 2 4 3 2" xfId="27357" xr:uid="{00000000-0005-0000-0000-0000CB350000}"/>
    <cellStyle name="Comma 8 4 2 4 3 2 2" xfId="27358" xr:uid="{00000000-0005-0000-0000-0000CC350000}"/>
    <cellStyle name="Comma 8 4 2 4 3 3" xfId="27359" xr:uid="{00000000-0005-0000-0000-0000CD350000}"/>
    <cellStyle name="Comma 8 4 2 4 4" xfId="27360" xr:uid="{00000000-0005-0000-0000-0000CE350000}"/>
    <cellStyle name="Comma 8 4 2 4 4 2" xfId="27361" xr:uid="{00000000-0005-0000-0000-0000CF350000}"/>
    <cellStyle name="Comma 8 4 2 4 5" xfId="27362" xr:uid="{00000000-0005-0000-0000-0000D0350000}"/>
    <cellStyle name="Comma 8 4 2 5" xfId="27363" xr:uid="{00000000-0005-0000-0000-0000D1350000}"/>
    <cellStyle name="Comma 8 4 2 5 2" xfId="27364" xr:uid="{00000000-0005-0000-0000-0000D2350000}"/>
    <cellStyle name="Comma 8 4 2 5 2 2" xfId="27365" xr:uid="{00000000-0005-0000-0000-0000D3350000}"/>
    <cellStyle name="Comma 8 4 2 5 2 2 2" xfId="27366" xr:uid="{00000000-0005-0000-0000-0000D4350000}"/>
    <cellStyle name="Comma 8 4 2 5 2 3" xfId="27367" xr:uid="{00000000-0005-0000-0000-0000D5350000}"/>
    <cellStyle name="Comma 8 4 2 5 3" xfId="27368" xr:uid="{00000000-0005-0000-0000-0000D6350000}"/>
    <cellStyle name="Comma 8 4 2 5 3 2" xfId="27369" xr:uid="{00000000-0005-0000-0000-0000D7350000}"/>
    <cellStyle name="Comma 8 4 2 5 4" xfId="27370" xr:uid="{00000000-0005-0000-0000-0000D8350000}"/>
    <cellStyle name="Comma 8 4 2 6" xfId="27371" xr:uid="{00000000-0005-0000-0000-0000D9350000}"/>
    <cellStyle name="Comma 8 4 2 6 2" xfId="27372" xr:uid="{00000000-0005-0000-0000-0000DA350000}"/>
    <cellStyle name="Comma 8 4 2 6 2 2" xfId="27373" xr:uid="{00000000-0005-0000-0000-0000DB350000}"/>
    <cellStyle name="Comma 8 4 2 6 2 2 2" xfId="27374" xr:uid="{00000000-0005-0000-0000-0000DC350000}"/>
    <cellStyle name="Comma 8 4 2 6 2 3" xfId="27375" xr:uid="{00000000-0005-0000-0000-0000DD350000}"/>
    <cellStyle name="Comma 8 4 2 6 3" xfId="27376" xr:uid="{00000000-0005-0000-0000-0000DE350000}"/>
    <cellStyle name="Comma 8 4 2 6 3 2" xfId="27377" xr:uid="{00000000-0005-0000-0000-0000DF350000}"/>
    <cellStyle name="Comma 8 4 2 6 4" xfId="27378" xr:uid="{00000000-0005-0000-0000-0000E0350000}"/>
    <cellStyle name="Comma 8 4 2 7" xfId="27379" xr:uid="{00000000-0005-0000-0000-0000E1350000}"/>
    <cellStyle name="Comma 8 4 2 7 2" xfId="27380" xr:uid="{00000000-0005-0000-0000-0000E2350000}"/>
    <cellStyle name="Comma 8 4 2 7 2 2" xfId="27381" xr:uid="{00000000-0005-0000-0000-0000E3350000}"/>
    <cellStyle name="Comma 8 4 2 7 2 2 2" xfId="27382" xr:uid="{00000000-0005-0000-0000-0000E4350000}"/>
    <cellStyle name="Comma 8 4 2 7 2 3" xfId="27383" xr:uid="{00000000-0005-0000-0000-0000E5350000}"/>
    <cellStyle name="Comma 8 4 2 7 3" xfId="27384" xr:uid="{00000000-0005-0000-0000-0000E6350000}"/>
    <cellStyle name="Comma 8 4 2 7 3 2" xfId="27385" xr:uid="{00000000-0005-0000-0000-0000E7350000}"/>
    <cellStyle name="Comma 8 4 2 7 4" xfId="27386" xr:uid="{00000000-0005-0000-0000-0000E8350000}"/>
    <cellStyle name="Comma 8 4 2 8" xfId="27387" xr:uid="{00000000-0005-0000-0000-0000E9350000}"/>
    <cellStyle name="Comma 8 4 2 8 2" xfId="27388" xr:uid="{00000000-0005-0000-0000-0000EA350000}"/>
    <cellStyle name="Comma 8 4 2 8 2 2" xfId="27389" xr:uid="{00000000-0005-0000-0000-0000EB350000}"/>
    <cellStyle name="Comma 8 4 2 8 3" xfId="27390" xr:uid="{00000000-0005-0000-0000-0000EC350000}"/>
    <cellStyle name="Comma 8 4 2 9" xfId="27391" xr:uid="{00000000-0005-0000-0000-0000ED350000}"/>
    <cellStyle name="Comma 8 4 2 9 2" xfId="27392" xr:uid="{00000000-0005-0000-0000-0000EE350000}"/>
    <cellStyle name="Comma 8 4 3" xfId="27393" xr:uid="{00000000-0005-0000-0000-0000EF350000}"/>
    <cellStyle name="Comma 8 4 3 2" xfId="27394" xr:uid="{00000000-0005-0000-0000-0000F0350000}"/>
    <cellStyle name="Comma 8 4 3 2 2" xfId="27395" xr:uid="{00000000-0005-0000-0000-0000F1350000}"/>
    <cellStyle name="Comma 8 4 3 2 2 2" xfId="27396" xr:uid="{00000000-0005-0000-0000-0000F2350000}"/>
    <cellStyle name="Comma 8 4 3 2 2 2 2" xfId="27397" xr:uid="{00000000-0005-0000-0000-0000F3350000}"/>
    <cellStyle name="Comma 8 4 3 2 2 2 2 2" xfId="27398" xr:uid="{00000000-0005-0000-0000-0000F4350000}"/>
    <cellStyle name="Comma 8 4 3 2 2 2 3" xfId="27399" xr:uid="{00000000-0005-0000-0000-0000F5350000}"/>
    <cellStyle name="Comma 8 4 3 2 2 3" xfId="27400" xr:uid="{00000000-0005-0000-0000-0000F6350000}"/>
    <cellStyle name="Comma 8 4 3 2 2 3 2" xfId="27401" xr:uid="{00000000-0005-0000-0000-0000F7350000}"/>
    <cellStyle name="Comma 8 4 3 2 2 4" xfId="27402" xr:uid="{00000000-0005-0000-0000-0000F8350000}"/>
    <cellStyle name="Comma 8 4 3 2 3" xfId="27403" xr:uid="{00000000-0005-0000-0000-0000F9350000}"/>
    <cellStyle name="Comma 8 4 3 2 3 2" xfId="27404" xr:uid="{00000000-0005-0000-0000-0000FA350000}"/>
    <cellStyle name="Comma 8 4 3 2 3 2 2" xfId="27405" xr:uid="{00000000-0005-0000-0000-0000FB350000}"/>
    <cellStyle name="Comma 8 4 3 2 3 2 2 2" xfId="27406" xr:uid="{00000000-0005-0000-0000-0000FC350000}"/>
    <cellStyle name="Comma 8 4 3 2 3 2 3" xfId="27407" xr:uid="{00000000-0005-0000-0000-0000FD350000}"/>
    <cellStyle name="Comma 8 4 3 2 3 3" xfId="27408" xr:uid="{00000000-0005-0000-0000-0000FE350000}"/>
    <cellStyle name="Comma 8 4 3 2 3 3 2" xfId="27409" xr:uid="{00000000-0005-0000-0000-0000FF350000}"/>
    <cellStyle name="Comma 8 4 3 2 3 4" xfId="27410" xr:uid="{00000000-0005-0000-0000-000000360000}"/>
    <cellStyle name="Comma 8 4 3 2 4" xfId="27411" xr:uid="{00000000-0005-0000-0000-000001360000}"/>
    <cellStyle name="Comma 8 4 3 2 4 2" xfId="27412" xr:uid="{00000000-0005-0000-0000-000002360000}"/>
    <cellStyle name="Comma 8 4 3 2 4 2 2" xfId="27413" xr:uid="{00000000-0005-0000-0000-000003360000}"/>
    <cellStyle name="Comma 8 4 3 2 4 3" xfId="27414" xr:uid="{00000000-0005-0000-0000-000004360000}"/>
    <cellStyle name="Comma 8 4 3 2 5" xfId="27415" xr:uid="{00000000-0005-0000-0000-000005360000}"/>
    <cellStyle name="Comma 8 4 3 2 5 2" xfId="27416" xr:uid="{00000000-0005-0000-0000-000006360000}"/>
    <cellStyle name="Comma 8 4 3 2 6" xfId="27417" xr:uid="{00000000-0005-0000-0000-000007360000}"/>
    <cellStyle name="Comma 8 4 3 3" xfId="27418" xr:uid="{00000000-0005-0000-0000-000008360000}"/>
    <cellStyle name="Comma 8 4 3 3 2" xfId="27419" xr:uid="{00000000-0005-0000-0000-000009360000}"/>
    <cellStyle name="Comma 8 4 3 3 2 2" xfId="27420" xr:uid="{00000000-0005-0000-0000-00000A360000}"/>
    <cellStyle name="Comma 8 4 3 3 2 2 2" xfId="27421" xr:uid="{00000000-0005-0000-0000-00000B360000}"/>
    <cellStyle name="Comma 8 4 3 3 2 2 2 2" xfId="27422" xr:uid="{00000000-0005-0000-0000-00000C360000}"/>
    <cellStyle name="Comma 8 4 3 3 2 2 3" xfId="27423" xr:uid="{00000000-0005-0000-0000-00000D360000}"/>
    <cellStyle name="Comma 8 4 3 3 2 3" xfId="27424" xr:uid="{00000000-0005-0000-0000-00000E360000}"/>
    <cellStyle name="Comma 8 4 3 3 2 3 2" xfId="27425" xr:uid="{00000000-0005-0000-0000-00000F360000}"/>
    <cellStyle name="Comma 8 4 3 3 2 4" xfId="27426" xr:uid="{00000000-0005-0000-0000-000010360000}"/>
    <cellStyle name="Comma 8 4 3 3 3" xfId="27427" xr:uid="{00000000-0005-0000-0000-000011360000}"/>
    <cellStyle name="Comma 8 4 3 3 3 2" xfId="27428" xr:uid="{00000000-0005-0000-0000-000012360000}"/>
    <cellStyle name="Comma 8 4 3 3 3 2 2" xfId="27429" xr:uid="{00000000-0005-0000-0000-000013360000}"/>
    <cellStyle name="Comma 8 4 3 3 3 3" xfId="27430" xr:uid="{00000000-0005-0000-0000-000014360000}"/>
    <cellStyle name="Comma 8 4 3 3 4" xfId="27431" xr:uid="{00000000-0005-0000-0000-000015360000}"/>
    <cellStyle name="Comma 8 4 3 3 4 2" xfId="27432" xr:uid="{00000000-0005-0000-0000-000016360000}"/>
    <cellStyle name="Comma 8 4 3 3 5" xfId="27433" xr:uid="{00000000-0005-0000-0000-000017360000}"/>
    <cellStyle name="Comma 8 4 3 4" xfId="27434" xr:uid="{00000000-0005-0000-0000-000018360000}"/>
    <cellStyle name="Comma 8 4 3 4 2" xfId="27435" xr:uid="{00000000-0005-0000-0000-000019360000}"/>
    <cellStyle name="Comma 8 4 3 4 2 2" xfId="27436" xr:uid="{00000000-0005-0000-0000-00001A360000}"/>
    <cellStyle name="Comma 8 4 3 4 2 2 2" xfId="27437" xr:uid="{00000000-0005-0000-0000-00001B360000}"/>
    <cellStyle name="Comma 8 4 3 4 2 3" xfId="27438" xr:uid="{00000000-0005-0000-0000-00001C360000}"/>
    <cellStyle name="Comma 8 4 3 4 3" xfId="27439" xr:uid="{00000000-0005-0000-0000-00001D360000}"/>
    <cellStyle name="Comma 8 4 3 4 3 2" xfId="27440" xr:uid="{00000000-0005-0000-0000-00001E360000}"/>
    <cellStyle name="Comma 8 4 3 4 4" xfId="27441" xr:uid="{00000000-0005-0000-0000-00001F360000}"/>
    <cellStyle name="Comma 8 4 3 5" xfId="27442" xr:uid="{00000000-0005-0000-0000-000020360000}"/>
    <cellStyle name="Comma 8 4 3 5 2" xfId="27443" xr:uid="{00000000-0005-0000-0000-000021360000}"/>
    <cellStyle name="Comma 8 4 3 5 2 2" xfId="27444" xr:uid="{00000000-0005-0000-0000-000022360000}"/>
    <cellStyle name="Comma 8 4 3 5 2 2 2" xfId="27445" xr:uid="{00000000-0005-0000-0000-000023360000}"/>
    <cellStyle name="Comma 8 4 3 5 2 3" xfId="27446" xr:uid="{00000000-0005-0000-0000-000024360000}"/>
    <cellStyle name="Comma 8 4 3 5 3" xfId="27447" xr:uid="{00000000-0005-0000-0000-000025360000}"/>
    <cellStyle name="Comma 8 4 3 5 3 2" xfId="27448" xr:uid="{00000000-0005-0000-0000-000026360000}"/>
    <cellStyle name="Comma 8 4 3 5 4" xfId="27449" xr:uid="{00000000-0005-0000-0000-000027360000}"/>
    <cellStyle name="Comma 8 4 3 6" xfId="27450" xr:uid="{00000000-0005-0000-0000-000028360000}"/>
    <cellStyle name="Comma 8 4 3 6 2" xfId="27451" xr:uid="{00000000-0005-0000-0000-000029360000}"/>
    <cellStyle name="Comma 8 4 3 6 2 2" xfId="27452" xr:uid="{00000000-0005-0000-0000-00002A360000}"/>
    <cellStyle name="Comma 8 4 3 6 3" xfId="27453" xr:uid="{00000000-0005-0000-0000-00002B360000}"/>
    <cellStyle name="Comma 8 4 3 7" xfId="27454" xr:uid="{00000000-0005-0000-0000-00002C360000}"/>
    <cellStyle name="Comma 8 4 3 7 2" xfId="27455" xr:uid="{00000000-0005-0000-0000-00002D360000}"/>
    <cellStyle name="Comma 8 4 3 8" xfId="27456" xr:uid="{00000000-0005-0000-0000-00002E360000}"/>
    <cellStyle name="Comma 8 4 4" xfId="27457" xr:uid="{00000000-0005-0000-0000-00002F360000}"/>
    <cellStyle name="Comma 8 4 4 2" xfId="27458" xr:uid="{00000000-0005-0000-0000-000030360000}"/>
    <cellStyle name="Comma 8 4 4 2 2" xfId="27459" xr:uid="{00000000-0005-0000-0000-000031360000}"/>
    <cellStyle name="Comma 8 4 4 2 2 2" xfId="27460" xr:uid="{00000000-0005-0000-0000-000032360000}"/>
    <cellStyle name="Comma 8 4 4 2 2 2 2" xfId="27461" xr:uid="{00000000-0005-0000-0000-000033360000}"/>
    <cellStyle name="Comma 8 4 4 2 2 2 2 2" xfId="27462" xr:uid="{00000000-0005-0000-0000-000034360000}"/>
    <cellStyle name="Comma 8 4 4 2 2 2 3" xfId="27463" xr:uid="{00000000-0005-0000-0000-000035360000}"/>
    <cellStyle name="Comma 8 4 4 2 2 3" xfId="27464" xr:uid="{00000000-0005-0000-0000-000036360000}"/>
    <cellStyle name="Comma 8 4 4 2 2 3 2" xfId="27465" xr:uid="{00000000-0005-0000-0000-000037360000}"/>
    <cellStyle name="Comma 8 4 4 2 2 4" xfId="27466" xr:uid="{00000000-0005-0000-0000-000038360000}"/>
    <cellStyle name="Comma 8 4 4 2 3" xfId="27467" xr:uid="{00000000-0005-0000-0000-000039360000}"/>
    <cellStyle name="Comma 8 4 4 2 3 2" xfId="27468" xr:uid="{00000000-0005-0000-0000-00003A360000}"/>
    <cellStyle name="Comma 8 4 4 2 3 2 2" xfId="27469" xr:uid="{00000000-0005-0000-0000-00003B360000}"/>
    <cellStyle name="Comma 8 4 4 2 3 2 2 2" xfId="27470" xr:uid="{00000000-0005-0000-0000-00003C360000}"/>
    <cellStyle name="Comma 8 4 4 2 3 2 3" xfId="27471" xr:uid="{00000000-0005-0000-0000-00003D360000}"/>
    <cellStyle name="Comma 8 4 4 2 3 3" xfId="27472" xr:uid="{00000000-0005-0000-0000-00003E360000}"/>
    <cellStyle name="Comma 8 4 4 2 3 3 2" xfId="27473" xr:uid="{00000000-0005-0000-0000-00003F360000}"/>
    <cellStyle name="Comma 8 4 4 2 3 4" xfId="27474" xr:uid="{00000000-0005-0000-0000-000040360000}"/>
    <cellStyle name="Comma 8 4 4 2 4" xfId="27475" xr:uid="{00000000-0005-0000-0000-000041360000}"/>
    <cellStyle name="Comma 8 4 4 2 4 2" xfId="27476" xr:uid="{00000000-0005-0000-0000-000042360000}"/>
    <cellStyle name="Comma 8 4 4 2 4 2 2" xfId="27477" xr:uid="{00000000-0005-0000-0000-000043360000}"/>
    <cellStyle name="Comma 8 4 4 2 4 3" xfId="27478" xr:uid="{00000000-0005-0000-0000-000044360000}"/>
    <cellStyle name="Comma 8 4 4 2 5" xfId="27479" xr:uid="{00000000-0005-0000-0000-000045360000}"/>
    <cellStyle name="Comma 8 4 4 2 5 2" xfId="27480" xr:uid="{00000000-0005-0000-0000-000046360000}"/>
    <cellStyle name="Comma 8 4 4 2 6" xfId="27481" xr:uid="{00000000-0005-0000-0000-000047360000}"/>
    <cellStyle name="Comma 8 4 4 3" xfId="27482" xr:uid="{00000000-0005-0000-0000-000048360000}"/>
    <cellStyle name="Comma 8 4 4 3 2" xfId="27483" xr:uid="{00000000-0005-0000-0000-000049360000}"/>
    <cellStyle name="Comma 8 4 4 3 2 2" xfId="27484" xr:uid="{00000000-0005-0000-0000-00004A360000}"/>
    <cellStyle name="Comma 8 4 4 3 2 2 2" xfId="27485" xr:uid="{00000000-0005-0000-0000-00004B360000}"/>
    <cellStyle name="Comma 8 4 4 3 2 2 2 2" xfId="27486" xr:uid="{00000000-0005-0000-0000-00004C360000}"/>
    <cellStyle name="Comma 8 4 4 3 2 2 3" xfId="27487" xr:uid="{00000000-0005-0000-0000-00004D360000}"/>
    <cellStyle name="Comma 8 4 4 3 2 3" xfId="27488" xr:uid="{00000000-0005-0000-0000-00004E360000}"/>
    <cellStyle name="Comma 8 4 4 3 2 3 2" xfId="27489" xr:uid="{00000000-0005-0000-0000-00004F360000}"/>
    <cellStyle name="Comma 8 4 4 3 2 4" xfId="27490" xr:uid="{00000000-0005-0000-0000-000050360000}"/>
    <cellStyle name="Comma 8 4 4 3 3" xfId="27491" xr:uid="{00000000-0005-0000-0000-000051360000}"/>
    <cellStyle name="Comma 8 4 4 3 3 2" xfId="27492" xr:uid="{00000000-0005-0000-0000-000052360000}"/>
    <cellStyle name="Comma 8 4 4 3 3 2 2" xfId="27493" xr:uid="{00000000-0005-0000-0000-000053360000}"/>
    <cellStyle name="Comma 8 4 4 3 3 3" xfId="27494" xr:uid="{00000000-0005-0000-0000-000054360000}"/>
    <cellStyle name="Comma 8 4 4 3 4" xfId="27495" xr:uid="{00000000-0005-0000-0000-000055360000}"/>
    <cellStyle name="Comma 8 4 4 3 4 2" xfId="27496" xr:uid="{00000000-0005-0000-0000-000056360000}"/>
    <cellStyle name="Comma 8 4 4 3 5" xfId="27497" xr:uid="{00000000-0005-0000-0000-000057360000}"/>
    <cellStyle name="Comma 8 4 4 4" xfId="27498" xr:uid="{00000000-0005-0000-0000-000058360000}"/>
    <cellStyle name="Comma 8 4 4 4 2" xfId="27499" xr:uid="{00000000-0005-0000-0000-000059360000}"/>
    <cellStyle name="Comma 8 4 4 4 2 2" xfId="27500" xr:uid="{00000000-0005-0000-0000-00005A360000}"/>
    <cellStyle name="Comma 8 4 4 4 2 2 2" xfId="27501" xr:uid="{00000000-0005-0000-0000-00005B360000}"/>
    <cellStyle name="Comma 8 4 4 4 2 3" xfId="27502" xr:uid="{00000000-0005-0000-0000-00005C360000}"/>
    <cellStyle name="Comma 8 4 4 4 3" xfId="27503" xr:uid="{00000000-0005-0000-0000-00005D360000}"/>
    <cellStyle name="Comma 8 4 4 4 3 2" xfId="27504" xr:uid="{00000000-0005-0000-0000-00005E360000}"/>
    <cellStyle name="Comma 8 4 4 4 4" xfId="27505" xr:uid="{00000000-0005-0000-0000-00005F360000}"/>
    <cellStyle name="Comma 8 4 4 5" xfId="27506" xr:uid="{00000000-0005-0000-0000-000060360000}"/>
    <cellStyle name="Comma 8 4 4 5 2" xfId="27507" xr:uid="{00000000-0005-0000-0000-000061360000}"/>
    <cellStyle name="Comma 8 4 4 5 2 2" xfId="27508" xr:uid="{00000000-0005-0000-0000-000062360000}"/>
    <cellStyle name="Comma 8 4 4 5 2 2 2" xfId="27509" xr:uid="{00000000-0005-0000-0000-000063360000}"/>
    <cellStyle name="Comma 8 4 4 5 2 3" xfId="27510" xr:uid="{00000000-0005-0000-0000-000064360000}"/>
    <cellStyle name="Comma 8 4 4 5 3" xfId="27511" xr:uid="{00000000-0005-0000-0000-000065360000}"/>
    <cellStyle name="Comma 8 4 4 5 3 2" xfId="27512" xr:uid="{00000000-0005-0000-0000-000066360000}"/>
    <cellStyle name="Comma 8 4 4 5 4" xfId="27513" xr:uid="{00000000-0005-0000-0000-000067360000}"/>
    <cellStyle name="Comma 8 4 4 6" xfId="27514" xr:uid="{00000000-0005-0000-0000-000068360000}"/>
    <cellStyle name="Comma 8 4 4 6 2" xfId="27515" xr:uid="{00000000-0005-0000-0000-000069360000}"/>
    <cellStyle name="Comma 8 4 4 6 2 2" xfId="27516" xr:uid="{00000000-0005-0000-0000-00006A360000}"/>
    <cellStyle name="Comma 8 4 4 6 3" xfId="27517" xr:uid="{00000000-0005-0000-0000-00006B360000}"/>
    <cellStyle name="Comma 8 4 4 7" xfId="27518" xr:uid="{00000000-0005-0000-0000-00006C360000}"/>
    <cellStyle name="Comma 8 4 4 7 2" xfId="27519" xr:uid="{00000000-0005-0000-0000-00006D360000}"/>
    <cellStyle name="Comma 8 4 4 8" xfId="27520" xr:uid="{00000000-0005-0000-0000-00006E360000}"/>
    <cellStyle name="Comma 8 4 5" xfId="27521" xr:uid="{00000000-0005-0000-0000-00006F360000}"/>
    <cellStyle name="Comma 8 4 5 2" xfId="27522" xr:uid="{00000000-0005-0000-0000-000070360000}"/>
    <cellStyle name="Comma 8 4 5 2 2" xfId="27523" xr:uid="{00000000-0005-0000-0000-000071360000}"/>
    <cellStyle name="Comma 8 4 5 2 2 2" xfId="27524" xr:uid="{00000000-0005-0000-0000-000072360000}"/>
    <cellStyle name="Comma 8 4 5 2 2 2 2" xfId="27525" xr:uid="{00000000-0005-0000-0000-000073360000}"/>
    <cellStyle name="Comma 8 4 5 2 2 3" xfId="27526" xr:uid="{00000000-0005-0000-0000-000074360000}"/>
    <cellStyle name="Comma 8 4 5 2 3" xfId="27527" xr:uid="{00000000-0005-0000-0000-000075360000}"/>
    <cellStyle name="Comma 8 4 5 2 3 2" xfId="27528" xr:uid="{00000000-0005-0000-0000-000076360000}"/>
    <cellStyle name="Comma 8 4 5 2 4" xfId="27529" xr:uid="{00000000-0005-0000-0000-000077360000}"/>
    <cellStyle name="Comma 8 4 5 3" xfId="27530" xr:uid="{00000000-0005-0000-0000-000078360000}"/>
    <cellStyle name="Comma 8 4 5 3 2" xfId="27531" xr:uid="{00000000-0005-0000-0000-000079360000}"/>
    <cellStyle name="Comma 8 4 5 3 2 2" xfId="27532" xr:uid="{00000000-0005-0000-0000-00007A360000}"/>
    <cellStyle name="Comma 8 4 5 3 2 2 2" xfId="27533" xr:uid="{00000000-0005-0000-0000-00007B360000}"/>
    <cellStyle name="Comma 8 4 5 3 2 3" xfId="27534" xr:uid="{00000000-0005-0000-0000-00007C360000}"/>
    <cellStyle name="Comma 8 4 5 3 3" xfId="27535" xr:uid="{00000000-0005-0000-0000-00007D360000}"/>
    <cellStyle name="Comma 8 4 5 3 3 2" xfId="27536" xr:uid="{00000000-0005-0000-0000-00007E360000}"/>
    <cellStyle name="Comma 8 4 5 3 4" xfId="27537" xr:uid="{00000000-0005-0000-0000-00007F360000}"/>
    <cellStyle name="Comma 8 4 5 4" xfId="27538" xr:uid="{00000000-0005-0000-0000-000080360000}"/>
    <cellStyle name="Comma 8 4 5 4 2" xfId="27539" xr:uid="{00000000-0005-0000-0000-000081360000}"/>
    <cellStyle name="Comma 8 4 5 4 2 2" xfId="27540" xr:uid="{00000000-0005-0000-0000-000082360000}"/>
    <cellStyle name="Comma 8 4 5 4 3" xfId="27541" xr:uid="{00000000-0005-0000-0000-000083360000}"/>
    <cellStyle name="Comma 8 4 5 5" xfId="27542" xr:uid="{00000000-0005-0000-0000-000084360000}"/>
    <cellStyle name="Comma 8 4 5 5 2" xfId="27543" xr:uid="{00000000-0005-0000-0000-000085360000}"/>
    <cellStyle name="Comma 8 4 5 6" xfId="27544" xr:uid="{00000000-0005-0000-0000-000086360000}"/>
    <cellStyle name="Comma 8 4 6" xfId="27545" xr:uid="{00000000-0005-0000-0000-000087360000}"/>
    <cellStyle name="Comma 8 4 6 2" xfId="27546" xr:uid="{00000000-0005-0000-0000-000088360000}"/>
    <cellStyle name="Comma 8 4 6 2 2" xfId="27547" xr:uid="{00000000-0005-0000-0000-000089360000}"/>
    <cellStyle name="Comma 8 4 6 2 2 2" xfId="27548" xr:uid="{00000000-0005-0000-0000-00008A360000}"/>
    <cellStyle name="Comma 8 4 6 2 2 2 2" xfId="27549" xr:uid="{00000000-0005-0000-0000-00008B360000}"/>
    <cellStyle name="Comma 8 4 6 2 2 3" xfId="27550" xr:uid="{00000000-0005-0000-0000-00008C360000}"/>
    <cellStyle name="Comma 8 4 6 2 3" xfId="27551" xr:uid="{00000000-0005-0000-0000-00008D360000}"/>
    <cellStyle name="Comma 8 4 6 2 3 2" xfId="27552" xr:uid="{00000000-0005-0000-0000-00008E360000}"/>
    <cellStyle name="Comma 8 4 6 2 4" xfId="27553" xr:uid="{00000000-0005-0000-0000-00008F360000}"/>
    <cellStyle name="Comma 8 4 6 3" xfId="27554" xr:uid="{00000000-0005-0000-0000-000090360000}"/>
    <cellStyle name="Comma 8 4 6 3 2" xfId="27555" xr:uid="{00000000-0005-0000-0000-000091360000}"/>
    <cellStyle name="Comma 8 4 6 3 2 2" xfId="27556" xr:uid="{00000000-0005-0000-0000-000092360000}"/>
    <cellStyle name="Comma 8 4 6 3 3" xfId="27557" xr:uid="{00000000-0005-0000-0000-000093360000}"/>
    <cellStyle name="Comma 8 4 6 4" xfId="27558" xr:uid="{00000000-0005-0000-0000-000094360000}"/>
    <cellStyle name="Comma 8 4 6 4 2" xfId="27559" xr:uid="{00000000-0005-0000-0000-000095360000}"/>
    <cellStyle name="Comma 8 4 6 5" xfId="27560" xr:uid="{00000000-0005-0000-0000-000096360000}"/>
    <cellStyle name="Comma 8 4 7" xfId="27561" xr:uid="{00000000-0005-0000-0000-000097360000}"/>
    <cellStyle name="Comma 8 4 7 2" xfId="27562" xr:uid="{00000000-0005-0000-0000-000098360000}"/>
    <cellStyle name="Comma 8 4 7 2 2" xfId="27563" xr:uid="{00000000-0005-0000-0000-000099360000}"/>
    <cellStyle name="Comma 8 4 7 2 2 2" xfId="27564" xr:uid="{00000000-0005-0000-0000-00009A360000}"/>
    <cellStyle name="Comma 8 4 7 2 3" xfId="27565" xr:uid="{00000000-0005-0000-0000-00009B360000}"/>
    <cellStyle name="Comma 8 4 7 3" xfId="27566" xr:uid="{00000000-0005-0000-0000-00009C360000}"/>
    <cellStyle name="Comma 8 4 7 3 2" xfId="27567" xr:uid="{00000000-0005-0000-0000-00009D360000}"/>
    <cellStyle name="Comma 8 4 7 4" xfId="27568" xr:uid="{00000000-0005-0000-0000-00009E360000}"/>
    <cellStyle name="Comma 8 4 8" xfId="27569" xr:uid="{00000000-0005-0000-0000-00009F360000}"/>
    <cellStyle name="Comma 8 4 8 2" xfId="27570" xr:uid="{00000000-0005-0000-0000-0000A0360000}"/>
    <cellStyle name="Comma 8 4 8 2 2" xfId="27571" xr:uid="{00000000-0005-0000-0000-0000A1360000}"/>
    <cellStyle name="Comma 8 4 8 2 2 2" xfId="27572" xr:uid="{00000000-0005-0000-0000-0000A2360000}"/>
    <cellStyle name="Comma 8 4 8 2 3" xfId="27573" xr:uid="{00000000-0005-0000-0000-0000A3360000}"/>
    <cellStyle name="Comma 8 4 8 3" xfId="27574" xr:uid="{00000000-0005-0000-0000-0000A4360000}"/>
    <cellStyle name="Comma 8 4 8 3 2" xfId="27575" xr:uid="{00000000-0005-0000-0000-0000A5360000}"/>
    <cellStyle name="Comma 8 4 8 4" xfId="27576" xr:uid="{00000000-0005-0000-0000-0000A6360000}"/>
    <cellStyle name="Comma 8 4 9" xfId="27577" xr:uid="{00000000-0005-0000-0000-0000A7360000}"/>
    <cellStyle name="Comma 8 4 9 2" xfId="27578" xr:uid="{00000000-0005-0000-0000-0000A8360000}"/>
    <cellStyle name="Comma 8 4 9 2 2" xfId="27579" xr:uid="{00000000-0005-0000-0000-0000A9360000}"/>
    <cellStyle name="Comma 8 4 9 2 2 2" xfId="27580" xr:uid="{00000000-0005-0000-0000-0000AA360000}"/>
    <cellStyle name="Comma 8 4 9 2 3" xfId="27581" xr:uid="{00000000-0005-0000-0000-0000AB360000}"/>
    <cellStyle name="Comma 8 4 9 3" xfId="27582" xr:uid="{00000000-0005-0000-0000-0000AC360000}"/>
    <cellStyle name="Comma 8 4 9 3 2" xfId="27583" xr:uid="{00000000-0005-0000-0000-0000AD360000}"/>
    <cellStyle name="Comma 8 4 9 4" xfId="27584" xr:uid="{00000000-0005-0000-0000-0000AE360000}"/>
    <cellStyle name="Comma 8 40" xfId="8212" xr:uid="{00000000-0005-0000-0000-0000AF360000}"/>
    <cellStyle name="Comma 8 40 2" xfId="20732" xr:uid="{00000000-0005-0000-0000-0000B0360000}"/>
    <cellStyle name="Comma 8 41" xfId="8213" xr:uid="{00000000-0005-0000-0000-0000B1360000}"/>
    <cellStyle name="Comma 8 41 2" xfId="20733" xr:uid="{00000000-0005-0000-0000-0000B2360000}"/>
    <cellStyle name="Comma 8 42" xfId="8214" xr:uid="{00000000-0005-0000-0000-0000B3360000}"/>
    <cellStyle name="Comma 8 42 2" xfId="20734" xr:uid="{00000000-0005-0000-0000-0000B4360000}"/>
    <cellStyle name="Comma 8 43" xfId="8215" xr:uid="{00000000-0005-0000-0000-0000B5360000}"/>
    <cellStyle name="Comma 8 43 2" xfId="20735" xr:uid="{00000000-0005-0000-0000-0000B6360000}"/>
    <cellStyle name="Comma 8 44" xfId="8216" xr:uid="{00000000-0005-0000-0000-0000B7360000}"/>
    <cellStyle name="Comma 8 45" xfId="8217" xr:uid="{00000000-0005-0000-0000-0000B8360000}"/>
    <cellStyle name="Comma 8 46" xfId="8218" xr:uid="{00000000-0005-0000-0000-0000B9360000}"/>
    <cellStyle name="Comma 8 47" xfId="8219" xr:uid="{00000000-0005-0000-0000-0000BA360000}"/>
    <cellStyle name="Comma 8 48" xfId="8220" xr:uid="{00000000-0005-0000-0000-0000BB360000}"/>
    <cellStyle name="Comma 8 49" xfId="8221" xr:uid="{00000000-0005-0000-0000-0000BC360000}"/>
    <cellStyle name="Comma 8 5" xfId="8222" xr:uid="{00000000-0005-0000-0000-0000BD360000}"/>
    <cellStyle name="Comma 8 5 10" xfId="27585" xr:uid="{00000000-0005-0000-0000-0000BE360000}"/>
    <cellStyle name="Comma 8 5 2" xfId="20736" xr:uid="{00000000-0005-0000-0000-0000BF360000}"/>
    <cellStyle name="Comma 8 5 2 2" xfId="27586" xr:uid="{00000000-0005-0000-0000-0000C0360000}"/>
    <cellStyle name="Comma 8 5 2 2 2" xfId="27587" xr:uid="{00000000-0005-0000-0000-0000C1360000}"/>
    <cellStyle name="Comma 8 5 2 2 2 2" xfId="27588" xr:uid="{00000000-0005-0000-0000-0000C2360000}"/>
    <cellStyle name="Comma 8 5 2 2 2 2 2" xfId="27589" xr:uid="{00000000-0005-0000-0000-0000C3360000}"/>
    <cellStyle name="Comma 8 5 2 2 2 2 2 2" xfId="27590" xr:uid="{00000000-0005-0000-0000-0000C4360000}"/>
    <cellStyle name="Comma 8 5 2 2 2 2 3" xfId="27591" xr:uid="{00000000-0005-0000-0000-0000C5360000}"/>
    <cellStyle name="Comma 8 5 2 2 2 3" xfId="27592" xr:uid="{00000000-0005-0000-0000-0000C6360000}"/>
    <cellStyle name="Comma 8 5 2 2 2 3 2" xfId="27593" xr:uid="{00000000-0005-0000-0000-0000C7360000}"/>
    <cellStyle name="Comma 8 5 2 2 2 4" xfId="27594" xr:uid="{00000000-0005-0000-0000-0000C8360000}"/>
    <cellStyle name="Comma 8 5 2 2 3" xfId="27595" xr:uid="{00000000-0005-0000-0000-0000C9360000}"/>
    <cellStyle name="Comma 8 5 2 2 3 2" xfId="27596" xr:uid="{00000000-0005-0000-0000-0000CA360000}"/>
    <cellStyle name="Comma 8 5 2 2 3 2 2" xfId="27597" xr:uid="{00000000-0005-0000-0000-0000CB360000}"/>
    <cellStyle name="Comma 8 5 2 2 3 2 2 2" xfId="27598" xr:uid="{00000000-0005-0000-0000-0000CC360000}"/>
    <cellStyle name="Comma 8 5 2 2 3 2 3" xfId="27599" xr:uid="{00000000-0005-0000-0000-0000CD360000}"/>
    <cellStyle name="Comma 8 5 2 2 3 3" xfId="27600" xr:uid="{00000000-0005-0000-0000-0000CE360000}"/>
    <cellStyle name="Comma 8 5 2 2 3 3 2" xfId="27601" xr:uid="{00000000-0005-0000-0000-0000CF360000}"/>
    <cellStyle name="Comma 8 5 2 2 3 4" xfId="27602" xr:uid="{00000000-0005-0000-0000-0000D0360000}"/>
    <cellStyle name="Comma 8 5 2 2 4" xfId="27603" xr:uid="{00000000-0005-0000-0000-0000D1360000}"/>
    <cellStyle name="Comma 8 5 2 2 4 2" xfId="27604" xr:uid="{00000000-0005-0000-0000-0000D2360000}"/>
    <cellStyle name="Comma 8 5 2 2 4 2 2" xfId="27605" xr:uid="{00000000-0005-0000-0000-0000D3360000}"/>
    <cellStyle name="Comma 8 5 2 2 4 3" xfId="27606" xr:uid="{00000000-0005-0000-0000-0000D4360000}"/>
    <cellStyle name="Comma 8 5 2 2 5" xfId="27607" xr:uid="{00000000-0005-0000-0000-0000D5360000}"/>
    <cellStyle name="Comma 8 5 2 2 5 2" xfId="27608" xr:uid="{00000000-0005-0000-0000-0000D6360000}"/>
    <cellStyle name="Comma 8 5 2 2 6" xfId="27609" xr:uid="{00000000-0005-0000-0000-0000D7360000}"/>
    <cellStyle name="Comma 8 5 2 3" xfId="27610" xr:uid="{00000000-0005-0000-0000-0000D8360000}"/>
    <cellStyle name="Comma 8 5 2 3 2" xfId="27611" xr:uid="{00000000-0005-0000-0000-0000D9360000}"/>
    <cellStyle name="Comma 8 5 2 3 2 2" xfId="27612" xr:uid="{00000000-0005-0000-0000-0000DA360000}"/>
    <cellStyle name="Comma 8 5 2 3 2 2 2" xfId="27613" xr:uid="{00000000-0005-0000-0000-0000DB360000}"/>
    <cellStyle name="Comma 8 5 2 3 2 2 2 2" xfId="27614" xr:uid="{00000000-0005-0000-0000-0000DC360000}"/>
    <cellStyle name="Comma 8 5 2 3 2 2 3" xfId="27615" xr:uid="{00000000-0005-0000-0000-0000DD360000}"/>
    <cellStyle name="Comma 8 5 2 3 2 3" xfId="27616" xr:uid="{00000000-0005-0000-0000-0000DE360000}"/>
    <cellStyle name="Comma 8 5 2 3 2 3 2" xfId="27617" xr:uid="{00000000-0005-0000-0000-0000DF360000}"/>
    <cellStyle name="Comma 8 5 2 3 2 4" xfId="27618" xr:uid="{00000000-0005-0000-0000-0000E0360000}"/>
    <cellStyle name="Comma 8 5 2 3 3" xfId="27619" xr:uid="{00000000-0005-0000-0000-0000E1360000}"/>
    <cellStyle name="Comma 8 5 2 3 3 2" xfId="27620" xr:uid="{00000000-0005-0000-0000-0000E2360000}"/>
    <cellStyle name="Comma 8 5 2 3 3 2 2" xfId="27621" xr:uid="{00000000-0005-0000-0000-0000E3360000}"/>
    <cellStyle name="Comma 8 5 2 3 3 3" xfId="27622" xr:uid="{00000000-0005-0000-0000-0000E4360000}"/>
    <cellStyle name="Comma 8 5 2 3 4" xfId="27623" xr:uid="{00000000-0005-0000-0000-0000E5360000}"/>
    <cellStyle name="Comma 8 5 2 3 4 2" xfId="27624" xr:uid="{00000000-0005-0000-0000-0000E6360000}"/>
    <cellStyle name="Comma 8 5 2 3 5" xfId="27625" xr:uid="{00000000-0005-0000-0000-0000E7360000}"/>
    <cellStyle name="Comma 8 5 2 4" xfId="27626" xr:uid="{00000000-0005-0000-0000-0000E8360000}"/>
    <cellStyle name="Comma 8 5 2 4 2" xfId="27627" xr:uid="{00000000-0005-0000-0000-0000E9360000}"/>
    <cellStyle name="Comma 8 5 2 4 2 2" xfId="27628" xr:uid="{00000000-0005-0000-0000-0000EA360000}"/>
    <cellStyle name="Comma 8 5 2 4 2 2 2" xfId="27629" xr:uid="{00000000-0005-0000-0000-0000EB360000}"/>
    <cellStyle name="Comma 8 5 2 4 2 3" xfId="27630" xr:uid="{00000000-0005-0000-0000-0000EC360000}"/>
    <cellStyle name="Comma 8 5 2 4 3" xfId="27631" xr:uid="{00000000-0005-0000-0000-0000ED360000}"/>
    <cellStyle name="Comma 8 5 2 4 3 2" xfId="27632" xr:uid="{00000000-0005-0000-0000-0000EE360000}"/>
    <cellStyle name="Comma 8 5 2 4 4" xfId="27633" xr:uid="{00000000-0005-0000-0000-0000EF360000}"/>
    <cellStyle name="Comma 8 5 2 5" xfId="27634" xr:uid="{00000000-0005-0000-0000-0000F0360000}"/>
    <cellStyle name="Comma 8 5 2 5 2" xfId="27635" xr:uid="{00000000-0005-0000-0000-0000F1360000}"/>
    <cellStyle name="Comma 8 5 2 5 2 2" xfId="27636" xr:uid="{00000000-0005-0000-0000-0000F2360000}"/>
    <cellStyle name="Comma 8 5 2 5 2 2 2" xfId="27637" xr:uid="{00000000-0005-0000-0000-0000F3360000}"/>
    <cellStyle name="Comma 8 5 2 5 2 3" xfId="27638" xr:uid="{00000000-0005-0000-0000-0000F4360000}"/>
    <cellStyle name="Comma 8 5 2 5 3" xfId="27639" xr:uid="{00000000-0005-0000-0000-0000F5360000}"/>
    <cellStyle name="Comma 8 5 2 5 3 2" xfId="27640" xr:uid="{00000000-0005-0000-0000-0000F6360000}"/>
    <cellStyle name="Comma 8 5 2 5 4" xfId="27641" xr:uid="{00000000-0005-0000-0000-0000F7360000}"/>
    <cellStyle name="Comma 8 5 2 6" xfId="27642" xr:uid="{00000000-0005-0000-0000-0000F8360000}"/>
    <cellStyle name="Comma 8 5 2 6 2" xfId="27643" xr:uid="{00000000-0005-0000-0000-0000F9360000}"/>
    <cellStyle name="Comma 8 5 2 6 2 2" xfId="27644" xr:uid="{00000000-0005-0000-0000-0000FA360000}"/>
    <cellStyle name="Comma 8 5 2 6 3" xfId="27645" xr:uid="{00000000-0005-0000-0000-0000FB360000}"/>
    <cellStyle name="Comma 8 5 2 7" xfId="27646" xr:uid="{00000000-0005-0000-0000-0000FC360000}"/>
    <cellStyle name="Comma 8 5 2 7 2" xfId="27647" xr:uid="{00000000-0005-0000-0000-0000FD360000}"/>
    <cellStyle name="Comma 8 5 2 8" xfId="27648" xr:uid="{00000000-0005-0000-0000-0000FE360000}"/>
    <cellStyle name="Comma 8 5 3" xfId="27649" xr:uid="{00000000-0005-0000-0000-0000FF360000}"/>
    <cellStyle name="Comma 8 5 3 2" xfId="27650" xr:uid="{00000000-0005-0000-0000-000000370000}"/>
    <cellStyle name="Comma 8 5 3 2 2" xfId="27651" xr:uid="{00000000-0005-0000-0000-000001370000}"/>
    <cellStyle name="Comma 8 5 3 2 2 2" xfId="27652" xr:uid="{00000000-0005-0000-0000-000002370000}"/>
    <cellStyle name="Comma 8 5 3 2 2 2 2" xfId="27653" xr:uid="{00000000-0005-0000-0000-000003370000}"/>
    <cellStyle name="Comma 8 5 3 2 2 3" xfId="27654" xr:uid="{00000000-0005-0000-0000-000004370000}"/>
    <cellStyle name="Comma 8 5 3 2 3" xfId="27655" xr:uid="{00000000-0005-0000-0000-000005370000}"/>
    <cellStyle name="Comma 8 5 3 2 3 2" xfId="27656" xr:uid="{00000000-0005-0000-0000-000006370000}"/>
    <cellStyle name="Comma 8 5 3 2 4" xfId="27657" xr:uid="{00000000-0005-0000-0000-000007370000}"/>
    <cellStyle name="Comma 8 5 3 3" xfId="27658" xr:uid="{00000000-0005-0000-0000-000008370000}"/>
    <cellStyle name="Comma 8 5 3 3 2" xfId="27659" xr:uid="{00000000-0005-0000-0000-000009370000}"/>
    <cellStyle name="Comma 8 5 3 3 2 2" xfId="27660" xr:uid="{00000000-0005-0000-0000-00000A370000}"/>
    <cellStyle name="Comma 8 5 3 3 2 2 2" xfId="27661" xr:uid="{00000000-0005-0000-0000-00000B370000}"/>
    <cellStyle name="Comma 8 5 3 3 2 3" xfId="27662" xr:uid="{00000000-0005-0000-0000-00000C370000}"/>
    <cellStyle name="Comma 8 5 3 3 3" xfId="27663" xr:uid="{00000000-0005-0000-0000-00000D370000}"/>
    <cellStyle name="Comma 8 5 3 3 3 2" xfId="27664" xr:uid="{00000000-0005-0000-0000-00000E370000}"/>
    <cellStyle name="Comma 8 5 3 3 4" xfId="27665" xr:uid="{00000000-0005-0000-0000-00000F370000}"/>
    <cellStyle name="Comma 8 5 3 4" xfId="27666" xr:uid="{00000000-0005-0000-0000-000010370000}"/>
    <cellStyle name="Comma 8 5 3 4 2" xfId="27667" xr:uid="{00000000-0005-0000-0000-000011370000}"/>
    <cellStyle name="Comma 8 5 3 4 2 2" xfId="27668" xr:uid="{00000000-0005-0000-0000-000012370000}"/>
    <cellStyle name="Comma 8 5 3 4 3" xfId="27669" xr:uid="{00000000-0005-0000-0000-000013370000}"/>
    <cellStyle name="Comma 8 5 3 5" xfId="27670" xr:uid="{00000000-0005-0000-0000-000014370000}"/>
    <cellStyle name="Comma 8 5 3 5 2" xfId="27671" xr:uid="{00000000-0005-0000-0000-000015370000}"/>
    <cellStyle name="Comma 8 5 3 6" xfId="27672" xr:uid="{00000000-0005-0000-0000-000016370000}"/>
    <cellStyle name="Comma 8 5 4" xfId="27673" xr:uid="{00000000-0005-0000-0000-000017370000}"/>
    <cellStyle name="Comma 8 5 4 2" xfId="27674" xr:uid="{00000000-0005-0000-0000-000018370000}"/>
    <cellStyle name="Comma 8 5 4 2 2" xfId="27675" xr:uid="{00000000-0005-0000-0000-000019370000}"/>
    <cellStyle name="Comma 8 5 4 2 2 2" xfId="27676" xr:uid="{00000000-0005-0000-0000-00001A370000}"/>
    <cellStyle name="Comma 8 5 4 2 2 2 2" xfId="27677" xr:uid="{00000000-0005-0000-0000-00001B370000}"/>
    <cellStyle name="Comma 8 5 4 2 2 3" xfId="27678" xr:uid="{00000000-0005-0000-0000-00001C370000}"/>
    <cellStyle name="Comma 8 5 4 2 3" xfId="27679" xr:uid="{00000000-0005-0000-0000-00001D370000}"/>
    <cellStyle name="Comma 8 5 4 2 3 2" xfId="27680" xr:uid="{00000000-0005-0000-0000-00001E370000}"/>
    <cellStyle name="Comma 8 5 4 2 4" xfId="27681" xr:uid="{00000000-0005-0000-0000-00001F370000}"/>
    <cellStyle name="Comma 8 5 4 3" xfId="27682" xr:uid="{00000000-0005-0000-0000-000020370000}"/>
    <cellStyle name="Comma 8 5 4 3 2" xfId="27683" xr:uid="{00000000-0005-0000-0000-000021370000}"/>
    <cellStyle name="Comma 8 5 4 3 2 2" xfId="27684" xr:uid="{00000000-0005-0000-0000-000022370000}"/>
    <cellStyle name="Comma 8 5 4 3 3" xfId="27685" xr:uid="{00000000-0005-0000-0000-000023370000}"/>
    <cellStyle name="Comma 8 5 4 4" xfId="27686" xr:uid="{00000000-0005-0000-0000-000024370000}"/>
    <cellStyle name="Comma 8 5 4 4 2" xfId="27687" xr:uid="{00000000-0005-0000-0000-000025370000}"/>
    <cellStyle name="Comma 8 5 4 5" xfId="27688" xr:uid="{00000000-0005-0000-0000-000026370000}"/>
    <cellStyle name="Comma 8 5 5" xfId="27689" xr:uid="{00000000-0005-0000-0000-000027370000}"/>
    <cellStyle name="Comma 8 5 5 2" xfId="27690" xr:uid="{00000000-0005-0000-0000-000028370000}"/>
    <cellStyle name="Comma 8 5 5 2 2" xfId="27691" xr:uid="{00000000-0005-0000-0000-000029370000}"/>
    <cellStyle name="Comma 8 5 5 2 2 2" xfId="27692" xr:uid="{00000000-0005-0000-0000-00002A370000}"/>
    <cellStyle name="Comma 8 5 5 2 3" xfId="27693" xr:uid="{00000000-0005-0000-0000-00002B370000}"/>
    <cellStyle name="Comma 8 5 5 3" xfId="27694" xr:uid="{00000000-0005-0000-0000-00002C370000}"/>
    <cellStyle name="Comma 8 5 5 3 2" xfId="27695" xr:uid="{00000000-0005-0000-0000-00002D370000}"/>
    <cellStyle name="Comma 8 5 5 4" xfId="27696" xr:uid="{00000000-0005-0000-0000-00002E370000}"/>
    <cellStyle name="Comma 8 5 6" xfId="27697" xr:uid="{00000000-0005-0000-0000-00002F370000}"/>
    <cellStyle name="Comma 8 5 6 2" xfId="27698" xr:uid="{00000000-0005-0000-0000-000030370000}"/>
    <cellStyle name="Comma 8 5 6 2 2" xfId="27699" xr:uid="{00000000-0005-0000-0000-000031370000}"/>
    <cellStyle name="Comma 8 5 6 2 2 2" xfId="27700" xr:uid="{00000000-0005-0000-0000-000032370000}"/>
    <cellStyle name="Comma 8 5 6 2 3" xfId="27701" xr:uid="{00000000-0005-0000-0000-000033370000}"/>
    <cellStyle name="Comma 8 5 6 3" xfId="27702" xr:uid="{00000000-0005-0000-0000-000034370000}"/>
    <cellStyle name="Comma 8 5 6 3 2" xfId="27703" xr:uid="{00000000-0005-0000-0000-000035370000}"/>
    <cellStyle name="Comma 8 5 6 4" xfId="27704" xr:uid="{00000000-0005-0000-0000-000036370000}"/>
    <cellStyle name="Comma 8 5 7" xfId="27705" xr:uid="{00000000-0005-0000-0000-000037370000}"/>
    <cellStyle name="Comma 8 5 7 2" xfId="27706" xr:uid="{00000000-0005-0000-0000-000038370000}"/>
    <cellStyle name="Comma 8 5 7 2 2" xfId="27707" xr:uid="{00000000-0005-0000-0000-000039370000}"/>
    <cellStyle name="Comma 8 5 7 2 2 2" xfId="27708" xr:uid="{00000000-0005-0000-0000-00003A370000}"/>
    <cellStyle name="Comma 8 5 7 2 3" xfId="27709" xr:uid="{00000000-0005-0000-0000-00003B370000}"/>
    <cellStyle name="Comma 8 5 7 3" xfId="27710" xr:uid="{00000000-0005-0000-0000-00003C370000}"/>
    <cellStyle name="Comma 8 5 7 3 2" xfId="27711" xr:uid="{00000000-0005-0000-0000-00003D370000}"/>
    <cellStyle name="Comma 8 5 7 4" xfId="27712" xr:uid="{00000000-0005-0000-0000-00003E370000}"/>
    <cellStyle name="Comma 8 5 8" xfId="27713" xr:uid="{00000000-0005-0000-0000-00003F370000}"/>
    <cellStyle name="Comma 8 5 8 2" xfId="27714" xr:uid="{00000000-0005-0000-0000-000040370000}"/>
    <cellStyle name="Comma 8 5 8 2 2" xfId="27715" xr:uid="{00000000-0005-0000-0000-000041370000}"/>
    <cellStyle name="Comma 8 5 8 3" xfId="27716" xr:uid="{00000000-0005-0000-0000-000042370000}"/>
    <cellStyle name="Comma 8 5 9" xfId="27717" xr:uid="{00000000-0005-0000-0000-000043370000}"/>
    <cellStyle name="Comma 8 5 9 2" xfId="27718" xr:uid="{00000000-0005-0000-0000-000044370000}"/>
    <cellStyle name="Comma 8 50" xfId="8223" xr:uid="{00000000-0005-0000-0000-000045370000}"/>
    <cellStyle name="Comma 8 51" xfId="8224" xr:uid="{00000000-0005-0000-0000-000046370000}"/>
    <cellStyle name="Comma 8 52" xfId="8225" xr:uid="{00000000-0005-0000-0000-000047370000}"/>
    <cellStyle name="Comma 8 53" xfId="8226" xr:uid="{00000000-0005-0000-0000-000048370000}"/>
    <cellStyle name="Comma 8 54" xfId="8227" xr:uid="{00000000-0005-0000-0000-000049370000}"/>
    <cellStyle name="Comma 8 55" xfId="8228" xr:uid="{00000000-0005-0000-0000-00004A370000}"/>
    <cellStyle name="Comma 8 6" xfId="8229" xr:uid="{00000000-0005-0000-0000-00004B370000}"/>
    <cellStyle name="Comma 8 6 2" xfId="20737" xr:uid="{00000000-0005-0000-0000-00004C370000}"/>
    <cellStyle name="Comma 8 6 2 2" xfId="27719" xr:uid="{00000000-0005-0000-0000-00004D370000}"/>
    <cellStyle name="Comma 8 6 2 2 2" xfId="27720" xr:uid="{00000000-0005-0000-0000-00004E370000}"/>
    <cellStyle name="Comma 8 6 2 2 2 2" xfId="27721" xr:uid="{00000000-0005-0000-0000-00004F370000}"/>
    <cellStyle name="Comma 8 6 2 2 2 2 2" xfId="27722" xr:uid="{00000000-0005-0000-0000-000050370000}"/>
    <cellStyle name="Comma 8 6 2 2 2 3" xfId="27723" xr:uid="{00000000-0005-0000-0000-000051370000}"/>
    <cellStyle name="Comma 8 6 2 2 3" xfId="27724" xr:uid="{00000000-0005-0000-0000-000052370000}"/>
    <cellStyle name="Comma 8 6 2 2 3 2" xfId="27725" xr:uid="{00000000-0005-0000-0000-000053370000}"/>
    <cellStyle name="Comma 8 6 2 2 4" xfId="27726" xr:uid="{00000000-0005-0000-0000-000054370000}"/>
    <cellStyle name="Comma 8 6 2 3" xfId="27727" xr:uid="{00000000-0005-0000-0000-000055370000}"/>
    <cellStyle name="Comma 8 6 2 3 2" xfId="27728" xr:uid="{00000000-0005-0000-0000-000056370000}"/>
    <cellStyle name="Comma 8 6 2 3 2 2" xfId="27729" xr:uid="{00000000-0005-0000-0000-000057370000}"/>
    <cellStyle name="Comma 8 6 2 3 2 2 2" xfId="27730" xr:uid="{00000000-0005-0000-0000-000058370000}"/>
    <cellStyle name="Comma 8 6 2 3 2 3" xfId="27731" xr:uid="{00000000-0005-0000-0000-000059370000}"/>
    <cellStyle name="Comma 8 6 2 3 3" xfId="27732" xr:uid="{00000000-0005-0000-0000-00005A370000}"/>
    <cellStyle name="Comma 8 6 2 3 3 2" xfId="27733" xr:uid="{00000000-0005-0000-0000-00005B370000}"/>
    <cellStyle name="Comma 8 6 2 3 4" xfId="27734" xr:uid="{00000000-0005-0000-0000-00005C370000}"/>
    <cellStyle name="Comma 8 6 2 4" xfId="27735" xr:uid="{00000000-0005-0000-0000-00005D370000}"/>
    <cellStyle name="Comma 8 6 2 4 2" xfId="27736" xr:uid="{00000000-0005-0000-0000-00005E370000}"/>
    <cellStyle name="Comma 8 6 2 4 2 2" xfId="27737" xr:uid="{00000000-0005-0000-0000-00005F370000}"/>
    <cellStyle name="Comma 8 6 2 4 3" xfId="27738" xr:uid="{00000000-0005-0000-0000-000060370000}"/>
    <cellStyle name="Comma 8 6 2 5" xfId="27739" xr:uid="{00000000-0005-0000-0000-000061370000}"/>
    <cellStyle name="Comma 8 6 2 5 2" xfId="27740" xr:uid="{00000000-0005-0000-0000-000062370000}"/>
    <cellStyle name="Comma 8 6 2 6" xfId="27741" xr:uid="{00000000-0005-0000-0000-000063370000}"/>
    <cellStyle name="Comma 8 6 3" xfId="27742" xr:uid="{00000000-0005-0000-0000-000064370000}"/>
    <cellStyle name="Comma 8 6 3 2" xfId="27743" xr:uid="{00000000-0005-0000-0000-000065370000}"/>
    <cellStyle name="Comma 8 6 3 2 2" xfId="27744" xr:uid="{00000000-0005-0000-0000-000066370000}"/>
    <cellStyle name="Comma 8 6 3 2 2 2" xfId="27745" xr:uid="{00000000-0005-0000-0000-000067370000}"/>
    <cellStyle name="Comma 8 6 3 2 2 2 2" xfId="27746" xr:uid="{00000000-0005-0000-0000-000068370000}"/>
    <cellStyle name="Comma 8 6 3 2 2 3" xfId="27747" xr:uid="{00000000-0005-0000-0000-000069370000}"/>
    <cellStyle name="Comma 8 6 3 2 3" xfId="27748" xr:uid="{00000000-0005-0000-0000-00006A370000}"/>
    <cellStyle name="Comma 8 6 3 2 3 2" xfId="27749" xr:uid="{00000000-0005-0000-0000-00006B370000}"/>
    <cellStyle name="Comma 8 6 3 2 4" xfId="27750" xr:uid="{00000000-0005-0000-0000-00006C370000}"/>
    <cellStyle name="Comma 8 6 3 3" xfId="27751" xr:uid="{00000000-0005-0000-0000-00006D370000}"/>
    <cellStyle name="Comma 8 6 3 3 2" xfId="27752" xr:uid="{00000000-0005-0000-0000-00006E370000}"/>
    <cellStyle name="Comma 8 6 3 3 2 2" xfId="27753" xr:uid="{00000000-0005-0000-0000-00006F370000}"/>
    <cellStyle name="Comma 8 6 3 3 3" xfId="27754" xr:uid="{00000000-0005-0000-0000-000070370000}"/>
    <cellStyle name="Comma 8 6 3 4" xfId="27755" xr:uid="{00000000-0005-0000-0000-000071370000}"/>
    <cellStyle name="Comma 8 6 3 4 2" xfId="27756" xr:uid="{00000000-0005-0000-0000-000072370000}"/>
    <cellStyle name="Comma 8 6 3 5" xfId="27757" xr:uid="{00000000-0005-0000-0000-000073370000}"/>
    <cellStyle name="Comma 8 6 4" xfId="27758" xr:uid="{00000000-0005-0000-0000-000074370000}"/>
    <cellStyle name="Comma 8 6 4 2" xfId="27759" xr:uid="{00000000-0005-0000-0000-000075370000}"/>
    <cellStyle name="Comma 8 6 4 2 2" xfId="27760" xr:uid="{00000000-0005-0000-0000-000076370000}"/>
    <cellStyle name="Comma 8 6 4 2 2 2" xfId="27761" xr:uid="{00000000-0005-0000-0000-000077370000}"/>
    <cellStyle name="Comma 8 6 4 2 3" xfId="27762" xr:uid="{00000000-0005-0000-0000-000078370000}"/>
    <cellStyle name="Comma 8 6 4 3" xfId="27763" xr:uid="{00000000-0005-0000-0000-000079370000}"/>
    <cellStyle name="Comma 8 6 4 3 2" xfId="27764" xr:uid="{00000000-0005-0000-0000-00007A370000}"/>
    <cellStyle name="Comma 8 6 4 4" xfId="27765" xr:uid="{00000000-0005-0000-0000-00007B370000}"/>
    <cellStyle name="Comma 8 6 5" xfId="27766" xr:uid="{00000000-0005-0000-0000-00007C370000}"/>
    <cellStyle name="Comma 8 6 5 2" xfId="27767" xr:uid="{00000000-0005-0000-0000-00007D370000}"/>
    <cellStyle name="Comma 8 6 5 2 2" xfId="27768" xr:uid="{00000000-0005-0000-0000-00007E370000}"/>
    <cellStyle name="Comma 8 6 5 2 2 2" xfId="27769" xr:uid="{00000000-0005-0000-0000-00007F370000}"/>
    <cellStyle name="Comma 8 6 5 2 3" xfId="27770" xr:uid="{00000000-0005-0000-0000-000080370000}"/>
    <cellStyle name="Comma 8 6 5 3" xfId="27771" xr:uid="{00000000-0005-0000-0000-000081370000}"/>
    <cellStyle name="Comma 8 6 5 3 2" xfId="27772" xr:uid="{00000000-0005-0000-0000-000082370000}"/>
    <cellStyle name="Comma 8 6 5 4" xfId="27773" xr:uid="{00000000-0005-0000-0000-000083370000}"/>
    <cellStyle name="Comma 8 6 6" xfId="27774" xr:uid="{00000000-0005-0000-0000-000084370000}"/>
    <cellStyle name="Comma 8 6 6 2" xfId="27775" xr:uid="{00000000-0005-0000-0000-000085370000}"/>
    <cellStyle name="Comma 8 6 6 2 2" xfId="27776" xr:uid="{00000000-0005-0000-0000-000086370000}"/>
    <cellStyle name="Comma 8 6 6 3" xfId="27777" xr:uid="{00000000-0005-0000-0000-000087370000}"/>
    <cellStyle name="Comma 8 6 7" xfId="27778" xr:uid="{00000000-0005-0000-0000-000088370000}"/>
    <cellStyle name="Comma 8 6 7 2" xfId="27779" xr:uid="{00000000-0005-0000-0000-000089370000}"/>
    <cellStyle name="Comma 8 6 8" xfId="27780" xr:uid="{00000000-0005-0000-0000-00008A370000}"/>
    <cellStyle name="Comma 8 7" xfId="8230" xr:uid="{00000000-0005-0000-0000-00008B370000}"/>
    <cellStyle name="Comma 8 7 2" xfId="20738" xr:uid="{00000000-0005-0000-0000-00008C370000}"/>
    <cellStyle name="Comma 8 7 2 2" xfId="27781" xr:uid="{00000000-0005-0000-0000-00008D370000}"/>
    <cellStyle name="Comma 8 7 2 2 2" xfId="27782" xr:uid="{00000000-0005-0000-0000-00008E370000}"/>
    <cellStyle name="Comma 8 7 2 2 2 2" xfId="27783" xr:uid="{00000000-0005-0000-0000-00008F370000}"/>
    <cellStyle name="Comma 8 7 2 2 2 2 2" xfId="27784" xr:uid="{00000000-0005-0000-0000-000090370000}"/>
    <cellStyle name="Comma 8 7 2 2 2 3" xfId="27785" xr:uid="{00000000-0005-0000-0000-000091370000}"/>
    <cellStyle name="Comma 8 7 2 2 3" xfId="27786" xr:uid="{00000000-0005-0000-0000-000092370000}"/>
    <cellStyle name="Comma 8 7 2 2 3 2" xfId="27787" xr:uid="{00000000-0005-0000-0000-000093370000}"/>
    <cellStyle name="Comma 8 7 2 2 4" xfId="27788" xr:uid="{00000000-0005-0000-0000-000094370000}"/>
    <cellStyle name="Comma 8 7 2 3" xfId="27789" xr:uid="{00000000-0005-0000-0000-000095370000}"/>
    <cellStyle name="Comma 8 7 2 3 2" xfId="27790" xr:uid="{00000000-0005-0000-0000-000096370000}"/>
    <cellStyle name="Comma 8 7 2 3 2 2" xfId="27791" xr:uid="{00000000-0005-0000-0000-000097370000}"/>
    <cellStyle name="Comma 8 7 2 3 2 2 2" xfId="27792" xr:uid="{00000000-0005-0000-0000-000098370000}"/>
    <cellStyle name="Comma 8 7 2 3 2 3" xfId="27793" xr:uid="{00000000-0005-0000-0000-000099370000}"/>
    <cellStyle name="Comma 8 7 2 3 3" xfId="27794" xr:uid="{00000000-0005-0000-0000-00009A370000}"/>
    <cellStyle name="Comma 8 7 2 3 3 2" xfId="27795" xr:uid="{00000000-0005-0000-0000-00009B370000}"/>
    <cellStyle name="Comma 8 7 2 3 4" xfId="27796" xr:uid="{00000000-0005-0000-0000-00009C370000}"/>
    <cellStyle name="Comma 8 7 2 4" xfId="27797" xr:uid="{00000000-0005-0000-0000-00009D370000}"/>
    <cellStyle name="Comma 8 7 2 4 2" xfId="27798" xr:uid="{00000000-0005-0000-0000-00009E370000}"/>
    <cellStyle name="Comma 8 7 2 4 2 2" xfId="27799" xr:uid="{00000000-0005-0000-0000-00009F370000}"/>
    <cellStyle name="Comma 8 7 2 4 3" xfId="27800" xr:uid="{00000000-0005-0000-0000-0000A0370000}"/>
    <cellStyle name="Comma 8 7 2 5" xfId="27801" xr:uid="{00000000-0005-0000-0000-0000A1370000}"/>
    <cellStyle name="Comma 8 7 2 5 2" xfId="27802" xr:uid="{00000000-0005-0000-0000-0000A2370000}"/>
    <cellStyle name="Comma 8 7 2 6" xfId="27803" xr:uid="{00000000-0005-0000-0000-0000A3370000}"/>
    <cellStyle name="Comma 8 7 3" xfId="27804" xr:uid="{00000000-0005-0000-0000-0000A4370000}"/>
    <cellStyle name="Comma 8 7 3 2" xfId="27805" xr:uid="{00000000-0005-0000-0000-0000A5370000}"/>
    <cellStyle name="Comma 8 7 3 2 2" xfId="27806" xr:uid="{00000000-0005-0000-0000-0000A6370000}"/>
    <cellStyle name="Comma 8 7 3 2 2 2" xfId="27807" xr:uid="{00000000-0005-0000-0000-0000A7370000}"/>
    <cellStyle name="Comma 8 7 3 2 2 2 2" xfId="27808" xr:uid="{00000000-0005-0000-0000-0000A8370000}"/>
    <cellStyle name="Comma 8 7 3 2 2 3" xfId="27809" xr:uid="{00000000-0005-0000-0000-0000A9370000}"/>
    <cellStyle name="Comma 8 7 3 2 3" xfId="27810" xr:uid="{00000000-0005-0000-0000-0000AA370000}"/>
    <cellStyle name="Comma 8 7 3 2 3 2" xfId="27811" xr:uid="{00000000-0005-0000-0000-0000AB370000}"/>
    <cellStyle name="Comma 8 7 3 2 4" xfId="27812" xr:uid="{00000000-0005-0000-0000-0000AC370000}"/>
    <cellStyle name="Comma 8 7 3 3" xfId="27813" xr:uid="{00000000-0005-0000-0000-0000AD370000}"/>
    <cellStyle name="Comma 8 7 3 3 2" xfId="27814" xr:uid="{00000000-0005-0000-0000-0000AE370000}"/>
    <cellStyle name="Comma 8 7 3 3 2 2" xfId="27815" xr:uid="{00000000-0005-0000-0000-0000AF370000}"/>
    <cellStyle name="Comma 8 7 3 3 3" xfId="27816" xr:uid="{00000000-0005-0000-0000-0000B0370000}"/>
    <cellStyle name="Comma 8 7 3 4" xfId="27817" xr:uid="{00000000-0005-0000-0000-0000B1370000}"/>
    <cellStyle name="Comma 8 7 3 4 2" xfId="27818" xr:uid="{00000000-0005-0000-0000-0000B2370000}"/>
    <cellStyle name="Comma 8 7 3 5" xfId="27819" xr:uid="{00000000-0005-0000-0000-0000B3370000}"/>
    <cellStyle name="Comma 8 7 4" xfId="27820" xr:uid="{00000000-0005-0000-0000-0000B4370000}"/>
    <cellStyle name="Comma 8 7 4 2" xfId="27821" xr:uid="{00000000-0005-0000-0000-0000B5370000}"/>
    <cellStyle name="Comma 8 7 4 2 2" xfId="27822" xr:uid="{00000000-0005-0000-0000-0000B6370000}"/>
    <cellStyle name="Comma 8 7 4 2 2 2" xfId="27823" xr:uid="{00000000-0005-0000-0000-0000B7370000}"/>
    <cellStyle name="Comma 8 7 4 2 3" xfId="27824" xr:uid="{00000000-0005-0000-0000-0000B8370000}"/>
    <cellStyle name="Comma 8 7 4 3" xfId="27825" xr:uid="{00000000-0005-0000-0000-0000B9370000}"/>
    <cellStyle name="Comma 8 7 4 3 2" xfId="27826" xr:uid="{00000000-0005-0000-0000-0000BA370000}"/>
    <cellStyle name="Comma 8 7 4 4" xfId="27827" xr:uid="{00000000-0005-0000-0000-0000BB370000}"/>
    <cellStyle name="Comma 8 7 5" xfId="27828" xr:uid="{00000000-0005-0000-0000-0000BC370000}"/>
    <cellStyle name="Comma 8 7 5 2" xfId="27829" xr:uid="{00000000-0005-0000-0000-0000BD370000}"/>
    <cellStyle name="Comma 8 7 5 2 2" xfId="27830" xr:uid="{00000000-0005-0000-0000-0000BE370000}"/>
    <cellStyle name="Comma 8 7 5 2 2 2" xfId="27831" xr:uid="{00000000-0005-0000-0000-0000BF370000}"/>
    <cellStyle name="Comma 8 7 5 2 3" xfId="27832" xr:uid="{00000000-0005-0000-0000-0000C0370000}"/>
    <cellStyle name="Comma 8 7 5 3" xfId="27833" xr:uid="{00000000-0005-0000-0000-0000C1370000}"/>
    <cellStyle name="Comma 8 7 5 3 2" xfId="27834" xr:uid="{00000000-0005-0000-0000-0000C2370000}"/>
    <cellStyle name="Comma 8 7 5 4" xfId="27835" xr:uid="{00000000-0005-0000-0000-0000C3370000}"/>
    <cellStyle name="Comma 8 7 6" xfId="27836" xr:uid="{00000000-0005-0000-0000-0000C4370000}"/>
    <cellStyle name="Comma 8 7 6 2" xfId="27837" xr:uid="{00000000-0005-0000-0000-0000C5370000}"/>
    <cellStyle name="Comma 8 7 6 2 2" xfId="27838" xr:uid="{00000000-0005-0000-0000-0000C6370000}"/>
    <cellStyle name="Comma 8 7 6 3" xfId="27839" xr:uid="{00000000-0005-0000-0000-0000C7370000}"/>
    <cellStyle name="Comma 8 7 7" xfId="27840" xr:uid="{00000000-0005-0000-0000-0000C8370000}"/>
    <cellStyle name="Comma 8 7 7 2" xfId="27841" xr:uid="{00000000-0005-0000-0000-0000C9370000}"/>
    <cellStyle name="Comma 8 7 8" xfId="27842" xr:uid="{00000000-0005-0000-0000-0000CA370000}"/>
    <cellStyle name="Comma 8 8" xfId="8231" xr:uid="{00000000-0005-0000-0000-0000CB370000}"/>
    <cellStyle name="Comma 8 8 2" xfId="20739" xr:uid="{00000000-0005-0000-0000-0000CC370000}"/>
    <cellStyle name="Comma 8 8 2 2" xfId="27843" xr:uid="{00000000-0005-0000-0000-0000CD370000}"/>
    <cellStyle name="Comma 8 8 2 2 2" xfId="27844" xr:uid="{00000000-0005-0000-0000-0000CE370000}"/>
    <cellStyle name="Comma 8 8 2 2 2 2" xfId="27845" xr:uid="{00000000-0005-0000-0000-0000CF370000}"/>
    <cellStyle name="Comma 8 8 2 2 3" xfId="27846" xr:uid="{00000000-0005-0000-0000-0000D0370000}"/>
    <cellStyle name="Comma 8 8 2 3" xfId="27847" xr:uid="{00000000-0005-0000-0000-0000D1370000}"/>
    <cellStyle name="Comma 8 8 2 3 2" xfId="27848" xr:uid="{00000000-0005-0000-0000-0000D2370000}"/>
    <cellStyle name="Comma 8 8 2 4" xfId="27849" xr:uid="{00000000-0005-0000-0000-0000D3370000}"/>
    <cellStyle name="Comma 8 8 3" xfId="27850" xr:uid="{00000000-0005-0000-0000-0000D4370000}"/>
    <cellStyle name="Comma 8 8 3 2" xfId="27851" xr:uid="{00000000-0005-0000-0000-0000D5370000}"/>
    <cellStyle name="Comma 8 8 3 2 2" xfId="27852" xr:uid="{00000000-0005-0000-0000-0000D6370000}"/>
    <cellStyle name="Comma 8 8 3 2 2 2" xfId="27853" xr:uid="{00000000-0005-0000-0000-0000D7370000}"/>
    <cellStyle name="Comma 8 8 3 2 3" xfId="27854" xr:uid="{00000000-0005-0000-0000-0000D8370000}"/>
    <cellStyle name="Comma 8 8 3 3" xfId="27855" xr:uid="{00000000-0005-0000-0000-0000D9370000}"/>
    <cellStyle name="Comma 8 8 3 3 2" xfId="27856" xr:uid="{00000000-0005-0000-0000-0000DA370000}"/>
    <cellStyle name="Comma 8 8 3 4" xfId="27857" xr:uid="{00000000-0005-0000-0000-0000DB370000}"/>
    <cellStyle name="Comma 8 8 4" xfId="27858" xr:uid="{00000000-0005-0000-0000-0000DC370000}"/>
    <cellStyle name="Comma 8 8 4 2" xfId="27859" xr:uid="{00000000-0005-0000-0000-0000DD370000}"/>
    <cellStyle name="Comma 8 8 4 2 2" xfId="27860" xr:uid="{00000000-0005-0000-0000-0000DE370000}"/>
    <cellStyle name="Comma 8 8 4 3" xfId="27861" xr:uid="{00000000-0005-0000-0000-0000DF370000}"/>
    <cellStyle name="Comma 8 8 5" xfId="27862" xr:uid="{00000000-0005-0000-0000-0000E0370000}"/>
    <cellStyle name="Comma 8 8 5 2" xfId="27863" xr:uid="{00000000-0005-0000-0000-0000E1370000}"/>
    <cellStyle name="Comma 8 8 6" xfId="27864" xr:uid="{00000000-0005-0000-0000-0000E2370000}"/>
    <cellStyle name="Comma 8 9" xfId="8232" xr:uid="{00000000-0005-0000-0000-0000E3370000}"/>
    <cellStyle name="Comma 8 9 2" xfId="20740" xr:uid="{00000000-0005-0000-0000-0000E4370000}"/>
    <cellStyle name="Comma 8 9 2 2" xfId="27865" xr:uid="{00000000-0005-0000-0000-0000E5370000}"/>
    <cellStyle name="Comma 8 9 2 2 2" xfId="27866" xr:uid="{00000000-0005-0000-0000-0000E6370000}"/>
    <cellStyle name="Comma 8 9 2 2 2 2" xfId="27867" xr:uid="{00000000-0005-0000-0000-0000E7370000}"/>
    <cellStyle name="Comma 8 9 2 2 3" xfId="27868" xr:uid="{00000000-0005-0000-0000-0000E8370000}"/>
    <cellStyle name="Comma 8 9 2 3" xfId="27869" xr:uid="{00000000-0005-0000-0000-0000E9370000}"/>
    <cellStyle name="Comma 8 9 2 3 2" xfId="27870" xr:uid="{00000000-0005-0000-0000-0000EA370000}"/>
    <cellStyle name="Comma 8 9 2 4" xfId="27871" xr:uid="{00000000-0005-0000-0000-0000EB370000}"/>
    <cellStyle name="Comma 8 9 3" xfId="27872" xr:uid="{00000000-0005-0000-0000-0000EC370000}"/>
    <cellStyle name="Comma 8 9 3 2" xfId="27873" xr:uid="{00000000-0005-0000-0000-0000ED370000}"/>
    <cellStyle name="Comma 8 9 3 2 2" xfId="27874" xr:uid="{00000000-0005-0000-0000-0000EE370000}"/>
    <cellStyle name="Comma 8 9 3 3" xfId="27875" xr:uid="{00000000-0005-0000-0000-0000EF370000}"/>
    <cellStyle name="Comma 8 9 4" xfId="27876" xr:uid="{00000000-0005-0000-0000-0000F0370000}"/>
    <cellStyle name="Comma 8 9 4 2" xfId="27877" xr:uid="{00000000-0005-0000-0000-0000F1370000}"/>
    <cellStyle name="Comma 8 9 5" xfId="27878" xr:uid="{00000000-0005-0000-0000-0000F2370000}"/>
    <cellStyle name="Comma 8_Book3" xfId="8233" xr:uid="{00000000-0005-0000-0000-0000F3370000}"/>
    <cellStyle name="Comma 80" xfId="8234" xr:uid="{00000000-0005-0000-0000-0000F4370000}"/>
    <cellStyle name="Comma 80 2" xfId="8235" xr:uid="{00000000-0005-0000-0000-0000F5370000}"/>
    <cellStyle name="Comma 81" xfId="8236" xr:uid="{00000000-0005-0000-0000-0000F6370000}"/>
    <cellStyle name="Comma 82" xfId="8237" xr:uid="{00000000-0005-0000-0000-0000F7370000}"/>
    <cellStyle name="Comma 82 2" xfId="8238" xr:uid="{00000000-0005-0000-0000-0000F8370000}"/>
    <cellStyle name="Comma 83" xfId="8239" xr:uid="{00000000-0005-0000-0000-0000F9370000}"/>
    <cellStyle name="Comma 84" xfId="8240" xr:uid="{00000000-0005-0000-0000-0000FA370000}"/>
    <cellStyle name="Comma 84 2" xfId="8241" xr:uid="{00000000-0005-0000-0000-0000FB370000}"/>
    <cellStyle name="Comma 85" xfId="8242" xr:uid="{00000000-0005-0000-0000-0000FC370000}"/>
    <cellStyle name="Comma 86" xfId="8243" xr:uid="{00000000-0005-0000-0000-0000FD370000}"/>
    <cellStyle name="Comma 86 2" xfId="8244" xr:uid="{00000000-0005-0000-0000-0000FE370000}"/>
    <cellStyle name="Comma 87" xfId="8245" xr:uid="{00000000-0005-0000-0000-0000FF370000}"/>
    <cellStyle name="Comma 88" xfId="8246" xr:uid="{00000000-0005-0000-0000-000000380000}"/>
    <cellStyle name="Comma 88 2" xfId="8247" xr:uid="{00000000-0005-0000-0000-000001380000}"/>
    <cellStyle name="Comma 89" xfId="8248" xr:uid="{00000000-0005-0000-0000-000002380000}"/>
    <cellStyle name="Comma 9" xfId="246" xr:uid="{00000000-0005-0000-0000-000003380000}"/>
    <cellStyle name="Comma 9 10" xfId="8249" xr:uid="{00000000-0005-0000-0000-000004380000}"/>
    <cellStyle name="Comma 9 11" xfId="8250" xr:uid="{00000000-0005-0000-0000-000005380000}"/>
    <cellStyle name="Comma 9 12" xfId="8251" xr:uid="{00000000-0005-0000-0000-000006380000}"/>
    <cellStyle name="Comma 9 13" xfId="8252" xr:uid="{00000000-0005-0000-0000-000007380000}"/>
    <cellStyle name="Comma 9 14" xfId="8253" xr:uid="{00000000-0005-0000-0000-000008380000}"/>
    <cellStyle name="Comma 9 15" xfId="8254" xr:uid="{00000000-0005-0000-0000-000009380000}"/>
    <cellStyle name="Comma 9 16" xfId="8255" xr:uid="{00000000-0005-0000-0000-00000A380000}"/>
    <cellStyle name="Comma 9 17" xfId="8256" xr:uid="{00000000-0005-0000-0000-00000B380000}"/>
    <cellStyle name="Comma 9 18" xfId="8257" xr:uid="{00000000-0005-0000-0000-00000C380000}"/>
    <cellStyle name="Comma 9 19" xfId="8258" xr:uid="{00000000-0005-0000-0000-00000D380000}"/>
    <cellStyle name="Comma 9 2" xfId="247" xr:uid="{00000000-0005-0000-0000-00000E380000}"/>
    <cellStyle name="Comma 9 20" xfId="8259" xr:uid="{00000000-0005-0000-0000-00000F380000}"/>
    <cellStyle name="Comma 9 21" xfId="8260" xr:uid="{00000000-0005-0000-0000-000010380000}"/>
    <cellStyle name="Comma 9 22" xfId="8261" xr:uid="{00000000-0005-0000-0000-000011380000}"/>
    <cellStyle name="Comma 9 23" xfId="8262" xr:uid="{00000000-0005-0000-0000-000012380000}"/>
    <cellStyle name="Comma 9 24" xfId="8263" xr:uid="{00000000-0005-0000-0000-000013380000}"/>
    <cellStyle name="Comma 9 25" xfId="8264" xr:uid="{00000000-0005-0000-0000-000014380000}"/>
    <cellStyle name="Comma 9 26" xfId="8265" xr:uid="{00000000-0005-0000-0000-000015380000}"/>
    <cellStyle name="Comma 9 27" xfId="8266" xr:uid="{00000000-0005-0000-0000-000016380000}"/>
    <cellStyle name="Comma 9 28" xfId="8267" xr:uid="{00000000-0005-0000-0000-000017380000}"/>
    <cellStyle name="Comma 9 29" xfId="8268" xr:uid="{00000000-0005-0000-0000-000018380000}"/>
    <cellStyle name="Comma 9 3" xfId="8269" xr:uid="{00000000-0005-0000-0000-000019380000}"/>
    <cellStyle name="Comma 9 30" xfId="8270" xr:uid="{00000000-0005-0000-0000-00001A380000}"/>
    <cellStyle name="Comma 9 31" xfId="8271" xr:uid="{00000000-0005-0000-0000-00001B380000}"/>
    <cellStyle name="Comma 9 32" xfId="8272" xr:uid="{00000000-0005-0000-0000-00001C380000}"/>
    <cellStyle name="Comma 9 33" xfId="8273" xr:uid="{00000000-0005-0000-0000-00001D380000}"/>
    <cellStyle name="Comma 9 34" xfId="8274" xr:uid="{00000000-0005-0000-0000-00001E380000}"/>
    <cellStyle name="Comma 9 35" xfId="8275" xr:uid="{00000000-0005-0000-0000-00001F380000}"/>
    <cellStyle name="Comma 9 36" xfId="8276" xr:uid="{00000000-0005-0000-0000-000020380000}"/>
    <cellStyle name="Comma 9 37" xfId="8277" xr:uid="{00000000-0005-0000-0000-000021380000}"/>
    <cellStyle name="Comma 9 38" xfId="8278" xr:uid="{00000000-0005-0000-0000-000022380000}"/>
    <cellStyle name="Comma 9 39" xfId="8279" xr:uid="{00000000-0005-0000-0000-000023380000}"/>
    <cellStyle name="Comma 9 4" xfId="8280" xr:uid="{00000000-0005-0000-0000-000024380000}"/>
    <cellStyle name="Comma 9 4 2" xfId="8281" xr:uid="{00000000-0005-0000-0000-000025380000}"/>
    <cellStyle name="Comma 9 40" xfId="8282" xr:uid="{00000000-0005-0000-0000-000026380000}"/>
    <cellStyle name="Comma 9 41" xfId="8283" xr:uid="{00000000-0005-0000-0000-000027380000}"/>
    <cellStyle name="Comma 9 42" xfId="8284" xr:uid="{00000000-0005-0000-0000-000028380000}"/>
    <cellStyle name="Comma 9 43" xfId="8285" xr:uid="{00000000-0005-0000-0000-000029380000}"/>
    <cellStyle name="Comma 9 5" xfId="8286" xr:uid="{00000000-0005-0000-0000-00002A380000}"/>
    <cellStyle name="Comma 9 6" xfId="8287" xr:uid="{00000000-0005-0000-0000-00002B380000}"/>
    <cellStyle name="Comma 9 7" xfId="8288" xr:uid="{00000000-0005-0000-0000-00002C380000}"/>
    <cellStyle name="Comma 9 8" xfId="8289" xr:uid="{00000000-0005-0000-0000-00002D380000}"/>
    <cellStyle name="Comma 9 9" xfId="8290" xr:uid="{00000000-0005-0000-0000-00002E380000}"/>
    <cellStyle name="Comma 9_Input" xfId="8291" xr:uid="{00000000-0005-0000-0000-00002F380000}"/>
    <cellStyle name="Comma 90" xfId="8292" xr:uid="{00000000-0005-0000-0000-000030380000}"/>
    <cellStyle name="Comma 90 2" xfId="8293" xr:uid="{00000000-0005-0000-0000-000031380000}"/>
    <cellStyle name="Comma 91" xfId="8294" xr:uid="{00000000-0005-0000-0000-000032380000}"/>
    <cellStyle name="Comma 91 2" xfId="8295" xr:uid="{00000000-0005-0000-0000-000033380000}"/>
    <cellStyle name="Comma 92" xfId="8296" xr:uid="{00000000-0005-0000-0000-000034380000}"/>
    <cellStyle name="Comma 93" xfId="8297" xr:uid="{00000000-0005-0000-0000-000035380000}"/>
    <cellStyle name="Comma 94" xfId="8298" xr:uid="{00000000-0005-0000-0000-000036380000}"/>
    <cellStyle name="Comma 94 2" xfId="20741" xr:uid="{00000000-0005-0000-0000-000037380000}"/>
    <cellStyle name="Comma 95" xfId="8299" xr:uid="{00000000-0005-0000-0000-000038380000}"/>
    <cellStyle name="Comma 95 2" xfId="8300" xr:uid="{00000000-0005-0000-0000-000039380000}"/>
    <cellStyle name="Comma 96" xfId="8301" xr:uid="{00000000-0005-0000-0000-00003A380000}"/>
    <cellStyle name="Comma 96 2" xfId="8302" xr:uid="{00000000-0005-0000-0000-00003B380000}"/>
    <cellStyle name="Comma 96 2 2" xfId="8303" xr:uid="{00000000-0005-0000-0000-00003C380000}"/>
    <cellStyle name="Comma 96 2 2 2" xfId="8304" xr:uid="{00000000-0005-0000-0000-00003D380000}"/>
    <cellStyle name="Comma 96 2 2 2 2" xfId="20745" xr:uid="{00000000-0005-0000-0000-00003E380000}"/>
    <cellStyle name="Comma 96 2 2 3" xfId="8305" xr:uid="{00000000-0005-0000-0000-00003F380000}"/>
    <cellStyle name="Comma 96 2 2 3 2" xfId="20746" xr:uid="{00000000-0005-0000-0000-000040380000}"/>
    <cellStyle name="Comma 96 2 2 4" xfId="20744" xr:uid="{00000000-0005-0000-0000-000041380000}"/>
    <cellStyle name="Comma 96 2 3" xfId="8306" xr:uid="{00000000-0005-0000-0000-000042380000}"/>
    <cellStyle name="Comma 96 2 3 2" xfId="8307" xr:uid="{00000000-0005-0000-0000-000043380000}"/>
    <cellStyle name="Comma 96 2 3 2 2" xfId="20748" xr:uid="{00000000-0005-0000-0000-000044380000}"/>
    <cellStyle name="Comma 96 2 3 3" xfId="8308" xr:uid="{00000000-0005-0000-0000-000045380000}"/>
    <cellStyle name="Comma 96 2 3 3 2" xfId="20749" xr:uid="{00000000-0005-0000-0000-000046380000}"/>
    <cellStyle name="Comma 96 2 3 4" xfId="20747" xr:uid="{00000000-0005-0000-0000-000047380000}"/>
    <cellStyle name="Comma 96 2 4" xfId="8309" xr:uid="{00000000-0005-0000-0000-000048380000}"/>
    <cellStyle name="Comma 96 2 4 2" xfId="8310" xr:uid="{00000000-0005-0000-0000-000049380000}"/>
    <cellStyle name="Comma 96 2 4 2 2" xfId="20751" xr:uid="{00000000-0005-0000-0000-00004A380000}"/>
    <cellStyle name="Comma 96 2 4 3" xfId="8311" xr:uid="{00000000-0005-0000-0000-00004B380000}"/>
    <cellStyle name="Comma 96 2 4 3 2" xfId="20752" xr:uid="{00000000-0005-0000-0000-00004C380000}"/>
    <cellStyle name="Comma 96 2 4 4" xfId="20750" xr:uid="{00000000-0005-0000-0000-00004D380000}"/>
    <cellStyle name="Comma 96 2 5" xfId="8312" xr:uid="{00000000-0005-0000-0000-00004E380000}"/>
    <cellStyle name="Comma 96 2 5 2" xfId="20753" xr:uid="{00000000-0005-0000-0000-00004F380000}"/>
    <cellStyle name="Comma 96 2 6" xfId="8313" xr:uid="{00000000-0005-0000-0000-000050380000}"/>
    <cellStyle name="Comma 96 2 6 2" xfId="20754" xr:uid="{00000000-0005-0000-0000-000051380000}"/>
    <cellStyle name="Comma 96 2 7" xfId="20743" xr:uid="{00000000-0005-0000-0000-000052380000}"/>
    <cellStyle name="Comma 96 3" xfId="8314" xr:uid="{00000000-0005-0000-0000-000053380000}"/>
    <cellStyle name="Comma 96 3 2" xfId="8315" xr:uid="{00000000-0005-0000-0000-000054380000}"/>
    <cellStyle name="Comma 96 3 2 2" xfId="20756" xr:uid="{00000000-0005-0000-0000-000055380000}"/>
    <cellStyle name="Comma 96 3 3" xfId="8316" xr:uid="{00000000-0005-0000-0000-000056380000}"/>
    <cellStyle name="Comma 96 3 3 2" xfId="20757" xr:uid="{00000000-0005-0000-0000-000057380000}"/>
    <cellStyle name="Comma 96 3 4" xfId="20755" xr:uid="{00000000-0005-0000-0000-000058380000}"/>
    <cellStyle name="Comma 96 4" xfId="8317" xr:uid="{00000000-0005-0000-0000-000059380000}"/>
    <cellStyle name="Comma 96 4 2" xfId="8318" xr:uid="{00000000-0005-0000-0000-00005A380000}"/>
    <cellStyle name="Comma 96 4 2 2" xfId="20759" xr:uid="{00000000-0005-0000-0000-00005B380000}"/>
    <cellStyle name="Comma 96 4 3" xfId="8319" xr:uid="{00000000-0005-0000-0000-00005C380000}"/>
    <cellStyle name="Comma 96 4 3 2" xfId="20760" xr:uid="{00000000-0005-0000-0000-00005D380000}"/>
    <cellStyle name="Comma 96 4 4" xfId="20758" xr:uid="{00000000-0005-0000-0000-00005E380000}"/>
    <cellStyle name="Comma 96 5" xfId="8320" xr:uid="{00000000-0005-0000-0000-00005F380000}"/>
    <cellStyle name="Comma 96 5 2" xfId="8321" xr:uid="{00000000-0005-0000-0000-000060380000}"/>
    <cellStyle name="Comma 96 5 2 2" xfId="20762" xr:uid="{00000000-0005-0000-0000-000061380000}"/>
    <cellStyle name="Comma 96 5 3" xfId="8322" xr:uid="{00000000-0005-0000-0000-000062380000}"/>
    <cellStyle name="Comma 96 5 3 2" xfId="20763" xr:uid="{00000000-0005-0000-0000-000063380000}"/>
    <cellStyle name="Comma 96 5 4" xfId="20761" xr:uid="{00000000-0005-0000-0000-000064380000}"/>
    <cellStyle name="Comma 96 6" xfId="8323" xr:uid="{00000000-0005-0000-0000-000065380000}"/>
    <cellStyle name="Comma 96 6 2" xfId="20764" xr:uid="{00000000-0005-0000-0000-000066380000}"/>
    <cellStyle name="Comma 96 7" xfId="8324" xr:uid="{00000000-0005-0000-0000-000067380000}"/>
    <cellStyle name="Comma 96 7 2" xfId="20765" xr:uid="{00000000-0005-0000-0000-000068380000}"/>
    <cellStyle name="Comma 96 8" xfId="20742" xr:uid="{00000000-0005-0000-0000-000069380000}"/>
    <cellStyle name="Comma 97" xfId="8325" xr:uid="{00000000-0005-0000-0000-00006A380000}"/>
    <cellStyle name="Comma 98" xfId="8326" xr:uid="{00000000-0005-0000-0000-00006B380000}"/>
    <cellStyle name="Comma 99" xfId="8327" xr:uid="{00000000-0005-0000-0000-00006C380000}"/>
    <cellStyle name="Comma 99 2" xfId="8328" xr:uid="{00000000-0005-0000-0000-00006D380000}"/>
    <cellStyle name="Comma 99 3" xfId="8329" xr:uid="{00000000-0005-0000-0000-00006E380000}"/>
    <cellStyle name="comma zerodec" xfId="248" xr:uid="{00000000-0005-0000-0000-00006F380000}"/>
    <cellStyle name="comma[0]" xfId="8330" xr:uid="{00000000-0005-0000-0000-000070380000}"/>
    <cellStyle name="Comma0" xfId="249" xr:uid="{00000000-0005-0000-0000-000071380000}"/>
    <cellStyle name="Comma0 - Modelo1" xfId="8331" xr:uid="{00000000-0005-0000-0000-000072380000}"/>
    <cellStyle name="Comma0 - Style1" xfId="8332" xr:uid="{00000000-0005-0000-0000-000073380000}"/>
    <cellStyle name="Comma1 - Modelo2" xfId="8333" xr:uid="{00000000-0005-0000-0000-000074380000}"/>
    <cellStyle name="Comma1 - Style2" xfId="8334" xr:uid="{00000000-0005-0000-0000-000075380000}"/>
    <cellStyle name="comma2" xfId="8335" xr:uid="{00000000-0005-0000-0000-000076380000}"/>
    <cellStyle name="Comment" xfId="8336" xr:uid="{00000000-0005-0000-0000-000077380000}"/>
    <cellStyle name="Commentaire" xfId="8337" xr:uid="{00000000-0005-0000-0000-000078380000}"/>
    <cellStyle name="CompanyName" xfId="8338" xr:uid="{00000000-0005-0000-0000-000079380000}"/>
    <cellStyle name="comps" xfId="8339" xr:uid="{00000000-0005-0000-0000-00007A380000}"/>
    <cellStyle name="Copied" xfId="250" xr:uid="{00000000-0005-0000-0000-00007B380000}"/>
    <cellStyle name="Copied 10" xfId="8340" xr:uid="{00000000-0005-0000-0000-00007C380000}"/>
    <cellStyle name="Copied 11" xfId="8341" xr:uid="{00000000-0005-0000-0000-00007D380000}"/>
    <cellStyle name="Copied 12" xfId="8342" xr:uid="{00000000-0005-0000-0000-00007E380000}"/>
    <cellStyle name="Copied 13" xfId="8343" xr:uid="{00000000-0005-0000-0000-00007F380000}"/>
    <cellStyle name="Copied 14" xfId="8344" xr:uid="{00000000-0005-0000-0000-000080380000}"/>
    <cellStyle name="Copied 15" xfId="8345" xr:uid="{00000000-0005-0000-0000-000081380000}"/>
    <cellStyle name="Copied 16" xfId="8346" xr:uid="{00000000-0005-0000-0000-000082380000}"/>
    <cellStyle name="Copied 17" xfId="8347" xr:uid="{00000000-0005-0000-0000-000083380000}"/>
    <cellStyle name="Copied 18" xfId="8348" xr:uid="{00000000-0005-0000-0000-000084380000}"/>
    <cellStyle name="Copied 19" xfId="8349" xr:uid="{00000000-0005-0000-0000-000085380000}"/>
    <cellStyle name="Copied 2" xfId="8350" xr:uid="{00000000-0005-0000-0000-000086380000}"/>
    <cellStyle name="Copied 20" xfId="8351" xr:uid="{00000000-0005-0000-0000-000087380000}"/>
    <cellStyle name="Copied 21" xfId="8352" xr:uid="{00000000-0005-0000-0000-000088380000}"/>
    <cellStyle name="Copied 22" xfId="8353" xr:uid="{00000000-0005-0000-0000-000089380000}"/>
    <cellStyle name="Copied 23" xfId="8354" xr:uid="{00000000-0005-0000-0000-00008A380000}"/>
    <cellStyle name="Copied 24" xfId="8355" xr:uid="{00000000-0005-0000-0000-00008B380000}"/>
    <cellStyle name="Copied 25" xfId="8356" xr:uid="{00000000-0005-0000-0000-00008C380000}"/>
    <cellStyle name="Copied 26" xfId="8357" xr:uid="{00000000-0005-0000-0000-00008D380000}"/>
    <cellStyle name="Copied 27" xfId="8358" xr:uid="{00000000-0005-0000-0000-00008E380000}"/>
    <cellStyle name="Copied 28" xfId="8359" xr:uid="{00000000-0005-0000-0000-00008F380000}"/>
    <cellStyle name="Copied 29" xfId="8360" xr:uid="{00000000-0005-0000-0000-000090380000}"/>
    <cellStyle name="Copied 3" xfId="8361" xr:uid="{00000000-0005-0000-0000-000091380000}"/>
    <cellStyle name="Copied 30" xfId="8362" xr:uid="{00000000-0005-0000-0000-000092380000}"/>
    <cellStyle name="Copied 31" xfId="8363" xr:uid="{00000000-0005-0000-0000-000093380000}"/>
    <cellStyle name="Copied 32" xfId="8364" xr:uid="{00000000-0005-0000-0000-000094380000}"/>
    <cellStyle name="Copied 4" xfId="8365" xr:uid="{00000000-0005-0000-0000-000095380000}"/>
    <cellStyle name="Copied 5" xfId="8366" xr:uid="{00000000-0005-0000-0000-000096380000}"/>
    <cellStyle name="Copied 6" xfId="8367" xr:uid="{00000000-0005-0000-0000-000097380000}"/>
    <cellStyle name="Copied 7" xfId="8368" xr:uid="{00000000-0005-0000-0000-000098380000}"/>
    <cellStyle name="Copied 8" xfId="8369" xr:uid="{00000000-0005-0000-0000-000099380000}"/>
    <cellStyle name="Copied 9" xfId="8370" xr:uid="{00000000-0005-0000-0000-00009A380000}"/>
    <cellStyle name="COST1" xfId="251" xr:uid="{00000000-0005-0000-0000-00009B380000}"/>
    <cellStyle name="COST1 10" xfId="8371" xr:uid="{00000000-0005-0000-0000-00009C380000}"/>
    <cellStyle name="COST1 11" xfId="8372" xr:uid="{00000000-0005-0000-0000-00009D380000}"/>
    <cellStyle name="COST1 12" xfId="8373" xr:uid="{00000000-0005-0000-0000-00009E380000}"/>
    <cellStyle name="COST1 13" xfId="8374" xr:uid="{00000000-0005-0000-0000-00009F380000}"/>
    <cellStyle name="COST1 14" xfId="8375" xr:uid="{00000000-0005-0000-0000-0000A0380000}"/>
    <cellStyle name="COST1 15" xfId="8376" xr:uid="{00000000-0005-0000-0000-0000A1380000}"/>
    <cellStyle name="COST1 16" xfId="8377" xr:uid="{00000000-0005-0000-0000-0000A2380000}"/>
    <cellStyle name="COST1 17" xfId="8378" xr:uid="{00000000-0005-0000-0000-0000A3380000}"/>
    <cellStyle name="COST1 18" xfId="8379" xr:uid="{00000000-0005-0000-0000-0000A4380000}"/>
    <cellStyle name="COST1 19" xfId="8380" xr:uid="{00000000-0005-0000-0000-0000A5380000}"/>
    <cellStyle name="COST1 2" xfId="8381" xr:uid="{00000000-0005-0000-0000-0000A6380000}"/>
    <cellStyle name="COST1 20" xfId="8382" xr:uid="{00000000-0005-0000-0000-0000A7380000}"/>
    <cellStyle name="COST1 21" xfId="8383" xr:uid="{00000000-0005-0000-0000-0000A8380000}"/>
    <cellStyle name="COST1 22" xfId="8384" xr:uid="{00000000-0005-0000-0000-0000A9380000}"/>
    <cellStyle name="COST1 23" xfId="8385" xr:uid="{00000000-0005-0000-0000-0000AA380000}"/>
    <cellStyle name="COST1 24" xfId="8386" xr:uid="{00000000-0005-0000-0000-0000AB380000}"/>
    <cellStyle name="COST1 25" xfId="8387" xr:uid="{00000000-0005-0000-0000-0000AC380000}"/>
    <cellStyle name="COST1 26" xfId="8388" xr:uid="{00000000-0005-0000-0000-0000AD380000}"/>
    <cellStyle name="COST1 27" xfId="8389" xr:uid="{00000000-0005-0000-0000-0000AE380000}"/>
    <cellStyle name="COST1 28" xfId="8390" xr:uid="{00000000-0005-0000-0000-0000AF380000}"/>
    <cellStyle name="COST1 29" xfId="8391" xr:uid="{00000000-0005-0000-0000-0000B0380000}"/>
    <cellStyle name="COST1 3" xfId="8392" xr:uid="{00000000-0005-0000-0000-0000B1380000}"/>
    <cellStyle name="COST1 30" xfId="8393" xr:uid="{00000000-0005-0000-0000-0000B2380000}"/>
    <cellStyle name="COST1 31" xfId="8394" xr:uid="{00000000-0005-0000-0000-0000B3380000}"/>
    <cellStyle name="COST1 32" xfId="8395" xr:uid="{00000000-0005-0000-0000-0000B4380000}"/>
    <cellStyle name="COST1 4" xfId="8396" xr:uid="{00000000-0005-0000-0000-0000B5380000}"/>
    <cellStyle name="COST1 5" xfId="8397" xr:uid="{00000000-0005-0000-0000-0000B6380000}"/>
    <cellStyle name="COST1 6" xfId="8398" xr:uid="{00000000-0005-0000-0000-0000B7380000}"/>
    <cellStyle name="COST1 7" xfId="8399" xr:uid="{00000000-0005-0000-0000-0000B8380000}"/>
    <cellStyle name="COST1 8" xfId="8400" xr:uid="{00000000-0005-0000-0000-0000B9380000}"/>
    <cellStyle name="COST1 9" xfId="8401" xr:uid="{00000000-0005-0000-0000-0000BA380000}"/>
    <cellStyle name="COURIER" xfId="8402" xr:uid="{00000000-0005-0000-0000-0000BB380000}"/>
    <cellStyle name="cr" xfId="8403" xr:uid="{00000000-0005-0000-0000-0000BC380000}"/>
    <cellStyle name="cr 2" xfId="8404" xr:uid="{00000000-0005-0000-0000-0000BD380000}"/>
    <cellStyle name="cr 2 2" xfId="20767" xr:uid="{00000000-0005-0000-0000-0000BE380000}"/>
    <cellStyle name="cr 3" xfId="20766" xr:uid="{00000000-0005-0000-0000-0000BF380000}"/>
    <cellStyle name="CSI" xfId="8405" xr:uid="{00000000-0005-0000-0000-0000C0380000}"/>
    <cellStyle name="cu" xfId="8406" xr:uid="{00000000-0005-0000-0000-0000C1380000}"/>
    <cellStyle name="cu 2" xfId="8407" xr:uid="{00000000-0005-0000-0000-0000C2380000}"/>
    <cellStyle name="cu 3" xfId="8408" xr:uid="{00000000-0005-0000-0000-0000C3380000}"/>
    <cellStyle name="Currency" xfId="27918" builtinId="4"/>
    <cellStyle name="Currency (0)" xfId="8409" xr:uid="{00000000-0005-0000-0000-0000C5380000}"/>
    <cellStyle name="Currency (1)" xfId="8410" xr:uid="{00000000-0005-0000-0000-0000C6380000}"/>
    <cellStyle name="Currency (2)" xfId="8411" xr:uid="{00000000-0005-0000-0000-0000C7380000}"/>
    <cellStyle name="Currency (3)" xfId="8412" xr:uid="{00000000-0005-0000-0000-0000C8380000}"/>
    <cellStyle name="Currency (no dec.)" xfId="8413" xr:uid="{00000000-0005-0000-0000-0000C9380000}"/>
    <cellStyle name="Currency [0.00]" xfId="8414" xr:uid="{00000000-0005-0000-0000-0000CA380000}"/>
    <cellStyle name="Currency [00]" xfId="252" xr:uid="{00000000-0005-0000-0000-0000CB380000}"/>
    <cellStyle name="Currency [1]" xfId="8415" xr:uid="{00000000-0005-0000-0000-0000CC380000}"/>
    <cellStyle name="Currency [2]" xfId="8416" xr:uid="{00000000-0005-0000-0000-0000CD380000}"/>
    <cellStyle name="Currency [k]" xfId="8417" xr:uid="{00000000-0005-0000-0000-0000CE380000}"/>
    <cellStyle name="Currency [m]" xfId="8418" xr:uid="{00000000-0005-0000-0000-0000CF380000}"/>
    <cellStyle name="Currency 0" xfId="8419" xr:uid="{00000000-0005-0000-0000-0000D0380000}"/>
    <cellStyle name="Currency 2" xfId="253" xr:uid="{00000000-0005-0000-0000-0000D1380000}"/>
    <cellStyle name="Currency 2 10" xfId="8420" xr:uid="{00000000-0005-0000-0000-0000D2380000}"/>
    <cellStyle name="Currency 2 11" xfId="8421" xr:uid="{00000000-0005-0000-0000-0000D3380000}"/>
    <cellStyle name="Currency 2 12" xfId="8422" xr:uid="{00000000-0005-0000-0000-0000D4380000}"/>
    <cellStyle name="Currency 2 13" xfId="8423" xr:uid="{00000000-0005-0000-0000-0000D5380000}"/>
    <cellStyle name="Currency 2 14" xfId="8424" xr:uid="{00000000-0005-0000-0000-0000D6380000}"/>
    <cellStyle name="Currency 2 15" xfId="8425" xr:uid="{00000000-0005-0000-0000-0000D7380000}"/>
    <cellStyle name="Currency 2 16" xfId="8426" xr:uid="{00000000-0005-0000-0000-0000D8380000}"/>
    <cellStyle name="Currency 2 17" xfId="8427" xr:uid="{00000000-0005-0000-0000-0000D9380000}"/>
    <cellStyle name="Currency 2 18" xfId="8428" xr:uid="{00000000-0005-0000-0000-0000DA380000}"/>
    <cellStyle name="Currency 2 19" xfId="8429" xr:uid="{00000000-0005-0000-0000-0000DB380000}"/>
    <cellStyle name="Currency 2 2" xfId="254" xr:uid="{00000000-0005-0000-0000-0000DC380000}"/>
    <cellStyle name="Currency 2 2 2" xfId="8430" xr:uid="{00000000-0005-0000-0000-0000DD380000}"/>
    <cellStyle name="Currency 2 2 3" xfId="8431" xr:uid="{00000000-0005-0000-0000-0000DE380000}"/>
    <cellStyle name="Currency 2 20" xfId="8432" xr:uid="{00000000-0005-0000-0000-0000DF380000}"/>
    <cellStyle name="Currency 2 21" xfId="8433" xr:uid="{00000000-0005-0000-0000-0000E0380000}"/>
    <cellStyle name="Currency 2 22" xfId="8434" xr:uid="{00000000-0005-0000-0000-0000E1380000}"/>
    <cellStyle name="Currency 2 23" xfId="8435" xr:uid="{00000000-0005-0000-0000-0000E2380000}"/>
    <cellStyle name="Currency 2 24" xfId="8436" xr:uid="{00000000-0005-0000-0000-0000E3380000}"/>
    <cellStyle name="Currency 2 25" xfId="8437" xr:uid="{00000000-0005-0000-0000-0000E4380000}"/>
    <cellStyle name="Currency 2 26" xfId="8438" xr:uid="{00000000-0005-0000-0000-0000E5380000}"/>
    <cellStyle name="Currency 2 27" xfId="8439" xr:uid="{00000000-0005-0000-0000-0000E6380000}"/>
    <cellStyle name="Currency 2 28" xfId="8440" xr:uid="{00000000-0005-0000-0000-0000E7380000}"/>
    <cellStyle name="Currency 2 29" xfId="8441" xr:uid="{00000000-0005-0000-0000-0000E8380000}"/>
    <cellStyle name="Currency 2 3" xfId="255" xr:uid="{00000000-0005-0000-0000-0000E9380000}"/>
    <cellStyle name="Currency 2 30" xfId="8442" xr:uid="{00000000-0005-0000-0000-0000EA380000}"/>
    <cellStyle name="Currency 2 31" xfId="8443" xr:uid="{00000000-0005-0000-0000-0000EB380000}"/>
    <cellStyle name="Currency 2 32" xfId="8444" xr:uid="{00000000-0005-0000-0000-0000EC380000}"/>
    <cellStyle name="Currency 2 33" xfId="8445" xr:uid="{00000000-0005-0000-0000-0000ED380000}"/>
    <cellStyle name="Currency 2 34" xfId="8446" xr:uid="{00000000-0005-0000-0000-0000EE380000}"/>
    <cellStyle name="Currency 2 35" xfId="8447" xr:uid="{00000000-0005-0000-0000-0000EF380000}"/>
    <cellStyle name="Currency 2 36" xfId="8448" xr:uid="{00000000-0005-0000-0000-0000F0380000}"/>
    <cellStyle name="Currency 2 37" xfId="8449" xr:uid="{00000000-0005-0000-0000-0000F1380000}"/>
    <cellStyle name="Currency 2 38" xfId="8450" xr:uid="{00000000-0005-0000-0000-0000F2380000}"/>
    <cellStyle name="Currency 2 39" xfId="8451" xr:uid="{00000000-0005-0000-0000-0000F3380000}"/>
    <cellStyle name="Currency 2 4" xfId="256" xr:uid="{00000000-0005-0000-0000-0000F4380000}"/>
    <cellStyle name="Currency 2 40" xfId="8452" xr:uid="{00000000-0005-0000-0000-0000F5380000}"/>
    <cellStyle name="Currency 2 41" xfId="8453" xr:uid="{00000000-0005-0000-0000-0000F6380000}"/>
    <cellStyle name="Currency 2 42" xfId="8454" xr:uid="{00000000-0005-0000-0000-0000F7380000}"/>
    <cellStyle name="Currency 2 43" xfId="8455" xr:uid="{00000000-0005-0000-0000-0000F8380000}"/>
    <cellStyle name="Currency 2 44" xfId="8456" xr:uid="{00000000-0005-0000-0000-0000F9380000}"/>
    <cellStyle name="Currency 2 45" xfId="8457" xr:uid="{00000000-0005-0000-0000-0000FA380000}"/>
    <cellStyle name="Currency 2 46" xfId="8458" xr:uid="{00000000-0005-0000-0000-0000FB380000}"/>
    <cellStyle name="Currency 2 47" xfId="8459" xr:uid="{00000000-0005-0000-0000-0000FC380000}"/>
    <cellStyle name="Currency 2 48" xfId="8460" xr:uid="{00000000-0005-0000-0000-0000FD380000}"/>
    <cellStyle name="Currency 2 49" xfId="8461" xr:uid="{00000000-0005-0000-0000-0000FE380000}"/>
    <cellStyle name="Currency 2 5" xfId="8462" xr:uid="{00000000-0005-0000-0000-0000FF380000}"/>
    <cellStyle name="Currency 2 50" xfId="8463" xr:uid="{00000000-0005-0000-0000-000000390000}"/>
    <cellStyle name="Currency 2 6" xfId="8464" xr:uid="{00000000-0005-0000-0000-000001390000}"/>
    <cellStyle name="Currency 2 7" xfId="8465" xr:uid="{00000000-0005-0000-0000-000002390000}"/>
    <cellStyle name="Currency 2 8" xfId="8466" xr:uid="{00000000-0005-0000-0000-000003390000}"/>
    <cellStyle name="Currency 2 9" xfId="8467" xr:uid="{00000000-0005-0000-0000-000004390000}"/>
    <cellStyle name="Currency 3" xfId="8468" xr:uid="{00000000-0005-0000-0000-000005390000}"/>
    <cellStyle name="Currency 4" xfId="8469" xr:uid="{00000000-0005-0000-0000-000006390000}"/>
    <cellStyle name="Currency 5" xfId="22702" xr:uid="{00000000-0005-0000-0000-000007390000}"/>
    <cellStyle name="Currency 5 2" xfId="22703" xr:uid="{00000000-0005-0000-0000-000008390000}"/>
    <cellStyle name="Currency 5 3" xfId="22704" xr:uid="{00000000-0005-0000-0000-000009390000}"/>
    <cellStyle name="Currency 6" xfId="27966" xr:uid="{B8D3F99D-A5E9-41B3-B5BE-AB57A69226B3}"/>
    <cellStyle name="Currency0" xfId="257" xr:uid="{00000000-0005-0000-0000-00000A390000}"/>
    <cellStyle name="Currency1" xfId="258" xr:uid="{00000000-0005-0000-0000-00000B390000}"/>
    <cellStyle name="currnecy" xfId="8470" xr:uid="{00000000-0005-0000-0000-00000C390000}"/>
    <cellStyle name="Custom - Style8" xfId="8471" xr:uid="{00000000-0005-0000-0000-00000D390000}"/>
    <cellStyle name="CUU" xfId="8472" xr:uid="{00000000-0005-0000-0000-00000E390000}"/>
    <cellStyle name="d" xfId="8473" xr:uid="{00000000-0005-0000-0000-00000F390000}"/>
    <cellStyle name="d." xfId="8474" xr:uid="{00000000-0005-0000-0000-000010390000}"/>
    <cellStyle name="d1" xfId="8475" xr:uid="{00000000-0005-0000-0000-000011390000}"/>
    <cellStyle name="d2" xfId="8476" xr:uid="{00000000-0005-0000-0000-000012390000}"/>
    <cellStyle name="d3" xfId="8477" xr:uid="{00000000-0005-0000-0000-000013390000}"/>
    <cellStyle name="Dark Blue" xfId="22705" xr:uid="{00000000-0005-0000-0000-000014390000}"/>
    <cellStyle name="Dark Green" xfId="22706" xr:uid="{00000000-0005-0000-0000-000015390000}"/>
    <cellStyle name="Dark yellow" xfId="22707" xr:uid="{00000000-0005-0000-0000-000016390000}"/>
    <cellStyle name="dash" xfId="8478" xr:uid="{00000000-0005-0000-0000-000017390000}"/>
    <cellStyle name="data" xfId="259" xr:uid="{00000000-0005-0000-0000-000018390000}"/>
    <cellStyle name="Data   - Style2" xfId="8479" xr:uid="{00000000-0005-0000-0000-000019390000}"/>
    <cellStyle name="data 2" xfId="19406" xr:uid="{00000000-0005-0000-0000-00001A390000}"/>
    <cellStyle name="Date" xfId="260" xr:uid="{00000000-0005-0000-0000-00001B390000}"/>
    <cellStyle name="Date Aligned" xfId="8480" xr:uid="{00000000-0005-0000-0000-00001C390000}"/>
    <cellStyle name="Date Short" xfId="261" xr:uid="{00000000-0005-0000-0000-00001D390000}"/>
    <cellStyle name="Date_A000700" xfId="8481" xr:uid="{00000000-0005-0000-0000-00001E390000}"/>
    <cellStyle name="Date2" xfId="8482" xr:uid="{00000000-0005-0000-0000-00001F390000}"/>
    <cellStyle name="DateLong" xfId="27879" xr:uid="{00000000-0005-0000-0000-000020390000}"/>
    <cellStyle name="daten" xfId="262" xr:uid="{00000000-0005-0000-0000-000021390000}"/>
    <cellStyle name="datestyle" xfId="8483" xr:uid="{00000000-0005-0000-0000-000022390000}"/>
    <cellStyle name="datestyle 2" xfId="20768" xr:uid="{00000000-0005-0000-0000-000023390000}"/>
    <cellStyle name="Dec_0" xfId="8484" xr:uid="{00000000-0005-0000-0000-000024390000}"/>
    <cellStyle name="Decimal" xfId="8485" xr:uid="{00000000-0005-0000-0000-000025390000}"/>
    <cellStyle name="decimal 0" xfId="8486" xr:uid="{00000000-0005-0000-0000-000026390000}"/>
    <cellStyle name="decimal 1" xfId="8487" xr:uid="{00000000-0005-0000-0000-000027390000}"/>
    <cellStyle name="decimal no" xfId="8488" xr:uid="{00000000-0005-0000-0000-000028390000}"/>
    <cellStyle name="DELTA" xfId="263" xr:uid="{00000000-0005-0000-0000-000029390000}"/>
    <cellStyle name="Description" xfId="8489" xr:uid="{00000000-0005-0000-0000-00002A390000}"/>
    <cellStyle name="Dex Doub Line" xfId="8490" xr:uid="{00000000-0005-0000-0000-00002B390000}"/>
    <cellStyle name="Dex Doub Line 2" xfId="8491" xr:uid="{00000000-0005-0000-0000-00002C390000}"/>
    <cellStyle name="Dex Doub Line 3" xfId="8492" xr:uid="{00000000-0005-0000-0000-00002D390000}"/>
    <cellStyle name="Dezimal [0]" xfId="8493" xr:uid="{00000000-0005-0000-0000-00002E390000}"/>
    <cellStyle name="Dezimal_ANZGGUV" xfId="8494" xr:uid="{00000000-0005-0000-0000-00002F390000}"/>
    <cellStyle name="Dia" xfId="8495" xr:uid="{00000000-0005-0000-0000-000030390000}"/>
    <cellStyle name="Division Heading" xfId="264" xr:uid="{00000000-0005-0000-0000-000031390000}"/>
    <cellStyle name="Dollar" xfId="8496" xr:uid="{00000000-0005-0000-0000-000032390000}"/>
    <cellStyle name="Dollar (zero dec)" xfId="265" xr:uid="{00000000-0005-0000-0000-000033390000}"/>
    <cellStyle name="dollar[0]" xfId="8497" xr:uid="{00000000-0005-0000-0000-000034390000}"/>
    <cellStyle name="dollar_Beehive 11" xfId="8498" xr:uid="{00000000-0005-0000-0000-000035390000}"/>
    <cellStyle name="dollar0" xfId="8499" xr:uid="{00000000-0005-0000-0000-000036390000}"/>
    <cellStyle name="dollar1" xfId="8500" xr:uid="{00000000-0005-0000-0000-000037390000}"/>
    <cellStyle name="Dollars" xfId="8501" xr:uid="{00000000-0005-0000-0000-000038390000}"/>
    <cellStyle name="Dotted Line" xfId="8502" xr:uid="{00000000-0005-0000-0000-000039390000}"/>
    <cellStyle name="DQ" xfId="8503" xr:uid="{00000000-0005-0000-0000-00003A390000}"/>
    <cellStyle name="du" xfId="8504" xr:uid="{00000000-0005-0000-0000-00003B390000}"/>
    <cellStyle name="DW-DATE" xfId="27892" xr:uid="{00000000-0005-0000-0000-00003C390000}"/>
    <cellStyle name="Emphasis 1" xfId="266" xr:uid="{00000000-0005-0000-0000-00003D390000}"/>
    <cellStyle name="Emphasis 2" xfId="267" xr:uid="{00000000-0005-0000-0000-00003E390000}"/>
    <cellStyle name="Emphasis 3" xfId="268" xr:uid="{00000000-0005-0000-0000-00003F390000}"/>
    <cellStyle name="Encabez1" xfId="8505" xr:uid="{00000000-0005-0000-0000-000040390000}"/>
    <cellStyle name="Encabez2" xfId="8506" xr:uid="{00000000-0005-0000-0000-000041390000}"/>
    <cellStyle name="Enter Currency (0)" xfId="269" xr:uid="{00000000-0005-0000-0000-000042390000}"/>
    <cellStyle name="Enter Currency (2)" xfId="270" xr:uid="{00000000-0005-0000-0000-000043390000}"/>
    <cellStyle name="Enter Units (0)" xfId="271" xr:uid="{00000000-0005-0000-0000-000044390000}"/>
    <cellStyle name="Enter Units (1)" xfId="272" xr:uid="{00000000-0005-0000-0000-000045390000}"/>
    <cellStyle name="Enter Units (2)" xfId="273" xr:uid="{00000000-0005-0000-0000-000046390000}"/>
    <cellStyle name="Entered" xfId="274" xr:uid="{00000000-0005-0000-0000-000047390000}"/>
    <cellStyle name="Entered 10" xfId="8507" xr:uid="{00000000-0005-0000-0000-000048390000}"/>
    <cellStyle name="Entered 11" xfId="8508" xr:uid="{00000000-0005-0000-0000-000049390000}"/>
    <cellStyle name="Entered 12" xfId="8509" xr:uid="{00000000-0005-0000-0000-00004A390000}"/>
    <cellStyle name="Entered 13" xfId="8510" xr:uid="{00000000-0005-0000-0000-00004B390000}"/>
    <cellStyle name="Entered 14" xfId="8511" xr:uid="{00000000-0005-0000-0000-00004C390000}"/>
    <cellStyle name="Entered 15" xfId="8512" xr:uid="{00000000-0005-0000-0000-00004D390000}"/>
    <cellStyle name="Entered 16" xfId="8513" xr:uid="{00000000-0005-0000-0000-00004E390000}"/>
    <cellStyle name="Entered 17" xfId="8514" xr:uid="{00000000-0005-0000-0000-00004F390000}"/>
    <cellStyle name="Entered 18" xfId="8515" xr:uid="{00000000-0005-0000-0000-000050390000}"/>
    <cellStyle name="Entered 19" xfId="8516" xr:uid="{00000000-0005-0000-0000-000051390000}"/>
    <cellStyle name="Entered 2" xfId="8517" xr:uid="{00000000-0005-0000-0000-000052390000}"/>
    <cellStyle name="Entered 20" xfId="8518" xr:uid="{00000000-0005-0000-0000-000053390000}"/>
    <cellStyle name="Entered 21" xfId="8519" xr:uid="{00000000-0005-0000-0000-000054390000}"/>
    <cellStyle name="Entered 22" xfId="8520" xr:uid="{00000000-0005-0000-0000-000055390000}"/>
    <cellStyle name="Entered 23" xfId="8521" xr:uid="{00000000-0005-0000-0000-000056390000}"/>
    <cellStyle name="Entered 24" xfId="8522" xr:uid="{00000000-0005-0000-0000-000057390000}"/>
    <cellStyle name="Entered 25" xfId="8523" xr:uid="{00000000-0005-0000-0000-000058390000}"/>
    <cellStyle name="Entered 26" xfId="8524" xr:uid="{00000000-0005-0000-0000-000059390000}"/>
    <cellStyle name="Entered 27" xfId="8525" xr:uid="{00000000-0005-0000-0000-00005A390000}"/>
    <cellStyle name="Entered 28" xfId="8526" xr:uid="{00000000-0005-0000-0000-00005B390000}"/>
    <cellStyle name="Entered 29" xfId="8527" xr:uid="{00000000-0005-0000-0000-00005C390000}"/>
    <cellStyle name="Entered 3" xfId="8528" xr:uid="{00000000-0005-0000-0000-00005D390000}"/>
    <cellStyle name="Entered 30" xfId="8529" xr:uid="{00000000-0005-0000-0000-00005E390000}"/>
    <cellStyle name="Entered 31" xfId="8530" xr:uid="{00000000-0005-0000-0000-00005F390000}"/>
    <cellStyle name="Entered 32" xfId="8531" xr:uid="{00000000-0005-0000-0000-000060390000}"/>
    <cellStyle name="Entered 4" xfId="8532" xr:uid="{00000000-0005-0000-0000-000061390000}"/>
    <cellStyle name="Entered 5" xfId="8533" xr:uid="{00000000-0005-0000-0000-000062390000}"/>
    <cellStyle name="Entered 6" xfId="8534" xr:uid="{00000000-0005-0000-0000-000063390000}"/>
    <cellStyle name="Entered 7" xfId="8535" xr:uid="{00000000-0005-0000-0000-000064390000}"/>
    <cellStyle name="Entered 8" xfId="8536" xr:uid="{00000000-0005-0000-0000-000065390000}"/>
    <cellStyle name="Entered 9" xfId="8537" xr:uid="{00000000-0005-0000-0000-000066390000}"/>
    <cellStyle name="Entrée" xfId="8538" xr:uid="{00000000-0005-0000-0000-000067390000}"/>
    <cellStyle name="Entry" xfId="8539" xr:uid="{00000000-0005-0000-0000-000068390000}"/>
    <cellStyle name="eps" xfId="8540" xr:uid="{00000000-0005-0000-0000-000069390000}"/>
    <cellStyle name="Euro" xfId="275" xr:uid="{00000000-0005-0000-0000-00006A390000}"/>
    <cellStyle name="Euro 10" xfId="8541" xr:uid="{00000000-0005-0000-0000-00006B390000}"/>
    <cellStyle name="Euro 11" xfId="8542" xr:uid="{00000000-0005-0000-0000-00006C390000}"/>
    <cellStyle name="Euro 12" xfId="8543" xr:uid="{00000000-0005-0000-0000-00006D390000}"/>
    <cellStyle name="Euro 13" xfId="8544" xr:uid="{00000000-0005-0000-0000-00006E390000}"/>
    <cellStyle name="Euro 14" xfId="8545" xr:uid="{00000000-0005-0000-0000-00006F390000}"/>
    <cellStyle name="Euro 15" xfId="8546" xr:uid="{00000000-0005-0000-0000-000070390000}"/>
    <cellStyle name="Euro 16" xfId="8547" xr:uid="{00000000-0005-0000-0000-000071390000}"/>
    <cellStyle name="Euro 17" xfId="8548" xr:uid="{00000000-0005-0000-0000-000072390000}"/>
    <cellStyle name="Euro 18" xfId="8549" xr:uid="{00000000-0005-0000-0000-000073390000}"/>
    <cellStyle name="Euro 19" xfId="8550" xr:uid="{00000000-0005-0000-0000-000074390000}"/>
    <cellStyle name="Euro 2" xfId="8551" xr:uid="{00000000-0005-0000-0000-000075390000}"/>
    <cellStyle name="Euro 20" xfId="8552" xr:uid="{00000000-0005-0000-0000-000076390000}"/>
    <cellStyle name="Euro 21" xfId="8553" xr:uid="{00000000-0005-0000-0000-000077390000}"/>
    <cellStyle name="Euro 22" xfId="8554" xr:uid="{00000000-0005-0000-0000-000078390000}"/>
    <cellStyle name="Euro 23" xfId="8555" xr:uid="{00000000-0005-0000-0000-000079390000}"/>
    <cellStyle name="Euro 24" xfId="8556" xr:uid="{00000000-0005-0000-0000-00007A390000}"/>
    <cellStyle name="Euro 25" xfId="8557" xr:uid="{00000000-0005-0000-0000-00007B390000}"/>
    <cellStyle name="Euro 26" xfId="8558" xr:uid="{00000000-0005-0000-0000-00007C390000}"/>
    <cellStyle name="Euro 27" xfId="8559" xr:uid="{00000000-0005-0000-0000-00007D390000}"/>
    <cellStyle name="Euro 28" xfId="8560" xr:uid="{00000000-0005-0000-0000-00007E390000}"/>
    <cellStyle name="Euro 29" xfId="8561" xr:uid="{00000000-0005-0000-0000-00007F390000}"/>
    <cellStyle name="Euro 3" xfId="8562" xr:uid="{00000000-0005-0000-0000-000080390000}"/>
    <cellStyle name="Euro 30" xfId="8563" xr:uid="{00000000-0005-0000-0000-000081390000}"/>
    <cellStyle name="Euro 31" xfId="8564" xr:uid="{00000000-0005-0000-0000-000082390000}"/>
    <cellStyle name="Euro 32" xfId="8565" xr:uid="{00000000-0005-0000-0000-000083390000}"/>
    <cellStyle name="Euro 33" xfId="8566" xr:uid="{00000000-0005-0000-0000-000084390000}"/>
    <cellStyle name="Euro 34" xfId="8567" xr:uid="{00000000-0005-0000-0000-000085390000}"/>
    <cellStyle name="Euro 35" xfId="8568" xr:uid="{00000000-0005-0000-0000-000086390000}"/>
    <cellStyle name="Euro 36" xfId="8569" xr:uid="{00000000-0005-0000-0000-000087390000}"/>
    <cellStyle name="Euro 37" xfId="8570" xr:uid="{00000000-0005-0000-0000-000088390000}"/>
    <cellStyle name="Euro 38" xfId="8571" xr:uid="{00000000-0005-0000-0000-000089390000}"/>
    <cellStyle name="Euro 39" xfId="8572" xr:uid="{00000000-0005-0000-0000-00008A390000}"/>
    <cellStyle name="Euro 4" xfId="8573" xr:uid="{00000000-0005-0000-0000-00008B390000}"/>
    <cellStyle name="Euro 40" xfId="8574" xr:uid="{00000000-0005-0000-0000-00008C390000}"/>
    <cellStyle name="Euro 41" xfId="8575" xr:uid="{00000000-0005-0000-0000-00008D390000}"/>
    <cellStyle name="Euro 42" xfId="8576" xr:uid="{00000000-0005-0000-0000-00008E390000}"/>
    <cellStyle name="Euro 5" xfId="8577" xr:uid="{00000000-0005-0000-0000-00008F390000}"/>
    <cellStyle name="Euro 6" xfId="8578" xr:uid="{00000000-0005-0000-0000-000090390000}"/>
    <cellStyle name="Euro 7" xfId="8579" xr:uid="{00000000-0005-0000-0000-000091390000}"/>
    <cellStyle name="Euro 8" xfId="8580" xr:uid="{00000000-0005-0000-0000-000092390000}"/>
    <cellStyle name="Euro 9" xfId="8581" xr:uid="{00000000-0005-0000-0000-000093390000}"/>
    <cellStyle name="Euro_Book3" xfId="8582" xr:uid="{00000000-0005-0000-0000-000094390000}"/>
    <cellStyle name="EvenBodyShade" xfId="8583" xr:uid="{00000000-0005-0000-0000-000095390000}"/>
    <cellStyle name="ex_ratio" xfId="8584" xr:uid="{00000000-0005-0000-0000-000096390000}"/>
    <cellStyle name="ExchRate" xfId="8585" xr:uid="{00000000-0005-0000-0000-000097390000}"/>
    <cellStyle name="Explanatory Text 10" xfId="8586" xr:uid="{00000000-0005-0000-0000-000098390000}"/>
    <cellStyle name="Explanatory Text 11" xfId="8587" xr:uid="{00000000-0005-0000-0000-000099390000}"/>
    <cellStyle name="Explanatory Text 12" xfId="8588" xr:uid="{00000000-0005-0000-0000-00009A390000}"/>
    <cellStyle name="Explanatory Text 13" xfId="8589" xr:uid="{00000000-0005-0000-0000-00009B390000}"/>
    <cellStyle name="Explanatory Text 14" xfId="8590" xr:uid="{00000000-0005-0000-0000-00009C390000}"/>
    <cellStyle name="Explanatory Text 15" xfId="8591" xr:uid="{00000000-0005-0000-0000-00009D390000}"/>
    <cellStyle name="Explanatory Text 16" xfId="8592" xr:uid="{00000000-0005-0000-0000-00009E390000}"/>
    <cellStyle name="Explanatory Text 17" xfId="8593" xr:uid="{00000000-0005-0000-0000-00009F390000}"/>
    <cellStyle name="Explanatory Text 18" xfId="8594" xr:uid="{00000000-0005-0000-0000-0000A0390000}"/>
    <cellStyle name="Explanatory Text 19" xfId="8595" xr:uid="{00000000-0005-0000-0000-0000A1390000}"/>
    <cellStyle name="Explanatory Text 2" xfId="276" xr:uid="{00000000-0005-0000-0000-0000A2390000}"/>
    <cellStyle name="Explanatory Text 2 10" xfId="8596" xr:uid="{00000000-0005-0000-0000-0000A3390000}"/>
    <cellStyle name="Explanatory Text 2 11" xfId="8597" xr:uid="{00000000-0005-0000-0000-0000A4390000}"/>
    <cellStyle name="Explanatory Text 2 12" xfId="8598" xr:uid="{00000000-0005-0000-0000-0000A5390000}"/>
    <cellStyle name="Explanatory Text 2 13" xfId="8599" xr:uid="{00000000-0005-0000-0000-0000A6390000}"/>
    <cellStyle name="Explanatory Text 2 14" xfId="8600" xr:uid="{00000000-0005-0000-0000-0000A7390000}"/>
    <cellStyle name="Explanatory Text 2 15" xfId="8601" xr:uid="{00000000-0005-0000-0000-0000A8390000}"/>
    <cellStyle name="Explanatory Text 2 16" xfId="8602" xr:uid="{00000000-0005-0000-0000-0000A9390000}"/>
    <cellStyle name="Explanatory Text 2 17" xfId="8603" xr:uid="{00000000-0005-0000-0000-0000AA390000}"/>
    <cellStyle name="Explanatory Text 2 18" xfId="8604" xr:uid="{00000000-0005-0000-0000-0000AB390000}"/>
    <cellStyle name="Explanatory Text 2 19" xfId="8605" xr:uid="{00000000-0005-0000-0000-0000AC390000}"/>
    <cellStyle name="Explanatory Text 2 2" xfId="8606" xr:uid="{00000000-0005-0000-0000-0000AD390000}"/>
    <cellStyle name="Explanatory Text 2 20" xfId="8607" xr:uid="{00000000-0005-0000-0000-0000AE390000}"/>
    <cellStyle name="Explanatory Text 2 21" xfId="8608" xr:uid="{00000000-0005-0000-0000-0000AF390000}"/>
    <cellStyle name="Explanatory Text 2 22" xfId="8609" xr:uid="{00000000-0005-0000-0000-0000B0390000}"/>
    <cellStyle name="Explanatory Text 2 23" xfId="8610" xr:uid="{00000000-0005-0000-0000-0000B1390000}"/>
    <cellStyle name="Explanatory Text 2 24" xfId="8611" xr:uid="{00000000-0005-0000-0000-0000B2390000}"/>
    <cellStyle name="Explanatory Text 2 25" xfId="8612" xr:uid="{00000000-0005-0000-0000-0000B3390000}"/>
    <cellStyle name="Explanatory Text 2 26" xfId="8613" xr:uid="{00000000-0005-0000-0000-0000B4390000}"/>
    <cellStyle name="Explanatory Text 2 27" xfId="8614" xr:uid="{00000000-0005-0000-0000-0000B5390000}"/>
    <cellStyle name="Explanatory Text 2 28" xfId="8615" xr:uid="{00000000-0005-0000-0000-0000B6390000}"/>
    <cellStyle name="Explanatory Text 2 29" xfId="8616" xr:uid="{00000000-0005-0000-0000-0000B7390000}"/>
    <cellStyle name="Explanatory Text 2 3" xfId="8617" xr:uid="{00000000-0005-0000-0000-0000B8390000}"/>
    <cellStyle name="Explanatory Text 2 30" xfId="8618" xr:uid="{00000000-0005-0000-0000-0000B9390000}"/>
    <cellStyle name="Explanatory Text 2 31" xfId="8619" xr:uid="{00000000-0005-0000-0000-0000BA390000}"/>
    <cellStyle name="Explanatory Text 2 32" xfId="8620" xr:uid="{00000000-0005-0000-0000-0000BB390000}"/>
    <cellStyle name="Explanatory Text 2 33" xfId="8621" xr:uid="{00000000-0005-0000-0000-0000BC390000}"/>
    <cellStyle name="Explanatory Text 2 34" xfId="8622" xr:uid="{00000000-0005-0000-0000-0000BD390000}"/>
    <cellStyle name="Explanatory Text 2 35" xfId="8623" xr:uid="{00000000-0005-0000-0000-0000BE390000}"/>
    <cellStyle name="Explanatory Text 2 36" xfId="8624" xr:uid="{00000000-0005-0000-0000-0000BF390000}"/>
    <cellStyle name="Explanatory Text 2 37" xfId="8625" xr:uid="{00000000-0005-0000-0000-0000C0390000}"/>
    <cellStyle name="Explanatory Text 2 38" xfId="8626" xr:uid="{00000000-0005-0000-0000-0000C1390000}"/>
    <cellStyle name="Explanatory Text 2 39" xfId="8627" xr:uid="{00000000-0005-0000-0000-0000C2390000}"/>
    <cellStyle name="Explanatory Text 2 4" xfId="8628" xr:uid="{00000000-0005-0000-0000-0000C3390000}"/>
    <cellStyle name="Explanatory Text 2 40" xfId="8629" xr:uid="{00000000-0005-0000-0000-0000C4390000}"/>
    <cellStyle name="Explanatory Text 2 41" xfId="8630" xr:uid="{00000000-0005-0000-0000-0000C5390000}"/>
    <cellStyle name="Explanatory Text 2 42" xfId="8631" xr:uid="{00000000-0005-0000-0000-0000C6390000}"/>
    <cellStyle name="Explanatory Text 2 5" xfId="8632" xr:uid="{00000000-0005-0000-0000-0000C7390000}"/>
    <cellStyle name="Explanatory Text 2 6" xfId="8633" xr:uid="{00000000-0005-0000-0000-0000C8390000}"/>
    <cellStyle name="Explanatory Text 2 7" xfId="8634" xr:uid="{00000000-0005-0000-0000-0000C9390000}"/>
    <cellStyle name="Explanatory Text 2 8" xfId="8635" xr:uid="{00000000-0005-0000-0000-0000CA390000}"/>
    <cellStyle name="Explanatory Text 2 9" xfId="8636" xr:uid="{00000000-0005-0000-0000-0000CB390000}"/>
    <cellStyle name="Explanatory Text 2_DATA Input" xfId="8637" xr:uid="{00000000-0005-0000-0000-0000CC390000}"/>
    <cellStyle name="Explanatory Text 20" xfId="8638" xr:uid="{00000000-0005-0000-0000-0000CD390000}"/>
    <cellStyle name="Explanatory Text 21" xfId="8639" xr:uid="{00000000-0005-0000-0000-0000CE390000}"/>
    <cellStyle name="Explanatory Text 22" xfId="8640" xr:uid="{00000000-0005-0000-0000-0000CF390000}"/>
    <cellStyle name="Explanatory Text 23" xfId="8641" xr:uid="{00000000-0005-0000-0000-0000D0390000}"/>
    <cellStyle name="Explanatory Text 24" xfId="8642" xr:uid="{00000000-0005-0000-0000-0000D1390000}"/>
    <cellStyle name="Explanatory Text 3" xfId="8643" xr:uid="{00000000-0005-0000-0000-0000D2390000}"/>
    <cellStyle name="Explanatory Text 3 10" xfId="8644" xr:uid="{00000000-0005-0000-0000-0000D3390000}"/>
    <cellStyle name="Explanatory Text 3 11" xfId="8645" xr:uid="{00000000-0005-0000-0000-0000D4390000}"/>
    <cellStyle name="Explanatory Text 3 12" xfId="8646" xr:uid="{00000000-0005-0000-0000-0000D5390000}"/>
    <cellStyle name="Explanatory Text 3 13" xfId="8647" xr:uid="{00000000-0005-0000-0000-0000D6390000}"/>
    <cellStyle name="Explanatory Text 3 14" xfId="8648" xr:uid="{00000000-0005-0000-0000-0000D7390000}"/>
    <cellStyle name="Explanatory Text 3 15" xfId="8649" xr:uid="{00000000-0005-0000-0000-0000D8390000}"/>
    <cellStyle name="Explanatory Text 3 16" xfId="8650" xr:uid="{00000000-0005-0000-0000-0000D9390000}"/>
    <cellStyle name="Explanatory Text 3 17" xfId="8651" xr:uid="{00000000-0005-0000-0000-0000DA390000}"/>
    <cellStyle name="Explanatory Text 3 18" xfId="8652" xr:uid="{00000000-0005-0000-0000-0000DB390000}"/>
    <cellStyle name="Explanatory Text 3 19" xfId="8653" xr:uid="{00000000-0005-0000-0000-0000DC390000}"/>
    <cellStyle name="Explanatory Text 3 2" xfId="8654" xr:uid="{00000000-0005-0000-0000-0000DD390000}"/>
    <cellStyle name="Explanatory Text 3 20" xfId="8655" xr:uid="{00000000-0005-0000-0000-0000DE390000}"/>
    <cellStyle name="Explanatory Text 3 21" xfId="8656" xr:uid="{00000000-0005-0000-0000-0000DF390000}"/>
    <cellStyle name="Explanatory Text 3 22" xfId="8657" xr:uid="{00000000-0005-0000-0000-0000E0390000}"/>
    <cellStyle name="Explanatory Text 3 23" xfId="8658" xr:uid="{00000000-0005-0000-0000-0000E1390000}"/>
    <cellStyle name="Explanatory Text 3 24" xfId="8659" xr:uid="{00000000-0005-0000-0000-0000E2390000}"/>
    <cellStyle name="Explanatory Text 3 25" xfId="8660" xr:uid="{00000000-0005-0000-0000-0000E3390000}"/>
    <cellStyle name="Explanatory Text 3 26" xfId="8661" xr:uid="{00000000-0005-0000-0000-0000E4390000}"/>
    <cellStyle name="Explanatory Text 3 27" xfId="8662" xr:uid="{00000000-0005-0000-0000-0000E5390000}"/>
    <cellStyle name="Explanatory Text 3 28" xfId="8663" xr:uid="{00000000-0005-0000-0000-0000E6390000}"/>
    <cellStyle name="Explanatory Text 3 29" xfId="8664" xr:uid="{00000000-0005-0000-0000-0000E7390000}"/>
    <cellStyle name="Explanatory Text 3 3" xfId="8665" xr:uid="{00000000-0005-0000-0000-0000E8390000}"/>
    <cellStyle name="Explanatory Text 3 30" xfId="8666" xr:uid="{00000000-0005-0000-0000-0000E9390000}"/>
    <cellStyle name="Explanatory Text 3 31" xfId="8667" xr:uid="{00000000-0005-0000-0000-0000EA390000}"/>
    <cellStyle name="Explanatory Text 3 32" xfId="8668" xr:uid="{00000000-0005-0000-0000-0000EB390000}"/>
    <cellStyle name="Explanatory Text 3 4" xfId="8669" xr:uid="{00000000-0005-0000-0000-0000EC390000}"/>
    <cellStyle name="Explanatory Text 3 5" xfId="8670" xr:uid="{00000000-0005-0000-0000-0000ED390000}"/>
    <cellStyle name="Explanatory Text 3 6" xfId="8671" xr:uid="{00000000-0005-0000-0000-0000EE390000}"/>
    <cellStyle name="Explanatory Text 3 7" xfId="8672" xr:uid="{00000000-0005-0000-0000-0000EF390000}"/>
    <cellStyle name="Explanatory Text 3 8" xfId="8673" xr:uid="{00000000-0005-0000-0000-0000F0390000}"/>
    <cellStyle name="Explanatory Text 3 9" xfId="8674" xr:uid="{00000000-0005-0000-0000-0000F1390000}"/>
    <cellStyle name="Explanatory Text 4" xfId="8675" xr:uid="{00000000-0005-0000-0000-0000F2390000}"/>
    <cellStyle name="Explanatory Text 5" xfId="8676" xr:uid="{00000000-0005-0000-0000-0000F3390000}"/>
    <cellStyle name="Explanatory Text 6" xfId="8677" xr:uid="{00000000-0005-0000-0000-0000F4390000}"/>
    <cellStyle name="Explanatory Text 7" xfId="8678" xr:uid="{00000000-0005-0000-0000-0000F5390000}"/>
    <cellStyle name="Explanatory Text 8" xfId="8679" xr:uid="{00000000-0005-0000-0000-0000F6390000}"/>
    <cellStyle name="Explanatory Text 9" xfId="8680" xr:uid="{00000000-0005-0000-0000-0000F7390000}"/>
    <cellStyle name="ExtStyle 0" xfId="8681" xr:uid="{00000000-0005-0000-0000-0000F8390000}"/>
    <cellStyle name="ExtStyle 16" xfId="8682" xr:uid="{00000000-0005-0000-0000-0000F9390000}"/>
    <cellStyle name="ExtStyle 17" xfId="8683" xr:uid="{00000000-0005-0000-0000-0000FA390000}"/>
    <cellStyle name="ExtStyle 18" xfId="8684" xr:uid="{00000000-0005-0000-0000-0000FB390000}"/>
    <cellStyle name="ExtStyle 19" xfId="8685" xr:uid="{00000000-0005-0000-0000-0000FC390000}"/>
    <cellStyle name="ExtStyle 20" xfId="8686" xr:uid="{00000000-0005-0000-0000-0000FD390000}"/>
    <cellStyle name="ExtStyle 21" xfId="8687" xr:uid="{00000000-0005-0000-0000-0000FE390000}"/>
    <cellStyle name="ExtStyle 22" xfId="8688" xr:uid="{00000000-0005-0000-0000-0000FF390000}"/>
    <cellStyle name="ExtStyle 28" xfId="8689" xr:uid="{00000000-0005-0000-0000-0000003A0000}"/>
    <cellStyle name="ExtStyle 29" xfId="8690" xr:uid="{00000000-0005-0000-0000-0000013A0000}"/>
    <cellStyle name="ExtStyle 30" xfId="8691" xr:uid="{00000000-0005-0000-0000-0000023A0000}"/>
    <cellStyle name="ExtStyle 31" xfId="8692" xr:uid="{00000000-0005-0000-0000-0000033A0000}"/>
    <cellStyle name="ExtStyle 32" xfId="8693" xr:uid="{00000000-0005-0000-0000-0000043A0000}"/>
    <cellStyle name="ExtStyle 33" xfId="8694" xr:uid="{00000000-0005-0000-0000-0000053A0000}"/>
    <cellStyle name="ExtStyle 34" xfId="8695" xr:uid="{00000000-0005-0000-0000-0000063A0000}"/>
    <cellStyle name="ExtStyle 35" xfId="8696" xr:uid="{00000000-0005-0000-0000-0000073A0000}"/>
    <cellStyle name="ExtStyle 36" xfId="8697" xr:uid="{00000000-0005-0000-0000-0000083A0000}"/>
    <cellStyle name="EY%colcalc" xfId="8698" xr:uid="{00000000-0005-0000-0000-0000093A0000}"/>
    <cellStyle name="EY%input" xfId="8699" xr:uid="{00000000-0005-0000-0000-00000A3A0000}"/>
    <cellStyle name="EY%rowcalc" xfId="8700" xr:uid="{00000000-0005-0000-0000-00000B3A0000}"/>
    <cellStyle name="EY0dp" xfId="8701" xr:uid="{00000000-0005-0000-0000-00000C3A0000}"/>
    <cellStyle name="EY1dp" xfId="8702" xr:uid="{00000000-0005-0000-0000-00000D3A0000}"/>
    <cellStyle name="EY2dp" xfId="8703" xr:uid="{00000000-0005-0000-0000-00000E3A0000}"/>
    <cellStyle name="EY3dp" xfId="8704" xr:uid="{00000000-0005-0000-0000-00000F3A0000}"/>
    <cellStyle name="EYBlocked" xfId="8705" xr:uid="{00000000-0005-0000-0000-0000103A0000}"/>
    <cellStyle name="EYCallUp" xfId="8706" xr:uid="{00000000-0005-0000-0000-0000113A0000}"/>
    <cellStyle name="EYCheck" xfId="8707" xr:uid="{00000000-0005-0000-0000-0000123A0000}"/>
    <cellStyle name="EYColumnHeading" xfId="8708" xr:uid="{00000000-0005-0000-0000-0000133A0000}"/>
    <cellStyle name="EYDate" xfId="8709" xr:uid="{00000000-0005-0000-0000-0000143A0000}"/>
    <cellStyle name="EYDeviant" xfId="8710" xr:uid="{00000000-0005-0000-0000-0000153A0000}"/>
    <cellStyle name="EYFlag" xfId="8711" xr:uid="{00000000-0005-0000-0000-0000163A0000}"/>
    <cellStyle name="EYHeader1" xfId="8712" xr:uid="{00000000-0005-0000-0000-0000173A0000}"/>
    <cellStyle name="EYHeader1 2" xfId="20769" xr:uid="{00000000-0005-0000-0000-0000183A0000}"/>
    <cellStyle name="EYHeader2" xfId="8713" xr:uid="{00000000-0005-0000-0000-0000193A0000}"/>
    <cellStyle name="EYHeader3" xfId="8714" xr:uid="{00000000-0005-0000-0000-00001A3A0000}"/>
    <cellStyle name="EYHeading1" xfId="8715" xr:uid="{00000000-0005-0000-0000-00001B3A0000}"/>
    <cellStyle name="EYheading2" xfId="8716" xr:uid="{00000000-0005-0000-0000-00001C3A0000}"/>
    <cellStyle name="EYheading3" xfId="8717" xr:uid="{00000000-0005-0000-0000-00001D3A0000}"/>
    <cellStyle name="EYInputDate" xfId="8718" xr:uid="{00000000-0005-0000-0000-00001E3A0000}"/>
    <cellStyle name="EYInputPercent" xfId="8719" xr:uid="{00000000-0005-0000-0000-00001F3A0000}"/>
    <cellStyle name="EYInputValue" xfId="8720" xr:uid="{00000000-0005-0000-0000-0000203A0000}"/>
    <cellStyle name="EYNormal" xfId="8721" xr:uid="{00000000-0005-0000-0000-0000213A0000}"/>
    <cellStyle name="EYnumber" xfId="8722" xr:uid="{00000000-0005-0000-0000-0000223A0000}"/>
    <cellStyle name="EYPercent" xfId="8723" xr:uid="{00000000-0005-0000-0000-0000233A0000}"/>
    <cellStyle name="EYPercentCapped" xfId="8724" xr:uid="{00000000-0005-0000-0000-0000243A0000}"/>
    <cellStyle name="EYSheetHeader1" xfId="8725" xr:uid="{00000000-0005-0000-0000-0000253A0000}"/>
    <cellStyle name="EYSubTotal" xfId="8726" xr:uid="{00000000-0005-0000-0000-0000263A0000}"/>
    <cellStyle name="EYtext" xfId="8727" xr:uid="{00000000-0005-0000-0000-0000273A0000}"/>
    <cellStyle name="EYTotal" xfId="8728" xr:uid="{00000000-0005-0000-0000-0000283A0000}"/>
    <cellStyle name="EYWIP" xfId="8729" xr:uid="{00000000-0005-0000-0000-0000293A0000}"/>
    <cellStyle name="F2" xfId="277" xr:uid="{00000000-0005-0000-0000-00002A3A0000}"/>
    <cellStyle name="F3" xfId="278" xr:uid="{00000000-0005-0000-0000-00002B3A0000}"/>
    <cellStyle name="F4" xfId="279" xr:uid="{00000000-0005-0000-0000-00002C3A0000}"/>
    <cellStyle name="F5" xfId="280" xr:uid="{00000000-0005-0000-0000-00002D3A0000}"/>
    <cellStyle name="F6" xfId="281" xr:uid="{00000000-0005-0000-0000-00002E3A0000}"/>
    <cellStyle name="F7" xfId="282" xr:uid="{00000000-0005-0000-0000-00002F3A0000}"/>
    <cellStyle name="F8" xfId="283" xr:uid="{00000000-0005-0000-0000-0000303A0000}"/>
    <cellStyle name="Facade Doors" xfId="8730" xr:uid="{00000000-0005-0000-0000-0000313A0000}"/>
    <cellStyle name="Fail" xfId="8731" xr:uid="{00000000-0005-0000-0000-0000323A0000}"/>
    <cellStyle name="FieldName" xfId="8732" xr:uid="{00000000-0005-0000-0000-0000333A0000}"/>
    <cellStyle name="Fijo" xfId="8733" xr:uid="{00000000-0005-0000-0000-0000343A0000}"/>
    <cellStyle name="finals" xfId="8734" xr:uid="{00000000-0005-0000-0000-0000353A0000}"/>
    <cellStyle name="Financial" xfId="8735" xr:uid="{00000000-0005-0000-0000-0000363A0000}"/>
    <cellStyle name="Financiero" xfId="8736" xr:uid="{00000000-0005-0000-0000-0000373A0000}"/>
    <cellStyle name="FiscalPeriod" xfId="8737" xr:uid="{00000000-0005-0000-0000-0000383A0000}"/>
    <cellStyle name="Fixed" xfId="284" xr:uid="{00000000-0005-0000-0000-0000393A0000}"/>
    <cellStyle name="Flashing" xfId="8738" xr:uid="{00000000-0005-0000-0000-00003A3A0000}"/>
    <cellStyle name="Flashing 2" xfId="8739" xr:uid="{00000000-0005-0000-0000-00003B3A0000}"/>
    <cellStyle name="ƒnƒCƒp[ƒŠƒ“ƒN" xfId="8740" xr:uid="{00000000-0005-0000-0000-00003C3A0000}"/>
    <cellStyle name="FOH" xfId="8741" xr:uid="{00000000-0005-0000-0000-00003D3A0000}"/>
    <cellStyle name="FOH 2" xfId="20770" xr:uid="{00000000-0005-0000-0000-00003E3A0000}"/>
    <cellStyle name="Followed Hyperlink" xfId="22577" builtinId="9" hidden="1"/>
    <cellStyle name="Followed Hyperlink" xfId="22579" builtinId="9" hidden="1"/>
    <cellStyle name="Followed Hyperlink" xfId="22581" builtinId="9" hidden="1"/>
    <cellStyle name="Followed Hyperlink" xfId="22583" builtinId="9" hidden="1"/>
    <cellStyle name="Followed Hyperlink" xfId="22585" builtinId="9" hidden="1"/>
    <cellStyle name="Followed Hyperlink" xfId="22587" builtinId="9" hidden="1"/>
    <cellStyle name="Followed Hyperlink" xfId="22589" builtinId="9" hidden="1"/>
    <cellStyle name="Followed Hyperlink" xfId="22591" builtinId="9" hidden="1"/>
    <cellStyle name="Followed Hyperlink" xfId="22593" builtinId="9" hidden="1"/>
    <cellStyle name="Followed Hyperlink" xfId="22595" builtinId="9" hidden="1"/>
    <cellStyle name="Followed Hyperlink" xfId="22597" builtinId="9" hidden="1"/>
    <cellStyle name="Followed Hyperlink" xfId="22599" builtinId="9" hidden="1"/>
    <cellStyle name="Followed Hyperlink" xfId="22601" builtinId="9" hidden="1"/>
    <cellStyle name="Followed Hyperlink" xfId="22603" builtinId="9" hidden="1"/>
    <cellStyle name="Followed Hyperlink" xfId="22605" builtinId="9" hidden="1"/>
    <cellStyle name="Followed Hyperlink" xfId="22607" builtinId="9" hidden="1"/>
    <cellStyle name="Followed Hyperlink" xfId="22609" builtinId="9" hidden="1"/>
    <cellStyle name="Followed Hyperlink" xfId="22611" builtinId="9" hidden="1"/>
    <cellStyle name="Followed Hyperlink" xfId="22613" builtinId="9" hidden="1"/>
    <cellStyle name="Followed Hyperlink" xfId="22615" builtinId="9" hidden="1"/>
    <cellStyle name="Followed Hyperlink" xfId="22617" builtinId="9" hidden="1"/>
    <cellStyle name="Followed Hyperlink" xfId="22619" builtinId="9" hidden="1"/>
    <cellStyle name="Followed Hyperlink" xfId="22621" builtinId="9" hidden="1"/>
    <cellStyle name="Followed Hyperlink" xfId="22623" builtinId="9" hidden="1"/>
    <cellStyle name="Followed Hyperlink" xfId="22632" builtinId="9" hidden="1"/>
    <cellStyle name="Followed Hyperlink" xfId="22634" builtinId="9" hidden="1"/>
    <cellStyle name="Followed Hyperlink" xfId="22636" builtinId="9" hidden="1"/>
    <cellStyle name="Followed Hyperlink" xfId="22638" builtinId="9" hidden="1"/>
    <cellStyle name="Followed Hyperlink" xfId="22640" builtinId="9" hidden="1"/>
    <cellStyle name="Followed Hyperlink" xfId="22642" builtinId="9" hidden="1"/>
    <cellStyle name="Followed Hyperlink" xfId="22644" builtinId="9" hidden="1"/>
    <cellStyle name="Followed Hyperlink" xfId="22646" builtinId="9" hidden="1"/>
    <cellStyle name="Followed Hyperlink" xfId="22648" builtinId="9" hidden="1"/>
    <cellStyle name="Followed Hyperlink" xfId="22650" builtinId="9" hidden="1"/>
    <cellStyle name="Followed Hyperlink" xfId="22652" builtinId="9" hidden="1"/>
    <cellStyle name="Followed Hyperlink" xfId="22654" builtinId="9" hidden="1"/>
    <cellStyle name="Followed Hyperlink" xfId="22656" builtinId="9" hidden="1"/>
    <cellStyle name="Followed Hyperlink" xfId="22658" builtinId="9" hidden="1"/>
    <cellStyle name="Followed Hyperlink" xfId="22660" builtinId="9" hidden="1"/>
    <cellStyle name="Followed Hyperlink" xfId="22662" builtinId="9" hidden="1"/>
    <cellStyle name="Followed Hyperlink" xfId="19346" builtinId="9" hidden="1"/>
    <cellStyle name="Followed Hyperlink" xfId="19348" builtinId="9" hidden="1"/>
    <cellStyle name="Followed Hyperlink" xfId="19350" builtinId="9" hidden="1"/>
    <cellStyle name="Followed Hyperlink" xfId="19352" builtinId="9" hidden="1"/>
    <cellStyle name="Followed Hyperlink" xfId="19362" builtinId="9" hidden="1"/>
    <cellStyle name="Followed Hyperlink" xfId="19364" builtinId="9" hidden="1"/>
    <cellStyle name="Followed Hyperlink" xfId="19366" builtinId="9" hidden="1"/>
    <cellStyle name="Followed Hyperlink" xfId="19368" builtinId="9" hidden="1"/>
    <cellStyle name="Followed Hyperlink" xfId="19370" builtinId="9" hidden="1"/>
    <cellStyle name="Followed Hyperlink" xfId="19372" builtinId="9" hidden="1"/>
    <cellStyle name="Followed Hyperlink" xfId="19374" builtinId="9" hidden="1"/>
    <cellStyle name="Followed Hyperlink" xfId="19376" builtinId="9" hidden="1"/>
    <cellStyle name="Followed Hyperlink" xfId="19378" builtinId="9" hidden="1"/>
    <cellStyle name="Followed Hyperlink" xfId="19380" builtinId="9" hidden="1"/>
    <cellStyle name="Followed Hyperlink" xfId="19382" builtinId="9" hidden="1"/>
    <cellStyle name="Followed Hyperlink" xfId="19384" builtinId="9" hidden="1"/>
    <cellStyle name="Followed Hyperlink" xfId="19386" builtinId="9" hidden="1"/>
    <cellStyle name="Followed Hyperlink" xfId="19388" builtinId="9" hidden="1"/>
    <cellStyle name="Followed Hyperlink" xfId="19390" builtinId="9" hidden="1"/>
    <cellStyle name="Followed Hyperlink" xfId="19392" builtinId="9" hidden="1"/>
    <cellStyle name="Followed Hyperlink" xfId="22559" builtinId="9" hidden="1"/>
    <cellStyle name="Followed Hyperlink" xfId="22561" builtinId="9" hidden="1"/>
    <cellStyle name="Followed Hyperlink" xfId="22563" builtinId="9" hidden="1"/>
    <cellStyle name="Followed Hyperlink" xfId="22565" builtinId="9" hidden="1"/>
    <cellStyle name="Followed Hyperlink" xfId="22567" builtinId="9" hidden="1"/>
    <cellStyle name="Followed Hyperlink" xfId="22569" builtinId="9" hidden="1"/>
    <cellStyle name="Followed Hyperlink" xfId="22571" builtinId="9" hidden="1"/>
    <cellStyle name="Followed Hyperlink" xfId="22573" builtinId="9" hidden="1"/>
    <cellStyle name="Followed Hyperlink" xfId="22575" builtinId="9" hidden="1"/>
    <cellStyle name="Followed Hyperlink" xfId="19316" builtinId="9" hidden="1"/>
    <cellStyle name="Followed Hyperlink" xfId="19318" builtinId="9" hidden="1"/>
    <cellStyle name="Followed Hyperlink" xfId="19320" builtinId="9" hidden="1"/>
    <cellStyle name="Followed Hyperlink" xfId="19322" builtinId="9" hidden="1"/>
    <cellStyle name="Followed Hyperlink" xfId="19324" builtinId="9" hidden="1"/>
    <cellStyle name="Followed Hyperlink" xfId="19326" builtinId="9" hidden="1"/>
    <cellStyle name="Followed Hyperlink" xfId="19328" builtinId="9" hidden="1"/>
    <cellStyle name="Followed Hyperlink" xfId="19330" builtinId="9" hidden="1"/>
    <cellStyle name="Followed Hyperlink" xfId="19332" builtinId="9" hidden="1"/>
    <cellStyle name="Followed Hyperlink" xfId="19334" builtinId="9" hidden="1"/>
    <cellStyle name="Followed Hyperlink" xfId="19336" builtinId="9" hidden="1"/>
    <cellStyle name="Followed Hyperlink" xfId="19338" builtinId="9" hidden="1"/>
    <cellStyle name="Followed Hyperlink" xfId="19340" builtinId="9" hidden="1"/>
    <cellStyle name="Followed Hyperlink" xfId="19342" builtinId="9" hidden="1"/>
    <cellStyle name="Followed Hyperlink" xfId="19344" builtinId="9" hidden="1"/>
    <cellStyle name="Followed Hyperlink" xfId="19302" builtinId="9" hidden="1"/>
    <cellStyle name="Followed Hyperlink" xfId="19304" builtinId="9" hidden="1"/>
    <cellStyle name="Followed Hyperlink" xfId="19306" builtinId="9" hidden="1"/>
    <cellStyle name="Followed Hyperlink" xfId="19308" builtinId="9" hidden="1"/>
    <cellStyle name="Followed Hyperlink" xfId="19310" builtinId="9" hidden="1"/>
    <cellStyle name="Followed Hyperlink" xfId="19312" builtinId="9" hidden="1"/>
    <cellStyle name="Followed Hyperlink" xfId="19314" builtinId="9" hidden="1"/>
    <cellStyle name="Followed Hyperlink" xfId="19294" builtinId="9" hidden="1"/>
    <cellStyle name="Followed Hyperlink" xfId="19296" builtinId="9" hidden="1"/>
    <cellStyle name="Followed Hyperlink" xfId="19298" builtinId="9" hidden="1"/>
    <cellStyle name="Followed Hyperlink" xfId="19300" builtinId="9" hidden="1"/>
    <cellStyle name="Followed Hyperlink" xfId="19290" builtinId="9" hidden="1"/>
    <cellStyle name="Followed Hyperlink" xfId="19292" builtinId="9" hidden="1"/>
    <cellStyle name="Followed Hyperlink" xfId="19288" builtinId="9" hidden="1"/>
    <cellStyle name="FOOTER - Style1" xfId="8742" xr:uid="{00000000-0005-0000-0000-0000A13A0000}"/>
    <cellStyle name="Footnote" xfId="8743" xr:uid="{00000000-0005-0000-0000-0000A23A0000}"/>
    <cellStyle name="Footnote8ital" xfId="8744" xr:uid="{00000000-0005-0000-0000-0000A33A0000}"/>
    <cellStyle name="Foottitle" xfId="8745" xr:uid="{00000000-0005-0000-0000-0000A43A0000}"/>
    <cellStyle name="FORM" xfId="8746" xr:uid="{00000000-0005-0000-0000-0000A53A0000}"/>
    <cellStyle name="Format Number Column" xfId="8747" xr:uid="{00000000-0005-0000-0000-0000A63A0000}"/>
    <cellStyle name="Formula" xfId="8748" xr:uid="{00000000-0005-0000-0000-0000A73A0000}"/>
    <cellStyle name="Formula 2" xfId="20771" xr:uid="{00000000-0005-0000-0000-0000A83A0000}"/>
    <cellStyle name="G02 Table Text" xfId="8749" xr:uid="{00000000-0005-0000-0000-0000A93A0000}"/>
    <cellStyle name="G04_Main head" xfId="8750" xr:uid="{00000000-0005-0000-0000-0000AA3A0000}"/>
    <cellStyle name="G05 Tab Head Bold" xfId="8751" xr:uid="{00000000-0005-0000-0000-0000AB3A0000}"/>
    <cellStyle name="G05 Tab Head Light" xfId="8752" xr:uid="{00000000-0005-0000-0000-0000AC3A0000}"/>
    <cellStyle name="G10" xfId="8753" xr:uid="{00000000-0005-0000-0000-0000AD3A0000}"/>
    <cellStyle name="General" xfId="8754" xr:uid="{00000000-0005-0000-0000-0000AE3A0000}"/>
    <cellStyle name="General 2" xfId="8755" xr:uid="{00000000-0005-0000-0000-0000AF3A0000}"/>
    <cellStyle name="General 2 2" xfId="20773" xr:uid="{00000000-0005-0000-0000-0000B03A0000}"/>
    <cellStyle name="General 3" xfId="8756" xr:uid="{00000000-0005-0000-0000-0000B13A0000}"/>
    <cellStyle name="General 3 2" xfId="20774" xr:uid="{00000000-0005-0000-0000-0000B23A0000}"/>
    <cellStyle name="General 4" xfId="20772" xr:uid="{00000000-0005-0000-0000-0000B33A0000}"/>
    <cellStyle name="Good 10" xfId="8757" xr:uid="{00000000-0005-0000-0000-0000B43A0000}"/>
    <cellStyle name="Good 11" xfId="8758" xr:uid="{00000000-0005-0000-0000-0000B53A0000}"/>
    <cellStyle name="Good 12" xfId="8759" xr:uid="{00000000-0005-0000-0000-0000B63A0000}"/>
    <cellStyle name="Good 13" xfId="8760" xr:uid="{00000000-0005-0000-0000-0000B73A0000}"/>
    <cellStyle name="Good 14" xfId="8761" xr:uid="{00000000-0005-0000-0000-0000B83A0000}"/>
    <cellStyle name="Good 15" xfId="8762" xr:uid="{00000000-0005-0000-0000-0000B93A0000}"/>
    <cellStyle name="Good 16" xfId="8763" xr:uid="{00000000-0005-0000-0000-0000BA3A0000}"/>
    <cellStyle name="Good 17" xfId="8764" xr:uid="{00000000-0005-0000-0000-0000BB3A0000}"/>
    <cellStyle name="Good 18" xfId="8765" xr:uid="{00000000-0005-0000-0000-0000BC3A0000}"/>
    <cellStyle name="Good 19" xfId="8766" xr:uid="{00000000-0005-0000-0000-0000BD3A0000}"/>
    <cellStyle name="Good 2" xfId="285" xr:uid="{00000000-0005-0000-0000-0000BE3A0000}"/>
    <cellStyle name="Good 2 10" xfId="8767" xr:uid="{00000000-0005-0000-0000-0000BF3A0000}"/>
    <cellStyle name="Good 2 11" xfId="8768" xr:uid="{00000000-0005-0000-0000-0000C03A0000}"/>
    <cellStyle name="Good 2 12" xfId="8769" xr:uid="{00000000-0005-0000-0000-0000C13A0000}"/>
    <cellStyle name="Good 2 13" xfId="8770" xr:uid="{00000000-0005-0000-0000-0000C23A0000}"/>
    <cellStyle name="Good 2 14" xfId="8771" xr:uid="{00000000-0005-0000-0000-0000C33A0000}"/>
    <cellStyle name="Good 2 15" xfId="8772" xr:uid="{00000000-0005-0000-0000-0000C43A0000}"/>
    <cellStyle name="Good 2 16" xfId="8773" xr:uid="{00000000-0005-0000-0000-0000C53A0000}"/>
    <cellStyle name="Good 2 17" xfId="8774" xr:uid="{00000000-0005-0000-0000-0000C63A0000}"/>
    <cellStyle name="Good 2 18" xfId="8775" xr:uid="{00000000-0005-0000-0000-0000C73A0000}"/>
    <cellStyle name="Good 2 19" xfId="8776" xr:uid="{00000000-0005-0000-0000-0000C83A0000}"/>
    <cellStyle name="Good 2 2" xfId="8777" xr:uid="{00000000-0005-0000-0000-0000C93A0000}"/>
    <cellStyle name="Good 2 20" xfId="8778" xr:uid="{00000000-0005-0000-0000-0000CA3A0000}"/>
    <cellStyle name="Good 2 21" xfId="8779" xr:uid="{00000000-0005-0000-0000-0000CB3A0000}"/>
    <cellStyle name="Good 2 22" xfId="8780" xr:uid="{00000000-0005-0000-0000-0000CC3A0000}"/>
    <cellStyle name="Good 2 23" xfId="8781" xr:uid="{00000000-0005-0000-0000-0000CD3A0000}"/>
    <cellStyle name="Good 2 24" xfId="8782" xr:uid="{00000000-0005-0000-0000-0000CE3A0000}"/>
    <cellStyle name="Good 2 25" xfId="8783" xr:uid="{00000000-0005-0000-0000-0000CF3A0000}"/>
    <cellStyle name="Good 2 26" xfId="8784" xr:uid="{00000000-0005-0000-0000-0000D03A0000}"/>
    <cellStyle name="Good 2 27" xfId="8785" xr:uid="{00000000-0005-0000-0000-0000D13A0000}"/>
    <cellStyle name="Good 2 28" xfId="8786" xr:uid="{00000000-0005-0000-0000-0000D23A0000}"/>
    <cellStyle name="Good 2 29" xfId="8787" xr:uid="{00000000-0005-0000-0000-0000D33A0000}"/>
    <cellStyle name="Good 2 3" xfId="8788" xr:uid="{00000000-0005-0000-0000-0000D43A0000}"/>
    <cellStyle name="Good 2 30" xfId="8789" xr:uid="{00000000-0005-0000-0000-0000D53A0000}"/>
    <cellStyle name="Good 2 31" xfId="8790" xr:uid="{00000000-0005-0000-0000-0000D63A0000}"/>
    <cellStyle name="Good 2 32" xfId="8791" xr:uid="{00000000-0005-0000-0000-0000D73A0000}"/>
    <cellStyle name="Good 2 33" xfId="8792" xr:uid="{00000000-0005-0000-0000-0000D83A0000}"/>
    <cellStyle name="Good 2 34" xfId="8793" xr:uid="{00000000-0005-0000-0000-0000D93A0000}"/>
    <cellStyle name="Good 2 35" xfId="8794" xr:uid="{00000000-0005-0000-0000-0000DA3A0000}"/>
    <cellStyle name="Good 2 36" xfId="8795" xr:uid="{00000000-0005-0000-0000-0000DB3A0000}"/>
    <cellStyle name="Good 2 37" xfId="8796" xr:uid="{00000000-0005-0000-0000-0000DC3A0000}"/>
    <cellStyle name="Good 2 38" xfId="8797" xr:uid="{00000000-0005-0000-0000-0000DD3A0000}"/>
    <cellStyle name="Good 2 39" xfId="8798" xr:uid="{00000000-0005-0000-0000-0000DE3A0000}"/>
    <cellStyle name="Good 2 4" xfId="8799" xr:uid="{00000000-0005-0000-0000-0000DF3A0000}"/>
    <cellStyle name="Good 2 40" xfId="8800" xr:uid="{00000000-0005-0000-0000-0000E03A0000}"/>
    <cellStyle name="Good 2 41" xfId="8801" xr:uid="{00000000-0005-0000-0000-0000E13A0000}"/>
    <cellStyle name="Good 2 42" xfId="8802" xr:uid="{00000000-0005-0000-0000-0000E23A0000}"/>
    <cellStyle name="Good 2 5" xfId="8803" xr:uid="{00000000-0005-0000-0000-0000E33A0000}"/>
    <cellStyle name="Good 2 6" xfId="8804" xr:uid="{00000000-0005-0000-0000-0000E43A0000}"/>
    <cellStyle name="Good 2 7" xfId="8805" xr:uid="{00000000-0005-0000-0000-0000E53A0000}"/>
    <cellStyle name="Good 2 8" xfId="8806" xr:uid="{00000000-0005-0000-0000-0000E63A0000}"/>
    <cellStyle name="Good 2 9" xfId="8807" xr:uid="{00000000-0005-0000-0000-0000E73A0000}"/>
    <cellStyle name="Good 2_DATA Input" xfId="8808" xr:uid="{00000000-0005-0000-0000-0000E83A0000}"/>
    <cellStyle name="Good 20" xfId="8809" xr:uid="{00000000-0005-0000-0000-0000E93A0000}"/>
    <cellStyle name="Good 21" xfId="8810" xr:uid="{00000000-0005-0000-0000-0000EA3A0000}"/>
    <cellStyle name="Good 22" xfId="8811" xr:uid="{00000000-0005-0000-0000-0000EB3A0000}"/>
    <cellStyle name="Good 23" xfId="8812" xr:uid="{00000000-0005-0000-0000-0000EC3A0000}"/>
    <cellStyle name="Good 24" xfId="8813" xr:uid="{00000000-0005-0000-0000-0000ED3A0000}"/>
    <cellStyle name="Good 3" xfId="8814" xr:uid="{00000000-0005-0000-0000-0000EE3A0000}"/>
    <cellStyle name="Good 3 10" xfId="8815" xr:uid="{00000000-0005-0000-0000-0000EF3A0000}"/>
    <cellStyle name="Good 3 11" xfId="8816" xr:uid="{00000000-0005-0000-0000-0000F03A0000}"/>
    <cellStyle name="Good 3 12" xfId="8817" xr:uid="{00000000-0005-0000-0000-0000F13A0000}"/>
    <cellStyle name="Good 3 13" xfId="8818" xr:uid="{00000000-0005-0000-0000-0000F23A0000}"/>
    <cellStyle name="Good 3 14" xfId="8819" xr:uid="{00000000-0005-0000-0000-0000F33A0000}"/>
    <cellStyle name="Good 3 15" xfId="8820" xr:uid="{00000000-0005-0000-0000-0000F43A0000}"/>
    <cellStyle name="Good 3 16" xfId="8821" xr:uid="{00000000-0005-0000-0000-0000F53A0000}"/>
    <cellStyle name="Good 3 17" xfId="8822" xr:uid="{00000000-0005-0000-0000-0000F63A0000}"/>
    <cellStyle name="Good 3 18" xfId="8823" xr:uid="{00000000-0005-0000-0000-0000F73A0000}"/>
    <cellStyle name="Good 3 19" xfId="8824" xr:uid="{00000000-0005-0000-0000-0000F83A0000}"/>
    <cellStyle name="Good 3 2" xfId="8825" xr:uid="{00000000-0005-0000-0000-0000F93A0000}"/>
    <cellStyle name="Good 3 20" xfId="8826" xr:uid="{00000000-0005-0000-0000-0000FA3A0000}"/>
    <cellStyle name="Good 3 21" xfId="8827" xr:uid="{00000000-0005-0000-0000-0000FB3A0000}"/>
    <cellStyle name="Good 3 22" xfId="8828" xr:uid="{00000000-0005-0000-0000-0000FC3A0000}"/>
    <cellStyle name="Good 3 23" xfId="8829" xr:uid="{00000000-0005-0000-0000-0000FD3A0000}"/>
    <cellStyle name="Good 3 24" xfId="8830" xr:uid="{00000000-0005-0000-0000-0000FE3A0000}"/>
    <cellStyle name="Good 3 25" xfId="8831" xr:uid="{00000000-0005-0000-0000-0000FF3A0000}"/>
    <cellStyle name="Good 3 26" xfId="8832" xr:uid="{00000000-0005-0000-0000-0000003B0000}"/>
    <cellStyle name="Good 3 27" xfId="8833" xr:uid="{00000000-0005-0000-0000-0000013B0000}"/>
    <cellStyle name="Good 3 28" xfId="8834" xr:uid="{00000000-0005-0000-0000-0000023B0000}"/>
    <cellStyle name="Good 3 29" xfId="8835" xr:uid="{00000000-0005-0000-0000-0000033B0000}"/>
    <cellStyle name="Good 3 3" xfId="8836" xr:uid="{00000000-0005-0000-0000-0000043B0000}"/>
    <cellStyle name="Good 3 30" xfId="8837" xr:uid="{00000000-0005-0000-0000-0000053B0000}"/>
    <cellStyle name="Good 3 31" xfId="8838" xr:uid="{00000000-0005-0000-0000-0000063B0000}"/>
    <cellStyle name="Good 3 32" xfId="8839" xr:uid="{00000000-0005-0000-0000-0000073B0000}"/>
    <cellStyle name="Good 3 4" xfId="8840" xr:uid="{00000000-0005-0000-0000-0000083B0000}"/>
    <cellStyle name="Good 3 5" xfId="8841" xr:uid="{00000000-0005-0000-0000-0000093B0000}"/>
    <cellStyle name="Good 3 6" xfId="8842" xr:uid="{00000000-0005-0000-0000-00000A3B0000}"/>
    <cellStyle name="Good 3 7" xfId="8843" xr:uid="{00000000-0005-0000-0000-00000B3B0000}"/>
    <cellStyle name="Good 3 8" xfId="8844" xr:uid="{00000000-0005-0000-0000-00000C3B0000}"/>
    <cellStyle name="Good 3 9" xfId="8845" xr:uid="{00000000-0005-0000-0000-00000D3B0000}"/>
    <cellStyle name="Good 4" xfId="8846" xr:uid="{00000000-0005-0000-0000-00000E3B0000}"/>
    <cellStyle name="Good 5" xfId="8847" xr:uid="{00000000-0005-0000-0000-00000F3B0000}"/>
    <cellStyle name="Good 6" xfId="8848" xr:uid="{00000000-0005-0000-0000-0000103B0000}"/>
    <cellStyle name="Good 7" xfId="8849" xr:uid="{00000000-0005-0000-0000-0000113B0000}"/>
    <cellStyle name="Good 8" xfId="8850" xr:uid="{00000000-0005-0000-0000-0000123B0000}"/>
    <cellStyle name="Good 9" xfId="8851" xr:uid="{00000000-0005-0000-0000-0000133B0000}"/>
    <cellStyle name="Green" xfId="8852" xr:uid="{00000000-0005-0000-0000-0000143B0000}"/>
    <cellStyle name="Grey" xfId="286" xr:uid="{00000000-0005-0000-0000-0000153B0000}"/>
    <cellStyle name="Grey 2" xfId="287" xr:uid="{00000000-0005-0000-0000-0000163B0000}"/>
    <cellStyle name="h" xfId="8853" xr:uid="{00000000-0005-0000-0000-0000173B0000}"/>
    <cellStyle name="hard no" xfId="8854" xr:uid="{00000000-0005-0000-0000-0000183B0000}"/>
    <cellStyle name="hard no." xfId="8855" xr:uid="{00000000-0005-0000-0000-0000193B0000}"/>
    <cellStyle name="hard no. 2" xfId="8856" xr:uid="{00000000-0005-0000-0000-00001A3B0000}"/>
    <cellStyle name="hard no. 2 2" xfId="20776" xr:uid="{00000000-0005-0000-0000-00001B3B0000}"/>
    <cellStyle name="hard no. 3" xfId="8857" xr:uid="{00000000-0005-0000-0000-00001C3B0000}"/>
    <cellStyle name="hard no. 3 2" xfId="20777" xr:uid="{00000000-0005-0000-0000-00001D3B0000}"/>
    <cellStyle name="hard no. 4" xfId="20775" xr:uid="{00000000-0005-0000-0000-00001E3B0000}"/>
    <cellStyle name="Hard Percent" xfId="8858" xr:uid="{00000000-0005-0000-0000-00001F3B0000}"/>
    <cellStyle name="hardno" xfId="8859" xr:uid="{00000000-0005-0000-0000-0000203B0000}"/>
    <cellStyle name="Header" xfId="288" xr:uid="{00000000-0005-0000-0000-0000213B0000}"/>
    <cellStyle name="Header 10" xfId="8860" xr:uid="{00000000-0005-0000-0000-0000223B0000}"/>
    <cellStyle name="Header 11" xfId="8861" xr:uid="{00000000-0005-0000-0000-0000233B0000}"/>
    <cellStyle name="Header 12" xfId="8862" xr:uid="{00000000-0005-0000-0000-0000243B0000}"/>
    <cellStyle name="Header 13" xfId="8863" xr:uid="{00000000-0005-0000-0000-0000253B0000}"/>
    <cellStyle name="Header 14" xfId="8864" xr:uid="{00000000-0005-0000-0000-0000263B0000}"/>
    <cellStyle name="Header 15" xfId="8865" xr:uid="{00000000-0005-0000-0000-0000273B0000}"/>
    <cellStyle name="Header 16" xfId="8866" xr:uid="{00000000-0005-0000-0000-0000283B0000}"/>
    <cellStyle name="Header 17" xfId="8867" xr:uid="{00000000-0005-0000-0000-0000293B0000}"/>
    <cellStyle name="Header 18" xfId="8868" xr:uid="{00000000-0005-0000-0000-00002A3B0000}"/>
    <cellStyle name="Header 19" xfId="8869" xr:uid="{00000000-0005-0000-0000-00002B3B0000}"/>
    <cellStyle name="HEADER 2" xfId="289" xr:uid="{00000000-0005-0000-0000-00002C3B0000}"/>
    <cellStyle name="Header 20" xfId="8870" xr:uid="{00000000-0005-0000-0000-00002D3B0000}"/>
    <cellStyle name="Header 21" xfId="8871" xr:uid="{00000000-0005-0000-0000-00002E3B0000}"/>
    <cellStyle name="Header 22" xfId="8872" xr:uid="{00000000-0005-0000-0000-00002F3B0000}"/>
    <cellStyle name="Header 23" xfId="8873" xr:uid="{00000000-0005-0000-0000-0000303B0000}"/>
    <cellStyle name="Header 24" xfId="8874" xr:uid="{00000000-0005-0000-0000-0000313B0000}"/>
    <cellStyle name="Header 25" xfId="8875" xr:uid="{00000000-0005-0000-0000-0000323B0000}"/>
    <cellStyle name="Header 26" xfId="8876" xr:uid="{00000000-0005-0000-0000-0000333B0000}"/>
    <cellStyle name="Header 27" xfId="8877" xr:uid="{00000000-0005-0000-0000-0000343B0000}"/>
    <cellStyle name="Header 28" xfId="8878" xr:uid="{00000000-0005-0000-0000-0000353B0000}"/>
    <cellStyle name="Header 29" xfId="8879" xr:uid="{00000000-0005-0000-0000-0000363B0000}"/>
    <cellStyle name="Header 3" xfId="8880" xr:uid="{00000000-0005-0000-0000-0000373B0000}"/>
    <cellStyle name="Header 30" xfId="8881" xr:uid="{00000000-0005-0000-0000-0000383B0000}"/>
    <cellStyle name="Header 31" xfId="8882" xr:uid="{00000000-0005-0000-0000-0000393B0000}"/>
    <cellStyle name="Header 32" xfId="8883" xr:uid="{00000000-0005-0000-0000-00003A3B0000}"/>
    <cellStyle name="Header 33" xfId="8884" xr:uid="{00000000-0005-0000-0000-00003B3B0000}"/>
    <cellStyle name="Header 34" xfId="8885" xr:uid="{00000000-0005-0000-0000-00003C3B0000}"/>
    <cellStyle name="Header 35" xfId="8886" xr:uid="{00000000-0005-0000-0000-00003D3B0000}"/>
    <cellStyle name="Header 36" xfId="8887" xr:uid="{00000000-0005-0000-0000-00003E3B0000}"/>
    <cellStyle name="Header 37" xfId="8888" xr:uid="{00000000-0005-0000-0000-00003F3B0000}"/>
    <cellStyle name="Header 38" xfId="8889" xr:uid="{00000000-0005-0000-0000-0000403B0000}"/>
    <cellStyle name="Header 39" xfId="8890" xr:uid="{00000000-0005-0000-0000-0000413B0000}"/>
    <cellStyle name="Header 4" xfId="8891" xr:uid="{00000000-0005-0000-0000-0000423B0000}"/>
    <cellStyle name="Header 40" xfId="8892" xr:uid="{00000000-0005-0000-0000-0000433B0000}"/>
    <cellStyle name="Header 41" xfId="8893" xr:uid="{00000000-0005-0000-0000-0000443B0000}"/>
    <cellStyle name="Header 42" xfId="8894" xr:uid="{00000000-0005-0000-0000-0000453B0000}"/>
    <cellStyle name="Header 43" xfId="8895" xr:uid="{00000000-0005-0000-0000-0000463B0000}"/>
    <cellStyle name="Header 5" xfId="8896" xr:uid="{00000000-0005-0000-0000-0000473B0000}"/>
    <cellStyle name="Header 6" xfId="8897" xr:uid="{00000000-0005-0000-0000-0000483B0000}"/>
    <cellStyle name="Header 7" xfId="8898" xr:uid="{00000000-0005-0000-0000-0000493B0000}"/>
    <cellStyle name="Header 8" xfId="8899" xr:uid="{00000000-0005-0000-0000-00004A3B0000}"/>
    <cellStyle name="Header 9" xfId="8900" xr:uid="{00000000-0005-0000-0000-00004B3B0000}"/>
    <cellStyle name="Header_Input" xfId="8901" xr:uid="{00000000-0005-0000-0000-00004C3B0000}"/>
    <cellStyle name="Header1" xfId="290" xr:uid="{00000000-0005-0000-0000-00004D3B0000}"/>
    <cellStyle name="Header1 10" xfId="8902" xr:uid="{00000000-0005-0000-0000-00004E3B0000}"/>
    <cellStyle name="Header1 10 2" xfId="20778" xr:uid="{00000000-0005-0000-0000-00004F3B0000}"/>
    <cellStyle name="Header1 11" xfId="8903" xr:uid="{00000000-0005-0000-0000-0000503B0000}"/>
    <cellStyle name="Header1 11 2" xfId="20779" xr:uid="{00000000-0005-0000-0000-0000513B0000}"/>
    <cellStyle name="Header1 12" xfId="8904" xr:uid="{00000000-0005-0000-0000-0000523B0000}"/>
    <cellStyle name="Header1 12 2" xfId="20780" xr:uid="{00000000-0005-0000-0000-0000533B0000}"/>
    <cellStyle name="Header1 13" xfId="8905" xr:uid="{00000000-0005-0000-0000-0000543B0000}"/>
    <cellStyle name="Header1 13 2" xfId="20781" xr:uid="{00000000-0005-0000-0000-0000553B0000}"/>
    <cellStyle name="Header1 14" xfId="8906" xr:uid="{00000000-0005-0000-0000-0000563B0000}"/>
    <cellStyle name="Header1 14 2" xfId="20782" xr:uid="{00000000-0005-0000-0000-0000573B0000}"/>
    <cellStyle name="Header1 15" xfId="8907" xr:uid="{00000000-0005-0000-0000-0000583B0000}"/>
    <cellStyle name="Header1 15 2" xfId="20783" xr:uid="{00000000-0005-0000-0000-0000593B0000}"/>
    <cellStyle name="Header1 16" xfId="8908" xr:uid="{00000000-0005-0000-0000-00005A3B0000}"/>
    <cellStyle name="Header1 16 2" xfId="20784" xr:uid="{00000000-0005-0000-0000-00005B3B0000}"/>
    <cellStyle name="Header1 17" xfId="8909" xr:uid="{00000000-0005-0000-0000-00005C3B0000}"/>
    <cellStyle name="Header1 17 2" xfId="20785" xr:uid="{00000000-0005-0000-0000-00005D3B0000}"/>
    <cellStyle name="Header1 18" xfId="8910" xr:uid="{00000000-0005-0000-0000-00005E3B0000}"/>
    <cellStyle name="Header1 18 2" xfId="20786" xr:uid="{00000000-0005-0000-0000-00005F3B0000}"/>
    <cellStyle name="Header1 19" xfId="8911" xr:uid="{00000000-0005-0000-0000-0000603B0000}"/>
    <cellStyle name="Header1 19 2" xfId="20787" xr:uid="{00000000-0005-0000-0000-0000613B0000}"/>
    <cellStyle name="Header1 2" xfId="8912" xr:uid="{00000000-0005-0000-0000-0000623B0000}"/>
    <cellStyle name="Header1 2 2" xfId="20788" xr:uid="{00000000-0005-0000-0000-0000633B0000}"/>
    <cellStyle name="Header1 20" xfId="8913" xr:uid="{00000000-0005-0000-0000-0000643B0000}"/>
    <cellStyle name="Header1 20 2" xfId="20789" xr:uid="{00000000-0005-0000-0000-0000653B0000}"/>
    <cellStyle name="Header1 21" xfId="8914" xr:uid="{00000000-0005-0000-0000-0000663B0000}"/>
    <cellStyle name="Header1 21 2" xfId="20790" xr:uid="{00000000-0005-0000-0000-0000673B0000}"/>
    <cellStyle name="Header1 22" xfId="8915" xr:uid="{00000000-0005-0000-0000-0000683B0000}"/>
    <cellStyle name="Header1 22 2" xfId="20791" xr:uid="{00000000-0005-0000-0000-0000693B0000}"/>
    <cellStyle name="Header1 23" xfId="8916" xr:uid="{00000000-0005-0000-0000-00006A3B0000}"/>
    <cellStyle name="Header1 23 2" xfId="20792" xr:uid="{00000000-0005-0000-0000-00006B3B0000}"/>
    <cellStyle name="Header1 24" xfId="8917" xr:uid="{00000000-0005-0000-0000-00006C3B0000}"/>
    <cellStyle name="Header1 24 2" xfId="20793" xr:uid="{00000000-0005-0000-0000-00006D3B0000}"/>
    <cellStyle name="Header1 25" xfId="8918" xr:uid="{00000000-0005-0000-0000-00006E3B0000}"/>
    <cellStyle name="Header1 25 2" xfId="20794" xr:uid="{00000000-0005-0000-0000-00006F3B0000}"/>
    <cellStyle name="Header1 26" xfId="8919" xr:uid="{00000000-0005-0000-0000-0000703B0000}"/>
    <cellStyle name="Header1 26 2" xfId="20795" xr:uid="{00000000-0005-0000-0000-0000713B0000}"/>
    <cellStyle name="Header1 27" xfId="8920" xr:uid="{00000000-0005-0000-0000-0000723B0000}"/>
    <cellStyle name="Header1 27 2" xfId="20796" xr:uid="{00000000-0005-0000-0000-0000733B0000}"/>
    <cellStyle name="Header1 28" xfId="8921" xr:uid="{00000000-0005-0000-0000-0000743B0000}"/>
    <cellStyle name="Header1 28 2" xfId="20797" xr:uid="{00000000-0005-0000-0000-0000753B0000}"/>
    <cellStyle name="Header1 29" xfId="8922" xr:uid="{00000000-0005-0000-0000-0000763B0000}"/>
    <cellStyle name="Header1 29 2" xfId="20798" xr:uid="{00000000-0005-0000-0000-0000773B0000}"/>
    <cellStyle name="Header1 3" xfId="8923" xr:uid="{00000000-0005-0000-0000-0000783B0000}"/>
    <cellStyle name="Header1 3 2" xfId="20799" xr:uid="{00000000-0005-0000-0000-0000793B0000}"/>
    <cellStyle name="Header1 30" xfId="8924" xr:uid="{00000000-0005-0000-0000-00007A3B0000}"/>
    <cellStyle name="Header1 30 2" xfId="20800" xr:uid="{00000000-0005-0000-0000-00007B3B0000}"/>
    <cellStyle name="Header1 31" xfId="8925" xr:uid="{00000000-0005-0000-0000-00007C3B0000}"/>
    <cellStyle name="Header1 31 2" xfId="20801" xr:uid="{00000000-0005-0000-0000-00007D3B0000}"/>
    <cellStyle name="Header1 32" xfId="8926" xr:uid="{00000000-0005-0000-0000-00007E3B0000}"/>
    <cellStyle name="Header1 32 2" xfId="20802" xr:uid="{00000000-0005-0000-0000-00007F3B0000}"/>
    <cellStyle name="Header1 33" xfId="19407" xr:uid="{00000000-0005-0000-0000-0000803B0000}"/>
    <cellStyle name="Header1 4" xfId="8927" xr:uid="{00000000-0005-0000-0000-0000813B0000}"/>
    <cellStyle name="Header1 4 2" xfId="20803" xr:uid="{00000000-0005-0000-0000-0000823B0000}"/>
    <cellStyle name="Header1 5" xfId="8928" xr:uid="{00000000-0005-0000-0000-0000833B0000}"/>
    <cellStyle name="Header1 5 2" xfId="20804" xr:uid="{00000000-0005-0000-0000-0000843B0000}"/>
    <cellStyle name="Header1 6" xfId="8929" xr:uid="{00000000-0005-0000-0000-0000853B0000}"/>
    <cellStyle name="Header1 6 2" xfId="20805" xr:uid="{00000000-0005-0000-0000-0000863B0000}"/>
    <cellStyle name="Header1 7" xfId="8930" xr:uid="{00000000-0005-0000-0000-0000873B0000}"/>
    <cellStyle name="Header1 7 2" xfId="20806" xr:uid="{00000000-0005-0000-0000-0000883B0000}"/>
    <cellStyle name="Header1 8" xfId="8931" xr:uid="{00000000-0005-0000-0000-0000893B0000}"/>
    <cellStyle name="Header1 8 2" xfId="20807" xr:uid="{00000000-0005-0000-0000-00008A3B0000}"/>
    <cellStyle name="Header1 9" xfId="8932" xr:uid="{00000000-0005-0000-0000-00008B3B0000}"/>
    <cellStyle name="Header1 9 2" xfId="20808" xr:uid="{00000000-0005-0000-0000-00008C3B0000}"/>
    <cellStyle name="Header2" xfId="291" xr:uid="{00000000-0005-0000-0000-00008D3B0000}"/>
    <cellStyle name="Header2 10" xfId="8933" xr:uid="{00000000-0005-0000-0000-00008E3B0000}"/>
    <cellStyle name="Header2 10 2" xfId="20809" xr:uid="{00000000-0005-0000-0000-00008F3B0000}"/>
    <cellStyle name="Header2 11" xfId="8934" xr:uid="{00000000-0005-0000-0000-0000903B0000}"/>
    <cellStyle name="Header2 11 2" xfId="20810" xr:uid="{00000000-0005-0000-0000-0000913B0000}"/>
    <cellStyle name="Header2 12" xfId="8935" xr:uid="{00000000-0005-0000-0000-0000923B0000}"/>
    <cellStyle name="Header2 12 2" xfId="20811" xr:uid="{00000000-0005-0000-0000-0000933B0000}"/>
    <cellStyle name="Header2 13" xfId="8936" xr:uid="{00000000-0005-0000-0000-0000943B0000}"/>
    <cellStyle name="Header2 13 2" xfId="20812" xr:uid="{00000000-0005-0000-0000-0000953B0000}"/>
    <cellStyle name="Header2 14" xfId="8937" xr:uid="{00000000-0005-0000-0000-0000963B0000}"/>
    <cellStyle name="Header2 14 2" xfId="20813" xr:uid="{00000000-0005-0000-0000-0000973B0000}"/>
    <cellStyle name="Header2 15" xfId="8938" xr:uid="{00000000-0005-0000-0000-0000983B0000}"/>
    <cellStyle name="Header2 15 2" xfId="20814" xr:uid="{00000000-0005-0000-0000-0000993B0000}"/>
    <cellStyle name="Header2 16" xfId="8939" xr:uid="{00000000-0005-0000-0000-00009A3B0000}"/>
    <cellStyle name="Header2 16 2" xfId="20815" xr:uid="{00000000-0005-0000-0000-00009B3B0000}"/>
    <cellStyle name="Header2 17" xfId="8940" xr:uid="{00000000-0005-0000-0000-00009C3B0000}"/>
    <cellStyle name="Header2 17 2" xfId="20816" xr:uid="{00000000-0005-0000-0000-00009D3B0000}"/>
    <cellStyle name="Header2 18" xfId="8941" xr:uid="{00000000-0005-0000-0000-00009E3B0000}"/>
    <cellStyle name="Header2 18 2" xfId="20817" xr:uid="{00000000-0005-0000-0000-00009F3B0000}"/>
    <cellStyle name="Header2 19" xfId="8942" xr:uid="{00000000-0005-0000-0000-0000A03B0000}"/>
    <cellStyle name="Header2 19 2" xfId="20818" xr:uid="{00000000-0005-0000-0000-0000A13B0000}"/>
    <cellStyle name="Header2 2" xfId="8943" xr:uid="{00000000-0005-0000-0000-0000A23B0000}"/>
    <cellStyle name="Header2 2 2" xfId="20819" xr:uid="{00000000-0005-0000-0000-0000A33B0000}"/>
    <cellStyle name="Header2 20" xfId="8944" xr:uid="{00000000-0005-0000-0000-0000A43B0000}"/>
    <cellStyle name="Header2 20 2" xfId="20820" xr:uid="{00000000-0005-0000-0000-0000A53B0000}"/>
    <cellStyle name="Header2 21" xfId="8945" xr:uid="{00000000-0005-0000-0000-0000A63B0000}"/>
    <cellStyle name="Header2 21 2" xfId="20821" xr:uid="{00000000-0005-0000-0000-0000A73B0000}"/>
    <cellStyle name="Header2 22" xfId="8946" xr:uid="{00000000-0005-0000-0000-0000A83B0000}"/>
    <cellStyle name="Header2 22 2" xfId="20822" xr:uid="{00000000-0005-0000-0000-0000A93B0000}"/>
    <cellStyle name="Header2 23" xfId="8947" xr:uid="{00000000-0005-0000-0000-0000AA3B0000}"/>
    <cellStyle name="Header2 23 2" xfId="20823" xr:uid="{00000000-0005-0000-0000-0000AB3B0000}"/>
    <cellStyle name="Header2 24" xfId="8948" xr:uid="{00000000-0005-0000-0000-0000AC3B0000}"/>
    <cellStyle name="Header2 24 2" xfId="20824" xr:uid="{00000000-0005-0000-0000-0000AD3B0000}"/>
    <cellStyle name="Header2 25" xfId="8949" xr:uid="{00000000-0005-0000-0000-0000AE3B0000}"/>
    <cellStyle name="Header2 25 2" xfId="20825" xr:uid="{00000000-0005-0000-0000-0000AF3B0000}"/>
    <cellStyle name="Header2 26" xfId="8950" xr:uid="{00000000-0005-0000-0000-0000B03B0000}"/>
    <cellStyle name="Header2 26 2" xfId="20826" xr:uid="{00000000-0005-0000-0000-0000B13B0000}"/>
    <cellStyle name="Header2 27" xfId="8951" xr:uid="{00000000-0005-0000-0000-0000B23B0000}"/>
    <cellStyle name="Header2 27 2" xfId="20827" xr:uid="{00000000-0005-0000-0000-0000B33B0000}"/>
    <cellStyle name="Header2 28" xfId="8952" xr:uid="{00000000-0005-0000-0000-0000B43B0000}"/>
    <cellStyle name="Header2 28 2" xfId="20828" xr:uid="{00000000-0005-0000-0000-0000B53B0000}"/>
    <cellStyle name="Header2 29" xfId="8953" xr:uid="{00000000-0005-0000-0000-0000B63B0000}"/>
    <cellStyle name="Header2 29 2" xfId="20829" xr:uid="{00000000-0005-0000-0000-0000B73B0000}"/>
    <cellStyle name="Header2 3" xfId="8954" xr:uid="{00000000-0005-0000-0000-0000B83B0000}"/>
    <cellStyle name="Header2 3 2" xfId="20830" xr:uid="{00000000-0005-0000-0000-0000B93B0000}"/>
    <cellStyle name="Header2 30" xfId="8955" xr:uid="{00000000-0005-0000-0000-0000BA3B0000}"/>
    <cellStyle name="Header2 30 2" xfId="20831" xr:uid="{00000000-0005-0000-0000-0000BB3B0000}"/>
    <cellStyle name="Header2 31" xfId="8956" xr:uid="{00000000-0005-0000-0000-0000BC3B0000}"/>
    <cellStyle name="Header2 31 2" xfId="20832" xr:uid="{00000000-0005-0000-0000-0000BD3B0000}"/>
    <cellStyle name="Header2 32" xfId="8957" xr:uid="{00000000-0005-0000-0000-0000BE3B0000}"/>
    <cellStyle name="Header2 32 2" xfId="20833" xr:uid="{00000000-0005-0000-0000-0000BF3B0000}"/>
    <cellStyle name="Header2 33" xfId="19408" xr:uid="{00000000-0005-0000-0000-0000C03B0000}"/>
    <cellStyle name="Header2 4" xfId="8958" xr:uid="{00000000-0005-0000-0000-0000C13B0000}"/>
    <cellStyle name="Header2 4 2" xfId="20834" xr:uid="{00000000-0005-0000-0000-0000C23B0000}"/>
    <cellStyle name="Header2 5" xfId="8959" xr:uid="{00000000-0005-0000-0000-0000C33B0000}"/>
    <cellStyle name="Header2 5 2" xfId="20835" xr:uid="{00000000-0005-0000-0000-0000C43B0000}"/>
    <cellStyle name="Header2 6" xfId="8960" xr:uid="{00000000-0005-0000-0000-0000C53B0000}"/>
    <cellStyle name="Header2 6 2" xfId="20836" xr:uid="{00000000-0005-0000-0000-0000C63B0000}"/>
    <cellStyle name="Header2 7" xfId="8961" xr:uid="{00000000-0005-0000-0000-0000C73B0000}"/>
    <cellStyle name="Header2 7 2" xfId="20837" xr:uid="{00000000-0005-0000-0000-0000C83B0000}"/>
    <cellStyle name="Header2 8" xfId="8962" xr:uid="{00000000-0005-0000-0000-0000C93B0000}"/>
    <cellStyle name="Header2 8 2" xfId="20838" xr:uid="{00000000-0005-0000-0000-0000CA3B0000}"/>
    <cellStyle name="Header2 9" xfId="8963" xr:uid="{00000000-0005-0000-0000-0000CB3B0000}"/>
    <cellStyle name="Header2 9 2" xfId="20839" xr:uid="{00000000-0005-0000-0000-0000CC3B0000}"/>
    <cellStyle name="heading" xfId="292" xr:uid="{00000000-0005-0000-0000-0000CD3B0000}"/>
    <cellStyle name="Heading 1 10" xfId="8964" xr:uid="{00000000-0005-0000-0000-0000CE3B0000}"/>
    <cellStyle name="Heading 1 11" xfId="8965" xr:uid="{00000000-0005-0000-0000-0000CF3B0000}"/>
    <cellStyle name="Heading 1 12" xfId="8966" xr:uid="{00000000-0005-0000-0000-0000D03B0000}"/>
    <cellStyle name="Heading 1 13" xfId="8967" xr:uid="{00000000-0005-0000-0000-0000D13B0000}"/>
    <cellStyle name="Heading 1 14" xfId="8968" xr:uid="{00000000-0005-0000-0000-0000D23B0000}"/>
    <cellStyle name="Heading 1 15" xfId="8969" xr:uid="{00000000-0005-0000-0000-0000D33B0000}"/>
    <cellStyle name="Heading 1 16" xfId="8970" xr:uid="{00000000-0005-0000-0000-0000D43B0000}"/>
    <cellStyle name="Heading 1 17" xfId="8971" xr:uid="{00000000-0005-0000-0000-0000D53B0000}"/>
    <cellStyle name="Heading 1 18" xfId="8972" xr:uid="{00000000-0005-0000-0000-0000D63B0000}"/>
    <cellStyle name="Heading 1 19" xfId="8973" xr:uid="{00000000-0005-0000-0000-0000D73B0000}"/>
    <cellStyle name="Heading 1 2" xfId="293" xr:uid="{00000000-0005-0000-0000-0000D83B0000}"/>
    <cellStyle name="Heading 1 2 10" xfId="8974" xr:uid="{00000000-0005-0000-0000-0000D93B0000}"/>
    <cellStyle name="Heading 1 2 11" xfId="8975" xr:uid="{00000000-0005-0000-0000-0000DA3B0000}"/>
    <cellStyle name="Heading 1 2 12" xfId="8976" xr:uid="{00000000-0005-0000-0000-0000DB3B0000}"/>
    <cellStyle name="Heading 1 2 13" xfId="8977" xr:uid="{00000000-0005-0000-0000-0000DC3B0000}"/>
    <cellStyle name="Heading 1 2 14" xfId="8978" xr:uid="{00000000-0005-0000-0000-0000DD3B0000}"/>
    <cellStyle name="Heading 1 2 15" xfId="8979" xr:uid="{00000000-0005-0000-0000-0000DE3B0000}"/>
    <cellStyle name="Heading 1 2 16" xfId="8980" xr:uid="{00000000-0005-0000-0000-0000DF3B0000}"/>
    <cellStyle name="Heading 1 2 17" xfId="8981" xr:uid="{00000000-0005-0000-0000-0000E03B0000}"/>
    <cellStyle name="Heading 1 2 18" xfId="8982" xr:uid="{00000000-0005-0000-0000-0000E13B0000}"/>
    <cellStyle name="Heading 1 2 19" xfId="8983" xr:uid="{00000000-0005-0000-0000-0000E23B0000}"/>
    <cellStyle name="Heading 1 2 2" xfId="8984" xr:uid="{00000000-0005-0000-0000-0000E33B0000}"/>
    <cellStyle name="Heading 1 2 20" xfId="8985" xr:uid="{00000000-0005-0000-0000-0000E43B0000}"/>
    <cellStyle name="Heading 1 2 21" xfId="8986" xr:uid="{00000000-0005-0000-0000-0000E53B0000}"/>
    <cellStyle name="Heading 1 2 22" xfId="8987" xr:uid="{00000000-0005-0000-0000-0000E63B0000}"/>
    <cellStyle name="Heading 1 2 23" xfId="8988" xr:uid="{00000000-0005-0000-0000-0000E73B0000}"/>
    <cellStyle name="Heading 1 2 24" xfId="8989" xr:uid="{00000000-0005-0000-0000-0000E83B0000}"/>
    <cellStyle name="Heading 1 2 25" xfId="8990" xr:uid="{00000000-0005-0000-0000-0000E93B0000}"/>
    <cellStyle name="Heading 1 2 26" xfId="8991" xr:uid="{00000000-0005-0000-0000-0000EA3B0000}"/>
    <cellStyle name="Heading 1 2 27" xfId="8992" xr:uid="{00000000-0005-0000-0000-0000EB3B0000}"/>
    <cellStyle name="Heading 1 2 28" xfId="8993" xr:uid="{00000000-0005-0000-0000-0000EC3B0000}"/>
    <cellStyle name="Heading 1 2 29" xfId="8994" xr:uid="{00000000-0005-0000-0000-0000ED3B0000}"/>
    <cellStyle name="Heading 1 2 3" xfId="8995" xr:uid="{00000000-0005-0000-0000-0000EE3B0000}"/>
    <cellStyle name="Heading 1 2 30" xfId="8996" xr:uid="{00000000-0005-0000-0000-0000EF3B0000}"/>
    <cellStyle name="Heading 1 2 31" xfId="8997" xr:uid="{00000000-0005-0000-0000-0000F03B0000}"/>
    <cellStyle name="Heading 1 2 32" xfId="8998" xr:uid="{00000000-0005-0000-0000-0000F13B0000}"/>
    <cellStyle name="Heading 1 2 33" xfId="8999" xr:uid="{00000000-0005-0000-0000-0000F23B0000}"/>
    <cellStyle name="Heading 1 2 34" xfId="9000" xr:uid="{00000000-0005-0000-0000-0000F33B0000}"/>
    <cellStyle name="Heading 1 2 35" xfId="9001" xr:uid="{00000000-0005-0000-0000-0000F43B0000}"/>
    <cellStyle name="Heading 1 2 36" xfId="9002" xr:uid="{00000000-0005-0000-0000-0000F53B0000}"/>
    <cellStyle name="Heading 1 2 37" xfId="9003" xr:uid="{00000000-0005-0000-0000-0000F63B0000}"/>
    <cellStyle name="Heading 1 2 38" xfId="9004" xr:uid="{00000000-0005-0000-0000-0000F73B0000}"/>
    <cellStyle name="Heading 1 2 39" xfId="9005" xr:uid="{00000000-0005-0000-0000-0000F83B0000}"/>
    <cellStyle name="Heading 1 2 4" xfId="9006" xr:uid="{00000000-0005-0000-0000-0000F93B0000}"/>
    <cellStyle name="Heading 1 2 40" xfId="9007" xr:uid="{00000000-0005-0000-0000-0000FA3B0000}"/>
    <cellStyle name="Heading 1 2 41" xfId="9008" xr:uid="{00000000-0005-0000-0000-0000FB3B0000}"/>
    <cellStyle name="Heading 1 2 42" xfId="9009" xr:uid="{00000000-0005-0000-0000-0000FC3B0000}"/>
    <cellStyle name="Heading 1 2 5" xfId="9010" xr:uid="{00000000-0005-0000-0000-0000FD3B0000}"/>
    <cellStyle name="Heading 1 2 6" xfId="9011" xr:uid="{00000000-0005-0000-0000-0000FE3B0000}"/>
    <cellStyle name="Heading 1 2 7" xfId="9012" xr:uid="{00000000-0005-0000-0000-0000FF3B0000}"/>
    <cellStyle name="Heading 1 2 8" xfId="9013" xr:uid="{00000000-0005-0000-0000-0000003C0000}"/>
    <cellStyle name="Heading 1 2 9" xfId="9014" xr:uid="{00000000-0005-0000-0000-0000013C0000}"/>
    <cellStyle name="Heading 1 2_DATA Input" xfId="9015" xr:uid="{00000000-0005-0000-0000-0000023C0000}"/>
    <cellStyle name="Heading 1 20" xfId="9016" xr:uid="{00000000-0005-0000-0000-0000033C0000}"/>
    <cellStyle name="Heading 1 21" xfId="9017" xr:uid="{00000000-0005-0000-0000-0000043C0000}"/>
    <cellStyle name="Heading 1 22" xfId="9018" xr:uid="{00000000-0005-0000-0000-0000053C0000}"/>
    <cellStyle name="Heading 1 23" xfId="9019" xr:uid="{00000000-0005-0000-0000-0000063C0000}"/>
    <cellStyle name="Heading 1 24" xfId="9020" xr:uid="{00000000-0005-0000-0000-0000073C0000}"/>
    <cellStyle name="Heading 1 3" xfId="9021" xr:uid="{00000000-0005-0000-0000-0000083C0000}"/>
    <cellStyle name="Heading 1 3 10" xfId="9022" xr:uid="{00000000-0005-0000-0000-0000093C0000}"/>
    <cellStyle name="Heading 1 3 11" xfId="9023" xr:uid="{00000000-0005-0000-0000-00000A3C0000}"/>
    <cellStyle name="Heading 1 3 12" xfId="9024" xr:uid="{00000000-0005-0000-0000-00000B3C0000}"/>
    <cellStyle name="Heading 1 3 13" xfId="9025" xr:uid="{00000000-0005-0000-0000-00000C3C0000}"/>
    <cellStyle name="Heading 1 3 14" xfId="9026" xr:uid="{00000000-0005-0000-0000-00000D3C0000}"/>
    <cellStyle name="Heading 1 3 15" xfId="9027" xr:uid="{00000000-0005-0000-0000-00000E3C0000}"/>
    <cellStyle name="Heading 1 3 16" xfId="9028" xr:uid="{00000000-0005-0000-0000-00000F3C0000}"/>
    <cellStyle name="Heading 1 3 17" xfId="9029" xr:uid="{00000000-0005-0000-0000-0000103C0000}"/>
    <cellStyle name="Heading 1 3 18" xfId="9030" xr:uid="{00000000-0005-0000-0000-0000113C0000}"/>
    <cellStyle name="Heading 1 3 19" xfId="9031" xr:uid="{00000000-0005-0000-0000-0000123C0000}"/>
    <cellStyle name="Heading 1 3 2" xfId="9032" xr:uid="{00000000-0005-0000-0000-0000133C0000}"/>
    <cellStyle name="Heading 1 3 20" xfId="9033" xr:uid="{00000000-0005-0000-0000-0000143C0000}"/>
    <cellStyle name="Heading 1 3 21" xfId="9034" xr:uid="{00000000-0005-0000-0000-0000153C0000}"/>
    <cellStyle name="Heading 1 3 22" xfId="9035" xr:uid="{00000000-0005-0000-0000-0000163C0000}"/>
    <cellStyle name="Heading 1 3 23" xfId="9036" xr:uid="{00000000-0005-0000-0000-0000173C0000}"/>
    <cellStyle name="Heading 1 3 24" xfId="9037" xr:uid="{00000000-0005-0000-0000-0000183C0000}"/>
    <cellStyle name="Heading 1 3 25" xfId="9038" xr:uid="{00000000-0005-0000-0000-0000193C0000}"/>
    <cellStyle name="Heading 1 3 26" xfId="9039" xr:uid="{00000000-0005-0000-0000-00001A3C0000}"/>
    <cellStyle name="Heading 1 3 27" xfId="9040" xr:uid="{00000000-0005-0000-0000-00001B3C0000}"/>
    <cellStyle name="Heading 1 3 28" xfId="9041" xr:uid="{00000000-0005-0000-0000-00001C3C0000}"/>
    <cellStyle name="Heading 1 3 29" xfId="9042" xr:uid="{00000000-0005-0000-0000-00001D3C0000}"/>
    <cellStyle name="Heading 1 3 3" xfId="9043" xr:uid="{00000000-0005-0000-0000-00001E3C0000}"/>
    <cellStyle name="Heading 1 3 30" xfId="9044" xr:uid="{00000000-0005-0000-0000-00001F3C0000}"/>
    <cellStyle name="Heading 1 3 31" xfId="9045" xr:uid="{00000000-0005-0000-0000-0000203C0000}"/>
    <cellStyle name="Heading 1 3 32" xfId="9046" xr:uid="{00000000-0005-0000-0000-0000213C0000}"/>
    <cellStyle name="Heading 1 3 4" xfId="9047" xr:uid="{00000000-0005-0000-0000-0000223C0000}"/>
    <cellStyle name="Heading 1 3 5" xfId="9048" xr:uid="{00000000-0005-0000-0000-0000233C0000}"/>
    <cellStyle name="Heading 1 3 6" xfId="9049" xr:uid="{00000000-0005-0000-0000-0000243C0000}"/>
    <cellStyle name="Heading 1 3 7" xfId="9050" xr:uid="{00000000-0005-0000-0000-0000253C0000}"/>
    <cellStyle name="Heading 1 3 8" xfId="9051" xr:uid="{00000000-0005-0000-0000-0000263C0000}"/>
    <cellStyle name="Heading 1 3 9" xfId="9052" xr:uid="{00000000-0005-0000-0000-0000273C0000}"/>
    <cellStyle name="Heading 1 4" xfId="9053" xr:uid="{00000000-0005-0000-0000-0000283C0000}"/>
    <cellStyle name="Heading 1 5" xfId="9054" xr:uid="{00000000-0005-0000-0000-0000293C0000}"/>
    <cellStyle name="Heading 1 6" xfId="9055" xr:uid="{00000000-0005-0000-0000-00002A3C0000}"/>
    <cellStyle name="Heading 1 7" xfId="9056" xr:uid="{00000000-0005-0000-0000-00002B3C0000}"/>
    <cellStyle name="Heading 1 8" xfId="9057" xr:uid="{00000000-0005-0000-0000-00002C3C0000}"/>
    <cellStyle name="Heading 1 9" xfId="9058" xr:uid="{00000000-0005-0000-0000-00002D3C0000}"/>
    <cellStyle name="Heading 2 10" xfId="9059" xr:uid="{00000000-0005-0000-0000-00002E3C0000}"/>
    <cellStyle name="Heading 2 11" xfId="9060" xr:uid="{00000000-0005-0000-0000-00002F3C0000}"/>
    <cellStyle name="Heading 2 12" xfId="9061" xr:uid="{00000000-0005-0000-0000-0000303C0000}"/>
    <cellStyle name="Heading 2 13" xfId="9062" xr:uid="{00000000-0005-0000-0000-0000313C0000}"/>
    <cellStyle name="Heading 2 14" xfId="9063" xr:uid="{00000000-0005-0000-0000-0000323C0000}"/>
    <cellStyle name="Heading 2 15" xfId="9064" xr:uid="{00000000-0005-0000-0000-0000333C0000}"/>
    <cellStyle name="Heading 2 16" xfId="9065" xr:uid="{00000000-0005-0000-0000-0000343C0000}"/>
    <cellStyle name="Heading 2 17" xfId="9066" xr:uid="{00000000-0005-0000-0000-0000353C0000}"/>
    <cellStyle name="Heading 2 18" xfId="9067" xr:uid="{00000000-0005-0000-0000-0000363C0000}"/>
    <cellStyle name="Heading 2 19" xfId="9068" xr:uid="{00000000-0005-0000-0000-0000373C0000}"/>
    <cellStyle name="Heading 2 2" xfId="294" xr:uid="{00000000-0005-0000-0000-0000383C0000}"/>
    <cellStyle name="Heading 2 2 10" xfId="9069" xr:uid="{00000000-0005-0000-0000-0000393C0000}"/>
    <cellStyle name="Heading 2 2 11" xfId="9070" xr:uid="{00000000-0005-0000-0000-00003A3C0000}"/>
    <cellStyle name="Heading 2 2 12" xfId="9071" xr:uid="{00000000-0005-0000-0000-00003B3C0000}"/>
    <cellStyle name="Heading 2 2 13" xfId="9072" xr:uid="{00000000-0005-0000-0000-00003C3C0000}"/>
    <cellStyle name="Heading 2 2 14" xfId="9073" xr:uid="{00000000-0005-0000-0000-00003D3C0000}"/>
    <cellStyle name="Heading 2 2 15" xfId="9074" xr:uid="{00000000-0005-0000-0000-00003E3C0000}"/>
    <cellStyle name="Heading 2 2 16" xfId="9075" xr:uid="{00000000-0005-0000-0000-00003F3C0000}"/>
    <cellStyle name="Heading 2 2 17" xfId="9076" xr:uid="{00000000-0005-0000-0000-0000403C0000}"/>
    <cellStyle name="Heading 2 2 18" xfId="9077" xr:uid="{00000000-0005-0000-0000-0000413C0000}"/>
    <cellStyle name="Heading 2 2 19" xfId="9078" xr:uid="{00000000-0005-0000-0000-0000423C0000}"/>
    <cellStyle name="Heading 2 2 2" xfId="9079" xr:uid="{00000000-0005-0000-0000-0000433C0000}"/>
    <cellStyle name="Heading 2 2 20" xfId="9080" xr:uid="{00000000-0005-0000-0000-0000443C0000}"/>
    <cellStyle name="Heading 2 2 21" xfId="9081" xr:uid="{00000000-0005-0000-0000-0000453C0000}"/>
    <cellStyle name="Heading 2 2 22" xfId="9082" xr:uid="{00000000-0005-0000-0000-0000463C0000}"/>
    <cellStyle name="Heading 2 2 23" xfId="9083" xr:uid="{00000000-0005-0000-0000-0000473C0000}"/>
    <cellStyle name="Heading 2 2 24" xfId="9084" xr:uid="{00000000-0005-0000-0000-0000483C0000}"/>
    <cellStyle name="Heading 2 2 25" xfId="9085" xr:uid="{00000000-0005-0000-0000-0000493C0000}"/>
    <cellStyle name="Heading 2 2 26" xfId="9086" xr:uid="{00000000-0005-0000-0000-00004A3C0000}"/>
    <cellStyle name="Heading 2 2 27" xfId="9087" xr:uid="{00000000-0005-0000-0000-00004B3C0000}"/>
    <cellStyle name="Heading 2 2 28" xfId="9088" xr:uid="{00000000-0005-0000-0000-00004C3C0000}"/>
    <cellStyle name="Heading 2 2 29" xfId="9089" xr:uid="{00000000-0005-0000-0000-00004D3C0000}"/>
    <cellStyle name="Heading 2 2 3" xfId="9090" xr:uid="{00000000-0005-0000-0000-00004E3C0000}"/>
    <cellStyle name="Heading 2 2 30" xfId="9091" xr:uid="{00000000-0005-0000-0000-00004F3C0000}"/>
    <cellStyle name="Heading 2 2 31" xfId="9092" xr:uid="{00000000-0005-0000-0000-0000503C0000}"/>
    <cellStyle name="Heading 2 2 32" xfId="9093" xr:uid="{00000000-0005-0000-0000-0000513C0000}"/>
    <cellStyle name="Heading 2 2 33" xfId="9094" xr:uid="{00000000-0005-0000-0000-0000523C0000}"/>
    <cellStyle name="Heading 2 2 34" xfId="9095" xr:uid="{00000000-0005-0000-0000-0000533C0000}"/>
    <cellStyle name="Heading 2 2 35" xfId="9096" xr:uid="{00000000-0005-0000-0000-0000543C0000}"/>
    <cellStyle name="Heading 2 2 36" xfId="9097" xr:uid="{00000000-0005-0000-0000-0000553C0000}"/>
    <cellStyle name="Heading 2 2 37" xfId="9098" xr:uid="{00000000-0005-0000-0000-0000563C0000}"/>
    <cellStyle name="Heading 2 2 38" xfId="9099" xr:uid="{00000000-0005-0000-0000-0000573C0000}"/>
    <cellStyle name="Heading 2 2 39" xfId="9100" xr:uid="{00000000-0005-0000-0000-0000583C0000}"/>
    <cellStyle name="Heading 2 2 4" xfId="9101" xr:uid="{00000000-0005-0000-0000-0000593C0000}"/>
    <cellStyle name="Heading 2 2 40" xfId="9102" xr:uid="{00000000-0005-0000-0000-00005A3C0000}"/>
    <cellStyle name="Heading 2 2 41" xfId="9103" xr:uid="{00000000-0005-0000-0000-00005B3C0000}"/>
    <cellStyle name="Heading 2 2 42" xfId="9104" xr:uid="{00000000-0005-0000-0000-00005C3C0000}"/>
    <cellStyle name="Heading 2 2 5" xfId="9105" xr:uid="{00000000-0005-0000-0000-00005D3C0000}"/>
    <cellStyle name="Heading 2 2 6" xfId="9106" xr:uid="{00000000-0005-0000-0000-00005E3C0000}"/>
    <cellStyle name="Heading 2 2 7" xfId="9107" xr:uid="{00000000-0005-0000-0000-00005F3C0000}"/>
    <cellStyle name="Heading 2 2 8" xfId="9108" xr:uid="{00000000-0005-0000-0000-0000603C0000}"/>
    <cellStyle name="Heading 2 2 9" xfId="9109" xr:uid="{00000000-0005-0000-0000-0000613C0000}"/>
    <cellStyle name="Heading 2 2_DATA Input" xfId="9110" xr:uid="{00000000-0005-0000-0000-0000623C0000}"/>
    <cellStyle name="Heading 2 20" xfId="9111" xr:uid="{00000000-0005-0000-0000-0000633C0000}"/>
    <cellStyle name="Heading 2 21" xfId="9112" xr:uid="{00000000-0005-0000-0000-0000643C0000}"/>
    <cellStyle name="Heading 2 22" xfId="9113" xr:uid="{00000000-0005-0000-0000-0000653C0000}"/>
    <cellStyle name="Heading 2 23" xfId="9114" xr:uid="{00000000-0005-0000-0000-0000663C0000}"/>
    <cellStyle name="Heading 2 24" xfId="9115" xr:uid="{00000000-0005-0000-0000-0000673C0000}"/>
    <cellStyle name="Heading 2 3" xfId="9116" xr:uid="{00000000-0005-0000-0000-0000683C0000}"/>
    <cellStyle name="Heading 2 3 10" xfId="9117" xr:uid="{00000000-0005-0000-0000-0000693C0000}"/>
    <cellStyle name="Heading 2 3 11" xfId="9118" xr:uid="{00000000-0005-0000-0000-00006A3C0000}"/>
    <cellStyle name="Heading 2 3 12" xfId="9119" xr:uid="{00000000-0005-0000-0000-00006B3C0000}"/>
    <cellStyle name="Heading 2 3 13" xfId="9120" xr:uid="{00000000-0005-0000-0000-00006C3C0000}"/>
    <cellStyle name="Heading 2 3 14" xfId="9121" xr:uid="{00000000-0005-0000-0000-00006D3C0000}"/>
    <cellStyle name="Heading 2 3 15" xfId="9122" xr:uid="{00000000-0005-0000-0000-00006E3C0000}"/>
    <cellStyle name="Heading 2 3 16" xfId="9123" xr:uid="{00000000-0005-0000-0000-00006F3C0000}"/>
    <cellStyle name="Heading 2 3 17" xfId="9124" xr:uid="{00000000-0005-0000-0000-0000703C0000}"/>
    <cellStyle name="Heading 2 3 18" xfId="9125" xr:uid="{00000000-0005-0000-0000-0000713C0000}"/>
    <cellStyle name="Heading 2 3 19" xfId="9126" xr:uid="{00000000-0005-0000-0000-0000723C0000}"/>
    <cellStyle name="Heading 2 3 2" xfId="9127" xr:uid="{00000000-0005-0000-0000-0000733C0000}"/>
    <cellStyle name="Heading 2 3 20" xfId="9128" xr:uid="{00000000-0005-0000-0000-0000743C0000}"/>
    <cellStyle name="Heading 2 3 21" xfId="9129" xr:uid="{00000000-0005-0000-0000-0000753C0000}"/>
    <cellStyle name="Heading 2 3 22" xfId="9130" xr:uid="{00000000-0005-0000-0000-0000763C0000}"/>
    <cellStyle name="Heading 2 3 23" xfId="9131" xr:uid="{00000000-0005-0000-0000-0000773C0000}"/>
    <cellStyle name="Heading 2 3 24" xfId="9132" xr:uid="{00000000-0005-0000-0000-0000783C0000}"/>
    <cellStyle name="Heading 2 3 25" xfId="9133" xr:uid="{00000000-0005-0000-0000-0000793C0000}"/>
    <cellStyle name="Heading 2 3 26" xfId="9134" xr:uid="{00000000-0005-0000-0000-00007A3C0000}"/>
    <cellStyle name="Heading 2 3 27" xfId="9135" xr:uid="{00000000-0005-0000-0000-00007B3C0000}"/>
    <cellStyle name="Heading 2 3 28" xfId="9136" xr:uid="{00000000-0005-0000-0000-00007C3C0000}"/>
    <cellStyle name="Heading 2 3 29" xfId="9137" xr:uid="{00000000-0005-0000-0000-00007D3C0000}"/>
    <cellStyle name="Heading 2 3 3" xfId="9138" xr:uid="{00000000-0005-0000-0000-00007E3C0000}"/>
    <cellStyle name="Heading 2 3 30" xfId="9139" xr:uid="{00000000-0005-0000-0000-00007F3C0000}"/>
    <cellStyle name="Heading 2 3 31" xfId="9140" xr:uid="{00000000-0005-0000-0000-0000803C0000}"/>
    <cellStyle name="Heading 2 3 32" xfId="9141" xr:uid="{00000000-0005-0000-0000-0000813C0000}"/>
    <cellStyle name="Heading 2 3 4" xfId="9142" xr:uid="{00000000-0005-0000-0000-0000823C0000}"/>
    <cellStyle name="Heading 2 3 5" xfId="9143" xr:uid="{00000000-0005-0000-0000-0000833C0000}"/>
    <cellStyle name="Heading 2 3 6" xfId="9144" xr:uid="{00000000-0005-0000-0000-0000843C0000}"/>
    <cellStyle name="Heading 2 3 7" xfId="9145" xr:uid="{00000000-0005-0000-0000-0000853C0000}"/>
    <cellStyle name="Heading 2 3 8" xfId="9146" xr:uid="{00000000-0005-0000-0000-0000863C0000}"/>
    <cellStyle name="Heading 2 3 9" xfId="9147" xr:uid="{00000000-0005-0000-0000-0000873C0000}"/>
    <cellStyle name="Heading 2 4" xfId="9148" xr:uid="{00000000-0005-0000-0000-0000883C0000}"/>
    <cellStyle name="Heading 2 5" xfId="9149" xr:uid="{00000000-0005-0000-0000-0000893C0000}"/>
    <cellStyle name="Heading 2 6" xfId="9150" xr:uid="{00000000-0005-0000-0000-00008A3C0000}"/>
    <cellStyle name="Heading 2 7" xfId="9151" xr:uid="{00000000-0005-0000-0000-00008B3C0000}"/>
    <cellStyle name="Heading 2 8" xfId="9152" xr:uid="{00000000-0005-0000-0000-00008C3C0000}"/>
    <cellStyle name="Heading 2 9" xfId="9153" xr:uid="{00000000-0005-0000-0000-00008D3C0000}"/>
    <cellStyle name="Heading 3 10" xfId="9154" xr:uid="{00000000-0005-0000-0000-00008E3C0000}"/>
    <cellStyle name="Heading 3 11" xfId="9155" xr:uid="{00000000-0005-0000-0000-00008F3C0000}"/>
    <cellStyle name="Heading 3 12" xfId="9156" xr:uid="{00000000-0005-0000-0000-0000903C0000}"/>
    <cellStyle name="Heading 3 13" xfId="9157" xr:uid="{00000000-0005-0000-0000-0000913C0000}"/>
    <cellStyle name="Heading 3 14" xfId="9158" xr:uid="{00000000-0005-0000-0000-0000923C0000}"/>
    <cellStyle name="Heading 3 15" xfId="9159" xr:uid="{00000000-0005-0000-0000-0000933C0000}"/>
    <cellStyle name="Heading 3 16" xfId="9160" xr:uid="{00000000-0005-0000-0000-0000943C0000}"/>
    <cellStyle name="Heading 3 17" xfId="9161" xr:uid="{00000000-0005-0000-0000-0000953C0000}"/>
    <cellStyle name="Heading 3 18" xfId="9162" xr:uid="{00000000-0005-0000-0000-0000963C0000}"/>
    <cellStyle name="Heading 3 19" xfId="9163" xr:uid="{00000000-0005-0000-0000-0000973C0000}"/>
    <cellStyle name="Heading 3 2" xfId="295" xr:uid="{00000000-0005-0000-0000-0000983C0000}"/>
    <cellStyle name="Heading 3 2 10" xfId="9164" xr:uid="{00000000-0005-0000-0000-0000993C0000}"/>
    <cellStyle name="Heading 3 2 11" xfId="9165" xr:uid="{00000000-0005-0000-0000-00009A3C0000}"/>
    <cellStyle name="Heading 3 2 12" xfId="9166" xr:uid="{00000000-0005-0000-0000-00009B3C0000}"/>
    <cellStyle name="Heading 3 2 13" xfId="9167" xr:uid="{00000000-0005-0000-0000-00009C3C0000}"/>
    <cellStyle name="Heading 3 2 14" xfId="9168" xr:uid="{00000000-0005-0000-0000-00009D3C0000}"/>
    <cellStyle name="Heading 3 2 15" xfId="9169" xr:uid="{00000000-0005-0000-0000-00009E3C0000}"/>
    <cellStyle name="Heading 3 2 16" xfId="9170" xr:uid="{00000000-0005-0000-0000-00009F3C0000}"/>
    <cellStyle name="Heading 3 2 17" xfId="9171" xr:uid="{00000000-0005-0000-0000-0000A03C0000}"/>
    <cellStyle name="Heading 3 2 18" xfId="9172" xr:uid="{00000000-0005-0000-0000-0000A13C0000}"/>
    <cellStyle name="Heading 3 2 19" xfId="9173" xr:uid="{00000000-0005-0000-0000-0000A23C0000}"/>
    <cellStyle name="Heading 3 2 2" xfId="9174" xr:uid="{00000000-0005-0000-0000-0000A33C0000}"/>
    <cellStyle name="Heading 3 2 20" xfId="9175" xr:uid="{00000000-0005-0000-0000-0000A43C0000}"/>
    <cellStyle name="Heading 3 2 21" xfId="9176" xr:uid="{00000000-0005-0000-0000-0000A53C0000}"/>
    <cellStyle name="Heading 3 2 22" xfId="9177" xr:uid="{00000000-0005-0000-0000-0000A63C0000}"/>
    <cellStyle name="Heading 3 2 23" xfId="9178" xr:uid="{00000000-0005-0000-0000-0000A73C0000}"/>
    <cellStyle name="Heading 3 2 24" xfId="9179" xr:uid="{00000000-0005-0000-0000-0000A83C0000}"/>
    <cellStyle name="Heading 3 2 25" xfId="9180" xr:uid="{00000000-0005-0000-0000-0000A93C0000}"/>
    <cellStyle name="Heading 3 2 26" xfId="9181" xr:uid="{00000000-0005-0000-0000-0000AA3C0000}"/>
    <cellStyle name="Heading 3 2 27" xfId="9182" xr:uid="{00000000-0005-0000-0000-0000AB3C0000}"/>
    <cellStyle name="Heading 3 2 28" xfId="9183" xr:uid="{00000000-0005-0000-0000-0000AC3C0000}"/>
    <cellStyle name="Heading 3 2 29" xfId="9184" xr:uid="{00000000-0005-0000-0000-0000AD3C0000}"/>
    <cellStyle name="Heading 3 2 3" xfId="9185" xr:uid="{00000000-0005-0000-0000-0000AE3C0000}"/>
    <cellStyle name="Heading 3 2 30" xfId="9186" xr:uid="{00000000-0005-0000-0000-0000AF3C0000}"/>
    <cellStyle name="Heading 3 2 31" xfId="9187" xr:uid="{00000000-0005-0000-0000-0000B03C0000}"/>
    <cellStyle name="Heading 3 2 32" xfId="9188" xr:uid="{00000000-0005-0000-0000-0000B13C0000}"/>
    <cellStyle name="Heading 3 2 33" xfId="9189" xr:uid="{00000000-0005-0000-0000-0000B23C0000}"/>
    <cellStyle name="Heading 3 2 34" xfId="9190" xr:uid="{00000000-0005-0000-0000-0000B33C0000}"/>
    <cellStyle name="Heading 3 2 35" xfId="9191" xr:uid="{00000000-0005-0000-0000-0000B43C0000}"/>
    <cellStyle name="Heading 3 2 36" xfId="9192" xr:uid="{00000000-0005-0000-0000-0000B53C0000}"/>
    <cellStyle name="Heading 3 2 37" xfId="9193" xr:uid="{00000000-0005-0000-0000-0000B63C0000}"/>
    <cellStyle name="Heading 3 2 38" xfId="9194" xr:uid="{00000000-0005-0000-0000-0000B73C0000}"/>
    <cellStyle name="Heading 3 2 39" xfId="9195" xr:uid="{00000000-0005-0000-0000-0000B83C0000}"/>
    <cellStyle name="Heading 3 2 4" xfId="9196" xr:uid="{00000000-0005-0000-0000-0000B93C0000}"/>
    <cellStyle name="Heading 3 2 40" xfId="9197" xr:uid="{00000000-0005-0000-0000-0000BA3C0000}"/>
    <cellStyle name="Heading 3 2 41" xfId="9198" xr:uid="{00000000-0005-0000-0000-0000BB3C0000}"/>
    <cellStyle name="Heading 3 2 42" xfId="9199" xr:uid="{00000000-0005-0000-0000-0000BC3C0000}"/>
    <cellStyle name="Heading 3 2 5" xfId="9200" xr:uid="{00000000-0005-0000-0000-0000BD3C0000}"/>
    <cellStyle name="Heading 3 2 6" xfId="9201" xr:uid="{00000000-0005-0000-0000-0000BE3C0000}"/>
    <cellStyle name="Heading 3 2 7" xfId="9202" xr:uid="{00000000-0005-0000-0000-0000BF3C0000}"/>
    <cellStyle name="Heading 3 2 8" xfId="9203" xr:uid="{00000000-0005-0000-0000-0000C03C0000}"/>
    <cellStyle name="Heading 3 2 9" xfId="9204" xr:uid="{00000000-0005-0000-0000-0000C13C0000}"/>
    <cellStyle name="Heading 3 2_DATA Input" xfId="9205" xr:uid="{00000000-0005-0000-0000-0000C23C0000}"/>
    <cellStyle name="Heading 3 20" xfId="9206" xr:uid="{00000000-0005-0000-0000-0000C33C0000}"/>
    <cellStyle name="Heading 3 21" xfId="9207" xr:uid="{00000000-0005-0000-0000-0000C43C0000}"/>
    <cellStyle name="Heading 3 22" xfId="9208" xr:uid="{00000000-0005-0000-0000-0000C53C0000}"/>
    <cellStyle name="Heading 3 23" xfId="9209" xr:uid="{00000000-0005-0000-0000-0000C63C0000}"/>
    <cellStyle name="Heading 3 24" xfId="9210" xr:uid="{00000000-0005-0000-0000-0000C73C0000}"/>
    <cellStyle name="Heading 3 3" xfId="9211" xr:uid="{00000000-0005-0000-0000-0000C83C0000}"/>
    <cellStyle name="Heading 3 3 10" xfId="9212" xr:uid="{00000000-0005-0000-0000-0000C93C0000}"/>
    <cellStyle name="Heading 3 3 11" xfId="9213" xr:uid="{00000000-0005-0000-0000-0000CA3C0000}"/>
    <cellStyle name="Heading 3 3 12" xfId="9214" xr:uid="{00000000-0005-0000-0000-0000CB3C0000}"/>
    <cellStyle name="Heading 3 3 13" xfId="9215" xr:uid="{00000000-0005-0000-0000-0000CC3C0000}"/>
    <cellStyle name="Heading 3 3 14" xfId="9216" xr:uid="{00000000-0005-0000-0000-0000CD3C0000}"/>
    <cellStyle name="Heading 3 3 15" xfId="9217" xr:uid="{00000000-0005-0000-0000-0000CE3C0000}"/>
    <cellStyle name="Heading 3 3 16" xfId="9218" xr:uid="{00000000-0005-0000-0000-0000CF3C0000}"/>
    <cellStyle name="Heading 3 3 17" xfId="9219" xr:uid="{00000000-0005-0000-0000-0000D03C0000}"/>
    <cellStyle name="Heading 3 3 18" xfId="9220" xr:uid="{00000000-0005-0000-0000-0000D13C0000}"/>
    <cellStyle name="Heading 3 3 19" xfId="9221" xr:uid="{00000000-0005-0000-0000-0000D23C0000}"/>
    <cellStyle name="Heading 3 3 2" xfId="9222" xr:uid="{00000000-0005-0000-0000-0000D33C0000}"/>
    <cellStyle name="Heading 3 3 20" xfId="9223" xr:uid="{00000000-0005-0000-0000-0000D43C0000}"/>
    <cellStyle name="Heading 3 3 21" xfId="9224" xr:uid="{00000000-0005-0000-0000-0000D53C0000}"/>
    <cellStyle name="Heading 3 3 22" xfId="9225" xr:uid="{00000000-0005-0000-0000-0000D63C0000}"/>
    <cellStyle name="Heading 3 3 23" xfId="9226" xr:uid="{00000000-0005-0000-0000-0000D73C0000}"/>
    <cellStyle name="Heading 3 3 24" xfId="9227" xr:uid="{00000000-0005-0000-0000-0000D83C0000}"/>
    <cellStyle name="Heading 3 3 25" xfId="9228" xr:uid="{00000000-0005-0000-0000-0000D93C0000}"/>
    <cellStyle name="Heading 3 3 26" xfId="9229" xr:uid="{00000000-0005-0000-0000-0000DA3C0000}"/>
    <cellStyle name="Heading 3 3 27" xfId="9230" xr:uid="{00000000-0005-0000-0000-0000DB3C0000}"/>
    <cellStyle name="Heading 3 3 28" xfId="9231" xr:uid="{00000000-0005-0000-0000-0000DC3C0000}"/>
    <cellStyle name="Heading 3 3 29" xfId="9232" xr:uid="{00000000-0005-0000-0000-0000DD3C0000}"/>
    <cellStyle name="Heading 3 3 3" xfId="9233" xr:uid="{00000000-0005-0000-0000-0000DE3C0000}"/>
    <cellStyle name="Heading 3 3 30" xfId="9234" xr:uid="{00000000-0005-0000-0000-0000DF3C0000}"/>
    <cellStyle name="Heading 3 3 31" xfId="9235" xr:uid="{00000000-0005-0000-0000-0000E03C0000}"/>
    <cellStyle name="Heading 3 3 32" xfId="9236" xr:uid="{00000000-0005-0000-0000-0000E13C0000}"/>
    <cellStyle name="Heading 3 3 4" xfId="9237" xr:uid="{00000000-0005-0000-0000-0000E23C0000}"/>
    <cellStyle name="Heading 3 3 5" xfId="9238" xr:uid="{00000000-0005-0000-0000-0000E33C0000}"/>
    <cellStyle name="Heading 3 3 6" xfId="9239" xr:uid="{00000000-0005-0000-0000-0000E43C0000}"/>
    <cellStyle name="Heading 3 3 7" xfId="9240" xr:uid="{00000000-0005-0000-0000-0000E53C0000}"/>
    <cellStyle name="Heading 3 3 8" xfId="9241" xr:uid="{00000000-0005-0000-0000-0000E63C0000}"/>
    <cellStyle name="Heading 3 3 9" xfId="9242" xr:uid="{00000000-0005-0000-0000-0000E73C0000}"/>
    <cellStyle name="Heading 3 4" xfId="9243" xr:uid="{00000000-0005-0000-0000-0000E83C0000}"/>
    <cellStyle name="Heading 3 5" xfId="9244" xr:uid="{00000000-0005-0000-0000-0000E93C0000}"/>
    <cellStyle name="Heading 3 6" xfId="9245" xr:uid="{00000000-0005-0000-0000-0000EA3C0000}"/>
    <cellStyle name="Heading 3 7" xfId="9246" xr:uid="{00000000-0005-0000-0000-0000EB3C0000}"/>
    <cellStyle name="Heading 3 8" xfId="9247" xr:uid="{00000000-0005-0000-0000-0000EC3C0000}"/>
    <cellStyle name="Heading 3 9" xfId="9248" xr:uid="{00000000-0005-0000-0000-0000ED3C0000}"/>
    <cellStyle name="Heading 4 10" xfId="9249" xr:uid="{00000000-0005-0000-0000-0000EE3C0000}"/>
    <cellStyle name="Heading 4 11" xfId="9250" xr:uid="{00000000-0005-0000-0000-0000EF3C0000}"/>
    <cellStyle name="Heading 4 12" xfId="9251" xr:uid="{00000000-0005-0000-0000-0000F03C0000}"/>
    <cellStyle name="Heading 4 13" xfId="9252" xr:uid="{00000000-0005-0000-0000-0000F13C0000}"/>
    <cellStyle name="Heading 4 14" xfId="9253" xr:uid="{00000000-0005-0000-0000-0000F23C0000}"/>
    <cellStyle name="Heading 4 15" xfId="9254" xr:uid="{00000000-0005-0000-0000-0000F33C0000}"/>
    <cellStyle name="Heading 4 16" xfId="9255" xr:uid="{00000000-0005-0000-0000-0000F43C0000}"/>
    <cellStyle name="Heading 4 17" xfId="9256" xr:uid="{00000000-0005-0000-0000-0000F53C0000}"/>
    <cellStyle name="Heading 4 18" xfId="9257" xr:uid="{00000000-0005-0000-0000-0000F63C0000}"/>
    <cellStyle name="Heading 4 19" xfId="9258" xr:uid="{00000000-0005-0000-0000-0000F73C0000}"/>
    <cellStyle name="Heading 4 2" xfId="296" xr:uid="{00000000-0005-0000-0000-0000F83C0000}"/>
    <cellStyle name="Heading 4 2 10" xfId="9259" xr:uid="{00000000-0005-0000-0000-0000F93C0000}"/>
    <cellStyle name="Heading 4 2 11" xfId="9260" xr:uid="{00000000-0005-0000-0000-0000FA3C0000}"/>
    <cellStyle name="Heading 4 2 12" xfId="9261" xr:uid="{00000000-0005-0000-0000-0000FB3C0000}"/>
    <cellStyle name="Heading 4 2 13" xfId="9262" xr:uid="{00000000-0005-0000-0000-0000FC3C0000}"/>
    <cellStyle name="Heading 4 2 14" xfId="9263" xr:uid="{00000000-0005-0000-0000-0000FD3C0000}"/>
    <cellStyle name="Heading 4 2 15" xfId="9264" xr:uid="{00000000-0005-0000-0000-0000FE3C0000}"/>
    <cellStyle name="Heading 4 2 16" xfId="9265" xr:uid="{00000000-0005-0000-0000-0000FF3C0000}"/>
    <cellStyle name="Heading 4 2 17" xfId="9266" xr:uid="{00000000-0005-0000-0000-0000003D0000}"/>
    <cellStyle name="Heading 4 2 18" xfId="9267" xr:uid="{00000000-0005-0000-0000-0000013D0000}"/>
    <cellStyle name="Heading 4 2 19" xfId="9268" xr:uid="{00000000-0005-0000-0000-0000023D0000}"/>
    <cellStyle name="Heading 4 2 2" xfId="9269" xr:uid="{00000000-0005-0000-0000-0000033D0000}"/>
    <cellStyle name="Heading 4 2 20" xfId="9270" xr:uid="{00000000-0005-0000-0000-0000043D0000}"/>
    <cellStyle name="Heading 4 2 21" xfId="9271" xr:uid="{00000000-0005-0000-0000-0000053D0000}"/>
    <cellStyle name="Heading 4 2 22" xfId="9272" xr:uid="{00000000-0005-0000-0000-0000063D0000}"/>
    <cellStyle name="Heading 4 2 23" xfId="9273" xr:uid="{00000000-0005-0000-0000-0000073D0000}"/>
    <cellStyle name="Heading 4 2 24" xfId="9274" xr:uid="{00000000-0005-0000-0000-0000083D0000}"/>
    <cellStyle name="Heading 4 2 25" xfId="9275" xr:uid="{00000000-0005-0000-0000-0000093D0000}"/>
    <cellStyle name="Heading 4 2 26" xfId="9276" xr:uid="{00000000-0005-0000-0000-00000A3D0000}"/>
    <cellStyle name="Heading 4 2 27" xfId="9277" xr:uid="{00000000-0005-0000-0000-00000B3D0000}"/>
    <cellStyle name="Heading 4 2 28" xfId="9278" xr:uid="{00000000-0005-0000-0000-00000C3D0000}"/>
    <cellStyle name="Heading 4 2 29" xfId="9279" xr:uid="{00000000-0005-0000-0000-00000D3D0000}"/>
    <cellStyle name="Heading 4 2 3" xfId="9280" xr:uid="{00000000-0005-0000-0000-00000E3D0000}"/>
    <cellStyle name="Heading 4 2 30" xfId="9281" xr:uid="{00000000-0005-0000-0000-00000F3D0000}"/>
    <cellStyle name="Heading 4 2 31" xfId="9282" xr:uid="{00000000-0005-0000-0000-0000103D0000}"/>
    <cellStyle name="Heading 4 2 32" xfId="9283" xr:uid="{00000000-0005-0000-0000-0000113D0000}"/>
    <cellStyle name="Heading 4 2 33" xfId="9284" xr:uid="{00000000-0005-0000-0000-0000123D0000}"/>
    <cellStyle name="Heading 4 2 34" xfId="9285" xr:uid="{00000000-0005-0000-0000-0000133D0000}"/>
    <cellStyle name="Heading 4 2 35" xfId="9286" xr:uid="{00000000-0005-0000-0000-0000143D0000}"/>
    <cellStyle name="Heading 4 2 36" xfId="9287" xr:uid="{00000000-0005-0000-0000-0000153D0000}"/>
    <cellStyle name="Heading 4 2 37" xfId="9288" xr:uid="{00000000-0005-0000-0000-0000163D0000}"/>
    <cellStyle name="Heading 4 2 38" xfId="9289" xr:uid="{00000000-0005-0000-0000-0000173D0000}"/>
    <cellStyle name="Heading 4 2 39" xfId="9290" xr:uid="{00000000-0005-0000-0000-0000183D0000}"/>
    <cellStyle name="Heading 4 2 4" xfId="9291" xr:uid="{00000000-0005-0000-0000-0000193D0000}"/>
    <cellStyle name="Heading 4 2 40" xfId="9292" xr:uid="{00000000-0005-0000-0000-00001A3D0000}"/>
    <cellStyle name="Heading 4 2 41" xfId="9293" xr:uid="{00000000-0005-0000-0000-00001B3D0000}"/>
    <cellStyle name="Heading 4 2 42" xfId="9294" xr:uid="{00000000-0005-0000-0000-00001C3D0000}"/>
    <cellStyle name="Heading 4 2 5" xfId="9295" xr:uid="{00000000-0005-0000-0000-00001D3D0000}"/>
    <cellStyle name="Heading 4 2 6" xfId="9296" xr:uid="{00000000-0005-0000-0000-00001E3D0000}"/>
    <cellStyle name="Heading 4 2 7" xfId="9297" xr:uid="{00000000-0005-0000-0000-00001F3D0000}"/>
    <cellStyle name="Heading 4 2 8" xfId="9298" xr:uid="{00000000-0005-0000-0000-0000203D0000}"/>
    <cellStyle name="Heading 4 2 9" xfId="9299" xr:uid="{00000000-0005-0000-0000-0000213D0000}"/>
    <cellStyle name="Heading 4 2_DATA Input" xfId="9300" xr:uid="{00000000-0005-0000-0000-0000223D0000}"/>
    <cellStyle name="Heading 4 20" xfId="9301" xr:uid="{00000000-0005-0000-0000-0000233D0000}"/>
    <cellStyle name="Heading 4 21" xfId="9302" xr:uid="{00000000-0005-0000-0000-0000243D0000}"/>
    <cellStyle name="Heading 4 22" xfId="9303" xr:uid="{00000000-0005-0000-0000-0000253D0000}"/>
    <cellStyle name="Heading 4 23" xfId="9304" xr:uid="{00000000-0005-0000-0000-0000263D0000}"/>
    <cellStyle name="Heading 4 24" xfId="9305" xr:uid="{00000000-0005-0000-0000-0000273D0000}"/>
    <cellStyle name="Heading 4 3" xfId="9306" xr:uid="{00000000-0005-0000-0000-0000283D0000}"/>
    <cellStyle name="Heading 4 3 10" xfId="9307" xr:uid="{00000000-0005-0000-0000-0000293D0000}"/>
    <cellStyle name="Heading 4 3 11" xfId="9308" xr:uid="{00000000-0005-0000-0000-00002A3D0000}"/>
    <cellStyle name="Heading 4 3 12" xfId="9309" xr:uid="{00000000-0005-0000-0000-00002B3D0000}"/>
    <cellStyle name="Heading 4 3 13" xfId="9310" xr:uid="{00000000-0005-0000-0000-00002C3D0000}"/>
    <cellStyle name="Heading 4 3 14" xfId="9311" xr:uid="{00000000-0005-0000-0000-00002D3D0000}"/>
    <cellStyle name="Heading 4 3 15" xfId="9312" xr:uid="{00000000-0005-0000-0000-00002E3D0000}"/>
    <cellStyle name="Heading 4 3 16" xfId="9313" xr:uid="{00000000-0005-0000-0000-00002F3D0000}"/>
    <cellStyle name="Heading 4 3 17" xfId="9314" xr:uid="{00000000-0005-0000-0000-0000303D0000}"/>
    <cellStyle name="Heading 4 3 18" xfId="9315" xr:uid="{00000000-0005-0000-0000-0000313D0000}"/>
    <cellStyle name="Heading 4 3 19" xfId="9316" xr:uid="{00000000-0005-0000-0000-0000323D0000}"/>
    <cellStyle name="Heading 4 3 2" xfId="9317" xr:uid="{00000000-0005-0000-0000-0000333D0000}"/>
    <cellStyle name="Heading 4 3 20" xfId="9318" xr:uid="{00000000-0005-0000-0000-0000343D0000}"/>
    <cellStyle name="Heading 4 3 21" xfId="9319" xr:uid="{00000000-0005-0000-0000-0000353D0000}"/>
    <cellStyle name="Heading 4 3 22" xfId="9320" xr:uid="{00000000-0005-0000-0000-0000363D0000}"/>
    <cellStyle name="Heading 4 3 23" xfId="9321" xr:uid="{00000000-0005-0000-0000-0000373D0000}"/>
    <cellStyle name="Heading 4 3 24" xfId="9322" xr:uid="{00000000-0005-0000-0000-0000383D0000}"/>
    <cellStyle name="Heading 4 3 25" xfId="9323" xr:uid="{00000000-0005-0000-0000-0000393D0000}"/>
    <cellStyle name="Heading 4 3 26" xfId="9324" xr:uid="{00000000-0005-0000-0000-00003A3D0000}"/>
    <cellStyle name="Heading 4 3 27" xfId="9325" xr:uid="{00000000-0005-0000-0000-00003B3D0000}"/>
    <cellStyle name="Heading 4 3 28" xfId="9326" xr:uid="{00000000-0005-0000-0000-00003C3D0000}"/>
    <cellStyle name="Heading 4 3 29" xfId="9327" xr:uid="{00000000-0005-0000-0000-00003D3D0000}"/>
    <cellStyle name="Heading 4 3 3" xfId="9328" xr:uid="{00000000-0005-0000-0000-00003E3D0000}"/>
    <cellStyle name="Heading 4 3 30" xfId="9329" xr:uid="{00000000-0005-0000-0000-00003F3D0000}"/>
    <cellStyle name="Heading 4 3 31" xfId="9330" xr:uid="{00000000-0005-0000-0000-0000403D0000}"/>
    <cellStyle name="Heading 4 3 32" xfId="9331" xr:uid="{00000000-0005-0000-0000-0000413D0000}"/>
    <cellStyle name="Heading 4 3 4" xfId="9332" xr:uid="{00000000-0005-0000-0000-0000423D0000}"/>
    <cellStyle name="Heading 4 3 5" xfId="9333" xr:uid="{00000000-0005-0000-0000-0000433D0000}"/>
    <cellStyle name="Heading 4 3 6" xfId="9334" xr:uid="{00000000-0005-0000-0000-0000443D0000}"/>
    <cellStyle name="Heading 4 3 7" xfId="9335" xr:uid="{00000000-0005-0000-0000-0000453D0000}"/>
    <cellStyle name="Heading 4 3 8" xfId="9336" xr:uid="{00000000-0005-0000-0000-0000463D0000}"/>
    <cellStyle name="Heading 4 3 9" xfId="9337" xr:uid="{00000000-0005-0000-0000-0000473D0000}"/>
    <cellStyle name="Heading 4 4" xfId="9338" xr:uid="{00000000-0005-0000-0000-0000483D0000}"/>
    <cellStyle name="Heading 4 5" xfId="9339" xr:uid="{00000000-0005-0000-0000-0000493D0000}"/>
    <cellStyle name="Heading 4 6" xfId="9340" xr:uid="{00000000-0005-0000-0000-00004A3D0000}"/>
    <cellStyle name="Heading 4 7" xfId="9341" xr:uid="{00000000-0005-0000-0000-00004B3D0000}"/>
    <cellStyle name="Heading 4 8" xfId="9342" xr:uid="{00000000-0005-0000-0000-00004C3D0000}"/>
    <cellStyle name="Heading 4 9" xfId="9343" xr:uid="{00000000-0005-0000-0000-00004D3D0000}"/>
    <cellStyle name="Heading 5" xfId="9344" xr:uid="{00000000-0005-0000-0000-00004E3D0000}"/>
    <cellStyle name="Heading 5 2" xfId="20840" xr:uid="{00000000-0005-0000-0000-00004F3D0000}"/>
    <cellStyle name="HEADING1" xfId="297" xr:uid="{00000000-0005-0000-0000-0000503D0000}"/>
    <cellStyle name="Heading1 1" xfId="9345" xr:uid="{00000000-0005-0000-0000-0000513D0000}"/>
    <cellStyle name="Heading11Bold" xfId="9346" xr:uid="{00000000-0005-0000-0000-0000523D0000}"/>
    <cellStyle name="Heading12Bold" xfId="9347" xr:uid="{00000000-0005-0000-0000-0000533D0000}"/>
    <cellStyle name="HEADING2" xfId="298" xr:uid="{00000000-0005-0000-0000-0000543D0000}"/>
    <cellStyle name="headingM" xfId="9348" xr:uid="{00000000-0005-0000-0000-0000553D0000}"/>
    <cellStyle name="HEADINGS" xfId="9349" xr:uid="{00000000-0005-0000-0000-0000563D0000}"/>
    <cellStyle name="HEADINGS 2" xfId="9350" xr:uid="{00000000-0005-0000-0000-0000573D0000}"/>
    <cellStyle name="HEADINGS 2 2" xfId="20842" xr:uid="{00000000-0005-0000-0000-0000583D0000}"/>
    <cellStyle name="HEADINGS 3" xfId="20841" xr:uid="{00000000-0005-0000-0000-0000593D0000}"/>
    <cellStyle name="HEADINGSTOP" xfId="9351" xr:uid="{00000000-0005-0000-0000-00005A3D0000}"/>
    <cellStyle name="Hidden" xfId="9352" xr:uid="{00000000-0005-0000-0000-00005B3D0000}"/>
    <cellStyle name="Hidden 10" xfId="9353" xr:uid="{00000000-0005-0000-0000-00005C3D0000}"/>
    <cellStyle name="Hidden 11" xfId="9354" xr:uid="{00000000-0005-0000-0000-00005D3D0000}"/>
    <cellStyle name="Hidden 12" xfId="9355" xr:uid="{00000000-0005-0000-0000-00005E3D0000}"/>
    <cellStyle name="Hidden 13" xfId="9356" xr:uid="{00000000-0005-0000-0000-00005F3D0000}"/>
    <cellStyle name="Hidden 14" xfId="9357" xr:uid="{00000000-0005-0000-0000-0000603D0000}"/>
    <cellStyle name="Hidden 15" xfId="9358" xr:uid="{00000000-0005-0000-0000-0000613D0000}"/>
    <cellStyle name="Hidden 16" xfId="9359" xr:uid="{00000000-0005-0000-0000-0000623D0000}"/>
    <cellStyle name="Hidden 17" xfId="9360" xr:uid="{00000000-0005-0000-0000-0000633D0000}"/>
    <cellStyle name="Hidden 18" xfId="9361" xr:uid="{00000000-0005-0000-0000-0000643D0000}"/>
    <cellStyle name="Hidden 19" xfId="9362" xr:uid="{00000000-0005-0000-0000-0000653D0000}"/>
    <cellStyle name="Hidden 2" xfId="9363" xr:uid="{00000000-0005-0000-0000-0000663D0000}"/>
    <cellStyle name="Hidden 20" xfId="9364" xr:uid="{00000000-0005-0000-0000-0000673D0000}"/>
    <cellStyle name="Hidden 21" xfId="9365" xr:uid="{00000000-0005-0000-0000-0000683D0000}"/>
    <cellStyle name="Hidden 22" xfId="9366" xr:uid="{00000000-0005-0000-0000-0000693D0000}"/>
    <cellStyle name="Hidden 23" xfId="9367" xr:uid="{00000000-0005-0000-0000-00006A3D0000}"/>
    <cellStyle name="Hidden 24" xfId="9368" xr:uid="{00000000-0005-0000-0000-00006B3D0000}"/>
    <cellStyle name="Hidden 25" xfId="9369" xr:uid="{00000000-0005-0000-0000-00006C3D0000}"/>
    <cellStyle name="Hidden 26" xfId="9370" xr:uid="{00000000-0005-0000-0000-00006D3D0000}"/>
    <cellStyle name="Hidden 27" xfId="9371" xr:uid="{00000000-0005-0000-0000-00006E3D0000}"/>
    <cellStyle name="Hidden 28" xfId="9372" xr:uid="{00000000-0005-0000-0000-00006F3D0000}"/>
    <cellStyle name="Hidden 29" xfId="9373" xr:uid="{00000000-0005-0000-0000-0000703D0000}"/>
    <cellStyle name="Hidden 3" xfId="9374" xr:uid="{00000000-0005-0000-0000-0000713D0000}"/>
    <cellStyle name="Hidden 30" xfId="9375" xr:uid="{00000000-0005-0000-0000-0000723D0000}"/>
    <cellStyle name="Hidden 31" xfId="9376" xr:uid="{00000000-0005-0000-0000-0000733D0000}"/>
    <cellStyle name="Hidden 32" xfId="9377" xr:uid="{00000000-0005-0000-0000-0000743D0000}"/>
    <cellStyle name="Hidden 33" xfId="9378" xr:uid="{00000000-0005-0000-0000-0000753D0000}"/>
    <cellStyle name="Hidden 34" xfId="9379" xr:uid="{00000000-0005-0000-0000-0000763D0000}"/>
    <cellStyle name="Hidden 35" xfId="9380" xr:uid="{00000000-0005-0000-0000-0000773D0000}"/>
    <cellStyle name="Hidden 36" xfId="9381" xr:uid="{00000000-0005-0000-0000-0000783D0000}"/>
    <cellStyle name="Hidden 37" xfId="9382" xr:uid="{00000000-0005-0000-0000-0000793D0000}"/>
    <cellStyle name="Hidden 38" xfId="9383" xr:uid="{00000000-0005-0000-0000-00007A3D0000}"/>
    <cellStyle name="Hidden 39" xfId="9384" xr:uid="{00000000-0005-0000-0000-00007B3D0000}"/>
    <cellStyle name="Hidden 4" xfId="9385" xr:uid="{00000000-0005-0000-0000-00007C3D0000}"/>
    <cellStyle name="Hidden 40" xfId="9386" xr:uid="{00000000-0005-0000-0000-00007D3D0000}"/>
    <cellStyle name="Hidden 41" xfId="9387" xr:uid="{00000000-0005-0000-0000-00007E3D0000}"/>
    <cellStyle name="Hidden 42" xfId="9388" xr:uid="{00000000-0005-0000-0000-00007F3D0000}"/>
    <cellStyle name="Hidden 43" xfId="9389" xr:uid="{00000000-0005-0000-0000-0000803D0000}"/>
    <cellStyle name="Hidden 5" xfId="9390" xr:uid="{00000000-0005-0000-0000-0000813D0000}"/>
    <cellStyle name="Hidden 6" xfId="9391" xr:uid="{00000000-0005-0000-0000-0000823D0000}"/>
    <cellStyle name="Hidden 7" xfId="9392" xr:uid="{00000000-0005-0000-0000-0000833D0000}"/>
    <cellStyle name="Hidden 8" xfId="9393" xr:uid="{00000000-0005-0000-0000-0000843D0000}"/>
    <cellStyle name="Hidden 9" xfId="9394" xr:uid="{00000000-0005-0000-0000-0000853D0000}"/>
    <cellStyle name="Hidden_Input" xfId="9395" xr:uid="{00000000-0005-0000-0000-0000863D0000}"/>
    <cellStyle name="Hide" xfId="9396" xr:uid="{00000000-0005-0000-0000-0000873D0000}"/>
    <cellStyle name="High" xfId="9397" xr:uid="{00000000-0005-0000-0000-0000883D0000}"/>
    <cellStyle name="Hyperlink" xfId="22584" builtinId="8" hidden="1"/>
    <cellStyle name="Hyperlink" xfId="22586" builtinId="8" hidden="1"/>
    <cellStyle name="Hyperlink" xfId="22588" builtinId="8" hidden="1"/>
    <cellStyle name="Hyperlink" xfId="22590" builtinId="8" hidden="1"/>
    <cellStyle name="Hyperlink" xfId="22592" builtinId="8" hidden="1"/>
    <cellStyle name="Hyperlink" xfId="22594" builtinId="8" hidden="1"/>
    <cellStyle name="Hyperlink" xfId="22596" builtinId="8" hidden="1"/>
    <cellStyle name="Hyperlink" xfId="22598" builtinId="8" hidden="1"/>
    <cellStyle name="Hyperlink" xfId="22600" builtinId="8" hidden="1"/>
    <cellStyle name="Hyperlink" xfId="22602" builtinId="8" hidden="1"/>
    <cellStyle name="Hyperlink" xfId="22604" builtinId="8" hidden="1"/>
    <cellStyle name="Hyperlink" xfId="22606" builtinId="8" hidden="1"/>
    <cellStyle name="Hyperlink" xfId="22608" builtinId="8" hidden="1"/>
    <cellStyle name="Hyperlink" xfId="22610" builtinId="8" hidden="1"/>
    <cellStyle name="Hyperlink" xfId="22612" builtinId="8" hidden="1"/>
    <cellStyle name="Hyperlink" xfId="22614" builtinId="8" hidden="1"/>
    <cellStyle name="Hyperlink" xfId="22616" builtinId="8" hidden="1"/>
    <cellStyle name="Hyperlink" xfId="22618" builtinId="8" hidden="1"/>
    <cellStyle name="Hyperlink" xfId="22620" builtinId="8" hidden="1"/>
    <cellStyle name="Hyperlink" xfId="22622" builtinId="8" hidden="1"/>
    <cellStyle name="Hyperlink" xfId="22631" builtinId="8" hidden="1"/>
    <cellStyle name="Hyperlink" xfId="22633" builtinId="8" hidden="1"/>
    <cellStyle name="Hyperlink" xfId="22635" builtinId="8" hidden="1"/>
    <cellStyle name="Hyperlink" xfId="22637" builtinId="8" hidden="1"/>
    <cellStyle name="Hyperlink" xfId="22639" builtinId="8" hidden="1"/>
    <cellStyle name="Hyperlink" xfId="22641" builtinId="8" hidden="1"/>
    <cellStyle name="Hyperlink" xfId="22643" builtinId="8" hidden="1"/>
    <cellStyle name="Hyperlink" xfId="22645" builtinId="8" hidden="1"/>
    <cellStyle name="Hyperlink" xfId="22647" builtinId="8" hidden="1"/>
    <cellStyle name="Hyperlink" xfId="22649" builtinId="8" hidden="1"/>
    <cellStyle name="Hyperlink" xfId="22651" builtinId="8" hidden="1"/>
    <cellStyle name="Hyperlink" xfId="22653" builtinId="8" hidden="1"/>
    <cellStyle name="Hyperlink" xfId="22655" builtinId="8" hidden="1"/>
    <cellStyle name="Hyperlink" xfId="22657" builtinId="8" hidden="1"/>
    <cellStyle name="Hyperlink" xfId="22659" builtinId="8" hidden="1"/>
    <cellStyle name="Hyperlink" xfId="22661" builtinId="8" hidden="1"/>
    <cellStyle name="Hyperlink" xfId="19347" builtinId="8" hidden="1"/>
    <cellStyle name="Hyperlink" xfId="19349" builtinId="8" hidden="1"/>
    <cellStyle name="Hyperlink" xfId="19351" builtinId="8" hidden="1"/>
    <cellStyle name="Hyperlink" xfId="19361" builtinId="8" hidden="1"/>
    <cellStyle name="Hyperlink" xfId="19363" builtinId="8" hidden="1"/>
    <cellStyle name="Hyperlink" xfId="19365" builtinId="8" hidden="1"/>
    <cellStyle name="Hyperlink" xfId="19367" builtinId="8" hidden="1"/>
    <cellStyle name="Hyperlink" xfId="19369" builtinId="8" hidden="1"/>
    <cellStyle name="Hyperlink" xfId="19371" builtinId="8" hidden="1"/>
    <cellStyle name="Hyperlink" xfId="19373" builtinId="8" hidden="1"/>
    <cellStyle name="Hyperlink" xfId="19375" builtinId="8" hidden="1"/>
    <cellStyle name="Hyperlink" xfId="19377" builtinId="8" hidden="1"/>
    <cellStyle name="Hyperlink" xfId="19379" builtinId="8" hidden="1"/>
    <cellStyle name="Hyperlink" xfId="19381" builtinId="8" hidden="1"/>
    <cellStyle name="Hyperlink" xfId="19383" builtinId="8" hidden="1"/>
    <cellStyle name="Hyperlink" xfId="19385" builtinId="8" hidden="1"/>
    <cellStyle name="Hyperlink" xfId="19387" builtinId="8" hidden="1"/>
    <cellStyle name="Hyperlink" xfId="19389" builtinId="8" hidden="1"/>
    <cellStyle name="Hyperlink" xfId="19391" builtinId="8" hidden="1"/>
    <cellStyle name="Hyperlink" xfId="22558" builtinId="8" hidden="1"/>
    <cellStyle name="Hyperlink" xfId="22560" builtinId="8" hidden="1"/>
    <cellStyle name="Hyperlink" xfId="22562" builtinId="8" hidden="1"/>
    <cellStyle name="Hyperlink" xfId="22564" builtinId="8" hidden="1"/>
    <cellStyle name="Hyperlink" xfId="22566" builtinId="8" hidden="1"/>
    <cellStyle name="Hyperlink" xfId="22568" builtinId="8" hidden="1"/>
    <cellStyle name="Hyperlink" xfId="22570" builtinId="8" hidden="1"/>
    <cellStyle name="Hyperlink" xfId="22572" builtinId="8" hidden="1"/>
    <cellStyle name="Hyperlink" xfId="22576" builtinId="8" hidden="1"/>
    <cellStyle name="Hyperlink" xfId="22578" builtinId="8" hidden="1"/>
    <cellStyle name="Hyperlink" xfId="22580" builtinId="8" hidden="1"/>
    <cellStyle name="Hyperlink" xfId="22582" builtinId="8" hidden="1"/>
    <cellStyle name="Hyperlink" xfId="22574" builtinId="8" hidden="1"/>
    <cellStyle name="Hyperlink" xfId="19317" builtinId="8" hidden="1"/>
    <cellStyle name="Hyperlink" xfId="19319" builtinId="8" hidden="1"/>
    <cellStyle name="Hyperlink" xfId="19321" builtinId="8" hidden="1"/>
    <cellStyle name="Hyperlink" xfId="19323" builtinId="8" hidden="1"/>
    <cellStyle name="Hyperlink" xfId="19325" builtinId="8" hidden="1"/>
    <cellStyle name="Hyperlink" xfId="19327" builtinId="8" hidden="1"/>
    <cellStyle name="Hyperlink" xfId="19329" builtinId="8" hidden="1"/>
    <cellStyle name="Hyperlink" xfId="19331" builtinId="8" hidden="1"/>
    <cellStyle name="Hyperlink" xfId="19333" builtinId="8" hidden="1"/>
    <cellStyle name="Hyperlink" xfId="19335" builtinId="8" hidden="1"/>
    <cellStyle name="Hyperlink" xfId="19337" builtinId="8" hidden="1"/>
    <cellStyle name="Hyperlink" xfId="19339" builtinId="8" hidden="1"/>
    <cellStyle name="Hyperlink" xfId="19341" builtinId="8" hidden="1"/>
    <cellStyle name="Hyperlink" xfId="19343" builtinId="8" hidden="1"/>
    <cellStyle name="Hyperlink" xfId="19345" builtinId="8" hidden="1"/>
    <cellStyle name="Hyperlink" xfId="19301" builtinId="8" hidden="1"/>
    <cellStyle name="Hyperlink" xfId="19303" builtinId="8" hidden="1"/>
    <cellStyle name="Hyperlink" xfId="19305" builtinId="8" hidden="1"/>
    <cellStyle name="Hyperlink" xfId="19307" builtinId="8" hidden="1"/>
    <cellStyle name="Hyperlink" xfId="19309" builtinId="8" hidden="1"/>
    <cellStyle name="Hyperlink" xfId="19311" builtinId="8" hidden="1"/>
    <cellStyle name="Hyperlink" xfId="19313" builtinId="8" hidden="1"/>
    <cellStyle name="Hyperlink" xfId="19315" builtinId="8" hidden="1"/>
    <cellStyle name="Hyperlink" xfId="19293" builtinId="8" hidden="1"/>
    <cellStyle name="Hyperlink" xfId="19295" builtinId="8" hidden="1"/>
    <cellStyle name="Hyperlink" xfId="19297" builtinId="8" hidden="1"/>
    <cellStyle name="Hyperlink" xfId="19299" builtinId="8" hidden="1"/>
    <cellStyle name="Hyperlink" xfId="19289" builtinId="8" hidden="1"/>
    <cellStyle name="Hyperlink" xfId="19291" builtinId="8" hidden="1"/>
    <cellStyle name="Hyperlink" xfId="19287" builtinId="8" hidden="1"/>
    <cellStyle name="Hyperlink" xfId="27952" builtinId="8"/>
    <cellStyle name="Hyperlink 2" xfId="299" xr:uid="{00000000-0005-0000-0000-0000EC3D0000}"/>
    <cellStyle name="Hyperlink 2 2" xfId="9398" xr:uid="{00000000-0005-0000-0000-0000ED3D0000}"/>
    <cellStyle name="Hyperlink 2 3" xfId="9399" xr:uid="{00000000-0005-0000-0000-0000EE3D0000}"/>
    <cellStyle name="Hyperlink 2 3 2" xfId="9400" xr:uid="{00000000-0005-0000-0000-0000EF3D0000}"/>
    <cellStyle name="Hyperlink 2 3_asd" xfId="9401" xr:uid="{00000000-0005-0000-0000-0000F03D0000}"/>
    <cellStyle name="Hyperlink 2 4" xfId="9402" xr:uid="{00000000-0005-0000-0000-0000F13D0000}"/>
    <cellStyle name="Hyperlink 2 5" xfId="9403" xr:uid="{00000000-0005-0000-0000-0000F23D0000}"/>
    <cellStyle name="Hyperlink 2 6" xfId="9404" xr:uid="{00000000-0005-0000-0000-0000F33D0000}"/>
    <cellStyle name="Hyperlink 2 7" xfId="9405" xr:uid="{00000000-0005-0000-0000-0000F43D0000}"/>
    <cellStyle name="Hyperlink 2 8" xfId="9406" xr:uid="{00000000-0005-0000-0000-0000F53D0000}"/>
    <cellStyle name="Hyperlink 2_(workout)" xfId="9407" xr:uid="{00000000-0005-0000-0000-0000F63D0000}"/>
    <cellStyle name="Hyperlink 3" xfId="9408" xr:uid="{00000000-0005-0000-0000-0000F73D0000}"/>
    <cellStyle name="Hyperlink 3 2" xfId="9409" xr:uid="{00000000-0005-0000-0000-0000F83D0000}"/>
    <cellStyle name="Hyperlink 3 2 2" xfId="9410" xr:uid="{00000000-0005-0000-0000-0000F93D0000}"/>
    <cellStyle name="Hyperlink 3 2_asd" xfId="9411" xr:uid="{00000000-0005-0000-0000-0000FA3D0000}"/>
    <cellStyle name="Hyperlink 3 3" xfId="9412" xr:uid="{00000000-0005-0000-0000-0000FB3D0000}"/>
    <cellStyle name="Hyperlink 3 3 2" xfId="9413" xr:uid="{00000000-0005-0000-0000-0000FC3D0000}"/>
    <cellStyle name="Hyperlink 3 3_asd" xfId="9414" xr:uid="{00000000-0005-0000-0000-0000FD3D0000}"/>
    <cellStyle name="Hyperlink 3 4" xfId="9415" xr:uid="{00000000-0005-0000-0000-0000FE3D0000}"/>
    <cellStyle name="Hyperlink 3_asd" xfId="9416" xr:uid="{00000000-0005-0000-0000-0000FF3D0000}"/>
    <cellStyle name="Hyperlink 4" xfId="9417" xr:uid="{00000000-0005-0000-0000-0000003E0000}"/>
    <cellStyle name="Hyperlink 5" xfId="9418" xr:uid="{00000000-0005-0000-0000-0000013E0000}"/>
    <cellStyle name="Hyperlink 5 2" xfId="9419" xr:uid="{00000000-0005-0000-0000-0000023E0000}"/>
    <cellStyle name="Hyperlink 6" xfId="9420" xr:uid="{00000000-0005-0000-0000-0000033E0000}"/>
    <cellStyle name="Hyperlink 6 2" xfId="9421" xr:uid="{00000000-0005-0000-0000-0000043E0000}"/>
    <cellStyle name="Hyperlink 7" xfId="9422" xr:uid="{00000000-0005-0000-0000-0000053E0000}"/>
    <cellStyle name="Hyperlink 8" xfId="9423" xr:uid="{00000000-0005-0000-0000-0000063E0000}"/>
    <cellStyle name="Hypertextový odkaz" xfId="300" xr:uid="{00000000-0005-0000-0000-0000073E0000}"/>
    <cellStyle name="IBO" xfId="22708" xr:uid="{00000000-0005-0000-0000-0000083E0000}"/>
    <cellStyle name="ibrahim" xfId="22709" xr:uid="{00000000-0005-0000-0000-0000093E0000}"/>
    <cellStyle name="ibrahim 2" xfId="22710" xr:uid="{00000000-0005-0000-0000-00000A3E0000}"/>
    <cellStyle name="INCHES" xfId="9424" xr:uid="{00000000-0005-0000-0000-00000B3E0000}"/>
    <cellStyle name="Input [yellow]" xfId="301" xr:uid="{00000000-0005-0000-0000-00000C3E0000}"/>
    <cellStyle name="Input [yellow] 2" xfId="302" xr:uid="{00000000-0005-0000-0000-00000D3E0000}"/>
    <cellStyle name="Input [yellow] 2 2" xfId="19410" xr:uid="{00000000-0005-0000-0000-00000E3E0000}"/>
    <cellStyle name="Input [yellow] 3" xfId="9425" xr:uid="{00000000-0005-0000-0000-00000F3E0000}"/>
    <cellStyle name="Input [yellow] 3 2" xfId="20843" xr:uid="{00000000-0005-0000-0000-0000103E0000}"/>
    <cellStyle name="Input [yellow] 4" xfId="19409" xr:uid="{00000000-0005-0000-0000-0000113E0000}"/>
    <cellStyle name="Input 10" xfId="303" xr:uid="{00000000-0005-0000-0000-0000123E0000}"/>
    <cellStyle name="Input 10 10" xfId="9426" xr:uid="{00000000-0005-0000-0000-0000133E0000}"/>
    <cellStyle name="Input 10 10 2" xfId="9427" xr:uid="{00000000-0005-0000-0000-0000143E0000}"/>
    <cellStyle name="Input 10 11" xfId="9428" xr:uid="{00000000-0005-0000-0000-0000153E0000}"/>
    <cellStyle name="Input 10 11 2" xfId="9429" xr:uid="{00000000-0005-0000-0000-0000163E0000}"/>
    <cellStyle name="Input 10 12" xfId="9430" xr:uid="{00000000-0005-0000-0000-0000173E0000}"/>
    <cellStyle name="Input 10 12 2" xfId="9431" xr:uid="{00000000-0005-0000-0000-0000183E0000}"/>
    <cellStyle name="Input 10 13" xfId="9432" xr:uid="{00000000-0005-0000-0000-0000193E0000}"/>
    <cellStyle name="Input 10 13 2" xfId="9433" xr:uid="{00000000-0005-0000-0000-00001A3E0000}"/>
    <cellStyle name="Input 10 14" xfId="9434" xr:uid="{00000000-0005-0000-0000-00001B3E0000}"/>
    <cellStyle name="Input 10 14 2" xfId="9435" xr:uid="{00000000-0005-0000-0000-00001C3E0000}"/>
    <cellStyle name="Input 10 15" xfId="9436" xr:uid="{00000000-0005-0000-0000-00001D3E0000}"/>
    <cellStyle name="Input 10 15 2" xfId="9437" xr:uid="{00000000-0005-0000-0000-00001E3E0000}"/>
    <cellStyle name="Input 10 16" xfId="9438" xr:uid="{00000000-0005-0000-0000-00001F3E0000}"/>
    <cellStyle name="Input 10 16 2" xfId="9439" xr:uid="{00000000-0005-0000-0000-0000203E0000}"/>
    <cellStyle name="Input 10 17" xfId="9440" xr:uid="{00000000-0005-0000-0000-0000213E0000}"/>
    <cellStyle name="Input 10 17 2" xfId="9441" xr:uid="{00000000-0005-0000-0000-0000223E0000}"/>
    <cellStyle name="Input 10 18" xfId="9442" xr:uid="{00000000-0005-0000-0000-0000233E0000}"/>
    <cellStyle name="Input 10 18 2" xfId="9443" xr:uid="{00000000-0005-0000-0000-0000243E0000}"/>
    <cellStyle name="Input 10 19" xfId="9444" xr:uid="{00000000-0005-0000-0000-0000253E0000}"/>
    <cellStyle name="Input 10 19 2" xfId="9445" xr:uid="{00000000-0005-0000-0000-0000263E0000}"/>
    <cellStyle name="Input 10 2" xfId="9446" xr:uid="{00000000-0005-0000-0000-0000273E0000}"/>
    <cellStyle name="Input 10 2 2" xfId="9447" xr:uid="{00000000-0005-0000-0000-0000283E0000}"/>
    <cellStyle name="Input 10 20" xfId="9448" xr:uid="{00000000-0005-0000-0000-0000293E0000}"/>
    <cellStyle name="Input 10 20 2" xfId="9449" xr:uid="{00000000-0005-0000-0000-00002A3E0000}"/>
    <cellStyle name="Input 10 21" xfId="9450" xr:uid="{00000000-0005-0000-0000-00002B3E0000}"/>
    <cellStyle name="Input 10 21 2" xfId="9451" xr:uid="{00000000-0005-0000-0000-00002C3E0000}"/>
    <cellStyle name="Input 10 22" xfId="9452" xr:uid="{00000000-0005-0000-0000-00002D3E0000}"/>
    <cellStyle name="Input 10 22 2" xfId="9453" xr:uid="{00000000-0005-0000-0000-00002E3E0000}"/>
    <cellStyle name="Input 10 23" xfId="9454" xr:uid="{00000000-0005-0000-0000-00002F3E0000}"/>
    <cellStyle name="Input 10 23 2" xfId="9455" xr:uid="{00000000-0005-0000-0000-0000303E0000}"/>
    <cellStyle name="Input 10 24" xfId="9456" xr:uid="{00000000-0005-0000-0000-0000313E0000}"/>
    <cellStyle name="Input 10 24 2" xfId="9457" xr:uid="{00000000-0005-0000-0000-0000323E0000}"/>
    <cellStyle name="Input 10 25" xfId="9458" xr:uid="{00000000-0005-0000-0000-0000333E0000}"/>
    <cellStyle name="Input 10 25 2" xfId="9459" xr:uid="{00000000-0005-0000-0000-0000343E0000}"/>
    <cellStyle name="Input 10 26" xfId="9460" xr:uid="{00000000-0005-0000-0000-0000353E0000}"/>
    <cellStyle name="Input 10 26 2" xfId="9461" xr:uid="{00000000-0005-0000-0000-0000363E0000}"/>
    <cellStyle name="Input 10 27" xfId="9462" xr:uid="{00000000-0005-0000-0000-0000373E0000}"/>
    <cellStyle name="Input 10 27 2" xfId="9463" xr:uid="{00000000-0005-0000-0000-0000383E0000}"/>
    <cellStyle name="Input 10 28" xfId="9464" xr:uid="{00000000-0005-0000-0000-0000393E0000}"/>
    <cellStyle name="Input 10 28 2" xfId="9465" xr:uid="{00000000-0005-0000-0000-00003A3E0000}"/>
    <cellStyle name="Input 10 29" xfId="9466" xr:uid="{00000000-0005-0000-0000-00003B3E0000}"/>
    <cellStyle name="Input 10 29 2" xfId="9467" xr:uid="{00000000-0005-0000-0000-00003C3E0000}"/>
    <cellStyle name="Input 10 3" xfId="9468" xr:uid="{00000000-0005-0000-0000-00003D3E0000}"/>
    <cellStyle name="Input 10 3 2" xfId="9469" xr:uid="{00000000-0005-0000-0000-00003E3E0000}"/>
    <cellStyle name="Input 10 30" xfId="9470" xr:uid="{00000000-0005-0000-0000-00003F3E0000}"/>
    <cellStyle name="Input 10 30 2" xfId="9471" xr:uid="{00000000-0005-0000-0000-0000403E0000}"/>
    <cellStyle name="Input 10 31" xfId="9472" xr:uid="{00000000-0005-0000-0000-0000413E0000}"/>
    <cellStyle name="Input 10 31 2" xfId="9473" xr:uid="{00000000-0005-0000-0000-0000423E0000}"/>
    <cellStyle name="Input 10 32" xfId="9474" xr:uid="{00000000-0005-0000-0000-0000433E0000}"/>
    <cellStyle name="Input 10 32 2" xfId="9475" xr:uid="{00000000-0005-0000-0000-0000443E0000}"/>
    <cellStyle name="Input 10 33" xfId="9476" xr:uid="{00000000-0005-0000-0000-0000453E0000}"/>
    <cellStyle name="Input 10 33 2" xfId="9477" xr:uid="{00000000-0005-0000-0000-0000463E0000}"/>
    <cellStyle name="Input 10 34" xfId="9478" xr:uid="{00000000-0005-0000-0000-0000473E0000}"/>
    <cellStyle name="Input 10 34 2" xfId="9479" xr:uid="{00000000-0005-0000-0000-0000483E0000}"/>
    <cellStyle name="Input 10 35" xfId="9480" xr:uid="{00000000-0005-0000-0000-0000493E0000}"/>
    <cellStyle name="Input 10 35 2" xfId="9481" xr:uid="{00000000-0005-0000-0000-00004A3E0000}"/>
    <cellStyle name="Input 10 36" xfId="9482" xr:uid="{00000000-0005-0000-0000-00004B3E0000}"/>
    <cellStyle name="Input 10 36 2" xfId="9483" xr:uid="{00000000-0005-0000-0000-00004C3E0000}"/>
    <cellStyle name="Input 10 37" xfId="9484" xr:uid="{00000000-0005-0000-0000-00004D3E0000}"/>
    <cellStyle name="Input 10 37 2" xfId="9485" xr:uid="{00000000-0005-0000-0000-00004E3E0000}"/>
    <cellStyle name="Input 10 38" xfId="9486" xr:uid="{00000000-0005-0000-0000-00004F3E0000}"/>
    <cellStyle name="Input 10 38 2" xfId="9487" xr:uid="{00000000-0005-0000-0000-0000503E0000}"/>
    <cellStyle name="Input 10 39" xfId="9488" xr:uid="{00000000-0005-0000-0000-0000513E0000}"/>
    <cellStyle name="Input 10 39 2" xfId="9489" xr:uid="{00000000-0005-0000-0000-0000523E0000}"/>
    <cellStyle name="Input 10 4" xfId="9490" xr:uid="{00000000-0005-0000-0000-0000533E0000}"/>
    <cellStyle name="Input 10 4 2" xfId="9491" xr:uid="{00000000-0005-0000-0000-0000543E0000}"/>
    <cellStyle name="Input 10 40" xfId="9492" xr:uid="{00000000-0005-0000-0000-0000553E0000}"/>
    <cellStyle name="Input 10 40 2" xfId="9493" xr:uid="{00000000-0005-0000-0000-0000563E0000}"/>
    <cellStyle name="Input 10 41" xfId="9494" xr:uid="{00000000-0005-0000-0000-0000573E0000}"/>
    <cellStyle name="Input 10 41 2" xfId="9495" xr:uid="{00000000-0005-0000-0000-0000583E0000}"/>
    <cellStyle name="Input 10 42" xfId="9496" xr:uid="{00000000-0005-0000-0000-0000593E0000}"/>
    <cellStyle name="Input 10 42 2" xfId="9497" xr:uid="{00000000-0005-0000-0000-00005A3E0000}"/>
    <cellStyle name="Input 10 43" xfId="9498" xr:uid="{00000000-0005-0000-0000-00005B3E0000}"/>
    <cellStyle name="Input 10 43 2" xfId="9499" xr:uid="{00000000-0005-0000-0000-00005C3E0000}"/>
    <cellStyle name="Input 10 44" xfId="9500" xr:uid="{00000000-0005-0000-0000-00005D3E0000}"/>
    <cellStyle name="Input 10 44 2" xfId="9501" xr:uid="{00000000-0005-0000-0000-00005E3E0000}"/>
    <cellStyle name="Input 10 45" xfId="9502" xr:uid="{00000000-0005-0000-0000-00005F3E0000}"/>
    <cellStyle name="Input 10 45 2" xfId="9503" xr:uid="{00000000-0005-0000-0000-0000603E0000}"/>
    <cellStyle name="Input 10 46" xfId="9504" xr:uid="{00000000-0005-0000-0000-0000613E0000}"/>
    <cellStyle name="Input 10 46 2" xfId="9505" xr:uid="{00000000-0005-0000-0000-0000623E0000}"/>
    <cellStyle name="Input 10 47" xfId="9506" xr:uid="{00000000-0005-0000-0000-0000633E0000}"/>
    <cellStyle name="Input 10 47 2" xfId="9507" xr:uid="{00000000-0005-0000-0000-0000643E0000}"/>
    <cellStyle name="Input 10 48" xfId="9508" xr:uid="{00000000-0005-0000-0000-0000653E0000}"/>
    <cellStyle name="Input 10 48 2" xfId="9509" xr:uid="{00000000-0005-0000-0000-0000663E0000}"/>
    <cellStyle name="Input 10 49" xfId="9510" xr:uid="{00000000-0005-0000-0000-0000673E0000}"/>
    <cellStyle name="Input 10 49 2" xfId="9511" xr:uid="{00000000-0005-0000-0000-0000683E0000}"/>
    <cellStyle name="Input 10 5" xfId="9512" xr:uid="{00000000-0005-0000-0000-0000693E0000}"/>
    <cellStyle name="Input 10 5 2" xfId="9513" xr:uid="{00000000-0005-0000-0000-00006A3E0000}"/>
    <cellStyle name="Input 10 50" xfId="9514" xr:uid="{00000000-0005-0000-0000-00006B3E0000}"/>
    <cellStyle name="Input 10 50 2" xfId="9515" xr:uid="{00000000-0005-0000-0000-00006C3E0000}"/>
    <cellStyle name="Input 10 51" xfId="9516" xr:uid="{00000000-0005-0000-0000-00006D3E0000}"/>
    <cellStyle name="Input 10 51 2" xfId="9517" xr:uid="{00000000-0005-0000-0000-00006E3E0000}"/>
    <cellStyle name="Input 10 52" xfId="9518" xr:uid="{00000000-0005-0000-0000-00006F3E0000}"/>
    <cellStyle name="Input 10 52 2" xfId="9519" xr:uid="{00000000-0005-0000-0000-0000703E0000}"/>
    <cellStyle name="Input 10 53" xfId="9520" xr:uid="{00000000-0005-0000-0000-0000713E0000}"/>
    <cellStyle name="Input 10 53 2" xfId="9521" xr:uid="{00000000-0005-0000-0000-0000723E0000}"/>
    <cellStyle name="Input 10 54" xfId="9522" xr:uid="{00000000-0005-0000-0000-0000733E0000}"/>
    <cellStyle name="Input 10 54 2" xfId="9523" xr:uid="{00000000-0005-0000-0000-0000743E0000}"/>
    <cellStyle name="Input 10 55" xfId="9524" xr:uid="{00000000-0005-0000-0000-0000753E0000}"/>
    <cellStyle name="Input 10 55 2" xfId="9525" xr:uid="{00000000-0005-0000-0000-0000763E0000}"/>
    <cellStyle name="Input 10 56" xfId="9526" xr:uid="{00000000-0005-0000-0000-0000773E0000}"/>
    <cellStyle name="Input 10 56 2" xfId="9527" xr:uid="{00000000-0005-0000-0000-0000783E0000}"/>
    <cellStyle name="Input 10 57" xfId="9528" xr:uid="{00000000-0005-0000-0000-0000793E0000}"/>
    <cellStyle name="Input 10 57 2" xfId="9529" xr:uid="{00000000-0005-0000-0000-00007A3E0000}"/>
    <cellStyle name="Input 10 58" xfId="9530" xr:uid="{00000000-0005-0000-0000-00007B3E0000}"/>
    <cellStyle name="Input 10 58 2" xfId="9531" xr:uid="{00000000-0005-0000-0000-00007C3E0000}"/>
    <cellStyle name="Input 10 59" xfId="9532" xr:uid="{00000000-0005-0000-0000-00007D3E0000}"/>
    <cellStyle name="Input 10 59 2" xfId="9533" xr:uid="{00000000-0005-0000-0000-00007E3E0000}"/>
    <cellStyle name="Input 10 6" xfId="9534" xr:uid="{00000000-0005-0000-0000-00007F3E0000}"/>
    <cellStyle name="Input 10 6 2" xfId="9535" xr:uid="{00000000-0005-0000-0000-0000803E0000}"/>
    <cellStyle name="Input 10 60" xfId="9536" xr:uid="{00000000-0005-0000-0000-0000813E0000}"/>
    <cellStyle name="Input 10 60 2" xfId="9537" xr:uid="{00000000-0005-0000-0000-0000823E0000}"/>
    <cellStyle name="Input 10 61" xfId="9538" xr:uid="{00000000-0005-0000-0000-0000833E0000}"/>
    <cellStyle name="Input 10 61 2" xfId="9539" xr:uid="{00000000-0005-0000-0000-0000843E0000}"/>
    <cellStyle name="Input 10 62" xfId="9540" xr:uid="{00000000-0005-0000-0000-0000853E0000}"/>
    <cellStyle name="Input 10 62 2" xfId="9541" xr:uid="{00000000-0005-0000-0000-0000863E0000}"/>
    <cellStyle name="Input 10 63" xfId="9542" xr:uid="{00000000-0005-0000-0000-0000873E0000}"/>
    <cellStyle name="Input 10 7" xfId="9543" xr:uid="{00000000-0005-0000-0000-0000883E0000}"/>
    <cellStyle name="Input 10 7 2" xfId="9544" xr:uid="{00000000-0005-0000-0000-0000893E0000}"/>
    <cellStyle name="Input 10 8" xfId="9545" xr:uid="{00000000-0005-0000-0000-00008A3E0000}"/>
    <cellStyle name="Input 10 8 2" xfId="9546" xr:uid="{00000000-0005-0000-0000-00008B3E0000}"/>
    <cellStyle name="Input 10 9" xfId="9547" xr:uid="{00000000-0005-0000-0000-00008C3E0000}"/>
    <cellStyle name="Input 10 9 2" xfId="9548" xr:uid="{00000000-0005-0000-0000-00008D3E0000}"/>
    <cellStyle name="Input 11" xfId="9549" xr:uid="{00000000-0005-0000-0000-00008E3E0000}"/>
    <cellStyle name="Input 11 10" xfId="9550" xr:uid="{00000000-0005-0000-0000-00008F3E0000}"/>
    <cellStyle name="Input 11 10 2" xfId="9551" xr:uid="{00000000-0005-0000-0000-0000903E0000}"/>
    <cellStyle name="Input 11 11" xfId="9552" xr:uid="{00000000-0005-0000-0000-0000913E0000}"/>
    <cellStyle name="Input 11 11 2" xfId="9553" xr:uid="{00000000-0005-0000-0000-0000923E0000}"/>
    <cellStyle name="Input 11 12" xfId="9554" xr:uid="{00000000-0005-0000-0000-0000933E0000}"/>
    <cellStyle name="Input 11 12 2" xfId="9555" xr:uid="{00000000-0005-0000-0000-0000943E0000}"/>
    <cellStyle name="Input 11 13" xfId="9556" xr:uid="{00000000-0005-0000-0000-0000953E0000}"/>
    <cellStyle name="Input 11 13 2" xfId="9557" xr:uid="{00000000-0005-0000-0000-0000963E0000}"/>
    <cellStyle name="Input 11 14" xfId="9558" xr:uid="{00000000-0005-0000-0000-0000973E0000}"/>
    <cellStyle name="Input 11 14 2" xfId="9559" xr:uid="{00000000-0005-0000-0000-0000983E0000}"/>
    <cellStyle name="Input 11 15" xfId="9560" xr:uid="{00000000-0005-0000-0000-0000993E0000}"/>
    <cellStyle name="Input 11 15 2" xfId="9561" xr:uid="{00000000-0005-0000-0000-00009A3E0000}"/>
    <cellStyle name="Input 11 16" xfId="9562" xr:uid="{00000000-0005-0000-0000-00009B3E0000}"/>
    <cellStyle name="Input 11 16 2" xfId="9563" xr:uid="{00000000-0005-0000-0000-00009C3E0000}"/>
    <cellStyle name="Input 11 17" xfId="9564" xr:uid="{00000000-0005-0000-0000-00009D3E0000}"/>
    <cellStyle name="Input 11 17 2" xfId="9565" xr:uid="{00000000-0005-0000-0000-00009E3E0000}"/>
    <cellStyle name="Input 11 18" xfId="9566" xr:uid="{00000000-0005-0000-0000-00009F3E0000}"/>
    <cellStyle name="Input 11 18 2" xfId="9567" xr:uid="{00000000-0005-0000-0000-0000A03E0000}"/>
    <cellStyle name="Input 11 19" xfId="9568" xr:uid="{00000000-0005-0000-0000-0000A13E0000}"/>
    <cellStyle name="Input 11 19 2" xfId="9569" xr:uid="{00000000-0005-0000-0000-0000A23E0000}"/>
    <cellStyle name="Input 11 2" xfId="9570" xr:uid="{00000000-0005-0000-0000-0000A33E0000}"/>
    <cellStyle name="Input 11 2 2" xfId="9571" xr:uid="{00000000-0005-0000-0000-0000A43E0000}"/>
    <cellStyle name="Input 11 20" xfId="9572" xr:uid="{00000000-0005-0000-0000-0000A53E0000}"/>
    <cellStyle name="Input 11 20 2" xfId="9573" xr:uid="{00000000-0005-0000-0000-0000A63E0000}"/>
    <cellStyle name="Input 11 21" xfId="9574" xr:uid="{00000000-0005-0000-0000-0000A73E0000}"/>
    <cellStyle name="Input 11 21 2" xfId="9575" xr:uid="{00000000-0005-0000-0000-0000A83E0000}"/>
    <cellStyle name="Input 11 22" xfId="9576" xr:uid="{00000000-0005-0000-0000-0000A93E0000}"/>
    <cellStyle name="Input 11 22 2" xfId="9577" xr:uid="{00000000-0005-0000-0000-0000AA3E0000}"/>
    <cellStyle name="Input 11 23" xfId="9578" xr:uid="{00000000-0005-0000-0000-0000AB3E0000}"/>
    <cellStyle name="Input 11 23 2" xfId="9579" xr:uid="{00000000-0005-0000-0000-0000AC3E0000}"/>
    <cellStyle name="Input 11 24" xfId="9580" xr:uid="{00000000-0005-0000-0000-0000AD3E0000}"/>
    <cellStyle name="Input 11 24 2" xfId="9581" xr:uid="{00000000-0005-0000-0000-0000AE3E0000}"/>
    <cellStyle name="Input 11 25" xfId="9582" xr:uid="{00000000-0005-0000-0000-0000AF3E0000}"/>
    <cellStyle name="Input 11 25 2" xfId="9583" xr:uid="{00000000-0005-0000-0000-0000B03E0000}"/>
    <cellStyle name="Input 11 26" xfId="9584" xr:uid="{00000000-0005-0000-0000-0000B13E0000}"/>
    <cellStyle name="Input 11 26 2" xfId="9585" xr:uid="{00000000-0005-0000-0000-0000B23E0000}"/>
    <cellStyle name="Input 11 27" xfId="9586" xr:uid="{00000000-0005-0000-0000-0000B33E0000}"/>
    <cellStyle name="Input 11 27 2" xfId="9587" xr:uid="{00000000-0005-0000-0000-0000B43E0000}"/>
    <cellStyle name="Input 11 28" xfId="9588" xr:uid="{00000000-0005-0000-0000-0000B53E0000}"/>
    <cellStyle name="Input 11 28 2" xfId="9589" xr:uid="{00000000-0005-0000-0000-0000B63E0000}"/>
    <cellStyle name="Input 11 29" xfId="9590" xr:uid="{00000000-0005-0000-0000-0000B73E0000}"/>
    <cellStyle name="Input 11 29 2" xfId="9591" xr:uid="{00000000-0005-0000-0000-0000B83E0000}"/>
    <cellStyle name="Input 11 3" xfId="9592" xr:uid="{00000000-0005-0000-0000-0000B93E0000}"/>
    <cellStyle name="Input 11 3 2" xfId="9593" xr:uid="{00000000-0005-0000-0000-0000BA3E0000}"/>
    <cellStyle name="Input 11 30" xfId="9594" xr:uid="{00000000-0005-0000-0000-0000BB3E0000}"/>
    <cellStyle name="Input 11 30 2" xfId="9595" xr:uid="{00000000-0005-0000-0000-0000BC3E0000}"/>
    <cellStyle name="Input 11 31" xfId="9596" xr:uid="{00000000-0005-0000-0000-0000BD3E0000}"/>
    <cellStyle name="Input 11 31 2" xfId="9597" xr:uid="{00000000-0005-0000-0000-0000BE3E0000}"/>
    <cellStyle name="Input 11 32" xfId="9598" xr:uid="{00000000-0005-0000-0000-0000BF3E0000}"/>
    <cellStyle name="Input 11 32 2" xfId="9599" xr:uid="{00000000-0005-0000-0000-0000C03E0000}"/>
    <cellStyle name="Input 11 33" xfId="9600" xr:uid="{00000000-0005-0000-0000-0000C13E0000}"/>
    <cellStyle name="Input 11 33 2" xfId="9601" xr:uid="{00000000-0005-0000-0000-0000C23E0000}"/>
    <cellStyle name="Input 11 34" xfId="9602" xr:uid="{00000000-0005-0000-0000-0000C33E0000}"/>
    <cellStyle name="Input 11 34 2" xfId="9603" xr:uid="{00000000-0005-0000-0000-0000C43E0000}"/>
    <cellStyle name="Input 11 35" xfId="9604" xr:uid="{00000000-0005-0000-0000-0000C53E0000}"/>
    <cellStyle name="Input 11 35 2" xfId="9605" xr:uid="{00000000-0005-0000-0000-0000C63E0000}"/>
    <cellStyle name="Input 11 36" xfId="9606" xr:uid="{00000000-0005-0000-0000-0000C73E0000}"/>
    <cellStyle name="Input 11 36 2" xfId="9607" xr:uid="{00000000-0005-0000-0000-0000C83E0000}"/>
    <cellStyle name="Input 11 37" xfId="9608" xr:uid="{00000000-0005-0000-0000-0000C93E0000}"/>
    <cellStyle name="Input 11 37 2" xfId="9609" xr:uid="{00000000-0005-0000-0000-0000CA3E0000}"/>
    <cellStyle name="Input 11 38" xfId="9610" xr:uid="{00000000-0005-0000-0000-0000CB3E0000}"/>
    <cellStyle name="Input 11 38 2" xfId="9611" xr:uid="{00000000-0005-0000-0000-0000CC3E0000}"/>
    <cellStyle name="Input 11 39" xfId="9612" xr:uid="{00000000-0005-0000-0000-0000CD3E0000}"/>
    <cellStyle name="Input 11 39 2" xfId="9613" xr:uid="{00000000-0005-0000-0000-0000CE3E0000}"/>
    <cellStyle name="Input 11 4" xfId="9614" xr:uid="{00000000-0005-0000-0000-0000CF3E0000}"/>
    <cellStyle name="Input 11 4 2" xfId="9615" xr:uid="{00000000-0005-0000-0000-0000D03E0000}"/>
    <cellStyle name="Input 11 40" xfId="9616" xr:uid="{00000000-0005-0000-0000-0000D13E0000}"/>
    <cellStyle name="Input 11 40 2" xfId="9617" xr:uid="{00000000-0005-0000-0000-0000D23E0000}"/>
    <cellStyle name="Input 11 41" xfId="9618" xr:uid="{00000000-0005-0000-0000-0000D33E0000}"/>
    <cellStyle name="Input 11 41 2" xfId="9619" xr:uid="{00000000-0005-0000-0000-0000D43E0000}"/>
    <cellStyle name="Input 11 42" xfId="9620" xr:uid="{00000000-0005-0000-0000-0000D53E0000}"/>
    <cellStyle name="Input 11 42 2" xfId="9621" xr:uid="{00000000-0005-0000-0000-0000D63E0000}"/>
    <cellStyle name="Input 11 43" xfId="9622" xr:uid="{00000000-0005-0000-0000-0000D73E0000}"/>
    <cellStyle name="Input 11 43 2" xfId="9623" xr:uid="{00000000-0005-0000-0000-0000D83E0000}"/>
    <cellStyle name="Input 11 44" xfId="9624" xr:uid="{00000000-0005-0000-0000-0000D93E0000}"/>
    <cellStyle name="Input 11 44 2" xfId="9625" xr:uid="{00000000-0005-0000-0000-0000DA3E0000}"/>
    <cellStyle name="Input 11 45" xfId="9626" xr:uid="{00000000-0005-0000-0000-0000DB3E0000}"/>
    <cellStyle name="Input 11 45 2" xfId="9627" xr:uid="{00000000-0005-0000-0000-0000DC3E0000}"/>
    <cellStyle name="Input 11 46" xfId="9628" xr:uid="{00000000-0005-0000-0000-0000DD3E0000}"/>
    <cellStyle name="Input 11 46 2" xfId="9629" xr:uid="{00000000-0005-0000-0000-0000DE3E0000}"/>
    <cellStyle name="Input 11 47" xfId="9630" xr:uid="{00000000-0005-0000-0000-0000DF3E0000}"/>
    <cellStyle name="Input 11 47 2" xfId="9631" xr:uid="{00000000-0005-0000-0000-0000E03E0000}"/>
    <cellStyle name="Input 11 48" xfId="9632" xr:uid="{00000000-0005-0000-0000-0000E13E0000}"/>
    <cellStyle name="Input 11 48 2" xfId="9633" xr:uid="{00000000-0005-0000-0000-0000E23E0000}"/>
    <cellStyle name="Input 11 49" xfId="9634" xr:uid="{00000000-0005-0000-0000-0000E33E0000}"/>
    <cellStyle name="Input 11 49 2" xfId="9635" xr:uid="{00000000-0005-0000-0000-0000E43E0000}"/>
    <cellStyle name="Input 11 5" xfId="9636" xr:uid="{00000000-0005-0000-0000-0000E53E0000}"/>
    <cellStyle name="Input 11 5 2" xfId="9637" xr:uid="{00000000-0005-0000-0000-0000E63E0000}"/>
    <cellStyle name="Input 11 50" xfId="9638" xr:uid="{00000000-0005-0000-0000-0000E73E0000}"/>
    <cellStyle name="Input 11 50 2" xfId="9639" xr:uid="{00000000-0005-0000-0000-0000E83E0000}"/>
    <cellStyle name="Input 11 51" xfId="9640" xr:uid="{00000000-0005-0000-0000-0000E93E0000}"/>
    <cellStyle name="Input 11 51 2" xfId="9641" xr:uid="{00000000-0005-0000-0000-0000EA3E0000}"/>
    <cellStyle name="Input 11 52" xfId="9642" xr:uid="{00000000-0005-0000-0000-0000EB3E0000}"/>
    <cellStyle name="Input 11 52 2" xfId="9643" xr:uid="{00000000-0005-0000-0000-0000EC3E0000}"/>
    <cellStyle name="Input 11 53" xfId="9644" xr:uid="{00000000-0005-0000-0000-0000ED3E0000}"/>
    <cellStyle name="Input 11 53 2" xfId="9645" xr:uid="{00000000-0005-0000-0000-0000EE3E0000}"/>
    <cellStyle name="Input 11 54" xfId="9646" xr:uid="{00000000-0005-0000-0000-0000EF3E0000}"/>
    <cellStyle name="Input 11 54 2" xfId="9647" xr:uid="{00000000-0005-0000-0000-0000F03E0000}"/>
    <cellStyle name="Input 11 55" xfId="9648" xr:uid="{00000000-0005-0000-0000-0000F13E0000}"/>
    <cellStyle name="Input 11 55 2" xfId="9649" xr:uid="{00000000-0005-0000-0000-0000F23E0000}"/>
    <cellStyle name="Input 11 56" xfId="9650" xr:uid="{00000000-0005-0000-0000-0000F33E0000}"/>
    <cellStyle name="Input 11 56 2" xfId="9651" xr:uid="{00000000-0005-0000-0000-0000F43E0000}"/>
    <cellStyle name="Input 11 57" xfId="9652" xr:uid="{00000000-0005-0000-0000-0000F53E0000}"/>
    <cellStyle name="Input 11 57 2" xfId="9653" xr:uid="{00000000-0005-0000-0000-0000F63E0000}"/>
    <cellStyle name="Input 11 58" xfId="9654" xr:uid="{00000000-0005-0000-0000-0000F73E0000}"/>
    <cellStyle name="Input 11 58 2" xfId="9655" xr:uid="{00000000-0005-0000-0000-0000F83E0000}"/>
    <cellStyle name="Input 11 59" xfId="9656" xr:uid="{00000000-0005-0000-0000-0000F93E0000}"/>
    <cellStyle name="Input 11 59 2" xfId="9657" xr:uid="{00000000-0005-0000-0000-0000FA3E0000}"/>
    <cellStyle name="Input 11 6" xfId="9658" xr:uid="{00000000-0005-0000-0000-0000FB3E0000}"/>
    <cellStyle name="Input 11 6 2" xfId="9659" xr:uid="{00000000-0005-0000-0000-0000FC3E0000}"/>
    <cellStyle name="Input 11 60" xfId="9660" xr:uid="{00000000-0005-0000-0000-0000FD3E0000}"/>
    <cellStyle name="Input 11 60 2" xfId="9661" xr:uid="{00000000-0005-0000-0000-0000FE3E0000}"/>
    <cellStyle name="Input 11 61" xfId="9662" xr:uid="{00000000-0005-0000-0000-0000FF3E0000}"/>
    <cellStyle name="Input 11 61 2" xfId="9663" xr:uid="{00000000-0005-0000-0000-0000003F0000}"/>
    <cellStyle name="Input 11 62" xfId="9664" xr:uid="{00000000-0005-0000-0000-0000013F0000}"/>
    <cellStyle name="Input 11 62 2" xfId="9665" xr:uid="{00000000-0005-0000-0000-0000023F0000}"/>
    <cellStyle name="Input 11 63" xfId="9666" xr:uid="{00000000-0005-0000-0000-0000033F0000}"/>
    <cellStyle name="Input 11 7" xfId="9667" xr:uid="{00000000-0005-0000-0000-0000043F0000}"/>
    <cellStyle name="Input 11 7 2" xfId="9668" xr:uid="{00000000-0005-0000-0000-0000053F0000}"/>
    <cellStyle name="Input 11 8" xfId="9669" xr:uid="{00000000-0005-0000-0000-0000063F0000}"/>
    <cellStyle name="Input 11 8 2" xfId="9670" xr:uid="{00000000-0005-0000-0000-0000073F0000}"/>
    <cellStyle name="Input 11 9" xfId="9671" xr:uid="{00000000-0005-0000-0000-0000083F0000}"/>
    <cellStyle name="Input 11 9 2" xfId="9672" xr:uid="{00000000-0005-0000-0000-0000093F0000}"/>
    <cellStyle name="Input 12" xfId="9673" xr:uid="{00000000-0005-0000-0000-00000A3F0000}"/>
    <cellStyle name="Input 12 10" xfId="9674" xr:uid="{00000000-0005-0000-0000-00000B3F0000}"/>
    <cellStyle name="Input 12 10 2" xfId="9675" xr:uid="{00000000-0005-0000-0000-00000C3F0000}"/>
    <cellStyle name="Input 12 11" xfId="9676" xr:uid="{00000000-0005-0000-0000-00000D3F0000}"/>
    <cellStyle name="Input 12 11 2" xfId="9677" xr:uid="{00000000-0005-0000-0000-00000E3F0000}"/>
    <cellStyle name="Input 12 12" xfId="9678" xr:uid="{00000000-0005-0000-0000-00000F3F0000}"/>
    <cellStyle name="Input 12 12 2" xfId="9679" xr:uid="{00000000-0005-0000-0000-0000103F0000}"/>
    <cellStyle name="Input 12 13" xfId="9680" xr:uid="{00000000-0005-0000-0000-0000113F0000}"/>
    <cellStyle name="Input 12 13 2" xfId="9681" xr:uid="{00000000-0005-0000-0000-0000123F0000}"/>
    <cellStyle name="Input 12 14" xfId="9682" xr:uid="{00000000-0005-0000-0000-0000133F0000}"/>
    <cellStyle name="Input 12 14 2" xfId="9683" xr:uid="{00000000-0005-0000-0000-0000143F0000}"/>
    <cellStyle name="Input 12 15" xfId="9684" xr:uid="{00000000-0005-0000-0000-0000153F0000}"/>
    <cellStyle name="Input 12 15 2" xfId="9685" xr:uid="{00000000-0005-0000-0000-0000163F0000}"/>
    <cellStyle name="Input 12 16" xfId="9686" xr:uid="{00000000-0005-0000-0000-0000173F0000}"/>
    <cellStyle name="Input 12 16 2" xfId="9687" xr:uid="{00000000-0005-0000-0000-0000183F0000}"/>
    <cellStyle name="Input 12 17" xfId="9688" xr:uid="{00000000-0005-0000-0000-0000193F0000}"/>
    <cellStyle name="Input 12 17 2" xfId="9689" xr:uid="{00000000-0005-0000-0000-00001A3F0000}"/>
    <cellStyle name="Input 12 18" xfId="9690" xr:uid="{00000000-0005-0000-0000-00001B3F0000}"/>
    <cellStyle name="Input 12 18 2" xfId="9691" xr:uid="{00000000-0005-0000-0000-00001C3F0000}"/>
    <cellStyle name="Input 12 19" xfId="9692" xr:uid="{00000000-0005-0000-0000-00001D3F0000}"/>
    <cellStyle name="Input 12 19 2" xfId="9693" xr:uid="{00000000-0005-0000-0000-00001E3F0000}"/>
    <cellStyle name="Input 12 2" xfId="9694" xr:uid="{00000000-0005-0000-0000-00001F3F0000}"/>
    <cellStyle name="Input 12 2 2" xfId="9695" xr:uid="{00000000-0005-0000-0000-0000203F0000}"/>
    <cellStyle name="Input 12 20" xfId="9696" xr:uid="{00000000-0005-0000-0000-0000213F0000}"/>
    <cellStyle name="Input 12 20 2" xfId="9697" xr:uid="{00000000-0005-0000-0000-0000223F0000}"/>
    <cellStyle name="Input 12 21" xfId="9698" xr:uid="{00000000-0005-0000-0000-0000233F0000}"/>
    <cellStyle name="Input 12 21 2" xfId="9699" xr:uid="{00000000-0005-0000-0000-0000243F0000}"/>
    <cellStyle name="Input 12 22" xfId="9700" xr:uid="{00000000-0005-0000-0000-0000253F0000}"/>
    <cellStyle name="Input 12 22 2" xfId="9701" xr:uid="{00000000-0005-0000-0000-0000263F0000}"/>
    <cellStyle name="Input 12 23" xfId="9702" xr:uid="{00000000-0005-0000-0000-0000273F0000}"/>
    <cellStyle name="Input 12 23 2" xfId="9703" xr:uid="{00000000-0005-0000-0000-0000283F0000}"/>
    <cellStyle name="Input 12 24" xfId="9704" xr:uid="{00000000-0005-0000-0000-0000293F0000}"/>
    <cellStyle name="Input 12 24 2" xfId="9705" xr:uid="{00000000-0005-0000-0000-00002A3F0000}"/>
    <cellStyle name="Input 12 25" xfId="9706" xr:uid="{00000000-0005-0000-0000-00002B3F0000}"/>
    <cellStyle name="Input 12 25 2" xfId="9707" xr:uid="{00000000-0005-0000-0000-00002C3F0000}"/>
    <cellStyle name="Input 12 26" xfId="9708" xr:uid="{00000000-0005-0000-0000-00002D3F0000}"/>
    <cellStyle name="Input 12 26 2" xfId="9709" xr:uid="{00000000-0005-0000-0000-00002E3F0000}"/>
    <cellStyle name="Input 12 27" xfId="9710" xr:uid="{00000000-0005-0000-0000-00002F3F0000}"/>
    <cellStyle name="Input 12 27 2" xfId="9711" xr:uid="{00000000-0005-0000-0000-0000303F0000}"/>
    <cellStyle name="Input 12 28" xfId="9712" xr:uid="{00000000-0005-0000-0000-0000313F0000}"/>
    <cellStyle name="Input 12 28 2" xfId="9713" xr:uid="{00000000-0005-0000-0000-0000323F0000}"/>
    <cellStyle name="Input 12 29" xfId="9714" xr:uid="{00000000-0005-0000-0000-0000333F0000}"/>
    <cellStyle name="Input 12 29 2" xfId="9715" xr:uid="{00000000-0005-0000-0000-0000343F0000}"/>
    <cellStyle name="Input 12 3" xfId="9716" xr:uid="{00000000-0005-0000-0000-0000353F0000}"/>
    <cellStyle name="Input 12 3 2" xfId="9717" xr:uid="{00000000-0005-0000-0000-0000363F0000}"/>
    <cellStyle name="Input 12 30" xfId="9718" xr:uid="{00000000-0005-0000-0000-0000373F0000}"/>
    <cellStyle name="Input 12 30 2" xfId="9719" xr:uid="{00000000-0005-0000-0000-0000383F0000}"/>
    <cellStyle name="Input 12 31" xfId="9720" xr:uid="{00000000-0005-0000-0000-0000393F0000}"/>
    <cellStyle name="Input 12 31 2" xfId="9721" xr:uid="{00000000-0005-0000-0000-00003A3F0000}"/>
    <cellStyle name="Input 12 32" xfId="9722" xr:uid="{00000000-0005-0000-0000-00003B3F0000}"/>
    <cellStyle name="Input 12 32 2" xfId="9723" xr:uid="{00000000-0005-0000-0000-00003C3F0000}"/>
    <cellStyle name="Input 12 33" xfId="9724" xr:uid="{00000000-0005-0000-0000-00003D3F0000}"/>
    <cellStyle name="Input 12 33 2" xfId="9725" xr:uid="{00000000-0005-0000-0000-00003E3F0000}"/>
    <cellStyle name="Input 12 34" xfId="9726" xr:uid="{00000000-0005-0000-0000-00003F3F0000}"/>
    <cellStyle name="Input 12 34 2" xfId="9727" xr:uid="{00000000-0005-0000-0000-0000403F0000}"/>
    <cellStyle name="Input 12 35" xfId="9728" xr:uid="{00000000-0005-0000-0000-0000413F0000}"/>
    <cellStyle name="Input 12 35 2" xfId="9729" xr:uid="{00000000-0005-0000-0000-0000423F0000}"/>
    <cellStyle name="Input 12 36" xfId="9730" xr:uid="{00000000-0005-0000-0000-0000433F0000}"/>
    <cellStyle name="Input 12 36 2" xfId="9731" xr:uid="{00000000-0005-0000-0000-0000443F0000}"/>
    <cellStyle name="Input 12 37" xfId="9732" xr:uid="{00000000-0005-0000-0000-0000453F0000}"/>
    <cellStyle name="Input 12 37 2" xfId="9733" xr:uid="{00000000-0005-0000-0000-0000463F0000}"/>
    <cellStyle name="Input 12 38" xfId="9734" xr:uid="{00000000-0005-0000-0000-0000473F0000}"/>
    <cellStyle name="Input 12 38 2" xfId="9735" xr:uid="{00000000-0005-0000-0000-0000483F0000}"/>
    <cellStyle name="Input 12 39" xfId="9736" xr:uid="{00000000-0005-0000-0000-0000493F0000}"/>
    <cellStyle name="Input 12 39 2" xfId="9737" xr:uid="{00000000-0005-0000-0000-00004A3F0000}"/>
    <cellStyle name="Input 12 4" xfId="9738" xr:uid="{00000000-0005-0000-0000-00004B3F0000}"/>
    <cellStyle name="Input 12 4 2" xfId="9739" xr:uid="{00000000-0005-0000-0000-00004C3F0000}"/>
    <cellStyle name="Input 12 40" xfId="9740" xr:uid="{00000000-0005-0000-0000-00004D3F0000}"/>
    <cellStyle name="Input 12 40 2" xfId="9741" xr:uid="{00000000-0005-0000-0000-00004E3F0000}"/>
    <cellStyle name="Input 12 41" xfId="9742" xr:uid="{00000000-0005-0000-0000-00004F3F0000}"/>
    <cellStyle name="Input 12 41 2" xfId="9743" xr:uid="{00000000-0005-0000-0000-0000503F0000}"/>
    <cellStyle name="Input 12 42" xfId="9744" xr:uid="{00000000-0005-0000-0000-0000513F0000}"/>
    <cellStyle name="Input 12 42 2" xfId="9745" xr:uid="{00000000-0005-0000-0000-0000523F0000}"/>
    <cellStyle name="Input 12 43" xfId="9746" xr:uid="{00000000-0005-0000-0000-0000533F0000}"/>
    <cellStyle name="Input 12 43 2" xfId="9747" xr:uid="{00000000-0005-0000-0000-0000543F0000}"/>
    <cellStyle name="Input 12 44" xfId="9748" xr:uid="{00000000-0005-0000-0000-0000553F0000}"/>
    <cellStyle name="Input 12 44 2" xfId="9749" xr:uid="{00000000-0005-0000-0000-0000563F0000}"/>
    <cellStyle name="Input 12 45" xfId="9750" xr:uid="{00000000-0005-0000-0000-0000573F0000}"/>
    <cellStyle name="Input 12 45 2" xfId="9751" xr:uid="{00000000-0005-0000-0000-0000583F0000}"/>
    <cellStyle name="Input 12 46" xfId="9752" xr:uid="{00000000-0005-0000-0000-0000593F0000}"/>
    <cellStyle name="Input 12 46 2" xfId="9753" xr:uid="{00000000-0005-0000-0000-00005A3F0000}"/>
    <cellStyle name="Input 12 47" xfId="9754" xr:uid="{00000000-0005-0000-0000-00005B3F0000}"/>
    <cellStyle name="Input 12 47 2" xfId="9755" xr:uid="{00000000-0005-0000-0000-00005C3F0000}"/>
    <cellStyle name="Input 12 48" xfId="9756" xr:uid="{00000000-0005-0000-0000-00005D3F0000}"/>
    <cellStyle name="Input 12 48 2" xfId="9757" xr:uid="{00000000-0005-0000-0000-00005E3F0000}"/>
    <cellStyle name="Input 12 49" xfId="9758" xr:uid="{00000000-0005-0000-0000-00005F3F0000}"/>
    <cellStyle name="Input 12 49 2" xfId="9759" xr:uid="{00000000-0005-0000-0000-0000603F0000}"/>
    <cellStyle name="Input 12 5" xfId="9760" xr:uid="{00000000-0005-0000-0000-0000613F0000}"/>
    <cellStyle name="Input 12 5 2" xfId="9761" xr:uid="{00000000-0005-0000-0000-0000623F0000}"/>
    <cellStyle name="Input 12 50" xfId="9762" xr:uid="{00000000-0005-0000-0000-0000633F0000}"/>
    <cellStyle name="Input 12 50 2" xfId="9763" xr:uid="{00000000-0005-0000-0000-0000643F0000}"/>
    <cellStyle name="Input 12 51" xfId="9764" xr:uid="{00000000-0005-0000-0000-0000653F0000}"/>
    <cellStyle name="Input 12 51 2" xfId="9765" xr:uid="{00000000-0005-0000-0000-0000663F0000}"/>
    <cellStyle name="Input 12 52" xfId="9766" xr:uid="{00000000-0005-0000-0000-0000673F0000}"/>
    <cellStyle name="Input 12 52 2" xfId="9767" xr:uid="{00000000-0005-0000-0000-0000683F0000}"/>
    <cellStyle name="Input 12 53" xfId="9768" xr:uid="{00000000-0005-0000-0000-0000693F0000}"/>
    <cellStyle name="Input 12 53 2" xfId="9769" xr:uid="{00000000-0005-0000-0000-00006A3F0000}"/>
    <cellStyle name="Input 12 54" xfId="9770" xr:uid="{00000000-0005-0000-0000-00006B3F0000}"/>
    <cellStyle name="Input 12 54 2" xfId="9771" xr:uid="{00000000-0005-0000-0000-00006C3F0000}"/>
    <cellStyle name="Input 12 55" xfId="9772" xr:uid="{00000000-0005-0000-0000-00006D3F0000}"/>
    <cellStyle name="Input 12 55 2" xfId="9773" xr:uid="{00000000-0005-0000-0000-00006E3F0000}"/>
    <cellStyle name="Input 12 56" xfId="9774" xr:uid="{00000000-0005-0000-0000-00006F3F0000}"/>
    <cellStyle name="Input 12 56 2" xfId="9775" xr:uid="{00000000-0005-0000-0000-0000703F0000}"/>
    <cellStyle name="Input 12 57" xfId="9776" xr:uid="{00000000-0005-0000-0000-0000713F0000}"/>
    <cellStyle name="Input 12 57 2" xfId="9777" xr:uid="{00000000-0005-0000-0000-0000723F0000}"/>
    <cellStyle name="Input 12 58" xfId="9778" xr:uid="{00000000-0005-0000-0000-0000733F0000}"/>
    <cellStyle name="Input 12 58 2" xfId="9779" xr:uid="{00000000-0005-0000-0000-0000743F0000}"/>
    <cellStyle name="Input 12 59" xfId="9780" xr:uid="{00000000-0005-0000-0000-0000753F0000}"/>
    <cellStyle name="Input 12 59 2" xfId="9781" xr:uid="{00000000-0005-0000-0000-0000763F0000}"/>
    <cellStyle name="Input 12 6" xfId="9782" xr:uid="{00000000-0005-0000-0000-0000773F0000}"/>
    <cellStyle name="Input 12 6 2" xfId="9783" xr:uid="{00000000-0005-0000-0000-0000783F0000}"/>
    <cellStyle name="Input 12 60" xfId="9784" xr:uid="{00000000-0005-0000-0000-0000793F0000}"/>
    <cellStyle name="Input 12 60 2" xfId="9785" xr:uid="{00000000-0005-0000-0000-00007A3F0000}"/>
    <cellStyle name="Input 12 61" xfId="9786" xr:uid="{00000000-0005-0000-0000-00007B3F0000}"/>
    <cellStyle name="Input 12 61 2" xfId="9787" xr:uid="{00000000-0005-0000-0000-00007C3F0000}"/>
    <cellStyle name="Input 12 62" xfId="9788" xr:uid="{00000000-0005-0000-0000-00007D3F0000}"/>
    <cellStyle name="Input 12 62 2" xfId="9789" xr:uid="{00000000-0005-0000-0000-00007E3F0000}"/>
    <cellStyle name="Input 12 63" xfId="9790" xr:uid="{00000000-0005-0000-0000-00007F3F0000}"/>
    <cellStyle name="Input 12 7" xfId="9791" xr:uid="{00000000-0005-0000-0000-0000803F0000}"/>
    <cellStyle name="Input 12 7 2" xfId="9792" xr:uid="{00000000-0005-0000-0000-0000813F0000}"/>
    <cellStyle name="Input 12 8" xfId="9793" xr:uid="{00000000-0005-0000-0000-0000823F0000}"/>
    <cellStyle name="Input 12 8 2" xfId="9794" xr:uid="{00000000-0005-0000-0000-0000833F0000}"/>
    <cellStyle name="Input 12 9" xfId="9795" xr:uid="{00000000-0005-0000-0000-0000843F0000}"/>
    <cellStyle name="Input 12 9 2" xfId="9796" xr:uid="{00000000-0005-0000-0000-0000853F0000}"/>
    <cellStyle name="Input 13" xfId="9797" xr:uid="{00000000-0005-0000-0000-0000863F0000}"/>
    <cellStyle name="Input 13 10" xfId="9798" xr:uid="{00000000-0005-0000-0000-0000873F0000}"/>
    <cellStyle name="Input 13 10 2" xfId="9799" xr:uid="{00000000-0005-0000-0000-0000883F0000}"/>
    <cellStyle name="Input 13 11" xfId="9800" xr:uid="{00000000-0005-0000-0000-0000893F0000}"/>
    <cellStyle name="Input 13 11 2" xfId="9801" xr:uid="{00000000-0005-0000-0000-00008A3F0000}"/>
    <cellStyle name="Input 13 12" xfId="9802" xr:uid="{00000000-0005-0000-0000-00008B3F0000}"/>
    <cellStyle name="Input 13 12 2" xfId="9803" xr:uid="{00000000-0005-0000-0000-00008C3F0000}"/>
    <cellStyle name="Input 13 13" xfId="9804" xr:uid="{00000000-0005-0000-0000-00008D3F0000}"/>
    <cellStyle name="Input 13 13 2" xfId="9805" xr:uid="{00000000-0005-0000-0000-00008E3F0000}"/>
    <cellStyle name="Input 13 14" xfId="9806" xr:uid="{00000000-0005-0000-0000-00008F3F0000}"/>
    <cellStyle name="Input 13 14 2" xfId="9807" xr:uid="{00000000-0005-0000-0000-0000903F0000}"/>
    <cellStyle name="Input 13 15" xfId="9808" xr:uid="{00000000-0005-0000-0000-0000913F0000}"/>
    <cellStyle name="Input 13 15 2" xfId="9809" xr:uid="{00000000-0005-0000-0000-0000923F0000}"/>
    <cellStyle name="Input 13 16" xfId="9810" xr:uid="{00000000-0005-0000-0000-0000933F0000}"/>
    <cellStyle name="Input 13 16 2" xfId="9811" xr:uid="{00000000-0005-0000-0000-0000943F0000}"/>
    <cellStyle name="Input 13 17" xfId="9812" xr:uid="{00000000-0005-0000-0000-0000953F0000}"/>
    <cellStyle name="Input 13 17 2" xfId="9813" xr:uid="{00000000-0005-0000-0000-0000963F0000}"/>
    <cellStyle name="Input 13 18" xfId="9814" xr:uid="{00000000-0005-0000-0000-0000973F0000}"/>
    <cellStyle name="Input 13 18 2" xfId="9815" xr:uid="{00000000-0005-0000-0000-0000983F0000}"/>
    <cellStyle name="Input 13 19" xfId="9816" xr:uid="{00000000-0005-0000-0000-0000993F0000}"/>
    <cellStyle name="Input 13 19 2" xfId="9817" xr:uid="{00000000-0005-0000-0000-00009A3F0000}"/>
    <cellStyle name="Input 13 2" xfId="9818" xr:uid="{00000000-0005-0000-0000-00009B3F0000}"/>
    <cellStyle name="Input 13 2 2" xfId="9819" xr:uid="{00000000-0005-0000-0000-00009C3F0000}"/>
    <cellStyle name="Input 13 20" xfId="9820" xr:uid="{00000000-0005-0000-0000-00009D3F0000}"/>
    <cellStyle name="Input 13 20 2" xfId="9821" xr:uid="{00000000-0005-0000-0000-00009E3F0000}"/>
    <cellStyle name="Input 13 21" xfId="9822" xr:uid="{00000000-0005-0000-0000-00009F3F0000}"/>
    <cellStyle name="Input 13 21 2" xfId="9823" xr:uid="{00000000-0005-0000-0000-0000A03F0000}"/>
    <cellStyle name="Input 13 22" xfId="9824" xr:uid="{00000000-0005-0000-0000-0000A13F0000}"/>
    <cellStyle name="Input 13 22 2" xfId="9825" xr:uid="{00000000-0005-0000-0000-0000A23F0000}"/>
    <cellStyle name="Input 13 23" xfId="9826" xr:uid="{00000000-0005-0000-0000-0000A33F0000}"/>
    <cellStyle name="Input 13 23 2" xfId="9827" xr:uid="{00000000-0005-0000-0000-0000A43F0000}"/>
    <cellStyle name="Input 13 24" xfId="9828" xr:uid="{00000000-0005-0000-0000-0000A53F0000}"/>
    <cellStyle name="Input 13 24 2" xfId="9829" xr:uid="{00000000-0005-0000-0000-0000A63F0000}"/>
    <cellStyle name="Input 13 25" xfId="9830" xr:uid="{00000000-0005-0000-0000-0000A73F0000}"/>
    <cellStyle name="Input 13 25 2" xfId="9831" xr:uid="{00000000-0005-0000-0000-0000A83F0000}"/>
    <cellStyle name="Input 13 26" xfId="9832" xr:uid="{00000000-0005-0000-0000-0000A93F0000}"/>
    <cellStyle name="Input 13 26 2" xfId="9833" xr:uid="{00000000-0005-0000-0000-0000AA3F0000}"/>
    <cellStyle name="Input 13 27" xfId="9834" xr:uid="{00000000-0005-0000-0000-0000AB3F0000}"/>
    <cellStyle name="Input 13 27 2" xfId="9835" xr:uid="{00000000-0005-0000-0000-0000AC3F0000}"/>
    <cellStyle name="Input 13 28" xfId="9836" xr:uid="{00000000-0005-0000-0000-0000AD3F0000}"/>
    <cellStyle name="Input 13 28 2" xfId="9837" xr:uid="{00000000-0005-0000-0000-0000AE3F0000}"/>
    <cellStyle name="Input 13 29" xfId="9838" xr:uid="{00000000-0005-0000-0000-0000AF3F0000}"/>
    <cellStyle name="Input 13 29 2" xfId="9839" xr:uid="{00000000-0005-0000-0000-0000B03F0000}"/>
    <cellStyle name="Input 13 3" xfId="9840" xr:uid="{00000000-0005-0000-0000-0000B13F0000}"/>
    <cellStyle name="Input 13 3 2" xfId="9841" xr:uid="{00000000-0005-0000-0000-0000B23F0000}"/>
    <cellStyle name="Input 13 30" xfId="9842" xr:uid="{00000000-0005-0000-0000-0000B33F0000}"/>
    <cellStyle name="Input 13 30 2" xfId="9843" xr:uid="{00000000-0005-0000-0000-0000B43F0000}"/>
    <cellStyle name="Input 13 31" xfId="9844" xr:uid="{00000000-0005-0000-0000-0000B53F0000}"/>
    <cellStyle name="Input 13 31 2" xfId="9845" xr:uid="{00000000-0005-0000-0000-0000B63F0000}"/>
    <cellStyle name="Input 13 32" xfId="9846" xr:uid="{00000000-0005-0000-0000-0000B73F0000}"/>
    <cellStyle name="Input 13 32 2" xfId="9847" xr:uid="{00000000-0005-0000-0000-0000B83F0000}"/>
    <cellStyle name="Input 13 33" xfId="9848" xr:uid="{00000000-0005-0000-0000-0000B93F0000}"/>
    <cellStyle name="Input 13 33 2" xfId="9849" xr:uid="{00000000-0005-0000-0000-0000BA3F0000}"/>
    <cellStyle name="Input 13 34" xfId="9850" xr:uid="{00000000-0005-0000-0000-0000BB3F0000}"/>
    <cellStyle name="Input 13 34 2" xfId="9851" xr:uid="{00000000-0005-0000-0000-0000BC3F0000}"/>
    <cellStyle name="Input 13 35" xfId="9852" xr:uid="{00000000-0005-0000-0000-0000BD3F0000}"/>
    <cellStyle name="Input 13 35 2" xfId="9853" xr:uid="{00000000-0005-0000-0000-0000BE3F0000}"/>
    <cellStyle name="Input 13 36" xfId="9854" xr:uid="{00000000-0005-0000-0000-0000BF3F0000}"/>
    <cellStyle name="Input 13 36 2" xfId="9855" xr:uid="{00000000-0005-0000-0000-0000C03F0000}"/>
    <cellStyle name="Input 13 37" xfId="9856" xr:uid="{00000000-0005-0000-0000-0000C13F0000}"/>
    <cellStyle name="Input 13 37 2" xfId="9857" xr:uid="{00000000-0005-0000-0000-0000C23F0000}"/>
    <cellStyle name="Input 13 38" xfId="9858" xr:uid="{00000000-0005-0000-0000-0000C33F0000}"/>
    <cellStyle name="Input 13 38 2" xfId="9859" xr:uid="{00000000-0005-0000-0000-0000C43F0000}"/>
    <cellStyle name="Input 13 39" xfId="9860" xr:uid="{00000000-0005-0000-0000-0000C53F0000}"/>
    <cellStyle name="Input 13 39 2" xfId="9861" xr:uid="{00000000-0005-0000-0000-0000C63F0000}"/>
    <cellStyle name="Input 13 4" xfId="9862" xr:uid="{00000000-0005-0000-0000-0000C73F0000}"/>
    <cellStyle name="Input 13 4 2" xfId="9863" xr:uid="{00000000-0005-0000-0000-0000C83F0000}"/>
    <cellStyle name="Input 13 40" xfId="9864" xr:uid="{00000000-0005-0000-0000-0000C93F0000}"/>
    <cellStyle name="Input 13 40 2" xfId="9865" xr:uid="{00000000-0005-0000-0000-0000CA3F0000}"/>
    <cellStyle name="Input 13 41" xfId="9866" xr:uid="{00000000-0005-0000-0000-0000CB3F0000}"/>
    <cellStyle name="Input 13 41 2" xfId="9867" xr:uid="{00000000-0005-0000-0000-0000CC3F0000}"/>
    <cellStyle name="Input 13 42" xfId="9868" xr:uid="{00000000-0005-0000-0000-0000CD3F0000}"/>
    <cellStyle name="Input 13 42 2" xfId="9869" xr:uid="{00000000-0005-0000-0000-0000CE3F0000}"/>
    <cellStyle name="Input 13 43" xfId="9870" xr:uid="{00000000-0005-0000-0000-0000CF3F0000}"/>
    <cellStyle name="Input 13 43 2" xfId="9871" xr:uid="{00000000-0005-0000-0000-0000D03F0000}"/>
    <cellStyle name="Input 13 44" xfId="9872" xr:uid="{00000000-0005-0000-0000-0000D13F0000}"/>
    <cellStyle name="Input 13 44 2" xfId="9873" xr:uid="{00000000-0005-0000-0000-0000D23F0000}"/>
    <cellStyle name="Input 13 45" xfId="9874" xr:uid="{00000000-0005-0000-0000-0000D33F0000}"/>
    <cellStyle name="Input 13 45 2" xfId="9875" xr:uid="{00000000-0005-0000-0000-0000D43F0000}"/>
    <cellStyle name="Input 13 46" xfId="9876" xr:uid="{00000000-0005-0000-0000-0000D53F0000}"/>
    <cellStyle name="Input 13 46 2" xfId="9877" xr:uid="{00000000-0005-0000-0000-0000D63F0000}"/>
    <cellStyle name="Input 13 47" xfId="9878" xr:uid="{00000000-0005-0000-0000-0000D73F0000}"/>
    <cellStyle name="Input 13 47 2" xfId="9879" xr:uid="{00000000-0005-0000-0000-0000D83F0000}"/>
    <cellStyle name="Input 13 48" xfId="9880" xr:uid="{00000000-0005-0000-0000-0000D93F0000}"/>
    <cellStyle name="Input 13 48 2" xfId="9881" xr:uid="{00000000-0005-0000-0000-0000DA3F0000}"/>
    <cellStyle name="Input 13 49" xfId="9882" xr:uid="{00000000-0005-0000-0000-0000DB3F0000}"/>
    <cellStyle name="Input 13 49 2" xfId="9883" xr:uid="{00000000-0005-0000-0000-0000DC3F0000}"/>
    <cellStyle name="Input 13 5" xfId="9884" xr:uid="{00000000-0005-0000-0000-0000DD3F0000}"/>
    <cellStyle name="Input 13 5 2" xfId="9885" xr:uid="{00000000-0005-0000-0000-0000DE3F0000}"/>
    <cellStyle name="Input 13 50" xfId="9886" xr:uid="{00000000-0005-0000-0000-0000DF3F0000}"/>
    <cellStyle name="Input 13 50 2" xfId="9887" xr:uid="{00000000-0005-0000-0000-0000E03F0000}"/>
    <cellStyle name="Input 13 51" xfId="9888" xr:uid="{00000000-0005-0000-0000-0000E13F0000}"/>
    <cellStyle name="Input 13 51 2" xfId="9889" xr:uid="{00000000-0005-0000-0000-0000E23F0000}"/>
    <cellStyle name="Input 13 52" xfId="9890" xr:uid="{00000000-0005-0000-0000-0000E33F0000}"/>
    <cellStyle name="Input 13 52 2" xfId="9891" xr:uid="{00000000-0005-0000-0000-0000E43F0000}"/>
    <cellStyle name="Input 13 53" xfId="9892" xr:uid="{00000000-0005-0000-0000-0000E53F0000}"/>
    <cellStyle name="Input 13 53 2" xfId="9893" xr:uid="{00000000-0005-0000-0000-0000E63F0000}"/>
    <cellStyle name="Input 13 54" xfId="9894" xr:uid="{00000000-0005-0000-0000-0000E73F0000}"/>
    <cellStyle name="Input 13 54 2" xfId="9895" xr:uid="{00000000-0005-0000-0000-0000E83F0000}"/>
    <cellStyle name="Input 13 55" xfId="9896" xr:uid="{00000000-0005-0000-0000-0000E93F0000}"/>
    <cellStyle name="Input 13 55 2" xfId="9897" xr:uid="{00000000-0005-0000-0000-0000EA3F0000}"/>
    <cellStyle name="Input 13 56" xfId="9898" xr:uid="{00000000-0005-0000-0000-0000EB3F0000}"/>
    <cellStyle name="Input 13 56 2" xfId="9899" xr:uid="{00000000-0005-0000-0000-0000EC3F0000}"/>
    <cellStyle name="Input 13 57" xfId="9900" xr:uid="{00000000-0005-0000-0000-0000ED3F0000}"/>
    <cellStyle name="Input 13 57 2" xfId="9901" xr:uid="{00000000-0005-0000-0000-0000EE3F0000}"/>
    <cellStyle name="Input 13 58" xfId="9902" xr:uid="{00000000-0005-0000-0000-0000EF3F0000}"/>
    <cellStyle name="Input 13 58 2" xfId="9903" xr:uid="{00000000-0005-0000-0000-0000F03F0000}"/>
    <cellStyle name="Input 13 59" xfId="9904" xr:uid="{00000000-0005-0000-0000-0000F13F0000}"/>
    <cellStyle name="Input 13 59 2" xfId="9905" xr:uid="{00000000-0005-0000-0000-0000F23F0000}"/>
    <cellStyle name="Input 13 6" xfId="9906" xr:uid="{00000000-0005-0000-0000-0000F33F0000}"/>
    <cellStyle name="Input 13 6 2" xfId="9907" xr:uid="{00000000-0005-0000-0000-0000F43F0000}"/>
    <cellStyle name="Input 13 60" xfId="9908" xr:uid="{00000000-0005-0000-0000-0000F53F0000}"/>
    <cellStyle name="Input 13 60 2" xfId="9909" xr:uid="{00000000-0005-0000-0000-0000F63F0000}"/>
    <cellStyle name="Input 13 61" xfId="9910" xr:uid="{00000000-0005-0000-0000-0000F73F0000}"/>
    <cellStyle name="Input 13 61 2" xfId="9911" xr:uid="{00000000-0005-0000-0000-0000F83F0000}"/>
    <cellStyle name="Input 13 62" xfId="9912" xr:uid="{00000000-0005-0000-0000-0000F93F0000}"/>
    <cellStyle name="Input 13 62 2" xfId="9913" xr:uid="{00000000-0005-0000-0000-0000FA3F0000}"/>
    <cellStyle name="Input 13 63" xfId="9914" xr:uid="{00000000-0005-0000-0000-0000FB3F0000}"/>
    <cellStyle name="Input 13 7" xfId="9915" xr:uid="{00000000-0005-0000-0000-0000FC3F0000}"/>
    <cellStyle name="Input 13 7 2" xfId="9916" xr:uid="{00000000-0005-0000-0000-0000FD3F0000}"/>
    <cellStyle name="Input 13 8" xfId="9917" xr:uid="{00000000-0005-0000-0000-0000FE3F0000}"/>
    <cellStyle name="Input 13 8 2" xfId="9918" xr:uid="{00000000-0005-0000-0000-0000FF3F0000}"/>
    <cellStyle name="Input 13 9" xfId="9919" xr:uid="{00000000-0005-0000-0000-000000400000}"/>
    <cellStyle name="Input 13 9 2" xfId="9920" xr:uid="{00000000-0005-0000-0000-000001400000}"/>
    <cellStyle name="Input 14" xfId="9921" xr:uid="{00000000-0005-0000-0000-000002400000}"/>
    <cellStyle name="Input 14 10" xfId="9922" xr:uid="{00000000-0005-0000-0000-000003400000}"/>
    <cellStyle name="Input 14 10 2" xfId="9923" xr:uid="{00000000-0005-0000-0000-000004400000}"/>
    <cellStyle name="Input 14 11" xfId="9924" xr:uid="{00000000-0005-0000-0000-000005400000}"/>
    <cellStyle name="Input 14 11 2" xfId="9925" xr:uid="{00000000-0005-0000-0000-000006400000}"/>
    <cellStyle name="Input 14 12" xfId="9926" xr:uid="{00000000-0005-0000-0000-000007400000}"/>
    <cellStyle name="Input 14 12 2" xfId="9927" xr:uid="{00000000-0005-0000-0000-000008400000}"/>
    <cellStyle name="Input 14 13" xfId="9928" xr:uid="{00000000-0005-0000-0000-000009400000}"/>
    <cellStyle name="Input 14 13 2" xfId="9929" xr:uid="{00000000-0005-0000-0000-00000A400000}"/>
    <cellStyle name="Input 14 14" xfId="9930" xr:uid="{00000000-0005-0000-0000-00000B400000}"/>
    <cellStyle name="Input 14 14 2" xfId="9931" xr:uid="{00000000-0005-0000-0000-00000C400000}"/>
    <cellStyle name="Input 14 15" xfId="9932" xr:uid="{00000000-0005-0000-0000-00000D400000}"/>
    <cellStyle name="Input 14 15 2" xfId="9933" xr:uid="{00000000-0005-0000-0000-00000E400000}"/>
    <cellStyle name="Input 14 16" xfId="9934" xr:uid="{00000000-0005-0000-0000-00000F400000}"/>
    <cellStyle name="Input 14 16 2" xfId="9935" xr:uid="{00000000-0005-0000-0000-000010400000}"/>
    <cellStyle name="Input 14 17" xfId="9936" xr:uid="{00000000-0005-0000-0000-000011400000}"/>
    <cellStyle name="Input 14 17 2" xfId="9937" xr:uid="{00000000-0005-0000-0000-000012400000}"/>
    <cellStyle name="Input 14 18" xfId="9938" xr:uid="{00000000-0005-0000-0000-000013400000}"/>
    <cellStyle name="Input 14 18 2" xfId="9939" xr:uid="{00000000-0005-0000-0000-000014400000}"/>
    <cellStyle name="Input 14 19" xfId="9940" xr:uid="{00000000-0005-0000-0000-000015400000}"/>
    <cellStyle name="Input 14 19 2" xfId="9941" xr:uid="{00000000-0005-0000-0000-000016400000}"/>
    <cellStyle name="Input 14 2" xfId="9942" xr:uid="{00000000-0005-0000-0000-000017400000}"/>
    <cellStyle name="Input 14 2 2" xfId="9943" xr:uid="{00000000-0005-0000-0000-000018400000}"/>
    <cellStyle name="Input 14 20" xfId="9944" xr:uid="{00000000-0005-0000-0000-000019400000}"/>
    <cellStyle name="Input 14 20 2" xfId="9945" xr:uid="{00000000-0005-0000-0000-00001A400000}"/>
    <cellStyle name="Input 14 21" xfId="9946" xr:uid="{00000000-0005-0000-0000-00001B400000}"/>
    <cellStyle name="Input 14 21 2" xfId="9947" xr:uid="{00000000-0005-0000-0000-00001C400000}"/>
    <cellStyle name="Input 14 22" xfId="9948" xr:uid="{00000000-0005-0000-0000-00001D400000}"/>
    <cellStyle name="Input 14 22 2" xfId="9949" xr:uid="{00000000-0005-0000-0000-00001E400000}"/>
    <cellStyle name="Input 14 23" xfId="9950" xr:uid="{00000000-0005-0000-0000-00001F400000}"/>
    <cellStyle name="Input 14 23 2" xfId="9951" xr:uid="{00000000-0005-0000-0000-000020400000}"/>
    <cellStyle name="Input 14 24" xfId="9952" xr:uid="{00000000-0005-0000-0000-000021400000}"/>
    <cellStyle name="Input 14 24 2" xfId="9953" xr:uid="{00000000-0005-0000-0000-000022400000}"/>
    <cellStyle name="Input 14 25" xfId="9954" xr:uid="{00000000-0005-0000-0000-000023400000}"/>
    <cellStyle name="Input 14 25 2" xfId="9955" xr:uid="{00000000-0005-0000-0000-000024400000}"/>
    <cellStyle name="Input 14 26" xfId="9956" xr:uid="{00000000-0005-0000-0000-000025400000}"/>
    <cellStyle name="Input 14 26 2" xfId="9957" xr:uid="{00000000-0005-0000-0000-000026400000}"/>
    <cellStyle name="Input 14 27" xfId="9958" xr:uid="{00000000-0005-0000-0000-000027400000}"/>
    <cellStyle name="Input 14 27 2" xfId="9959" xr:uid="{00000000-0005-0000-0000-000028400000}"/>
    <cellStyle name="Input 14 28" xfId="9960" xr:uid="{00000000-0005-0000-0000-000029400000}"/>
    <cellStyle name="Input 14 28 2" xfId="9961" xr:uid="{00000000-0005-0000-0000-00002A400000}"/>
    <cellStyle name="Input 14 29" xfId="9962" xr:uid="{00000000-0005-0000-0000-00002B400000}"/>
    <cellStyle name="Input 14 29 2" xfId="9963" xr:uid="{00000000-0005-0000-0000-00002C400000}"/>
    <cellStyle name="Input 14 3" xfId="9964" xr:uid="{00000000-0005-0000-0000-00002D400000}"/>
    <cellStyle name="Input 14 3 2" xfId="9965" xr:uid="{00000000-0005-0000-0000-00002E400000}"/>
    <cellStyle name="Input 14 30" xfId="9966" xr:uid="{00000000-0005-0000-0000-00002F400000}"/>
    <cellStyle name="Input 14 30 2" xfId="9967" xr:uid="{00000000-0005-0000-0000-000030400000}"/>
    <cellStyle name="Input 14 31" xfId="9968" xr:uid="{00000000-0005-0000-0000-000031400000}"/>
    <cellStyle name="Input 14 31 2" xfId="9969" xr:uid="{00000000-0005-0000-0000-000032400000}"/>
    <cellStyle name="Input 14 32" xfId="9970" xr:uid="{00000000-0005-0000-0000-000033400000}"/>
    <cellStyle name="Input 14 32 2" xfId="9971" xr:uid="{00000000-0005-0000-0000-000034400000}"/>
    <cellStyle name="Input 14 33" xfId="9972" xr:uid="{00000000-0005-0000-0000-000035400000}"/>
    <cellStyle name="Input 14 33 2" xfId="9973" xr:uid="{00000000-0005-0000-0000-000036400000}"/>
    <cellStyle name="Input 14 34" xfId="9974" xr:uid="{00000000-0005-0000-0000-000037400000}"/>
    <cellStyle name="Input 14 34 2" xfId="9975" xr:uid="{00000000-0005-0000-0000-000038400000}"/>
    <cellStyle name="Input 14 35" xfId="9976" xr:uid="{00000000-0005-0000-0000-000039400000}"/>
    <cellStyle name="Input 14 35 2" xfId="9977" xr:uid="{00000000-0005-0000-0000-00003A400000}"/>
    <cellStyle name="Input 14 36" xfId="9978" xr:uid="{00000000-0005-0000-0000-00003B400000}"/>
    <cellStyle name="Input 14 36 2" xfId="9979" xr:uid="{00000000-0005-0000-0000-00003C400000}"/>
    <cellStyle name="Input 14 37" xfId="9980" xr:uid="{00000000-0005-0000-0000-00003D400000}"/>
    <cellStyle name="Input 14 37 2" xfId="9981" xr:uid="{00000000-0005-0000-0000-00003E400000}"/>
    <cellStyle name="Input 14 38" xfId="9982" xr:uid="{00000000-0005-0000-0000-00003F400000}"/>
    <cellStyle name="Input 14 38 2" xfId="9983" xr:uid="{00000000-0005-0000-0000-000040400000}"/>
    <cellStyle name="Input 14 39" xfId="9984" xr:uid="{00000000-0005-0000-0000-000041400000}"/>
    <cellStyle name="Input 14 39 2" xfId="9985" xr:uid="{00000000-0005-0000-0000-000042400000}"/>
    <cellStyle name="Input 14 4" xfId="9986" xr:uid="{00000000-0005-0000-0000-000043400000}"/>
    <cellStyle name="Input 14 4 2" xfId="9987" xr:uid="{00000000-0005-0000-0000-000044400000}"/>
    <cellStyle name="Input 14 40" xfId="9988" xr:uid="{00000000-0005-0000-0000-000045400000}"/>
    <cellStyle name="Input 14 40 2" xfId="9989" xr:uid="{00000000-0005-0000-0000-000046400000}"/>
    <cellStyle name="Input 14 41" xfId="9990" xr:uid="{00000000-0005-0000-0000-000047400000}"/>
    <cellStyle name="Input 14 41 2" xfId="9991" xr:uid="{00000000-0005-0000-0000-000048400000}"/>
    <cellStyle name="Input 14 42" xfId="9992" xr:uid="{00000000-0005-0000-0000-000049400000}"/>
    <cellStyle name="Input 14 42 2" xfId="9993" xr:uid="{00000000-0005-0000-0000-00004A400000}"/>
    <cellStyle name="Input 14 43" xfId="9994" xr:uid="{00000000-0005-0000-0000-00004B400000}"/>
    <cellStyle name="Input 14 43 2" xfId="9995" xr:uid="{00000000-0005-0000-0000-00004C400000}"/>
    <cellStyle name="Input 14 44" xfId="9996" xr:uid="{00000000-0005-0000-0000-00004D400000}"/>
    <cellStyle name="Input 14 44 2" xfId="9997" xr:uid="{00000000-0005-0000-0000-00004E400000}"/>
    <cellStyle name="Input 14 45" xfId="9998" xr:uid="{00000000-0005-0000-0000-00004F400000}"/>
    <cellStyle name="Input 14 45 2" xfId="9999" xr:uid="{00000000-0005-0000-0000-000050400000}"/>
    <cellStyle name="Input 14 46" xfId="10000" xr:uid="{00000000-0005-0000-0000-000051400000}"/>
    <cellStyle name="Input 14 46 2" xfId="10001" xr:uid="{00000000-0005-0000-0000-000052400000}"/>
    <cellStyle name="Input 14 47" xfId="10002" xr:uid="{00000000-0005-0000-0000-000053400000}"/>
    <cellStyle name="Input 14 47 2" xfId="10003" xr:uid="{00000000-0005-0000-0000-000054400000}"/>
    <cellStyle name="Input 14 48" xfId="10004" xr:uid="{00000000-0005-0000-0000-000055400000}"/>
    <cellStyle name="Input 14 48 2" xfId="10005" xr:uid="{00000000-0005-0000-0000-000056400000}"/>
    <cellStyle name="Input 14 49" xfId="10006" xr:uid="{00000000-0005-0000-0000-000057400000}"/>
    <cellStyle name="Input 14 49 2" xfId="10007" xr:uid="{00000000-0005-0000-0000-000058400000}"/>
    <cellStyle name="Input 14 5" xfId="10008" xr:uid="{00000000-0005-0000-0000-000059400000}"/>
    <cellStyle name="Input 14 5 2" xfId="10009" xr:uid="{00000000-0005-0000-0000-00005A400000}"/>
    <cellStyle name="Input 14 50" xfId="10010" xr:uid="{00000000-0005-0000-0000-00005B400000}"/>
    <cellStyle name="Input 14 50 2" xfId="10011" xr:uid="{00000000-0005-0000-0000-00005C400000}"/>
    <cellStyle name="Input 14 51" xfId="10012" xr:uid="{00000000-0005-0000-0000-00005D400000}"/>
    <cellStyle name="Input 14 51 2" xfId="10013" xr:uid="{00000000-0005-0000-0000-00005E400000}"/>
    <cellStyle name="Input 14 52" xfId="10014" xr:uid="{00000000-0005-0000-0000-00005F400000}"/>
    <cellStyle name="Input 14 52 2" xfId="10015" xr:uid="{00000000-0005-0000-0000-000060400000}"/>
    <cellStyle name="Input 14 53" xfId="10016" xr:uid="{00000000-0005-0000-0000-000061400000}"/>
    <cellStyle name="Input 14 53 2" xfId="10017" xr:uid="{00000000-0005-0000-0000-000062400000}"/>
    <cellStyle name="Input 14 54" xfId="10018" xr:uid="{00000000-0005-0000-0000-000063400000}"/>
    <cellStyle name="Input 14 54 2" xfId="10019" xr:uid="{00000000-0005-0000-0000-000064400000}"/>
    <cellStyle name="Input 14 55" xfId="10020" xr:uid="{00000000-0005-0000-0000-000065400000}"/>
    <cellStyle name="Input 14 55 2" xfId="10021" xr:uid="{00000000-0005-0000-0000-000066400000}"/>
    <cellStyle name="Input 14 56" xfId="10022" xr:uid="{00000000-0005-0000-0000-000067400000}"/>
    <cellStyle name="Input 14 56 2" xfId="10023" xr:uid="{00000000-0005-0000-0000-000068400000}"/>
    <cellStyle name="Input 14 57" xfId="10024" xr:uid="{00000000-0005-0000-0000-000069400000}"/>
    <cellStyle name="Input 14 57 2" xfId="10025" xr:uid="{00000000-0005-0000-0000-00006A400000}"/>
    <cellStyle name="Input 14 58" xfId="10026" xr:uid="{00000000-0005-0000-0000-00006B400000}"/>
    <cellStyle name="Input 14 58 2" xfId="10027" xr:uid="{00000000-0005-0000-0000-00006C400000}"/>
    <cellStyle name="Input 14 59" xfId="10028" xr:uid="{00000000-0005-0000-0000-00006D400000}"/>
    <cellStyle name="Input 14 59 2" xfId="10029" xr:uid="{00000000-0005-0000-0000-00006E400000}"/>
    <cellStyle name="Input 14 6" xfId="10030" xr:uid="{00000000-0005-0000-0000-00006F400000}"/>
    <cellStyle name="Input 14 6 2" xfId="10031" xr:uid="{00000000-0005-0000-0000-000070400000}"/>
    <cellStyle name="Input 14 60" xfId="10032" xr:uid="{00000000-0005-0000-0000-000071400000}"/>
    <cellStyle name="Input 14 60 2" xfId="10033" xr:uid="{00000000-0005-0000-0000-000072400000}"/>
    <cellStyle name="Input 14 61" xfId="10034" xr:uid="{00000000-0005-0000-0000-000073400000}"/>
    <cellStyle name="Input 14 61 2" xfId="10035" xr:uid="{00000000-0005-0000-0000-000074400000}"/>
    <cellStyle name="Input 14 62" xfId="10036" xr:uid="{00000000-0005-0000-0000-000075400000}"/>
    <cellStyle name="Input 14 62 2" xfId="10037" xr:uid="{00000000-0005-0000-0000-000076400000}"/>
    <cellStyle name="Input 14 63" xfId="10038" xr:uid="{00000000-0005-0000-0000-000077400000}"/>
    <cellStyle name="Input 14 7" xfId="10039" xr:uid="{00000000-0005-0000-0000-000078400000}"/>
    <cellStyle name="Input 14 7 2" xfId="10040" xr:uid="{00000000-0005-0000-0000-000079400000}"/>
    <cellStyle name="Input 14 8" xfId="10041" xr:uid="{00000000-0005-0000-0000-00007A400000}"/>
    <cellStyle name="Input 14 8 2" xfId="10042" xr:uid="{00000000-0005-0000-0000-00007B400000}"/>
    <cellStyle name="Input 14 9" xfId="10043" xr:uid="{00000000-0005-0000-0000-00007C400000}"/>
    <cellStyle name="Input 14 9 2" xfId="10044" xr:uid="{00000000-0005-0000-0000-00007D400000}"/>
    <cellStyle name="Input 15" xfId="10045" xr:uid="{00000000-0005-0000-0000-00007E400000}"/>
    <cellStyle name="Input 15 10" xfId="10046" xr:uid="{00000000-0005-0000-0000-00007F400000}"/>
    <cellStyle name="Input 15 10 2" xfId="10047" xr:uid="{00000000-0005-0000-0000-000080400000}"/>
    <cellStyle name="Input 15 11" xfId="10048" xr:uid="{00000000-0005-0000-0000-000081400000}"/>
    <cellStyle name="Input 15 11 2" xfId="10049" xr:uid="{00000000-0005-0000-0000-000082400000}"/>
    <cellStyle name="Input 15 12" xfId="10050" xr:uid="{00000000-0005-0000-0000-000083400000}"/>
    <cellStyle name="Input 15 12 2" xfId="10051" xr:uid="{00000000-0005-0000-0000-000084400000}"/>
    <cellStyle name="Input 15 13" xfId="10052" xr:uid="{00000000-0005-0000-0000-000085400000}"/>
    <cellStyle name="Input 15 13 2" xfId="10053" xr:uid="{00000000-0005-0000-0000-000086400000}"/>
    <cellStyle name="Input 15 14" xfId="10054" xr:uid="{00000000-0005-0000-0000-000087400000}"/>
    <cellStyle name="Input 15 14 2" xfId="10055" xr:uid="{00000000-0005-0000-0000-000088400000}"/>
    <cellStyle name="Input 15 15" xfId="10056" xr:uid="{00000000-0005-0000-0000-000089400000}"/>
    <cellStyle name="Input 15 15 2" xfId="10057" xr:uid="{00000000-0005-0000-0000-00008A400000}"/>
    <cellStyle name="Input 15 16" xfId="10058" xr:uid="{00000000-0005-0000-0000-00008B400000}"/>
    <cellStyle name="Input 15 16 2" xfId="10059" xr:uid="{00000000-0005-0000-0000-00008C400000}"/>
    <cellStyle name="Input 15 17" xfId="10060" xr:uid="{00000000-0005-0000-0000-00008D400000}"/>
    <cellStyle name="Input 15 17 2" xfId="10061" xr:uid="{00000000-0005-0000-0000-00008E400000}"/>
    <cellStyle name="Input 15 18" xfId="10062" xr:uid="{00000000-0005-0000-0000-00008F400000}"/>
    <cellStyle name="Input 15 18 2" xfId="10063" xr:uid="{00000000-0005-0000-0000-000090400000}"/>
    <cellStyle name="Input 15 19" xfId="10064" xr:uid="{00000000-0005-0000-0000-000091400000}"/>
    <cellStyle name="Input 15 19 2" xfId="10065" xr:uid="{00000000-0005-0000-0000-000092400000}"/>
    <cellStyle name="Input 15 2" xfId="10066" xr:uid="{00000000-0005-0000-0000-000093400000}"/>
    <cellStyle name="Input 15 2 2" xfId="10067" xr:uid="{00000000-0005-0000-0000-000094400000}"/>
    <cellStyle name="Input 15 20" xfId="10068" xr:uid="{00000000-0005-0000-0000-000095400000}"/>
    <cellStyle name="Input 15 20 2" xfId="10069" xr:uid="{00000000-0005-0000-0000-000096400000}"/>
    <cellStyle name="Input 15 21" xfId="10070" xr:uid="{00000000-0005-0000-0000-000097400000}"/>
    <cellStyle name="Input 15 21 2" xfId="10071" xr:uid="{00000000-0005-0000-0000-000098400000}"/>
    <cellStyle name="Input 15 22" xfId="10072" xr:uid="{00000000-0005-0000-0000-000099400000}"/>
    <cellStyle name="Input 15 22 2" xfId="10073" xr:uid="{00000000-0005-0000-0000-00009A400000}"/>
    <cellStyle name="Input 15 23" xfId="10074" xr:uid="{00000000-0005-0000-0000-00009B400000}"/>
    <cellStyle name="Input 15 23 2" xfId="10075" xr:uid="{00000000-0005-0000-0000-00009C400000}"/>
    <cellStyle name="Input 15 24" xfId="10076" xr:uid="{00000000-0005-0000-0000-00009D400000}"/>
    <cellStyle name="Input 15 24 2" xfId="10077" xr:uid="{00000000-0005-0000-0000-00009E400000}"/>
    <cellStyle name="Input 15 25" xfId="10078" xr:uid="{00000000-0005-0000-0000-00009F400000}"/>
    <cellStyle name="Input 15 25 2" xfId="10079" xr:uid="{00000000-0005-0000-0000-0000A0400000}"/>
    <cellStyle name="Input 15 26" xfId="10080" xr:uid="{00000000-0005-0000-0000-0000A1400000}"/>
    <cellStyle name="Input 15 26 2" xfId="10081" xr:uid="{00000000-0005-0000-0000-0000A2400000}"/>
    <cellStyle name="Input 15 27" xfId="10082" xr:uid="{00000000-0005-0000-0000-0000A3400000}"/>
    <cellStyle name="Input 15 27 2" xfId="10083" xr:uid="{00000000-0005-0000-0000-0000A4400000}"/>
    <cellStyle name="Input 15 28" xfId="10084" xr:uid="{00000000-0005-0000-0000-0000A5400000}"/>
    <cellStyle name="Input 15 28 2" xfId="10085" xr:uid="{00000000-0005-0000-0000-0000A6400000}"/>
    <cellStyle name="Input 15 29" xfId="10086" xr:uid="{00000000-0005-0000-0000-0000A7400000}"/>
    <cellStyle name="Input 15 29 2" xfId="10087" xr:uid="{00000000-0005-0000-0000-0000A8400000}"/>
    <cellStyle name="Input 15 3" xfId="10088" xr:uid="{00000000-0005-0000-0000-0000A9400000}"/>
    <cellStyle name="Input 15 3 2" xfId="10089" xr:uid="{00000000-0005-0000-0000-0000AA400000}"/>
    <cellStyle name="Input 15 30" xfId="10090" xr:uid="{00000000-0005-0000-0000-0000AB400000}"/>
    <cellStyle name="Input 15 30 2" xfId="10091" xr:uid="{00000000-0005-0000-0000-0000AC400000}"/>
    <cellStyle name="Input 15 31" xfId="10092" xr:uid="{00000000-0005-0000-0000-0000AD400000}"/>
    <cellStyle name="Input 15 31 2" xfId="10093" xr:uid="{00000000-0005-0000-0000-0000AE400000}"/>
    <cellStyle name="Input 15 32" xfId="10094" xr:uid="{00000000-0005-0000-0000-0000AF400000}"/>
    <cellStyle name="Input 15 32 2" xfId="10095" xr:uid="{00000000-0005-0000-0000-0000B0400000}"/>
    <cellStyle name="Input 15 33" xfId="10096" xr:uid="{00000000-0005-0000-0000-0000B1400000}"/>
    <cellStyle name="Input 15 33 2" xfId="10097" xr:uid="{00000000-0005-0000-0000-0000B2400000}"/>
    <cellStyle name="Input 15 34" xfId="10098" xr:uid="{00000000-0005-0000-0000-0000B3400000}"/>
    <cellStyle name="Input 15 34 2" xfId="10099" xr:uid="{00000000-0005-0000-0000-0000B4400000}"/>
    <cellStyle name="Input 15 35" xfId="10100" xr:uid="{00000000-0005-0000-0000-0000B5400000}"/>
    <cellStyle name="Input 15 35 2" xfId="10101" xr:uid="{00000000-0005-0000-0000-0000B6400000}"/>
    <cellStyle name="Input 15 36" xfId="10102" xr:uid="{00000000-0005-0000-0000-0000B7400000}"/>
    <cellStyle name="Input 15 36 2" xfId="10103" xr:uid="{00000000-0005-0000-0000-0000B8400000}"/>
    <cellStyle name="Input 15 37" xfId="10104" xr:uid="{00000000-0005-0000-0000-0000B9400000}"/>
    <cellStyle name="Input 15 37 2" xfId="10105" xr:uid="{00000000-0005-0000-0000-0000BA400000}"/>
    <cellStyle name="Input 15 38" xfId="10106" xr:uid="{00000000-0005-0000-0000-0000BB400000}"/>
    <cellStyle name="Input 15 38 2" xfId="10107" xr:uid="{00000000-0005-0000-0000-0000BC400000}"/>
    <cellStyle name="Input 15 39" xfId="10108" xr:uid="{00000000-0005-0000-0000-0000BD400000}"/>
    <cellStyle name="Input 15 39 2" xfId="10109" xr:uid="{00000000-0005-0000-0000-0000BE400000}"/>
    <cellStyle name="Input 15 4" xfId="10110" xr:uid="{00000000-0005-0000-0000-0000BF400000}"/>
    <cellStyle name="Input 15 4 2" xfId="10111" xr:uid="{00000000-0005-0000-0000-0000C0400000}"/>
    <cellStyle name="Input 15 40" xfId="10112" xr:uid="{00000000-0005-0000-0000-0000C1400000}"/>
    <cellStyle name="Input 15 40 2" xfId="10113" xr:uid="{00000000-0005-0000-0000-0000C2400000}"/>
    <cellStyle name="Input 15 41" xfId="10114" xr:uid="{00000000-0005-0000-0000-0000C3400000}"/>
    <cellStyle name="Input 15 41 2" xfId="10115" xr:uid="{00000000-0005-0000-0000-0000C4400000}"/>
    <cellStyle name="Input 15 42" xfId="10116" xr:uid="{00000000-0005-0000-0000-0000C5400000}"/>
    <cellStyle name="Input 15 42 2" xfId="10117" xr:uid="{00000000-0005-0000-0000-0000C6400000}"/>
    <cellStyle name="Input 15 43" xfId="10118" xr:uid="{00000000-0005-0000-0000-0000C7400000}"/>
    <cellStyle name="Input 15 43 2" xfId="10119" xr:uid="{00000000-0005-0000-0000-0000C8400000}"/>
    <cellStyle name="Input 15 44" xfId="10120" xr:uid="{00000000-0005-0000-0000-0000C9400000}"/>
    <cellStyle name="Input 15 44 2" xfId="10121" xr:uid="{00000000-0005-0000-0000-0000CA400000}"/>
    <cellStyle name="Input 15 45" xfId="10122" xr:uid="{00000000-0005-0000-0000-0000CB400000}"/>
    <cellStyle name="Input 15 45 2" xfId="10123" xr:uid="{00000000-0005-0000-0000-0000CC400000}"/>
    <cellStyle name="Input 15 46" xfId="10124" xr:uid="{00000000-0005-0000-0000-0000CD400000}"/>
    <cellStyle name="Input 15 46 2" xfId="10125" xr:uid="{00000000-0005-0000-0000-0000CE400000}"/>
    <cellStyle name="Input 15 47" xfId="10126" xr:uid="{00000000-0005-0000-0000-0000CF400000}"/>
    <cellStyle name="Input 15 47 2" xfId="10127" xr:uid="{00000000-0005-0000-0000-0000D0400000}"/>
    <cellStyle name="Input 15 48" xfId="10128" xr:uid="{00000000-0005-0000-0000-0000D1400000}"/>
    <cellStyle name="Input 15 48 2" xfId="10129" xr:uid="{00000000-0005-0000-0000-0000D2400000}"/>
    <cellStyle name="Input 15 49" xfId="10130" xr:uid="{00000000-0005-0000-0000-0000D3400000}"/>
    <cellStyle name="Input 15 49 2" xfId="10131" xr:uid="{00000000-0005-0000-0000-0000D4400000}"/>
    <cellStyle name="Input 15 5" xfId="10132" xr:uid="{00000000-0005-0000-0000-0000D5400000}"/>
    <cellStyle name="Input 15 5 2" xfId="10133" xr:uid="{00000000-0005-0000-0000-0000D6400000}"/>
    <cellStyle name="Input 15 50" xfId="10134" xr:uid="{00000000-0005-0000-0000-0000D7400000}"/>
    <cellStyle name="Input 15 50 2" xfId="10135" xr:uid="{00000000-0005-0000-0000-0000D8400000}"/>
    <cellStyle name="Input 15 51" xfId="10136" xr:uid="{00000000-0005-0000-0000-0000D9400000}"/>
    <cellStyle name="Input 15 51 2" xfId="10137" xr:uid="{00000000-0005-0000-0000-0000DA400000}"/>
    <cellStyle name="Input 15 52" xfId="10138" xr:uid="{00000000-0005-0000-0000-0000DB400000}"/>
    <cellStyle name="Input 15 52 2" xfId="10139" xr:uid="{00000000-0005-0000-0000-0000DC400000}"/>
    <cellStyle name="Input 15 53" xfId="10140" xr:uid="{00000000-0005-0000-0000-0000DD400000}"/>
    <cellStyle name="Input 15 53 2" xfId="10141" xr:uid="{00000000-0005-0000-0000-0000DE400000}"/>
    <cellStyle name="Input 15 54" xfId="10142" xr:uid="{00000000-0005-0000-0000-0000DF400000}"/>
    <cellStyle name="Input 15 54 2" xfId="10143" xr:uid="{00000000-0005-0000-0000-0000E0400000}"/>
    <cellStyle name="Input 15 55" xfId="10144" xr:uid="{00000000-0005-0000-0000-0000E1400000}"/>
    <cellStyle name="Input 15 55 2" xfId="10145" xr:uid="{00000000-0005-0000-0000-0000E2400000}"/>
    <cellStyle name="Input 15 56" xfId="10146" xr:uid="{00000000-0005-0000-0000-0000E3400000}"/>
    <cellStyle name="Input 15 56 2" xfId="10147" xr:uid="{00000000-0005-0000-0000-0000E4400000}"/>
    <cellStyle name="Input 15 57" xfId="10148" xr:uid="{00000000-0005-0000-0000-0000E5400000}"/>
    <cellStyle name="Input 15 57 2" xfId="10149" xr:uid="{00000000-0005-0000-0000-0000E6400000}"/>
    <cellStyle name="Input 15 58" xfId="10150" xr:uid="{00000000-0005-0000-0000-0000E7400000}"/>
    <cellStyle name="Input 15 58 2" xfId="10151" xr:uid="{00000000-0005-0000-0000-0000E8400000}"/>
    <cellStyle name="Input 15 59" xfId="10152" xr:uid="{00000000-0005-0000-0000-0000E9400000}"/>
    <cellStyle name="Input 15 59 2" xfId="10153" xr:uid="{00000000-0005-0000-0000-0000EA400000}"/>
    <cellStyle name="Input 15 6" xfId="10154" xr:uid="{00000000-0005-0000-0000-0000EB400000}"/>
    <cellStyle name="Input 15 6 2" xfId="10155" xr:uid="{00000000-0005-0000-0000-0000EC400000}"/>
    <cellStyle name="Input 15 60" xfId="10156" xr:uid="{00000000-0005-0000-0000-0000ED400000}"/>
    <cellStyle name="Input 15 60 2" xfId="10157" xr:uid="{00000000-0005-0000-0000-0000EE400000}"/>
    <cellStyle name="Input 15 61" xfId="10158" xr:uid="{00000000-0005-0000-0000-0000EF400000}"/>
    <cellStyle name="Input 15 61 2" xfId="10159" xr:uid="{00000000-0005-0000-0000-0000F0400000}"/>
    <cellStyle name="Input 15 62" xfId="10160" xr:uid="{00000000-0005-0000-0000-0000F1400000}"/>
    <cellStyle name="Input 15 62 2" xfId="10161" xr:uid="{00000000-0005-0000-0000-0000F2400000}"/>
    <cellStyle name="Input 15 63" xfId="10162" xr:uid="{00000000-0005-0000-0000-0000F3400000}"/>
    <cellStyle name="Input 15 7" xfId="10163" xr:uid="{00000000-0005-0000-0000-0000F4400000}"/>
    <cellStyle name="Input 15 7 2" xfId="10164" xr:uid="{00000000-0005-0000-0000-0000F5400000}"/>
    <cellStyle name="Input 15 8" xfId="10165" xr:uid="{00000000-0005-0000-0000-0000F6400000}"/>
    <cellStyle name="Input 15 8 2" xfId="10166" xr:uid="{00000000-0005-0000-0000-0000F7400000}"/>
    <cellStyle name="Input 15 9" xfId="10167" xr:uid="{00000000-0005-0000-0000-0000F8400000}"/>
    <cellStyle name="Input 15 9 2" xfId="10168" xr:uid="{00000000-0005-0000-0000-0000F9400000}"/>
    <cellStyle name="Input 16" xfId="10169" xr:uid="{00000000-0005-0000-0000-0000FA400000}"/>
    <cellStyle name="Input 16 10" xfId="10170" xr:uid="{00000000-0005-0000-0000-0000FB400000}"/>
    <cellStyle name="Input 16 10 2" xfId="10171" xr:uid="{00000000-0005-0000-0000-0000FC400000}"/>
    <cellStyle name="Input 16 11" xfId="10172" xr:uid="{00000000-0005-0000-0000-0000FD400000}"/>
    <cellStyle name="Input 16 11 2" xfId="10173" xr:uid="{00000000-0005-0000-0000-0000FE400000}"/>
    <cellStyle name="Input 16 12" xfId="10174" xr:uid="{00000000-0005-0000-0000-0000FF400000}"/>
    <cellStyle name="Input 16 12 2" xfId="10175" xr:uid="{00000000-0005-0000-0000-000000410000}"/>
    <cellStyle name="Input 16 13" xfId="10176" xr:uid="{00000000-0005-0000-0000-000001410000}"/>
    <cellStyle name="Input 16 13 2" xfId="10177" xr:uid="{00000000-0005-0000-0000-000002410000}"/>
    <cellStyle name="Input 16 14" xfId="10178" xr:uid="{00000000-0005-0000-0000-000003410000}"/>
    <cellStyle name="Input 16 14 2" xfId="10179" xr:uid="{00000000-0005-0000-0000-000004410000}"/>
    <cellStyle name="Input 16 15" xfId="10180" xr:uid="{00000000-0005-0000-0000-000005410000}"/>
    <cellStyle name="Input 16 15 2" xfId="10181" xr:uid="{00000000-0005-0000-0000-000006410000}"/>
    <cellStyle name="Input 16 16" xfId="10182" xr:uid="{00000000-0005-0000-0000-000007410000}"/>
    <cellStyle name="Input 16 16 2" xfId="10183" xr:uid="{00000000-0005-0000-0000-000008410000}"/>
    <cellStyle name="Input 16 17" xfId="10184" xr:uid="{00000000-0005-0000-0000-000009410000}"/>
    <cellStyle name="Input 16 17 2" xfId="10185" xr:uid="{00000000-0005-0000-0000-00000A410000}"/>
    <cellStyle name="Input 16 18" xfId="10186" xr:uid="{00000000-0005-0000-0000-00000B410000}"/>
    <cellStyle name="Input 16 18 2" xfId="10187" xr:uid="{00000000-0005-0000-0000-00000C410000}"/>
    <cellStyle name="Input 16 19" xfId="10188" xr:uid="{00000000-0005-0000-0000-00000D410000}"/>
    <cellStyle name="Input 16 19 2" xfId="10189" xr:uid="{00000000-0005-0000-0000-00000E410000}"/>
    <cellStyle name="Input 16 2" xfId="10190" xr:uid="{00000000-0005-0000-0000-00000F410000}"/>
    <cellStyle name="Input 16 2 2" xfId="10191" xr:uid="{00000000-0005-0000-0000-000010410000}"/>
    <cellStyle name="Input 16 20" xfId="10192" xr:uid="{00000000-0005-0000-0000-000011410000}"/>
    <cellStyle name="Input 16 20 2" xfId="10193" xr:uid="{00000000-0005-0000-0000-000012410000}"/>
    <cellStyle name="Input 16 21" xfId="10194" xr:uid="{00000000-0005-0000-0000-000013410000}"/>
    <cellStyle name="Input 16 21 2" xfId="10195" xr:uid="{00000000-0005-0000-0000-000014410000}"/>
    <cellStyle name="Input 16 22" xfId="10196" xr:uid="{00000000-0005-0000-0000-000015410000}"/>
    <cellStyle name="Input 16 22 2" xfId="10197" xr:uid="{00000000-0005-0000-0000-000016410000}"/>
    <cellStyle name="Input 16 23" xfId="10198" xr:uid="{00000000-0005-0000-0000-000017410000}"/>
    <cellStyle name="Input 16 23 2" xfId="10199" xr:uid="{00000000-0005-0000-0000-000018410000}"/>
    <cellStyle name="Input 16 24" xfId="10200" xr:uid="{00000000-0005-0000-0000-000019410000}"/>
    <cellStyle name="Input 16 24 2" xfId="10201" xr:uid="{00000000-0005-0000-0000-00001A410000}"/>
    <cellStyle name="Input 16 25" xfId="10202" xr:uid="{00000000-0005-0000-0000-00001B410000}"/>
    <cellStyle name="Input 16 25 2" xfId="10203" xr:uid="{00000000-0005-0000-0000-00001C410000}"/>
    <cellStyle name="Input 16 26" xfId="10204" xr:uid="{00000000-0005-0000-0000-00001D410000}"/>
    <cellStyle name="Input 16 26 2" xfId="10205" xr:uid="{00000000-0005-0000-0000-00001E410000}"/>
    <cellStyle name="Input 16 27" xfId="10206" xr:uid="{00000000-0005-0000-0000-00001F410000}"/>
    <cellStyle name="Input 16 27 2" xfId="10207" xr:uid="{00000000-0005-0000-0000-000020410000}"/>
    <cellStyle name="Input 16 28" xfId="10208" xr:uid="{00000000-0005-0000-0000-000021410000}"/>
    <cellStyle name="Input 16 28 2" xfId="10209" xr:uid="{00000000-0005-0000-0000-000022410000}"/>
    <cellStyle name="Input 16 29" xfId="10210" xr:uid="{00000000-0005-0000-0000-000023410000}"/>
    <cellStyle name="Input 16 29 2" xfId="10211" xr:uid="{00000000-0005-0000-0000-000024410000}"/>
    <cellStyle name="Input 16 3" xfId="10212" xr:uid="{00000000-0005-0000-0000-000025410000}"/>
    <cellStyle name="Input 16 3 2" xfId="10213" xr:uid="{00000000-0005-0000-0000-000026410000}"/>
    <cellStyle name="Input 16 30" xfId="10214" xr:uid="{00000000-0005-0000-0000-000027410000}"/>
    <cellStyle name="Input 16 30 2" xfId="10215" xr:uid="{00000000-0005-0000-0000-000028410000}"/>
    <cellStyle name="Input 16 31" xfId="10216" xr:uid="{00000000-0005-0000-0000-000029410000}"/>
    <cellStyle name="Input 16 31 2" xfId="10217" xr:uid="{00000000-0005-0000-0000-00002A410000}"/>
    <cellStyle name="Input 16 32" xfId="10218" xr:uid="{00000000-0005-0000-0000-00002B410000}"/>
    <cellStyle name="Input 16 32 2" xfId="10219" xr:uid="{00000000-0005-0000-0000-00002C410000}"/>
    <cellStyle name="Input 16 33" xfId="10220" xr:uid="{00000000-0005-0000-0000-00002D410000}"/>
    <cellStyle name="Input 16 33 2" xfId="10221" xr:uid="{00000000-0005-0000-0000-00002E410000}"/>
    <cellStyle name="Input 16 34" xfId="10222" xr:uid="{00000000-0005-0000-0000-00002F410000}"/>
    <cellStyle name="Input 16 34 2" xfId="10223" xr:uid="{00000000-0005-0000-0000-000030410000}"/>
    <cellStyle name="Input 16 35" xfId="10224" xr:uid="{00000000-0005-0000-0000-000031410000}"/>
    <cellStyle name="Input 16 35 2" xfId="10225" xr:uid="{00000000-0005-0000-0000-000032410000}"/>
    <cellStyle name="Input 16 36" xfId="10226" xr:uid="{00000000-0005-0000-0000-000033410000}"/>
    <cellStyle name="Input 16 36 2" xfId="10227" xr:uid="{00000000-0005-0000-0000-000034410000}"/>
    <cellStyle name="Input 16 37" xfId="10228" xr:uid="{00000000-0005-0000-0000-000035410000}"/>
    <cellStyle name="Input 16 37 2" xfId="10229" xr:uid="{00000000-0005-0000-0000-000036410000}"/>
    <cellStyle name="Input 16 38" xfId="10230" xr:uid="{00000000-0005-0000-0000-000037410000}"/>
    <cellStyle name="Input 16 38 2" xfId="10231" xr:uid="{00000000-0005-0000-0000-000038410000}"/>
    <cellStyle name="Input 16 39" xfId="10232" xr:uid="{00000000-0005-0000-0000-000039410000}"/>
    <cellStyle name="Input 16 39 2" xfId="10233" xr:uid="{00000000-0005-0000-0000-00003A410000}"/>
    <cellStyle name="Input 16 4" xfId="10234" xr:uid="{00000000-0005-0000-0000-00003B410000}"/>
    <cellStyle name="Input 16 4 2" xfId="10235" xr:uid="{00000000-0005-0000-0000-00003C410000}"/>
    <cellStyle name="Input 16 40" xfId="10236" xr:uid="{00000000-0005-0000-0000-00003D410000}"/>
    <cellStyle name="Input 16 40 2" xfId="10237" xr:uid="{00000000-0005-0000-0000-00003E410000}"/>
    <cellStyle name="Input 16 41" xfId="10238" xr:uid="{00000000-0005-0000-0000-00003F410000}"/>
    <cellStyle name="Input 16 41 2" xfId="10239" xr:uid="{00000000-0005-0000-0000-000040410000}"/>
    <cellStyle name="Input 16 42" xfId="10240" xr:uid="{00000000-0005-0000-0000-000041410000}"/>
    <cellStyle name="Input 16 42 2" xfId="10241" xr:uid="{00000000-0005-0000-0000-000042410000}"/>
    <cellStyle name="Input 16 43" xfId="10242" xr:uid="{00000000-0005-0000-0000-000043410000}"/>
    <cellStyle name="Input 16 43 2" xfId="10243" xr:uid="{00000000-0005-0000-0000-000044410000}"/>
    <cellStyle name="Input 16 44" xfId="10244" xr:uid="{00000000-0005-0000-0000-000045410000}"/>
    <cellStyle name="Input 16 44 2" xfId="10245" xr:uid="{00000000-0005-0000-0000-000046410000}"/>
    <cellStyle name="Input 16 45" xfId="10246" xr:uid="{00000000-0005-0000-0000-000047410000}"/>
    <cellStyle name="Input 16 45 2" xfId="10247" xr:uid="{00000000-0005-0000-0000-000048410000}"/>
    <cellStyle name="Input 16 46" xfId="10248" xr:uid="{00000000-0005-0000-0000-000049410000}"/>
    <cellStyle name="Input 16 46 2" xfId="10249" xr:uid="{00000000-0005-0000-0000-00004A410000}"/>
    <cellStyle name="Input 16 47" xfId="10250" xr:uid="{00000000-0005-0000-0000-00004B410000}"/>
    <cellStyle name="Input 16 47 2" xfId="10251" xr:uid="{00000000-0005-0000-0000-00004C410000}"/>
    <cellStyle name="Input 16 48" xfId="10252" xr:uid="{00000000-0005-0000-0000-00004D410000}"/>
    <cellStyle name="Input 16 48 2" xfId="10253" xr:uid="{00000000-0005-0000-0000-00004E410000}"/>
    <cellStyle name="Input 16 49" xfId="10254" xr:uid="{00000000-0005-0000-0000-00004F410000}"/>
    <cellStyle name="Input 16 49 2" xfId="10255" xr:uid="{00000000-0005-0000-0000-000050410000}"/>
    <cellStyle name="Input 16 5" xfId="10256" xr:uid="{00000000-0005-0000-0000-000051410000}"/>
    <cellStyle name="Input 16 5 2" xfId="10257" xr:uid="{00000000-0005-0000-0000-000052410000}"/>
    <cellStyle name="Input 16 50" xfId="10258" xr:uid="{00000000-0005-0000-0000-000053410000}"/>
    <cellStyle name="Input 16 50 2" xfId="10259" xr:uid="{00000000-0005-0000-0000-000054410000}"/>
    <cellStyle name="Input 16 51" xfId="10260" xr:uid="{00000000-0005-0000-0000-000055410000}"/>
    <cellStyle name="Input 16 51 2" xfId="10261" xr:uid="{00000000-0005-0000-0000-000056410000}"/>
    <cellStyle name="Input 16 52" xfId="10262" xr:uid="{00000000-0005-0000-0000-000057410000}"/>
    <cellStyle name="Input 16 52 2" xfId="10263" xr:uid="{00000000-0005-0000-0000-000058410000}"/>
    <cellStyle name="Input 16 53" xfId="10264" xr:uid="{00000000-0005-0000-0000-000059410000}"/>
    <cellStyle name="Input 16 53 2" xfId="10265" xr:uid="{00000000-0005-0000-0000-00005A410000}"/>
    <cellStyle name="Input 16 54" xfId="10266" xr:uid="{00000000-0005-0000-0000-00005B410000}"/>
    <cellStyle name="Input 16 54 2" xfId="10267" xr:uid="{00000000-0005-0000-0000-00005C410000}"/>
    <cellStyle name="Input 16 55" xfId="10268" xr:uid="{00000000-0005-0000-0000-00005D410000}"/>
    <cellStyle name="Input 16 55 2" xfId="10269" xr:uid="{00000000-0005-0000-0000-00005E410000}"/>
    <cellStyle name="Input 16 56" xfId="10270" xr:uid="{00000000-0005-0000-0000-00005F410000}"/>
    <cellStyle name="Input 16 56 2" xfId="10271" xr:uid="{00000000-0005-0000-0000-000060410000}"/>
    <cellStyle name="Input 16 57" xfId="10272" xr:uid="{00000000-0005-0000-0000-000061410000}"/>
    <cellStyle name="Input 16 57 2" xfId="10273" xr:uid="{00000000-0005-0000-0000-000062410000}"/>
    <cellStyle name="Input 16 58" xfId="10274" xr:uid="{00000000-0005-0000-0000-000063410000}"/>
    <cellStyle name="Input 16 58 2" xfId="10275" xr:uid="{00000000-0005-0000-0000-000064410000}"/>
    <cellStyle name="Input 16 59" xfId="10276" xr:uid="{00000000-0005-0000-0000-000065410000}"/>
    <cellStyle name="Input 16 59 2" xfId="10277" xr:uid="{00000000-0005-0000-0000-000066410000}"/>
    <cellStyle name="Input 16 6" xfId="10278" xr:uid="{00000000-0005-0000-0000-000067410000}"/>
    <cellStyle name="Input 16 6 2" xfId="10279" xr:uid="{00000000-0005-0000-0000-000068410000}"/>
    <cellStyle name="Input 16 60" xfId="10280" xr:uid="{00000000-0005-0000-0000-000069410000}"/>
    <cellStyle name="Input 16 60 2" xfId="10281" xr:uid="{00000000-0005-0000-0000-00006A410000}"/>
    <cellStyle name="Input 16 61" xfId="10282" xr:uid="{00000000-0005-0000-0000-00006B410000}"/>
    <cellStyle name="Input 16 61 2" xfId="10283" xr:uid="{00000000-0005-0000-0000-00006C410000}"/>
    <cellStyle name="Input 16 62" xfId="10284" xr:uid="{00000000-0005-0000-0000-00006D410000}"/>
    <cellStyle name="Input 16 62 2" xfId="10285" xr:uid="{00000000-0005-0000-0000-00006E410000}"/>
    <cellStyle name="Input 16 63" xfId="10286" xr:uid="{00000000-0005-0000-0000-00006F410000}"/>
    <cellStyle name="Input 16 7" xfId="10287" xr:uid="{00000000-0005-0000-0000-000070410000}"/>
    <cellStyle name="Input 16 7 2" xfId="10288" xr:uid="{00000000-0005-0000-0000-000071410000}"/>
    <cellStyle name="Input 16 8" xfId="10289" xr:uid="{00000000-0005-0000-0000-000072410000}"/>
    <cellStyle name="Input 16 8 2" xfId="10290" xr:uid="{00000000-0005-0000-0000-000073410000}"/>
    <cellStyle name="Input 16 9" xfId="10291" xr:uid="{00000000-0005-0000-0000-000074410000}"/>
    <cellStyle name="Input 16 9 2" xfId="10292" xr:uid="{00000000-0005-0000-0000-000075410000}"/>
    <cellStyle name="Input 17" xfId="10293" xr:uid="{00000000-0005-0000-0000-000076410000}"/>
    <cellStyle name="Input 17 10" xfId="10294" xr:uid="{00000000-0005-0000-0000-000077410000}"/>
    <cellStyle name="Input 17 10 2" xfId="10295" xr:uid="{00000000-0005-0000-0000-000078410000}"/>
    <cellStyle name="Input 17 11" xfId="10296" xr:uid="{00000000-0005-0000-0000-000079410000}"/>
    <cellStyle name="Input 17 11 2" xfId="10297" xr:uid="{00000000-0005-0000-0000-00007A410000}"/>
    <cellStyle name="Input 17 12" xfId="10298" xr:uid="{00000000-0005-0000-0000-00007B410000}"/>
    <cellStyle name="Input 17 12 2" xfId="10299" xr:uid="{00000000-0005-0000-0000-00007C410000}"/>
    <cellStyle name="Input 17 13" xfId="10300" xr:uid="{00000000-0005-0000-0000-00007D410000}"/>
    <cellStyle name="Input 17 13 2" xfId="10301" xr:uid="{00000000-0005-0000-0000-00007E410000}"/>
    <cellStyle name="Input 17 14" xfId="10302" xr:uid="{00000000-0005-0000-0000-00007F410000}"/>
    <cellStyle name="Input 17 14 2" xfId="10303" xr:uid="{00000000-0005-0000-0000-000080410000}"/>
    <cellStyle name="Input 17 15" xfId="10304" xr:uid="{00000000-0005-0000-0000-000081410000}"/>
    <cellStyle name="Input 17 15 2" xfId="10305" xr:uid="{00000000-0005-0000-0000-000082410000}"/>
    <cellStyle name="Input 17 16" xfId="10306" xr:uid="{00000000-0005-0000-0000-000083410000}"/>
    <cellStyle name="Input 17 16 2" xfId="10307" xr:uid="{00000000-0005-0000-0000-000084410000}"/>
    <cellStyle name="Input 17 17" xfId="10308" xr:uid="{00000000-0005-0000-0000-000085410000}"/>
    <cellStyle name="Input 17 17 2" xfId="10309" xr:uid="{00000000-0005-0000-0000-000086410000}"/>
    <cellStyle name="Input 17 18" xfId="10310" xr:uid="{00000000-0005-0000-0000-000087410000}"/>
    <cellStyle name="Input 17 18 2" xfId="10311" xr:uid="{00000000-0005-0000-0000-000088410000}"/>
    <cellStyle name="Input 17 19" xfId="10312" xr:uid="{00000000-0005-0000-0000-000089410000}"/>
    <cellStyle name="Input 17 19 2" xfId="10313" xr:uid="{00000000-0005-0000-0000-00008A410000}"/>
    <cellStyle name="Input 17 2" xfId="10314" xr:uid="{00000000-0005-0000-0000-00008B410000}"/>
    <cellStyle name="Input 17 2 2" xfId="10315" xr:uid="{00000000-0005-0000-0000-00008C410000}"/>
    <cellStyle name="Input 17 20" xfId="10316" xr:uid="{00000000-0005-0000-0000-00008D410000}"/>
    <cellStyle name="Input 17 20 2" xfId="10317" xr:uid="{00000000-0005-0000-0000-00008E410000}"/>
    <cellStyle name="Input 17 21" xfId="10318" xr:uid="{00000000-0005-0000-0000-00008F410000}"/>
    <cellStyle name="Input 17 21 2" xfId="10319" xr:uid="{00000000-0005-0000-0000-000090410000}"/>
    <cellStyle name="Input 17 22" xfId="10320" xr:uid="{00000000-0005-0000-0000-000091410000}"/>
    <cellStyle name="Input 17 22 2" xfId="10321" xr:uid="{00000000-0005-0000-0000-000092410000}"/>
    <cellStyle name="Input 17 23" xfId="10322" xr:uid="{00000000-0005-0000-0000-000093410000}"/>
    <cellStyle name="Input 17 23 2" xfId="10323" xr:uid="{00000000-0005-0000-0000-000094410000}"/>
    <cellStyle name="Input 17 24" xfId="10324" xr:uid="{00000000-0005-0000-0000-000095410000}"/>
    <cellStyle name="Input 17 24 2" xfId="10325" xr:uid="{00000000-0005-0000-0000-000096410000}"/>
    <cellStyle name="Input 17 25" xfId="10326" xr:uid="{00000000-0005-0000-0000-000097410000}"/>
    <cellStyle name="Input 17 25 2" xfId="10327" xr:uid="{00000000-0005-0000-0000-000098410000}"/>
    <cellStyle name="Input 17 26" xfId="10328" xr:uid="{00000000-0005-0000-0000-000099410000}"/>
    <cellStyle name="Input 17 26 2" xfId="10329" xr:uid="{00000000-0005-0000-0000-00009A410000}"/>
    <cellStyle name="Input 17 27" xfId="10330" xr:uid="{00000000-0005-0000-0000-00009B410000}"/>
    <cellStyle name="Input 17 27 2" xfId="10331" xr:uid="{00000000-0005-0000-0000-00009C410000}"/>
    <cellStyle name="Input 17 28" xfId="10332" xr:uid="{00000000-0005-0000-0000-00009D410000}"/>
    <cellStyle name="Input 17 28 2" xfId="10333" xr:uid="{00000000-0005-0000-0000-00009E410000}"/>
    <cellStyle name="Input 17 29" xfId="10334" xr:uid="{00000000-0005-0000-0000-00009F410000}"/>
    <cellStyle name="Input 17 29 2" xfId="10335" xr:uid="{00000000-0005-0000-0000-0000A0410000}"/>
    <cellStyle name="Input 17 3" xfId="10336" xr:uid="{00000000-0005-0000-0000-0000A1410000}"/>
    <cellStyle name="Input 17 3 2" xfId="10337" xr:uid="{00000000-0005-0000-0000-0000A2410000}"/>
    <cellStyle name="Input 17 30" xfId="10338" xr:uid="{00000000-0005-0000-0000-0000A3410000}"/>
    <cellStyle name="Input 17 30 2" xfId="10339" xr:uid="{00000000-0005-0000-0000-0000A4410000}"/>
    <cellStyle name="Input 17 31" xfId="10340" xr:uid="{00000000-0005-0000-0000-0000A5410000}"/>
    <cellStyle name="Input 17 31 2" xfId="10341" xr:uid="{00000000-0005-0000-0000-0000A6410000}"/>
    <cellStyle name="Input 17 32" xfId="10342" xr:uid="{00000000-0005-0000-0000-0000A7410000}"/>
    <cellStyle name="Input 17 32 2" xfId="10343" xr:uid="{00000000-0005-0000-0000-0000A8410000}"/>
    <cellStyle name="Input 17 33" xfId="10344" xr:uid="{00000000-0005-0000-0000-0000A9410000}"/>
    <cellStyle name="Input 17 33 2" xfId="10345" xr:uid="{00000000-0005-0000-0000-0000AA410000}"/>
    <cellStyle name="Input 17 34" xfId="10346" xr:uid="{00000000-0005-0000-0000-0000AB410000}"/>
    <cellStyle name="Input 17 34 2" xfId="10347" xr:uid="{00000000-0005-0000-0000-0000AC410000}"/>
    <cellStyle name="Input 17 35" xfId="10348" xr:uid="{00000000-0005-0000-0000-0000AD410000}"/>
    <cellStyle name="Input 17 35 2" xfId="10349" xr:uid="{00000000-0005-0000-0000-0000AE410000}"/>
    <cellStyle name="Input 17 36" xfId="10350" xr:uid="{00000000-0005-0000-0000-0000AF410000}"/>
    <cellStyle name="Input 17 36 2" xfId="10351" xr:uid="{00000000-0005-0000-0000-0000B0410000}"/>
    <cellStyle name="Input 17 37" xfId="10352" xr:uid="{00000000-0005-0000-0000-0000B1410000}"/>
    <cellStyle name="Input 17 37 2" xfId="10353" xr:uid="{00000000-0005-0000-0000-0000B2410000}"/>
    <cellStyle name="Input 17 38" xfId="10354" xr:uid="{00000000-0005-0000-0000-0000B3410000}"/>
    <cellStyle name="Input 17 38 2" xfId="10355" xr:uid="{00000000-0005-0000-0000-0000B4410000}"/>
    <cellStyle name="Input 17 39" xfId="10356" xr:uid="{00000000-0005-0000-0000-0000B5410000}"/>
    <cellStyle name="Input 17 39 2" xfId="10357" xr:uid="{00000000-0005-0000-0000-0000B6410000}"/>
    <cellStyle name="Input 17 4" xfId="10358" xr:uid="{00000000-0005-0000-0000-0000B7410000}"/>
    <cellStyle name="Input 17 4 2" xfId="10359" xr:uid="{00000000-0005-0000-0000-0000B8410000}"/>
    <cellStyle name="Input 17 40" xfId="10360" xr:uid="{00000000-0005-0000-0000-0000B9410000}"/>
    <cellStyle name="Input 17 40 2" xfId="10361" xr:uid="{00000000-0005-0000-0000-0000BA410000}"/>
    <cellStyle name="Input 17 41" xfId="10362" xr:uid="{00000000-0005-0000-0000-0000BB410000}"/>
    <cellStyle name="Input 17 41 2" xfId="10363" xr:uid="{00000000-0005-0000-0000-0000BC410000}"/>
    <cellStyle name="Input 17 42" xfId="10364" xr:uid="{00000000-0005-0000-0000-0000BD410000}"/>
    <cellStyle name="Input 17 42 2" xfId="10365" xr:uid="{00000000-0005-0000-0000-0000BE410000}"/>
    <cellStyle name="Input 17 43" xfId="10366" xr:uid="{00000000-0005-0000-0000-0000BF410000}"/>
    <cellStyle name="Input 17 43 2" xfId="10367" xr:uid="{00000000-0005-0000-0000-0000C0410000}"/>
    <cellStyle name="Input 17 44" xfId="10368" xr:uid="{00000000-0005-0000-0000-0000C1410000}"/>
    <cellStyle name="Input 17 44 2" xfId="10369" xr:uid="{00000000-0005-0000-0000-0000C2410000}"/>
    <cellStyle name="Input 17 45" xfId="10370" xr:uid="{00000000-0005-0000-0000-0000C3410000}"/>
    <cellStyle name="Input 17 45 2" xfId="10371" xr:uid="{00000000-0005-0000-0000-0000C4410000}"/>
    <cellStyle name="Input 17 46" xfId="10372" xr:uid="{00000000-0005-0000-0000-0000C5410000}"/>
    <cellStyle name="Input 17 46 2" xfId="10373" xr:uid="{00000000-0005-0000-0000-0000C6410000}"/>
    <cellStyle name="Input 17 47" xfId="10374" xr:uid="{00000000-0005-0000-0000-0000C7410000}"/>
    <cellStyle name="Input 17 47 2" xfId="10375" xr:uid="{00000000-0005-0000-0000-0000C8410000}"/>
    <cellStyle name="Input 17 48" xfId="10376" xr:uid="{00000000-0005-0000-0000-0000C9410000}"/>
    <cellStyle name="Input 17 48 2" xfId="10377" xr:uid="{00000000-0005-0000-0000-0000CA410000}"/>
    <cellStyle name="Input 17 49" xfId="10378" xr:uid="{00000000-0005-0000-0000-0000CB410000}"/>
    <cellStyle name="Input 17 49 2" xfId="10379" xr:uid="{00000000-0005-0000-0000-0000CC410000}"/>
    <cellStyle name="Input 17 5" xfId="10380" xr:uid="{00000000-0005-0000-0000-0000CD410000}"/>
    <cellStyle name="Input 17 5 2" xfId="10381" xr:uid="{00000000-0005-0000-0000-0000CE410000}"/>
    <cellStyle name="Input 17 50" xfId="10382" xr:uid="{00000000-0005-0000-0000-0000CF410000}"/>
    <cellStyle name="Input 17 50 2" xfId="10383" xr:uid="{00000000-0005-0000-0000-0000D0410000}"/>
    <cellStyle name="Input 17 51" xfId="10384" xr:uid="{00000000-0005-0000-0000-0000D1410000}"/>
    <cellStyle name="Input 17 51 2" xfId="10385" xr:uid="{00000000-0005-0000-0000-0000D2410000}"/>
    <cellStyle name="Input 17 52" xfId="10386" xr:uid="{00000000-0005-0000-0000-0000D3410000}"/>
    <cellStyle name="Input 17 52 2" xfId="10387" xr:uid="{00000000-0005-0000-0000-0000D4410000}"/>
    <cellStyle name="Input 17 53" xfId="10388" xr:uid="{00000000-0005-0000-0000-0000D5410000}"/>
    <cellStyle name="Input 17 53 2" xfId="10389" xr:uid="{00000000-0005-0000-0000-0000D6410000}"/>
    <cellStyle name="Input 17 54" xfId="10390" xr:uid="{00000000-0005-0000-0000-0000D7410000}"/>
    <cellStyle name="Input 17 54 2" xfId="10391" xr:uid="{00000000-0005-0000-0000-0000D8410000}"/>
    <cellStyle name="Input 17 55" xfId="10392" xr:uid="{00000000-0005-0000-0000-0000D9410000}"/>
    <cellStyle name="Input 17 55 2" xfId="10393" xr:uid="{00000000-0005-0000-0000-0000DA410000}"/>
    <cellStyle name="Input 17 56" xfId="10394" xr:uid="{00000000-0005-0000-0000-0000DB410000}"/>
    <cellStyle name="Input 17 56 2" xfId="10395" xr:uid="{00000000-0005-0000-0000-0000DC410000}"/>
    <cellStyle name="Input 17 57" xfId="10396" xr:uid="{00000000-0005-0000-0000-0000DD410000}"/>
    <cellStyle name="Input 17 57 2" xfId="10397" xr:uid="{00000000-0005-0000-0000-0000DE410000}"/>
    <cellStyle name="Input 17 58" xfId="10398" xr:uid="{00000000-0005-0000-0000-0000DF410000}"/>
    <cellStyle name="Input 17 58 2" xfId="10399" xr:uid="{00000000-0005-0000-0000-0000E0410000}"/>
    <cellStyle name="Input 17 59" xfId="10400" xr:uid="{00000000-0005-0000-0000-0000E1410000}"/>
    <cellStyle name="Input 17 59 2" xfId="10401" xr:uid="{00000000-0005-0000-0000-0000E2410000}"/>
    <cellStyle name="Input 17 6" xfId="10402" xr:uid="{00000000-0005-0000-0000-0000E3410000}"/>
    <cellStyle name="Input 17 6 2" xfId="10403" xr:uid="{00000000-0005-0000-0000-0000E4410000}"/>
    <cellStyle name="Input 17 60" xfId="10404" xr:uid="{00000000-0005-0000-0000-0000E5410000}"/>
    <cellStyle name="Input 17 60 2" xfId="10405" xr:uid="{00000000-0005-0000-0000-0000E6410000}"/>
    <cellStyle name="Input 17 61" xfId="10406" xr:uid="{00000000-0005-0000-0000-0000E7410000}"/>
    <cellStyle name="Input 17 61 2" xfId="10407" xr:uid="{00000000-0005-0000-0000-0000E8410000}"/>
    <cellStyle name="Input 17 62" xfId="10408" xr:uid="{00000000-0005-0000-0000-0000E9410000}"/>
    <cellStyle name="Input 17 62 2" xfId="10409" xr:uid="{00000000-0005-0000-0000-0000EA410000}"/>
    <cellStyle name="Input 17 63" xfId="10410" xr:uid="{00000000-0005-0000-0000-0000EB410000}"/>
    <cellStyle name="Input 17 7" xfId="10411" xr:uid="{00000000-0005-0000-0000-0000EC410000}"/>
    <cellStyle name="Input 17 7 2" xfId="10412" xr:uid="{00000000-0005-0000-0000-0000ED410000}"/>
    <cellStyle name="Input 17 8" xfId="10413" xr:uid="{00000000-0005-0000-0000-0000EE410000}"/>
    <cellStyle name="Input 17 8 2" xfId="10414" xr:uid="{00000000-0005-0000-0000-0000EF410000}"/>
    <cellStyle name="Input 17 9" xfId="10415" xr:uid="{00000000-0005-0000-0000-0000F0410000}"/>
    <cellStyle name="Input 17 9 2" xfId="10416" xr:uid="{00000000-0005-0000-0000-0000F1410000}"/>
    <cellStyle name="Input 18" xfId="10417" xr:uid="{00000000-0005-0000-0000-0000F2410000}"/>
    <cellStyle name="Input 18 10" xfId="10418" xr:uid="{00000000-0005-0000-0000-0000F3410000}"/>
    <cellStyle name="Input 18 10 2" xfId="10419" xr:uid="{00000000-0005-0000-0000-0000F4410000}"/>
    <cellStyle name="Input 18 11" xfId="10420" xr:uid="{00000000-0005-0000-0000-0000F5410000}"/>
    <cellStyle name="Input 18 11 2" xfId="10421" xr:uid="{00000000-0005-0000-0000-0000F6410000}"/>
    <cellStyle name="Input 18 12" xfId="10422" xr:uid="{00000000-0005-0000-0000-0000F7410000}"/>
    <cellStyle name="Input 18 12 2" xfId="10423" xr:uid="{00000000-0005-0000-0000-0000F8410000}"/>
    <cellStyle name="Input 18 13" xfId="10424" xr:uid="{00000000-0005-0000-0000-0000F9410000}"/>
    <cellStyle name="Input 18 13 2" xfId="10425" xr:uid="{00000000-0005-0000-0000-0000FA410000}"/>
    <cellStyle name="Input 18 14" xfId="10426" xr:uid="{00000000-0005-0000-0000-0000FB410000}"/>
    <cellStyle name="Input 18 14 2" xfId="10427" xr:uid="{00000000-0005-0000-0000-0000FC410000}"/>
    <cellStyle name="Input 18 15" xfId="10428" xr:uid="{00000000-0005-0000-0000-0000FD410000}"/>
    <cellStyle name="Input 18 15 2" xfId="10429" xr:uid="{00000000-0005-0000-0000-0000FE410000}"/>
    <cellStyle name="Input 18 16" xfId="10430" xr:uid="{00000000-0005-0000-0000-0000FF410000}"/>
    <cellStyle name="Input 18 16 2" xfId="10431" xr:uid="{00000000-0005-0000-0000-000000420000}"/>
    <cellStyle name="Input 18 17" xfId="10432" xr:uid="{00000000-0005-0000-0000-000001420000}"/>
    <cellStyle name="Input 18 17 2" xfId="10433" xr:uid="{00000000-0005-0000-0000-000002420000}"/>
    <cellStyle name="Input 18 18" xfId="10434" xr:uid="{00000000-0005-0000-0000-000003420000}"/>
    <cellStyle name="Input 18 18 2" xfId="10435" xr:uid="{00000000-0005-0000-0000-000004420000}"/>
    <cellStyle name="Input 18 19" xfId="10436" xr:uid="{00000000-0005-0000-0000-000005420000}"/>
    <cellStyle name="Input 18 19 2" xfId="10437" xr:uid="{00000000-0005-0000-0000-000006420000}"/>
    <cellStyle name="Input 18 2" xfId="10438" xr:uid="{00000000-0005-0000-0000-000007420000}"/>
    <cellStyle name="Input 18 2 2" xfId="10439" xr:uid="{00000000-0005-0000-0000-000008420000}"/>
    <cellStyle name="Input 18 20" xfId="10440" xr:uid="{00000000-0005-0000-0000-000009420000}"/>
    <cellStyle name="Input 18 20 2" xfId="10441" xr:uid="{00000000-0005-0000-0000-00000A420000}"/>
    <cellStyle name="Input 18 21" xfId="10442" xr:uid="{00000000-0005-0000-0000-00000B420000}"/>
    <cellStyle name="Input 18 21 2" xfId="10443" xr:uid="{00000000-0005-0000-0000-00000C420000}"/>
    <cellStyle name="Input 18 22" xfId="10444" xr:uid="{00000000-0005-0000-0000-00000D420000}"/>
    <cellStyle name="Input 18 22 2" xfId="10445" xr:uid="{00000000-0005-0000-0000-00000E420000}"/>
    <cellStyle name="Input 18 23" xfId="10446" xr:uid="{00000000-0005-0000-0000-00000F420000}"/>
    <cellStyle name="Input 18 23 2" xfId="10447" xr:uid="{00000000-0005-0000-0000-000010420000}"/>
    <cellStyle name="Input 18 24" xfId="10448" xr:uid="{00000000-0005-0000-0000-000011420000}"/>
    <cellStyle name="Input 18 24 2" xfId="10449" xr:uid="{00000000-0005-0000-0000-000012420000}"/>
    <cellStyle name="Input 18 25" xfId="10450" xr:uid="{00000000-0005-0000-0000-000013420000}"/>
    <cellStyle name="Input 18 25 2" xfId="10451" xr:uid="{00000000-0005-0000-0000-000014420000}"/>
    <cellStyle name="Input 18 26" xfId="10452" xr:uid="{00000000-0005-0000-0000-000015420000}"/>
    <cellStyle name="Input 18 26 2" xfId="10453" xr:uid="{00000000-0005-0000-0000-000016420000}"/>
    <cellStyle name="Input 18 27" xfId="10454" xr:uid="{00000000-0005-0000-0000-000017420000}"/>
    <cellStyle name="Input 18 27 2" xfId="10455" xr:uid="{00000000-0005-0000-0000-000018420000}"/>
    <cellStyle name="Input 18 28" xfId="10456" xr:uid="{00000000-0005-0000-0000-000019420000}"/>
    <cellStyle name="Input 18 28 2" xfId="10457" xr:uid="{00000000-0005-0000-0000-00001A420000}"/>
    <cellStyle name="Input 18 29" xfId="10458" xr:uid="{00000000-0005-0000-0000-00001B420000}"/>
    <cellStyle name="Input 18 29 2" xfId="10459" xr:uid="{00000000-0005-0000-0000-00001C420000}"/>
    <cellStyle name="Input 18 3" xfId="10460" xr:uid="{00000000-0005-0000-0000-00001D420000}"/>
    <cellStyle name="Input 18 3 2" xfId="10461" xr:uid="{00000000-0005-0000-0000-00001E420000}"/>
    <cellStyle name="Input 18 30" xfId="10462" xr:uid="{00000000-0005-0000-0000-00001F420000}"/>
    <cellStyle name="Input 18 30 2" xfId="10463" xr:uid="{00000000-0005-0000-0000-000020420000}"/>
    <cellStyle name="Input 18 31" xfId="10464" xr:uid="{00000000-0005-0000-0000-000021420000}"/>
    <cellStyle name="Input 18 31 2" xfId="10465" xr:uid="{00000000-0005-0000-0000-000022420000}"/>
    <cellStyle name="Input 18 32" xfId="10466" xr:uid="{00000000-0005-0000-0000-000023420000}"/>
    <cellStyle name="Input 18 32 2" xfId="10467" xr:uid="{00000000-0005-0000-0000-000024420000}"/>
    <cellStyle name="Input 18 33" xfId="10468" xr:uid="{00000000-0005-0000-0000-000025420000}"/>
    <cellStyle name="Input 18 33 2" xfId="10469" xr:uid="{00000000-0005-0000-0000-000026420000}"/>
    <cellStyle name="Input 18 34" xfId="10470" xr:uid="{00000000-0005-0000-0000-000027420000}"/>
    <cellStyle name="Input 18 34 2" xfId="10471" xr:uid="{00000000-0005-0000-0000-000028420000}"/>
    <cellStyle name="Input 18 35" xfId="10472" xr:uid="{00000000-0005-0000-0000-000029420000}"/>
    <cellStyle name="Input 18 35 2" xfId="10473" xr:uid="{00000000-0005-0000-0000-00002A420000}"/>
    <cellStyle name="Input 18 36" xfId="10474" xr:uid="{00000000-0005-0000-0000-00002B420000}"/>
    <cellStyle name="Input 18 36 2" xfId="10475" xr:uid="{00000000-0005-0000-0000-00002C420000}"/>
    <cellStyle name="Input 18 37" xfId="10476" xr:uid="{00000000-0005-0000-0000-00002D420000}"/>
    <cellStyle name="Input 18 37 2" xfId="10477" xr:uid="{00000000-0005-0000-0000-00002E420000}"/>
    <cellStyle name="Input 18 38" xfId="10478" xr:uid="{00000000-0005-0000-0000-00002F420000}"/>
    <cellStyle name="Input 18 38 2" xfId="10479" xr:uid="{00000000-0005-0000-0000-000030420000}"/>
    <cellStyle name="Input 18 39" xfId="10480" xr:uid="{00000000-0005-0000-0000-000031420000}"/>
    <cellStyle name="Input 18 39 2" xfId="10481" xr:uid="{00000000-0005-0000-0000-000032420000}"/>
    <cellStyle name="Input 18 4" xfId="10482" xr:uid="{00000000-0005-0000-0000-000033420000}"/>
    <cellStyle name="Input 18 4 2" xfId="10483" xr:uid="{00000000-0005-0000-0000-000034420000}"/>
    <cellStyle name="Input 18 40" xfId="10484" xr:uid="{00000000-0005-0000-0000-000035420000}"/>
    <cellStyle name="Input 18 40 2" xfId="10485" xr:uid="{00000000-0005-0000-0000-000036420000}"/>
    <cellStyle name="Input 18 41" xfId="10486" xr:uid="{00000000-0005-0000-0000-000037420000}"/>
    <cellStyle name="Input 18 41 2" xfId="10487" xr:uid="{00000000-0005-0000-0000-000038420000}"/>
    <cellStyle name="Input 18 42" xfId="10488" xr:uid="{00000000-0005-0000-0000-000039420000}"/>
    <cellStyle name="Input 18 42 2" xfId="10489" xr:uid="{00000000-0005-0000-0000-00003A420000}"/>
    <cellStyle name="Input 18 43" xfId="10490" xr:uid="{00000000-0005-0000-0000-00003B420000}"/>
    <cellStyle name="Input 18 43 2" xfId="10491" xr:uid="{00000000-0005-0000-0000-00003C420000}"/>
    <cellStyle name="Input 18 44" xfId="10492" xr:uid="{00000000-0005-0000-0000-00003D420000}"/>
    <cellStyle name="Input 18 44 2" xfId="10493" xr:uid="{00000000-0005-0000-0000-00003E420000}"/>
    <cellStyle name="Input 18 45" xfId="10494" xr:uid="{00000000-0005-0000-0000-00003F420000}"/>
    <cellStyle name="Input 18 45 2" xfId="10495" xr:uid="{00000000-0005-0000-0000-000040420000}"/>
    <cellStyle name="Input 18 46" xfId="10496" xr:uid="{00000000-0005-0000-0000-000041420000}"/>
    <cellStyle name="Input 18 46 2" xfId="10497" xr:uid="{00000000-0005-0000-0000-000042420000}"/>
    <cellStyle name="Input 18 47" xfId="10498" xr:uid="{00000000-0005-0000-0000-000043420000}"/>
    <cellStyle name="Input 18 47 2" xfId="10499" xr:uid="{00000000-0005-0000-0000-000044420000}"/>
    <cellStyle name="Input 18 48" xfId="10500" xr:uid="{00000000-0005-0000-0000-000045420000}"/>
    <cellStyle name="Input 18 48 2" xfId="10501" xr:uid="{00000000-0005-0000-0000-000046420000}"/>
    <cellStyle name="Input 18 49" xfId="10502" xr:uid="{00000000-0005-0000-0000-000047420000}"/>
    <cellStyle name="Input 18 49 2" xfId="10503" xr:uid="{00000000-0005-0000-0000-000048420000}"/>
    <cellStyle name="Input 18 5" xfId="10504" xr:uid="{00000000-0005-0000-0000-000049420000}"/>
    <cellStyle name="Input 18 5 2" xfId="10505" xr:uid="{00000000-0005-0000-0000-00004A420000}"/>
    <cellStyle name="Input 18 50" xfId="10506" xr:uid="{00000000-0005-0000-0000-00004B420000}"/>
    <cellStyle name="Input 18 50 2" xfId="10507" xr:uid="{00000000-0005-0000-0000-00004C420000}"/>
    <cellStyle name="Input 18 51" xfId="10508" xr:uid="{00000000-0005-0000-0000-00004D420000}"/>
    <cellStyle name="Input 18 51 2" xfId="10509" xr:uid="{00000000-0005-0000-0000-00004E420000}"/>
    <cellStyle name="Input 18 52" xfId="10510" xr:uid="{00000000-0005-0000-0000-00004F420000}"/>
    <cellStyle name="Input 18 52 2" xfId="10511" xr:uid="{00000000-0005-0000-0000-000050420000}"/>
    <cellStyle name="Input 18 53" xfId="10512" xr:uid="{00000000-0005-0000-0000-000051420000}"/>
    <cellStyle name="Input 18 53 2" xfId="10513" xr:uid="{00000000-0005-0000-0000-000052420000}"/>
    <cellStyle name="Input 18 54" xfId="10514" xr:uid="{00000000-0005-0000-0000-000053420000}"/>
    <cellStyle name="Input 18 54 2" xfId="10515" xr:uid="{00000000-0005-0000-0000-000054420000}"/>
    <cellStyle name="Input 18 55" xfId="10516" xr:uid="{00000000-0005-0000-0000-000055420000}"/>
    <cellStyle name="Input 18 55 2" xfId="10517" xr:uid="{00000000-0005-0000-0000-000056420000}"/>
    <cellStyle name="Input 18 56" xfId="10518" xr:uid="{00000000-0005-0000-0000-000057420000}"/>
    <cellStyle name="Input 18 56 2" xfId="10519" xr:uid="{00000000-0005-0000-0000-000058420000}"/>
    <cellStyle name="Input 18 57" xfId="10520" xr:uid="{00000000-0005-0000-0000-000059420000}"/>
    <cellStyle name="Input 18 57 2" xfId="10521" xr:uid="{00000000-0005-0000-0000-00005A420000}"/>
    <cellStyle name="Input 18 58" xfId="10522" xr:uid="{00000000-0005-0000-0000-00005B420000}"/>
    <cellStyle name="Input 18 58 2" xfId="10523" xr:uid="{00000000-0005-0000-0000-00005C420000}"/>
    <cellStyle name="Input 18 59" xfId="10524" xr:uid="{00000000-0005-0000-0000-00005D420000}"/>
    <cellStyle name="Input 18 59 2" xfId="10525" xr:uid="{00000000-0005-0000-0000-00005E420000}"/>
    <cellStyle name="Input 18 6" xfId="10526" xr:uid="{00000000-0005-0000-0000-00005F420000}"/>
    <cellStyle name="Input 18 6 2" xfId="10527" xr:uid="{00000000-0005-0000-0000-000060420000}"/>
    <cellStyle name="Input 18 60" xfId="10528" xr:uid="{00000000-0005-0000-0000-000061420000}"/>
    <cellStyle name="Input 18 60 2" xfId="10529" xr:uid="{00000000-0005-0000-0000-000062420000}"/>
    <cellStyle name="Input 18 61" xfId="10530" xr:uid="{00000000-0005-0000-0000-000063420000}"/>
    <cellStyle name="Input 18 61 2" xfId="10531" xr:uid="{00000000-0005-0000-0000-000064420000}"/>
    <cellStyle name="Input 18 62" xfId="10532" xr:uid="{00000000-0005-0000-0000-000065420000}"/>
    <cellStyle name="Input 18 62 2" xfId="10533" xr:uid="{00000000-0005-0000-0000-000066420000}"/>
    <cellStyle name="Input 18 63" xfId="10534" xr:uid="{00000000-0005-0000-0000-000067420000}"/>
    <cellStyle name="Input 18 7" xfId="10535" xr:uid="{00000000-0005-0000-0000-000068420000}"/>
    <cellStyle name="Input 18 7 2" xfId="10536" xr:uid="{00000000-0005-0000-0000-000069420000}"/>
    <cellStyle name="Input 18 8" xfId="10537" xr:uid="{00000000-0005-0000-0000-00006A420000}"/>
    <cellStyle name="Input 18 8 2" xfId="10538" xr:uid="{00000000-0005-0000-0000-00006B420000}"/>
    <cellStyle name="Input 18 9" xfId="10539" xr:uid="{00000000-0005-0000-0000-00006C420000}"/>
    <cellStyle name="Input 18 9 2" xfId="10540" xr:uid="{00000000-0005-0000-0000-00006D420000}"/>
    <cellStyle name="Input 19" xfId="10541" xr:uid="{00000000-0005-0000-0000-00006E420000}"/>
    <cellStyle name="Input 19 10" xfId="10542" xr:uid="{00000000-0005-0000-0000-00006F420000}"/>
    <cellStyle name="Input 19 10 2" xfId="10543" xr:uid="{00000000-0005-0000-0000-000070420000}"/>
    <cellStyle name="Input 19 11" xfId="10544" xr:uid="{00000000-0005-0000-0000-000071420000}"/>
    <cellStyle name="Input 19 11 2" xfId="10545" xr:uid="{00000000-0005-0000-0000-000072420000}"/>
    <cellStyle name="Input 19 12" xfId="10546" xr:uid="{00000000-0005-0000-0000-000073420000}"/>
    <cellStyle name="Input 19 12 2" xfId="10547" xr:uid="{00000000-0005-0000-0000-000074420000}"/>
    <cellStyle name="Input 19 13" xfId="10548" xr:uid="{00000000-0005-0000-0000-000075420000}"/>
    <cellStyle name="Input 19 13 2" xfId="10549" xr:uid="{00000000-0005-0000-0000-000076420000}"/>
    <cellStyle name="Input 19 14" xfId="10550" xr:uid="{00000000-0005-0000-0000-000077420000}"/>
    <cellStyle name="Input 19 14 2" xfId="10551" xr:uid="{00000000-0005-0000-0000-000078420000}"/>
    <cellStyle name="Input 19 15" xfId="10552" xr:uid="{00000000-0005-0000-0000-000079420000}"/>
    <cellStyle name="Input 19 15 2" xfId="10553" xr:uid="{00000000-0005-0000-0000-00007A420000}"/>
    <cellStyle name="Input 19 16" xfId="10554" xr:uid="{00000000-0005-0000-0000-00007B420000}"/>
    <cellStyle name="Input 19 16 2" xfId="10555" xr:uid="{00000000-0005-0000-0000-00007C420000}"/>
    <cellStyle name="Input 19 17" xfId="10556" xr:uid="{00000000-0005-0000-0000-00007D420000}"/>
    <cellStyle name="Input 19 17 2" xfId="10557" xr:uid="{00000000-0005-0000-0000-00007E420000}"/>
    <cellStyle name="Input 19 18" xfId="10558" xr:uid="{00000000-0005-0000-0000-00007F420000}"/>
    <cellStyle name="Input 19 18 2" xfId="10559" xr:uid="{00000000-0005-0000-0000-000080420000}"/>
    <cellStyle name="Input 19 19" xfId="10560" xr:uid="{00000000-0005-0000-0000-000081420000}"/>
    <cellStyle name="Input 19 19 2" xfId="10561" xr:uid="{00000000-0005-0000-0000-000082420000}"/>
    <cellStyle name="Input 19 2" xfId="10562" xr:uid="{00000000-0005-0000-0000-000083420000}"/>
    <cellStyle name="Input 19 2 2" xfId="10563" xr:uid="{00000000-0005-0000-0000-000084420000}"/>
    <cellStyle name="Input 19 20" xfId="10564" xr:uid="{00000000-0005-0000-0000-000085420000}"/>
    <cellStyle name="Input 19 20 2" xfId="10565" xr:uid="{00000000-0005-0000-0000-000086420000}"/>
    <cellStyle name="Input 19 21" xfId="10566" xr:uid="{00000000-0005-0000-0000-000087420000}"/>
    <cellStyle name="Input 19 21 2" xfId="10567" xr:uid="{00000000-0005-0000-0000-000088420000}"/>
    <cellStyle name="Input 19 22" xfId="10568" xr:uid="{00000000-0005-0000-0000-000089420000}"/>
    <cellStyle name="Input 19 22 2" xfId="10569" xr:uid="{00000000-0005-0000-0000-00008A420000}"/>
    <cellStyle name="Input 19 23" xfId="10570" xr:uid="{00000000-0005-0000-0000-00008B420000}"/>
    <cellStyle name="Input 19 23 2" xfId="10571" xr:uid="{00000000-0005-0000-0000-00008C420000}"/>
    <cellStyle name="Input 19 24" xfId="10572" xr:uid="{00000000-0005-0000-0000-00008D420000}"/>
    <cellStyle name="Input 19 24 2" xfId="10573" xr:uid="{00000000-0005-0000-0000-00008E420000}"/>
    <cellStyle name="Input 19 25" xfId="10574" xr:uid="{00000000-0005-0000-0000-00008F420000}"/>
    <cellStyle name="Input 19 25 2" xfId="10575" xr:uid="{00000000-0005-0000-0000-000090420000}"/>
    <cellStyle name="Input 19 26" xfId="10576" xr:uid="{00000000-0005-0000-0000-000091420000}"/>
    <cellStyle name="Input 19 26 2" xfId="10577" xr:uid="{00000000-0005-0000-0000-000092420000}"/>
    <cellStyle name="Input 19 27" xfId="10578" xr:uid="{00000000-0005-0000-0000-000093420000}"/>
    <cellStyle name="Input 19 27 2" xfId="10579" xr:uid="{00000000-0005-0000-0000-000094420000}"/>
    <cellStyle name="Input 19 28" xfId="10580" xr:uid="{00000000-0005-0000-0000-000095420000}"/>
    <cellStyle name="Input 19 28 2" xfId="10581" xr:uid="{00000000-0005-0000-0000-000096420000}"/>
    <cellStyle name="Input 19 29" xfId="10582" xr:uid="{00000000-0005-0000-0000-000097420000}"/>
    <cellStyle name="Input 19 29 2" xfId="10583" xr:uid="{00000000-0005-0000-0000-000098420000}"/>
    <cellStyle name="Input 19 3" xfId="10584" xr:uid="{00000000-0005-0000-0000-000099420000}"/>
    <cellStyle name="Input 19 3 2" xfId="10585" xr:uid="{00000000-0005-0000-0000-00009A420000}"/>
    <cellStyle name="Input 19 30" xfId="10586" xr:uid="{00000000-0005-0000-0000-00009B420000}"/>
    <cellStyle name="Input 19 30 2" xfId="10587" xr:uid="{00000000-0005-0000-0000-00009C420000}"/>
    <cellStyle name="Input 19 31" xfId="10588" xr:uid="{00000000-0005-0000-0000-00009D420000}"/>
    <cellStyle name="Input 19 31 2" xfId="10589" xr:uid="{00000000-0005-0000-0000-00009E420000}"/>
    <cellStyle name="Input 19 32" xfId="10590" xr:uid="{00000000-0005-0000-0000-00009F420000}"/>
    <cellStyle name="Input 19 32 2" xfId="10591" xr:uid="{00000000-0005-0000-0000-0000A0420000}"/>
    <cellStyle name="Input 19 33" xfId="10592" xr:uid="{00000000-0005-0000-0000-0000A1420000}"/>
    <cellStyle name="Input 19 33 2" xfId="10593" xr:uid="{00000000-0005-0000-0000-0000A2420000}"/>
    <cellStyle name="Input 19 34" xfId="10594" xr:uid="{00000000-0005-0000-0000-0000A3420000}"/>
    <cellStyle name="Input 19 34 2" xfId="10595" xr:uid="{00000000-0005-0000-0000-0000A4420000}"/>
    <cellStyle name="Input 19 35" xfId="10596" xr:uid="{00000000-0005-0000-0000-0000A5420000}"/>
    <cellStyle name="Input 19 35 2" xfId="10597" xr:uid="{00000000-0005-0000-0000-0000A6420000}"/>
    <cellStyle name="Input 19 36" xfId="10598" xr:uid="{00000000-0005-0000-0000-0000A7420000}"/>
    <cellStyle name="Input 19 36 2" xfId="10599" xr:uid="{00000000-0005-0000-0000-0000A8420000}"/>
    <cellStyle name="Input 19 37" xfId="10600" xr:uid="{00000000-0005-0000-0000-0000A9420000}"/>
    <cellStyle name="Input 19 37 2" xfId="10601" xr:uid="{00000000-0005-0000-0000-0000AA420000}"/>
    <cellStyle name="Input 19 38" xfId="10602" xr:uid="{00000000-0005-0000-0000-0000AB420000}"/>
    <cellStyle name="Input 19 38 2" xfId="10603" xr:uid="{00000000-0005-0000-0000-0000AC420000}"/>
    <cellStyle name="Input 19 39" xfId="10604" xr:uid="{00000000-0005-0000-0000-0000AD420000}"/>
    <cellStyle name="Input 19 39 2" xfId="10605" xr:uid="{00000000-0005-0000-0000-0000AE420000}"/>
    <cellStyle name="Input 19 4" xfId="10606" xr:uid="{00000000-0005-0000-0000-0000AF420000}"/>
    <cellStyle name="Input 19 4 2" xfId="10607" xr:uid="{00000000-0005-0000-0000-0000B0420000}"/>
    <cellStyle name="Input 19 40" xfId="10608" xr:uid="{00000000-0005-0000-0000-0000B1420000}"/>
    <cellStyle name="Input 19 40 2" xfId="10609" xr:uid="{00000000-0005-0000-0000-0000B2420000}"/>
    <cellStyle name="Input 19 41" xfId="10610" xr:uid="{00000000-0005-0000-0000-0000B3420000}"/>
    <cellStyle name="Input 19 41 2" xfId="10611" xr:uid="{00000000-0005-0000-0000-0000B4420000}"/>
    <cellStyle name="Input 19 42" xfId="10612" xr:uid="{00000000-0005-0000-0000-0000B5420000}"/>
    <cellStyle name="Input 19 42 2" xfId="10613" xr:uid="{00000000-0005-0000-0000-0000B6420000}"/>
    <cellStyle name="Input 19 43" xfId="10614" xr:uid="{00000000-0005-0000-0000-0000B7420000}"/>
    <cellStyle name="Input 19 43 2" xfId="10615" xr:uid="{00000000-0005-0000-0000-0000B8420000}"/>
    <cellStyle name="Input 19 44" xfId="10616" xr:uid="{00000000-0005-0000-0000-0000B9420000}"/>
    <cellStyle name="Input 19 44 2" xfId="10617" xr:uid="{00000000-0005-0000-0000-0000BA420000}"/>
    <cellStyle name="Input 19 45" xfId="10618" xr:uid="{00000000-0005-0000-0000-0000BB420000}"/>
    <cellStyle name="Input 19 45 2" xfId="10619" xr:uid="{00000000-0005-0000-0000-0000BC420000}"/>
    <cellStyle name="Input 19 46" xfId="10620" xr:uid="{00000000-0005-0000-0000-0000BD420000}"/>
    <cellStyle name="Input 19 46 2" xfId="10621" xr:uid="{00000000-0005-0000-0000-0000BE420000}"/>
    <cellStyle name="Input 19 47" xfId="10622" xr:uid="{00000000-0005-0000-0000-0000BF420000}"/>
    <cellStyle name="Input 19 47 2" xfId="10623" xr:uid="{00000000-0005-0000-0000-0000C0420000}"/>
    <cellStyle name="Input 19 48" xfId="10624" xr:uid="{00000000-0005-0000-0000-0000C1420000}"/>
    <cellStyle name="Input 19 48 2" xfId="10625" xr:uid="{00000000-0005-0000-0000-0000C2420000}"/>
    <cellStyle name="Input 19 49" xfId="10626" xr:uid="{00000000-0005-0000-0000-0000C3420000}"/>
    <cellStyle name="Input 19 49 2" xfId="10627" xr:uid="{00000000-0005-0000-0000-0000C4420000}"/>
    <cellStyle name="Input 19 5" xfId="10628" xr:uid="{00000000-0005-0000-0000-0000C5420000}"/>
    <cellStyle name="Input 19 5 2" xfId="10629" xr:uid="{00000000-0005-0000-0000-0000C6420000}"/>
    <cellStyle name="Input 19 50" xfId="10630" xr:uid="{00000000-0005-0000-0000-0000C7420000}"/>
    <cellStyle name="Input 19 50 2" xfId="10631" xr:uid="{00000000-0005-0000-0000-0000C8420000}"/>
    <cellStyle name="Input 19 51" xfId="10632" xr:uid="{00000000-0005-0000-0000-0000C9420000}"/>
    <cellStyle name="Input 19 51 2" xfId="10633" xr:uid="{00000000-0005-0000-0000-0000CA420000}"/>
    <cellStyle name="Input 19 52" xfId="10634" xr:uid="{00000000-0005-0000-0000-0000CB420000}"/>
    <cellStyle name="Input 19 52 2" xfId="10635" xr:uid="{00000000-0005-0000-0000-0000CC420000}"/>
    <cellStyle name="Input 19 53" xfId="10636" xr:uid="{00000000-0005-0000-0000-0000CD420000}"/>
    <cellStyle name="Input 19 53 2" xfId="10637" xr:uid="{00000000-0005-0000-0000-0000CE420000}"/>
    <cellStyle name="Input 19 54" xfId="10638" xr:uid="{00000000-0005-0000-0000-0000CF420000}"/>
    <cellStyle name="Input 19 54 2" xfId="10639" xr:uid="{00000000-0005-0000-0000-0000D0420000}"/>
    <cellStyle name="Input 19 55" xfId="10640" xr:uid="{00000000-0005-0000-0000-0000D1420000}"/>
    <cellStyle name="Input 19 55 2" xfId="10641" xr:uid="{00000000-0005-0000-0000-0000D2420000}"/>
    <cellStyle name="Input 19 56" xfId="10642" xr:uid="{00000000-0005-0000-0000-0000D3420000}"/>
    <cellStyle name="Input 19 56 2" xfId="10643" xr:uid="{00000000-0005-0000-0000-0000D4420000}"/>
    <cellStyle name="Input 19 57" xfId="10644" xr:uid="{00000000-0005-0000-0000-0000D5420000}"/>
    <cellStyle name="Input 19 57 2" xfId="10645" xr:uid="{00000000-0005-0000-0000-0000D6420000}"/>
    <cellStyle name="Input 19 58" xfId="10646" xr:uid="{00000000-0005-0000-0000-0000D7420000}"/>
    <cellStyle name="Input 19 58 2" xfId="10647" xr:uid="{00000000-0005-0000-0000-0000D8420000}"/>
    <cellStyle name="Input 19 59" xfId="10648" xr:uid="{00000000-0005-0000-0000-0000D9420000}"/>
    <cellStyle name="Input 19 59 2" xfId="10649" xr:uid="{00000000-0005-0000-0000-0000DA420000}"/>
    <cellStyle name="Input 19 6" xfId="10650" xr:uid="{00000000-0005-0000-0000-0000DB420000}"/>
    <cellStyle name="Input 19 6 2" xfId="10651" xr:uid="{00000000-0005-0000-0000-0000DC420000}"/>
    <cellStyle name="Input 19 60" xfId="10652" xr:uid="{00000000-0005-0000-0000-0000DD420000}"/>
    <cellStyle name="Input 19 60 2" xfId="10653" xr:uid="{00000000-0005-0000-0000-0000DE420000}"/>
    <cellStyle name="Input 19 61" xfId="10654" xr:uid="{00000000-0005-0000-0000-0000DF420000}"/>
    <cellStyle name="Input 19 61 2" xfId="10655" xr:uid="{00000000-0005-0000-0000-0000E0420000}"/>
    <cellStyle name="Input 19 62" xfId="10656" xr:uid="{00000000-0005-0000-0000-0000E1420000}"/>
    <cellStyle name="Input 19 62 2" xfId="10657" xr:uid="{00000000-0005-0000-0000-0000E2420000}"/>
    <cellStyle name="Input 19 63" xfId="10658" xr:uid="{00000000-0005-0000-0000-0000E3420000}"/>
    <cellStyle name="Input 19 7" xfId="10659" xr:uid="{00000000-0005-0000-0000-0000E4420000}"/>
    <cellStyle name="Input 19 7 2" xfId="10660" xr:uid="{00000000-0005-0000-0000-0000E5420000}"/>
    <cellStyle name="Input 19 8" xfId="10661" xr:uid="{00000000-0005-0000-0000-0000E6420000}"/>
    <cellStyle name="Input 19 8 2" xfId="10662" xr:uid="{00000000-0005-0000-0000-0000E7420000}"/>
    <cellStyle name="Input 19 9" xfId="10663" xr:uid="{00000000-0005-0000-0000-0000E8420000}"/>
    <cellStyle name="Input 19 9 2" xfId="10664" xr:uid="{00000000-0005-0000-0000-0000E9420000}"/>
    <cellStyle name="Input 2" xfId="304" xr:uid="{00000000-0005-0000-0000-0000EA420000}"/>
    <cellStyle name="Input 2 10" xfId="10665" xr:uid="{00000000-0005-0000-0000-0000EB420000}"/>
    <cellStyle name="Input 2 10 2" xfId="10666" xr:uid="{00000000-0005-0000-0000-0000EC420000}"/>
    <cellStyle name="Input 2 11" xfId="10667" xr:uid="{00000000-0005-0000-0000-0000ED420000}"/>
    <cellStyle name="Input 2 11 2" xfId="10668" xr:uid="{00000000-0005-0000-0000-0000EE420000}"/>
    <cellStyle name="Input 2 12" xfId="10669" xr:uid="{00000000-0005-0000-0000-0000EF420000}"/>
    <cellStyle name="Input 2 12 2" xfId="10670" xr:uid="{00000000-0005-0000-0000-0000F0420000}"/>
    <cellStyle name="Input 2 13" xfId="10671" xr:uid="{00000000-0005-0000-0000-0000F1420000}"/>
    <cellStyle name="Input 2 13 2" xfId="10672" xr:uid="{00000000-0005-0000-0000-0000F2420000}"/>
    <cellStyle name="Input 2 14" xfId="10673" xr:uid="{00000000-0005-0000-0000-0000F3420000}"/>
    <cellStyle name="Input 2 14 2" xfId="10674" xr:uid="{00000000-0005-0000-0000-0000F4420000}"/>
    <cellStyle name="Input 2 15" xfId="10675" xr:uid="{00000000-0005-0000-0000-0000F5420000}"/>
    <cellStyle name="Input 2 15 2" xfId="10676" xr:uid="{00000000-0005-0000-0000-0000F6420000}"/>
    <cellStyle name="Input 2 16" xfId="10677" xr:uid="{00000000-0005-0000-0000-0000F7420000}"/>
    <cellStyle name="Input 2 16 2" xfId="10678" xr:uid="{00000000-0005-0000-0000-0000F8420000}"/>
    <cellStyle name="Input 2 17" xfId="10679" xr:uid="{00000000-0005-0000-0000-0000F9420000}"/>
    <cellStyle name="Input 2 17 2" xfId="10680" xr:uid="{00000000-0005-0000-0000-0000FA420000}"/>
    <cellStyle name="Input 2 18" xfId="10681" xr:uid="{00000000-0005-0000-0000-0000FB420000}"/>
    <cellStyle name="Input 2 18 2" xfId="10682" xr:uid="{00000000-0005-0000-0000-0000FC420000}"/>
    <cellStyle name="Input 2 19" xfId="10683" xr:uid="{00000000-0005-0000-0000-0000FD420000}"/>
    <cellStyle name="Input 2 19 2" xfId="10684" xr:uid="{00000000-0005-0000-0000-0000FE420000}"/>
    <cellStyle name="Input 2 2" xfId="10685" xr:uid="{00000000-0005-0000-0000-0000FF420000}"/>
    <cellStyle name="Input 2 2 2" xfId="10686" xr:uid="{00000000-0005-0000-0000-000000430000}"/>
    <cellStyle name="Input 2 20" xfId="10687" xr:uid="{00000000-0005-0000-0000-000001430000}"/>
    <cellStyle name="Input 2 20 2" xfId="10688" xr:uid="{00000000-0005-0000-0000-000002430000}"/>
    <cellStyle name="Input 2 21" xfId="10689" xr:uid="{00000000-0005-0000-0000-000003430000}"/>
    <cellStyle name="Input 2 21 2" xfId="10690" xr:uid="{00000000-0005-0000-0000-000004430000}"/>
    <cellStyle name="Input 2 22" xfId="10691" xr:uid="{00000000-0005-0000-0000-000005430000}"/>
    <cellStyle name="Input 2 22 2" xfId="10692" xr:uid="{00000000-0005-0000-0000-000006430000}"/>
    <cellStyle name="Input 2 23" xfId="10693" xr:uid="{00000000-0005-0000-0000-000007430000}"/>
    <cellStyle name="Input 2 23 2" xfId="10694" xr:uid="{00000000-0005-0000-0000-000008430000}"/>
    <cellStyle name="Input 2 24" xfId="10695" xr:uid="{00000000-0005-0000-0000-000009430000}"/>
    <cellStyle name="Input 2 24 2" xfId="10696" xr:uid="{00000000-0005-0000-0000-00000A430000}"/>
    <cellStyle name="Input 2 25" xfId="10697" xr:uid="{00000000-0005-0000-0000-00000B430000}"/>
    <cellStyle name="Input 2 25 2" xfId="10698" xr:uid="{00000000-0005-0000-0000-00000C430000}"/>
    <cellStyle name="Input 2 26" xfId="10699" xr:uid="{00000000-0005-0000-0000-00000D430000}"/>
    <cellStyle name="Input 2 26 2" xfId="10700" xr:uid="{00000000-0005-0000-0000-00000E430000}"/>
    <cellStyle name="Input 2 27" xfId="10701" xr:uid="{00000000-0005-0000-0000-00000F430000}"/>
    <cellStyle name="Input 2 27 2" xfId="10702" xr:uid="{00000000-0005-0000-0000-000010430000}"/>
    <cellStyle name="Input 2 28" xfId="10703" xr:uid="{00000000-0005-0000-0000-000011430000}"/>
    <cellStyle name="Input 2 28 2" xfId="10704" xr:uid="{00000000-0005-0000-0000-000012430000}"/>
    <cellStyle name="Input 2 29" xfId="10705" xr:uid="{00000000-0005-0000-0000-000013430000}"/>
    <cellStyle name="Input 2 29 2" xfId="10706" xr:uid="{00000000-0005-0000-0000-000014430000}"/>
    <cellStyle name="Input 2 3" xfId="10707" xr:uid="{00000000-0005-0000-0000-000015430000}"/>
    <cellStyle name="Input 2 3 2" xfId="10708" xr:uid="{00000000-0005-0000-0000-000016430000}"/>
    <cellStyle name="Input 2 30" xfId="10709" xr:uid="{00000000-0005-0000-0000-000017430000}"/>
    <cellStyle name="Input 2 30 2" xfId="10710" xr:uid="{00000000-0005-0000-0000-000018430000}"/>
    <cellStyle name="Input 2 31" xfId="10711" xr:uid="{00000000-0005-0000-0000-000019430000}"/>
    <cellStyle name="Input 2 31 2" xfId="10712" xr:uid="{00000000-0005-0000-0000-00001A430000}"/>
    <cellStyle name="Input 2 32" xfId="10713" xr:uid="{00000000-0005-0000-0000-00001B430000}"/>
    <cellStyle name="Input 2 32 2" xfId="10714" xr:uid="{00000000-0005-0000-0000-00001C430000}"/>
    <cellStyle name="Input 2 33" xfId="10715" xr:uid="{00000000-0005-0000-0000-00001D430000}"/>
    <cellStyle name="Input 2 33 2" xfId="10716" xr:uid="{00000000-0005-0000-0000-00001E430000}"/>
    <cellStyle name="Input 2 34" xfId="10717" xr:uid="{00000000-0005-0000-0000-00001F430000}"/>
    <cellStyle name="Input 2 34 2" xfId="10718" xr:uid="{00000000-0005-0000-0000-000020430000}"/>
    <cellStyle name="Input 2 35" xfId="10719" xr:uid="{00000000-0005-0000-0000-000021430000}"/>
    <cellStyle name="Input 2 35 2" xfId="10720" xr:uid="{00000000-0005-0000-0000-000022430000}"/>
    <cellStyle name="Input 2 36" xfId="10721" xr:uid="{00000000-0005-0000-0000-000023430000}"/>
    <cellStyle name="Input 2 36 2" xfId="10722" xr:uid="{00000000-0005-0000-0000-000024430000}"/>
    <cellStyle name="Input 2 37" xfId="10723" xr:uid="{00000000-0005-0000-0000-000025430000}"/>
    <cellStyle name="Input 2 37 2" xfId="10724" xr:uid="{00000000-0005-0000-0000-000026430000}"/>
    <cellStyle name="Input 2 38" xfId="10725" xr:uid="{00000000-0005-0000-0000-000027430000}"/>
    <cellStyle name="Input 2 38 2" xfId="10726" xr:uid="{00000000-0005-0000-0000-000028430000}"/>
    <cellStyle name="Input 2 39" xfId="10727" xr:uid="{00000000-0005-0000-0000-000029430000}"/>
    <cellStyle name="Input 2 39 2" xfId="10728" xr:uid="{00000000-0005-0000-0000-00002A430000}"/>
    <cellStyle name="Input 2 4" xfId="10729" xr:uid="{00000000-0005-0000-0000-00002B430000}"/>
    <cellStyle name="Input 2 4 2" xfId="10730" xr:uid="{00000000-0005-0000-0000-00002C430000}"/>
    <cellStyle name="Input 2 40" xfId="10731" xr:uid="{00000000-0005-0000-0000-00002D430000}"/>
    <cellStyle name="Input 2 40 2" xfId="10732" xr:uid="{00000000-0005-0000-0000-00002E430000}"/>
    <cellStyle name="Input 2 41" xfId="10733" xr:uid="{00000000-0005-0000-0000-00002F430000}"/>
    <cellStyle name="Input 2 41 2" xfId="10734" xr:uid="{00000000-0005-0000-0000-000030430000}"/>
    <cellStyle name="Input 2 42" xfId="10735" xr:uid="{00000000-0005-0000-0000-000031430000}"/>
    <cellStyle name="Input 2 42 2" xfId="10736" xr:uid="{00000000-0005-0000-0000-000032430000}"/>
    <cellStyle name="Input 2 43" xfId="10737" xr:uid="{00000000-0005-0000-0000-000033430000}"/>
    <cellStyle name="Input 2 43 2" xfId="10738" xr:uid="{00000000-0005-0000-0000-000034430000}"/>
    <cellStyle name="Input 2 44" xfId="10739" xr:uid="{00000000-0005-0000-0000-000035430000}"/>
    <cellStyle name="Input 2 44 2" xfId="10740" xr:uid="{00000000-0005-0000-0000-000036430000}"/>
    <cellStyle name="Input 2 45" xfId="10741" xr:uid="{00000000-0005-0000-0000-000037430000}"/>
    <cellStyle name="Input 2 45 2" xfId="10742" xr:uid="{00000000-0005-0000-0000-000038430000}"/>
    <cellStyle name="Input 2 46" xfId="10743" xr:uid="{00000000-0005-0000-0000-000039430000}"/>
    <cellStyle name="Input 2 46 2" xfId="10744" xr:uid="{00000000-0005-0000-0000-00003A430000}"/>
    <cellStyle name="Input 2 47" xfId="10745" xr:uid="{00000000-0005-0000-0000-00003B430000}"/>
    <cellStyle name="Input 2 47 2" xfId="10746" xr:uid="{00000000-0005-0000-0000-00003C430000}"/>
    <cellStyle name="Input 2 48" xfId="10747" xr:uid="{00000000-0005-0000-0000-00003D430000}"/>
    <cellStyle name="Input 2 48 2" xfId="10748" xr:uid="{00000000-0005-0000-0000-00003E430000}"/>
    <cellStyle name="Input 2 49" xfId="10749" xr:uid="{00000000-0005-0000-0000-00003F430000}"/>
    <cellStyle name="Input 2 49 2" xfId="10750" xr:uid="{00000000-0005-0000-0000-000040430000}"/>
    <cellStyle name="Input 2 5" xfId="10751" xr:uid="{00000000-0005-0000-0000-000041430000}"/>
    <cellStyle name="Input 2 5 2" xfId="10752" xr:uid="{00000000-0005-0000-0000-000042430000}"/>
    <cellStyle name="Input 2 50" xfId="10753" xr:uid="{00000000-0005-0000-0000-000043430000}"/>
    <cellStyle name="Input 2 50 2" xfId="10754" xr:uid="{00000000-0005-0000-0000-000044430000}"/>
    <cellStyle name="Input 2 51" xfId="10755" xr:uid="{00000000-0005-0000-0000-000045430000}"/>
    <cellStyle name="Input 2 51 2" xfId="10756" xr:uid="{00000000-0005-0000-0000-000046430000}"/>
    <cellStyle name="Input 2 52" xfId="10757" xr:uid="{00000000-0005-0000-0000-000047430000}"/>
    <cellStyle name="Input 2 52 2" xfId="10758" xr:uid="{00000000-0005-0000-0000-000048430000}"/>
    <cellStyle name="Input 2 53" xfId="10759" xr:uid="{00000000-0005-0000-0000-000049430000}"/>
    <cellStyle name="Input 2 53 2" xfId="10760" xr:uid="{00000000-0005-0000-0000-00004A430000}"/>
    <cellStyle name="Input 2 54" xfId="10761" xr:uid="{00000000-0005-0000-0000-00004B430000}"/>
    <cellStyle name="Input 2 54 2" xfId="10762" xr:uid="{00000000-0005-0000-0000-00004C430000}"/>
    <cellStyle name="Input 2 55" xfId="10763" xr:uid="{00000000-0005-0000-0000-00004D430000}"/>
    <cellStyle name="Input 2 55 2" xfId="10764" xr:uid="{00000000-0005-0000-0000-00004E430000}"/>
    <cellStyle name="Input 2 56" xfId="10765" xr:uid="{00000000-0005-0000-0000-00004F430000}"/>
    <cellStyle name="Input 2 56 2" xfId="10766" xr:uid="{00000000-0005-0000-0000-000050430000}"/>
    <cellStyle name="Input 2 57" xfId="10767" xr:uid="{00000000-0005-0000-0000-000051430000}"/>
    <cellStyle name="Input 2 57 2" xfId="10768" xr:uid="{00000000-0005-0000-0000-000052430000}"/>
    <cellStyle name="Input 2 58" xfId="10769" xr:uid="{00000000-0005-0000-0000-000053430000}"/>
    <cellStyle name="Input 2 58 2" xfId="10770" xr:uid="{00000000-0005-0000-0000-000054430000}"/>
    <cellStyle name="Input 2 59" xfId="10771" xr:uid="{00000000-0005-0000-0000-000055430000}"/>
    <cellStyle name="Input 2 59 2" xfId="10772" xr:uid="{00000000-0005-0000-0000-000056430000}"/>
    <cellStyle name="Input 2 6" xfId="10773" xr:uid="{00000000-0005-0000-0000-000057430000}"/>
    <cellStyle name="Input 2 6 2" xfId="10774" xr:uid="{00000000-0005-0000-0000-000058430000}"/>
    <cellStyle name="Input 2 60" xfId="10775" xr:uid="{00000000-0005-0000-0000-000059430000}"/>
    <cellStyle name="Input 2 60 2" xfId="10776" xr:uid="{00000000-0005-0000-0000-00005A430000}"/>
    <cellStyle name="Input 2 61" xfId="10777" xr:uid="{00000000-0005-0000-0000-00005B430000}"/>
    <cellStyle name="Input 2 61 2" xfId="10778" xr:uid="{00000000-0005-0000-0000-00005C430000}"/>
    <cellStyle name="Input 2 62" xfId="10779" xr:uid="{00000000-0005-0000-0000-00005D430000}"/>
    <cellStyle name="Input 2 62 2" xfId="10780" xr:uid="{00000000-0005-0000-0000-00005E430000}"/>
    <cellStyle name="Input 2 63" xfId="10781" xr:uid="{00000000-0005-0000-0000-00005F430000}"/>
    <cellStyle name="Input 2 7" xfId="10782" xr:uid="{00000000-0005-0000-0000-000060430000}"/>
    <cellStyle name="Input 2 7 2" xfId="10783" xr:uid="{00000000-0005-0000-0000-000061430000}"/>
    <cellStyle name="Input 2 8" xfId="10784" xr:uid="{00000000-0005-0000-0000-000062430000}"/>
    <cellStyle name="Input 2 8 2" xfId="10785" xr:uid="{00000000-0005-0000-0000-000063430000}"/>
    <cellStyle name="Input 2 9" xfId="10786" xr:uid="{00000000-0005-0000-0000-000064430000}"/>
    <cellStyle name="Input 2 9 2" xfId="10787" xr:uid="{00000000-0005-0000-0000-000065430000}"/>
    <cellStyle name="Input 2_DATA Input" xfId="10788" xr:uid="{00000000-0005-0000-0000-000066430000}"/>
    <cellStyle name="Input 20" xfId="10789" xr:uid="{00000000-0005-0000-0000-000067430000}"/>
    <cellStyle name="Input 20 10" xfId="10790" xr:uid="{00000000-0005-0000-0000-000068430000}"/>
    <cellStyle name="Input 20 10 2" xfId="10791" xr:uid="{00000000-0005-0000-0000-000069430000}"/>
    <cellStyle name="Input 20 11" xfId="10792" xr:uid="{00000000-0005-0000-0000-00006A430000}"/>
    <cellStyle name="Input 20 11 2" xfId="10793" xr:uid="{00000000-0005-0000-0000-00006B430000}"/>
    <cellStyle name="Input 20 12" xfId="10794" xr:uid="{00000000-0005-0000-0000-00006C430000}"/>
    <cellStyle name="Input 20 12 2" xfId="10795" xr:uid="{00000000-0005-0000-0000-00006D430000}"/>
    <cellStyle name="Input 20 13" xfId="10796" xr:uid="{00000000-0005-0000-0000-00006E430000}"/>
    <cellStyle name="Input 20 13 2" xfId="10797" xr:uid="{00000000-0005-0000-0000-00006F430000}"/>
    <cellStyle name="Input 20 14" xfId="10798" xr:uid="{00000000-0005-0000-0000-000070430000}"/>
    <cellStyle name="Input 20 14 2" xfId="10799" xr:uid="{00000000-0005-0000-0000-000071430000}"/>
    <cellStyle name="Input 20 15" xfId="10800" xr:uid="{00000000-0005-0000-0000-000072430000}"/>
    <cellStyle name="Input 20 15 2" xfId="10801" xr:uid="{00000000-0005-0000-0000-000073430000}"/>
    <cellStyle name="Input 20 16" xfId="10802" xr:uid="{00000000-0005-0000-0000-000074430000}"/>
    <cellStyle name="Input 20 16 2" xfId="10803" xr:uid="{00000000-0005-0000-0000-000075430000}"/>
    <cellStyle name="Input 20 17" xfId="10804" xr:uid="{00000000-0005-0000-0000-000076430000}"/>
    <cellStyle name="Input 20 17 2" xfId="10805" xr:uid="{00000000-0005-0000-0000-000077430000}"/>
    <cellStyle name="Input 20 18" xfId="10806" xr:uid="{00000000-0005-0000-0000-000078430000}"/>
    <cellStyle name="Input 20 18 2" xfId="10807" xr:uid="{00000000-0005-0000-0000-000079430000}"/>
    <cellStyle name="Input 20 19" xfId="10808" xr:uid="{00000000-0005-0000-0000-00007A430000}"/>
    <cellStyle name="Input 20 19 2" xfId="10809" xr:uid="{00000000-0005-0000-0000-00007B430000}"/>
    <cellStyle name="Input 20 2" xfId="10810" xr:uid="{00000000-0005-0000-0000-00007C430000}"/>
    <cellStyle name="Input 20 2 2" xfId="10811" xr:uid="{00000000-0005-0000-0000-00007D430000}"/>
    <cellStyle name="Input 20 20" xfId="10812" xr:uid="{00000000-0005-0000-0000-00007E430000}"/>
    <cellStyle name="Input 20 20 2" xfId="10813" xr:uid="{00000000-0005-0000-0000-00007F430000}"/>
    <cellStyle name="Input 20 21" xfId="10814" xr:uid="{00000000-0005-0000-0000-000080430000}"/>
    <cellStyle name="Input 20 21 2" xfId="10815" xr:uid="{00000000-0005-0000-0000-000081430000}"/>
    <cellStyle name="Input 20 22" xfId="10816" xr:uid="{00000000-0005-0000-0000-000082430000}"/>
    <cellStyle name="Input 20 22 2" xfId="10817" xr:uid="{00000000-0005-0000-0000-000083430000}"/>
    <cellStyle name="Input 20 23" xfId="10818" xr:uid="{00000000-0005-0000-0000-000084430000}"/>
    <cellStyle name="Input 20 23 2" xfId="10819" xr:uid="{00000000-0005-0000-0000-000085430000}"/>
    <cellStyle name="Input 20 24" xfId="10820" xr:uid="{00000000-0005-0000-0000-000086430000}"/>
    <cellStyle name="Input 20 24 2" xfId="10821" xr:uid="{00000000-0005-0000-0000-000087430000}"/>
    <cellStyle name="Input 20 25" xfId="10822" xr:uid="{00000000-0005-0000-0000-000088430000}"/>
    <cellStyle name="Input 20 25 2" xfId="10823" xr:uid="{00000000-0005-0000-0000-000089430000}"/>
    <cellStyle name="Input 20 26" xfId="10824" xr:uid="{00000000-0005-0000-0000-00008A430000}"/>
    <cellStyle name="Input 20 26 2" xfId="10825" xr:uid="{00000000-0005-0000-0000-00008B430000}"/>
    <cellStyle name="Input 20 27" xfId="10826" xr:uid="{00000000-0005-0000-0000-00008C430000}"/>
    <cellStyle name="Input 20 27 2" xfId="10827" xr:uid="{00000000-0005-0000-0000-00008D430000}"/>
    <cellStyle name="Input 20 28" xfId="10828" xr:uid="{00000000-0005-0000-0000-00008E430000}"/>
    <cellStyle name="Input 20 28 2" xfId="10829" xr:uid="{00000000-0005-0000-0000-00008F430000}"/>
    <cellStyle name="Input 20 29" xfId="10830" xr:uid="{00000000-0005-0000-0000-000090430000}"/>
    <cellStyle name="Input 20 29 2" xfId="10831" xr:uid="{00000000-0005-0000-0000-000091430000}"/>
    <cellStyle name="Input 20 3" xfId="10832" xr:uid="{00000000-0005-0000-0000-000092430000}"/>
    <cellStyle name="Input 20 3 2" xfId="10833" xr:uid="{00000000-0005-0000-0000-000093430000}"/>
    <cellStyle name="Input 20 30" xfId="10834" xr:uid="{00000000-0005-0000-0000-000094430000}"/>
    <cellStyle name="Input 20 30 2" xfId="10835" xr:uid="{00000000-0005-0000-0000-000095430000}"/>
    <cellStyle name="Input 20 31" xfId="10836" xr:uid="{00000000-0005-0000-0000-000096430000}"/>
    <cellStyle name="Input 20 31 2" xfId="10837" xr:uid="{00000000-0005-0000-0000-000097430000}"/>
    <cellStyle name="Input 20 32" xfId="10838" xr:uid="{00000000-0005-0000-0000-000098430000}"/>
    <cellStyle name="Input 20 32 2" xfId="10839" xr:uid="{00000000-0005-0000-0000-000099430000}"/>
    <cellStyle name="Input 20 33" xfId="10840" xr:uid="{00000000-0005-0000-0000-00009A430000}"/>
    <cellStyle name="Input 20 33 2" xfId="10841" xr:uid="{00000000-0005-0000-0000-00009B430000}"/>
    <cellStyle name="Input 20 34" xfId="10842" xr:uid="{00000000-0005-0000-0000-00009C430000}"/>
    <cellStyle name="Input 20 34 2" xfId="10843" xr:uid="{00000000-0005-0000-0000-00009D430000}"/>
    <cellStyle name="Input 20 35" xfId="10844" xr:uid="{00000000-0005-0000-0000-00009E430000}"/>
    <cellStyle name="Input 20 35 2" xfId="10845" xr:uid="{00000000-0005-0000-0000-00009F430000}"/>
    <cellStyle name="Input 20 36" xfId="10846" xr:uid="{00000000-0005-0000-0000-0000A0430000}"/>
    <cellStyle name="Input 20 36 2" xfId="10847" xr:uid="{00000000-0005-0000-0000-0000A1430000}"/>
    <cellStyle name="Input 20 37" xfId="10848" xr:uid="{00000000-0005-0000-0000-0000A2430000}"/>
    <cellStyle name="Input 20 37 2" xfId="10849" xr:uid="{00000000-0005-0000-0000-0000A3430000}"/>
    <cellStyle name="Input 20 38" xfId="10850" xr:uid="{00000000-0005-0000-0000-0000A4430000}"/>
    <cellStyle name="Input 20 38 2" xfId="10851" xr:uid="{00000000-0005-0000-0000-0000A5430000}"/>
    <cellStyle name="Input 20 39" xfId="10852" xr:uid="{00000000-0005-0000-0000-0000A6430000}"/>
    <cellStyle name="Input 20 39 2" xfId="10853" xr:uid="{00000000-0005-0000-0000-0000A7430000}"/>
    <cellStyle name="Input 20 4" xfId="10854" xr:uid="{00000000-0005-0000-0000-0000A8430000}"/>
    <cellStyle name="Input 20 4 2" xfId="10855" xr:uid="{00000000-0005-0000-0000-0000A9430000}"/>
    <cellStyle name="Input 20 40" xfId="10856" xr:uid="{00000000-0005-0000-0000-0000AA430000}"/>
    <cellStyle name="Input 20 40 2" xfId="10857" xr:uid="{00000000-0005-0000-0000-0000AB430000}"/>
    <cellStyle name="Input 20 41" xfId="10858" xr:uid="{00000000-0005-0000-0000-0000AC430000}"/>
    <cellStyle name="Input 20 41 2" xfId="10859" xr:uid="{00000000-0005-0000-0000-0000AD430000}"/>
    <cellStyle name="Input 20 42" xfId="10860" xr:uid="{00000000-0005-0000-0000-0000AE430000}"/>
    <cellStyle name="Input 20 42 2" xfId="10861" xr:uid="{00000000-0005-0000-0000-0000AF430000}"/>
    <cellStyle name="Input 20 43" xfId="10862" xr:uid="{00000000-0005-0000-0000-0000B0430000}"/>
    <cellStyle name="Input 20 43 2" xfId="10863" xr:uid="{00000000-0005-0000-0000-0000B1430000}"/>
    <cellStyle name="Input 20 44" xfId="10864" xr:uid="{00000000-0005-0000-0000-0000B2430000}"/>
    <cellStyle name="Input 20 44 2" xfId="10865" xr:uid="{00000000-0005-0000-0000-0000B3430000}"/>
    <cellStyle name="Input 20 45" xfId="10866" xr:uid="{00000000-0005-0000-0000-0000B4430000}"/>
    <cellStyle name="Input 20 45 2" xfId="10867" xr:uid="{00000000-0005-0000-0000-0000B5430000}"/>
    <cellStyle name="Input 20 46" xfId="10868" xr:uid="{00000000-0005-0000-0000-0000B6430000}"/>
    <cellStyle name="Input 20 46 2" xfId="10869" xr:uid="{00000000-0005-0000-0000-0000B7430000}"/>
    <cellStyle name="Input 20 47" xfId="10870" xr:uid="{00000000-0005-0000-0000-0000B8430000}"/>
    <cellStyle name="Input 20 47 2" xfId="10871" xr:uid="{00000000-0005-0000-0000-0000B9430000}"/>
    <cellStyle name="Input 20 48" xfId="10872" xr:uid="{00000000-0005-0000-0000-0000BA430000}"/>
    <cellStyle name="Input 20 48 2" xfId="10873" xr:uid="{00000000-0005-0000-0000-0000BB430000}"/>
    <cellStyle name="Input 20 49" xfId="10874" xr:uid="{00000000-0005-0000-0000-0000BC430000}"/>
    <cellStyle name="Input 20 49 2" xfId="10875" xr:uid="{00000000-0005-0000-0000-0000BD430000}"/>
    <cellStyle name="Input 20 5" xfId="10876" xr:uid="{00000000-0005-0000-0000-0000BE430000}"/>
    <cellStyle name="Input 20 5 2" xfId="10877" xr:uid="{00000000-0005-0000-0000-0000BF430000}"/>
    <cellStyle name="Input 20 50" xfId="10878" xr:uid="{00000000-0005-0000-0000-0000C0430000}"/>
    <cellStyle name="Input 20 50 2" xfId="10879" xr:uid="{00000000-0005-0000-0000-0000C1430000}"/>
    <cellStyle name="Input 20 51" xfId="10880" xr:uid="{00000000-0005-0000-0000-0000C2430000}"/>
    <cellStyle name="Input 20 51 2" xfId="10881" xr:uid="{00000000-0005-0000-0000-0000C3430000}"/>
    <cellStyle name="Input 20 52" xfId="10882" xr:uid="{00000000-0005-0000-0000-0000C4430000}"/>
    <cellStyle name="Input 20 52 2" xfId="10883" xr:uid="{00000000-0005-0000-0000-0000C5430000}"/>
    <cellStyle name="Input 20 53" xfId="10884" xr:uid="{00000000-0005-0000-0000-0000C6430000}"/>
    <cellStyle name="Input 20 53 2" xfId="10885" xr:uid="{00000000-0005-0000-0000-0000C7430000}"/>
    <cellStyle name="Input 20 54" xfId="10886" xr:uid="{00000000-0005-0000-0000-0000C8430000}"/>
    <cellStyle name="Input 20 54 2" xfId="10887" xr:uid="{00000000-0005-0000-0000-0000C9430000}"/>
    <cellStyle name="Input 20 55" xfId="10888" xr:uid="{00000000-0005-0000-0000-0000CA430000}"/>
    <cellStyle name="Input 20 55 2" xfId="10889" xr:uid="{00000000-0005-0000-0000-0000CB430000}"/>
    <cellStyle name="Input 20 56" xfId="10890" xr:uid="{00000000-0005-0000-0000-0000CC430000}"/>
    <cellStyle name="Input 20 56 2" xfId="10891" xr:uid="{00000000-0005-0000-0000-0000CD430000}"/>
    <cellStyle name="Input 20 57" xfId="10892" xr:uid="{00000000-0005-0000-0000-0000CE430000}"/>
    <cellStyle name="Input 20 57 2" xfId="10893" xr:uid="{00000000-0005-0000-0000-0000CF430000}"/>
    <cellStyle name="Input 20 58" xfId="10894" xr:uid="{00000000-0005-0000-0000-0000D0430000}"/>
    <cellStyle name="Input 20 58 2" xfId="10895" xr:uid="{00000000-0005-0000-0000-0000D1430000}"/>
    <cellStyle name="Input 20 59" xfId="10896" xr:uid="{00000000-0005-0000-0000-0000D2430000}"/>
    <cellStyle name="Input 20 59 2" xfId="10897" xr:uid="{00000000-0005-0000-0000-0000D3430000}"/>
    <cellStyle name="Input 20 6" xfId="10898" xr:uid="{00000000-0005-0000-0000-0000D4430000}"/>
    <cellStyle name="Input 20 6 2" xfId="10899" xr:uid="{00000000-0005-0000-0000-0000D5430000}"/>
    <cellStyle name="Input 20 60" xfId="10900" xr:uid="{00000000-0005-0000-0000-0000D6430000}"/>
    <cellStyle name="Input 20 60 2" xfId="10901" xr:uid="{00000000-0005-0000-0000-0000D7430000}"/>
    <cellStyle name="Input 20 61" xfId="10902" xr:uid="{00000000-0005-0000-0000-0000D8430000}"/>
    <cellStyle name="Input 20 61 2" xfId="10903" xr:uid="{00000000-0005-0000-0000-0000D9430000}"/>
    <cellStyle name="Input 20 62" xfId="10904" xr:uid="{00000000-0005-0000-0000-0000DA430000}"/>
    <cellStyle name="Input 20 62 2" xfId="10905" xr:uid="{00000000-0005-0000-0000-0000DB430000}"/>
    <cellStyle name="Input 20 63" xfId="10906" xr:uid="{00000000-0005-0000-0000-0000DC430000}"/>
    <cellStyle name="Input 20 7" xfId="10907" xr:uid="{00000000-0005-0000-0000-0000DD430000}"/>
    <cellStyle name="Input 20 7 2" xfId="10908" xr:uid="{00000000-0005-0000-0000-0000DE430000}"/>
    <cellStyle name="Input 20 8" xfId="10909" xr:uid="{00000000-0005-0000-0000-0000DF430000}"/>
    <cellStyle name="Input 20 8 2" xfId="10910" xr:uid="{00000000-0005-0000-0000-0000E0430000}"/>
    <cellStyle name="Input 20 9" xfId="10911" xr:uid="{00000000-0005-0000-0000-0000E1430000}"/>
    <cellStyle name="Input 20 9 2" xfId="10912" xr:uid="{00000000-0005-0000-0000-0000E2430000}"/>
    <cellStyle name="Input 21" xfId="10913" xr:uid="{00000000-0005-0000-0000-0000E3430000}"/>
    <cellStyle name="Input 21 10" xfId="10914" xr:uid="{00000000-0005-0000-0000-0000E4430000}"/>
    <cellStyle name="Input 21 10 2" xfId="10915" xr:uid="{00000000-0005-0000-0000-0000E5430000}"/>
    <cellStyle name="Input 21 11" xfId="10916" xr:uid="{00000000-0005-0000-0000-0000E6430000}"/>
    <cellStyle name="Input 21 11 2" xfId="10917" xr:uid="{00000000-0005-0000-0000-0000E7430000}"/>
    <cellStyle name="Input 21 12" xfId="10918" xr:uid="{00000000-0005-0000-0000-0000E8430000}"/>
    <cellStyle name="Input 21 12 2" xfId="10919" xr:uid="{00000000-0005-0000-0000-0000E9430000}"/>
    <cellStyle name="Input 21 13" xfId="10920" xr:uid="{00000000-0005-0000-0000-0000EA430000}"/>
    <cellStyle name="Input 21 13 2" xfId="10921" xr:uid="{00000000-0005-0000-0000-0000EB430000}"/>
    <cellStyle name="Input 21 14" xfId="10922" xr:uid="{00000000-0005-0000-0000-0000EC430000}"/>
    <cellStyle name="Input 21 14 2" xfId="10923" xr:uid="{00000000-0005-0000-0000-0000ED430000}"/>
    <cellStyle name="Input 21 15" xfId="10924" xr:uid="{00000000-0005-0000-0000-0000EE430000}"/>
    <cellStyle name="Input 21 15 2" xfId="10925" xr:uid="{00000000-0005-0000-0000-0000EF430000}"/>
    <cellStyle name="Input 21 16" xfId="10926" xr:uid="{00000000-0005-0000-0000-0000F0430000}"/>
    <cellStyle name="Input 21 16 2" xfId="10927" xr:uid="{00000000-0005-0000-0000-0000F1430000}"/>
    <cellStyle name="Input 21 17" xfId="10928" xr:uid="{00000000-0005-0000-0000-0000F2430000}"/>
    <cellStyle name="Input 21 17 2" xfId="10929" xr:uid="{00000000-0005-0000-0000-0000F3430000}"/>
    <cellStyle name="Input 21 18" xfId="10930" xr:uid="{00000000-0005-0000-0000-0000F4430000}"/>
    <cellStyle name="Input 21 18 2" xfId="10931" xr:uid="{00000000-0005-0000-0000-0000F5430000}"/>
    <cellStyle name="Input 21 19" xfId="10932" xr:uid="{00000000-0005-0000-0000-0000F6430000}"/>
    <cellStyle name="Input 21 19 2" xfId="10933" xr:uid="{00000000-0005-0000-0000-0000F7430000}"/>
    <cellStyle name="Input 21 2" xfId="10934" xr:uid="{00000000-0005-0000-0000-0000F8430000}"/>
    <cellStyle name="Input 21 2 2" xfId="10935" xr:uid="{00000000-0005-0000-0000-0000F9430000}"/>
    <cellStyle name="Input 21 20" xfId="10936" xr:uid="{00000000-0005-0000-0000-0000FA430000}"/>
    <cellStyle name="Input 21 20 2" xfId="10937" xr:uid="{00000000-0005-0000-0000-0000FB430000}"/>
    <cellStyle name="Input 21 21" xfId="10938" xr:uid="{00000000-0005-0000-0000-0000FC430000}"/>
    <cellStyle name="Input 21 21 2" xfId="10939" xr:uid="{00000000-0005-0000-0000-0000FD430000}"/>
    <cellStyle name="Input 21 22" xfId="10940" xr:uid="{00000000-0005-0000-0000-0000FE430000}"/>
    <cellStyle name="Input 21 22 2" xfId="10941" xr:uid="{00000000-0005-0000-0000-0000FF430000}"/>
    <cellStyle name="Input 21 23" xfId="10942" xr:uid="{00000000-0005-0000-0000-000000440000}"/>
    <cellStyle name="Input 21 23 2" xfId="10943" xr:uid="{00000000-0005-0000-0000-000001440000}"/>
    <cellStyle name="Input 21 24" xfId="10944" xr:uid="{00000000-0005-0000-0000-000002440000}"/>
    <cellStyle name="Input 21 24 2" xfId="10945" xr:uid="{00000000-0005-0000-0000-000003440000}"/>
    <cellStyle name="Input 21 25" xfId="10946" xr:uid="{00000000-0005-0000-0000-000004440000}"/>
    <cellStyle name="Input 21 25 2" xfId="10947" xr:uid="{00000000-0005-0000-0000-000005440000}"/>
    <cellStyle name="Input 21 26" xfId="10948" xr:uid="{00000000-0005-0000-0000-000006440000}"/>
    <cellStyle name="Input 21 26 2" xfId="10949" xr:uid="{00000000-0005-0000-0000-000007440000}"/>
    <cellStyle name="Input 21 27" xfId="10950" xr:uid="{00000000-0005-0000-0000-000008440000}"/>
    <cellStyle name="Input 21 27 2" xfId="10951" xr:uid="{00000000-0005-0000-0000-000009440000}"/>
    <cellStyle name="Input 21 28" xfId="10952" xr:uid="{00000000-0005-0000-0000-00000A440000}"/>
    <cellStyle name="Input 21 28 2" xfId="10953" xr:uid="{00000000-0005-0000-0000-00000B440000}"/>
    <cellStyle name="Input 21 29" xfId="10954" xr:uid="{00000000-0005-0000-0000-00000C440000}"/>
    <cellStyle name="Input 21 29 2" xfId="10955" xr:uid="{00000000-0005-0000-0000-00000D440000}"/>
    <cellStyle name="Input 21 3" xfId="10956" xr:uid="{00000000-0005-0000-0000-00000E440000}"/>
    <cellStyle name="Input 21 3 2" xfId="10957" xr:uid="{00000000-0005-0000-0000-00000F440000}"/>
    <cellStyle name="Input 21 30" xfId="10958" xr:uid="{00000000-0005-0000-0000-000010440000}"/>
    <cellStyle name="Input 21 30 2" xfId="10959" xr:uid="{00000000-0005-0000-0000-000011440000}"/>
    <cellStyle name="Input 21 31" xfId="10960" xr:uid="{00000000-0005-0000-0000-000012440000}"/>
    <cellStyle name="Input 21 31 2" xfId="10961" xr:uid="{00000000-0005-0000-0000-000013440000}"/>
    <cellStyle name="Input 21 32" xfId="10962" xr:uid="{00000000-0005-0000-0000-000014440000}"/>
    <cellStyle name="Input 21 32 2" xfId="10963" xr:uid="{00000000-0005-0000-0000-000015440000}"/>
    <cellStyle name="Input 21 33" xfId="10964" xr:uid="{00000000-0005-0000-0000-000016440000}"/>
    <cellStyle name="Input 21 33 2" xfId="10965" xr:uid="{00000000-0005-0000-0000-000017440000}"/>
    <cellStyle name="Input 21 34" xfId="10966" xr:uid="{00000000-0005-0000-0000-000018440000}"/>
    <cellStyle name="Input 21 34 2" xfId="10967" xr:uid="{00000000-0005-0000-0000-000019440000}"/>
    <cellStyle name="Input 21 35" xfId="10968" xr:uid="{00000000-0005-0000-0000-00001A440000}"/>
    <cellStyle name="Input 21 35 2" xfId="10969" xr:uid="{00000000-0005-0000-0000-00001B440000}"/>
    <cellStyle name="Input 21 36" xfId="10970" xr:uid="{00000000-0005-0000-0000-00001C440000}"/>
    <cellStyle name="Input 21 36 2" xfId="10971" xr:uid="{00000000-0005-0000-0000-00001D440000}"/>
    <cellStyle name="Input 21 37" xfId="10972" xr:uid="{00000000-0005-0000-0000-00001E440000}"/>
    <cellStyle name="Input 21 37 2" xfId="10973" xr:uid="{00000000-0005-0000-0000-00001F440000}"/>
    <cellStyle name="Input 21 38" xfId="10974" xr:uid="{00000000-0005-0000-0000-000020440000}"/>
    <cellStyle name="Input 21 38 2" xfId="10975" xr:uid="{00000000-0005-0000-0000-000021440000}"/>
    <cellStyle name="Input 21 39" xfId="10976" xr:uid="{00000000-0005-0000-0000-000022440000}"/>
    <cellStyle name="Input 21 39 2" xfId="10977" xr:uid="{00000000-0005-0000-0000-000023440000}"/>
    <cellStyle name="Input 21 4" xfId="10978" xr:uid="{00000000-0005-0000-0000-000024440000}"/>
    <cellStyle name="Input 21 4 2" xfId="10979" xr:uid="{00000000-0005-0000-0000-000025440000}"/>
    <cellStyle name="Input 21 40" xfId="10980" xr:uid="{00000000-0005-0000-0000-000026440000}"/>
    <cellStyle name="Input 21 40 2" xfId="10981" xr:uid="{00000000-0005-0000-0000-000027440000}"/>
    <cellStyle name="Input 21 41" xfId="10982" xr:uid="{00000000-0005-0000-0000-000028440000}"/>
    <cellStyle name="Input 21 41 2" xfId="10983" xr:uid="{00000000-0005-0000-0000-000029440000}"/>
    <cellStyle name="Input 21 42" xfId="10984" xr:uid="{00000000-0005-0000-0000-00002A440000}"/>
    <cellStyle name="Input 21 42 2" xfId="10985" xr:uid="{00000000-0005-0000-0000-00002B440000}"/>
    <cellStyle name="Input 21 43" xfId="10986" xr:uid="{00000000-0005-0000-0000-00002C440000}"/>
    <cellStyle name="Input 21 43 2" xfId="10987" xr:uid="{00000000-0005-0000-0000-00002D440000}"/>
    <cellStyle name="Input 21 44" xfId="10988" xr:uid="{00000000-0005-0000-0000-00002E440000}"/>
    <cellStyle name="Input 21 44 2" xfId="10989" xr:uid="{00000000-0005-0000-0000-00002F440000}"/>
    <cellStyle name="Input 21 45" xfId="10990" xr:uid="{00000000-0005-0000-0000-000030440000}"/>
    <cellStyle name="Input 21 45 2" xfId="10991" xr:uid="{00000000-0005-0000-0000-000031440000}"/>
    <cellStyle name="Input 21 46" xfId="10992" xr:uid="{00000000-0005-0000-0000-000032440000}"/>
    <cellStyle name="Input 21 46 2" xfId="10993" xr:uid="{00000000-0005-0000-0000-000033440000}"/>
    <cellStyle name="Input 21 47" xfId="10994" xr:uid="{00000000-0005-0000-0000-000034440000}"/>
    <cellStyle name="Input 21 47 2" xfId="10995" xr:uid="{00000000-0005-0000-0000-000035440000}"/>
    <cellStyle name="Input 21 48" xfId="10996" xr:uid="{00000000-0005-0000-0000-000036440000}"/>
    <cellStyle name="Input 21 48 2" xfId="10997" xr:uid="{00000000-0005-0000-0000-000037440000}"/>
    <cellStyle name="Input 21 49" xfId="10998" xr:uid="{00000000-0005-0000-0000-000038440000}"/>
    <cellStyle name="Input 21 49 2" xfId="10999" xr:uid="{00000000-0005-0000-0000-000039440000}"/>
    <cellStyle name="Input 21 5" xfId="11000" xr:uid="{00000000-0005-0000-0000-00003A440000}"/>
    <cellStyle name="Input 21 5 2" xfId="11001" xr:uid="{00000000-0005-0000-0000-00003B440000}"/>
    <cellStyle name="Input 21 50" xfId="11002" xr:uid="{00000000-0005-0000-0000-00003C440000}"/>
    <cellStyle name="Input 21 50 2" xfId="11003" xr:uid="{00000000-0005-0000-0000-00003D440000}"/>
    <cellStyle name="Input 21 51" xfId="11004" xr:uid="{00000000-0005-0000-0000-00003E440000}"/>
    <cellStyle name="Input 21 51 2" xfId="11005" xr:uid="{00000000-0005-0000-0000-00003F440000}"/>
    <cellStyle name="Input 21 52" xfId="11006" xr:uid="{00000000-0005-0000-0000-000040440000}"/>
    <cellStyle name="Input 21 52 2" xfId="11007" xr:uid="{00000000-0005-0000-0000-000041440000}"/>
    <cellStyle name="Input 21 53" xfId="11008" xr:uid="{00000000-0005-0000-0000-000042440000}"/>
    <cellStyle name="Input 21 53 2" xfId="11009" xr:uid="{00000000-0005-0000-0000-000043440000}"/>
    <cellStyle name="Input 21 54" xfId="11010" xr:uid="{00000000-0005-0000-0000-000044440000}"/>
    <cellStyle name="Input 21 54 2" xfId="11011" xr:uid="{00000000-0005-0000-0000-000045440000}"/>
    <cellStyle name="Input 21 55" xfId="11012" xr:uid="{00000000-0005-0000-0000-000046440000}"/>
    <cellStyle name="Input 21 55 2" xfId="11013" xr:uid="{00000000-0005-0000-0000-000047440000}"/>
    <cellStyle name="Input 21 56" xfId="11014" xr:uid="{00000000-0005-0000-0000-000048440000}"/>
    <cellStyle name="Input 21 56 2" xfId="11015" xr:uid="{00000000-0005-0000-0000-000049440000}"/>
    <cellStyle name="Input 21 57" xfId="11016" xr:uid="{00000000-0005-0000-0000-00004A440000}"/>
    <cellStyle name="Input 21 57 2" xfId="11017" xr:uid="{00000000-0005-0000-0000-00004B440000}"/>
    <cellStyle name="Input 21 58" xfId="11018" xr:uid="{00000000-0005-0000-0000-00004C440000}"/>
    <cellStyle name="Input 21 58 2" xfId="11019" xr:uid="{00000000-0005-0000-0000-00004D440000}"/>
    <cellStyle name="Input 21 59" xfId="11020" xr:uid="{00000000-0005-0000-0000-00004E440000}"/>
    <cellStyle name="Input 21 59 2" xfId="11021" xr:uid="{00000000-0005-0000-0000-00004F440000}"/>
    <cellStyle name="Input 21 6" xfId="11022" xr:uid="{00000000-0005-0000-0000-000050440000}"/>
    <cellStyle name="Input 21 6 2" xfId="11023" xr:uid="{00000000-0005-0000-0000-000051440000}"/>
    <cellStyle name="Input 21 60" xfId="11024" xr:uid="{00000000-0005-0000-0000-000052440000}"/>
    <cellStyle name="Input 21 60 2" xfId="11025" xr:uid="{00000000-0005-0000-0000-000053440000}"/>
    <cellStyle name="Input 21 61" xfId="11026" xr:uid="{00000000-0005-0000-0000-000054440000}"/>
    <cellStyle name="Input 21 61 2" xfId="11027" xr:uid="{00000000-0005-0000-0000-000055440000}"/>
    <cellStyle name="Input 21 62" xfId="11028" xr:uid="{00000000-0005-0000-0000-000056440000}"/>
    <cellStyle name="Input 21 62 2" xfId="11029" xr:uid="{00000000-0005-0000-0000-000057440000}"/>
    <cellStyle name="Input 21 63" xfId="11030" xr:uid="{00000000-0005-0000-0000-000058440000}"/>
    <cellStyle name="Input 21 7" xfId="11031" xr:uid="{00000000-0005-0000-0000-000059440000}"/>
    <cellStyle name="Input 21 7 2" xfId="11032" xr:uid="{00000000-0005-0000-0000-00005A440000}"/>
    <cellStyle name="Input 21 8" xfId="11033" xr:uid="{00000000-0005-0000-0000-00005B440000}"/>
    <cellStyle name="Input 21 8 2" xfId="11034" xr:uid="{00000000-0005-0000-0000-00005C440000}"/>
    <cellStyle name="Input 21 9" xfId="11035" xr:uid="{00000000-0005-0000-0000-00005D440000}"/>
    <cellStyle name="Input 21 9 2" xfId="11036" xr:uid="{00000000-0005-0000-0000-00005E440000}"/>
    <cellStyle name="Input 22" xfId="11037" xr:uid="{00000000-0005-0000-0000-00005F440000}"/>
    <cellStyle name="Input 22 10" xfId="11038" xr:uid="{00000000-0005-0000-0000-000060440000}"/>
    <cellStyle name="Input 22 10 2" xfId="11039" xr:uid="{00000000-0005-0000-0000-000061440000}"/>
    <cellStyle name="Input 22 11" xfId="11040" xr:uid="{00000000-0005-0000-0000-000062440000}"/>
    <cellStyle name="Input 22 11 2" xfId="11041" xr:uid="{00000000-0005-0000-0000-000063440000}"/>
    <cellStyle name="Input 22 12" xfId="11042" xr:uid="{00000000-0005-0000-0000-000064440000}"/>
    <cellStyle name="Input 22 12 2" xfId="11043" xr:uid="{00000000-0005-0000-0000-000065440000}"/>
    <cellStyle name="Input 22 13" xfId="11044" xr:uid="{00000000-0005-0000-0000-000066440000}"/>
    <cellStyle name="Input 22 13 2" xfId="11045" xr:uid="{00000000-0005-0000-0000-000067440000}"/>
    <cellStyle name="Input 22 14" xfId="11046" xr:uid="{00000000-0005-0000-0000-000068440000}"/>
    <cellStyle name="Input 22 14 2" xfId="11047" xr:uid="{00000000-0005-0000-0000-000069440000}"/>
    <cellStyle name="Input 22 15" xfId="11048" xr:uid="{00000000-0005-0000-0000-00006A440000}"/>
    <cellStyle name="Input 22 15 2" xfId="11049" xr:uid="{00000000-0005-0000-0000-00006B440000}"/>
    <cellStyle name="Input 22 16" xfId="11050" xr:uid="{00000000-0005-0000-0000-00006C440000}"/>
    <cellStyle name="Input 22 16 2" xfId="11051" xr:uid="{00000000-0005-0000-0000-00006D440000}"/>
    <cellStyle name="Input 22 17" xfId="11052" xr:uid="{00000000-0005-0000-0000-00006E440000}"/>
    <cellStyle name="Input 22 17 2" xfId="11053" xr:uid="{00000000-0005-0000-0000-00006F440000}"/>
    <cellStyle name="Input 22 18" xfId="11054" xr:uid="{00000000-0005-0000-0000-000070440000}"/>
    <cellStyle name="Input 22 18 2" xfId="11055" xr:uid="{00000000-0005-0000-0000-000071440000}"/>
    <cellStyle name="Input 22 19" xfId="11056" xr:uid="{00000000-0005-0000-0000-000072440000}"/>
    <cellStyle name="Input 22 19 2" xfId="11057" xr:uid="{00000000-0005-0000-0000-000073440000}"/>
    <cellStyle name="Input 22 2" xfId="11058" xr:uid="{00000000-0005-0000-0000-000074440000}"/>
    <cellStyle name="Input 22 2 2" xfId="11059" xr:uid="{00000000-0005-0000-0000-000075440000}"/>
    <cellStyle name="Input 22 20" xfId="11060" xr:uid="{00000000-0005-0000-0000-000076440000}"/>
    <cellStyle name="Input 22 20 2" xfId="11061" xr:uid="{00000000-0005-0000-0000-000077440000}"/>
    <cellStyle name="Input 22 21" xfId="11062" xr:uid="{00000000-0005-0000-0000-000078440000}"/>
    <cellStyle name="Input 22 21 2" xfId="11063" xr:uid="{00000000-0005-0000-0000-000079440000}"/>
    <cellStyle name="Input 22 22" xfId="11064" xr:uid="{00000000-0005-0000-0000-00007A440000}"/>
    <cellStyle name="Input 22 22 2" xfId="11065" xr:uid="{00000000-0005-0000-0000-00007B440000}"/>
    <cellStyle name="Input 22 23" xfId="11066" xr:uid="{00000000-0005-0000-0000-00007C440000}"/>
    <cellStyle name="Input 22 23 2" xfId="11067" xr:uid="{00000000-0005-0000-0000-00007D440000}"/>
    <cellStyle name="Input 22 24" xfId="11068" xr:uid="{00000000-0005-0000-0000-00007E440000}"/>
    <cellStyle name="Input 22 24 2" xfId="11069" xr:uid="{00000000-0005-0000-0000-00007F440000}"/>
    <cellStyle name="Input 22 25" xfId="11070" xr:uid="{00000000-0005-0000-0000-000080440000}"/>
    <cellStyle name="Input 22 25 2" xfId="11071" xr:uid="{00000000-0005-0000-0000-000081440000}"/>
    <cellStyle name="Input 22 26" xfId="11072" xr:uid="{00000000-0005-0000-0000-000082440000}"/>
    <cellStyle name="Input 22 26 2" xfId="11073" xr:uid="{00000000-0005-0000-0000-000083440000}"/>
    <cellStyle name="Input 22 27" xfId="11074" xr:uid="{00000000-0005-0000-0000-000084440000}"/>
    <cellStyle name="Input 22 27 2" xfId="11075" xr:uid="{00000000-0005-0000-0000-000085440000}"/>
    <cellStyle name="Input 22 28" xfId="11076" xr:uid="{00000000-0005-0000-0000-000086440000}"/>
    <cellStyle name="Input 22 28 2" xfId="11077" xr:uid="{00000000-0005-0000-0000-000087440000}"/>
    <cellStyle name="Input 22 29" xfId="11078" xr:uid="{00000000-0005-0000-0000-000088440000}"/>
    <cellStyle name="Input 22 29 2" xfId="11079" xr:uid="{00000000-0005-0000-0000-000089440000}"/>
    <cellStyle name="Input 22 3" xfId="11080" xr:uid="{00000000-0005-0000-0000-00008A440000}"/>
    <cellStyle name="Input 22 3 2" xfId="11081" xr:uid="{00000000-0005-0000-0000-00008B440000}"/>
    <cellStyle name="Input 22 30" xfId="11082" xr:uid="{00000000-0005-0000-0000-00008C440000}"/>
    <cellStyle name="Input 22 30 2" xfId="11083" xr:uid="{00000000-0005-0000-0000-00008D440000}"/>
    <cellStyle name="Input 22 31" xfId="11084" xr:uid="{00000000-0005-0000-0000-00008E440000}"/>
    <cellStyle name="Input 22 31 2" xfId="11085" xr:uid="{00000000-0005-0000-0000-00008F440000}"/>
    <cellStyle name="Input 22 32" xfId="11086" xr:uid="{00000000-0005-0000-0000-000090440000}"/>
    <cellStyle name="Input 22 32 2" xfId="11087" xr:uid="{00000000-0005-0000-0000-000091440000}"/>
    <cellStyle name="Input 22 33" xfId="11088" xr:uid="{00000000-0005-0000-0000-000092440000}"/>
    <cellStyle name="Input 22 33 2" xfId="11089" xr:uid="{00000000-0005-0000-0000-000093440000}"/>
    <cellStyle name="Input 22 34" xfId="11090" xr:uid="{00000000-0005-0000-0000-000094440000}"/>
    <cellStyle name="Input 22 34 2" xfId="11091" xr:uid="{00000000-0005-0000-0000-000095440000}"/>
    <cellStyle name="Input 22 35" xfId="11092" xr:uid="{00000000-0005-0000-0000-000096440000}"/>
    <cellStyle name="Input 22 35 2" xfId="11093" xr:uid="{00000000-0005-0000-0000-000097440000}"/>
    <cellStyle name="Input 22 36" xfId="11094" xr:uid="{00000000-0005-0000-0000-000098440000}"/>
    <cellStyle name="Input 22 36 2" xfId="11095" xr:uid="{00000000-0005-0000-0000-000099440000}"/>
    <cellStyle name="Input 22 37" xfId="11096" xr:uid="{00000000-0005-0000-0000-00009A440000}"/>
    <cellStyle name="Input 22 37 2" xfId="11097" xr:uid="{00000000-0005-0000-0000-00009B440000}"/>
    <cellStyle name="Input 22 38" xfId="11098" xr:uid="{00000000-0005-0000-0000-00009C440000}"/>
    <cellStyle name="Input 22 38 2" xfId="11099" xr:uid="{00000000-0005-0000-0000-00009D440000}"/>
    <cellStyle name="Input 22 39" xfId="11100" xr:uid="{00000000-0005-0000-0000-00009E440000}"/>
    <cellStyle name="Input 22 39 2" xfId="11101" xr:uid="{00000000-0005-0000-0000-00009F440000}"/>
    <cellStyle name="Input 22 4" xfId="11102" xr:uid="{00000000-0005-0000-0000-0000A0440000}"/>
    <cellStyle name="Input 22 4 2" xfId="11103" xr:uid="{00000000-0005-0000-0000-0000A1440000}"/>
    <cellStyle name="Input 22 40" xfId="11104" xr:uid="{00000000-0005-0000-0000-0000A2440000}"/>
    <cellStyle name="Input 22 40 2" xfId="11105" xr:uid="{00000000-0005-0000-0000-0000A3440000}"/>
    <cellStyle name="Input 22 41" xfId="11106" xr:uid="{00000000-0005-0000-0000-0000A4440000}"/>
    <cellStyle name="Input 22 41 2" xfId="11107" xr:uid="{00000000-0005-0000-0000-0000A5440000}"/>
    <cellStyle name="Input 22 42" xfId="11108" xr:uid="{00000000-0005-0000-0000-0000A6440000}"/>
    <cellStyle name="Input 22 42 2" xfId="11109" xr:uid="{00000000-0005-0000-0000-0000A7440000}"/>
    <cellStyle name="Input 22 43" xfId="11110" xr:uid="{00000000-0005-0000-0000-0000A8440000}"/>
    <cellStyle name="Input 22 43 2" xfId="11111" xr:uid="{00000000-0005-0000-0000-0000A9440000}"/>
    <cellStyle name="Input 22 44" xfId="11112" xr:uid="{00000000-0005-0000-0000-0000AA440000}"/>
    <cellStyle name="Input 22 44 2" xfId="11113" xr:uid="{00000000-0005-0000-0000-0000AB440000}"/>
    <cellStyle name="Input 22 45" xfId="11114" xr:uid="{00000000-0005-0000-0000-0000AC440000}"/>
    <cellStyle name="Input 22 45 2" xfId="11115" xr:uid="{00000000-0005-0000-0000-0000AD440000}"/>
    <cellStyle name="Input 22 46" xfId="11116" xr:uid="{00000000-0005-0000-0000-0000AE440000}"/>
    <cellStyle name="Input 22 46 2" xfId="11117" xr:uid="{00000000-0005-0000-0000-0000AF440000}"/>
    <cellStyle name="Input 22 47" xfId="11118" xr:uid="{00000000-0005-0000-0000-0000B0440000}"/>
    <cellStyle name="Input 22 47 2" xfId="11119" xr:uid="{00000000-0005-0000-0000-0000B1440000}"/>
    <cellStyle name="Input 22 48" xfId="11120" xr:uid="{00000000-0005-0000-0000-0000B2440000}"/>
    <cellStyle name="Input 22 48 2" xfId="11121" xr:uid="{00000000-0005-0000-0000-0000B3440000}"/>
    <cellStyle name="Input 22 49" xfId="11122" xr:uid="{00000000-0005-0000-0000-0000B4440000}"/>
    <cellStyle name="Input 22 49 2" xfId="11123" xr:uid="{00000000-0005-0000-0000-0000B5440000}"/>
    <cellStyle name="Input 22 5" xfId="11124" xr:uid="{00000000-0005-0000-0000-0000B6440000}"/>
    <cellStyle name="Input 22 5 2" xfId="11125" xr:uid="{00000000-0005-0000-0000-0000B7440000}"/>
    <cellStyle name="Input 22 50" xfId="11126" xr:uid="{00000000-0005-0000-0000-0000B8440000}"/>
    <cellStyle name="Input 22 50 2" xfId="11127" xr:uid="{00000000-0005-0000-0000-0000B9440000}"/>
    <cellStyle name="Input 22 51" xfId="11128" xr:uid="{00000000-0005-0000-0000-0000BA440000}"/>
    <cellStyle name="Input 22 51 2" xfId="11129" xr:uid="{00000000-0005-0000-0000-0000BB440000}"/>
    <cellStyle name="Input 22 52" xfId="11130" xr:uid="{00000000-0005-0000-0000-0000BC440000}"/>
    <cellStyle name="Input 22 52 2" xfId="11131" xr:uid="{00000000-0005-0000-0000-0000BD440000}"/>
    <cellStyle name="Input 22 53" xfId="11132" xr:uid="{00000000-0005-0000-0000-0000BE440000}"/>
    <cellStyle name="Input 22 53 2" xfId="11133" xr:uid="{00000000-0005-0000-0000-0000BF440000}"/>
    <cellStyle name="Input 22 54" xfId="11134" xr:uid="{00000000-0005-0000-0000-0000C0440000}"/>
    <cellStyle name="Input 22 54 2" xfId="11135" xr:uid="{00000000-0005-0000-0000-0000C1440000}"/>
    <cellStyle name="Input 22 55" xfId="11136" xr:uid="{00000000-0005-0000-0000-0000C2440000}"/>
    <cellStyle name="Input 22 55 2" xfId="11137" xr:uid="{00000000-0005-0000-0000-0000C3440000}"/>
    <cellStyle name="Input 22 56" xfId="11138" xr:uid="{00000000-0005-0000-0000-0000C4440000}"/>
    <cellStyle name="Input 22 56 2" xfId="11139" xr:uid="{00000000-0005-0000-0000-0000C5440000}"/>
    <cellStyle name="Input 22 57" xfId="11140" xr:uid="{00000000-0005-0000-0000-0000C6440000}"/>
    <cellStyle name="Input 22 57 2" xfId="11141" xr:uid="{00000000-0005-0000-0000-0000C7440000}"/>
    <cellStyle name="Input 22 58" xfId="11142" xr:uid="{00000000-0005-0000-0000-0000C8440000}"/>
    <cellStyle name="Input 22 58 2" xfId="11143" xr:uid="{00000000-0005-0000-0000-0000C9440000}"/>
    <cellStyle name="Input 22 59" xfId="11144" xr:uid="{00000000-0005-0000-0000-0000CA440000}"/>
    <cellStyle name="Input 22 59 2" xfId="11145" xr:uid="{00000000-0005-0000-0000-0000CB440000}"/>
    <cellStyle name="Input 22 6" xfId="11146" xr:uid="{00000000-0005-0000-0000-0000CC440000}"/>
    <cellStyle name="Input 22 6 2" xfId="11147" xr:uid="{00000000-0005-0000-0000-0000CD440000}"/>
    <cellStyle name="Input 22 60" xfId="11148" xr:uid="{00000000-0005-0000-0000-0000CE440000}"/>
    <cellStyle name="Input 22 60 2" xfId="11149" xr:uid="{00000000-0005-0000-0000-0000CF440000}"/>
    <cellStyle name="Input 22 61" xfId="11150" xr:uid="{00000000-0005-0000-0000-0000D0440000}"/>
    <cellStyle name="Input 22 61 2" xfId="11151" xr:uid="{00000000-0005-0000-0000-0000D1440000}"/>
    <cellStyle name="Input 22 62" xfId="11152" xr:uid="{00000000-0005-0000-0000-0000D2440000}"/>
    <cellStyle name="Input 22 62 2" xfId="11153" xr:uid="{00000000-0005-0000-0000-0000D3440000}"/>
    <cellStyle name="Input 22 63" xfId="11154" xr:uid="{00000000-0005-0000-0000-0000D4440000}"/>
    <cellStyle name="Input 22 7" xfId="11155" xr:uid="{00000000-0005-0000-0000-0000D5440000}"/>
    <cellStyle name="Input 22 7 2" xfId="11156" xr:uid="{00000000-0005-0000-0000-0000D6440000}"/>
    <cellStyle name="Input 22 8" xfId="11157" xr:uid="{00000000-0005-0000-0000-0000D7440000}"/>
    <cellStyle name="Input 22 8 2" xfId="11158" xr:uid="{00000000-0005-0000-0000-0000D8440000}"/>
    <cellStyle name="Input 22 9" xfId="11159" xr:uid="{00000000-0005-0000-0000-0000D9440000}"/>
    <cellStyle name="Input 22 9 2" xfId="11160" xr:uid="{00000000-0005-0000-0000-0000DA440000}"/>
    <cellStyle name="Input 23" xfId="11161" xr:uid="{00000000-0005-0000-0000-0000DB440000}"/>
    <cellStyle name="Input 23 10" xfId="11162" xr:uid="{00000000-0005-0000-0000-0000DC440000}"/>
    <cellStyle name="Input 23 10 2" xfId="11163" xr:uid="{00000000-0005-0000-0000-0000DD440000}"/>
    <cellStyle name="Input 23 11" xfId="11164" xr:uid="{00000000-0005-0000-0000-0000DE440000}"/>
    <cellStyle name="Input 23 11 2" xfId="11165" xr:uid="{00000000-0005-0000-0000-0000DF440000}"/>
    <cellStyle name="Input 23 12" xfId="11166" xr:uid="{00000000-0005-0000-0000-0000E0440000}"/>
    <cellStyle name="Input 23 12 2" xfId="11167" xr:uid="{00000000-0005-0000-0000-0000E1440000}"/>
    <cellStyle name="Input 23 13" xfId="11168" xr:uid="{00000000-0005-0000-0000-0000E2440000}"/>
    <cellStyle name="Input 23 13 2" xfId="11169" xr:uid="{00000000-0005-0000-0000-0000E3440000}"/>
    <cellStyle name="Input 23 14" xfId="11170" xr:uid="{00000000-0005-0000-0000-0000E4440000}"/>
    <cellStyle name="Input 23 14 2" xfId="11171" xr:uid="{00000000-0005-0000-0000-0000E5440000}"/>
    <cellStyle name="Input 23 15" xfId="11172" xr:uid="{00000000-0005-0000-0000-0000E6440000}"/>
    <cellStyle name="Input 23 15 2" xfId="11173" xr:uid="{00000000-0005-0000-0000-0000E7440000}"/>
    <cellStyle name="Input 23 16" xfId="11174" xr:uid="{00000000-0005-0000-0000-0000E8440000}"/>
    <cellStyle name="Input 23 16 2" xfId="11175" xr:uid="{00000000-0005-0000-0000-0000E9440000}"/>
    <cellStyle name="Input 23 17" xfId="11176" xr:uid="{00000000-0005-0000-0000-0000EA440000}"/>
    <cellStyle name="Input 23 17 2" xfId="11177" xr:uid="{00000000-0005-0000-0000-0000EB440000}"/>
    <cellStyle name="Input 23 18" xfId="11178" xr:uid="{00000000-0005-0000-0000-0000EC440000}"/>
    <cellStyle name="Input 23 18 2" xfId="11179" xr:uid="{00000000-0005-0000-0000-0000ED440000}"/>
    <cellStyle name="Input 23 19" xfId="11180" xr:uid="{00000000-0005-0000-0000-0000EE440000}"/>
    <cellStyle name="Input 23 19 2" xfId="11181" xr:uid="{00000000-0005-0000-0000-0000EF440000}"/>
    <cellStyle name="Input 23 2" xfId="11182" xr:uid="{00000000-0005-0000-0000-0000F0440000}"/>
    <cellStyle name="Input 23 2 2" xfId="11183" xr:uid="{00000000-0005-0000-0000-0000F1440000}"/>
    <cellStyle name="Input 23 20" xfId="11184" xr:uid="{00000000-0005-0000-0000-0000F2440000}"/>
    <cellStyle name="Input 23 20 2" xfId="11185" xr:uid="{00000000-0005-0000-0000-0000F3440000}"/>
    <cellStyle name="Input 23 21" xfId="11186" xr:uid="{00000000-0005-0000-0000-0000F4440000}"/>
    <cellStyle name="Input 23 21 2" xfId="11187" xr:uid="{00000000-0005-0000-0000-0000F5440000}"/>
    <cellStyle name="Input 23 22" xfId="11188" xr:uid="{00000000-0005-0000-0000-0000F6440000}"/>
    <cellStyle name="Input 23 22 2" xfId="11189" xr:uid="{00000000-0005-0000-0000-0000F7440000}"/>
    <cellStyle name="Input 23 23" xfId="11190" xr:uid="{00000000-0005-0000-0000-0000F8440000}"/>
    <cellStyle name="Input 23 23 2" xfId="11191" xr:uid="{00000000-0005-0000-0000-0000F9440000}"/>
    <cellStyle name="Input 23 24" xfId="11192" xr:uid="{00000000-0005-0000-0000-0000FA440000}"/>
    <cellStyle name="Input 23 24 2" xfId="11193" xr:uid="{00000000-0005-0000-0000-0000FB440000}"/>
    <cellStyle name="Input 23 25" xfId="11194" xr:uid="{00000000-0005-0000-0000-0000FC440000}"/>
    <cellStyle name="Input 23 25 2" xfId="11195" xr:uid="{00000000-0005-0000-0000-0000FD440000}"/>
    <cellStyle name="Input 23 26" xfId="11196" xr:uid="{00000000-0005-0000-0000-0000FE440000}"/>
    <cellStyle name="Input 23 26 2" xfId="11197" xr:uid="{00000000-0005-0000-0000-0000FF440000}"/>
    <cellStyle name="Input 23 27" xfId="11198" xr:uid="{00000000-0005-0000-0000-000000450000}"/>
    <cellStyle name="Input 23 27 2" xfId="11199" xr:uid="{00000000-0005-0000-0000-000001450000}"/>
    <cellStyle name="Input 23 28" xfId="11200" xr:uid="{00000000-0005-0000-0000-000002450000}"/>
    <cellStyle name="Input 23 28 2" xfId="11201" xr:uid="{00000000-0005-0000-0000-000003450000}"/>
    <cellStyle name="Input 23 29" xfId="11202" xr:uid="{00000000-0005-0000-0000-000004450000}"/>
    <cellStyle name="Input 23 29 2" xfId="11203" xr:uid="{00000000-0005-0000-0000-000005450000}"/>
    <cellStyle name="Input 23 3" xfId="11204" xr:uid="{00000000-0005-0000-0000-000006450000}"/>
    <cellStyle name="Input 23 3 2" xfId="11205" xr:uid="{00000000-0005-0000-0000-000007450000}"/>
    <cellStyle name="Input 23 30" xfId="11206" xr:uid="{00000000-0005-0000-0000-000008450000}"/>
    <cellStyle name="Input 23 30 2" xfId="11207" xr:uid="{00000000-0005-0000-0000-000009450000}"/>
    <cellStyle name="Input 23 31" xfId="11208" xr:uid="{00000000-0005-0000-0000-00000A450000}"/>
    <cellStyle name="Input 23 31 2" xfId="11209" xr:uid="{00000000-0005-0000-0000-00000B450000}"/>
    <cellStyle name="Input 23 32" xfId="11210" xr:uid="{00000000-0005-0000-0000-00000C450000}"/>
    <cellStyle name="Input 23 32 2" xfId="11211" xr:uid="{00000000-0005-0000-0000-00000D450000}"/>
    <cellStyle name="Input 23 33" xfId="11212" xr:uid="{00000000-0005-0000-0000-00000E450000}"/>
    <cellStyle name="Input 23 33 2" xfId="11213" xr:uid="{00000000-0005-0000-0000-00000F450000}"/>
    <cellStyle name="Input 23 34" xfId="11214" xr:uid="{00000000-0005-0000-0000-000010450000}"/>
    <cellStyle name="Input 23 34 2" xfId="11215" xr:uid="{00000000-0005-0000-0000-000011450000}"/>
    <cellStyle name="Input 23 35" xfId="11216" xr:uid="{00000000-0005-0000-0000-000012450000}"/>
    <cellStyle name="Input 23 35 2" xfId="11217" xr:uid="{00000000-0005-0000-0000-000013450000}"/>
    <cellStyle name="Input 23 36" xfId="11218" xr:uid="{00000000-0005-0000-0000-000014450000}"/>
    <cellStyle name="Input 23 36 2" xfId="11219" xr:uid="{00000000-0005-0000-0000-000015450000}"/>
    <cellStyle name="Input 23 37" xfId="11220" xr:uid="{00000000-0005-0000-0000-000016450000}"/>
    <cellStyle name="Input 23 37 2" xfId="11221" xr:uid="{00000000-0005-0000-0000-000017450000}"/>
    <cellStyle name="Input 23 38" xfId="11222" xr:uid="{00000000-0005-0000-0000-000018450000}"/>
    <cellStyle name="Input 23 38 2" xfId="11223" xr:uid="{00000000-0005-0000-0000-000019450000}"/>
    <cellStyle name="Input 23 39" xfId="11224" xr:uid="{00000000-0005-0000-0000-00001A450000}"/>
    <cellStyle name="Input 23 39 2" xfId="11225" xr:uid="{00000000-0005-0000-0000-00001B450000}"/>
    <cellStyle name="Input 23 4" xfId="11226" xr:uid="{00000000-0005-0000-0000-00001C450000}"/>
    <cellStyle name="Input 23 4 2" xfId="11227" xr:uid="{00000000-0005-0000-0000-00001D450000}"/>
    <cellStyle name="Input 23 40" xfId="11228" xr:uid="{00000000-0005-0000-0000-00001E450000}"/>
    <cellStyle name="Input 23 40 2" xfId="11229" xr:uid="{00000000-0005-0000-0000-00001F450000}"/>
    <cellStyle name="Input 23 41" xfId="11230" xr:uid="{00000000-0005-0000-0000-000020450000}"/>
    <cellStyle name="Input 23 41 2" xfId="11231" xr:uid="{00000000-0005-0000-0000-000021450000}"/>
    <cellStyle name="Input 23 42" xfId="11232" xr:uid="{00000000-0005-0000-0000-000022450000}"/>
    <cellStyle name="Input 23 42 2" xfId="11233" xr:uid="{00000000-0005-0000-0000-000023450000}"/>
    <cellStyle name="Input 23 43" xfId="11234" xr:uid="{00000000-0005-0000-0000-000024450000}"/>
    <cellStyle name="Input 23 43 2" xfId="11235" xr:uid="{00000000-0005-0000-0000-000025450000}"/>
    <cellStyle name="Input 23 44" xfId="11236" xr:uid="{00000000-0005-0000-0000-000026450000}"/>
    <cellStyle name="Input 23 44 2" xfId="11237" xr:uid="{00000000-0005-0000-0000-000027450000}"/>
    <cellStyle name="Input 23 45" xfId="11238" xr:uid="{00000000-0005-0000-0000-000028450000}"/>
    <cellStyle name="Input 23 45 2" xfId="11239" xr:uid="{00000000-0005-0000-0000-000029450000}"/>
    <cellStyle name="Input 23 46" xfId="11240" xr:uid="{00000000-0005-0000-0000-00002A450000}"/>
    <cellStyle name="Input 23 46 2" xfId="11241" xr:uid="{00000000-0005-0000-0000-00002B450000}"/>
    <cellStyle name="Input 23 47" xfId="11242" xr:uid="{00000000-0005-0000-0000-00002C450000}"/>
    <cellStyle name="Input 23 47 2" xfId="11243" xr:uid="{00000000-0005-0000-0000-00002D450000}"/>
    <cellStyle name="Input 23 48" xfId="11244" xr:uid="{00000000-0005-0000-0000-00002E450000}"/>
    <cellStyle name="Input 23 48 2" xfId="11245" xr:uid="{00000000-0005-0000-0000-00002F450000}"/>
    <cellStyle name="Input 23 49" xfId="11246" xr:uid="{00000000-0005-0000-0000-000030450000}"/>
    <cellStyle name="Input 23 49 2" xfId="11247" xr:uid="{00000000-0005-0000-0000-000031450000}"/>
    <cellStyle name="Input 23 5" xfId="11248" xr:uid="{00000000-0005-0000-0000-000032450000}"/>
    <cellStyle name="Input 23 5 2" xfId="11249" xr:uid="{00000000-0005-0000-0000-000033450000}"/>
    <cellStyle name="Input 23 50" xfId="11250" xr:uid="{00000000-0005-0000-0000-000034450000}"/>
    <cellStyle name="Input 23 50 2" xfId="11251" xr:uid="{00000000-0005-0000-0000-000035450000}"/>
    <cellStyle name="Input 23 51" xfId="11252" xr:uid="{00000000-0005-0000-0000-000036450000}"/>
    <cellStyle name="Input 23 51 2" xfId="11253" xr:uid="{00000000-0005-0000-0000-000037450000}"/>
    <cellStyle name="Input 23 52" xfId="11254" xr:uid="{00000000-0005-0000-0000-000038450000}"/>
    <cellStyle name="Input 23 52 2" xfId="11255" xr:uid="{00000000-0005-0000-0000-000039450000}"/>
    <cellStyle name="Input 23 53" xfId="11256" xr:uid="{00000000-0005-0000-0000-00003A450000}"/>
    <cellStyle name="Input 23 53 2" xfId="11257" xr:uid="{00000000-0005-0000-0000-00003B450000}"/>
    <cellStyle name="Input 23 54" xfId="11258" xr:uid="{00000000-0005-0000-0000-00003C450000}"/>
    <cellStyle name="Input 23 54 2" xfId="11259" xr:uid="{00000000-0005-0000-0000-00003D450000}"/>
    <cellStyle name="Input 23 55" xfId="11260" xr:uid="{00000000-0005-0000-0000-00003E450000}"/>
    <cellStyle name="Input 23 55 2" xfId="11261" xr:uid="{00000000-0005-0000-0000-00003F450000}"/>
    <cellStyle name="Input 23 56" xfId="11262" xr:uid="{00000000-0005-0000-0000-000040450000}"/>
    <cellStyle name="Input 23 56 2" xfId="11263" xr:uid="{00000000-0005-0000-0000-000041450000}"/>
    <cellStyle name="Input 23 57" xfId="11264" xr:uid="{00000000-0005-0000-0000-000042450000}"/>
    <cellStyle name="Input 23 57 2" xfId="11265" xr:uid="{00000000-0005-0000-0000-000043450000}"/>
    <cellStyle name="Input 23 58" xfId="11266" xr:uid="{00000000-0005-0000-0000-000044450000}"/>
    <cellStyle name="Input 23 58 2" xfId="11267" xr:uid="{00000000-0005-0000-0000-000045450000}"/>
    <cellStyle name="Input 23 59" xfId="11268" xr:uid="{00000000-0005-0000-0000-000046450000}"/>
    <cellStyle name="Input 23 59 2" xfId="11269" xr:uid="{00000000-0005-0000-0000-000047450000}"/>
    <cellStyle name="Input 23 6" xfId="11270" xr:uid="{00000000-0005-0000-0000-000048450000}"/>
    <cellStyle name="Input 23 6 2" xfId="11271" xr:uid="{00000000-0005-0000-0000-000049450000}"/>
    <cellStyle name="Input 23 60" xfId="11272" xr:uid="{00000000-0005-0000-0000-00004A450000}"/>
    <cellStyle name="Input 23 60 2" xfId="11273" xr:uid="{00000000-0005-0000-0000-00004B450000}"/>
    <cellStyle name="Input 23 61" xfId="11274" xr:uid="{00000000-0005-0000-0000-00004C450000}"/>
    <cellStyle name="Input 23 61 2" xfId="11275" xr:uid="{00000000-0005-0000-0000-00004D450000}"/>
    <cellStyle name="Input 23 62" xfId="11276" xr:uid="{00000000-0005-0000-0000-00004E450000}"/>
    <cellStyle name="Input 23 62 2" xfId="11277" xr:uid="{00000000-0005-0000-0000-00004F450000}"/>
    <cellStyle name="Input 23 63" xfId="11278" xr:uid="{00000000-0005-0000-0000-000050450000}"/>
    <cellStyle name="Input 23 7" xfId="11279" xr:uid="{00000000-0005-0000-0000-000051450000}"/>
    <cellStyle name="Input 23 7 2" xfId="11280" xr:uid="{00000000-0005-0000-0000-000052450000}"/>
    <cellStyle name="Input 23 8" xfId="11281" xr:uid="{00000000-0005-0000-0000-000053450000}"/>
    <cellStyle name="Input 23 8 2" xfId="11282" xr:uid="{00000000-0005-0000-0000-000054450000}"/>
    <cellStyle name="Input 23 9" xfId="11283" xr:uid="{00000000-0005-0000-0000-000055450000}"/>
    <cellStyle name="Input 23 9 2" xfId="11284" xr:uid="{00000000-0005-0000-0000-000056450000}"/>
    <cellStyle name="Input 24" xfId="11285" xr:uid="{00000000-0005-0000-0000-000057450000}"/>
    <cellStyle name="Input 24 10" xfId="11286" xr:uid="{00000000-0005-0000-0000-000058450000}"/>
    <cellStyle name="Input 24 10 2" xfId="11287" xr:uid="{00000000-0005-0000-0000-000059450000}"/>
    <cellStyle name="Input 24 11" xfId="11288" xr:uid="{00000000-0005-0000-0000-00005A450000}"/>
    <cellStyle name="Input 24 11 2" xfId="11289" xr:uid="{00000000-0005-0000-0000-00005B450000}"/>
    <cellStyle name="Input 24 12" xfId="11290" xr:uid="{00000000-0005-0000-0000-00005C450000}"/>
    <cellStyle name="Input 24 12 2" xfId="11291" xr:uid="{00000000-0005-0000-0000-00005D450000}"/>
    <cellStyle name="Input 24 13" xfId="11292" xr:uid="{00000000-0005-0000-0000-00005E450000}"/>
    <cellStyle name="Input 24 13 2" xfId="11293" xr:uid="{00000000-0005-0000-0000-00005F450000}"/>
    <cellStyle name="Input 24 14" xfId="11294" xr:uid="{00000000-0005-0000-0000-000060450000}"/>
    <cellStyle name="Input 24 14 2" xfId="11295" xr:uid="{00000000-0005-0000-0000-000061450000}"/>
    <cellStyle name="Input 24 15" xfId="11296" xr:uid="{00000000-0005-0000-0000-000062450000}"/>
    <cellStyle name="Input 24 15 2" xfId="11297" xr:uid="{00000000-0005-0000-0000-000063450000}"/>
    <cellStyle name="Input 24 16" xfId="11298" xr:uid="{00000000-0005-0000-0000-000064450000}"/>
    <cellStyle name="Input 24 16 2" xfId="11299" xr:uid="{00000000-0005-0000-0000-000065450000}"/>
    <cellStyle name="Input 24 17" xfId="11300" xr:uid="{00000000-0005-0000-0000-000066450000}"/>
    <cellStyle name="Input 24 17 2" xfId="11301" xr:uid="{00000000-0005-0000-0000-000067450000}"/>
    <cellStyle name="Input 24 18" xfId="11302" xr:uid="{00000000-0005-0000-0000-000068450000}"/>
    <cellStyle name="Input 24 18 2" xfId="11303" xr:uid="{00000000-0005-0000-0000-000069450000}"/>
    <cellStyle name="Input 24 19" xfId="11304" xr:uid="{00000000-0005-0000-0000-00006A450000}"/>
    <cellStyle name="Input 24 19 2" xfId="11305" xr:uid="{00000000-0005-0000-0000-00006B450000}"/>
    <cellStyle name="Input 24 2" xfId="11306" xr:uid="{00000000-0005-0000-0000-00006C450000}"/>
    <cellStyle name="Input 24 2 2" xfId="11307" xr:uid="{00000000-0005-0000-0000-00006D450000}"/>
    <cellStyle name="Input 24 20" xfId="11308" xr:uid="{00000000-0005-0000-0000-00006E450000}"/>
    <cellStyle name="Input 24 20 2" xfId="11309" xr:uid="{00000000-0005-0000-0000-00006F450000}"/>
    <cellStyle name="Input 24 21" xfId="11310" xr:uid="{00000000-0005-0000-0000-000070450000}"/>
    <cellStyle name="Input 24 21 2" xfId="11311" xr:uid="{00000000-0005-0000-0000-000071450000}"/>
    <cellStyle name="Input 24 22" xfId="11312" xr:uid="{00000000-0005-0000-0000-000072450000}"/>
    <cellStyle name="Input 24 22 2" xfId="11313" xr:uid="{00000000-0005-0000-0000-000073450000}"/>
    <cellStyle name="Input 24 23" xfId="11314" xr:uid="{00000000-0005-0000-0000-000074450000}"/>
    <cellStyle name="Input 24 23 2" xfId="11315" xr:uid="{00000000-0005-0000-0000-000075450000}"/>
    <cellStyle name="Input 24 24" xfId="11316" xr:uid="{00000000-0005-0000-0000-000076450000}"/>
    <cellStyle name="Input 24 24 2" xfId="11317" xr:uid="{00000000-0005-0000-0000-000077450000}"/>
    <cellStyle name="Input 24 25" xfId="11318" xr:uid="{00000000-0005-0000-0000-000078450000}"/>
    <cellStyle name="Input 24 25 2" xfId="11319" xr:uid="{00000000-0005-0000-0000-000079450000}"/>
    <cellStyle name="Input 24 26" xfId="11320" xr:uid="{00000000-0005-0000-0000-00007A450000}"/>
    <cellStyle name="Input 24 26 2" xfId="11321" xr:uid="{00000000-0005-0000-0000-00007B450000}"/>
    <cellStyle name="Input 24 27" xfId="11322" xr:uid="{00000000-0005-0000-0000-00007C450000}"/>
    <cellStyle name="Input 24 27 2" xfId="11323" xr:uid="{00000000-0005-0000-0000-00007D450000}"/>
    <cellStyle name="Input 24 28" xfId="11324" xr:uid="{00000000-0005-0000-0000-00007E450000}"/>
    <cellStyle name="Input 24 28 2" xfId="11325" xr:uid="{00000000-0005-0000-0000-00007F450000}"/>
    <cellStyle name="Input 24 29" xfId="11326" xr:uid="{00000000-0005-0000-0000-000080450000}"/>
    <cellStyle name="Input 24 29 2" xfId="11327" xr:uid="{00000000-0005-0000-0000-000081450000}"/>
    <cellStyle name="Input 24 3" xfId="11328" xr:uid="{00000000-0005-0000-0000-000082450000}"/>
    <cellStyle name="Input 24 3 2" xfId="11329" xr:uid="{00000000-0005-0000-0000-000083450000}"/>
    <cellStyle name="Input 24 30" xfId="11330" xr:uid="{00000000-0005-0000-0000-000084450000}"/>
    <cellStyle name="Input 24 30 2" xfId="11331" xr:uid="{00000000-0005-0000-0000-000085450000}"/>
    <cellStyle name="Input 24 31" xfId="11332" xr:uid="{00000000-0005-0000-0000-000086450000}"/>
    <cellStyle name="Input 24 31 2" xfId="11333" xr:uid="{00000000-0005-0000-0000-000087450000}"/>
    <cellStyle name="Input 24 32" xfId="11334" xr:uid="{00000000-0005-0000-0000-000088450000}"/>
    <cellStyle name="Input 24 32 2" xfId="11335" xr:uid="{00000000-0005-0000-0000-000089450000}"/>
    <cellStyle name="Input 24 33" xfId="11336" xr:uid="{00000000-0005-0000-0000-00008A450000}"/>
    <cellStyle name="Input 24 33 2" xfId="11337" xr:uid="{00000000-0005-0000-0000-00008B450000}"/>
    <cellStyle name="Input 24 34" xfId="11338" xr:uid="{00000000-0005-0000-0000-00008C450000}"/>
    <cellStyle name="Input 24 34 2" xfId="11339" xr:uid="{00000000-0005-0000-0000-00008D450000}"/>
    <cellStyle name="Input 24 35" xfId="11340" xr:uid="{00000000-0005-0000-0000-00008E450000}"/>
    <cellStyle name="Input 24 35 2" xfId="11341" xr:uid="{00000000-0005-0000-0000-00008F450000}"/>
    <cellStyle name="Input 24 36" xfId="11342" xr:uid="{00000000-0005-0000-0000-000090450000}"/>
    <cellStyle name="Input 24 36 2" xfId="11343" xr:uid="{00000000-0005-0000-0000-000091450000}"/>
    <cellStyle name="Input 24 37" xfId="11344" xr:uid="{00000000-0005-0000-0000-000092450000}"/>
    <cellStyle name="Input 24 37 2" xfId="11345" xr:uid="{00000000-0005-0000-0000-000093450000}"/>
    <cellStyle name="Input 24 38" xfId="11346" xr:uid="{00000000-0005-0000-0000-000094450000}"/>
    <cellStyle name="Input 24 38 2" xfId="11347" xr:uid="{00000000-0005-0000-0000-000095450000}"/>
    <cellStyle name="Input 24 39" xfId="11348" xr:uid="{00000000-0005-0000-0000-000096450000}"/>
    <cellStyle name="Input 24 39 2" xfId="11349" xr:uid="{00000000-0005-0000-0000-000097450000}"/>
    <cellStyle name="Input 24 4" xfId="11350" xr:uid="{00000000-0005-0000-0000-000098450000}"/>
    <cellStyle name="Input 24 4 2" xfId="11351" xr:uid="{00000000-0005-0000-0000-000099450000}"/>
    <cellStyle name="Input 24 40" xfId="11352" xr:uid="{00000000-0005-0000-0000-00009A450000}"/>
    <cellStyle name="Input 24 40 2" xfId="11353" xr:uid="{00000000-0005-0000-0000-00009B450000}"/>
    <cellStyle name="Input 24 41" xfId="11354" xr:uid="{00000000-0005-0000-0000-00009C450000}"/>
    <cellStyle name="Input 24 41 2" xfId="11355" xr:uid="{00000000-0005-0000-0000-00009D450000}"/>
    <cellStyle name="Input 24 42" xfId="11356" xr:uid="{00000000-0005-0000-0000-00009E450000}"/>
    <cellStyle name="Input 24 42 2" xfId="11357" xr:uid="{00000000-0005-0000-0000-00009F450000}"/>
    <cellStyle name="Input 24 43" xfId="11358" xr:uid="{00000000-0005-0000-0000-0000A0450000}"/>
    <cellStyle name="Input 24 43 2" xfId="11359" xr:uid="{00000000-0005-0000-0000-0000A1450000}"/>
    <cellStyle name="Input 24 44" xfId="11360" xr:uid="{00000000-0005-0000-0000-0000A2450000}"/>
    <cellStyle name="Input 24 44 2" xfId="11361" xr:uid="{00000000-0005-0000-0000-0000A3450000}"/>
    <cellStyle name="Input 24 45" xfId="11362" xr:uid="{00000000-0005-0000-0000-0000A4450000}"/>
    <cellStyle name="Input 24 45 2" xfId="11363" xr:uid="{00000000-0005-0000-0000-0000A5450000}"/>
    <cellStyle name="Input 24 46" xfId="11364" xr:uid="{00000000-0005-0000-0000-0000A6450000}"/>
    <cellStyle name="Input 24 46 2" xfId="11365" xr:uid="{00000000-0005-0000-0000-0000A7450000}"/>
    <cellStyle name="Input 24 47" xfId="11366" xr:uid="{00000000-0005-0000-0000-0000A8450000}"/>
    <cellStyle name="Input 24 47 2" xfId="11367" xr:uid="{00000000-0005-0000-0000-0000A9450000}"/>
    <cellStyle name="Input 24 48" xfId="11368" xr:uid="{00000000-0005-0000-0000-0000AA450000}"/>
    <cellStyle name="Input 24 48 2" xfId="11369" xr:uid="{00000000-0005-0000-0000-0000AB450000}"/>
    <cellStyle name="Input 24 49" xfId="11370" xr:uid="{00000000-0005-0000-0000-0000AC450000}"/>
    <cellStyle name="Input 24 49 2" xfId="11371" xr:uid="{00000000-0005-0000-0000-0000AD450000}"/>
    <cellStyle name="Input 24 5" xfId="11372" xr:uid="{00000000-0005-0000-0000-0000AE450000}"/>
    <cellStyle name="Input 24 5 2" xfId="11373" xr:uid="{00000000-0005-0000-0000-0000AF450000}"/>
    <cellStyle name="Input 24 50" xfId="11374" xr:uid="{00000000-0005-0000-0000-0000B0450000}"/>
    <cellStyle name="Input 24 50 2" xfId="11375" xr:uid="{00000000-0005-0000-0000-0000B1450000}"/>
    <cellStyle name="Input 24 51" xfId="11376" xr:uid="{00000000-0005-0000-0000-0000B2450000}"/>
    <cellStyle name="Input 24 51 2" xfId="11377" xr:uid="{00000000-0005-0000-0000-0000B3450000}"/>
    <cellStyle name="Input 24 52" xfId="11378" xr:uid="{00000000-0005-0000-0000-0000B4450000}"/>
    <cellStyle name="Input 24 52 2" xfId="11379" xr:uid="{00000000-0005-0000-0000-0000B5450000}"/>
    <cellStyle name="Input 24 53" xfId="11380" xr:uid="{00000000-0005-0000-0000-0000B6450000}"/>
    <cellStyle name="Input 24 53 2" xfId="11381" xr:uid="{00000000-0005-0000-0000-0000B7450000}"/>
    <cellStyle name="Input 24 54" xfId="11382" xr:uid="{00000000-0005-0000-0000-0000B8450000}"/>
    <cellStyle name="Input 24 54 2" xfId="11383" xr:uid="{00000000-0005-0000-0000-0000B9450000}"/>
    <cellStyle name="Input 24 55" xfId="11384" xr:uid="{00000000-0005-0000-0000-0000BA450000}"/>
    <cellStyle name="Input 24 55 2" xfId="11385" xr:uid="{00000000-0005-0000-0000-0000BB450000}"/>
    <cellStyle name="Input 24 56" xfId="11386" xr:uid="{00000000-0005-0000-0000-0000BC450000}"/>
    <cellStyle name="Input 24 56 2" xfId="11387" xr:uid="{00000000-0005-0000-0000-0000BD450000}"/>
    <cellStyle name="Input 24 57" xfId="11388" xr:uid="{00000000-0005-0000-0000-0000BE450000}"/>
    <cellStyle name="Input 24 57 2" xfId="11389" xr:uid="{00000000-0005-0000-0000-0000BF450000}"/>
    <cellStyle name="Input 24 58" xfId="11390" xr:uid="{00000000-0005-0000-0000-0000C0450000}"/>
    <cellStyle name="Input 24 58 2" xfId="11391" xr:uid="{00000000-0005-0000-0000-0000C1450000}"/>
    <cellStyle name="Input 24 59" xfId="11392" xr:uid="{00000000-0005-0000-0000-0000C2450000}"/>
    <cellStyle name="Input 24 59 2" xfId="11393" xr:uid="{00000000-0005-0000-0000-0000C3450000}"/>
    <cellStyle name="Input 24 6" xfId="11394" xr:uid="{00000000-0005-0000-0000-0000C4450000}"/>
    <cellStyle name="Input 24 6 2" xfId="11395" xr:uid="{00000000-0005-0000-0000-0000C5450000}"/>
    <cellStyle name="Input 24 60" xfId="11396" xr:uid="{00000000-0005-0000-0000-0000C6450000}"/>
    <cellStyle name="Input 24 60 2" xfId="11397" xr:uid="{00000000-0005-0000-0000-0000C7450000}"/>
    <cellStyle name="Input 24 61" xfId="11398" xr:uid="{00000000-0005-0000-0000-0000C8450000}"/>
    <cellStyle name="Input 24 61 2" xfId="11399" xr:uid="{00000000-0005-0000-0000-0000C9450000}"/>
    <cellStyle name="Input 24 62" xfId="11400" xr:uid="{00000000-0005-0000-0000-0000CA450000}"/>
    <cellStyle name="Input 24 62 2" xfId="11401" xr:uid="{00000000-0005-0000-0000-0000CB450000}"/>
    <cellStyle name="Input 24 63" xfId="11402" xr:uid="{00000000-0005-0000-0000-0000CC450000}"/>
    <cellStyle name="Input 24 7" xfId="11403" xr:uid="{00000000-0005-0000-0000-0000CD450000}"/>
    <cellStyle name="Input 24 7 2" xfId="11404" xr:uid="{00000000-0005-0000-0000-0000CE450000}"/>
    <cellStyle name="Input 24 8" xfId="11405" xr:uid="{00000000-0005-0000-0000-0000CF450000}"/>
    <cellStyle name="Input 24 8 2" xfId="11406" xr:uid="{00000000-0005-0000-0000-0000D0450000}"/>
    <cellStyle name="Input 24 9" xfId="11407" xr:uid="{00000000-0005-0000-0000-0000D1450000}"/>
    <cellStyle name="Input 24 9 2" xfId="11408" xr:uid="{00000000-0005-0000-0000-0000D2450000}"/>
    <cellStyle name="Input 3" xfId="305" xr:uid="{00000000-0005-0000-0000-0000D3450000}"/>
    <cellStyle name="Input 3 10" xfId="11409" xr:uid="{00000000-0005-0000-0000-0000D4450000}"/>
    <cellStyle name="Input 3 10 2" xfId="11410" xr:uid="{00000000-0005-0000-0000-0000D5450000}"/>
    <cellStyle name="Input 3 11" xfId="11411" xr:uid="{00000000-0005-0000-0000-0000D6450000}"/>
    <cellStyle name="Input 3 11 2" xfId="11412" xr:uid="{00000000-0005-0000-0000-0000D7450000}"/>
    <cellStyle name="Input 3 12" xfId="11413" xr:uid="{00000000-0005-0000-0000-0000D8450000}"/>
    <cellStyle name="Input 3 12 2" xfId="11414" xr:uid="{00000000-0005-0000-0000-0000D9450000}"/>
    <cellStyle name="Input 3 13" xfId="11415" xr:uid="{00000000-0005-0000-0000-0000DA450000}"/>
    <cellStyle name="Input 3 13 2" xfId="11416" xr:uid="{00000000-0005-0000-0000-0000DB450000}"/>
    <cellStyle name="Input 3 14" xfId="11417" xr:uid="{00000000-0005-0000-0000-0000DC450000}"/>
    <cellStyle name="Input 3 14 2" xfId="11418" xr:uid="{00000000-0005-0000-0000-0000DD450000}"/>
    <cellStyle name="Input 3 15" xfId="11419" xr:uid="{00000000-0005-0000-0000-0000DE450000}"/>
    <cellStyle name="Input 3 15 2" xfId="11420" xr:uid="{00000000-0005-0000-0000-0000DF450000}"/>
    <cellStyle name="Input 3 16" xfId="11421" xr:uid="{00000000-0005-0000-0000-0000E0450000}"/>
    <cellStyle name="Input 3 16 2" xfId="11422" xr:uid="{00000000-0005-0000-0000-0000E1450000}"/>
    <cellStyle name="Input 3 17" xfId="11423" xr:uid="{00000000-0005-0000-0000-0000E2450000}"/>
    <cellStyle name="Input 3 17 2" xfId="11424" xr:uid="{00000000-0005-0000-0000-0000E3450000}"/>
    <cellStyle name="Input 3 18" xfId="11425" xr:uid="{00000000-0005-0000-0000-0000E4450000}"/>
    <cellStyle name="Input 3 18 2" xfId="11426" xr:uid="{00000000-0005-0000-0000-0000E5450000}"/>
    <cellStyle name="Input 3 19" xfId="11427" xr:uid="{00000000-0005-0000-0000-0000E6450000}"/>
    <cellStyle name="Input 3 19 2" xfId="11428" xr:uid="{00000000-0005-0000-0000-0000E7450000}"/>
    <cellStyle name="Input 3 2" xfId="11429" xr:uid="{00000000-0005-0000-0000-0000E8450000}"/>
    <cellStyle name="Input 3 2 2" xfId="11430" xr:uid="{00000000-0005-0000-0000-0000E9450000}"/>
    <cellStyle name="Input 3 20" xfId="11431" xr:uid="{00000000-0005-0000-0000-0000EA450000}"/>
    <cellStyle name="Input 3 20 2" xfId="11432" xr:uid="{00000000-0005-0000-0000-0000EB450000}"/>
    <cellStyle name="Input 3 21" xfId="11433" xr:uid="{00000000-0005-0000-0000-0000EC450000}"/>
    <cellStyle name="Input 3 21 2" xfId="11434" xr:uid="{00000000-0005-0000-0000-0000ED450000}"/>
    <cellStyle name="Input 3 22" xfId="11435" xr:uid="{00000000-0005-0000-0000-0000EE450000}"/>
    <cellStyle name="Input 3 22 2" xfId="11436" xr:uid="{00000000-0005-0000-0000-0000EF450000}"/>
    <cellStyle name="Input 3 23" xfId="11437" xr:uid="{00000000-0005-0000-0000-0000F0450000}"/>
    <cellStyle name="Input 3 23 2" xfId="11438" xr:uid="{00000000-0005-0000-0000-0000F1450000}"/>
    <cellStyle name="Input 3 24" xfId="11439" xr:uid="{00000000-0005-0000-0000-0000F2450000}"/>
    <cellStyle name="Input 3 24 2" xfId="11440" xr:uid="{00000000-0005-0000-0000-0000F3450000}"/>
    <cellStyle name="Input 3 25" xfId="11441" xr:uid="{00000000-0005-0000-0000-0000F4450000}"/>
    <cellStyle name="Input 3 25 2" xfId="11442" xr:uid="{00000000-0005-0000-0000-0000F5450000}"/>
    <cellStyle name="Input 3 26" xfId="11443" xr:uid="{00000000-0005-0000-0000-0000F6450000}"/>
    <cellStyle name="Input 3 26 2" xfId="11444" xr:uid="{00000000-0005-0000-0000-0000F7450000}"/>
    <cellStyle name="Input 3 27" xfId="11445" xr:uid="{00000000-0005-0000-0000-0000F8450000}"/>
    <cellStyle name="Input 3 27 2" xfId="11446" xr:uid="{00000000-0005-0000-0000-0000F9450000}"/>
    <cellStyle name="Input 3 28" xfId="11447" xr:uid="{00000000-0005-0000-0000-0000FA450000}"/>
    <cellStyle name="Input 3 28 2" xfId="11448" xr:uid="{00000000-0005-0000-0000-0000FB450000}"/>
    <cellStyle name="Input 3 29" xfId="11449" xr:uid="{00000000-0005-0000-0000-0000FC450000}"/>
    <cellStyle name="Input 3 29 2" xfId="11450" xr:uid="{00000000-0005-0000-0000-0000FD450000}"/>
    <cellStyle name="Input 3 3" xfId="11451" xr:uid="{00000000-0005-0000-0000-0000FE450000}"/>
    <cellStyle name="Input 3 3 2" xfId="11452" xr:uid="{00000000-0005-0000-0000-0000FF450000}"/>
    <cellStyle name="Input 3 30" xfId="11453" xr:uid="{00000000-0005-0000-0000-000000460000}"/>
    <cellStyle name="Input 3 30 2" xfId="11454" xr:uid="{00000000-0005-0000-0000-000001460000}"/>
    <cellStyle name="Input 3 31" xfId="11455" xr:uid="{00000000-0005-0000-0000-000002460000}"/>
    <cellStyle name="Input 3 31 2" xfId="11456" xr:uid="{00000000-0005-0000-0000-000003460000}"/>
    <cellStyle name="Input 3 32" xfId="11457" xr:uid="{00000000-0005-0000-0000-000004460000}"/>
    <cellStyle name="Input 3 32 2" xfId="11458" xr:uid="{00000000-0005-0000-0000-000005460000}"/>
    <cellStyle name="Input 3 33" xfId="11459" xr:uid="{00000000-0005-0000-0000-000006460000}"/>
    <cellStyle name="Input 3 33 2" xfId="11460" xr:uid="{00000000-0005-0000-0000-000007460000}"/>
    <cellStyle name="Input 3 34" xfId="11461" xr:uid="{00000000-0005-0000-0000-000008460000}"/>
    <cellStyle name="Input 3 34 2" xfId="11462" xr:uid="{00000000-0005-0000-0000-000009460000}"/>
    <cellStyle name="Input 3 35" xfId="11463" xr:uid="{00000000-0005-0000-0000-00000A460000}"/>
    <cellStyle name="Input 3 35 2" xfId="11464" xr:uid="{00000000-0005-0000-0000-00000B460000}"/>
    <cellStyle name="Input 3 36" xfId="11465" xr:uid="{00000000-0005-0000-0000-00000C460000}"/>
    <cellStyle name="Input 3 36 2" xfId="11466" xr:uid="{00000000-0005-0000-0000-00000D460000}"/>
    <cellStyle name="Input 3 37" xfId="11467" xr:uid="{00000000-0005-0000-0000-00000E460000}"/>
    <cellStyle name="Input 3 37 2" xfId="11468" xr:uid="{00000000-0005-0000-0000-00000F460000}"/>
    <cellStyle name="Input 3 38" xfId="11469" xr:uid="{00000000-0005-0000-0000-000010460000}"/>
    <cellStyle name="Input 3 38 2" xfId="11470" xr:uid="{00000000-0005-0000-0000-000011460000}"/>
    <cellStyle name="Input 3 39" xfId="11471" xr:uid="{00000000-0005-0000-0000-000012460000}"/>
    <cellStyle name="Input 3 39 2" xfId="11472" xr:uid="{00000000-0005-0000-0000-000013460000}"/>
    <cellStyle name="Input 3 4" xfId="11473" xr:uid="{00000000-0005-0000-0000-000014460000}"/>
    <cellStyle name="Input 3 4 2" xfId="11474" xr:uid="{00000000-0005-0000-0000-000015460000}"/>
    <cellStyle name="Input 3 40" xfId="11475" xr:uid="{00000000-0005-0000-0000-000016460000}"/>
    <cellStyle name="Input 3 40 2" xfId="11476" xr:uid="{00000000-0005-0000-0000-000017460000}"/>
    <cellStyle name="Input 3 41" xfId="11477" xr:uid="{00000000-0005-0000-0000-000018460000}"/>
    <cellStyle name="Input 3 41 2" xfId="11478" xr:uid="{00000000-0005-0000-0000-000019460000}"/>
    <cellStyle name="Input 3 42" xfId="11479" xr:uid="{00000000-0005-0000-0000-00001A460000}"/>
    <cellStyle name="Input 3 42 2" xfId="11480" xr:uid="{00000000-0005-0000-0000-00001B460000}"/>
    <cellStyle name="Input 3 43" xfId="11481" xr:uid="{00000000-0005-0000-0000-00001C460000}"/>
    <cellStyle name="Input 3 43 2" xfId="11482" xr:uid="{00000000-0005-0000-0000-00001D460000}"/>
    <cellStyle name="Input 3 44" xfId="11483" xr:uid="{00000000-0005-0000-0000-00001E460000}"/>
    <cellStyle name="Input 3 44 2" xfId="11484" xr:uid="{00000000-0005-0000-0000-00001F460000}"/>
    <cellStyle name="Input 3 45" xfId="11485" xr:uid="{00000000-0005-0000-0000-000020460000}"/>
    <cellStyle name="Input 3 45 2" xfId="11486" xr:uid="{00000000-0005-0000-0000-000021460000}"/>
    <cellStyle name="Input 3 46" xfId="11487" xr:uid="{00000000-0005-0000-0000-000022460000}"/>
    <cellStyle name="Input 3 46 2" xfId="11488" xr:uid="{00000000-0005-0000-0000-000023460000}"/>
    <cellStyle name="Input 3 47" xfId="11489" xr:uid="{00000000-0005-0000-0000-000024460000}"/>
    <cellStyle name="Input 3 47 2" xfId="11490" xr:uid="{00000000-0005-0000-0000-000025460000}"/>
    <cellStyle name="Input 3 48" xfId="11491" xr:uid="{00000000-0005-0000-0000-000026460000}"/>
    <cellStyle name="Input 3 48 2" xfId="11492" xr:uid="{00000000-0005-0000-0000-000027460000}"/>
    <cellStyle name="Input 3 49" xfId="11493" xr:uid="{00000000-0005-0000-0000-000028460000}"/>
    <cellStyle name="Input 3 49 2" xfId="11494" xr:uid="{00000000-0005-0000-0000-000029460000}"/>
    <cellStyle name="Input 3 5" xfId="11495" xr:uid="{00000000-0005-0000-0000-00002A460000}"/>
    <cellStyle name="Input 3 5 2" xfId="11496" xr:uid="{00000000-0005-0000-0000-00002B460000}"/>
    <cellStyle name="Input 3 50" xfId="11497" xr:uid="{00000000-0005-0000-0000-00002C460000}"/>
    <cellStyle name="Input 3 50 2" xfId="11498" xr:uid="{00000000-0005-0000-0000-00002D460000}"/>
    <cellStyle name="Input 3 51" xfId="11499" xr:uid="{00000000-0005-0000-0000-00002E460000}"/>
    <cellStyle name="Input 3 51 2" xfId="11500" xr:uid="{00000000-0005-0000-0000-00002F460000}"/>
    <cellStyle name="Input 3 52" xfId="11501" xr:uid="{00000000-0005-0000-0000-000030460000}"/>
    <cellStyle name="Input 3 52 2" xfId="11502" xr:uid="{00000000-0005-0000-0000-000031460000}"/>
    <cellStyle name="Input 3 53" xfId="11503" xr:uid="{00000000-0005-0000-0000-000032460000}"/>
    <cellStyle name="Input 3 53 2" xfId="11504" xr:uid="{00000000-0005-0000-0000-000033460000}"/>
    <cellStyle name="Input 3 54" xfId="11505" xr:uid="{00000000-0005-0000-0000-000034460000}"/>
    <cellStyle name="Input 3 54 2" xfId="11506" xr:uid="{00000000-0005-0000-0000-000035460000}"/>
    <cellStyle name="Input 3 55" xfId="11507" xr:uid="{00000000-0005-0000-0000-000036460000}"/>
    <cellStyle name="Input 3 55 2" xfId="11508" xr:uid="{00000000-0005-0000-0000-000037460000}"/>
    <cellStyle name="Input 3 56" xfId="11509" xr:uid="{00000000-0005-0000-0000-000038460000}"/>
    <cellStyle name="Input 3 56 2" xfId="11510" xr:uid="{00000000-0005-0000-0000-000039460000}"/>
    <cellStyle name="Input 3 57" xfId="11511" xr:uid="{00000000-0005-0000-0000-00003A460000}"/>
    <cellStyle name="Input 3 57 2" xfId="11512" xr:uid="{00000000-0005-0000-0000-00003B460000}"/>
    <cellStyle name="Input 3 58" xfId="11513" xr:uid="{00000000-0005-0000-0000-00003C460000}"/>
    <cellStyle name="Input 3 58 2" xfId="11514" xr:uid="{00000000-0005-0000-0000-00003D460000}"/>
    <cellStyle name="Input 3 59" xfId="11515" xr:uid="{00000000-0005-0000-0000-00003E460000}"/>
    <cellStyle name="Input 3 59 2" xfId="11516" xr:uid="{00000000-0005-0000-0000-00003F460000}"/>
    <cellStyle name="Input 3 6" xfId="11517" xr:uid="{00000000-0005-0000-0000-000040460000}"/>
    <cellStyle name="Input 3 6 2" xfId="11518" xr:uid="{00000000-0005-0000-0000-000041460000}"/>
    <cellStyle name="Input 3 60" xfId="11519" xr:uid="{00000000-0005-0000-0000-000042460000}"/>
    <cellStyle name="Input 3 60 2" xfId="11520" xr:uid="{00000000-0005-0000-0000-000043460000}"/>
    <cellStyle name="Input 3 61" xfId="11521" xr:uid="{00000000-0005-0000-0000-000044460000}"/>
    <cellStyle name="Input 3 61 2" xfId="11522" xr:uid="{00000000-0005-0000-0000-000045460000}"/>
    <cellStyle name="Input 3 62" xfId="11523" xr:uid="{00000000-0005-0000-0000-000046460000}"/>
    <cellStyle name="Input 3 62 2" xfId="11524" xr:uid="{00000000-0005-0000-0000-000047460000}"/>
    <cellStyle name="Input 3 63" xfId="11525" xr:uid="{00000000-0005-0000-0000-000048460000}"/>
    <cellStyle name="Input 3 7" xfId="11526" xr:uid="{00000000-0005-0000-0000-000049460000}"/>
    <cellStyle name="Input 3 7 2" xfId="11527" xr:uid="{00000000-0005-0000-0000-00004A460000}"/>
    <cellStyle name="Input 3 8" xfId="11528" xr:uid="{00000000-0005-0000-0000-00004B460000}"/>
    <cellStyle name="Input 3 8 2" xfId="11529" xr:uid="{00000000-0005-0000-0000-00004C460000}"/>
    <cellStyle name="Input 3 9" xfId="11530" xr:uid="{00000000-0005-0000-0000-00004D460000}"/>
    <cellStyle name="Input 3 9 2" xfId="11531" xr:uid="{00000000-0005-0000-0000-00004E460000}"/>
    <cellStyle name="Input 4" xfId="306" xr:uid="{00000000-0005-0000-0000-00004F460000}"/>
    <cellStyle name="Input 4 10" xfId="11532" xr:uid="{00000000-0005-0000-0000-000050460000}"/>
    <cellStyle name="Input 4 10 2" xfId="11533" xr:uid="{00000000-0005-0000-0000-000051460000}"/>
    <cellStyle name="Input 4 11" xfId="11534" xr:uid="{00000000-0005-0000-0000-000052460000}"/>
    <cellStyle name="Input 4 11 2" xfId="11535" xr:uid="{00000000-0005-0000-0000-000053460000}"/>
    <cellStyle name="Input 4 12" xfId="11536" xr:uid="{00000000-0005-0000-0000-000054460000}"/>
    <cellStyle name="Input 4 12 2" xfId="11537" xr:uid="{00000000-0005-0000-0000-000055460000}"/>
    <cellStyle name="Input 4 13" xfId="11538" xr:uid="{00000000-0005-0000-0000-000056460000}"/>
    <cellStyle name="Input 4 13 2" xfId="11539" xr:uid="{00000000-0005-0000-0000-000057460000}"/>
    <cellStyle name="Input 4 14" xfId="11540" xr:uid="{00000000-0005-0000-0000-000058460000}"/>
    <cellStyle name="Input 4 14 2" xfId="11541" xr:uid="{00000000-0005-0000-0000-000059460000}"/>
    <cellStyle name="Input 4 15" xfId="11542" xr:uid="{00000000-0005-0000-0000-00005A460000}"/>
    <cellStyle name="Input 4 15 2" xfId="11543" xr:uid="{00000000-0005-0000-0000-00005B460000}"/>
    <cellStyle name="Input 4 16" xfId="11544" xr:uid="{00000000-0005-0000-0000-00005C460000}"/>
    <cellStyle name="Input 4 16 2" xfId="11545" xr:uid="{00000000-0005-0000-0000-00005D460000}"/>
    <cellStyle name="Input 4 17" xfId="11546" xr:uid="{00000000-0005-0000-0000-00005E460000}"/>
    <cellStyle name="Input 4 17 2" xfId="11547" xr:uid="{00000000-0005-0000-0000-00005F460000}"/>
    <cellStyle name="Input 4 18" xfId="11548" xr:uid="{00000000-0005-0000-0000-000060460000}"/>
    <cellStyle name="Input 4 18 2" xfId="11549" xr:uid="{00000000-0005-0000-0000-000061460000}"/>
    <cellStyle name="Input 4 19" xfId="11550" xr:uid="{00000000-0005-0000-0000-000062460000}"/>
    <cellStyle name="Input 4 19 2" xfId="11551" xr:uid="{00000000-0005-0000-0000-000063460000}"/>
    <cellStyle name="Input 4 2" xfId="11552" xr:uid="{00000000-0005-0000-0000-000064460000}"/>
    <cellStyle name="Input 4 2 2" xfId="11553" xr:uid="{00000000-0005-0000-0000-000065460000}"/>
    <cellStyle name="Input 4 20" xfId="11554" xr:uid="{00000000-0005-0000-0000-000066460000}"/>
    <cellStyle name="Input 4 20 2" xfId="11555" xr:uid="{00000000-0005-0000-0000-000067460000}"/>
    <cellStyle name="Input 4 21" xfId="11556" xr:uid="{00000000-0005-0000-0000-000068460000}"/>
    <cellStyle name="Input 4 21 2" xfId="11557" xr:uid="{00000000-0005-0000-0000-000069460000}"/>
    <cellStyle name="Input 4 22" xfId="11558" xr:uid="{00000000-0005-0000-0000-00006A460000}"/>
    <cellStyle name="Input 4 22 2" xfId="11559" xr:uid="{00000000-0005-0000-0000-00006B460000}"/>
    <cellStyle name="Input 4 23" xfId="11560" xr:uid="{00000000-0005-0000-0000-00006C460000}"/>
    <cellStyle name="Input 4 23 2" xfId="11561" xr:uid="{00000000-0005-0000-0000-00006D460000}"/>
    <cellStyle name="Input 4 24" xfId="11562" xr:uid="{00000000-0005-0000-0000-00006E460000}"/>
    <cellStyle name="Input 4 24 2" xfId="11563" xr:uid="{00000000-0005-0000-0000-00006F460000}"/>
    <cellStyle name="Input 4 25" xfId="11564" xr:uid="{00000000-0005-0000-0000-000070460000}"/>
    <cellStyle name="Input 4 25 2" xfId="11565" xr:uid="{00000000-0005-0000-0000-000071460000}"/>
    <cellStyle name="Input 4 26" xfId="11566" xr:uid="{00000000-0005-0000-0000-000072460000}"/>
    <cellStyle name="Input 4 26 2" xfId="11567" xr:uid="{00000000-0005-0000-0000-000073460000}"/>
    <cellStyle name="Input 4 27" xfId="11568" xr:uid="{00000000-0005-0000-0000-000074460000}"/>
    <cellStyle name="Input 4 27 2" xfId="11569" xr:uid="{00000000-0005-0000-0000-000075460000}"/>
    <cellStyle name="Input 4 28" xfId="11570" xr:uid="{00000000-0005-0000-0000-000076460000}"/>
    <cellStyle name="Input 4 28 2" xfId="11571" xr:uid="{00000000-0005-0000-0000-000077460000}"/>
    <cellStyle name="Input 4 29" xfId="11572" xr:uid="{00000000-0005-0000-0000-000078460000}"/>
    <cellStyle name="Input 4 29 2" xfId="11573" xr:uid="{00000000-0005-0000-0000-000079460000}"/>
    <cellStyle name="Input 4 3" xfId="11574" xr:uid="{00000000-0005-0000-0000-00007A460000}"/>
    <cellStyle name="Input 4 3 2" xfId="11575" xr:uid="{00000000-0005-0000-0000-00007B460000}"/>
    <cellStyle name="Input 4 30" xfId="11576" xr:uid="{00000000-0005-0000-0000-00007C460000}"/>
    <cellStyle name="Input 4 30 2" xfId="11577" xr:uid="{00000000-0005-0000-0000-00007D460000}"/>
    <cellStyle name="Input 4 31" xfId="11578" xr:uid="{00000000-0005-0000-0000-00007E460000}"/>
    <cellStyle name="Input 4 31 2" xfId="11579" xr:uid="{00000000-0005-0000-0000-00007F460000}"/>
    <cellStyle name="Input 4 32" xfId="11580" xr:uid="{00000000-0005-0000-0000-000080460000}"/>
    <cellStyle name="Input 4 32 2" xfId="11581" xr:uid="{00000000-0005-0000-0000-000081460000}"/>
    <cellStyle name="Input 4 33" xfId="11582" xr:uid="{00000000-0005-0000-0000-000082460000}"/>
    <cellStyle name="Input 4 33 2" xfId="11583" xr:uid="{00000000-0005-0000-0000-000083460000}"/>
    <cellStyle name="Input 4 34" xfId="11584" xr:uid="{00000000-0005-0000-0000-000084460000}"/>
    <cellStyle name="Input 4 34 2" xfId="11585" xr:uid="{00000000-0005-0000-0000-000085460000}"/>
    <cellStyle name="Input 4 35" xfId="11586" xr:uid="{00000000-0005-0000-0000-000086460000}"/>
    <cellStyle name="Input 4 35 2" xfId="11587" xr:uid="{00000000-0005-0000-0000-000087460000}"/>
    <cellStyle name="Input 4 36" xfId="11588" xr:uid="{00000000-0005-0000-0000-000088460000}"/>
    <cellStyle name="Input 4 36 2" xfId="11589" xr:uid="{00000000-0005-0000-0000-000089460000}"/>
    <cellStyle name="Input 4 37" xfId="11590" xr:uid="{00000000-0005-0000-0000-00008A460000}"/>
    <cellStyle name="Input 4 37 2" xfId="11591" xr:uid="{00000000-0005-0000-0000-00008B460000}"/>
    <cellStyle name="Input 4 38" xfId="11592" xr:uid="{00000000-0005-0000-0000-00008C460000}"/>
    <cellStyle name="Input 4 38 2" xfId="11593" xr:uid="{00000000-0005-0000-0000-00008D460000}"/>
    <cellStyle name="Input 4 39" xfId="11594" xr:uid="{00000000-0005-0000-0000-00008E460000}"/>
    <cellStyle name="Input 4 39 2" xfId="11595" xr:uid="{00000000-0005-0000-0000-00008F460000}"/>
    <cellStyle name="Input 4 4" xfId="11596" xr:uid="{00000000-0005-0000-0000-000090460000}"/>
    <cellStyle name="Input 4 4 2" xfId="11597" xr:uid="{00000000-0005-0000-0000-000091460000}"/>
    <cellStyle name="Input 4 40" xfId="11598" xr:uid="{00000000-0005-0000-0000-000092460000}"/>
    <cellStyle name="Input 4 40 2" xfId="11599" xr:uid="{00000000-0005-0000-0000-000093460000}"/>
    <cellStyle name="Input 4 41" xfId="11600" xr:uid="{00000000-0005-0000-0000-000094460000}"/>
    <cellStyle name="Input 4 41 2" xfId="11601" xr:uid="{00000000-0005-0000-0000-000095460000}"/>
    <cellStyle name="Input 4 42" xfId="11602" xr:uid="{00000000-0005-0000-0000-000096460000}"/>
    <cellStyle name="Input 4 42 2" xfId="11603" xr:uid="{00000000-0005-0000-0000-000097460000}"/>
    <cellStyle name="Input 4 43" xfId="11604" xr:uid="{00000000-0005-0000-0000-000098460000}"/>
    <cellStyle name="Input 4 43 2" xfId="11605" xr:uid="{00000000-0005-0000-0000-000099460000}"/>
    <cellStyle name="Input 4 44" xfId="11606" xr:uid="{00000000-0005-0000-0000-00009A460000}"/>
    <cellStyle name="Input 4 44 2" xfId="11607" xr:uid="{00000000-0005-0000-0000-00009B460000}"/>
    <cellStyle name="Input 4 45" xfId="11608" xr:uid="{00000000-0005-0000-0000-00009C460000}"/>
    <cellStyle name="Input 4 45 2" xfId="11609" xr:uid="{00000000-0005-0000-0000-00009D460000}"/>
    <cellStyle name="Input 4 46" xfId="11610" xr:uid="{00000000-0005-0000-0000-00009E460000}"/>
    <cellStyle name="Input 4 46 2" xfId="11611" xr:uid="{00000000-0005-0000-0000-00009F460000}"/>
    <cellStyle name="Input 4 47" xfId="11612" xr:uid="{00000000-0005-0000-0000-0000A0460000}"/>
    <cellStyle name="Input 4 47 2" xfId="11613" xr:uid="{00000000-0005-0000-0000-0000A1460000}"/>
    <cellStyle name="Input 4 48" xfId="11614" xr:uid="{00000000-0005-0000-0000-0000A2460000}"/>
    <cellStyle name="Input 4 48 2" xfId="11615" xr:uid="{00000000-0005-0000-0000-0000A3460000}"/>
    <cellStyle name="Input 4 49" xfId="11616" xr:uid="{00000000-0005-0000-0000-0000A4460000}"/>
    <cellStyle name="Input 4 49 2" xfId="11617" xr:uid="{00000000-0005-0000-0000-0000A5460000}"/>
    <cellStyle name="Input 4 5" xfId="11618" xr:uid="{00000000-0005-0000-0000-0000A6460000}"/>
    <cellStyle name="Input 4 5 2" xfId="11619" xr:uid="{00000000-0005-0000-0000-0000A7460000}"/>
    <cellStyle name="Input 4 50" xfId="11620" xr:uid="{00000000-0005-0000-0000-0000A8460000}"/>
    <cellStyle name="Input 4 50 2" xfId="11621" xr:uid="{00000000-0005-0000-0000-0000A9460000}"/>
    <cellStyle name="Input 4 51" xfId="11622" xr:uid="{00000000-0005-0000-0000-0000AA460000}"/>
    <cellStyle name="Input 4 51 2" xfId="11623" xr:uid="{00000000-0005-0000-0000-0000AB460000}"/>
    <cellStyle name="Input 4 52" xfId="11624" xr:uid="{00000000-0005-0000-0000-0000AC460000}"/>
    <cellStyle name="Input 4 52 2" xfId="11625" xr:uid="{00000000-0005-0000-0000-0000AD460000}"/>
    <cellStyle name="Input 4 53" xfId="11626" xr:uid="{00000000-0005-0000-0000-0000AE460000}"/>
    <cellStyle name="Input 4 53 2" xfId="11627" xr:uid="{00000000-0005-0000-0000-0000AF460000}"/>
    <cellStyle name="Input 4 54" xfId="11628" xr:uid="{00000000-0005-0000-0000-0000B0460000}"/>
    <cellStyle name="Input 4 54 2" xfId="11629" xr:uid="{00000000-0005-0000-0000-0000B1460000}"/>
    <cellStyle name="Input 4 55" xfId="11630" xr:uid="{00000000-0005-0000-0000-0000B2460000}"/>
    <cellStyle name="Input 4 55 2" xfId="11631" xr:uid="{00000000-0005-0000-0000-0000B3460000}"/>
    <cellStyle name="Input 4 56" xfId="11632" xr:uid="{00000000-0005-0000-0000-0000B4460000}"/>
    <cellStyle name="Input 4 56 2" xfId="11633" xr:uid="{00000000-0005-0000-0000-0000B5460000}"/>
    <cellStyle name="Input 4 57" xfId="11634" xr:uid="{00000000-0005-0000-0000-0000B6460000}"/>
    <cellStyle name="Input 4 57 2" xfId="11635" xr:uid="{00000000-0005-0000-0000-0000B7460000}"/>
    <cellStyle name="Input 4 58" xfId="11636" xr:uid="{00000000-0005-0000-0000-0000B8460000}"/>
    <cellStyle name="Input 4 58 2" xfId="11637" xr:uid="{00000000-0005-0000-0000-0000B9460000}"/>
    <cellStyle name="Input 4 59" xfId="11638" xr:uid="{00000000-0005-0000-0000-0000BA460000}"/>
    <cellStyle name="Input 4 59 2" xfId="11639" xr:uid="{00000000-0005-0000-0000-0000BB460000}"/>
    <cellStyle name="Input 4 6" xfId="11640" xr:uid="{00000000-0005-0000-0000-0000BC460000}"/>
    <cellStyle name="Input 4 6 2" xfId="11641" xr:uid="{00000000-0005-0000-0000-0000BD460000}"/>
    <cellStyle name="Input 4 60" xfId="11642" xr:uid="{00000000-0005-0000-0000-0000BE460000}"/>
    <cellStyle name="Input 4 60 2" xfId="11643" xr:uid="{00000000-0005-0000-0000-0000BF460000}"/>
    <cellStyle name="Input 4 61" xfId="11644" xr:uid="{00000000-0005-0000-0000-0000C0460000}"/>
    <cellStyle name="Input 4 61 2" xfId="11645" xr:uid="{00000000-0005-0000-0000-0000C1460000}"/>
    <cellStyle name="Input 4 62" xfId="11646" xr:uid="{00000000-0005-0000-0000-0000C2460000}"/>
    <cellStyle name="Input 4 62 2" xfId="11647" xr:uid="{00000000-0005-0000-0000-0000C3460000}"/>
    <cellStyle name="Input 4 63" xfId="11648" xr:uid="{00000000-0005-0000-0000-0000C4460000}"/>
    <cellStyle name="Input 4 7" xfId="11649" xr:uid="{00000000-0005-0000-0000-0000C5460000}"/>
    <cellStyle name="Input 4 7 2" xfId="11650" xr:uid="{00000000-0005-0000-0000-0000C6460000}"/>
    <cellStyle name="Input 4 8" xfId="11651" xr:uid="{00000000-0005-0000-0000-0000C7460000}"/>
    <cellStyle name="Input 4 8 2" xfId="11652" xr:uid="{00000000-0005-0000-0000-0000C8460000}"/>
    <cellStyle name="Input 4 9" xfId="11653" xr:uid="{00000000-0005-0000-0000-0000C9460000}"/>
    <cellStyle name="Input 4 9 2" xfId="11654" xr:uid="{00000000-0005-0000-0000-0000CA460000}"/>
    <cellStyle name="Input 5" xfId="307" xr:uid="{00000000-0005-0000-0000-0000CB460000}"/>
    <cellStyle name="Input 5 10" xfId="11655" xr:uid="{00000000-0005-0000-0000-0000CC460000}"/>
    <cellStyle name="Input 5 10 2" xfId="11656" xr:uid="{00000000-0005-0000-0000-0000CD460000}"/>
    <cellStyle name="Input 5 11" xfId="11657" xr:uid="{00000000-0005-0000-0000-0000CE460000}"/>
    <cellStyle name="Input 5 11 2" xfId="11658" xr:uid="{00000000-0005-0000-0000-0000CF460000}"/>
    <cellStyle name="Input 5 12" xfId="11659" xr:uid="{00000000-0005-0000-0000-0000D0460000}"/>
    <cellStyle name="Input 5 12 2" xfId="11660" xr:uid="{00000000-0005-0000-0000-0000D1460000}"/>
    <cellStyle name="Input 5 13" xfId="11661" xr:uid="{00000000-0005-0000-0000-0000D2460000}"/>
    <cellStyle name="Input 5 13 2" xfId="11662" xr:uid="{00000000-0005-0000-0000-0000D3460000}"/>
    <cellStyle name="Input 5 14" xfId="11663" xr:uid="{00000000-0005-0000-0000-0000D4460000}"/>
    <cellStyle name="Input 5 14 2" xfId="11664" xr:uid="{00000000-0005-0000-0000-0000D5460000}"/>
    <cellStyle name="Input 5 15" xfId="11665" xr:uid="{00000000-0005-0000-0000-0000D6460000}"/>
    <cellStyle name="Input 5 15 2" xfId="11666" xr:uid="{00000000-0005-0000-0000-0000D7460000}"/>
    <cellStyle name="Input 5 16" xfId="11667" xr:uid="{00000000-0005-0000-0000-0000D8460000}"/>
    <cellStyle name="Input 5 16 2" xfId="11668" xr:uid="{00000000-0005-0000-0000-0000D9460000}"/>
    <cellStyle name="Input 5 17" xfId="11669" xr:uid="{00000000-0005-0000-0000-0000DA460000}"/>
    <cellStyle name="Input 5 17 2" xfId="11670" xr:uid="{00000000-0005-0000-0000-0000DB460000}"/>
    <cellStyle name="Input 5 18" xfId="11671" xr:uid="{00000000-0005-0000-0000-0000DC460000}"/>
    <cellStyle name="Input 5 18 2" xfId="11672" xr:uid="{00000000-0005-0000-0000-0000DD460000}"/>
    <cellStyle name="Input 5 19" xfId="11673" xr:uid="{00000000-0005-0000-0000-0000DE460000}"/>
    <cellStyle name="Input 5 19 2" xfId="11674" xr:uid="{00000000-0005-0000-0000-0000DF460000}"/>
    <cellStyle name="Input 5 2" xfId="11675" xr:uid="{00000000-0005-0000-0000-0000E0460000}"/>
    <cellStyle name="Input 5 2 2" xfId="11676" xr:uid="{00000000-0005-0000-0000-0000E1460000}"/>
    <cellStyle name="Input 5 20" xfId="11677" xr:uid="{00000000-0005-0000-0000-0000E2460000}"/>
    <cellStyle name="Input 5 20 2" xfId="11678" xr:uid="{00000000-0005-0000-0000-0000E3460000}"/>
    <cellStyle name="Input 5 21" xfId="11679" xr:uid="{00000000-0005-0000-0000-0000E4460000}"/>
    <cellStyle name="Input 5 21 2" xfId="11680" xr:uid="{00000000-0005-0000-0000-0000E5460000}"/>
    <cellStyle name="Input 5 22" xfId="11681" xr:uid="{00000000-0005-0000-0000-0000E6460000}"/>
    <cellStyle name="Input 5 22 2" xfId="11682" xr:uid="{00000000-0005-0000-0000-0000E7460000}"/>
    <cellStyle name="Input 5 23" xfId="11683" xr:uid="{00000000-0005-0000-0000-0000E8460000}"/>
    <cellStyle name="Input 5 23 2" xfId="11684" xr:uid="{00000000-0005-0000-0000-0000E9460000}"/>
    <cellStyle name="Input 5 24" xfId="11685" xr:uid="{00000000-0005-0000-0000-0000EA460000}"/>
    <cellStyle name="Input 5 24 2" xfId="11686" xr:uid="{00000000-0005-0000-0000-0000EB460000}"/>
    <cellStyle name="Input 5 25" xfId="11687" xr:uid="{00000000-0005-0000-0000-0000EC460000}"/>
    <cellStyle name="Input 5 25 2" xfId="11688" xr:uid="{00000000-0005-0000-0000-0000ED460000}"/>
    <cellStyle name="Input 5 26" xfId="11689" xr:uid="{00000000-0005-0000-0000-0000EE460000}"/>
    <cellStyle name="Input 5 26 2" xfId="11690" xr:uid="{00000000-0005-0000-0000-0000EF460000}"/>
    <cellStyle name="Input 5 27" xfId="11691" xr:uid="{00000000-0005-0000-0000-0000F0460000}"/>
    <cellStyle name="Input 5 27 2" xfId="11692" xr:uid="{00000000-0005-0000-0000-0000F1460000}"/>
    <cellStyle name="Input 5 28" xfId="11693" xr:uid="{00000000-0005-0000-0000-0000F2460000}"/>
    <cellStyle name="Input 5 28 2" xfId="11694" xr:uid="{00000000-0005-0000-0000-0000F3460000}"/>
    <cellStyle name="Input 5 29" xfId="11695" xr:uid="{00000000-0005-0000-0000-0000F4460000}"/>
    <cellStyle name="Input 5 29 2" xfId="11696" xr:uid="{00000000-0005-0000-0000-0000F5460000}"/>
    <cellStyle name="Input 5 3" xfId="11697" xr:uid="{00000000-0005-0000-0000-0000F6460000}"/>
    <cellStyle name="Input 5 3 2" xfId="11698" xr:uid="{00000000-0005-0000-0000-0000F7460000}"/>
    <cellStyle name="Input 5 30" xfId="11699" xr:uid="{00000000-0005-0000-0000-0000F8460000}"/>
    <cellStyle name="Input 5 30 2" xfId="11700" xr:uid="{00000000-0005-0000-0000-0000F9460000}"/>
    <cellStyle name="Input 5 31" xfId="11701" xr:uid="{00000000-0005-0000-0000-0000FA460000}"/>
    <cellStyle name="Input 5 31 2" xfId="11702" xr:uid="{00000000-0005-0000-0000-0000FB460000}"/>
    <cellStyle name="Input 5 32" xfId="11703" xr:uid="{00000000-0005-0000-0000-0000FC460000}"/>
    <cellStyle name="Input 5 32 2" xfId="11704" xr:uid="{00000000-0005-0000-0000-0000FD460000}"/>
    <cellStyle name="Input 5 33" xfId="11705" xr:uid="{00000000-0005-0000-0000-0000FE460000}"/>
    <cellStyle name="Input 5 33 2" xfId="11706" xr:uid="{00000000-0005-0000-0000-0000FF460000}"/>
    <cellStyle name="Input 5 34" xfId="11707" xr:uid="{00000000-0005-0000-0000-000000470000}"/>
    <cellStyle name="Input 5 34 2" xfId="11708" xr:uid="{00000000-0005-0000-0000-000001470000}"/>
    <cellStyle name="Input 5 35" xfId="11709" xr:uid="{00000000-0005-0000-0000-000002470000}"/>
    <cellStyle name="Input 5 35 2" xfId="11710" xr:uid="{00000000-0005-0000-0000-000003470000}"/>
    <cellStyle name="Input 5 36" xfId="11711" xr:uid="{00000000-0005-0000-0000-000004470000}"/>
    <cellStyle name="Input 5 36 2" xfId="11712" xr:uid="{00000000-0005-0000-0000-000005470000}"/>
    <cellStyle name="Input 5 37" xfId="11713" xr:uid="{00000000-0005-0000-0000-000006470000}"/>
    <cellStyle name="Input 5 37 2" xfId="11714" xr:uid="{00000000-0005-0000-0000-000007470000}"/>
    <cellStyle name="Input 5 38" xfId="11715" xr:uid="{00000000-0005-0000-0000-000008470000}"/>
    <cellStyle name="Input 5 38 2" xfId="11716" xr:uid="{00000000-0005-0000-0000-000009470000}"/>
    <cellStyle name="Input 5 39" xfId="11717" xr:uid="{00000000-0005-0000-0000-00000A470000}"/>
    <cellStyle name="Input 5 39 2" xfId="11718" xr:uid="{00000000-0005-0000-0000-00000B470000}"/>
    <cellStyle name="Input 5 4" xfId="11719" xr:uid="{00000000-0005-0000-0000-00000C470000}"/>
    <cellStyle name="Input 5 4 2" xfId="11720" xr:uid="{00000000-0005-0000-0000-00000D470000}"/>
    <cellStyle name="Input 5 40" xfId="11721" xr:uid="{00000000-0005-0000-0000-00000E470000}"/>
    <cellStyle name="Input 5 40 2" xfId="11722" xr:uid="{00000000-0005-0000-0000-00000F470000}"/>
    <cellStyle name="Input 5 41" xfId="11723" xr:uid="{00000000-0005-0000-0000-000010470000}"/>
    <cellStyle name="Input 5 41 2" xfId="11724" xr:uid="{00000000-0005-0000-0000-000011470000}"/>
    <cellStyle name="Input 5 42" xfId="11725" xr:uid="{00000000-0005-0000-0000-000012470000}"/>
    <cellStyle name="Input 5 42 2" xfId="11726" xr:uid="{00000000-0005-0000-0000-000013470000}"/>
    <cellStyle name="Input 5 43" xfId="11727" xr:uid="{00000000-0005-0000-0000-000014470000}"/>
    <cellStyle name="Input 5 43 2" xfId="11728" xr:uid="{00000000-0005-0000-0000-000015470000}"/>
    <cellStyle name="Input 5 44" xfId="11729" xr:uid="{00000000-0005-0000-0000-000016470000}"/>
    <cellStyle name="Input 5 44 2" xfId="11730" xr:uid="{00000000-0005-0000-0000-000017470000}"/>
    <cellStyle name="Input 5 45" xfId="11731" xr:uid="{00000000-0005-0000-0000-000018470000}"/>
    <cellStyle name="Input 5 45 2" xfId="11732" xr:uid="{00000000-0005-0000-0000-000019470000}"/>
    <cellStyle name="Input 5 46" xfId="11733" xr:uid="{00000000-0005-0000-0000-00001A470000}"/>
    <cellStyle name="Input 5 46 2" xfId="11734" xr:uid="{00000000-0005-0000-0000-00001B470000}"/>
    <cellStyle name="Input 5 47" xfId="11735" xr:uid="{00000000-0005-0000-0000-00001C470000}"/>
    <cellStyle name="Input 5 47 2" xfId="11736" xr:uid="{00000000-0005-0000-0000-00001D470000}"/>
    <cellStyle name="Input 5 48" xfId="11737" xr:uid="{00000000-0005-0000-0000-00001E470000}"/>
    <cellStyle name="Input 5 48 2" xfId="11738" xr:uid="{00000000-0005-0000-0000-00001F470000}"/>
    <cellStyle name="Input 5 49" xfId="11739" xr:uid="{00000000-0005-0000-0000-000020470000}"/>
    <cellStyle name="Input 5 49 2" xfId="11740" xr:uid="{00000000-0005-0000-0000-000021470000}"/>
    <cellStyle name="Input 5 5" xfId="11741" xr:uid="{00000000-0005-0000-0000-000022470000}"/>
    <cellStyle name="Input 5 5 2" xfId="11742" xr:uid="{00000000-0005-0000-0000-000023470000}"/>
    <cellStyle name="Input 5 50" xfId="11743" xr:uid="{00000000-0005-0000-0000-000024470000}"/>
    <cellStyle name="Input 5 50 2" xfId="11744" xr:uid="{00000000-0005-0000-0000-000025470000}"/>
    <cellStyle name="Input 5 51" xfId="11745" xr:uid="{00000000-0005-0000-0000-000026470000}"/>
    <cellStyle name="Input 5 51 2" xfId="11746" xr:uid="{00000000-0005-0000-0000-000027470000}"/>
    <cellStyle name="Input 5 52" xfId="11747" xr:uid="{00000000-0005-0000-0000-000028470000}"/>
    <cellStyle name="Input 5 52 2" xfId="11748" xr:uid="{00000000-0005-0000-0000-000029470000}"/>
    <cellStyle name="Input 5 53" xfId="11749" xr:uid="{00000000-0005-0000-0000-00002A470000}"/>
    <cellStyle name="Input 5 53 2" xfId="11750" xr:uid="{00000000-0005-0000-0000-00002B470000}"/>
    <cellStyle name="Input 5 54" xfId="11751" xr:uid="{00000000-0005-0000-0000-00002C470000}"/>
    <cellStyle name="Input 5 54 2" xfId="11752" xr:uid="{00000000-0005-0000-0000-00002D470000}"/>
    <cellStyle name="Input 5 55" xfId="11753" xr:uid="{00000000-0005-0000-0000-00002E470000}"/>
    <cellStyle name="Input 5 55 2" xfId="11754" xr:uid="{00000000-0005-0000-0000-00002F470000}"/>
    <cellStyle name="Input 5 56" xfId="11755" xr:uid="{00000000-0005-0000-0000-000030470000}"/>
    <cellStyle name="Input 5 56 2" xfId="11756" xr:uid="{00000000-0005-0000-0000-000031470000}"/>
    <cellStyle name="Input 5 57" xfId="11757" xr:uid="{00000000-0005-0000-0000-000032470000}"/>
    <cellStyle name="Input 5 57 2" xfId="11758" xr:uid="{00000000-0005-0000-0000-000033470000}"/>
    <cellStyle name="Input 5 58" xfId="11759" xr:uid="{00000000-0005-0000-0000-000034470000}"/>
    <cellStyle name="Input 5 58 2" xfId="11760" xr:uid="{00000000-0005-0000-0000-000035470000}"/>
    <cellStyle name="Input 5 59" xfId="11761" xr:uid="{00000000-0005-0000-0000-000036470000}"/>
    <cellStyle name="Input 5 59 2" xfId="11762" xr:uid="{00000000-0005-0000-0000-000037470000}"/>
    <cellStyle name="Input 5 6" xfId="11763" xr:uid="{00000000-0005-0000-0000-000038470000}"/>
    <cellStyle name="Input 5 6 2" xfId="11764" xr:uid="{00000000-0005-0000-0000-000039470000}"/>
    <cellStyle name="Input 5 60" xfId="11765" xr:uid="{00000000-0005-0000-0000-00003A470000}"/>
    <cellStyle name="Input 5 60 2" xfId="11766" xr:uid="{00000000-0005-0000-0000-00003B470000}"/>
    <cellStyle name="Input 5 61" xfId="11767" xr:uid="{00000000-0005-0000-0000-00003C470000}"/>
    <cellStyle name="Input 5 61 2" xfId="11768" xr:uid="{00000000-0005-0000-0000-00003D470000}"/>
    <cellStyle name="Input 5 62" xfId="11769" xr:uid="{00000000-0005-0000-0000-00003E470000}"/>
    <cellStyle name="Input 5 62 2" xfId="11770" xr:uid="{00000000-0005-0000-0000-00003F470000}"/>
    <cellStyle name="Input 5 63" xfId="11771" xr:uid="{00000000-0005-0000-0000-000040470000}"/>
    <cellStyle name="Input 5 7" xfId="11772" xr:uid="{00000000-0005-0000-0000-000041470000}"/>
    <cellStyle name="Input 5 7 2" xfId="11773" xr:uid="{00000000-0005-0000-0000-000042470000}"/>
    <cellStyle name="Input 5 8" xfId="11774" xr:uid="{00000000-0005-0000-0000-000043470000}"/>
    <cellStyle name="Input 5 8 2" xfId="11775" xr:uid="{00000000-0005-0000-0000-000044470000}"/>
    <cellStyle name="Input 5 9" xfId="11776" xr:uid="{00000000-0005-0000-0000-000045470000}"/>
    <cellStyle name="Input 5 9 2" xfId="11777" xr:uid="{00000000-0005-0000-0000-000046470000}"/>
    <cellStyle name="Input 6" xfId="308" xr:uid="{00000000-0005-0000-0000-000047470000}"/>
    <cellStyle name="Input 6 10" xfId="11778" xr:uid="{00000000-0005-0000-0000-000048470000}"/>
    <cellStyle name="Input 6 10 2" xfId="11779" xr:uid="{00000000-0005-0000-0000-000049470000}"/>
    <cellStyle name="Input 6 11" xfId="11780" xr:uid="{00000000-0005-0000-0000-00004A470000}"/>
    <cellStyle name="Input 6 11 2" xfId="11781" xr:uid="{00000000-0005-0000-0000-00004B470000}"/>
    <cellStyle name="Input 6 12" xfId="11782" xr:uid="{00000000-0005-0000-0000-00004C470000}"/>
    <cellStyle name="Input 6 12 2" xfId="11783" xr:uid="{00000000-0005-0000-0000-00004D470000}"/>
    <cellStyle name="Input 6 13" xfId="11784" xr:uid="{00000000-0005-0000-0000-00004E470000}"/>
    <cellStyle name="Input 6 13 2" xfId="11785" xr:uid="{00000000-0005-0000-0000-00004F470000}"/>
    <cellStyle name="Input 6 14" xfId="11786" xr:uid="{00000000-0005-0000-0000-000050470000}"/>
    <cellStyle name="Input 6 14 2" xfId="11787" xr:uid="{00000000-0005-0000-0000-000051470000}"/>
    <cellStyle name="Input 6 15" xfId="11788" xr:uid="{00000000-0005-0000-0000-000052470000}"/>
    <cellStyle name="Input 6 15 2" xfId="11789" xr:uid="{00000000-0005-0000-0000-000053470000}"/>
    <cellStyle name="Input 6 16" xfId="11790" xr:uid="{00000000-0005-0000-0000-000054470000}"/>
    <cellStyle name="Input 6 16 2" xfId="11791" xr:uid="{00000000-0005-0000-0000-000055470000}"/>
    <cellStyle name="Input 6 17" xfId="11792" xr:uid="{00000000-0005-0000-0000-000056470000}"/>
    <cellStyle name="Input 6 17 2" xfId="11793" xr:uid="{00000000-0005-0000-0000-000057470000}"/>
    <cellStyle name="Input 6 18" xfId="11794" xr:uid="{00000000-0005-0000-0000-000058470000}"/>
    <cellStyle name="Input 6 18 2" xfId="11795" xr:uid="{00000000-0005-0000-0000-000059470000}"/>
    <cellStyle name="Input 6 19" xfId="11796" xr:uid="{00000000-0005-0000-0000-00005A470000}"/>
    <cellStyle name="Input 6 19 2" xfId="11797" xr:uid="{00000000-0005-0000-0000-00005B470000}"/>
    <cellStyle name="Input 6 2" xfId="11798" xr:uid="{00000000-0005-0000-0000-00005C470000}"/>
    <cellStyle name="Input 6 2 2" xfId="11799" xr:uid="{00000000-0005-0000-0000-00005D470000}"/>
    <cellStyle name="Input 6 20" xfId="11800" xr:uid="{00000000-0005-0000-0000-00005E470000}"/>
    <cellStyle name="Input 6 20 2" xfId="11801" xr:uid="{00000000-0005-0000-0000-00005F470000}"/>
    <cellStyle name="Input 6 21" xfId="11802" xr:uid="{00000000-0005-0000-0000-000060470000}"/>
    <cellStyle name="Input 6 21 2" xfId="11803" xr:uid="{00000000-0005-0000-0000-000061470000}"/>
    <cellStyle name="Input 6 22" xfId="11804" xr:uid="{00000000-0005-0000-0000-000062470000}"/>
    <cellStyle name="Input 6 22 2" xfId="11805" xr:uid="{00000000-0005-0000-0000-000063470000}"/>
    <cellStyle name="Input 6 23" xfId="11806" xr:uid="{00000000-0005-0000-0000-000064470000}"/>
    <cellStyle name="Input 6 23 2" xfId="11807" xr:uid="{00000000-0005-0000-0000-000065470000}"/>
    <cellStyle name="Input 6 24" xfId="11808" xr:uid="{00000000-0005-0000-0000-000066470000}"/>
    <cellStyle name="Input 6 24 2" xfId="11809" xr:uid="{00000000-0005-0000-0000-000067470000}"/>
    <cellStyle name="Input 6 25" xfId="11810" xr:uid="{00000000-0005-0000-0000-000068470000}"/>
    <cellStyle name="Input 6 25 2" xfId="11811" xr:uid="{00000000-0005-0000-0000-000069470000}"/>
    <cellStyle name="Input 6 26" xfId="11812" xr:uid="{00000000-0005-0000-0000-00006A470000}"/>
    <cellStyle name="Input 6 26 2" xfId="11813" xr:uid="{00000000-0005-0000-0000-00006B470000}"/>
    <cellStyle name="Input 6 27" xfId="11814" xr:uid="{00000000-0005-0000-0000-00006C470000}"/>
    <cellStyle name="Input 6 27 2" xfId="11815" xr:uid="{00000000-0005-0000-0000-00006D470000}"/>
    <cellStyle name="Input 6 28" xfId="11816" xr:uid="{00000000-0005-0000-0000-00006E470000}"/>
    <cellStyle name="Input 6 28 2" xfId="11817" xr:uid="{00000000-0005-0000-0000-00006F470000}"/>
    <cellStyle name="Input 6 29" xfId="11818" xr:uid="{00000000-0005-0000-0000-000070470000}"/>
    <cellStyle name="Input 6 29 2" xfId="11819" xr:uid="{00000000-0005-0000-0000-000071470000}"/>
    <cellStyle name="Input 6 3" xfId="11820" xr:uid="{00000000-0005-0000-0000-000072470000}"/>
    <cellStyle name="Input 6 3 2" xfId="11821" xr:uid="{00000000-0005-0000-0000-000073470000}"/>
    <cellStyle name="Input 6 30" xfId="11822" xr:uid="{00000000-0005-0000-0000-000074470000}"/>
    <cellStyle name="Input 6 30 2" xfId="11823" xr:uid="{00000000-0005-0000-0000-000075470000}"/>
    <cellStyle name="Input 6 31" xfId="11824" xr:uid="{00000000-0005-0000-0000-000076470000}"/>
    <cellStyle name="Input 6 31 2" xfId="11825" xr:uid="{00000000-0005-0000-0000-000077470000}"/>
    <cellStyle name="Input 6 32" xfId="11826" xr:uid="{00000000-0005-0000-0000-000078470000}"/>
    <cellStyle name="Input 6 32 2" xfId="11827" xr:uid="{00000000-0005-0000-0000-000079470000}"/>
    <cellStyle name="Input 6 33" xfId="11828" xr:uid="{00000000-0005-0000-0000-00007A470000}"/>
    <cellStyle name="Input 6 33 2" xfId="11829" xr:uid="{00000000-0005-0000-0000-00007B470000}"/>
    <cellStyle name="Input 6 34" xfId="11830" xr:uid="{00000000-0005-0000-0000-00007C470000}"/>
    <cellStyle name="Input 6 34 2" xfId="11831" xr:uid="{00000000-0005-0000-0000-00007D470000}"/>
    <cellStyle name="Input 6 35" xfId="11832" xr:uid="{00000000-0005-0000-0000-00007E470000}"/>
    <cellStyle name="Input 6 35 2" xfId="11833" xr:uid="{00000000-0005-0000-0000-00007F470000}"/>
    <cellStyle name="Input 6 36" xfId="11834" xr:uid="{00000000-0005-0000-0000-000080470000}"/>
    <cellStyle name="Input 6 36 2" xfId="11835" xr:uid="{00000000-0005-0000-0000-000081470000}"/>
    <cellStyle name="Input 6 37" xfId="11836" xr:uid="{00000000-0005-0000-0000-000082470000}"/>
    <cellStyle name="Input 6 37 2" xfId="11837" xr:uid="{00000000-0005-0000-0000-000083470000}"/>
    <cellStyle name="Input 6 38" xfId="11838" xr:uid="{00000000-0005-0000-0000-000084470000}"/>
    <cellStyle name="Input 6 38 2" xfId="11839" xr:uid="{00000000-0005-0000-0000-000085470000}"/>
    <cellStyle name="Input 6 39" xfId="11840" xr:uid="{00000000-0005-0000-0000-000086470000}"/>
    <cellStyle name="Input 6 39 2" xfId="11841" xr:uid="{00000000-0005-0000-0000-000087470000}"/>
    <cellStyle name="Input 6 4" xfId="11842" xr:uid="{00000000-0005-0000-0000-000088470000}"/>
    <cellStyle name="Input 6 4 2" xfId="11843" xr:uid="{00000000-0005-0000-0000-000089470000}"/>
    <cellStyle name="Input 6 40" xfId="11844" xr:uid="{00000000-0005-0000-0000-00008A470000}"/>
    <cellStyle name="Input 6 40 2" xfId="11845" xr:uid="{00000000-0005-0000-0000-00008B470000}"/>
    <cellStyle name="Input 6 41" xfId="11846" xr:uid="{00000000-0005-0000-0000-00008C470000}"/>
    <cellStyle name="Input 6 41 2" xfId="11847" xr:uid="{00000000-0005-0000-0000-00008D470000}"/>
    <cellStyle name="Input 6 42" xfId="11848" xr:uid="{00000000-0005-0000-0000-00008E470000}"/>
    <cellStyle name="Input 6 42 2" xfId="11849" xr:uid="{00000000-0005-0000-0000-00008F470000}"/>
    <cellStyle name="Input 6 43" xfId="11850" xr:uid="{00000000-0005-0000-0000-000090470000}"/>
    <cellStyle name="Input 6 43 2" xfId="11851" xr:uid="{00000000-0005-0000-0000-000091470000}"/>
    <cellStyle name="Input 6 44" xfId="11852" xr:uid="{00000000-0005-0000-0000-000092470000}"/>
    <cellStyle name="Input 6 44 2" xfId="11853" xr:uid="{00000000-0005-0000-0000-000093470000}"/>
    <cellStyle name="Input 6 45" xfId="11854" xr:uid="{00000000-0005-0000-0000-000094470000}"/>
    <cellStyle name="Input 6 45 2" xfId="11855" xr:uid="{00000000-0005-0000-0000-000095470000}"/>
    <cellStyle name="Input 6 46" xfId="11856" xr:uid="{00000000-0005-0000-0000-000096470000}"/>
    <cellStyle name="Input 6 46 2" xfId="11857" xr:uid="{00000000-0005-0000-0000-000097470000}"/>
    <cellStyle name="Input 6 47" xfId="11858" xr:uid="{00000000-0005-0000-0000-000098470000}"/>
    <cellStyle name="Input 6 47 2" xfId="11859" xr:uid="{00000000-0005-0000-0000-000099470000}"/>
    <cellStyle name="Input 6 48" xfId="11860" xr:uid="{00000000-0005-0000-0000-00009A470000}"/>
    <cellStyle name="Input 6 48 2" xfId="11861" xr:uid="{00000000-0005-0000-0000-00009B470000}"/>
    <cellStyle name="Input 6 49" xfId="11862" xr:uid="{00000000-0005-0000-0000-00009C470000}"/>
    <cellStyle name="Input 6 49 2" xfId="11863" xr:uid="{00000000-0005-0000-0000-00009D470000}"/>
    <cellStyle name="Input 6 5" xfId="11864" xr:uid="{00000000-0005-0000-0000-00009E470000}"/>
    <cellStyle name="Input 6 5 2" xfId="11865" xr:uid="{00000000-0005-0000-0000-00009F470000}"/>
    <cellStyle name="Input 6 50" xfId="11866" xr:uid="{00000000-0005-0000-0000-0000A0470000}"/>
    <cellStyle name="Input 6 50 2" xfId="11867" xr:uid="{00000000-0005-0000-0000-0000A1470000}"/>
    <cellStyle name="Input 6 51" xfId="11868" xr:uid="{00000000-0005-0000-0000-0000A2470000}"/>
    <cellStyle name="Input 6 51 2" xfId="11869" xr:uid="{00000000-0005-0000-0000-0000A3470000}"/>
    <cellStyle name="Input 6 52" xfId="11870" xr:uid="{00000000-0005-0000-0000-0000A4470000}"/>
    <cellStyle name="Input 6 52 2" xfId="11871" xr:uid="{00000000-0005-0000-0000-0000A5470000}"/>
    <cellStyle name="Input 6 53" xfId="11872" xr:uid="{00000000-0005-0000-0000-0000A6470000}"/>
    <cellStyle name="Input 6 53 2" xfId="11873" xr:uid="{00000000-0005-0000-0000-0000A7470000}"/>
    <cellStyle name="Input 6 54" xfId="11874" xr:uid="{00000000-0005-0000-0000-0000A8470000}"/>
    <cellStyle name="Input 6 54 2" xfId="11875" xr:uid="{00000000-0005-0000-0000-0000A9470000}"/>
    <cellStyle name="Input 6 55" xfId="11876" xr:uid="{00000000-0005-0000-0000-0000AA470000}"/>
    <cellStyle name="Input 6 55 2" xfId="11877" xr:uid="{00000000-0005-0000-0000-0000AB470000}"/>
    <cellStyle name="Input 6 56" xfId="11878" xr:uid="{00000000-0005-0000-0000-0000AC470000}"/>
    <cellStyle name="Input 6 56 2" xfId="11879" xr:uid="{00000000-0005-0000-0000-0000AD470000}"/>
    <cellStyle name="Input 6 57" xfId="11880" xr:uid="{00000000-0005-0000-0000-0000AE470000}"/>
    <cellStyle name="Input 6 57 2" xfId="11881" xr:uid="{00000000-0005-0000-0000-0000AF470000}"/>
    <cellStyle name="Input 6 58" xfId="11882" xr:uid="{00000000-0005-0000-0000-0000B0470000}"/>
    <cellStyle name="Input 6 58 2" xfId="11883" xr:uid="{00000000-0005-0000-0000-0000B1470000}"/>
    <cellStyle name="Input 6 59" xfId="11884" xr:uid="{00000000-0005-0000-0000-0000B2470000}"/>
    <cellStyle name="Input 6 59 2" xfId="11885" xr:uid="{00000000-0005-0000-0000-0000B3470000}"/>
    <cellStyle name="Input 6 6" xfId="11886" xr:uid="{00000000-0005-0000-0000-0000B4470000}"/>
    <cellStyle name="Input 6 6 2" xfId="11887" xr:uid="{00000000-0005-0000-0000-0000B5470000}"/>
    <cellStyle name="Input 6 60" xfId="11888" xr:uid="{00000000-0005-0000-0000-0000B6470000}"/>
    <cellStyle name="Input 6 60 2" xfId="11889" xr:uid="{00000000-0005-0000-0000-0000B7470000}"/>
    <cellStyle name="Input 6 61" xfId="11890" xr:uid="{00000000-0005-0000-0000-0000B8470000}"/>
    <cellStyle name="Input 6 61 2" xfId="11891" xr:uid="{00000000-0005-0000-0000-0000B9470000}"/>
    <cellStyle name="Input 6 62" xfId="11892" xr:uid="{00000000-0005-0000-0000-0000BA470000}"/>
    <cellStyle name="Input 6 62 2" xfId="11893" xr:uid="{00000000-0005-0000-0000-0000BB470000}"/>
    <cellStyle name="Input 6 63" xfId="11894" xr:uid="{00000000-0005-0000-0000-0000BC470000}"/>
    <cellStyle name="Input 6 7" xfId="11895" xr:uid="{00000000-0005-0000-0000-0000BD470000}"/>
    <cellStyle name="Input 6 7 2" xfId="11896" xr:uid="{00000000-0005-0000-0000-0000BE470000}"/>
    <cellStyle name="Input 6 8" xfId="11897" xr:uid="{00000000-0005-0000-0000-0000BF470000}"/>
    <cellStyle name="Input 6 8 2" xfId="11898" xr:uid="{00000000-0005-0000-0000-0000C0470000}"/>
    <cellStyle name="Input 6 9" xfId="11899" xr:uid="{00000000-0005-0000-0000-0000C1470000}"/>
    <cellStyle name="Input 6 9 2" xfId="11900" xr:uid="{00000000-0005-0000-0000-0000C2470000}"/>
    <cellStyle name="Input 7" xfId="309" xr:uid="{00000000-0005-0000-0000-0000C3470000}"/>
    <cellStyle name="input 7 10" xfId="11901" xr:uid="{00000000-0005-0000-0000-0000C4470000}"/>
    <cellStyle name="input 7 10 2" xfId="11902" xr:uid="{00000000-0005-0000-0000-0000C5470000}"/>
    <cellStyle name="input 7 10 2 2" xfId="20845" xr:uid="{00000000-0005-0000-0000-0000C6470000}"/>
    <cellStyle name="input 7 10 3" xfId="11903" xr:uid="{00000000-0005-0000-0000-0000C7470000}"/>
    <cellStyle name="input 7 10 3 2" xfId="20846" xr:uid="{00000000-0005-0000-0000-0000C8470000}"/>
    <cellStyle name="input 7 10 4" xfId="20844" xr:uid="{00000000-0005-0000-0000-0000C9470000}"/>
    <cellStyle name="input 7 11" xfId="11904" xr:uid="{00000000-0005-0000-0000-0000CA470000}"/>
    <cellStyle name="input 7 11 2" xfId="11905" xr:uid="{00000000-0005-0000-0000-0000CB470000}"/>
    <cellStyle name="input 7 11 2 2" xfId="20848" xr:uid="{00000000-0005-0000-0000-0000CC470000}"/>
    <cellStyle name="input 7 11 3" xfId="11906" xr:uid="{00000000-0005-0000-0000-0000CD470000}"/>
    <cellStyle name="input 7 11 3 2" xfId="20849" xr:uid="{00000000-0005-0000-0000-0000CE470000}"/>
    <cellStyle name="input 7 11 4" xfId="20847" xr:uid="{00000000-0005-0000-0000-0000CF470000}"/>
    <cellStyle name="input 7 12" xfId="11907" xr:uid="{00000000-0005-0000-0000-0000D0470000}"/>
    <cellStyle name="input 7 12 2" xfId="11908" xr:uid="{00000000-0005-0000-0000-0000D1470000}"/>
    <cellStyle name="input 7 12 2 2" xfId="20851" xr:uid="{00000000-0005-0000-0000-0000D2470000}"/>
    <cellStyle name="input 7 12 3" xfId="11909" xr:uid="{00000000-0005-0000-0000-0000D3470000}"/>
    <cellStyle name="input 7 12 3 2" xfId="20852" xr:uid="{00000000-0005-0000-0000-0000D4470000}"/>
    <cellStyle name="input 7 12 4" xfId="20850" xr:uid="{00000000-0005-0000-0000-0000D5470000}"/>
    <cellStyle name="input 7 13" xfId="11910" xr:uid="{00000000-0005-0000-0000-0000D6470000}"/>
    <cellStyle name="input 7 13 2" xfId="11911" xr:uid="{00000000-0005-0000-0000-0000D7470000}"/>
    <cellStyle name="input 7 13 2 2" xfId="20854" xr:uid="{00000000-0005-0000-0000-0000D8470000}"/>
    <cellStyle name="input 7 13 3" xfId="11912" xr:uid="{00000000-0005-0000-0000-0000D9470000}"/>
    <cellStyle name="input 7 13 3 2" xfId="20855" xr:uid="{00000000-0005-0000-0000-0000DA470000}"/>
    <cellStyle name="input 7 13 4" xfId="20853" xr:uid="{00000000-0005-0000-0000-0000DB470000}"/>
    <cellStyle name="input 7 14" xfId="11913" xr:uid="{00000000-0005-0000-0000-0000DC470000}"/>
    <cellStyle name="input 7 14 2" xfId="11914" xr:uid="{00000000-0005-0000-0000-0000DD470000}"/>
    <cellStyle name="input 7 14 2 2" xfId="20857" xr:uid="{00000000-0005-0000-0000-0000DE470000}"/>
    <cellStyle name="input 7 14 3" xfId="11915" xr:uid="{00000000-0005-0000-0000-0000DF470000}"/>
    <cellStyle name="input 7 14 3 2" xfId="20858" xr:uid="{00000000-0005-0000-0000-0000E0470000}"/>
    <cellStyle name="input 7 14 4" xfId="20856" xr:uid="{00000000-0005-0000-0000-0000E1470000}"/>
    <cellStyle name="input 7 15" xfId="11916" xr:uid="{00000000-0005-0000-0000-0000E2470000}"/>
    <cellStyle name="input 7 15 2" xfId="11917" xr:uid="{00000000-0005-0000-0000-0000E3470000}"/>
    <cellStyle name="input 7 15 2 2" xfId="20860" xr:uid="{00000000-0005-0000-0000-0000E4470000}"/>
    <cellStyle name="input 7 15 3" xfId="11918" xr:uid="{00000000-0005-0000-0000-0000E5470000}"/>
    <cellStyle name="input 7 15 3 2" xfId="20861" xr:uid="{00000000-0005-0000-0000-0000E6470000}"/>
    <cellStyle name="input 7 15 4" xfId="20859" xr:uid="{00000000-0005-0000-0000-0000E7470000}"/>
    <cellStyle name="input 7 16" xfId="11919" xr:uid="{00000000-0005-0000-0000-0000E8470000}"/>
    <cellStyle name="input 7 16 2" xfId="11920" xr:uid="{00000000-0005-0000-0000-0000E9470000}"/>
    <cellStyle name="input 7 16 2 2" xfId="20863" xr:uid="{00000000-0005-0000-0000-0000EA470000}"/>
    <cellStyle name="input 7 16 3" xfId="11921" xr:uid="{00000000-0005-0000-0000-0000EB470000}"/>
    <cellStyle name="input 7 16 3 2" xfId="20864" xr:uid="{00000000-0005-0000-0000-0000EC470000}"/>
    <cellStyle name="input 7 16 4" xfId="20862" xr:uid="{00000000-0005-0000-0000-0000ED470000}"/>
    <cellStyle name="input 7 17" xfId="11922" xr:uid="{00000000-0005-0000-0000-0000EE470000}"/>
    <cellStyle name="input 7 17 2" xfId="11923" xr:uid="{00000000-0005-0000-0000-0000EF470000}"/>
    <cellStyle name="input 7 17 2 2" xfId="20866" xr:uid="{00000000-0005-0000-0000-0000F0470000}"/>
    <cellStyle name="input 7 17 3" xfId="11924" xr:uid="{00000000-0005-0000-0000-0000F1470000}"/>
    <cellStyle name="input 7 17 3 2" xfId="20867" xr:uid="{00000000-0005-0000-0000-0000F2470000}"/>
    <cellStyle name="input 7 17 4" xfId="20865" xr:uid="{00000000-0005-0000-0000-0000F3470000}"/>
    <cellStyle name="input 7 18" xfId="11925" xr:uid="{00000000-0005-0000-0000-0000F4470000}"/>
    <cellStyle name="input 7 18 2" xfId="11926" xr:uid="{00000000-0005-0000-0000-0000F5470000}"/>
    <cellStyle name="input 7 18 2 2" xfId="20869" xr:uid="{00000000-0005-0000-0000-0000F6470000}"/>
    <cellStyle name="input 7 18 3" xfId="11927" xr:uid="{00000000-0005-0000-0000-0000F7470000}"/>
    <cellStyle name="input 7 18 3 2" xfId="20870" xr:uid="{00000000-0005-0000-0000-0000F8470000}"/>
    <cellStyle name="input 7 18 4" xfId="20868" xr:uid="{00000000-0005-0000-0000-0000F9470000}"/>
    <cellStyle name="input 7 19" xfId="11928" xr:uid="{00000000-0005-0000-0000-0000FA470000}"/>
    <cellStyle name="input 7 19 2" xfId="11929" xr:uid="{00000000-0005-0000-0000-0000FB470000}"/>
    <cellStyle name="input 7 19 2 2" xfId="20872" xr:uid="{00000000-0005-0000-0000-0000FC470000}"/>
    <cellStyle name="input 7 19 3" xfId="11930" xr:uid="{00000000-0005-0000-0000-0000FD470000}"/>
    <cellStyle name="input 7 19 3 2" xfId="20873" xr:uid="{00000000-0005-0000-0000-0000FE470000}"/>
    <cellStyle name="input 7 19 4" xfId="20871" xr:uid="{00000000-0005-0000-0000-0000FF470000}"/>
    <cellStyle name="input 7 2" xfId="11931" xr:uid="{00000000-0005-0000-0000-000000480000}"/>
    <cellStyle name="input 7 2 2" xfId="11932" xr:uid="{00000000-0005-0000-0000-000001480000}"/>
    <cellStyle name="input 7 2 2 2" xfId="20875" xr:uid="{00000000-0005-0000-0000-000002480000}"/>
    <cellStyle name="input 7 2 3" xfId="11933" xr:uid="{00000000-0005-0000-0000-000003480000}"/>
    <cellStyle name="input 7 2 3 2" xfId="20876" xr:uid="{00000000-0005-0000-0000-000004480000}"/>
    <cellStyle name="input 7 2 4" xfId="20874" xr:uid="{00000000-0005-0000-0000-000005480000}"/>
    <cellStyle name="input 7 20" xfId="11934" xr:uid="{00000000-0005-0000-0000-000006480000}"/>
    <cellStyle name="input 7 20 2" xfId="11935" xr:uid="{00000000-0005-0000-0000-000007480000}"/>
    <cellStyle name="input 7 20 2 2" xfId="20878" xr:uid="{00000000-0005-0000-0000-000008480000}"/>
    <cellStyle name="input 7 20 3" xfId="11936" xr:uid="{00000000-0005-0000-0000-000009480000}"/>
    <cellStyle name="input 7 20 3 2" xfId="20879" xr:uid="{00000000-0005-0000-0000-00000A480000}"/>
    <cellStyle name="input 7 20 4" xfId="20877" xr:uid="{00000000-0005-0000-0000-00000B480000}"/>
    <cellStyle name="input 7 21" xfId="11937" xr:uid="{00000000-0005-0000-0000-00000C480000}"/>
    <cellStyle name="input 7 21 2" xfId="11938" xr:uid="{00000000-0005-0000-0000-00000D480000}"/>
    <cellStyle name="input 7 21 2 2" xfId="20881" xr:uid="{00000000-0005-0000-0000-00000E480000}"/>
    <cellStyle name="input 7 21 3" xfId="11939" xr:uid="{00000000-0005-0000-0000-00000F480000}"/>
    <cellStyle name="input 7 21 3 2" xfId="20882" xr:uid="{00000000-0005-0000-0000-000010480000}"/>
    <cellStyle name="input 7 21 4" xfId="20880" xr:uid="{00000000-0005-0000-0000-000011480000}"/>
    <cellStyle name="input 7 22" xfId="11940" xr:uid="{00000000-0005-0000-0000-000012480000}"/>
    <cellStyle name="input 7 22 2" xfId="11941" xr:uid="{00000000-0005-0000-0000-000013480000}"/>
    <cellStyle name="input 7 22 2 2" xfId="20884" xr:uid="{00000000-0005-0000-0000-000014480000}"/>
    <cellStyle name="input 7 22 3" xfId="11942" xr:uid="{00000000-0005-0000-0000-000015480000}"/>
    <cellStyle name="input 7 22 3 2" xfId="20885" xr:uid="{00000000-0005-0000-0000-000016480000}"/>
    <cellStyle name="input 7 22 4" xfId="20883" xr:uid="{00000000-0005-0000-0000-000017480000}"/>
    <cellStyle name="input 7 23" xfId="11943" xr:uid="{00000000-0005-0000-0000-000018480000}"/>
    <cellStyle name="input 7 23 2" xfId="11944" xr:uid="{00000000-0005-0000-0000-000019480000}"/>
    <cellStyle name="input 7 23 2 2" xfId="20887" xr:uid="{00000000-0005-0000-0000-00001A480000}"/>
    <cellStyle name="input 7 23 3" xfId="11945" xr:uid="{00000000-0005-0000-0000-00001B480000}"/>
    <cellStyle name="input 7 23 3 2" xfId="20888" xr:uid="{00000000-0005-0000-0000-00001C480000}"/>
    <cellStyle name="input 7 23 4" xfId="20886" xr:uid="{00000000-0005-0000-0000-00001D480000}"/>
    <cellStyle name="input 7 24" xfId="11946" xr:uid="{00000000-0005-0000-0000-00001E480000}"/>
    <cellStyle name="input 7 24 2" xfId="11947" xr:uid="{00000000-0005-0000-0000-00001F480000}"/>
    <cellStyle name="input 7 24 2 2" xfId="20890" xr:uid="{00000000-0005-0000-0000-000020480000}"/>
    <cellStyle name="input 7 24 3" xfId="11948" xr:uid="{00000000-0005-0000-0000-000021480000}"/>
    <cellStyle name="input 7 24 3 2" xfId="20891" xr:uid="{00000000-0005-0000-0000-000022480000}"/>
    <cellStyle name="input 7 24 4" xfId="20889" xr:uid="{00000000-0005-0000-0000-000023480000}"/>
    <cellStyle name="input 7 25" xfId="11949" xr:uid="{00000000-0005-0000-0000-000024480000}"/>
    <cellStyle name="input 7 25 2" xfId="11950" xr:uid="{00000000-0005-0000-0000-000025480000}"/>
    <cellStyle name="input 7 25 2 2" xfId="20893" xr:uid="{00000000-0005-0000-0000-000026480000}"/>
    <cellStyle name="input 7 25 3" xfId="11951" xr:uid="{00000000-0005-0000-0000-000027480000}"/>
    <cellStyle name="input 7 25 3 2" xfId="20894" xr:uid="{00000000-0005-0000-0000-000028480000}"/>
    <cellStyle name="input 7 25 4" xfId="20892" xr:uid="{00000000-0005-0000-0000-000029480000}"/>
    <cellStyle name="input 7 26" xfId="11952" xr:uid="{00000000-0005-0000-0000-00002A480000}"/>
    <cellStyle name="input 7 26 2" xfId="11953" xr:uid="{00000000-0005-0000-0000-00002B480000}"/>
    <cellStyle name="input 7 26 2 2" xfId="20896" xr:uid="{00000000-0005-0000-0000-00002C480000}"/>
    <cellStyle name="input 7 26 3" xfId="11954" xr:uid="{00000000-0005-0000-0000-00002D480000}"/>
    <cellStyle name="input 7 26 3 2" xfId="20897" xr:uid="{00000000-0005-0000-0000-00002E480000}"/>
    <cellStyle name="input 7 26 4" xfId="20895" xr:uid="{00000000-0005-0000-0000-00002F480000}"/>
    <cellStyle name="input 7 27" xfId="11955" xr:uid="{00000000-0005-0000-0000-000030480000}"/>
    <cellStyle name="input 7 27 2" xfId="11956" xr:uid="{00000000-0005-0000-0000-000031480000}"/>
    <cellStyle name="input 7 27 2 2" xfId="20899" xr:uid="{00000000-0005-0000-0000-000032480000}"/>
    <cellStyle name="input 7 27 3" xfId="11957" xr:uid="{00000000-0005-0000-0000-000033480000}"/>
    <cellStyle name="input 7 27 3 2" xfId="20900" xr:uid="{00000000-0005-0000-0000-000034480000}"/>
    <cellStyle name="input 7 27 4" xfId="20898" xr:uid="{00000000-0005-0000-0000-000035480000}"/>
    <cellStyle name="input 7 28" xfId="11958" xr:uid="{00000000-0005-0000-0000-000036480000}"/>
    <cellStyle name="input 7 28 2" xfId="11959" xr:uid="{00000000-0005-0000-0000-000037480000}"/>
    <cellStyle name="input 7 28 2 2" xfId="20902" xr:uid="{00000000-0005-0000-0000-000038480000}"/>
    <cellStyle name="input 7 28 3" xfId="11960" xr:uid="{00000000-0005-0000-0000-000039480000}"/>
    <cellStyle name="input 7 28 3 2" xfId="20903" xr:uid="{00000000-0005-0000-0000-00003A480000}"/>
    <cellStyle name="input 7 28 4" xfId="20901" xr:uid="{00000000-0005-0000-0000-00003B480000}"/>
    <cellStyle name="input 7 29" xfId="11961" xr:uid="{00000000-0005-0000-0000-00003C480000}"/>
    <cellStyle name="input 7 29 2" xfId="11962" xr:uid="{00000000-0005-0000-0000-00003D480000}"/>
    <cellStyle name="input 7 29 2 2" xfId="20905" xr:uid="{00000000-0005-0000-0000-00003E480000}"/>
    <cellStyle name="input 7 29 3" xfId="11963" xr:uid="{00000000-0005-0000-0000-00003F480000}"/>
    <cellStyle name="input 7 29 3 2" xfId="20906" xr:uid="{00000000-0005-0000-0000-000040480000}"/>
    <cellStyle name="input 7 29 4" xfId="20904" xr:uid="{00000000-0005-0000-0000-000041480000}"/>
    <cellStyle name="input 7 3" xfId="11964" xr:uid="{00000000-0005-0000-0000-000042480000}"/>
    <cellStyle name="input 7 3 2" xfId="11965" xr:uid="{00000000-0005-0000-0000-000043480000}"/>
    <cellStyle name="input 7 3 2 2" xfId="20908" xr:uid="{00000000-0005-0000-0000-000044480000}"/>
    <cellStyle name="input 7 3 3" xfId="11966" xr:uid="{00000000-0005-0000-0000-000045480000}"/>
    <cellStyle name="input 7 3 3 2" xfId="20909" xr:uid="{00000000-0005-0000-0000-000046480000}"/>
    <cellStyle name="input 7 3 4" xfId="20907" xr:uid="{00000000-0005-0000-0000-000047480000}"/>
    <cellStyle name="input 7 30" xfId="11967" xr:uid="{00000000-0005-0000-0000-000048480000}"/>
    <cellStyle name="input 7 30 2" xfId="11968" xr:uid="{00000000-0005-0000-0000-000049480000}"/>
    <cellStyle name="input 7 30 2 2" xfId="20911" xr:uid="{00000000-0005-0000-0000-00004A480000}"/>
    <cellStyle name="input 7 30 3" xfId="11969" xr:uid="{00000000-0005-0000-0000-00004B480000}"/>
    <cellStyle name="input 7 30 3 2" xfId="20912" xr:uid="{00000000-0005-0000-0000-00004C480000}"/>
    <cellStyle name="input 7 30 4" xfId="20910" xr:uid="{00000000-0005-0000-0000-00004D480000}"/>
    <cellStyle name="input 7 31" xfId="11970" xr:uid="{00000000-0005-0000-0000-00004E480000}"/>
    <cellStyle name="input 7 31 2" xfId="11971" xr:uid="{00000000-0005-0000-0000-00004F480000}"/>
    <cellStyle name="input 7 31 2 2" xfId="20914" xr:uid="{00000000-0005-0000-0000-000050480000}"/>
    <cellStyle name="input 7 31 3" xfId="11972" xr:uid="{00000000-0005-0000-0000-000051480000}"/>
    <cellStyle name="input 7 31 3 2" xfId="20915" xr:uid="{00000000-0005-0000-0000-000052480000}"/>
    <cellStyle name="input 7 31 4" xfId="20913" xr:uid="{00000000-0005-0000-0000-000053480000}"/>
    <cellStyle name="input 7 32" xfId="11973" xr:uid="{00000000-0005-0000-0000-000054480000}"/>
    <cellStyle name="input 7 32 2" xfId="11974" xr:uid="{00000000-0005-0000-0000-000055480000}"/>
    <cellStyle name="input 7 32 2 2" xfId="20917" xr:uid="{00000000-0005-0000-0000-000056480000}"/>
    <cellStyle name="input 7 32 3" xfId="11975" xr:uid="{00000000-0005-0000-0000-000057480000}"/>
    <cellStyle name="input 7 32 3 2" xfId="20918" xr:uid="{00000000-0005-0000-0000-000058480000}"/>
    <cellStyle name="input 7 32 4" xfId="20916" xr:uid="{00000000-0005-0000-0000-000059480000}"/>
    <cellStyle name="input 7 33" xfId="11976" xr:uid="{00000000-0005-0000-0000-00005A480000}"/>
    <cellStyle name="input 7 33 2" xfId="11977" xr:uid="{00000000-0005-0000-0000-00005B480000}"/>
    <cellStyle name="input 7 33 2 2" xfId="20920" xr:uid="{00000000-0005-0000-0000-00005C480000}"/>
    <cellStyle name="input 7 33 3" xfId="11978" xr:uid="{00000000-0005-0000-0000-00005D480000}"/>
    <cellStyle name="input 7 33 3 2" xfId="20921" xr:uid="{00000000-0005-0000-0000-00005E480000}"/>
    <cellStyle name="input 7 33 4" xfId="20919" xr:uid="{00000000-0005-0000-0000-00005F480000}"/>
    <cellStyle name="input 7 34" xfId="11979" xr:uid="{00000000-0005-0000-0000-000060480000}"/>
    <cellStyle name="input 7 34 2" xfId="11980" xr:uid="{00000000-0005-0000-0000-000061480000}"/>
    <cellStyle name="input 7 34 2 2" xfId="20923" xr:uid="{00000000-0005-0000-0000-000062480000}"/>
    <cellStyle name="input 7 34 3" xfId="11981" xr:uid="{00000000-0005-0000-0000-000063480000}"/>
    <cellStyle name="input 7 34 3 2" xfId="20924" xr:uid="{00000000-0005-0000-0000-000064480000}"/>
    <cellStyle name="input 7 34 4" xfId="20922" xr:uid="{00000000-0005-0000-0000-000065480000}"/>
    <cellStyle name="input 7 35" xfId="11982" xr:uid="{00000000-0005-0000-0000-000066480000}"/>
    <cellStyle name="input 7 35 2" xfId="11983" xr:uid="{00000000-0005-0000-0000-000067480000}"/>
    <cellStyle name="input 7 35 2 2" xfId="20926" xr:uid="{00000000-0005-0000-0000-000068480000}"/>
    <cellStyle name="input 7 35 3" xfId="11984" xr:uid="{00000000-0005-0000-0000-000069480000}"/>
    <cellStyle name="input 7 35 3 2" xfId="20927" xr:uid="{00000000-0005-0000-0000-00006A480000}"/>
    <cellStyle name="input 7 35 4" xfId="20925" xr:uid="{00000000-0005-0000-0000-00006B480000}"/>
    <cellStyle name="input 7 36" xfId="11985" xr:uid="{00000000-0005-0000-0000-00006C480000}"/>
    <cellStyle name="input 7 36 2" xfId="11986" xr:uid="{00000000-0005-0000-0000-00006D480000}"/>
    <cellStyle name="input 7 36 2 2" xfId="20929" xr:uid="{00000000-0005-0000-0000-00006E480000}"/>
    <cellStyle name="input 7 36 3" xfId="11987" xr:uid="{00000000-0005-0000-0000-00006F480000}"/>
    <cellStyle name="input 7 36 3 2" xfId="20930" xr:uid="{00000000-0005-0000-0000-000070480000}"/>
    <cellStyle name="input 7 36 4" xfId="20928" xr:uid="{00000000-0005-0000-0000-000071480000}"/>
    <cellStyle name="input 7 37" xfId="11988" xr:uid="{00000000-0005-0000-0000-000072480000}"/>
    <cellStyle name="input 7 37 2" xfId="11989" xr:uid="{00000000-0005-0000-0000-000073480000}"/>
    <cellStyle name="input 7 37 2 2" xfId="20932" xr:uid="{00000000-0005-0000-0000-000074480000}"/>
    <cellStyle name="input 7 37 3" xfId="11990" xr:uid="{00000000-0005-0000-0000-000075480000}"/>
    <cellStyle name="input 7 37 3 2" xfId="20933" xr:uid="{00000000-0005-0000-0000-000076480000}"/>
    <cellStyle name="input 7 37 4" xfId="20931" xr:uid="{00000000-0005-0000-0000-000077480000}"/>
    <cellStyle name="input 7 38" xfId="11991" xr:uid="{00000000-0005-0000-0000-000078480000}"/>
    <cellStyle name="input 7 38 2" xfId="11992" xr:uid="{00000000-0005-0000-0000-000079480000}"/>
    <cellStyle name="input 7 38 2 2" xfId="20935" xr:uid="{00000000-0005-0000-0000-00007A480000}"/>
    <cellStyle name="input 7 38 3" xfId="11993" xr:uid="{00000000-0005-0000-0000-00007B480000}"/>
    <cellStyle name="input 7 38 3 2" xfId="20936" xr:uid="{00000000-0005-0000-0000-00007C480000}"/>
    <cellStyle name="input 7 38 4" xfId="20934" xr:uid="{00000000-0005-0000-0000-00007D480000}"/>
    <cellStyle name="input 7 39" xfId="11994" xr:uid="{00000000-0005-0000-0000-00007E480000}"/>
    <cellStyle name="input 7 39 2" xfId="11995" xr:uid="{00000000-0005-0000-0000-00007F480000}"/>
    <cellStyle name="input 7 39 2 2" xfId="20938" xr:uid="{00000000-0005-0000-0000-000080480000}"/>
    <cellStyle name="input 7 39 3" xfId="11996" xr:uid="{00000000-0005-0000-0000-000081480000}"/>
    <cellStyle name="input 7 39 3 2" xfId="20939" xr:uid="{00000000-0005-0000-0000-000082480000}"/>
    <cellStyle name="input 7 39 4" xfId="20937" xr:uid="{00000000-0005-0000-0000-000083480000}"/>
    <cellStyle name="input 7 4" xfId="11997" xr:uid="{00000000-0005-0000-0000-000084480000}"/>
    <cellStyle name="input 7 4 2" xfId="11998" xr:uid="{00000000-0005-0000-0000-000085480000}"/>
    <cellStyle name="input 7 4 2 2" xfId="20941" xr:uid="{00000000-0005-0000-0000-000086480000}"/>
    <cellStyle name="input 7 4 3" xfId="11999" xr:uid="{00000000-0005-0000-0000-000087480000}"/>
    <cellStyle name="input 7 4 3 2" xfId="20942" xr:uid="{00000000-0005-0000-0000-000088480000}"/>
    <cellStyle name="input 7 4 4" xfId="20940" xr:uid="{00000000-0005-0000-0000-000089480000}"/>
    <cellStyle name="input 7 40" xfId="12000" xr:uid="{00000000-0005-0000-0000-00008A480000}"/>
    <cellStyle name="input 7 40 2" xfId="12001" xr:uid="{00000000-0005-0000-0000-00008B480000}"/>
    <cellStyle name="input 7 40 2 2" xfId="20944" xr:uid="{00000000-0005-0000-0000-00008C480000}"/>
    <cellStyle name="input 7 40 3" xfId="12002" xr:uid="{00000000-0005-0000-0000-00008D480000}"/>
    <cellStyle name="input 7 40 3 2" xfId="20945" xr:uid="{00000000-0005-0000-0000-00008E480000}"/>
    <cellStyle name="input 7 40 4" xfId="20943" xr:uid="{00000000-0005-0000-0000-00008F480000}"/>
    <cellStyle name="input 7 41" xfId="12003" xr:uid="{00000000-0005-0000-0000-000090480000}"/>
    <cellStyle name="input 7 41 2" xfId="12004" xr:uid="{00000000-0005-0000-0000-000091480000}"/>
    <cellStyle name="input 7 41 2 2" xfId="20947" xr:uid="{00000000-0005-0000-0000-000092480000}"/>
    <cellStyle name="input 7 41 3" xfId="12005" xr:uid="{00000000-0005-0000-0000-000093480000}"/>
    <cellStyle name="input 7 41 3 2" xfId="20948" xr:uid="{00000000-0005-0000-0000-000094480000}"/>
    <cellStyle name="input 7 41 4" xfId="20946" xr:uid="{00000000-0005-0000-0000-000095480000}"/>
    <cellStyle name="input 7 42" xfId="12006" xr:uid="{00000000-0005-0000-0000-000096480000}"/>
    <cellStyle name="input 7 42 2" xfId="12007" xr:uid="{00000000-0005-0000-0000-000097480000}"/>
    <cellStyle name="input 7 42 2 2" xfId="20950" xr:uid="{00000000-0005-0000-0000-000098480000}"/>
    <cellStyle name="input 7 42 3" xfId="12008" xr:uid="{00000000-0005-0000-0000-000099480000}"/>
    <cellStyle name="input 7 42 3 2" xfId="20951" xr:uid="{00000000-0005-0000-0000-00009A480000}"/>
    <cellStyle name="input 7 42 4" xfId="20949" xr:uid="{00000000-0005-0000-0000-00009B480000}"/>
    <cellStyle name="input 7 43" xfId="12009" xr:uid="{00000000-0005-0000-0000-00009C480000}"/>
    <cellStyle name="Input 7 43 2" xfId="12010" xr:uid="{00000000-0005-0000-0000-00009D480000}"/>
    <cellStyle name="input 7 43 3" xfId="20952" xr:uid="{00000000-0005-0000-0000-00009E480000}"/>
    <cellStyle name="input 7 44" xfId="12011" xr:uid="{00000000-0005-0000-0000-00009F480000}"/>
    <cellStyle name="Input 7 44 2" xfId="12012" xr:uid="{00000000-0005-0000-0000-0000A0480000}"/>
    <cellStyle name="input 7 44 3" xfId="20953" xr:uid="{00000000-0005-0000-0000-0000A1480000}"/>
    <cellStyle name="Input 7 45" xfId="12013" xr:uid="{00000000-0005-0000-0000-0000A2480000}"/>
    <cellStyle name="Input 7 45 2" xfId="12014" xr:uid="{00000000-0005-0000-0000-0000A3480000}"/>
    <cellStyle name="Input 7 46" xfId="12015" xr:uid="{00000000-0005-0000-0000-0000A4480000}"/>
    <cellStyle name="Input 7 46 2" xfId="12016" xr:uid="{00000000-0005-0000-0000-0000A5480000}"/>
    <cellStyle name="Input 7 47" xfId="12017" xr:uid="{00000000-0005-0000-0000-0000A6480000}"/>
    <cellStyle name="Input 7 47 2" xfId="12018" xr:uid="{00000000-0005-0000-0000-0000A7480000}"/>
    <cellStyle name="Input 7 48" xfId="12019" xr:uid="{00000000-0005-0000-0000-0000A8480000}"/>
    <cellStyle name="Input 7 48 2" xfId="12020" xr:uid="{00000000-0005-0000-0000-0000A9480000}"/>
    <cellStyle name="Input 7 49" xfId="12021" xr:uid="{00000000-0005-0000-0000-0000AA480000}"/>
    <cellStyle name="Input 7 49 2" xfId="12022" xr:uid="{00000000-0005-0000-0000-0000AB480000}"/>
    <cellStyle name="input 7 5" xfId="12023" xr:uid="{00000000-0005-0000-0000-0000AC480000}"/>
    <cellStyle name="input 7 5 2" xfId="12024" xr:uid="{00000000-0005-0000-0000-0000AD480000}"/>
    <cellStyle name="input 7 5 2 2" xfId="20955" xr:uid="{00000000-0005-0000-0000-0000AE480000}"/>
    <cellStyle name="input 7 5 3" xfId="12025" xr:uid="{00000000-0005-0000-0000-0000AF480000}"/>
    <cellStyle name="input 7 5 3 2" xfId="20956" xr:uid="{00000000-0005-0000-0000-0000B0480000}"/>
    <cellStyle name="input 7 5 4" xfId="20954" xr:uid="{00000000-0005-0000-0000-0000B1480000}"/>
    <cellStyle name="Input 7 50" xfId="12026" xr:uid="{00000000-0005-0000-0000-0000B2480000}"/>
    <cellStyle name="Input 7 50 2" xfId="12027" xr:uid="{00000000-0005-0000-0000-0000B3480000}"/>
    <cellStyle name="Input 7 51" xfId="12028" xr:uid="{00000000-0005-0000-0000-0000B4480000}"/>
    <cellStyle name="Input 7 51 2" xfId="12029" xr:uid="{00000000-0005-0000-0000-0000B5480000}"/>
    <cellStyle name="Input 7 52" xfId="12030" xr:uid="{00000000-0005-0000-0000-0000B6480000}"/>
    <cellStyle name="Input 7 52 2" xfId="12031" xr:uid="{00000000-0005-0000-0000-0000B7480000}"/>
    <cellStyle name="Input 7 53" xfId="12032" xr:uid="{00000000-0005-0000-0000-0000B8480000}"/>
    <cellStyle name="Input 7 53 2" xfId="12033" xr:uid="{00000000-0005-0000-0000-0000B9480000}"/>
    <cellStyle name="Input 7 54" xfId="12034" xr:uid="{00000000-0005-0000-0000-0000BA480000}"/>
    <cellStyle name="Input 7 54 2" xfId="12035" xr:uid="{00000000-0005-0000-0000-0000BB480000}"/>
    <cellStyle name="Input 7 55" xfId="12036" xr:uid="{00000000-0005-0000-0000-0000BC480000}"/>
    <cellStyle name="Input 7 55 2" xfId="12037" xr:uid="{00000000-0005-0000-0000-0000BD480000}"/>
    <cellStyle name="Input 7 56" xfId="12038" xr:uid="{00000000-0005-0000-0000-0000BE480000}"/>
    <cellStyle name="Input 7 56 2" xfId="12039" xr:uid="{00000000-0005-0000-0000-0000BF480000}"/>
    <cellStyle name="Input 7 57" xfId="12040" xr:uid="{00000000-0005-0000-0000-0000C0480000}"/>
    <cellStyle name="Input 7 57 2" xfId="12041" xr:uid="{00000000-0005-0000-0000-0000C1480000}"/>
    <cellStyle name="Input 7 58" xfId="12042" xr:uid="{00000000-0005-0000-0000-0000C2480000}"/>
    <cellStyle name="Input 7 58 2" xfId="12043" xr:uid="{00000000-0005-0000-0000-0000C3480000}"/>
    <cellStyle name="Input 7 59" xfId="12044" xr:uid="{00000000-0005-0000-0000-0000C4480000}"/>
    <cellStyle name="Input 7 59 2" xfId="12045" xr:uid="{00000000-0005-0000-0000-0000C5480000}"/>
    <cellStyle name="input 7 6" xfId="12046" xr:uid="{00000000-0005-0000-0000-0000C6480000}"/>
    <cellStyle name="input 7 6 2" xfId="12047" xr:uid="{00000000-0005-0000-0000-0000C7480000}"/>
    <cellStyle name="input 7 6 2 2" xfId="20958" xr:uid="{00000000-0005-0000-0000-0000C8480000}"/>
    <cellStyle name="input 7 6 3" xfId="12048" xr:uid="{00000000-0005-0000-0000-0000C9480000}"/>
    <cellStyle name="input 7 6 3 2" xfId="20959" xr:uid="{00000000-0005-0000-0000-0000CA480000}"/>
    <cellStyle name="input 7 6 4" xfId="20957" xr:uid="{00000000-0005-0000-0000-0000CB480000}"/>
    <cellStyle name="Input 7 60" xfId="12049" xr:uid="{00000000-0005-0000-0000-0000CC480000}"/>
    <cellStyle name="Input 7 60 2" xfId="12050" xr:uid="{00000000-0005-0000-0000-0000CD480000}"/>
    <cellStyle name="Input 7 61" xfId="12051" xr:uid="{00000000-0005-0000-0000-0000CE480000}"/>
    <cellStyle name="Input 7 61 2" xfId="12052" xr:uid="{00000000-0005-0000-0000-0000CF480000}"/>
    <cellStyle name="Input 7 62" xfId="12053" xr:uid="{00000000-0005-0000-0000-0000D0480000}"/>
    <cellStyle name="Input 7 62 2" xfId="12054" xr:uid="{00000000-0005-0000-0000-0000D1480000}"/>
    <cellStyle name="Input 7 63" xfId="12055" xr:uid="{00000000-0005-0000-0000-0000D2480000}"/>
    <cellStyle name="input 7 7" xfId="12056" xr:uid="{00000000-0005-0000-0000-0000D3480000}"/>
    <cellStyle name="input 7 7 2" xfId="12057" xr:uid="{00000000-0005-0000-0000-0000D4480000}"/>
    <cellStyle name="input 7 7 2 2" xfId="20961" xr:uid="{00000000-0005-0000-0000-0000D5480000}"/>
    <cellStyle name="input 7 7 3" xfId="12058" xr:uid="{00000000-0005-0000-0000-0000D6480000}"/>
    <cellStyle name="input 7 7 3 2" xfId="20962" xr:uid="{00000000-0005-0000-0000-0000D7480000}"/>
    <cellStyle name="input 7 7 4" xfId="20960" xr:uid="{00000000-0005-0000-0000-0000D8480000}"/>
    <cellStyle name="input 7 8" xfId="12059" xr:uid="{00000000-0005-0000-0000-0000D9480000}"/>
    <cellStyle name="input 7 8 2" xfId="12060" xr:uid="{00000000-0005-0000-0000-0000DA480000}"/>
    <cellStyle name="input 7 8 2 2" xfId="20964" xr:uid="{00000000-0005-0000-0000-0000DB480000}"/>
    <cellStyle name="input 7 8 3" xfId="12061" xr:uid="{00000000-0005-0000-0000-0000DC480000}"/>
    <cellStyle name="input 7 8 3 2" xfId="20965" xr:uid="{00000000-0005-0000-0000-0000DD480000}"/>
    <cellStyle name="input 7 8 4" xfId="20963" xr:uid="{00000000-0005-0000-0000-0000DE480000}"/>
    <cellStyle name="input 7 9" xfId="12062" xr:uid="{00000000-0005-0000-0000-0000DF480000}"/>
    <cellStyle name="input 7 9 2" xfId="12063" xr:uid="{00000000-0005-0000-0000-0000E0480000}"/>
    <cellStyle name="input 7 9 2 2" xfId="20967" xr:uid="{00000000-0005-0000-0000-0000E1480000}"/>
    <cellStyle name="input 7 9 3" xfId="12064" xr:uid="{00000000-0005-0000-0000-0000E2480000}"/>
    <cellStyle name="input 7 9 3 2" xfId="20968" xr:uid="{00000000-0005-0000-0000-0000E3480000}"/>
    <cellStyle name="input 7 9 4" xfId="20966" xr:uid="{00000000-0005-0000-0000-0000E4480000}"/>
    <cellStyle name="input 7_DATA Input" xfId="12065" xr:uid="{00000000-0005-0000-0000-0000E5480000}"/>
    <cellStyle name="Input 8" xfId="310" xr:uid="{00000000-0005-0000-0000-0000E6480000}"/>
    <cellStyle name="Input 8 10" xfId="12066" xr:uid="{00000000-0005-0000-0000-0000E7480000}"/>
    <cellStyle name="Input 8 10 2" xfId="12067" xr:uid="{00000000-0005-0000-0000-0000E8480000}"/>
    <cellStyle name="Input 8 11" xfId="12068" xr:uid="{00000000-0005-0000-0000-0000E9480000}"/>
    <cellStyle name="Input 8 11 2" xfId="12069" xr:uid="{00000000-0005-0000-0000-0000EA480000}"/>
    <cellStyle name="Input 8 12" xfId="12070" xr:uid="{00000000-0005-0000-0000-0000EB480000}"/>
    <cellStyle name="Input 8 12 2" xfId="12071" xr:uid="{00000000-0005-0000-0000-0000EC480000}"/>
    <cellStyle name="Input 8 13" xfId="12072" xr:uid="{00000000-0005-0000-0000-0000ED480000}"/>
    <cellStyle name="Input 8 13 2" xfId="12073" xr:uid="{00000000-0005-0000-0000-0000EE480000}"/>
    <cellStyle name="Input 8 14" xfId="12074" xr:uid="{00000000-0005-0000-0000-0000EF480000}"/>
    <cellStyle name="Input 8 14 2" xfId="12075" xr:uid="{00000000-0005-0000-0000-0000F0480000}"/>
    <cellStyle name="Input 8 15" xfId="12076" xr:uid="{00000000-0005-0000-0000-0000F1480000}"/>
    <cellStyle name="Input 8 15 2" xfId="12077" xr:uid="{00000000-0005-0000-0000-0000F2480000}"/>
    <cellStyle name="Input 8 16" xfId="12078" xr:uid="{00000000-0005-0000-0000-0000F3480000}"/>
    <cellStyle name="Input 8 16 2" xfId="12079" xr:uid="{00000000-0005-0000-0000-0000F4480000}"/>
    <cellStyle name="Input 8 17" xfId="12080" xr:uid="{00000000-0005-0000-0000-0000F5480000}"/>
    <cellStyle name="Input 8 17 2" xfId="12081" xr:uid="{00000000-0005-0000-0000-0000F6480000}"/>
    <cellStyle name="Input 8 18" xfId="12082" xr:uid="{00000000-0005-0000-0000-0000F7480000}"/>
    <cellStyle name="Input 8 18 2" xfId="12083" xr:uid="{00000000-0005-0000-0000-0000F8480000}"/>
    <cellStyle name="Input 8 19" xfId="12084" xr:uid="{00000000-0005-0000-0000-0000F9480000}"/>
    <cellStyle name="Input 8 19 2" xfId="12085" xr:uid="{00000000-0005-0000-0000-0000FA480000}"/>
    <cellStyle name="Input 8 2" xfId="12086" xr:uid="{00000000-0005-0000-0000-0000FB480000}"/>
    <cellStyle name="Input 8 2 2" xfId="12087" xr:uid="{00000000-0005-0000-0000-0000FC480000}"/>
    <cellStyle name="Input 8 20" xfId="12088" xr:uid="{00000000-0005-0000-0000-0000FD480000}"/>
    <cellStyle name="Input 8 20 2" xfId="12089" xr:uid="{00000000-0005-0000-0000-0000FE480000}"/>
    <cellStyle name="Input 8 21" xfId="12090" xr:uid="{00000000-0005-0000-0000-0000FF480000}"/>
    <cellStyle name="Input 8 21 2" xfId="12091" xr:uid="{00000000-0005-0000-0000-000000490000}"/>
    <cellStyle name="Input 8 22" xfId="12092" xr:uid="{00000000-0005-0000-0000-000001490000}"/>
    <cellStyle name="Input 8 22 2" xfId="12093" xr:uid="{00000000-0005-0000-0000-000002490000}"/>
    <cellStyle name="Input 8 23" xfId="12094" xr:uid="{00000000-0005-0000-0000-000003490000}"/>
    <cellStyle name="Input 8 23 2" xfId="12095" xr:uid="{00000000-0005-0000-0000-000004490000}"/>
    <cellStyle name="Input 8 24" xfId="12096" xr:uid="{00000000-0005-0000-0000-000005490000}"/>
    <cellStyle name="Input 8 24 2" xfId="12097" xr:uid="{00000000-0005-0000-0000-000006490000}"/>
    <cellStyle name="Input 8 25" xfId="12098" xr:uid="{00000000-0005-0000-0000-000007490000}"/>
    <cellStyle name="Input 8 25 2" xfId="12099" xr:uid="{00000000-0005-0000-0000-000008490000}"/>
    <cellStyle name="Input 8 26" xfId="12100" xr:uid="{00000000-0005-0000-0000-000009490000}"/>
    <cellStyle name="Input 8 26 2" xfId="12101" xr:uid="{00000000-0005-0000-0000-00000A490000}"/>
    <cellStyle name="Input 8 27" xfId="12102" xr:uid="{00000000-0005-0000-0000-00000B490000}"/>
    <cellStyle name="Input 8 27 2" xfId="12103" xr:uid="{00000000-0005-0000-0000-00000C490000}"/>
    <cellStyle name="Input 8 28" xfId="12104" xr:uid="{00000000-0005-0000-0000-00000D490000}"/>
    <cellStyle name="Input 8 28 2" xfId="12105" xr:uid="{00000000-0005-0000-0000-00000E490000}"/>
    <cellStyle name="Input 8 29" xfId="12106" xr:uid="{00000000-0005-0000-0000-00000F490000}"/>
    <cellStyle name="Input 8 29 2" xfId="12107" xr:uid="{00000000-0005-0000-0000-000010490000}"/>
    <cellStyle name="Input 8 3" xfId="12108" xr:uid="{00000000-0005-0000-0000-000011490000}"/>
    <cellStyle name="Input 8 3 2" xfId="12109" xr:uid="{00000000-0005-0000-0000-000012490000}"/>
    <cellStyle name="Input 8 30" xfId="12110" xr:uid="{00000000-0005-0000-0000-000013490000}"/>
    <cellStyle name="Input 8 30 2" xfId="12111" xr:uid="{00000000-0005-0000-0000-000014490000}"/>
    <cellStyle name="Input 8 31" xfId="12112" xr:uid="{00000000-0005-0000-0000-000015490000}"/>
    <cellStyle name="Input 8 31 2" xfId="12113" xr:uid="{00000000-0005-0000-0000-000016490000}"/>
    <cellStyle name="Input 8 32" xfId="12114" xr:uid="{00000000-0005-0000-0000-000017490000}"/>
    <cellStyle name="Input 8 32 2" xfId="12115" xr:uid="{00000000-0005-0000-0000-000018490000}"/>
    <cellStyle name="Input 8 33" xfId="12116" xr:uid="{00000000-0005-0000-0000-000019490000}"/>
    <cellStyle name="Input 8 33 2" xfId="12117" xr:uid="{00000000-0005-0000-0000-00001A490000}"/>
    <cellStyle name="Input 8 34" xfId="12118" xr:uid="{00000000-0005-0000-0000-00001B490000}"/>
    <cellStyle name="Input 8 34 2" xfId="12119" xr:uid="{00000000-0005-0000-0000-00001C490000}"/>
    <cellStyle name="Input 8 35" xfId="12120" xr:uid="{00000000-0005-0000-0000-00001D490000}"/>
    <cellStyle name="Input 8 35 2" xfId="12121" xr:uid="{00000000-0005-0000-0000-00001E490000}"/>
    <cellStyle name="Input 8 36" xfId="12122" xr:uid="{00000000-0005-0000-0000-00001F490000}"/>
    <cellStyle name="Input 8 36 2" xfId="12123" xr:uid="{00000000-0005-0000-0000-000020490000}"/>
    <cellStyle name="Input 8 37" xfId="12124" xr:uid="{00000000-0005-0000-0000-000021490000}"/>
    <cellStyle name="Input 8 37 2" xfId="12125" xr:uid="{00000000-0005-0000-0000-000022490000}"/>
    <cellStyle name="Input 8 38" xfId="12126" xr:uid="{00000000-0005-0000-0000-000023490000}"/>
    <cellStyle name="Input 8 38 2" xfId="12127" xr:uid="{00000000-0005-0000-0000-000024490000}"/>
    <cellStyle name="Input 8 39" xfId="12128" xr:uid="{00000000-0005-0000-0000-000025490000}"/>
    <cellStyle name="Input 8 39 2" xfId="12129" xr:uid="{00000000-0005-0000-0000-000026490000}"/>
    <cellStyle name="Input 8 4" xfId="12130" xr:uid="{00000000-0005-0000-0000-000027490000}"/>
    <cellStyle name="Input 8 4 2" xfId="12131" xr:uid="{00000000-0005-0000-0000-000028490000}"/>
    <cellStyle name="Input 8 40" xfId="12132" xr:uid="{00000000-0005-0000-0000-000029490000}"/>
    <cellStyle name="Input 8 40 2" xfId="12133" xr:uid="{00000000-0005-0000-0000-00002A490000}"/>
    <cellStyle name="Input 8 41" xfId="12134" xr:uid="{00000000-0005-0000-0000-00002B490000}"/>
    <cellStyle name="Input 8 41 2" xfId="12135" xr:uid="{00000000-0005-0000-0000-00002C490000}"/>
    <cellStyle name="Input 8 42" xfId="12136" xr:uid="{00000000-0005-0000-0000-00002D490000}"/>
    <cellStyle name="Input 8 42 2" xfId="12137" xr:uid="{00000000-0005-0000-0000-00002E490000}"/>
    <cellStyle name="Input 8 43" xfId="12138" xr:uid="{00000000-0005-0000-0000-00002F490000}"/>
    <cellStyle name="Input 8 43 2" xfId="12139" xr:uid="{00000000-0005-0000-0000-000030490000}"/>
    <cellStyle name="Input 8 44" xfId="12140" xr:uid="{00000000-0005-0000-0000-000031490000}"/>
    <cellStyle name="Input 8 44 2" xfId="12141" xr:uid="{00000000-0005-0000-0000-000032490000}"/>
    <cellStyle name="Input 8 45" xfId="12142" xr:uid="{00000000-0005-0000-0000-000033490000}"/>
    <cellStyle name="Input 8 45 2" xfId="12143" xr:uid="{00000000-0005-0000-0000-000034490000}"/>
    <cellStyle name="Input 8 46" xfId="12144" xr:uid="{00000000-0005-0000-0000-000035490000}"/>
    <cellStyle name="Input 8 46 2" xfId="12145" xr:uid="{00000000-0005-0000-0000-000036490000}"/>
    <cellStyle name="Input 8 47" xfId="12146" xr:uid="{00000000-0005-0000-0000-000037490000}"/>
    <cellStyle name="Input 8 47 2" xfId="12147" xr:uid="{00000000-0005-0000-0000-000038490000}"/>
    <cellStyle name="Input 8 48" xfId="12148" xr:uid="{00000000-0005-0000-0000-000039490000}"/>
    <cellStyle name="Input 8 48 2" xfId="12149" xr:uid="{00000000-0005-0000-0000-00003A490000}"/>
    <cellStyle name="Input 8 49" xfId="12150" xr:uid="{00000000-0005-0000-0000-00003B490000}"/>
    <cellStyle name="Input 8 49 2" xfId="12151" xr:uid="{00000000-0005-0000-0000-00003C490000}"/>
    <cellStyle name="Input 8 5" xfId="12152" xr:uid="{00000000-0005-0000-0000-00003D490000}"/>
    <cellStyle name="Input 8 5 2" xfId="12153" xr:uid="{00000000-0005-0000-0000-00003E490000}"/>
    <cellStyle name="Input 8 50" xfId="12154" xr:uid="{00000000-0005-0000-0000-00003F490000}"/>
    <cellStyle name="Input 8 50 2" xfId="12155" xr:uid="{00000000-0005-0000-0000-000040490000}"/>
    <cellStyle name="Input 8 51" xfId="12156" xr:uid="{00000000-0005-0000-0000-000041490000}"/>
    <cellStyle name="Input 8 51 2" xfId="12157" xr:uid="{00000000-0005-0000-0000-000042490000}"/>
    <cellStyle name="Input 8 52" xfId="12158" xr:uid="{00000000-0005-0000-0000-000043490000}"/>
    <cellStyle name="Input 8 52 2" xfId="12159" xr:uid="{00000000-0005-0000-0000-000044490000}"/>
    <cellStyle name="Input 8 53" xfId="12160" xr:uid="{00000000-0005-0000-0000-000045490000}"/>
    <cellStyle name="Input 8 53 2" xfId="12161" xr:uid="{00000000-0005-0000-0000-000046490000}"/>
    <cellStyle name="Input 8 54" xfId="12162" xr:uid="{00000000-0005-0000-0000-000047490000}"/>
    <cellStyle name="Input 8 54 2" xfId="12163" xr:uid="{00000000-0005-0000-0000-000048490000}"/>
    <cellStyle name="Input 8 55" xfId="12164" xr:uid="{00000000-0005-0000-0000-000049490000}"/>
    <cellStyle name="Input 8 55 2" xfId="12165" xr:uid="{00000000-0005-0000-0000-00004A490000}"/>
    <cellStyle name="Input 8 56" xfId="12166" xr:uid="{00000000-0005-0000-0000-00004B490000}"/>
    <cellStyle name="Input 8 56 2" xfId="12167" xr:uid="{00000000-0005-0000-0000-00004C490000}"/>
    <cellStyle name="Input 8 57" xfId="12168" xr:uid="{00000000-0005-0000-0000-00004D490000}"/>
    <cellStyle name="Input 8 57 2" xfId="12169" xr:uid="{00000000-0005-0000-0000-00004E490000}"/>
    <cellStyle name="Input 8 58" xfId="12170" xr:uid="{00000000-0005-0000-0000-00004F490000}"/>
    <cellStyle name="Input 8 58 2" xfId="12171" xr:uid="{00000000-0005-0000-0000-000050490000}"/>
    <cellStyle name="Input 8 59" xfId="12172" xr:uid="{00000000-0005-0000-0000-000051490000}"/>
    <cellStyle name="Input 8 59 2" xfId="12173" xr:uid="{00000000-0005-0000-0000-000052490000}"/>
    <cellStyle name="Input 8 6" xfId="12174" xr:uid="{00000000-0005-0000-0000-000053490000}"/>
    <cellStyle name="Input 8 6 2" xfId="12175" xr:uid="{00000000-0005-0000-0000-000054490000}"/>
    <cellStyle name="Input 8 60" xfId="12176" xr:uid="{00000000-0005-0000-0000-000055490000}"/>
    <cellStyle name="Input 8 60 2" xfId="12177" xr:uid="{00000000-0005-0000-0000-000056490000}"/>
    <cellStyle name="Input 8 61" xfId="12178" xr:uid="{00000000-0005-0000-0000-000057490000}"/>
    <cellStyle name="Input 8 61 2" xfId="12179" xr:uid="{00000000-0005-0000-0000-000058490000}"/>
    <cellStyle name="Input 8 62" xfId="12180" xr:uid="{00000000-0005-0000-0000-000059490000}"/>
    <cellStyle name="Input 8 62 2" xfId="12181" xr:uid="{00000000-0005-0000-0000-00005A490000}"/>
    <cellStyle name="Input 8 63" xfId="12182" xr:uid="{00000000-0005-0000-0000-00005B490000}"/>
    <cellStyle name="Input 8 7" xfId="12183" xr:uid="{00000000-0005-0000-0000-00005C490000}"/>
    <cellStyle name="Input 8 7 2" xfId="12184" xr:uid="{00000000-0005-0000-0000-00005D490000}"/>
    <cellStyle name="Input 8 8" xfId="12185" xr:uid="{00000000-0005-0000-0000-00005E490000}"/>
    <cellStyle name="Input 8 8 2" xfId="12186" xr:uid="{00000000-0005-0000-0000-00005F490000}"/>
    <cellStyle name="Input 8 9" xfId="12187" xr:uid="{00000000-0005-0000-0000-000060490000}"/>
    <cellStyle name="Input 8 9 2" xfId="12188" xr:uid="{00000000-0005-0000-0000-000061490000}"/>
    <cellStyle name="Input 9" xfId="311" xr:uid="{00000000-0005-0000-0000-000062490000}"/>
    <cellStyle name="Input 9 10" xfId="12189" xr:uid="{00000000-0005-0000-0000-000063490000}"/>
    <cellStyle name="Input 9 10 2" xfId="12190" xr:uid="{00000000-0005-0000-0000-000064490000}"/>
    <cellStyle name="Input 9 11" xfId="12191" xr:uid="{00000000-0005-0000-0000-000065490000}"/>
    <cellStyle name="Input 9 11 2" xfId="12192" xr:uid="{00000000-0005-0000-0000-000066490000}"/>
    <cellStyle name="Input 9 12" xfId="12193" xr:uid="{00000000-0005-0000-0000-000067490000}"/>
    <cellStyle name="Input 9 12 2" xfId="12194" xr:uid="{00000000-0005-0000-0000-000068490000}"/>
    <cellStyle name="Input 9 13" xfId="12195" xr:uid="{00000000-0005-0000-0000-000069490000}"/>
    <cellStyle name="Input 9 13 2" xfId="12196" xr:uid="{00000000-0005-0000-0000-00006A490000}"/>
    <cellStyle name="Input 9 14" xfId="12197" xr:uid="{00000000-0005-0000-0000-00006B490000}"/>
    <cellStyle name="Input 9 14 2" xfId="12198" xr:uid="{00000000-0005-0000-0000-00006C490000}"/>
    <cellStyle name="Input 9 15" xfId="12199" xr:uid="{00000000-0005-0000-0000-00006D490000}"/>
    <cellStyle name="Input 9 15 2" xfId="12200" xr:uid="{00000000-0005-0000-0000-00006E490000}"/>
    <cellStyle name="Input 9 16" xfId="12201" xr:uid="{00000000-0005-0000-0000-00006F490000}"/>
    <cellStyle name="Input 9 16 2" xfId="12202" xr:uid="{00000000-0005-0000-0000-000070490000}"/>
    <cellStyle name="Input 9 17" xfId="12203" xr:uid="{00000000-0005-0000-0000-000071490000}"/>
    <cellStyle name="Input 9 17 2" xfId="12204" xr:uid="{00000000-0005-0000-0000-000072490000}"/>
    <cellStyle name="Input 9 18" xfId="12205" xr:uid="{00000000-0005-0000-0000-000073490000}"/>
    <cellStyle name="Input 9 18 2" xfId="12206" xr:uid="{00000000-0005-0000-0000-000074490000}"/>
    <cellStyle name="Input 9 19" xfId="12207" xr:uid="{00000000-0005-0000-0000-000075490000}"/>
    <cellStyle name="Input 9 19 2" xfId="12208" xr:uid="{00000000-0005-0000-0000-000076490000}"/>
    <cellStyle name="Input 9 2" xfId="12209" xr:uid="{00000000-0005-0000-0000-000077490000}"/>
    <cellStyle name="Input 9 2 2" xfId="12210" xr:uid="{00000000-0005-0000-0000-000078490000}"/>
    <cellStyle name="Input 9 20" xfId="12211" xr:uid="{00000000-0005-0000-0000-000079490000}"/>
    <cellStyle name="Input 9 20 2" xfId="12212" xr:uid="{00000000-0005-0000-0000-00007A490000}"/>
    <cellStyle name="Input 9 21" xfId="12213" xr:uid="{00000000-0005-0000-0000-00007B490000}"/>
    <cellStyle name="Input 9 21 2" xfId="12214" xr:uid="{00000000-0005-0000-0000-00007C490000}"/>
    <cellStyle name="Input 9 22" xfId="12215" xr:uid="{00000000-0005-0000-0000-00007D490000}"/>
    <cellStyle name="Input 9 22 2" xfId="12216" xr:uid="{00000000-0005-0000-0000-00007E490000}"/>
    <cellStyle name="Input 9 23" xfId="12217" xr:uid="{00000000-0005-0000-0000-00007F490000}"/>
    <cellStyle name="Input 9 23 2" xfId="12218" xr:uid="{00000000-0005-0000-0000-000080490000}"/>
    <cellStyle name="Input 9 24" xfId="12219" xr:uid="{00000000-0005-0000-0000-000081490000}"/>
    <cellStyle name="Input 9 24 2" xfId="12220" xr:uid="{00000000-0005-0000-0000-000082490000}"/>
    <cellStyle name="Input 9 25" xfId="12221" xr:uid="{00000000-0005-0000-0000-000083490000}"/>
    <cellStyle name="Input 9 25 2" xfId="12222" xr:uid="{00000000-0005-0000-0000-000084490000}"/>
    <cellStyle name="Input 9 26" xfId="12223" xr:uid="{00000000-0005-0000-0000-000085490000}"/>
    <cellStyle name="Input 9 26 2" xfId="12224" xr:uid="{00000000-0005-0000-0000-000086490000}"/>
    <cellStyle name="Input 9 27" xfId="12225" xr:uid="{00000000-0005-0000-0000-000087490000}"/>
    <cellStyle name="Input 9 27 2" xfId="12226" xr:uid="{00000000-0005-0000-0000-000088490000}"/>
    <cellStyle name="Input 9 28" xfId="12227" xr:uid="{00000000-0005-0000-0000-000089490000}"/>
    <cellStyle name="Input 9 28 2" xfId="12228" xr:uid="{00000000-0005-0000-0000-00008A490000}"/>
    <cellStyle name="Input 9 29" xfId="12229" xr:uid="{00000000-0005-0000-0000-00008B490000}"/>
    <cellStyle name="Input 9 29 2" xfId="12230" xr:uid="{00000000-0005-0000-0000-00008C490000}"/>
    <cellStyle name="Input 9 3" xfId="12231" xr:uid="{00000000-0005-0000-0000-00008D490000}"/>
    <cellStyle name="Input 9 3 2" xfId="12232" xr:uid="{00000000-0005-0000-0000-00008E490000}"/>
    <cellStyle name="Input 9 30" xfId="12233" xr:uid="{00000000-0005-0000-0000-00008F490000}"/>
    <cellStyle name="Input 9 30 2" xfId="12234" xr:uid="{00000000-0005-0000-0000-000090490000}"/>
    <cellStyle name="Input 9 31" xfId="12235" xr:uid="{00000000-0005-0000-0000-000091490000}"/>
    <cellStyle name="Input 9 31 2" xfId="12236" xr:uid="{00000000-0005-0000-0000-000092490000}"/>
    <cellStyle name="Input 9 32" xfId="12237" xr:uid="{00000000-0005-0000-0000-000093490000}"/>
    <cellStyle name="Input 9 32 2" xfId="12238" xr:uid="{00000000-0005-0000-0000-000094490000}"/>
    <cellStyle name="Input 9 33" xfId="12239" xr:uid="{00000000-0005-0000-0000-000095490000}"/>
    <cellStyle name="Input 9 33 2" xfId="12240" xr:uid="{00000000-0005-0000-0000-000096490000}"/>
    <cellStyle name="Input 9 34" xfId="12241" xr:uid="{00000000-0005-0000-0000-000097490000}"/>
    <cellStyle name="Input 9 34 2" xfId="12242" xr:uid="{00000000-0005-0000-0000-000098490000}"/>
    <cellStyle name="Input 9 35" xfId="12243" xr:uid="{00000000-0005-0000-0000-000099490000}"/>
    <cellStyle name="Input 9 35 2" xfId="12244" xr:uid="{00000000-0005-0000-0000-00009A490000}"/>
    <cellStyle name="Input 9 36" xfId="12245" xr:uid="{00000000-0005-0000-0000-00009B490000}"/>
    <cellStyle name="Input 9 36 2" xfId="12246" xr:uid="{00000000-0005-0000-0000-00009C490000}"/>
    <cellStyle name="Input 9 37" xfId="12247" xr:uid="{00000000-0005-0000-0000-00009D490000}"/>
    <cellStyle name="Input 9 37 2" xfId="12248" xr:uid="{00000000-0005-0000-0000-00009E490000}"/>
    <cellStyle name="Input 9 38" xfId="12249" xr:uid="{00000000-0005-0000-0000-00009F490000}"/>
    <cellStyle name="Input 9 38 2" xfId="12250" xr:uid="{00000000-0005-0000-0000-0000A0490000}"/>
    <cellStyle name="Input 9 39" xfId="12251" xr:uid="{00000000-0005-0000-0000-0000A1490000}"/>
    <cellStyle name="Input 9 39 2" xfId="12252" xr:uid="{00000000-0005-0000-0000-0000A2490000}"/>
    <cellStyle name="Input 9 4" xfId="12253" xr:uid="{00000000-0005-0000-0000-0000A3490000}"/>
    <cellStyle name="Input 9 4 2" xfId="12254" xr:uid="{00000000-0005-0000-0000-0000A4490000}"/>
    <cellStyle name="Input 9 40" xfId="12255" xr:uid="{00000000-0005-0000-0000-0000A5490000}"/>
    <cellStyle name="Input 9 40 2" xfId="12256" xr:uid="{00000000-0005-0000-0000-0000A6490000}"/>
    <cellStyle name="Input 9 41" xfId="12257" xr:uid="{00000000-0005-0000-0000-0000A7490000}"/>
    <cellStyle name="Input 9 41 2" xfId="12258" xr:uid="{00000000-0005-0000-0000-0000A8490000}"/>
    <cellStyle name="Input 9 42" xfId="12259" xr:uid="{00000000-0005-0000-0000-0000A9490000}"/>
    <cellStyle name="Input 9 42 2" xfId="12260" xr:uid="{00000000-0005-0000-0000-0000AA490000}"/>
    <cellStyle name="Input 9 43" xfId="12261" xr:uid="{00000000-0005-0000-0000-0000AB490000}"/>
    <cellStyle name="Input 9 43 2" xfId="12262" xr:uid="{00000000-0005-0000-0000-0000AC490000}"/>
    <cellStyle name="Input 9 44" xfId="12263" xr:uid="{00000000-0005-0000-0000-0000AD490000}"/>
    <cellStyle name="Input 9 44 2" xfId="12264" xr:uid="{00000000-0005-0000-0000-0000AE490000}"/>
    <cellStyle name="Input 9 45" xfId="12265" xr:uid="{00000000-0005-0000-0000-0000AF490000}"/>
    <cellStyle name="Input 9 45 2" xfId="12266" xr:uid="{00000000-0005-0000-0000-0000B0490000}"/>
    <cellStyle name="Input 9 46" xfId="12267" xr:uid="{00000000-0005-0000-0000-0000B1490000}"/>
    <cellStyle name="Input 9 46 2" xfId="12268" xr:uid="{00000000-0005-0000-0000-0000B2490000}"/>
    <cellStyle name="Input 9 47" xfId="12269" xr:uid="{00000000-0005-0000-0000-0000B3490000}"/>
    <cellStyle name="Input 9 47 2" xfId="12270" xr:uid="{00000000-0005-0000-0000-0000B4490000}"/>
    <cellStyle name="Input 9 48" xfId="12271" xr:uid="{00000000-0005-0000-0000-0000B5490000}"/>
    <cellStyle name="Input 9 48 2" xfId="12272" xr:uid="{00000000-0005-0000-0000-0000B6490000}"/>
    <cellStyle name="Input 9 49" xfId="12273" xr:uid="{00000000-0005-0000-0000-0000B7490000}"/>
    <cellStyle name="Input 9 49 2" xfId="12274" xr:uid="{00000000-0005-0000-0000-0000B8490000}"/>
    <cellStyle name="Input 9 5" xfId="12275" xr:uid="{00000000-0005-0000-0000-0000B9490000}"/>
    <cellStyle name="Input 9 5 2" xfId="12276" xr:uid="{00000000-0005-0000-0000-0000BA490000}"/>
    <cellStyle name="Input 9 50" xfId="12277" xr:uid="{00000000-0005-0000-0000-0000BB490000}"/>
    <cellStyle name="Input 9 50 2" xfId="12278" xr:uid="{00000000-0005-0000-0000-0000BC490000}"/>
    <cellStyle name="Input 9 51" xfId="12279" xr:uid="{00000000-0005-0000-0000-0000BD490000}"/>
    <cellStyle name="Input 9 51 2" xfId="12280" xr:uid="{00000000-0005-0000-0000-0000BE490000}"/>
    <cellStyle name="Input 9 52" xfId="12281" xr:uid="{00000000-0005-0000-0000-0000BF490000}"/>
    <cellStyle name="Input 9 52 2" xfId="12282" xr:uid="{00000000-0005-0000-0000-0000C0490000}"/>
    <cellStyle name="Input 9 53" xfId="12283" xr:uid="{00000000-0005-0000-0000-0000C1490000}"/>
    <cellStyle name="Input 9 53 2" xfId="12284" xr:uid="{00000000-0005-0000-0000-0000C2490000}"/>
    <cellStyle name="Input 9 54" xfId="12285" xr:uid="{00000000-0005-0000-0000-0000C3490000}"/>
    <cellStyle name="Input 9 54 2" xfId="12286" xr:uid="{00000000-0005-0000-0000-0000C4490000}"/>
    <cellStyle name="Input 9 55" xfId="12287" xr:uid="{00000000-0005-0000-0000-0000C5490000}"/>
    <cellStyle name="Input 9 55 2" xfId="12288" xr:uid="{00000000-0005-0000-0000-0000C6490000}"/>
    <cellStyle name="Input 9 56" xfId="12289" xr:uid="{00000000-0005-0000-0000-0000C7490000}"/>
    <cellStyle name="Input 9 56 2" xfId="12290" xr:uid="{00000000-0005-0000-0000-0000C8490000}"/>
    <cellStyle name="Input 9 57" xfId="12291" xr:uid="{00000000-0005-0000-0000-0000C9490000}"/>
    <cellStyle name="Input 9 57 2" xfId="12292" xr:uid="{00000000-0005-0000-0000-0000CA490000}"/>
    <cellStyle name="Input 9 58" xfId="12293" xr:uid="{00000000-0005-0000-0000-0000CB490000}"/>
    <cellStyle name="Input 9 58 2" xfId="12294" xr:uid="{00000000-0005-0000-0000-0000CC490000}"/>
    <cellStyle name="Input 9 59" xfId="12295" xr:uid="{00000000-0005-0000-0000-0000CD490000}"/>
    <cellStyle name="Input 9 59 2" xfId="12296" xr:uid="{00000000-0005-0000-0000-0000CE490000}"/>
    <cellStyle name="Input 9 6" xfId="12297" xr:uid="{00000000-0005-0000-0000-0000CF490000}"/>
    <cellStyle name="Input 9 6 2" xfId="12298" xr:uid="{00000000-0005-0000-0000-0000D0490000}"/>
    <cellStyle name="Input 9 60" xfId="12299" xr:uid="{00000000-0005-0000-0000-0000D1490000}"/>
    <cellStyle name="Input 9 60 2" xfId="12300" xr:uid="{00000000-0005-0000-0000-0000D2490000}"/>
    <cellStyle name="Input 9 61" xfId="12301" xr:uid="{00000000-0005-0000-0000-0000D3490000}"/>
    <cellStyle name="Input 9 61 2" xfId="12302" xr:uid="{00000000-0005-0000-0000-0000D4490000}"/>
    <cellStyle name="Input 9 62" xfId="12303" xr:uid="{00000000-0005-0000-0000-0000D5490000}"/>
    <cellStyle name="Input 9 62 2" xfId="12304" xr:uid="{00000000-0005-0000-0000-0000D6490000}"/>
    <cellStyle name="Input 9 63" xfId="12305" xr:uid="{00000000-0005-0000-0000-0000D7490000}"/>
    <cellStyle name="Input 9 7" xfId="12306" xr:uid="{00000000-0005-0000-0000-0000D8490000}"/>
    <cellStyle name="Input 9 7 2" xfId="12307" xr:uid="{00000000-0005-0000-0000-0000D9490000}"/>
    <cellStyle name="Input 9 8" xfId="12308" xr:uid="{00000000-0005-0000-0000-0000DA490000}"/>
    <cellStyle name="Input 9 8 2" xfId="12309" xr:uid="{00000000-0005-0000-0000-0000DB490000}"/>
    <cellStyle name="Input 9 9" xfId="12310" xr:uid="{00000000-0005-0000-0000-0000DC490000}"/>
    <cellStyle name="Input 9 9 2" xfId="12311" xr:uid="{00000000-0005-0000-0000-0000DD490000}"/>
    <cellStyle name="Input Cells" xfId="312" xr:uid="{00000000-0005-0000-0000-0000DE490000}"/>
    <cellStyle name="Input Cells 10" xfId="12312" xr:uid="{00000000-0005-0000-0000-0000DF490000}"/>
    <cellStyle name="Input Cells 11" xfId="12313" xr:uid="{00000000-0005-0000-0000-0000E0490000}"/>
    <cellStyle name="Input Cells 12" xfId="12314" xr:uid="{00000000-0005-0000-0000-0000E1490000}"/>
    <cellStyle name="Input Cells 13" xfId="12315" xr:uid="{00000000-0005-0000-0000-0000E2490000}"/>
    <cellStyle name="Input Cells 14" xfId="12316" xr:uid="{00000000-0005-0000-0000-0000E3490000}"/>
    <cellStyle name="Input Cells 15" xfId="12317" xr:uid="{00000000-0005-0000-0000-0000E4490000}"/>
    <cellStyle name="Input Cells 16" xfId="12318" xr:uid="{00000000-0005-0000-0000-0000E5490000}"/>
    <cellStyle name="Input Cells 17" xfId="12319" xr:uid="{00000000-0005-0000-0000-0000E6490000}"/>
    <cellStyle name="Input Cells 18" xfId="12320" xr:uid="{00000000-0005-0000-0000-0000E7490000}"/>
    <cellStyle name="Input Cells 19" xfId="12321" xr:uid="{00000000-0005-0000-0000-0000E8490000}"/>
    <cellStyle name="Input Cells 2" xfId="12322" xr:uid="{00000000-0005-0000-0000-0000E9490000}"/>
    <cellStyle name="Input Cells 20" xfId="12323" xr:uid="{00000000-0005-0000-0000-0000EA490000}"/>
    <cellStyle name="Input Cells 21" xfId="12324" xr:uid="{00000000-0005-0000-0000-0000EB490000}"/>
    <cellStyle name="Input Cells 22" xfId="12325" xr:uid="{00000000-0005-0000-0000-0000EC490000}"/>
    <cellStyle name="Input Cells 23" xfId="12326" xr:uid="{00000000-0005-0000-0000-0000ED490000}"/>
    <cellStyle name="Input Cells 24" xfId="12327" xr:uid="{00000000-0005-0000-0000-0000EE490000}"/>
    <cellStyle name="Input Cells 25" xfId="12328" xr:uid="{00000000-0005-0000-0000-0000EF490000}"/>
    <cellStyle name="Input Cells 26" xfId="12329" xr:uid="{00000000-0005-0000-0000-0000F0490000}"/>
    <cellStyle name="Input Cells 27" xfId="12330" xr:uid="{00000000-0005-0000-0000-0000F1490000}"/>
    <cellStyle name="Input Cells 28" xfId="12331" xr:uid="{00000000-0005-0000-0000-0000F2490000}"/>
    <cellStyle name="Input Cells 29" xfId="12332" xr:uid="{00000000-0005-0000-0000-0000F3490000}"/>
    <cellStyle name="Input Cells 3" xfId="12333" xr:uid="{00000000-0005-0000-0000-0000F4490000}"/>
    <cellStyle name="Input Cells 30" xfId="12334" xr:uid="{00000000-0005-0000-0000-0000F5490000}"/>
    <cellStyle name="Input Cells 31" xfId="12335" xr:uid="{00000000-0005-0000-0000-0000F6490000}"/>
    <cellStyle name="Input Cells 32" xfId="12336" xr:uid="{00000000-0005-0000-0000-0000F7490000}"/>
    <cellStyle name="Input Cells 4" xfId="12337" xr:uid="{00000000-0005-0000-0000-0000F8490000}"/>
    <cellStyle name="Input Cells 5" xfId="12338" xr:uid="{00000000-0005-0000-0000-0000F9490000}"/>
    <cellStyle name="Input Cells 6" xfId="12339" xr:uid="{00000000-0005-0000-0000-0000FA490000}"/>
    <cellStyle name="Input Cells 7" xfId="12340" xr:uid="{00000000-0005-0000-0000-0000FB490000}"/>
    <cellStyle name="Input Cells 8" xfId="12341" xr:uid="{00000000-0005-0000-0000-0000FC490000}"/>
    <cellStyle name="Input Cells 9" xfId="12342" xr:uid="{00000000-0005-0000-0000-0000FD490000}"/>
    <cellStyle name="Input Overflow" xfId="12343" xr:uid="{00000000-0005-0000-0000-0000FE490000}"/>
    <cellStyle name="InputBlueFont" xfId="12344" xr:uid="{00000000-0005-0000-0000-0000FF490000}"/>
    <cellStyle name="InputBlueFontLocked" xfId="12345" xr:uid="{00000000-0005-0000-0000-0000004A0000}"/>
    <cellStyle name="InputRedFont" xfId="12346" xr:uid="{00000000-0005-0000-0000-0000014A0000}"/>
    <cellStyle name="Inputs" xfId="12347" xr:uid="{00000000-0005-0000-0000-0000024A0000}"/>
    <cellStyle name="Insatisfaisant" xfId="12348" xr:uid="{00000000-0005-0000-0000-0000034A0000}"/>
    <cellStyle name="Integer" xfId="12349" xr:uid="{00000000-0005-0000-0000-0000044A0000}"/>
    <cellStyle name="Invisible" xfId="12350" xr:uid="{00000000-0005-0000-0000-0000054A0000}"/>
    <cellStyle name="Italic" xfId="12351" xr:uid="{00000000-0005-0000-0000-0000064A0000}"/>
    <cellStyle name="Items" xfId="12352" xr:uid="{00000000-0005-0000-0000-0000074A0000}"/>
    <cellStyle name="iu" xfId="12353" xr:uid="{00000000-0005-0000-0000-0000084A0000}"/>
    <cellStyle name="Jason" xfId="12354" xr:uid="{00000000-0005-0000-0000-0000094A0000}"/>
    <cellStyle name="Jun" xfId="12355" xr:uid="{00000000-0005-0000-0000-00000A4A0000}"/>
    <cellStyle name="k" xfId="12356" xr:uid="{00000000-0005-0000-0000-00000B4A0000}"/>
    <cellStyle name="k_1 LEAF HINGED DOOR WITH THERMAL BREAK" xfId="12357" xr:uid="{00000000-0005-0000-0000-00000C4A0000}"/>
    <cellStyle name="k_1 leaf Swing Door" xfId="12358" xr:uid="{00000000-0005-0000-0000-00000D4A0000}"/>
    <cellStyle name="k_Backpan" xfId="12359" xr:uid="{00000000-0005-0000-0000-00000E4A0000}"/>
    <cellStyle name="k_Book2" xfId="12360" xr:uid="{00000000-0005-0000-0000-00000F4A0000}"/>
    <cellStyle name="k_Book3" xfId="12361" xr:uid="{00000000-0005-0000-0000-0000104A0000}"/>
    <cellStyle name="k_Fixed Unit (window) 63TT" xfId="12362" xr:uid="{00000000-0005-0000-0000-0000114A0000}"/>
    <cellStyle name="k_Hinged-Swing door workout" xfId="12363" xr:uid="{00000000-0005-0000-0000-0000124A0000}"/>
    <cellStyle name="k_KAFD - Revision 2 (final) SP" xfId="12364" xr:uid="{00000000-0005-0000-0000-0000134A0000}"/>
    <cellStyle name="katsayi" xfId="22711" xr:uid="{00000000-0005-0000-0000-0000144A0000}"/>
    <cellStyle name="katsayi 2" xfId="22712" xr:uid="{00000000-0005-0000-0000-0000154A0000}"/>
    <cellStyle name="KP_Normal" xfId="12365" xr:uid="{00000000-0005-0000-0000-0000164A0000}"/>
    <cellStyle name="KPMG Heading 1" xfId="12366" xr:uid="{00000000-0005-0000-0000-0000174A0000}"/>
    <cellStyle name="KPMG Heading 2" xfId="12367" xr:uid="{00000000-0005-0000-0000-0000184A0000}"/>
    <cellStyle name="KPMG Heading 3" xfId="12368" xr:uid="{00000000-0005-0000-0000-0000194A0000}"/>
    <cellStyle name="KPMG Heading 4" xfId="12369" xr:uid="{00000000-0005-0000-0000-00001A4A0000}"/>
    <cellStyle name="KPMG Normal" xfId="12370" xr:uid="{00000000-0005-0000-0000-00001B4A0000}"/>
    <cellStyle name="KPMG Normal Text" xfId="12371" xr:uid="{00000000-0005-0000-0000-00001C4A0000}"/>
    <cellStyle name="L" xfId="12372" xr:uid="{00000000-0005-0000-0000-00001D4A0000}"/>
    <cellStyle name="L_1 LEAF HINGED DOOR WITH THERMAL BREAK" xfId="12373" xr:uid="{00000000-0005-0000-0000-00001E4A0000}"/>
    <cellStyle name="L_1 leaf Swing Door" xfId="12374" xr:uid="{00000000-0005-0000-0000-00001F4A0000}"/>
    <cellStyle name="L_Backpan" xfId="12375" xr:uid="{00000000-0005-0000-0000-0000204A0000}"/>
    <cellStyle name="L_Book2" xfId="12376" xr:uid="{00000000-0005-0000-0000-0000214A0000}"/>
    <cellStyle name="L_Book3" xfId="12377" xr:uid="{00000000-0005-0000-0000-0000224A0000}"/>
    <cellStyle name="L_Fixed Unit (window) 63TT" xfId="12378" xr:uid="{00000000-0005-0000-0000-0000234A0000}"/>
    <cellStyle name="L_Hinged-Swing door workout" xfId="12379" xr:uid="{00000000-0005-0000-0000-0000244A0000}"/>
    <cellStyle name="L_KAFD - Revision 2 (final) SP" xfId="12380" xr:uid="{00000000-0005-0000-0000-0000254A0000}"/>
    <cellStyle name="Labels - Style3" xfId="12381" xr:uid="{00000000-0005-0000-0000-0000264A0000}"/>
    <cellStyle name="Length" xfId="12382" xr:uid="{00000000-0005-0000-0000-0000274A0000}"/>
    <cellStyle name="Level-2" xfId="12383" xr:uid="{00000000-0005-0000-0000-0000284A0000}"/>
    <cellStyle name="Level-3" xfId="12384" xr:uid="{00000000-0005-0000-0000-0000294A0000}"/>
    <cellStyle name="Level-4" xfId="12385" xr:uid="{00000000-0005-0000-0000-00002A4A0000}"/>
    <cellStyle name="Level-5" xfId="12386" xr:uid="{00000000-0005-0000-0000-00002B4A0000}"/>
    <cellStyle name="Link Currency (0)" xfId="313" xr:uid="{00000000-0005-0000-0000-00002C4A0000}"/>
    <cellStyle name="Link Currency (2)" xfId="314" xr:uid="{00000000-0005-0000-0000-00002D4A0000}"/>
    <cellStyle name="Link Units (0)" xfId="315" xr:uid="{00000000-0005-0000-0000-00002E4A0000}"/>
    <cellStyle name="Link Units (1)" xfId="316" xr:uid="{00000000-0005-0000-0000-00002F4A0000}"/>
    <cellStyle name="Link Units (2)" xfId="317" xr:uid="{00000000-0005-0000-0000-0000304A0000}"/>
    <cellStyle name="Linked Cell 10" xfId="12387" xr:uid="{00000000-0005-0000-0000-0000314A0000}"/>
    <cellStyle name="Linked Cell 11" xfId="12388" xr:uid="{00000000-0005-0000-0000-0000324A0000}"/>
    <cellStyle name="Linked Cell 12" xfId="12389" xr:uid="{00000000-0005-0000-0000-0000334A0000}"/>
    <cellStyle name="Linked Cell 13" xfId="12390" xr:uid="{00000000-0005-0000-0000-0000344A0000}"/>
    <cellStyle name="Linked Cell 14" xfId="12391" xr:uid="{00000000-0005-0000-0000-0000354A0000}"/>
    <cellStyle name="Linked Cell 15" xfId="12392" xr:uid="{00000000-0005-0000-0000-0000364A0000}"/>
    <cellStyle name="Linked Cell 16" xfId="12393" xr:uid="{00000000-0005-0000-0000-0000374A0000}"/>
    <cellStyle name="Linked Cell 17" xfId="12394" xr:uid="{00000000-0005-0000-0000-0000384A0000}"/>
    <cellStyle name="Linked Cell 18" xfId="12395" xr:uid="{00000000-0005-0000-0000-0000394A0000}"/>
    <cellStyle name="Linked Cell 19" xfId="12396" xr:uid="{00000000-0005-0000-0000-00003A4A0000}"/>
    <cellStyle name="Linked Cell 2" xfId="318" xr:uid="{00000000-0005-0000-0000-00003B4A0000}"/>
    <cellStyle name="Linked Cell 2 10" xfId="12397" xr:uid="{00000000-0005-0000-0000-00003C4A0000}"/>
    <cellStyle name="Linked Cell 2 11" xfId="12398" xr:uid="{00000000-0005-0000-0000-00003D4A0000}"/>
    <cellStyle name="Linked Cell 2 12" xfId="12399" xr:uid="{00000000-0005-0000-0000-00003E4A0000}"/>
    <cellStyle name="Linked Cell 2 13" xfId="12400" xr:uid="{00000000-0005-0000-0000-00003F4A0000}"/>
    <cellStyle name="Linked Cell 2 14" xfId="12401" xr:uid="{00000000-0005-0000-0000-0000404A0000}"/>
    <cellStyle name="Linked Cell 2 15" xfId="12402" xr:uid="{00000000-0005-0000-0000-0000414A0000}"/>
    <cellStyle name="Linked Cell 2 16" xfId="12403" xr:uid="{00000000-0005-0000-0000-0000424A0000}"/>
    <cellStyle name="Linked Cell 2 17" xfId="12404" xr:uid="{00000000-0005-0000-0000-0000434A0000}"/>
    <cellStyle name="Linked Cell 2 18" xfId="12405" xr:uid="{00000000-0005-0000-0000-0000444A0000}"/>
    <cellStyle name="Linked Cell 2 19" xfId="12406" xr:uid="{00000000-0005-0000-0000-0000454A0000}"/>
    <cellStyle name="Linked Cell 2 2" xfId="12407" xr:uid="{00000000-0005-0000-0000-0000464A0000}"/>
    <cellStyle name="Linked Cell 2 20" xfId="12408" xr:uid="{00000000-0005-0000-0000-0000474A0000}"/>
    <cellStyle name="Linked Cell 2 21" xfId="12409" xr:uid="{00000000-0005-0000-0000-0000484A0000}"/>
    <cellStyle name="Linked Cell 2 22" xfId="12410" xr:uid="{00000000-0005-0000-0000-0000494A0000}"/>
    <cellStyle name="Linked Cell 2 23" xfId="12411" xr:uid="{00000000-0005-0000-0000-00004A4A0000}"/>
    <cellStyle name="Linked Cell 2 24" xfId="12412" xr:uid="{00000000-0005-0000-0000-00004B4A0000}"/>
    <cellStyle name="Linked Cell 2 25" xfId="12413" xr:uid="{00000000-0005-0000-0000-00004C4A0000}"/>
    <cellStyle name="Linked Cell 2 26" xfId="12414" xr:uid="{00000000-0005-0000-0000-00004D4A0000}"/>
    <cellStyle name="Linked Cell 2 27" xfId="12415" xr:uid="{00000000-0005-0000-0000-00004E4A0000}"/>
    <cellStyle name="Linked Cell 2 28" xfId="12416" xr:uid="{00000000-0005-0000-0000-00004F4A0000}"/>
    <cellStyle name="Linked Cell 2 29" xfId="12417" xr:uid="{00000000-0005-0000-0000-0000504A0000}"/>
    <cellStyle name="Linked Cell 2 3" xfId="12418" xr:uid="{00000000-0005-0000-0000-0000514A0000}"/>
    <cellStyle name="Linked Cell 2 30" xfId="12419" xr:uid="{00000000-0005-0000-0000-0000524A0000}"/>
    <cellStyle name="Linked Cell 2 31" xfId="12420" xr:uid="{00000000-0005-0000-0000-0000534A0000}"/>
    <cellStyle name="Linked Cell 2 32" xfId="12421" xr:uid="{00000000-0005-0000-0000-0000544A0000}"/>
    <cellStyle name="Linked Cell 2 33" xfId="12422" xr:uid="{00000000-0005-0000-0000-0000554A0000}"/>
    <cellStyle name="Linked Cell 2 34" xfId="12423" xr:uid="{00000000-0005-0000-0000-0000564A0000}"/>
    <cellStyle name="Linked Cell 2 35" xfId="12424" xr:uid="{00000000-0005-0000-0000-0000574A0000}"/>
    <cellStyle name="Linked Cell 2 36" xfId="12425" xr:uid="{00000000-0005-0000-0000-0000584A0000}"/>
    <cellStyle name="Linked Cell 2 37" xfId="12426" xr:uid="{00000000-0005-0000-0000-0000594A0000}"/>
    <cellStyle name="Linked Cell 2 38" xfId="12427" xr:uid="{00000000-0005-0000-0000-00005A4A0000}"/>
    <cellStyle name="Linked Cell 2 39" xfId="12428" xr:uid="{00000000-0005-0000-0000-00005B4A0000}"/>
    <cellStyle name="Linked Cell 2 4" xfId="12429" xr:uid="{00000000-0005-0000-0000-00005C4A0000}"/>
    <cellStyle name="Linked Cell 2 40" xfId="12430" xr:uid="{00000000-0005-0000-0000-00005D4A0000}"/>
    <cellStyle name="Linked Cell 2 41" xfId="12431" xr:uid="{00000000-0005-0000-0000-00005E4A0000}"/>
    <cellStyle name="Linked Cell 2 42" xfId="12432" xr:uid="{00000000-0005-0000-0000-00005F4A0000}"/>
    <cellStyle name="Linked Cell 2 5" xfId="12433" xr:uid="{00000000-0005-0000-0000-0000604A0000}"/>
    <cellStyle name="Linked Cell 2 6" xfId="12434" xr:uid="{00000000-0005-0000-0000-0000614A0000}"/>
    <cellStyle name="Linked Cell 2 7" xfId="12435" xr:uid="{00000000-0005-0000-0000-0000624A0000}"/>
    <cellStyle name="Linked Cell 2 8" xfId="12436" xr:uid="{00000000-0005-0000-0000-0000634A0000}"/>
    <cellStyle name="Linked Cell 2 9" xfId="12437" xr:uid="{00000000-0005-0000-0000-0000644A0000}"/>
    <cellStyle name="Linked Cell 2_DATA Input" xfId="12438" xr:uid="{00000000-0005-0000-0000-0000654A0000}"/>
    <cellStyle name="Linked Cell 20" xfId="12439" xr:uid="{00000000-0005-0000-0000-0000664A0000}"/>
    <cellStyle name="Linked Cell 21" xfId="12440" xr:uid="{00000000-0005-0000-0000-0000674A0000}"/>
    <cellStyle name="Linked Cell 22" xfId="12441" xr:uid="{00000000-0005-0000-0000-0000684A0000}"/>
    <cellStyle name="Linked Cell 23" xfId="12442" xr:uid="{00000000-0005-0000-0000-0000694A0000}"/>
    <cellStyle name="Linked Cell 24" xfId="12443" xr:uid="{00000000-0005-0000-0000-00006A4A0000}"/>
    <cellStyle name="Linked Cell 3" xfId="12444" xr:uid="{00000000-0005-0000-0000-00006B4A0000}"/>
    <cellStyle name="Linked Cell 3 10" xfId="12445" xr:uid="{00000000-0005-0000-0000-00006C4A0000}"/>
    <cellStyle name="Linked Cell 3 11" xfId="12446" xr:uid="{00000000-0005-0000-0000-00006D4A0000}"/>
    <cellStyle name="Linked Cell 3 12" xfId="12447" xr:uid="{00000000-0005-0000-0000-00006E4A0000}"/>
    <cellStyle name="Linked Cell 3 13" xfId="12448" xr:uid="{00000000-0005-0000-0000-00006F4A0000}"/>
    <cellStyle name="Linked Cell 3 14" xfId="12449" xr:uid="{00000000-0005-0000-0000-0000704A0000}"/>
    <cellStyle name="Linked Cell 3 15" xfId="12450" xr:uid="{00000000-0005-0000-0000-0000714A0000}"/>
    <cellStyle name="Linked Cell 3 16" xfId="12451" xr:uid="{00000000-0005-0000-0000-0000724A0000}"/>
    <cellStyle name="Linked Cell 3 17" xfId="12452" xr:uid="{00000000-0005-0000-0000-0000734A0000}"/>
    <cellStyle name="Linked Cell 3 18" xfId="12453" xr:uid="{00000000-0005-0000-0000-0000744A0000}"/>
    <cellStyle name="Linked Cell 3 19" xfId="12454" xr:uid="{00000000-0005-0000-0000-0000754A0000}"/>
    <cellStyle name="Linked Cell 3 2" xfId="12455" xr:uid="{00000000-0005-0000-0000-0000764A0000}"/>
    <cellStyle name="Linked Cell 3 20" xfId="12456" xr:uid="{00000000-0005-0000-0000-0000774A0000}"/>
    <cellStyle name="Linked Cell 3 21" xfId="12457" xr:uid="{00000000-0005-0000-0000-0000784A0000}"/>
    <cellStyle name="Linked Cell 3 22" xfId="12458" xr:uid="{00000000-0005-0000-0000-0000794A0000}"/>
    <cellStyle name="Linked Cell 3 23" xfId="12459" xr:uid="{00000000-0005-0000-0000-00007A4A0000}"/>
    <cellStyle name="Linked Cell 3 24" xfId="12460" xr:uid="{00000000-0005-0000-0000-00007B4A0000}"/>
    <cellStyle name="Linked Cell 3 25" xfId="12461" xr:uid="{00000000-0005-0000-0000-00007C4A0000}"/>
    <cellStyle name="Linked Cell 3 26" xfId="12462" xr:uid="{00000000-0005-0000-0000-00007D4A0000}"/>
    <cellStyle name="Linked Cell 3 27" xfId="12463" xr:uid="{00000000-0005-0000-0000-00007E4A0000}"/>
    <cellStyle name="Linked Cell 3 28" xfId="12464" xr:uid="{00000000-0005-0000-0000-00007F4A0000}"/>
    <cellStyle name="Linked Cell 3 29" xfId="12465" xr:uid="{00000000-0005-0000-0000-0000804A0000}"/>
    <cellStyle name="Linked Cell 3 3" xfId="12466" xr:uid="{00000000-0005-0000-0000-0000814A0000}"/>
    <cellStyle name="Linked Cell 3 30" xfId="12467" xr:uid="{00000000-0005-0000-0000-0000824A0000}"/>
    <cellStyle name="Linked Cell 3 31" xfId="12468" xr:uid="{00000000-0005-0000-0000-0000834A0000}"/>
    <cellStyle name="Linked Cell 3 32" xfId="12469" xr:uid="{00000000-0005-0000-0000-0000844A0000}"/>
    <cellStyle name="Linked Cell 3 4" xfId="12470" xr:uid="{00000000-0005-0000-0000-0000854A0000}"/>
    <cellStyle name="Linked Cell 3 5" xfId="12471" xr:uid="{00000000-0005-0000-0000-0000864A0000}"/>
    <cellStyle name="Linked Cell 3 6" xfId="12472" xr:uid="{00000000-0005-0000-0000-0000874A0000}"/>
    <cellStyle name="Linked Cell 3 7" xfId="12473" xr:uid="{00000000-0005-0000-0000-0000884A0000}"/>
    <cellStyle name="Linked Cell 3 8" xfId="12474" xr:uid="{00000000-0005-0000-0000-0000894A0000}"/>
    <cellStyle name="Linked Cell 3 9" xfId="12475" xr:uid="{00000000-0005-0000-0000-00008A4A0000}"/>
    <cellStyle name="Linked Cell 4" xfId="12476" xr:uid="{00000000-0005-0000-0000-00008B4A0000}"/>
    <cellStyle name="Linked Cell 5" xfId="12477" xr:uid="{00000000-0005-0000-0000-00008C4A0000}"/>
    <cellStyle name="Linked Cell 6" xfId="12478" xr:uid="{00000000-0005-0000-0000-00008D4A0000}"/>
    <cellStyle name="Linked Cell 7" xfId="12479" xr:uid="{00000000-0005-0000-0000-00008E4A0000}"/>
    <cellStyle name="Linked Cell 8" xfId="12480" xr:uid="{00000000-0005-0000-0000-00008F4A0000}"/>
    <cellStyle name="Linked Cell 9" xfId="12481" xr:uid="{00000000-0005-0000-0000-0000904A0000}"/>
    <cellStyle name="Linked Cells" xfId="319" xr:uid="{00000000-0005-0000-0000-0000914A0000}"/>
    <cellStyle name="Linked Cells 10" xfId="12482" xr:uid="{00000000-0005-0000-0000-0000924A0000}"/>
    <cellStyle name="Linked Cells 11" xfId="12483" xr:uid="{00000000-0005-0000-0000-0000934A0000}"/>
    <cellStyle name="Linked Cells 12" xfId="12484" xr:uid="{00000000-0005-0000-0000-0000944A0000}"/>
    <cellStyle name="Linked Cells 13" xfId="12485" xr:uid="{00000000-0005-0000-0000-0000954A0000}"/>
    <cellStyle name="Linked Cells 14" xfId="12486" xr:uid="{00000000-0005-0000-0000-0000964A0000}"/>
    <cellStyle name="Linked Cells 15" xfId="12487" xr:uid="{00000000-0005-0000-0000-0000974A0000}"/>
    <cellStyle name="Linked Cells 16" xfId="12488" xr:uid="{00000000-0005-0000-0000-0000984A0000}"/>
    <cellStyle name="Linked Cells 17" xfId="12489" xr:uid="{00000000-0005-0000-0000-0000994A0000}"/>
    <cellStyle name="Linked Cells 18" xfId="12490" xr:uid="{00000000-0005-0000-0000-00009A4A0000}"/>
    <cellStyle name="Linked Cells 19" xfId="12491" xr:uid="{00000000-0005-0000-0000-00009B4A0000}"/>
    <cellStyle name="Linked Cells 2" xfId="12492" xr:uid="{00000000-0005-0000-0000-00009C4A0000}"/>
    <cellStyle name="Linked Cells 20" xfId="12493" xr:uid="{00000000-0005-0000-0000-00009D4A0000}"/>
    <cellStyle name="Linked Cells 21" xfId="12494" xr:uid="{00000000-0005-0000-0000-00009E4A0000}"/>
    <cellStyle name="Linked Cells 22" xfId="12495" xr:uid="{00000000-0005-0000-0000-00009F4A0000}"/>
    <cellStyle name="Linked Cells 23" xfId="12496" xr:uid="{00000000-0005-0000-0000-0000A04A0000}"/>
    <cellStyle name="Linked Cells 24" xfId="12497" xr:uid="{00000000-0005-0000-0000-0000A14A0000}"/>
    <cellStyle name="Linked Cells 25" xfId="12498" xr:uid="{00000000-0005-0000-0000-0000A24A0000}"/>
    <cellStyle name="Linked Cells 26" xfId="12499" xr:uid="{00000000-0005-0000-0000-0000A34A0000}"/>
    <cellStyle name="Linked Cells 27" xfId="12500" xr:uid="{00000000-0005-0000-0000-0000A44A0000}"/>
    <cellStyle name="Linked Cells 28" xfId="12501" xr:uid="{00000000-0005-0000-0000-0000A54A0000}"/>
    <cellStyle name="Linked Cells 29" xfId="12502" xr:uid="{00000000-0005-0000-0000-0000A64A0000}"/>
    <cellStyle name="Linked Cells 3" xfId="12503" xr:uid="{00000000-0005-0000-0000-0000A74A0000}"/>
    <cellStyle name="Linked Cells 30" xfId="12504" xr:uid="{00000000-0005-0000-0000-0000A84A0000}"/>
    <cellStyle name="Linked Cells 31" xfId="12505" xr:uid="{00000000-0005-0000-0000-0000A94A0000}"/>
    <cellStyle name="Linked Cells 32" xfId="12506" xr:uid="{00000000-0005-0000-0000-0000AA4A0000}"/>
    <cellStyle name="Linked Cells 4" xfId="12507" xr:uid="{00000000-0005-0000-0000-0000AB4A0000}"/>
    <cellStyle name="Linked Cells 5" xfId="12508" xr:uid="{00000000-0005-0000-0000-0000AC4A0000}"/>
    <cellStyle name="Linked Cells 6" xfId="12509" xr:uid="{00000000-0005-0000-0000-0000AD4A0000}"/>
    <cellStyle name="Linked Cells 7" xfId="12510" xr:uid="{00000000-0005-0000-0000-0000AE4A0000}"/>
    <cellStyle name="Linked Cells 8" xfId="12511" xr:uid="{00000000-0005-0000-0000-0000AF4A0000}"/>
    <cellStyle name="Linked Cells 9" xfId="12512" xr:uid="{00000000-0005-0000-0000-0000B04A0000}"/>
    <cellStyle name="LLLLLL" xfId="22713" xr:uid="{00000000-0005-0000-0000-0000B14A0000}"/>
    <cellStyle name="Locked" xfId="22714" xr:uid="{00000000-0005-0000-0000-0000B24A0000}"/>
    <cellStyle name="M" xfId="12513" xr:uid="{00000000-0005-0000-0000-0000B34A0000}"/>
    <cellStyle name="M_1 LEAF HINGED DOOR WITH THERMAL BREAK" xfId="12514" xr:uid="{00000000-0005-0000-0000-0000B44A0000}"/>
    <cellStyle name="M_1 leaf Swing Door" xfId="12515" xr:uid="{00000000-0005-0000-0000-0000B54A0000}"/>
    <cellStyle name="M_Backpan" xfId="12516" xr:uid="{00000000-0005-0000-0000-0000B64A0000}"/>
    <cellStyle name="M_Book2" xfId="12517" xr:uid="{00000000-0005-0000-0000-0000B74A0000}"/>
    <cellStyle name="M_Book3" xfId="12518" xr:uid="{00000000-0005-0000-0000-0000B84A0000}"/>
    <cellStyle name="M_Fixed Unit (window) 63TT" xfId="12519" xr:uid="{00000000-0005-0000-0000-0000B94A0000}"/>
    <cellStyle name="M_Hinged-Swing door workout" xfId="12520" xr:uid="{00000000-0005-0000-0000-0000BA4A0000}"/>
    <cellStyle name="M_KAFD - Revision 2 (final) SP" xfId="12521" xr:uid="{00000000-0005-0000-0000-0000BB4A0000}"/>
    <cellStyle name="M-0" xfId="12522" xr:uid="{00000000-0005-0000-0000-0000BC4A0000}"/>
    <cellStyle name="m2" xfId="12523" xr:uid="{00000000-0005-0000-0000-0000BD4A0000}"/>
    <cellStyle name="Main Trade Section" xfId="12524" xr:uid="{00000000-0005-0000-0000-0000BE4A0000}"/>
    <cellStyle name="MainDescription" xfId="12525" xr:uid="{00000000-0005-0000-0000-0000BF4A0000}"/>
    <cellStyle name="MainDescription 2" xfId="12526" xr:uid="{00000000-0005-0000-0000-0000C04A0000}"/>
    <cellStyle name="Measure" xfId="12527" xr:uid="{00000000-0005-0000-0000-0000C14A0000}"/>
    <cellStyle name="měny_Bill of Material" xfId="320" xr:uid="{00000000-0005-0000-0000-0000C24A0000}"/>
    <cellStyle name="MetricLabel" xfId="12528" xr:uid="{00000000-0005-0000-0000-0000C34A0000}"/>
    <cellStyle name="MetricLabelBlue" xfId="12529" xr:uid="{00000000-0005-0000-0000-0000C44A0000}"/>
    <cellStyle name="MetricValue" xfId="12530" xr:uid="{00000000-0005-0000-0000-0000C54A0000}"/>
    <cellStyle name="Microsoft Excel found an error in the formula you entered. Do you want to accept the correction proposed below?_x000a__x000a_|_x000a__x000a_• To accept the correction, click Yes._x000a_• To close this message and correct the formula yourself, click No." xfId="321" xr:uid="{00000000-0005-0000-0000-0000C64A0000}"/>
    <cellStyle name="Microsoft Excel found an error in the formula you entered. Do you want to accept the correction proposed below?_x000a__x000a_|_x000a__x000a_• To accept the correction, click Yes._x000a_• To close this message and correct the formula yourself, click No. 10" xfId="322" xr:uid="{00000000-0005-0000-0000-0000C74A0000}"/>
    <cellStyle name="Microsoft Excel found an error in the formula you entered. Do you want to accept the correction proposed below?_x000a__x000a_|_x000a__x000a_• To accept the correction, click Yes._x000a_• To close this message and correct the formula yourself, click No. 11" xfId="323" xr:uid="{00000000-0005-0000-0000-0000C84A0000}"/>
    <cellStyle name="Microsoft Excel found an error in the formula you entered. Do you want to accept the correction proposed below?_x000a__x000a_|_x000a__x000a_• To accept the correction, click Yes._x000a_• To close this message and correct the formula yourself, click No. 12" xfId="324" xr:uid="{00000000-0005-0000-0000-0000C94A0000}"/>
    <cellStyle name="Microsoft Excel found an error in the formula you entered. Do you want to accept the correction proposed below?_x000a__x000a_|_x000a__x000a_• To accept the correction, click Yes._x000a_• To close this message and correct the formula yourself, click No. 13" xfId="325" xr:uid="{00000000-0005-0000-0000-0000CA4A0000}"/>
    <cellStyle name="Microsoft Excel found an error in the formula you entered. Do you want to accept the correction proposed below?_x000a__x000a_|_x000a__x000a_• To accept the correction, click Yes._x000a_• To close this message and correct the formula yourself, click No. 14" xfId="326" xr:uid="{00000000-0005-0000-0000-0000CB4A0000}"/>
    <cellStyle name="Microsoft Excel found an error in the formula you entered. Do you want to accept the correction proposed below?_x000a__x000a_|_x000a__x000a_• To accept the correction, click Yes._x000a_• To close this message and correct the formula yourself, click No. 15" xfId="327" xr:uid="{00000000-0005-0000-0000-0000CC4A0000}"/>
    <cellStyle name="Microsoft Excel found an error in the formula you entered. Do you want to accept the correction proposed below?_x000a__x000a_|_x000a__x000a_• To accept the correction, click Yes._x000a_• To close this message and correct the formula yourself, click No. 2" xfId="328" xr:uid="{00000000-0005-0000-0000-0000CD4A0000}"/>
    <cellStyle name="Microsoft Excel found an error in the formula you entered. Do you want to accept the correction proposed below?_x000a__x000a_|_x000a__x000a_• To accept the correction, click Yes._x000a_• To close this message and correct the formula yourself, click No. 3" xfId="329" xr:uid="{00000000-0005-0000-0000-0000CE4A0000}"/>
    <cellStyle name="Microsoft Excel found an error in the formula you entered. Do you want to accept the correction proposed below?_x000a__x000a_|_x000a__x000a_• To accept the correction, click Yes._x000a_• To close this message and correct the formula yourself, click No. 4" xfId="330" xr:uid="{00000000-0005-0000-0000-0000CF4A0000}"/>
    <cellStyle name="Microsoft Excel found an error in the formula you entered. Do you want to accept the correction proposed below?_x000a__x000a_|_x000a__x000a_• To accept the correction, click Yes._x000a_• To close this message and correct the formula yourself, click No. 5" xfId="331" xr:uid="{00000000-0005-0000-0000-0000D04A0000}"/>
    <cellStyle name="Microsoft Excel found an error in the formula you entered. Do you want to accept the correction proposed below?_x000a__x000a_|_x000a__x000a_• To accept the correction, click Yes._x000a_• To close this message and correct the formula yourself, click No. 6" xfId="332" xr:uid="{00000000-0005-0000-0000-0000D14A0000}"/>
    <cellStyle name="Microsoft Excel found an error in the formula you entered. Do you want to accept the correction proposed below?_x000a__x000a_|_x000a__x000a_• To accept the correction, click Yes._x000a_• To close this message and correct the formula yourself, click No. 7" xfId="333" xr:uid="{00000000-0005-0000-0000-0000D24A0000}"/>
    <cellStyle name="Microsoft Excel found an error in the formula you entered. Do you want to accept the correction proposed below?_x000a__x000a_|_x000a__x000a_• To accept the correction, click Yes._x000a_• To close this message and correct the formula yourself, click No. 8" xfId="334" xr:uid="{00000000-0005-0000-0000-0000D34A0000}"/>
    <cellStyle name="Microsoft Excel found an error in the formula you entered. Do you want to accept the correction proposed below?_x000a__x000a_|_x000a__x000a_• To accept the correction, click Yes._x000a_• To close this message and correct the formula yourself, click No. 9" xfId="335" xr:uid="{00000000-0005-0000-0000-0000D44A0000}"/>
    <cellStyle name="Migliaia [0] 2" xfId="12531" xr:uid="{00000000-0005-0000-0000-0000D54A0000}"/>
    <cellStyle name="Migliaia 2" xfId="12532" xr:uid="{00000000-0005-0000-0000-0000D64A0000}"/>
    <cellStyle name="Migliaia 2 2" xfId="12533" xr:uid="{00000000-0005-0000-0000-0000D74A0000}"/>
    <cellStyle name="Migliaia 2 2 2" xfId="12534" xr:uid="{00000000-0005-0000-0000-0000D84A0000}"/>
    <cellStyle name="Migliaia 3" xfId="12535" xr:uid="{00000000-0005-0000-0000-0000D94A0000}"/>
    <cellStyle name="Migliaia 3 2" xfId="12536" xr:uid="{00000000-0005-0000-0000-0000DA4A0000}"/>
    <cellStyle name="Migliaia 3 2 2" xfId="12537" xr:uid="{00000000-0005-0000-0000-0000DB4A0000}"/>
    <cellStyle name="Migliaia 3 3" xfId="12538" xr:uid="{00000000-0005-0000-0000-0000DC4A0000}"/>
    <cellStyle name="Migliaia 4" xfId="12539" xr:uid="{00000000-0005-0000-0000-0000DD4A0000}"/>
    <cellStyle name="Migliaia 4 2" xfId="12540" xr:uid="{00000000-0005-0000-0000-0000DE4A0000}"/>
    <cellStyle name="Migliaia 4 2 2" xfId="12541" xr:uid="{00000000-0005-0000-0000-0000DF4A0000}"/>
    <cellStyle name="Migliaia 4 3" xfId="12542" xr:uid="{00000000-0005-0000-0000-0000E04A0000}"/>
    <cellStyle name="Migliaia 5" xfId="12543" xr:uid="{00000000-0005-0000-0000-0000E14A0000}"/>
    <cellStyle name="Migliaia 6" xfId="12544" xr:uid="{00000000-0005-0000-0000-0000E24A0000}"/>
    <cellStyle name="Migliaia 7" xfId="12545" xr:uid="{00000000-0005-0000-0000-0000E34A0000}"/>
    <cellStyle name="Migliaia 8" xfId="12546" xr:uid="{00000000-0005-0000-0000-0000E44A0000}"/>
    <cellStyle name="Migliaia 9" xfId="12547" xr:uid="{00000000-0005-0000-0000-0000E54A0000}"/>
    <cellStyle name="Millares [0]_10 AVERIAS MASIVAS + ANT" xfId="12548" xr:uid="{00000000-0005-0000-0000-0000E64A0000}"/>
    <cellStyle name="Millares_10 AVERIAS MASIVAS + ANT" xfId="12549" xr:uid="{00000000-0005-0000-0000-0000E74A0000}"/>
    <cellStyle name="Milliers [0]_!!!GO" xfId="336" xr:uid="{00000000-0005-0000-0000-0000E84A0000}"/>
    <cellStyle name="Milliers 10" xfId="12550" xr:uid="{00000000-0005-0000-0000-0000E94A0000}"/>
    <cellStyle name="Milliers 100" xfId="12551" xr:uid="{00000000-0005-0000-0000-0000EA4A0000}"/>
    <cellStyle name="Milliers 101" xfId="12552" xr:uid="{00000000-0005-0000-0000-0000EB4A0000}"/>
    <cellStyle name="Milliers 102" xfId="12553" xr:uid="{00000000-0005-0000-0000-0000EC4A0000}"/>
    <cellStyle name="Milliers 11" xfId="12554" xr:uid="{00000000-0005-0000-0000-0000ED4A0000}"/>
    <cellStyle name="Milliers 12" xfId="12555" xr:uid="{00000000-0005-0000-0000-0000EE4A0000}"/>
    <cellStyle name="Milliers 13" xfId="12556" xr:uid="{00000000-0005-0000-0000-0000EF4A0000}"/>
    <cellStyle name="Milliers 14" xfId="12557" xr:uid="{00000000-0005-0000-0000-0000F04A0000}"/>
    <cellStyle name="Milliers 15" xfId="12558" xr:uid="{00000000-0005-0000-0000-0000F14A0000}"/>
    <cellStyle name="Milliers 16" xfId="12559" xr:uid="{00000000-0005-0000-0000-0000F24A0000}"/>
    <cellStyle name="Milliers 17" xfId="12560" xr:uid="{00000000-0005-0000-0000-0000F34A0000}"/>
    <cellStyle name="Milliers 18" xfId="12561" xr:uid="{00000000-0005-0000-0000-0000F44A0000}"/>
    <cellStyle name="Milliers 19" xfId="12562" xr:uid="{00000000-0005-0000-0000-0000F54A0000}"/>
    <cellStyle name="Milliers 2" xfId="12563" xr:uid="{00000000-0005-0000-0000-0000F64A0000}"/>
    <cellStyle name="Milliers 20" xfId="12564" xr:uid="{00000000-0005-0000-0000-0000F74A0000}"/>
    <cellStyle name="Milliers 21" xfId="12565" xr:uid="{00000000-0005-0000-0000-0000F84A0000}"/>
    <cellStyle name="Milliers 22" xfId="12566" xr:uid="{00000000-0005-0000-0000-0000F94A0000}"/>
    <cellStyle name="Milliers 23" xfId="12567" xr:uid="{00000000-0005-0000-0000-0000FA4A0000}"/>
    <cellStyle name="Milliers 24" xfId="12568" xr:uid="{00000000-0005-0000-0000-0000FB4A0000}"/>
    <cellStyle name="Milliers 25" xfId="12569" xr:uid="{00000000-0005-0000-0000-0000FC4A0000}"/>
    <cellStyle name="Milliers 26" xfId="12570" xr:uid="{00000000-0005-0000-0000-0000FD4A0000}"/>
    <cellStyle name="Milliers 27" xfId="12571" xr:uid="{00000000-0005-0000-0000-0000FE4A0000}"/>
    <cellStyle name="Milliers 28" xfId="12572" xr:uid="{00000000-0005-0000-0000-0000FF4A0000}"/>
    <cellStyle name="Milliers 29" xfId="12573" xr:uid="{00000000-0005-0000-0000-0000004B0000}"/>
    <cellStyle name="Milliers 3" xfId="12574" xr:uid="{00000000-0005-0000-0000-0000014B0000}"/>
    <cellStyle name="Milliers 30" xfId="12575" xr:uid="{00000000-0005-0000-0000-0000024B0000}"/>
    <cellStyle name="Milliers 31" xfId="12576" xr:uid="{00000000-0005-0000-0000-0000034B0000}"/>
    <cellStyle name="Milliers 32" xfId="12577" xr:uid="{00000000-0005-0000-0000-0000044B0000}"/>
    <cellStyle name="Milliers 33" xfId="12578" xr:uid="{00000000-0005-0000-0000-0000054B0000}"/>
    <cellStyle name="Milliers 34" xfId="12579" xr:uid="{00000000-0005-0000-0000-0000064B0000}"/>
    <cellStyle name="Milliers 35" xfId="12580" xr:uid="{00000000-0005-0000-0000-0000074B0000}"/>
    <cellStyle name="Milliers 36" xfId="12581" xr:uid="{00000000-0005-0000-0000-0000084B0000}"/>
    <cellStyle name="Milliers 37" xfId="12582" xr:uid="{00000000-0005-0000-0000-0000094B0000}"/>
    <cellStyle name="Milliers 38" xfId="12583" xr:uid="{00000000-0005-0000-0000-00000A4B0000}"/>
    <cellStyle name="Milliers 39" xfId="12584" xr:uid="{00000000-0005-0000-0000-00000B4B0000}"/>
    <cellStyle name="Milliers 4" xfId="12585" xr:uid="{00000000-0005-0000-0000-00000C4B0000}"/>
    <cellStyle name="Milliers 40" xfId="12586" xr:uid="{00000000-0005-0000-0000-00000D4B0000}"/>
    <cellStyle name="Milliers 41" xfId="12587" xr:uid="{00000000-0005-0000-0000-00000E4B0000}"/>
    <cellStyle name="Milliers 42" xfId="12588" xr:uid="{00000000-0005-0000-0000-00000F4B0000}"/>
    <cellStyle name="Milliers 43" xfId="12589" xr:uid="{00000000-0005-0000-0000-0000104B0000}"/>
    <cellStyle name="Milliers 44" xfId="12590" xr:uid="{00000000-0005-0000-0000-0000114B0000}"/>
    <cellStyle name="Milliers 45" xfId="12591" xr:uid="{00000000-0005-0000-0000-0000124B0000}"/>
    <cellStyle name="Milliers 46" xfId="12592" xr:uid="{00000000-0005-0000-0000-0000134B0000}"/>
    <cellStyle name="Milliers 47" xfId="12593" xr:uid="{00000000-0005-0000-0000-0000144B0000}"/>
    <cellStyle name="Milliers 48" xfId="12594" xr:uid="{00000000-0005-0000-0000-0000154B0000}"/>
    <cellStyle name="Milliers 49" xfId="12595" xr:uid="{00000000-0005-0000-0000-0000164B0000}"/>
    <cellStyle name="Milliers 5" xfId="12596" xr:uid="{00000000-0005-0000-0000-0000174B0000}"/>
    <cellStyle name="Milliers 50" xfId="12597" xr:uid="{00000000-0005-0000-0000-0000184B0000}"/>
    <cellStyle name="Milliers 51" xfId="12598" xr:uid="{00000000-0005-0000-0000-0000194B0000}"/>
    <cellStyle name="Milliers 52" xfId="12599" xr:uid="{00000000-0005-0000-0000-00001A4B0000}"/>
    <cellStyle name="Milliers 53" xfId="12600" xr:uid="{00000000-0005-0000-0000-00001B4B0000}"/>
    <cellStyle name="Milliers 54" xfId="12601" xr:uid="{00000000-0005-0000-0000-00001C4B0000}"/>
    <cellStyle name="Milliers 55" xfId="12602" xr:uid="{00000000-0005-0000-0000-00001D4B0000}"/>
    <cellStyle name="Milliers 56" xfId="12603" xr:uid="{00000000-0005-0000-0000-00001E4B0000}"/>
    <cellStyle name="Milliers 57" xfId="12604" xr:uid="{00000000-0005-0000-0000-00001F4B0000}"/>
    <cellStyle name="Milliers 58" xfId="12605" xr:uid="{00000000-0005-0000-0000-0000204B0000}"/>
    <cellStyle name="Milliers 59" xfId="12606" xr:uid="{00000000-0005-0000-0000-0000214B0000}"/>
    <cellStyle name="Milliers 6" xfId="12607" xr:uid="{00000000-0005-0000-0000-0000224B0000}"/>
    <cellStyle name="Milliers 60" xfId="12608" xr:uid="{00000000-0005-0000-0000-0000234B0000}"/>
    <cellStyle name="Milliers 61" xfId="12609" xr:uid="{00000000-0005-0000-0000-0000244B0000}"/>
    <cellStyle name="Milliers 62" xfId="12610" xr:uid="{00000000-0005-0000-0000-0000254B0000}"/>
    <cellStyle name="Milliers 63" xfId="12611" xr:uid="{00000000-0005-0000-0000-0000264B0000}"/>
    <cellStyle name="Milliers 64" xfId="12612" xr:uid="{00000000-0005-0000-0000-0000274B0000}"/>
    <cellStyle name="Milliers 65" xfId="12613" xr:uid="{00000000-0005-0000-0000-0000284B0000}"/>
    <cellStyle name="Milliers 66" xfId="12614" xr:uid="{00000000-0005-0000-0000-0000294B0000}"/>
    <cellStyle name="Milliers 67" xfId="12615" xr:uid="{00000000-0005-0000-0000-00002A4B0000}"/>
    <cellStyle name="Milliers 68" xfId="12616" xr:uid="{00000000-0005-0000-0000-00002B4B0000}"/>
    <cellStyle name="Milliers 69" xfId="12617" xr:uid="{00000000-0005-0000-0000-00002C4B0000}"/>
    <cellStyle name="Milliers 7" xfId="12618" xr:uid="{00000000-0005-0000-0000-00002D4B0000}"/>
    <cellStyle name="Milliers 70" xfId="12619" xr:uid="{00000000-0005-0000-0000-00002E4B0000}"/>
    <cellStyle name="Milliers 71" xfId="12620" xr:uid="{00000000-0005-0000-0000-00002F4B0000}"/>
    <cellStyle name="Milliers 72" xfId="12621" xr:uid="{00000000-0005-0000-0000-0000304B0000}"/>
    <cellStyle name="Milliers 73" xfId="12622" xr:uid="{00000000-0005-0000-0000-0000314B0000}"/>
    <cellStyle name="Milliers 74" xfId="12623" xr:uid="{00000000-0005-0000-0000-0000324B0000}"/>
    <cellStyle name="Milliers 75" xfId="12624" xr:uid="{00000000-0005-0000-0000-0000334B0000}"/>
    <cellStyle name="Milliers 76" xfId="12625" xr:uid="{00000000-0005-0000-0000-0000344B0000}"/>
    <cellStyle name="Milliers 77" xfId="12626" xr:uid="{00000000-0005-0000-0000-0000354B0000}"/>
    <cellStyle name="Milliers 78" xfId="12627" xr:uid="{00000000-0005-0000-0000-0000364B0000}"/>
    <cellStyle name="Milliers 79" xfId="12628" xr:uid="{00000000-0005-0000-0000-0000374B0000}"/>
    <cellStyle name="Milliers 8" xfId="12629" xr:uid="{00000000-0005-0000-0000-0000384B0000}"/>
    <cellStyle name="Milliers 80" xfId="12630" xr:uid="{00000000-0005-0000-0000-0000394B0000}"/>
    <cellStyle name="Milliers 81" xfId="12631" xr:uid="{00000000-0005-0000-0000-00003A4B0000}"/>
    <cellStyle name="Milliers 82" xfId="12632" xr:uid="{00000000-0005-0000-0000-00003B4B0000}"/>
    <cellStyle name="Milliers 83" xfId="12633" xr:uid="{00000000-0005-0000-0000-00003C4B0000}"/>
    <cellStyle name="Milliers 84" xfId="12634" xr:uid="{00000000-0005-0000-0000-00003D4B0000}"/>
    <cellStyle name="Milliers 85" xfId="12635" xr:uid="{00000000-0005-0000-0000-00003E4B0000}"/>
    <cellStyle name="Milliers 86" xfId="12636" xr:uid="{00000000-0005-0000-0000-00003F4B0000}"/>
    <cellStyle name="Milliers 87" xfId="12637" xr:uid="{00000000-0005-0000-0000-0000404B0000}"/>
    <cellStyle name="Milliers 88" xfId="12638" xr:uid="{00000000-0005-0000-0000-0000414B0000}"/>
    <cellStyle name="Milliers 89" xfId="12639" xr:uid="{00000000-0005-0000-0000-0000424B0000}"/>
    <cellStyle name="Milliers 9" xfId="12640" xr:uid="{00000000-0005-0000-0000-0000434B0000}"/>
    <cellStyle name="Milliers 90" xfId="12641" xr:uid="{00000000-0005-0000-0000-0000444B0000}"/>
    <cellStyle name="Milliers 91" xfId="12642" xr:uid="{00000000-0005-0000-0000-0000454B0000}"/>
    <cellStyle name="Milliers 92" xfId="12643" xr:uid="{00000000-0005-0000-0000-0000464B0000}"/>
    <cellStyle name="Milliers 93" xfId="12644" xr:uid="{00000000-0005-0000-0000-0000474B0000}"/>
    <cellStyle name="Milliers 94" xfId="12645" xr:uid="{00000000-0005-0000-0000-0000484B0000}"/>
    <cellStyle name="Milliers 95" xfId="12646" xr:uid="{00000000-0005-0000-0000-0000494B0000}"/>
    <cellStyle name="Milliers 96" xfId="12647" xr:uid="{00000000-0005-0000-0000-00004A4B0000}"/>
    <cellStyle name="Milliers 97" xfId="12648" xr:uid="{00000000-0005-0000-0000-00004B4B0000}"/>
    <cellStyle name="Milliers 98" xfId="12649" xr:uid="{00000000-0005-0000-0000-00004C4B0000}"/>
    <cellStyle name="Milliers 99" xfId="12650" xr:uid="{00000000-0005-0000-0000-00004D4B0000}"/>
    <cellStyle name="Milliers_!!!GO" xfId="337" xr:uid="{00000000-0005-0000-0000-00004E4B0000}"/>
    <cellStyle name="millions" xfId="12651" xr:uid="{00000000-0005-0000-0000-00004F4B0000}"/>
    <cellStyle name="millions ($)" xfId="12652" xr:uid="{00000000-0005-0000-0000-0000504B0000}"/>
    <cellStyle name="millions (no dec.)" xfId="12653" xr:uid="{00000000-0005-0000-0000-0000514B0000}"/>
    <cellStyle name="millions_EutelSat.(2.18.01)" xfId="12654" xr:uid="{00000000-0005-0000-0000-0000524B0000}"/>
    <cellStyle name="m-o" xfId="12655" xr:uid="{00000000-0005-0000-0000-0000534B0000}"/>
    <cellStyle name="Model" xfId="338" xr:uid="{00000000-0005-0000-0000-0000544B0000}"/>
    <cellStyle name="Model 2" xfId="339" xr:uid="{00000000-0005-0000-0000-0000554B0000}"/>
    <cellStyle name="Model 2 2" xfId="19412" xr:uid="{00000000-0005-0000-0000-0000564B0000}"/>
    <cellStyle name="Model 3" xfId="19411" xr:uid="{00000000-0005-0000-0000-0000574B0000}"/>
    <cellStyle name="Moneda [0]_10 AVERIAS MASIVAS + ANT" xfId="12656" xr:uid="{00000000-0005-0000-0000-0000584B0000}"/>
    <cellStyle name="Moneda_10 AVERIAS MASIVAS + ANT" xfId="12657" xr:uid="{00000000-0005-0000-0000-0000594B0000}"/>
    <cellStyle name="Monétaire [0]_!!!GO" xfId="340" xr:uid="{00000000-0005-0000-0000-00005A4B0000}"/>
    <cellStyle name="Monétaire_!!!GO" xfId="341" xr:uid="{00000000-0005-0000-0000-00005B4B0000}"/>
    <cellStyle name="Monetario" xfId="12658" xr:uid="{00000000-0005-0000-0000-00005C4B0000}"/>
    <cellStyle name="MonthYears" xfId="12659" xr:uid="{00000000-0005-0000-0000-00005D4B0000}"/>
    <cellStyle name="MS_Arabic" xfId="342" xr:uid="{00000000-0005-0000-0000-00005E4B0000}"/>
    <cellStyle name="mult" xfId="12660" xr:uid="{00000000-0005-0000-0000-00005F4B0000}"/>
    <cellStyle name="multiple" xfId="12661" xr:uid="{00000000-0005-0000-0000-0000604B0000}"/>
    <cellStyle name="multiple0" xfId="12662" xr:uid="{00000000-0005-0000-0000-0000614B0000}"/>
    <cellStyle name="multiple1" xfId="12663" xr:uid="{00000000-0005-0000-0000-0000624B0000}"/>
    <cellStyle name="n" xfId="12664" xr:uid="{00000000-0005-0000-0000-0000634B0000}"/>
    <cellStyle name="n_1 LEAF HINGED DOOR WITH THERMAL BREAK" xfId="12665" xr:uid="{00000000-0005-0000-0000-0000644B0000}"/>
    <cellStyle name="n_1 leaf Swing Door" xfId="12666" xr:uid="{00000000-0005-0000-0000-0000654B0000}"/>
    <cellStyle name="n_Backpan" xfId="12667" xr:uid="{00000000-0005-0000-0000-0000664B0000}"/>
    <cellStyle name="n_Book2" xfId="12668" xr:uid="{00000000-0005-0000-0000-0000674B0000}"/>
    <cellStyle name="n_Book3" xfId="12669" xr:uid="{00000000-0005-0000-0000-0000684B0000}"/>
    <cellStyle name="n_Fixed Unit (window) 63TT" xfId="12670" xr:uid="{00000000-0005-0000-0000-0000694B0000}"/>
    <cellStyle name="n_Hinged-Swing door workout" xfId="12671" xr:uid="{00000000-0005-0000-0000-00006A4B0000}"/>
    <cellStyle name="n_KAFD - Revision 2 (final) SP" xfId="12672" xr:uid="{00000000-0005-0000-0000-00006B4B0000}"/>
    <cellStyle name="Negative" xfId="12673" xr:uid="{00000000-0005-0000-0000-00006C4B0000}"/>
    <cellStyle name="Neutral" xfId="27972" builtinId="28"/>
    <cellStyle name="Neutral 10" xfId="12674" xr:uid="{00000000-0005-0000-0000-00006D4B0000}"/>
    <cellStyle name="Neutral 11" xfId="12675" xr:uid="{00000000-0005-0000-0000-00006E4B0000}"/>
    <cellStyle name="Neutral 12" xfId="12676" xr:uid="{00000000-0005-0000-0000-00006F4B0000}"/>
    <cellStyle name="Neutral 13" xfId="12677" xr:uid="{00000000-0005-0000-0000-0000704B0000}"/>
    <cellStyle name="Neutral 14" xfId="12678" xr:uid="{00000000-0005-0000-0000-0000714B0000}"/>
    <cellStyle name="Neutral 15" xfId="12679" xr:uid="{00000000-0005-0000-0000-0000724B0000}"/>
    <cellStyle name="Neutral 16" xfId="12680" xr:uid="{00000000-0005-0000-0000-0000734B0000}"/>
    <cellStyle name="Neutral 17" xfId="12681" xr:uid="{00000000-0005-0000-0000-0000744B0000}"/>
    <cellStyle name="Neutral 18" xfId="12682" xr:uid="{00000000-0005-0000-0000-0000754B0000}"/>
    <cellStyle name="Neutral 19" xfId="12683" xr:uid="{00000000-0005-0000-0000-0000764B0000}"/>
    <cellStyle name="Neutral 2" xfId="343" xr:uid="{00000000-0005-0000-0000-0000774B0000}"/>
    <cellStyle name="Neutral 2 10" xfId="12684" xr:uid="{00000000-0005-0000-0000-0000784B0000}"/>
    <cellStyle name="Neutral 2 11" xfId="12685" xr:uid="{00000000-0005-0000-0000-0000794B0000}"/>
    <cellStyle name="Neutral 2 12" xfId="12686" xr:uid="{00000000-0005-0000-0000-00007A4B0000}"/>
    <cellStyle name="Neutral 2 13" xfId="12687" xr:uid="{00000000-0005-0000-0000-00007B4B0000}"/>
    <cellStyle name="Neutral 2 14" xfId="12688" xr:uid="{00000000-0005-0000-0000-00007C4B0000}"/>
    <cellStyle name="Neutral 2 15" xfId="12689" xr:uid="{00000000-0005-0000-0000-00007D4B0000}"/>
    <cellStyle name="Neutral 2 16" xfId="12690" xr:uid="{00000000-0005-0000-0000-00007E4B0000}"/>
    <cellStyle name="Neutral 2 17" xfId="12691" xr:uid="{00000000-0005-0000-0000-00007F4B0000}"/>
    <cellStyle name="Neutral 2 18" xfId="12692" xr:uid="{00000000-0005-0000-0000-0000804B0000}"/>
    <cellStyle name="Neutral 2 19" xfId="12693" xr:uid="{00000000-0005-0000-0000-0000814B0000}"/>
    <cellStyle name="Neutral 2 2" xfId="12694" xr:uid="{00000000-0005-0000-0000-0000824B0000}"/>
    <cellStyle name="Neutral 2 20" xfId="12695" xr:uid="{00000000-0005-0000-0000-0000834B0000}"/>
    <cellStyle name="Neutral 2 21" xfId="12696" xr:uid="{00000000-0005-0000-0000-0000844B0000}"/>
    <cellStyle name="Neutral 2 22" xfId="12697" xr:uid="{00000000-0005-0000-0000-0000854B0000}"/>
    <cellStyle name="Neutral 2 23" xfId="12698" xr:uid="{00000000-0005-0000-0000-0000864B0000}"/>
    <cellStyle name="Neutral 2 24" xfId="12699" xr:uid="{00000000-0005-0000-0000-0000874B0000}"/>
    <cellStyle name="Neutral 2 25" xfId="12700" xr:uid="{00000000-0005-0000-0000-0000884B0000}"/>
    <cellStyle name="Neutral 2 26" xfId="12701" xr:uid="{00000000-0005-0000-0000-0000894B0000}"/>
    <cellStyle name="Neutral 2 27" xfId="12702" xr:uid="{00000000-0005-0000-0000-00008A4B0000}"/>
    <cellStyle name="Neutral 2 28" xfId="12703" xr:uid="{00000000-0005-0000-0000-00008B4B0000}"/>
    <cellStyle name="Neutral 2 29" xfId="12704" xr:uid="{00000000-0005-0000-0000-00008C4B0000}"/>
    <cellStyle name="Neutral 2 3" xfId="12705" xr:uid="{00000000-0005-0000-0000-00008D4B0000}"/>
    <cellStyle name="Neutral 2 30" xfId="12706" xr:uid="{00000000-0005-0000-0000-00008E4B0000}"/>
    <cellStyle name="Neutral 2 31" xfId="12707" xr:uid="{00000000-0005-0000-0000-00008F4B0000}"/>
    <cellStyle name="Neutral 2 32" xfId="12708" xr:uid="{00000000-0005-0000-0000-0000904B0000}"/>
    <cellStyle name="Neutral 2 33" xfId="12709" xr:uid="{00000000-0005-0000-0000-0000914B0000}"/>
    <cellStyle name="Neutral 2 34" xfId="12710" xr:uid="{00000000-0005-0000-0000-0000924B0000}"/>
    <cellStyle name="Neutral 2 35" xfId="12711" xr:uid="{00000000-0005-0000-0000-0000934B0000}"/>
    <cellStyle name="Neutral 2 36" xfId="12712" xr:uid="{00000000-0005-0000-0000-0000944B0000}"/>
    <cellStyle name="Neutral 2 37" xfId="12713" xr:uid="{00000000-0005-0000-0000-0000954B0000}"/>
    <cellStyle name="Neutral 2 38" xfId="12714" xr:uid="{00000000-0005-0000-0000-0000964B0000}"/>
    <cellStyle name="Neutral 2 39" xfId="12715" xr:uid="{00000000-0005-0000-0000-0000974B0000}"/>
    <cellStyle name="Neutral 2 4" xfId="12716" xr:uid="{00000000-0005-0000-0000-0000984B0000}"/>
    <cellStyle name="Neutral 2 40" xfId="12717" xr:uid="{00000000-0005-0000-0000-0000994B0000}"/>
    <cellStyle name="Neutral 2 41" xfId="12718" xr:uid="{00000000-0005-0000-0000-00009A4B0000}"/>
    <cellStyle name="Neutral 2 42" xfId="12719" xr:uid="{00000000-0005-0000-0000-00009B4B0000}"/>
    <cellStyle name="Neutral 2 5" xfId="12720" xr:uid="{00000000-0005-0000-0000-00009C4B0000}"/>
    <cellStyle name="Neutral 2 6" xfId="12721" xr:uid="{00000000-0005-0000-0000-00009D4B0000}"/>
    <cellStyle name="Neutral 2 7" xfId="12722" xr:uid="{00000000-0005-0000-0000-00009E4B0000}"/>
    <cellStyle name="Neutral 2 8" xfId="12723" xr:uid="{00000000-0005-0000-0000-00009F4B0000}"/>
    <cellStyle name="Neutral 2 9" xfId="12724" xr:uid="{00000000-0005-0000-0000-0000A04B0000}"/>
    <cellStyle name="Neutral 2_DATA Input" xfId="12725" xr:uid="{00000000-0005-0000-0000-0000A14B0000}"/>
    <cellStyle name="Neutral 20" xfId="12726" xr:uid="{00000000-0005-0000-0000-0000A24B0000}"/>
    <cellStyle name="Neutral 21" xfId="12727" xr:uid="{00000000-0005-0000-0000-0000A34B0000}"/>
    <cellStyle name="Neutral 22" xfId="12728" xr:uid="{00000000-0005-0000-0000-0000A44B0000}"/>
    <cellStyle name="Neutral 23" xfId="12729" xr:uid="{00000000-0005-0000-0000-0000A54B0000}"/>
    <cellStyle name="Neutral 24" xfId="12730" xr:uid="{00000000-0005-0000-0000-0000A64B0000}"/>
    <cellStyle name="Neutral 3" xfId="12731" xr:uid="{00000000-0005-0000-0000-0000A74B0000}"/>
    <cellStyle name="Neutral 3 10" xfId="12732" xr:uid="{00000000-0005-0000-0000-0000A84B0000}"/>
    <cellStyle name="Neutral 3 11" xfId="12733" xr:uid="{00000000-0005-0000-0000-0000A94B0000}"/>
    <cellStyle name="Neutral 3 12" xfId="12734" xr:uid="{00000000-0005-0000-0000-0000AA4B0000}"/>
    <cellStyle name="Neutral 3 13" xfId="12735" xr:uid="{00000000-0005-0000-0000-0000AB4B0000}"/>
    <cellStyle name="Neutral 3 14" xfId="12736" xr:uid="{00000000-0005-0000-0000-0000AC4B0000}"/>
    <cellStyle name="Neutral 3 15" xfId="12737" xr:uid="{00000000-0005-0000-0000-0000AD4B0000}"/>
    <cellStyle name="Neutral 3 16" xfId="12738" xr:uid="{00000000-0005-0000-0000-0000AE4B0000}"/>
    <cellStyle name="Neutral 3 17" xfId="12739" xr:uid="{00000000-0005-0000-0000-0000AF4B0000}"/>
    <cellStyle name="Neutral 3 18" xfId="12740" xr:uid="{00000000-0005-0000-0000-0000B04B0000}"/>
    <cellStyle name="Neutral 3 19" xfId="12741" xr:uid="{00000000-0005-0000-0000-0000B14B0000}"/>
    <cellStyle name="Neutral 3 2" xfId="12742" xr:uid="{00000000-0005-0000-0000-0000B24B0000}"/>
    <cellStyle name="Neutral 3 20" xfId="12743" xr:uid="{00000000-0005-0000-0000-0000B34B0000}"/>
    <cellStyle name="Neutral 3 21" xfId="12744" xr:uid="{00000000-0005-0000-0000-0000B44B0000}"/>
    <cellStyle name="Neutral 3 22" xfId="12745" xr:uid="{00000000-0005-0000-0000-0000B54B0000}"/>
    <cellStyle name="Neutral 3 23" xfId="12746" xr:uid="{00000000-0005-0000-0000-0000B64B0000}"/>
    <cellStyle name="Neutral 3 24" xfId="12747" xr:uid="{00000000-0005-0000-0000-0000B74B0000}"/>
    <cellStyle name="Neutral 3 25" xfId="12748" xr:uid="{00000000-0005-0000-0000-0000B84B0000}"/>
    <cellStyle name="Neutral 3 26" xfId="12749" xr:uid="{00000000-0005-0000-0000-0000B94B0000}"/>
    <cellStyle name="Neutral 3 27" xfId="12750" xr:uid="{00000000-0005-0000-0000-0000BA4B0000}"/>
    <cellStyle name="Neutral 3 28" xfId="12751" xr:uid="{00000000-0005-0000-0000-0000BB4B0000}"/>
    <cellStyle name="Neutral 3 29" xfId="12752" xr:uid="{00000000-0005-0000-0000-0000BC4B0000}"/>
    <cellStyle name="Neutral 3 3" xfId="12753" xr:uid="{00000000-0005-0000-0000-0000BD4B0000}"/>
    <cellStyle name="Neutral 3 30" xfId="12754" xr:uid="{00000000-0005-0000-0000-0000BE4B0000}"/>
    <cellStyle name="Neutral 3 31" xfId="12755" xr:uid="{00000000-0005-0000-0000-0000BF4B0000}"/>
    <cellStyle name="Neutral 3 32" xfId="12756" xr:uid="{00000000-0005-0000-0000-0000C04B0000}"/>
    <cellStyle name="Neutral 3 4" xfId="12757" xr:uid="{00000000-0005-0000-0000-0000C14B0000}"/>
    <cellStyle name="Neutral 3 5" xfId="12758" xr:uid="{00000000-0005-0000-0000-0000C24B0000}"/>
    <cellStyle name="Neutral 3 6" xfId="12759" xr:uid="{00000000-0005-0000-0000-0000C34B0000}"/>
    <cellStyle name="Neutral 3 7" xfId="12760" xr:uid="{00000000-0005-0000-0000-0000C44B0000}"/>
    <cellStyle name="Neutral 3 8" xfId="12761" xr:uid="{00000000-0005-0000-0000-0000C54B0000}"/>
    <cellStyle name="Neutral 3 9" xfId="12762" xr:uid="{00000000-0005-0000-0000-0000C64B0000}"/>
    <cellStyle name="Neutral 4" xfId="12763" xr:uid="{00000000-0005-0000-0000-0000C74B0000}"/>
    <cellStyle name="Neutral 5" xfId="12764" xr:uid="{00000000-0005-0000-0000-0000C84B0000}"/>
    <cellStyle name="Neutral 6" xfId="12765" xr:uid="{00000000-0005-0000-0000-0000C94B0000}"/>
    <cellStyle name="Neutral 7" xfId="12766" xr:uid="{00000000-0005-0000-0000-0000CA4B0000}"/>
    <cellStyle name="Neutral 8" xfId="12767" xr:uid="{00000000-0005-0000-0000-0000CB4B0000}"/>
    <cellStyle name="Neutral 9" xfId="12768" xr:uid="{00000000-0005-0000-0000-0000CC4B0000}"/>
    <cellStyle name="Neutrale" xfId="12769" xr:uid="{00000000-0005-0000-0000-0000CD4B0000}"/>
    <cellStyle name="Neutre" xfId="12770" xr:uid="{00000000-0005-0000-0000-0000CE4B0000}"/>
    <cellStyle name="NewColumnHeaderNormal" xfId="12771" xr:uid="{00000000-0005-0000-0000-0000CF4B0000}"/>
    <cellStyle name="NewSectionHeaderNormal" xfId="12772" xr:uid="{00000000-0005-0000-0000-0000D04B0000}"/>
    <cellStyle name="NewTitleNormal" xfId="12773" xr:uid="{00000000-0005-0000-0000-0000D14B0000}"/>
    <cellStyle name="no" xfId="12774" xr:uid="{00000000-0005-0000-0000-0000D24B0000}"/>
    <cellStyle name="no dec" xfId="344" xr:uid="{00000000-0005-0000-0000-0000D34B0000}"/>
    <cellStyle name="nomber" xfId="12775" xr:uid="{00000000-0005-0000-0000-0000D44B0000}"/>
    <cellStyle name="nomral" xfId="12776" xr:uid="{00000000-0005-0000-0000-0000D54B0000}"/>
    <cellStyle name="Nor}al" xfId="345" xr:uid="{00000000-0005-0000-0000-0000D64B0000}"/>
    <cellStyle name="norma" xfId="12777" xr:uid="{00000000-0005-0000-0000-0000D74B0000}"/>
    <cellStyle name="Normal" xfId="0" builtinId="0"/>
    <cellStyle name="normal'" xfId="12778" xr:uid="{00000000-0005-0000-0000-0000D94B0000}"/>
    <cellStyle name="Normal - Style1" xfId="346" xr:uid="{00000000-0005-0000-0000-0000DA4B0000}"/>
    <cellStyle name="Normal - Style1 2" xfId="347" xr:uid="{00000000-0005-0000-0000-0000DB4B0000}"/>
    <cellStyle name="Normal - Style1 3" xfId="348" xr:uid="{00000000-0005-0000-0000-0000DC4B0000}"/>
    <cellStyle name="Normal - Style1 4" xfId="349" xr:uid="{00000000-0005-0000-0000-0000DD4B0000}"/>
    <cellStyle name="Normal - Style2" xfId="22715" xr:uid="{00000000-0005-0000-0000-0000DE4B0000}"/>
    <cellStyle name="Normal - Style3" xfId="22716" xr:uid="{00000000-0005-0000-0000-0000DF4B0000}"/>
    <cellStyle name="Normal - Style4" xfId="22717" xr:uid="{00000000-0005-0000-0000-0000E04B0000}"/>
    <cellStyle name="Normal - Style5" xfId="22718" xr:uid="{00000000-0005-0000-0000-0000E14B0000}"/>
    <cellStyle name="Normal - Style6" xfId="22719" xr:uid="{00000000-0005-0000-0000-0000E24B0000}"/>
    <cellStyle name="Normal - Style7" xfId="22720" xr:uid="{00000000-0005-0000-0000-0000E34B0000}"/>
    <cellStyle name="Normal - Style8" xfId="22721" xr:uid="{00000000-0005-0000-0000-0000E44B0000}"/>
    <cellStyle name="Normal (0dp+NZ)" xfId="12779" xr:uid="{00000000-0005-0000-0000-0000E54B0000}"/>
    <cellStyle name="Normal (0dp+NZ) 2" xfId="20969" xr:uid="{00000000-0005-0000-0000-0000E64B0000}"/>
    <cellStyle name="Normal (0dp+NZ) 3" xfId="12780" xr:uid="{00000000-0005-0000-0000-0000E74B0000}"/>
    <cellStyle name="Normal (0dp+NZ) 3 2" xfId="20970" xr:uid="{00000000-0005-0000-0000-0000E84B0000}"/>
    <cellStyle name="Normal (2dp+NZ)" xfId="12781" xr:uid="{00000000-0005-0000-0000-0000E94B0000}"/>
    <cellStyle name="Normal (2dp+NZ) 2" xfId="20971" xr:uid="{00000000-0005-0000-0000-0000EA4B0000}"/>
    <cellStyle name="Normal (G)" xfId="12782" xr:uid="{00000000-0005-0000-0000-0000EB4B0000}"/>
    <cellStyle name="Normal 10" xfId="350" xr:uid="{00000000-0005-0000-0000-0000EC4B0000}"/>
    <cellStyle name="Normal 10 10" xfId="12783" xr:uid="{00000000-0005-0000-0000-0000ED4B0000}"/>
    <cellStyle name="Normal 10 10 2" xfId="20972" xr:uid="{00000000-0005-0000-0000-0000EE4B0000}"/>
    <cellStyle name="Normal 10 11" xfId="12784" xr:uid="{00000000-0005-0000-0000-0000EF4B0000}"/>
    <cellStyle name="Normal 10 11 2" xfId="20973" xr:uid="{00000000-0005-0000-0000-0000F04B0000}"/>
    <cellStyle name="Normal 10 12" xfId="12785" xr:uid="{00000000-0005-0000-0000-0000F14B0000}"/>
    <cellStyle name="Normal 10 12 2" xfId="20974" xr:uid="{00000000-0005-0000-0000-0000F24B0000}"/>
    <cellStyle name="Normal 10 13" xfId="12786" xr:uid="{00000000-0005-0000-0000-0000F34B0000}"/>
    <cellStyle name="Normal 10 13 2" xfId="20975" xr:uid="{00000000-0005-0000-0000-0000F44B0000}"/>
    <cellStyle name="Normal 10 14" xfId="12787" xr:uid="{00000000-0005-0000-0000-0000F54B0000}"/>
    <cellStyle name="Normal 10 14 2" xfId="20976" xr:uid="{00000000-0005-0000-0000-0000F64B0000}"/>
    <cellStyle name="Normal 10 15" xfId="12788" xr:uid="{00000000-0005-0000-0000-0000F74B0000}"/>
    <cellStyle name="Normal 10 15 2" xfId="20977" xr:uid="{00000000-0005-0000-0000-0000F84B0000}"/>
    <cellStyle name="Normal 10 16" xfId="12789" xr:uid="{00000000-0005-0000-0000-0000F94B0000}"/>
    <cellStyle name="Normal 10 16 2" xfId="20978" xr:uid="{00000000-0005-0000-0000-0000FA4B0000}"/>
    <cellStyle name="Normal 10 17" xfId="12790" xr:uid="{00000000-0005-0000-0000-0000FB4B0000}"/>
    <cellStyle name="Normal 10 17 2" xfId="20979" xr:uid="{00000000-0005-0000-0000-0000FC4B0000}"/>
    <cellStyle name="Normal 10 18" xfId="12791" xr:uid="{00000000-0005-0000-0000-0000FD4B0000}"/>
    <cellStyle name="Normal 10 18 2" xfId="20980" xr:uid="{00000000-0005-0000-0000-0000FE4B0000}"/>
    <cellStyle name="Normal 10 19" xfId="12792" xr:uid="{00000000-0005-0000-0000-0000FF4B0000}"/>
    <cellStyle name="Normal 10 19 2" xfId="20981" xr:uid="{00000000-0005-0000-0000-0000004C0000}"/>
    <cellStyle name="Normal 10 2" xfId="351" xr:uid="{00000000-0005-0000-0000-0000014C0000}"/>
    <cellStyle name="Normal 10 2 2" xfId="12793" xr:uid="{00000000-0005-0000-0000-0000024C0000}"/>
    <cellStyle name="Normal 10 2 2 2" xfId="12794" xr:uid="{00000000-0005-0000-0000-0000034C0000}"/>
    <cellStyle name="Normal 10 2 2 3" xfId="12795" xr:uid="{00000000-0005-0000-0000-0000044C0000}"/>
    <cellStyle name="Normal 10 2 2 4" xfId="20982" xr:uid="{00000000-0005-0000-0000-0000054C0000}"/>
    <cellStyle name="Normal 10 2 2_DATA Input" xfId="12796" xr:uid="{00000000-0005-0000-0000-0000064C0000}"/>
    <cellStyle name="Normal 10 2 3" xfId="12797" xr:uid="{00000000-0005-0000-0000-0000074C0000}"/>
    <cellStyle name="Normal 10 2 3 2" xfId="20983" xr:uid="{00000000-0005-0000-0000-0000084C0000}"/>
    <cellStyle name="Normal 10 2_DATA Input" xfId="12798" xr:uid="{00000000-0005-0000-0000-0000094C0000}"/>
    <cellStyle name="Normal 10 20" xfId="12799" xr:uid="{00000000-0005-0000-0000-00000A4C0000}"/>
    <cellStyle name="Normal 10 20 2" xfId="20984" xr:uid="{00000000-0005-0000-0000-00000B4C0000}"/>
    <cellStyle name="Normal 10 21" xfId="12800" xr:uid="{00000000-0005-0000-0000-00000C4C0000}"/>
    <cellStyle name="Normal 10 21 2" xfId="20985" xr:uid="{00000000-0005-0000-0000-00000D4C0000}"/>
    <cellStyle name="Normal 10 22" xfId="12801" xr:uid="{00000000-0005-0000-0000-00000E4C0000}"/>
    <cellStyle name="Normal 10 22 2" xfId="20986" xr:uid="{00000000-0005-0000-0000-00000F4C0000}"/>
    <cellStyle name="Normal 10 23" xfId="12802" xr:uid="{00000000-0005-0000-0000-0000104C0000}"/>
    <cellStyle name="Normal 10 23 2" xfId="20987" xr:uid="{00000000-0005-0000-0000-0000114C0000}"/>
    <cellStyle name="Normal 10 24" xfId="12803" xr:uid="{00000000-0005-0000-0000-0000124C0000}"/>
    <cellStyle name="Normal 10 24 2" xfId="20988" xr:uid="{00000000-0005-0000-0000-0000134C0000}"/>
    <cellStyle name="Normal 10 25" xfId="12804" xr:uid="{00000000-0005-0000-0000-0000144C0000}"/>
    <cellStyle name="Normal 10 25 2" xfId="20989" xr:uid="{00000000-0005-0000-0000-0000154C0000}"/>
    <cellStyle name="Normal 10 26" xfId="12805" xr:uid="{00000000-0005-0000-0000-0000164C0000}"/>
    <cellStyle name="Normal 10 26 2" xfId="20990" xr:uid="{00000000-0005-0000-0000-0000174C0000}"/>
    <cellStyle name="Normal 10 27" xfId="12806" xr:uid="{00000000-0005-0000-0000-0000184C0000}"/>
    <cellStyle name="Normal 10 27 2" xfId="20991" xr:uid="{00000000-0005-0000-0000-0000194C0000}"/>
    <cellStyle name="Normal 10 28" xfId="12807" xr:uid="{00000000-0005-0000-0000-00001A4C0000}"/>
    <cellStyle name="Normal 10 28 2" xfId="20992" xr:uid="{00000000-0005-0000-0000-00001B4C0000}"/>
    <cellStyle name="Normal 10 29" xfId="12808" xr:uid="{00000000-0005-0000-0000-00001C4C0000}"/>
    <cellStyle name="Normal 10 29 2" xfId="20993" xr:uid="{00000000-0005-0000-0000-00001D4C0000}"/>
    <cellStyle name="Normal 10 3" xfId="12809" xr:uid="{00000000-0005-0000-0000-00001E4C0000}"/>
    <cellStyle name="Normal 10 3 2" xfId="12810" xr:uid="{00000000-0005-0000-0000-00001F4C0000}"/>
    <cellStyle name="Normal 10 3 3" xfId="12811" xr:uid="{00000000-0005-0000-0000-0000204C0000}"/>
    <cellStyle name="Normal 10 3 4" xfId="20994" xr:uid="{00000000-0005-0000-0000-0000214C0000}"/>
    <cellStyle name="Normal 10 30" xfId="12812" xr:uid="{00000000-0005-0000-0000-0000224C0000}"/>
    <cellStyle name="Normal 10 30 2" xfId="20995" xr:uid="{00000000-0005-0000-0000-0000234C0000}"/>
    <cellStyle name="Normal 10 31" xfId="12813" xr:uid="{00000000-0005-0000-0000-0000244C0000}"/>
    <cellStyle name="Normal 10 31 2" xfId="20996" xr:uid="{00000000-0005-0000-0000-0000254C0000}"/>
    <cellStyle name="Normal 10 32" xfId="12814" xr:uid="{00000000-0005-0000-0000-0000264C0000}"/>
    <cellStyle name="Normal 10 32 2" xfId="20997" xr:uid="{00000000-0005-0000-0000-0000274C0000}"/>
    <cellStyle name="Normal 10 33" xfId="12815" xr:uid="{00000000-0005-0000-0000-0000284C0000}"/>
    <cellStyle name="Normal 10 33 2" xfId="20998" xr:uid="{00000000-0005-0000-0000-0000294C0000}"/>
    <cellStyle name="Normal 10 34" xfId="12816" xr:uid="{00000000-0005-0000-0000-00002A4C0000}"/>
    <cellStyle name="Normal 10 34 2" xfId="20999" xr:uid="{00000000-0005-0000-0000-00002B4C0000}"/>
    <cellStyle name="Normal 10 35" xfId="12817" xr:uid="{00000000-0005-0000-0000-00002C4C0000}"/>
    <cellStyle name="Normal 10 35 2" xfId="21000" xr:uid="{00000000-0005-0000-0000-00002D4C0000}"/>
    <cellStyle name="Normal 10 36" xfId="12818" xr:uid="{00000000-0005-0000-0000-00002E4C0000}"/>
    <cellStyle name="Normal 10 36 2" xfId="21001" xr:uid="{00000000-0005-0000-0000-00002F4C0000}"/>
    <cellStyle name="Normal 10 37" xfId="12819" xr:uid="{00000000-0005-0000-0000-0000304C0000}"/>
    <cellStyle name="Normal 10 37 2" xfId="21002" xr:uid="{00000000-0005-0000-0000-0000314C0000}"/>
    <cellStyle name="Normal 10 38" xfId="12820" xr:uid="{00000000-0005-0000-0000-0000324C0000}"/>
    <cellStyle name="Normal 10 38 2" xfId="21003" xr:uid="{00000000-0005-0000-0000-0000334C0000}"/>
    <cellStyle name="Normal 10 39" xfId="12821" xr:uid="{00000000-0005-0000-0000-0000344C0000}"/>
    <cellStyle name="Normal 10 39 2" xfId="21004" xr:uid="{00000000-0005-0000-0000-0000354C0000}"/>
    <cellStyle name="Normal 10 4" xfId="12822" xr:uid="{00000000-0005-0000-0000-0000364C0000}"/>
    <cellStyle name="Normal 10 4 2" xfId="12823" xr:uid="{00000000-0005-0000-0000-0000374C0000}"/>
    <cellStyle name="Normal 10 4 3" xfId="21005" xr:uid="{00000000-0005-0000-0000-0000384C0000}"/>
    <cellStyle name="Normal 10 40" xfId="12824" xr:uid="{00000000-0005-0000-0000-0000394C0000}"/>
    <cellStyle name="Normal 10 40 2" xfId="21006" xr:uid="{00000000-0005-0000-0000-00003A4C0000}"/>
    <cellStyle name="Normal 10 41" xfId="12825" xr:uid="{00000000-0005-0000-0000-00003B4C0000}"/>
    <cellStyle name="Normal 10 41 2" xfId="21007" xr:uid="{00000000-0005-0000-0000-00003C4C0000}"/>
    <cellStyle name="Normal 10 42" xfId="12826" xr:uid="{00000000-0005-0000-0000-00003D4C0000}"/>
    <cellStyle name="Normal 10 42 2" xfId="21008" xr:uid="{00000000-0005-0000-0000-00003E4C0000}"/>
    <cellStyle name="Normal 10 43" xfId="12827" xr:uid="{00000000-0005-0000-0000-00003F4C0000}"/>
    <cellStyle name="Normal 10 43 2" xfId="21009" xr:uid="{00000000-0005-0000-0000-0000404C0000}"/>
    <cellStyle name="Normal 10 5" xfId="12828" xr:uid="{00000000-0005-0000-0000-0000414C0000}"/>
    <cellStyle name="Normal 10 5 2" xfId="21010" xr:uid="{00000000-0005-0000-0000-0000424C0000}"/>
    <cellStyle name="Normal 10 6" xfId="12829" xr:uid="{00000000-0005-0000-0000-0000434C0000}"/>
    <cellStyle name="Normal 10 6 2" xfId="21011" xr:uid="{00000000-0005-0000-0000-0000444C0000}"/>
    <cellStyle name="Normal 10 7" xfId="12830" xr:uid="{00000000-0005-0000-0000-0000454C0000}"/>
    <cellStyle name="Normal 10 7 2" xfId="21012" xr:uid="{00000000-0005-0000-0000-0000464C0000}"/>
    <cellStyle name="Normal 10 8" xfId="12831" xr:uid="{00000000-0005-0000-0000-0000474C0000}"/>
    <cellStyle name="Normal 10 8 2" xfId="21013" xr:uid="{00000000-0005-0000-0000-0000484C0000}"/>
    <cellStyle name="Normal 10 9" xfId="12832" xr:uid="{00000000-0005-0000-0000-0000494C0000}"/>
    <cellStyle name="Normal 10 9 2" xfId="21014" xr:uid="{00000000-0005-0000-0000-00004A4C0000}"/>
    <cellStyle name="Normal 10_DATA Input" xfId="12833" xr:uid="{00000000-0005-0000-0000-00004B4C0000}"/>
    <cellStyle name="Normal 100" xfId="12834" xr:uid="{00000000-0005-0000-0000-00004C4C0000}"/>
    <cellStyle name="Normal 100 14" xfId="12835" xr:uid="{00000000-0005-0000-0000-00004D4C0000}"/>
    <cellStyle name="Normal 100 16" xfId="12836" xr:uid="{00000000-0005-0000-0000-00004E4C0000}"/>
    <cellStyle name="Normal 100 2" xfId="12837" xr:uid="{00000000-0005-0000-0000-00004F4C0000}"/>
    <cellStyle name="Normal 100 2 2" xfId="12838" xr:uid="{00000000-0005-0000-0000-0000504C0000}"/>
    <cellStyle name="Normal 100 2 2 2" xfId="12839" xr:uid="{00000000-0005-0000-0000-0000514C0000}"/>
    <cellStyle name="Normal 100 2 2 3" xfId="12840" xr:uid="{00000000-0005-0000-0000-0000524C0000}"/>
    <cellStyle name="Normal 100 2 2 3 2" xfId="12841" xr:uid="{00000000-0005-0000-0000-0000534C0000}"/>
    <cellStyle name="Normal 100 2 2 3 3" xfId="12842" xr:uid="{00000000-0005-0000-0000-0000544C0000}"/>
    <cellStyle name="Normal 100 2 2 4" xfId="12843" xr:uid="{00000000-0005-0000-0000-0000554C0000}"/>
    <cellStyle name="Normal 100 2 2 5" xfId="12844" xr:uid="{00000000-0005-0000-0000-0000564C0000}"/>
    <cellStyle name="Normal 100 2 2 6" xfId="12845" xr:uid="{00000000-0005-0000-0000-0000574C0000}"/>
    <cellStyle name="Normal 100 2 3" xfId="12846" xr:uid="{00000000-0005-0000-0000-0000584C0000}"/>
    <cellStyle name="Normal 100 2 4" xfId="12847" xr:uid="{00000000-0005-0000-0000-0000594C0000}"/>
    <cellStyle name="Normal 100 3" xfId="12848" xr:uid="{00000000-0005-0000-0000-00005A4C0000}"/>
    <cellStyle name="Normal 100 4" xfId="12849" xr:uid="{00000000-0005-0000-0000-00005B4C0000}"/>
    <cellStyle name="Normal 100 5" xfId="12850" xr:uid="{00000000-0005-0000-0000-00005C4C0000}"/>
    <cellStyle name="Normal 100 5 2" xfId="12851" xr:uid="{00000000-0005-0000-0000-00005D4C0000}"/>
    <cellStyle name="Normal 100 6" xfId="12852" xr:uid="{00000000-0005-0000-0000-00005E4C0000}"/>
    <cellStyle name="Normal 100 7" xfId="12853" xr:uid="{00000000-0005-0000-0000-00005F4C0000}"/>
    <cellStyle name="Normal 100 9" xfId="22722" xr:uid="{00000000-0005-0000-0000-0000604C0000}"/>
    <cellStyle name="Normal 101" xfId="12854" xr:uid="{00000000-0005-0000-0000-0000614C0000}"/>
    <cellStyle name="Normal 102" xfId="12855" xr:uid="{00000000-0005-0000-0000-0000624C0000}"/>
    <cellStyle name="Normal 103" xfId="12856" xr:uid="{00000000-0005-0000-0000-0000634C0000}"/>
    <cellStyle name="Normal 103 2" xfId="12857" xr:uid="{00000000-0005-0000-0000-0000644C0000}"/>
    <cellStyle name="Normal 103 2 2" xfId="12858" xr:uid="{00000000-0005-0000-0000-0000654C0000}"/>
    <cellStyle name="Normal 103 2 2 2" xfId="12859" xr:uid="{00000000-0005-0000-0000-0000664C0000}"/>
    <cellStyle name="Normal 103 2 2 2 2" xfId="21017" xr:uid="{00000000-0005-0000-0000-0000674C0000}"/>
    <cellStyle name="Normal 103 2 2 3" xfId="12860" xr:uid="{00000000-0005-0000-0000-0000684C0000}"/>
    <cellStyle name="Normal 103 2 2 3 2" xfId="21018" xr:uid="{00000000-0005-0000-0000-0000694C0000}"/>
    <cellStyle name="Normal 103 2 2 4" xfId="21016" xr:uid="{00000000-0005-0000-0000-00006A4C0000}"/>
    <cellStyle name="Normal 103 2 3" xfId="12861" xr:uid="{00000000-0005-0000-0000-00006B4C0000}"/>
    <cellStyle name="Normal 103 2 3 2" xfId="12862" xr:uid="{00000000-0005-0000-0000-00006C4C0000}"/>
    <cellStyle name="Normal 103 2 3 2 2" xfId="21020" xr:uid="{00000000-0005-0000-0000-00006D4C0000}"/>
    <cellStyle name="Normal 103 2 3 3" xfId="12863" xr:uid="{00000000-0005-0000-0000-00006E4C0000}"/>
    <cellStyle name="Normal 103 2 3 3 2" xfId="21021" xr:uid="{00000000-0005-0000-0000-00006F4C0000}"/>
    <cellStyle name="Normal 103 2 3 4" xfId="21019" xr:uid="{00000000-0005-0000-0000-0000704C0000}"/>
    <cellStyle name="Normal 103 2 4" xfId="12864" xr:uid="{00000000-0005-0000-0000-0000714C0000}"/>
    <cellStyle name="Normal 103 2 4 2" xfId="12865" xr:uid="{00000000-0005-0000-0000-0000724C0000}"/>
    <cellStyle name="Normal 103 2 4 2 2" xfId="21023" xr:uid="{00000000-0005-0000-0000-0000734C0000}"/>
    <cellStyle name="Normal 103 2 4 3" xfId="12866" xr:uid="{00000000-0005-0000-0000-0000744C0000}"/>
    <cellStyle name="Normal 103 2 4 3 2" xfId="21024" xr:uid="{00000000-0005-0000-0000-0000754C0000}"/>
    <cellStyle name="Normal 103 2 4 4" xfId="21022" xr:uid="{00000000-0005-0000-0000-0000764C0000}"/>
    <cellStyle name="Normal 103 2 5" xfId="12867" xr:uid="{00000000-0005-0000-0000-0000774C0000}"/>
    <cellStyle name="Normal 103 2 5 2" xfId="21025" xr:uid="{00000000-0005-0000-0000-0000784C0000}"/>
    <cellStyle name="Normal 103 2 6" xfId="12868" xr:uid="{00000000-0005-0000-0000-0000794C0000}"/>
    <cellStyle name="Normal 103 2 6 2" xfId="21026" xr:uid="{00000000-0005-0000-0000-00007A4C0000}"/>
    <cellStyle name="Normal 103 2 7" xfId="21015" xr:uid="{00000000-0005-0000-0000-00007B4C0000}"/>
    <cellStyle name="Normal 103 3" xfId="12869" xr:uid="{00000000-0005-0000-0000-00007C4C0000}"/>
    <cellStyle name="Normal 103 3 2" xfId="12870" xr:uid="{00000000-0005-0000-0000-00007D4C0000}"/>
    <cellStyle name="Normal 103 3 2 2" xfId="21028" xr:uid="{00000000-0005-0000-0000-00007E4C0000}"/>
    <cellStyle name="Normal 103 3 3" xfId="12871" xr:uid="{00000000-0005-0000-0000-00007F4C0000}"/>
    <cellStyle name="Normal 103 3 3 2" xfId="21029" xr:uid="{00000000-0005-0000-0000-0000804C0000}"/>
    <cellStyle name="Normal 103 3 4" xfId="21027" xr:uid="{00000000-0005-0000-0000-0000814C0000}"/>
    <cellStyle name="Normal 103 4" xfId="12872" xr:uid="{00000000-0005-0000-0000-0000824C0000}"/>
    <cellStyle name="Normal 103 4 2" xfId="12873" xr:uid="{00000000-0005-0000-0000-0000834C0000}"/>
    <cellStyle name="Normal 103 4 2 2" xfId="21031" xr:uid="{00000000-0005-0000-0000-0000844C0000}"/>
    <cellStyle name="Normal 103 4 3" xfId="12874" xr:uid="{00000000-0005-0000-0000-0000854C0000}"/>
    <cellStyle name="Normal 103 4 3 2" xfId="21032" xr:uid="{00000000-0005-0000-0000-0000864C0000}"/>
    <cellStyle name="Normal 103 4 4" xfId="21030" xr:uid="{00000000-0005-0000-0000-0000874C0000}"/>
    <cellStyle name="Normal 103 5" xfId="12875" xr:uid="{00000000-0005-0000-0000-0000884C0000}"/>
    <cellStyle name="Normal 103 5 2" xfId="12876" xr:uid="{00000000-0005-0000-0000-0000894C0000}"/>
    <cellStyle name="Normal 103 5 2 2" xfId="21034" xr:uid="{00000000-0005-0000-0000-00008A4C0000}"/>
    <cellStyle name="Normal 103 5 3" xfId="12877" xr:uid="{00000000-0005-0000-0000-00008B4C0000}"/>
    <cellStyle name="Normal 103 5 3 2" xfId="21035" xr:uid="{00000000-0005-0000-0000-00008C4C0000}"/>
    <cellStyle name="Normal 103 5 4" xfId="21033" xr:uid="{00000000-0005-0000-0000-00008D4C0000}"/>
    <cellStyle name="Normal 103 6" xfId="12878" xr:uid="{00000000-0005-0000-0000-00008E4C0000}"/>
    <cellStyle name="Normal 103 6 2" xfId="21036" xr:uid="{00000000-0005-0000-0000-00008F4C0000}"/>
    <cellStyle name="Normal 103 7" xfId="12879" xr:uid="{00000000-0005-0000-0000-0000904C0000}"/>
    <cellStyle name="Normal 103 7 2" xfId="21037" xr:uid="{00000000-0005-0000-0000-0000914C0000}"/>
    <cellStyle name="Normal 104" xfId="12880" xr:uid="{00000000-0005-0000-0000-0000924C0000}"/>
    <cellStyle name="Normal 105" xfId="12881" xr:uid="{00000000-0005-0000-0000-0000934C0000}"/>
    <cellStyle name="Normal 106" xfId="12882" xr:uid="{00000000-0005-0000-0000-0000944C0000}"/>
    <cellStyle name="Normal 107" xfId="12883" xr:uid="{00000000-0005-0000-0000-0000954C0000}"/>
    <cellStyle name="Normal 108" xfId="12884" xr:uid="{00000000-0005-0000-0000-0000964C0000}"/>
    <cellStyle name="Normal 109" xfId="12885" xr:uid="{00000000-0005-0000-0000-0000974C0000}"/>
    <cellStyle name="Normal 11" xfId="352" xr:uid="{00000000-0005-0000-0000-0000984C0000}"/>
    <cellStyle name="Normal 11 10" xfId="12886" xr:uid="{00000000-0005-0000-0000-0000994C0000}"/>
    <cellStyle name="Normal 11 11" xfId="12887" xr:uid="{00000000-0005-0000-0000-00009A4C0000}"/>
    <cellStyle name="Normal 11 12" xfId="12888" xr:uid="{00000000-0005-0000-0000-00009B4C0000}"/>
    <cellStyle name="Normal 11 13" xfId="12889" xr:uid="{00000000-0005-0000-0000-00009C4C0000}"/>
    <cellStyle name="Normal 11 14" xfId="12890" xr:uid="{00000000-0005-0000-0000-00009D4C0000}"/>
    <cellStyle name="Normal 11 15" xfId="12891" xr:uid="{00000000-0005-0000-0000-00009E4C0000}"/>
    <cellStyle name="Normal 11 16" xfId="12892" xr:uid="{00000000-0005-0000-0000-00009F4C0000}"/>
    <cellStyle name="Normal 11 17" xfId="12893" xr:uid="{00000000-0005-0000-0000-0000A04C0000}"/>
    <cellStyle name="Normal 11 18" xfId="12894" xr:uid="{00000000-0005-0000-0000-0000A14C0000}"/>
    <cellStyle name="Normal 11 19" xfId="12895" xr:uid="{00000000-0005-0000-0000-0000A24C0000}"/>
    <cellStyle name="Normal 11 2" xfId="12896" xr:uid="{00000000-0005-0000-0000-0000A34C0000}"/>
    <cellStyle name="Normal 11 2 2" xfId="12897" xr:uid="{00000000-0005-0000-0000-0000A44C0000}"/>
    <cellStyle name="Normal 11 2 2 2" xfId="12898" xr:uid="{00000000-0005-0000-0000-0000A54C0000}"/>
    <cellStyle name="Normal 11 2 2 3" xfId="12899" xr:uid="{00000000-0005-0000-0000-0000A64C0000}"/>
    <cellStyle name="Normal 11 2 2 4" xfId="12900" xr:uid="{00000000-0005-0000-0000-0000A74C0000}"/>
    <cellStyle name="Normal 11 2 3" xfId="12901" xr:uid="{00000000-0005-0000-0000-0000A84C0000}"/>
    <cellStyle name="Normal 11 2 3 2" xfId="21039" xr:uid="{00000000-0005-0000-0000-0000A94C0000}"/>
    <cellStyle name="Normal 11 2 4" xfId="21038" xr:uid="{00000000-0005-0000-0000-0000AA4C0000}"/>
    <cellStyle name="Normal 11 2_DATA Input" xfId="12902" xr:uid="{00000000-0005-0000-0000-0000AB4C0000}"/>
    <cellStyle name="Normal 11 20" xfId="12903" xr:uid="{00000000-0005-0000-0000-0000AC4C0000}"/>
    <cellStyle name="Normal 11 21" xfId="12904" xr:uid="{00000000-0005-0000-0000-0000AD4C0000}"/>
    <cellStyle name="Normal 11 22" xfId="12905" xr:uid="{00000000-0005-0000-0000-0000AE4C0000}"/>
    <cellStyle name="Normal 11 23" xfId="12906" xr:uid="{00000000-0005-0000-0000-0000AF4C0000}"/>
    <cellStyle name="Normal 11 24" xfId="12907" xr:uid="{00000000-0005-0000-0000-0000B04C0000}"/>
    <cellStyle name="Normal 11 25" xfId="12908" xr:uid="{00000000-0005-0000-0000-0000B14C0000}"/>
    <cellStyle name="Normal 11 26" xfId="12909" xr:uid="{00000000-0005-0000-0000-0000B24C0000}"/>
    <cellStyle name="Normal 11 27" xfId="12910" xr:uid="{00000000-0005-0000-0000-0000B34C0000}"/>
    <cellStyle name="Normal 11 28" xfId="12911" xr:uid="{00000000-0005-0000-0000-0000B44C0000}"/>
    <cellStyle name="Normal 11 29" xfId="12912" xr:uid="{00000000-0005-0000-0000-0000B54C0000}"/>
    <cellStyle name="Normal 11 3" xfId="12913" xr:uid="{00000000-0005-0000-0000-0000B64C0000}"/>
    <cellStyle name="Normal 11 30" xfId="12914" xr:uid="{00000000-0005-0000-0000-0000B74C0000}"/>
    <cellStyle name="Normal 11 31" xfId="12915" xr:uid="{00000000-0005-0000-0000-0000B84C0000}"/>
    <cellStyle name="Normal 11 32" xfId="12916" xr:uid="{00000000-0005-0000-0000-0000B94C0000}"/>
    <cellStyle name="Normal 11 33" xfId="12917" xr:uid="{00000000-0005-0000-0000-0000BA4C0000}"/>
    <cellStyle name="Normal 11 34" xfId="12918" xr:uid="{00000000-0005-0000-0000-0000BB4C0000}"/>
    <cellStyle name="Normal 11 35" xfId="12919" xr:uid="{00000000-0005-0000-0000-0000BC4C0000}"/>
    <cellStyle name="Normal 11 36" xfId="12920" xr:uid="{00000000-0005-0000-0000-0000BD4C0000}"/>
    <cellStyle name="Normal 11 37" xfId="12921" xr:uid="{00000000-0005-0000-0000-0000BE4C0000}"/>
    <cellStyle name="Normal 11 38" xfId="12922" xr:uid="{00000000-0005-0000-0000-0000BF4C0000}"/>
    <cellStyle name="Normal 11 39" xfId="12923" xr:uid="{00000000-0005-0000-0000-0000C04C0000}"/>
    <cellStyle name="Normal 11 4" xfId="12924" xr:uid="{00000000-0005-0000-0000-0000C14C0000}"/>
    <cellStyle name="Normal 11 40" xfId="12925" xr:uid="{00000000-0005-0000-0000-0000C24C0000}"/>
    <cellStyle name="Normal 11 41" xfId="12926" xr:uid="{00000000-0005-0000-0000-0000C34C0000}"/>
    <cellStyle name="Normal 11 42" xfId="12927" xr:uid="{00000000-0005-0000-0000-0000C44C0000}"/>
    <cellStyle name="Normal 11 43" xfId="12928" xr:uid="{00000000-0005-0000-0000-0000C54C0000}"/>
    <cellStyle name="Normal 11 44" xfId="12929" xr:uid="{00000000-0005-0000-0000-0000C64C0000}"/>
    <cellStyle name="Normal 11 45" xfId="12930" xr:uid="{00000000-0005-0000-0000-0000C74C0000}"/>
    <cellStyle name="Normal 11 46" xfId="12931" xr:uid="{00000000-0005-0000-0000-0000C84C0000}"/>
    <cellStyle name="Normal 11 5" xfId="12932" xr:uid="{00000000-0005-0000-0000-0000C94C0000}"/>
    <cellStyle name="Normal 11 5 2" xfId="21040" xr:uid="{00000000-0005-0000-0000-0000CA4C0000}"/>
    <cellStyle name="Normal 11 6" xfId="12933" xr:uid="{00000000-0005-0000-0000-0000CB4C0000}"/>
    <cellStyle name="Normal 11 7" xfId="12934" xr:uid="{00000000-0005-0000-0000-0000CC4C0000}"/>
    <cellStyle name="Normal 11 8" xfId="12935" xr:uid="{00000000-0005-0000-0000-0000CD4C0000}"/>
    <cellStyle name="Normal 11 9" xfId="12936" xr:uid="{00000000-0005-0000-0000-0000CE4C0000}"/>
    <cellStyle name="Normal 11_Input" xfId="12937" xr:uid="{00000000-0005-0000-0000-0000CF4C0000}"/>
    <cellStyle name="Normal 110" xfId="12938" xr:uid="{00000000-0005-0000-0000-0000D04C0000}"/>
    <cellStyle name="Normal 111" xfId="12939" xr:uid="{00000000-0005-0000-0000-0000D14C0000}"/>
    <cellStyle name="Normal 112" xfId="12940" xr:uid="{00000000-0005-0000-0000-0000D24C0000}"/>
    <cellStyle name="Normal 113" xfId="12941" xr:uid="{00000000-0005-0000-0000-0000D34C0000}"/>
    <cellStyle name="Normal 114" xfId="12942" xr:uid="{00000000-0005-0000-0000-0000D44C0000}"/>
    <cellStyle name="Normal 115" xfId="12943" xr:uid="{00000000-0005-0000-0000-0000D54C0000}"/>
    <cellStyle name="Normal 116" xfId="12944" xr:uid="{00000000-0005-0000-0000-0000D64C0000}"/>
    <cellStyle name="Normal 117" xfId="12945" xr:uid="{00000000-0005-0000-0000-0000D74C0000}"/>
    <cellStyle name="Normal 118" xfId="12946" xr:uid="{00000000-0005-0000-0000-0000D84C0000}"/>
    <cellStyle name="Normal 119" xfId="12947" xr:uid="{00000000-0005-0000-0000-0000D94C0000}"/>
    <cellStyle name="Normal 119 2" xfId="12948" xr:uid="{00000000-0005-0000-0000-0000DA4C0000}"/>
    <cellStyle name="Normal 119 2 2" xfId="12949" xr:uid="{00000000-0005-0000-0000-0000DB4C0000}"/>
    <cellStyle name="Normal 119 2 2 2" xfId="12950" xr:uid="{00000000-0005-0000-0000-0000DC4C0000}"/>
    <cellStyle name="Normal 119 2 2 2 2" xfId="21043" xr:uid="{00000000-0005-0000-0000-0000DD4C0000}"/>
    <cellStyle name="Normal 119 2 2 3" xfId="12951" xr:uid="{00000000-0005-0000-0000-0000DE4C0000}"/>
    <cellStyle name="Normal 119 2 2 3 2" xfId="21044" xr:uid="{00000000-0005-0000-0000-0000DF4C0000}"/>
    <cellStyle name="Normal 119 2 2 4" xfId="21042" xr:uid="{00000000-0005-0000-0000-0000E04C0000}"/>
    <cellStyle name="Normal 119 2 3" xfId="12952" xr:uid="{00000000-0005-0000-0000-0000E14C0000}"/>
    <cellStyle name="Normal 119 2 3 2" xfId="12953" xr:uid="{00000000-0005-0000-0000-0000E24C0000}"/>
    <cellStyle name="Normal 119 2 3 2 2" xfId="21046" xr:uid="{00000000-0005-0000-0000-0000E34C0000}"/>
    <cellStyle name="Normal 119 2 3 3" xfId="12954" xr:uid="{00000000-0005-0000-0000-0000E44C0000}"/>
    <cellStyle name="Normal 119 2 3 3 2" xfId="21047" xr:uid="{00000000-0005-0000-0000-0000E54C0000}"/>
    <cellStyle name="Normal 119 2 3 4" xfId="21045" xr:uid="{00000000-0005-0000-0000-0000E64C0000}"/>
    <cellStyle name="Normal 119 2 4" xfId="12955" xr:uid="{00000000-0005-0000-0000-0000E74C0000}"/>
    <cellStyle name="Normal 119 2 4 2" xfId="12956" xr:uid="{00000000-0005-0000-0000-0000E84C0000}"/>
    <cellStyle name="Normal 119 2 4 2 2" xfId="21049" xr:uid="{00000000-0005-0000-0000-0000E94C0000}"/>
    <cellStyle name="Normal 119 2 4 3" xfId="12957" xr:uid="{00000000-0005-0000-0000-0000EA4C0000}"/>
    <cellStyle name="Normal 119 2 4 3 2" xfId="21050" xr:uid="{00000000-0005-0000-0000-0000EB4C0000}"/>
    <cellStyle name="Normal 119 2 4 4" xfId="21048" xr:uid="{00000000-0005-0000-0000-0000EC4C0000}"/>
    <cellStyle name="Normal 119 2 5" xfId="12958" xr:uid="{00000000-0005-0000-0000-0000ED4C0000}"/>
    <cellStyle name="Normal 119 2 5 2" xfId="21051" xr:uid="{00000000-0005-0000-0000-0000EE4C0000}"/>
    <cellStyle name="Normal 119 2 6" xfId="12959" xr:uid="{00000000-0005-0000-0000-0000EF4C0000}"/>
    <cellStyle name="Normal 119 2 6 2" xfId="21052" xr:uid="{00000000-0005-0000-0000-0000F04C0000}"/>
    <cellStyle name="Normal 119 2 7" xfId="21041" xr:uid="{00000000-0005-0000-0000-0000F14C0000}"/>
    <cellStyle name="Normal 119 3" xfId="12960" xr:uid="{00000000-0005-0000-0000-0000F24C0000}"/>
    <cellStyle name="Normal 119 3 2" xfId="12961" xr:uid="{00000000-0005-0000-0000-0000F34C0000}"/>
    <cellStyle name="Normal 119 3 2 2" xfId="21054" xr:uid="{00000000-0005-0000-0000-0000F44C0000}"/>
    <cellStyle name="Normal 119 3 3" xfId="12962" xr:uid="{00000000-0005-0000-0000-0000F54C0000}"/>
    <cellStyle name="Normal 119 3 3 2" xfId="21055" xr:uid="{00000000-0005-0000-0000-0000F64C0000}"/>
    <cellStyle name="Normal 119 3 4" xfId="21053" xr:uid="{00000000-0005-0000-0000-0000F74C0000}"/>
    <cellStyle name="Normal 119 4" xfId="12963" xr:uid="{00000000-0005-0000-0000-0000F84C0000}"/>
    <cellStyle name="Normal 119 4 2" xfId="12964" xr:uid="{00000000-0005-0000-0000-0000F94C0000}"/>
    <cellStyle name="Normal 119 4 2 2" xfId="21057" xr:uid="{00000000-0005-0000-0000-0000FA4C0000}"/>
    <cellStyle name="Normal 119 4 3" xfId="12965" xr:uid="{00000000-0005-0000-0000-0000FB4C0000}"/>
    <cellStyle name="Normal 119 4 3 2" xfId="21058" xr:uid="{00000000-0005-0000-0000-0000FC4C0000}"/>
    <cellStyle name="Normal 119 4 4" xfId="21056" xr:uid="{00000000-0005-0000-0000-0000FD4C0000}"/>
    <cellStyle name="Normal 119 5" xfId="12966" xr:uid="{00000000-0005-0000-0000-0000FE4C0000}"/>
    <cellStyle name="Normal 119 5 2" xfId="12967" xr:uid="{00000000-0005-0000-0000-0000FF4C0000}"/>
    <cellStyle name="Normal 119 5 2 2" xfId="21060" xr:uid="{00000000-0005-0000-0000-0000004D0000}"/>
    <cellStyle name="Normal 119 5 3" xfId="12968" xr:uid="{00000000-0005-0000-0000-0000014D0000}"/>
    <cellStyle name="Normal 119 5 3 2" xfId="21061" xr:uid="{00000000-0005-0000-0000-0000024D0000}"/>
    <cellStyle name="Normal 119 5 4" xfId="21059" xr:uid="{00000000-0005-0000-0000-0000034D0000}"/>
    <cellStyle name="Normal 119 6" xfId="12969" xr:uid="{00000000-0005-0000-0000-0000044D0000}"/>
    <cellStyle name="Normal 119 6 2" xfId="21062" xr:uid="{00000000-0005-0000-0000-0000054D0000}"/>
    <cellStyle name="Normal 119 7" xfId="12970" xr:uid="{00000000-0005-0000-0000-0000064D0000}"/>
    <cellStyle name="Normal 119 7 2" xfId="21063" xr:uid="{00000000-0005-0000-0000-0000074D0000}"/>
    <cellStyle name="Normal 12" xfId="353" xr:uid="{00000000-0005-0000-0000-0000084D0000}"/>
    <cellStyle name="Normal 12 10" xfId="12971" xr:uid="{00000000-0005-0000-0000-0000094D0000}"/>
    <cellStyle name="Normal 12 10 2" xfId="21064" xr:uid="{00000000-0005-0000-0000-00000A4D0000}"/>
    <cellStyle name="Normal 12 11" xfId="12972" xr:uid="{00000000-0005-0000-0000-00000B4D0000}"/>
    <cellStyle name="Normal 12 11 2" xfId="21065" xr:uid="{00000000-0005-0000-0000-00000C4D0000}"/>
    <cellStyle name="Normal 12 12" xfId="12973" xr:uid="{00000000-0005-0000-0000-00000D4D0000}"/>
    <cellStyle name="Normal 12 12 2" xfId="21066" xr:uid="{00000000-0005-0000-0000-00000E4D0000}"/>
    <cellStyle name="Normal 12 13" xfId="12974" xr:uid="{00000000-0005-0000-0000-00000F4D0000}"/>
    <cellStyle name="Normal 12 13 2" xfId="21067" xr:uid="{00000000-0005-0000-0000-0000104D0000}"/>
    <cellStyle name="Normal 12 14" xfId="12975" xr:uid="{00000000-0005-0000-0000-0000114D0000}"/>
    <cellStyle name="Normal 12 14 2" xfId="21068" xr:uid="{00000000-0005-0000-0000-0000124D0000}"/>
    <cellStyle name="Normal 12 15" xfId="12976" xr:uid="{00000000-0005-0000-0000-0000134D0000}"/>
    <cellStyle name="Normal 12 15 2" xfId="21069" xr:uid="{00000000-0005-0000-0000-0000144D0000}"/>
    <cellStyle name="Normal 12 16" xfId="12977" xr:uid="{00000000-0005-0000-0000-0000154D0000}"/>
    <cellStyle name="Normal 12 16 2" xfId="21070" xr:uid="{00000000-0005-0000-0000-0000164D0000}"/>
    <cellStyle name="Normal 12 17" xfId="12978" xr:uid="{00000000-0005-0000-0000-0000174D0000}"/>
    <cellStyle name="Normal 12 17 2" xfId="21071" xr:uid="{00000000-0005-0000-0000-0000184D0000}"/>
    <cellStyle name="Normal 12 18" xfId="12979" xr:uid="{00000000-0005-0000-0000-0000194D0000}"/>
    <cellStyle name="Normal 12 18 2" xfId="21072" xr:uid="{00000000-0005-0000-0000-00001A4D0000}"/>
    <cellStyle name="Normal 12 19" xfId="12980" xr:uid="{00000000-0005-0000-0000-00001B4D0000}"/>
    <cellStyle name="Normal 12 19 2" xfId="21073" xr:uid="{00000000-0005-0000-0000-00001C4D0000}"/>
    <cellStyle name="Normal 12 2" xfId="354" xr:uid="{00000000-0005-0000-0000-00001D4D0000}"/>
    <cellStyle name="Normal 12 2 2" xfId="12981" xr:uid="{00000000-0005-0000-0000-00001E4D0000}"/>
    <cellStyle name="Normal 12 2 2 2" xfId="12982" xr:uid="{00000000-0005-0000-0000-00001F4D0000}"/>
    <cellStyle name="Normal 12 2 2 3" xfId="12983" xr:uid="{00000000-0005-0000-0000-0000204D0000}"/>
    <cellStyle name="Normal 12 2 2 4" xfId="21074" xr:uid="{00000000-0005-0000-0000-0000214D0000}"/>
    <cellStyle name="Normal 12 2 2_DATA Input" xfId="12984" xr:uid="{00000000-0005-0000-0000-0000224D0000}"/>
    <cellStyle name="Normal 12 2 3" xfId="12985" xr:uid="{00000000-0005-0000-0000-0000234D0000}"/>
    <cellStyle name="Normal 12 2 3 2" xfId="21075" xr:uid="{00000000-0005-0000-0000-0000244D0000}"/>
    <cellStyle name="Normal 12 2_DATA Input" xfId="12986" xr:uid="{00000000-0005-0000-0000-0000254D0000}"/>
    <cellStyle name="Normal 12 20" xfId="12987" xr:uid="{00000000-0005-0000-0000-0000264D0000}"/>
    <cellStyle name="Normal 12 20 2" xfId="21076" xr:uid="{00000000-0005-0000-0000-0000274D0000}"/>
    <cellStyle name="Normal 12 21" xfId="12988" xr:uid="{00000000-0005-0000-0000-0000284D0000}"/>
    <cellStyle name="Normal 12 21 2" xfId="21077" xr:uid="{00000000-0005-0000-0000-0000294D0000}"/>
    <cellStyle name="Normal 12 22" xfId="12989" xr:uid="{00000000-0005-0000-0000-00002A4D0000}"/>
    <cellStyle name="Normal 12 22 2" xfId="21078" xr:uid="{00000000-0005-0000-0000-00002B4D0000}"/>
    <cellStyle name="Normal 12 23" xfId="12990" xr:uid="{00000000-0005-0000-0000-00002C4D0000}"/>
    <cellStyle name="Normal 12 23 2" xfId="21079" xr:uid="{00000000-0005-0000-0000-00002D4D0000}"/>
    <cellStyle name="Normal 12 24" xfId="12991" xr:uid="{00000000-0005-0000-0000-00002E4D0000}"/>
    <cellStyle name="Normal 12 24 2" xfId="21080" xr:uid="{00000000-0005-0000-0000-00002F4D0000}"/>
    <cellStyle name="Normal 12 25" xfId="12992" xr:uid="{00000000-0005-0000-0000-0000304D0000}"/>
    <cellStyle name="Normal 12 25 2" xfId="21081" xr:uid="{00000000-0005-0000-0000-0000314D0000}"/>
    <cellStyle name="Normal 12 26" xfId="12993" xr:uid="{00000000-0005-0000-0000-0000324D0000}"/>
    <cellStyle name="Normal 12 26 2" xfId="21082" xr:uid="{00000000-0005-0000-0000-0000334D0000}"/>
    <cellStyle name="Normal 12 27" xfId="12994" xr:uid="{00000000-0005-0000-0000-0000344D0000}"/>
    <cellStyle name="Normal 12 27 2" xfId="21083" xr:uid="{00000000-0005-0000-0000-0000354D0000}"/>
    <cellStyle name="Normal 12 28" xfId="12995" xr:uid="{00000000-0005-0000-0000-0000364D0000}"/>
    <cellStyle name="Normal 12 28 2" xfId="21084" xr:uid="{00000000-0005-0000-0000-0000374D0000}"/>
    <cellStyle name="Normal 12 29" xfId="12996" xr:uid="{00000000-0005-0000-0000-0000384D0000}"/>
    <cellStyle name="Normal 12 29 2" xfId="21085" xr:uid="{00000000-0005-0000-0000-0000394D0000}"/>
    <cellStyle name="Normal 12 3" xfId="12997" xr:uid="{00000000-0005-0000-0000-00003A4D0000}"/>
    <cellStyle name="Normal 12 3 2" xfId="21086" xr:uid="{00000000-0005-0000-0000-00003B4D0000}"/>
    <cellStyle name="Normal 12 30" xfId="12998" xr:uid="{00000000-0005-0000-0000-00003C4D0000}"/>
    <cellStyle name="Normal 12 30 2" xfId="21087" xr:uid="{00000000-0005-0000-0000-00003D4D0000}"/>
    <cellStyle name="Normal 12 31" xfId="12999" xr:uid="{00000000-0005-0000-0000-00003E4D0000}"/>
    <cellStyle name="Normal 12 31 2" xfId="21088" xr:uid="{00000000-0005-0000-0000-00003F4D0000}"/>
    <cellStyle name="Normal 12 32" xfId="13000" xr:uid="{00000000-0005-0000-0000-0000404D0000}"/>
    <cellStyle name="Normal 12 32 2" xfId="21089" xr:uid="{00000000-0005-0000-0000-0000414D0000}"/>
    <cellStyle name="Normal 12 33" xfId="13001" xr:uid="{00000000-0005-0000-0000-0000424D0000}"/>
    <cellStyle name="Normal 12 33 2" xfId="21090" xr:uid="{00000000-0005-0000-0000-0000434D0000}"/>
    <cellStyle name="Normal 12 34" xfId="13002" xr:uid="{00000000-0005-0000-0000-0000444D0000}"/>
    <cellStyle name="Normal 12 34 2" xfId="21091" xr:uid="{00000000-0005-0000-0000-0000454D0000}"/>
    <cellStyle name="Normal 12 35" xfId="13003" xr:uid="{00000000-0005-0000-0000-0000464D0000}"/>
    <cellStyle name="Normal 12 35 2" xfId="21092" xr:uid="{00000000-0005-0000-0000-0000474D0000}"/>
    <cellStyle name="Normal 12 36" xfId="13004" xr:uid="{00000000-0005-0000-0000-0000484D0000}"/>
    <cellStyle name="Normal 12 36 2" xfId="21093" xr:uid="{00000000-0005-0000-0000-0000494D0000}"/>
    <cellStyle name="Normal 12 37" xfId="13005" xr:uid="{00000000-0005-0000-0000-00004A4D0000}"/>
    <cellStyle name="Normal 12 37 2" xfId="21094" xr:uid="{00000000-0005-0000-0000-00004B4D0000}"/>
    <cellStyle name="Normal 12 38" xfId="13006" xr:uid="{00000000-0005-0000-0000-00004C4D0000}"/>
    <cellStyle name="Normal 12 38 2" xfId="21095" xr:uid="{00000000-0005-0000-0000-00004D4D0000}"/>
    <cellStyle name="Normal 12 39" xfId="13007" xr:uid="{00000000-0005-0000-0000-00004E4D0000}"/>
    <cellStyle name="Normal 12 39 2" xfId="21096" xr:uid="{00000000-0005-0000-0000-00004F4D0000}"/>
    <cellStyle name="Normal 12 4" xfId="13008" xr:uid="{00000000-0005-0000-0000-0000504D0000}"/>
    <cellStyle name="Normal 12 4 2" xfId="21097" xr:uid="{00000000-0005-0000-0000-0000514D0000}"/>
    <cellStyle name="Normal 12 40" xfId="13009" xr:uid="{00000000-0005-0000-0000-0000524D0000}"/>
    <cellStyle name="Normal 12 40 2" xfId="21098" xr:uid="{00000000-0005-0000-0000-0000534D0000}"/>
    <cellStyle name="Normal 12 41" xfId="13010" xr:uid="{00000000-0005-0000-0000-0000544D0000}"/>
    <cellStyle name="Normal 12 41 2" xfId="21099" xr:uid="{00000000-0005-0000-0000-0000554D0000}"/>
    <cellStyle name="Normal 12 42" xfId="13011" xr:uid="{00000000-0005-0000-0000-0000564D0000}"/>
    <cellStyle name="Normal 12 42 2" xfId="21100" xr:uid="{00000000-0005-0000-0000-0000574D0000}"/>
    <cellStyle name="Normal 12 43" xfId="13012" xr:uid="{00000000-0005-0000-0000-0000584D0000}"/>
    <cellStyle name="Normal 12 5" xfId="13013" xr:uid="{00000000-0005-0000-0000-0000594D0000}"/>
    <cellStyle name="Normal 12 5 2" xfId="21101" xr:uid="{00000000-0005-0000-0000-00005A4D0000}"/>
    <cellStyle name="Normal 12 6" xfId="13014" xr:uid="{00000000-0005-0000-0000-00005B4D0000}"/>
    <cellStyle name="Normal 12 6 2" xfId="21102" xr:uid="{00000000-0005-0000-0000-00005C4D0000}"/>
    <cellStyle name="Normal 12 7" xfId="13015" xr:uid="{00000000-0005-0000-0000-00005D4D0000}"/>
    <cellStyle name="Normal 12 7 2" xfId="21103" xr:uid="{00000000-0005-0000-0000-00005E4D0000}"/>
    <cellStyle name="Normal 12 8" xfId="13016" xr:uid="{00000000-0005-0000-0000-00005F4D0000}"/>
    <cellStyle name="Normal 12 8 2" xfId="21104" xr:uid="{00000000-0005-0000-0000-0000604D0000}"/>
    <cellStyle name="Normal 12 9" xfId="13017" xr:uid="{00000000-0005-0000-0000-0000614D0000}"/>
    <cellStyle name="Normal 12 9 2" xfId="21105" xr:uid="{00000000-0005-0000-0000-0000624D0000}"/>
    <cellStyle name="Normal 12_DATA Input" xfId="13018" xr:uid="{00000000-0005-0000-0000-0000634D0000}"/>
    <cellStyle name="Normal 120" xfId="13019" xr:uid="{00000000-0005-0000-0000-0000644D0000}"/>
    <cellStyle name="Normal 120 2" xfId="13020" xr:uid="{00000000-0005-0000-0000-0000654D0000}"/>
    <cellStyle name="Normal 120 2 2" xfId="13021" xr:uid="{00000000-0005-0000-0000-0000664D0000}"/>
    <cellStyle name="Normal 120 2 2 2" xfId="13022" xr:uid="{00000000-0005-0000-0000-0000674D0000}"/>
    <cellStyle name="Normal 120 2 2 2 2" xfId="21108" xr:uid="{00000000-0005-0000-0000-0000684D0000}"/>
    <cellStyle name="Normal 120 2 2 3" xfId="13023" xr:uid="{00000000-0005-0000-0000-0000694D0000}"/>
    <cellStyle name="Normal 120 2 2 3 2" xfId="21109" xr:uid="{00000000-0005-0000-0000-00006A4D0000}"/>
    <cellStyle name="Normal 120 2 2 4" xfId="21107" xr:uid="{00000000-0005-0000-0000-00006B4D0000}"/>
    <cellStyle name="Normal 120 2 3" xfId="13024" xr:uid="{00000000-0005-0000-0000-00006C4D0000}"/>
    <cellStyle name="Normal 120 2 3 2" xfId="13025" xr:uid="{00000000-0005-0000-0000-00006D4D0000}"/>
    <cellStyle name="Normal 120 2 3 2 2" xfId="21111" xr:uid="{00000000-0005-0000-0000-00006E4D0000}"/>
    <cellStyle name="Normal 120 2 3 3" xfId="13026" xr:uid="{00000000-0005-0000-0000-00006F4D0000}"/>
    <cellStyle name="Normal 120 2 3 3 2" xfId="21112" xr:uid="{00000000-0005-0000-0000-0000704D0000}"/>
    <cellStyle name="Normal 120 2 3 4" xfId="21110" xr:uid="{00000000-0005-0000-0000-0000714D0000}"/>
    <cellStyle name="Normal 120 2 4" xfId="13027" xr:uid="{00000000-0005-0000-0000-0000724D0000}"/>
    <cellStyle name="Normal 120 2 4 2" xfId="13028" xr:uid="{00000000-0005-0000-0000-0000734D0000}"/>
    <cellStyle name="Normal 120 2 4 2 2" xfId="21114" xr:uid="{00000000-0005-0000-0000-0000744D0000}"/>
    <cellStyle name="Normal 120 2 4 3" xfId="13029" xr:uid="{00000000-0005-0000-0000-0000754D0000}"/>
    <cellStyle name="Normal 120 2 4 3 2" xfId="21115" xr:uid="{00000000-0005-0000-0000-0000764D0000}"/>
    <cellStyle name="Normal 120 2 4 4" xfId="21113" xr:uid="{00000000-0005-0000-0000-0000774D0000}"/>
    <cellStyle name="Normal 120 2 5" xfId="13030" xr:uid="{00000000-0005-0000-0000-0000784D0000}"/>
    <cellStyle name="Normal 120 2 5 2" xfId="21116" xr:uid="{00000000-0005-0000-0000-0000794D0000}"/>
    <cellStyle name="Normal 120 2 6" xfId="13031" xr:uid="{00000000-0005-0000-0000-00007A4D0000}"/>
    <cellStyle name="Normal 120 2 6 2" xfId="21117" xr:uid="{00000000-0005-0000-0000-00007B4D0000}"/>
    <cellStyle name="Normal 120 2 7" xfId="21106" xr:uid="{00000000-0005-0000-0000-00007C4D0000}"/>
    <cellStyle name="Normal 120 3" xfId="13032" xr:uid="{00000000-0005-0000-0000-00007D4D0000}"/>
    <cellStyle name="Normal 120 3 2" xfId="13033" xr:uid="{00000000-0005-0000-0000-00007E4D0000}"/>
    <cellStyle name="Normal 120 3 2 2" xfId="21119" xr:uid="{00000000-0005-0000-0000-00007F4D0000}"/>
    <cellStyle name="Normal 120 3 3" xfId="13034" xr:uid="{00000000-0005-0000-0000-0000804D0000}"/>
    <cellStyle name="Normal 120 3 3 2" xfId="21120" xr:uid="{00000000-0005-0000-0000-0000814D0000}"/>
    <cellStyle name="Normal 120 3 4" xfId="21118" xr:uid="{00000000-0005-0000-0000-0000824D0000}"/>
    <cellStyle name="Normal 120 4" xfId="13035" xr:uid="{00000000-0005-0000-0000-0000834D0000}"/>
    <cellStyle name="Normal 120 4 2" xfId="13036" xr:uid="{00000000-0005-0000-0000-0000844D0000}"/>
    <cellStyle name="Normal 120 4 2 2" xfId="21122" xr:uid="{00000000-0005-0000-0000-0000854D0000}"/>
    <cellStyle name="Normal 120 4 3" xfId="13037" xr:uid="{00000000-0005-0000-0000-0000864D0000}"/>
    <cellStyle name="Normal 120 4 3 2" xfId="21123" xr:uid="{00000000-0005-0000-0000-0000874D0000}"/>
    <cellStyle name="Normal 120 4 4" xfId="21121" xr:uid="{00000000-0005-0000-0000-0000884D0000}"/>
    <cellStyle name="Normal 120 5" xfId="13038" xr:uid="{00000000-0005-0000-0000-0000894D0000}"/>
    <cellStyle name="Normal 120 5 2" xfId="13039" xr:uid="{00000000-0005-0000-0000-00008A4D0000}"/>
    <cellStyle name="Normal 120 5 2 2" xfId="21125" xr:uid="{00000000-0005-0000-0000-00008B4D0000}"/>
    <cellStyle name="Normal 120 5 3" xfId="13040" xr:uid="{00000000-0005-0000-0000-00008C4D0000}"/>
    <cellStyle name="Normal 120 5 3 2" xfId="21126" xr:uid="{00000000-0005-0000-0000-00008D4D0000}"/>
    <cellStyle name="Normal 120 5 4" xfId="21124" xr:uid="{00000000-0005-0000-0000-00008E4D0000}"/>
    <cellStyle name="Normal 120 6" xfId="13041" xr:uid="{00000000-0005-0000-0000-00008F4D0000}"/>
    <cellStyle name="Normal 120 6 2" xfId="21127" xr:uid="{00000000-0005-0000-0000-0000904D0000}"/>
    <cellStyle name="Normal 120 7" xfId="13042" xr:uid="{00000000-0005-0000-0000-0000914D0000}"/>
    <cellStyle name="Normal 120 7 2" xfId="21128" xr:uid="{00000000-0005-0000-0000-0000924D0000}"/>
    <cellStyle name="Normal 121" xfId="13043" xr:uid="{00000000-0005-0000-0000-0000934D0000}"/>
    <cellStyle name="Normal 121 2" xfId="13044" xr:uid="{00000000-0005-0000-0000-0000944D0000}"/>
    <cellStyle name="Normal 121 2 2" xfId="13045" xr:uid="{00000000-0005-0000-0000-0000954D0000}"/>
    <cellStyle name="Normal 121 2 2 2" xfId="13046" xr:uid="{00000000-0005-0000-0000-0000964D0000}"/>
    <cellStyle name="Normal 121 2 2 2 2" xfId="21131" xr:uid="{00000000-0005-0000-0000-0000974D0000}"/>
    <cellStyle name="Normal 121 2 2 3" xfId="13047" xr:uid="{00000000-0005-0000-0000-0000984D0000}"/>
    <cellStyle name="Normal 121 2 2 3 2" xfId="21132" xr:uid="{00000000-0005-0000-0000-0000994D0000}"/>
    <cellStyle name="Normal 121 2 2 4" xfId="21130" xr:uid="{00000000-0005-0000-0000-00009A4D0000}"/>
    <cellStyle name="Normal 121 2 3" xfId="13048" xr:uid="{00000000-0005-0000-0000-00009B4D0000}"/>
    <cellStyle name="Normal 121 2 3 2" xfId="13049" xr:uid="{00000000-0005-0000-0000-00009C4D0000}"/>
    <cellStyle name="Normal 121 2 3 2 2" xfId="21134" xr:uid="{00000000-0005-0000-0000-00009D4D0000}"/>
    <cellStyle name="Normal 121 2 3 3" xfId="13050" xr:uid="{00000000-0005-0000-0000-00009E4D0000}"/>
    <cellStyle name="Normal 121 2 3 3 2" xfId="21135" xr:uid="{00000000-0005-0000-0000-00009F4D0000}"/>
    <cellStyle name="Normal 121 2 3 4" xfId="21133" xr:uid="{00000000-0005-0000-0000-0000A04D0000}"/>
    <cellStyle name="Normal 121 2 4" xfId="13051" xr:uid="{00000000-0005-0000-0000-0000A14D0000}"/>
    <cellStyle name="Normal 121 2 4 2" xfId="13052" xr:uid="{00000000-0005-0000-0000-0000A24D0000}"/>
    <cellStyle name="Normal 121 2 4 2 2" xfId="21137" xr:uid="{00000000-0005-0000-0000-0000A34D0000}"/>
    <cellStyle name="Normal 121 2 4 3" xfId="13053" xr:uid="{00000000-0005-0000-0000-0000A44D0000}"/>
    <cellStyle name="Normal 121 2 4 3 2" xfId="21138" xr:uid="{00000000-0005-0000-0000-0000A54D0000}"/>
    <cellStyle name="Normal 121 2 4 4" xfId="21136" xr:uid="{00000000-0005-0000-0000-0000A64D0000}"/>
    <cellStyle name="Normal 121 2 5" xfId="13054" xr:uid="{00000000-0005-0000-0000-0000A74D0000}"/>
    <cellStyle name="Normal 121 2 5 2" xfId="21139" xr:uid="{00000000-0005-0000-0000-0000A84D0000}"/>
    <cellStyle name="Normal 121 2 6" xfId="13055" xr:uid="{00000000-0005-0000-0000-0000A94D0000}"/>
    <cellStyle name="Normal 121 2 6 2" xfId="21140" xr:uid="{00000000-0005-0000-0000-0000AA4D0000}"/>
    <cellStyle name="Normal 121 2 7" xfId="21129" xr:uid="{00000000-0005-0000-0000-0000AB4D0000}"/>
    <cellStyle name="Normal 121 3" xfId="13056" xr:uid="{00000000-0005-0000-0000-0000AC4D0000}"/>
    <cellStyle name="Normal 121 3 2" xfId="13057" xr:uid="{00000000-0005-0000-0000-0000AD4D0000}"/>
    <cellStyle name="Normal 121 3 2 2" xfId="21142" xr:uid="{00000000-0005-0000-0000-0000AE4D0000}"/>
    <cellStyle name="Normal 121 3 3" xfId="13058" xr:uid="{00000000-0005-0000-0000-0000AF4D0000}"/>
    <cellStyle name="Normal 121 3 3 2" xfId="21143" xr:uid="{00000000-0005-0000-0000-0000B04D0000}"/>
    <cellStyle name="Normal 121 3 4" xfId="21141" xr:uid="{00000000-0005-0000-0000-0000B14D0000}"/>
    <cellStyle name="Normal 121 4" xfId="13059" xr:uid="{00000000-0005-0000-0000-0000B24D0000}"/>
    <cellStyle name="Normal 121 4 2" xfId="13060" xr:uid="{00000000-0005-0000-0000-0000B34D0000}"/>
    <cellStyle name="Normal 121 4 2 2" xfId="21145" xr:uid="{00000000-0005-0000-0000-0000B44D0000}"/>
    <cellStyle name="Normal 121 4 3" xfId="13061" xr:uid="{00000000-0005-0000-0000-0000B54D0000}"/>
    <cellStyle name="Normal 121 4 3 2" xfId="21146" xr:uid="{00000000-0005-0000-0000-0000B64D0000}"/>
    <cellStyle name="Normal 121 4 4" xfId="21144" xr:uid="{00000000-0005-0000-0000-0000B74D0000}"/>
    <cellStyle name="Normal 121 5" xfId="13062" xr:uid="{00000000-0005-0000-0000-0000B84D0000}"/>
    <cellStyle name="Normal 121 5 2" xfId="13063" xr:uid="{00000000-0005-0000-0000-0000B94D0000}"/>
    <cellStyle name="Normal 121 5 2 2" xfId="21148" xr:uid="{00000000-0005-0000-0000-0000BA4D0000}"/>
    <cellStyle name="Normal 121 5 3" xfId="13064" xr:uid="{00000000-0005-0000-0000-0000BB4D0000}"/>
    <cellStyle name="Normal 121 5 3 2" xfId="21149" xr:uid="{00000000-0005-0000-0000-0000BC4D0000}"/>
    <cellStyle name="Normal 121 5 4" xfId="21147" xr:uid="{00000000-0005-0000-0000-0000BD4D0000}"/>
    <cellStyle name="Normal 121 6" xfId="13065" xr:uid="{00000000-0005-0000-0000-0000BE4D0000}"/>
    <cellStyle name="Normal 121 6 2" xfId="21150" xr:uid="{00000000-0005-0000-0000-0000BF4D0000}"/>
    <cellStyle name="Normal 121 7" xfId="13066" xr:uid="{00000000-0005-0000-0000-0000C04D0000}"/>
    <cellStyle name="Normal 121 7 2" xfId="21151" xr:uid="{00000000-0005-0000-0000-0000C14D0000}"/>
    <cellStyle name="Normal 122" xfId="13067" xr:uid="{00000000-0005-0000-0000-0000C24D0000}"/>
    <cellStyle name="Normal 122 2" xfId="13068" xr:uid="{00000000-0005-0000-0000-0000C34D0000}"/>
    <cellStyle name="Normal 122 2 2" xfId="13069" xr:uid="{00000000-0005-0000-0000-0000C44D0000}"/>
    <cellStyle name="Normal 122 2 2 2" xfId="13070" xr:uid="{00000000-0005-0000-0000-0000C54D0000}"/>
    <cellStyle name="Normal 122 2 2 2 2" xfId="21154" xr:uid="{00000000-0005-0000-0000-0000C64D0000}"/>
    <cellStyle name="Normal 122 2 2 3" xfId="13071" xr:uid="{00000000-0005-0000-0000-0000C74D0000}"/>
    <cellStyle name="Normal 122 2 2 3 2" xfId="21155" xr:uid="{00000000-0005-0000-0000-0000C84D0000}"/>
    <cellStyle name="Normal 122 2 2 4" xfId="21153" xr:uid="{00000000-0005-0000-0000-0000C94D0000}"/>
    <cellStyle name="Normal 122 2 3" xfId="13072" xr:uid="{00000000-0005-0000-0000-0000CA4D0000}"/>
    <cellStyle name="Normal 122 2 3 2" xfId="13073" xr:uid="{00000000-0005-0000-0000-0000CB4D0000}"/>
    <cellStyle name="Normal 122 2 3 2 2" xfId="21157" xr:uid="{00000000-0005-0000-0000-0000CC4D0000}"/>
    <cellStyle name="Normal 122 2 3 3" xfId="13074" xr:uid="{00000000-0005-0000-0000-0000CD4D0000}"/>
    <cellStyle name="Normal 122 2 3 3 2" xfId="21158" xr:uid="{00000000-0005-0000-0000-0000CE4D0000}"/>
    <cellStyle name="Normal 122 2 3 4" xfId="21156" xr:uid="{00000000-0005-0000-0000-0000CF4D0000}"/>
    <cellStyle name="Normal 122 2 4" xfId="13075" xr:uid="{00000000-0005-0000-0000-0000D04D0000}"/>
    <cellStyle name="Normal 122 2 4 2" xfId="13076" xr:uid="{00000000-0005-0000-0000-0000D14D0000}"/>
    <cellStyle name="Normal 122 2 4 2 2" xfId="21160" xr:uid="{00000000-0005-0000-0000-0000D24D0000}"/>
    <cellStyle name="Normal 122 2 4 3" xfId="13077" xr:uid="{00000000-0005-0000-0000-0000D34D0000}"/>
    <cellStyle name="Normal 122 2 4 3 2" xfId="21161" xr:uid="{00000000-0005-0000-0000-0000D44D0000}"/>
    <cellStyle name="Normal 122 2 4 4" xfId="21159" xr:uid="{00000000-0005-0000-0000-0000D54D0000}"/>
    <cellStyle name="Normal 122 2 5" xfId="13078" xr:uid="{00000000-0005-0000-0000-0000D64D0000}"/>
    <cellStyle name="Normal 122 2 5 2" xfId="21162" xr:uid="{00000000-0005-0000-0000-0000D74D0000}"/>
    <cellStyle name="Normal 122 2 6" xfId="13079" xr:uid="{00000000-0005-0000-0000-0000D84D0000}"/>
    <cellStyle name="Normal 122 2 6 2" xfId="21163" xr:uid="{00000000-0005-0000-0000-0000D94D0000}"/>
    <cellStyle name="Normal 122 2 7" xfId="21152" xr:uid="{00000000-0005-0000-0000-0000DA4D0000}"/>
    <cellStyle name="Normal 122 3" xfId="13080" xr:uid="{00000000-0005-0000-0000-0000DB4D0000}"/>
    <cellStyle name="Normal 122 3 2" xfId="13081" xr:uid="{00000000-0005-0000-0000-0000DC4D0000}"/>
    <cellStyle name="Normal 122 3 2 2" xfId="21165" xr:uid="{00000000-0005-0000-0000-0000DD4D0000}"/>
    <cellStyle name="Normal 122 3 3" xfId="13082" xr:uid="{00000000-0005-0000-0000-0000DE4D0000}"/>
    <cellStyle name="Normal 122 3 3 2" xfId="21166" xr:uid="{00000000-0005-0000-0000-0000DF4D0000}"/>
    <cellStyle name="Normal 122 3 4" xfId="21164" xr:uid="{00000000-0005-0000-0000-0000E04D0000}"/>
    <cellStyle name="Normal 122 4" xfId="13083" xr:uid="{00000000-0005-0000-0000-0000E14D0000}"/>
    <cellStyle name="Normal 122 4 2" xfId="13084" xr:uid="{00000000-0005-0000-0000-0000E24D0000}"/>
    <cellStyle name="Normal 122 4 2 2" xfId="21168" xr:uid="{00000000-0005-0000-0000-0000E34D0000}"/>
    <cellStyle name="Normal 122 4 3" xfId="13085" xr:uid="{00000000-0005-0000-0000-0000E44D0000}"/>
    <cellStyle name="Normal 122 4 3 2" xfId="21169" xr:uid="{00000000-0005-0000-0000-0000E54D0000}"/>
    <cellStyle name="Normal 122 4 4" xfId="21167" xr:uid="{00000000-0005-0000-0000-0000E64D0000}"/>
    <cellStyle name="Normal 122 5" xfId="13086" xr:uid="{00000000-0005-0000-0000-0000E74D0000}"/>
    <cellStyle name="Normal 122 5 2" xfId="13087" xr:uid="{00000000-0005-0000-0000-0000E84D0000}"/>
    <cellStyle name="Normal 122 5 2 2" xfId="21171" xr:uid="{00000000-0005-0000-0000-0000E94D0000}"/>
    <cellStyle name="Normal 122 5 3" xfId="13088" xr:uid="{00000000-0005-0000-0000-0000EA4D0000}"/>
    <cellStyle name="Normal 122 5 3 2" xfId="21172" xr:uid="{00000000-0005-0000-0000-0000EB4D0000}"/>
    <cellStyle name="Normal 122 5 4" xfId="21170" xr:uid="{00000000-0005-0000-0000-0000EC4D0000}"/>
    <cellStyle name="Normal 122 6" xfId="13089" xr:uid="{00000000-0005-0000-0000-0000ED4D0000}"/>
    <cellStyle name="Normal 122 6 2" xfId="21173" xr:uid="{00000000-0005-0000-0000-0000EE4D0000}"/>
    <cellStyle name="Normal 122 7" xfId="13090" xr:uid="{00000000-0005-0000-0000-0000EF4D0000}"/>
    <cellStyle name="Normal 122 7 2" xfId="21174" xr:uid="{00000000-0005-0000-0000-0000F04D0000}"/>
    <cellStyle name="Normal 123" xfId="13091" xr:uid="{00000000-0005-0000-0000-0000F14D0000}"/>
    <cellStyle name="Normal 123 2" xfId="13092" xr:uid="{00000000-0005-0000-0000-0000F24D0000}"/>
    <cellStyle name="Normal 123 2 2" xfId="13093" xr:uid="{00000000-0005-0000-0000-0000F34D0000}"/>
    <cellStyle name="Normal 123 2 2 2" xfId="13094" xr:uid="{00000000-0005-0000-0000-0000F44D0000}"/>
    <cellStyle name="Normal 123 2 2 2 2" xfId="21177" xr:uid="{00000000-0005-0000-0000-0000F54D0000}"/>
    <cellStyle name="Normal 123 2 2 3" xfId="13095" xr:uid="{00000000-0005-0000-0000-0000F64D0000}"/>
    <cellStyle name="Normal 123 2 2 3 2" xfId="21178" xr:uid="{00000000-0005-0000-0000-0000F74D0000}"/>
    <cellStyle name="Normal 123 2 2 4" xfId="21176" xr:uid="{00000000-0005-0000-0000-0000F84D0000}"/>
    <cellStyle name="Normal 123 2 3" xfId="13096" xr:uid="{00000000-0005-0000-0000-0000F94D0000}"/>
    <cellStyle name="Normal 123 2 3 2" xfId="13097" xr:uid="{00000000-0005-0000-0000-0000FA4D0000}"/>
    <cellStyle name="Normal 123 2 3 2 2" xfId="21180" xr:uid="{00000000-0005-0000-0000-0000FB4D0000}"/>
    <cellStyle name="Normal 123 2 3 3" xfId="13098" xr:uid="{00000000-0005-0000-0000-0000FC4D0000}"/>
    <cellStyle name="Normal 123 2 3 3 2" xfId="21181" xr:uid="{00000000-0005-0000-0000-0000FD4D0000}"/>
    <cellStyle name="Normal 123 2 3 4" xfId="21179" xr:uid="{00000000-0005-0000-0000-0000FE4D0000}"/>
    <cellStyle name="Normal 123 2 4" xfId="13099" xr:uid="{00000000-0005-0000-0000-0000FF4D0000}"/>
    <cellStyle name="Normal 123 2 4 2" xfId="13100" xr:uid="{00000000-0005-0000-0000-0000004E0000}"/>
    <cellStyle name="Normal 123 2 4 2 2" xfId="21183" xr:uid="{00000000-0005-0000-0000-0000014E0000}"/>
    <cellStyle name="Normal 123 2 4 3" xfId="13101" xr:uid="{00000000-0005-0000-0000-0000024E0000}"/>
    <cellStyle name="Normal 123 2 4 3 2" xfId="21184" xr:uid="{00000000-0005-0000-0000-0000034E0000}"/>
    <cellStyle name="Normal 123 2 4 4" xfId="21182" xr:uid="{00000000-0005-0000-0000-0000044E0000}"/>
    <cellStyle name="Normal 123 2 5" xfId="13102" xr:uid="{00000000-0005-0000-0000-0000054E0000}"/>
    <cellStyle name="Normal 123 2 5 2" xfId="21185" xr:uid="{00000000-0005-0000-0000-0000064E0000}"/>
    <cellStyle name="Normal 123 2 6" xfId="13103" xr:uid="{00000000-0005-0000-0000-0000074E0000}"/>
    <cellStyle name="Normal 123 2 6 2" xfId="21186" xr:uid="{00000000-0005-0000-0000-0000084E0000}"/>
    <cellStyle name="Normal 123 2 7" xfId="21175" xr:uid="{00000000-0005-0000-0000-0000094E0000}"/>
    <cellStyle name="Normal 123 3" xfId="13104" xr:uid="{00000000-0005-0000-0000-00000A4E0000}"/>
    <cellStyle name="Normal 123 3 2" xfId="13105" xr:uid="{00000000-0005-0000-0000-00000B4E0000}"/>
    <cellStyle name="Normal 123 3 2 2" xfId="21188" xr:uid="{00000000-0005-0000-0000-00000C4E0000}"/>
    <cellStyle name="Normal 123 3 3" xfId="13106" xr:uid="{00000000-0005-0000-0000-00000D4E0000}"/>
    <cellStyle name="Normal 123 3 3 2" xfId="21189" xr:uid="{00000000-0005-0000-0000-00000E4E0000}"/>
    <cellStyle name="Normal 123 3 4" xfId="21187" xr:uid="{00000000-0005-0000-0000-00000F4E0000}"/>
    <cellStyle name="Normal 123 4" xfId="13107" xr:uid="{00000000-0005-0000-0000-0000104E0000}"/>
    <cellStyle name="Normal 123 4 2" xfId="13108" xr:uid="{00000000-0005-0000-0000-0000114E0000}"/>
    <cellStyle name="Normal 123 4 2 2" xfId="21191" xr:uid="{00000000-0005-0000-0000-0000124E0000}"/>
    <cellStyle name="Normal 123 4 3" xfId="13109" xr:uid="{00000000-0005-0000-0000-0000134E0000}"/>
    <cellStyle name="Normal 123 4 3 2" xfId="21192" xr:uid="{00000000-0005-0000-0000-0000144E0000}"/>
    <cellStyle name="Normal 123 4 4" xfId="21190" xr:uid="{00000000-0005-0000-0000-0000154E0000}"/>
    <cellStyle name="Normal 123 5" xfId="13110" xr:uid="{00000000-0005-0000-0000-0000164E0000}"/>
    <cellStyle name="Normal 123 5 2" xfId="13111" xr:uid="{00000000-0005-0000-0000-0000174E0000}"/>
    <cellStyle name="Normal 123 5 2 2" xfId="21194" xr:uid="{00000000-0005-0000-0000-0000184E0000}"/>
    <cellStyle name="Normal 123 5 3" xfId="13112" xr:uid="{00000000-0005-0000-0000-0000194E0000}"/>
    <cellStyle name="Normal 123 5 3 2" xfId="21195" xr:uid="{00000000-0005-0000-0000-00001A4E0000}"/>
    <cellStyle name="Normal 123 5 4" xfId="21193" xr:uid="{00000000-0005-0000-0000-00001B4E0000}"/>
    <cellStyle name="Normal 123 6" xfId="13113" xr:uid="{00000000-0005-0000-0000-00001C4E0000}"/>
    <cellStyle name="Normal 123 6 2" xfId="21196" xr:uid="{00000000-0005-0000-0000-00001D4E0000}"/>
    <cellStyle name="Normal 123 7" xfId="13114" xr:uid="{00000000-0005-0000-0000-00001E4E0000}"/>
    <cellStyle name="Normal 123 7 2" xfId="21197" xr:uid="{00000000-0005-0000-0000-00001F4E0000}"/>
    <cellStyle name="Normal 124" xfId="13115" xr:uid="{00000000-0005-0000-0000-0000204E0000}"/>
    <cellStyle name="Normal 124 2" xfId="13116" xr:uid="{00000000-0005-0000-0000-0000214E0000}"/>
    <cellStyle name="Normal 124 2 2" xfId="13117" xr:uid="{00000000-0005-0000-0000-0000224E0000}"/>
    <cellStyle name="Normal 124 2 2 2" xfId="13118" xr:uid="{00000000-0005-0000-0000-0000234E0000}"/>
    <cellStyle name="Normal 124 2 2 2 2" xfId="21200" xr:uid="{00000000-0005-0000-0000-0000244E0000}"/>
    <cellStyle name="Normal 124 2 2 3" xfId="13119" xr:uid="{00000000-0005-0000-0000-0000254E0000}"/>
    <cellStyle name="Normal 124 2 2 3 2" xfId="21201" xr:uid="{00000000-0005-0000-0000-0000264E0000}"/>
    <cellStyle name="Normal 124 2 2 4" xfId="21199" xr:uid="{00000000-0005-0000-0000-0000274E0000}"/>
    <cellStyle name="Normal 124 2 3" xfId="13120" xr:uid="{00000000-0005-0000-0000-0000284E0000}"/>
    <cellStyle name="Normal 124 2 3 2" xfId="13121" xr:uid="{00000000-0005-0000-0000-0000294E0000}"/>
    <cellStyle name="Normal 124 2 3 2 2" xfId="21203" xr:uid="{00000000-0005-0000-0000-00002A4E0000}"/>
    <cellStyle name="Normal 124 2 3 3" xfId="13122" xr:uid="{00000000-0005-0000-0000-00002B4E0000}"/>
    <cellStyle name="Normal 124 2 3 3 2" xfId="21204" xr:uid="{00000000-0005-0000-0000-00002C4E0000}"/>
    <cellStyle name="Normal 124 2 3 4" xfId="21202" xr:uid="{00000000-0005-0000-0000-00002D4E0000}"/>
    <cellStyle name="Normal 124 2 4" xfId="13123" xr:uid="{00000000-0005-0000-0000-00002E4E0000}"/>
    <cellStyle name="Normal 124 2 4 2" xfId="13124" xr:uid="{00000000-0005-0000-0000-00002F4E0000}"/>
    <cellStyle name="Normal 124 2 4 2 2" xfId="21206" xr:uid="{00000000-0005-0000-0000-0000304E0000}"/>
    <cellStyle name="Normal 124 2 4 3" xfId="13125" xr:uid="{00000000-0005-0000-0000-0000314E0000}"/>
    <cellStyle name="Normal 124 2 4 3 2" xfId="21207" xr:uid="{00000000-0005-0000-0000-0000324E0000}"/>
    <cellStyle name="Normal 124 2 4 4" xfId="21205" xr:uid="{00000000-0005-0000-0000-0000334E0000}"/>
    <cellStyle name="Normal 124 2 5" xfId="13126" xr:uid="{00000000-0005-0000-0000-0000344E0000}"/>
    <cellStyle name="Normal 124 2 5 2" xfId="21208" xr:uid="{00000000-0005-0000-0000-0000354E0000}"/>
    <cellStyle name="Normal 124 2 6" xfId="13127" xr:uid="{00000000-0005-0000-0000-0000364E0000}"/>
    <cellStyle name="Normal 124 2 6 2" xfId="21209" xr:uid="{00000000-0005-0000-0000-0000374E0000}"/>
    <cellStyle name="Normal 124 2 7" xfId="21198" xr:uid="{00000000-0005-0000-0000-0000384E0000}"/>
    <cellStyle name="Normal 124 3" xfId="13128" xr:uid="{00000000-0005-0000-0000-0000394E0000}"/>
    <cellStyle name="Normal 124 3 2" xfId="13129" xr:uid="{00000000-0005-0000-0000-00003A4E0000}"/>
    <cellStyle name="Normal 124 3 2 2" xfId="21211" xr:uid="{00000000-0005-0000-0000-00003B4E0000}"/>
    <cellStyle name="Normal 124 3 3" xfId="13130" xr:uid="{00000000-0005-0000-0000-00003C4E0000}"/>
    <cellStyle name="Normal 124 3 3 2" xfId="21212" xr:uid="{00000000-0005-0000-0000-00003D4E0000}"/>
    <cellStyle name="Normal 124 3 4" xfId="21210" xr:uid="{00000000-0005-0000-0000-00003E4E0000}"/>
    <cellStyle name="Normal 124 4" xfId="13131" xr:uid="{00000000-0005-0000-0000-00003F4E0000}"/>
    <cellStyle name="Normal 124 4 2" xfId="13132" xr:uid="{00000000-0005-0000-0000-0000404E0000}"/>
    <cellStyle name="Normal 124 4 2 2" xfId="21214" xr:uid="{00000000-0005-0000-0000-0000414E0000}"/>
    <cellStyle name="Normal 124 4 3" xfId="13133" xr:uid="{00000000-0005-0000-0000-0000424E0000}"/>
    <cellStyle name="Normal 124 4 3 2" xfId="21215" xr:uid="{00000000-0005-0000-0000-0000434E0000}"/>
    <cellStyle name="Normal 124 4 4" xfId="21213" xr:uid="{00000000-0005-0000-0000-0000444E0000}"/>
    <cellStyle name="Normal 124 5" xfId="13134" xr:uid="{00000000-0005-0000-0000-0000454E0000}"/>
    <cellStyle name="Normal 124 5 2" xfId="13135" xr:uid="{00000000-0005-0000-0000-0000464E0000}"/>
    <cellStyle name="Normal 124 5 2 2" xfId="21217" xr:uid="{00000000-0005-0000-0000-0000474E0000}"/>
    <cellStyle name="Normal 124 5 3" xfId="13136" xr:uid="{00000000-0005-0000-0000-0000484E0000}"/>
    <cellStyle name="Normal 124 5 3 2" xfId="21218" xr:uid="{00000000-0005-0000-0000-0000494E0000}"/>
    <cellStyle name="Normal 124 5 4" xfId="21216" xr:uid="{00000000-0005-0000-0000-00004A4E0000}"/>
    <cellStyle name="Normal 124 6" xfId="13137" xr:uid="{00000000-0005-0000-0000-00004B4E0000}"/>
    <cellStyle name="Normal 124 6 2" xfId="21219" xr:uid="{00000000-0005-0000-0000-00004C4E0000}"/>
    <cellStyle name="Normal 124 7" xfId="13138" xr:uid="{00000000-0005-0000-0000-00004D4E0000}"/>
    <cellStyle name="Normal 124 7 2" xfId="21220" xr:uid="{00000000-0005-0000-0000-00004E4E0000}"/>
    <cellStyle name="Normal 125" xfId="13139" xr:uid="{00000000-0005-0000-0000-00004F4E0000}"/>
    <cellStyle name="Normal 125 2" xfId="13140" xr:uid="{00000000-0005-0000-0000-0000504E0000}"/>
    <cellStyle name="Normal 125 2 2" xfId="13141" xr:uid="{00000000-0005-0000-0000-0000514E0000}"/>
    <cellStyle name="Normal 125 2 2 2" xfId="13142" xr:uid="{00000000-0005-0000-0000-0000524E0000}"/>
    <cellStyle name="Normal 125 2 2 2 2" xfId="21223" xr:uid="{00000000-0005-0000-0000-0000534E0000}"/>
    <cellStyle name="Normal 125 2 2 3" xfId="13143" xr:uid="{00000000-0005-0000-0000-0000544E0000}"/>
    <cellStyle name="Normal 125 2 2 3 2" xfId="21224" xr:uid="{00000000-0005-0000-0000-0000554E0000}"/>
    <cellStyle name="Normal 125 2 2 4" xfId="21222" xr:uid="{00000000-0005-0000-0000-0000564E0000}"/>
    <cellStyle name="Normal 125 2 3" xfId="13144" xr:uid="{00000000-0005-0000-0000-0000574E0000}"/>
    <cellStyle name="Normal 125 2 3 2" xfId="13145" xr:uid="{00000000-0005-0000-0000-0000584E0000}"/>
    <cellStyle name="Normal 125 2 3 2 2" xfId="21226" xr:uid="{00000000-0005-0000-0000-0000594E0000}"/>
    <cellStyle name="Normal 125 2 3 3" xfId="13146" xr:uid="{00000000-0005-0000-0000-00005A4E0000}"/>
    <cellStyle name="Normal 125 2 3 3 2" xfId="21227" xr:uid="{00000000-0005-0000-0000-00005B4E0000}"/>
    <cellStyle name="Normal 125 2 3 4" xfId="21225" xr:uid="{00000000-0005-0000-0000-00005C4E0000}"/>
    <cellStyle name="Normal 125 2 4" xfId="13147" xr:uid="{00000000-0005-0000-0000-00005D4E0000}"/>
    <cellStyle name="Normal 125 2 4 2" xfId="13148" xr:uid="{00000000-0005-0000-0000-00005E4E0000}"/>
    <cellStyle name="Normal 125 2 4 2 2" xfId="21229" xr:uid="{00000000-0005-0000-0000-00005F4E0000}"/>
    <cellStyle name="Normal 125 2 4 3" xfId="13149" xr:uid="{00000000-0005-0000-0000-0000604E0000}"/>
    <cellStyle name="Normal 125 2 4 3 2" xfId="21230" xr:uid="{00000000-0005-0000-0000-0000614E0000}"/>
    <cellStyle name="Normal 125 2 4 4" xfId="21228" xr:uid="{00000000-0005-0000-0000-0000624E0000}"/>
    <cellStyle name="Normal 125 2 5" xfId="13150" xr:uid="{00000000-0005-0000-0000-0000634E0000}"/>
    <cellStyle name="Normal 125 2 5 2" xfId="21231" xr:uid="{00000000-0005-0000-0000-0000644E0000}"/>
    <cellStyle name="Normal 125 2 6" xfId="13151" xr:uid="{00000000-0005-0000-0000-0000654E0000}"/>
    <cellStyle name="Normal 125 2 6 2" xfId="21232" xr:uid="{00000000-0005-0000-0000-0000664E0000}"/>
    <cellStyle name="Normal 125 2 7" xfId="21221" xr:uid="{00000000-0005-0000-0000-0000674E0000}"/>
    <cellStyle name="Normal 125 3" xfId="13152" xr:uid="{00000000-0005-0000-0000-0000684E0000}"/>
    <cellStyle name="Normal 125 3 2" xfId="13153" xr:uid="{00000000-0005-0000-0000-0000694E0000}"/>
    <cellStyle name="Normal 125 3 2 2" xfId="21234" xr:uid="{00000000-0005-0000-0000-00006A4E0000}"/>
    <cellStyle name="Normal 125 3 3" xfId="13154" xr:uid="{00000000-0005-0000-0000-00006B4E0000}"/>
    <cellStyle name="Normal 125 3 3 2" xfId="21235" xr:uid="{00000000-0005-0000-0000-00006C4E0000}"/>
    <cellStyle name="Normal 125 3 4" xfId="21233" xr:uid="{00000000-0005-0000-0000-00006D4E0000}"/>
    <cellStyle name="Normal 125 4" xfId="13155" xr:uid="{00000000-0005-0000-0000-00006E4E0000}"/>
    <cellStyle name="Normal 125 4 2" xfId="13156" xr:uid="{00000000-0005-0000-0000-00006F4E0000}"/>
    <cellStyle name="Normal 125 4 2 2" xfId="21237" xr:uid="{00000000-0005-0000-0000-0000704E0000}"/>
    <cellStyle name="Normal 125 4 3" xfId="13157" xr:uid="{00000000-0005-0000-0000-0000714E0000}"/>
    <cellStyle name="Normal 125 4 3 2" xfId="21238" xr:uid="{00000000-0005-0000-0000-0000724E0000}"/>
    <cellStyle name="Normal 125 4 4" xfId="21236" xr:uid="{00000000-0005-0000-0000-0000734E0000}"/>
    <cellStyle name="Normal 125 5" xfId="13158" xr:uid="{00000000-0005-0000-0000-0000744E0000}"/>
    <cellStyle name="Normal 125 5 2" xfId="13159" xr:uid="{00000000-0005-0000-0000-0000754E0000}"/>
    <cellStyle name="Normal 125 5 2 2" xfId="21240" xr:uid="{00000000-0005-0000-0000-0000764E0000}"/>
    <cellStyle name="Normal 125 5 3" xfId="13160" xr:uid="{00000000-0005-0000-0000-0000774E0000}"/>
    <cellStyle name="Normal 125 5 3 2" xfId="21241" xr:uid="{00000000-0005-0000-0000-0000784E0000}"/>
    <cellStyle name="Normal 125 5 4" xfId="21239" xr:uid="{00000000-0005-0000-0000-0000794E0000}"/>
    <cellStyle name="Normal 125 6" xfId="13161" xr:uid="{00000000-0005-0000-0000-00007A4E0000}"/>
    <cellStyle name="Normal 125 6 2" xfId="21242" xr:uid="{00000000-0005-0000-0000-00007B4E0000}"/>
    <cellStyle name="Normal 125 7" xfId="13162" xr:uid="{00000000-0005-0000-0000-00007C4E0000}"/>
    <cellStyle name="Normal 125 7 2" xfId="21243" xr:uid="{00000000-0005-0000-0000-00007D4E0000}"/>
    <cellStyle name="Normal 126" xfId="13163" xr:uid="{00000000-0005-0000-0000-00007E4E0000}"/>
    <cellStyle name="Normal 126 2" xfId="13164" xr:uid="{00000000-0005-0000-0000-00007F4E0000}"/>
    <cellStyle name="Normal 126 2 2" xfId="13165" xr:uid="{00000000-0005-0000-0000-0000804E0000}"/>
    <cellStyle name="Normal 126 2 2 2" xfId="13166" xr:uid="{00000000-0005-0000-0000-0000814E0000}"/>
    <cellStyle name="Normal 126 2 2 2 2" xfId="21246" xr:uid="{00000000-0005-0000-0000-0000824E0000}"/>
    <cellStyle name="Normal 126 2 2 3" xfId="13167" xr:uid="{00000000-0005-0000-0000-0000834E0000}"/>
    <cellStyle name="Normal 126 2 2 3 2" xfId="21247" xr:uid="{00000000-0005-0000-0000-0000844E0000}"/>
    <cellStyle name="Normal 126 2 2 4" xfId="21245" xr:uid="{00000000-0005-0000-0000-0000854E0000}"/>
    <cellStyle name="Normal 126 2 3" xfId="13168" xr:uid="{00000000-0005-0000-0000-0000864E0000}"/>
    <cellStyle name="Normal 126 2 3 2" xfId="13169" xr:uid="{00000000-0005-0000-0000-0000874E0000}"/>
    <cellStyle name="Normal 126 2 3 2 2" xfId="21249" xr:uid="{00000000-0005-0000-0000-0000884E0000}"/>
    <cellStyle name="Normal 126 2 3 3" xfId="13170" xr:uid="{00000000-0005-0000-0000-0000894E0000}"/>
    <cellStyle name="Normal 126 2 3 3 2" xfId="21250" xr:uid="{00000000-0005-0000-0000-00008A4E0000}"/>
    <cellStyle name="Normal 126 2 3 4" xfId="21248" xr:uid="{00000000-0005-0000-0000-00008B4E0000}"/>
    <cellStyle name="Normal 126 2 4" xfId="13171" xr:uid="{00000000-0005-0000-0000-00008C4E0000}"/>
    <cellStyle name="Normal 126 2 4 2" xfId="13172" xr:uid="{00000000-0005-0000-0000-00008D4E0000}"/>
    <cellStyle name="Normal 126 2 4 2 2" xfId="21252" xr:uid="{00000000-0005-0000-0000-00008E4E0000}"/>
    <cellStyle name="Normal 126 2 4 3" xfId="13173" xr:uid="{00000000-0005-0000-0000-00008F4E0000}"/>
    <cellStyle name="Normal 126 2 4 3 2" xfId="21253" xr:uid="{00000000-0005-0000-0000-0000904E0000}"/>
    <cellStyle name="Normal 126 2 4 4" xfId="21251" xr:uid="{00000000-0005-0000-0000-0000914E0000}"/>
    <cellStyle name="Normal 126 2 5" xfId="13174" xr:uid="{00000000-0005-0000-0000-0000924E0000}"/>
    <cellStyle name="Normal 126 2 5 2" xfId="21254" xr:uid="{00000000-0005-0000-0000-0000934E0000}"/>
    <cellStyle name="Normal 126 2 6" xfId="13175" xr:uid="{00000000-0005-0000-0000-0000944E0000}"/>
    <cellStyle name="Normal 126 2 6 2" xfId="21255" xr:uid="{00000000-0005-0000-0000-0000954E0000}"/>
    <cellStyle name="Normal 126 2 7" xfId="21244" xr:uid="{00000000-0005-0000-0000-0000964E0000}"/>
    <cellStyle name="Normal 126 3" xfId="13176" xr:uid="{00000000-0005-0000-0000-0000974E0000}"/>
    <cellStyle name="Normal 126 3 2" xfId="13177" xr:uid="{00000000-0005-0000-0000-0000984E0000}"/>
    <cellStyle name="Normal 126 3 2 2" xfId="21257" xr:uid="{00000000-0005-0000-0000-0000994E0000}"/>
    <cellStyle name="Normal 126 3 3" xfId="13178" xr:uid="{00000000-0005-0000-0000-00009A4E0000}"/>
    <cellStyle name="Normal 126 3 3 2" xfId="21258" xr:uid="{00000000-0005-0000-0000-00009B4E0000}"/>
    <cellStyle name="Normal 126 3 4" xfId="21256" xr:uid="{00000000-0005-0000-0000-00009C4E0000}"/>
    <cellStyle name="Normal 126 4" xfId="13179" xr:uid="{00000000-0005-0000-0000-00009D4E0000}"/>
    <cellStyle name="Normal 126 4 2" xfId="13180" xr:uid="{00000000-0005-0000-0000-00009E4E0000}"/>
    <cellStyle name="Normal 126 4 2 2" xfId="21260" xr:uid="{00000000-0005-0000-0000-00009F4E0000}"/>
    <cellStyle name="Normal 126 4 3" xfId="13181" xr:uid="{00000000-0005-0000-0000-0000A04E0000}"/>
    <cellStyle name="Normal 126 4 3 2" xfId="21261" xr:uid="{00000000-0005-0000-0000-0000A14E0000}"/>
    <cellStyle name="Normal 126 4 4" xfId="21259" xr:uid="{00000000-0005-0000-0000-0000A24E0000}"/>
    <cellStyle name="Normal 126 5" xfId="13182" xr:uid="{00000000-0005-0000-0000-0000A34E0000}"/>
    <cellStyle name="Normal 126 5 2" xfId="13183" xr:uid="{00000000-0005-0000-0000-0000A44E0000}"/>
    <cellStyle name="Normal 126 5 2 2" xfId="21263" xr:uid="{00000000-0005-0000-0000-0000A54E0000}"/>
    <cellStyle name="Normal 126 5 3" xfId="13184" xr:uid="{00000000-0005-0000-0000-0000A64E0000}"/>
    <cellStyle name="Normal 126 5 3 2" xfId="21264" xr:uid="{00000000-0005-0000-0000-0000A74E0000}"/>
    <cellStyle name="Normal 126 5 4" xfId="21262" xr:uid="{00000000-0005-0000-0000-0000A84E0000}"/>
    <cellStyle name="Normal 126 6" xfId="13185" xr:uid="{00000000-0005-0000-0000-0000A94E0000}"/>
    <cellStyle name="Normal 126 6 2" xfId="21265" xr:uid="{00000000-0005-0000-0000-0000AA4E0000}"/>
    <cellStyle name="Normal 126 7" xfId="13186" xr:uid="{00000000-0005-0000-0000-0000AB4E0000}"/>
    <cellStyle name="Normal 126 7 2" xfId="21266" xr:uid="{00000000-0005-0000-0000-0000AC4E0000}"/>
    <cellStyle name="Normal 127" xfId="13187" xr:uid="{00000000-0005-0000-0000-0000AD4E0000}"/>
    <cellStyle name="Normal 127 2" xfId="13188" xr:uid="{00000000-0005-0000-0000-0000AE4E0000}"/>
    <cellStyle name="Normal 127 2 2" xfId="13189" xr:uid="{00000000-0005-0000-0000-0000AF4E0000}"/>
    <cellStyle name="Normal 127 2 2 2" xfId="13190" xr:uid="{00000000-0005-0000-0000-0000B04E0000}"/>
    <cellStyle name="Normal 127 2 2 2 2" xfId="21269" xr:uid="{00000000-0005-0000-0000-0000B14E0000}"/>
    <cellStyle name="Normal 127 2 2 3" xfId="13191" xr:uid="{00000000-0005-0000-0000-0000B24E0000}"/>
    <cellStyle name="Normal 127 2 2 3 2" xfId="21270" xr:uid="{00000000-0005-0000-0000-0000B34E0000}"/>
    <cellStyle name="Normal 127 2 2 4" xfId="21268" xr:uid="{00000000-0005-0000-0000-0000B44E0000}"/>
    <cellStyle name="Normal 127 2 3" xfId="13192" xr:uid="{00000000-0005-0000-0000-0000B54E0000}"/>
    <cellStyle name="Normal 127 2 3 2" xfId="13193" xr:uid="{00000000-0005-0000-0000-0000B64E0000}"/>
    <cellStyle name="Normal 127 2 3 2 2" xfId="21272" xr:uid="{00000000-0005-0000-0000-0000B74E0000}"/>
    <cellStyle name="Normal 127 2 3 3" xfId="13194" xr:uid="{00000000-0005-0000-0000-0000B84E0000}"/>
    <cellStyle name="Normal 127 2 3 3 2" xfId="21273" xr:uid="{00000000-0005-0000-0000-0000B94E0000}"/>
    <cellStyle name="Normal 127 2 3 4" xfId="21271" xr:uid="{00000000-0005-0000-0000-0000BA4E0000}"/>
    <cellStyle name="Normal 127 2 4" xfId="13195" xr:uid="{00000000-0005-0000-0000-0000BB4E0000}"/>
    <cellStyle name="Normal 127 2 4 2" xfId="13196" xr:uid="{00000000-0005-0000-0000-0000BC4E0000}"/>
    <cellStyle name="Normal 127 2 4 2 2" xfId="21275" xr:uid="{00000000-0005-0000-0000-0000BD4E0000}"/>
    <cellStyle name="Normal 127 2 4 3" xfId="13197" xr:uid="{00000000-0005-0000-0000-0000BE4E0000}"/>
    <cellStyle name="Normal 127 2 4 3 2" xfId="21276" xr:uid="{00000000-0005-0000-0000-0000BF4E0000}"/>
    <cellStyle name="Normal 127 2 4 4" xfId="21274" xr:uid="{00000000-0005-0000-0000-0000C04E0000}"/>
    <cellStyle name="Normal 127 2 5" xfId="13198" xr:uid="{00000000-0005-0000-0000-0000C14E0000}"/>
    <cellStyle name="Normal 127 2 5 2" xfId="21277" xr:uid="{00000000-0005-0000-0000-0000C24E0000}"/>
    <cellStyle name="Normal 127 2 6" xfId="13199" xr:uid="{00000000-0005-0000-0000-0000C34E0000}"/>
    <cellStyle name="Normal 127 2 6 2" xfId="21278" xr:uid="{00000000-0005-0000-0000-0000C44E0000}"/>
    <cellStyle name="Normal 127 2 7" xfId="21267" xr:uid="{00000000-0005-0000-0000-0000C54E0000}"/>
    <cellStyle name="Normal 127 3" xfId="13200" xr:uid="{00000000-0005-0000-0000-0000C64E0000}"/>
    <cellStyle name="Normal 127 3 2" xfId="13201" xr:uid="{00000000-0005-0000-0000-0000C74E0000}"/>
    <cellStyle name="Normal 127 3 2 2" xfId="21280" xr:uid="{00000000-0005-0000-0000-0000C84E0000}"/>
    <cellStyle name="Normal 127 3 3" xfId="13202" xr:uid="{00000000-0005-0000-0000-0000C94E0000}"/>
    <cellStyle name="Normal 127 3 3 2" xfId="21281" xr:uid="{00000000-0005-0000-0000-0000CA4E0000}"/>
    <cellStyle name="Normal 127 3 4" xfId="21279" xr:uid="{00000000-0005-0000-0000-0000CB4E0000}"/>
    <cellStyle name="Normal 127 4" xfId="13203" xr:uid="{00000000-0005-0000-0000-0000CC4E0000}"/>
    <cellStyle name="Normal 127 4 2" xfId="13204" xr:uid="{00000000-0005-0000-0000-0000CD4E0000}"/>
    <cellStyle name="Normal 127 4 2 2" xfId="21283" xr:uid="{00000000-0005-0000-0000-0000CE4E0000}"/>
    <cellStyle name="Normal 127 4 3" xfId="13205" xr:uid="{00000000-0005-0000-0000-0000CF4E0000}"/>
    <cellStyle name="Normal 127 4 3 2" xfId="21284" xr:uid="{00000000-0005-0000-0000-0000D04E0000}"/>
    <cellStyle name="Normal 127 4 4" xfId="21282" xr:uid="{00000000-0005-0000-0000-0000D14E0000}"/>
    <cellStyle name="Normal 127 5" xfId="13206" xr:uid="{00000000-0005-0000-0000-0000D24E0000}"/>
    <cellStyle name="Normal 127 5 2" xfId="13207" xr:uid="{00000000-0005-0000-0000-0000D34E0000}"/>
    <cellStyle name="Normal 127 5 2 2" xfId="21286" xr:uid="{00000000-0005-0000-0000-0000D44E0000}"/>
    <cellStyle name="Normal 127 5 3" xfId="13208" xr:uid="{00000000-0005-0000-0000-0000D54E0000}"/>
    <cellStyle name="Normal 127 5 3 2" xfId="21287" xr:uid="{00000000-0005-0000-0000-0000D64E0000}"/>
    <cellStyle name="Normal 127 5 4" xfId="21285" xr:uid="{00000000-0005-0000-0000-0000D74E0000}"/>
    <cellStyle name="Normal 127 6" xfId="13209" xr:uid="{00000000-0005-0000-0000-0000D84E0000}"/>
    <cellStyle name="Normal 127 6 2" xfId="21288" xr:uid="{00000000-0005-0000-0000-0000D94E0000}"/>
    <cellStyle name="Normal 127 7" xfId="13210" xr:uid="{00000000-0005-0000-0000-0000DA4E0000}"/>
    <cellStyle name="Normal 127 7 2" xfId="21289" xr:uid="{00000000-0005-0000-0000-0000DB4E0000}"/>
    <cellStyle name="Normal 128" xfId="13211" xr:uid="{00000000-0005-0000-0000-0000DC4E0000}"/>
    <cellStyle name="Normal 128 2" xfId="13212" xr:uid="{00000000-0005-0000-0000-0000DD4E0000}"/>
    <cellStyle name="Normal 128 2 2" xfId="13213" xr:uid="{00000000-0005-0000-0000-0000DE4E0000}"/>
    <cellStyle name="Normal 128 2 2 2" xfId="13214" xr:uid="{00000000-0005-0000-0000-0000DF4E0000}"/>
    <cellStyle name="Normal 128 2 2 2 2" xfId="21292" xr:uid="{00000000-0005-0000-0000-0000E04E0000}"/>
    <cellStyle name="Normal 128 2 2 3" xfId="13215" xr:uid="{00000000-0005-0000-0000-0000E14E0000}"/>
    <cellStyle name="Normal 128 2 2 3 2" xfId="21293" xr:uid="{00000000-0005-0000-0000-0000E24E0000}"/>
    <cellStyle name="Normal 128 2 2 4" xfId="21291" xr:uid="{00000000-0005-0000-0000-0000E34E0000}"/>
    <cellStyle name="Normal 128 2 3" xfId="13216" xr:uid="{00000000-0005-0000-0000-0000E44E0000}"/>
    <cellStyle name="Normal 128 2 3 2" xfId="13217" xr:uid="{00000000-0005-0000-0000-0000E54E0000}"/>
    <cellStyle name="Normal 128 2 3 2 2" xfId="21295" xr:uid="{00000000-0005-0000-0000-0000E64E0000}"/>
    <cellStyle name="Normal 128 2 3 3" xfId="13218" xr:uid="{00000000-0005-0000-0000-0000E74E0000}"/>
    <cellStyle name="Normal 128 2 3 3 2" xfId="21296" xr:uid="{00000000-0005-0000-0000-0000E84E0000}"/>
    <cellStyle name="Normal 128 2 3 4" xfId="21294" xr:uid="{00000000-0005-0000-0000-0000E94E0000}"/>
    <cellStyle name="Normal 128 2 4" xfId="13219" xr:uid="{00000000-0005-0000-0000-0000EA4E0000}"/>
    <cellStyle name="Normal 128 2 4 2" xfId="13220" xr:uid="{00000000-0005-0000-0000-0000EB4E0000}"/>
    <cellStyle name="Normal 128 2 4 2 2" xfId="21298" xr:uid="{00000000-0005-0000-0000-0000EC4E0000}"/>
    <cellStyle name="Normal 128 2 4 3" xfId="13221" xr:uid="{00000000-0005-0000-0000-0000ED4E0000}"/>
    <cellStyle name="Normal 128 2 4 3 2" xfId="21299" xr:uid="{00000000-0005-0000-0000-0000EE4E0000}"/>
    <cellStyle name="Normal 128 2 4 4" xfId="21297" xr:uid="{00000000-0005-0000-0000-0000EF4E0000}"/>
    <cellStyle name="Normal 128 2 5" xfId="13222" xr:uid="{00000000-0005-0000-0000-0000F04E0000}"/>
    <cellStyle name="Normal 128 2 5 2" xfId="21300" xr:uid="{00000000-0005-0000-0000-0000F14E0000}"/>
    <cellStyle name="Normal 128 2 6" xfId="13223" xr:uid="{00000000-0005-0000-0000-0000F24E0000}"/>
    <cellStyle name="Normal 128 2 6 2" xfId="21301" xr:uid="{00000000-0005-0000-0000-0000F34E0000}"/>
    <cellStyle name="Normal 128 2 7" xfId="21290" xr:uid="{00000000-0005-0000-0000-0000F44E0000}"/>
    <cellStyle name="Normal 128 3" xfId="13224" xr:uid="{00000000-0005-0000-0000-0000F54E0000}"/>
    <cellStyle name="Normal 128 3 2" xfId="13225" xr:uid="{00000000-0005-0000-0000-0000F64E0000}"/>
    <cellStyle name="Normal 128 3 2 2" xfId="21303" xr:uid="{00000000-0005-0000-0000-0000F74E0000}"/>
    <cellStyle name="Normal 128 3 3" xfId="13226" xr:uid="{00000000-0005-0000-0000-0000F84E0000}"/>
    <cellStyle name="Normal 128 3 3 2" xfId="21304" xr:uid="{00000000-0005-0000-0000-0000F94E0000}"/>
    <cellStyle name="Normal 128 3 4" xfId="21302" xr:uid="{00000000-0005-0000-0000-0000FA4E0000}"/>
    <cellStyle name="Normal 128 4" xfId="13227" xr:uid="{00000000-0005-0000-0000-0000FB4E0000}"/>
    <cellStyle name="Normal 128 4 2" xfId="13228" xr:uid="{00000000-0005-0000-0000-0000FC4E0000}"/>
    <cellStyle name="Normal 128 4 2 2" xfId="21306" xr:uid="{00000000-0005-0000-0000-0000FD4E0000}"/>
    <cellStyle name="Normal 128 4 3" xfId="13229" xr:uid="{00000000-0005-0000-0000-0000FE4E0000}"/>
    <cellStyle name="Normal 128 4 3 2" xfId="21307" xr:uid="{00000000-0005-0000-0000-0000FF4E0000}"/>
    <cellStyle name="Normal 128 4 4" xfId="21305" xr:uid="{00000000-0005-0000-0000-0000004F0000}"/>
    <cellStyle name="Normal 128 5" xfId="13230" xr:uid="{00000000-0005-0000-0000-0000014F0000}"/>
    <cellStyle name="Normal 128 5 2" xfId="13231" xr:uid="{00000000-0005-0000-0000-0000024F0000}"/>
    <cellStyle name="Normal 128 5 2 2" xfId="21309" xr:uid="{00000000-0005-0000-0000-0000034F0000}"/>
    <cellStyle name="Normal 128 5 3" xfId="13232" xr:uid="{00000000-0005-0000-0000-0000044F0000}"/>
    <cellStyle name="Normal 128 5 3 2" xfId="21310" xr:uid="{00000000-0005-0000-0000-0000054F0000}"/>
    <cellStyle name="Normal 128 5 4" xfId="21308" xr:uid="{00000000-0005-0000-0000-0000064F0000}"/>
    <cellStyle name="Normal 128 6" xfId="13233" xr:uid="{00000000-0005-0000-0000-0000074F0000}"/>
    <cellStyle name="Normal 128 6 2" xfId="21311" xr:uid="{00000000-0005-0000-0000-0000084F0000}"/>
    <cellStyle name="Normal 128 7" xfId="13234" xr:uid="{00000000-0005-0000-0000-0000094F0000}"/>
    <cellStyle name="Normal 128 7 2" xfId="21312" xr:uid="{00000000-0005-0000-0000-00000A4F0000}"/>
    <cellStyle name="Normal 129" xfId="13235" xr:uid="{00000000-0005-0000-0000-00000B4F0000}"/>
    <cellStyle name="Normal 129 2" xfId="13236" xr:uid="{00000000-0005-0000-0000-00000C4F0000}"/>
    <cellStyle name="Normal 129 2 2" xfId="13237" xr:uid="{00000000-0005-0000-0000-00000D4F0000}"/>
    <cellStyle name="Normal 129 2 2 2" xfId="13238" xr:uid="{00000000-0005-0000-0000-00000E4F0000}"/>
    <cellStyle name="Normal 129 2 2 2 2" xfId="21315" xr:uid="{00000000-0005-0000-0000-00000F4F0000}"/>
    <cellStyle name="Normal 129 2 2 3" xfId="13239" xr:uid="{00000000-0005-0000-0000-0000104F0000}"/>
    <cellStyle name="Normal 129 2 2 3 2" xfId="21316" xr:uid="{00000000-0005-0000-0000-0000114F0000}"/>
    <cellStyle name="Normal 129 2 2 4" xfId="21314" xr:uid="{00000000-0005-0000-0000-0000124F0000}"/>
    <cellStyle name="Normal 129 2 3" xfId="13240" xr:uid="{00000000-0005-0000-0000-0000134F0000}"/>
    <cellStyle name="Normal 129 2 3 2" xfId="13241" xr:uid="{00000000-0005-0000-0000-0000144F0000}"/>
    <cellStyle name="Normal 129 2 3 2 2" xfId="21318" xr:uid="{00000000-0005-0000-0000-0000154F0000}"/>
    <cellStyle name="Normal 129 2 3 3" xfId="13242" xr:uid="{00000000-0005-0000-0000-0000164F0000}"/>
    <cellStyle name="Normal 129 2 3 3 2" xfId="21319" xr:uid="{00000000-0005-0000-0000-0000174F0000}"/>
    <cellStyle name="Normal 129 2 3 4" xfId="21317" xr:uid="{00000000-0005-0000-0000-0000184F0000}"/>
    <cellStyle name="Normal 129 2 4" xfId="13243" xr:uid="{00000000-0005-0000-0000-0000194F0000}"/>
    <cellStyle name="Normal 129 2 4 2" xfId="13244" xr:uid="{00000000-0005-0000-0000-00001A4F0000}"/>
    <cellStyle name="Normal 129 2 4 2 2" xfId="21321" xr:uid="{00000000-0005-0000-0000-00001B4F0000}"/>
    <cellStyle name="Normal 129 2 4 3" xfId="13245" xr:uid="{00000000-0005-0000-0000-00001C4F0000}"/>
    <cellStyle name="Normal 129 2 4 3 2" xfId="21322" xr:uid="{00000000-0005-0000-0000-00001D4F0000}"/>
    <cellStyle name="Normal 129 2 4 4" xfId="21320" xr:uid="{00000000-0005-0000-0000-00001E4F0000}"/>
    <cellStyle name="Normal 129 2 5" xfId="13246" xr:uid="{00000000-0005-0000-0000-00001F4F0000}"/>
    <cellStyle name="Normal 129 2 5 2" xfId="21323" xr:uid="{00000000-0005-0000-0000-0000204F0000}"/>
    <cellStyle name="Normal 129 2 6" xfId="13247" xr:uid="{00000000-0005-0000-0000-0000214F0000}"/>
    <cellStyle name="Normal 129 2 6 2" xfId="21324" xr:uid="{00000000-0005-0000-0000-0000224F0000}"/>
    <cellStyle name="Normal 129 2 7" xfId="21313" xr:uid="{00000000-0005-0000-0000-0000234F0000}"/>
    <cellStyle name="Normal 129 3" xfId="13248" xr:uid="{00000000-0005-0000-0000-0000244F0000}"/>
    <cellStyle name="Normal 129 3 2" xfId="13249" xr:uid="{00000000-0005-0000-0000-0000254F0000}"/>
    <cellStyle name="Normal 129 3 2 2" xfId="21326" xr:uid="{00000000-0005-0000-0000-0000264F0000}"/>
    <cellStyle name="Normal 129 3 3" xfId="13250" xr:uid="{00000000-0005-0000-0000-0000274F0000}"/>
    <cellStyle name="Normal 129 3 3 2" xfId="21327" xr:uid="{00000000-0005-0000-0000-0000284F0000}"/>
    <cellStyle name="Normal 129 3 4" xfId="21325" xr:uid="{00000000-0005-0000-0000-0000294F0000}"/>
    <cellStyle name="Normal 129 4" xfId="13251" xr:uid="{00000000-0005-0000-0000-00002A4F0000}"/>
    <cellStyle name="Normal 129 4 2" xfId="13252" xr:uid="{00000000-0005-0000-0000-00002B4F0000}"/>
    <cellStyle name="Normal 129 4 2 2" xfId="21329" xr:uid="{00000000-0005-0000-0000-00002C4F0000}"/>
    <cellStyle name="Normal 129 4 3" xfId="13253" xr:uid="{00000000-0005-0000-0000-00002D4F0000}"/>
    <cellStyle name="Normal 129 4 3 2" xfId="21330" xr:uid="{00000000-0005-0000-0000-00002E4F0000}"/>
    <cellStyle name="Normal 129 4 4" xfId="21328" xr:uid="{00000000-0005-0000-0000-00002F4F0000}"/>
    <cellStyle name="Normal 129 5" xfId="13254" xr:uid="{00000000-0005-0000-0000-0000304F0000}"/>
    <cellStyle name="Normal 129 5 2" xfId="13255" xr:uid="{00000000-0005-0000-0000-0000314F0000}"/>
    <cellStyle name="Normal 129 5 2 2" xfId="21332" xr:uid="{00000000-0005-0000-0000-0000324F0000}"/>
    <cellStyle name="Normal 129 5 3" xfId="13256" xr:uid="{00000000-0005-0000-0000-0000334F0000}"/>
    <cellStyle name="Normal 129 5 3 2" xfId="21333" xr:uid="{00000000-0005-0000-0000-0000344F0000}"/>
    <cellStyle name="Normal 129 5 4" xfId="21331" xr:uid="{00000000-0005-0000-0000-0000354F0000}"/>
    <cellStyle name="Normal 129 6" xfId="13257" xr:uid="{00000000-0005-0000-0000-0000364F0000}"/>
    <cellStyle name="Normal 129 6 2" xfId="21334" xr:uid="{00000000-0005-0000-0000-0000374F0000}"/>
    <cellStyle name="Normal 129 7" xfId="13258" xr:uid="{00000000-0005-0000-0000-0000384F0000}"/>
    <cellStyle name="Normal 129 7 2" xfId="21335" xr:uid="{00000000-0005-0000-0000-0000394F0000}"/>
    <cellStyle name="Normal 13" xfId="355" xr:uid="{00000000-0005-0000-0000-00003A4F0000}"/>
    <cellStyle name="Normal 13 10" xfId="13259" xr:uid="{00000000-0005-0000-0000-00003B4F0000}"/>
    <cellStyle name="Normal 13 11" xfId="13260" xr:uid="{00000000-0005-0000-0000-00003C4F0000}"/>
    <cellStyle name="Normal 13 12" xfId="13261" xr:uid="{00000000-0005-0000-0000-00003D4F0000}"/>
    <cellStyle name="Normal 13 13" xfId="13262" xr:uid="{00000000-0005-0000-0000-00003E4F0000}"/>
    <cellStyle name="Normal 13 14" xfId="13263" xr:uid="{00000000-0005-0000-0000-00003F4F0000}"/>
    <cellStyle name="Normal 13 15" xfId="13264" xr:uid="{00000000-0005-0000-0000-0000404F0000}"/>
    <cellStyle name="Normal 13 16" xfId="13265" xr:uid="{00000000-0005-0000-0000-0000414F0000}"/>
    <cellStyle name="Normal 13 17" xfId="13266" xr:uid="{00000000-0005-0000-0000-0000424F0000}"/>
    <cellStyle name="Normal 13 18" xfId="13267" xr:uid="{00000000-0005-0000-0000-0000434F0000}"/>
    <cellStyle name="Normal 13 19" xfId="13268" xr:uid="{00000000-0005-0000-0000-0000444F0000}"/>
    <cellStyle name="Normal 13 2" xfId="356" xr:uid="{00000000-0005-0000-0000-0000454F0000}"/>
    <cellStyle name="Normal 13 20" xfId="13269" xr:uid="{00000000-0005-0000-0000-0000464F0000}"/>
    <cellStyle name="Normal 13 21" xfId="13270" xr:uid="{00000000-0005-0000-0000-0000474F0000}"/>
    <cellStyle name="Normal 13 22" xfId="13271" xr:uid="{00000000-0005-0000-0000-0000484F0000}"/>
    <cellStyle name="Normal 13 23" xfId="13272" xr:uid="{00000000-0005-0000-0000-0000494F0000}"/>
    <cellStyle name="Normal 13 24" xfId="13273" xr:uid="{00000000-0005-0000-0000-00004A4F0000}"/>
    <cellStyle name="Normal 13 25" xfId="13274" xr:uid="{00000000-0005-0000-0000-00004B4F0000}"/>
    <cellStyle name="Normal 13 26" xfId="13275" xr:uid="{00000000-0005-0000-0000-00004C4F0000}"/>
    <cellStyle name="Normal 13 27" xfId="13276" xr:uid="{00000000-0005-0000-0000-00004D4F0000}"/>
    <cellStyle name="Normal 13 28" xfId="13277" xr:uid="{00000000-0005-0000-0000-00004E4F0000}"/>
    <cellStyle name="Normal 13 29" xfId="13278" xr:uid="{00000000-0005-0000-0000-00004F4F0000}"/>
    <cellStyle name="Normal 13 3" xfId="13279" xr:uid="{00000000-0005-0000-0000-0000504F0000}"/>
    <cellStyle name="Normal 13 30" xfId="13280" xr:uid="{00000000-0005-0000-0000-0000514F0000}"/>
    <cellStyle name="Normal 13 31" xfId="13281" xr:uid="{00000000-0005-0000-0000-0000524F0000}"/>
    <cellStyle name="Normal 13 32" xfId="13282" xr:uid="{00000000-0005-0000-0000-0000534F0000}"/>
    <cellStyle name="Normal 13 33" xfId="13283" xr:uid="{00000000-0005-0000-0000-0000544F0000}"/>
    <cellStyle name="Normal 13 34" xfId="13284" xr:uid="{00000000-0005-0000-0000-0000554F0000}"/>
    <cellStyle name="Normal 13 35" xfId="13285" xr:uid="{00000000-0005-0000-0000-0000564F0000}"/>
    <cellStyle name="Normal 13 36" xfId="13286" xr:uid="{00000000-0005-0000-0000-0000574F0000}"/>
    <cellStyle name="Normal 13 37" xfId="13287" xr:uid="{00000000-0005-0000-0000-0000584F0000}"/>
    <cellStyle name="Normal 13 38" xfId="13288" xr:uid="{00000000-0005-0000-0000-0000594F0000}"/>
    <cellStyle name="Normal 13 39" xfId="13289" xr:uid="{00000000-0005-0000-0000-00005A4F0000}"/>
    <cellStyle name="Normal 13 4" xfId="13290" xr:uid="{00000000-0005-0000-0000-00005B4F0000}"/>
    <cellStyle name="Normal 13 40" xfId="13291" xr:uid="{00000000-0005-0000-0000-00005C4F0000}"/>
    <cellStyle name="Normal 13 41" xfId="13292" xr:uid="{00000000-0005-0000-0000-00005D4F0000}"/>
    <cellStyle name="Normal 13 42" xfId="13293" xr:uid="{00000000-0005-0000-0000-00005E4F0000}"/>
    <cellStyle name="Normal 13 5" xfId="13294" xr:uid="{00000000-0005-0000-0000-00005F4F0000}"/>
    <cellStyle name="Normal 13 6" xfId="13295" xr:uid="{00000000-0005-0000-0000-0000604F0000}"/>
    <cellStyle name="Normal 13 7" xfId="13296" xr:uid="{00000000-0005-0000-0000-0000614F0000}"/>
    <cellStyle name="Normal 13 8" xfId="13297" xr:uid="{00000000-0005-0000-0000-0000624F0000}"/>
    <cellStyle name="Normal 13 9" xfId="13298" xr:uid="{00000000-0005-0000-0000-0000634F0000}"/>
    <cellStyle name="Normal 13_Input" xfId="13299" xr:uid="{00000000-0005-0000-0000-0000644F0000}"/>
    <cellStyle name="Normal 130" xfId="13300" xr:uid="{00000000-0005-0000-0000-0000654F0000}"/>
    <cellStyle name="Normal 130 2" xfId="13301" xr:uid="{00000000-0005-0000-0000-0000664F0000}"/>
    <cellStyle name="Normal 130 2 2" xfId="13302" xr:uid="{00000000-0005-0000-0000-0000674F0000}"/>
    <cellStyle name="Normal 130 2 2 2" xfId="13303" xr:uid="{00000000-0005-0000-0000-0000684F0000}"/>
    <cellStyle name="Normal 130 2 2 2 2" xfId="21338" xr:uid="{00000000-0005-0000-0000-0000694F0000}"/>
    <cellStyle name="Normal 130 2 2 3" xfId="13304" xr:uid="{00000000-0005-0000-0000-00006A4F0000}"/>
    <cellStyle name="Normal 130 2 2 3 2" xfId="21339" xr:uid="{00000000-0005-0000-0000-00006B4F0000}"/>
    <cellStyle name="Normal 130 2 2 4" xfId="21337" xr:uid="{00000000-0005-0000-0000-00006C4F0000}"/>
    <cellStyle name="Normal 130 2 3" xfId="13305" xr:uid="{00000000-0005-0000-0000-00006D4F0000}"/>
    <cellStyle name="Normal 130 2 3 2" xfId="13306" xr:uid="{00000000-0005-0000-0000-00006E4F0000}"/>
    <cellStyle name="Normal 130 2 3 2 2" xfId="21341" xr:uid="{00000000-0005-0000-0000-00006F4F0000}"/>
    <cellStyle name="Normal 130 2 3 3" xfId="13307" xr:uid="{00000000-0005-0000-0000-0000704F0000}"/>
    <cellStyle name="Normal 130 2 3 3 2" xfId="21342" xr:uid="{00000000-0005-0000-0000-0000714F0000}"/>
    <cellStyle name="Normal 130 2 3 4" xfId="21340" xr:uid="{00000000-0005-0000-0000-0000724F0000}"/>
    <cellStyle name="Normal 130 2 4" xfId="13308" xr:uid="{00000000-0005-0000-0000-0000734F0000}"/>
    <cellStyle name="Normal 130 2 4 2" xfId="13309" xr:uid="{00000000-0005-0000-0000-0000744F0000}"/>
    <cellStyle name="Normal 130 2 4 2 2" xfId="21344" xr:uid="{00000000-0005-0000-0000-0000754F0000}"/>
    <cellStyle name="Normal 130 2 4 3" xfId="13310" xr:uid="{00000000-0005-0000-0000-0000764F0000}"/>
    <cellStyle name="Normal 130 2 4 3 2" xfId="21345" xr:uid="{00000000-0005-0000-0000-0000774F0000}"/>
    <cellStyle name="Normal 130 2 4 4" xfId="21343" xr:uid="{00000000-0005-0000-0000-0000784F0000}"/>
    <cellStyle name="Normal 130 2 5" xfId="13311" xr:uid="{00000000-0005-0000-0000-0000794F0000}"/>
    <cellStyle name="Normal 130 2 5 2" xfId="21346" xr:uid="{00000000-0005-0000-0000-00007A4F0000}"/>
    <cellStyle name="Normal 130 2 6" xfId="13312" xr:uid="{00000000-0005-0000-0000-00007B4F0000}"/>
    <cellStyle name="Normal 130 2 6 2" xfId="21347" xr:uid="{00000000-0005-0000-0000-00007C4F0000}"/>
    <cellStyle name="Normal 130 2 7" xfId="21336" xr:uid="{00000000-0005-0000-0000-00007D4F0000}"/>
    <cellStyle name="Normal 130 3" xfId="13313" xr:uid="{00000000-0005-0000-0000-00007E4F0000}"/>
    <cellStyle name="Normal 130 3 2" xfId="13314" xr:uid="{00000000-0005-0000-0000-00007F4F0000}"/>
    <cellStyle name="Normal 130 3 2 2" xfId="21349" xr:uid="{00000000-0005-0000-0000-0000804F0000}"/>
    <cellStyle name="Normal 130 3 3" xfId="13315" xr:uid="{00000000-0005-0000-0000-0000814F0000}"/>
    <cellStyle name="Normal 130 3 3 2" xfId="21350" xr:uid="{00000000-0005-0000-0000-0000824F0000}"/>
    <cellStyle name="Normal 130 3 4" xfId="21348" xr:uid="{00000000-0005-0000-0000-0000834F0000}"/>
    <cellStyle name="Normal 130 4" xfId="13316" xr:uid="{00000000-0005-0000-0000-0000844F0000}"/>
    <cellStyle name="Normal 130 4 2" xfId="13317" xr:uid="{00000000-0005-0000-0000-0000854F0000}"/>
    <cellStyle name="Normal 130 4 2 2" xfId="21352" xr:uid="{00000000-0005-0000-0000-0000864F0000}"/>
    <cellStyle name="Normal 130 4 3" xfId="13318" xr:uid="{00000000-0005-0000-0000-0000874F0000}"/>
    <cellStyle name="Normal 130 4 3 2" xfId="21353" xr:uid="{00000000-0005-0000-0000-0000884F0000}"/>
    <cellStyle name="Normal 130 4 4" xfId="21351" xr:uid="{00000000-0005-0000-0000-0000894F0000}"/>
    <cellStyle name="Normal 130 5" xfId="13319" xr:uid="{00000000-0005-0000-0000-00008A4F0000}"/>
    <cellStyle name="Normal 130 5 2" xfId="13320" xr:uid="{00000000-0005-0000-0000-00008B4F0000}"/>
    <cellStyle name="Normal 130 5 2 2" xfId="21355" xr:uid="{00000000-0005-0000-0000-00008C4F0000}"/>
    <cellStyle name="Normal 130 5 3" xfId="13321" xr:uid="{00000000-0005-0000-0000-00008D4F0000}"/>
    <cellStyle name="Normal 130 5 3 2" xfId="21356" xr:uid="{00000000-0005-0000-0000-00008E4F0000}"/>
    <cellStyle name="Normal 130 5 4" xfId="21354" xr:uid="{00000000-0005-0000-0000-00008F4F0000}"/>
    <cellStyle name="Normal 130 6" xfId="13322" xr:uid="{00000000-0005-0000-0000-0000904F0000}"/>
    <cellStyle name="Normal 130 6 2" xfId="21357" xr:uid="{00000000-0005-0000-0000-0000914F0000}"/>
    <cellStyle name="Normal 130 7" xfId="13323" xr:uid="{00000000-0005-0000-0000-0000924F0000}"/>
    <cellStyle name="Normal 130 7 2" xfId="21358" xr:uid="{00000000-0005-0000-0000-0000934F0000}"/>
    <cellStyle name="Normal 131" xfId="13324" xr:uid="{00000000-0005-0000-0000-0000944F0000}"/>
    <cellStyle name="Normal 131 2" xfId="13325" xr:uid="{00000000-0005-0000-0000-0000954F0000}"/>
    <cellStyle name="Normal 131 2 2" xfId="13326" xr:uid="{00000000-0005-0000-0000-0000964F0000}"/>
    <cellStyle name="Normal 131 2 2 2" xfId="13327" xr:uid="{00000000-0005-0000-0000-0000974F0000}"/>
    <cellStyle name="Normal 131 2 2 2 2" xfId="21361" xr:uid="{00000000-0005-0000-0000-0000984F0000}"/>
    <cellStyle name="Normal 131 2 2 3" xfId="13328" xr:uid="{00000000-0005-0000-0000-0000994F0000}"/>
    <cellStyle name="Normal 131 2 2 3 2" xfId="21362" xr:uid="{00000000-0005-0000-0000-00009A4F0000}"/>
    <cellStyle name="Normal 131 2 2 4" xfId="21360" xr:uid="{00000000-0005-0000-0000-00009B4F0000}"/>
    <cellStyle name="Normal 131 2 3" xfId="13329" xr:uid="{00000000-0005-0000-0000-00009C4F0000}"/>
    <cellStyle name="Normal 131 2 3 2" xfId="13330" xr:uid="{00000000-0005-0000-0000-00009D4F0000}"/>
    <cellStyle name="Normal 131 2 3 2 2" xfId="21364" xr:uid="{00000000-0005-0000-0000-00009E4F0000}"/>
    <cellStyle name="Normal 131 2 3 3" xfId="13331" xr:uid="{00000000-0005-0000-0000-00009F4F0000}"/>
    <cellStyle name="Normal 131 2 3 3 2" xfId="21365" xr:uid="{00000000-0005-0000-0000-0000A04F0000}"/>
    <cellStyle name="Normal 131 2 3 4" xfId="21363" xr:uid="{00000000-0005-0000-0000-0000A14F0000}"/>
    <cellStyle name="Normal 131 2 4" xfId="13332" xr:uid="{00000000-0005-0000-0000-0000A24F0000}"/>
    <cellStyle name="Normal 131 2 4 2" xfId="13333" xr:uid="{00000000-0005-0000-0000-0000A34F0000}"/>
    <cellStyle name="Normal 131 2 4 2 2" xfId="21367" xr:uid="{00000000-0005-0000-0000-0000A44F0000}"/>
    <cellStyle name="Normal 131 2 4 3" xfId="13334" xr:uid="{00000000-0005-0000-0000-0000A54F0000}"/>
    <cellStyle name="Normal 131 2 4 3 2" xfId="21368" xr:uid="{00000000-0005-0000-0000-0000A64F0000}"/>
    <cellStyle name="Normal 131 2 4 4" xfId="21366" xr:uid="{00000000-0005-0000-0000-0000A74F0000}"/>
    <cellStyle name="Normal 131 2 5" xfId="13335" xr:uid="{00000000-0005-0000-0000-0000A84F0000}"/>
    <cellStyle name="Normal 131 2 5 2" xfId="21369" xr:uid="{00000000-0005-0000-0000-0000A94F0000}"/>
    <cellStyle name="Normal 131 2 6" xfId="13336" xr:uid="{00000000-0005-0000-0000-0000AA4F0000}"/>
    <cellStyle name="Normal 131 2 6 2" xfId="21370" xr:uid="{00000000-0005-0000-0000-0000AB4F0000}"/>
    <cellStyle name="Normal 131 2 7" xfId="21359" xr:uid="{00000000-0005-0000-0000-0000AC4F0000}"/>
    <cellStyle name="Normal 131 3" xfId="13337" xr:uid="{00000000-0005-0000-0000-0000AD4F0000}"/>
    <cellStyle name="Normal 131 3 2" xfId="13338" xr:uid="{00000000-0005-0000-0000-0000AE4F0000}"/>
    <cellStyle name="Normal 131 3 2 2" xfId="21372" xr:uid="{00000000-0005-0000-0000-0000AF4F0000}"/>
    <cellStyle name="Normal 131 3 3" xfId="13339" xr:uid="{00000000-0005-0000-0000-0000B04F0000}"/>
    <cellStyle name="Normal 131 3 3 2" xfId="21373" xr:uid="{00000000-0005-0000-0000-0000B14F0000}"/>
    <cellStyle name="Normal 131 3 4" xfId="21371" xr:uid="{00000000-0005-0000-0000-0000B24F0000}"/>
    <cellStyle name="Normal 131 4" xfId="13340" xr:uid="{00000000-0005-0000-0000-0000B34F0000}"/>
    <cellStyle name="Normal 131 4 2" xfId="13341" xr:uid="{00000000-0005-0000-0000-0000B44F0000}"/>
    <cellStyle name="Normal 131 4 2 2" xfId="21375" xr:uid="{00000000-0005-0000-0000-0000B54F0000}"/>
    <cellStyle name="Normal 131 4 3" xfId="13342" xr:uid="{00000000-0005-0000-0000-0000B64F0000}"/>
    <cellStyle name="Normal 131 4 3 2" xfId="21376" xr:uid="{00000000-0005-0000-0000-0000B74F0000}"/>
    <cellStyle name="Normal 131 4 4" xfId="21374" xr:uid="{00000000-0005-0000-0000-0000B84F0000}"/>
    <cellStyle name="Normal 131 5" xfId="13343" xr:uid="{00000000-0005-0000-0000-0000B94F0000}"/>
    <cellStyle name="Normal 131 5 2" xfId="13344" xr:uid="{00000000-0005-0000-0000-0000BA4F0000}"/>
    <cellStyle name="Normal 131 5 2 2" xfId="21378" xr:uid="{00000000-0005-0000-0000-0000BB4F0000}"/>
    <cellStyle name="Normal 131 5 3" xfId="13345" xr:uid="{00000000-0005-0000-0000-0000BC4F0000}"/>
    <cellStyle name="Normal 131 5 3 2" xfId="21379" xr:uid="{00000000-0005-0000-0000-0000BD4F0000}"/>
    <cellStyle name="Normal 131 5 4" xfId="21377" xr:uid="{00000000-0005-0000-0000-0000BE4F0000}"/>
    <cellStyle name="Normal 131 6" xfId="13346" xr:uid="{00000000-0005-0000-0000-0000BF4F0000}"/>
    <cellStyle name="Normal 131 6 2" xfId="21380" xr:uid="{00000000-0005-0000-0000-0000C04F0000}"/>
    <cellStyle name="Normal 131 7" xfId="13347" xr:uid="{00000000-0005-0000-0000-0000C14F0000}"/>
    <cellStyle name="Normal 131 7 2" xfId="21381" xr:uid="{00000000-0005-0000-0000-0000C24F0000}"/>
    <cellStyle name="Normal 132" xfId="13348" xr:uid="{00000000-0005-0000-0000-0000C34F0000}"/>
    <cellStyle name="Normal 132 2" xfId="13349" xr:uid="{00000000-0005-0000-0000-0000C44F0000}"/>
    <cellStyle name="Normal 132 2 2" xfId="13350" xr:uid="{00000000-0005-0000-0000-0000C54F0000}"/>
    <cellStyle name="Normal 132 2 2 2" xfId="13351" xr:uid="{00000000-0005-0000-0000-0000C64F0000}"/>
    <cellStyle name="Normal 132 2 2 2 2" xfId="21384" xr:uid="{00000000-0005-0000-0000-0000C74F0000}"/>
    <cellStyle name="Normal 132 2 2 3" xfId="13352" xr:uid="{00000000-0005-0000-0000-0000C84F0000}"/>
    <cellStyle name="Normal 132 2 2 3 2" xfId="21385" xr:uid="{00000000-0005-0000-0000-0000C94F0000}"/>
    <cellStyle name="Normal 132 2 2 4" xfId="21383" xr:uid="{00000000-0005-0000-0000-0000CA4F0000}"/>
    <cellStyle name="Normal 132 2 3" xfId="13353" xr:uid="{00000000-0005-0000-0000-0000CB4F0000}"/>
    <cellStyle name="Normal 132 2 3 2" xfId="13354" xr:uid="{00000000-0005-0000-0000-0000CC4F0000}"/>
    <cellStyle name="Normal 132 2 3 2 2" xfId="21387" xr:uid="{00000000-0005-0000-0000-0000CD4F0000}"/>
    <cellStyle name="Normal 132 2 3 3" xfId="13355" xr:uid="{00000000-0005-0000-0000-0000CE4F0000}"/>
    <cellStyle name="Normal 132 2 3 3 2" xfId="21388" xr:uid="{00000000-0005-0000-0000-0000CF4F0000}"/>
    <cellStyle name="Normal 132 2 3 4" xfId="21386" xr:uid="{00000000-0005-0000-0000-0000D04F0000}"/>
    <cellStyle name="Normal 132 2 4" xfId="13356" xr:uid="{00000000-0005-0000-0000-0000D14F0000}"/>
    <cellStyle name="Normal 132 2 4 2" xfId="13357" xr:uid="{00000000-0005-0000-0000-0000D24F0000}"/>
    <cellStyle name="Normal 132 2 4 2 2" xfId="21390" xr:uid="{00000000-0005-0000-0000-0000D34F0000}"/>
    <cellStyle name="Normal 132 2 4 3" xfId="13358" xr:uid="{00000000-0005-0000-0000-0000D44F0000}"/>
    <cellStyle name="Normal 132 2 4 3 2" xfId="21391" xr:uid="{00000000-0005-0000-0000-0000D54F0000}"/>
    <cellStyle name="Normal 132 2 4 4" xfId="21389" xr:uid="{00000000-0005-0000-0000-0000D64F0000}"/>
    <cellStyle name="Normal 132 2 5" xfId="13359" xr:uid="{00000000-0005-0000-0000-0000D74F0000}"/>
    <cellStyle name="Normal 132 2 5 2" xfId="21392" xr:uid="{00000000-0005-0000-0000-0000D84F0000}"/>
    <cellStyle name="Normal 132 2 6" xfId="13360" xr:uid="{00000000-0005-0000-0000-0000D94F0000}"/>
    <cellStyle name="Normal 132 2 6 2" xfId="21393" xr:uid="{00000000-0005-0000-0000-0000DA4F0000}"/>
    <cellStyle name="Normal 132 2 7" xfId="21382" xr:uid="{00000000-0005-0000-0000-0000DB4F0000}"/>
    <cellStyle name="Normal 132 3" xfId="13361" xr:uid="{00000000-0005-0000-0000-0000DC4F0000}"/>
    <cellStyle name="Normal 132 3 2" xfId="13362" xr:uid="{00000000-0005-0000-0000-0000DD4F0000}"/>
    <cellStyle name="Normal 132 3 2 2" xfId="21395" xr:uid="{00000000-0005-0000-0000-0000DE4F0000}"/>
    <cellStyle name="Normal 132 3 3" xfId="13363" xr:uid="{00000000-0005-0000-0000-0000DF4F0000}"/>
    <cellStyle name="Normal 132 3 3 2" xfId="21396" xr:uid="{00000000-0005-0000-0000-0000E04F0000}"/>
    <cellStyle name="Normal 132 3 4" xfId="21394" xr:uid="{00000000-0005-0000-0000-0000E14F0000}"/>
    <cellStyle name="Normal 132 4" xfId="13364" xr:uid="{00000000-0005-0000-0000-0000E24F0000}"/>
    <cellStyle name="Normal 132 4 2" xfId="13365" xr:uid="{00000000-0005-0000-0000-0000E34F0000}"/>
    <cellStyle name="Normal 132 4 2 2" xfId="21398" xr:uid="{00000000-0005-0000-0000-0000E44F0000}"/>
    <cellStyle name="Normal 132 4 3" xfId="13366" xr:uid="{00000000-0005-0000-0000-0000E54F0000}"/>
    <cellStyle name="Normal 132 4 3 2" xfId="21399" xr:uid="{00000000-0005-0000-0000-0000E64F0000}"/>
    <cellStyle name="Normal 132 4 4" xfId="21397" xr:uid="{00000000-0005-0000-0000-0000E74F0000}"/>
    <cellStyle name="Normal 132 5" xfId="13367" xr:uid="{00000000-0005-0000-0000-0000E84F0000}"/>
    <cellStyle name="Normal 132 5 2" xfId="13368" xr:uid="{00000000-0005-0000-0000-0000E94F0000}"/>
    <cellStyle name="Normal 132 5 2 2" xfId="21401" xr:uid="{00000000-0005-0000-0000-0000EA4F0000}"/>
    <cellStyle name="Normal 132 5 3" xfId="13369" xr:uid="{00000000-0005-0000-0000-0000EB4F0000}"/>
    <cellStyle name="Normal 132 5 3 2" xfId="21402" xr:uid="{00000000-0005-0000-0000-0000EC4F0000}"/>
    <cellStyle name="Normal 132 5 4" xfId="21400" xr:uid="{00000000-0005-0000-0000-0000ED4F0000}"/>
    <cellStyle name="Normal 132 6" xfId="13370" xr:uid="{00000000-0005-0000-0000-0000EE4F0000}"/>
    <cellStyle name="Normal 132 6 2" xfId="21403" xr:uid="{00000000-0005-0000-0000-0000EF4F0000}"/>
    <cellStyle name="Normal 132 7" xfId="13371" xr:uid="{00000000-0005-0000-0000-0000F04F0000}"/>
    <cellStyle name="Normal 132 7 2" xfId="21404" xr:uid="{00000000-0005-0000-0000-0000F14F0000}"/>
    <cellStyle name="Normal 133" xfId="13372" xr:uid="{00000000-0005-0000-0000-0000F24F0000}"/>
    <cellStyle name="Normal 133 2" xfId="13373" xr:uid="{00000000-0005-0000-0000-0000F34F0000}"/>
    <cellStyle name="Normal 133 2 2" xfId="13374" xr:uid="{00000000-0005-0000-0000-0000F44F0000}"/>
    <cellStyle name="Normal 133 2 2 2" xfId="13375" xr:uid="{00000000-0005-0000-0000-0000F54F0000}"/>
    <cellStyle name="Normal 133 2 2 2 2" xfId="21407" xr:uid="{00000000-0005-0000-0000-0000F64F0000}"/>
    <cellStyle name="Normal 133 2 2 3" xfId="13376" xr:uid="{00000000-0005-0000-0000-0000F74F0000}"/>
    <cellStyle name="Normal 133 2 2 3 2" xfId="21408" xr:uid="{00000000-0005-0000-0000-0000F84F0000}"/>
    <cellStyle name="Normal 133 2 2 4" xfId="21406" xr:uid="{00000000-0005-0000-0000-0000F94F0000}"/>
    <cellStyle name="Normal 133 2 3" xfId="13377" xr:uid="{00000000-0005-0000-0000-0000FA4F0000}"/>
    <cellStyle name="Normal 133 2 3 2" xfId="13378" xr:uid="{00000000-0005-0000-0000-0000FB4F0000}"/>
    <cellStyle name="Normal 133 2 3 2 2" xfId="21410" xr:uid="{00000000-0005-0000-0000-0000FC4F0000}"/>
    <cellStyle name="Normal 133 2 3 3" xfId="13379" xr:uid="{00000000-0005-0000-0000-0000FD4F0000}"/>
    <cellStyle name="Normal 133 2 3 3 2" xfId="21411" xr:uid="{00000000-0005-0000-0000-0000FE4F0000}"/>
    <cellStyle name="Normal 133 2 3 4" xfId="21409" xr:uid="{00000000-0005-0000-0000-0000FF4F0000}"/>
    <cellStyle name="Normal 133 2 4" xfId="13380" xr:uid="{00000000-0005-0000-0000-000000500000}"/>
    <cellStyle name="Normal 133 2 4 2" xfId="13381" xr:uid="{00000000-0005-0000-0000-000001500000}"/>
    <cellStyle name="Normal 133 2 4 2 2" xfId="21413" xr:uid="{00000000-0005-0000-0000-000002500000}"/>
    <cellStyle name="Normal 133 2 4 3" xfId="13382" xr:uid="{00000000-0005-0000-0000-000003500000}"/>
    <cellStyle name="Normal 133 2 4 3 2" xfId="21414" xr:uid="{00000000-0005-0000-0000-000004500000}"/>
    <cellStyle name="Normal 133 2 4 4" xfId="21412" xr:uid="{00000000-0005-0000-0000-000005500000}"/>
    <cellStyle name="Normal 133 2 5" xfId="13383" xr:uid="{00000000-0005-0000-0000-000006500000}"/>
    <cellStyle name="Normal 133 2 5 2" xfId="21415" xr:uid="{00000000-0005-0000-0000-000007500000}"/>
    <cellStyle name="Normal 133 2 6" xfId="13384" xr:uid="{00000000-0005-0000-0000-000008500000}"/>
    <cellStyle name="Normal 133 2 6 2" xfId="21416" xr:uid="{00000000-0005-0000-0000-000009500000}"/>
    <cellStyle name="Normal 133 2 7" xfId="21405" xr:uid="{00000000-0005-0000-0000-00000A500000}"/>
    <cellStyle name="Normal 133 3" xfId="13385" xr:uid="{00000000-0005-0000-0000-00000B500000}"/>
    <cellStyle name="Normal 133 3 2" xfId="13386" xr:uid="{00000000-0005-0000-0000-00000C500000}"/>
    <cellStyle name="Normal 133 3 2 2" xfId="21418" xr:uid="{00000000-0005-0000-0000-00000D500000}"/>
    <cellStyle name="Normal 133 3 3" xfId="13387" xr:uid="{00000000-0005-0000-0000-00000E500000}"/>
    <cellStyle name="Normal 133 3 3 2" xfId="21419" xr:uid="{00000000-0005-0000-0000-00000F500000}"/>
    <cellStyle name="Normal 133 3 4" xfId="21417" xr:uid="{00000000-0005-0000-0000-000010500000}"/>
    <cellStyle name="Normal 133 4" xfId="13388" xr:uid="{00000000-0005-0000-0000-000011500000}"/>
    <cellStyle name="Normal 133 4 2" xfId="13389" xr:uid="{00000000-0005-0000-0000-000012500000}"/>
    <cellStyle name="Normal 133 4 2 2" xfId="21421" xr:uid="{00000000-0005-0000-0000-000013500000}"/>
    <cellStyle name="Normal 133 4 3" xfId="13390" xr:uid="{00000000-0005-0000-0000-000014500000}"/>
    <cellStyle name="Normal 133 4 3 2" xfId="21422" xr:uid="{00000000-0005-0000-0000-000015500000}"/>
    <cellStyle name="Normal 133 4 4" xfId="21420" xr:uid="{00000000-0005-0000-0000-000016500000}"/>
    <cellStyle name="Normal 133 5" xfId="13391" xr:uid="{00000000-0005-0000-0000-000017500000}"/>
    <cellStyle name="Normal 133 5 2" xfId="13392" xr:uid="{00000000-0005-0000-0000-000018500000}"/>
    <cellStyle name="Normal 133 5 2 2" xfId="21424" xr:uid="{00000000-0005-0000-0000-000019500000}"/>
    <cellStyle name="Normal 133 5 3" xfId="13393" xr:uid="{00000000-0005-0000-0000-00001A500000}"/>
    <cellStyle name="Normal 133 5 3 2" xfId="21425" xr:uid="{00000000-0005-0000-0000-00001B500000}"/>
    <cellStyle name="Normal 133 5 4" xfId="21423" xr:uid="{00000000-0005-0000-0000-00001C500000}"/>
    <cellStyle name="Normal 133 6" xfId="13394" xr:uid="{00000000-0005-0000-0000-00001D500000}"/>
    <cellStyle name="Normal 133 6 2" xfId="21426" xr:uid="{00000000-0005-0000-0000-00001E500000}"/>
    <cellStyle name="Normal 133 7" xfId="13395" xr:uid="{00000000-0005-0000-0000-00001F500000}"/>
    <cellStyle name="Normal 133 7 2" xfId="21427" xr:uid="{00000000-0005-0000-0000-000020500000}"/>
    <cellStyle name="Normal 134" xfId="13396" xr:uid="{00000000-0005-0000-0000-000021500000}"/>
    <cellStyle name="Normal 134 2" xfId="13397" xr:uid="{00000000-0005-0000-0000-000022500000}"/>
    <cellStyle name="Normal 134 2 2" xfId="13398" xr:uid="{00000000-0005-0000-0000-000023500000}"/>
    <cellStyle name="Normal 134 2 2 2" xfId="13399" xr:uid="{00000000-0005-0000-0000-000024500000}"/>
    <cellStyle name="Normal 134 2 2 2 2" xfId="21430" xr:uid="{00000000-0005-0000-0000-000025500000}"/>
    <cellStyle name="Normal 134 2 2 3" xfId="13400" xr:uid="{00000000-0005-0000-0000-000026500000}"/>
    <cellStyle name="Normal 134 2 2 3 2" xfId="21431" xr:uid="{00000000-0005-0000-0000-000027500000}"/>
    <cellStyle name="Normal 134 2 2 4" xfId="21429" xr:uid="{00000000-0005-0000-0000-000028500000}"/>
    <cellStyle name="Normal 134 2 3" xfId="13401" xr:uid="{00000000-0005-0000-0000-000029500000}"/>
    <cellStyle name="Normal 134 2 3 2" xfId="13402" xr:uid="{00000000-0005-0000-0000-00002A500000}"/>
    <cellStyle name="Normal 134 2 3 2 2" xfId="21433" xr:uid="{00000000-0005-0000-0000-00002B500000}"/>
    <cellStyle name="Normal 134 2 3 3" xfId="13403" xr:uid="{00000000-0005-0000-0000-00002C500000}"/>
    <cellStyle name="Normal 134 2 3 3 2" xfId="21434" xr:uid="{00000000-0005-0000-0000-00002D500000}"/>
    <cellStyle name="Normal 134 2 3 4" xfId="21432" xr:uid="{00000000-0005-0000-0000-00002E500000}"/>
    <cellStyle name="Normal 134 2 4" xfId="13404" xr:uid="{00000000-0005-0000-0000-00002F500000}"/>
    <cellStyle name="Normal 134 2 4 2" xfId="13405" xr:uid="{00000000-0005-0000-0000-000030500000}"/>
    <cellStyle name="Normal 134 2 4 2 2" xfId="21436" xr:uid="{00000000-0005-0000-0000-000031500000}"/>
    <cellStyle name="Normal 134 2 4 3" xfId="13406" xr:uid="{00000000-0005-0000-0000-000032500000}"/>
    <cellStyle name="Normal 134 2 4 3 2" xfId="21437" xr:uid="{00000000-0005-0000-0000-000033500000}"/>
    <cellStyle name="Normal 134 2 4 4" xfId="21435" xr:uid="{00000000-0005-0000-0000-000034500000}"/>
    <cellStyle name="Normal 134 2 5" xfId="13407" xr:uid="{00000000-0005-0000-0000-000035500000}"/>
    <cellStyle name="Normal 134 2 5 2" xfId="21438" xr:uid="{00000000-0005-0000-0000-000036500000}"/>
    <cellStyle name="Normal 134 2 6" xfId="13408" xr:uid="{00000000-0005-0000-0000-000037500000}"/>
    <cellStyle name="Normal 134 2 6 2" xfId="21439" xr:uid="{00000000-0005-0000-0000-000038500000}"/>
    <cellStyle name="Normal 134 2 7" xfId="21428" xr:uid="{00000000-0005-0000-0000-000039500000}"/>
    <cellStyle name="Normal 134 3" xfId="13409" xr:uid="{00000000-0005-0000-0000-00003A500000}"/>
    <cellStyle name="Normal 134 3 2" xfId="13410" xr:uid="{00000000-0005-0000-0000-00003B500000}"/>
    <cellStyle name="Normal 134 3 2 2" xfId="21441" xr:uid="{00000000-0005-0000-0000-00003C500000}"/>
    <cellStyle name="Normal 134 3 3" xfId="13411" xr:uid="{00000000-0005-0000-0000-00003D500000}"/>
    <cellStyle name="Normal 134 3 3 2" xfId="21442" xr:uid="{00000000-0005-0000-0000-00003E500000}"/>
    <cellStyle name="Normal 134 3 4" xfId="21440" xr:uid="{00000000-0005-0000-0000-00003F500000}"/>
    <cellStyle name="Normal 134 4" xfId="13412" xr:uid="{00000000-0005-0000-0000-000040500000}"/>
    <cellStyle name="Normal 134 4 2" xfId="13413" xr:uid="{00000000-0005-0000-0000-000041500000}"/>
    <cellStyle name="Normal 134 4 2 2" xfId="21444" xr:uid="{00000000-0005-0000-0000-000042500000}"/>
    <cellStyle name="Normal 134 4 3" xfId="13414" xr:uid="{00000000-0005-0000-0000-000043500000}"/>
    <cellStyle name="Normal 134 4 3 2" xfId="21445" xr:uid="{00000000-0005-0000-0000-000044500000}"/>
    <cellStyle name="Normal 134 4 4" xfId="21443" xr:uid="{00000000-0005-0000-0000-000045500000}"/>
    <cellStyle name="Normal 134 5" xfId="13415" xr:uid="{00000000-0005-0000-0000-000046500000}"/>
    <cellStyle name="Normal 134 5 2" xfId="13416" xr:uid="{00000000-0005-0000-0000-000047500000}"/>
    <cellStyle name="Normal 134 5 2 2" xfId="21447" xr:uid="{00000000-0005-0000-0000-000048500000}"/>
    <cellStyle name="Normal 134 5 3" xfId="13417" xr:uid="{00000000-0005-0000-0000-000049500000}"/>
    <cellStyle name="Normal 134 5 3 2" xfId="21448" xr:uid="{00000000-0005-0000-0000-00004A500000}"/>
    <cellStyle name="Normal 134 5 4" xfId="21446" xr:uid="{00000000-0005-0000-0000-00004B500000}"/>
    <cellStyle name="Normal 134 6" xfId="13418" xr:uid="{00000000-0005-0000-0000-00004C500000}"/>
    <cellStyle name="Normal 134 6 2" xfId="21449" xr:uid="{00000000-0005-0000-0000-00004D500000}"/>
    <cellStyle name="Normal 134 7" xfId="13419" xr:uid="{00000000-0005-0000-0000-00004E500000}"/>
    <cellStyle name="Normal 134 7 2" xfId="21450" xr:uid="{00000000-0005-0000-0000-00004F500000}"/>
    <cellStyle name="Normal 135" xfId="13420" xr:uid="{00000000-0005-0000-0000-000050500000}"/>
    <cellStyle name="Normal 135 2" xfId="13421" xr:uid="{00000000-0005-0000-0000-000051500000}"/>
    <cellStyle name="Normal 135 2 2" xfId="13422" xr:uid="{00000000-0005-0000-0000-000052500000}"/>
    <cellStyle name="Normal 135 2 2 2" xfId="13423" xr:uid="{00000000-0005-0000-0000-000053500000}"/>
    <cellStyle name="Normal 135 2 2 2 2" xfId="21453" xr:uid="{00000000-0005-0000-0000-000054500000}"/>
    <cellStyle name="Normal 135 2 2 3" xfId="13424" xr:uid="{00000000-0005-0000-0000-000055500000}"/>
    <cellStyle name="Normal 135 2 2 3 2" xfId="21454" xr:uid="{00000000-0005-0000-0000-000056500000}"/>
    <cellStyle name="Normal 135 2 2 4" xfId="21452" xr:uid="{00000000-0005-0000-0000-000057500000}"/>
    <cellStyle name="Normal 135 2 3" xfId="13425" xr:uid="{00000000-0005-0000-0000-000058500000}"/>
    <cellStyle name="Normal 135 2 3 2" xfId="13426" xr:uid="{00000000-0005-0000-0000-000059500000}"/>
    <cellStyle name="Normal 135 2 3 2 2" xfId="21456" xr:uid="{00000000-0005-0000-0000-00005A500000}"/>
    <cellStyle name="Normal 135 2 3 3" xfId="13427" xr:uid="{00000000-0005-0000-0000-00005B500000}"/>
    <cellStyle name="Normal 135 2 3 3 2" xfId="21457" xr:uid="{00000000-0005-0000-0000-00005C500000}"/>
    <cellStyle name="Normal 135 2 3 4" xfId="21455" xr:uid="{00000000-0005-0000-0000-00005D500000}"/>
    <cellStyle name="Normal 135 2 4" xfId="13428" xr:uid="{00000000-0005-0000-0000-00005E500000}"/>
    <cellStyle name="Normal 135 2 4 2" xfId="13429" xr:uid="{00000000-0005-0000-0000-00005F500000}"/>
    <cellStyle name="Normal 135 2 4 2 2" xfId="21459" xr:uid="{00000000-0005-0000-0000-000060500000}"/>
    <cellStyle name="Normal 135 2 4 3" xfId="13430" xr:uid="{00000000-0005-0000-0000-000061500000}"/>
    <cellStyle name="Normal 135 2 4 3 2" xfId="21460" xr:uid="{00000000-0005-0000-0000-000062500000}"/>
    <cellStyle name="Normal 135 2 4 4" xfId="21458" xr:uid="{00000000-0005-0000-0000-000063500000}"/>
    <cellStyle name="Normal 135 2 5" xfId="13431" xr:uid="{00000000-0005-0000-0000-000064500000}"/>
    <cellStyle name="Normal 135 2 5 2" xfId="21461" xr:uid="{00000000-0005-0000-0000-000065500000}"/>
    <cellStyle name="Normal 135 2 6" xfId="13432" xr:uid="{00000000-0005-0000-0000-000066500000}"/>
    <cellStyle name="Normal 135 2 6 2" xfId="21462" xr:uid="{00000000-0005-0000-0000-000067500000}"/>
    <cellStyle name="Normal 135 2 7" xfId="21451" xr:uid="{00000000-0005-0000-0000-000068500000}"/>
    <cellStyle name="Normal 135 3" xfId="13433" xr:uid="{00000000-0005-0000-0000-000069500000}"/>
    <cellStyle name="Normal 135 3 2" xfId="13434" xr:uid="{00000000-0005-0000-0000-00006A500000}"/>
    <cellStyle name="Normal 135 3 2 2" xfId="21464" xr:uid="{00000000-0005-0000-0000-00006B500000}"/>
    <cellStyle name="Normal 135 3 3" xfId="13435" xr:uid="{00000000-0005-0000-0000-00006C500000}"/>
    <cellStyle name="Normal 135 3 3 2" xfId="21465" xr:uid="{00000000-0005-0000-0000-00006D500000}"/>
    <cellStyle name="Normal 135 3 4" xfId="21463" xr:uid="{00000000-0005-0000-0000-00006E500000}"/>
    <cellStyle name="Normal 135 4" xfId="13436" xr:uid="{00000000-0005-0000-0000-00006F500000}"/>
    <cellStyle name="Normal 135 4 2" xfId="13437" xr:uid="{00000000-0005-0000-0000-000070500000}"/>
    <cellStyle name="Normal 135 4 2 2" xfId="21467" xr:uid="{00000000-0005-0000-0000-000071500000}"/>
    <cellStyle name="Normal 135 4 3" xfId="13438" xr:uid="{00000000-0005-0000-0000-000072500000}"/>
    <cellStyle name="Normal 135 4 3 2" xfId="21468" xr:uid="{00000000-0005-0000-0000-000073500000}"/>
    <cellStyle name="Normal 135 4 4" xfId="21466" xr:uid="{00000000-0005-0000-0000-000074500000}"/>
    <cellStyle name="Normal 135 5" xfId="13439" xr:uid="{00000000-0005-0000-0000-000075500000}"/>
    <cellStyle name="Normal 135 5 2" xfId="13440" xr:uid="{00000000-0005-0000-0000-000076500000}"/>
    <cellStyle name="Normal 135 5 2 2" xfId="21470" xr:uid="{00000000-0005-0000-0000-000077500000}"/>
    <cellStyle name="Normal 135 5 3" xfId="13441" xr:uid="{00000000-0005-0000-0000-000078500000}"/>
    <cellStyle name="Normal 135 5 3 2" xfId="21471" xr:uid="{00000000-0005-0000-0000-000079500000}"/>
    <cellStyle name="Normal 135 5 4" xfId="21469" xr:uid="{00000000-0005-0000-0000-00007A500000}"/>
    <cellStyle name="Normal 135 6" xfId="13442" xr:uid="{00000000-0005-0000-0000-00007B500000}"/>
    <cellStyle name="Normal 135 6 2" xfId="21472" xr:uid="{00000000-0005-0000-0000-00007C500000}"/>
    <cellStyle name="Normal 135 7" xfId="13443" xr:uid="{00000000-0005-0000-0000-00007D500000}"/>
    <cellStyle name="Normal 135 7 2" xfId="21473" xr:uid="{00000000-0005-0000-0000-00007E500000}"/>
    <cellStyle name="Normal 136" xfId="13444" xr:uid="{00000000-0005-0000-0000-00007F500000}"/>
    <cellStyle name="Normal 136 2" xfId="13445" xr:uid="{00000000-0005-0000-0000-000080500000}"/>
    <cellStyle name="Normal 136 2 2" xfId="13446" xr:uid="{00000000-0005-0000-0000-000081500000}"/>
    <cellStyle name="Normal 136 2 2 2" xfId="13447" xr:uid="{00000000-0005-0000-0000-000082500000}"/>
    <cellStyle name="Normal 136 2 2 2 2" xfId="21476" xr:uid="{00000000-0005-0000-0000-000083500000}"/>
    <cellStyle name="Normal 136 2 2 3" xfId="13448" xr:uid="{00000000-0005-0000-0000-000084500000}"/>
    <cellStyle name="Normal 136 2 2 3 2" xfId="21477" xr:uid="{00000000-0005-0000-0000-000085500000}"/>
    <cellStyle name="Normal 136 2 2 4" xfId="21475" xr:uid="{00000000-0005-0000-0000-000086500000}"/>
    <cellStyle name="Normal 136 2 3" xfId="13449" xr:uid="{00000000-0005-0000-0000-000087500000}"/>
    <cellStyle name="Normal 136 2 3 2" xfId="13450" xr:uid="{00000000-0005-0000-0000-000088500000}"/>
    <cellStyle name="Normal 136 2 3 2 2" xfId="21479" xr:uid="{00000000-0005-0000-0000-000089500000}"/>
    <cellStyle name="Normal 136 2 3 3" xfId="13451" xr:uid="{00000000-0005-0000-0000-00008A500000}"/>
    <cellStyle name="Normal 136 2 3 3 2" xfId="21480" xr:uid="{00000000-0005-0000-0000-00008B500000}"/>
    <cellStyle name="Normal 136 2 3 4" xfId="21478" xr:uid="{00000000-0005-0000-0000-00008C500000}"/>
    <cellStyle name="Normal 136 2 4" xfId="13452" xr:uid="{00000000-0005-0000-0000-00008D500000}"/>
    <cellStyle name="Normal 136 2 4 2" xfId="13453" xr:uid="{00000000-0005-0000-0000-00008E500000}"/>
    <cellStyle name="Normal 136 2 4 2 2" xfId="21482" xr:uid="{00000000-0005-0000-0000-00008F500000}"/>
    <cellStyle name="Normal 136 2 4 3" xfId="13454" xr:uid="{00000000-0005-0000-0000-000090500000}"/>
    <cellStyle name="Normal 136 2 4 3 2" xfId="21483" xr:uid="{00000000-0005-0000-0000-000091500000}"/>
    <cellStyle name="Normal 136 2 4 4" xfId="21481" xr:uid="{00000000-0005-0000-0000-000092500000}"/>
    <cellStyle name="Normal 136 2 5" xfId="13455" xr:uid="{00000000-0005-0000-0000-000093500000}"/>
    <cellStyle name="Normal 136 2 5 2" xfId="21484" xr:uid="{00000000-0005-0000-0000-000094500000}"/>
    <cellStyle name="Normal 136 2 6" xfId="13456" xr:uid="{00000000-0005-0000-0000-000095500000}"/>
    <cellStyle name="Normal 136 2 6 2" xfId="21485" xr:uid="{00000000-0005-0000-0000-000096500000}"/>
    <cellStyle name="Normal 136 2 7" xfId="21474" xr:uid="{00000000-0005-0000-0000-000097500000}"/>
    <cellStyle name="Normal 136 3" xfId="13457" xr:uid="{00000000-0005-0000-0000-000098500000}"/>
    <cellStyle name="Normal 136 3 2" xfId="13458" xr:uid="{00000000-0005-0000-0000-000099500000}"/>
    <cellStyle name="Normal 136 3 2 2" xfId="21487" xr:uid="{00000000-0005-0000-0000-00009A500000}"/>
    <cellStyle name="Normal 136 3 3" xfId="13459" xr:uid="{00000000-0005-0000-0000-00009B500000}"/>
    <cellStyle name="Normal 136 3 3 2" xfId="21488" xr:uid="{00000000-0005-0000-0000-00009C500000}"/>
    <cellStyle name="Normal 136 3 4" xfId="21486" xr:uid="{00000000-0005-0000-0000-00009D500000}"/>
    <cellStyle name="Normal 136 4" xfId="13460" xr:uid="{00000000-0005-0000-0000-00009E500000}"/>
    <cellStyle name="Normal 136 4 2" xfId="13461" xr:uid="{00000000-0005-0000-0000-00009F500000}"/>
    <cellStyle name="Normal 136 4 2 2" xfId="21490" xr:uid="{00000000-0005-0000-0000-0000A0500000}"/>
    <cellStyle name="Normal 136 4 3" xfId="13462" xr:uid="{00000000-0005-0000-0000-0000A1500000}"/>
    <cellStyle name="Normal 136 4 3 2" xfId="21491" xr:uid="{00000000-0005-0000-0000-0000A2500000}"/>
    <cellStyle name="Normal 136 4 4" xfId="21489" xr:uid="{00000000-0005-0000-0000-0000A3500000}"/>
    <cellStyle name="Normal 136 5" xfId="13463" xr:uid="{00000000-0005-0000-0000-0000A4500000}"/>
    <cellStyle name="Normal 136 5 2" xfId="13464" xr:uid="{00000000-0005-0000-0000-0000A5500000}"/>
    <cellStyle name="Normal 136 5 2 2" xfId="21493" xr:uid="{00000000-0005-0000-0000-0000A6500000}"/>
    <cellStyle name="Normal 136 5 3" xfId="13465" xr:uid="{00000000-0005-0000-0000-0000A7500000}"/>
    <cellStyle name="Normal 136 5 3 2" xfId="21494" xr:uid="{00000000-0005-0000-0000-0000A8500000}"/>
    <cellStyle name="Normal 136 5 4" xfId="21492" xr:uid="{00000000-0005-0000-0000-0000A9500000}"/>
    <cellStyle name="Normal 136 6" xfId="13466" xr:uid="{00000000-0005-0000-0000-0000AA500000}"/>
    <cellStyle name="Normal 136 6 2" xfId="21495" xr:uid="{00000000-0005-0000-0000-0000AB500000}"/>
    <cellStyle name="Normal 136 7" xfId="13467" xr:uid="{00000000-0005-0000-0000-0000AC500000}"/>
    <cellStyle name="Normal 136 7 2" xfId="21496" xr:uid="{00000000-0005-0000-0000-0000AD500000}"/>
    <cellStyle name="Normal 137" xfId="13468" xr:uid="{00000000-0005-0000-0000-0000AE500000}"/>
    <cellStyle name="Normal 137 2" xfId="13469" xr:uid="{00000000-0005-0000-0000-0000AF500000}"/>
    <cellStyle name="Normal 137 2 2" xfId="13470" xr:uid="{00000000-0005-0000-0000-0000B0500000}"/>
    <cellStyle name="Normal 137 2 2 2" xfId="13471" xr:uid="{00000000-0005-0000-0000-0000B1500000}"/>
    <cellStyle name="Normal 137 2 2 2 2" xfId="21499" xr:uid="{00000000-0005-0000-0000-0000B2500000}"/>
    <cellStyle name="Normal 137 2 2 3" xfId="13472" xr:uid="{00000000-0005-0000-0000-0000B3500000}"/>
    <cellStyle name="Normal 137 2 2 3 2" xfId="21500" xr:uid="{00000000-0005-0000-0000-0000B4500000}"/>
    <cellStyle name="Normal 137 2 2 4" xfId="21498" xr:uid="{00000000-0005-0000-0000-0000B5500000}"/>
    <cellStyle name="Normal 137 2 3" xfId="13473" xr:uid="{00000000-0005-0000-0000-0000B6500000}"/>
    <cellStyle name="Normal 137 2 3 2" xfId="13474" xr:uid="{00000000-0005-0000-0000-0000B7500000}"/>
    <cellStyle name="Normal 137 2 3 2 2" xfId="21502" xr:uid="{00000000-0005-0000-0000-0000B8500000}"/>
    <cellStyle name="Normal 137 2 3 3" xfId="13475" xr:uid="{00000000-0005-0000-0000-0000B9500000}"/>
    <cellStyle name="Normal 137 2 3 3 2" xfId="21503" xr:uid="{00000000-0005-0000-0000-0000BA500000}"/>
    <cellStyle name="Normal 137 2 3 4" xfId="21501" xr:uid="{00000000-0005-0000-0000-0000BB500000}"/>
    <cellStyle name="Normal 137 2 4" xfId="13476" xr:uid="{00000000-0005-0000-0000-0000BC500000}"/>
    <cellStyle name="Normal 137 2 4 2" xfId="13477" xr:uid="{00000000-0005-0000-0000-0000BD500000}"/>
    <cellStyle name="Normal 137 2 4 2 2" xfId="21505" xr:uid="{00000000-0005-0000-0000-0000BE500000}"/>
    <cellStyle name="Normal 137 2 4 3" xfId="13478" xr:uid="{00000000-0005-0000-0000-0000BF500000}"/>
    <cellStyle name="Normal 137 2 4 3 2" xfId="21506" xr:uid="{00000000-0005-0000-0000-0000C0500000}"/>
    <cellStyle name="Normal 137 2 4 4" xfId="21504" xr:uid="{00000000-0005-0000-0000-0000C1500000}"/>
    <cellStyle name="Normal 137 2 5" xfId="13479" xr:uid="{00000000-0005-0000-0000-0000C2500000}"/>
    <cellStyle name="Normal 137 2 5 2" xfId="21507" xr:uid="{00000000-0005-0000-0000-0000C3500000}"/>
    <cellStyle name="Normal 137 2 6" xfId="13480" xr:uid="{00000000-0005-0000-0000-0000C4500000}"/>
    <cellStyle name="Normal 137 2 6 2" xfId="21508" xr:uid="{00000000-0005-0000-0000-0000C5500000}"/>
    <cellStyle name="Normal 137 2 7" xfId="21497" xr:uid="{00000000-0005-0000-0000-0000C6500000}"/>
    <cellStyle name="Normal 137 3" xfId="13481" xr:uid="{00000000-0005-0000-0000-0000C7500000}"/>
    <cellStyle name="Normal 137 3 2" xfId="13482" xr:uid="{00000000-0005-0000-0000-0000C8500000}"/>
    <cellStyle name="Normal 137 3 2 2" xfId="21510" xr:uid="{00000000-0005-0000-0000-0000C9500000}"/>
    <cellStyle name="Normal 137 3 3" xfId="13483" xr:uid="{00000000-0005-0000-0000-0000CA500000}"/>
    <cellStyle name="Normal 137 3 3 2" xfId="21511" xr:uid="{00000000-0005-0000-0000-0000CB500000}"/>
    <cellStyle name="Normal 137 3 4" xfId="21509" xr:uid="{00000000-0005-0000-0000-0000CC500000}"/>
    <cellStyle name="Normal 137 4" xfId="13484" xr:uid="{00000000-0005-0000-0000-0000CD500000}"/>
    <cellStyle name="Normal 137 4 2" xfId="13485" xr:uid="{00000000-0005-0000-0000-0000CE500000}"/>
    <cellStyle name="Normal 137 4 2 2" xfId="21513" xr:uid="{00000000-0005-0000-0000-0000CF500000}"/>
    <cellStyle name="Normal 137 4 3" xfId="13486" xr:uid="{00000000-0005-0000-0000-0000D0500000}"/>
    <cellStyle name="Normal 137 4 3 2" xfId="21514" xr:uid="{00000000-0005-0000-0000-0000D1500000}"/>
    <cellStyle name="Normal 137 4 4" xfId="21512" xr:uid="{00000000-0005-0000-0000-0000D2500000}"/>
    <cellStyle name="Normal 137 5" xfId="13487" xr:uid="{00000000-0005-0000-0000-0000D3500000}"/>
    <cellStyle name="Normal 137 5 2" xfId="13488" xr:uid="{00000000-0005-0000-0000-0000D4500000}"/>
    <cellStyle name="Normal 137 5 2 2" xfId="21516" xr:uid="{00000000-0005-0000-0000-0000D5500000}"/>
    <cellStyle name="Normal 137 5 3" xfId="13489" xr:uid="{00000000-0005-0000-0000-0000D6500000}"/>
    <cellStyle name="Normal 137 5 3 2" xfId="21517" xr:uid="{00000000-0005-0000-0000-0000D7500000}"/>
    <cellStyle name="Normal 137 5 4" xfId="21515" xr:uid="{00000000-0005-0000-0000-0000D8500000}"/>
    <cellStyle name="Normal 137 6" xfId="13490" xr:uid="{00000000-0005-0000-0000-0000D9500000}"/>
    <cellStyle name="Normal 137 6 2" xfId="21518" xr:uid="{00000000-0005-0000-0000-0000DA500000}"/>
    <cellStyle name="Normal 137 7" xfId="13491" xr:uid="{00000000-0005-0000-0000-0000DB500000}"/>
    <cellStyle name="Normal 137 7 2" xfId="21519" xr:uid="{00000000-0005-0000-0000-0000DC500000}"/>
    <cellStyle name="Normal 138" xfId="13492" xr:uid="{00000000-0005-0000-0000-0000DD500000}"/>
    <cellStyle name="Normal 138 2" xfId="13493" xr:uid="{00000000-0005-0000-0000-0000DE500000}"/>
    <cellStyle name="Normal 138 2 2" xfId="13494" xr:uid="{00000000-0005-0000-0000-0000DF500000}"/>
    <cellStyle name="Normal 138 2 2 2" xfId="13495" xr:uid="{00000000-0005-0000-0000-0000E0500000}"/>
    <cellStyle name="Normal 138 2 2 2 2" xfId="21522" xr:uid="{00000000-0005-0000-0000-0000E1500000}"/>
    <cellStyle name="Normal 138 2 2 3" xfId="13496" xr:uid="{00000000-0005-0000-0000-0000E2500000}"/>
    <cellStyle name="Normal 138 2 2 3 2" xfId="21523" xr:uid="{00000000-0005-0000-0000-0000E3500000}"/>
    <cellStyle name="Normal 138 2 2 4" xfId="21521" xr:uid="{00000000-0005-0000-0000-0000E4500000}"/>
    <cellStyle name="Normal 138 2 3" xfId="13497" xr:uid="{00000000-0005-0000-0000-0000E5500000}"/>
    <cellStyle name="Normal 138 2 3 2" xfId="13498" xr:uid="{00000000-0005-0000-0000-0000E6500000}"/>
    <cellStyle name="Normal 138 2 3 2 2" xfId="21525" xr:uid="{00000000-0005-0000-0000-0000E7500000}"/>
    <cellStyle name="Normal 138 2 3 3" xfId="13499" xr:uid="{00000000-0005-0000-0000-0000E8500000}"/>
    <cellStyle name="Normal 138 2 3 3 2" xfId="21526" xr:uid="{00000000-0005-0000-0000-0000E9500000}"/>
    <cellStyle name="Normal 138 2 3 4" xfId="21524" xr:uid="{00000000-0005-0000-0000-0000EA500000}"/>
    <cellStyle name="Normal 138 2 4" xfId="13500" xr:uid="{00000000-0005-0000-0000-0000EB500000}"/>
    <cellStyle name="Normal 138 2 4 2" xfId="13501" xr:uid="{00000000-0005-0000-0000-0000EC500000}"/>
    <cellStyle name="Normal 138 2 4 2 2" xfId="21528" xr:uid="{00000000-0005-0000-0000-0000ED500000}"/>
    <cellStyle name="Normal 138 2 4 3" xfId="13502" xr:uid="{00000000-0005-0000-0000-0000EE500000}"/>
    <cellStyle name="Normal 138 2 4 3 2" xfId="21529" xr:uid="{00000000-0005-0000-0000-0000EF500000}"/>
    <cellStyle name="Normal 138 2 4 4" xfId="21527" xr:uid="{00000000-0005-0000-0000-0000F0500000}"/>
    <cellStyle name="Normal 138 2 5" xfId="13503" xr:uid="{00000000-0005-0000-0000-0000F1500000}"/>
    <cellStyle name="Normal 138 2 5 2" xfId="21530" xr:uid="{00000000-0005-0000-0000-0000F2500000}"/>
    <cellStyle name="Normal 138 2 6" xfId="13504" xr:uid="{00000000-0005-0000-0000-0000F3500000}"/>
    <cellStyle name="Normal 138 2 6 2" xfId="21531" xr:uid="{00000000-0005-0000-0000-0000F4500000}"/>
    <cellStyle name="Normal 138 2 7" xfId="21520" xr:uid="{00000000-0005-0000-0000-0000F5500000}"/>
    <cellStyle name="Normal 138 3" xfId="13505" xr:uid="{00000000-0005-0000-0000-0000F6500000}"/>
    <cellStyle name="Normal 138 3 2" xfId="13506" xr:uid="{00000000-0005-0000-0000-0000F7500000}"/>
    <cellStyle name="Normal 138 3 2 2" xfId="21533" xr:uid="{00000000-0005-0000-0000-0000F8500000}"/>
    <cellStyle name="Normal 138 3 3" xfId="13507" xr:uid="{00000000-0005-0000-0000-0000F9500000}"/>
    <cellStyle name="Normal 138 3 3 2" xfId="21534" xr:uid="{00000000-0005-0000-0000-0000FA500000}"/>
    <cellStyle name="Normal 138 3 4" xfId="21532" xr:uid="{00000000-0005-0000-0000-0000FB500000}"/>
    <cellStyle name="Normal 138 4" xfId="13508" xr:uid="{00000000-0005-0000-0000-0000FC500000}"/>
    <cellStyle name="Normal 138 4 2" xfId="13509" xr:uid="{00000000-0005-0000-0000-0000FD500000}"/>
    <cellStyle name="Normal 138 4 2 2" xfId="21536" xr:uid="{00000000-0005-0000-0000-0000FE500000}"/>
    <cellStyle name="Normal 138 4 3" xfId="13510" xr:uid="{00000000-0005-0000-0000-0000FF500000}"/>
    <cellStyle name="Normal 138 4 3 2" xfId="21537" xr:uid="{00000000-0005-0000-0000-000000510000}"/>
    <cellStyle name="Normal 138 4 4" xfId="21535" xr:uid="{00000000-0005-0000-0000-000001510000}"/>
    <cellStyle name="Normal 138 5" xfId="13511" xr:uid="{00000000-0005-0000-0000-000002510000}"/>
    <cellStyle name="Normal 138 5 2" xfId="13512" xr:uid="{00000000-0005-0000-0000-000003510000}"/>
    <cellStyle name="Normal 138 5 2 2" xfId="21539" xr:uid="{00000000-0005-0000-0000-000004510000}"/>
    <cellStyle name="Normal 138 5 3" xfId="13513" xr:uid="{00000000-0005-0000-0000-000005510000}"/>
    <cellStyle name="Normal 138 5 3 2" xfId="21540" xr:uid="{00000000-0005-0000-0000-000006510000}"/>
    <cellStyle name="Normal 138 5 4" xfId="21538" xr:uid="{00000000-0005-0000-0000-000007510000}"/>
    <cellStyle name="Normal 138 6" xfId="13514" xr:uid="{00000000-0005-0000-0000-000008510000}"/>
    <cellStyle name="Normal 138 6 2" xfId="21541" xr:uid="{00000000-0005-0000-0000-000009510000}"/>
    <cellStyle name="Normal 138 7" xfId="13515" xr:uid="{00000000-0005-0000-0000-00000A510000}"/>
    <cellStyle name="Normal 138 7 2" xfId="21542" xr:uid="{00000000-0005-0000-0000-00000B510000}"/>
    <cellStyle name="Normal 139" xfId="13516" xr:uid="{00000000-0005-0000-0000-00000C510000}"/>
    <cellStyle name="Normal 139 2" xfId="13517" xr:uid="{00000000-0005-0000-0000-00000D510000}"/>
    <cellStyle name="Normal 139 2 2" xfId="13518" xr:uid="{00000000-0005-0000-0000-00000E510000}"/>
    <cellStyle name="Normal 139 2 2 2" xfId="13519" xr:uid="{00000000-0005-0000-0000-00000F510000}"/>
    <cellStyle name="Normal 139 2 2 2 2" xfId="21545" xr:uid="{00000000-0005-0000-0000-000010510000}"/>
    <cellStyle name="Normal 139 2 2 3" xfId="13520" xr:uid="{00000000-0005-0000-0000-000011510000}"/>
    <cellStyle name="Normal 139 2 2 3 2" xfId="21546" xr:uid="{00000000-0005-0000-0000-000012510000}"/>
    <cellStyle name="Normal 139 2 2 4" xfId="21544" xr:uid="{00000000-0005-0000-0000-000013510000}"/>
    <cellStyle name="Normal 139 2 3" xfId="13521" xr:uid="{00000000-0005-0000-0000-000014510000}"/>
    <cellStyle name="Normal 139 2 3 2" xfId="13522" xr:uid="{00000000-0005-0000-0000-000015510000}"/>
    <cellStyle name="Normal 139 2 3 2 2" xfId="21548" xr:uid="{00000000-0005-0000-0000-000016510000}"/>
    <cellStyle name="Normal 139 2 3 3" xfId="13523" xr:uid="{00000000-0005-0000-0000-000017510000}"/>
    <cellStyle name="Normal 139 2 3 3 2" xfId="21549" xr:uid="{00000000-0005-0000-0000-000018510000}"/>
    <cellStyle name="Normal 139 2 3 4" xfId="21547" xr:uid="{00000000-0005-0000-0000-000019510000}"/>
    <cellStyle name="Normal 139 2 4" xfId="13524" xr:uid="{00000000-0005-0000-0000-00001A510000}"/>
    <cellStyle name="Normal 139 2 4 2" xfId="13525" xr:uid="{00000000-0005-0000-0000-00001B510000}"/>
    <cellStyle name="Normal 139 2 4 2 2" xfId="21551" xr:uid="{00000000-0005-0000-0000-00001C510000}"/>
    <cellStyle name="Normal 139 2 4 3" xfId="13526" xr:uid="{00000000-0005-0000-0000-00001D510000}"/>
    <cellStyle name="Normal 139 2 4 3 2" xfId="21552" xr:uid="{00000000-0005-0000-0000-00001E510000}"/>
    <cellStyle name="Normal 139 2 4 4" xfId="21550" xr:uid="{00000000-0005-0000-0000-00001F510000}"/>
    <cellStyle name="Normal 139 2 5" xfId="13527" xr:uid="{00000000-0005-0000-0000-000020510000}"/>
    <cellStyle name="Normal 139 2 5 2" xfId="21553" xr:uid="{00000000-0005-0000-0000-000021510000}"/>
    <cellStyle name="Normal 139 2 6" xfId="13528" xr:uid="{00000000-0005-0000-0000-000022510000}"/>
    <cellStyle name="Normal 139 2 6 2" xfId="21554" xr:uid="{00000000-0005-0000-0000-000023510000}"/>
    <cellStyle name="Normal 139 2 7" xfId="21543" xr:uid="{00000000-0005-0000-0000-000024510000}"/>
    <cellStyle name="Normal 139 3" xfId="13529" xr:uid="{00000000-0005-0000-0000-000025510000}"/>
    <cellStyle name="Normal 139 3 2" xfId="13530" xr:uid="{00000000-0005-0000-0000-000026510000}"/>
    <cellStyle name="Normal 139 3 2 2" xfId="21556" xr:uid="{00000000-0005-0000-0000-000027510000}"/>
    <cellStyle name="Normal 139 3 3" xfId="13531" xr:uid="{00000000-0005-0000-0000-000028510000}"/>
    <cellStyle name="Normal 139 3 3 2" xfId="21557" xr:uid="{00000000-0005-0000-0000-000029510000}"/>
    <cellStyle name="Normal 139 3 4" xfId="21555" xr:uid="{00000000-0005-0000-0000-00002A510000}"/>
    <cellStyle name="Normal 139 4" xfId="13532" xr:uid="{00000000-0005-0000-0000-00002B510000}"/>
    <cellStyle name="Normal 139 4 2" xfId="13533" xr:uid="{00000000-0005-0000-0000-00002C510000}"/>
    <cellStyle name="Normal 139 4 2 2" xfId="21559" xr:uid="{00000000-0005-0000-0000-00002D510000}"/>
    <cellStyle name="Normal 139 4 3" xfId="13534" xr:uid="{00000000-0005-0000-0000-00002E510000}"/>
    <cellStyle name="Normal 139 4 3 2" xfId="21560" xr:uid="{00000000-0005-0000-0000-00002F510000}"/>
    <cellStyle name="Normal 139 4 4" xfId="21558" xr:uid="{00000000-0005-0000-0000-000030510000}"/>
    <cellStyle name="Normal 139 5" xfId="13535" xr:uid="{00000000-0005-0000-0000-000031510000}"/>
    <cellStyle name="Normal 139 5 2" xfId="13536" xr:uid="{00000000-0005-0000-0000-000032510000}"/>
    <cellStyle name="Normal 139 5 2 2" xfId="21562" xr:uid="{00000000-0005-0000-0000-000033510000}"/>
    <cellStyle name="Normal 139 5 3" xfId="13537" xr:uid="{00000000-0005-0000-0000-000034510000}"/>
    <cellStyle name="Normal 139 5 3 2" xfId="21563" xr:uid="{00000000-0005-0000-0000-000035510000}"/>
    <cellStyle name="Normal 139 5 4" xfId="21561" xr:uid="{00000000-0005-0000-0000-000036510000}"/>
    <cellStyle name="Normal 139 6" xfId="13538" xr:uid="{00000000-0005-0000-0000-000037510000}"/>
    <cellStyle name="Normal 139 6 2" xfId="21564" xr:uid="{00000000-0005-0000-0000-000038510000}"/>
    <cellStyle name="Normal 139 7" xfId="13539" xr:uid="{00000000-0005-0000-0000-000039510000}"/>
    <cellStyle name="Normal 139 7 2" xfId="21565" xr:uid="{00000000-0005-0000-0000-00003A510000}"/>
    <cellStyle name="Normal 14" xfId="357" xr:uid="{00000000-0005-0000-0000-00003B510000}"/>
    <cellStyle name="Normal 14 10" xfId="13540" xr:uid="{00000000-0005-0000-0000-00003C510000}"/>
    <cellStyle name="Normal 14 11" xfId="13541" xr:uid="{00000000-0005-0000-0000-00003D510000}"/>
    <cellStyle name="Normal 14 12" xfId="13542" xr:uid="{00000000-0005-0000-0000-00003E510000}"/>
    <cellStyle name="Normal 14 13" xfId="13543" xr:uid="{00000000-0005-0000-0000-00003F510000}"/>
    <cellStyle name="Normal 14 14" xfId="13544" xr:uid="{00000000-0005-0000-0000-000040510000}"/>
    <cellStyle name="Normal 14 15" xfId="13545" xr:uid="{00000000-0005-0000-0000-000041510000}"/>
    <cellStyle name="Normal 14 16" xfId="13546" xr:uid="{00000000-0005-0000-0000-000042510000}"/>
    <cellStyle name="Normal 14 17" xfId="13547" xr:uid="{00000000-0005-0000-0000-000043510000}"/>
    <cellStyle name="Normal 14 18" xfId="13548" xr:uid="{00000000-0005-0000-0000-000044510000}"/>
    <cellStyle name="Normal 14 19" xfId="13549" xr:uid="{00000000-0005-0000-0000-000045510000}"/>
    <cellStyle name="Normal 14 2" xfId="13550" xr:uid="{00000000-0005-0000-0000-000046510000}"/>
    <cellStyle name="Normal 14 2 2" xfId="21566" xr:uid="{00000000-0005-0000-0000-000047510000}"/>
    <cellStyle name="Normal 14 20" xfId="13551" xr:uid="{00000000-0005-0000-0000-000048510000}"/>
    <cellStyle name="Normal 14 21" xfId="13552" xr:uid="{00000000-0005-0000-0000-000049510000}"/>
    <cellStyle name="Normal 14 22" xfId="13553" xr:uid="{00000000-0005-0000-0000-00004A510000}"/>
    <cellStyle name="Normal 14 23" xfId="13554" xr:uid="{00000000-0005-0000-0000-00004B510000}"/>
    <cellStyle name="Normal 14 24" xfId="13555" xr:uid="{00000000-0005-0000-0000-00004C510000}"/>
    <cellStyle name="Normal 14 25" xfId="13556" xr:uid="{00000000-0005-0000-0000-00004D510000}"/>
    <cellStyle name="Normal 14 26" xfId="13557" xr:uid="{00000000-0005-0000-0000-00004E510000}"/>
    <cellStyle name="Normal 14 27" xfId="13558" xr:uid="{00000000-0005-0000-0000-00004F510000}"/>
    <cellStyle name="Normal 14 28" xfId="13559" xr:uid="{00000000-0005-0000-0000-000050510000}"/>
    <cellStyle name="Normal 14 29" xfId="13560" xr:uid="{00000000-0005-0000-0000-000051510000}"/>
    <cellStyle name="Normal 14 3" xfId="13561" xr:uid="{00000000-0005-0000-0000-000052510000}"/>
    <cellStyle name="Normal 14 30" xfId="13562" xr:uid="{00000000-0005-0000-0000-000053510000}"/>
    <cellStyle name="Normal 14 31" xfId="13563" xr:uid="{00000000-0005-0000-0000-000054510000}"/>
    <cellStyle name="Normal 14 32" xfId="13564" xr:uid="{00000000-0005-0000-0000-000055510000}"/>
    <cellStyle name="Normal 14 33" xfId="13565" xr:uid="{00000000-0005-0000-0000-000056510000}"/>
    <cellStyle name="Normal 14 34" xfId="13566" xr:uid="{00000000-0005-0000-0000-000057510000}"/>
    <cellStyle name="Normal 14 35" xfId="13567" xr:uid="{00000000-0005-0000-0000-000058510000}"/>
    <cellStyle name="Normal 14 36" xfId="13568" xr:uid="{00000000-0005-0000-0000-000059510000}"/>
    <cellStyle name="Normal 14 37" xfId="13569" xr:uid="{00000000-0005-0000-0000-00005A510000}"/>
    <cellStyle name="Normal 14 38" xfId="13570" xr:uid="{00000000-0005-0000-0000-00005B510000}"/>
    <cellStyle name="Normal 14 39" xfId="13571" xr:uid="{00000000-0005-0000-0000-00005C510000}"/>
    <cellStyle name="Normal 14 4" xfId="13572" xr:uid="{00000000-0005-0000-0000-00005D510000}"/>
    <cellStyle name="Normal 14 40" xfId="13573" xr:uid="{00000000-0005-0000-0000-00005E510000}"/>
    <cellStyle name="Normal 14 41" xfId="13574" xr:uid="{00000000-0005-0000-0000-00005F510000}"/>
    <cellStyle name="Normal 14 42" xfId="13575" xr:uid="{00000000-0005-0000-0000-000060510000}"/>
    <cellStyle name="Normal 14 43" xfId="13576" xr:uid="{00000000-0005-0000-0000-000061510000}"/>
    <cellStyle name="Normal 14 44" xfId="19413" xr:uid="{00000000-0005-0000-0000-000062510000}"/>
    <cellStyle name="Normal 14 45" xfId="22674" xr:uid="{00000000-0005-0000-0000-000063510000}"/>
    <cellStyle name="Normal 14 5" xfId="13577" xr:uid="{00000000-0005-0000-0000-000065510000}"/>
    <cellStyle name="Normal 14 6" xfId="13578" xr:uid="{00000000-0005-0000-0000-000066510000}"/>
    <cellStyle name="Normal 14 7" xfId="13579" xr:uid="{00000000-0005-0000-0000-000067510000}"/>
    <cellStyle name="Normal 14 8" xfId="13580" xr:uid="{00000000-0005-0000-0000-000068510000}"/>
    <cellStyle name="Normal 14 9" xfId="13581" xr:uid="{00000000-0005-0000-0000-000069510000}"/>
    <cellStyle name="Normal 14_Input" xfId="13582" xr:uid="{00000000-0005-0000-0000-00006A510000}"/>
    <cellStyle name="Normal 140" xfId="13583" xr:uid="{00000000-0005-0000-0000-00006B510000}"/>
    <cellStyle name="Normal 140 2" xfId="13584" xr:uid="{00000000-0005-0000-0000-00006C510000}"/>
    <cellStyle name="Normal 140 2 2" xfId="13585" xr:uid="{00000000-0005-0000-0000-00006D510000}"/>
    <cellStyle name="Normal 140 2 2 2" xfId="13586" xr:uid="{00000000-0005-0000-0000-00006E510000}"/>
    <cellStyle name="Normal 140 2 2 2 2" xfId="21569" xr:uid="{00000000-0005-0000-0000-00006F510000}"/>
    <cellStyle name="Normal 140 2 2 3" xfId="13587" xr:uid="{00000000-0005-0000-0000-000070510000}"/>
    <cellStyle name="Normal 140 2 2 3 2" xfId="21570" xr:uid="{00000000-0005-0000-0000-000071510000}"/>
    <cellStyle name="Normal 140 2 2 4" xfId="21568" xr:uid="{00000000-0005-0000-0000-000072510000}"/>
    <cellStyle name="Normal 140 2 3" xfId="13588" xr:uid="{00000000-0005-0000-0000-000073510000}"/>
    <cellStyle name="Normal 140 2 3 2" xfId="13589" xr:uid="{00000000-0005-0000-0000-000074510000}"/>
    <cellStyle name="Normal 140 2 3 2 2" xfId="21572" xr:uid="{00000000-0005-0000-0000-000075510000}"/>
    <cellStyle name="Normal 140 2 3 3" xfId="13590" xr:uid="{00000000-0005-0000-0000-000076510000}"/>
    <cellStyle name="Normal 140 2 3 3 2" xfId="21573" xr:uid="{00000000-0005-0000-0000-000077510000}"/>
    <cellStyle name="Normal 140 2 3 4" xfId="21571" xr:uid="{00000000-0005-0000-0000-000078510000}"/>
    <cellStyle name="Normal 140 2 4" xfId="13591" xr:uid="{00000000-0005-0000-0000-000079510000}"/>
    <cellStyle name="Normal 140 2 4 2" xfId="13592" xr:uid="{00000000-0005-0000-0000-00007A510000}"/>
    <cellStyle name="Normal 140 2 4 2 2" xfId="21575" xr:uid="{00000000-0005-0000-0000-00007B510000}"/>
    <cellStyle name="Normal 140 2 4 3" xfId="13593" xr:uid="{00000000-0005-0000-0000-00007C510000}"/>
    <cellStyle name="Normal 140 2 4 3 2" xfId="21576" xr:uid="{00000000-0005-0000-0000-00007D510000}"/>
    <cellStyle name="Normal 140 2 4 4" xfId="21574" xr:uid="{00000000-0005-0000-0000-00007E510000}"/>
    <cellStyle name="Normal 140 2 5" xfId="13594" xr:uid="{00000000-0005-0000-0000-00007F510000}"/>
    <cellStyle name="Normal 140 2 5 2" xfId="21577" xr:uid="{00000000-0005-0000-0000-000080510000}"/>
    <cellStyle name="Normal 140 2 6" xfId="13595" xr:uid="{00000000-0005-0000-0000-000081510000}"/>
    <cellStyle name="Normal 140 2 6 2" xfId="21578" xr:uid="{00000000-0005-0000-0000-000082510000}"/>
    <cellStyle name="Normal 140 2 7" xfId="21567" xr:uid="{00000000-0005-0000-0000-000083510000}"/>
    <cellStyle name="Normal 140 3" xfId="13596" xr:uid="{00000000-0005-0000-0000-000084510000}"/>
    <cellStyle name="Normal 140 3 2" xfId="13597" xr:uid="{00000000-0005-0000-0000-000085510000}"/>
    <cellStyle name="Normal 140 3 2 2" xfId="21580" xr:uid="{00000000-0005-0000-0000-000086510000}"/>
    <cellStyle name="Normal 140 3 3" xfId="13598" xr:uid="{00000000-0005-0000-0000-000087510000}"/>
    <cellStyle name="Normal 140 3 3 2" xfId="21581" xr:uid="{00000000-0005-0000-0000-000088510000}"/>
    <cellStyle name="Normal 140 3 4" xfId="21579" xr:uid="{00000000-0005-0000-0000-000089510000}"/>
    <cellStyle name="Normal 140 4" xfId="13599" xr:uid="{00000000-0005-0000-0000-00008A510000}"/>
    <cellStyle name="Normal 140 4 2" xfId="13600" xr:uid="{00000000-0005-0000-0000-00008B510000}"/>
    <cellStyle name="Normal 140 4 2 2" xfId="21583" xr:uid="{00000000-0005-0000-0000-00008C510000}"/>
    <cellStyle name="Normal 140 4 3" xfId="13601" xr:uid="{00000000-0005-0000-0000-00008D510000}"/>
    <cellStyle name="Normal 140 4 3 2" xfId="21584" xr:uid="{00000000-0005-0000-0000-00008E510000}"/>
    <cellStyle name="Normal 140 4 4" xfId="21582" xr:uid="{00000000-0005-0000-0000-00008F510000}"/>
    <cellStyle name="Normal 140 5" xfId="13602" xr:uid="{00000000-0005-0000-0000-000090510000}"/>
    <cellStyle name="Normal 140 5 2" xfId="13603" xr:uid="{00000000-0005-0000-0000-000091510000}"/>
    <cellStyle name="Normal 140 5 2 2" xfId="21586" xr:uid="{00000000-0005-0000-0000-000092510000}"/>
    <cellStyle name="Normal 140 5 3" xfId="13604" xr:uid="{00000000-0005-0000-0000-000093510000}"/>
    <cellStyle name="Normal 140 5 3 2" xfId="21587" xr:uid="{00000000-0005-0000-0000-000094510000}"/>
    <cellStyle name="Normal 140 5 4" xfId="21585" xr:uid="{00000000-0005-0000-0000-000095510000}"/>
    <cellStyle name="Normal 140 6" xfId="13605" xr:uid="{00000000-0005-0000-0000-000096510000}"/>
    <cellStyle name="Normal 140 6 2" xfId="21588" xr:uid="{00000000-0005-0000-0000-000097510000}"/>
    <cellStyle name="Normal 140 7" xfId="13606" xr:uid="{00000000-0005-0000-0000-000098510000}"/>
    <cellStyle name="Normal 140 7 2" xfId="21589" xr:uid="{00000000-0005-0000-0000-000099510000}"/>
    <cellStyle name="Normal 141" xfId="13607" xr:uid="{00000000-0005-0000-0000-00009A510000}"/>
    <cellStyle name="Normal 141 2" xfId="13608" xr:uid="{00000000-0005-0000-0000-00009B510000}"/>
    <cellStyle name="Normal 141 2 2" xfId="13609" xr:uid="{00000000-0005-0000-0000-00009C510000}"/>
    <cellStyle name="Normal 141 2 2 2" xfId="13610" xr:uid="{00000000-0005-0000-0000-00009D510000}"/>
    <cellStyle name="Normal 141 2 2 2 2" xfId="21592" xr:uid="{00000000-0005-0000-0000-00009E510000}"/>
    <cellStyle name="Normal 141 2 2 3" xfId="13611" xr:uid="{00000000-0005-0000-0000-00009F510000}"/>
    <cellStyle name="Normal 141 2 2 3 2" xfId="21593" xr:uid="{00000000-0005-0000-0000-0000A0510000}"/>
    <cellStyle name="Normal 141 2 2 4" xfId="21591" xr:uid="{00000000-0005-0000-0000-0000A1510000}"/>
    <cellStyle name="Normal 141 2 3" xfId="13612" xr:uid="{00000000-0005-0000-0000-0000A2510000}"/>
    <cellStyle name="Normal 141 2 3 2" xfId="13613" xr:uid="{00000000-0005-0000-0000-0000A3510000}"/>
    <cellStyle name="Normal 141 2 3 2 2" xfId="21595" xr:uid="{00000000-0005-0000-0000-0000A4510000}"/>
    <cellStyle name="Normal 141 2 3 3" xfId="13614" xr:uid="{00000000-0005-0000-0000-0000A5510000}"/>
    <cellStyle name="Normal 141 2 3 3 2" xfId="21596" xr:uid="{00000000-0005-0000-0000-0000A6510000}"/>
    <cellStyle name="Normal 141 2 3 4" xfId="21594" xr:uid="{00000000-0005-0000-0000-0000A7510000}"/>
    <cellStyle name="Normal 141 2 4" xfId="13615" xr:uid="{00000000-0005-0000-0000-0000A8510000}"/>
    <cellStyle name="Normal 141 2 4 2" xfId="13616" xr:uid="{00000000-0005-0000-0000-0000A9510000}"/>
    <cellStyle name="Normal 141 2 4 2 2" xfId="21598" xr:uid="{00000000-0005-0000-0000-0000AA510000}"/>
    <cellStyle name="Normal 141 2 4 3" xfId="13617" xr:uid="{00000000-0005-0000-0000-0000AB510000}"/>
    <cellStyle name="Normal 141 2 4 3 2" xfId="21599" xr:uid="{00000000-0005-0000-0000-0000AC510000}"/>
    <cellStyle name="Normal 141 2 4 4" xfId="21597" xr:uid="{00000000-0005-0000-0000-0000AD510000}"/>
    <cellStyle name="Normal 141 2 5" xfId="13618" xr:uid="{00000000-0005-0000-0000-0000AE510000}"/>
    <cellStyle name="Normal 141 2 5 2" xfId="21600" xr:uid="{00000000-0005-0000-0000-0000AF510000}"/>
    <cellStyle name="Normal 141 2 6" xfId="13619" xr:uid="{00000000-0005-0000-0000-0000B0510000}"/>
    <cellStyle name="Normal 141 2 6 2" xfId="21601" xr:uid="{00000000-0005-0000-0000-0000B1510000}"/>
    <cellStyle name="Normal 141 2 7" xfId="21590" xr:uid="{00000000-0005-0000-0000-0000B2510000}"/>
    <cellStyle name="Normal 141 3" xfId="13620" xr:uid="{00000000-0005-0000-0000-0000B3510000}"/>
    <cellStyle name="Normal 141 3 2" xfId="13621" xr:uid="{00000000-0005-0000-0000-0000B4510000}"/>
    <cellStyle name="Normal 141 3 2 2" xfId="21603" xr:uid="{00000000-0005-0000-0000-0000B5510000}"/>
    <cellStyle name="Normal 141 3 3" xfId="13622" xr:uid="{00000000-0005-0000-0000-0000B6510000}"/>
    <cellStyle name="Normal 141 3 3 2" xfId="21604" xr:uid="{00000000-0005-0000-0000-0000B7510000}"/>
    <cellStyle name="Normal 141 3 4" xfId="21602" xr:uid="{00000000-0005-0000-0000-0000B8510000}"/>
    <cellStyle name="Normal 141 4" xfId="13623" xr:uid="{00000000-0005-0000-0000-0000B9510000}"/>
    <cellStyle name="Normal 141 4 2" xfId="13624" xr:uid="{00000000-0005-0000-0000-0000BA510000}"/>
    <cellStyle name="Normal 141 4 2 2" xfId="21606" xr:uid="{00000000-0005-0000-0000-0000BB510000}"/>
    <cellStyle name="Normal 141 4 3" xfId="13625" xr:uid="{00000000-0005-0000-0000-0000BC510000}"/>
    <cellStyle name="Normal 141 4 3 2" xfId="21607" xr:uid="{00000000-0005-0000-0000-0000BD510000}"/>
    <cellStyle name="Normal 141 4 4" xfId="21605" xr:uid="{00000000-0005-0000-0000-0000BE510000}"/>
    <cellStyle name="Normal 141 5" xfId="13626" xr:uid="{00000000-0005-0000-0000-0000BF510000}"/>
    <cellStyle name="Normal 141 5 2" xfId="13627" xr:uid="{00000000-0005-0000-0000-0000C0510000}"/>
    <cellStyle name="Normal 141 5 2 2" xfId="21609" xr:uid="{00000000-0005-0000-0000-0000C1510000}"/>
    <cellStyle name="Normal 141 5 3" xfId="13628" xr:uid="{00000000-0005-0000-0000-0000C2510000}"/>
    <cellStyle name="Normal 141 5 3 2" xfId="21610" xr:uid="{00000000-0005-0000-0000-0000C3510000}"/>
    <cellStyle name="Normal 141 5 4" xfId="21608" xr:uid="{00000000-0005-0000-0000-0000C4510000}"/>
    <cellStyle name="Normal 141 6" xfId="13629" xr:uid="{00000000-0005-0000-0000-0000C5510000}"/>
    <cellStyle name="Normal 141 6 2" xfId="21611" xr:uid="{00000000-0005-0000-0000-0000C6510000}"/>
    <cellStyle name="Normal 141 7" xfId="13630" xr:uid="{00000000-0005-0000-0000-0000C7510000}"/>
    <cellStyle name="Normal 141 7 2" xfId="21612" xr:uid="{00000000-0005-0000-0000-0000C8510000}"/>
    <cellStyle name="Normal 142" xfId="13631" xr:uid="{00000000-0005-0000-0000-0000C9510000}"/>
    <cellStyle name="Normal 142 2" xfId="13632" xr:uid="{00000000-0005-0000-0000-0000CA510000}"/>
    <cellStyle name="Normal 142 2 2" xfId="13633" xr:uid="{00000000-0005-0000-0000-0000CB510000}"/>
    <cellStyle name="Normal 142 2 2 2" xfId="13634" xr:uid="{00000000-0005-0000-0000-0000CC510000}"/>
    <cellStyle name="Normal 142 2 2 2 2" xfId="21615" xr:uid="{00000000-0005-0000-0000-0000CD510000}"/>
    <cellStyle name="Normal 142 2 2 3" xfId="13635" xr:uid="{00000000-0005-0000-0000-0000CE510000}"/>
    <cellStyle name="Normal 142 2 2 3 2" xfId="21616" xr:uid="{00000000-0005-0000-0000-0000CF510000}"/>
    <cellStyle name="Normal 142 2 2 4" xfId="21614" xr:uid="{00000000-0005-0000-0000-0000D0510000}"/>
    <cellStyle name="Normal 142 2 3" xfId="13636" xr:uid="{00000000-0005-0000-0000-0000D1510000}"/>
    <cellStyle name="Normal 142 2 3 2" xfId="13637" xr:uid="{00000000-0005-0000-0000-0000D2510000}"/>
    <cellStyle name="Normal 142 2 3 2 2" xfId="21618" xr:uid="{00000000-0005-0000-0000-0000D3510000}"/>
    <cellStyle name="Normal 142 2 3 3" xfId="13638" xr:uid="{00000000-0005-0000-0000-0000D4510000}"/>
    <cellStyle name="Normal 142 2 3 3 2" xfId="21619" xr:uid="{00000000-0005-0000-0000-0000D5510000}"/>
    <cellStyle name="Normal 142 2 3 4" xfId="21617" xr:uid="{00000000-0005-0000-0000-0000D6510000}"/>
    <cellStyle name="Normal 142 2 4" xfId="13639" xr:uid="{00000000-0005-0000-0000-0000D7510000}"/>
    <cellStyle name="Normal 142 2 4 2" xfId="13640" xr:uid="{00000000-0005-0000-0000-0000D8510000}"/>
    <cellStyle name="Normal 142 2 4 2 2" xfId="21621" xr:uid="{00000000-0005-0000-0000-0000D9510000}"/>
    <cellStyle name="Normal 142 2 4 3" xfId="13641" xr:uid="{00000000-0005-0000-0000-0000DA510000}"/>
    <cellStyle name="Normal 142 2 4 3 2" xfId="21622" xr:uid="{00000000-0005-0000-0000-0000DB510000}"/>
    <cellStyle name="Normal 142 2 4 4" xfId="21620" xr:uid="{00000000-0005-0000-0000-0000DC510000}"/>
    <cellStyle name="Normal 142 2 5" xfId="13642" xr:uid="{00000000-0005-0000-0000-0000DD510000}"/>
    <cellStyle name="Normal 142 2 5 2" xfId="21623" xr:uid="{00000000-0005-0000-0000-0000DE510000}"/>
    <cellStyle name="Normal 142 2 6" xfId="13643" xr:uid="{00000000-0005-0000-0000-0000DF510000}"/>
    <cellStyle name="Normal 142 2 6 2" xfId="21624" xr:uid="{00000000-0005-0000-0000-0000E0510000}"/>
    <cellStyle name="Normal 142 2 7" xfId="21613" xr:uid="{00000000-0005-0000-0000-0000E1510000}"/>
    <cellStyle name="Normal 142 3" xfId="13644" xr:uid="{00000000-0005-0000-0000-0000E2510000}"/>
    <cellStyle name="Normal 142 3 2" xfId="13645" xr:uid="{00000000-0005-0000-0000-0000E3510000}"/>
    <cellStyle name="Normal 142 3 2 2" xfId="21626" xr:uid="{00000000-0005-0000-0000-0000E4510000}"/>
    <cellStyle name="Normal 142 3 3" xfId="13646" xr:uid="{00000000-0005-0000-0000-0000E5510000}"/>
    <cellStyle name="Normal 142 3 3 2" xfId="21627" xr:uid="{00000000-0005-0000-0000-0000E6510000}"/>
    <cellStyle name="Normal 142 3 4" xfId="21625" xr:uid="{00000000-0005-0000-0000-0000E7510000}"/>
    <cellStyle name="Normal 142 4" xfId="13647" xr:uid="{00000000-0005-0000-0000-0000E8510000}"/>
    <cellStyle name="Normal 142 4 2" xfId="13648" xr:uid="{00000000-0005-0000-0000-0000E9510000}"/>
    <cellStyle name="Normal 142 4 2 2" xfId="21629" xr:uid="{00000000-0005-0000-0000-0000EA510000}"/>
    <cellStyle name="Normal 142 4 3" xfId="13649" xr:uid="{00000000-0005-0000-0000-0000EB510000}"/>
    <cellStyle name="Normal 142 4 3 2" xfId="21630" xr:uid="{00000000-0005-0000-0000-0000EC510000}"/>
    <cellStyle name="Normal 142 4 4" xfId="21628" xr:uid="{00000000-0005-0000-0000-0000ED510000}"/>
    <cellStyle name="Normal 142 5" xfId="13650" xr:uid="{00000000-0005-0000-0000-0000EE510000}"/>
    <cellStyle name="Normal 142 5 2" xfId="13651" xr:uid="{00000000-0005-0000-0000-0000EF510000}"/>
    <cellStyle name="Normal 142 5 2 2" xfId="21632" xr:uid="{00000000-0005-0000-0000-0000F0510000}"/>
    <cellStyle name="Normal 142 5 3" xfId="13652" xr:uid="{00000000-0005-0000-0000-0000F1510000}"/>
    <cellStyle name="Normal 142 5 3 2" xfId="21633" xr:uid="{00000000-0005-0000-0000-0000F2510000}"/>
    <cellStyle name="Normal 142 5 4" xfId="21631" xr:uid="{00000000-0005-0000-0000-0000F3510000}"/>
    <cellStyle name="Normal 142 6" xfId="13653" xr:uid="{00000000-0005-0000-0000-0000F4510000}"/>
    <cellStyle name="Normal 142 6 2" xfId="21634" xr:uid="{00000000-0005-0000-0000-0000F5510000}"/>
    <cellStyle name="Normal 142 7" xfId="13654" xr:uid="{00000000-0005-0000-0000-0000F6510000}"/>
    <cellStyle name="Normal 142 7 2" xfId="21635" xr:uid="{00000000-0005-0000-0000-0000F7510000}"/>
    <cellStyle name="Normal 143" xfId="13655" xr:uid="{00000000-0005-0000-0000-0000F8510000}"/>
    <cellStyle name="Normal 143 2" xfId="13656" xr:uid="{00000000-0005-0000-0000-0000F9510000}"/>
    <cellStyle name="Normal 143 2 2" xfId="13657" xr:uid="{00000000-0005-0000-0000-0000FA510000}"/>
    <cellStyle name="Normal 143 2 2 2" xfId="13658" xr:uid="{00000000-0005-0000-0000-0000FB510000}"/>
    <cellStyle name="Normal 143 2 2 2 2" xfId="21638" xr:uid="{00000000-0005-0000-0000-0000FC510000}"/>
    <cellStyle name="Normal 143 2 2 3" xfId="13659" xr:uid="{00000000-0005-0000-0000-0000FD510000}"/>
    <cellStyle name="Normal 143 2 2 3 2" xfId="21639" xr:uid="{00000000-0005-0000-0000-0000FE510000}"/>
    <cellStyle name="Normal 143 2 2 4" xfId="21637" xr:uid="{00000000-0005-0000-0000-0000FF510000}"/>
    <cellStyle name="Normal 143 2 3" xfId="13660" xr:uid="{00000000-0005-0000-0000-000000520000}"/>
    <cellStyle name="Normal 143 2 3 2" xfId="13661" xr:uid="{00000000-0005-0000-0000-000001520000}"/>
    <cellStyle name="Normal 143 2 3 2 2" xfId="21641" xr:uid="{00000000-0005-0000-0000-000002520000}"/>
    <cellStyle name="Normal 143 2 3 3" xfId="13662" xr:uid="{00000000-0005-0000-0000-000003520000}"/>
    <cellStyle name="Normal 143 2 3 3 2" xfId="21642" xr:uid="{00000000-0005-0000-0000-000004520000}"/>
    <cellStyle name="Normal 143 2 3 4" xfId="21640" xr:uid="{00000000-0005-0000-0000-000005520000}"/>
    <cellStyle name="Normal 143 2 4" xfId="13663" xr:uid="{00000000-0005-0000-0000-000006520000}"/>
    <cellStyle name="Normal 143 2 4 2" xfId="13664" xr:uid="{00000000-0005-0000-0000-000007520000}"/>
    <cellStyle name="Normal 143 2 4 2 2" xfId="21644" xr:uid="{00000000-0005-0000-0000-000008520000}"/>
    <cellStyle name="Normal 143 2 4 3" xfId="13665" xr:uid="{00000000-0005-0000-0000-000009520000}"/>
    <cellStyle name="Normal 143 2 4 3 2" xfId="21645" xr:uid="{00000000-0005-0000-0000-00000A520000}"/>
    <cellStyle name="Normal 143 2 4 4" xfId="21643" xr:uid="{00000000-0005-0000-0000-00000B520000}"/>
    <cellStyle name="Normal 143 2 5" xfId="13666" xr:uid="{00000000-0005-0000-0000-00000C520000}"/>
    <cellStyle name="Normal 143 2 5 2" xfId="21646" xr:uid="{00000000-0005-0000-0000-00000D520000}"/>
    <cellStyle name="Normal 143 2 6" xfId="13667" xr:uid="{00000000-0005-0000-0000-00000E520000}"/>
    <cellStyle name="Normal 143 2 6 2" xfId="21647" xr:uid="{00000000-0005-0000-0000-00000F520000}"/>
    <cellStyle name="Normal 143 2 7" xfId="21636" xr:uid="{00000000-0005-0000-0000-000010520000}"/>
    <cellStyle name="Normal 143 3" xfId="13668" xr:uid="{00000000-0005-0000-0000-000011520000}"/>
    <cellStyle name="Normal 143 3 2" xfId="13669" xr:uid="{00000000-0005-0000-0000-000012520000}"/>
    <cellStyle name="Normal 143 3 2 2" xfId="21649" xr:uid="{00000000-0005-0000-0000-000013520000}"/>
    <cellStyle name="Normal 143 3 3" xfId="13670" xr:uid="{00000000-0005-0000-0000-000014520000}"/>
    <cellStyle name="Normal 143 3 3 2" xfId="21650" xr:uid="{00000000-0005-0000-0000-000015520000}"/>
    <cellStyle name="Normal 143 3 4" xfId="21648" xr:uid="{00000000-0005-0000-0000-000016520000}"/>
    <cellStyle name="Normal 143 4" xfId="13671" xr:uid="{00000000-0005-0000-0000-000017520000}"/>
    <cellStyle name="Normal 143 4 2" xfId="13672" xr:uid="{00000000-0005-0000-0000-000018520000}"/>
    <cellStyle name="Normal 143 4 2 2" xfId="21652" xr:uid="{00000000-0005-0000-0000-000019520000}"/>
    <cellStyle name="Normal 143 4 3" xfId="13673" xr:uid="{00000000-0005-0000-0000-00001A520000}"/>
    <cellStyle name="Normal 143 4 3 2" xfId="21653" xr:uid="{00000000-0005-0000-0000-00001B520000}"/>
    <cellStyle name="Normal 143 4 4" xfId="21651" xr:uid="{00000000-0005-0000-0000-00001C520000}"/>
    <cellStyle name="Normal 143 5" xfId="13674" xr:uid="{00000000-0005-0000-0000-00001D520000}"/>
    <cellStyle name="Normal 143 5 2" xfId="13675" xr:uid="{00000000-0005-0000-0000-00001E520000}"/>
    <cellStyle name="Normal 143 5 2 2" xfId="21655" xr:uid="{00000000-0005-0000-0000-00001F520000}"/>
    <cellStyle name="Normal 143 5 3" xfId="13676" xr:uid="{00000000-0005-0000-0000-000020520000}"/>
    <cellStyle name="Normal 143 5 3 2" xfId="21656" xr:uid="{00000000-0005-0000-0000-000021520000}"/>
    <cellStyle name="Normal 143 5 4" xfId="21654" xr:uid="{00000000-0005-0000-0000-000022520000}"/>
    <cellStyle name="Normal 143 6" xfId="13677" xr:uid="{00000000-0005-0000-0000-000023520000}"/>
    <cellStyle name="Normal 143 6 2" xfId="21657" xr:uid="{00000000-0005-0000-0000-000024520000}"/>
    <cellStyle name="Normal 143 7" xfId="13678" xr:uid="{00000000-0005-0000-0000-000025520000}"/>
    <cellStyle name="Normal 143 7 2" xfId="21658" xr:uid="{00000000-0005-0000-0000-000026520000}"/>
    <cellStyle name="Normal 144" xfId="13679" xr:uid="{00000000-0005-0000-0000-000027520000}"/>
    <cellStyle name="Normal 145" xfId="13680" xr:uid="{00000000-0005-0000-0000-000028520000}"/>
    <cellStyle name="Normal 145 2" xfId="13681" xr:uid="{00000000-0005-0000-0000-000029520000}"/>
    <cellStyle name="Normal 145 2 2" xfId="13682" xr:uid="{00000000-0005-0000-0000-00002A520000}"/>
    <cellStyle name="Normal 145 2 2 2" xfId="13683" xr:uid="{00000000-0005-0000-0000-00002B520000}"/>
    <cellStyle name="Normal 145 2 2 2 2" xfId="21660" xr:uid="{00000000-0005-0000-0000-00002C520000}"/>
    <cellStyle name="Normal 145 2 2 3" xfId="21659" xr:uid="{00000000-0005-0000-0000-00002D520000}"/>
    <cellStyle name="Normal 145 2 3" xfId="13684" xr:uid="{00000000-0005-0000-0000-00002E520000}"/>
    <cellStyle name="Normal 145 2 3 2" xfId="13685" xr:uid="{00000000-0005-0000-0000-00002F520000}"/>
    <cellStyle name="Normal 145 2 3 2 2" xfId="13686" xr:uid="{00000000-0005-0000-0000-000030520000}"/>
    <cellStyle name="Normal 145 2 4" xfId="13687" xr:uid="{00000000-0005-0000-0000-000031520000}"/>
    <cellStyle name="Normal 145 3" xfId="13688" xr:uid="{00000000-0005-0000-0000-000032520000}"/>
    <cellStyle name="Normal 145 4" xfId="13689" xr:uid="{00000000-0005-0000-0000-000033520000}"/>
    <cellStyle name="Normal 145 4 2" xfId="13690" xr:uid="{00000000-0005-0000-0000-000034520000}"/>
    <cellStyle name="Normal 145 5" xfId="13691" xr:uid="{00000000-0005-0000-0000-000035520000}"/>
    <cellStyle name="Normal 145 5 2" xfId="13692" xr:uid="{00000000-0005-0000-0000-000036520000}"/>
    <cellStyle name="Normal 145 5 2 2" xfId="13693" xr:uid="{00000000-0005-0000-0000-000037520000}"/>
    <cellStyle name="Normal 145 6" xfId="13694" xr:uid="{00000000-0005-0000-0000-000038520000}"/>
    <cellStyle name="Normal 145 7" xfId="13695" xr:uid="{00000000-0005-0000-0000-000039520000}"/>
    <cellStyle name="Normal 145 8" xfId="13696" xr:uid="{00000000-0005-0000-0000-00003A520000}"/>
    <cellStyle name="Normal 146" xfId="13697" xr:uid="{00000000-0005-0000-0000-00003B520000}"/>
    <cellStyle name="Normal 146 2" xfId="13698" xr:uid="{00000000-0005-0000-0000-00003C520000}"/>
    <cellStyle name="Normal 146 3" xfId="13699" xr:uid="{00000000-0005-0000-0000-00003D520000}"/>
    <cellStyle name="Normal 146 4" xfId="13700" xr:uid="{00000000-0005-0000-0000-00003E520000}"/>
    <cellStyle name="Normal 146 5" xfId="13701" xr:uid="{00000000-0005-0000-0000-00003F520000}"/>
    <cellStyle name="Normal 147" xfId="13702" xr:uid="{00000000-0005-0000-0000-000040520000}"/>
    <cellStyle name="Normal 147 2" xfId="13703" xr:uid="{00000000-0005-0000-0000-000041520000}"/>
    <cellStyle name="Normal 147 2 2" xfId="13704" xr:uid="{00000000-0005-0000-0000-000042520000}"/>
    <cellStyle name="Normal 147 2 3" xfId="13705" xr:uid="{00000000-0005-0000-0000-000043520000}"/>
    <cellStyle name="Normal 147 2 4" xfId="13706" xr:uid="{00000000-0005-0000-0000-000044520000}"/>
    <cellStyle name="Normal 147 3" xfId="13707" xr:uid="{00000000-0005-0000-0000-000045520000}"/>
    <cellStyle name="Normal 147 4" xfId="13708" xr:uid="{00000000-0005-0000-0000-000046520000}"/>
    <cellStyle name="Normal 147 4 2" xfId="13709" xr:uid="{00000000-0005-0000-0000-000047520000}"/>
    <cellStyle name="Normal 147 5" xfId="13710" xr:uid="{00000000-0005-0000-0000-000048520000}"/>
    <cellStyle name="Normal 147 6" xfId="13711" xr:uid="{00000000-0005-0000-0000-000049520000}"/>
    <cellStyle name="Normal 148" xfId="13712" xr:uid="{00000000-0005-0000-0000-00004A520000}"/>
    <cellStyle name="Normal 148 2" xfId="13713" xr:uid="{00000000-0005-0000-0000-00004B520000}"/>
    <cellStyle name="Normal 149" xfId="13714" xr:uid="{00000000-0005-0000-0000-00004C520000}"/>
    <cellStyle name="Normal 149 2" xfId="13715" xr:uid="{00000000-0005-0000-0000-00004D520000}"/>
    <cellStyle name="Normal 149 2 2" xfId="13716" xr:uid="{00000000-0005-0000-0000-00004E520000}"/>
    <cellStyle name="Normal 149 2 3" xfId="13717" xr:uid="{00000000-0005-0000-0000-00004F520000}"/>
    <cellStyle name="Normal 149 3" xfId="13718" xr:uid="{00000000-0005-0000-0000-000050520000}"/>
    <cellStyle name="Normal 15" xfId="358" xr:uid="{00000000-0005-0000-0000-000051520000}"/>
    <cellStyle name="Normal 15 10" xfId="13719" xr:uid="{00000000-0005-0000-0000-000052520000}"/>
    <cellStyle name="Normal 15 11" xfId="13720" xr:uid="{00000000-0005-0000-0000-000053520000}"/>
    <cellStyle name="Normal 15 12" xfId="13721" xr:uid="{00000000-0005-0000-0000-000054520000}"/>
    <cellStyle name="Normal 15 13" xfId="13722" xr:uid="{00000000-0005-0000-0000-000055520000}"/>
    <cellStyle name="Normal 15 14" xfId="13723" xr:uid="{00000000-0005-0000-0000-000056520000}"/>
    <cellStyle name="Normal 15 15" xfId="13724" xr:uid="{00000000-0005-0000-0000-000057520000}"/>
    <cellStyle name="Normal 15 16" xfId="13725" xr:uid="{00000000-0005-0000-0000-000058520000}"/>
    <cellStyle name="Normal 15 17" xfId="13726" xr:uid="{00000000-0005-0000-0000-000059520000}"/>
    <cellStyle name="Normal 15 18" xfId="13727" xr:uid="{00000000-0005-0000-0000-00005A520000}"/>
    <cellStyle name="Normal 15 19" xfId="13728" xr:uid="{00000000-0005-0000-0000-00005B520000}"/>
    <cellStyle name="Normal 15 2" xfId="13729" xr:uid="{00000000-0005-0000-0000-00005C520000}"/>
    <cellStyle name="Normal 15 20" xfId="13730" xr:uid="{00000000-0005-0000-0000-00005D520000}"/>
    <cellStyle name="Normal 15 21" xfId="13731" xr:uid="{00000000-0005-0000-0000-00005E520000}"/>
    <cellStyle name="Normal 15 22" xfId="13732" xr:uid="{00000000-0005-0000-0000-00005F520000}"/>
    <cellStyle name="Normal 15 23" xfId="13733" xr:uid="{00000000-0005-0000-0000-000060520000}"/>
    <cellStyle name="Normal 15 24" xfId="13734" xr:uid="{00000000-0005-0000-0000-000061520000}"/>
    <cellStyle name="Normal 15 25" xfId="13735" xr:uid="{00000000-0005-0000-0000-000062520000}"/>
    <cellStyle name="Normal 15 26" xfId="13736" xr:uid="{00000000-0005-0000-0000-000063520000}"/>
    <cellStyle name="Normal 15 27" xfId="13737" xr:uid="{00000000-0005-0000-0000-000064520000}"/>
    <cellStyle name="Normal 15 28" xfId="13738" xr:uid="{00000000-0005-0000-0000-000065520000}"/>
    <cellStyle name="Normal 15 29" xfId="13739" xr:uid="{00000000-0005-0000-0000-000066520000}"/>
    <cellStyle name="Normal 15 3" xfId="13740" xr:uid="{00000000-0005-0000-0000-000067520000}"/>
    <cellStyle name="Normal 15 30" xfId="13741" xr:uid="{00000000-0005-0000-0000-000068520000}"/>
    <cellStyle name="Normal 15 31" xfId="13742" xr:uid="{00000000-0005-0000-0000-000069520000}"/>
    <cellStyle name="Normal 15 32" xfId="13743" xr:uid="{00000000-0005-0000-0000-00006A520000}"/>
    <cellStyle name="Normal 15 33" xfId="13744" xr:uid="{00000000-0005-0000-0000-00006B520000}"/>
    <cellStyle name="Normal 15 34" xfId="13745" xr:uid="{00000000-0005-0000-0000-00006C520000}"/>
    <cellStyle name="Normal 15 35" xfId="13746" xr:uid="{00000000-0005-0000-0000-00006D520000}"/>
    <cellStyle name="Normal 15 36" xfId="13747" xr:uid="{00000000-0005-0000-0000-00006E520000}"/>
    <cellStyle name="Normal 15 37" xfId="13748" xr:uid="{00000000-0005-0000-0000-00006F520000}"/>
    <cellStyle name="Normal 15 38" xfId="13749" xr:uid="{00000000-0005-0000-0000-000070520000}"/>
    <cellStyle name="Normal 15 39" xfId="13750" xr:uid="{00000000-0005-0000-0000-000071520000}"/>
    <cellStyle name="Normal 15 4" xfId="13751" xr:uid="{00000000-0005-0000-0000-000072520000}"/>
    <cellStyle name="Normal 15 5" xfId="13752" xr:uid="{00000000-0005-0000-0000-000073520000}"/>
    <cellStyle name="Normal 15 6" xfId="13753" xr:uid="{00000000-0005-0000-0000-000074520000}"/>
    <cellStyle name="Normal 15 7" xfId="13754" xr:uid="{00000000-0005-0000-0000-000075520000}"/>
    <cellStyle name="Normal 15 8" xfId="13755" xr:uid="{00000000-0005-0000-0000-000076520000}"/>
    <cellStyle name="Normal 15 9" xfId="13756" xr:uid="{00000000-0005-0000-0000-000077520000}"/>
    <cellStyle name="Normal 15_DATA Input" xfId="13757" xr:uid="{00000000-0005-0000-0000-000078520000}"/>
    <cellStyle name="Normal 150" xfId="13758" xr:uid="{00000000-0005-0000-0000-000079520000}"/>
    <cellStyle name="Normal 150 2" xfId="13759" xr:uid="{00000000-0005-0000-0000-00007A520000}"/>
    <cellStyle name="Normal 151" xfId="13760" xr:uid="{00000000-0005-0000-0000-00007B520000}"/>
    <cellStyle name="Normal 152" xfId="13761" xr:uid="{00000000-0005-0000-0000-00007C520000}"/>
    <cellStyle name="Normal 152 2" xfId="13762" xr:uid="{00000000-0005-0000-0000-00007D520000}"/>
    <cellStyle name="Normal 153" xfId="13763" xr:uid="{00000000-0005-0000-0000-00007E520000}"/>
    <cellStyle name="Normal 154" xfId="13764" xr:uid="{00000000-0005-0000-0000-00007F520000}"/>
    <cellStyle name="Normal 154 2" xfId="13765" xr:uid="{00000000-0005-0000-0000-000080520000}"/>
    <cellStyle name="Normal 155" xfId="13766" xr:uid="{00000000-0005-0000-0000-000081520000}"/>
    <cellStyle name="Normal 155 2" xfId="13767" xr:uid="{00000000-0005-0000-0000-000082520000}"/>
    <cellStyle name="Normal 155 2 2" xfId="13768" xr:uid="{00000000-0005-0000-0000-000083520000}"/>
    <cellStyle name="Normal 155 3" xfId="13769" xr:uid="{00000000-0005-0000-0000-000084520000}"/>
    <cellStyle name="Normal 155 3 2" xfId="13770" xr:uid="{00000000-0005-0000-0000-000085520000}"/>
    <cellStyle name="Normal 155 4" xfId="13771" xr:uid="{00000000-0005-0000-0000-000086520000}"/>
    <cellStyle name="Normal 155 4 2" xfId="13772" xr:uid="{00000000-0005-0000-0000-000087520000}"/>
    <cellStyle name="Normal 156" xfId="13773" xr:uid="{00000000-0005-0000-0000-000088520000}"/>
    <cellStyle name="Normal 156 2" xfId="13774" xr:uid="{00000000-0005-0000-0000-000089520000}"/>
    <cellStyle name="Normal 156 3" xfId="13775" xr:uid="{00000000-0005-0000-0000-00008A520000}"/>
    <cellStyle name="Normal 157" xfId="13776" xr:uid="{00000000-0005-0000-0000-00008B520000}"/>
    <cellStyle name="Normal 158" xfId="13777" xr:uid="{00000000-0005-0000-0000-00008C520000}"/>
    <cellStyle name="Normal 158 2" xfId="13778" xr:uid="{00000000-0005-0000-0000-00008D520000}"/>
    <cellStyle name="Normal 158 2 2" xfId="13779" xr:uid="{00000000-0005-0000-0000-00008E520000}"/>
    <cellStyle name="Normal 158 2 3" xfId="13780" xr:uid="{00000000-0005-0000-0000-00008F520000}"/>
    <cellStyle name="Normal 158 3" xfId="13781" xr:uid="{00000000-0005-0000-0000-000090520000}"/>
    <cellStyle name="Normal 158 4" xfId="13782" xr:uid="{00000000-0005-0000-0000-000091520000}"/>
    <cellStyle name="Normal 159" xfId="13783" xr:uid="{00000000-0005-0000-0000-000092520000}"/>
    <cellStyle name="Normal 159 2" xfId="13784" xr:uid="{00000000-0005-0000-0000-000093520000}"/>
    <cellStyle name="Normal 16" xfId="359" xr:uid="{00000000-0005-0000-0000-000094520000}"/>
    <cellStyle name="Normal 16 10" xfId="13785" xr:uid="{00000000-0005-0000-0000-000095520000}"/>
    <cellStyle name="Normal 16 11" xfId="13786" xr:uid="{00000000-0005-0000-0000-000096520000}"/>
    <cellStyle name="Normal 16 12" xfId="13787" xr:uid="{00000000-0005-0000-0000-000097520000}"/>
    <cellStyle name="Normal 16 13" xfId="13788" xr:uid="{00000000-0005-0000-0000-000098520000}"/>
    <cellStyle name="Normal 16 14" xfId="13789" xr:uid="{00000000-0005-0000-0000-000099520000}"/>
    <cellStyle name="Normal 16 15" xfId="13790" xr:uid="{00000000-0005-0000-0000-00009A520000}"/>
    <cellStyle name="Normal 16 16" xfId="13791" xr:uid="{00000000-0005-0000-0000-00009B520000}"/>
    <cellStyle name="Normal 16 17" xfId="13792" xr:uid="{00000000-0005-0000-0000-00009C520000}"/>
    <cellStyle name="Normal 16 18" xfId="13793" xr:uid="{00000000-0005-0000-0000-00009D520000}"/>
    <cellStyle name="Normal 16 19" xfId="13794" xr:uid="{00000000-0005-0000-0000-00009E520000}"/>
    <cellStyle name="Normal 16 2" xfId="13795" xr:uid="{00000000-0005-0000-0000-00009F520000}"/>
    <cellStyle name="Normal 16 2 2" xfId="13796" xr:uid="{00000000-0005-0000-0000-0000A0520000}"/>
    <cellStyle name="Normal 16 2 3" xfId="13797" xr:uid="{00000000-0005-0000-0000-0000A1520000}"/>
    <cellStyle name="Normal 16 20" xfId="13798" xr:uid="{00000000-0005-0000-0000-0000A2520000}"/>
    <cellStyle name="Normal 16 21" xfId="13799" xr:uid="{00000000-0005-0000-0000-0000A3520000}"/>
    <cellStyle name="Normal 16 22" xfId="13800" xr:uid="{00000000-0005-0000-0000-0000A4520000}"/>
    <cellStyle name="Normal 16 23" xfId="13801" xr:uid="{00000000-0005-0000-0000-0000A5520000}"/>
    <cellStyle name="Normal 16 24" xfId="13802" xr:uid="{00000000-0005-0000-0000-0000A6520000}"/>
    <cellStyle name="Normal 16 25" xfId="13803" xr:uid="{00000000-0005-0000-0000-0000A7520000}"/>
    <cellStyle name="Normal 16 26" xfId="13804" xr:uid="{00000000-0005-0000-0000-0000A8520000}"/>
    <cellStyle name="Normal 16 27" xfId="13805" xr:uid="{00000000-0005-0000-0000-0000A9520000}"/>
    <cellStyle name="Normal 16 28" xfId="13806" xr:uid="{00000000-0005-0000-0000-0000AA520000}"/>
    <cellStyle name="Normal 16 29" xfId="13807" xr:uid="{00000000-0005-0000-0000-0000AB520000}"/>
    <cellStyle name="Normal 16 3" xfId="13808" xr:uid="{00000000-0005-0000-0000-0000AC520000}"/>
    <cellStyle name="Normal 16 3 2" xfId="13809" xr:uid="{00000000-0005-0000-0000-0000AD520000}"/>
    <cellStyle name="Normal 16 3 3" xfId="13810" xr:uid="{00000000-0005-0000-0000-0000AE520000}"/>
    <cellStyle name="Normal 16 30" xfId="13811" xr:uid="{00000000-0005-0000-0000-0000AF520000}"/>
    <cellStyle name="Normal 16 31" xfId="13812" xr:uid="{00000000-0005-0000-0000-0000B0520000}"/>
    <cellStyle name="Normal 16 32" xfId="13813" xr:uid="{00000000-0005-0000-0000-0000B1520000}"/>
    <cellStyle name="Normal 16 33" xfId="13814" xr:uid="{00000000-0005-0000-0000-0000B2520000}"/>
    <cellStyle name="Normal 16 34" xfId="13815" xr:uid="{00000000-0005-0000-0000-0000B3520000}"/>
    <cellStyle name="Normal 16 35" xfId="13816" xr:uid="{00000000-0005-0000-0000-0000B4520000}"/>
    <cellStyle name="Normal 16 36" xfId="13817" xr:uid="{00000000-0005-0000-0000-0000B5520000}"/>
    <cellStyle name="Normal 16 37" xfId="13818" xr:uid="{00000000-0005-0000-0000-0000B6520000}"/>
    <cellStyle name="Normal 16 38" xfId="13819" xr:uid="{00000000-0005-0000-0000-0000B7520000}"/>
    <cellStyle name="Normal 16 39" xfId="13820" xr:uid="{00000000-0005-0000-0000-0000B8520000}"/>
    <cellStyle name="Normal 16 4" xfId="13821" xr:uid="{00000000-0005-0000-0000-0000B9520000}"/>
    <cellStyle name="Normal 16 40" xfId="13822" xr:uid="{00000000-0005-0000-0000-0000BA520000}"/>
    <cellStyle name="Normal 16 41" xfId="13823" xr:uid="{00000000-0005-0000-0000-0000BB520000}"/>
    <cellStyle name="Normal 16 42" xfId="22806" xr:uid="{00000000-0005-0000-0000-0000BC520000}"/>
    <cellStyle name="Normal 16 5" xfId="13824" xr:uid="{00000000-0005-0000-0000-0000BD520000}"/>
    <cellStyle name="Normal 16 6" xfId="13825" xr:uid="{00000000-0005-0000-0000-0000BE520000}"/>
    <cellStyle name="Normal 16 7" xfId="13826" xr:uid="{00000000-0005-0000-0000-0000BF520000}"/>
    <cellStyle name="Normal 16 8" xfId="13827" xr:uid="{00000000-0005-0000-0000-0000C0520000}"/>
    <cellStyle name="Normal 16 9" xfId="13828" xr:uid="{00000000-0005-0000-0000-0000C1520000}"/>
    <cellStyle name="Normal 16_unitized -M-1" xfId="13829" xr:uid="{00000000-0005-0000-0000-0000C2520000}"/>
    <cellStyle name="Normal 160" xfId="13830" xr:uid="{00000000-0005-0000-0000-0000C3520000}"/>
    <cellStyle name="Normal 161" xfId="13831" xr:uid="{00000000-0005-0000-0000-0000C4520000}"/>
    <cellStyle name="Normal 162" xfId="13832" xr:uid="{00000000-0005-0000-0000-0000C5520000}"/>
    <cellStyle name="Normal 162 2" xfId="13833" xr:uid="{00000000-0005-0000-0000-0000C6520000}"/>
    <cellStyle name="Normal 163" xfId="13834" xr:uid="{00000000-0005-0000-0000-0000C7520000}"/>
    <cellStyle name="Normal 163 2" xfId="13835" xr:uid="{00000000-0005-0000-0000-0000C8520000}"/>
    <cellStyle name="Normal 163 2 2" xfId="13836" xr:uid="{00000000-0005-0000-0000-0000C9520000}"/>
    <cellStyle name="Normal 163 2 2 2" xfId="13837" xr:uid="{00000000-0005-0000-0000-0000CA520000}"/>
    <cellStyle name="Normal 163 2 3" xfId="13838" xr:uid="{00000000-0005-0000-0000-0000CB520000}"/>
    <cellStyle name="Normal 164" xfId="13839" xr:uid="{00000000-0005-0000-0000-0000CC520000}"/>
    <cellStyle name="Normal 165" xfId="13840" xr:uid="{00000000-0005-0000-0000-0000CD520000}"/>
    <cellStyle name="Normal 166" xfId="13841" xr:uid="{00000000-0005-0000-0000-0000CE520000}"/>
    <cellStyle name="Normal 166 2" xfId="13842" xr:uid="{00000000-0005-0000-0000-0000CF520000}"/>
    <cellStyle name="Normal 167" xfId="13843" xr:uid="{00000000-0005-0000-0000-0000D0520000}"/>
    <cellStyle name="Normal 167 2" xfId="13844" xr:uid="{00000000-0005-0000-0000-0000D1520000}"/>
    <cellStyle name="Normal 167 2 2" xfId="13845" xr:uid="{00000000-0005-0000-0000-0000D2520000}"/>
    <cellStyle name="Normal 167 2 3" xfId="13846" xr:uid="{00000000-0005-0000-0000-0000D3520000}"/>
    <cellStyle name="Normal 167 2 3 2" xfId="13847" xr:uid="{00000000-0005-0000-0000-0000D4520000}"/>
    <cellStyle name="Normal 167 3" xfId="13848" xr:uid="{00000000-0005-0000-0000-0000D5520000}"/>
    <cellStyle name="Normal 167 4" xfId="13849" xr:uid="{00000000-0005-0000-0000-0000D6520000}"/>
    <cellStyle name="Normal 17" xfId="360" xr:uid="{00000000-0005-0000-0000-0000D7520000}"/>
    <cellStyle name="Normal 17 10" xfId="13850" xr:uid="{00000000-0005-0000-0000-0000D8520000}"/>
    <cellStyle name="Normal 17 11" xfId="13851" xr:uid="{00000000-0005-0000-0000-0000D9520000}"/>
    <cellStyle name="Normal 17 12" xfId="13852" xr:uid="{00000000-0005-0000-0000-0000DA520000}"/>
    <cellStyle name="Normal 17 13" xfId="13853" xr:uid="{00000000-0005-0000-0000-0000DB520000}"/>
    <cellStyle name="Normal 17 14" xfId="13854" xr:uid="{00000000-0005-0000-0000-0000DC520000}"/>
    <cellStyle name="Normal 17 15" xfId="13855" xr:uid="{00000000-0005-0000-0000-0000DD520000}"/>
    <cellStyle name="Normal 17 16" xfId="13856" xr:uid="{00000000-0005-0000-0000-0000DE520000}"/>
    <cellStyle name="Normal 17 17" xfId="13857" xr:uid="{00000000-0005-0000-0000-0000DF520000}"/>
    <cellStyle name="Normal 17 18" xfId="13858" xr:uid="{00000000-0005-0000-0000-0000E0520000}"/>
    <cellStyle name="Normal 17 19" xfId="22675" xr:uid="{00000000-0005-0000-0000-0000E1520000}"/>
    <cellStyle name="Normal 17 19 2" xfId="22684" xr:uid="{00000000-0005-0000-0000-0000E2520000}"/>
    <cellStyle name="Normal 17 19 2 2" xfId="22785" xr:uid="{00000000-0005-0000-0000-0000E3520000}"/>
    <cellStyle name="Normal 17 19 3" xfId="22807" xr:uid="{00000000-0005-0000-0000-0000E4520000}"/>
    <cellStyle name="Normal 17 2" xfId="13859" xr:uid="{00000000-0005-0000-0000-0000E5520000}"/>
    <cellStyle name="Normal 17 2 2" xfId="13860" xr:uid="{00000000-0005-0000-0000-0000E6520000}"/>
    <cellStyle name="Normal 17 2 2 2" xfId="13861" xr:uid="{00000000-0005-0000-0000-0000E7520000}"/>
    <cellStyle name="Normal 17 2 2 3" xfId="13862" xr:uid="{00000000-0005-0000-0000-0000E8520000}"/>
    <cellStyle name="Normal 17 2 2 4" xfId="21661" xr:uid="{00000000-0005-0000-0000-0000E9520000}"/>
    <cellStyle name="Normal 17 2 2_DATA Input" xfId="13863" xr:uid="{00000000-0005-0000-0000-0000EA520000}"/>
    <cellStyle name="Normal 17 2 3" xfId="13864" xr:uid="{00000000-0005-0000-0000-0000EB520000}"/>
    <cellStyle name="Normal 17 2 3 2" xfId="21662" xr:uid="{00000000-0005-0000-0000-0000EC520000}"/>
    <cellStyle name="Normal 17 20" xfId="27919" xr:uid="{81E5701C-1530-4804-B341-82E9489542D8}"/>
    <cellStyle name="Normal 17 21" xfId="27930" xr:uid="{B0D110DD-9DC6-496B-ABB0-D5631654A0B9}"/>
    <cellStyle name="Normal 17 3" xfId="13865" xr:uid="{00000000-0005-0000-0000-0000ED520000}"/>
    <cellStyle name="Normal 17 4" xfId="13866" xr:uid="{00000000-0005-0000-0000-0000EE520000}"/>
    <cellStyle name="Normal 17 5" xfId="13867" xr:uid="{00000000-0005-0000-0000-0000EF520000}"/>
    <cellStyle name="Normal 17 6" xfId="13868" xr:uid="{00000000-0005-0000-0000-0000F0520000}"/>
    <cellStyle name="Normal 17 7" xfId="13869" xr:uid="{00000000-0005-0000-0000-0000F1520000}"/>
    <cellStyle name="Normal 17 8" xfId="13870" xr:uid="{00000000-0005-0000-0000-0000F2520000}"/>
    <cellStyle name="Normal 17 9" xfId="13871" xr:uid="{00000000-0005-0000-0000-0000F3520000}"/>
    <cellStyle name="Normal 18" xfId="361" xr:uid="{00000000-0005-0000-0000-0000F4520000}"/>
    <cellStyle name="Normal 18 10" xfId="13872" xr:uid="{00000000-0005-0000-0000-0000F5520000}"/>
    <cellStyle name="Normal 18 11" xfId="13873" xr:uid="{00000000-0005-0000-0000-0000F6520000}"/>
    <cellStyle name="Normal 18 12" xfId="13874" xr:uid="{00000000-0005-0000-0000-0000F7520000}"/>
    <cellStyle name="Normal 18 13" xfId="13875" xr:uid="{00000000-0005-0000-0000-0000F8520000}"/>
    <cellStyle name="Normal 18 14" xfId="13876" xr:uid="{00000000-0005-0000-0000-0000F9520000}"/>
    <cellStyle name="Normal 18 15" xfId="13877" xr:uid="{00000000-0005-0000-0000-0000FA520000}"/>
    <cellStyle name="Normal 18 16" xfId="13878" xr:uid="{00000000-0005-0000-0000-0000FB520000}"/>
    <cellStyle name="Normal 18 17" xfId="22689" xr:uid="{00000000-0005-0000-0000-0000FC520000}"/>
    <cellStyle name="Normal 18 17 2" xfId="22805" xr:uid="{00000000-0005-0000-0000-0000FD520000}"/>
    <cellStyle name="Normal 18 2" xfId="13879" xr:uid="{00000000-0005-0000-0000-0000FE520000}"/>
    <cellStyle name="Normal 18 2 2" xfId="13880" xr:uid="{00000000-0005-0000-0000-0000FF520000}"/>
    <cellStyle name="Normal 18 2 2 2" xfId="13881" xr:uid="{00000000-0005-0000-0000-000000530000}"/>
    <cellStyle name="Normal 18 2 2 3" xfId="13882" xr:uid="{00000000-0005-0000-0000-000001530000}"/>
    <cellStyle name="Normal 18 2 2 4" xfId="21663" xr:uid="{00000000-0005-0000-0000-000002530000}"/>
    <cellStyle name="Normal 18 2 2_DATA Input" xfId="13883" xr:uid="{00000000-0005-0000-0000-000003530000}"/>
    <cellStyle name="Normal 18 2 3" xfId="13884" xr:uid="{00000000-0005-0000-0000-000004530000}"/>
    <cellStyle name="Normal 18 2 3 2" xfId="21664" xr:uid="{00000000-0005-0000-0000-000005530000}"/>
    <cellStyle name="Normal 18 3" xfId="13885" xr:uid="{00000000-0005-0000-0000-000006530000}"/>
    <cellStyle name="Normal 18 4" xfId="13886" xr:uid="{00000000-0005-0000-0000-000007530000}"/>
    <cellStyle name="Normal 18 5" xfId="13887" xr:uid="{00000000-0005-0000-0000-000008530000}"/>
    <cellStyle name="Normal 18 6" xfId="13888" xr:uid="{00000000-0005-0000-0000-000009530000}"/>
    <cellStyle name="Normal 18 7" xfId="13889" xr:uid="{00000000-0005-0000-0000-00000A530000}"/>
    <cellStyle name="Normal 18 8" xfId="13890" xr:uid="{00000000-0005-0000-0000-00000B530000}"/>
    <cellStyle name="Normal 18 9" xfId="13891" xr:uid="{00000000-0005-0000-0000-00000C530000}"/>
    <cellStyle name="Normal 19" xfId="362" xr:uid="{00000000-0005-0000-0000-00000D530000}"/>
    <cellStyle name="Normal 19 2" xfId="13892" xr:uid="{00000000-0005-0000-0000-00000E530000}"/>
    <cellStyle name="Normal 19 3" xfId="13893" xr:uid="{00000000-0005-0000-0000-00000F530000}"/>
    <cellStyle name="Normal 19 4" xfId="13894" xr:uid="{00000000-0005-0000-0000-000010530000}"/>
    <cellStyle name="Normal 19 5" xfId="13895" xr:uid="{00000000-0005-0000-0000-000011530000}"/>
    <cellStyle name="Normal 19 6" xfId="13896" xr:uid="{00000000-0005-0000-0000-000012530000}"/>
    <cellStyle name="Normal 19 7" xfId="13897" xr:uid="{00000000-0005-0000-0000-000013530000}"/>
    <cellStyle name="Normal 19_DATA Input" xfId="13898" xr:uid="{00000000-0005-0000-0000-000014530000}"/>
    <cellStyle name="Normal 2" xfId="1" xr:uid="{00000000-0005-0000-0000-000015530000}"/>
    <cellStyle name="Normal 2 10" xfId="13899" xr:uid="{00000000-0005-0000-0000-000016530000}"/>
    <cellStyle name="Normal 2 10 10" xfId="13900" xr:uid="{00000000-0005-0000-0000-000017530000}"/>
    <cellStyle name="Normal 2 10 10 2" xfId="13901" xr:uid="{00000000-0005-0000-0000-000018530000}"/>
    <cellStyle name="Normal 2 10 11" xfId="13902" xr:uid="{00000000-0005-0000-0000-000019530000}"/>
    <cellStyle name="Normal 2 10 12" xfId="13903" xr:uid="{00000000-0005-0000-0000-00001A530000}"/>
    <cellStyle name="Normal 2 10 13" xfId="13904" xr:uid="{00000000-0005-0000-0000-00001B530000}"/>
    <cellStyle name="Normal 2 10 14" xfId="13905" xr:uid="{00000000-0005-0000-0000-00001C530000}"/>
    <cellStyle name="Normal 2 10 15" xfId="13906" xr:uid="{00000000-0005-0000-0000-00001D530000}"/>
    <cellStyle name="Normal 2 10 16" xfId="13907" xr:uid="{00000000-0005-0000-0000-00001E530000}"/>
    <cellStyle name="Normal 2 10 17" xfId="13908" xr:uid="{00000000-0005-0000-0000-00001F530000}"/>
    <cellStyle name="Normal 2 10 18" xfId="13909" xr:uid="{00000000-0005-0000-0000-000020530000}"/>
    <cellStyle name="Normal 2 10 19" xfId="13910" xr:uid="{00000000-0005-0000-0000-000021530000}"/>
    <cellStyle name="Normal 2 10 2" xfId="13911" xr:uid="{00000000-0005-0000-0000-000022530000}"/>
    <cellStyle name="Normal 2 10 2 2" xfId="13912" xr:uid="{00000000-0005-0000-0000-000023530000}"/>
    <cellStyle name="Normal 2 10 2 2 2" xfId="13913" xr:uid="{00000000-0005-0000-0000-000024530000}"/>
    <cellStyle name="Normal 2 10 2 2 3" xfId="13914" xr:uid="{00000000-0005-0000-0000-000025530000}"/>
    <cellStyle name="Normal 2 10 2 2_DATA Input" xfId="13915" xr:uid="{00000000-0005-0000-0000-000026530000}"/>
    <cellStyle name="Normal 2 10 2 3" xfId="13916" xr:uid="{00000000-0005-0000-0000-000027530000}"/>
    <cellStyle name="Normal 2 10 2_DATA Input" xfId="13917" xr:uid="{00000000-0005-0000-0000-000028530000}"/>
    <cellStyle name="Normal 2 10 20" xfId="13918" xr:uid="{00000000-0005-0000-0000-000029530000}"/>
    <cellStyle name="Normal 2 10 21" xfId="13919" xr:uid="{00000000-0005-0000-0000-00002A530000}"/>
    <cellStyle name="Normal 2 10 22" xfId="13920" xr:uid="{00000000-0005-0000-0000-00002B530000}"/>
    <cellStyle name="Normal 2 10 23" xfId="13921" xr:uid="{00000000-0005-0000-0000-00002C530000}"/>
    <cellStyle name="Normal 2 10 24" xfId="13922" xr:uid="{00000000-0005-0000-0000-00002D530000}"/>
    <cellStyle name="Normal 2 10 25" xfId="13923" xr:uid="{00000000-0005-0000-0000-00002E530000}"/>
    <cellStyle name="Normal 2 10 26" xfId="13924" xr:uid="{00000000-0005-0000-0000-00002F530000}"/>
    <cellStyle name="Normal 2 10 27" xfId="13925" xr:uid="{00000000-0005-0000-0000-000030530000}"/>
    <cellStyle name="Normal 2 10 28" xfId="13926" xr:uid="{00000000-0005-0000-0000-000031530000}"/>
    <cellStyle name="Normal 2 10 29" xfId="13927" xr:uid="{00000000-0005-0000-0000-000032530000}"/>
    <cellStyle name="Normal 2 10 3" xfId="13928" xr:uid="{00000000-0005-0000-0000-000033530000}"/>
    <cellStyle name="Normal 2 10 30" xfId="13929" xr:uid="{00000000-0005-0000-0000-000034530000}"/>
    <cellStyle name="Normal 2 10 31" xfId="13930" xr:uid="{00000000-0005-0000-0000-000035530000}"/>
    <cellStyle name="Normal 2 10 32" xfId="13931" xr:uid="{00000000-0005-0000-0000-000036530000}"/>
    <cellStyle name="Normal 2 10 33" xfId="13932" xr:uid="{00000000-0005-0000-0000-000037530000}"/>
    <cellStyle name="Normal 2 10 34" xfId="13933" xr:uid="{00000000-0005-0000-0000-000038530000}"/>
    <cellStyle name="Normal 2 10 35" xfId="13934" xr:uid="{00000000-0005-0000-0000-000039530000}"/>
    <cellStyle name="Normal 2 10 36" xfId="13935" xr:uid="{00000000-0005-0000-0000-00003A530000}"/>
    <cellStyle name="Normal 2 10 37" xfId="13936" xr:uid="{00000000-0005-0000-0000-00003B530000}"/>
    <cellStyle name="Normal 2 10 38" xfId="13937" xr:uid="{00000000-0005-0000-0000-00003C530000}"/>
    <cellStyle name="Normal 2 10 39" xfId="13938" xr:uid="{00000000-0005-0000-0000-00003D530000}"/>
    <cellStyle name="Normal 2 10 4" xfId="13939" xr:uid="{00000000-0005-0000-0000-00003E530000}"/>
    <cellStyle name="Normal 2 10 40" xfId="13940" xr:uid="{00000000-0005-0000-0000-00003F530000}"/>
    <cellStyle name="Normal 2 10 41" xfId="13941" xr:uid="{00000000-0005-0000-0000-000040530000}"/>
    <cellStyle name="Normal 2 10 42" xfId="13942" xr:uid="{00000000-0005-0000-0000-000041530000}"/>
    <cellStyle name="Normal 2 10 5" xfId="13943" xr:uid="{00000000-0005-0000-0000-000042530000}"/>
    <cellStyle name="Normal 2 10 6" xfId="13944" xr:uid="{00000000-0005-0000-0000-000043530000}"/>
    <cellStyle name="Normal 2 10 7" xfId="13945" xr:uid="{00000000-0005-0000-0000-000044530000}"/>
    <cellStyle name="Normal 2 10 8" xfId="13946" xr:uid="{00000000-0005-0000-0000-000045530000}"/>
    <cellStyle name="Normal 2 10 9" xfId="13947" xr:uid="{00000000-0005-0000-0000-000046530000}"/>
    <cellStyle name="Normal 2 10_Input" xfId="13948" xr:uid="{00000000-0005-0000-0000-000047530000}"/>
    <cellStyle name="Normal 2 11" xfId="13949" xr:uid="{00000000-0005-0000-0000-000048530000}"/>
    <cellStyle name="Normal 2 11 10" xfId="13950" xr:uid="{00000000-0005-0000-0000-000049530000}"/>
    <cellStyle name="Normal 2 11 11" xfId="13951" xr:uid="{00000000-0005-0000-0000-00004A530000}"/>
    <cellStyle name="Normal 2 11 12" xfId="13952" xr:uid="{00000000-0005-0000-0000-00004B530000}"/>
    <cellStyle name="Normal 2 11 13" xfId="13953" xr:uid="{00000000-0005-0000-0000-00004C530000}"/>
    <cellStyle name="Normal 2 11 14" xfId="13954" xr:uid="{00000000-0005-0000-0000-00004D530000}"/>
    <cellStyle name="Normal 2 11 15" xfId="13955" xr:uid="{00000000-0005-0000-0000-00004E530000}"/>
    <cellStyle name="Normal 2 11 16" xfId="13956" xr:uid="{00000000-0005-0000-0000-00004F530000}"/>
    <cellStyle name="Normal 2 11 17" xfId="13957" xr:uid="{00000000-0005-0000-0000-000050530000}"/>
    <cellStyle name="Normal 2 11 18" xfId="13958" xr:uid="{00000000-0005-0000-0000-000051530000}"/>
    <cellStyle name="Normal 2 11 19" xfId="13959" xr:uid="{00000000-0005-0000-0000-000052530000}"/>
    <cellStyle name="Normal 2 11 2" xfId="13960" xr:uid="{00000000-0005-0000-0000-000053530000}"/>
    <cellStyle name="Normal 2 11 2 2" xfId="13961" xr:uid="{00000000-0005-0000-0000-000054530000}"/>
    <cellStyle name="Normal 2 11 2 2 2" xfId="13962" xr:uid="{00000000-0005-0000-0000-000055530000}"/>
    <cellStyle name="Normal 2 11 2 2 3" xfId="13963" xr:uid="{00000000-0005-0000-0000-000056530000}"/>
    <cellStyle name="Normal 2 11 2 2_DATA Input" xfId="13964" xr:uid="{00000000-0005-0000-0000-000057530000}"/>
    <cellStyle name="Normal 2 11 2 3" xfId="13965" xr:uid="{00000000-0005-0000-0000-000058530000}"/>
    <cellStyle name="Normal 2 11 2_DATA Input" xfId="13966" xr:uid="{00000000-0005-0000-0000-000059530000}"/>
    <cellStyle name="Normal 2 11 20" xfId="13967" xr:uid="{00000000-0005-0000-0000-00005A530000}"/>
    <cellStyle name="Normal 2 11 21" xfId="13968" xr:uid="{00000000-0005-0000-0000-00005B530000}"/>
    <cellStyle name="Normal 2 11 22" xfId="13969" xr:uid="{00000000-0005-0000-0000-00005C530000}"/>
    <cellStyle name="Normal 2 11 23" xfId="13970" xr:uid="{00000000-0005-0000-0000-00005D530000}"/>
    <cellStyle name="Normal 2 11 24" xfId="13971" xr:uid="{00000000-0005-0000-0000-00005E530000}"/>
    <cellStyle name="Normal 2 11 25" xfId="13972" xr:uid="{00000000-0005-0000-0000-00005F530000}"/>
    <cellStyle name="Normal 2 11 26" xfId="13973" xr:uid="{00000000-0005-0000-0000-000060530000}"/>
    <cellStyle name="Normal 2 11 27" xfId="13974" xr:uid="{00000000-0005-0000-0000-000061530000}"/>
    <cellStyle name="Normal 2 11 28" xfId="13975" xr:uid="{00000000-0005-0000-0000-000062530000}"/>
    <cellStyle name="Normal 2 11 29" xfId="13976" xr:uid="{00000000-0005-0000-0000-000063530000}"/>
    <cellStyle name="Normal 2 11 3" xfId="13977" xr:uid="{00000000-0005-0000-0000-000064530000}"/>
    <cellStyle name="Normal 2 11 30" xfId="13978" xr:uid="{00000000-0005-0000-0000-000065530000}"/>
    <cellStyle name="Normal 2 11 31" xfId="13979" xr:uid="{00000000-0005-0000-0000-000066530000}"/>
    <cellStyle name="Normal 2 11 32" xfId="13980" xr:uid="{00000000-0005-0000-0000-000067530000}"/>
    <cellStyle name="Normal 2 11 33" xfId="13981" xr:uid="{00000000-0005-0000-0000-000068530000}"/>
    <cellStyle name="Normal 2 11 34" xfId="13982" xr:uid="{00000000-0005-0000-0000-000069530000}"/>
    <cellStyle name="Normal 2 11 35" xfId="13983" xr:uid="{00000000-0005-0000-0000-00006A530000}"/>
    <cellStyle name="Normal 2 11 36" xfId="13984" xr:uid="{00000000-0005-0000-0000-00006B530000}"/>
    <cellStyle name="Normal 2 11 37" xfId="13985" xr:uid="{00000000-0005-0000-0000-00006C530000}"/>
    <cellStyle name="Normal 2 11 38" xfId="13986" xr:uid="{00000000-0005-0000-0000-00006D530000}"/>
    <cellStyle name="Normal 2 11 39" xfId="13987" xr:uid="{00000000-0005-0000-0000-00006E530000}"/>
    <cellStyle name="Normal 2 11 4" xfId="13988" xr:uid="{00000000-0005-0000-0000-00006F530000}"/>
    <cellStyle name="Normal 2 11 40" xfId="13989" xr:uid="{00000000-0005-0000-0000-000070530000}"/>
    <cellStyle name="Normal 2 11 41" xfId="13990" xr:uid="{00000000-0005-0000-0000-000071530000}"/>
    <cellStyle name="Normal 2 11 42" xfId="13991" xr:uid="{00000000-0005-0000-0000-000072530000}"/>
    <cellStyle name="Normal 2 11 5" xfId="13992" xr:uid="{00000000-0005-0000-0000-000073530000}"/>
    <cellStyle name="Normal 2 11 6" xfId="13993" xr:uid="{00000000-0005-0000-0000-000074530000}"/>
    <cellStyle name="Normal 2 11 7" xfId="13994" xr:uid="{00000000-0005-0000-0000-000075530000}"/>
    <cellStyle name="Normal 2 11 8" xfId="13995" xr:uid="{00000000-0005-0000-0000-000076530000}"/>
    <cellStyle name="Normal 2 11 9" xfId="13996" xr:uid="{00000000-0005-0000-0000-000077530000}"/>
    <cellStyle name="Normal 2 11_DATA Input" xfId="13997" xr:uid="{00000000-0005-0000-0000-000078530000}"/>
    <cellStyle name="Normal 2 12" xfId="13998" xr:uid="{00000000-0005-0000-0000-000079530000}"/>
    <cellStyle name="Normal 2 12 10" xfId="13999" xr:uid="{00000000-0005-0000-0000-00007A530000}"/>
    <cellStyle name="Normal 2 12 11" xfId="14000" xr:uid="{00000000-0005-0000-0000-00007B530000}"/>
    <cellStyle name="Normal 2 12 12" xfId="14001" xr:uid="{00000000-0005-0000-0000-00007C530000}"/>
    <cellStyle name="Normal 2 12 13" xfId="14002" xr:uid="{00000000-0005-0000-0000-00007D530000}"/>
    <cellStyle name="Normal 2 12 14" xfId="14003" xr:uid="{00000000-0005-0000-0000-00007E530000}"/>
    <cellStyle name="Normal 2 12 15" xfId="14004" xr:uid="{00000000-0005-0000-0000-00007F530000}"/>
    <cellStyle name="Normal 2 12 16" xfId="14005" xr:uid="{00000000-0005-0000-0000-000080530000}"/>
    <cellStyle name="Normal 2 12 17" xfId="14006" xr:uid="{00000000-0005-0000-0000-000081530000}"/>
    <cellStyle name="Normal 2 12 18" xfId="14007" xr:uid="{00000000-0005-0000-0000-000082530000}"/>
    <cellStyle name="Normal 2 12 19" xfId="14008" xr:uid="{00000000-0005-0000-0000-000083530000}"/>
    <cellStyle name="Normal 2 12 2" xfId="14009" xr:uid="{00000000-0005-0000-0000-000084530000}"/>
    <cellStyle name="Normal 2 12 2 2" xfId="14010" xr:uid="{00000000-0005-0000-0000-000085530000}"/>
    <cellStyle name="Normal 2 12 2 2 2" xfId="14011" xr:uid="{00000000-0005-0000-0000-000086530000}"/>
    <cellStyle name="Normal 2 12 2 2 3" xfId="14012" xr:uid="{00000000-0005-0000-0000-000087530000}"/>
    <cellStyle name="Normal 2 12 2 2_DATA Input" xfId="14013" xr:uid="{00000000-0005-0000-0000-000088530000}"/>
    <cellStyle name="Normal 2 12 2 3" xfId="14014" xr:uid="{00000000-0005-0000-0000-000089530000}"/>
    <cellStyle name="Normal 2 12 2_DATA Input" xfId="14015" xr:uid="{00000000-0005-0000-0000-00008A530000}"/>
    <cellStyle name="Normal 2 12 20" xfId="14016" xr:uid="{00000000-0005-0000-0000-00008B530000}"/>
    <cellStyle name="Normal 2 12 21" xfId="14017" xr:uid="{00000000-0005-0000-0000-00008C530000}"/>
    <cellStyle name="Normal 2 12 22" xfId="14018" xr:uid="{00000000-0005-0000-0000-00008D530000}"/>
    <cellStyle name="Normal 2 12 23" xfId="14019" xr:uid="{00000000-0005-0000-0000-00008E530000}"/>
    <cellStyle name="Normal 2 12 24" xfId="14020" xr:uid="{00000000-0005-0000-0000-00008F530000}"/>
    <cellStyle name="Normal 2 12 25" xfId="14021" xr:uid="{00000000-0005-0000-0000-000090530000}"/>
    <cellStyle name="Normal 2 12 26" xfId="14022" xr:uid="{00000000-0005-0000-0000-000091530000}"/>
    <cellStyle name="Normal 2 12 27" xfId="14023" xr:uid="{00000000-0005-0000-0000-000092530000}"/>
    <cellStyle name="Normal 2 12 28" xfId="14024" xr:uid="{00000000-0005-0000-0000-000093530000}"/>
    <cellStyle name="Normal 2 12 29" xfId="14025" xr:uid="{00000000-0005-0000-0000-000094530000}"/>
    <cellStyle name="Normal 2 12 3" xfId="14026" xr:uid="{00000000-0005-0000-0000-000095530000}"/>
    <cellStyle name="Normal 2 12 30" xfId="14027" xr:uid="{00000000-0005-0000-0000-000096530000}"/>
    <cellStyle name="Normal 2 12 4" xfId="14028" xr:uid="{00000000-0005-0000-0000-000097530000}"/>
    <cellStyle name="Normal 2 12 5" xfId="14029" xr:uid="{00000000-0005-0000-0000-000098530000}"/>
    <cellStyle name="Normal 2 12 6" xfId="14030" xr:uid="{00000000-0005-0000-0000-000099530000}"/>
    <cellStyle name="Normal 2 12 7" xfId="14031" xr:uid="{00000000-0005-0000-0000-00009A530000}"/>
    <cellStyle name="Normal 2 12 8" xfId="14032" xr:uid="{00000000-0005-0000-0000-00009B530000}"/>
    <cellStyle name="Normal 2 12 9" xfId="14033" xr:uid="{00000000-0005-0000-0000-00009C530000}"/>
    <cellStyle name="Normal 2 12_DATA Input" xfId="14034" xr:uid="{00000000-0005-0000-0000-00009D530000}"/>
    <cellStyle name="Normal 2 13" xfId="14035" xr:uid="{00000000-0005-0000-0000-00009E530000}"/>
    <cellStyle name="Normal 2 13 10" xfId="14036" xr:uid="{00000000-0005-0000-0000-00009F530000}"/>
    <cellStyle name="Normal 2 13 11" xfId="14037" xr:uid="{00000000-0005-0000-0000-0000A0530000}"/>
    <cellStyle name="Normal 2 13 12" xfId="14038" xr:uid="{00000000-0005-0000-0000-0000A1530000}"/>
    <cellStyle name="Normal 2 13 13" xfId="14039" xr:uid="{00000000-0005-0000-0000-0000A2530000}"/>
    <cellStyle name="Normal 2 13 14" xfId="14040" xr:uid="{00000000-0005-0000-0000-0000A3530000}"/>
    <cellStyle name="Normal 2 13 15" xfId="14041" xr:uid="{00000000-0005-0000-0000-0000A4530000}"/>
    <cellStyle name="Normal 2 13 16" xfId="14042" xr:uid="{00000000-0005-0000-0000-0000A5530000}"/>
    <cellStyle name="Normal 2 13 17" xfId="14043" xr:uid="{00000000-0005-0000-0000-0000A6530000}"/>
    <cellStyle name="Normal 2 13 18" xfId="14044" xr:uid="{00000000-0005-0000-0000-0000A7530000}"/>
    <cellStyle name="Normal 2 13 19" xfId="14045" xr:uid="{00000000-0005-0000-0000-0000A8530000}"/>
    <cellStyle name="Normal 2 13 2" xfId="14046" xr:uid="{00000000-0005-0000-0000-0000A9530000}"/>
    <cellStyle name="Normal 2 13 2 2" xfId="14047" xr:uid="{00000000-0005-0000-0000-0000AA530000}"/>
    <cellStyle name="Normal 2 13 2 2 2" xfId="14048" xr:uid="{00000000-0005-0000-0000-0000AB530000}"/>
    <cellStyle name="Normal 2 13 2 2 3" xfId="14049" xr:uid="{00000000-0005-0000-0000-0000AC530000}"/>
    <cellStyle name="Normal 2 13 2 2_DATA Input" xfId="14050" xr:uid="{00000000-0005-0000-0000-0000AD530000}"/>
    <cellStyle name="Normal 2 13 2 3" xfId="14051" xr:uid="{00000000-0005-0000-0000-0000AE530000}"/>
    <cellStyle name="Normal 2 13 2_DATA Input" xfId="14052" xr:uid="{00000000-0005-0000-0000-0000AF530000}"/>
    <cellStyle name="Normal 2 13 20" xfId="14053" xr:uid="{00000000-0005-0000-0000-0000B0530000}"/>
    <cellStyle name="Normal 2 13 21" xfId="14054" xr:uid="{00000000-0005-0000-0000-0000B1530000}"/>
    <cellStyle name="Normal 2 13 22" xfId="14055" xr:uid="{00000000-0005-0000-0000-0000B2530000}"/>
    <cellStyle name="Normal 2 13 23" xfId="14056" xr:uid="{00000000-0005-0000-0000-0000B3530000}"/>
    <cellStyle name="Normal 2 13 24" xfId="14057" xr:uid="{00000000-0005-0000-0000-0000B4530000}"/>
    <cellStyle name="Normal 2 13 25" xfId="14058" xr:uid="{00000000-0005-0000-0000-0000B5530000}"/>
    <cellStyle name="Normal 2 13 26" xfId="14059" xr:uid="{00000000-0005-0000-0000-0000B6530000}"/>
    <cellStyle name="Normal 2 13 27" xfId="14060" xr:uid="{00000000-0005-0000-0000-0000B7530000}"/>
    <cellStyle name="Normal 2 13 28" xfId="14061" xr:uid="{00000000-0005-0000-0000-0000B8530000}"/>
    <cellStyle name="Normal 2 13 3" xfId="14062" xr:uid="{00000000-0005-0000-0000-0000B9530000}"/>
    <cellStyle name="Normal 2 13 4" xfId="14063" xr:uid="{00000000-0005-0000-0000-0000BA530000}"/>
    <cellStyle name="Normal 2 13 5" xfId="14064" xr:uid="{00000000-0005-0000-0000-0000BB530000}"/>
    <cellStyle name="Normal 2 13 6" xfId="14065" xr:uid="{00000000-0005-0000-0000-0000BC530000}"/>
    <cellStyle name="Normal 2 13 7" xfId="14066" xr:uid="{00000000-0005-0000-0000-0000BD530000}"/>
    <cellStyle name="Normal 2 13 8" xfId="14067" xr:uid="{00000000-0005-0000-0000-0000BE530000}"/>
    <cellStyle name="Normal 2 13 9" xfId="14068" xr:uid="{00000000-0005-0000-0000-0000BF530000}"/>
    <cellStyle name="Normal 2 13_DATA Input" xfId="14069" xr:uid="{00000000-0005-0000-0000-0000C0530000}"/>
    <cellStyle name="Normal 2 14" xfId="14070" xr:uid="{00000000-0005-0000-0000-0000C1530000}"/>
    <cellStyle name="Normal 2 14 10" xfId="14071" xr:uid="{00000000-0005-0000-0000-0000C2530000}"/>
    <cellStyle name="Normal 2 14 11" xfId="14072" xr:uid="{00000000-0005-0000-0000-0000C3530000}"/>
    <cellStyle name="Normal 2 14 12" xfId="14073" xr:uid="{00000000-0005-0000-0000-0000C4530000}"/>
    <cellStyle name="Normal 2 14 13" xfId="14074" xr:uid="{00000000-0005-0000-0000-0000C5530000}"/>
    <cellStyle name="Normal 2 14 14" xfId="14075" xr:uid="{00000000-0005-0000-0000-0000C6530000}"/>
    <cellStyle name="Normal 2 14 15" xfId="14076" xr:uid="{00000000-0005-0000-0000-0000C7530000}"/>
    <cellStyle name="Normal 2 14 16" xfId="14077" xr:uid="{00000000-0005-0000-0000-0000C8530000}"/>
    <cellStyle name="Normal 2 14 17" xfId="14078" xr:uid="{00000000-0005-0000-0000-0000C9530000}"/>
    <cellStyle name="Normal 2 14 18" xfId="14079" xr:uid="{00000000-0005-0000-0000-0000CA530000}"/>
    <cellStyle name="Normal 2 14 19" xfId="14080" xr:uid="{00000000-0005-0000-0000-0000CB530000}"/>
    <cellStyle name="Normal 2 14 2" xfId="14081" xr:uid="{00000000-0005-0000-0000-0000CC530000}"/>
    <cellStyle name="Normal 2 14 2 2" xfId="14082" xr:uid="{00000000-0005-0000-0000-0000CD530000}"/>
    <cellStyle name="Normal 2 14 2 2 2" xfId="14083" xr:uid="{00000000-0005-0000-0000-0000CE530000}"/>
    <cellStyle name="Normal 2 14 2 2 3" xfId="14084" xr:uid="{00000000-0005-0000-0000-0000CF530000}"/>
    <cellStyle name="Normal 2 14 2 2_DATA Input" xfId="14085" xr:uid="{00000000-0005-0000-0000-0000D0530000}"/>
    <cellStyle name="Normal 2 14 2 3" xfId="14086" xr:uid="{00000000-0005-0000-0000-0000D1530000}"/>
    <cellStyle name="Normal 2 14 2_DATA Input" xfId="14087" xr:uid="{00000000-0005-0000-0000-0000D2530000}"/>
    <cellStyle name="Normal 2 14 20" xfId="14088" xr:uid="{00000000-0005-0000-0000-0000D3530000}"/>
    <cellStyle name="Normal 2 14 21" xfId="14089" xr:uid="{00000000-0005-0000-0000-0000D4530000}"/>
    <cellStyle name="Normal 2 14 22" xfId="14090" xr:uid="{00000000-0005-0000-0000-0000D5530000}"/>
    <cellStyle name="Normal 2 14 23" xfId="14091" xr:uid="{00000000-0005-0000-0000-0000D6530000}"/>
    <cellStyle name="Normal 2 14 24" xfId="14092" xr:uid="{00000000-0005-0000-0000-0000D7530000}"/>
    <cellStyle name="Normal 2 14 25" xfId="14093" xr:uid="{00000000-0005-0000-0000-0000D8530000}"/>
    <cellStyle name="Normal 2 14 26" xfId="14094" xr:uid="{00000000-0005-0000-0000-0000D9530000}"/>
    <cellStyle name="Normal 2 14 27" xfId="14095" xr:uid="{00000000-0005-0000-0000-0000DA530000}"/>
    <cellStyle name="Normal 2 14 3" xfId="14096" xr:uid="{00000000-0005-0000-0000-0000DB530000}"/>
    <cellStyle name="Normal 2 14 4" xfId="14097" xr:uid="{00000000-0005-0000-0000-0000DC530000}"/>
    <cellStyle name="Normal 2 14 5" xfId="14098" xr:uid="{00000000-0005-0000-0000-0000DD530000}"/>
    <cellStyle name="Normal 2 14 6" xfId="14099" xr:uid="{00000000-0005-0000-0000-0000DE530000}"/>
    <cellStyle name="Normal 2 14 7" xfId="14100" xr:uid="{00000000-0005-0000-0000-0000DF530000}"/>
    <cellStyle name="Normal 2 14 8" xfId="14101" xr:uid="{00000000-0005-0000-0000-0000E0530000}"/>
    <cellStyle name="Normal 2 14 9" xfId="14102" xr:uid="{00000000-0005-0000-0000-0000E1530000}"/>
    <cellStyle name="Normal 2 14_DATA Input" xfId="14103" xr:uid="{00000000-0005-0000-0000-0000E2530000}"/>
    <cellStyle name="Normal 2 15" xfId="14104" xr:uid="{00000000-0005-0000-0000-0000E3530000}"/>
    <cellStyle name="Normal 2 15 10" xfId="14105" xr:uid="{00000000-0005-0000-0000-0000E4530000}"/>
    <cellStyle name="Normal 2 15 11" xfId="14106" xr:uid="{00000000-0005-0000-0000-0000E5530000}"/>
    <cellStyle name="Normal 2 15 12" xfId="14107" xr:uid="{00000000-0005-0000-0000-0000E6530000}"/>
    <cellStyle name="Normal 2 15 13" xfId="14108" xr:uid="{00000000-0005-0000-0000-0000E7530000}"/>
    <cellStyle name="Normal 2 15 14" xfId="14109" xr:uid="{00000000-0005-0000-0000-0000E8530000}"/>
    <cellStyle name="Normal 2 15 15" xfId="14110" xr:uid="{00000000-0005-0000-0000-0000E9530000}"/>
    <cellStyle name="Normal 2 15 16" xfId="14111" xr:uid="{00000000-0005-0000-0000-0000EA530000}"/>
    <cellStyle name="Normal 2 15 17" xfId="14112" xr:uid="{00000000-0005-0000-0000-0000EB530000}"/>
    <cellStyle name="Normal 2 15 18" xfId="14113" xr:uid="{00000000-0005-0000-0000-0000EC530000}"/>
    <cellStyle name="Normal 2 15 19" xfId="14114" xr:uid="{00000000-0005-0000-0000-0000ED530000}"/>
    <cellStyle name="Normal 2 15 2" xfId="14115" xr:uid="{00000000-0005-0000-0000-0000EE530000}"/>
    <cellStyle name="Normal 2 15 2 2" xfId="14116" xr:uid="{00000000-0005-0000-0000-0000EF530000}"/>
    <cellStyle name="Normal 2 15 2 2 2" xfId="14117" xr:uid="{00000000-0005-0000-0000-0000F0530000}"/>
    <cellStyle name="Normal 2 15 2 2 3" xfId="14118" xr:uid="{00000000-0005-0000-0000-0000F1530000}"/>
    <cellStyle name="Normal 2 15 2 2_DATA Input" xfId="14119" xr:uid="{00000000-0005-0000-0000-0000F2530000}"/>
    <cellStyle name="Normal 2 15 2 3" xfId="14120" xr:uid="{00000000-0005-0000-0000-0000F3530000}"/>
    <cellStyle name="Normal 2 15 2_DATA Input" xfId="14121" xr:uid="{00000000-0005-0000-0000-0000F4530000}"/>
    <cellStyle name="Normal 2 15 20" xfId="14122" xr:uid="{00000000-0005-0000-0000-0000F5530000}"/>
    <cellStyle name="Normal 2 15 21" xfId="14123" xr:uid="{00000000-0005-0000-0000-0000F6530000}"/>
    <cellStyle name="Normal 2 15 22" xfId="14124" xr:uid="{00000000-0005-0000-0000-0000F7530000}"/>
    <cellStyle name="Normal 2 15 23" xfId="14125" xr:uid="{00000000-0005-0000-0000-0000F8530000}"/>
    <cellStyle name="Normal 2 15 24" xfId="14126" xr:uid="{00000000-0005-0000-0000-0000F9530000}"/>
    <cellStyle name="Normal 2 15 25" xfId="14127" xr:uid="{00000000-0005-0000-0000-0000FA530000}"/>
    <cellStyle name="Normal 2 15 3" xfId="14128" xr:uid="{00000000-0005-0000-0000-0000FB530000}"/>
    <cellStyle name="Normal 2 15 4" xfId="14129" xr:uid="{00000000-0005-0000-0000-0000FC530000}"/>
    <cellStyle name="Normal 2 15 5" xfId="14130" xr:uid="{00000000-0005-0000-0000-0000FD530000}"/>
    <cellStyle name="Normal 2 15 6" xfId="14131" xr:uid="{00000000-0005-0000-0000-0000FE530000}"/>
    <cellStyle name="Normal 2 15 7" xfId="14132" xr:uid="{00000000-0005-0000-0000-0000FF530000}"/>
    <cellStyle name="Normal 2 15 8" xfId="14133" xr:uid="{00000000-0005-0000-0000-000000540000}"/>
    <cellStyle name="Normal 2 15 9" xfId="14134" xr:uid="{00000000-0005-0000-0000-000001540000}"/>
    <cellStyle name="Normal 2 15_DATA Input" xfId="14135" xr:uid="{00000000-0005-0000-0000-000002540000}"/>
    <cellStyle name="Normal 2 16" xfId="14136" xr:uid="{00000000-0005-0000-0000-000003540000}"/>
    <cellStyle name="Normal 2 16 10" xfId="14137" xr:uid="{00000000-0005-0000-0000-000004540000}"/>
    <cellStyle name="Normal 2 16 11" xfId="14138" xr:uid="{00000000-0005-0000-0000-000005540000}"/>
    <cellStyle name="Normal 2 16 12" xfId="14139" xr:uid="{00000000-0005-0000-0000-000006540000}"/>
    <cellStyle name="Normal 2 16 13" xfId="14140" xr:uid="{00000000-0005-0000-0000-000007540000}"/>
    <cellStyle name="Normal 2 16 14" xfId="14141" xr:uid="{00000000-0005-0000-0000-000008540000}"/>
    <cellStyle name="Normal 2 16 15" xfId="14142" xr:uid="{00000000-0005-0000-0000-000009540000}"/>
    <cellStyle name="Normal 2 16 16" xfId="14143" xr:uid="{00000000-0005-0000-0000-00000A540000}"/>
    <cellStyle name="Normal 2 16 17" xfId="14144" xr:uid="{00000000-0005-0000-0000-00000B540000}"/>
    <cellStyle name="Normal 2 16 18" xfId="14145" xr:uid="{00000000-0005-0000-0000-00000C540000}"/>
    <cellStyle name="Normal 2 16 19" xfId="14146" xr:uid="{00000000-0005-0000-0000-00000D540000}"/>
    <cellStyle name="Normal 2 16 2" xfId="14147" xr:uid="{00000000-0005-0000-0000-00000E540000}"/>
    <cellStyle name="Normal 2 16 2 2" xfId="14148" xr:uid="{00000000-0005-0000-0000-00000F540000}"/>
    <cellStyle name="Normal 2 16 2 2 2" xfId="14149" xr:uid="{00000000-0005-0000-0000-000010540000}"/>
    <cellStyle name="Normal 2 16 2 2 3" xfId="14150" xr:uid="{00000000-0005-0000-0000-000011540000}"/>
    <cellStyle name="Normal 2 16 2 2_DATA Input" xfId="14151" xr:uid="{00000000-0005-0000-0000-000012540000}"/>
    <cellStyle name="Normal 2 16 2 3" xfId="14152" xr:uid="{00000000-0005-0000-0000-000013540000}"/>
    <cellStyle name="Normal 2 16 2_DATA Input" xfId="14153" xr:uid="{00000000-0005-0000-0000-000014540000}"/>
    <cellStyle name="Normal 2 16 20" xfId="14154" xr:uid="{00000000-0005-0000-0000-000015540000}"/>
    <cellStyle name="Normal 2 16 21" xfId="14155" xr:uid="{00000000-0005-0000-0000-000016540000}"/>
    <cellStyle name="Normal 2 16 22" xfId="14156" xr:uid="{00000000-0005-0000-0000-000017540000}"/>
    <cellStyle name="Normal 2 16 23" xfId="14157" xr:uid="{00000000-0005-0000-0000-000018540000}"/>
    <cellStyle name="Normal 2 16 24" xfId="21665" xr:uid="{00000000-0005-0000-0000-000019540000}"/>
    <cellStyle name="Normal 2 16 3" xfId="14158" xr:uid="{00000000-0005-0000-0000-00001A540000}"/>
    <cellStyle name="Normal 2 16 4" xfId="14159" xr:uid="{00000000-0005-0000-0000-00001B540000}"/>
    <cellStyle name="Normal 2 16 5" xfId="14160" xr:uid="{00000000-0005-0000-0000-00001C540000}"/>
    <cellStyle name="Normal 2 16 6" xfId="14161" xr:uid="{00000000-0005-0000-0000-00001D540000}"/>
    <cellStyle name="Normal 2 16 7" xfId="14162" xr:uid="{00000000-0005-0000-0000-00001E540000}"/>
    <cellStyle name="Normal 2 16 8" xfId="14163" xr:uid="{00000000-0005-0000-0000-00001F540000}"/>
    <cellStyle name="Normal 2 16 9" xfId="14164" xr:uid="{00000000-0005-0000-0000-000020540000}"/>
    <cellStyle name="Normal 2 16_DATA Input" xfId="14165" xr:uid="{00000000-0005-0000-0000-000021540000}"/>
    <cellStyle name="Normal 2 17" xfId="14166" xr:uid="{00000000-0005-0000-0000-000022540000}"/>
    <cellStyle name="Normal 2 17 10" xfId="14167" xr:uid="{00000000-0005-0000-0000-000023540000}"/>
    <cellStyle name="Normal 2 17 11" xfId="14168" xr:uid="{00000000-0005-0000-0000-000024540000}"/>
    <cellStyle name="Normal 2 17 12" xfId="14169" xr:uid="{00000000-0005-0000-0000-000025540000}"/>
    <cellStyle name="Normal 2 17 13" xfId="14170" xr:uid="{00000000-0005-0000-0000-000026540000}"/>
    <cellStyle name="Normal 2 17 14" xfId="14171" xr:uid="{00000000-0005-0000-0000-000027540000}"/>
    <cellStyle name="Normal 2 17 15" xfId="14172" xr:uid="{00000000-0005-0000-0000-000028540000}"/>
    <cellStyle name="Normal 2 17 16" xfId="14173" xr:uid="{00000000-0005-0000-0000-000029540000}"/>
    <cellStyle name="Normal 2 17 17" xfId="14174" xr:uid="{00000000-0005-0000-0000-00002A540000}"/>
    <cellStyle name="Normal 2 17 18" xfId="14175" xr:uid="{00000000-0005-0000-0000-00002B540000}"/>
    <cellStyle name="Normal 2 17 19" xfId="21666" xr:uid="{00000000-0005-0000-0000-00002C540000}"/>
    <cellStyle name="Normal 2 17 2" xfId="14176" xr:uid="{00000000-0005-0000-0000-00002D540000}"/>
    <cellStyle name="Normal 2 17 2 2" xfId="14177" xr:uid="{00000000-0005-0000-0000-00002E540000}"/>
    <cellStyle name="Normal 2 17 2 2 2" xfId="14178" xr:uid="{00000000-0005-0000-0000-00002F540000}"/>
    <cellStyle name="Normal 2 17 2 2 3" xfId="14179" xr:uid="{00000000-0005-0000-0000-000030540000}"/>
    <cellStyle name="Normal 2 17 2 2_DATA Input" xfId="14180" xr:uid="{00000000-0005-0000-0000-000031540000}"/>
    <cellStyle name="Normal 2 17 2 3" xfId="14181" xr:uid="{00000000-0005-0000-0000-000032540000}"/>
    <cellStyle name="Normal 2 17 2_DATA Input" xfId="14182" xr:uid="{00000000-0005-0000-0000-000033540000}"/>
    <cellStyle name="Normal 2 17 3" xfId="14183" xr:uid="{00000000-0005-0000-0000-000034540000}"/>
    <cellStyle name="Normal 2 17 4" xfId="14184" xr:uid="{00000000-0005-0000-0000-000035540000}"/>
    <cellStyle name="Normal 2 17 5" xfId="14185" xr:uid="{00000000-0005-0000-0000-000036540000}"/>
    <cellStyle name="Normal 2 17 6" xfId="14186" xr:uid="{00000000-0005-0000-0000-000037540000}"/>
    <cellStyle name="Normal 2 17 7" xfId="14187" xr:uid="{00000000-0005-0000-0000-000038540000}"/>
    <cellStyle name="Normal 2 17 8" xfId="14188" xr:uid="{00000000-0005-0000-0000-000039540000}"/>
    <cellStyle name="Normal 2 17 9" xfId="14189" xr:uid="{00000000-0005-0000-0000-00003A540000}"/>
    <cellStyle name="Normal 2 17_DATA Input" xfId="14190" xr:uid="{00000000-0005-0000-0000-00003B540000}"/>
    <cellStyle name="Normal 2 18" xfId="14191" xr:uid="{00000000-0005-0000-0000-00003C540000}"/>
    <cellStyle name="Normal 2 18 10" xfId="14192" xr:uid="{00000000-0005-0000-0000-00003D540000}"/>
    <cellStyle name="Normal 2 18 11" xfId="14193" xr:uid="{00000000-0005-0000-0000-00003E540000}"/>
    <cellStyle name="Normal 2 18 12" xfId="14194" xr:uid="{00000000-0005-0000-0000-00003F540000}"/>
    <cellStyle name="Normal 2 18 13" xfId="14195" xr:uid="{00000000-0005-0000-0000-000040540000}"/>
    <cellStyle name="Normal 2 18 14" xfId="14196" xr:uid="{00000000-0005-0000-0000-000041540000}"/>
    <cellStyle name="Normal 2 18 15" xfId="14197" xr:uid="{00000000-0005-0000-0000-000042540000}"/>
    <cellStyle name="Normal 2 18 16" xfId="14198" xr:uid="{00000000-0005-0000-0000-000043540000}"/>
    <cellStyle name="Normal 2 18 17" xfId="21667" xr:uid="{00000000-0005-0000-0000-000044540000}"/>
    <cellStyle name="Normal 2 18 2" xfId="14199" xr:uid="{00000000-0005-0000-0000-000045540000}"/>
    <cellStyle name="Normal 2 18 2 2" xfId="14200" xr:uid="{00000000-0005-0000-0000-000046540000}"/>
    <cellStyle name="Normal 2 18 2 2 2" xfId="14201" xr:uid="{00000000-0005-0000-0000-000047540000}"/>
    <cellStyle name="Normal 2 18 2 2 3" xfId="14202" xr:uid="{00000000-0005-0000-0000-000048540000}"/>
    <cellStyle name="Normal 2 18 2 2_DATA Input" xfId="14203" xr:uid="{00000000-0005-0000-0000-000049540000}"/>
    <cellStyle name="Normal 2 18 2 3" xfId="14204" xr:uid="{00000000-0005-0000-0000-00004A540000}"/>
    <cellStyle name="Normal 2 18 2_DATA Input" xfId="14205" xr:uid="{00000000-0005-0000-0000-00004B540000}"/>
    <cellStyle name="Normal 2 18 3" xfId="14206" xr:uid="{00000000-0005-0000-0000-00004C540000}"/>
    <cellStyle name="Normal 2 18 4" xfId="14207" xr:uid="{00000000-0005-0000-0000-00004D540000}"/>
    <cellStyle name="Normal 2 18 5" xfId="14208" xr:uid="{00000000-0005-0000-0000-00004E540000}"/>
    <cellStyle name="Normal 2 18 6" xfId="14209" xr:uid="{00000000-0005-0000-0000-00004F540000}"/>
    <cellStyle name="Normal 2 18 7" xfId="14210" xr:uid="{00000000-0005-0000-0000-000050540000}"/>
    <cellStyle name="Normal 2 18 8" xfId="14211" xr:uid="{00000000-0005-0000-0000-000051540000}"/>
    <cellStyle name="Normal 2 18 9" xfId="14212" xr:uid="{00000000-0005-0000-0000-000052540000}"/>
    <cellStyle name="Normal 2 18_DATA Input" xfId="14213" xr:uid="{00000000-0005-0000-0000-000053540000}"/>
    <cellStyle name="Normal 2 19" xfId="14214" xr:uid="{00000000-0005-0000-0000-000054540000}"/>
    <cellStyle name="Normal 2 19 10" xfId="14215" xr:uid="{00000000-0005-0000-0000-000055540000}"/>
    <cellStyle name="Normal 2 19 11" xfId="14216" xr:uid="{00000000-0005-0000-0000-000056540000}"/>
    <cellStyle name="Normal 2 19 12" xfId="21668" xr:uid="{00000000-0005-0000-0000-000057540000}"/>
    <cellStyle name="Normal 2 19 2" xfId="14217" xr:uid="{00000000-0005-0000-0000-000058540000}"/>
    <cellStyle name="Normal 2 19 2 2" xfId="14218" xr:uid="{00000000-0005-0000-0000-000059540000}"/>
    <cellStyle name="Normal 2 19 2 2 2" xfId="14219" xr:uid="{00000000-0005-0000-0000-00005A540000}"/>
    <cellStyle name="Normal 2 19 2 2 3" xfId="14220" xr:uid="{00000000-0005-0000-0000-00005B540000}"/>
    <cellStyle name="Normal 2 19 2 2_DATA Input" xfId="14221" xr:uid="{00000000-0005-0000-0000-00005C540000}"/>
    <cellStyle name="Normal 2 19 2 3" xfId="14222" xr:uid="{00000000-0005-0000-0000-00005D540000}"/>
    <cellStyle name="Normal 2 19 2_DATA Input" xfId="14223" xr:uid="{00000000-0005-0000-0000-00005E540000}"/>
    <cellStyle name="Normal 2 19 3" xfId="14224" xr:uid="{00000000-0005-0000-0000-00005F540000}"/>
    <cellStyle name="Normal 2 19 4" xfId="14225" xr:uid="{00000000-0005-0000-0000-000060540000}"/>
    <cellStyle name="Normal 2 19 5" xfId="14226" xr:uid="{00000000-0005-0000-0000-000061540000}"/>
    <cellStyle name="Normal 2 19 6" xfId="14227" xr:uid="{00000000-0005-0000-0000-000062540000}"/>
    <cellStyle name="Normal 2 19 7" xfId="14228" xr:uid="{00000000-0005-0000-0000-000063540000}"/>
    <cellStyle name="Normal 2 19 8" xfId="14229" xr:uid="{00000000-0005-0000-0000-000064540000}"/>
    <cellStyle name="Normal 2 19 9" xfId="14230" xr:uid="{00000000-0005-0000-0000-000065540000}"/>
    <cellStyle name="Normal 2 19_DATA Input" xfId="14231" xr:uid="{00000000-0005-0000-0000-000066540000}"/>
    <cellStyle name="Normal 2 2" xfId="2" xr:uid="{00000000-0005-0000-0000-000067540000}"/>
    <cellStyle name="Normal 2 2 10" xfId="14232" xr:uid="{00000000-0005-0000-0000-000068540000}"/>
    <cellStyle name="Normal 2 2 10 2" xfId="21669" xr:uid="{00000000-0005-0000-0000-000069540000}"/>
    <cellStyle name="Normal 2 2 11" xfId="14233" xr:uid="{00000000-0005-0000-0000-00006A540000}"/>
    <cellStyle name="Normal 2 2 11 2" xfId="21670" xr:uid="{00000000-0005-0000-0000-00006B540000}"/>
    <cellStyle name="Normal 2 2 12" xfId="14234" xr:uid="{00000000-0005-0000-0000-00006C540000}"/>
    <cellStyle name="Normal 2 2 12 2" xfId="21671" xr:uid="{00000000-0005-0000-0000-00006D540000}"/>
    <cellStyle name="Normal 2 2 13" xfId="14235" xr:uid="{00000000-0005-0000-0000-00006E540000}"/>
    <cellStyle name="Normal 2 2 13 2" xfId="21672" xr:uid="{00000000-0005-0000-0000-00006F540000}"/>
    <cellStyle name="Normal 2 2 14" xfId="14236" xr:uid="{00000000-0005-0000-0000-000070540000}"/>
    <cellStyle name="Normal 2 2 14 2" xfId="21673" xr:uid="{00000000-0005-0000-0000-000071540000}"/>
    <cellStyle name="Normal 2 2 15" xfId="14237" xr:uid="{00000000-0005-0000-0000-000072540000}"/>
    <cellStyle name="Normal 2 2 15 2" xfId="21674" xr:uid="{00000000-0005-0000-0000-000073540000}"/>
    <cellStyle name="Normal 2 2 16" xfId="14238" xr:uid="{00000000-0005-0000-0000-000074540000}"/>
    <cellStyle name="Normal 2 2 16 2" xfId="21675" xr:uid="{00000000-0005-0000-0000-000075540000}"/>
    <cellStyle name="Normal 2 2 17" xfId="14239" xr:uid="{00000000-0005-0000-0000-000076540000}"/>
    <cellStyle name="Normal 2 2 17 2" xfId="21676" xr:uid="{00000000-0005-0000-0000-000077540000}"/>
    <cellStyle name="Normal 2 2 18" xfId="14240" xr:uid="{00000000-0005-0000-0000-000078540000}"/>
    <cellStyle name="Normal 2 2 18 2" xfId="21677" xr:uid="{00000000-0005-0000-0000-000079540000}"/>
    <cellStyle name="Normal 2 2 19" xfId="14241" xr:uid="{00000000-0005-0000-0000-00007A540000}"/>
    <cellStyle name="Normal 2 2 19 2" xfId="21678" xr:uid="{00000000-0005-0000-0000-00007B540000}"/>
    <cellStyle name="Normal 2 2 2" xfId="363" xr:uid="{00000000-0005-0000-0000-00007C540000}"/>
    <cellStyle name="Normal 2 2 2 10" xfId="14242" xr:uid="{00000000-0005-0000-0000-00007D540000}"/>
    <cellStyle name="Normal 2 2 2 10 2" xfId="21679" xr:uid="{00000000-0005-0000-0000-00007E540000}"/>
    <cellStyle name="Normal 2 2 2 10 6" xfId="22723" xr:uid="{00000000-0005-0000-0000-00007F540000}"/>
    <cellStyle name="Normal 2 2 2 11" xfId="14243" xr:uid="{00000000-0005-0000-0000-000080540000}"/>
    <cellStyle name="Normal 2 2 2 11 2" xfId="21680" xr:uid="{00000000-0005-0000-0000-000081540000}"/>
    <cellStyle name="Normal 2 2 2 12" xfId="14244" xr:uid="{00000000-0005-0000-0000-000082540000}"/>
    <cellStyle name="Normal 2 2 2 12 2" xfId="21681" xr:uid="{00000000-0005-0000-0000-000083540000}"/>
    <cellStyle name="Normal 2 2 2 13" xfId="14245" xr:uid="{00000000-0005-0000-0000-000084540000}"/>
    <cellStyle name="Normal 2 2 2 13 2" xfId="21682" xr:uid="{00000000-0005-0000-0000-000085540000}"/>
    <cellStyle name="Normal 2 2 2 14" xfId="14246" xr:uid="{00000000-0005-0000-0000-000086540000}"/>
    <cellStyle name="Normal 2 2 2 14 2" xfId="21683" xr:uid="{00000000-0005-0000-0000-000087540000}"/>
    <cellStyle name="Normal 2 2 2 15" xfId="14247" xr:uid="{00000000-0005-0000-0000-000088540000}"/>
    <cellStyle name="Normal 2 2 2 15 2" xfId="21684" xr:uid="{00000000-0005-0000-0000-000089540000}"/>
    <cellStyle name="Normal 2 2 2 16" xfId="14248" xr:uid="{00000000-0005-0000-0000-00008A540000}"/>
    <cellStyle name="Normal 2 2 2 16 2" xfId="21685" xr:uid="{00000000-0005-0000-0000-00008B540000}"/>
    <cellStyle name="Normal 2 2 2 17" xfId="14249" xr:uid="{00000000-0005-0000-0000-00008C540000}"/>
    <cellStyle name="Normal 2 2 2 17 2" xfId="21686" xr:uid="{00000000-0005-0000-0000-00008D540000}"/>
    <cellStyle name="Normal 2 2 2 18" xfId="14250" xr:uid="{00000000-0005-0000-0000-00008E540000}"/>
    <cellStyle name="Normal 2 2 2 18 2" xfId="21687" xr:uid="{00000000-0005-0000-0000-00008F540000}"/>
    <cellStyle name="Normal 2 2 2 19" xfId="14251" xr:uid="{00000000-0005-0000-0000-000090540000}"/>
    <cellStyle name="Normal 2 2 2 19 2" xfId="21688" xr:uid="{00000000-0005-0000-0000-000091540000}"/>
    <cellStyle name="Normal 2 2 2 2" xfId="14252" xr:uid="{00000000-0005-0000-0000-000092540000}"/>
    <cellStyle name="Normal 2 2 2 2 2" xfId="14253" xr:uid="{00000000-0005-0000-0000-000093540000}"/>
    <cellStyle name="Normal 2 2 2 2 3" xfId="14254" xr:uid="{00000000-0005-0000-0000-000094540000}"/>
    <cellStyle name="Normal 2 2 2 2 4" xfId="21689" xr:uid="{00000000-0005-0000-0000-000095540000}"/>
    <cellStyle name="Normal 2 2 2 2_DATA Input" xfId="14255" xr:uid="{00000000-0005-0000-0000-000096540000}"/>
    <cellStyle name="Normal 2 2 2 20" xfId="14256" xr:uid="{00000000-0005-0000-0000-000097540000}"/>
    <cellStyle name="Normal 2 2 2 20 2" xfId="21690" xr:uid="{00000000-0005-0000-0000-000098540000}"/>
    <cellStyle name="Normal 2 2 2 21" xfId="14257" xr:uid="{00000000-0005-0000-0000-000099540000}"/>
    <cellStyle name="Normal 2 2 2 21 2" xfId="21691" xr:uid="{00000000-0005-0000-0000-00009A540000}"/>
    <cellStyle name="Normal 2 2 2 22" xfId="14258" xr:uid="{00000000-0005-0000-0000-00009B540000}"/>
    <cellStyle name="Normal 2 2 2 22 2" xfId="21692" xr:uid="{00000000-0005-0000-0000-00009C540000}"/>
    <cellStyle name="Normal 2 2 2 23" xfId="14259" xr:uid="{00000000-0005-0000-0000-00009D540000}"/>
    <cellStyle name="Normal 2 2 2 23 2" xfId="21693" xr:uid="{00000000-0005-0000-0000-00009E540000}"/>
    <cellStyle name="Normal 2 2 2 24" xfId="14260" xr:uid="{00000000-0005-0000-0000-00009F540000}"/>
    <cellStyle name="Normal 2 2 2 24 2" xfId="21694" xr:uid="{00000000-0005-0000-0000-0000A0540000}"/>
    <cellStyle name="Normal 2 2 2 25" xfId="14261" xr:uid="{00000000-0005-0000-0000-0000A1540000}"/>
    <cellStyle name="Normal 2 2 2 25 2" xfId="21695" xr:uid="{00000000-0005-0000-0000-0000A2540000}"/>
    <cellStyle name="Normal 2 2 2 26" xfId="14262" xr:uid="{00000000-0005-0000-0000-0000A3540000}"/>
    <cellStyle name="Normal 2 2 2 26 2" xfId="21696" xr:uid="{00000000-0005-0000-0000-0000A4540000}"/>
    <cellStyle name="Normal 2 2 2 27" xfId="14263" xr:uid="{00000000-0005-0000-0000-0000A5540000}"/>
    <cellStyle name="Normal 2 2 2 27 2" xfId="21697" xr:uid="{00000000-0005-0000-0000-0000A6540000}"/>
    <cellStyle name="Normal 2 2 2 28" xfId="14264" xr:uid="{00000000-0005-0000-0000-0000A7540000}"/>
    <cellStyle name="Normal 2 2 2 28 2" xfId="21698" xr:uid="{00000000-0005-0000-0000-0000A8540000}"/>
    <cellStyle name="Normal 2 2 2 29" xfId="14265" xr:uid="{00000000-0005-0000-0000-0000A9540000}"/>
    <cellStyle name="Normal 2 2 2 29 2" xfId="21699" xr:uid="{00000000-0005-0000-0000-0000AA540000}"/>
    <cellStyle name="Normal 2 2 2 3" xfId="14266" xr:uid="{00000000-0005-0000-0000-0000AB540000}"/>
    <cellStyle name="Normal 2 2 2 3 2" xfId="21700" xr:uid="{00000000-0005-0000-0000-0000AC540000}"/>
    <cellStyle name="Normal 2 2 2 30" xfId="14267" xr:uid="{00000000-0005-0000-0000-0000AD540000}"/>
    <cellStyle name="Normal 2 2 2 30 2" xfId="21701" xr:uid="{00000000-0005-0000-0000-0000AE540000}"/>
    <cellStyle name="Normal 2 2 2 31" xfId="14268" xr:uid="{00000000-0005-0000-0000-0000AF540000}"/>
    <cellStyle name="Normal 2 2 2 31 2" xfId="21702" xr:uid="{00000000-0005-0000-0000-0000B0540000}"/>
    <cellStyle name="Normal 2 2 2 32" xfId="14269" xr:uid="{00000000-0005-0000-0000-0000B1540000}"/>
    <cellStyle name="Normal 2 2 2 32 2" xfId="21703" xr:uid="{00000000-0005-0000-0000-0000B2540000}"/>
    <cellStyle name="Normal 2 2 2 33" xfId="14270" xr:uid="{00000000-0005-0000-0000-0000B3540000}"/>
    <cellStyle name="Normal 2 2 2 33 2" xfId="21704" xr:uid="{00000000-0005-0000-0000-0000B4540000}"/>
    <cellStyle name="Normal 2 2 2 34" xfId="14271" xr:uid="{00000000-0005-0000-0000-0000B5540000}"/>
    <cellStyle name="Normal 2 2 2 34 2" xfId="21705" xr:uid="{00000000-0005-0000-0000-0000B6540000}"/>
    <cellStyle name="Normal 2 2 2 35" xfId="14272" xr:uid="{00000000-0005-0000-0000-0000B7540000}"/>
    <cellStyle name="Normal 2 2 2 35 2" xfId="21706" xr:uid="{00000000-0005-0000-0000-0000B8540000}"/>
    <cellStyle name="Normal 2 2 2 36" xfId="14273" xr:uid="{00000000-0005-0000-0000-0000B9540000}"/>
    <cellStyle name="Normal 2 2 2 36 2" xfId="21707" xr:uid="{00000000-0005-0000-0000-0000BA540000}"/>
    <cellStyle name="Normal 2 2 2 37" xfId="14274" xr:uid="{00000000-0005-0000-0000-0000BB540000}"/>
    <cellStyle name="Normal 2 2 2 37 2" xfId="21708" xr:uid="{00000000-0005-0000-0000-0000BC540000}"/>
    <cellStyle name="Normal 2 2 2 38" xfId="14275" xr:uid="{00000000-0005-0000-0000-0000BD540000}"/>
    <cellStyle name="Normal 2 2 2 38 2" xfId="21709" xr:uid="{00000000-0005-0000-0000-0000BE540000}"/>
    <cellStyle name="Normal 2 2 2 39" xfId="14276" xr:uid="{00000000-0005-0000-0000-0000BF540000}"/>
    <cellStyle name="Normal 2 2 2 39 2" xfId="21710" xr:uid="{00000000-0005-0000-0000-0000C0540000}"/>
    <cellStyle name="Normal 2 2 2 4" xfId="14277" xr:uid="{00000000-0005-0000-0000-0000C1540000}"/>
    <cellStyle name="Normal 2 2 2 4 2" xfId="21711" xr:uid="{00000000-0005-0000-0000-0000C2540000}"/>
    <cellStyle name="Normal 2 2 2 40" xfId="14278" xr:uid="{00000000-0005-0000-0000-0000C3540000}"/>
    <cellStyle name="Normal 2 2 2 40 2" xfId="21712" xr:uid="{00000000-0005-0000-0000-0000C4540000}"/>
    <cellStyle name="Normal 2 2 2 41" xfId="14279" xr:uid="{00000000-0005-0000-0000-0000C5540000}"/>
    <cellStyle name="Normal 2 2 2 41 2" xfId="21713" xr:uid="{00000000-0005-0000-0000-0000C6540000}"/>
    <cellStyle name="Normal 2 2 2 42" xfId="14280" xr:uid="{00000000-0005-0000-0000-0000C7540000}"/>
    <cellStyle name="Normal 2 2 2 42 2" xfId="21714" xr:uid="{00000000-0005-0000-0000-0000C8540000}"/>
    <cellStyle name="Normal 2 2 2 43" xfId="14281" xr:uid="{00000000-0005-0000-0000-0000C9540000}"/>
    <cellStyle name="Normal 2 2 2 5" xfId="14282" xr:uid="{00000000-0005-0000-0000-0000CA540000}"/>
    <cellStyle name="Normal 2 2 2 5 2" xfId="21715" xr:uid="{00000000-0005-0000-0000-0000CB540000}"/>
    <cellStyle name="Normal 2 2 2 6" xfId="14283" xr:uid="{00000000-0005-0000-0000-0000CC540000}"/>
    <cellStyle name="Normal 2 2 2 6 2" xfId="21716" xr:uid="{00000000-0005-0000-0000-0000CD540000}"/>
    <cellStyle name="Normal 2 2 2 7" xfId="14284" xr:uid="{00000000-0005-0000-0000-0000CE540000}"/>
    <cellStyle name="Normal 2 2 2 7 2" xfId="21717" xr:uid="{00000000-0005-0000-0000-0000CF540000}"/>
    <cellStyle name="Normal 2 2 2 8" xfId="14285" xr:uid="{00000000-0005-0000-0000-0000D0540000}"/>
    <cellStyle name="Normal 2 2 2 8 2" xfId="21718" xr:uid="{00000000-0005-0000-0000-0000D1540000}"/>
    <cellStyle name="Normal 2 2 2 9" xfId="14286" xr:uid="{00000000-0005-0000-0000-0000D2540000}"/>
    <cellStyle name="Normal 2 2 2 9 2" xfId="21719" xr:uid="{00000000-0005-0000-0000-0000D3540000}"/>
    <cellStyle name="Normal 2 2 2_DATA Input" xfId="14287" xr:uid="{00000000-0005-0000-0000-0000D4540000}"/>
    <cellStyle name="Normal 2 2 20" xfId="14288" xr:uid="{00000000-0005-0000-0000-0000D5540000}"/>
    <cellStyle name="Normal 2 2 20 2" xfId="21720" xr:uid="{00000000-0005-0000-0000-0000D6540000}"/>
    <cellStyle name="Normal 2 2 21" xfId="14289" xr:uid="{00000000-0005-0000-0000-0000D7540000}"/>
    <cellStyle name="Normal 2 2 21 2" xfId="21721" xr:uid="{00000000-0005-0000-0000-0000D8540000}"/>
    <cellStyle name="Normal 2 2 22" xfId="14290" xr:uid="{00000000-0005-0000-0000-0000D9540000}"/>
    <cellStyle name="Normal 2 2 22 2" xfId="21722" xr:uid="{00000000-0005-0000-0000-0000DA540000}"/>
    <cellStyle name="Normal 2 2 23" xfId="14291" xr:uid="{00000000-0005-0000-0000-0000DB540000}"/>
    <cellStyle name="Normal 2 2 23 2" xfId="21723" xr:uid="{00000000-0005-0000-0000-0000DC540000}"/>
    <cellStyle name="Normal 2 2 24" xfId="14292" xr:uid="{00000000-0005-0000-0000-0000DD540000}"/>
    <cellStyle name="Normal 2 2 24 2" xfId="21724" xr:uid="{00000000-0005-0000-0000-0000DE540000}"/>
    <cellStyle name="Normal 2 2 25" xfId="14293" xr:uid="{00000000-0005-0000-0000-0000DF540000}"/>
    <cellStyle name="Normal 2 2 25 2" xfId="21725" xr:uid="{00000000-0005-0000-0000-0000E0540000}"/>
    <cellStyle name="Normal 2 2 26" xfId="14294" xr:uid="{00000000-0005-0000-0000-0000E1540000}"/>
    <cellStyle name="Normal 2 2 26 2" xfId="21726" xr:uid="{00000000-0005-0000-0000-0000E2540000}"/>
    <cellStyle name="Normal 2 2 27" xfId="14295" xr:uid="{00000000-0005-0000-0000-0000E3540000}"/>
    <cellStyle name="Normal 2 2 27 2" xfId="21727" xr:uid="{00000000-0005-0000-0000-0000E4540000}"/>
    <cellStyle name="Normal 2 2 28" xfId="14296" xr:uid="{00000000-0005-0000-0000-0000E5540000}"/>
    <cellStyle name="Normal 2 2 28 2" xfId="21728" xr:uid="{00000000-0005-0000-0000-0000E6540000}"/>
    <cellStyle name="Normal 2 2 29" xfId="14297" xr:uid="{00000000-0005-0000-0000-0000E7540000}"/>
    <cellStyle name="Normal 2 2 29 2" xfId="21729" xr:uid="{00000000-0005-0000-0000-0000E8540000}"/>
    <cellStyle name="Normal 2 2 3" xfId="364" xr:uid="{00000000-0005-0000-0000-0000E9540000}"/>
    <cellStyle name="Normal 2 2 3 10" xfId="14298" xr:uid="{00000000-0005-0000-0000-0000EA540000}"/>
    <cellStyle name="Normal 2 2 3 10 2" xfId="21730" xr:uid="{00000000-0005-0000-0000-0000EB540000}"/>
    <cellStyle name="Normal 2 2 3 11" xfId="14299" xr:uid="{00000000-0005-0000-0000-0000EC540000}"/>
    <cellStyle name="Normal 2 2 3 11 2" xfId="21731" xr:uid="{00000000-0005-0000-0000-0000ED540000}"/>
    <cellStyle name="Normal 2 2 3 12" xfId="14300" xr:uid="{00000000-0005-0000-0000-0000EE540000}"/>
    <cellStyle name="Normal 2 2 3 12 2" xfId="21732" xr:uid="{00000000-0005-0000-0000-0000EF540000}"/>
    <cellStyle name="Normal 2 2 3 13" xfId="14301" xr:uid="{00000000-0005-0000-0000-0000F0540000}"/>
    <cellStyle name="Normal 2 2 3 13 2" xfId="21733" xr:uid="{00000000-0005-0000-0000-0000F1540000}"/>
    <cellStyle name="Normal 2 2 3 14" xfId="14302" xr:uid="{00000000-0005-0000-0000-0000F2540000}"/>
    <cellStyle name="Normal 2 2 3 14 2" xfId="21734" xr:uid="{00000000-0005-0000-0000-0000F3540000}"/>
    <cellStyle name="Normal 2 2 3 15" xfId="14303" xr:uid="{00000000-0005-0000-0000-0000F4540000}"/>
    <cellStyle name="Normal 2 2 3 15 2" xfId="21735" xr:uid="{00000000-0005-0000-0000-0000F5540000}"/>
    <cellStyle name="Normal 2 2 3 16" xfId="14304" xr:uid="{00000000-0005-0000-0000-0000F6540000}"/>
    <cellStyle name="Normal 2 2 3 16 2" xfId="21736" xr:uid="{00000000-0005-0000-0000-0000F7540000}"/>
    <cellStyle name="Normal 2 2 3 17" xfId="14305" xr:uid="{00000000-0005-0000-0000-0000F8540000}"/>
    <cellStyle name="Normal 2 2 3 17 2" xfId="21737" xr:uid="{00000000-0005-0000-0000-0000F9540000}"/>
    <cellStyle name="Normal 2 2 3 18" xfId="14306" xr:uid="{00000000-0005-0000-0000-0000FA540000}"/>
    <cellStyle name="Normal 2 2 3 18 2" xfId="21738" xr:uid="{00000000-0005-0000-0000-0000FB540000}"/>
    <cellStyle name="Normal 2 2 3 19" xfId="14307" xr:uid="{00000000-0005-0000-0000-0000FC540000}"/>
    <cellStyle name="Normal 2 2 3 19 2" xfId="21739" xr:uid="{00000000-0005-0000-0000-0000FD540000}"/>
    <cellStyle name="Normal 2 2 3 2" xfId="365" xr:uid="{00000000-0005-0000-0000-0000FE540000}"/>
    <cellStyle name="Normal 2 2 3 20" xfId="14308" xr:uid="{00000000-0005-0000-0000-0000FF540000}"/>
    <cellStyle name="Normal 2 2 3 20 2" xfId="21740" xr:uid="{00000000-0005-0000-0000-000000550000}"/>
    <cellStyle name="Normal 2 2 3 21" xfId="14309" xr:uid="{00000000-0005-0000-0000-000001550000}"/>
    <cellStyle name="Normal 2 2 3 21 2" xfId="21741" xr:uid="{00000000-0005-0000-0000-000002550000}"/>
    <cellStyle name="Normal 2 2 3 22" xfId="14310" xr:uid="{00000000-0005-0000-0000-000003550000}"/>
    <cellStyle name="Normal 2 2 3 22 2" xfId="21742" xr:uid="{00000000-0005-0000-0000-000004550000}"/>
    <cellStyle name="Normal 2 2 3 23" xfId="14311" xr:uid="{00000000-0005-0000-0000-000005550000}"/>
    <cellStyle name="Normal 2 2 3 23 2" xfId="21743" xr:uid="{00000000-0005-0000-0000-000006550000}"/>
    <cellStyle name="Normal 2 2 3 24" xfId="14312" xr:uid="{00000000-0005-0000-0000-000007550000}"/>
    <cellStyle name="Normal 2 2 3 24 2" xfId="21744" xr:uid="{00000000-0005-0000-0000-000008550000}"/>
    <cellStyle name="Normal 2 2 3 25" xfId="14313" xr:uid="{00000000-0005-0000-0000-000009550000}"/>
    <cellStyle name="Normal 2 2 3 25 2" xfId="21745" xr:uid="{00000000-0005-0000-0000-00000A550000}"/>
    <cellStyle name="Normal 2 2 3 26" xfId="14314" xr:uid="{00000000-0005-0000-0000-00000B550000}"/>
    <cellStyle name="Normal 2 2 3 26 2" xfId="21746" xr:uid="{00000000-0005-0000-0000-00000C550000}"/>
    <cellStyle name="Normal 2 2 3 27" xfId="14315" xr:uid="{00000000-0005-0000-0000-00000D550000}"/>
    <cellStyle name="Normal 2 2 3 27 2" xfId="21747" xr:uid="{00000000-0005-0000-0000-00000E550000}"/>
    <cellStyle name="Normal 2 2 3 28" xfId="14316" xr:uid="{00000000-0005-0000-0000-00000F550000}"/>
    <cellStyle name="Normal 2 2 3 28 2" xfId="21748" xr:uid="{00000000-0005-0000-0000-000010550000}"/>
    <cellStyle name="Normal 2 2 3 29" xfId="14317" xr:uid="{00000000-0005-0000-0000-000011550000}"/>
    <cellStyle name="Normal 2 2 3 29 2" xfId="21749" xr:uid="{00000000-0005-0000-0000-000012550000}"/>
    <cellStyle name="Normal 2 2 3 3" xfId="14318" xr:uid="{00000000-0005-0000-0000-000013550000}"/>
    <cellStyle name="Normal 2 2 3 3 2" xfId="21750" xr:uid="{00000000-0005-0000-0000-000014550000}"/>
    <cellStyle name="Normal 2 2 3 30" xfId="14319" xr:uid="{00000000-0005-0000-0000-000015550000}"/>
    <cellStyle name="Normal 2 2 3 30 2" xfId="21751" xr:uid="{00000000-0005-0000-0000-000016550000}"/>
    <cellStyle name="Normal 2 2 3 31" xfId="14320" xr:uid="{00000000-0005-0000-0000-000017550000}"/>
    <cellStyle name="Normal 2 2 3 31 2" xfId="21752" xr:uid="{00000000-0005-0000-0000-000018550000}"/>
    <cellStyle name="Normal 2 2 3 32" xfId="14321" xr:uid="{00000000-0005-0000-0000-000019550000}"/>
    <cellStyle name="Normal 2 2 3 32 2" xfId="21753" xr:uid="{00000000-0005-0000-0000-00001A550000}"/>
    <cellStyle name="Normal 2 2 3 33" xfId="14322" xr:uid="{00000000-0005-0000-0000-00001B550000}"/>
    <cellStyle name="Normal 2 2 3 33 2" xfId="21754" xr:uid="{00000000-0005-0000-0000-00001C550000}"/>
    <cellStyle name="Normal 2 2 3 34" xfId="14323" xr:uid="{00000000-0005-0000-0000-00001D550000}"/>
    <cellStyle name="Normal 2 2 3 34 2" xfId="21755" xr:uid="{00000000-0005-0000-0000-00001E550000}"/>
    <cellStyle name="Normal 2 2 3 35" xfId="14324" xr:uid="{00000000-0005-0000-0000-00001F550000}"/>
    <cellStyle name="Normal 2 2 3 35 2" xfId="21756" xr:uid="{00000000-0005-0000-0000-000020550000}"/>
    <cellStyle name="Normal 2 2 3 36" xfId="14325" xr:uid="{00000000-0005-0000-0000-000021550000}"/>
    <cellStyle name="Normal 2 2 3 36 2" xfId="21757" xr:uid="{00000000-0005-0000-0000-000022550000}"/>
    <cellStyle name="Normal 2 2 3 37" xfId="14326" xr:uid="{00000000-0005-0000-0000-000023550000}"/>
    <cellStyle name="Normal 2 2 3 37 2" xfId="21758" xr:uid="{00000000-0005-0000-0000-000024550000}"/>
    <cellStyle name="Normal 2 2 3 38" xfId="14327" xr:uid="{00000000-0005-0000-0000-000025550000}"/>
    <cellStyle name="Normal 2 2 3 38 2" xfId="21759" xr:uid="{00000000-0005-0000-0000-000026550000}"/>
    <cellStyle name="Normal 2 2 3 39" xfId="14328" xr:uid="{00000000-0005-0000-0000-000027550000}"/>
    <cellStyle name="Normal 2 2 3 39 2" xfId="21760" xr:uid="{00000000-0005-0000-0000-000028550000}"/>
    <cellStyle name="Normal 2 2 3 4" xfId="14329" xr:uid="{00000000-0005-0000-0000-000029550000}"/>
    <cellStyle name="Normal 2 2 3 4 2" xfId="21761" xr:uid="{00000000-0005-0000-0000-00002A550000}"/>
    <cellStyle name="Normal 2 2 3 40" xfId="14330" xr:uid="{00000000-0005-0000-0000-00002B550000}"/>
    <cellStyle name="Normal 2 2 3 40 2" xfId="21762" xr:uid="{00000000-0005-0000-0000-00002C550000}"/>
    <cellStyle name="Normal 2 2 3 41" xfId="14331" xr:uid="{00000000-0005-0000-0000-00002D550000}"/>
    <cellStyle name="Normal 2 2 3 41 2" xfId="21763" xr:uid="{00000000-0005-0000-0000-00002E550000}"/>
    <cellStyle name="Normal 2 2 3 42" xfId="14332" xr:uid="{00000000-0005-0000-0000-00002F550000}"/>
    <cellStyle name="Normal 2 2 3 42 2" xfId="21764" xr:uid="{00000000-0005-0000-0000-000030550000}"/>
    <cellStyle name="Normal 2 2 3 5" xfId="14333" xr:uid="{00000000-0005-0000-0000-000031550000}"/>
    <cellStyle name="Normal 2 2 3 5 2" xfId="21765" xr:uid="{00000000-0005-0000-0000-000032550000}"/>
    <cellStyle name="Normal 2 2 3 6" xfId="14334" xr:uid="{00000000-0005-0000-0000-000033550000}"/>
    <cellStyle name="Normal 2 2 3 6 2" xfId="21766" xr:uid="{00000000-0005-0000-0000-000034550000}"/>
    <cellStyle name="Normal 2 2 3 7" xfId="14335" xr:uid="{00000000-0005-0000-0000-000035550000}"/>
    <cellStyle name="Normal 2 2 3 7 2" xfId="21767" xr:uid="{00000000-0005-0000-0000-000036550000}"/>
    <cellStyle name="Normal 2 2 3 8" xfId="14336" xr:uid="{00000000-0005-0000-0000-000037550000}"/>
    <cellStyle name="Normal 2 2 3 8 2" xfId="21768" xr:uid="{00000000-0005-0000-0000-000038550000}"/>
    <cellStyle name="Normal 2 2 3 9" xfId="14337" xr:uid="{00000000-0005-0000-0000-000039550000}"/>
    <cellStyle name="Normal 2 2 3 9 2" xfId="21769" xr:uid="{00000000-0005-0000-0000-00003A550000}"/>
    <cellStyle name="Normal 2 2 3_DATA Input" xfId="14338" xr:uid="{00000000-0005-0000-0000-00003B550000}"/>
    <cellStyle name="Normal 2 2 30" xfId="14339" xr:uid="{00000000-0005-0000-0000-00003C550000}"/>
    <cellStyle name="Normal 2 2 30 2" xfId="21770" xr:uid="{00000000-0005-0000-0000-00003D550000}"/>
    <cellStyle name="Normal 2 2 31" xfId="14340" xr:uid="{00000000-0005-0000-0000-00003E550000}"/>
    <cellStyle name="Normal 2 2 31 2" xfId="21771" xr:uid="{00000000-0005-0000-0000-00003F550000}"/>
    <cellStyle name="Normal 2 2 32" xfId="14341" xr:uid="{00000000-0005-0000-0000-000040550000}"/>
    <cellStyle name="Normal 2 2 32 2" xfId="21772" xr:uid="{00000000-0005-0000-0000-000041550000}"/>
    <cellStyle name="Normal 2 2 33" xfId="14342" xr:uid="{00000000-0005-0000-0000-000042550000}"/>
    <cellStyle name="Normal 2 2 33 2" xfId="21773" xr:uid="{00000000-0005-0000-0000-000043550000}"/>
    <cellStyle name="Normal 2 2 34" xfId="14343" xr:uid="{00000000-0005-0000-0000-000044550000}"/>
    <cellStyle name="Normal 2 2 34 2" xfId="21774" xr:uid="{00000000-0005-0000-0000-000045550000}"/>
    <cellStyle name="Normal 2 2 35" xfId="14344" xr:uid="{00000000-0005-0000-0000-000046550000}"/>
    <cellStyle name="Normal 2 2 35 2" xfId="21775" xr:uid="{00000000-0005-0000-0000-000047550000}"/>
    <cellStyle name="Normal 2 2 36" xfId="14345" xr:uid="{00000000-0005-0000-0000-000048550000}"/>
    <cellStyle name="Normal 2 2 36 2" xfId="21776" xr:uid="{00000000-0005-0000-0000-000049550000}"/>
    <cellStyle name="Normal 2 2 37" xfId="14346" xr:uid="{00000000-0005-0000-0000-00004A550000}"/>
    <cellStyle name="Normal 2 2 37 2" xfId="21777" xr:uid="{00000000-0005-0000-0000-00004B550000}"/>
    <cellStyle name="Normal 2 2 38" xfId="14347" xr:uid="{00000000-0005-0000-0000-00004C550000}"/>
    <cellStyle name="Normal 2 2 38 2" xfId="21778" xr:uid="{00000000-0005-0000-0000-00004D550000}"/>
    <cellStyle name="Normal 2 2 39" xfId="14348" xr:uid="{00000000-0005-0000-0000-00004E550000}"/>
    <cellStyle name="Normal 2 2 39 2" xfId="21779" xr:uid="{00000000-0005-0000-0000-00004F550000}"/>
    <cellStyle name="Normal 2 2 4" xfId="366" xr:uid="{00000000-0005-0000-0000-000050550000}"/>
    <cellStyle name="Normal 2 2 40" xfId="14349" xr:uid="{00000000-0005-0000-0000-000051550000}"/>
    <cellStyle name="Normal 2 2 40 2" xfId="21780" xr:uid="{00000000-0005-0000-0000-000052550000}"/>
    <cellStyle name="Normal 2 2 41" xfId="14350" xr:uid="{00000000-0005-0000-0000-000053550000}"/>
    <cellStyle name="Normal 2 2 41 2" xfId="21781" xr:uid="{00000000-0005-0000-0000-000054550000}"/>
    <cellStyle name="Normal 2 2 42" xfId="14351" xr:uid="{00000000-0005-0000-0000-000055550000}"/>
    <cellStyle name="Normal 2 2 42 2" xfId="21782" xr:uid="{00000000-0005-0000-0000-000056550000}"/>
    <cellStyle name="Normal 2 2 43" xfId="14352" xr:uid="{00000000-0005-0000-0000-000057550000}"/>
    <cellStyle name="Normal 2 2 43 2" xfId="21783" xr:uid="{00000000-0005-0000-0000-000058550000}"/>
    <cellStyle name="Normal 2 2 44" xfId="14353" xr:uid="{00000000-0005-0000-0000-000059550000}"/>
    <cellStyle name="Normal 2 2 44 2" xfId="21784" xr:uid="{00000000-0005-0000-0000-00005A550000}"/>
    <cellStyle name="Normal 2 2 45" xfId="14354" xr:uid="{00000000-0005-0000-0000-00005B550000}"/>
    <cellStyle name="Normal 2 2 45 2" xfId="21785" xr:uid="{00000000-0005-0000-0000-00005C550000}"/>
    <cellStyle name="Normal 2 2 46" xfId="14355" xr:uid="{00000000-0005-0000-0000-00005D550000}"/>
    <cellStyle name="Normal 2 2 46 2" xfId="21786" xr:uid="{00000000-0005-0000-0000-00005E550000}"/>
    <cellStyle name="Normal 2 2 47" xfId="14356" xr:uid="{00000000-0005-0000-0000-00005F550000}"/>
    <cellStyle name="Normal 2 2 47 2" xfId="21787" xr:uid="{00000000-0005-0000-0000-000060550000}"/>
    <cellStyle name="Normal 2 2 48" xfId="14357" xr:uid="{00000000-0005-0000-0000-000061550000}"/>
    <cellStyle name="Normal 2 2 48 2" xfId="21788" xr:uid="{00000000-0005-0000-0000-000062550000}"/>
    <cellStyle name="Normal 2 2 49" xfId="14358" xr:uid="{00000000-0005-0000-0000-000063550000}"/>
    <cellStyle name="Normal 2 2 49 2" xfId="21789" xr:uid="{00000000-0005-0000-0000-000064550000}"/>
    <cellStyle name="Normal 2 2 5" xfId="367" xr:uid="{00000000-0005-0000-0000-000065550000}"/>
    <cellStyle name="Normal 2 2 50" xfId="14359" xr:uid="{00000000-0005-0000-0000-000066550000}"/>
    <cellStyle name="Normal 2 2 51" xfId="14360" xr:uid="{00000000-0005-0000-0000-000067550000}"/>
    <cellStyle name="Normal 2 2 51 2" xfId="21790" xr:uid="{00000000-0005-0000-0000-000068550000}"/>
    <cellStyle name="Normal 2 2 52" xfId="14361" xr:uid="{00000000-0005-0000-0000-000069550000}"/>
    <cellStyle name="Normal 2 2 53" xfId="14362" xr:uid="{00000000-0005-0000-0000-00006A550000}"/>
    <cellStyle name="Normal 2 2 54" xfId="14363" xr:uid="{00000000-0005-0000-0000-00006B550000}"/>
    <cellStyle name="Normal 2 2 55" xfId="14364" xr:uid="{00000000-0005-0000-0000-00006C550000}"/>
    <cellStyle name="Normal 2 2 56" xfId="14365" xr:uid="{00000000-0005-0000-0000-00006D550000}"/>
    <cellStyle name="Normal 2 2 57" xfId="14366" xr:uid="{00000000-0005-0000-0000-00006E550000}"/>
    <cellStyle name="Normal 2 2 58" xfId="14367" xr:uid="{00000000-0005-0000-0000-00006F550000}"/>
    <cellStyle name="Normal 2 2 59" xfId="14368" xr:uid="{00000000-0005-0000-0000-000070550000}"/>
    <cellStyle name="Normal 2 2 6" xfId="368" xr:uid="{00000000-0005-0000-0000-000071550000}"/>
    <cellStyle name="Normal 2 2 60" xfId="14369" xr:uid="{00000000-0005-0000-0000-000073550000}"/>
    <cellStyle name="Normal 2 2 61" xfId="14370" xr:uid="{00000000-0005-0000-0000-000074550000}"/>
    <cellStyle name="Normal 2 2 62" xfId="14371" xr:uid="{00000000-0005-0000-0000-000075550000}"/>
    <cellStyle name="Normal 2 2 63" xfId="14372" xr:uid="{00000000-0005-0000-0000-000076550000}"/>
    <cellStyle name="Normal 2 2 64" xfId="14373" xr:uid="{00000000-0005-0000-0000-000077550000}"/>
    <cellStyle name="Normal 2 2 65" xfId="14374" xr:uid="{00000000-0005-0000-0000-000078550000}"/>
    <cellStyle name="Normal 2 2 66" xfId="14375" xr:uid="{00000000-0005-0000-0000-000079550000}"/>
    <cellStyle name="Normal 2 2 67" xfId="14376" xr:uid="{00000000-0005-0000-0000-00007A550000}"/>
    <cellStyle name="Normal 2 2 68" xfId="14377" xr:uid="{00000000-0005-0000-0000-00007B550000}"/>
    <cellStyle name="Normal 2 2 69" xfId="14378" xr:uid="{00000000-0005-0000-0000-00007C550000}"/>
    <cellStyle name="Normal 2 2 7" xfId="14379" xr:uid="{00000000-0005-0000-0000-00007D550000}"/>
    <cellStyle name="Normal 2 2 7 2" xfId="22809" xr:uid="{00000000-0005-0000-0000-00007E550000}"/>
    <cellStyle name="Normal 2 2 70" xfId="14380" xr:uid="{00000000-0005-0000-0000-00007F550000}"/>
    <cellStyle name="Normal 2 2 71" xfId="14381" xr:uid="{00000000-0005-0000-0000-000080550000}"/>
    <cellStyle name="Normal 2 2 72" xfId="14382" xr:uid="{00000000-0005-0000-0000-000081550000}"/>
    <cellStyle name="Normal 2 2 73" xfId="14383" xr:uid="{00000000-0005-0000-0000-000082550000}"/>
    <cellStyle name="Normal 2 2 74" xfId="14384" xr:uid="{00000000-0005-0000-0000-000083550000}"/>
    <cellStyle name="Normal 2 2 75" xfId="14385" xr:uid="{00000000-0005-0000-0000-000084550000}"/>
    <cellStyle name="Normal 2 2 8" xfId="14386" xr:uid="{00000000-0005-0000-0000-000085550000}"/>
    <cellStyle name="Normal 2 2 9" xfId="369" xr:uid="{00000000-0005-0000-0000-000086550000}"/>
    <cellStyle name="Normal 2 2_Book1" xfId="370" xr:uid="{00000000-0005-0000-0000-000087550000}"/>
    <cellStyle name="Normal 2 20" xfId="14387" xr:uid="{00000000-0005-0000-0000-000088550000}"/>
    <cellStyle name="Normal 2 20 10" xfId="21791" xr:uid="{00000000-0005-0000-0000-000089550000}"/>
    <cellStyle name="Normal 2 20 2" xfId="14388" xr:uid="{00000000-0005-0000-0000-00008A550000}"/>
    <cellStyle name="Normal 2 20 2 2" xfId="14389" xr:uid="{00000000-0005-0000-0000-00008B550000}"/>
    <cellStyle name="Normal 2 20 2 2 2" xfId="14390" xr:uid="{00000000-0005-0000-0000-00008C550000}"/>
    <cellStyle name="Normal 2 20 2 2 3" xfId="14391" xr:uid="{00000000-0005-0000-0000-00008D550000}"/>
    <cellStyle name="Normal 2 20 2 2_DATA Input" xfId="14392" xr:uid="{00000000-0005-0000-0000-00008E550000}"/>
    <cellStyle name="Normal 2 20 2 3" xfId="14393" xr:uid="{00000000-0005-0000-0000-00008F550000}"/>
    <cellStyle name="Normal 2 20 2_DATA Input" xfId="14394" xr:uid="{00000000-0005-0000-0000-000090550000}"/>
    <cellStyle name="Normal 2 20 3" xfId="14395" xr:uid="{00000000-0005-0000-0000-000091550000}"/>
    <cellStyle name="Normal 2 20 4" xfId="14396" xr:uid="{00000000-0005-0000-0000-000092550000}"/>
    <cellStyle name="Normal 2 20 5" xfId="14397" xr:uid="{00000000-0005-0000-0000-000093550000}"/>
    <cellStyle name="Normal 2 20 6" xfId="14398" xr:uid="{00000000-0005-0000-0000-000094550000}"/>
    <cellStyle name="Normal 2 20 7" xfId="14399" xr:uid="{00000000-0005-0000-0000-000095550000}"/>
    <cellStyle name="Normal 2 20 8" xfId="14400" xr:uid="{00000000-0005-0000-0000-000096550000}"/>
    <cellStyle name="Normal 2 20 9" xfId="14401" xr:uid="{00000000-0005-0000-0000-000097550000}"/>
    <cellStyle name="Normal 2 20_DATA Input" xfId="14402" xr:uid="{00000000-0005-0000-0000-000098550000}"/>
    <cellStyle name="Normal 2 21" xfId="14403" xr:uid="{00000000-0005-0000-0000-000099550000}"/>
    <cellStyle name="Normal 2 21 2" xfId="14404" xr:uid="{00000000-0005-0000-0000-00009A550000}"/>
    <cellStyle name="Normal 2 21 2 2" xfId="14405" xr:uid="{00000000-0005-0000-0000-00009B550000}"/>
    <cellStyle name="Normal 2 21 2 2 2" xfId="14406" xr:uid="{00000000-0005-0000-0000-00009C550000}"/>
    <cellStyle name="Normal 2 21 2 2 3" xfId="14407" xr:uid="{00000000-0005-0000-0000-00009D550000}"/>
    <cellStyle name="Normal 2 21 2 2_DATA Input" xfId="14408" xr:uid="{00000000-0005-0000-0000-00009E550000}"/>
    <cellStyle name="Normal 2 21 2 3" xfId="14409" xr:uid="{00000000-0005-0000-0000-00009F550000}"/>
    <cellStyle name="Normal 2 21 2_DATA Input" xfId="14410" xr:uid="{00000000-0005-0000-0000-0000A0550000}"/>
    <cellStyle name="Normal 2 21 3" xfId="14411" xr:uid="{00000000-0005-0000-0000-0000A1550000}"/>
    <cellStyle name="Normal 2 21 4" xfId="14412" xr:uid="{00000000-0005-0000-0000-0000A2550000}"/>
    <cellStyle name="Normal 2 21 5" xfId="14413" xr:uid="{00000000-0005-0000-0000-0000A3550000}"/>
    <cellStyle name="Normal 2 21 6" xfId="21792" xr:uid="{00000000-0005-0000-0000-0000A4550000}"/>
    <cellStyle name="Normal 2 21_DATA Input" xfId="14414" xr:uid="{00000000-0005-0000-0000-0000A5550000}"/>
    <cellStyle name="Normal 2 22" xfId="14415" xr:uid="{00000000-0005-0000-0000-0000A6550000}"/>
    <cellStyle name="Normal 2 22 2" xfId="21793" xr:uid="{00000000-0005-0000-0000-0000A7550000}"/>
    <cellStyle name="Normal 2 23" xfId="14416" xr:uid="{00000000-0005-0000-0000-0000A8550000}"/>
    <cellStyle name="Normal 2 23 2" xfId="21794" xr:uid="{00000000-0005-0000-0000-0000A9550000}"/>
    <cellStyle name="Normal 2 24" xfId="14417" xr:uid="{00000000-0005-0000-0000-0000AA550000}"/>
    <cellStyle name="Normal 2 24 2" xfId="21795" xr:uid="{00000000-0005-0000-0000-0000AB550000}"/>
    <cellStyle name="Normal 2 240" xfId="22724" xr:uid="{00000000-0005-0000-0000-0000AC550000}"/>
    <cellStyle name="Normal 2 25" xfId="14418" xr:uid="{00000000-0005-0000-0000-0000AD550000}"/>
    <cellStyle name="Normal 2 25 2" xfId="21796" xr:uid="{00000000-0005-0000-0000-0000AE550000}"/>
    <cellStyle name="Normal 2 26" xfId="14419" xr:uid="{00000000-0005-0000-0000-0000AF550000}"/>
    <cellStyle name="Normal 2 26 2" xfId="21797" xr:uid="{00000000-0005-0000-0000-0000B0550000}"/>
    <cellStyle name="Normal 2 27" xfId="14420" xr:uid="{00000000-0005-0000-0000-0000B1550000}"/>
    <cellStyle name="Normal 2 27 2" xfId="21798" xr:uid="{00000000-0005-0000-0000-0000B2550000}"/>
    <cellStyle name="Normal 2 28" xfId="14421" xr:uid="{00000000-0005-0000-0000-0000B3550000}"/>
    <cellStyle name="Normal 2 28 2" xfId="21799" xr:uid="{00000000-0005-0000-0000-0000B4550000}"/>
    <cellStyle name="Normal 2 29" xfId="14422" xr:uid="{00000000-0005-0000-0000-0000B5550000}"/>
    <cellStyle name="Normal 2 29 2" xfId="21800" xr:uid="{00000000-0005-0000-0000-0000B6550000}"/>
    <cellStyle name="Normal 2 3" xfId="371" xr:uid="{00000000-0005-0000-0000-0000B7550000}"/>
    <cellStyle name="Normal 2 3 10" xfId="14423" xr:uid="{00000000-0005-0000-0000-0000B8550000}"/>
    <cellStyle name="Normal 2 3 10 2" xfId="21801" xr:uid="{00000000-0005-0000-0000-0000B9550000}"/>
    <cellStyle name="Normal 2 3 11" xfId="14424" xr:uid="{00000000-0005-0000-0000-0000BA550000}"/>
    <cellStyle name="Normal 2 3 11 2" xfId="21802" xr:uid="{00000000-0005-0000-0000-0000BB550000}"/>
    <cellStyle name="Normal 2 3 12" xfId="14425" xr:uid="{00000000-0005-0000-0000-0000BC550000}"/>
    <cellStyle name="Normal 2 3 12 2" xfId="21803" xr:uid="{00000000-0005-0000-0000-0000BD550000}"/>
    <cellStyle name="Normal 2 3 13" xfId="14426" xr:uid="{00000000-0005-0000-0000-0000BE550000}"/>
    <cellStyle name="Normal 2 3 13 2" xfId="21804" xr:uid="{00000000-0005-0000-0000-0000BF550000}"/>
    <cellStyle name="Normal 2 3 14" xfId="14427" xr:uid="{00000000-0005-0000-0000-0000C0550000}"/>
    <cellStyle name="Normal 2 3 14 2" xfId="21805" xr:uid="{00000000-0005-0000-0000-0000C1550000}"/>
    <cellStyle name="Normal 2 3 15" xfId="14428" xr:uid="{00000000-0005-0000-0000-0000C2550000}"/>
    <cellStyle name="Normal 2 3 15 2" xfId="21806" xr:uid="{00000000-0005-0000-0000-0000C3550000}"/>
    <cellStyle name="Normal 2 3 16" xfId="14429" xr:uid="{00000000-0005-0000-0000-0000C4550000}"/>
    <cellStyle name="Normal 2 3 16 2" xfId="21807" xr:uid="{00000000-0005-0000-0000-0000C5550000}"/>
    <cellStyle name="Normal 2 3 17" xfId="14430" xr:uid="{00000000-0005-0000-0000-0000C6550000}"/>
    <cellStyle name="Normal 2 3 17 2" xfId="21808" xr:uid="{00000000-0005-0000-0000-0000C7550000}"/>
    <cellStyle name="Normal 2 3 18" xfId="14431" xr:uid="{00000000-0005-0000-0000-0000C8550000}"/>
    <cellStyle name="Normal 2 3 18 2" xfId="21809" xr:uid="{00000000-0005-0000-0000-0000C9550000}"/>
    <cellStyle name="Normal 2 3 19" xfId="14432" xr:uid="{00000000-0005-0000-0000-0000CA550000}"/>
    <cellStyle name="Normal 2 3 19 2" xfId="21810" xr:uid="{00000000-0005-0000-0000-0000CB550000}"/>
    <cellStyle name="Normal 2 3 2" xfId="372" xr:uid="{00000000-0005-0000-0000-0000CC550000}"/>
    <cellStyle name="Normal 2 3 20" xfId="14433" xr:uid="{00000000-0005-0000-0000-0000CD550000}"/>
    <cellStyle name="Normal 2 3 20 2" xfId="21811" xr:uid="{00000000-0005-0000-0000-0000CE550000}"/>
    <cellStyle name="Normal 2 3 21" xfId="14434" xr:uid="{00000000-0005-0000-0000-0000CF550000}"/>
    <cellStyle name="Normal 2 3 21 2" xfId="21812" xr:uid="{00000000-0005-0000-0000-0000D0550000}"/>
    <cellStyle name="Normal 2 3 22" xfId="14435" xr:uid="{00000000-0005-0000-0000-0000D1550000}"/>
    <cellStyle name="Normal 2 3 22 2" xfId="21813" xr:uid="{00000000-0005-0000-0000-0000D2550000}"/>
    <cellStyle name="Normal 2 3 23" xfId="14436" xr:uid="{00000000-0005-0000-0000-0000D3550000}"/>
    <cellStyle name="Normal 2 3 23 2" xfId="21814" xr:uid="{00000000-0005-0000-0000-0000D4550000}"/>
    <cellStyle name="Normal 2 3 24" xfId="14437" xr:uid="{00000000-0005-0000-0000-0000D5550000}"/>
    <cellStyle name="Normal 2 3 24 2" xfId="21815" xr:uid="{00000000-0005-0000-0000-0000D6550000}"/>
    <cellStyle name="Normal 2 3 25" xfId="14438" xr:uid="{00000000-0005-0000-0000-0000D7550000}"/>
    <cellStyle name="Normal 2 3 25 2" xfId="21816" xr:uid="{00000000-0005-0000-0000-0000D8550000}"/>
    <cellStyle name="Normal 2 3 26" xfId="14439" xr:uid="{00000000-0005-0000-0000-0000D9550000}"/>
    <cellStyle name="Normal 2 3 26 2" xfId="21817" xr:uid="{00000000-0005-0000-0000-0000DA550000}"/>
    <cellStyle name="Normal 2 3 27" xfId="14440" xr:uid="{00000000-0005-0000-0000-0000DB550000}"/>
    <cellStyle name="Normal 2 3 27 2" xfId="21818" xr:uid="{00000000-0005-0000-0000-0000DC550000}"/>
    <cellStyle name="Normal 2 3 28" xfId="14441" xr:uid="{00000000-0005-0000-0000-0000DD550000}"/>
    <cellStyle name="Normal 2 3 28 2" xfId="21819" xr:uid="{00000000-0005-0000-0000-0000DE550000}"/>
    <cellStyle name="Normal 2 3 29" xfId="14442" xr:uid="{00000000-0005-0000-0000-0000DF550000}"/>
    <cellStyle name="Normal 2 3 29 2" xfId="21820" xr:uid="{00000000-0005-0000-0000-0000E0550000}"/>
    <cellStyle name="Normal 2 3 3" xfId="14443" xr:uid="{00000000-0005-0000-0000-0000E1550000}"/>
    <cellStyle name="Normal 2 3 3 2" xfId="21821" xr:uid="{00000000-0005-0000-0000-0000E2550000}"/>
    <cellStyle name="Normal 2 3 30" xfId="14444" xr:uid="{00000000-0005-0000-0000-0000E3550000}"/>
    <cellStyle name="Normal 2 3 30 2" xfId="21822" xr:uid="{00000000-0005-0000-0000-0000E4550000}"/>
    <cellStyle name="Normal 2 3 31" xfId="14445" xr:uid="{00000000-0005-0000-0000-0000E5550000}"/>
    <cellStyle name="Normal 2 3 31 2" xfId="21823" xr:uid="{00000000-0005-0000-0000-0000E6550000}"/>
    <cellStyle name="Normal 2 3 32" xfId="14446" xr:uid="{00000000-0005-0000-0000-0000E7550000}"/>
    <cellStyle name="Normal 2 3 32 2" xfId="21824" xr:uid="{00000000-0005-0000-0000-0000E8550000}"/>
    <cellStyle name="Normal 2 3 33" xfId="14447" xr:uid="{00000000-0005-0000-0000-0000E9550000}"/>
    <cellStyle name="Normal 2 3 33 2" xfId="21825" xr:uid="{00000000-0005-0000-0000-0000EA550000}"/>
    <cellStyle name="Normal 2 3 34" xfId="14448" xr:uid="{00000000-0005-0000-0000-0000EB550000}"/>
    <cellStyle name="Normal 2 3 34 2" xfId="21826" xr:uid="{00000000-0005-0000-0000-0000EC550000}"/>
    <cellStyle name="Normal 2 3 35" xfId="14449" xr:uid="{00000000-0005-0000-0000-0000ED550000}"/>
    <cellStyle name="Normal 2 3 35 2" xfId="21827" xr:uid="{00000000-0005-0000-0000-0000EE550000}"/>
    <cellStyle name="Normal 2 3 36" xfId="14450" xr:uid="{00000000-0005-0000-0000-0000EF550000}"/>
    <cellStyle name="Normal 2 3 36 2" xfId="21828" xr:uid="{00000000-0005-0000-0000-0000F0550000}"/>
    <cellStyle name="Normal 2 3 37" xfId="14451" xr:uid="{00000000-0005-0000-0000-0000F1550000}"/>
    <cellStyle name="Normal 2 3 37 2" xfId="21829" xr:uid="{00000000-0005-0000-0000-0000F2550000}"/>
    <cellStyle name="Normal 2 3 38" xfId="14452" xr:uid="{00000000-0005-0000-0000-0000F3550000}"/>
    <cellStyle name="Normal 2 3 38 2" xfId="21830" xr:uid="{00000000-0005-0000-0000-0000F4550000}"/>
    <cellStyle name="Normal 2 3 39" xfId="14453" xr:uid="{00000000-0005-0000-0000-0000F5550000}"/>
    <cellStyle name="Normal 2 3 39 2" xfId="21831" xr:uid="{00000000-0005-0000-0000-0000F6550000}"/>
    <cellStyle name="Normal 2 3 4" xfId="14454" xr:uid="{00000000-0005-0000-0000-0000F7550000}"/>
    <cellStyle name="Normal 2 3 4 2" xfId="21832" xr:uid="{00000000-0005-0000-0000-0000F8550000}"/>
    <cellStyle name="Normal 2 3 40" xfId="14455" xr:uid="{00000000-0005-0000-0000-0000F9550000}"/>
    <cellStyle name="Normal 2 3 40 2" xfId="21833" xr:uid="{00000000-0005-0000-0000-0000FA550000}"/>
    <cellStyle name="Normal 2 3 41" xfId="14456" xr:uid="{00000000-0005-0000-0000-0000FB550000}"/>
    <cellStyle name="Normal 2 3 41 2" xfId="21834" xr:uid="{00000000-0005-0000-0000-0000FC550000}"/>
    <cellStyle name="Normal 2 3 42" xfId="14457" xr:uid="{00000000-0005-0000-0000-0000FD550000}"/>
    <cellStyle name="Normal 2 3 42 2" xfId="21835" xr:uid="{00000000-0005-0000-0000-0000FE550000}"/>
    <cellStyle name="Normal 2 3 43" xfId="22756" xr:uid="{00000000-0005-0000-0000-0000FF550000}"/>
    <cellStyle name="Normal 2 3 5" xfId="14458" xr:uid="{00000000-0005-0000-0000-000000560000}"/>
    <cellStyle name="Normal 2 3 5 2" xfId="21836" xr:uid="{00000000-0005-0000-0000-000001560000}"/>
    <cellStyle name="Normal 2 3 6" xfId="14459" xr:uid="{00000000-0005-0000-0000-000002560000}"/>
    <cellStyle name="Normal 2 3 6 2" xfId="21837" xr:uid="{00000000-0005-0000-0000-000003560000}"/>
    <cellStyle name="Normal 2 3 6 3" xfId="22775" xr:uid="{00000000-0005-0000-0000-000004560000}"/>
    <cellStyle name="Normal 2 3 7" xfId="14460" xr:uid="{00000000-0005-0000-0000-000005560000}"/>
    <cellStyle name="Normal 2 3 7 2" xfId="21838" xr:uid="{00000000-0005-0000-0000-000006560000}"/>
    <cellStyle name="Normal 2 3 8" xfId="14461" xr:uid="{00000000-0005-0000-0000-000007560000}"/>
    <cellStyle name="Normal 2 3 8 2" xfId="21839" xr:uid="{00000000-0005-0000-0000-000008560000}"/>
    <cellStyle name="Normal 2 3 9" xfId="14462" xr:uid="{00000000-0005-0000-0000-000009560000}"/>
    <cellStyle name="Normal 2 3 9 2" xfId="21840" xr:uid="{00000000-0005-0000-0000-00000A560000}"/>
    <cellStyle name="Normal 2 3_DATA Input" xfId="14463" xr:uid="{00000000-0005-0000-0000-00000B560000}"/>
    <cellStyle name="Normal 2 30" xfId="14464" xr:uid="{00000000-0005-0000-0000-00000C560000}"/>
    <cellStyle name="Normal 2 30 2" xfId="21841" xr:uid="{00000000-0005-0000-0000-00000D560000}"/>
    <cellStyle name="Normal 2 31" xfId="14465" xr:uid="{00000000-0005-0000-0000-00000E560000}"/>
    <cellStyle name="Normal 2 31 2" xfId="21842" xr:uid="{00000000-0005-0000-0000-00000F560000}"/>
    <cellStyle name="Normal 2 32" xfId="14466" xr:uid="{00000000-0005-0000-0000-000010560000}"/>
    <cellStyle name="Normal 2 32 2" xfId="21843" xr:uid="{00000000-0005-0000-0000-000011560000}"/>
    <cellStyle name="Normal 2 33" xfId="14467" xr:uid="{00000000-0005-0000-0000-000012560000}"/>
    <cellStyle name="Normal 2 33 2" xfId="21844" xr:uid="{00000000-0005-0000-0000-000013560000}"/>
    <cellStyle name="Normal 2 34" xfId="14468" xr:uid="{00000000-0005-0000-0000-000014560000}"/>
    <cellStyle name="Normal 2 34 2" xfId="21845" xr:uid="{00000000-0005-0000-0000-000015560000}"/>
    <cellStyle name="Normal 2 35" xfId="14469" xr:uid="{00000000-0005-0000-0000-000016560000}"/>
    <cellStyle name="Normal 2 35 2" xfId="21846" xr:uid="{00000000-0005-0000-0000-000017560000}"/>
    <cellStyle name="Normal 2 36" xfId="14470" xr:uid="{00000000-0005-0000-0000-000018560000}"/>
    <cellStyle name="Normal 2 36 2" xfId="21847" xr:uid="{00000000-0005-0000-0000-000019560000}"/>
    <cellStyle name="Normal 2 37" xfId="14471" xr:uid="{00000000-0005-0000-0000-00001A560000}"/>
    <cellStyle name="Normal 2 37 2" xfId="21848" xr:uid="{00000000-0005-0000-0000-00001B560000}"/>
    <cellStyle name="Normal 2 38" xfId="14472" xr:uid="{00000000-0005-0000-0000-00001C560000}"/>
    <cellStyle name="Normal 2 38 2" xfId="21849" xr:uid="{00000000-0005-0000-0000-00001D560000}"/>
    <cellStyle name="Normal 2 39" xfId="14473" xr:uid="{00000000-0005-0000-0000-00001E560000}"/>
    <cellStyle name="Normal 2 39 2" xfId="21850" xr:uid="{00000000-0005-0000-0000-00001F560000}"/>
    <cellStyle name="Normal 2 4" xfId="373" xr:uid="{00000000-0005-0000-0000-000020560000}"/>
    <cellStyle name="Normal 2 4 10" xfId="14474" xr:uid="{00000000-0005-0000-0000-000021560000}"/>
    <cellStyle name="Normal 2 4 10 2" xfId="21851" xr:uid="{00000000-0005-0000-0000-000022560000}"/>
    <cellStyle name="Normal 2 4 11" xfId="14475" xr:uid="{00000000-0005-0000-0000-000023560000}"/>
    <cellStyle name="Normal 2 4 11 2" xfId="21852" xr:uid="{00000000-0005-0000-0000-000024560000}"/>
    <cellStyle name="Normal 2 4 12" xfId="14476" xr:uid="{00000000-0005-0000-0000-000025560000}"/>
    <cellStyle name="Normal 2 4 12 2" xfId="21853" xr:uid="{00000000-0005-0000-0000-000026560000}"/>
    <cellStyle name="Normal 2 4 13" xfId="14477" xr:uid="{00000000-0005-0000-0000-000027560000}"/>
    <cellStyle name="Normal 2 4 13 2" xfId="21854" xr:uid="{00000000-0005-0000-0000-000028560000}"/>
    <cellStyle name="Normal 2 4 14" xfId="14478" xr:uid="{00000000-0005-0000-0000-000029560000}"/>
    <cellStyle name="Normal 2 4 14 2" xfId="21855" xr:uid="{00000000-0005-0000-0000-00002A560000}"/>
    <cellStyle name="Normal 2 4 15" xfId="14479" xr:uid="{00000000-0005-0000-0000-00002B560000}"/>
    <cellStyle name="Normal 2 4 15 2" xfId="21856" xr:uid="{00000000-0005-0000-0000-00002C560000}"/>
    <cellStyle name="Normal 2 4 16" xfId="14480" xr:uid="{00000000-0005-0000-0000-00002D560000}"/>
    <cellStyle name="Normal 2 4 16 2" xfId="21857" xr:uid="{00000000-0005-0000-0000-00002E560000}"/>
    <cellStyle name="Normal 2 4 17" xfId="14481" xr:uid="{00000000-0005-0000-0000-00002F560000}"/>
    <cellStyle name="Normal 2 4 17 2" xfId="21858" xr:uid="{00000000-0005-0000-0000-000030560000}"/>
    <cellStyle name="Normal 2 4 18" xfId="14482" xr:uid="{00000000-0005-0000-0000-000031560000}"/>
    <cellStyle name="Normal 2 4 18 2" xfId="21859" xr:uid="{00000000-0005-0000-0000-000032560000}"/>
    <cellStyle name="Normal 2 4 19" xfId="14483" xr:uid="{00000000-0005-0000-0000-000033560000}"/>
    <cellStyle name="Normal 2 4 19 2" xfId="21860" xr:uid="{00000000-0005-0000-0000-000034560000}"/>
    <cellStyle name="Normal 2 4 2" xfId="14484" xr:uid="{00000000-0005-0000-0000-000035560000}"/>
    <cellStyle name="Normal 2 4 2 2" xfId="21861" xr:uid="{00000000-0005-0000-0000-000036560000}"/>
    <cellStyle name="Normal 2 4 20" xfId="14485" xr:uid="{00000000-0005-0000-0000-000037560000}"/>
    <cellStyle name="Normal 2 4 20 2" xfId="21862" xr:uid="{00000000-0005-0000-0000-000038560000}"/>
    <cellStyle name="Normal 2 4 21" xfId="14486" xr:uid="{00000000-0005-0000-0000-000039560000}"/>
    <cellStyle name="Normal 2 4 21 2" xfId="21863" xr:uid="{00000000-0005-0000-0000-00003A560000}"/>
    <cellStyle name="Normal 2 4 22" xfId="14487" xr:uid="{00000000-0005-0000-0000-00003B560000}"/>
    <cellStyle name="Normal 2 4 22 2" xfId="21864" xr:uid="{00000000-0005-0000-0000-00003C560000}"/>
    <cellStyle name="Normal 2 4 23" xfId="14488" xr:uid="{00000000-0005-0000-0000-00003D560000}"/>
    <cellStyle name="Normal 2 4 23 2" xfId="21865" xr:uid="{00000000-0005-0000-0000-00003E560000}"/>
    <cellStyle name="Normal 2 4 24" xfId="14489" xr:uid="{00000000-0005-0000-0000-00003F560000}"/>
    <cellStyle name="Normal 2 4 24 2" xfId="21866" xr:uid="{00000000-0005-0000-0000-000040560000}"/>
    <cellStyle name="Normal 2 4 25" xfId="14490" xr:uid="{00000000-0005-0000-0000-000041560000}"/>
    <cellStyle name="Normal 2 4 25 2" xfId="21867" xr:uid="{00000000-0005-0000-0000-000042560000}"/>
    <cellStyle name="Normal 2 4 26" xfId="14491" xr:uid="{00000000-0005-0000-0000-000043560000}"/>
    <cellStyle name="Normal 2 4 26 2" xfId="21868" xr:uid="{00000000-0005-0000-0000-000044560000}"/>
    <cellStyle name="Normal 2 4 27" xfId="14492" xr:uid="{00000000-0005-0000-0000-000045560000}"/>
    <cellStyle name="Normal 2 4 27 2" xfId="21869" xr:uid="{00000000-0005-0000-0000-000046560000}"/>
    <cellStyle name="Normal 2 4 28" xfId="14493" xr:uid="{00000000-0005-0000-0000-000047560000}"/>
    <cellStyle name="Normal 2 4 28 2" xfId="21870" xr:uid="{00000000-0005-0000-0000-000048560000}"/>
    <cellStyle name="Normal 2 4 29" xfId="14494" xr:uid="{00000000-0005-0000-0000-000049560000}"/>
    <cellStyle name="Normal 2 4 29 2" xfId="21871" xr:uid="{00000000-0005-0000-0000-00004A560000}"/>
    <cellStyle name="Normal 2 4 3" xfId="14495" xr:uid="{00000000-0005-0000-0000-00004B560000}"/>
    <cellStyle name="Normal 2 4 3 2" xfId="21872" xr:uid="{00000000-0005-0000-0000-00004C560000}"/>
    <cellStyle name="Normal 2 4 30" xfId="14496" xr:uid="{00000000-0005-0000-0000-00004D560000}"/>
    <cellStyle name="Normal 2 4 30 2" xfId="21873" xr:uid="{00000000-0005-0000-0000-00004E560000}"/>
    <cellStyle name="Normal 2 4 31" xfId="14497" xr:uid="{00000000-0005-0000-0000-00004F560000}"/>
    <cellStyle name="Normal 2 4 31 2" xfId="21874" xr:uid="{00000000-0005-0000-0000-000050560000}"/>
    <cellStyle name="Normal 2 4 32" xfId="14498" xr:uid="{00000000-0005-0000-0000-000051560000}"/>
    <cellStyle name="Normal 2 4 32 2" xfId="21875" xr:uid="{00000000-0005-0000-0000-000052560000}"/>
    <cellStyle name="Normal 2 4 33" xfId="14499" xr:uid="{00000000-0005-0000-0000-000053560000}"/>
    <cellStyle name="Normal 2 4 33 2" xfId="21876" xr:uid="{00000000-0005-0000-0000-000054560000}"/>
    <cellStyle name="Normal 2 4 34" xfId="14500" xr:uid="{00000000-0005-0000-0000-000055560000}"/>
    <cellStyle name="Normal 2 4 34 2" xfId="21877" xr:uid="{00000000-0005-0000-0000-000056560000}"/>
    <cellStyle name="Normal 2 4 35" xfId="14501" xr:uid="{00000000-0005-0000-0000-000057560000}"/>
    <cellStyle name="Normal 2 4 35 2" xfId="21878" xr:uid="{00000000-0005-0000-0000-000058560000}"/>
    <cellStyle name="Normal 2 4 36" xfId="14502" xr:uid="{00000000-0005-0000-0000-000059560000}"/>
    <cellStyle name="Normal 2 4 36 2" xfId="21879" xr:uid="{00000000-0005-0000-0000-00005A560000}"/>
    <cellStyle name="Normal 2 4 37" xfId="14503" xr:uid="{00000000-0005-0000-0000-00005B560000}"/>
    <cellStyle name="Normal 2 4 37 2" xfId="21880" xr:uid="{00000000-0005-0000-0000-00005C560000}"/>
    <cellStyle name="Normal 2 4 38" xfId="14504" xr:uid="{00000000-0005-0000-0000-00005D560000}"/>
    <cellStyle name="Normal 2 4 38 2" xfId="21881" xr:uid="{00000000-0005-0000-0000-00005E560000}"/>
    <cellStyle name="Normal 2 4 39" xfId="14505" xr:uid="{00000000-0005-0000-0000-00005F560000}"/>
    <cellStyle name="Normal 2 4 39 2" xfId="21882" xr:uid="{00000000-0005-0000-0000-000060560000}"/>
    <cellStyle name="Normal 2 4 4" xfId="14506" xr:uid="{00000000-0005-0000-0000-000061560000}"/>
    <cellStyle name="Normal 2 4 4 2" xfId="21883" xr:uid="{00000000-0005-0000-0000-000062560000}"/>
    <cellStyle name="Normal 2 4 40" xfId="14507" xr:uid="{00000000-0005-0000-0000-000063560000}"/>
    <cellStyle name="Normal 2 4 40 2" xfId="21884" xr:uid="{00000000-0005-0000-0000-000064560000}"/>
    <cellStyle name="Normal 2 4 41" xfId="14508" xr:uid="{00000000-0005-0000-0000-000065560000}"/>
    <cellStyle name="Normal 2 4 41 2" xfId="21885" xr:uid="{00000000-0005-0000-0000-000066560000}"/>
    <cellStyle name="Normal 2 4 42" xfId="14509" xr:uid="{00000000-0005-0000-0000-000067560000}"/>
    <cellStyle name="Normal 2 4 42 2" xfId="21886" xr:uid="{00000000-0005-0000-0000-000068560000}"/>
    <cellStyle name="Normal 2 4 43" xfId="19283" xr:uid="{00000000-0005-0000-0000-000069560000}"/>
    <cellStyle name="Normal 2 4 5" xfId="14510" xr:uid="{00000000-0005-0000-0000-00006A560000}"/>
    <cellStyle name="Normal 2 4 5 2" xfId="21887" xr:uid="{00000000-0005-0000-0000-00006B560000}"/>
    <cellStyle name="Normal 2 4 6" xfId="14511" xr:uid="{00000000-0005-0000-0000-00006C560000}"/>
    <cellStyle name="Normal 2 4 6 2" xfId="21888" xr:uid="{00000000-0005-0000-0000-00006D560000}"/>
    <cellStyle name="Normal 2 4 7" xfId="14512" xr:uid="{00000000-0005-0000-0000-00006E560000}"/>
    <cellStyle name="Normal 2 4 7 2" xfId="21889" xr:uid="{00000000-0005-0000-0000-00006F560000}"/>
    <cellStyle name="Normal 2 4 8" xfId="14513" xr:uid="{00000000-0005-0000-0000-000070560000}"/>
    <cellStyle name="Normal 2 4 8 2" xfId="21890" xr:uid="{00000000-0005-0000-0000-000071560000}"/>
    <cellStyle name="Normal 2 4 9" xfId="14514" xr:uid="{00000000-0005-0000-0000-000072560000}"/>
    <cellStyle name="Normal 2 4 9 2" xfId="21891" xr:uid="{00000000-0005-0000-0000-000073560000}"/>
    <cellStyle name="Normal 2 4_DATA Input" xfId="14515" xr:uid="{00000000-0005-0000-0000-000074560000}"/>
    <cellStyle name="Normal 2 40" xfId="14516" xr:uid="{00000000-0005-0000-0000-000075560000}"/>
    <cellStyle name="Normal 2 40 2" xfId="21892" xr:uid="{00000000-0005-0000-0000-000076560000}"/>
    <cellStyle name="Normal 2 41" xfId="14517" xr:uid="{00000000-0005-0000-0000-000077560000}"/>
    <cellStyle name="Normal 2 41 2" xfId="21893" xr:uid="{00000000-0005-0000-0000-000078560000}"/>
    <cellStyle name="Normal 2 42" xfId="14518" xr:uid="{00000000-0005-0000-0000-000079560000}"/>
    <cellStyle name="Normal 2 42 2" xfId="21894" xr:uid="{00000000-0005-0000-0000-00007A560000}"/>
    <cellStyle name="Normal 2 43" xfId="14519" xr:uid="{00000000-0005-0000-0000-00007B560000}"/>
    <cellStyle name="Normal 2 43 2" xfId="21895" xr:uid="{00000000-0005-0000-0000-00007C560000}"/>
    <cellStyle name="Normal 2 44" xfId="14520" xr:uid="{00000000-0005-0000-0000-00007D560000}"/>
    <cellStyle name="Normal 2 44 2" xfId="21896" xr:uid="{00000000-0005-0000-0000-00007E560000}"/>
    <cellStyle name="Normal 2 45" xfId="14521" xr:uid="{00000000-0005-0000-0000-00007F560000}"/>
    <cellStyle name="Normal 2 45 2" xfId="21897" xr:uid="{00000000-0005-0000-0000-000080560000}"/>
    <cellStyle name="Normal 2 46" xfId="14522" xr:uid="{00000000-0005-0000-0000-000081560000}"/>
    <cellStyle name="Normal 2 46 2" xfId="21898" xr:uid="{00000000-0005-0000-0000-000082560000}"/>
    <cellStyle name="Normal 2 47" xfId="14523" xr:uid="{00000000-0005-0000-0000-000083560000}"/>
    <cellStyle name="Normal 2 47 2" xfId="21899" xr:uid="{00000000-0005-0000-0000-000084560000}"/>
    <cellStyle name="Normal 2 48" xfId="14524" xr:uid="{00000000-0005-0000-0000-000085560000}"/>
    <cellStyle name="Normal 2 48 2" xfId="21900" xr:uid="{00000000-0005-0000-0000-000086560000}"/>
    <cellStyle name="Normal 2 49" xfId="14525" xr:uid="{00000000-0005-0000-0000-000087560000}"/>
    <cellStyle name="Normal 2 49 2" xfId="21901" xr:uid="{00000000-0005-0000-0000-000088560000}"/>
    <cellStyle name="Normal 2 5" xfId="374" xr:uid="{00000000-0005-0000-0000-000089560000}"/>
    <cellStyle name="Normal 2 5 10" xfId="14526" xr:uid="{00000000-0005-0000-0000-00008A560000}"/>
    <cellStyle name="Normal 2 5 10 2" xfId="21902" xr:uid="{00000000-0005-0000-0000-00008B560000}"/>
    <cellStyle name="Normal 2 5 11" xfId="14527" xr:uid="{00000000-0005-0000-0000-00008C560000}"/>
    <cellStyle name="Normal 2 5 11 2" xfId="21903" xr:uid="{00000000-0005-0000-0000-00008D560000}"/>
    <cellStyle name="Normal 2 5 12" xfId="14528" xr:uid="{00000000-0005-0000-0000-00008E560000}"/>
    <cellStyle name="Normal 2 5 12 2" xfId="21904" xr:uid="{00000000-0005-0000-0000-00008F560000}"/>
    <cellStyle name="Normal 2 5 13" xfId="14529" xr:uid="{00000000-0005-0000-0000-000090560000}"/>
    <cellStyle name="Normal 2 5 13 2" xfId="21905" xr:uid="{00000000-0005-0000-0000-000091560000}"/>
    <cellStyle name="Normal 2 5 14" xfId="14530" xr:uid="{00000000-0005-0000-0000-000092560000}"/>
    <cellStyle name="Normal 2 5 14 2" xfId="21906" xr:uid="{00000000-0005-0000-0000-000093560000}"/>
    <cellStyle name="Normal 2 5 15" xfId="14531" xr:uid="{00000000-0005-0000-0000-000094560000}"/>
    <cellStyle name="Normal 2 5 15 2" xfId="21907" xr:uid="{00000000-0005-0000-0000-000095560000}"/>
    <cellStyle name="Normal 2 5 16" xfId="14532" xr:uid="{00000000-0005-0000-0000-000096560000}"/>
    <cellStyle name="Normal 2 5 16 2" xfId="21908" xr:uid="{00000000-0005-0000-0000-000097560000}"/>
    <cellStyle name="Normal 2 5 17" xfId="14533" xr:uid="{00000000-0005-0000-0000-000098560000}"/>
    <cellStyle name="Normal 2 5 17 2" xfId="21909" xr:uid="{00000000-0005-0000-0000-000099560000}"/>
    <cellStyle name="Normal 2 5 18" xfId="14534" xr:uid="{00000000-0005-0000-0000-00009A560000}"/>
    <cellStyle name="Normal 2 5 18 2" xfId="21910" xr:uid="{00000000-0005-0000-0000-00009B560000}"/>
    <cellStyle name="Normal 2 5 19" xfId="14535" xr:uid="{00000000-0005-0000-0000-00009C560000}"/>
    <cellStyle name="Normal 2 5 19 2" xfId="21911" xr:uid="{00000000-0005-0000-0000-00009D560000}"/>
    <cellStyle name="Normal 2 5 2" xfId="14536" xr:uid="{00000000-0005-0000-0000-00009E560000}"/>
    <cellStyle name="Normal 2 5 2 2" xfId="21912" xr:uid="{00000000-0005-0000-0000-00009F560000}"/>
    <cellStyle name="Normal 2 5 20" xfId="14537" xr:uid="{00000000-0005-0000-0000-0000A0560000}"/>
    <cellStyle name="Normal 2 5 20 2" xfId="21913" xr:uid="{00000000-0005-0000-0000-0000A1560000}"/>
    <cellStyle name="Normal 2 5 21" xfId="14538" xr:uid="{00000000-0005-0000-0000-0000A2560000}"/>
    <cellStyle name="Normal 2 5 21 2" xfId="21914" xr:uid="{00000000-0005-0000-0000-0000A3560000}"/>
    <cellStyle name="Normal 2 5 22" xfId="14539" xr:uid="{00000000-0005-0000-0000-0000A4560000}"/>
    <cellStyle name="Normal 2 5 22 2" xfId="21915" xr:uid="{00000000-0005-0000-0000-0000A5560000}"/>
    <cellStyle name="Normal 2 5 23" xfId="14540" xr:uid="{00000000-0005-0000-0000-0000A6560000}"/>
    <cellStyle name="Normal 2 5 23 2" xfId="21916" xr:uid="{00000000-0005-0000-0000-0000A7560000}"/>
    <cellStyle name="Normal 2 5 24" xfId="14541" xr:uid="{00000000-0005-0000-0000-0000A8560000}"/>
    <cellStyle name="Normal 2 5 24 2" xfId="21917" xr:uid="{00000000-0005-0000-0000-0000A9560000}"/>
    <cellStyle name="Normal 2 5 25" xfId="14542" xr:uid="{00000000-0005-0000-0000-0000AA560000}"/>
    <cellStyle name="Normal 2 5 25 2" xfId="21918" xr:uid="{00000000-0005-0000-0000-0000AB560000}"/>
    <cellStyle name="Normal 2 5 26" xfId="14543" xr:uid="{00000000-0005-0000-0000-0000AC560000}"/>
    <cellStyle name="Normal 2 5 26 2" xfId="21919" xr:uid="{00000000-0005-0000-0000-0000AD560000}"/>
    <cellStyle name="Normal 2 5 27" xfId="14544" xr:uid="{00000000-0005-0000-0000-0000AE560000}"/>
    <cellStyle name="Normal 2 5 27 2" xfId="21920" xr:uid="{00000000-0005-0000-0000-0000AF560000}"/>
    <cellStyle name="Normal 2 5 28" xfId="14545" xr:uid="{00000000-0005-0000-0000-0000B0560000}"/>
    <cellStyle name="Normal 2 5 28 2" xfId="21921" xr:uid="{00000000-0005-0000-0000-0000B1560000}"/>
    <cellStyle name="Normal 2 5 29" xfId="14546" xr:uid="{00000000-0005-0000-0000-0000B2560000}"/>
    <cellStyle name="Normal 2 5 29 2" xfId="21922" xr:uid="{00000000-0005-0000-0000-0000B3560000}"/>
    <cellStyle name="Normal 2 5 3" xfId="14547" xr:uid="{00000000-0005-0000-0000-0000B4560000}"/>
    <cellStyle name="Normal 2 5 3 2" xfId="21923" xr:uid="{00000000-0005-0000-0000-0000B5560000}"/>
    <cellStyle name="Normal 2 5 30" xfId="14548" xr:uid="{00000000-0005-0000-0000-0000B6560000}"/>
    <cellStyle name="Normal 2 5 30 2" xfId="21924" xr:uid="{00000000-0005-0000-0000-0000B7560000}"/>
    <cellStyle name="Normal 2 5 31" xfId="14549" xr:uid="{00000000-0005-0000-0000-0000B8560000}"/>
    <cellStyle name="Normal 2 5 31 2" xfId="21925" xr:uid="{00000000-0005-0000-0000-0000B9560000}"/>
    <cellStyle name="Normal 2 5 32" xfId="14550" xr:uid="{00000000-0005-0000-0000-0000BA560000}"/>
    <cellStyle name="Normal 2 5 32 2" xfId="21926" xr:uid="{00000000-0005-0000-0000-0000BB560000}"/>
    <cellStyle name="Normal 2 5 33" xfId="14551" xr:uid="{00000000-0005-0000-0000-0000BC560000}"/>
    <cellStyle name="Normal 2 5 33 2" xfId="21927" xr:uid="{00000000-0005-0000-0000-0000BD560000}"/>
    <cellStyle name="Normal 2 5 34" xfId="14552" xr:uid="{00000000-0005-0000-0000-0000BE560000}"/>
    <cellStyle name="Normal 2 5 34 2" xfId="21928" xr:uid="{00000000-0005-0000-0000-0000BF560000}"/>
    <cellStyle name="Normal 2 5 35" xfId="14553" xr:uid="{00000000-0005-0000-0000-0000C0560000}"/>
    <cellStyle name="Normal 2 5 35 2" xfId="21929" xr:uid="{00000000-0005-0000-0000-0000C1560000}"/>
    <cellStyle name="Normal 2 5 36" xfId="14554" xr:uid="{00000000-0005-0000-0000-0000C2560000}"/>
    <cellStyle name="Normal 2 5 36 2" xfId="21930" xr:uid="{00000000-0005-0000-0000-0000C3560000}"/>
    <cellStyle name="Normal 2 5 37" xfId="14555" xr:uid="{00000000-0005-0000-0000-0000C4560000}"/>
    <cellStyle name="Normal 2 5 37 2" xfId="21931" xr:uid="{00000000-0005-0000-0000-0000C5560000}"/>
    <cellStyle name="Normal 2 5 38" xfId="14556" xr:uid="{00000000-0005-0000-0000-0000C6560000}"/>
    <cellStyle name="Normal 2 5 38 2" xfId="21932" xr:uid="{00000000-0005-0000-0000-0000C7560000}"/>
    <cellStyle name="Normal 2 5 39" xfId="14557" xr:uid="{00000000-0005-0000-0000-0000C8560000}"/>
    <cellStyle name="Normal 2 5 39 2" xfId="21933" xr:uid="{00000000-0005-0000-0000-0000C9560000}"/>
    <cellStyle name="Normal 2 5 4" xfId="14558" xr:uid="{00000000-0005-0000-0000-0000CA560000}"/>
    <cellStyle name="Normal 2 5 4 2" xfId="21934" xr:uid="{00000000-0005-0000-0000-0000CB560000}"/>
    <cellStyle name="Normal 2 5 40" xfId="14559" xr:uid="{00000000-0005-0000-0000-0000CC560000}"/>
    <cellStyle name="Normal 2 5 40 2" xfId="21935" xr:uid="{00000000-0005-0000-0000-0000CD560000}"/>
    <cellStyle name="Normal 2 5 41" xfId="14560" xr:uid="{00000000-0005-0000-0000-0000CE560000}"/>
    <cellStyle name="Normal 2 5 41 2" xfId="21936" xr:uid="{00000000-0005-0000-0000-0000CF560000}"/>
    <cellStyle name="Normal 2 5 42" xfId="14561" xr:uid="{00000000-0005-0000-0000-0000D0560000}"/>
    <cellStyle name="Normal 2 5 42 2" xfId="21937" xr:uid="{00000000-0005-0000-0000-0000D1560000}"/>
    <cellStyle name="Normal 2 5 5" xfId="14562" xr:uid="{00000000-0005-0000-0000-0000D2560000}"/>
    <cellStyle name="Normal 2 5 5 2" xfId="21938" xr:uid="{00000000-0005-0000-0000-0000D3560000}"/>
    <cellStyle name="Normal 2 5 6" xfId="14563" xr:uid="{00000000-0005-0000-0000-0000D4560000}"/>
    <cellStyle name="Normal 2 5 6 2" xfId="21939" xr:uid="{00000000-0005-0000-0000-0000D5560000}"/>
    <cellStyle name="Normal 2 5 7" xfId="14564" xr:uid="{00000000-0005-0000-0000-0000D6560000}"/>
    <cellStyle name="Normal 2 5 7 2" xfId="21940" xr:uid="{00000000-0005-0000-0000-0000D7560000}"/>
    <cellStyle name="Normal 2 5 8" xfId="14565" xr:uid="{00000000-0005-0000-0000-0000D8560000}"/>
    <cellStyle name="Normal 2 5 8 2" xfId="21941" xr:uid="{00000000-0005-0000-0000-0000D9560000}"/>
    <cellStyle name="Normal 2 5 9" xfId="14566" xr:uid="{00000000-0005-0000-0000-0000DA560000}"/>
    <cellStyle name="Normal 2 5 9 2" xfId="21942" xr:uid="{00000000-0005-0000-0000-0000DB560000}"/>
    <cellStyle name="Normal 2 5_DATA Input" xfId="14567" xr:uid="{00000000-0005-0000-0000-0000DC560000}"/>
    <cellStyle name="Normal 2 50" xfId="14568" xr:uid="{00000000-0005-0000-0000-0000DD560000}"/>
    <cellStyle name="Normal 2 50 2" xfId="21943" xr:uid="{00000000-0005-0000-0000-0000DE560000}"/>
    <cellStyle name="Normal 2 51" xfId="14569" xr:uid="{00000000-0005-0000-0000-0000DF560000}"/>
    <cellStyle name="Normal 2 51 2" xfId="21944" xr:uid="{00000000-0005-0000-0000-0000E0560000}"/>
    <cellStyle name="Normal 2 52" xfId="14570" xr:uid="{00000000-0005-0000-0000-0000E1560000}"/>
    <cellStyle name="Normal 2 52 2" xfId="21945" xr:uid="{00000000-0005-0000-0000-0000E2560000}"/>
    <cellStyle name="Normal 2 53" xfId="14571" xr:uid="{00000000-0005-0000-0000-0000E3560000}"/>
    <cellStyle name="Normal 2 53 2" xfId="21946" xr:uid="{00000000-0005-0000-0000-0000E4560000}"/>
    <cellStyle name="Normal 2 54" xfId="14572" xr:uid="{00000000-0005-0000-0000-0000E5560000}"/>
    <cellStyle name="Normal 2 54 2" xfId="21947" xr:uid="{00000000-0005-0000-0000-0000E6560000}"/>
    <cellStyle name="Normal 2 55" xfId="14573" xr:uid="{00000000-0005-0000-0000-0000E7560000}"/>
    <cellStyle name="Normal 2 55 2" xfId="21948" xr:uid="{00000000-0005-0000-0000-0000E8560000}"/>
    <cellStyle name="Normal 2 56" xfId="14574" xr:uid="{00000000-0005-0000-0000-0000E9560000}"/>
    <cellStyle name="Normal 2 56 2" xfId="21949" xr:uid="{00000000-0005-0000-0000-0000EA560000}"/>
    <cellStyle name="Normal 2 57" xfId="14575" xr:uid="{00000000-0005-0000-0000-0000EB560000}"/>
    <cellStyle name="Normal 2 58" xfId="14576" xr:uid="{00000000-0005-0000-0000-0000EC560000}"/>
    <cellStyle name="Normal 2 58 2" xfId="21950" xr:uid="{00000000-0005-0000-0000-0000ED560000}"/>
    <cellStyle name="Normal 2 59" xfId="14577" xr:uid="{00000000-0005-0000-0000-0000EE560000}"/>
    <cellStyle name="Normal 2 59 2" xfId="14578" xr:uid="{00000000-0005-0000-0000-0000EF560000}"/>
    <cellStyle name="Normal 2 59 2 2" xfId="21952" xr:uid="{00000000-0005-0000-0000-0000F0560000}"/>
    <cellStyle name="Normal 2 59 3" xfId="21951" xr:uid="{00000000-0005-0000-0000-0000F1560000}"/>
    <cellStyle name="Normal 2 59_DATA Input" xfId="14579" xr:uid="{00000000-0005-0000-0000-0000F2560000}"/>
    <cellStyle name="Normal 2 6" xfId="375" xr:uid="{00000000-0005-0000-0000-0000F3560000}"/>
    <cellStyle name="Normal 2 6 10" xfId="14580" xr:uid="{00000000-0005-0000-0000-0000F4560000}"/>
    <cellStyle name="Normal 2 6 10 2" xfId="21953" xr:uid="{00000000-0005-0000-0000-0000F5560000}"/>
    <cellStyle name="Normal 2 6 11" xfId="14581" xr:uid="{00000000-0005-0000-0000-0000F6560000}"/>
    <cellStyle name="Normal 2 6 11 2" xfId="21954" xr:uid="{00000000-0005-0000-0000-0000F7560000}"/>
    <cellStyle name="Normal 2 6 12" xfId="14582" xr:uid="{00000000-0005-0000-0000-0000F8560000}"/>
    <cellStyle name="Normal 2 6 12 2" xfId="21955" xr:uid="{00000000-0005-0000-0000-0000F9560000}"/>
    <cellStyle name="Normal 2 6 13" xfId="14583" xr:uid="{00000000-0005-0000-0000-0000FA560000}"/>
    <cellStyle name="Normal 2 6 13 2" xfId="21956" xr:uid="{00000000-0005-0000-0000-0000FB560000}"/>
    <cellStyle name="Normal 2 6 14" xfId="14584" xr:uid="{00000000-0005-0000-0000-0000FC560000}"/>
    <cellStyle name="Normal 2 6 14 2" xfId="21957" xr:uid="{00000000-0005-0000-0000-0000FD560000}"/>
    <cellStyle name="Normal 2 6 15" xfId="14585" xr:uid="{00000000-0005-0000-0000-0000FE560000}"/>
    <cellStyle name="Normal 2 6 15 2" xfId="21958" xr:uid="{00000000-0005-0000-0000-0000FF560000}"/>
    <cellStyle name="Normal 2 6 16" xfId="14586" xr:uid="{00000000-0005-0000-0000-000000570000}"/>
    <cellStyle name="Normal 2 6 16 2" xfId="21959" xr:uid="{00000000-0005-0000-0000-000001570000}"/>
    <cellStyle name="Normal 2 6 17" xfId="14587" xr:uid="{00000000-0005-0000-0000-000002570000}"/>
    <cellStyle name="Normal 2 6 17 2" xfId="21960" xr:uid="{00000000-0005-0000-0000-000003570000}"/>
    <cellStyle name="Normal 2 6 18" xfId="14588" xr:uid="{00000000-0005-0000-0000-000004570000}"/>
    <cellStyle name="Normal 2 6 18 2" xfId="21961" xr:uid="{00000000-0005-0000-0000-000005570000}"/>
    <cellStyle name="Normal 2 6 19" xfId="14589" xr:uid="{00000000-0005-0000-0000-000006570000}"/>
    <cellStyle name="Normal 2 6 19 2" xfId="21962" xr:uid="{00000000-0005-0000-0000-000007570000}"/>
    <cellStyle name="Normal 2 6 2" xfId="14590" xr:uid="{00000000-0005-0000-0000-000008570000}"/>
    <cellStyle name="Normal 2 6 2 2" xfId="21963" xr:uid="{00000000-0005-0000-0000-000009570000}"/>
    <cellStyle name="Normal 2 6 20" xfId="14591" xr:uid="{00000000-0005-0000-0000-00000A570000}"/>
    <cellStyle name="Normal 2 6 20 2" xfId="21964" xr:uid="{00000000-0005-0000-0000-00000B570000}"/>
    <cellStyle name="Normal 2 6 21" xfId="14592" xr:uid="{00000000-0005-0000-0000-00000C570000}"/>
    <cellStyle name="Normal 2 6 21 2" xfId="21965" xr:uid="{00000000-0005-0000-0000-00000D570000}"/>
    <cellStyle name="Normal 2 6 22" xfId="14593" xr:uid="{00000000-0005-0000-0000-00000E570000}"/>
    <cellStyle name="Normal 2 6 22 2" xfId="21966" xr:uid="{00000000-0005-0000-0000-00000F570000}"/>
    <cellStyle name="Normal 2 6 23" xfId="14594" xr:uid="{00000000-0005-0000-0000-000010570000}"/>
    <cellStyle name="Normal 2 6 23 2" xfId="21967" xr:uid="{00000000-0005-0000-0000-000011570000}"/>
    <cellStyle name="Normal 2 6 24" xfId="14595" xr:uid="{00000000-0005-0000-0000-000012570000}"/>
    <cellStyle name="Normal 2 6 24 2" xfId="21968" xr:uid="{00000000-0005-0000-0000-000013570000}"/>
    <cellStyle name="Normal 2 6 25" xfId="14596" xr:uid="{00000000-0005-0000-0000-000014570000}"/>
    <cellStyle name="Normal 2 6 25 2" xfId="21969" xr:uid="{00000000-0005-0000-0000-000015570000}"/>
    <cellStyle name="Normal 2 6 26" xfId="14597" xr:uid="{00000000-0005-0000-0000-000016570000}"/>
    <cellStyle name="Normal 2 6 26 2" xfId="21970" xr:uid="{00000000-0005-0000-0000-000017570000}"/>
    <cellStyle name="Normal 2 6 27" xfId="14598" xr:uid="{00000000-0005-0000-0000-000018570000}"/>
    <cellStyle name="Normal 2 6 27 2" xfId="21971" xr:uid="{00000000-0005-0000-0000-000019570000}"/>
    <cellStyle name="Normal 2 6 28" xfId="14599" xr:uid="{00000000-0005-0000-0000-00001A570000}"/>
    <cellStyle name="Normal 2 6 28 2" xfId="21972" xr:uid="{00000000-0005-0000-0000-00001B570000}"/>
    <cellStyle name="Normal 2 6 29" xfId="14600" xr:uid="{00000000-0005-0000-0000-00001C570000}"/>
    <cellStyle name="Normal 2 6 29 2" xfId="21973" xr:uid="{00000000-0005-0000-0000-00001D570000}"/>
    <cellStyle name="Normal 2 6 3" xfId="14601" xr:uid="{00000000-0005-0000-0000-00001E570000}"/>
    <cellStyle name="Normal 2 6 3 2" xfId="21974" xr:uid="{00000000-0005-0000-0000-00001F570000}"/>
    <cellStyle name="Normal 2 6 30" xfId="14602" xr:uid="{00000000-0005-0000-0000-000020570000}"/>
    <cellStyle name="Normal 2 6 30 2" xfId="21975" xr:uid="{00000000-0005-0000-0000-000021570000}"/>
    <cellStyle name="Normal 2 6 31" xfId="14603" xr:uid="{00000000-0005-0000-0000-000022570000}"/>
    <cellStyle name="Normal 2 6 31 2" xfId="21976" xr:uid="{00000000-0005-0000-0000-000023570000}"/>
    <cellStyle name="Normal 2 6 32" xfId="14604" xr:uid="{00000000-0005-0000-0000-000024570000}"/>
    <cellStyle name="Normal 2 6 32 2" xfId="21977" xr:uid="{00000000-0005-0000-0000-000025570000}"/>
    <cellStyle name="Normal 2 6 33" xfId="14605" xr:uid="{00000000-0005-0000-0000-000026570000}"/>
    <cellStyle name="Normal 2 6 33 2" xfId="21978" xr:uid="{00000000-0005-0000-0000-000027570000}"/>
    <cellStyle name="Normal 2 6 34" xfId="14606" xr:uid="{00000000-0005-0000-0000-000028570000}"/>
    <cellStyle name="Normal 2 6 34 2" xfId="21979" xr:uid="{00000000-0005-0000-0000-000029570000}"/>
    <cellStyle name="Normal 2 6 35" xfId="14607" xr:uid="{00000000-0005-0000-0000-00002A570000}"/>
    <cellStyle name="Normal 2 6 35 2" xfId="21980" xr:uid="{00000000-0005-0000-0000-00002B570000}"/>
    <cellStyle name="Normal 2 6 36" xfId="14608" xr:uid="{00000000-0005-0000-0000-00002C570000}"/>
    <cellStyle name="Normal 2 6 36 2" xfId="21981" xr:uid="{00000000-0005-0000-0000-00002D570000}"/>
    <cellStyle name="Normal 2 6 37" xfId="14609" xr:uid="{00000000-0005-0000-0000-00002E570000}"/>
    <cellStyle name="Normal 2 6 37 2" xfId="21982" xr:uid="{00000000-0005-0000-0000-00002F570000}"/>
    <cellStyle name="Normal 2 6 38" xfId="14610" xr:uid="{00000000-0005-0000-0000-000030570000}"/>
    <cellStyle name="Normal 2 6 38 2" xfId="21983" xr:uid="{00000000-0005-0000-0000-000031570000}"/>
    <cellStyle name="Normal 2 6 39" xfId="14611" xr:uid="{00000000-0005-0000-0000-000032570000}"/>
    <cellStyle name="Normal 2 6 39 2" xfId="21984" xr:uid="{00000000-0005-0000-0000-000033570000}"/>
    <cellStyle name="Normal 2 6 4" xfId="14612" xr:uid="{00000000-0005-0000-0000-000034570000}"/>
    <cellStyle name="Normal 2 6 4 2" xfId="21985" xr:uid="{00000000-0005-0000-0000-000035570000}"/>
    <cellStyle name="Normal 2 6 40" xfId="14613" xr:uid="{00000000-0005-0000-0000-000036570000}"/>
    <cellStyle name="Normal 2 6 40 2" xfId="21986" xr:uid="{00000000-0005-0000-0000-000037570000}"/>
    <cellStyle name="Normal 2 6 41" xfId="14614" xr:uid="{00000000-0005-0000-0000-000038570000}"/>
    <cellStyle name="Normal 2 6 41 2" xfId="21987" xr:uid="{00000000-0005-0000-0000-000039570000}"/>
    <cellStyle name="Normal 2 6 42" xfId="14615" xr:uid="{00000000-0005-0000-0000-00003A570000}"/>
    <cellStyle name="Normal 2 6 42 2" xfId="21988" xr:uid="{00000000-0005-0000-0000-00003B570000}"/>
    <cellStyle name="Normal 2 6 5" xfId="14616" xr:uid="{00000000-0005-0000-0000-00003C570000}"/>
    <cellStyle name="Normal 2 6 5 2" xfId="21989" xr:uid="{00000000-0005-0000-0000-00003D570000}"/>
    <cellStyle name="Normal 2 6 6" xfId="14617" xr:uid="{00000000-0005-0000-0000-00003E570000}"/>
    <cellStyle name="Normal 2 6 6 2" xfId="21990" xr:uid="{00000000-0005-0000-0000-00003F570000}"/>
    <cellStyle name="Normal 2 6 7" xfId="14618" xr:uid="{00000000-0005-0000-0000-000040570000}"/>
    <cellStyle name="Normal 2 6 7 2" xfId="21991" xr:uid="{00000000-0005-0000-0000-000041570000}"/>
    <cellStyle name="Normal 2 6 8" xfId="14619" xr:uid="{00000000-0005-0000-0000-000042570000}"/>
    <cellStyle name="Normal 2 6 8 2" xfId="21992" xr:uid="{00000000-0005-0000-0000-000043570000}"/>
    <cellStyle name="Normal 2 6 9" xfId="14620" xr:uid="{00000000-0005-0000-0000-000044570000}"/>
    <cellStyle name="Normal 2 6 9 2" xfId="21993" xr:uid="{00000000-0005-0000-0000-000045570000}"/>
    <cellStyle name="Normal 2 6_DATA Input" xfId="14621" xr:uid="{00000000-0005-0000-0000-000046570000}"/>
    <cellStyle name="Normal 2 60" xfId="14622" xr:uid="{00000000-0005-0000-0000-000047570000}"/>
    <cellStyle name="Normal 2 60 2" xfId="21994" xr:uid="{00000000-0005-0000-0000-000048570000}"/>
    <cellStyle name="Normal 2 61" xfId="14623" xr:uid="{00000000-0005-0000-0000-000049570000}"/>
    <cellStyle name="Normal 2 61 2" xfId="14624" xr:uid="{00000000-0005-0000-0000-00004A570000}"/>
    <cellStyle name="Normal 2 61 3" xfId="21995" xr:uid="{00000000-0005-0000-0000-00004B570000}"/>
    <cellStyle name="Normal 2 61_DATA Input" xfId="14625" xr:uid="{00000000-0005-0000-0000-00004C570000}"/>
    <cellStyle name="Normal 2 62" xfId="14626" xr:uid="{00000000-0005-0000-0000-00004D570000}"/>
    <cellStyle name="Normal 2 62 2" xfId="21996" xr:uid="{00000000-0005-0000-0000-00004E570000}"/>
    <cellStyle name="Normal 2 63" xfId="14627" xr:uid="{00000000-0005-0000-0000-00004F570000}"/>
    <cellStyle name="Normal 2 63 2" xfId="21997" xr:uid="{00000000-0005-0000-0000-000050570000}"/>
    <cellStyle name="Normal 2 64" xfId="14628" xr:uid="{00000000-0005-0000-0000-000051570000}"/>
    <cellStyle name="Normal 2 64 2" xfId="21998" xr:uid="{00000000-0005-0000-0000-000052570000}"/>
    <cellStyle name="Normal 2 65" xfId="14629" xr:uid="{00000000-0005-0000-0000-000053570000}"/>
    <cellStyle name="Normal 2 65 2" xfId="21999" xr:uid="{00000000-0005-0000-0000-000054570000}"/>
    <cellStyle name="Normal 2 66" xfId="14630" xr:uid="{00000000-0005-0000-0000-000055570000}"/>
    <cellStyle name="Normal 2 66 2" xfId="22000" xr:uid="{00000000-0005-0000-0000-000056570000}"/>
    <cellStyle name="Normal 2 67" xfId="14631" xr:uid="{00000000-0005-0000-0000-000057570000}"/>
    <cellStyle name="Normal 2 67 2" xfId="22001" xr:uid="{00000000-0005-0000-0000-000058570000}"/>
    <cellStyle name="Normal 2 68" xfId="14632" xr:uid="{00000000-0005-0000-0000-000059570000}"/>
    <cellStyle name="Normal 2 69" xfId="14633" xr:uid="{00000000-0005-0000-0000-00005A570000}"/>
    <cellStyle name="Normal 2 7" xfId="376" xr:uid="{00000000-0005-0000-0000-00005B570000}"/>
    <cellStyle name="Normal 2 7 10" xfId="14634" xr:uid="{00000000-0005-0000-0000-00005C570000}"/>
    <cellStyle name="Normal 2 7 10 2" xfId="22002" xr:uid="{00000000-0005-0000-0000-00005D570000}"/>
    <cellStyle name="Normal 2 7 11" xfId="14635" xr:uid="{00000000-0005-0000-0000-00005E570000}"/>
    <cellStyle name="Normal 2 7 11 2" xfId="22003" xr:uid="{00000000-0005-0000-0000-00005F570000}"/>
    <cellStyle name="Normal 2 7 12" xfId="14636" xr:uid="{00000000-0005-0000-0000-000060570000}"/>
    <cellStyle name="Normal 2 7 12 2" xfId="22004" xr:uid="{00000000-0005-0000-0000-000061570000}"/>
    <cellStyle name="Normal 2 7 13" xfId="14637" xr:uid="{00000000-0005-0000-0000-000062570000}"/>
    <cellStyle name="Normal 2 7 13 2" xfId="22005" xr:uid="{00000000-0005-0000-0000-000063570000}"/>
    <cellStyle name="Normal 2 7 14" xfId="14638" xr:uid="{00000000-0005-0000-0000-000064570000}"/>
    <cellStyle name="Normal 2 7 14 2" xfId="22006" xr:uid="{00000000-0005-0000-0000-000065570000}"/>
    <cellStyle name="Normal 2 7 15" xfId="14639" xr:uid="{00000000-0005-0000-0000-000066570000}"/>
    <cellStyle name="Normal 2 7 15 2" xfId="22007" xr:uid="{00000000-0005-0000-0000-000067570000}"/>
    <cellStyle name="Normal 2 7 16" xfId="14640" xr:uid="{00000000-0005-0000-0000-000068570000}"/>
    <cellStyle name="Normal 2 7 16 2" xfId="22008" xr:uid="{00000000-0005-0000-0000-000069570000}"/>
    <cellStyle name="Normal 2 7 17" xfId="14641" xr:uid="{00000000-0005-0000-0000-00006A570000}"/>
    <cellStyle name="Normal 2 7 17 2" xfId="22009" xr:uid="{00000000-0005-0000-0000-00006B570000}"/>
    <cellStyle name="Normal 2 7 18" xfId="14642" xr:uid="{00000000-0005-0000-0000-00006C570000}"/>
    <cellStyle name="Normal 2 7 18 2" xfId="22010" xr:uid="{00000000-0005-0000-0000-00006D570000}"/>
    <cellStyle name="Normal 2 7 19" xfId="14643" xr:uid="{00000000-0005-0000-0000-00006E570000}"/>
    <cellStyle name="Normal 2 7 19 2" xfId="22011" xr:uid="{00000000-0005-0000-0000-00006F570000}"/>
    <cellStyle name="Normal 2 7 2" xfId="14644" xr:uid="{00000000-0005-0000-0000-000070570000}"/>
    <cellStyle name="Normal 2 7 2 2" xfId="22012" xr:uid="{00000000-0005-0000-0000-000071570000}"/>
    <cellStyle name="Normal 2 7 20" xfId="14645" xr:uid="{00000000-0005-0000-0000-000072570000}"/>
    <cellStyle name="Normal 2 7 20 2" xfId="22013" xr:uid="{00000000-0005-0000-0000-000073570000}"/>
    <cellStyle name="Normal 2 7 21" xfId="14646" xr:uid="{00000000-0005-0000-0000-000074570000}"/>
    <cellStyle name="Normal 2 7 21 2" xfId="22014" xr:uid="{00000000-0005-0000-0000-000075570000}"/>
    <cellStyle name="Normal 2 7 22" xfId="14647" xr:uid="{00000000-0005-0000-0000-000076570000}"/>
    <cellStyle name="Normal 2 7 22 2" xfId="22015" xr:uid="{00000000-0005-0000-0000-000077570000}"/>
    <cellStyle name="Normal 2 7 23" xfId="14648" xr:uid="{00000000-0005-0000-0000-000078570000}"/>
    <cellStyle name="Normal 2 7 23 2" xfId="22016" xr:uid="{00000000-0005-0000-0000-000079570000}"/>
    <cellStyle name="Normal 2 7 24" xfId="14649" xr:uid="{00000000-0005-0000-0000-00007A570000}"/>
    <cellStyle name="Normal 2 7 24 2" xfId="22017" xr:uid="{00000000-0005-0000-0000-00007B570000}"/>
    <cellStyle name="Normal 2 7 25" xfId="14650" xr:uid="{00000000-0005-0000-0000-00007C570000}"/>
    <cellStyle name="Normal 2 7 25 2" xfId="22018" xr:uid="{00000000-0005-0000-0000-00007D570000}"/>
    <cellStyle name="Normal 2 7 26" xfId="14651" xr:uid="{00000000-0005-0000-0000-00007E570000}"/>
    <cellStyle name="Normal 2 7 26 2" xfId="22019" xr:uid="{00000000-0005-0000-0000-00007F570000}"/>
    <cellStyle name="Normal 2 7 27" xfId="14652" xr:uid="{00000000-0005-0000-0000-000080570000}"/>
    <cellStyle name="Normal 2 7 27 2" xfId="22020" xr:uid="{00000000-0005-0000-0000-000081570000}"/>
    <cellStyle name="Normal 2 7 28" xfId="14653" xr:uid="{00000000-0005-0000-0000-000082570000}"/>
    <cellStyle name="Normal 2 7 28 2" xfId="22021" xr:uid="{00000000-0005-0000-0000-000083570000}"/>
    <cellStyle name="Normal 2 7 29" xfId="14654" xr:uid="{00000000-0005-0000-0000-000084570000}"/>
    <cellStyle name="Normal 2 7 29 2" xfId="22022" xr:uid="{00000000-0005-0000-0000-000085570000}"/>
    <cellStyle name="Normal 2 7 3" xfId="14655" xr:uid="{00000000-0005-0000-0000-000086570000}"/>
    <cellStyle name="Normal 2 7 3 2" xfId="22023" xr:uid="{00000000-0005-0000-0000-000087570000}"/>
    <cellStyle name="Normal 2 7 30" xfId="14656" xr:uid="{00000000-0005-0000-0000-000088570000}"/>
    <cellStyle name="Normal 2 7 30 2" xfId="22024" xr:uid="{00000000-0005-0000-0000-000089570000}"/>
    <cellStyle name="Normal 2 7 31" xfId="14657" xr:uid="{00000000-0005-0000-0000-00008A570000}"/>
    <cellStyle name="Normal 2 7 31 2" xfId="22025" xr:uid="{00000000-0005-0000-0000-00008B570000}"/>
    <cellStyle name="Normal 2 7 32" xfId="14658" xr:uid="{00000000-0005-0000-0000-00008C570000}"/>
    <cellStyle name="Normal 2 7 32 2" xfId="22026" xr:uid="{00000000-0005-0000-0000-00008D570000}"/>
    <cellStyle name="Normal 2 7 33" xfId="14659" xr:uid="{00000000-0005-0000-0000-00008E570000}"/>
    <cellStyle name="Normal 2 7 33 2" xfId="22027" xr:uid="{00000000-0005-0000-0000-00008F570000}"/>
    <cellStyle name="Normal 2 7 34" xfId="14660" xr:uid="{00000000-0005-0000-0000-000090570000}"/>
    <cellStyle name="Normal 2 7 34 2" xfId="22028" xr:uid="{00000000-0005-0000-0000-000091570000}"/>
    <cellStyle name="Normal 2 7 35" xfId="14661" xr:uid="{00000000-0005-0000-0000-000092570000}"/>
    <cellStyle name="Normal 2 7 35 2" xfId="22029" xr:uid="{00000000-0005-0000-0000-000093570000}"/>
    <cellStyle name="Normal 2 7 36" xfId="14662" xr:uid="{00000000-0005-0000-0000-000094570000}"/>
    <cellStyle name="Normal 2 7 36 2" xfId="22030" xr:uid="{00000000-0005-0000-0000-000095570000}"/>
    <cellStyle name="Normal 2 7 37" xfId="14663" xr:uid="{00000000-0005-0000-0000-000096570000}"/>
    <cellStyle name="Normal 2 7 37 2" xfId="22031" xr:uid="{00000000-0005-0000-0000-000097570000}"/>
    <cellStyle name="Normal 2 7 38" xfId="14664" xr:uid="{00000000-0005-0000-0000-000098570000}"/>
    <cellStyle name="Normal 2 7 38 2" xfId="22032" xr:uid="{00000000-0005-0000-0000-000099570000}"/>
    <cellStyle name="Normal 2 7 39" xfId="14665" xr:uid="{00000000-0005-0000-0000-00009A570000}"/>
    <cellStyle name="Normal 2 7 39 2" xfId="22033" xr:uid="{00000000-0005-0000-0000-00009B570000}"/>
    <cellStyle name="Normal 2 7 4" xfId="14666" xr:uid="{00000000-0005-0000-0000-00009C570000}"/>
    <cellStyle name="Normal 2 7 4 2" xfId="22034" xr:uid="{00000000-0005-0000-0000-00009D570000}"/>
    <cellStyle name="Normal 2 7 40" xfId="14667" xr:uid="{00000000-0005-0000-0000-00009E570000}"/>
    <cellStyle name="Normal 2 7 40 2" xfId="22035" xr:uid="{00000000-0005-0000-0000-00009F570000}"/>
    <cellStyle name="Normal 2 7 41" xfId="14668" xr:uid="{00000000-0005-0000-0000-0000A0570000}"/>
    <cellStyle name="Normal 2 7 41 2" xfId="22036" xr:uid="{00000000-0005-0000-0000-0000A1570000}"/>
    <cellStyle name="Normal 2 7 42" xfId="14669" xr:uid="{00000000-0005-0000-0000-0000A2570000}"/>
    <cellStyle name="Normal 2 7 42 2" xfId="22037" xr:uid="{00000000-0005-0000-0000-0000A3570000}"/>
    <cellStyle name="Normal 2 7 5" xfId="14670" xr:uid="{00000000-0005-0000-0000-0000A4570000}"/>
    <cellStyle name="Normal 2 7 5 2" xfId="22038" xr:uid="{00000000-0005-0000-0000-0000A5570000}"/>
    <cellStyle name="Normal 2 7 6" xfId="14671" xr:uid="{00000000-0005-0000-0000-0000A6570000}"/>
    <cellStyle name="Normal 2 7 6 2" xfId="22039" xr:uid="{00000000-0005-0000-0000-0000A7570000}"/>
    <cellStyle name="Normal 2 7 7" xfId="14672" xr:uid="{00000000-0005-0000-0000-0000A8570000}"/>
    <cellStyle name="Normal 2 7 7 2" xfId="22040" xr:uid="{00000000-0005-0000-0000-0000A9570000}"/>
    <cellStyle name="Normal 2 7 8" xfId="14673" xr:uid="{00000000-0005-0000-0000-0000AA570000}"/>
    <cellStyle name="Normal 2 7 8 2" xfId="22041" xr:uid="{00000000-0005-0000-0000-0000AB570000}"/>
    <cellStyle name="Normal 2 7 9" xfId="14674" xr:uid="{00000000-0005-0000-0000-0000AC570000}"/>
    <cellStyle name="Normal 2 7 9 2" xfId="22042" xr:uid="{00000000-0005-0000-0000-0000AD570000}"/>
    <cellStyle name="Normal 2 7_DATA Input" xfId="14675" xr:uid="{00000000-0005-0000-0000-0000AE570000}"/>
    <cellStyle name="Normal 2 70" xfId="19393" xr:uid="{00000000-0005-0000-0000-0000AF570000}"/>
    <cellStyle name="Normal 2 71" xfId="22776" xr:uid="{00000000-0005-0000-0000-0000B0570000}"/>
    <cellStyle name="Normal 2 72" xfId="22797" xr:uid="{00000000-0005-0000-0000-0000B1570000}"/>
    <cellStyle name="Normal 2 73" xfId="22798" xr:uid="{00000000-0005-0000-0000-0000B2570000}"/>
    <cellStyle name="Normal 2 74" xfId="22801" xr:uid="{00000000-0005-0000-0000-0000B3570000}"/>
    <cellStyle name="Normal 2 75" xfId="22803" xr:uid="{00000000-0005-0000-0000-0000B4570000}"/>
    <cellStyle name="Normal 2 76" xfId="22804" xr:uid="{00000000-0005-0000-0000-0000B5570000}"/>
    <cellStyle name="Normal 2 8" xfId="377" xr:uid="{00000000-0005-0000-0000-0000B6570000}"/>
    <cellStyle name="Normal 2 8 10" xfId="14676" xr:uid="{00000000-0005-0000-0000-0000B7570000}"/>
    <cellStyle name="Normal 2 8 10 2" xfId="22043" xr:uid="{00000000-0005-0000-0000-0000B8570000}"/>
    <cellStyle name="Normal 2 8 11" xfId="14677" xr:uid="{00000000-0005-0000-0000-0000B9570000}"/>
    <cellStyle name="Normal 2 8 11 2" xfId="22044" xr:uid="{00000000-0005-0000-0000-0000BA570000}"/>
    <cellStyle name="Normal 2 8 12" xfId="14678" xr:uid="{00000000-0005-0000-0000-0000BB570000}"/>
    <cellStyle name="Normal 2 8 12 2" xfId="22045" xr:uid="{00000000-0005-0000-0000-0000BC570000}"/>
    <cellStyle name="Normal 2 8 13" xfId="14679" xr:uid="{00000000-0005-0000-0000-0000BD570000}"/>
    <cellStyle name="Normal 2 8 13 2" xfId="22046" xr:uid="{00000000-0005-0000-0000-0000BE570000}"/>
    <cellStyle name="Normal 2 8 14" xfId="14680" xr:uid="{00000000-0005-0000-0000-0000BF570000}"/>
    <cellStyle name="Normal 2 8 14 2" xfId="22047" xr:uid="{00000000-0005-0000-0000-0000C0570000}"/>
    <cellStyle name="Normal 2 8 15" xfId="14681" xr:uid="{00000000-0005-0000-0000-0000C1570000}"/>
    <cellStyle name="Normal 2 8 15 2" xfId="22048" xr:uid="{00000000-0005-0000-0000-0000C2570000}"/>
    <cellStyle name="Normal 2 8 16" xfId="14682" xr:uid="{00000000-0005-0000-0000-0000C3570000}"/>
    <cellStyle name="Normal 2 8 16 2" xfId="22049" xr:uid="{00000000-0005-0000-0000-0000C4570000}"/>
    <cellStyle name="Normal 2 8 17" xfId="14683" xr:uid="{00000000-0005-0000-0000-0000C5570000}"/>
    <cellStyle name="Normal 2 8 17 2" xfId="22050" xr:uid="{00000000-0005-0000-0000-0000C6570000}"/>
    <cellStyle name="Normal 2 8 18" xfId="14684" xr:uid="{00000000-0005-0000-0000-0000C7570000}"/>
    <cellStyle name="Normal 2 8 18 2" xfId="22051" xr:uid="{00000000-0005-0000-0000-0000C8570000}"/>
    <cellStyle name="Normal 2 8 19" xfId="14685" xr:uid="{00000000-0005-0000-0000-0000C9570000}"/>
    <cellStyle name="Normal 2 8 19 2" xfId="22052" xr:uid="{00000000-0005-0000-0000-0000CA570000}"/>
    <cellStyle name="Normal 2 8 2" xfId="14686" xr:uid="{00000000-0005-0000-0000-0000CB570000}"/>
    <cellStyle name="Normal 2 8 2 2" xfId="14687" xr:uid="{00000000-0005-0000-0000-0000CC570000}"/>
    <cellStyle name="Normal 2 8 2 2 2" xfId="14688" xr:uid="{00000000-0005-0000-0000-0000CD570000}"/>
    <cellStyle name="Normal 2 8 2 2 3" xfId="14689" xr:uid="{00000000-0005-0000-0000-0000CE570000}"/>
    <cellStyle name="Normal 2 8 2 2_DATA Input" xfId="14690" xr:uid="{00000000-0005-0000-0000-0000CF570000}"/>
    <cellStyle name="Normal 2 8 2 3" xfId="14691" xr:uid="{00000000-0005-0000-0000-0000D0570000}"/>
    <cellStyle name="Normal 2 8 2 4" xfId="22053" xr:uid="{00000000-0005-0000-0000-0000D1570000}"/>
    <cellStyle name="Normal 2 8 2_DATA Input" xfId="14692" xr:uid="{00000000-0005-0000-0000-0000D2570000}"/>
    <cellStyle name="Normal 2 8 20" xfId="14693" xr:uid="{00000000-0005-0000-0000-0000D3570000}"/>
    <cellStyle name="Normal 2 8 20 2" xfId="22054" xr:uid="{00000000-0005-0000-0000-0000D4570000}"/>
    <cellStyle name="Normal 2 8 21" xfId="14694" xr:uid="{00000000-0005-0000-0000-0000D5570000}"/>
    <cellStyle name="Normal 2 8 21 2" xfId="22055" xr:uid="{00000000-0005-0000-0000-0000D6570000}"/>
    <cellStyle name="Normal 2 8 22" xfId="14695" xr:uid="{00000000-0005-0000-0000-0000D7570000}"/>
    <cellStyle name="Normal 2 8 22 2" xfId="22056" xr:uid="{00000000-0005-0000-0000-0000D8570000}"/>
    <cellStyle name="Normal 2 8 23" xfId="14696" xr:uid="{00000000-0005-0000-0000-0000D9570000}"/>
    <cellStyle name="Normal 2 8 23 2" xfId="22057" xr:uid="{00000000-0005-0000-0000-0000DA570000}"/>
    <cellStyle name="Normal 2 8 24" xfId="14697" xr:uid="{00000000-0005-0000-0000-0000DB570000}"/>
    <cellStyle name="Normal 2 8 24 2" xfId="22058" xr:uid="{00000000-0005-0000-0000-0000DC570000}"/>
    <cellStyle name="Normal 2 8 25" xfId="14698" xr:uid="{00000000-0005-0000-0000-0000DD570000}"/>
    <cellStyle name="Normal 2 8 25 2" xfId="22059" xr:uid="{00000000-0005-0000-0000-0000DE570000}"/>
    <cellStyle name="Normal 2 8 26" xfId="14699" xr:uid="{00000000-0005-0000-0000-0000DF570000}"/>
    <cellStyle name="Normal 2 8 26 2" xfId="22060" xr:uid="{00000000-0005-0000-0000-0000E0570000}"/>
    <cellStyle name="Normal 2 8 27" xfId="14700" xr:uid="{00000000-0005-0000-0000-0000E1570000}"/>
    <cellStyle name="Normal 2 8 27 2" xfId="22061" xr:uid="{00000000-0005-0000-0000-0000E2570000}"/>
    <cellStyle name="Normal 2 8 28" xfId="14701" xr:uid="{00000000-0005-0000-0000-0000E3570000}"/>
    <cellStyle name="Normal 2 8 28 2" xfId="22062" xr:uid="{00000000-0005-0000-0000-0000E4570000}"/>
    <cellStyle name="Normal 2 8 29" xfId="14702" xr:uid="{00000000-0005-0000-0000-0000E5570000}"/>
    <cellStyle name="Normal 2 8 29 2" xfId="22063" xr:uid="{00000000-0005-0000-0000-0000E6570000}"/>
    <cellStyle name="Normal 2 8 3" xfId="14703" xr:uid="{00000000-0005-0000-0000-0000E7570000}"/>
    <cellStyle name="Normal 2 8 3 2" xfId="22064" xr:uid="{00000000-0005-0000-0000-0000E8570000}"/>
    <cellStyle name="Normal 2 8 30" xfId="14704" xr:uid="{00000000-0005-0000-0000-0000E9570000}"/>
    <cellStyle name="Normal 2 8 30 2" xfId="22065" xr:uid="{00000000-0005-0000-0000-0000EA570000}"/>
    <cellStyle name="Normal 2 8 31" xfId="14705" xr:uid="{00000000-0005-0000-0000-0000EB570000}"/>
    <cellStyle name="Normal 2 8 31 2" xfId="22066" xr:uid="{00000000-0005-0000-0000-0000EC570000}"/>
    <cellStyle name="Normal 2 8 32" xfId="14706" xr:uid="{00000000-0005-0000-0000-0000ED570000}"/>
    <cellStyle name="Normal 2 8 32 2" xfId="22067" xr:uid="{00000000-0005-0000-0000-0000EE570000}"/>
    <cellStyle name="Normal 2 8 33" xfId="14707" xr:uid="{00000000-0005-0000-0000-0000EF570000}"/>
    <cellStyle name="Normal 2 8 33 2" xfId="22068" xr:uid="{00000000-0005-0000-0000-0000F0570000}"/>
    <cellStyle name="Normal 2 8 34" xfId="14708" xr:uid="{00000000-0005-0000-0000-0000F1570000}"/>
    <cellStyle name="Normal 2 8 34 2" xfId="22069" xr:uid="{00000000-0005-0000-0000-0000F2570000}"/>
    <cellStyle name="Normal 2 8 35" xfId="14709" xr:uid="{00000000-0005-0000-0000-0000F3570000}"/>
    <cellStyle name="Normal 2 8 35 2" xfId="22070" xr:uid="{00000000-0005-0000-0000-0000F4570000}"/>
    <cellStyle name="Normal 2 8 36" xfId="14710" xr:uid="{00000000-0005-0000-0000-0000F5570000}"/>
    <cellStyle name="Normal 2 8 36 2" xfId="22071" xr:uid="{00000000-0005-0000-0000-0000F6570000}"/>
    <cellStyle name="Normal 2 8 37" xfId="14711" xr:uid="{00000000-0005-0000-0000-0000F7570000}"/>
    <cellStyle name="Normal 2 8 37 2" xfId="22072" xr:uid="{00000000-0005-0000-0000-0000F8570000}"/>
    <cellStyle name="Normal 2 8 38" xfId="14712" xr:uid="{00000000-0005-0000-0000-0000F9570000}"/>
    <cellStyle name="Normal 2 8 38 2" xfId="22073" xr:uid="{00000000-0005-0000-0000-0000FA570000}"/>
    <cellStyle name="Normal 2 8 39" xfId="14713" xr:uid="{00000000-0005-0000-0000-0000FB570000}"/>
    <cellStyle name="Normal 2 8 39 2" xfId="22074" xr:uid="{00000000-0005-0000-0000-0000FC570000}"/>
    <cellStyle name="Normal 2 8 4" xfId="14714" xr:uid="{00000000-0005-0000-0000-0000FD570000}"/>
    <cellStyle name="Normal 2 8 4 2" xfId="22075" xr:uid="{00000000-0005-0000-0000-0000FE570000}"/>
    <cellStyle name="Normal 2 8 40" xfId="14715" xr:uid="{00000000-0005-0000-0000-0000FF570000}"/>
    <cellStyle name="Normal 2 8 40 2" xfId="22076" xr:uid="{00000000-0005-0000-0000-000000580000}"/>
    <cellStyle name="Normal 2 8 41" xfId="14716" xr:uid="{00000000-0005-0000-0000-000001580000}"/>
    <cellStyle name="Normal 2 8 41 2" xfId="22077" xr:uid="{00000000-0005-0000-0000-000002580000}"/>
    <cellStyle name="Normal 2 8 42" xfId="14717" xr:uid="{00000000-0005-0000-0000-000003580000}"/>
    <cellStyle name="Normal 2 8 42 2" xfId="22078" xr:uid="{00000000-0005-0000-0000-000004580000}"/>
    <cellStyle name="Normal 2 8 43" xfId="14718" xr:uid="{00000000-0005-0000-0000-000005580000}"/>
    <cellStyle name="Normal 2 8 44" xfId="14719" xr:uid="{00000000-0005-0000-0000-000006580000}"/>
    <cellStyle name="Normal 2 8 45" xfId="14720" xr:uid="{00000000-0005-0000-0000-000007580000}"/>
    <cellStyle name="Normal 2 8 46" xfId="14721" xr:uid="{00000000-0005-0000-0000-000008580000}"/>
    <cellStyle name="Normal 2 8 47" xfId="14722" xr:uid="{00000000-0005-0000-0000-000009580000}"/>
    <cellStyle name="Normal 2 8 5" xfId="14723" xr:uid="{00000000-0005-0000-0000-00000A580000}"/>
    <cellStyle name="Normal 2 8 5 2" xfId="22079" xr:uid="{00000000-0005-0000-0000-00000B580000}"/>
    <cellStyle name="Normal 2 8 6" xfId="14724" xr:uid="{00000000-0005-0000-0000-00000C580000}"/>
    <cellStyle name="Normal 2 8 6 2" xfId="22080" xr:uid="{00000000-0005-0000-0000-00000D580000}"/>
    <cellStyle name="Normal 2 8 7" xfId="14725" xr:uid="{00000000-0005-0000-0000-00000E580000}"/>
    <cellStyle name="Normal 2 8 7 2" xfId="22081" xr:uid="{00000000-0005-0000-0000-00000F580000}"/>
    <cellStyle name="Normal 2 8 8" xfId="14726" xr:uid="{00000000-0005-0000-0000-000010580000}"/>
    <cellStyle name="Normal 2 8 8 2" xfId="22082" xr:uid="{00000000-0005-0000-0000-000011580000}"/>
    <cellStyle name="Normal 2 8 9" xfId="14727" xr:uid="{00000000-0005-0000-0000-000012580000}"/>
    <cellStyle name="Normal 2 8 9 2" xfId="22083" xr:uid="{00000000-0005-0000-0000-000013580000}"/>
    <cellStyle name="Normal 2 8_DATA Input" xfId="14728" xr:uid="{00000000-0005-0000-0000-000014580000}"/>
    <cellStyle name="Normal 2 9" xfId="378" xr:uid="{00000000-0005-0000-0000-000015580000}"/>
    <cellStyle name="Normal 2 9 10" xfId="14729" xr:uid="{00000000-0005-0000-0000-000016580000}"/>
    <cellStyle name="Normal 2 9 11" xfId="14730" xr:uid="{00000000-0005-0000-0000-000017580000}"/>
    <cellStyle name="Normal 2 9 12" xfId="14731" xr:uid="{00000000-0005-0000-0000-000018580000}"/>
    <cellStyle name="Normal 2 9 13" xfId="14732" xr:uid="{00000000-0005-0000-0000-000019580000}"/>
    <cellStyle name="Normal 2 9 14" xfId="14733" xr:uid="{00000000-0005-0000-0000-00001A580000}"/>
    <cellStyle name="Normal 2 9 15" xfId="14734" xr:uid="{00000000-0005-0000-0000-00001B580000}"/>
    <cellStyle name="Normal 2 9 16" xfId="14735" xr:uid="{00000000-0005-0000-0000-00001C580000}"/>
    <cellStyle name="Normal 2 9 17" xfId="14736" xr:uid="{00000000-0005-0000-0000-00001D580000}"/>
    <cellStyle name="Normal 2 9 18" xfId="14737" xr:uid="{00000000-0005-0000-0000-00001E580000}"/>
    <cellStyle name="Normal 2 9 19" xfId="14738" xr:uid="{00000000-0005-0000-0000-00001F580000}"/>
    <cellStyle name="Normal 2 9 2" xfId="14739" xr:uid="{00000000-0005-0000-0000-000020580000}"/>
    <cellStyle name="Normal 2 9 2 2" xfId="14740" xr:uid="{00000000-0005-0000-0000-000021580000}"/>
    <cellStyle name="Normal 2 9 2 2 2" xfId="14741" xr:uid="{00000000-0005-0000-0000-000022580000}"/>
    <cellStyle name="Normal 2 9 2 2 3" xfId="14742" xr:uid="{00000000-0005-0000-0000-000023580000}"/>
    <cellStyle name="Normal 2 9 2 2_DATA Input" xfId="14743" xr:uid="{00000000-0005-0000-0000-000024580000}"/>
    <cellStyle name="Normal 2 9 2 3" xfId="14744" xr:uid="{00000000-0005-0000-0000-000025580000}"/>
    <cellStyle name="Normal 2 9 2_DATA Input" xfId="14745" xr:uid="{00000000-0005-0000-0000-000026580000}"/>
    <cellStyle name="Normal 2 9 20" xfId="14746" xr:uid="{00000000-0005-0000-0000-000027580000}"/>
    <cellStyle name="Normal 2 9 21" xfId="14747" xr:uid="{00000000-0005-0000-0000-000028580000}"/>
    <cellStyle name="Normal 2 9 22" xfId="14748" xr:uid="{00000000-0005-0000-0000-000029580000}"/>
    <cellStyle name="Normal 2 9 23" xfId="14749" xr:uid="{00000000-0005-0000-0000-00002A580000}"/>
    <cellStyle name="Normal 2 9 24" xfId="14750" xr:uid="{00000000-0005-0000-0000-00002B580000}"/>
    <cellStyle name="Normal 2 9 25" xfId="14751" xr:uid="{00000000-0005-0000-0000-00002C580000}"/>
    <cellStyle name="Normal 2 9 26" xfId="14752" xr:uid="{00000000-0005-0000-0000-00002D580000}"/>
    <cellStyle name="Normal 2 9 27" xfId="14753" xr:uid="{00000000-0005-0000-0000-00002E580000}"/>
    <cellStyle name="Normal 2 9 28" xfId="14754" xr:uid="{00000000-0005-0000-0000-00002F580000}"/>
    <cellStyle name="Normal 2 9 29" xfId="14755" xr:uid="{00000000-0005-0000-0000-000030580000}"/>
    <cellStyle name="Normal 2 9 3" xfId="14756" xr:uid="{00000000-0005-0000-0000-000031580000}"/>
    <cellStyle name="Normal 2 9 30" xfId="14757" xr:uid="{00000000-0005-0000-0000-000032580000}"/>
    <cellStyle name="Normal 2 9 31" xfId="14758" xr:uid="{00000000-0005-0000-0000-000033580000}"/>
    <cellStyle name="Normal 2 9 32" xfId="14759" xr:uid="{00000000-0005-0000-0000-000034580000}"/>
    <cellStyle name="Normal 2 9 33" xfId="14760" xr:uid="{00000000-0005-0000-0000-000035580000}"/>
    <cellStyle name="Normal 2 9 34" xfId="14761" xr:uid="{00000000-0005-0000-0000-000036580000}"/>
    <cellStyle name="Normal 2 9 35" xfId="14762" xr:uid="{00000000-0005-0000-0000-000037580000}"/>
    <cellStyle name="Normal 2 9 36" xfId="14763" xr:uid="{00000000-0005-0000-0000-000038580000}"/>
    <cellStyle name="Normal 2 9 37" xfId="14764" xr:uid="{00000000-0005-0000-0000-000039580000}"/>
    <cellStyle name="Normal 2 9 38" xfId="14765" xr:uid="{00000000-0005-0000-0000-00003A580000}"/>
    <cellStyle name="Normal 2 9 39" xfId="14766" xr:uid="{00000000-0005-0000-0000-00003B580000}"/>
    <cellStyle name="Normal 2 9 4" xfId="14767" xr:uid="{00000000-0005-0000-0000-00003C580000}"/>
    <cellStyle name="Normal 2 9 40" xfId="14768" xr:uid="{00000000-0005-0000-0000-00003D580000}"/>
    <cellStyle name="Normal 2 9 41" xfId="14769" xr:uid="{00000000-0005-0000-0000-00003E580000}"/>
    <cellStyle name="Normal 2 9 42" xfId="14770" xr:uid="{00000000-0005-0000-0000-00003F580000}"/>
    <cellStyle name="Normal 2 9 43" xfId="14771" xr:uid="{00000000-0005-0000-0000-000040580000}"/>
    <cellStyle name="Normal 2 9 44" xfId="14772" xr:uid="{00000000-0005-0000-0000-000041580000}"/>
    <cellStyle name="Normal 2 9 45" xfId="14773" xr:uid="{00000000-0005-0000-0000-000042580000}"/>
    <cellStyle name="Normal 2 9 5" xfId="14774" xr:uid="{00000000-0005-0000-0000-000043580000}"/>
    <cellStyle name="Normal 2 9 6" xfId="14775" xr:uid="{00000000-0005-0000-0000-000044580000}"/>
    <cellStyle name="Normal 2 9 7" xfId="14776" xr:uid="{00000000-0005-0000-0000-000045580000}"/>
    <cellStyle name="Normal 2 9 8" xfId="14777" xr:uid="{00000000-0005-0000-0000-000046580000}"/>
    <cellStyle name="Normal 2 9 9" xfId="14778" xr:uid="{00000000-0005-0000-0000-000047580000}"/>
    <cellStyle name="Normal 2 9_DATA Input" xfId="14779" xr:uid="{00000000-0005-0000-0000-000048580000}"/>
    <cellStyle name="Normal 2_Ashurst - Level 5" xfId="22725" xr:uid="{00000000-0005-0000-0000-000049580000}"/>
    <cellStyle name="Normal 20" xfId="379" xr:uid="{00000000-0005-0000-0000-00004A580000}"/>
    <cellStyle name="Normal 20 2" xfId="14780" xr:uid="{00000000-0005-0000-0000-00004B580000}"/>
    <cellStyle name="Normal 20 2 2" xfId="14781" xr:uid="{00000000-0005-0000-0000-00004C580000}"/>
    <cellStyle name="Normal 20 2 2 2" xfId="14782" xr:uid="{00000000-0005-0000-0000-00004D580000}"/>
    <cellStyle name="Normal 20 2 2 3" xfId="14783" xr:uid="{00000000-0005-0000-0000-00004E580000}"/>
    <cellStyle name="Normal 20 2 2 4" xfId="22084" xr:uid="{00000000-0005-0000-0000-00004F580000}"/>
    <cellStyle name="Normal 20 2 2_DATA Input" xfId="14784" xr:uid="{00000000-0005-0000-0000-000050580000}"/>
    <cellStyle name="Normal 20 2 3" xfId="14785" xr:uid="{00000000-0005-0000-0000-000051580000}"/>
    <cellStyle name="Normal 20 2 3 2" xfId="22085" xr:uid="{00000000-0005-0000-0000-000052580000}"/>
    <cellStyle name="Normal 20 2_DATA Input" xfId="14786" xr:uid="{00000000-0005-0000-0000-000053580000}"/>
    <cellStyle name="Normal 20 3" xfId="14787" xr:uid="{00000000-0005-0000-0000-000054580000}"/>
    <cellStyle name="Normal 20 4" xfId="14788" xr:uid="{00000000-0005-0000-0000-000055580000}"/>
    <cellStyle name="Normal 20 5" xfId="14789" xr:uid="{00000000-0005-0000-0000-000056580000}"/>
    <cellStyle name="Normal 20_DATA Input" xfId="14790" xr:uid="{00000000-0005-0000-0000-000057580000}"/>
    <cellStyle name="Normal 209" xfId="14791" xr:uid="{00000000-0005-0000-0000-000058580000}"/>
    <cellStyle name="Normal 21" xfId="380" xr:uid="{00000000-0005-0000-0000-000059580000}"/>
    <cellStyle name="Normal 21 2" xfId="14792" xr:uid="{00000000-0005-0000-0000-00005A580000}"/>
    <cellStyle name="Normal 21 3" xfId="14793" xr:uid="{00000000-0005-0000-0000-00005B580000}"/>
    <cellStyle name="Normal 21 4" xfId="14794" xr:uid="{00000000-0005-0000-0000-00005C580000}"/>
    <cellStyle name="Normal 21 5" xfId="14795" xr:uid="{00000000-0005-0000-0000-00005D580000}"/>
    <cellStyle name="Normal 21_DATA Input" xfId="14796" xr:uid="{00000000-0005-0000-0000-00005E580000}"/>
    <cellStyle name="Normal 22" xfId="381" xr:uid="{00000000-0005-0000-0000-00005F580000}"/>
    <cellStyle name="Normal 22 2" xfId="14797" xr:uid="{00000000-0005-0000-0000-000060580000}"/>
    <cellStyle name="Normal 22 3" xfId="14798" xr:uid="{00000000-0005-0000-0000-000061580000}"/>
    <cellStyle name="Normal 22_DATA Input" xfId="14799" xr:uid="{00000000-0005-0000-0000-000062580000}"/>
    <cellStyle name="Normal 220 2" xfId="22726" xr:uid="{00000000-0005-0000-0000-000063580000}"/>
    <cellStyle name="Normal 226 3" xfId="22727" xr:uid="{00000000-0005-0000-0000-000064580000}"/>
    <cellStyle name="Normal 23" xfId="382" xr:uid="{00000000-0005-0000-0000-000065580000}"/>
    <cellStyle name="Normal 23 2" xfId="14800" xr:uid="{00000000-0005-0000-0000-000066580000}"/>
    <cellStyle name="Normal 23_DATA Input" xfId="14801" xr:uid="{00000000-0005-0000-0000-000067580000}"/>
    <cellStyle name="Normal 24" xfId="383" xr:uid="{00000000-0005-0000-0000-000068580000}"/>
    <cellStyle name="Normal 24 2" xfId="14802" xr:uid="{00000000-0005-0000-0000-000069580000}"/>
    <cellStyle name="Normal 24 2 2" xfId="22086" xr:uid="{00000000-0005-0000-0000-00006A580000}"/>
    <cellStyle name="Normal 24 3" xfId="14803" xr:uid="{00000000-0005-0000-0000-00006B580000}"/>
    <cellStyle name="Normal 24 3 2" xfId="22087" xr:uid="{00000000-0005-0000-0000-00006C580000}"/>
    <cellStyle name="Normal 24_DATA Input" xfId="14804" xr:uid="{00000000-0005-0000-0000-00006D580000}"/>
    <cellStyle name="Normal 25" xfId="384" xr:uid="{00000000-0005-0000-0000-00006E580000}"/>
    <cellStyle name="Normal 25 2" xfId="14805" xr:uid="{00000000-0005-0000-0000-00006F580000}"/>
    <cellStyle name="Normal 25 2 2" xfId="22088" xr:uid="{00000000-0005-0000-0000-000070580000}"/>
    <cellStyle name="Normal 25 3" xfId="14806" xr:uid="{00000000-0005-0000-0000-000071580000}"/>
    <cellStyle name="Normal 25 3 2" xfId="22089" xr:uid="{00000000-0005-0000-0000-000072580000}"/>
    <cellStyle name="Normal 25_DATA Input" xfId="14807" xr:uid="{00000000-0005-0000-0000-000073580000}"/>
    <cellStyle name="Normal 26" xfId="385" xr:uid="{00000000-0005-0000-0000-000074580000}"/>
    <cellStyle name="Normal 26 2" xfId="14808" xr:uid="{00000000-0005-0000-0000-000075580000}"/>
    <cellStyle name="Normal 26 2 2" xfId="22090" xr:uid="{00000000-0005-0000-0000-000076580000}"/>
    <cellStyle name="Normal 27" xfId="386" xr:uid="{00000000-0005-0000-0000-000077580000}"/>
    <cellStyle name="Normal 27 2" xfId="14809" xr:uid="{00000000-0005-0000-0000-000078580000}"/>
    <cellStyle name="Normal 27_DATA Input" xfId="14810" xr:uid="{00000000-0005-0000-0000-000079580000}"/>
    <cellStyle name="Normal 28" xfId="387" xr:uid="{00000000-0005-0000-0000-00007A580000}"/>
    <cellStyle name="Normal 29" xfId="388" xr:uid="{00000000-0005-0000-0000-00007B580000}"/>
    <cellStyle name="Normal 3" xfId="389" xr:uid="{00000000-0005-0000-0000-00007C580000}"/>
    <cellStyle name="Normal 3 10" xfId="14811" xr:uid="{00000000-0005-0000-0000-00007D580000}"/>
    <cellStyle name="Normal 3 10 2" xfId="22091" xr:uid="{00000000-0005-0000-0000-00007E580000}"/>
    <cellStyle name="Normal 3 11" xfId="14812" xr:uid="{00000000-0005-0000-0000-00007F580000}"/>
    <cellStyle name="Normal 3 11 2" xfId="22092" xr:uid="{00000000-0005-0000-0000-000080580000}"/>
    <cellStyle name="Normal 3 12" xfId="14813" xr:uid="{00000000-0005-0000-0000-000081580000}"/>
    <cellStyle name="Normal 3 12 2" xfId="22093" xr:uid="{00000000-0005-0000-0000-000082580000}"/>
    <cellStyle name="Normal 3 13" xfId="14814" xr:uid="{00000000-0005-0000-0000-000083580000}"/>
    <cellStyle name="Normal 3 13 2" xfId="22094" xr:uid="{00000000-0005-0000-0000-000084580000}"/>
    <cellStyle name="Normal 3 14" xfId="14815" xr:uid="{00000000-0005-0000-0000-000085580000}"/>
    <cellStyle name="Normal 3 14 2" xfId="22095" xr:uid="{00000000-0005-0000-0000-000086580000}"/>
    <cellStyle name="Normal 3 15" xfId="14816" xr:uid="{00000000-0005-0000-0000-000087580000}"/>
    <cellStyle name="Normal 3 15 2" xfId="22096" xr:uid="{00000000-0005-0000-0000-000088580000}"/>
    <cellStyle name="Normal 3 16" xfId="14817" xr:uid="{00000000-0005-0000-0000-000089580000}"/>
    <cellStyle name="Normal 3 16 2" xfId="22097" xr:uid="{00000000-0005-0000-0000-00008A580000}"/>
    <cellStyle name="Normal 3 17" xfId="14818" xr:uid="{00000000-0005-0000-0000-00008B580000}"/>
    <cellStyle name="Normal 3 17 2" xfId="22098" xr:uid="{00000000-0005-0000-0000-00008C580000}"/>
    <cellStyle name="Normal 3 18" xfId="14819" xr:uid="{00000000-0005-0000-0000-00008D580000}"/>
    <cellStyle name="Normal 3 18 2" xfId="22099" xr:uid="{00000000-0005-0000-0000-00008E580000}"/>
    <cellStyle name="Normal 3 19" xfId="14820" xr:uid="{00000000-0005-0000-0000-00008F580000}"/>
    <cellStyle name="Normal 3 19 2" xfId="22100" xr:uid="{00000000-0005-0000-0000-000090580000}"/>
    <cellStyle name="Normal 3 2" xfId="390" xr:uid="{00000000-0005-0000-0000-000091580000}"/>
    <cellStyle name="Normal 3 2 10" xfId="14821" xr:uid="{00000000-0005-0000-0000-000092580000}"/>
    <cellStyle name="Normal 3 2 10 2" xfId="22101" xr:uid="{00000000-0005-0000-0000-000093580000}"/>
    <cellStyle name="Normal 3 2 11" xfId="14822" xr:uid="{00000000-0005-0000-0000-000094580000}"/>
    <cellStyle name="Normal 3 2 11 2" xfId="22102" xr:uid="{00000000-0005-0000-0000-000095580000}"/>
    <cellStyle name="Normal 3 2 12" xfId="14823" xr:uid="{00000000-0005-0000-0000-000096580000}"/>
    <cellStyle name="Normal 3 2 12 2" xfId="22103" xr:uid="{00000000-0005-0000-0000-000097580000}"/>
    <cellStyle name="Normal 3 2 13" xfId="14824" xr:uid="{00000000-0005-0000-0000-000098580000}"/>
    <cellStyle name="Normal 3 2 13 2" xfId="22104" xr:uid="{00000000-0005-0000-0000-000099580000}"/>
    <cellStyle name="Normal 3 2 14" xfId="14825" xr:uid="{00000000-0005-0000-0000-00009A580000}"/>
    <cellStyle name="Normal 3 2 14 2" xfId="22105" xr:uid="{00000000-0005-0000-0000-00009B580000}"/>
    <cellStyle name="Normal 3 2 15" xfId="14826" xr:uid="{00000000-0005-0000-0000-00009C580000}"/>
    <cellStyle name="Normal 3 2 15 2" xfId="22106" xr:uid="{00000000-0005-0000-0000-00009D580000}"/>
    <cellStyle name="Normal 3 2 16" xfId="14827" xr:uid="{00000000-0005-0000-0000-00009E580000}"/>
    <cellStyle name="Normal 3 2 16 2" xfId="22107" xr:uid="{00000000-0005-0000-0000-00009F580000}"/>
    <cellStyle name="Normal 3 2 17" xfId="14828" xr:uid="{00000000-0005-0000-0000-0000A0580000}"/>
    <cellStyle name="Normal 3 2 17 2" xfId="22108" xr:uid="{00000000-0005-0000-0000-0000A1580000}"/>
    <cellStyle name="Normal 3 2 18" xfId="14829" xr:uid="{00000000-0005-0000-0000-0000A2580000}"/>
    <cellStyle name="Normal 3 2 18 2" xfId="22109" xr:uid="{00000000-0005-0000-0000-0000A3580000}"/>
    <cellStyle name="Normal 3 2 19" xfId="14830" xr:uid="{00000000-0005-0000-0000-0000A4580000}"/>
    <cellStyle name="Normal 3 2 19 2" xfId="22110" xr:uid="{00000000-0005-0000-0000-0000A5580000}"/>
    <cellStyle name="Normal 3 2 2" xfId="14831" xr:uid="{00000000-0005-0000-0000-0000A6580000}"/>
    <cellStyle name="Normal 3 2 2 2" xfId="22111" xr:uid="{00000000-0005-0000-0000-0000A7580000}"/>
    <cellStyle name="Normal 3 2 20" xfId="14832" xr:uid="{00000000-0005-0000-0000-0000A8580000}"/>
    <cellStyle name="Normal 3 2 20 2" xfId="22112" xr:uid="{00000000-0005-0000-0000-0000A9580000}"/>
    <cellStyle name="Normal 3 2 21" xfId="14833" xr:uid="{00000000-0005-0000-0000-0000AA580000}"/>
    <cellStyle name="Normal 3 2 21 2" xfId="22113" xr:uid="{00000000-0005-0000-0000-0000AB580000}"/>
    <cellStyle name="Normal 3 2 22" xfId="14834" xr:uid="{00000000-0005-0000-0000-0000AC580000}"/>
    <cellStyle name="Normal 3 2 22 2" xfId="22114" xr:uid="{00000000-0005-0000-0000-0000AD580000}"/>
    <cellStyle name="Normal 3 2 23" xfId="14835" xr:uid="{00000000-0005-0000-0000-0000AE580000}"/>
    <cellStyle name="Normal 3 2 23 2" xfId="22115" xr:uid="{00000000-0005-0000-0000-0000AF580000}"/>
    <cellStyle name="Normal 3 2 24" xfId="14836" xr:uid="{00000000-0005-0000-0000-0000B0580000}"/>
    <cellStyle name="Normal 3 2 24 2" xfId="22116" xr:uid="{00000000-0005-0000-0000-0000B1580000}"/>
    <cellStyle name="Normal 3 2 25" xfId="14837" xr:uid="{00000000-0005-0000-0000-0000B2580000}"/>
    <cellStyle name="Normal 3 2 25 2" xfId="22117" xr:uid="{00000000-0005-0000-0000-0000B3580000}"/>
    <cellStyle name="Normal 3 2 26" xfId="14838" xr:uid="{00000000-0005-0000-0000-0000B4580000}"/>
    <cellStyle name="Normal 3 2 26 2" xfId="22118" xr:uid="{00000000-0005-0000-0000-0000B5580000}"/>
    <cellStyle name="Normal 3 2 27" xfId="14839" xr:uid="{00000000-0005-0000-0000-0000B6580000}"/>
    <cellStyle name="Normal 3 2 27 2" xfId="22119" xr:uid="{00000000-0005-0000-0000-0000B7580000}"/>
    <cellStyle name="Normal 3 2 28" xfId="14840" xr:uid="{00000000-0005-0000-0000-0000B8580000}"/>
    <cellStyle name="Normal 3 2 28 2" xfId="22120" xr:uid="{00000000-0005-0000-0000-0000B9580000}"/>
    <cellStyle name="Normal 3 2 29" xfId="14841" xr:uid="{00000000-0005-0000-0000-0000BA580000}"/>
    <cellStyle name="Normal 3 2 29 2" xfId="22121" xr:uid="{00000000-0005-0000-0000-0000BB580000}"/>
    <cellStyle name="Normal 3 2 3" xfId="14842" xr:uid="{00000000-0005-0000-0000-0000BC580000}"/>
    <cellStyle name="Normal 3 2 3 2" xfId="22122" xr:uid="{00000000-0005-0000-0000-0000BD580000}"/>
    <cellStyle name="Normal 3 2 30" xfId="14843" xr:uid="{00000000-0005-0000-0000-0000BE580000}"/>
    <cellStyle name="Normal 3 2 30 2" xfId="22123" xr:uid="{00000000-0005-0000-0000-0000BF580000}"/>
    <cellStyle name="Normal 3 2 31" xfId="14844" xr:uid="{00000000-0005-0000-0000-0000C0580000}"/>
    <cellStyle name="Normal 3 2 31 2" xfId="22124" xr:uid="{00000000-0005-0000-0000-0000C1580000}"/>
    <cellStyle name="Normal 3 2 32" xfId="14845" xr:uid="{00000000-0005-0000-0000-0000C2580000}"/>
    <cellStyle name="Normal 3 2 32 2" xfId="22125" xr:uid="{00000000-0005-0000-0000-0000C3580000}"/>
    <cellStyle name="Normal 3 2 33" xfId="14846" xr:uid="{00000000-0005-0000-0000-0000C4580000}"/>
    <cellStyle name="Normal 3 2 33 2" xfId="22126" xr:uid="{00000000-0005-0000-0000-0000C5580000}"/>
    <cellStyle name="Normal 3 2 34" xfId="14847" xr:uid="{00000000-0005-0000-0000-0000C6580000}"/>
    <cellStyle name="Normal 3 2 34 2" xfId="22127" xr:uid="{00000000-0005-0000-0000-0000C7580000}"/>
    <cellStyle name="Normal 3 2 35" xfId="14848" xr:uid="{00000000-0005-0000-0000-0000C8580000}"/>
    <cellStyle name="Normal 3 2 35 2" xfId="22128" xr:uid="{00000000-0005-0000-0000-0000C9580000}"/>
    <cellStyle name="Normal 3 2 36" xfId="14849" xr:uid="{00000000-0005-0000-0000-0000CA580000}"/>
    <cellStyle name="Normal 3 2 36 2" xfId="22129" xr:uid="{00000000-0005-0000-0000-0000CB580000}"/>
    <cellStyle name="Normal 3 2 37" xfId="14850" xr:uid="{00000000-0005-0000-0000-0000CC580000}"/>
    <cellStyle name="Normal 3 2 37 2" xfId="22130" xr:uid="{00000000-0005-0000-0000-0000CD580000}"/>
    <cellStyle name="Normal 3 2 38" xfId="14851" xr:uid="{00000000-0005-0000-0000-0000CE580000}"/>
    <cellStyle name="Normal 3 2 38 2" xfId="22131" xr:uid="{00000000-0005-0000-0000-0000CF580000}"/>
    <cellStyle name="Normal 3 2 39" xfId="14852" xr:uid="{00000000-0005-0000-0000-0000D0580000}"/>
    <cellStyle name="Normal 3 2 39 2" xfId="22132" xr:uid="{00000000-0005-0000-0000-0000D1580000}"/>
    <cellStyle name="Normal 3 2 4" xfId="14853" xr:uid="{00000000-0005-0000-0000-0000D2580000}"/>
    <cellStyle name="Normal 3 2 4 2" xfId="22133" xr:uid="{00000000-0005-0000-0000-0000D3580000}"/>
    <cellStyle name="Normal 3 2 40" xfId="14854" xr:uid="{00000000-0005-0000-0000-0000D4580000}"/>
    <cellStyle name="Normal 3 2 40 2" xfId="22134" xr:uid="{00000000-0005-0000-0000-0000D5580000}"/>
    <cellStyle name="Normal 3 2 41" xfId="14855" xr:uid="{00000000-0005-0000-0000-0000D6580000}"/>
    <cellStyle name="Normal 3 2 41 2" xfId="22135" xr:uid="{00000000-0005-0000-0000-0000D7580000}"/>
    <cellStyle name="Normal 3 2 42" xfId="14856" xr:uid="{00000000-0005-0000-0000-0000D8580000}"/>
    <cellStyle name="Normal 3 2 42 2" xfId="22136" xr:uid="{00000000-0005-0000-0000-0000D9580000}"/>
    <cellStyle name="Normal 3 2 43" xfId="19414" xr:uid="{00000000-0005-0000-0000-0000DA580000}"/>
    <cellStyle name="Normal 3 2 5" xfId="14857" xr:uid="{00000000-0005-0000-0000-0000DB580000}"/>
    <cellStyle name="Normal 3 2 5 2" xfId="22137" xr:uid="{00000000-0005-0000-0000-0000DC580000}"/>
    <cellStyle name="Normal 3 2 6" xfId="14858" xr:uid="{00000000-0005-0000-0000-0000DD580000}"/>
    <cellStyle name="Normal 3 2 6 2" xfId="22138" xr:uid="{00000000-0005-0000-0000-0000DE580000}"/>
    <cellStyle name="Normal 3 2 7" xfId="14859" xr:uid="{00000000-0005-0000-0000-0000DF580000}"/>
    <cellStyle name="Normal 3 2 7 2" xfId="22139" xr:uid="{00000000-0005-0000-0000-0000E0580000}"/>
    <cellStyle name="Normal 3 2 8" xfId="14860" xr:uid="{00000000-0005-0000-0000-0000E1580000}"/>
    <cellStyle name="Normal 3 2 8 2" xfId="22140" xr:uid="{00000000-0005-0000-0000-0000E2580000}"/>
    <cellStyle name="Normal 3 2 9" xfId="14861" xr:uid="{00000000-0005-0000-0000-0000E3580000}"/>
    <cellStyle name="Normal 3 2 9 2" xfId="22141" xr:uid="{00000000-0005-0000-0000-0000E4580000}"/>
    <cellStyle name="Normal 3 2_DATA Input" xfId="14862" xr:uid="{00000000-0005-0000-0000-0000E5580000}"/>
    <cellStyle name="Normal 3 20" xfId="14863" xr:uid="{00000000-0005-0000-0000-0000E6580000}"/>
    <cellStyle name="Normal 3 20 2" xfId="22142" xr:uid="{00000000-0005-0000-0000-0000E7580000}"/>
    <cellStyle name="Normal 3 21" xfId="14864" xr:uid="{00000000-0005-0000-0000-0000E8580000}"/>
    <cellStyle name="Normal 3 21 2" xfId="22143" xr:uid="{00000000-0005-0000-0000-0000E9580000}"/>
    <cellStyle name="Normal 3 22" xfId="14865" xr:uid="{00000000-0005-0000-0000-0000EA580000}"/>
    <cellStyle name="Normal 3 22 2" xfId="22144" xr:uid="{00000000-0005-0000-0000-0000EB580000}"/>
    <cellStyle name="Normal 3 23" xfId="14866" xr:uid="{00000000-0005-0000-0000-0000EC580000}"/>
    <cellStyle name="Normal 3 23 2" xfId="22145" xr:uid="{00000000-0005-0000-0000-0000ED580000}"/>
    <cellStyle name="Normal 3 24" xfId="14867" xr:uid="{00000000-0005-0000-0000-0000EE580000}"/>
    <cellStyle name="Normal 3 24 2" xfId="22146" xr:uid="{00000000-0005-0000-0000-0000EF580000}"/>
    <cellStyle name="Normal 3 25" xfId="14868" xr:uid="{00000000-0005-0000-0000-0000F0580000}"/>
    <cellStyle name="Normal 3 25 2" xfId="22147" xr:uid="{00000000-0005-0000-0000-0000F1580000}"/>
    <cellStyle name="Normal 3 26" xfId="14869" xr:uid="{00000000-0005-0000-0000-0000F2580000}"/>
    <cellStyle name="Normal 3 26 2" xfId="22148" xr:uid="{00000000-0005-0000-0000-0000F3580000}"/>
    <cellStyle name="Normal 3 27" xfId="14870" xr:uid="{00000000-0005-0000-0000-0000F4580000}"/>
    <cellStyle name="Normal 3 27 2" xfId="22149" xr:uid="{00000000-0005-0000-0000-0000F5580000}"/>
    <cellStyle name="Normal 3 28" xfId="14871" xr:uid="{00000000-0005-0000-0000-0000F6580000}"/>
    <cellStyle name="Normal 3 28 2" xfId="22150" xr:uid="{00000000-0005-0000-0000-0000F7580000}"/>
    <cellStyle name="Normal 3 29" xfId="14872" xr:uid="{00000000-0005-0000-0000-0000F8580000}"/>
    <cellStyle name="Normal 3 29 2" xfId="22151" xr:uid="{00000000-0005-0000-0000-0000F9580000}"/>
    <cellStyle name="Normal 3 3" xfId="391" xr:uid="{00000000-0005-0000-0000-0000FA580000}"/>
    <cellStyle name="Normal 3 3 10" xfId="14873" xr:uid="{00000000-0005-0000-0000-0000FB580000}"/>
    <cellStyle name="Normal 3 3 10 2" xfId="22152" xr:uid="{00000000-0005-0000-0000-0000FC580000}"/>
    <cellStyle name="Normal 3 3 11" xfId="14874" xr:uid="{00000000-0005-0000-0000-0000FD580000}"/>
    <cellStyle name="Normal 3 3 11 2" xfId="22153" xr:uid="{00000000-0005-0000-0000-0000FE580000}"/>
    <cellStyle name="Normal 3 3 12" xfId="14875" xr:uid="{00000000-0005-0000-0000-0000FF580000}"/>
    <cellStyle name="Normal 3 3 12 2" xfId="22154" xr:uid="{00000000-0005-0000-0000-000000590000}"/>
    <cellStyle name="Normal 3 3 13" xfId="14876" xr:uid="{00000000-0005-0000-0000-000001590000}"/>
    <cellStyle name="Normal 3 3 13 2" xfId="22155" xr:uid="{00000000-0005-0000-0000-000002590000}"/>
    <cellStyle name="Normal 3 3 14" xfId="14877" xr:uid="{00000000-0005-0000-0000-000003590000}"/>
    <cellStyle name="Normal 3 3 14 2" xfId="22156" xr:uid="{00000000-0005-0000-0000-000004590000}"/>
    <cellStyle name="Normal 3 3 15" xfId="14878" xr:uid="{00000000-0005-0000-0000-000005590000}"/>
    <cellStyle name="Normal 3 3 15 2" xfId="22157" xr:uid="{00000000-0005-0000-0000-000006590000}"/>
    <cellStyle name="Normal 3 3 16" xfId="14879" xr:uid="{00000000-0005-0000-0000-000007590000}"/>
    <cellStyle name="Normal 3 3 16 2" xfId="22158" xr:uid="{00000000-0005-0000-0000-000008590000}"/>
    <cellStyle name="Normal 3 3 17" xfId="14880" xr:uid="{00000000-0005-0000-0000-000009590000}"/>
    <cellStyle name="Normal 3 3 17 2" xfId="22159" xr:uid="{00000000-0005-0000-0000-00000A590000}"/>
    <cellStyle name="Normal 3 3 18" xfId="14881" xr:uid="{00000000-0005-0000-0000-00000B590000}"/>
    <cellStyle name="Normal 3 3 18 2" xfId="22160" xr:uid="{00000000-0005-0000-0000-00000C590000}"/>
    <cellStyle name="Normal 3 3 19" xfId="14882" xr:uid="{00000000-0005-0000-0000-00000D590000}"/>
    <cellStyle name="Normal 3 3 19 2" xfId="22161" xr:uid="{00000000-0005-0000-0000-00000E590000}"/>
    <cellStyle name="Normal 3 3 2" xfId="392" xr:uid="{00000000-0005-0000-0000-00000F590000}"/>
    <cellStyle name="Normal 3 3 20" xfId="14883" xr:uid="{00000000-0005-0000-0000-000010590000}"/>
    <cellStyle name="Normal 3 3 20 2" xfId="22162" xr:uid="{00000000-0005-0000-0000-000011590000}"/>
    <cellStyle name="Normal 3 3 21" xfId="14884" xr:uid="{00000000-0005-0000-0000-000012590000}"/>
    <cellStyle name="Normal 3 3 21 2" xfId="22163" xr:uid="{00000000-0005-0000-0000-000013590000}"/>
    <cellStyle name="Normal 3 3 22" xfId="14885" xr:uid="{00000000-0005-0000-0000-000014590000}"/>
    <cellStyle name="Normal 3 3 22 2" xfId="22164" xr:uid="{00000000-0005-0000-0000-000015590000}"/>
    <cellStyle name="Normal 3 3 23" xfId="14886" xr:uid="{00000000-0005-0000-0000-000016590000}"/>
    <cellStyle name="Normal 3 3 23 2" xfId="22165" xr:uid="{00000000-0005-0000-0000-000017590000}"/>
    <cellStyle name="Normal 3 3 24" xfId="14887" xr:uid="{00000000-0005-0000-0000-000018590000}"/>
    <cellStyle name="Normal 3 3 24 2" xfId="22166" xr:uid="{00000000-0005-0000-0000-000019590000}"/>
    <cellStyle name="Normal 3 3 25" xfId="14888" xr:uid="{00000000-0005-0000-0000-00001A590000}"/>
    <cellStyle name="Normal 3 3 25 2" xfId="22167" xr:uid="{00000000-0005-0000-0000-00001B590000}"/>
    <cellStyle name="Normal 3 3 26" xfId="14889" xr:uid="{00000000-0005-0000-0000-00001C590000}"/>
    <cellStyle name="Normal 3 3 26 2" xfId="22168" xr:uid="{00000000-0005-0000-0000-00001D590000}"/>
    <cellStyle name="Normal 3 3 27" xfId="14890" xr:uid="{00000000-0005-0000-0000-00001E590000}"/>
    <cellStyle name="Normal 3 3 27 2" xfId="22169" xr:uid="{00000000-0005-0000-0000-00001F590000}"/>
    <cellStyle name="Normal 3 3 28" xfId="14891" xr:uid="{00000000-0005-0000-0000-000020590000}"/>
    <cellStyle name="Normal 3 3 28 2" xfId="22170" xr:uid="{00000000-0005-0000-0000-000021590000}"/>
    <cellStyle name="Normal 3 3 29" xfId="14892" xr:uid="{00000000-0005-0000-0000-000022590000}"/>
    <cellStyle name="Normal 3 3 29 2" xfId="22171" xr:uid="{00000000-0005-0000-0000-000023590000}"/>
    <cellStyle name="Normal 3 3 3" xfId="393" xr:uid="{00000000-0005-0000-0000-000024590000}"/>
    <cellStyle name="Normal 3 3 30" xfId="14893" xr:uid="{00000000-0005-0000-0000-000025590000}"/>
    <cellStyle name="Normal 3 3 30 2" xfId="22172" xr:uid="{00000000-0005-0000-0000-000026590000}"/>
    <cellStyle name="Normal 3 3 31" xfId="14894" xr:uid="{00000000-0005-0000-0000-000027590000}"/>
    <cellStyle name="Normal 3 3 31 2" xfId="22173" xr:uid="{00000000-0005-0000-0000-000028590000}"/>
    <cellStyle name="Normal 3 3 32" xfId="14895" xr:uid="{00000000-0005-0000-0000-000029590000}"/>
    <cellStyle name="Normal 3 3 32 2" xfId="22174" xr:uid="{00000000-0005-0000-0000-00002A590000}"/>
    <cellStyle name="Normal 3 3 33" xfId="14896" xr:uid="{00000000-0005-0000-0000-00002B590000}"/>
    <cellStyle name="Normal 3 3 33 2" xfId="22175" xr:uid="{00000000-0005-0000-0000-00002C590000}"/>
    <cellStyle name="Normal 3 3 34" xfId="14897" xr:uid="{00000000-0005-0000-0000-00002D590000}"/>
    <cellStyle name="Normal 3 3 34 2" xfId="22176" xr:uid="{00000000-0005-0000-0000-00002E590000}"/>
    <cellStyle name="Normal 3 3 35" xfId="14898" xr:uid="{00000000-0005-0000-0000-00002F590000}"/>
    <cellStyle name="Normal 3 3 35 2" xfId="22177" xr:uid="{00000000-0005-0000-0000-000030590000}"/>
    <cellStyle name="Normal 3 3 36" xfId="14899" xr:uid="{00000000-0005-0000-0000-000031590000}"/>
    <cellStyle name="Normal 3 3 36 2" xfId="22178" xr:uid="{00000000-0005-0000-0000-000032590000}"/>
    <cellStyle name="Normal 3 3 37" xfId="14900" xr:uid="{00000000-0005-0000-0000-000033590000}"/>
    <cellStyle name="Normal 3 3 37 2" xfId="22179" xr:uid="{00000000-0005-0000-0000-000034590000}"/>
    <cellStyle name="Normal 3 3 38" xfId="14901" xr:uid="{00000000-0005-0000-0000-000035590000}"/>
    <cellStyle name="Normal 3 3 38 2" xfId="22180" xr:uid="{00000000-0005-0000-0000-000036590000}"/>
    <cellStyle name="Normal 3 3 39" xfId="14902" xr:uid="{00000000-0005-0000-0000-000037590000}"/>
    <cellStyle name="Normal 3 3 39 2" xfId="22181" xr:uid="{00000000-0005-0000-0000-000038590000}"/>
    <cellStyle name="Normal 3 3 4" xfId="14903" xr:uid="{00000000-0005-0000-0000-000039590000}"/>
    <cellStyle name="Normal 3 3 4 2" xfId="22182" xr:uid="{00000000-0005-0000-0000-00003A590000}"/>
    <cellStyle name="Normal 3 3 40" xfId="14904" xr:uid="{00000000-0005-0000-0000-00003B590000}"/>
    <cellStyle name="Normal 3 3 40 2" xfId="22183" xr:uid="{00000000-0005-0000-0000-00003C590000}"/>
    <cellStyle name="Normal 3 3 41" xfId="14905" xr:uid="{00000000-0005-0000-0000-00003D590000}"/>
    <cellStyle name="Normal 3 3 41 2" xfId="22184" xr:uid="{00000000-0005-0000-0000-00003E590000}"/>
    <cellStyle name="Normal 3 3 42" xfId="14906" xr:uid="{00000000-0005-0000-0000-00003F590000}"/>
    <cellStyle name="Normal 3 3 42 2" xfId="22185" xr:uid="{00000000-0005-0000-0000-000040590000}"/>
    <cellStyle name="Normal 3 3 5" xfId="14907" xr:uid="{00000000-0005-0000-0000-000041590000}"/>
    <cellStyle name="Normal 3 3 5 2" xfId="22186" xr:uid="{00000000-0005-0000-0000-000042590000}"/>
    <cellStyle name="Normal 3 3 6" xfId="14908" xr:uid="{00000000-0005-0000-0000-000043590000}"/>
    <cellStyle name="Normal 3 3 6 2" xfId="22187" xr:uid="{00000000-0005-0000-0000-000044590000}"/>
    <cellStyle name="Normal 3 3 7" xfId="14909" xr:uid="{00000000-0005-0000-0000-000045590000}"/>
    <cellStyle name="Normal 3 3 7 2" xfId="22188" xr:uid="{00000000-0005-0000-0000-000046590000}"/>
    <cellStyle name="Normal 3 3 8" xfId="14910" xr:uid="{00000000-0005-0000-0000-000047590000}"/>
    <cellStyle name="Normal 3 3 8 2" xfId="22189" xr:uid="{00000000-0005-0000-0000-000048590000}"/>
    <cellStyle name="Normal 3 3 9" xfId="14911" xr:uid="{00000000-0005-0000-0000-000049590000}"/>
    <cellStyle name="Normal 3 3 9 2" xfId="22190" xr:uid="{00000000-0005-0000-0000-00004A590000}"/>
    <cellStyle name="Normal 3 3_DATA Input" xfId="14912" xr:uid="{00000000-0005-0000-0000-00004B590000}"/>
    <cellStyle name="Normal 3 30" xfId="14913" xr:uid="{00000000-0005-0000-0000-00004C590000}"/>
    <cellStyle name="Normal 3 30 2" xfId="22191" xr:uid="{00000000-0005-0000-0000-00004D590000}"/>
    <cellStyle name="Normal 3 31" xfId="14914" xr:uid="{00000000-0005-0000-0000-00004E590000}"/>
    <cellStyle name="Normal 3 31 2" xfId="22192" xr:uid="{00000000-0005-0000-0000-00004F590000}"/>
    <cellStyle name="Normal 3 32" xfId="14915" xr:uid="{00000000-0005-0000-0000-000050590000}"/>
    <cellStyle name="Normal 3 32 2" xfId="22193" xr:uid="{00000000-0005-0000-0000-000051590000}"/>
    <cellStyle name="Normal 3 33" xfId="14916" xr:uid="{00000000-0005-0000-0000-000052590000}"/>
    <cellStyle name="Normal 3 33 2" xfId="22194" xr:uid="{00000000-0005-0000-0000-000053590000}"/>
    <cellStyle name="Normal 3 34" xfId="14917" xr:uid="{00000000-0005-0000-0000-000054590000}"/>
    <cellStyle name="Normal 3 34 2" xfId="22195" xr:uid="{00000000-0005-0000-0000-000055590000}"/>
    <cellStyle name="Normal 3 35" xfId="14918" xr:uid="{00000000-0005-0000-0000-000056590000}"/>
    <cellStyle name="Normal 3 35 2" xfId="22196" xr:uid="{00000000-0005-0000-0000-000057590000}"/>
    <cellStyle name="Normal 3 36" xfId="14919" xr:uid="{00000000-0005-0000-0000-000058590000}"/>
    <cellStyle name="Normal 3 36 2" xfId="22197" xr:uid="{00000000-0005-0000-0000-000059590000}"/>
    <cellStyle name="Normal 3 37" xfId="14920" xr:uid="{00000000-0005-0000-0000-00005A590000}"/>
    <cellStyle name="Normal 3 37 2" xfId="22198" xr:uid="{00000000-0005-0000-0000-00005B590000}"/>
    <cellStyle name="Normal 3 38" xfId="14921" xr:uid="{00000000-0005-0000-0000-00005C590000}"/>
    <cellStyle name="Normal 3 38 2" xfId="22199" xr:uid="{00000000-0005-0000-0000-00005D590000}"/>
    <cellStyle name="Normal 3 39" xfId="14922" xr:uid="{00000000-0005-0000-0000-00005E590000}"/>
    <cellStyle name="Normal 3 39 2" xfId="22200" xr:uid="{00000000-0005-0000-0000-00005F590000}"/>
    <cellStyle name="Normal 3 4" xfId="394" xr:uid="{00000000-0005-0000-0000-000060590000}"/>
    <cellStyle name="Normal 3 40" xfId="14923" xr:uid="{00000000-0005-0000-0000-000061590000}"/>
    <cellStyle name="Normal 3 40 2" xfId="22201" xr:uid="{00000000-0005-0000-0000-000062590000}"/>
    <cellStyle name="Normal 3 41" xfId="14924" xr:uid="{00000000-0005-0000-0000-000063590000}"/>
    <cellStyle name="Normal 3 41 2" xfId="22202" xr:uid="{00000000-0005-0000-0000-000064590000}"/>
    <cellStyle name="Normal 3 42" xfId="14925" xr:uid="{00000000-0005-0000-0000-000065590000}"/>
    <cellStyle name="Normal 3 42 2" xfId="22203" xr:uid="{00000000-0005-0000-0000-000066590000}"/>
    <cellStyle name="Normal 3 43" xfId="14926" xr:uid="{00000000-0005-0000-0000-000067590000}"/>
    <cellStyle name="Normal 3 43 2" xfId="22204" xr:uid="{00000000-0005-0000-0000-000068590000}"/>
    <cellStyle name="Normal 3 44" xfId="14927" xr:uid="{00000000-0005-0000-0000-000069590000}"/>
    <cellStyle name="Normal 3 44 2" xfId="22205" xr:uid="{00000000-0005-0000-0000-00006A590000}"/>
    <cellStyle name="Normal 3 45" xfId="14928" xr:uid="{00000000-0005-0000-0000-00006B590000}"/>
    <cellStyle name="Normal 3 45 2" xfId="22206" xr:uid="{00000000-0005-0000-0000-00006C590000}"/>
    <cellStyle name="Normal 3 46" xfId="14929" xr:uid="{00000000-0005-0000-0000-00006D590000}"/>
    <cellStyle name="Normal 3 46 2" xfId="22207" xr:uid="{00000000-0005-0000-0000-00006E590000}"/>
    <cellStyle name="Normal 3 5" xfId="14930" xr:uid="{00000000-0005-0000-0000-00006F590000}"/>
    <cellStyle name="Normal 3 5 2" xfId="22208" xr:uid="{00000000-0005-0000-0000-000070590000}"/>
    <cellStyle name="Normal 3 6" xfId="14931" xr:uid="{00000000-0005-0000-0000-000071590000}"/>
    <cellStyle name="Normal 3 6 2" xfId="22209" xr:uid="{00000000-0005-0000-0000-000072590000}"/>
    <cellStyle name="Normal 3 7" xfId="14932" xr:uid="{00000000-0005-0000-0000-000073590000}"/>
    <cellStyle name="Normal 3 7 2" xfId="22210" xr:uid="{00000000-0005-0000-0000-000074590000}"/>
    <cellStyle name="Normal 3 8" xfId="14933" xr:uid="{00000000-0005-0000-0000-000075590000}"/>
    <cellStyle name="Normal 3 8 2" xfId="22211" xr:uid="{00000000-0005-0000-0000-000076590000}"/>
    <cellStyle name="Normal 3 9" xfId="14934" xr:uid="{00000000-0005-0000-0000-000077590000}"/>
    <cellStyle name="Normal 3 9 2" xfId="22212" xr:uid="{00000000-0005-0000-0000-000078590000}"/>
    <cellStyle name="Normal 3_2009-05-30_Central_Plaza_LDC_Bid_Analysis-Benchmarking-CP06+CP07_(LDC)" xfId="22728" xr:uid="{00000000-0005-0000-0000-000079590000}"/>
    <cellStyle name="Normal 30" xfId="395" xr:uid="{00000000-0005-0000-0000-00007A590000}"/>
    <cellStyle name="Normal 30 2" xfId="22676" xr:uid="{00000000-0005-0000-0000-00007B590000}"/>
    <cellStyle name="Normal 30 2 2" xfId="22685" xr:uid="{00000000-0005-0000-0000-00007C590000}"/>
    <cellStyle name="Normal 30 2 2 2" xfId="22786" xr:uid="{00000000-0005-0000-0000-00007D590000}"/>
    <cellStyle name="Normal 30 3" xfId="27920" xr:uid="{5D37F0E4-613C-481F-B2D9-97E36606642D}"/>
    <cellStyle name="Normal 30 4" xfId="27931" xr:uid="{1EDACB1E-7EA1-4D71-9438-DB38A73F6DD1}"/>
    <cellStyle name="Normal 31" xfId="396" xr:uid="{00000000-0005-0000-0000-00007E590000}"/>
    <cellStyle name="Normal 32" xfId="397" xr:uid="{00000000-0005-0000-0000-00007F590000}"/>
    <cellStyle name="Normal 33" xfId="398" xr:uid="{00000000-0005-0000-0000-000080590000}"/>
    <cellStyle name="Normal 33 2" xfId="14935" xr:uid="{00000000-0005-0000-0000-000081590000}"/>
    <cellStyle name="Normal 34" xfId="399" xr:uid="{00000000-0005-0000-0000-000082590000}"/>
    <cellStyle name="Normal 35" xfId="400" xr:uid="{00000000-0005-0000-0000-000083590000}"/>
    <cellStyle name="Normal 36" xfId="401" xr:uid="{00000000-0005-0000-0000-000084590000}"/>
    <cellStyle name="Normal 37" xfId="402" xr:uid="{00000000-0005-0000-0000-000085590000}"/>
    <cellStyle name="Normal 37 2" xfId="19279" xr:uid="{00000000-0005-0000-0000-000086590000}"/>
    <cellStyle name="Normal 37 2 2" xfId="22553" xr:uid="{00000000-0005-0000-0000-000087590000}"/>
    <cellStyle name="Normal 38" xfId="403" xr:uid="{00000000-0005-0000-0000-000088590000}"/>
    <cellStyle name="Normal 39" xfId="14936" xr:uid="{00000000-0005-0000-0000-000089590000}"/>
    <cellStyle name="Normal 4" xfId="404" xr:uid="{00000000-0005-0000-0000-00008A590000}"/>
    <cellStyle name="Normal 4 10" xfId="14937" xr:uid="{00000000-0005-0000-0000-00008B590000}"/>
    <cellStyle name="Normal 4 11" xfId="14938" xr:uid="{00000000-0005-0000-0000-00008C590000}"/>
    <cellStyle name="Normal 4 12" xfId="14939" xr:uid="{00000000-0005-0000-0000-00008D590000}"/>
    <cellStyle name="Normal 4 13" xfId="14940" xr:uid="{00000000-0005-0000-0000-00008E590000}"/>
    <cellStyle name="Normal 4 14" xfId="14941" xr:uid="{00000000-0005-0000-0000-00008F590000}"/>
    <cellStyle name="Normal 4 15" xfId="14942" xr:uid="{00000000-0005-0000-0000-000090590000}"/>
    <cellStyle name="Normal 4 16" xfId="14943" xr:uid="{00000000-0005-0000-0000-000091590000}"/>
    <cellStyle name="Normal 4 17" xfId="14944" xr:uid="{00000000-0005-0000-0000-000092590000}"/>
    <cellStyle name="Normal 4 18" xfId="14945" xr:uid="{00000000-0005-0000-0000-000093590000}"/>
    <cellStyle name="Normal 4 19" xfId="14946" xr:uid="{00000000-0005-0000-0000-000094590000}"/>
    <cellStyle name="Normal 4 2" xfId="405" xr:uid="{00000000-0005-0000-0000-000095590000}"/>
    <cellStyle name="Normal 4 2 10" xfId="22678" xr:uid="{00000000-0005-0000-0000-000096590000}"/>
    <cellStyle name="Normal 4 2 2" xfId="406" xr:uid="{00000000-0005-0000-0000-000097590000}"/>
    <cellStyle name="Normal 4 2 2 2" xfId="22695" xr:uid="{00000000-0005-0000-0000-000098590000}"/>
    <cellStyle name="Normal 4 2 3" xfId="407" xr:uid="{00000000-0005-0000-0000-000099590000}"/>
    <cellStyle name="Normal 4 2 4" xfId="22810" xr:uid="{00000000-0005-0000-0000-00009A590000}"/>
    <cellStyle name="Normal 4 2 9" xfId="27913" xr:uid="{00000000-0005-0000-0000-00009B590000}"/>
    <cellStyle name="Normal 4 2_Bill No. 10 - PRICED-Basement-29-9-11" xfId="408" xr:uid="{00000000-0005-0000-0000-00009C590000}"/>
    <cellStyle name="Normal 4 20" xfId="14947" xr:uid="{00000000-0005-0000-0000-00009D590000}"/>
    <cellStyle name="Normal 4 21" xfId="14948" xr:uid="{00000000-0005-0000-0000-00009E590000}"/>
    <cellStyle name="Normal 4 22" xfId="14949" xr:uid="{00000000-0005-0000-0000-00009F590000}"/>
    <cellStyle name="Normal 4 23" xfId="14950" xr:uid="{00000000-0005-0000-0000-0000A0590000}"/>
    <cellStyle name="Normal 4 24" xfId="14951" xr:uid="{00000000-0005-0000-0000-0000A1590000}"/>
    <cellStyle name="Normal 4 25" xfId="14952" xr:uid="{00000000-0005-0000-0000-0000A2590000}"/>
    <cellStyle name="Normal 4 26" xfId="14953" xr:uid="{00000000-0005-0000-0000-0000A3590000}"/>
    <cellStyle name="Normal 4 27" xfId="14954" xr:uid="{00000000-0005-0000-0000-0000A4590000}"/>
    <cellStyle name="Normal 4 28" xfId="14955" xr:uid="{00000000-0005-0000-0000-0000A5590000}"/>
    <cellStyle name="Normal 4 29" xfId="14956" xr:uid="{00000000-0005-0000-0000-0000A6590000}"/>
    <cellStyle name="Normal 4 3" xfId="409" xr:uid="{00000000-0005-0000-0000-0000A7590000}"/>
    <cellStyle name="Normal 4 3 2" xfId="410" xr:uid="{00000000-0005-0000-0000-0000A8590000}"/>
    <cellStyle name="Normal 4 3_Bill No. 10 - PRICED-Basement-29-9-11" xfId="411" xr:uid="{00000000-0005-0000-0000-0000A9590000}"/>
    <cellStyle name="Normal 4 30" xfId="14957" xr:uid="{00000000-0005-0000-0000-0000AA590000}"/>
    <cellStyle name="Normal 4 31" xfId="14958" xr:uid="{00000000-0005-0000-0000-0000AB590000}"/>
    <cellStyle name="Normal 4 32" xfId="14959" xr:uid="{00000000-0005-0000-0000-0000AC590000}"/>
    <cellStyle name="Normal 4 33" xfId="14960" xr:uid="{00000000-0005-0000-0000-0000AD590000}"/>
    <cellStyle name="Normal 4 34" xfId="14961" xr:uid="{00000000-0005-0000-0000-0000AE590000}"/>
    <cellStyle name="Normal 4 35" xfId="14962" xr:uid="{00000000-0005-0000-0000-0000AF590000}"/>
    <cellStyle name="Normal 4 36" xfId="14963" xr:uid="{00000000-0005-0000-0000-0000B0590000}"/>
    <cellStyle name="Normal 4 37" xfId="14964" xr:uid="{00000000-0005-0000-0000-0000B1590000}"/>
    <cellStyle name="Normal 4 38" xfId="14965" xr:uid="{00000000-0005-0000-0000-0000B2590000}"/>
    <cellStyle name="Normal 4 39" xfId="14966" xr:uid="{00000000-0005-0000-0000-0000B3590000}"/>
    <cellStyle name="Normal 4 4" xfId="14967" xr:uid="{00000000-0005-0000-0000-0000B4590000}"/>
    <cellStyle name="Normal 4 40" xfId="14968" xr:uid="{00000000-0005-0000-0000-0000B5590000}"/>
    <cellStyle name="Normal 4 41" xfId="14969" xr:uid="{00000000-0005-0000-0000-0000B6590000}"/>
    <cellStyle name="Normal 4 42" xfId="14970" xr:uid="{00000000-0005-0000-0000-0000B7590000}"/>
    <cellStyle name="Normal 4 43" xfId="14971" xr:uid="{00000000-0005-0000-0000-0000B8590000}"/>
    <cellStyle name="Normal 4 44" xfId="14972" xr:uid="{00000000-0005-0000-0000-0000B9590000}"/>
    <cellStyle name="Normal 4 44 2" xfId="22213" xr:uid="{00000000-0005-0000-0000-0000BA590000}"/>
    <cellStyle name="Normal 4 5" xfId="14973" xr:uid="{00000000-0005-0000-0000-0000BC590000}"/>
    <cellStyle name="Normal 4 6" xfId="14974" xr:uid="{00000000-0005-0000-0000-0000BD590000}"/>
    <cellStyle name="Normal 4 7" xfId="14975" xr:uid="{00000000-0005-0000-0000-0000BE590000}"/>
    <cellStyle name="Normal 4 8" xfId="14976" xr:uid="{00000000-0005-0000-0000-0000BF590000}"/>
    <cellStyle name="Normal 4 9" xfId="14977" xr:uid="{00000000-0005-0000-0000-0000C0590000}"/>
    <cellStyle name="Normal 4_Bill No. 10 - PRICED-Basement-29-9-11" xfId="412" xr:uid="{00000000-0005-0000-0000-0000C1590000}"/>
    <cellStyle name="Normal 40" xfId="14978" xr:uid="{00000000-0005-0000-0000-0000C2590000}"/>
    <cellStyle name="Normal 41" xfId="14979" xr:uid="{00000000-0005-0000-0000-0000C3590000}"/>
    <cellStyle name="Normal 42" xfId="14980" xr:uid="{00000000-0005-0000-0000-0000C4590000}"/>
    <cellStyle name="Normal 42 2" xfId="22815" xr:uid="{00000000-0005-0000-0000-0000C5590000}"/>
    <cellStyle name="Normal 42 3" xfId="27884" xr:uid="{00000000-0005-0000-0000-0000C6590000}"/>
    <cellStyle name="Normal 43" xfId="14981" xr:uid="{00000000-0005-0000-0000-0000C7590000}"/>
    <cellStyle name="Normal 43 13" xfId="22814" xr:uid="{00000000-0005-0000-0000-0000C8590000}"/>
    <cellStyle name="Normal 43 13 2" xfId="27883" xr:uid="{00000000-0005-0000-0000-0000C9590000}"/>
    <cellStyle name="Normal 43 2" xfId="22214" xr:uid="{00000000-0005-0000-0000-0000CA590000}"/>
    <cellStyle name="Normal 43 3" xfId="22813" xr:uid="{00000000-0005-0000-0000-0000CB590000}"/>
    <cellStyle name="Normal 43 4" xfId="27882" xr:uid="{00000000-0005-0000-0000-0000CC590000}"/>
    <cellStyle name="Normal 44" xfId="14982" xr:uid="{00000000-0005-0000-0000-0000CD590000}"/>
    <cellStyle name="Normal 44 2" xfId="22215" xr:uid="{00000000-0005-0000-0000-0000CE590000}"/>
    <cellStyle name="Normal 45" xfId="14983" xr:uid="{00000000-0005-0000-0000-0000CF590000}"/>
    <cellStyle name="Normal 46" xfId="14984" xr:uid="{00000000-0005-0000-0000-0000D0590000}"/>
    <cellStyle name="Normal 47" xfId="14985" xr:uid="{00000000-0005-0000-0000-0000D1590000}"/>
    <cellStyle name="Normal 48" xfId="14986" xr:uid="{00000000-0005-0000-0000-0000D2590000}"/>
    <cellStyle name="Normal 48 2" xfId="22216" xr:uid="{00000000-0005-0000-0000-0000D3590000}"/>
    <cellStyle name="Normal 49" xfId="14987" xr:uid="{00000000-0005-0000-0000-0000D4590000}"/>
    <cellStyle name="Normal 49 2" xfId="22217" xr:uid="{00000000-0005-0000-0000-0000D5590000}"/>
    <cellStyle name="Normal 5" xfId="413" xr:uid="{00000000-0005-0000-0000-0000D6590000}"/>
    <cellStyle name="Normal 5 10" xfId="14988" xr:uid="{00000000-0005-0000-0000-0000D7590000}"/>
    <cellStyle name="Normal 5 10 2" xfId="22218" xr:uid="{00000000-0005-0000-0000-0000D8590000}"/>
    <cellStyle name="Normal 5 11" xfId="14989" xr:uid="{00000000-0005-0000-0000-0000D9590000}"/>
    <cellStyle name="Normal 5 11 2" xfId="22219" xr:uid="{00000000-0005-0000-0000-0000DA590000}"/>
    <cellStyle name="Normal 5 12" xfId="14990" xr:uid="{00000000-0005-0000-0000-0000DB590000}"/>
    <cellStyle name="Normal 5 12 2" xfId="22220" xr:uid="{00000000-0005-0000-0000-0000DC590000}"/>
    <cellStyle name="Normal 5 13" xfId="14991" xr:uid="{00000000-0005-0000-0000-0000DD590000}"/>
    <cellStyle name="Normal 5 13 2" xfId="22221" xr:uid="{00000000-0005-0000-0000-0000DE590000}"/>
    <cellStyle name="Normal 5 14" xfId="14992" xr:uid="{00000000-0005-0000-0000-0000DF590000}"/>
    <cellStyle name="Normal 5 14 2" xfId="22222" xr:uid="{00000000-0005-0000-0000-0000E0590000}"/>
    <cellStyle name="Normal 5 15" xfId="14993" xr:uid="{00000000-0005-0000-0000-0000E1590000}"/>
    <cellStyle name="Normal 5 15 2" xfId="22223" xr:uid="{00000000-0005-0000-0000-0000E2590000}"/>
    <cellStyle name="Normal 5 16" xfId="14994" xr:uid="{00000000-0005-0000-0000-0000E3590000}"/>
    <cellStyle name="Normal 5 16 2" xfId="22224" xr:uid="{00000000-0005-0000-0000-0000E4590000}"/>
    <cellStyle name="Normal 5 17" xfId="14995" xr:uid="{00000000-0005-0000-0000-0000E5590000}"/>
    <cellStyle name="Normal 5 17 2" xfId="22225" xr:uid="{00000000-0005-0000-0000-0000E6590000}"/>
    <cellStyle name="Normal 5 18" xfId="14996" xr:uid="{00000000-0005-0000-0000-0000E7590000}"/>
    <cellStyle name="Normal 5 18 2" xfId="22226" xr:uid="{00000000-0005-0000-0000-0000E8590000}"/>
    <cellStyle name="Normal 5 19" xfId="14997" xr:uid="{00000000-0005-0000-0000-0000E9590000}"/>
    <cellStyle name="Normal 5 19 2" xfId="22227" xr:uid="{00000000-0005-0000-0000-0000EA590000}"/>
    <cellStyle name="Normal 5 2" xfId="414" xr:uid="{00000000-0005-0000-0000-0000EB590000}"/>
    <cellStyle name="Normal 5 2 10" xfId="14998" xr:uid="{00000000-0005-0000-0000-0000EC590000}"/>
    <cellStyle name="Normal 5 2 10 2" xfId="22228" xr:uid="{00000000-0005-0000-0000-0000ED590000}"/>
    <cellStyle name="Normal 5 2 11" xfId="14999" xr:uid="{00000000-0005-0000-0000-0000EE590000}"/>
    <cellStyle name="Normal 5 2 11 2" xfId="22229" xr:uid="{00000000-0005-0000-0000-0000EF590000}"/>
    <cellStyle name="Normal 5 2 12" xfId="15000" xr:uid="{00000000-0005-0000-0000-0000F0590000}"/>
    <cellStyle name="Normal 5 2 12 2" xfId="22230" xr:uid="{00000000-0005-0000-0000-0000F1590000}"/>
    <cellStyle name="Normal 5 2 13" xfId="15001" xr:uid="{00000000-0005-0000-0000-0000F2590000}"/>
    <cellStyle name="Normal 5 2 13 2" xfId="22231" xr:uid="{00000000-0005-0000-0000-0000F3590000}"/>
    <cellStyle name="Normal 5 2 14" xfId="15002" xr:uid="{00000000-0005-0000-0000-0000F4590000}"/>
    <cellStyle name="Normal 5 2 14 2" xfId="22232" xr:uid="{00000000-0005-0000-0000-0000F5590000}"/>
    <cellStyle name="Normal 5 2 15" xfId="15003" xr:uid="{00000000-0005-0000-0000-0000F6590000}"/>
    <cellStyle name="Normal 5 2 15 2" xfId="22233" xr:uid="{00000000-0005-0000-0000-0000F7590000}"/>
    <cellStyle name="Normal 5 2 16" xfId="15004" xr:uid="{00000000-0005-0000-0000-0000F8590000}"/>
    <cellStyle name="Normal 5 2 16 2" xfId="22234" xr:uid="{00000000-0005-0000-0000-0000F9590000}"/>
    <cellStyle name="Normal 5 2 17" xfId="15005" xr:uid="{00000000-0005-0000-0000-0000FA590000}"/>
    <cellStyle name="Normal 5 2 17 2" xfId="22235" xr:uid="{00000000-0005-0000-0000-0000FB590000}"/>
    <cellStyle name="Normal 5 2 18" xfId="15006" xr:uid="{00000000-0005-0000-0000-0000FC590000}"/>
    <cellStyle name="Normal 5 2 18 2" xfId="22236" xr:uid="{00000000-0005-0000-0000-0000FD590000}"/>
    <cellStyle name="Normal 5 2 19" xfId="15007" xr:uid="{00000000-0005-0000-0000-0000FE590000}"/>
    <cellStyle name="Normal 5 2 19 2" xfId="22237" xr:uid="{00000000-0005-0000-0000-0000FF590000}"/>
    <cellStyle name="Normal 5 2 2" xfId="415" xr:uid="{00000000-0005-0000-0000-0000005A0000}"/>
    <cellStyle name="Normal 5 2 2 2" xfId="416" xr:uid="{00000000-0005-0000-0000-0000015A0000}"/>
    <cellStyle name="Normal 5 2 2 2 2" xfId="417" xr:uid="{00000000-0005-0000-0000-0000025A0000}"/>
    <cellStyle name="Normal 5 2 2 2 2 2" xfId="27893" xr:uid="{00000000-0005-0000-0000-0000035A0000}"/>
    <cellStyle name="Normal 5 2 2 2 3" xfId="27894" xr:uid="{00000000-0005-0000-0000-0000045A0000}"/>
    <cellStyle name="Normal 5 2 2 2_Book1" xfId="418" xr:uid="{00000000-0005-0000-0000-0000055A0000}"/>
    <cellStyle name="Normal 5 2 2 3" xfId="15008" xr:uid="{00000000-0005-0000-0000-0000065A0000}"/>
    <cellStyle name="Normal 5 2 2 3 2" xfId="27895" xr:uid="{00000000-0005-0000-0000-0000075A0000}"/>
    <cellStyle name="Normal 5 2 2 4" xfId="27896" xr:uid="{00000000-0005-0000-0000-0000085A0000}"/>
    <cellStyle name="Normal 5 2 2_Book1" xfId="419" xr:uid="{00000000-0005-0000-0000-0000095A0000}"/>
    <cellStyle name="Normal 5 2 20" xfId="15009" xr:uid="{00000000-0005-0000-0000-00000A5A0000}"/>
    <cellStyle name="Normal 5 2 20 2" xfId="22238" xr:uid="{00000000-0005-0000-0000-00000B5A0000}"/>
    <cellStyle name="Normal 5 2 21" xfId="15010" xr:uid="{00000000-0005-0000-0000-00000C5A0000}"/>
    <cellStyle name="Normal 5 2 21 2" xfId="22239" xr:uid="{00000000-0005-0000-0000-00000D5A0000}"/>
    <cellStyle name="Normal 5 2 22" xfId="15011" xr:uid="{00000000-0005-0000-0000-00000E5A0000}"/>
    <cellStyle name="Normal 5 2 22 2" xfId="22240" xr:uid="{00000000-0005-0000-0000-00000F5A0000}"/>
    <cellStyle name="Normal 5 2 23" xfId="15012" xr:uid="{00000000-0005-0000-0000-0000105A0000}"/>
    <cellStyle name="Normal 5 2 23 2" xfId="22241" xr:uid="{00000000-0005-0000-0000-0000115A0000}"/>
    <cellStyle name="Normal 5 2 24" xfId="15013" xr:uid="{00000000-0005-0000-0000-0000125A0000}"/>
    <cellStyle name="Normal 5 2 24 2" xfId="22242" xr:uid="{00000000-0005-0000-0000-0000135A0000}"/>
    <cellStyle name="Normal 5 2 25" xfId="15014" xr:uid="{00000000-0005-0000-0000-0000145A0000}"/>
    <cellStyle name="Normal 5 2 25 2" xfId="22243" xr:uid="{00000000-0005-0000-0000-0000155A0000}"/>
    <cellStyle name="Normal 5 2 26" xfId="15015" xr:uid="{00000000-0005-0000-0000-0000165A0000}"/>
    <cellStyle name="Normal 5 2 26 2" xfId="22244" xr:uid="{00000000-0005-0000-0000-0000175A0000}"/>
    <cellStyle name="Normal 5 2 27" xfId="15016" xr:uid="{00000000-0005-0000-0000-0000185A0000}"/>
    <cellStyle name="Normal 5 2 27 2" xfId="22245" xr:uid="{00000000-0005-0000-0000-0000195A0000}"/>
    <cellStyle name="Normal 5 2 28" xfId="15017" xr:uid="{00000000-0005-0000-0000-00001A5A0000}"/>
    <cellStyle name="Normal 5 2 28 2" xfId="22246" xr:uid="{00000000-0005-0000-0000-00001B5A0000}"/>
    <cellStyle name="Normal 5 2 29" xfId="15018" xr:uid="{00000000-0005-0000-0000-00001C5A0000}"/>
    <cellStyle name="Normal 5 2 29 2" xfId="22247" xr:uid="{00000000-0005-0000-0000-00001D5A0000}"/>
    <cellStyle name="Normal 5 2 3" xfId="15019" xr:uid="{00000000-0005-0000-0000-00001E5A0000}"/>
    <cellStyle name="Normal 5 2 3 2" xfId="22248" xr:uid="{00000000-0005-0000-0000-00001F5A0000}"/>
    <cellStyle name="Normal 5 2 3 2 2" xfId="27897" xr:uid="{00000000-0005-0000-0000-0000205A0000}"/>
    <cellStyle name="Normal 5 2 3 3" xfId="27898" xr:uid="{00000000-0005-0000-0000-0000215A0000}"/>
    <cellStyle name="Normal 5 2 30" xfId="15020" xr:uid="{00000000-0005-0000-0000-0000225A0000}"/>
    <cellStyle name="Normal 5 2 30 2" xfId="22249" xr:uid="{00000000-0005-0000-0000-0000235A0000}"/>
    <cellStyle name="Normal 5 2 31" xfId="15021" xr:uid="{00000000-0005-0000-0000-0000245A0000}"/>
    <cellStyle name="Normal 5 2 31 2" xfId="22250" xr:uid="{00000000-0005-0000-0000-0000255A0000}"/>
    <cellStyle name="Normal 5 2 32" xfId="15022" xr:uid="{00000000-0005-0000-0000-0000265A0000}"/>
    <cellStyle name="Normal 5 2 32 2" xfId="22251" xr:uid="{00000000-0005-0000-0000-0000275A0000}"/>
    <cellStyle name="Normal 5 2 33" xfId="15023" xr:uid="{00000000-0005-0000-0000-0000285A0000}"/>
    <cellStyle name="Normal 5 2 33 2" xfId="22252" xr:uid="{00000000-0005-0000-0000-0000295A0000}"/>
    <cellStyle name="Normal 5 2 34" xfId="15024" xr:uid="{00000000-0005-0000-0000-00002A5A0000}"/>
    <cellStyle name="Normal 5 2 34 2" xfId="22253" xr:uid="{00000000-0005-0000-0000-00002B5A0000}"/>
    <cellStyle name="Normal 5 2 35" xfId="15025" xr:uid="{00000000-0005-0000-0000-00002C5A0000}"/>
    <cellStyle name="Normal 5 2 35 2" xfId="22254" xr:uid="{00000000-0005-0000-0000-00002D5A0000}"/>
    <cellStyle name="Normal 5 2 36" xfId="15026" xr:uid="{00000000-0005-0000-0000-00002E5A0000}"/>
    <cellStyle name="Normal 5 2 36 2" xfId="22255" xr:uid="{00000000-0005-0000-0000-00002F5A0000}"/>
    <cellStyle name="Normal 5 2 37" xfId="15027" xr:uid="{00000000-0005-0000-0000-0000305A0000}"/>
    <cellStyle name="Normal 5 2 37 2" xfId="22256" xr:uid="{00000000-0005-0000-0000-0000315A0000}"/>
    <cellStyle name="Normal 5 2 38" xfId="15028" xr:uid="{00000000-0005-0000-0000-0000325A0000}"/>
    <cellStyle name="Normal 5 2 38 2" xfId="22257" xr:uid="{00000000-0005-0000-0000-0000335A0000}"/>
    <cellStyle name="Normal 5 2 39" xfId="15029" xr:uid="{00000000-0005-0000-0000-0000345A0000}"/>
    <cellStyle name="Normal 5 2 39 2" xfId="22258" xr:uid="{00000000-0005-0000-0000-0000355A0000}"/>
    <cellStyle name="Normal 5 2 4" xfId="15030" xr:uid="{00000000-0005-0000-0000-0000365A0000}"/>
    <cellStyle name="Normal 5 2 4 2" xfId="22259" xr:uid="{00000000-0005-0000-0000-0000375A0000}"/>
    <cellStyle name="Normal 5 2 40" xfId="15031" xr:uid="{00000000-0005-0000-0000-0000385A0000}"/>
    <cellStyle name="Normal 5 2 40 2" xfId="22260" xr:uid="{00000000-0005-0000-0000-0000395A0000}"/>
    <cellStyle name="Normal 5 2 41" xfId="15032" xr:uid="{00000000-0005-0000-0000-00003A5A0000}"/>
    <cellStyle name="Normal 5 2 41 2" xfId="22261" xr:uid="{00000000-0005-0000-0000-00003B5A0000}"/>
    <cellStyle name="Normal 5 2 42" xfId="15033" xr:uid="{00000000-0005-0000-0000-00003C5A0000}"/>
    <cellStyle name="Normal 5 2 42 2" xfId="22262" xr:uid="{00000000-0005-0000-0000-00003D5A0000}"/>
    <cellStyle name="Normal 5 2 5" xfId="15034" xr:uid="{00000000-0005-0000-0000-00003E5A0000}"/>
    <cellStyle name="Normal 5 2 5 2" xfId="22263" xr:uid="{00000000-0005-0000-0000-00003F5A0000}"/>
    <cellStyle name="Normal 5 2 6" xfId="15035" xr:uid="{00000000-0005-0000-0000-0000405A0000}"/>
    <cellStyle name="Normal 5 2 6 2" xfId="22264" xr:uid="{00000000-0005-0000-0000-0000415A0000}"/>
    <cellStyle name="Normal 5 2 7" xfId="15036" xr:uid="{00000000-0005-0000-0000-0000425A0000}"/>
    <cellStyle name="Normal 5 2 7 2" xfId="22265" xr:uid="{00000000-0005-0000-0000-0000435A0000}"/>
    <cellStyle name="Normal 5 2 8" xfId="15037" xr:uid="{00000000-0005-0000-0000-0000445A0000}"/>
    <cellStyle name="Normal 5 2 8 2" xfId="22266" xr:uid="{00000000-0005-0000-0000-0000455A0000}"/>
    <cellStyle name="Normal 5 2 9" xfId="15038" xr:uid="{00000000-0005-0000-0000-0000465A0000}"/>
    <cellStyle name="Normal 5 2 9 2" xfId="22267" xr:uid="{00000000-0005-0000-0000-0000475A0000}"/>
    <cellStyle name="Normal 5 2_Book1" xfId="420" xr:uid="{00000000-0005-0000-0000-0000485A0000}"/>
    <cellStyle name="Normal 5 20" xfId="15039" xr:uid="{00000000-0005-0000-0000-0000495A0000}"/>
    <cellStyle name="Normal 5 20 2" xfId="22268" xr:uid="{00000000-0005-0000-0000-00004A5A0000}"/>
    <cellStyle name="Normal 5 21" xfId="15040" xr:uid="{00000000-0005-0000-0000-00004B5A0000}"/>
    <cellStyle name="Normal 5 21 2" xfId="22269" xr:uid="{00000000-0005-0000-0000-00004C5A0000}"/>
    <cellStyle name="Normal 5 22" xfId="15041" xr:uid="{00000000-0005-0000-0000-00004D5A0000}"/>
    <cellStyle name="Normal 5 22 2" xfId="22270" xr:uid="{00000000-0005-0000-0000-00004E5A0000}"/>
    <cellStyle name="Normal 5 23" xfId="15042" xr:uid="{00000000-0005-0000-0000-00004F5A0000}"/>
    <cellStyle name="Normal 5 23 2" xfId="22271" xr:uid="{00000000-0005-0000-0000-0000505A0000}"/>
    <cellStyle name="Normal 5 24" xfId="15043" xr:uid="{00000000-0005-0000-0000-0000515A0000}"/>
    <cellStyle name="Normal 5 24 2" xfId="22272" xr:uid="{00000000-0005-0000-0000-0000525A0000}"/>
    <cellStyle name="Normal 5 25" xfId="15044" xr:uid="{00000000-0005-0000-0000-0000535A0000}"/>
    <cellStyle name="Normal 5 25 2" xfId="22273" xr:uid="{00000000-0005-0000-0000-0000545A0000}"/>
    <cellStyle name="Normal 5 26" xfId="15045" xr:uid="{00000000-0005-0000-0000-0000555A0000}"/>
    <cellStyle name="Normal 5 26 2" xfId="22274" xr:uid="{00000000-0005-0000-0000-0000565A0000}"/>
    <cellStyle name="Normal 5 27" xfId="15046" xr:uid="{00000000-0005-0000-0000-0000575A0000}"/>
    <cellStyle name="Normal 5 27 2" xfId="22275" xr:uid="{00000000-0005-0000-0000-0000585A0000}"/>
    <cellStyle name="Normal 5 28" xfId="15047" xr:uid="{00000000-0005-0000-0000-0000595A0000}"/>
    <cellStyle name="Normal 5 28 2" xfId="22276" xr:uid="{00000000-0005-0000-0000-00005A5A0000}"/>
    <cellStyle name="Normal 5 29" xfId="15048" xr:uid="{00000000-0005-0000-0000-00005B5A0000}"/>
    <cellStyle name="Normal 5 29 2" xfId="22277" xr:uid="{00000000-0005-0000-0000-00005C5A0000}"/>
    <cellStyle name="Normal 5 3" xfId="15049" xr:uid="{00000000-0005-0000-0000-00005D5A0000}"/>
    <cellStyle name="Normal 5 3 2" xfId="22278" xr:uid="{00000000-0005-0000-0000-00005E5A0000}"/>
    <cellStyle name="Normal 5 3 2 2" xfId="27899" xr:uid="{00000000-0005-0000-0000-00005F5A0000}"/>
    <cellStyle name="Normal 5 3 3" xfId="27900" xr:uid="{00000000-0005-0000-0000-0000605A0000}"/>
    <cellStyle name="Normal 5 30" xfId="15050" xr:uid="{00000000-0005-0000-0000-0000615A0000}"/>
    <cellStyle name="Normal 5 30 2" xfId="22279" xr:uid="{00000000-0005-0000-0000-0000625A0000}"/>
    <cellStyle name="Normal 5 31" xfId="15051" xr:uid="{00000000-0005-0000-0000-0000635A0000}"/>
    <cellStyle name="Normal 5 31 2" xfId="22280" xr:uid="{00000000-0005-0000-0000-0000645A0000}"/>
    <cellStyle name="Normal 5 32" xfId="15052" xr:uid="{00000000-0005-0000-0000-0000655A0000}"/>
    <cellStyle name="Normal 5 32 2" xfId="22281" xr:uid="{00000000-0005-0000-0000-0000665A0000}"/>
    <cellStyle name="Normal 5 33" xfId="15053" xr:uid="{00000000-0005-0000-0000-0000675A0000}"/>
    <cellStyle name="Normal 5 33 2" xfId="22282" xr:uid="{00000000-0005-0000-0000-0000685A0000}"/>
    <cellStyle name="Normal 5 34" xfId="15054" xr:uid="{00000000-0005-0000-0000-0000695A0000}"/>
    <cellStyle name="Normal 5 34 2" xfId="22283" xr:uid="{00000000-0005-0000-0000-00006A5A0000}"/>
    <cellStyle name="Normal 5 35" xfId="15055" xr:uid="{00000000-0005-0000-0000-00006B5A0000}"/>
    <cellStyle name="Normal 5 35 2" xfId="22284" xr:uid="{00000000-0005-0000-0000-00006C5A0000}"/>
    <cellStyle name="Normal 5 36" xfId="15056" xr:uid="{00000000-0005-0000-0000-00006D5A0000}"/>
    <cellStyle name="Normal 5 36 2" xfId="22285" xr:uid="{00000000-0005-0000-0000-00006E5A0000}"/>
    <cellStyle name="Normal 5 37" xfId="15057" xr:uid="{00000000-0005-0000-0000-00006F5A0000}"/>
    <cellStyle name="Normal 5 37 2" xfId="22286" xr:uid="{00000000-0005-0000-0000-0000705A0000}"/>
    <cellStyle name="Normal 5 38" xfId="15058" xr:uid="{00000000-0005-0000-0000-0000715A0000}"/>
    <cellStyle name="Normal 5 38 2" xfId="22287" xr:uid="{00000000-0005-0000-0000-0000725A0000}"/>
    <cellStyle name="Normal 5 39" xfId="15059" xr:uid="{00000000-0005-0000-0000-0000735A0000}"/>
    <cellStyle name="Normal 5 39 2" xfId="22288" xr:uid="{00000000-0005-0000-0000-0000745A0000}"/>
    <cellStyle name="Normal 5 4" xfId="15060" xr:uid="{00000000-0005-0000-0000-0000755A0000}"/>
    <cellStyle name="Normal 5 4 2" xfId="22289" xr:uid="{00000000-0005-0000-0000-0000765A0000}"/>
    <cellStyle name="Normal 5 40" xfId="15061" xr:uid="{00000000-0005-0000-0000-0000775A0000}"/>
    <cellStyle name="Normal 5 40 2" xfId="22290" xr:uid="{00000000-0005-0000-0000-0000785A0000}"/>
    <cellStyle name="Normal 5 41" xfId="15062" xr:uid="{00000000-0005-0000-0000-0000795A0000}"/>
    <cellStyle name="Normal 5 41 2" xfId="22291" xr:uid="{00000000-0005-0000-0000-00007A5A0000}"/>
    <cellStyle name="Normal 5 42" xfId="15063" xr:uid="{00000000-0005-0000-0000-00007B5A0000}"/>
    <cellStyle name="Normal 5 42 2" xfId="22292" xr:uid="{00000000-0005-0000-0000-00007C5A0000}"/>
    <cellStyle name="Normal 5 43" xfId="15064" xr:uid="{00000000-0005-0000-0000-00007D5A0000}"/>
    <cellStyle name="Normal 5 43 2" xfId="22293" xr:uid="{00000000-0005-0000-0000-00007E5A0000}"/>
    <cellStyle name="Normal 5 44" xfId="22754" xr:uid="{00000000-0005-0000-0000-00007F5A0000}"/>
    <cellStyle name="Normal 5 44 2" xfId="22761" xr:uid="{00000000-0005-0000-0000-0000805A0000}"/>
    <cellStyle name="Normal 5 45" xfId="22768" xr:uid="{00000000-0005-0000-0000-0000815A0000}"/>
    <cellStyle name="Normal 5 45 2" xfId="27901" xr:uid="{00000000-0005-0000-0000-0000825A0000}"/>
    <cellStyle name="Normal 5 45 2 2" xfId="27902" xr:uid="{00000000-0005-0000-0000-0000835A0000}"/>
    <cellStyle name="Normal 5 45 2 2 2" xfId="27903" xr:uid="{00000000-0005-0000-0000-0000845A0000}"/>
    <cellStyle name="Normal 5 45 2 2 2 2" xfId="27904" xr:uid="{00000000-0005-0000-0000-0000855A0000}"/>
    <cellStyle name="Normal 5 45 2 2 3" xfId="27905" xr:uid="{00000000-0005-0000-0000-0000865A0000}"/>
    <cellStyle name="Normal 5 45 2 3" xfId="27906" xr:uid="{00000000-0005-0000-0000-0000875A0000}"/>
    <cellStyle name="Normal 5 45 2 3 2" xfId="27907" xr:uid="{00000000-0005-0000-0000-0000885A0000}"/>
    <cellStyle name="Normal 5 45 2 4" xfId="27908" xr:uid="{00000000-0005-0000-0000-0000895A0000}"/>
    <cellStyle name="Normal 5 46" xfId="27888" xr:uid="{00000000-0005-0000-0000-00008A5A0000}"/>
    <cellStyle name="Normal 5 5" xfId="15065" xr:uid="{00000000-0005-0000-0000-00008B5A0000}"/>
    <cellStyle name="Normal 5 5 2" xfId="22294" xr:uid="{00000000-0005-0000-0000-00008C5A0000}"/>
    <cellStyle name="Normal 5 56" xfId="22764" xr:uid="{00000000-0005-0000-0000-00008D5A0000}"/>
    <cellStyle name="Normal 5 56 2" xfId="22774" xr:uid="{00000000-0005-0000-0000-00008E5A0000}"/>
    <cellStyle name="Normal 5 6" xfId="15066" xr:uid="{00000000-0005-0000-0000-00008F5A0000}"/>
    <cellStyle name="Normal 5 6 2" xfId="22295" xr:uid="{00000000-0005-0000-0000-0000905A0000}"/>
    <cellStyle name="Normal 5 7" xfId="15067" xr:uid="{00000000-0005-0000-0000-0000915A0000}"/>
    <cellStyle name="Normal 5 7 2" xfId="22296" xr:uid="{00000000-0005-0000-0000-0000925A0000}"/>
    <cellStyle name="Normal 5 8" xfId="15068" xr:uid="{00000000-0005-0000-0000-0000935A0000}"/>
    <cellStyle name="Normal 5 8 2" xfId="22297" xr:uid="{00000000-0005-0000-0000-0000945A0000}"/>
    <cellStyle name="Normal 5 9" xfId="15069" xr:uid="{00000000-0005-0000-0000-0000955A0000}"/>
    <cellStyle name="Normal 5 9 2" xfId="22298" xr:uid="{00000000-0005-0000-0000-0000965A0000}"/>
    <cellStyle name="Normal 5_2009-05-30_Central_Plaza_LDC_Bid_Analysis-Benchmarking-CP06+CP07_(LDC)" xfId="22729" xr:uid="{00000000-0005-0000-0000-0000975A0000}"/>
    <cellStyle name="Normal 50" xfId="19278" xr:uid="{00000000-0005-0000-0000-0000985A0000}"/>
    <cellStyle name="Normal 50 2" xfId="22552" xr:uid="{00000000-0005-0000-0000-0000995A0000}"/>
    <cellStyle name="Normal 51" xfId="19280" xr:uid="{00000000-0005-0000-0000-00009A5A0000}"/>
    <cellStyle name="Normal 51 2" xfId="19357" xr:uid="{00000000-0005-0000-0000-00009B5A0000}"/>
    <cellStyle name="Normal 51 2 2" xfId="22627" xr:uid="{00000000-0005-0000-0000-00009C5A0000}"/>
    <cellStyle name="Normal 51 3" xfId="22554" xr:uid="{00000000-0005-0000-0000-00009D5A0000}"/>
    <cellStyle name="Normal 51 4" xfId="22688" xr:uid="{00000000-0005-0000-0000-00009E5A0000}"/>
    <cellStyle name="Normal 51 4 2" xfId="22791" xr:uid="{00000000-0005-0000-0000-00009F5A0000}"/>
    <cellStyle name="Normal 51 5" xfId="27911" xr:uid="{00000000-0005-0000-0000-0000A05A0000}"/>
    <cellStyle name="Normal 52" xfId="19354" xr:uid="{00000000-0005-0000-0000-0000A15A0000}"/>
    <cellStyle name="Normal 52 2" xfId="22624" xr:uid="{00000000-0005-0000-0000-0000A25A0000}"/>
    <cellStyle name="Normal 53" xfId="19358" xr:uid="{00000000-0005-0000-0000-0000A35A0000}"/>
    <cellStyle name="Normal 53 2" xfId="22628" xr:uid="{00000000-0005-0000-0000-0000A45A0000}"/>
    <cellStyle name="Normal 54" xfId="22663" xr:uid="{00000000-0005-0000-0000-0000A55A0000}"/>
    <cellStyle name="Normal 54 2" xfId="22671" xr:uid="{00000000-0005-0000-0000-0000A65A0000}"/>
    <cellStyle name="Normal 54 2 2" xfId="22683" xr:uid="{00000000-0005-0000-0000-0000A75A0000}"/>
    <cellStyle name="Normal 54 2 2 2" xfId="22784" xr:uid="{00000000-0005-0000-0000-0000A85A0000}"/>
    <cellStyle name="Normal 55" xfId="22667" xr:uid="{00000000-0005-0000-0000-0000A95A0000}"/>
    <cellStyle name="Normal 56" xfId="22666" xr:uid="{00000000-0005-0000-0000-0000AA5A0000}"/>
    <cellStyle name="Normal 56 2" xfId="27909" xr:uid="{00000000-0005-0000-0000-0000AB5A0000}"/>
    <cellStyle name="Normal 57" xfId="22668" xr:uid="{00000000-0005-0000-0000-0000AC5A0000}"/>
    <cellStyle name="Normal 57 2" xfId="22681" xr:uid="{00000000-0005-0000-0000-0000AD5A0000}"/>
    <cellStyle name="Normal 57 2 2" xfId="22787" xr:uid="{00000000-0005-0000-0000-0000AE5A0000}"/>
    <cellStyle name="Normal 58" xfId="22691" xr:uid="{00000000-0005-0000-0000-0000AF5A0000}"/>
    <cellStyle name="Normal 58 2" xfId="22782" xr:uid="{00000000-0005-0000-0000-0000B05A0000}"/>
    <cellStyle name="Normal 59" xfId="22750" xr:uid="{00000000-0005-0000-0000-0000B15A0000}"/>
    <cellStyle name="Normal 59 2" xfId="22795" xr:uid="{00000000-0005-0000-0000-0000B25A0000}"/>
    <cellStyle name="Normal 6" xfId="421" xr:uid="{00000000-0005-0000-0000-0000B35A0000}"/>
    <cellStyle name="Normal 6 10" xfId="15070" xr:uid="{00000000-0005-0000-0000-0000B45A0000}"/>
    <cellStyle name="Normal 6 10 2" xfId="22299" xr:uid="{00000000-0005-0000-0000-0000B55A0000}"/>
    <cellStyle name="Normal 6 11" xfId="15071" xr:uid="{00000000-0005-0000-0000-0000B65A0000}"/>
    <cellStyle name="Normal 6 11 2" xfId="22300" xr:uid="{00000000-0005-0000-0000-0000B75A0000}"/>
    <cellStyle name="Normal 6 12" xfId="15072" xr:uid="{00000000-0005-0000-0000-0000B85A0000}"/>
    <cellStyle name="Normal 6 12 2" xfId="22301" xr:uid="{00000000-0005-0000-0000-0000B95A0000}"/>
    <cellStyle name="Normal 6 13" xfId="15073" xr:uid="{00000000-0005-0000-0000-0000BA5A0000}"/>
    <cellStyle name="Normal 6 13 2" xfId="22302" xr:uid="{00000000-0005-0000-0000-0000BB5A0000}"/>
    <cellStyle name="Normal 6 14" xfId="15074" xr:uid="{00000000-0005-0000-0000-0000BC5A0000}"/>
    <cellStyle name="Normal 6 14 2" xfId="22303" xr:uid="{00000000-0005-0000-0000-0000BD5A0000}"/>
    <cellStyle name="Normal 6 15" xfId="15075" xr:uid="{00000000-0005-0000-0000-0000BE5A0000}"/>
    <cellStyle name="Normal 6 15 2" xfId="22304" xr:uid="{00000000-0005-0000-0000-0000BF5A0000}"/>
    <cellStyle name="Normal 6 16" xfId="15076" xr:uid="{00000000-0005-0000-0000-0000C05A0000}"/>
    <cellStyle name="Normal 6 16 2" xfId="22305" xr:uid="{00000000-0005-0000-0000-0000C15A0000}"/>
    <cellStyle name="Normal 6 17" xfId="15077" xr:uid="{00000000-0005-0000-0000-0000C25A0000}"/>
    <cellStyle name="Normal 6 17 2" xfId="22306" xr:uid="{00000000-0005-0000-0000-0000C35A0000}"/>
    <cellStyle name="Normal 6 18" xfId="15078" xr:uid="{00000000-0005-0000-0000-0000C45A0000}"/>
    <cellStyle name="Normal 6 18 2" xfId="22307" xr:uid="{00000000-0005-0000-0000-0000C55A0000}"/>
    <cellStyle name="Normal 6 19" xfId="15079" xr:uid="{00000000-0005-0000-0000-0000C65A0000}"/>
    <cellStyle name="Normal 6 19 2" xfId="22308" xr:uid="{00000000-0005-0000-0000-0000C75A0000}"/>
    <cellStyle name="Normal 6 2" xfId="422" xr:uid="{00000000-0005-0000-0000-0000C85A0000}"/>
    <cellStyle name="Normal 6 2 10" xfId="15080" xr:uid="{00000000-0005-0000-0000-0000C95A0000}"/>
    <cellStyle name="Normal 6 2 10 2" xfId="22309" xr:uid="{00000000-0005-0000-0000-0000CA5A0000}"/>
    <cellStyle name="Normal 6 2 11" xfId="15081" xr:uid="{00000000-0005-0000-0000-0000CB5A0000}"/>
    <cellStyle name="Normal 6 2 11 2" xfId="22310" xr:uid="{00000000-0005-0000-0000-0000CC5A0000}"/>
    <cellStyle name="Normal 6 2 12" xfId="15082" xr:uid="{00000000-0005-0000-0000-0000CD5A0000}"/>
    <cellStyle name="Normal 6 2 12 2" xfId="22311" xr:uid="{00000000-0005-0000-0000-0000CE5A0000}"/>
    <cellStyle name="Normal 6 2 13" xfId="15083" xr:uid="{00000000-0005-0000-0000-0000CF5A0000}"/>
    <cellStyle name="Normal 6 2 13 2" xfId="22312" xr:uid="{00000000-0005-0000-0000-0000D05A0000}"/>
    <cellStyle name="Normal 6 2 14" xfId="15084" xr:uid="{00000000-0005-0000-0000-0000D15A0000}"/>
    <cellStyle name="Normal 6 2 14 2" xfId="22313" xr:uid="{00000000-0005-0000-0000-0000D25A0000}"/>
    <cellStyle name="Normal 6 2 15" xfId="15085" xr:uid="{00000000-0005-0000-0000-0000D35A0000}"/>
    <cellStyle name="Normal 6 2 15 2" xfId="22314" xr:uid="{00000000-0005-0000-0000-0000D45A0000}"/>
    <cellStyle name="Normal 6 2 16" xfId="15086" xr:uid="{00000000-0005-0000-0000-0000D55A0000}"/>
    <cellStyle name="Normal 6 2 16 2" xfId="22315" xr:uid="{00000000-0005-0000-0000-0000D65A0000}"/>
    <cellStyle name="Normal 6 2 17" xfId="15087" xr:uid="{00000000-0005-0000-0000-0000D75A0000}"/>
    <cellStyle name="Normal 6 2 17 2" xfId="22316" xr:uid="{00000000-0005-0000-0000-0000D85A0000}"/>
    <cellStyle name="Normal 6 2 18" xfId="15088" xr:uid="{00000000-0005-0000-0000-0000D95A0000}"/>
    <cellStyle name="Normal 6 2 18 2" xfId="22317" xr:uid="{00000000-0005-0000-0000-0000DA5A0000}"/>
    <cellStyle name="Normal 6 2 19" xfId="15089" xr:uid="{00000000-0005-0000-0000-0000DB5A0000}"/>
    <cellStyle name="Normal 6 2 19 2" xfId="22318" xr:uid="{00000000-0005-0000-0000-0000DC5A0000}"/>
    <cellStyle name="Normal 6 2 2" xfId="15090" xr:uid="{00000000-0005-0000-0000-0000DD5A0000}"/>
    <cellStyle name="Normal 6 2 2 2" xfId="15091" xr:uid="{00000000-0005-0000-0000-0000DE5A0000}"/>
    <cellStyle name="Normal 6 2 2 3" xfId="15092" xr:uid="{00000000-0005-0000-0000-0000DF5A0000}"/>
    <cellStyle name="Normal 6 2 2 4" xfId="22319" xr:uid="{00000000-0005-0000-0000-0000E05A0000}"/>
    <cellStyle name="Normal 6 2 2_DATA Input" xfId="15093" xr:uid="{00000000-0005-0000-0000-0000E15A0000}"/>
    <cellStyle name="Normal 6 2 20" xfId="15094" xr:uid="{00000000-0005-0000-0000-0000E25A0000}"/>
    <cellStyle name="Normal 6 2 20 2" xfId="22320" xr:uid="{00000000-0005-0000-0000-0000E35A0000}"/>
    <cellStyle name="Normal 6 2 21" xfId="15095" xr:uid="{00000000-0005-0000-0000-0000E45A0000}"/>
    <cellStyle name="Normal 6 2 21 2" xfId="22321" xr:uid="{00000000-0005-0000-0000-0000E55A0000}"/>
    <cellStyle name="Normal 6 2 22" xfId="15096" xr:uid="{00000000-0005-0000-0000-0000E65A0000}"/>
    <cellStyle name="Normal 6 2 22 2" xfId="22322" xr:uid="{00000000-0005-0000-0000-0000E75A0000}"/>
    <cellStyle name="Normal 6 2 23" xfId="15097" xr:uid="{00000000-0005-0000-0000-0000E85A0000}"/>
    <cellStyle name="Normal 6 2 23 2" xfId="22323" xr:uid="{00000000-0005-0000-0000-0000E95A0000}"/>
    <cellStyle name="Normal 6 2 24" xfId="15098" xr:uid="{00000000-0005-0000-0000-0000EA5A0000}"/>
    <cellStyle name="Normal 6 2 24 2" xfId="22324" xr:uid="{00000000-0005-0000-0000-0000EB5A0000}"/>
    <cellStyle name="Normal 6 2 25" xfId="15099" xr:uid="{00000000-0005-0000-0000-0000EC5A0000}"/>
    <cellStyle name="Normal 6 2 25 2" xfId="22325" xr:uid="{00000000-0005-0000-0000-0000ED5A0000}"/>
    <cellStyle name="Normal 6 2 26" xfId="15100" xr:uid="{00000000-0005-0000-0000-0000EE5A0000}"/>
    <cellStyle name="Normal 6 2 26 2" xfId="22326" xr:uid="{00000000-0005-0000-0000-0000EF5A0000}"/>
    <cellStyle name="Normal 6 2 27" xfId="15101" xr:uid="{00000000-0005-0000-0000-0000F05A0000}"/>
    <cellStyle name="Normal 6 2 27 2" xfId="22327" xr:uid="{00000000-0005-0000-0000-0000F15A0000}"/>
    <cellStyle name="Normal 6 2 28" xfId="15102" xr:uid="{00000000-0005-0000-0000-0000F25A0000}"/>
    <cellStyle name="Normal 6 2 28 2" xfId="22328" xr:uid="{00000000-0005-0000-0000-0000F35A0000}"/>
    <cellStyle name="Normal 6 2 29" xfId="15103" xr:uid="{00000000-0005-0000-0000-0000F45A0000}"/>
    <cellStyle name="Normal 6 2 29 2" xfId="22329" xr:uid="{00000000-0005-0000-0000-0000F55A0000}"/>
    <cellStyle name="Normal 6 2 3" xfId="15104" xr:uid="{00000000-0005-0000-0000-0000F65A0000}"/>
    <cellStyle name="Normal 6 2 3 2" xfId="22330" xr:uid="{00000000-0005-0000-0000-0000F75A0000}"/>
    <cellStyle name="Normal 6 2 30" xfId="15105" xr:uid="{00000000-0005-0000-0000-0000F85A0000}"/>
    <cellStyle name="Normal 6 2 30 2" xfId="22331" xr:uid="{00000000-0005-0000-0000-0000F95A0000}"/>
    <cellStyle name="Normal 6 2 31" xfId="15106" xr:uid="{00000000-0005-0000-0000-0000FA5A0000}"/>
    <cellStyle name="Normal 6 2 31 2" xfId="22332" xr:uid="{00000000-0005-0000-0000-0000FB5A0000}"/>
    <cellStyle name="Normal 6 2 32" xfId="15107" xr:uid="{00000000-0005-0000-0000-0000FC5A0000}"/>
    <cellStyle name="Normal 6 2 32 2" xfId="22333" xr:uid="{00000000-0005-0000-0000-0000FD5A0000}"/>
    <cellStyle name="Normal 6 2 33" xfId="15108" xr:uid="{00000000-0005-0000-0000-0000FE5A0000}"/>
    <cellStyle name="Normal 6 2 33 2" xfId="22334" xr:uid="{00000000-0005-0000-0000-0000FF5A0000}"/>
    <cellStyle name="Normal 6 2 34" xfId="15109" xr:uid="{00000000-0005-0000-0000-0000005B0000}"/>
    <cellStyle name="Normal 6 2 34 2" xfId="22335" xr:uid="{00000000-0005-0000-0000-0000015B0000}"/>
    <cellStyle name="Normal 6 2 35" xfId="15110" xr:uid="{00000000-0005-0000-0000-0000025B0000}"/>
    <cellStyle name="Normal 6 2 35 2" xfId="22336" xr:uid="{00000000-0005-0000-0000-0000035B0000}"/>
    <cellStyle name="Normal 6 2 36" xfId="15111" xr:uid="{00000000-0005-0000-0000-0000045B0000}"/>
    <cellStyle name="Normal 6 2 36 2" xfId="22337" xr:uid="{00000000-0005-0000-0000-0000055B0000}"/>
    <cellStyle name="Normal 6 2 37" xfId="15112" xr:uid="{00000000-0005-0000-0000-0000065B0000}"/>
    <cellStyle name="Normal 6 2 37 2" xfId="22338" xr:uid="{00000000-0005-0000-0000-0000075B0000}"/>
    <cellStyle name="Normal 6 2 38" xfId="15113" xr:uid="{00000000-0005-0000-0000-0000085B0000}"/>
    <cellStyle name="Normal 6 2 38 2" xfId="22339" xr:uid="{00000000-0005-0000-0000-0000095B0000}"/>
    <cellStyle name="Normal 6 2 39" xfId="15114" xr:uid="{00000000-0005-0000-0000-00000A5B0000}"/>
    <cellStyle name="Normal 6 2 39 2" xfId="22340" xr:uid="{00000000-0005-0000-0000-00000B5B0000}"/>
    <cellStyle name="Normal 6 2 4" xfId="15115" xr:uid="{00000000-0005-0000-0000-00000C5B0000}"/>
    <cellStyle name="Normal 6 2 4 2" xfId="22341" xr:uid="{00000000-0005-0000-0000-00000D5B0000}"/>
    <cellStyle name="Normal 6 2 40" xfId="15116" xr:uid="{00000000-0005-0000-0000-00000E5B0000}"/>
    <cellStyle name="Normal 6 2 40 2" xfId="22342" xr:uid="{00000000-0005-0000-0000-00000F5B0000}"/>
    <cellStyle name="Normal 6 2 41" xfId="15117" xr:uid="{00000000-0005-0000-0000-0000105B0000}"/>
    <cellStyle name="Normal 6 2 41 2" xfId="22343" xr:uid="{00000000-0005-0000-0000-0000115B0000}"/>
    <cellStyle name="Normal 6 2 42" xfId="15118" xr:uid="{00000000-0005-0000-0000-0000125B0000}"/>
    <cellStyle name="Normal 6 2 42 2" xfId="22344" xr:uid="{00000000-0005-0000-0000-0000135B0000}"/>
    <cellStyle name="Normal 6 2 5" xfId="15119" xr:uid="{00000000-0005-0000-0000-0000145B0000}"/>
    <cellStyle name="Normal 6 2 5 2" xfId="22345" xr:uid="{00000000-0005-0000-0000-0000155B0000}"/>
    <cellStyle name="Normal 6 2 6" xfId="15120" xr:uid="{00000000-0005-0000-0000-0000165B0000}"/>
    <cellStyle name="Normal 6 2 6 2" xfId="22346" xr:uid="{00000000-0005-0000-0000-0000175B0000}"/>
    <cellStyle name="Normal 6 2 7" xfId="15121" xr:uid="{00000000-0005-0000-0000-0000185B0000}"/>
    <cellStyle name="Normal 6 2 7 2" xfId="22347" xr:uid="{00000000-0005-0000-0000-0000195B0000}"/>
    <cellStyle name="Normal 6 2 8" xfId="15122" xr:uid="{00000000-0005-0000-0000-00001A5B0000}"/>
    <cellStyle name="Normal 6 2 8 2" xfId="22348" xr:uid="{00000000-0005-0000-0000-00001B5B0000}"/>
    <cellStyle name="Normal 6 2 9" xfId="15123" xr:uid="{00000000-0005-0000-0000-00001C5B0000}"/>
    <cellStyle name="Normal 6 2 9 2" xfId="22349" xr:uid="{00000000-0005-0000-0000-00001D5B0000}"/>
    <cellStyle name="Normal 6 2_DATA Input" xfId="15124" xr:uid="{00000000-0005-0000-0000-00001E5B0000}"/>
    <cellStyle name="Normal 6 20" xfId="15125" xr:uid="{00000000-0005-0000-0000-00001F5B0000}"/>
    <cellStyle name="Normal 6 20 2" xfId="22350" xr:uid="{00000000-0005-0000-0000-0000205B0000}"/>
    <cellStyle name="Normal 6 21" xfId="15126" xr:uid="{00000000-0005-0000-0000-0000215B0000}"/>
    <cellStyle name="Normal 6 21 2" xfId="22351" xr:uid="{00000000-0005-0000-0000-0000225B0000}"/>
    <cellStyle name="Normal 6 22" xfId="15127" xr:uid="{00000000-0005-0000-0000-0000235B0000}"/>
    <cellStyle name="Normal 6 22 2" xfId="22352" xr:uid="{00000000-0005-0000-0000-0000245B0000}"/>
    <cellStyle name="Normal 6 23" xfId="15128" xr:uid="{00000000-0005-0000-0000-0000255B0000}"/>
    <cellStyle name="Normal 6 23 2" xfId="22353" xr:uid="{00000000-0005-0000-0000-0000265B0000}"/>
    <cellStyle name="Normal 6 24" xfId="15129" xr:uid="{00000000-0005-0000-0000-0000275B0000}"/>
    <cellStyle name="Normal 6 24 2" xfId="22354" xr:uid="{00000000-0005-0000-0000-0000285B0000}"/>
    <cellStyle name="Normal 6 25" xfId="15130" xr:uid="{00000000-0005-0000-0000-0000295B0000}"/>
    <cellStyle name="Normal 6 25 2" xfId="22355" xr:uid="{00000000-0005-0000-0000-00002A5B0000}"/>
    <cellStyle name="Normal 6 26" xfId="15131" xr:uid="{00000000-0005-0000-0000-00002B5B0000}"/>
    <cellStyle name="Normal 6 26 2" xfId="22356" xr:uid="{00000000-0005-0000-0000-00002C5B0000}"/>
    <cellStyle name="Normal 6 27" xfId="15132" xr:uid="{00000000-0005-0000-0000-00002D5B0000}"/>
    <cellStyle name="Normal 6 27 2" xfId="22357" xr:uid="{00000000-0005-0000-0000-00002E5B0000}"/>
    <cellStyle name="Normal 6 28" xfId="15133" xr:uid="{00000000-0005-0000-0000-00002F5B0000}"/>
    <cellStyle name="Normal 6 28 2" xfId="22358" xr:uid="{00000000-0005-0000-0000-0000305B0000}"/>
    <cellStyle name="Normal 6 29" xfId="15134" xr:uid="{00000000-0005-0000-0000-0000315B0000}"/>
    <cellStyle name="Normal 6 29 2" xfId="22359" xr:uid="{00000000-0005-0000-0000-0000325B0000}"/>
    <cellStyle name="Normal 6 3" xfId="15135" xr:uid="{00000000-0005-0000-0000-0000335B0000}"/>
    <cellStyle name="Normal 6 3 2" xfId="22360" xr:uid="{00000000-0005-0000-0000-0000345B0000}"/>
    <cellStyle name="Normal 6 30" xfId="15136" xr:uid="{00000000-0005-0000-0000-0000355B0000}"/>
    <cellStyle name="Normal 6 30 2" xfId="22361" xr:uid="{00000000-0005-0000-0000-0000365B0000}"/>
    <cellStyle name="Normal 6 31" xfId="15137" xr:uid="{00000000-0005-0000-0000-0000375B0000}"/>
    <cellStyle name="Normal 6 31 2" xfId="22362" xr:uid="{00000000-0005-0000-0000-0000385B0000}"/>
    <cellStyle name="Normal 6 32" xfId="15138" xr:uid="{00000000-0005-0000-0000-0000395B0000}"/>
    <cellStyle name="Normal 6 32 2" xfId="22363" xr:uid="{00000000-0005-0000-0000-00003A5B0000}"/>
    <cellStyle name="Normal 6 33" xfId="15139" xr:uid="{00000000-0005-0000-0000-00003B5B0000}"/>
    <cellStyle name="Normal 6 33 2" xfId="22364" xr:uid="{00000000-0005-0000-0000-00003C5B0000}"/>
    <cellStyle name="Normal 6 34" xfId="15140" xr:uid="{00000000-0005-0000-0000-00003D5B0000}"/>
    <cellStyle name="Normal 6 34 2" xfId="22365" xr:uid="{00000000-0005-0000-0000-00003E5B0000}"/>
    <cellStyle name="Normal 6 35" xfId="15141" xr:uid="{00000000-0005-0000-0000-00003F5B0000}"/>
    <cellStyle name="Normal 6 35 2" xfId="22366" xr:uid="{00000000-0005-0000-0000-0000405B0000}"/>
    <cellStyle name="Normal 6 36" xfId="15142" xr:uid="{00000000-0005-0000-0000-0000415B0000}"/>
    <cellStyle name="Normal 6 36 2" xfId="22367" xr:uid="{00000000-0005-0000-0000-0000425B0000}"/>
    <cellStyle name="Normal 6 37" xfId="15143" xr:uid="{00000000-0005-0000-0000-0000435B0000}"/>
    <cellStyle name="Normal 6 37 2" xfId="22368" xr:uid="{00000000-0005-0000-0000-0000445B0000}"/>
    <cellStyle name="Normal 6 38" xfId="15144" xr:uid="{00000000-0005-0000-0000-0000455B0000}"/>
    <cellStyle name="Normal 6 38 2" xfId="22369" xr:uid="{00000000-0005-0000-0000-0000465B0000}"/>
    <cellStyle name="Normal 6 39" xfId="15145" xr:uid="{00000000-0005-0000-0000-0000475B0000}"/>
    <cellStyle name="Normal 6 39 2" xfId="22370" xr:uid="{00000000-0005-0000-0000-0000485B0000}"/>
    <cellStyle name="Normal 6 4" xfId="15146" xr:uid="{00000000-0005-0000-0000-0000495B0000}"/>
    <cellStyle name="Normal 6 4 2" xfId="22371" xr:uid="{00000000-0005-0000-0000-00004A5B0000}"/>
    <cellStyle name="Normal 6 40" xfId="15147" xr:uid="{00000000-0005-0000-0000-00004B5B0000}"/>
    <cellStyle name="Normal 6 40 2" xfId="22372" xr:uid="{00000000-0005-0000-0000-00004C5B0000}"/>
    <cellStyle name="Normal 6 41" xfId="15148" xr:uid="{00000000-0005-0000-0000-00004D5B0000}"/>
    <cellStyle name="Normal 6 41 2" xfId="22373" xr:uid="{00000000-0005-0000-0000-00004E5B0000}"/>
    <cellStyle name="Normal 6 42" xfId="15149" xr:uid="{00000000-0005-0000-0000-00004F5B0000}"/>
    <cellStyle name="Normal 6 42 2" xfId="22374" xr:uid="{00000000-0005-0000-0000-0000505B0000}"/>
    <cellStyle name="Normal 6 43" xfId="15150" xr:uid="{00000000-0005-0000-0000-0000515B0000}"/>
    <cellStyle name="Normal 6 43 2" xfId="22375" xr:uid="{00000000-0005-0000-0000-0000525B0000}"/>
    <cellStyle name="Normal 6 44" xfId="15151" xr:uid="{00000000-0005-0000-0000-0000535B0000}"/>
    <cellStyle name="Normal 6 44 2" xfId="22376" xr:uid="{00000000-0005-0000-0000-0000545B0000}"/>
    <cellStyle name="Normal 6 45" xfId="15152" xr:uid="{00000000-0005-0000-0000-0000555B0000}"/>
    <cellStyle name="Normal 6 46" xfId="15153" xr:uid="{00000000-0005-0000-0000-0000565B0000}"/>
    <cellStyle name="Normal 6 47" xfId="15154" xr:uid="{00000000-0005-0000-0000-0000575B0000}"/>
    <cellStyle name="Normal 6 48" xfId="15155" xr:uid="{00000000-0005-0000-0000-0000585B0000}"/>
    <cellStyle name="Normal 6 49" xfId="15156" xr:uid="{00000000-0005-0000-0000-0000595B0000}"/>
    <cellStyle name="Normal 6 5" xfId="15157" xr:uid="{00000000-0005-0000-0000-00005A5B0000}"/>
    <cellStyle name="Normal 6 5 2" xfId="22377" xr:uid="{00000000-0005-0000-0000-00005B5B0000}"/>
    <cellStyle name="Normal 6 50" xfId="15158" xr:uid="{00000000-0005-0000-0000-00005C5B0000}"/>
    <cellStyle name="Normal 6 6" xfId="15159" xr:uid="{00000000-0005-0000-0000-00005D5B0000}"/>
    <cellStyle name="Normal 6 6 2" xfId="22378" xr:uid="{00000000-0005-0000-0000-00005E5B0000}"/>
    <cellStyle name="Normal 6 7" xfId="15160" xr:uid="{00000000-0005-0000-0000-00005F5B0000}"/>
    <cellStyle name="Normal 6 7 2" xfId="22379" xr:uid="{00000000-0005-0000-0000-0000605B0000}"/>
    <cellStyle name="Normal 6 8" xfId="15161" xr:uid="{00000000-0005-0000-0000-0000615B0000}"/>
    <cellStyle name="Normal 6 8 2" xfId="22380" xr:uid="{00000000-0005-0000-0000-0000625B0000}"/>
    <cellStyle name="Normal 6 9" xfId="15162" xr:uid="{00000000-0005-0000-0000-0000635B0000}"/>
    <cellStyle name="Normal 6 9 2" xfId="22381" xr:uid="{00000000-0005-0000-0000-0000645B0000}"/>
    <cellStyle name="Normal 6_DATA Input" xfId="15163" xr:uid="{00000000-0005-0000-0000-0000655B0000}"/>
    <cellStyle name="Normal 60" xfId="22751" xr:uid="{00000000-0005-0000-0000-0000665B0000}"/>
    <cellStyle name="Normal 60 2" xfId="22760" xr:uid="{00000000-0005-0000-0000-0000675B0000}"/>
    <cellStyle name="Normal 60 3" xfId="22793" xr:uid="{00000000-0005-0000-0000-0000685B0000}"/>
    <cellStyle name="Normal 60 4" xfId="27943" xr:uid="{F104E6A7-685C-496B-990D-F8674FC733C2}"/>
    <cellStyle name="Normal 60 5" xfId="27955" xr:uid="{94A575EF-34A1-4435-BA4C-EACD39EC858F}"/>
    <cellStyle name="Normal 60 6" xfId="27967" xr:uid="{4604347F-E13B-4239-87AF-C58BC7E40585}"/>
    <cellStyle name="Normal 61" xfId="22759" xr:uid="{00000000-0005-0000-0000-0000695B0000}"/>
    <cellStyle name="Normal 62" xfId="22765" xr:uid="{00000000-0005-0000-0000-00006A5B0000}"/>
    <cellStyle name="Normal 63" xfId="22772" xr:uid="{00000000-0005-0000-0000-00006B5B0000}"/>
    <cellStyle name="Normal 64" xfId="22790" xr:uid="{00000000-0005-0000-0000-00006C5B0000}"/>
    <cellStyle name="Normal 65" xfId="22799" xr:uid="{00000000-0005-0000-0000-00006D5B0000}"/>
    <cellStyle name="Normal 66" xfId="22780" xr:uid="{00000000-0005-0000-0000-00006E5B0000}"/>
    <cellStyle name="Normal 67" xfId="22802" xr:uid="{00000000-0005-0000-0000-00006F5B0000}"/>
    <cellStyle name="Normal 68" xfId="22808" xr:uid="{00000000-0005-0000-0000-0000705B0000}"/>
    <cellStyle name="Normal 69" xfId="22812" xr:uid="{00000000-0005-0000-0000-0000715B0000}"/>
    <cellStyle name="Normal 7" xfId="423" xr:uid="{00000000-0005-0000-0000-0000725B0000}"/>
    <cellStyle name="Normal 7 10" xfId="15164" xr:uid="{00000000-0005-0000-0000-0000735B0000}"/>
    <cellStyle name="Normal 7 106 7" xfId="22730" xr:uid="{00000000-0005-0000-0000-0000745B0000}"/>
    <cellStyle name="Normal 7 106 7 2" xfId="22731" xr:uid="{00000000-0005-0000-0000-0000755B0000}"/>
    <cellStyle name="Normal 7 106 7 3" xfId="22732" xr:uid="{00000000-0005-0000-0000-0000765B0000}"/>
    <cellStyle name="Normal 7 11" xfId="15165" xr:uid="{00000000-0005-0000-0000-0000775B0000}"/>
    <cellStyle name="Normal 7 12" xfId="15166" xr:uid="{00000000-0005-0000-0000-0000785B0000}"/>
    <cellStyle name="Normal 7 13" xfId="15167" xr:uid="{00000000-0005-0000-0000-0000795B0000}"/>
    <cellStyle name="Normal 7 14" xfId="15168" xr:uid="{00000000-0005-0000-0000-00007A5B0000}"/>
    <cellStyle name="Normal 7 15" xfId="15169" xr:uid="{00000000-0005-0000-0000-00007B5B0000}"/>
    <cellStyle name="Normal 7 16" xfId="15170" xr:uid="{00000000-0005-0000-0000-00007C5B0000}"/>
    <cellStyle name="Normal 7 17" xfId="15171" xr:uid="{00000000-0005-0000-0000-00007D5B0000}"/>
    <cellStyle name="Normal 7 18" xfId="15172" xr:uid="{00000000-0005-0000-0000-00007E5B0000}"/>
    <cellStyle name="Normal 7 19" xfId="15173" xr:uid="{00000000-0005-0000-0000-00007F5B0000}"/>
    <cellStyle name="Normal 7 2" xfId="424" xr:uid="{00000000-0005-0000-0000-0000805B0000}"/>
    <cellStyle name="Normal 7 2 2" xfId="15174" xr:uid="{00000000-0005-0000-0000-0000815B0000}"/>
    <cellStyle name="Normal 7 2 3" xfId="15175" xr:uid="{00000000-0005-0000-0000-0000825B0000}"/>
    <cellStyle name="Normal 7 2 3 2" xfId="15176" xr:uid="{00000000-0005-0000-0000-0000835B0000}"/>
    <cellStyle name="Normal 7 2 3_DATA Input" xfId="15177" xr:uid="{00000000-0005-0000-0000-0000845B0000}"/>
    <cellStyle name="Normal 7 2_DATA Input" xfId="15178" xr:uid="{00000000-0005-0000-0000-0000855B0000}"/>
    <cellStyle name="Normal 7 20" xfId="15179" xr:uid="{00000000-0005-0000-0000-0000865B0000}"/>
    <cellStyle name="Normal 7 21" xfId="15180" xr:uid="{00000000-0005-0000-0000-0000875B0000}"/>
    <cellStyle name="Normal 7 22" xfId="15181" xr:uid="{00000000-0005-0000-0000-0000885B0000}"/>
    <cellStyle name="Normal 7 23" xfId="15182" xr:uid="{00000000-0005-0000-0000-0000895B0000}"/>
    <cellStyle name="Normal 7 24" xfId="15183" xr:uid="{00000000-0005-0000-0000-00008A5B0000}"/>
    <cellStyle name="Normal 7 25" xfId="15184" xr:uid="{00000000-0005-0000-0000-00008B5B0000}"/>
    <cellStyle name="Normal 7 26" xfId="15185" xr:uid="{00000000-0005-0000-0000-00008C5B0000}"/>
    <cellStyle name="Normal 7 27" xfId="15186" xr:uid="{00000000-0005-0000-0000-00008D5B0000}"/>
    <cellStyle name="Normal 7 28" xfId="15187" xr:uid="{00000000-0005-0000-0000-00008E5B0000}"/>
    <cellStyle name="Normal 7 29" xfId="15188" xr:uid="{00000000-0005-0000-0000-00008F5B0000}"/>
    <cellStyle name="Normal 7 3" xfId="15189" xr:uid="{00000000-0005-0000-0000-0000905B0000}"/>
    <cellStyle name="Normal 7 30" xfId="15190" xr:uid="{00000000-0005-0000-0000-0000915B0000}"/>
    <cellStyle name="Normal 7 31" xfId="15191" xr:uid="{00000000-0005-0000-0000-0000925B0000}"/>
    <cellStyle name="Normal 7 32" xfId="15192" xr:uid="{00000000-0005-0000-0000-0000935B0000}"/>
    <cellStyle name="Normal 7 33" xfId="15193" xr:uid="{00000000-0005-0000-0000-0000945B0000}"/>
    <cellStyle name="Normal 7 34" xfId="15194" xr:uid="{00000000-0005-0000-0000-0000955B0000}"/>
    <cellStyle name="Normal 7 35" xfId="15195" xr:uid="{00000000-0005-0000-0000-0000965B0000}"/>
    <cellStyle name="Normal 7 36" xfId="15196" xr:uid="{00000000-0005-0000-0000-0000975B0000}"/>
    <cellStyle name="Normal 7 37" xfId="15197" xr:uid="{00000000-0005-0000-0000-0000985B0000}"/>
    <cellStyle name="Normal 7 38" xfId="15198" xr:uid="{00000000-0005-0000-0000-0000995B0000}"/>
    <cellStyle name="Normal 7 39" xfId="15199" xr:uid="{00000000-0005-0000-0000-00009A5B0000}"/>
    <cellStyle name="Normal 7 4" xfId="15200" xr:uid="{00000000-0005-0000-0000-00009B5B0000}"/>
    <cellStyle name="Normal 7 40" xfId="15201" xr:uid="{00000000-0005-0000-0000-00009C5B0000}"/>
    <cellStyle name="Normal 7 41" xfId="15202" xr:uid="{00000000-0005-0000-0000-00009D5B0000}"/>
    <cellStyle name="Normal 7 42" xfId="15203" xr:uid="{00000000-0005-0000-0000-00009E5B0000}"/>
    <cellStyle name="Normal 7 43" xfId="15204" xr:uid="{00000000-0005-0000-0000-00009F5B0000}"/>
    <cellStyle name="Normal 7 44" xfId="15205" xr:uid="{00000000-0005-0000-0000-0000A05B0000}"/>
    <cellStyle name="Normal 7 45" xfId="15206" xr:uid="{00000000-0005-0000-0000-0000A15B0000}"/>
    <cellStyle name="Normal 7 46" xfId="15207" xr:uid="{00000000-0005-0000-0000-0000A25B0000}"/>
    <cellStyle name="Normal 7 47" xfId="15208" xr:uid="{00000000-0005-0000-0000-0000A35B0000}"/>
    <cellStyle name="Normal 7 48" xfId="15209" xr:uid="{00000000-0005-0000-0000-0000A45B0000}"/>
    <cellStyle name="Normal 7 49" xfId="15210" xr:uid="{00000000-0005-0000-0000-0000A55B0000}"/>
    <cellStyle name="Normal 7 5" xfId="15211" xr:uid="{00000000-0005-0000-0000-0000A65B0000}"/>
    <cellStyle name="Normal 7 50" xfId="15212" xr:uid="{00000000-0005-0000-0000-0000A75B0000}"/>
    <cellStyle name="Normal 7 51" xfId="15213" xr:uid="{00000000-0005-0000-0000-0000A85B0000}"/>
    <cellStyle name="Normal 7 6" xfId="15214" xr:uid="{00000000-0005-0000-0000-0000A95B0000}"/>
    <cellStyle name="Normal 7 7" xfId="15215" xr:uid="{00000000-0005-0000-0000-0000AA5B0000}"/>
    <cellStyle name="Normal 7 8" xfId="15216" xr:uid="{00000000-0005-0000-0000-0000AB5B0000}"/>
    <cellStyle name="Normal 7 9" xfId="15217" xr:uid="{00000000-0005-0000-0000-0000AC5B0000}"/>
    <cellStyle name="Normal 7_DATA Input" xfId="15218" xr:uid="{00000000-0005-0000-0000-0000AD5B0000}"/>
    <cellStyle name="Normal 70" xfId="27881" xr:uid="{00000000-0005-0000-0000-0000AE5B0000}"/>
    <cellStyle name="Normal 70 2" xfId="27950" xr:uid="{F6EA2748-2A0C-4843-8DAF-0940C1FFB4E1}"/>
    <cellStyle name="Normal 71" xfId="27885" xr:uid="{00000000-0005-0000-0000-0000AF5B0000}"/>
    <cellStyle name="Normal 71 2" xfId="27957" xr:uid="{AB68144D-AF70-4442-81EB-8AC500E1A7AA}"/>
    <cellStyle name="Normal 72" xfId="27912" xr:uid="{00000000-0005-0000-0000-0000B05B0000}"/>
    <cellStyle name="Normal 73" xfId="27923" xr:uid="{D6507A00-C6CF-47FD-A40F-B77B76E8D873}"/>
    <cellStyle name="Normal 74" xfId="27925" xr:uid="{3737A413-64E2-4683-8C25-8F5804B718DB}"/>
    <cellStyle name="Normal 74 2" xfId="27947" xr:uid="{5DAC02C9-7D2E-42D9-89D9-5D105EFFA4D3}"/>
    <cellStyle name="Normal 75" xfId="27936" xr:uid="{30A2E49C-6AF4-40A5-8D48-0656CDE4F885}"/>
    <cellStyle name="Normal 76" xfId="27962" xr:uid="{CEFD4541-0B31-490E-901C-56063B56E6D7}"/>
    <cellStyle name="Normal 77" xfId="27970" xr:uid="{9AEDA47A-2BE7-C141-A3A7-AAE2A529C822}"/>
    <cellStyle name="Normal 78" xfId="27973" xr:uid="{2524C395-0428-4A46-BA26-2A33E257BAB3}"/>
    <cellStyle name="Normal 79" xfId="27976" xr:uid="{76BCCC25-5B9B-47A1-B807-9287B0B7314C}"/>
    <cellStyle name="Normal 8" xfId="425" xr:uid="{00000000-0005-0000-0000-0000B15B0000}"/>
    <cellStyle name="Normal 8 10" xfId="15219" xr:uid="{00000000-0005-0000-0000-0000B25B0000}"/>
    <cellStyle name="Normal 8 11" xfId="15220" xr:uid="{00000000-0005-0000-0000-0000B35B0000}"/>
    <cellStyle name="Normal 8 12" xfId="15221" xr:uid="{00000000-0005-0000-0000-0000B45B0000}"/>
    <cellStyle name="Normal 8 13" xfId="15222" xr:uid="{00000000-0005-0000-0000-0000B55B0000}"/>
    <cellStyle name="Normal 8 14" xfId="15223" xr:uid="{00000000-0005-0000-0000-0000B65B0000}"/>
    <cellStyle name="Normal 8 15" xfId="15224" xr:uid="{00000000-0005-0000-0000-0000B75B0000}"/>
    <cellStyle name="Normal 8 16" xfId="15225" xr:uid="{00000000-0005-0000-0000-0000B85B0000}"/>
    <cellStyle name="Normal 8 17" xfId="15226" xr:uid="{00000000-0005-0000-0000-0000B95B0000}"/>
    <cellStyle name="Normal 8 18" xfId="15227" xr:uid="{00000000-0005-0000-0000-0000BA5B0000}"/>
    <cellStyle name="Normal 8 19" xfId="15228" xr:uid="{00000000-0005-0000-0000-0000BB5B0000}"/>
    <cellStyle name="Normal 8 2" xfId="15229" xr:uid="{00000000-0005-0000-0000-0000BC5B0000}"/>
    <cellStyle name="Normal 8 2 2" xfId="15230" xr:uid="{00000000-0005-0000-0000-0000BD5B0000}"/>
    <cellStyle name="Normal 8 2 2 2" xfId="15231" xr:uid="{00000000-0005-0000-0000-0000BE5B0000}"/>
    <cellStyle name="Normal 8 2 2 3" xfId="15232" xr:uid="{00000000-0005-0000-0000-0000BF5B0000}"/>
    <cellStyle name="Normal 8 2 2 4" xfId="22382" xr:uid="{00000000-0005-0000-0000-0000C05B0000}"/>
    <cellStyle name="Normal 8 2 2_DATA Input" xfId="15233" xr:uid="{00000000-0005-0000-0000-0000C15B0000}"/>
    <cellStyle name="Normal 8 2 3" xfId="15234" xr:uid="{00000000-0005-0000-0000-0000C25B0000}"/>
    <cellStyle name="Normal 8 2 3 2" xfId="22383" xr:uid="{00000000-0005-0000-0000-0000C35B0000}"/>
    <cellStyle name="Normal 8 2_DATA Input" xfId="15235" xr:uid="{00000000-0005-0000-0000-0000C45B0000}"/>
    <cellStyle name="Normal 8 20" xfId="15236" xr:uid="{00000000-0005-0000-0000-0000C55B0000}"/>
    <cellStyle name="Normal 8 21" xfId="15237" xr:uid="{00000000-0005-0000-0000-0000C65B0000}"/>
    <cellStyle name="Normal 8 22" xfId="15238" xr:uid="{00000000-0005-0000-0000-0000C75B0000}"/>
    <cellStyle name="Normal 8 23" xfId="15239" xr:uid="{00000000-0005-0000-0000-0000C85B0000}"/>
    <cellStyle name="Normal 8 24" xfId="15240" xr:uid="{00000000-0005-0000-0000-0000C95B0000}"/>
    <cellStyle name="Normal 8 25" xfId="15241" xr:uid="{00000000-0005-0000-0000-0000CA5B0000}"/>
    <cellStyle name="Normal 8 26" xfId="15242" xr:uid="{00000000-0005-0000-0000-0000CB5B0000}"/>
    <cellStyle name="Normal 8 27" xfId="15243" xr:uid="{00000000-0005-0000-0000-0000CC5B0000}"/>
    <cellStyle name="Normal 8 28" xfId="15244" xr:uid="{00000000-0005-0000-0000-0000CD5B0000}"/>
    <cellStyle name="Normal 8 29" xfId="15245" xr:uid="{00000000-0005-0000-0000-0000CE5B0000}"/>
    <cellStyle name="Normal 8 3" xfId="15246" xr:uid="{00000000-0005-0000-0000-0000CF5B0000}"/>
    <cellStyle name="Normal 8 30" xfId="15247" xr:uid="{00000000-0005-0000-0000-0000D05B0000}"/>
    <cellStyle name="Normal 8 31" xfId="15248" xr:uid="{00000000-0005-0000-0000-0000D15B0000}"/>
    <cellStyle name="Normal 8 32" xfId="15249" xr:uid="{00000000-0005-0000-0000-0000D25B0000}"/>
    <cellStyle name="Normal 8 33" xfId="15250" xr:uid="{00000000-0005-0000-0000-0000D35B0000}"/>
    <cellStyle name="Normal 8 34" xfId="15251" xr:uid="{00000000-0005-0000-0000-0000D45B0000}"/>
    <cellStyle name="Normal 8 35" xfId="15252" xr:uid="{00000000-0005-0000-0000-0000D55B0000}"/>
    <cellStyle name="Normal 8 36" xfId="15253" xr:uid="{00000000-0005-0000-0000-0000D65B0000}"/>
    <cellStyle name="Normal 8 37" xfId="15254" xr:uid="{00000000-0005-0000-0000-0000D75B0000}"/>
    <cellStyle name="Normal 8 38" xfId="15255" xr:uid="{00000000-0005-0000-0000-0000D85B0000}"/>
    <cellStyle name="Normal 8 39" xfId="15256" xr:uid="{00000000-0005-0000-0000-0000D95B0000}"/>
    <cellStyle name="Normal 8 4" xfId="15257" xr:uid="{00000000-0005-0000-0000-0000DA5B0000}"/>
    <cellStyle name="Normal 8 40" xfId="15258" xr:uid="{00000000-0005-0000-0000-0000DB5B0000}"/>
    <cellStyle name="Normal 8 41" xfId="15259" xr:uid="{00000000-0005-0000-0000-0000DC5B0000}"/>
    <cellStyle name="Normal 8 42" xfId="15260" xr:uid="{00000000-0005-0000-0000-0000DD5B0000}"/>
    <cellStyle name="Normal 8 43" xfId="15261" xr:uid="{00000000-0005-0000-0000-0000DE5B0000}"/>
    <cellStyle name="Normal 8 44" xfId="15262" xr:uid="{00000000-0005-0000-0000-0000DF5B0000}"/>
    <cellStyle name="Normal 8 5" xfId="15263" xr:uid="{00000000-0005-0000-0000-0000E05B0000}"/>
    <cellStyle name="Normal 8 6" xfId="15264" xr:uid="{00000000-0005-0000-0000-0000E15B0000}"/>
    <cellStyle name="Normal 8 7" xfId="15265" xr:uid="{00000000-0005-0000-0000-0000E25B0000}"/>
    <cellStyle name="Normal 8 75" xfId="22733" xr:uid="{00000000-0005-0000-0000-0000E35B0000}"/>
    <cellStyle name="Normal 8 8" xfId="15266" xr:uid="{00000000-0005-0000-0000-0000E45B0000}"/>
    <cellStyle name="Normal 8 9" xfId="15267" xr:uid="{00000000-0005-0000-0000-0000E55B0000}"/>
    <cellStyle name="Normal 8_DATA Input" xfId="15268" xr:uid="{00000000-0005-0000-0000-0000E65B0000}"/>
    <cellStyle name="Normal 80" xfId="27977" xr:uid="{97B6CCBE-99FC-47B0-A27C-793F672DCCFA}"/>
    <cellStyle name="Normal 9" xfId="426" xr:uid="{00000000-0005-0000-0000-0000E75B0000}"/>
    <cellStyle name="Normal 9 10" xfId="15269" xr:uid="{00000000-0005-0000-0000-0000E85B0000}"/>
    <cellStyle name="Normal 9 11" xfId="15270" xr:uid="{00000000-0005-0000-0000-0000E95B0000}"/>
    <cellStyle name="Normal 9 12" xfId="15271" xr:uid="{00000000-0005-0000-0000-0000EA5B0000}"/>
    <cellStyle name="Normal 9 13" xfId="15272" xr:uid="{00000000-0005-0000-0000-0000EB5B0000}"/>
    <cellStyle name="Normal 9 14" xfId="15273" xr:uid="{00000000-0005-0000-0000-0000EC5B0000}"/>
    <cellStyle name="Normal 9 15" xfId="15274" xr:uid="{00000000-0005-0000-0000-0000ED5B0000}"/>
    <cellStyle name="Normal 9 16" xfId="15275" xr:uid="{00000000-0005-0000-0000-0000EE5B0000}"/>
    <cellStyle name="Normal 9 17" xfId="15276" xr:uid="{00000000-0005-0000-0000-0000EF5B0000}"/>
    <cellStyle name="Normal 9 18" xfId="15277" xr:uid="{00000000-0005-0000-0000-0000F05B0000}"/>
    <cellStyle name="Normal 9 19" xfId="15278" xr:uid="{00000000-0005-0000-0000-0000F15B0000}"/>
    <cellStyle name="Normal 9 2" xfId="427" xr:uid="{00000000-0005-0000-0000-0000F25B0000}"/>
    <cellStyle name="Normal 9 20" xfId="15279" xr:uid="{00000000-0005-0000-0000-0000F35B0000}"/>
    <cellStyle name="Normal 9 21" xfId="15280" xr:uid="{00000000-0005-0000-0000-0000F45B0000}"/>
    <cellStyle name="Normal 9 22" xfId="15281" xr:uid="{00000000-0005-0000-0000-0000F55B0000}"/>
    <cellStyle name="Normal 9 23" xfId="15282" xr:uid="{00000000-0005-0000-0000-0000F65B0000}"/>
    <cellStyle name="Normal 9 24" xfId="15283" xr:uid="{00000000-0005-0000-0000-0000F75B0000}"/>
    <cellStyle name="Normal 9 25" xfId="15284" xr:uid="{00000000-0005-0000-0000-0000F85B0000}"/>
    <cellStyle name="Normal 9 26" xfId="15285" xr:uid="{00000000-0005-0000-0000-0000F95B0000}"/>
    <cellStyle name="Normal 9 27" xfId="15286" xr:uid="{00000000-0005-0000-0000-0000FA5B0000}"/>
    <cellStyle name="Normal 9 28" xfId="15287" xr:uid="{00000000-0005-0000-0000-0000FB5B0000}"/>
    <cellStyle name="Normal 9 29" xfId="15288" xr:uid="{00000000-0005-0000-0000-0000FC5B0000}"/>
    <cellStyle name="Normal 9 3" xfId="15289" xr:uid="{00000000-0005-0000-0000-0000FD5B0000}"/>
    <cellStyle name="Normal 9 30" xfId="15290" xr:uid="{00000000-0005-0000-0000-0000FE5B0000}"/>
    <cellStyle name="Normal 9 31" xfId="15291" xr:uid="{00000000-0005-0000-0000-0000FF5B0000}"/>
    <cellStyle name="Normal 9 32" xfId="15292" xr:uid="{00000000-0005-0000-0000-0000005C0000}"/>
    <cellStyle name="Normal 9 33" xfId="15293" xr:uid="{00000000-0005-0000-0000-0000015C0000}"/>
    <cellStyle name="Normal 9 34" xfId="15294" xr:uid="{00000000-0005-0000-0000-0000025C0000}"/>
    <cellStyle name="Normal 9 35" xfId="15295" xr:uid="{00000000-0005-0000-0000-0000035C0000}"/>
    <cellStyle name="Normal 9 36" xfId="15296" xr:uid="{00000000-0005-0000-0000-0000045C0000}"/>
    <cellStyle name="Normal 9 37" xfId="15297" xr:uid="{00000000-0005-0000-0000-0000055C0000}"/>
    <cellStyle name="Normal 9 38" xfId="15298" xr:uid="{00000000-0005-0000-0000-0000065C0000}"/>
    <cellStyle name="Normal 9 39" xfId="15299" xr:uid="{00000000-0005-0000-0000-0000075C0000}"/>
    <cellStyle name="Normal 9 4" xfId="15300" xr:uid="{00000000-0005-0000-0000-0000085C0000}"/>
    <cellStyle name="Normal 9 40" xfId="15301" xr:uid="{00000000-0005-0000-0000-0000095C0000}"/>
    <cellStyle name="Normal 9 41" xfId="15302" xr:uid="{00000000-0005-0000-0000-00000A5C0000}"/>
    <cellStyle name="Normal 9 5" xfId="15303" xr:uid="{00000000-0005-0000-0000-00000B5C0000}"/>
    <cellStyle name="Normal 9 6" xfId="15304" xr:uid="{00000000-0005-0000-0000-00000C5C0000}"/>
    <cellStyle name="Normal 9 7" xfId="15305" xr:uid="{00000000-0005-0000-0000-00000D5C0000}"/>
    <cellStyle name="Normal 9 8" xfId="15306" xr:uid="{00000000-0005-0000-0000-00000E5C0000}"/>
    <cellStyle name="Normal 9 9" xfId="15307" xr:uid="{00000000-0005-0000-0000-00000F5C0000}"/>
    <cellStyle name="Normal 9_DATA Input" xfId="15308" xr:uid="{00000000-0005-0000-0000-0000105C0000}"/>
    <cellStyle name="Normal Bold" xfId="15309" xr:uid="{00000000-0005-0000-0000-0000115C0000}"/>
    <cellStyle name="Normal_Sheet1" xfId="27938" xr:uid="{BF284745-5AB9-4D37-8900-544A14335FC0}"/>
    <cellStyle name="normal1" xfId="15310" xr:uid="{00000000-0005-0000-0000-0000125C0000}"/>
    <cellStyle name="Normal10pt" xfId="15311" xr:uid="{00000000-0005-0000-0000-0000135C0000}"/>
    <cellStyle name="normal3" xfId="15312" xr:uid="{00000000-0005-0000-0000-0000145C0000}"/>
    <cellStyle name="Normal9pt" xfId="15313" xr:uid="{00000000-0005-0000-0000-0000155C0000}"/>
    <cellStyle name="NormalE" xfId="15314" xr:uid="{00000000-0005-0000-0000-0000165C0000}"/>
    <cellStyle name="NormalInput" xfId="15315" xr:uid="{00000000-0005-0000-0000-0000175C0000}"/>
    <cellStyle name="normální_Bill of Material" xfId="428" xr:uid="{00000000-0005-0000-0000-0000185C0000}"/>
    <cellStyle name="Note 2" xfId="429" xr:uid="{00000000-0005-0000-0000-0000195C0000}"/>
    <cellStyle name="Note 2 10" xfId="15316" xr:uid="{00000000-0005-0000-0000-00001A5C0000}"/>
    <cellStyle name="Note 2 10 2" xfId="22384" xr:uid="{00000000-0005-0000-0000-00001B5C0000}"/>
    <cellStyle name="Note 2 11" xfId="15317" xr:uid="{00000000-0005-0000-0000-00001C5C0000}"/>
    <cellStyle name="Note 2 11 2" xfId="22385" xr:uid="{00000000-0005-0000-0000-00001D5C0000}"/>
    <cellStyle name="Note 2 12" xfId="15318" xr:uid="{00000000-0005-0000-0000-00001E5C0000}"/>
    <cellStyle name="Note 2 12 2" xfId="22386" xr:uid="{00000000-0005-0000-0000-00001F5C0000}"/>
    <cellStyle name="Note 2 13" xfId="15319" xr:uid="{00000000-0005-0000-0000-0000205C0000}"/>
    <cellStyle name="Note 2 13 2" xfId="22387" xr:uid="{00000000-0005-0000-0000-0000215C0000}"/>
    <cellStyle name="Note 2 14" xfId="15320" xr:uid="{00000000-0005-0000-0000-0000225C0000}"/>
    <cellStyle name="Note 2 14 2" xfId="22388" xr:uid="{00000000-0005-0000-0000-0000235C0000}"/>
    <cellStyle name="Note 2 15" xfId="15321" xr:uid="{00000000-0005-0000-0000-0000245C0000}"/>
    <cellStyle name="Note 2 15 2" xfId="22389" xr:uid="{00000000-0005-0000-0000-0000255C0000}"/>
    <cellStyle name="Note 2 16" xfId="15322" xr:uid="{00000000-0005-0000-0000-0000265C0000}"/>
    <cellStyle name="Note 2 16 2" xfId="22390" xr:uid="{00000000-0005-0000-0000-0000275C0000}"/>
    <cellStyle name="Note 2 17" xfId="15323" xr:uid="{00000000-0005-0000-0000-0000285C0000}"/>
    <cellStyle name="Note 2 17 2" xfId="22391" xr:uid="{00000000-0005-0000-0000-0000295C0000}"/>
    <cellStyle name="Note 2 18" xfId="15324" xr:uid="{00000000-0005-0000-0000-00002A5C0000}"/>
    <cellStyle name="Note 2 18 2" xfId="22392" xr:uid="{00000000-0005-0000-0000-00002B5C0000}"/>
    <cellStyle name="Note 2 19" xfId="15325" xr:uid="{00000000-0005-0000-0000-00002C5C0000}"/>
    <cellStyle name="Note 2 19 2" xfId="22393" xr:uid="{00000000-0005-0000-0000-00002D5C0000}"/>
    <cellStyle name="Note 2 2" xfId="15326" xr:uid="{00000000-0005-0000-0000-00002E5C0000}"/>
    <cellStyle name="Note 2 2 10" xfId="15327" xr:uid="{00000000-0005-0000-0000-00002F5C0000}"/>
    <cellStyle name="Note 2 2 10 2" xfId="22395" xr:uid="{00000000-0005-0000-0000-0000305C0000}"/>
    <cellStyle name="Note 2 2 11" xfId="15328" xr:uid="{00000000-0005-0000-0000-0000315C0000}"/>
    <cellStyle name="Note 2 2 11 2" xfId="22396" xr:uid="{00000000-0005-0000-0000-0000325C0000}"/>
    <cellStyle name="Note 2 2 12" xfId="15329" xr:uid="{00000000-0005-0000-0000-0000335C0000}"/>
    <cellStyle name="Note 2 2 12 2" xfId="22397" xr:uid="{00000000-0005-0000-0000-0000345C0000}"/>
    <cellStyle name="Note 2 2 13" xfId="15330" xr:uid="{00000000-0005-0000-0000-0000355C0000}"/>
    <cellStyle name="Note 2 2 13 2" xfId="22398" xr:uid="{00000000-0005-0000-0000-0000365C0000}"/>
    <cellStyle name="Note 2 2 14" xfId="15331" xr:uid="{00000000-0005-0000-0000-0000375C0000}"/>
    <cellStyle name="Note 2 2 14 2" xfId="22399" xr:uid="{00000000-0005-0000-0000-0000385C0000}"/>
    <cellStyle name="Note 2 2 15" xfId="15332" xr:uid="{00000000-0005-0000-0000-0000395C0000}"/>
    <cellStyle name="Note 2 2 15 2" xfId="22400" xr:uid="{00000000-0005-0000-0000-00003A5C0000}"/>
    <cellStyle name="Note 2 2 16" xfId="15333" xr:uid="{00000000-0005-0000-0000-00003B5C0000}"/>
    <cellStyle name="Note 2 2 16 2" xfId="22401" xr:uid="{00000000-0005-0000-0000-00003C5C0000}"/>
    <cellStyle name="Note 2 2 17" xfId="15334" xr:uid="{00000000-0005-0000-0000-00003D5C0000}"/>
    <cellStyle name="Note 2 2 17 2" xfId="22402" xr:uid="{00000000-0005-0000-0000-00003E5C0000}"/>
    <cellStyle name="Note 2 2 18" xfId="15335" xr:uid="{00000000-0005-0000-0000-00003F5C0000}"/>
    <cellStyle name="Note 2 2 18 2" xfId="22403" xr:uid="{00000000-0005-0000-0000-0000405C0000}"/>
    <cellStyle name="Note 2 2 19" xfId="15336" xr:uid="{00000000-0005-0000-0000-0000415C0000}"/>
    <cellStyle name="Note 2 2 19 2" xfId="22404" xr:uid="{00000000-0005-0000-0000-0000425C0000}"/>
    <cellStyle name="Note 2 2 2" xfId="15337" xr:uid="{00000000-0005-0000-0000-0000435C0000}"/>
    <cellStyle name="Note 2 2 2 2" xfId="22405" xr:uid="{00000000-0005-0000-0000-0000445C0000}"/>
    <cellStyle name="Note 2 2 20" xfId="15338" xr:uid="{00000000-0005-0000-0000-0000455C0000}"/>
    <cellStyle name="Note 2 2 20 2" xfId="22406" xr:uid="{00000000-0005-0000-0000-0000465C0000}"/>
    <cellStyle name="Note 2 2 21" xfId="15339" xr:uid="{00000000-0005-0000-0000-0000475C0000}"/>
    <cellStyle name="Note 2 2 21 2" xfId="22407" xr:uid="{00000000-0005-0000-0000-0000485C0000}"/>
    <cellStyle name="Note 2 2 22" xfId="15340" xr:uid="{00000000-0005-0000-0000-0000495C0000}"/>
    <cellStyle name="Note 2 2 22 2" xfId="22408" xr:uid="{00000000-0005-0000-0000-00004A5C0000}"/>
    <cellStyle name="Note 2 2 23" xfId="15341" xr:uid="{00000000-0005-0000-0000-00004B5C0000}"/>
    <cellStyle name="Note 2 2 23 2" xfId="22409" xr:uid="{00000000-0005-0000-0000-00004C5C0000}"/>
    <cellStyle name="Note 2 2 24" xfId="15342" xr:uid="{00000000-0005-0000-0000-00004D5C0000}"/>
    <cellStyle name="Note 2 2 24 2" xfId="22410" xr:uid="{00000000-0005-0000-0000-00004E5C0000}"/>
    <cellStyle name="Note 2 2 25" xfId="15343" xr:uid="{00000000-0005-0000-0000-00004F5C0000}"/>
    <cellStyle name="Note 2 2 25 2" xfId="22411" xr:uid="{00000000-0005-0000-0000-0000505C0000}"/>
    <cellStyle name="Note 2 2 26" xfId="15344" xr:uid="{00000000-0005-0000-0000-0000515C0000}"/>
    <cellStyle name="Note 2 2 26 2" xfId="22412" xr:uid="{00000000-0005-0000-0000-0000525C0000}"/>
    <cellStyle name="Note 2 2 27" xfId="15345" xr:uid="{00000000-0005-0000-0000-0000535C0000}"/>
    <cellStyle name="Note 2 2 27 2" xfId="22413" xr:uid="{00000000-0005-0000-0000-0000545C0000}"/>
    <cellStyle name="Note 2 2 28" xfId="15346" xr:uid="{00000000-0005-0000-0000-0000555C0000}"/>
    <cellStyle name="Note 2 2 28 2" xfId="22414" xr:uid="{00000000-0005-0000-0000-0000565C0000}"/>
    <cellStyle name="Note 2 2 29" xfId="15347" xr:uid="{00000000-0005-0000-0000-0000575C0000}"/>
    <cellStyle name="Note 2 2 29 2" xfId="22415" xr:uid="{00000000-0005-0000-0000-0000585C0000}"/>
    <cellStyle name="Note 2 2 3" xfId="15348" xr:uid="{00000000-0005-0000-0000-0000595C0000}"/>
    <cellStyle name="Note 2 2 3 2" xfId="22416" xr:uid="{00000000-0005-0000-0000-00005A5C0000}"/>
    <cellStyle name="Note 2 2 30" xfId="15349" xr:uid="{00000000-0005-0000-0000-00005B5C0000}"/>
    <cellStyle name="Note 2 2 30 2" xfId="22417" xr:uid="{00000000-0005-0000-0000-00005C5C0000}"/>
    <cellStyle name="Note 2 2 31" xfId="15350" xr:uid="{00000000-0005-0000-0000-00005D5C0000}"/>
    <cellStyle name="Note 2 2 31 2" xfId="22418" xr:uid="{00000000-0005-0000-0000-00005E5C0000}"/>
    <cellStyle name="Note 2 2 32" xfId="15351" xr:uid="{00000000-0005-0000-0000-00005F5C0000}"/>
    <cellStyle name="Note 2 2 32 2" xfId="22419" xr:uid="{00000000-0005-0000-0000-0000605C0000}"/>
    <cellStyle name="Note 2 2 33" xfId="15352" xr:uid="{00000000-0005-0000-0000-0000615C0000}"/>
    <cellStyle name="Note 2 2 33 2" xfId="22420" xr:uid="{00000000-0005-0000-0000-0000625C0000}"/>
    <cellStyle name="Note 2 2 34" xfId="15353" xr:uid="{00000000-0005-0000-0000-0000635C0000}"/>
    <cellStyle name="Note 2 2 34 2" xfId="22421" xr:uid="{00000000-0005-0000-0000-0000645C0000}"/>
    <cellStyle name="Note 2 2 35" xfId="15354" xr:uid="{00000000-0005-0000-0000-0000655C0000}"/>
    <cellStyle name="Note 2 2 35 2" xfId="22422" xr:uid="{00000000-0005-0000-0000-0000665C0000}"/>
    <cellStyle name="Note 2 2 36" xfId="15355" xr:uid="{00000000-0005-0000-0000-0000675C0000}"/>
    <cellStyle name="Note 2 2 36 2" xfId="22423" xr:uid="{00000000-0005-0000-0000-0000685C0000}"/>
    <cellStyle name="Note 2 2 37" xfId="15356" xr:uid="{00000000-0005-0000-0000-0000695C0000}"/>
    <cellStyle name="Note 2 2 37 2" xfId="22424" xr:uid="{00000000-0005-0000-0000-00006A5C0000}"/>
    <cellStyle name="Note 2 2 38" xfId="15357" xr:uid="{00000000-0005-0000-0000-00006B5C0000}"/>
    <cellStyle name="Note 2 2 38 2" xfId="22425" xr:uid="{00000000-0005-0000-0000-00006C5C0000}"/>
    <cellStyle name="Note 2 2 39" xfId="15358" xr:uid="{00000000-0005-0000-0000-00006D5C0000}"/>
    <cellStyle name="Note 2 2 39 2" xfId="22426" xr:uid="{00000000-0005-0000-0000-00006E5C0000}"/>
    <cellStyle name="Note 2 2 4" xfId="15359" xr:uid="{00000000-0005-0000-0000-00006F5C0000}"/>
    <cellStyle name="Note 2 2 4 2" xfId="22427" xr:uid="{00000000-0005-0000-0000-0000705C0000}"/>
    <cellStyle name="Note 2 2 40" xfId="15360" xr:uid="{00000000-0005-0000-0000-0000715C0000}"/>
    <cellStyle name="Note 2 2 40 2" xfId="22428" xr:uid="{00000000-0005-0000-0000-0000725C0000}"/>
    <cellStyle name="Note 2 2 41" xfId="15361" xr:uid="{00000000-0005-0000-0000-0000735C0000}"/>
    <cellStyle name="Note 2 2 41 2" xfId="22429" xr:uid="{00000000-0005-0000-0000-0000745C0000}"/>
    <cellStyle name="Note 2 2 42" xfId="15362" xr:uid="{00000000-0005-0000-0000-0000755C0000}"/>
    <cellStyle name="Note 2 2 42 2" xfId="22430" xr:uid="{00000000-0005-0000-0000-0000765C0000}"/>
    <cellStyle name="Note 2 2 43" xfId="22394" xr:uid="{00000000-0005-0000-0000-0000775C0000}"/>
    <cellStyle name="Note 2 2 5" xfId="15363" xr:uid="{00000000-0005-0000-0000-0000785C0000}"/>
    <cellStyle name="Note 2 2 5 2" xfId="22431" xr:uid="{00000000-0005-0000-0000-0000795C0000}"/>
    <cellStyle name="Note 2 2 6" xfId="15364" xr:uid="{00000000-0005-0000-0000-00007A5C0000}"/>
    <cellStyle name="Note 2 2 6 2" xfId="22432" xr:uid="{00000000-0005-0000-0000-00007B5C0000}"/>
    <cellStyle name="Note 2 2 7" xfId="15365" xr:uid="{00000000-0005-0000-0000-00007C5C0000}"/>
    <cellStyle name="Note 2 2 7 2" xfId="22433" xr:uid="{00000000-0005-0000-0000-00007D5C0000}"/>
    <cellStyle name="Note 2 2 8" xfId="15366" xr:uid="{00000000-0005-0000-0000-00007E5C0000}"/>
    <cellStyle name="Note 2 2 8 2" xfId="22434" xr:uid="{00000000-0005-0000-0000-00007F5C0000}"/>
    <cellStyle name="Note 2 2 9" xfId="15367" xr:uid="{00000000-0005-0000-0000-0000805C0000}"/>
    <cellStyle name="Note 2 2 9 2" xfId="22435" xr:uid="{00000000-0005-0000-0000-0000815C0000}"/>
    <cellStyle name="Note 2 2_DATA Input" xfId="15368" xr:uid="{00000000-0005-0000-0000-0000825C0000}"/>
    <cellStyle name="Note 2 20" xfId="15369" xr:uid="{00000000-0005-0000-0000-0000835C0000}"/>
    <cellStyle name="Note 2 20 2" xfId="22436" xr:uid="{00000000-0005-0000-0000-0000845C0000}"/>
    <cellStyle name="Note 2 21" xfId="15370" xr:uid="{00000000-0005-0000-0000-0000855C0000}"/>
    <cellStyle name="Note 2 21 2" xfId="22437" xr:uid="{00000000-0005-0000-0000-0000865C0000}"/>
    <cellStyle name="Note 2 22" xfId="15371" xr:uid="{00000000-0005-0000-0000-0000875C0000}"/>
    <cellStyle name="Note 2 22 2" xfId="22438" xr:uid="{00000000-0005-0000-0000-0000885C0000}"/>
    <cellStyle name="Note 2 23" xfId="15372" xr:uid="{00000000-0005-0000-0000-0000895C0000}"/>
    <cellStyle name="Note 2 23 2" xfId="22439" xr:uid="{00000000-0005-0000-0000-00008A5C0000}"/>
    <cellStyle name="Note 2 24" xfId="15373" xr:uid="{00000000-0005-0000-0000-00008B5C0000}"/>
    <cellStyle name="Note 2 24 2" xfId="22440" xr:uid="{00000000-0005-0000-0000-00008C5C0000}"/>
    <cellStyle name="Note 2 25" xfId="15374" xr:uid="{00000000-0005-0000-0000-00008D5C0000}"/>
    <cellStyle name="Note 2 25 2" xfId="22441" xr:uid="{00000000-0005-0000-0000-00008E5C0000}"/>
    <cellStyle name="Note 2 26" xfId="15375" xr:uid="{00000000-0005-0000-0000-00008F5C0000}"/>
    <cellStyle name="Note 2 26 2" xfId="22442" xr:uid="{00000000-0005-0000-0000-0000905C0000}"/>
    <cellStyle name="Note 2 27" xfId="15376" xr:uid="{00000000-0005-0000-0000-0000915C0000}"/>
    <cellStyle name="Note 2 27 2" xfId="22443" xr:uid="{00000000-0005-0000-0000-0000925C0000}"/>
    <cellStyle name="Note 2 28" xfId="15377" xr:uid="{00000000-0005-0000-0000-0000935C0000}"/>
    <cellStyle name="Note 2 28 2" xfId="22444" xr:uid="{00000000-0005-0000-0000-0000945C0000}"/>
    <cellStyle name="Note 2 29" xfId="15378" xr:uid="{00000000-0005-0000-0000-0000955C0000}"/>
    <cellStyle name="Note 2 29 2" xfId="22445" xr:uid="{00000000-0005-0000-0000-0000965C0000}"/>
    <cellStyle name="Note 2 3" xfId="15379" xr:uid="{00000000-0005-0000-0000-0000975C0000}"/>
    <cellStyle name="Note 2 3 2" xfId="22446" xr:uid="{00000000-0005-0000-0000-0000985C0000}"/>
    <cellStyle name="Note 2 30" xfId="15380" xr:uid="{00000000-0005-0000-0000-0000995C0000}"/>
    <cellStyle name="Note 2 30 2" xfId="22447" xr:uid="{00000000-0005-0000-0000-00009A5C0000}"/>
    <cellStyle name="Note 2 31" xfId="15381" xr:uid="{00000000-0005-0000-0000-00009B5C0000}"/>
    <cellStyle name="Note 2 31 2" xfId="22448" xr:uid="{00000000-0005-0000-0000-00009C5C0000}"/>
    <cellStyle name="Note 2 32" xfId="15382" xr:uid="{00000000-0005-0000-0000-00009D5C0000}"/>
    <cellStyle name="Note 2 32 2" xfId="22449" xr:uid="{00000000-0005-0000-0000-00009E5C0000}"/>
    <cellStyle name="Note 2 33" xfId="15383" xr:uid="{00000000-0005-0000-0000-00009F5C0000}"/>
    <cellStyle name="Note 2 33 2" xfId="22450" xr:uid="{00000000-0005-0000-0000-0000A05C0000}"/>
    <cellStyle name="Note 2 34" xfId="15384" xr:uid="{00000000-0005-0000-0000-0000A15C0000}"/>
    <cellStyle name="Note 2 34 2" xfId="22451" xr:uid="{00000000-0005-0000-0000-0000A25C0000}"/>
    <cellStyle name="Note 2 35" xfId="15385" xr:uid="{00000000-0005-0000-0000-0000A35C0000}"/>
    <cellStyle name="Note 2 35 2" xfId="22452" xr:uid="{00000000-0005-0000-0000-0000A45C0000}"/>
    <cellStyle name="Note 2 36" xfId="15386" xr:uid="{00000000-0005-0000-0000-0000A55C0000}"/>
    <cellStyle name="Note 2 36 2" xfId="22453" xr:uid="{00000000-0005-0000-0000-0000A65C0000}"/>
    <cellStyle name="Note 2 37" xfId="15387" xr:uid="{00000000-0005-0000-0000-0000A75C0000}"/>
    <cellStyle name="Note 2 37 2" xfId="22454" xr:uid="{00000000-0005-0000-0000-0000A85C0000}"/>
    <cellStyle name="Note 2 38" xfId="15388" xr:uid="{00000000-0005-0000-0000-0000A95C0000}"/>
    <cellStyle name="Note 2 38 2" xfId="22455" xr:uid="{00000000-0005-0000-0000-0000AA5C0000}"/>
    <cellStyle name="Note 2 39" xfId="15389" xr:uid="{00000000-0005-0000-0000-0000AB5C0000}"/>
    <cellStyle name="Note 2 39 2" xfId="22456" xr:uid="{00000000-0005-0000-0000-0000AC5C0000}"/>
    <cellStyle name="Note 2 4" xfId="15390" xr:uid="{00000000-0005-0000-0000-0000AD5C0000}"/>
    <cellStyle name="Note 2 4 2" xfId="22457" xr:uid="{00000000-0005-0000-0000-0000AE5C0000}"/>
    <cellStyle name="Note 2 40" xfId="15391" xr:uid="{00000000-0005-0000-0000-0000AF5C0000}"/>
    <cellStyle name="Note 2 40 2" xfId="22458" xr:uid="{00000000-0005-0000-0000-0000B05C0000}"/>
    <cellStyle name="Note 2 41" xfId="15392" xr:uid="{00000000-0005-0000-0000-0000B15C0000}"/>
    <cellStyle name="Note 2 41 2" xfId="22459" xr:uid="{00000000-0005-0000-0000-0000B25C0000}"/>
    <cellStyle name="Note 2 42" xfId="15393" xr:uid="{00000000-0005-0000-0000-0000B35C0000}"/>
    <cellStyle name="Note 2 42 2" xfId="22460" xr:uid="{00000000-0005-0000-0000-0000B45C0000}"/>
    <cellStyle name="Note 2 43" xfId="15394" xr:uid="{00000000-0005-0000-0000-0000B55C0000}"/>
    <cellStyle name="Note 2 43 2" xfId="22461" xr:uid="{00000000-0005-0000-0000-0000B65C0000}"/>
    <cellStyle name="Note 2 44" xfId="15395" xr:uid="{00000000-0005-0000-0000-0000B75C0000}"/>
    <cellStyle name="Note 2 44 2" xfId="22462" xr:uid="{00000000-0005-0000-0000-0000B85C0000}"/>
    <cellStyle name="Note 2 5" xfId="15396" xr:uid="{00000000-0005-0000-0000-0000B95C0000}"/>
    <cellStyle name="Note 2 5 2" xfId="22463" xr:uid="{00000000-0005-0000-0000-0000BA5C0000}"/>
    <cellStyle name="Note 2 6" xfId="15397" xr:uid="{00000000-0005-0000-0000-0000BB5C0000}"/>
    <cellStyle name="Note 2 6 2" xfId="22464" xr:uid="{00000000-0005-0000-0000-0000BC5C0000}"/>
    <cellStyle name="Note 2 7" xfId="15398" xr:uid="{00000000-0005-0000-0000-0000BD5C0000}"/>
    <cellStyle name="Note 2 7 2" xfId="22465" xr:uid="{00000000-0005-0000-0000-0000BE5C0000}"/>
    <cellStyle name="Note 2 8" xfId="15399" xr:uid="{00000000-0005-0000-0000-0000BF5C0000}"/>
    <cellStyle name="Note 2 8 2" xfId="22466" xr:uid="{00000000-0005-0000-0000-0000C05C0000}"/>
    <cellStyle name="Note 2 9" xfId="15400" xr:uid="{00000000-0005-0000-0000-0000C15C0000}"/>
    <cellStyle name="Note 2 9 2" xfId="22467" xr:uid="{00000000-0005-0000-0000-0000C25C0000}"/>
    <cellStyle name="Note 2_DATA Input" xfId="15401" xr:uid="{00000000-0005-0000-0000-0000C35C0000}"/>
    <cellStyle name="Note 3" xfId="22734" xr:uid="{00000000-0005-0000-0000-0000C45C0000}"/>
    <cellStyle name="Note 4" xfId="22735" xr:uid="{00000000-0005-0000-0000-0000C55C0000}"/>
    <cellStyle name="nromal" xfId="15402" xr:uid="{00000000-0005-0000-0000-0000C65C0000}"/>
    <cellStyle name="Number" xfId="15403" xr:uid="{00000000-0005-0000-0000-0000C75C0000}"/>
    <cellStyle name="Number (0)" xfId="15404" xr:uid="{00000000-0005-0000-0000-0000C85C0000}"/>
    <cellStyle name="Number 10" xfId="15405" xr:uid="{00000000-0005-0000-0000-0000C95C0000}"/>
    <cellStyle name="Number 11" xfId="15406" xr:uid="{00000000-0005-0000-0000-0000CA5C0000}"/>
    <cellStyle name="Number 12" xfId="15407" xr:uid="{00000000-0005-0000-0000-0000CB5C0000}"/>
    <cellStyle name="Number 13" xfId="15408" xr:uid="{00000000-0005-0000-0000-0000CC5C0000}"/>
    <cellStyle name="Number 14" xfId="15409" xr:uid="{00000000-0005-0000-0000-0000CD5C0000}"/>
    <cellStyle name="Number 15" xfId="15410" xr:uid="{00000000-0005-0000-0000-0000CE5C0000}"/>
    <cellStyle name="Number 16" xfId="15411" xr:uid="{00000000-0005-0000-0000-0000CF5C0000}"/>
    <cellStyle name="Number 17" xfId="15412" xr:uid="{00000000-0005-0000-0000-0000D05C0000}"/>
    <cellStyle name="Number 18" xfId="15413" xr:uid="{00000000-0005-0000-0000-0000D15C0000}"/>
    <cellStyle name="Number 19" xfId="15414" xr:uid="{00000000-0005-0000-0000-0000D25C0000}"/>
    <cellStyle name="Number 2" xfId="15415" xr:uid="{00000000-0005-0000-0000-0000D35C0000}"/>
    <cellStyle name="Number 20" xfId="15416" xr:uid="{00000000-0005-0000-0000-0000D45C0000}"/>
    <cellStyle name="Number 21" xfId="15417" xr:uid="{00000000-0005-0000-0000-0000D55C0000}"/>
    <cellStyle name="Number 22" xfId="15418" xr:uid="{00000000-0005-0000-0000-0000D65C0000}"/>
    <cellStyle name="Number 23" xfId="15419" xr:uid="{00000000-0005-0000-0000-0000D75C0000}"/>
    <cellStyle name="Number 24" xfId="15420" xr:uid="{00000000-0005-0000-0000-0000D85C0000}"/>
    <cellStyle name="Number 25" xfId="15421" xr:uid="{00000000-0005-0000-0000-0000D95C0000}"/>
    <cellStyle name="Number 26" xfId="15422" xr:uid="{00000000-0005-0000-0000-0000DA5C0000}"/>
    <cellStyle name="Number 27" xfId="15423" xr:uid="{00000000-0005-0000-0000-0000DB5C0000}"/>
    <cellStyle name="Number 28" xfId="15424" xr:uid="{00000000-0005-0000-0000-0000DC5C0000}"/>
    <cellStyle name="Number 29" xfId="15425" xr:uid="{00000000-0005-0000-0000-0000DD5C0000}"/>
    <cellStyle name="Number 3" xfId="15426" xr:uid="{00000000-0005-0000-0000-0000DE5C0000}"/>
    <cellStyle name="Number 30" xfId="15427" xr:uid="{00000000-0005-0000-0000-0000DF5C0000}"/>
    <cellStyle name="Number 31" xfId="15428" xr:uid="{00000000-0005-0000-0000-0000E05C0000}"/>
    <cellStyle name="Number 32" xfId="15429" xr:uid="{00000000-0005-0000-0000-0000E15C0000}"/>
    <cellStyle name="Number 33" xfId="15430" xr:uid="{00000000-0005-0000-0000-0000E25C0000}"/>
    <cellStyle name="Number 34" xfId="15431" xr:uid="{00000000-0005-0000-0000-0000E35C0000}"/>
    <cellStyle name="Number 35" xfId="15432" xr:uid="{00000000-0005-0000-0000-0000E45C0000}"/>
    <cellStyle name="Number 36" xfId="15433" xr:uid="{00000000-0005-0000-0000-0000E55C0000}"/>
    <cellStyle name="Number 37" xfId="15434" xr:uid="{00000000-0005-0000-0000-0000E65C0000}"/>
    <cellStyle name="Number 38" xfId="15435" xr:uid="{00000000-0005-0000-0000-0000E75C0000}"/>
    <cellStyle name="Number 39" xfId="15436" xr:uid="{00000000-0005-0000-0000-0000E85C0000}"/>
    <cellStyle name="Number 4" xfId="15437" xr:uid="{00000000-0005-0000-0000-0000E95C0000}"/>
    <cellStyle name="Number 40" xfId="15438" xr:uid="{00000000-0005-0000-0000-0000EA5C0000}"/>
    <cellStyle name="Number 41" xfId="15439" xr:uid="{00000000-0005-0000-0000-0000EB5C0000}"/>
    <cellStyle name="Number 42" xfId="15440" xr:uid="{00000000-0005-0000-0000-0000EC5C0000}"/>
    <cellStyle name="Number 5" xfId="15441" xr:uid="{00000000-0005-0000-0000-0000ED5C0000}"/>
    <cellStyle name="Number 6" xfId="15442" xr:uid="{00000000-0005-0000-0000-0000EE5C0000}"/>
    <cellStyle name="Number 7" xfId="15443" xr:uid="{00000000-0005-0000-0000-0000EF5C0000}"/>
    <cellStyle name="Number 8" xfId="15444" xr:uid="{00000000-0005-0000-0000-0000F05C0000}"/>
    <cellStyle name="Number 9" xfId="15445" xr:uid="{00000000-0005-0000-0000-0000F15C0000}"/>
    <cellStyle name="Number.0" xfId="15446" xr:uid="{00000000-0005-0000-0000-0000F25C0000}"/>
    <cellStyle name="Number.00" xfId="15447" xr:uid="{00000000-0005-0000-0000-0000F35C0000}"/>
    <cellStyle name="Number_Appendix" xfId="15448" xr:uid="{00000000-0005-0000-0000-0000F45C0000}"/>
    <cellStyle name="Numbers" xfId="15449" xr:uid="{00000000-0005-0000-0000-0000F55C0000}"/>
    <cellStyle name="OddBodyShade" xfId="15450" xr:uid="{00000000-0005-0000-0000-0000F65C0000}"/>
    <cellStyle name="Œ…‹æØ‚è [0.00]_GE 3 MINIMUM" xfId="15451" xr:uid="{00000000-0005-0000-0000-0000F75C0000}"/>
    <cellStyle name="Œ…‹æØ‚è_GE 3 MINIMUM" xfId="15452" xr:uid="{00000000-0005-0000-0000-0000F85C0000}"/>
    <cellStyle name="of" xfId="15453" xr:uid="{00000000-0005-0000-0000-0000F95C0000}"/>
    <cellStyle name="of 2" xfId="15454" xr:uid="{00000000-0005-0000-0000-0000FA5C0000}"/>
    <cellStyle name="of 2 2" xfId="22469" xr:uid="{00000000-0005-0000-0000-0000FB5C0000}"/>
    <cellStyle name="of 3" xfId="15455" xr:uid="{00000000-0005-0000-0000-0000FC5C0000}"/>
    <cellStyle name="of 3 2" xfId="22470" xr:uid="{00000000-0005-0000-0000-0000FD5C0000}"/>
    <cellStyle name="of 4" xfId="22468" xr:uid="{00000000-0005-0000-0000-0000FE5C0000}"/>
    <cellStyle name="OnOff" xfId="15456" xr:uid="{00000000-0005-0000-0000-0000FF5C0000}"/>
    <cellStyle name="OnOff 2" xfId="15457" xr:uid="{00000000-0005-0000-0000-0000005D0000}"/>
    <cellStyle name="OnOff 2 2" xfId="22472" xr:uid="{00000000-0005-0000-0000-0000015D0000}"/>
    <cellStyle name="OnOff 3" xfId="15458" xr:uid="{00000000-0005-0000-0000-0000025D0000}"/>
    <cellStyle name="OnOff 3 2" xfId="22473" xr:uid="{00000000-0005-0000-0000-0000035D0000}"/>
    <cellStyle name="OnOff 4" xfId="22471" xr:uid="{00000000-0005-0000-0000-0000045D0000}"/>
    <cellStyle name="outh America" xfId="15459" xr:uid="{00000000-0005-0000-0000-0000055D0000}"/>
    <cellStyle name="Output 2" xfId="430" xr:uid="{00000000-0005-0000-0000-0000065D0000}"/>
    <cellStyle name="Output 2 10" xfId="15460" xr:uid="{00000000-0005-0000-0000-0000075D0000}"/>
    <cellStyle name="Output 2 11" xfId="15461" xr:uid="{00000000-0005-0000-0000-0000085D0000}"/>
    <cellStyle name="Output 2 12" xfId="15462" xr:uid="{00000000-0005-0000-0000-0000095D0000}"/>
    <cellStyle name="Output 2 13" xfId="15463" xr:uid="{00000000-0005-0000-0000-00000A5D0000}"/>
    <cellStyle name="Output 2 14" xfId="15464" xr:uid="{00000000-0005-0000-0000-00000B5D0000}"/>
    <cellStyle name="Output 2 15" xfId="15465" xr:uid="{00000000-0005-0000-0000-00000C5D0000}"/>
    <cellStyle name="Output 2 16" xfId="15466" xr:uid="{00000000-0005-0000-0000-00000D5D0000}"/>
    <cellStyle name="Output 2 17" xfId="15467" xr:uid="{00000000-0005-0000-0000-00000E5D0000}"/>
    <cellStyle name="Output 2 18" xfId="15468" xr:uid="{00000000-0005-0000-0000-00000F5D0000}"/>
    <cellStyle name="Output 2 19" xfId="15469" xr:uid="{00000000-0005-0000-0000-0000105D0000}"/>
    <cellStyle name="Output 2 2" xfId="15470" xr:uid="{00000000-0005-0000-0000-0000115D0000}"/>
    <cellStyle name="Output 2 20" xfId="15471" xr:uid="{00000000-0005-0000-0000-0000125D0000}"/>
    <cellStyle name="Output 2 21" xfId="15472" xr:uid="{00000000-0005-0000-0000-0000135D0000}"/>
    <cellStyle name="Output 2 22" xfId="15473" xr:uid="{00000000-0005-0000-0000-0000145D0000}"/>
    <cellStyle name="Output 2 23" xfId="15474" xr:uid="{00000000-0005-0000-0000-0000155D0000}"/>
    <cellStyle name="Output 2 24" xfId="15475" xr:uid="{00000000-0005-0000-0000-0000165D0000}"/>
    <cellStyle name="Output 2 25" xfId="15476" xr:uid="{00000000-0005-0000-0000-0000175D0000}"/>
    <cellStyle name="Output 2 26" xfId="15477" xr:uid="{00000000-0005-0000-0000-0000185D0000}"/>
    <cellStyle name="Output 2 27" xfId="15478" xr:uid="{00000000-0005-0000-0000-0000195D0000}"/>
    <cellStyle name="Output 2 28" xfId="15479" xr:uid="{00000000-0005-0000-0000-00001A5D0000}"/>
    <cellStyle name="Output 2 29" xfId="15480" xr:uid="{00000000-0005-0000-0000-00001B5D0000}"/>
    <cellStyle name="Output 2 3" xfId="15481" xr:uid="{00000000-0005-0000-0000-00001C5D0000}"/>
    <cellStyle name="Output 2 30" xfId="15482" xr:uid="{00000000-0005-0000-0000-00001D5D0000}"/>
    <cellStyle name="Output 2 31" xfId="15483" xr:uid="{00000000-0005-0000-0000-00001E5D0000}"/>
    <cellStyle name="Output 2 32" xfId="15484" xr:uid="{00000000-0005-0000-0000-00001F5D0000}"/>
    <cellStyle name="Output 2 33" xfId="15485" xr:uid="{00000000-0005-0000-0000-0000205D0000}"/>
    <cellStyle name="Output 2 34" xfId="15486" xr:uid="{00000000-0005-0000-0000-0000215D0000}"/>
    <cellStyle name="Output 2 35" xfId="15487" xr:uid="{00000000-0005-0000-0000-0000225D0000}"/>
    <cellStyle name="Output 2 36" xfId="15488" xr:uid="{00000000-0005-0000-0000-0000235D0000}"/>
    <cellStyle name="Output 2 37" xfId="15489" xr:uid="{00000000-0005-0000-0000-0000245D0000}"/>
    <cellStyle name="Output 2 38" xfId="15490" xr:uid="{00000000-0005-0000-0000-0000255D0000}"/>
    <cellStyle name="Output 2 39" xfId="15491" xr:uid="{00000000-0005-0000-0000-0000265D0000}"/>
    <cellStyle name="Output 2 4" xfId="15492" xr:uid="{00000000-0005-0000-0000-0000275D0000}"/>
    <cellStyle name="Output 2 40" xfId="15493" xr:uid="{00000000-0005-0000-0000-0000285D0000}"/>
    <cellStyle name="Output 2 41" xfId="15494" xr:uid="{00000000-0005-0000-0000-0000295D0000}"/>
    <cellStyle name="Output 2 42" xfId="15495" xr:uid="{00000000-0005-0000-0000-00002A5D0000}"/>
    <cellStyle name="Output 2 5" xfId="15496" xr:uid="{00000000-0005-0000-0000-00002B5D0000}"/>
    <cellStyle name="Output 2 6" xfId="15497" xr:uid="{00000000-0005-0000-0000-00002C5D0000}"/>
    <cellStyle name="Output 2 7" xfId="15498" xr:uid="{00000000-0005-0000-0000-00002D5D0000}"/>
    <cellStyle name="Output 2 8" xfId="15499" xr:uid="{00000000-0005-0000-0000-00002E5D0000}"/>
    <cellStyle name="Output 2 9" xfId="15500" xr:uid="{00000000-0005-0000-0000-00002F5D0000}"/>
    <cellStyle name="Output 2_DATA Input" xfId="15501" xr:uid="{00000000-0005-0000-0000-0000305D0000}"/>
    <cellStyle name="Output1_Back" xfId="15502" xr:uid="{00000000-0005-0000-0000-0000315D0000}"/>
    <cellStyle name="Override" xfId="15503" xr:uid="{00000000-0005-0000-0000-0000325D0000}"/>
    <cellStyle name="p" xfId="15504" xr:uid="{00000000-0005-0000-0000-0000335D0000}"/>
    <cellStyle name="p " xfId="15505" xr:uid="{00000000-0005-0000-0000-0000345D0000}"/>
    <cellStyle name="p." xfId="15506" xr:uid="{00000000-0005-0000-0000-0000355D0000}"/>
    <cellStyle name="p_DATA Input" xfId="15507" xr:uid="{00000000-0005-0000-0000-0000365D0000}"/>
    <cellStyle name="p_DCF" xfId="15508" xr:uid="{00000000-0005-0000-0000-0000375D0000}"/>
    <cellStyle name="p_DCF_DATA Input" xfId="15509" xr:uid="{00000000-0005-0000-0000-0000385D0000}"/>
    <cellStyle name="p_GI.N" xfId="15510" xr:uid="{00000000-0005-0000-0000-0000395D0000}"/>
    <cellStyle name="p_GI.N_DATA Input" xfId="15511" xr:uid="{00000000-0005-0000-0000-00003A5D0000}"/>
    <cellStyle name="Page Heading" xfId="15512" xr:uid="{00000000-0005-0000-0000-00003B5D0000}"/>
    <cellStyle name="Page Number" xfId="15513" xr:uid="{00000000-0005-0000-0000-00003C5D0000}"/>
    <cellStyle name="Pass" xfId="15514" xr:uid="{00000000-0005-0000-0000-00003D5D0000}"/>
    <cellStyle name="PB Table Heading" xfId="15515" xr:uid="{00000000-0005-0000-0000-00003E5D0000}"/>
    <cellStyle name="PB Table Heading 2" xfId="15516" xr:uid="{00000000-0005-0000-0000-00003F5D0000}"/>
    <cellStyle name="PB Table Highlight1" xfId="15517" xr:uid="{00000000-0005-0000-0000-0000405D0000}"/>
    <cellStyle name="PB Table Highlight2" xfId="15518" xr:uid="{00000000-0005-0000-0000-0000415D0000}"/>
    <cellStyle name="PB Table Highlight2 2" xfId="22474" xr:uid="{00000000-0005-0000-0000-0000425D0000}"/>
    <cellStyle name="PB Table Highlight3" xfId="15519" xr:uid="{00000000-0005-0000-0000-0000435D0000}"/>
    <cellStyle name="PB Table Highlight3 2" xfId="22475" xr:uid="{00000000-0005-0000-0000-0000445D0000}"/>
    <cellStyle name="PB Table Standard Row" xfId="15520" xr:uid="{00000000-0005-0000-0000-0000455D0000}"/>
    <cellStyle name="PB Table Standard Row 2" xfId="15521" xr:uid="{00000000-0005-0000-0000-0000465D0000}"/>
    <cellStyle name="PB Table Subtotal Row" xfId="15522" xr:uid="{00000000-0005-0000-0000-0000475D0000}"/>
    <cellStyle name="PB Table Subtotal Row 2" xfId="15523" xr:uid="{00000000-0005-0000-0000-0000485D0000}"/>
    <cellStyle name="PB Table Total Row" xfId="15524" xr:uid="{00000000-0005-0000-0000-0000495D0000}"/>
    <cellStyle name="pb_table_format_columnheading" xfId="15525" xr:uid="{00000000-0005-0000-0000-00004A5D0000}"/>
    <cellStyle name="pe" xfId="15526" xr:uid="{00000000-0005-0000-0000-00004B5D0000}"/>
    <cellStyle name="per" xfId="15527" xr:uid="{00000000-0005-0000-0000-00004C5D0000}"/>
    <cellStyle name="per m2" xfId="22736" xr:uid="{00000000-0005-0000-0000-00004D5D0000}"/>
    <cellStyle name="per.style" xfId="431" xr:uid="{00000000-0005-0000-0000-00004E5D0000}"/>
    <cellStyle name="Percent" xfId="22690" builtinId="5"/>
    <cellStyle name="Percent (0)" xfId="432" xr:uid="{00000000-0005-0000-0000-0000505D0000}"/>
    <cellStyle name="Percent (0.0%)" xfId="15528" xr:uid="{00000000-0005-0000-0000-0000515D0000}"/>
    <cellStyle name="Percent (0.0%) 10" xfId="15529" xr:uid="{00000000-0005-0000-0000-0000525D0000}"/>
    <cellStyle name="Percent (0.0%) 11" xfId="15530" xr:uid="{00000000-0005-0000-0000-0000535D0000}"/>
    <cellStyle name="Percent (0.0%) 12" xfId="15531" xr:uid="{00000000-0005-0000-0000-0000545D0000}"/>
    <cellStyle name="Percent (0.0%) 13" xfId="15532" xr:uid="{00000000-0005-0000-0000-0000555D0000}"/>
    <cellStyle name="Percent (0.0%) 14" xfId="15533" xr:uid="{00000000-0005-0000-0000-0000565D0000}"/>
    <cellStyle name="Percent (0.0%) 15" xfId="15534" xr:uid="{00000000-0005-0000-0000-0000575D0000}"/>
    <cellStyle name="Percent (0.0%) 16" xfId="15535" xr:uid="{00000000-0005-0000-0000-0000585D0000}"/>
    <cellStyle name="Percent (0.0%) 17" xfId="15536" xr:uid="{00000000-0005-0000-0000-0000595D0000}"/>
    <cellStyle name="Percent (0.0%) 18" xfId="15537" xr:uid="{00000000-0005-0000-0000-00005A5D0000}"/>
    <cellStyle name="Percent (0.0%) 19" xfId="15538" xr:uid="{00000000-0005-0000-0000-00005B5D0000}"/>
    <cellStyle name="Percent (0.0%) 2" xfId="15539" xr:uid="{00000000-0005-0000-0000-00005C5D0000}"/>
    <cellStyle name="Percent (0.0%) 20" xfId="15540" xr:uid="{00000000-0005-0000-0000-00005D5D0000}"/>
    <cellStyle name="Percent (0.0%) 21" xfId="15541" xr:uid="{00000000-0005-0000-0000-00005E5D0000}"/>
    <cellStyle name="Percent (0.0%) 22" xfId="15542" xr:uid="{00000000-0005-0000-0000-00005F5D0000}"/>
    <cellStyle name="Percent (0.0%) 23" xfId="15543" xr:uid="{00000000-0005-0000-0000-0000605D0000}"/>
    <cellStyle name="Percent (0.0%) 24" xfId="15544" xr:uid="{00000000-0005-0000-0000-0000615D0000}"/>
    <cellStyle name="Percent (0.0%) 25" xfId="15545" xr:uid="{00000000-0005-0000-0000-0000625D0000}"/>
    <cellStyle name="Percent (0.0%) 26" xfId="15546" xr:uid="{00000000-0005-0000-0000-0000635D0000}"/>
    <cellStyle name="Percent (0.0%) 27" xfId="15547" xr:uid="{00000000-0005-0000-0000-0000645D0000}"/>
    <cellStyle name="Percent (0.0%) 28" xfId="15548" xr:uid="{00000000-0005-0000-0000-0000655D0000}"/>
    <cellStyle name="Percent (0.0%) 29" xfId="15549" xr:uid="{00000000-0005-0000-0000-0000665D0000}"/>
    <cellStyle name="Percent (0.0%) 3" xfId="15550" xr:uid="{00000000-0005-0000-0000-0000675D0000}"/>
    <cellStyle name="Percent (0.0%) 30" xfId="15551" xr:uid="{00000000-0005-0000-0000-0000685D0000}"/>
    <cellStyle name="Percent (0.0%) 31" xfId="15552" xr:uid="{00000000-0005-0000-0000-0000695D0000}"/>
    <cellStyle name="Percent (0.0%) 32" xfId="15553" xr:uid="{00000000-0005-0000-0000-00006A5D0000}"/>
    <cellStyle name="Percent (0.0%) 33" xfId="15554" xr:uid="{00000000-0005-0000-0000-00006B5D0000}"/>
    <cellStyle name="Percent (0.0%) 34" xfId="15555" xr:uid="{00000000-0005-0000-0000-00006C5D0000}"/>
    <cellStyle name="Percent (0.0%) 35" xfId="15556" xr:uid="{00000000-0005-0000-0000-00006D5D0000}"/>
    <cellStyle name="Percent (0.0%) 36" xfId="15557" xr:uid="{00000000-0005-0000-0000-00006E5D0000}"/>
    <cellStyle name="Percent (0.0%) 37" xfId="15558" xr:uid="{00000000-0005-0000-0000-00006F5D0000}"/>
    <cellStyle name="Percent (0.0%) 38" xfId="15559" xr:uid="{00000000-0005-0000-0000-0000705D0000}"/>
    <cellStyle name="Percent (0.0%) 39" xfId="15560" xr:uid="{00000000-0005-0000-0000-0000715D0000}"/>
    <cellStyle name="Percent (0.0%) 4" xfId="15561" xr:uid="{00000000-0005-0000-0000-0000725D0000}"/>
    <cellStyle name="Percent (0.0%) 40" xfId="15562" xr:uid="{00000000-0005-0000-0000-0000735D0000}"/>
    <cellStyle name="Percent (0.0%) 41" xfId="15563" xr:uid="{00000000-0005-0000-0000-0000745D0000}"/>
    <cellStyle name="Percent (0.0%) 42" xfId="15564" xr:uid="{00000000-0005-0000-0000-0000755D0000}"/>
    <cellStyle name="Percent (0.0%) 43" xfId="15565" xr:uid="{00000000-0005-0000-0000-0000765D0000}"/>
    <cellStyle name="Percent (0.0%) 5" xfId="15566" xr:uid="{00000000-0005-0000-0000-0000775D0000}"/>
    <cellStyle name="Percent (0.0%) 6" xfId="15567" xr:uid="{00000000-0005-0000-0000-0000785D0000}"/>
    <cellStyle name="Percent (0.0%) 7" xfId="15568" xr:uid="{00000000-0005-0000-0000-0000795D0000}"/>
    <cellStyle name="Percent (0.0%) 8" xfId="15569" xr:uid="{00000000-0005-0000-0000-00007A5D0000}"/>
    <cellStyle name="Percent (0.0%) 9" xfId="15570" xr:uid="{00000000-0005-0000-0000-00007B5D0000}"/>
    <cellStyle name="Percent (0.0%)_DATA Input" xfId="15571" xr:uid="{00000000-0005-0000-0000-00007C5D0000}"/>
    <cellStyle name="Percent (1)" xfId="15572" xr:uid="{00000000-0005-0000-0000-00007D5D0000}"/>
    <cellStyle name="Percent (2)" xfId="15573" xr:uid="{00000000-0005-0000-0000-00007E5D0000}"/>
    <cellStyle name="Percent [0]" xfId="433" xr:uid="{00000000-0005-0000-0000-00007F5D0000}"/>
    <cellStyle name="Percent [00]" xfId="434" xr:uid="{00000000-0005-0000-0000-0000805D0000}"/>
    <cellStyle name="Percent [1]" xfId="15574" xr:uid="{00000000-0005-0000-0000-0000815D0000}"/>
    <cellStyle name="Percent [1] 2" xfId="15575" xr:uid="{00000000-0005-0000-0000-0000825D0000}"/>
    <cellStyle name="Percent [1]_DATA Input" xfId="15576" xr:uid="{00000000-0005-0000-0000-0000835D0000}"/>
    <cellStyle name="Percent [2]" xfId="435" xr:uid="{00000000-0005-0000-0000-0000845D0000}"/>
    <cellStyle name="Percent [2] 2" xfId="22737" xr:uid="{00000000-0005-0000-0000-0000855D0000}"/>
    <cellStyle name="Percent 1" xfId="15577" xr:uid="{00000000-0005-0000-0000-0000865D0000}"/>
    <cellStyle name="Percent 10" xfId="436" xr:uid="{00000000-0005-0000-0000-0000875D0000}"/>
    <cellStyle name="Percent 11" xfId="437" xr:uid="{00000000-0005-0000-0000-0000885D0000}"/>
    <cellStyle name="Percent 12" xfId="438" xr:uid="{00000000-0005-0000-0000-0000895D0000}"/>
    <cellStyle name="Percent 13" xfId="439" xr:uid="{00000000-0005-0000-0000-00008A5D0000}"/>
    <cellStyle name="Percent 14" xfId="440" xr:uid="{00000000-0005-0000-0000-00008B5D0000}"/>
    <cellStyle name="Percent 15" xfId="441" xr:uid="{00000000-0005-0000-0000-00008C5D0000}"/>
    <cellStyle name="Percent 16" xfId="442" xr:uid="{00000000-0005-0000-0000-00008D5D0000}"/>
    <cellStyle name="Percent 17" xfId="443" xr:uid="{00000000-0005-0000-0000-00008E5D0000}"/>
    <cellStyle name="Percent 18" xfId="444" xr:uid="{00000000-0005-0000-0000-00008F5D0000}"/>
    <cellStyle name="Percent 19" xfId="445" xr:uid="{00000000-0005-0000-0000-0000905D0000}"/>
    <cellStyle name="Percent 2" xfId="4" xr:uid="{00000000-0005-0000-0000-0000915D0000}"/>
    <cellStyle name="Percent 2 10" xfId="15578" xr:uid="{00000000-0005-0000-0000-0000925D0000}"/>
    <cellStyle name="Percent 2 10 2" xfId="15579" xr:uid="{00000000-0005-0000-0000-0000935D0000}"/>
    <cellStyle name="Percent 2 10_DATA Input" xfId="15580" xr:uid="{00000000-0005-0000-0000-0000945D0000}"/>
    <cellStyle name="Percent 2 11" xfId="15581" xr:uid="{00000000-0005-0000-0000-0000955D0000}"/>
    <cellStyle name="Percent 2 12" xfId="15582" xr:uid="{00000000-0005-0000-0000-0000965D0000}"/>
    <cellStyle name="Percent 2 13" xfId="15583" xr:uid="{00000000-0005-0000-0000-0000975D0000}"/>
    <cellStyle name="Percent 2 14" xfId="15584" xr:uid="{00000000-0005-0000-0000-0000985D0000}"/>
    <cellStyle name="Percent 2 15" xfId="15585" xr:uid="{00000000-0005-0000-0000-0000995D0000}"/>
    <cellStyle name="Percent 2 17" xfId="19395" xr:uid="{00000000-0005-0000-0000-00009B5D0000}"/>
    <cellStyle name="Percent 2 18" xfId="27910" xr:uid="{00000000-0005-0000-0000-00009C5D0000}"/>
    <cellStyle name="Percent 2 2" xfId="446" xr:uid="{00000000-0005-0000-0000-00009D5D0000}"/>
    <cellStyle name="Percent 2 2 2" xfId="15586" xr:uid="{00000000-0005-0000-0000-00009E5D0000}"/>
    <cellStyle name="Percent 2 2 3" xfId="15587" xr:uid="{00000000-0005-0000-0000-00009F5D0000}"/>
    <cellStyle name="Percent 2 2 4" xfId="15588" xr:uid="{00000000-0005-0000-0000-0000A05D0000}"/>
    <cellStyle name="Percent 2 2 5" xfId="15589" xr:uid="{00000000-0005-0000-0000-0000A15D0000}"/>
    <cellStyle name="Percent 2 2 6" xfId="15590" xr:uid="{00000000-0005-0000-0000-0000A25D0000}"/>
    <cellStyle name="Percent 2 2 7" xfId="15591" xr:uid="{00000000-0005-0000-0000-0000A35D0000}"/>
    <cellStyle name="Percent 2 2 8" xfId="15592" xr:uid="{00000000-0005-0000-0000-0000A45D0000}"/>
    <cellStyle name="Percent 2 2_DATA Input" xfId="15593" xr:uid="{00000000-0005-0000-0000-0000A55D0000}"/>
    <cellStyle name="Percent 2 3" xfId="447" xr:uid="{00000000-0005-0000-0000-0000A65D0000}"/>
    <cellStyle name="Percent 2 4" xfId="15594" xr:uid="{00000000-0005-0000-0000-0000A75D0000}"/>
    <cellStyle name="Percent 2 5" xfId="15595" xr:uid="{00000000-0005-0000-0000-0000A85D0000}"/>
    <cellStyle name="Percent 2 6" xfId="15596" xr:uid="{00000000-0005-0000-0000-0000A95D0000}"/>
    <cellStyle name="Percent 2 7" xfId="15597" xr:uid="{00000000-0005-0000-0000-0000AA5D0000}"/>
    <cellStyle name="Percent 2 8" xfId="15598" xr:uid="{00000000-0005-0000-0000-0000AB5D0000}"/>
    <cellStyle name="Percent 2 9" xfId="15599" xr:uid="{00000000-0005-0000-0000-0000AC5D0000}"/>
    <cellStyle name="percent 2 decimal" xfId="15600" xr:uid="{00000000-0005-0000-0000-0000AD5D0000}"/>
    <cellStyle name="Percent 2_DATA Input" xfId="15601" xr:uid="{00000000-0005-0000-0000-0000AE5D0000}"/>
    <cellStyle name="Percent 20" xfId="448" xr:uid="{00000000-0005-0000-0000-0000AF5D0000}"/>
    <cellStyle name="Percent 21" xfId="449" xr:uid="{00000000-0005-0000-0000-0000B05D0000}"/>
    <cellStyle name="Percent 22" xfId="450" xr:uid="{00000000-0005-0000-0000-0000B15D0000}"/>
    <cellStyle name="Percent 23" xfId="451" xr:uid="{00000000-0005-0000-0000-0000B25D0000}"/>
    <cellStyle name="Percent 24" xfId="452" xr:uid="{00000000-0005-0000-0000-0000B35D0000}"/>
    <cellStyle name="Percent 24 2" xfId="27917" xr:uid="{00000000-0005-0000-0000-0000B45D0000}"/>
    <cellStyle name="Percent 25" xfId="453" xr:uid="{00000000-0005-0000-0000-0000B55D0000}"/>
    <cellStyle name="Percent 26" xfId="454" xr:uid="{00000000-0005-0000-0000-0000B65D0000}"/>
    <cellStyle name="Percent 27" xfId="455" xr:uid="{00000000-0005-0000-0000-0000B75D0000}"/>
    <cellStyle name="Percent 28" xfId="19282" xr:uid="{00000000-0005-0000-0000-0000B85D0000}"/>
    <cellStyle name="Percent 28 2" xfId="22556" xr:uid="{00000000-0005-0000-0000-0000B95D0000}"/>
    <cellStyle name="Percent 29" xfId="19360" xr:uid="{00000000-0005-0000-0000-0000BA5D0000}"/>
    <cellStyle name="Percent 29 2" xfId="22630" xr:uid="{00000000-0005-0000-0000-0000BB5D0000}"/>
    <cellStyle name="Percent 3" xfId="456" xr:uid="{00000000-0005-0000-0000-0000BC5D0000}"/>
    <cellStyle name="Percent 3 2" xfId="15602" xr:uid="{00000000-0005-0000-0000-0000BD5D0000}"/>
    <cellStyle name="Percent 3_DATA Input" xfId="15603" xr:uid="{00000000-0005-0000-0000-0000BE5D0000}"/>
    <cellStyle name="Percent 30" xfId="22665" xr:uid="{00000000-0005-0000-0000-0000BF5D0000}"/>
    <cellStyle name="Percent 30 2" xfId="22673" xr:uid="{00000000-0005-0000-0000-0000C05D0000}"/>
    <cellStyle name="Percent 31" xfId="22670" xr:uid="{00000000-0005-0000-0000-0000C15D0000}"/>
    <cellStyle name="Percent 32" xfId="22693" xr:uid="{00000000-0005-0000-0000-0000C25D0000}"/>
    <cellStyle name="Percent 33" xfId="22753" xr:uid="{00000000-0005-0000-0000-0000C35D0000}"/>
    <cellStyle name="Percent 34" xfId="22767" xr:uid="{00000000-0005-0000-0000-0000C45D0000}"/>
    <cellStyle name="Percent 35" xfId="22769" xr:uid="{00000000-0005-0000-0000-0000C55D0000}"/>
    <cellStyle name="Percent 36" xfId="27887" xr:uid="{00000000-0005-0000-0000-0000C65D0000}"/>
    <cellStyle name="Percent 36 2" xfId="27960" xr:uid="{4878EB9F-C422-43A6-AACA-0D8FFCBFBE73}"/>
    <cellStyle name="Percent 37" xfId="27928" xr:uid="{861D4685-735A-4791-9838-61869A4613FF}"/>
    <cellStyle name="Percent 37 2" xfId="27951" xr:uid="{24631064-7378-4E78-89F1-A3DE77181860}"/>
    <cellStyle name="Percent 38" xfId="27945" xr:uid="{F260AC01-10F5-488A-993D-6341E6B0BF5D}"/>
    <cellStyle name="Percent 39" xfId="27964" xr:uid="{8A69C3D1-3456-45E5-8996-979C2972A383}"/>
    <cellStyle name="Percent 4" xfId="457" xr:uid="{00000000-0005-0000-0000-0000C75D0000}"/>
    <cellStyle name="Percent 4 2" xfId="15604" xr:uid="{00000000-0005-0000-0000-0000C85D0000}"/>
    <cellStyle name="Percent 4_DATA Input" xfId="15605" xr:uid="{00000000-0005-0000-0000-0000C95D0000}"/>
    <cellStyle name="Percent 5" xfId="458" xr:uid="{00000000-0005-0000-0000-0000CA5D0000}"/>
    <cellStyle name="Percent 6" xfId="459" xr:uid="{00000000-0005-0000-0000-0000CB5D0000}"/>
    <cellStyle name="Percent 7" xfId="460" xr:uid="{00000000-0005-0000-0000-0000CC5D0000}"/>
    <cellStyle name="Percent 8" xfId="461" xr:uid="{00000000-0005-0000-0000-0000CD5D0000}"/>
    <cellStyle name="Percent 9" xfId="462" xr:uid="{00000000-0005-0000-0000-0000CE5D0000}"/>
    <cellStyle name="Percent.0" xfId="15606" xr:uid="{00000000-0005-0000-0000-0000CF5D0000}"/>
    <cellStyle name="Percent.00" xfId="15607" xr:uid="{00000000-0005-0000-0000-0000D05D0000}"/>
    <cellStyle name="percent0" xfId="15608" xr:uid="{00000000-0005-0000-0000-0000D15D0000}"/>
    <cellStyle name="percent0 2" xfId="15609" xr:uid="{00000000-0005-0000-0000-0000D25D0000}"/>
    <cellStyle name="percent0 2 2" xfId="22477" xr:uid="{00000000-0005-0000-0000-0000D35D0000}"/>
    <cellStyle name="percent0 3" xfId="15610" xr:uid="{00000000-0005-0000-0000-0000D45D0000}"/>
    <cellStyle name="percent0 3 2" xfId="22478" xr:uid="{00000000-0005-0000-0000-0000D55D0000}"/>
    <cellStyle name="percent0 4" xfId="22476" xr:uid="{00000000-0005-0000-0000-0000D65D0000}"/>
    <cellStyle name="percent1" xfId="15611" xr:uid="{00000000-0005-0000-0000-0000D75D0000}"/>
    <cellStyle name="percent1 2" xfId="15612" xr:uid="{00000000-0005-0000-0000-0000D85D0000}"/>
    <cellStyle name="percent1 2 2" xfId="22480" xr:uid="{00000000-0005-0000-0000-0000D95D0000}"/>
    <cellStyle name="percent1 3" xfId="15613" xr:uid="{00000000-0005-0000-0000-0000DA5D0000}"/>
    <cellStyle name="percent1 3 2" xfId="22481" xr:uid="{00000000-0005-0000-0000-0000DB5D0000}"/>
    <cellStyle name="percent1 4" xfId="22479" xr:uid="{00000000-0005-0000-0000-0000DC5D0000}"/>
    <cellStyle name="percnet" xfId="15614" xr:uid="{00000000-0005-0000-0000-0000DD5D0000}"/>
    <cellStyle name="plus" xfId="15615" xr:uid="{00000000-0005-0000-0000-0000DE5D0000}"/>
    <cellStyle name="Popis" xfId="463" xr:uid="{00000000-0005-0000-0000-0000DF5D0000}"/>
    <cellStyle name="Porcentaje" xfId="15616" xr:uid="{00000000-0005-0000-0000-0000E05D0000}"/>
    <cellStyle name="Pound" xfId="15617" xr:uid="{00000000-0005-0000-0000-0000E15D0000}"/>
    <cellStyle name="Pound [1]" xfId="15618" xr:uid="{00000000-0005-0000-0000-0000E25D0000}"/>
    <cellStyle name="Pound [2]" xfId="15619" xr:uid="{00000000-0005-0000-0000-0000E35D0000}"/>
    <cellStyle name="Pound 2" xfId="22738" xr:uid="{00000000-0005-0000-0000-0000E45D0000}"/>
    <cellStyle name="Pound_DATA Input" xfId="15620" xr:uid="{00000000-0005-0000-0000-0000E55D0000}"/>
    <cellStyle name="Pourcentage_Matrice PL 4 années V3" xfId="15621" xr:uid="{00000000-0005-0000-0000-0000E65D0000}"/>
    <cellStyle name="prcie" xfId="15622" xr:uid="{00000000-0005-0000-0000-0000E75D0000}"/>
    <cellStyle name="PrePop Currency (0)" xfId="464" xr:uid="{00000000-0005-0000-0000-0000E85D0000}"/>
    <cellStyle name="PrePop Currency (2)" xfId="465" xr:uid="{00000000-0005-0000-0000-0000E95D0000}"/>
    <cellStyle name="PrePop Units (0)" xfId="466" xr:uid="{00000000-0005-0000-0000-0000EA5D0000}"/>
    <cellStyle name="PrePop Units (1)" xfId="467" xr:uid="{00000000-0005-0000-0000-0000EB5D0000}"/>
    <cellStyle name="PrePop Units (2)" xfId="468" xr:uid="{00000000-0005-0000-0000-0000EC5D0000}"/>
    <cellStyle name="price" xfId="15623" xr:uid="{00000000-0005-0000-0000-0000ED5D0000}"/>
    <cellStyle name="pricing" xfId="469" xr:uid="{00000000-0005-0000-0000-0000EE5D0000}"/>
    <cellStyle name="ProtectedDates" xfId="15624" xr:uid="{00000000-0005-0000-0000-0000EF5D0000}"/>
    <cellStyle name="Prozent_Germany" xfId="15625" xr:uid="{00000000-0005-0000-0000-0000F05D0000}"/>
    <cellStyle name="PSChar" xfId="470" xr:uid="{00000000-0005-0000-0000-0000F15D0000}"/>
    <cellStyle name="PSHeading" xfId="15626" xr:uid="{00000000-0005-0000-0000-0000F25D0000}"/>
    <cellStyle name="PSHeading 2" xfId="15627" xr:uid="{00000000-0005-0000-0000-0000F35D0000}"/>
    <cellStyle name="PSHeading 2 2" xfId="22483" xr:uid="{00000000-0005-0000-0000-0000F45D0000}"/>
    <cellStyle name="PSHeading 3" xfId="22482" xr:uid="{00000000-0005-0000-0000-0000F55D0000}"/>
    <cellStyle name="ptit" xfId="15628" xr:uid="{00000000-0005-0000-0000-0000F65D0000}"/>
    <cellStyle name="ptit 2" xfId="15629" xr:uid="{00000000-0005-0000-0000-0000F75D0000}"/>
    <cellStyle name="ptit 2 2" xfId="22485" xr:uid="{00000000-0005-0000-0000-0000F85D0000}"/>
    <cellStyle name="ptit 3" xfId="15630" xr:uid="{00000000-0005-0000-0000-0000F95D0000}"/>
    <cellStyle name="ptit 3 2" xfId="22486" xr:uid="{00000000-0005-0000-0000-0000FA5D0000}"/>
    <cellStyle name="ptit 4" xfId="22484" xr:uid="{00000000-0005-0000-0000-0000FB5D0000}"/>
    <cellStyle name="Purple" xfId="15631" xr:uid="{00000000-0005-0000-0000-0000FC5D0000}"/>
    <cellStyle name="rat" xfId="15632" xr:uid="{00000000-0005-0000-0000-0000FD5D0000}"/>
    <cellStyle name="rat 2" xfId="15633" xr:uid="{00000000-0005-0000-0000-0000FE5D0000}"/>
    <cellStyle name="rat 2 2" xfId="22488" xr:uid="{00000000-0005-0000-0000-0000FF5D0000}"/>
    <cellStyle name="rat 3" xfId="15634" xr:uid="{00000000-0005-0000-0000-0000005E0000}"/>
    <cellStyle name="rat 3 2" xfId="22489" xr:uid="{00000000-0005-0000-0000-0000015E0000}"/>
    <cellStyle name="rat 4" xfId="22487" xr:uid="{00000000-0005-0000-0000-0000025E0000}"/>
    <cellStyle name="rate" xfId="15635" xr:uid="{00000000-0005-0000-0000-0000035E0000}"/>
    <cellStyle name="ratio" xfId="15636" xr:uid="{00000000-0005-0000-0000-0000045E0000}"/>
    <cellStyle name="RED" xfId="15637" xr:uid="{00000000-0005-0000-0000-0000055E0000}"/>
    <cellStyle name="regstoresfromspecstores" xfId="15638" xr:uid="{00000000-0005-0000-0000-0000065E0000}"/>
    <cellStyle name="Regular" xfId="15639" xr:uid="{00000000-0005-0000-0000-0000075E0000}"/>
    <cellStyle name="Restruct" xfId="15640" xr:uid="{00000000-0005-0000-0000-0000085E0000}"/>
    <cellStyle name="Result 1" xfId="15641" xr:uid="{00000000-0005-0000-0000-0000095E0000}"/>
    <cellStyle name="Result 1 2" xfId="15642" xr:uid="{00000000-0005-0000-0000-00000A5E0000}"/>
    <cellStyle name="Results" xfId="15643" xr:uid="{00000000-0005-0000-0000-00000B5E0000}"/>
    <cellStyle name="RevList" xfId="471" xr:uid="{00000000-0005-0000-0000-00000C5E0000}"/>
    <cellStyle name="Right" xfId="15644" xr:uid="{00000000-0005-0000-0000-00000D5E0000}"/>
    <cellStyle name="RISKbigPercent" xfId="472" xr:uid="{00000000-0005-0000-0000-00000E5E0000}"/>
    <cellStyle name="RISKblandrEdge" xfId="473" xr:uid="{00000000-0005-0000-0000-00000F5E0000}"/>
    <cellStyle name="RISKblandrEdge 2" xfId="474" xr:uid="{00000000-0005-0000-0000-0000105E0000}"/>
    <cellStyle name="RISKblCorner" xfId="475" xr:uid="{00000000-0005-0000-0000-0000115E0000}"/>
    <cellStyle name="RISKblCorner 2" xfId="476" xr:uid="{00000000-0005-0000-0000-0000125E0000}"/>
    <cellStyle name="RISKbottomEdge" xfId="477" xr:uid="{00000000-0005-0000-0000-0000135E0000}"/>
    <cellStyle name="RISKbottomEdge 2" xfId="478" xr:uid="{00000000-0005-0000-0000-0000145E0000}"/>
    <cellStyle name="RISKbrCorner" xfId="479" xr:uid="{00000000-0005-0000-0000-0000155E0000}"/>
    <cellStyle name="RISKbrCorner 2" xfId="480" xr:uid="{00000000-0005-0000-0000-0000165E0000}"/>
    <cellStyle name="RISKdarkBoxed" xfId="481" xr:uid="{00000000-0005-0000-0000-0000175E0000}"/>
    <cellStyle name="RISKdarkBoxed 10" xfId="15645" xr:uid="{00000000-0005-0000-0000-0000185E0000}"/>
    <cellStyle name="RISKdarkBoxed 10 2" xfId="15646" xr:uid="{00000000-0005-0000-0000-0000195E0000}"/>
    <cellStyle name="RISKdarkBoxed 10 3" xfId="15647" xr:uid="{00000000-0005-0000-0000-00001A5E0000}"/>
    <cellStyle name="RISKdarkBoxed 11" xfId="15648" xr:uid="{00000000-0005-0000-0000-00001B5E0000}"/>
    <cellStyle name="RISKdarkBoxed 11 2" xfId="15649" xr:uid="{00000000-0005-0000-0000-00001C5E0000}"/>
    <cellStyle name="RISKdarkBoxed 11 3" xfId="15650" xr:uid="{00000000-0005-0000-0000-00001D5E0000}"/>
    <cellStyle name="RISKdarkBoxed 12" xfId="15651" xr:uid="{00000000-0005-0000-0000-00001E5E0000}"/>
    <cellStyle name="RISKdarkBoxed 12 2" xfId="15652" xr:uid="{00000000-0005-0000-0000-00001F5E0000}"/>
    <cellStyle name="RISKdarkBoxed 12 3" xfId="15653" xr:uid="{00000000-0005-0000-0000-0000205E0000}"/>
    <cellStyle name="RISKdarkBoxed 13" xfId="15654" xr:uid="{00000000-0005-0000-0000-0000215E0000}"/>
    <cellStyle name="RISKdarkBoxed 13 2" xfId="15655" xr:uid="{00000000-0005-0000-0000-0000225E0000}"/>
    <cellStyle name="RISKdarkBoxed 13 3" xfId="15656" xr:uid="{00000000-0005-0000-0000-0000235E0000}"/>
    <cellStyle name="RISKdarkBoxed 14" xfId="15657" xr:uid="{00000000-0005-0000-0000-0000245E0000}"/>
    <cellStyle name="RISKdarkBoxed 14 2" xfId="15658" xr:uid="{00000000-0005-0000-0000-0000255E0000}"/>
    <cellStyle name="RISKdarkBoxed 14 3" xfId="15659" xr:uid="{00000000-0005-0000-0000-0000265E0000}"/>
    <cellStyle name="RISKdarkBoxed 15" xfId="15660" xr:uid="{00000000-0005-0000-0000-0000275E0000}"/>
    <cellStyle name="RISKdarkBoxed 15 2" xfId="15661" xr:uid="{00000000-0005-0000-0000-0000285E0000}"/>
    <cellStyle name="RISKdarkBoxed 15 3" xfId="15662" xr:uid="{00000000-0005-0000-0000-0000295E0000}"/>
    <cellStyle name="RISKdarkBoxed 16" xfId="15663" xr:uid="{00000000-0005-0000-0000-00002A5E0000}"/>
    <cellStyle name="RISKdarkBoxed 16 2" xfId="15664" xr:uid="{00000000-0005-0000-0000-00002B5E0000}"/>
    <cellStyle name="RISKdarkBoxed 16 3" xfId="15665" xr:uid="{00000000-0005-0000-0000-00002C5E0000}"/>
    <cellStyle name="RISKdarkBoxed 17" xfId="15666" xr:uid="{00000000-0005-0000-0000-00002D5E0000}"/>
    <cellStyle name="RISKdarkBoxed 17 2" xfId="15667" xr:uid="{00000000-0005-0000-0000-00002E5E0000}"/>
    <cellStyle name="RISKdarkBoxed 17 3" xfId="15668" xr:uid="{00000000-0005-0000-0000-00002F5E0000}"/>
    <cellStyle name="RISKdarkBoxed 18" xfId="15669" xr:uid="{00000000-0005-0000-0000-0000305E0000}"/>
    <cellStyle name="RISKdarkBoxed 18 2" xfId="15670" xr:uid="{00000000-0005-0000-0000-0000315E0000}"/>
    <cellStyle name="RISKdarkBoxed 18 3" xfId="15671" xr:uid="{00000000-0005-0000-0000-0000325E0000}"/>
    <cellStyle name="RISKdarkBoxed 19" xfId="15672" xr:uid="{00000000-0005-0000-0000-0000335E0000}"/>
    <cellStyle name="RISKdarkBoxed 19 2" xfId="15673" xr:uid="{00000000-0005-0000-0000-0000345E0000}"/>
    <cellStyle name="RISKdarkBoxed 19 3" xfId="15674" xr:uid="{00000000-0005-0000-0000-0000355E0000}"/>
    <cellStyle name="RISKdarkBoxed 2" xfId="15675" xr:uid="{00000000-0005-0000-0000-0000365E0000}"/>
    <cellStyle name="RISKdarkBoxed 2 2" xfId="15676" xr:uid="{00000000-0005-0000-0000-0000375E0000}"/>
    <cellStyle name="RISKdarkBoxed 2 3" xfId="15677" xr:uid="{00000000-0005-0000-0000-0000385E0000}"/>
    <cellStyle name="RISKdarkBoxed 20" xfId="15678" xr:uid="{00000000-0005-0000-0000-0000395E0000}"/>
    <cellStyle name="RISKdarkBoxed 20 2" xfId="15679" xr:uid="{00000000-0005-0000-0000-00003A5E0000}"/>
    <cellStyle name="RISKdarkBoxed 20 3" xfId="15680" xr:uid="{00000000-0005-0000-0000-00003B5E0000}"/>
    <cellStyle name="RISKdarkBoxed 21" xfId="15681" xr:uid="{00000000-0005-0000-0000-00003C5E0000}"/>
    <cellStyle name="RISKdarkBoxed 21 2" xfId="15682" xr:uid="{00000000-0005-0000-0000-00003D5E0000}"/>
    <cellStyle name="RISKdarkBoxed 21 3" xfId="15683" xr:uid="{00000000-0005-0000-0000-00003E5E0000}"/>
    <cellStyle name="RISKdarkBoxed 22" xfId="15684" xr:uid="{00000000-0005-0000-0000-00003F5E0000}"/>
    <cellStyle name="RISKdarkBoxed 22 2" xfId="15685" xr:uid="{00000000-0005-0000-0000-0000405E0000}"/>
    <cellStyle name="RISKdarkBoxed 22 3" xfId="15686" xr:uid="{00000000-0005-0000-0000-0000415E0000}"/>
    <cellStyle name="RISKdarkBoxed 23" xfId="15687" xr:uid="{00000000-0005-0000-0000-0000425E0000}"/>
    <cellStyle name="RISKdarkBoxed 23 2" xfId="15688" xr:uid="{00000000-0005-0000-0000-0000435E0000}"/>
    <cellStyle name="RISKdarkBoxed 23 3" xfId="15689" xr:uid="{00000000-0005-0000-0000-0000445E0000}"/>
    <cellStyle name="RISKdarkBoxed 24" xfId="15690" xr:uid="{00000000-0005-0000-0000-0000455E0000}"/>
    <cellStyle name="RISKdarkBoxed 24 2" xfId="15691" xr:uid="{00000000-0005-0000-0000-0000465E0000}"/>
    <cellStyle name="RISKdarkBoxed 24 3" xfId="15692" xr:uid="{00000000-0005-0000-0000-0000475E0000}"/>
    <cellStyle name="RISKdarkBoxed 25" xfId="15693" xr:uid="{00000000-0005-0000-0000-0000485E0000}"/>
    <cellStyle name="RISKdarkBoxed 25 2" xfId="15694" xr:uid="{00000000-0005-0000-0000-0000495E0000}"/>
    <cellStyle name="RISKdarkBoxed 25 3" xfId="15695" xr:uid="{00000000-0005-0000-0000-00004A5E0000}"/>
    <cellStyle name="RISKdarkBoxed 26" xfId="15696" xr:uid="{00000000-0005-0000-0000-00004B5E0000}"/>
    <cellStyle name="RISKdarkBoxed 26 2" xfId="15697" xr:uid="{00000000-0005-0000-0000-00004C5E0000}"/>
    <cellStyle name="RISKdarkBoxed 26 3" xfId="15698" xr:uid="{00000000-0005-0000-0000-00004D5E0000}"/>
    <cellStyle name="RISKdarkBoxed 27" xfId="15699" xr:uid="{00000000-0005-0000-0000-00004E5E0000}"/>
    <cellStyle name="RISKdarkBoxed 27 2" xfId="15700" xr:uid="{00000000-0005-0000-0000-00004F5E0000}"/>
    <cellStyle name="RISKdarkBoxed 27 3" xfId="15701" xr:uid="{00000000-0005-0000-0000-0000505E0000}"/>
    <cellStyle name="RISKdarkBoxed 28" xfId="15702" xr:uid="{00000000-0005-0000-0000-0000515E0000}"/>
    <cellStyle name="RISKdarkBoxed 28 2" xfId="15703" xr:uid="{00000000-0005-0000-0000-0000525E0000}"/>
    <cellStyle name="RISKdarkBoxed 28 3" xfId="15704" xr:uid="{00000000-0005-0000-0000-0000535E0000}"/>
    <cellStyle name="RISKdarkBoxed 29" xfId="15705" xr:uid="{00000000-0005-0000-0000-0000545E0000}"/>
    <cellStyle name="RISKdarkBoxed 29 2" xfId="15706" xr:uid="{00000000-0005-0000-0000-0000555E0000}"/>
    <cellStyle name="RISKdarkBoxed 29 3" xfId="15707" xr:uid="{00000000-0005-0000-0000-0000565E0000}"/>
    <cellStyle name="RISKdarkBoxed 3" xfId="15708" xr:uid="{00000000-0005-0000-0000-0000575E0000}"/>
    <cellStyle name="RISKdarkBoxed 3 2" xfId="15709" xr:uid="{00000000-0005-0000-0000-0000585E0000}"/>
    <cellStyle name="RISKdarkBoxed 3 3" xfId="15710" xr:uid="{00000000-0005-0000-0000-0000595E0000}"/>
    <cellStyle name="RISKdarkBoxed 30" xfId="15711" xr:uid="{00000000-0005-0000-0000-00005A5E0000}"/>
    <cellStyle name="RISKdarkBoxed 30 2" xfId="15712" xr:uid="{00000000-0005-0000-0000-00005B5E0000}"/>
    <cellStyle name="RISKdarkBoxed 30 3" xfId="15713" xr:uid="{00000000-0005-0000-0000-00005C5E0000}"/>
    <cellStyle name="RISKdarkBoxed 31" xfId="15714" xr:uid="{00000000-0005-0000-0000-00005D5E0000}"/>
    <cellStyle name="RISKdarkBoxed 31 2" xfId="15715" xr:uid="{00000000-0005-0000-0000-00005E5E0000}"/>
    <cellStyle name="RISKdarkBoxed 31 3" xfId="15716" xr:uid="{00000000-0005-0000-0000-00005F5E0000}"/>
    <cellStyle name="RISKdarkBoxed 32" xfId="15717" xr:uid="{00000000-0005-0000-0000-0000605E0000}"/>
    <cellStyle name="RISKdarkBoxed 32 2" xfId="15718" xr:uid="{00000000-0005-0000-0000-0000615E0000}"/>
    <cellStyle name="RISKdarkBoxed 32 3" xfId="15719" xr:uid="{00000000-0005-0000-0000-0000625E0000}"/>
    <cellStyle name="RISKdarkBoxed 33" xfId="15720" xr:uid="{00000000-0005-0000-0000-0000635E0000}"/>
    <cellStyle name="RISKdarkBoxed 33 2" xfId="15721" xr:uid="{00000000-0005-0000-0000-0000645E0000}"/>
    <cellStyle name="RISKdarkBoxed 33 3" xfId="15722" xr:uid="{00000000-0005-0000-0000-0000655E0000}"/>
    <cellStyle name="RISKdarkBoxed 34" xfId="15723" xr:uid="{00000000-0005-0000-0000-0000665E0000}"/>
    <cellStyle name="RISKdarkBoxed 34 2" xfId="15724" xr:uid="{00000000-0005-0000-0000-0000675E0000}"/>
    <cellStyle name="RISKdarkBoxed 34 3" xfId="15725" xr:uid="{00000000-0005-0000-0000-0000685E0000}"/>
    <cellStyle name="RISKdarkBoxed 35" xfId="15726" xr:uid="{00000000-0005-0000-0000-0000695E0000}"/>
    <cellStyle name="RISKdarkBoxed 35 2" xfId="15727" xr:uid="{00000000-0005-0000-0000-00006A5E0000}"/>
    <cellStyle name="RISKdarkBoxed 35 3" xfId="15728" xr:uid="{00000000-0005-0000-0000-00006B5E0000}"/>
    <cellStyle name="RISKdarkBoxed 36" xfId="15729" xr:uid="{00000000-0005-0000-0000-00006C5E0000}"/>
    <cellStyle name="RISKdarkBoxed 36 2" xfId="15730" xr:uid="{00000000-0005-0000-0000-00006D5E0000}"/>
    <cellStyle name="RISKdarkBoxed 36 3" xfId="15731" xr:uid="{00000000-0005-0000-0000-00006E5E0000}"/>
    <cellStyle name="RISKdarkBoxed 37" xfId="15732" xr:uid="{00000000-0005-0000-0000-00006F5E0000}"/>
    <cellStyle name="RISKdarkBoxed 37 2" xfId="15733" xr:uid="{00000000-0005-0000-0000-0000705E0000}"/>
    <cellStyle name="RISKdarkBoxed 37 3" xfId="15734" xr:uid="{00000000-0005-0000-0000-0000715E0000}"/>
    <cellStyle name="RISKdarkBoxed 38" xfId="15735" xr:uid="{00000000-0005-0000-0000-0000725E0000}"/>
    <cellStyle name="RISKdarkBoxed 38 2" xfId="15736" xr:uid="{00000000-0005-0000-0000-0000735E0000}"/>
    <cellStyle name="RISKdarkBoxed 38 3" xfId="15737" xr:uid="{00000000-0005-0000-0000-0000745E0000}"/>
    <cellStyle name="RISKdarkBoxed 39" xfId="15738" xr:uid="{00000000-0005-0000-0000-0000755E0000}"/>
    <cellStyle name="RISKdarkBoxed 39 2" xfId="15739" xr:uid="{00000000-0005-0000-0000-0000765E0000}"/>
    <cellStyle name="RISKdarkBoxed 39 3" xfId="15740" xr:uid="{00000000-0005-0000-0000-0000775E0000}"/>
    <cellStyle name="RISKdarkBoxed 4" xfId="15741" xr:uid="{00000000-0005-0000-0000-0000785E0000}"/>
    <cellStyle name="RISKdarkBoxed 4 2" xfId="15742" xr:uid="{00000000-0005-0000-0000-0000795E0000}"/>
    <cellStyle name="RISKdarkBoxed 4 3" xfId="15743" xr:uid="{00000000-0005-0000-0000-00007A5E0000}"/>
    <cellStyle name="RISKdarkBoxed 40" xfId="15744" xr:uid="{00000000-0005-0000-0000-00007B5E0000}"/>
    <cellStyle name="RISKdarkBoxed 40 2" xfId="15745" xr:uid="{00000000-0005-0000-0000-00007C5E0000}"/>
    <cellStyle name="RISKdarkBoxed 40 3" xfId="15746" xr:uid="{00000000-0005-0000-0000-00007D5E0000}"/>
    <cellStyle name="RISKdarkBoxed 41" xfId="15747" xr:uid="{00000000-0005-0000-0000-00007E5E0000}"/>
    <cellStyle name="RISKdarkBoxed 41 2" xfId="15748" xr:uid="{00000000-0005-0000-0000-00007F5E0000}"/>
    <cellStyle name="RISKdarkBoxed 41 3" xfId="15749" xr:uid="{00000000-0005-0000-0000-0000805E0000}"/>
    <cellStyle name="RISKdarkBoxed 42" xfId="15750" xr:uid="{00000000-0005-0000-0000-0000815E0000}"/>
    <cellStyle name="RISKdarkBoxed 42 2" xfId="15751" xr:uid="{00000000-0005-0000-0000-0000825E0000}"/>
    <cellStyle name="RISKdarkBoxed 42 3" xfId="15752" xr:uid="{00000000-0005-0000-0000-0000835E0000}"/>
    <cellStyle name="RISKdarkBoxed 43" xfId="15753" xr:uid="{00000000-0005-0000-0000-0000845E0000}"/>
    <cellStyle name="RISKdarkBoxed 44" xfId="15754" xr:uid="{00000000-0005-0000-0000-0000855E0000}"/>
    <cellStyle name="RISKdarkBoxed 5" xfId="15755" xr:uid="{00000000-0005-0000-0000-0000865E0000}"/>
    <cellStyle name="RISKdarkBoxed 5 2" xfId="15756" xr:uid="{00000000-0005-0000-0000-0000875E0000}"/>
    <cellStyle name="RISKdarkBoxed 5 3" xfId="15757" xr:uid="{00000000-0005-0000-0000-0000885E0000}"/>
    <cellStyle name="RISKdarkBoxed 6" xfId="15758" xr:uid="{00000000-0005-0000-0000-0000895E0000}"/>
    <cellStyle name="RISKdarkBoxed 6 2" xfId="15759" xr:uid="{00000000-0005-0000-0000-00008A5E0000}"/>
    <cellStyle name="RISKdarkBoxed 6 3" xfId="15760" xr:uid="{00000000-0005-0000-0000-00008B5E0000}"/>
    <cellStyle name="RISKdarkBoxed 7" xfId="15761" xr:uid="{00000000-0005-0000-0000-00008C5E0000}"/>
    <cellStyle name="RISKdarkBoxed 7 2" xfId="15762" xr:uid="{00000000-0005-0000-0000-00008D5E0000}"/>
    <cellStyle name="RISKdarkBoxed 7 3" xfId="15763" xr:uid="{00000000-0005-0000-0000-00008E5E0000}"/>
    <cellStyle name="RISKdarkBoxed 8" xfId="15764" xr:uid="{00000000-0005-0000-0000-00008F5E0000}"/>
    <cellStyle name="RISKdarkBoxed 8 2" xfId="15765" xr:uid="{00000000-0005-0000-0000-0000905E0000}"/>
    <cellStyle name="RISKdarkBoxed 8 3" xfId="15766" xr:uid="{00000000-0005-0000-0000-0000915E0000}"/>
    <cellStyle name="RISKdarkBoxed 9" xfId="15767" xr:uid="{00000000-0005-0000-0000-0000925E0000}"/>
    <cellStyle name="RISKdarkBoxed 9 2" xfId="15768" xr:uid="{00000000-0005-0000-0000-0000935E0000}"/>
    <cellStyle name="RISKdarkBoxed 9 3" xfId="15769" xr:uid="{00000000-0005-0000-0000-0000945E0000}"/>
    <cellStyle name="RISKdarkBoxed_DATA Input" xfId="15770" xr:uid="{00000000-0005-0000-0000-0000955E0000}"/>
    <cellStyle name="RISKdarkShade" xfId="482" xr:uid="{00000000-0005-0000-0000-0000965E0000}"/>
    <cellStyle name="RISKdbottomEdge" xfId="483" xr:uid="{00000000-0005-0000-0000-0000975E0000}"/>
    <cellStyle name="RISKdrightEdge" xfId="484" xr:uid="{00000000-0005-0000-0000-0000985E0000}"/>
    <cellStyle name="RISKdurationTime" xfId="485" xr:uid="{00000000-0005-0000-0000-0000995E0000}"/>
    <cellStyle name="RISKinNumber" xfId="486" xr:uid="{00000000-0005-0000-0000-00009A5E0000}"/>
    <cellStyle name="RISKlandrEdge" xfId="487" xr:uid="{00000000-0005-0000-0000-00009B5E0000}"/>
    <cellStyle name="RISKleftEdge" xfId="488" xr:uid="{00000000-0005-0000-0000-00009C5E0000}"/>
    <cellStyle name="RISKlightBoxed" xfId="489" xr:uid="{00000000-0005-0000-0000-00009D5E0000}"/>
    <cellStyle name="RISKlightBoxed 10" xfId="15771" xr:uid="{00000000-0005-0000-0000-00009E5E0000}"/>
    <cellStyle name="RISKlightBoxed 10 2" xfId="15772" xr:uid="{00000000-0005-0000-0000-00009F5E0000}"/>
    <cellStyle name="RISKlightBoxed 10 3" xfId="15773" xr:uid="{00000000-0005-0000-0000-0000A05E0000}"/>
    <cellStyle name="RISKlightBoxed 10 4" xfId="15774" xr:uid="{00000000-0005-0000-0000-0000A15E0000}"/>
    <cellStyle name="RISKlightBoxed 11" xfId="15775" xr:uid="{00000000-0005-0000-0000-0000A25E0000}"/>
    <cellStyle name="RISKlightBoxed 11 2" xfId="15776" xr:uid="{00000000-0005-0000-0000-0000A35E0000}"/>
    <cellStyle name="RISKlightBoxed 11 3" xfId="15777" xr:uid="{00000000-0005-0000-0000-0000A45E0000}"/>
    <cellStyle name="RISKlightBoxed 11 4" xfId="15778" xr:uid="{00000000-0005-0000-0000-0000A55E0000}"/>
    <cellStyle name="RISKlightBoxed 12" xfId="15779" xr:uid="{00000000-0005-0000-0000-0000A65E0000}"/>
    <cellStyle name="RISKlightBoxed 12 2" xfId="15780" xr:uid="{00000000-0005-0000-0000-0000A75E0000}"/>
    <cellStyle name="RISKlightBoxed 12 3" xfId="15781" xr:uid="{00000000-0005-0000-0000-0000A85E0000}"/>
    <cellStyle name="RISKlightBoxed 12 4" xfId="15782" xr:uid="{00000000-0005-0000-0000-0000A95E0000}"/>
    <cellStyle name="RISKlightBoxed 13" xfId="15783" xr:uid="{00000000-0005-0000-0000-0000AA5E0000}"/>
    <cellStyle name="RISKlightBoxed 13 2" xfId="15784" xr:uid="{00000000-0005-0000-0000-0000AB5E0000}"/>
    <cellStyle name="RISKlightBoxed 13 3" xfId="15785" xr:uid="{00000000-0005-0000-0000-0000AC5E0000}"/>
    <cellStyle name="RISKlightBoxed 13 4" xfId="15786" xr:uid="{00000000-0005-0000-0000-0000AD5E0000}"/>
    <cellStyle name="RISKlightBoxed 14" xfId="15787" xr:uid="{00000000-0005-0000-0000-0000AE5E0000}"/>
    <cellStyle name="RISKlightBoxed 14 2" xfId="15788" xr:uid="{00000000-0005-0000-0000-0000AF5E0000}"/>
    <cellStyle name="RISKlightBoxed 14 3" xfId="15789" xr:uid="{00000000-0005-0000-0000-0000B05E0000}"/>
    <cellStyle name="RISKlightBoxed 14 4" xfId="15790" xr:uid="{00000000-0005-0000-0000-0000B15E0000}"/>
    <cellStyle name="RISKlightBoxed 15" xfId="15791" xr:uid="{00000000-0005-0000-0000-0000B25E0000}"/>
    <cellStyle name="RISKlightBoxed 15 2" xfId="15792" xr:uid="{00000000-0005-0000-0000-0000B35E0000}"/>
    <cellStyle name="RISKlightBoxed 15 3" xfId="15793" xr:uid="{00000000-0005-0000-0000-0000B45E0000}"/>
    <cellStyle name="RISKlightBoxed 15 4" xfId="15794" xr:uid="{00000000-0005-0000-0000-0000B55E0000}"/>
    <cellStyle name="RISKlightBoxed 16" xfId="15795" xr:uid="{00000000-0005-0000-0000-0000B65E0000}"/>
    <cellStyle name="RISKlightBoxed 16 2" xfId="15796" xr:uid="{00000000-0005-0000-0000-0000B75E0000}"/>
    <cellStyle name="RISKlightBoxed 16 3" xfId="15797" xr:uid="{00000000-0005-0000-0000-0000B85E0000}"/>
    <cellStyle name="RISKlightBoxed 16 4" xfId="15798" xr:uid="{00000000-0005-0000-0000-0000B95E0000}"/>
    <cellStyle name="RISKlightBoxed 17" xfId="15799" xr:uid="{00000000-0005-0000-0000-0000BA5E0000}"/>
    <cellStyle name="RISKlightBoxed 17 2" xfId="15800" xr:uid="{00000000-0005-0000-0000-0000BB5E0000}"/>
    <cellStyle name="RISKlightBoxed 17 3" xfId="15801" xr:uid="{00000000-0005-0000-0000-0000BC5E0000}"/>
    <cellStyle name="RISKlightBoxed 17 4" xfId="15802" xr:uid="{00000000-0005-0000-0000-0000BD5E0000}"/>
    <cellStyle name="RISKlightBoxed 18" xfId="15803" xr:uid="{00000000-0005-0000-0000-0000BE5E0000}"/>
    <cellStyle name="RISKlightBoxed 18 2" xfId="15804" xr:uid="{00000000-0005-0000-0000-0000BF5E0000}"/>
    <cellStyle name="RISKlightBoxed 18 3" xfId="15805" xr:uid="{00000000-0005-0000-0000-0000C05E0000}"/>
    <cellStyle name="RISKlightBoxed 18 4" xfId="15806" xr:uid="{00000000-0005-0000-0000-0000C15E0000}"/>
    <cellStyle name="RISKlightBoxed 19" xfId="15807" xr:uid="{00000000-0005-0000-0000-0000C25E0000}"/>
    <cellStyle name="RISKlightBoxed 19 2" xfId="15808" xr:uid="{00000000-0005-0000-0000-0000C35E0000}"/>
    <cellStyle name="RISKlightBoxed 19 3" xfId="15809" xr:uid="{00000000-0005-0000-0000-0000C45E0000}"/>
    <cellStyle name="RISKlightBoxed 19 4" xfId="15810" xr:uid="{00000000-0005-0000-0000-0000C55E0000}"/>
    <cellStyle name="RISKlightBoxed 2" xfId="15811" xr:uid="{00000000-0005-0000-0000-0000C65E0000}"/>
    <cellStyle name="RISKlightBoxed 2 2" xfId="15812" xr:uid="{00000000-0005-0000-0000-0000C75E0000}"/>
    <cellStyle name="RISKlightBoxed 2 3" xfId="15813" xr:uid="{00000000-0005-0000-0000-0000C85E0000}"/>
    <cellStyle name="RISKlightBoxed 2 4" xfId="15814" xr:uid="{00000000-0005-0000-0000-0000C95E0000}"/>
    <cellStyle name="RISKlightBoxed 20" xfId="15815" xr:uid="{00000000-0005-0000-0000-0000CA5E0000}"/>
    <cellStyle name="RISKlightBoxed 20 2" xfId="15816" xr:uid="{00000000-0005-0000-0000-0000CB5E0000}"/>
    <cellStyle name="RISKlightBoxed 20 3" xfId="15817" xr:uid="{00000000-0005-0000-0000-0000CC5E0000}"/>
    <cellStyle name="RISKlightBoxed 20 4" xfId="15818" xr:uid="{00000000-0005-0000-0000-0000CD5E0000}"/>
    <cellStyle name="RISKlightBoxed 21" xfId="15819" xr:uid="{00000000-0005-0000-0000-0000CE5E0000}"/>
    <cellStyle name="RISKlightBoxed 21 2" xfId="15820" xr:uid="{00000000-0005-0000-0000-0000CF5E0000}"/>
    <cellStyle name="RISKlightBoxed 21 3" xfId="15821" xr:uid="{00000000-0005-0000-0000-0000D05E0000}"/>
    <cellStyle name="RISKlightBoxed 21 4" xfId="15822" xr:uid="{00000000-0005-0000-0000-0000D15E0000}"/>
    <cellStyle name="RISKlightBoxed 22" xfId="15823" xr:uid="{00000000-0005-0000-0000-0000D25E0000}"/>
    <cellStyle name="RISKlightBoxed 22 2" xfId="15824" xr:uid="{00000000-0005-0000-0000-0000D35E0000}"/>
    <cellStyle name="RISKlightBoxed 22 3" xfId="15825" xr:uid="{00000000-0005-0000-0000-0000D45E0000}"/>
    <cellStyle name="RISKlightBoxed 22 4" xfId="15826" xr:uid="{00000000-0005-0000-0000-0000D55E0000}"/>
    <cellStyle name="RISKlightBoxed 23" xfId="15827" xr:uid="{00000000-0005-0000-0000-0000D65E0000}"/>
    <cellStyle name="RISKlightBoxed 23 2" xfId="15828" xr:uid="{00000000-0005-0000-0000-0000D75E0000}"/>
    <cellStyle name="RISKlightBoxed 23 3" xfId="15829" xr:uid="{00000000-0005-0000-0000-0000D85E0000}"/>
    <cellStyle name="RISKlightBoxed 23 4" xfId="15830" xr:uid="{00000000-0005-0000-0000-0000D95E0000}"/>
    <cellStyle name="RISKlightBoxed 24" xfId="15831" xr:uid="{00000000-0005-0000-0000-0000DA5E0000}"/>
    <cellStyle name="RISKlightBoxed 24 2" xfId="15832" xr:uid="{00000000-0005-0000-0000-0000DB5E0000}"/>
    <cellStyle name="RISKlightBoxed 24 3" xfId="15833" xr:uid="{00000000-0005-0000-0000-0000DC5E0000}"/>
    <cellStyle name="RISKlightBoxed 24 4" xfId="15834" xr:uid="{00000000-0005-0000-0000-0000DD5E0000}"/>
    <cellStyle name="RISKlightBoxed 25" xfId="15835" xr:uid="{00000000-0005-0000-0000-0000DE5E0000}"/>
    <cellStyle name="RISKlightBoxed 25 2" xfId="15836" xr:uid="{00000000-0005-0000-0000-0000DF5E0000}"/>
    <cellStyle name="RISKlightBoxed 25 3" xfId="15837" xr:uid="{00000000-0005-0000-0000-0000E05E0000}"/>
    <cellStyle name="RISKlightBoxed 25 4" xfId="15838" xr:uid="{00000000-0005-0000-0000-0000E15E0000}"/>
    <cellStyle name="RISKlightBoxed 26" xfId="15839" xr:uid="{00000000-0005-0000-0000-0000E25E0000}"/>
    <cellStyle name="RISKlightBoxed 26 2" xfId="15840" xr:uid="{00000000-0005-0000-0000-0000E35E0000}"/>
    <cellStyle name="RISKlightBoxed 26 3" xfId="15841" xr:uid="{00000000-0005-0000-0000-0000E45E0000}"/>
    <cellStyle name="RISKlightBoxed 26 4" xfId="15842" xr:uid="{00000000-0005-0000-0000-0000E55E0000}"/>
    <cellStyle name="RISKlightBoxed 27" xfId="15843" xr:uid="{00000000-0005-0000-0000-0000E65E0000}"/>
    <cellStyle name="RISKlightBoxed 27 2" xfId="15844" xr:uid="{00000000-0005-0000-0000-0000E75E0000}"/>
    <cellStyle name="RISKlightBoxed 27 3" xfId="15845" xr:uid="{00000000-0005-0000-0000-0000E85E0000}"/>
    <cellStyle name="RISKlightBoxed 27 4" xfId="15846" xr:uid="{00000000-0005-0000-0000-0000E95E0000}"/>
    <cellStyle name="RISKlightBoxed 28" xfId="15847" xr:uid="{00000000-0005-0000-0000-0000EA5E0000}"/>
    <cellStyle name="RISKlightBoxed 28 2" xfId="15848" xr:uid="{00000000-0005-0000-0000-0000EB5E0000}"/>
    <cellStyle name="RISKlightBoxed 28 3" xfId="15849" xr:uid="{00000000-0005-0000-0000-0000EC5E0000}"/>
    <cellStyle name="RISKlightBoxed 28 4" xfId="15850" xr:uid="{00000000-0005-0000-0000-0000ED5E0000}"/>
    <cellStyle name="RISKlightBoxed 29" xfId="15851" xr:uid="{00000000-0005-0000-0000-0000EE5E0000}"/>
    <cellStyle name="RISKlightBoxed 29 2" xfId="15852" xr:uid="{00000000-0005-0000-0000-0000EF5E0000}"/>
    <cellStyle name="RISKlightBoxed 29 3" xfId="15853" xr:uid="{00000000-0005-0000-0000-0000F05E0000}"/>
    <cellStyle name="RISKlightBoxed 29 4" xfId="15854" xr:uid="{00000000-0005-0000-0000-0000F15E0000}"/>
    <cellStyle name="RISKlightBoxed 3" xfId="15855" xr:uid="{00000000-0005-0000-0000-0000F25E0000}"/>
    <cellStyle name="RISKlightBoxed 3 2" xfId="15856" xr:uid="{00000000-0005-0000-0000-0000F35E0000}"/>
    <cellStyle name="RISKlightBoxed 3 3" xfId="15857" xr:uid="{00000000-0005-0000-0000-0000F45E0000}"/>
    <cellStyle name="RISKlightBoxed 3 4" xfId="15858" xr:uid="{00000000-0005-0000-0000-0000F55E0000}"/>
    <cellStyle name="RISKlightBoxed 30" xfId="15859" xr:uid="{00000000-0005-0000-0000-0000F65E0000}"/>
    <cellStyle name="RISKlightBoxed 30 2" xfId="15860" xr:uid="{00000000-0005-0000-0000-0000F75E0000}"/>
    <cellStyle name="RISKlightBoxed 30 3" xfId="15861" xr:uid="{00000000-0005-0000-0000-0000F85E0000}"/>
    <cellStyle name="RISKlightBoxed 30 4" xfId="15862" xr:uid="{00000000-0005-0000-0000-0000F95E0000}"/>
    <cellStyle name="RISKlightBoxed 31" xfId="15863" xr:uid="{00000000-0005-0000-0000-0000FA5E0000}"/>
    <cellStyle name="RISKlightBoxed 31 2" xfId="15864" xr:uid="{00000000-0005-0000-0000-0000FB5E0000}"/>
    <cellStyle name="RISKlightBoxed 31 3" xfId="15865" xr:uid="{00000000-0005-0000-0000-0000FC5E0000}"/>
    <cellStyle name="RISKlightBoxed 31 4" xfId="15866" xr:uid="{00000000-0005-0000-0000-0000FD5E0000}"/>
    <cellStyle name="RISKlightBoxed 32" xfId="15867" xr:uid="{00000000-0005-0000-0000-0000FE5E0000}"/>
    <cellStyle name="RISKlightBoxed 32 2" xfId="15868" xr:uid="{00000000-0005-0000-0000-0000FF5E0000}"/>
    <cellStyle name="RISKlightBoxed 32 3" xfId="15869" xr:uid="{00000000-0005-0000-0000-0000005F0000}"/>
    <cellStyle name="RISKlightBoxed 32 4" xfId="15870" xr:uid="{00000000-0005-0000-0000-0000015F0000}"/>
    <cellStyle name="RISKlightBoxed 33" xfId="15871" xr:uid="{00000000-0005-0000-0000-0000025F0000}"/>
    <cellStyle name="RISKlightBoxed 33 2" xfId="15872" xr:uid="{00000000-0005-0000-0000-0000035F0000}"/>
    <cellStyle name="RISKlightBoxed 33 3" xfId="15873" xr:uid="{00000000-0005-0000-0000-0000045F0000}"/>
    <cellStyle name="RISKlightBoxed 33 4" xfId="15874" xr:uid="{00000000-0005-0000-0000-0000055F0000}"/>
    <cellStyle name="RISKlightBoxed 34" xfId="15875" xr:uid="{00000000-0005-0000-0000-0000065F0000}"/>
    <cellStyle name="RISKlightBoxed 34 2" xfId="15876" xr:uid="{00000000-0005-0000-0000-0000075F0000}"/>
    <cellStyle name="RISKlightBoxed 34 3" xfId="15877" xr:uid="{00000000-0005-0000-0000-0000085F0000}"/>
    <cellStyle name="RISKlightBoxed 34 4" xfId="15878" xr:uid="{00000000-0005-0000-0000-0000095F0000}"/>
    <cellStyle name="RISKlightBoxed 35" xfId="15879" xr:uid="{00000000-0005-0000-0000-00000A5F0000}"/>
    <cellStyle name="RISKlightBoxed 35 2" xfId="15880" xr:uid="{00000000-0005-0000-0000-00000B5F0000}"/>
    <cellStyle name="RISKlightBoxed 35 3" xfId="15881" xr:uid="{00000000-0005-0000-0000-00000C5F0000}"/>
    <cellStyle name="RISKlightBoxed 35 4" xfId="15882" xr:uid="{00000000-0005-0000-0000-00000D5F0000}"/>
    <cellStyle name="RISKlightBoxed 36" xfId="15883" xr:uid="{00000000-0005-0000-0000-00000E5F0000}"/>
    <cellStyle name="RISKlightBoxed 36 2" xfId="15884" xr:uid="{00000000-0005-0000-0000-00000F5F0000}"/>
    <cellStyle name="RISKlightBoxed 36 3" xfId="15885" xr:uid="{00000000-0005-0000-0000-0000105F0000}"/>
    <cellStyle name="RISKlightBoxed 36 4" xfId="15886" xr:uid="{00000000-0005-0000-0000-0000115F0000}"/>
    <cellStyle name="RISKlightBoxed 37" xfId="15887" xr:uid="{00000000-0005-0000-0000-0000125F0000}"/>
    <cellStyle name="RISKlightBoxed 37 2" xfId="15888" xr:uid="{00000000-0005-0000-0000-0000135F0000}"/>
    <cellStyle name="RISKlightBoxed 37 3" xfId="15889" xr:uid="{00000000-0005-0000-0000-0000145F0000}"/>
    <cellStyle name="RISKlightBoxed 37 4" xfId="15890" xr:uid="{00000000-0005-0000-0000-0000155F0000}"/>
    <cellStyle name="RISKlightBoxed 38" xfId="15891" xr:uid="{00000000-0005-0000-0000-0000165F0000}"/>
    <cellStyle name="RISKlightBoxed 38 2" xfId="15892" xr:uid="{00000000-0005-0000-0000-0000175F0000}"/>
    <cellStyle name="RISKlightBoxed 38 3" xfId="15893" xr:uid="{00000000-0005-0000-0000-0000185F0000}"/>
    <cellStyle name="RISKlightBoxed 38 4" xfId="15894" xr:uid="{00000000-0005-0000-0000-0000195F0000}"/>
    <cellStyle name="RISKlightBoxed 39" xfId="15895" xr:uid="{00000000-0005-0000-0000-00001A5F0000}"/>
    <cellStyle name="RISKlightBoxed 39 2" xfId="15896" xr:uid="{00000000-0005-0000-0000-00001B5F0000}"/>
    <cellStyle name="RISKlightBoxed 39 3" xfId="15897" xr:uid="{00000000-0005-0000-0000-00001C5F0000}"/>
    <cellStyle name="RISKlightBoxed 39 4" xfId="15898" xr:uid="{00000000-0005-0000-0000-00001D5F0000}"/>
    <cellStyle name="RISKlightBoxed 4" xfId="15899" xr:uid="{00000000-0005-0000-0000-00001E5F0000}"/>
    <cellStyle name="RISKlightBoxed 4 2" xfId="15900" xr:uid="{00000000-0005-0000-0000-00001F5F0000}"/>
    <cellStyle name="RISKlightBoxed 4 3" xfId="15901" xr:uid="{00000000-0005-0000-0000-0000205F0000}"/>
    <cellStyle name="RISKlightBoxed 4 4" xfId="15902" xr:uid="{00000000-0005-0000-0000-0000215F0000}"/>
    <cellStyle name="RISKlightBoxed 40" xfId="15903" xr:uid="{00000000-0005-0000-0000-0000225F0000}"/>
    <cellStyle name="RISKlightBoxed 40 2" xfId="15904" xr:uid="{00000000-0005-0000-0000-0000235F0000}"/>
    <cellStyle name="RISKlightBoxed 40 3" xfId="15905" xr:uid="{00000000-0005-0000-0000-0000245F0000}"/>
    <cellStyle name="RISKlightBoxed 40 4" xfId="15906" xr:uid="{00000000-0005-0000-0000-0000255F0000}"/>
    <cellStyle name="RISKlightBoxed 41" xfId="15907" xr:uid="{00000000-0005-0000-0000-0000265F0000}"/>
    <cellStyle name="RISKlightBoxed 41 2" xfId="15908" xr:uid="{00000000-0005-0000-0000-0000275F0000}"/>
    <cellStyle name="RISKlightBoxed 41 3" xfId="15909" xr:uid="{00000000-0005-0000-0000-0000285F0000}"/>
    <cellStyle name="RISKlightBoxed 41 4" xfId="15910" xr:uid="{00000000-0005-0000-0000-0000295F0000}"/>
    <cellStyle name="RISKlightBoxed 42" xfId="15911" xr:uid="{00000000-0005-0000-0000-00002A5F0000}"/>
    <cellStyle name="RISKlightBoxed 42 2" xfId="15912" xr:uid="{00000000-0005-0000-0000-00002B5F0000}"/>
    <cellStyle name="RISKlightBoxed 42 3" xfId="15913" xr:uid="{00000000-0005-0000-0000-00002C5F0000}"/>
    <cellStyle name="RISKlightBoxed 42 4" xfId="15914" xr:uid="{00000000-0005-0000-0000-00002D5F0000}"/>
    <cellStyle name="RISKlightBoxed 43" xfId="15915" xr:uid="{00000000-0005-0000-0000-00002E5F0000}"/>
    <cellStyle name="RISKlightBoxed 44" xfId="15916" xr:uid="{00000000-0005-0000-0000-00002F5F0000}"/>
    <cellStyle name="RISKlightBoxed 45" xfId="15917" xr:uid="{00000000-0005-0000-0000-0000305F0000}"/>
    <cellStyle name="RISKlightBoxed 5" xfId="15918" xr:uid="{00000000-0005-0000-0000-0000315F0000}"/>
    <cellStyle name="RISKlightBoxed 5 2" xfId="15919" xr:uid="{00000000-0005-0000-0000-0000325F0000}"/>
    <cellStyle name="RISKlightBoxed 5 3" xfId="15920" xr:uid="{00000000-0005-0000-0000-0000335F0000}"/>
    <cellStyle name="RISKlightBoxed 5 4" xfId="15921" xr:uid="{00000000-0005-0000-0000-0000345F0000}"/>
    <cellStyle name="RISKlightBoxed 6" xfId="15922" xr:uid="{00000000-0005-0000-0000-0000355F0000}"/>
    <cellStyle name="RISKlightBoxed 6 2" xfId="15923" xr:uid="{00000000-0005-0000-0000-0000365F0000}"/>
    <cellStyle name="RISKlightBoxed 6 3" xfId="15924" xr:uid="{00000000-0005-0000-0000-0000375F0000}"/>
    <cellStyle name="RISKlightBoxed 6 4" xfId="15925" xr:uid="{00000000-0005-0000-0000-0000385F0000}"/>
    <cellStyle name="RISKlightBoxed 7" xfId="15926" xr:uid="{00000000-0005-0000-0000-0000395F0000}"/>
    <cellStyle name="RISKlightBoxed 7 2" xfId="15927" xr:uid="{00000000-0005-0000-0000-00003A5F0000}"/>
    <cellStyle name="RISKlightBoxed 7 3" xfId="15928" xr:uid="{00000000-0005-0000-0000-00003B5F0000}"/>
    <cellStyle name="RISKlightBoxed 7 4" xfId="15929" xr:uid="{00000000-0005-0000-0000-00003C5F0000}"/>
    <cellStyle name="RISKlightBoxed 8" xfId="15930" xr:uid="{00000000-0005-0000-0000-00003D5F0000}"/>
    <cellStyle name="RISKlightBoxed 8 2" xfId="15931" xr:uid="{00000000-0005-0000-0000-00003E5F0000}"/>
    <cellStyle name="RISKlightBoxed 8 3" xfId="15932" xr:uid="{00000000-0005-0000-0000-00003F5F0000}"/>
    <cellStyle name="RISKlightBoxed 8 4" xfId="15933" xr:uid="{00000000-0005-0000-0000-0000405F0000}"/>
    <cellStyle name="RISKlightBoxed 9" xfId="15934" xr:uid="{00000000-0005-0000-0000-0000415F0000}"/>
    <cellStyle name="RISKlightBoxed 9 2" xfId="15935" xr:uid="{00000000-0005-0000-0000-0000425F0000}"/>
    <cellStyle name="RISKlightBoxed 9 3" xfId="15936" xr:uid="{00000000-0005-0000-0000-0000435F0000}"/>
    <cellStyle name="RISKlightBoxed 9 4" xfId="15937" xr:uid="{00000000-0005-0000-0000-0000445F0000}"/>
    <cellStyle name="RISKlightBoxed_DATA Input" xfId="15938" xr:uid="{00000000-0005-0000-0000-0000455F0000}"/>
    <cellStyle name="RISKltandbEdge" xfId="490" xr:uid="{00000000-0005-0000-0000-0000465F0000}"/>
    <cellStyle name="RISKltandbEdge 10" xfId="15939" xr:uid="{00000000-0005-0000-0000-0000475F0000}"/>
    <cellStyle name="RISKltandbEdge 10 2" xfId="15940" xr:uid="{00000000-0005-0000-0000-0000485F0000}"/>
    <cellStyle name="RISKltandbEdge 10 3" xfId="15941" xr:uid="{00000000-0005-0000-0000-0000495F0000}"/>
    <cellStyle name="RISKltandbEdge 11" xfId="15942" xr:uid="{00000000-0005-0000-0000-00004A5F0000}"/>
    <cellStyle name="RISKltandbEdge 11 2" xfId="15943" xr:uid="{00000000-0005-0000-0000-00004B5F0000}"/>
    <cellStyle name="RISKltandbEdge 11 3" xfId="15944" xr:uid="{00000000-0005-0000-0000-00004C5F0000}"/>
    <cellStyle name="RISKltandbEdge 12" xfId="15945" xr:uid="{00000000-0005-0000-0000-00004D5F0000}"/>
    <cellStyle name="RISKltandbEdge 12 2" xfId="15946" xr:uid="{00000000-0005-0000-0000-00004E5F0000}"/>
    <cellStyle name="RISKltandbEdge 12 3" xfId="15947" xr:uid="{00000000-0005-0000-0000-00004F5F0000}"/>
    <cellStyle name="RISKltandbEdge 13" xfId="15948" xr:uid="{00000000-0005-0000-0000-0000505F0000}"/>
    <cellStyle name="RISKltandbEdge 13 2" xfId="15949" xr:uid="{00000000-0005-0000-0000-0000515F0000}"/>
    <cellStyle name="RISKltandbEdge 13 3" xfId="15950" xr:uid="{00000000-0005-0000-0000-0000525F0000}"/>
    <cellStyle name="RISKltandbEdge 14" xfId="15951" xr:uid="{00000000-0005-0000-0000-0000535F0000}"/>
    <cellStyle name="RISKltandbEdge 14 2" xfId="15952" xr:uid="{00000000-0005-0000-0000-0000545F0000}"/>
    <cellStyle name="RISKltandbEdge 14 3" xfId="15953" xr:uid="{00000000-0005-0000-0000-0000555F0000}"/>
    <cellStyle name="RISKltandbEdge 15" xfId="15954" xr:uid="{00000000-0005-0000-0000-0000565F0000}"/>
    <cellStyle name="RISKltandbEdge 15 2" xfId="15955" xr:uid="{00000000-0005-0000-0000-0000575F0000}"/>
    <cellStyle name="RISKltandbEdge 15 3" xfId="15956" xr:uid="{00000000-0005-0000-0000-0000585F0000}"/>
    <cellStyle name="RISKltandbEdge 16" xfId="15957" xr:uid="{00000000-0005-0000-0000-0000595F0000}"/>
    <cellStyle name="RISKltandbEdge 16 2" xfId="15958" xr:uid="{00000000-0005-0000-0000-00005A5F0000}"/>
    <cellStyle name="RISKltandbEdge 16 3" xfId="15959" xr:uid="{00000000-0005-0000-0000-00005B5F0000}"/>
    <cellStyle name="RISKltandbEdge 17" xfId="15960" xr:uid="{00000000-0005-0000-0000-00005C5F0000}"/>
    <cellStyle name="RISKltandbEdge 17 2" xfId="15961" xr:uid="{00000000-0005-0000-0000-00005D5F0000}"/>
    <cellStyle name="RISKltandbEdge 17 3" xfId="15962" xr:uid="{00000000-0005-0000-0000-00005E5F0000}"/>
    <cellStyle name="RISKltandbEdge 18" xfId="15963" xr:uid="{00000000-0005-0000-0000-00005F5F0000}"/>
    <cellStyle name="RISKltandbEdge 18 2" xfId="15964" xr:uid="{00000000-0005-0000-0000-0000605F0000}"/>
    <cellStyle name="RISKltandbEdge 18 3" xfId="15965" xr:uid="{00000000-0005-0000-0000-0000615F0000}"/>
    <cellStyle name="RISKltandbEdge 19" xfId="15966" xr:uid="{00000000-0005-0000-0000-0000625F0000}"/>
    <cellStyle name="RISKltandbEdge 19 2" xfId="15967" xr:uid="{00000000-0005-0000-0000-0000635F0000}"/>
    <cellStyle name="RISKltandbEdge 19 3" xfId="15968" xr:uid="{00000000-0005-0000-0000-0000645F0000}"/>
    <cellStyle name="RISKltandbEdge 2" xfId="15969" xr:uid="{00000000-0005-0000-0000-0000655F0000}"/>
    <cellStyle name="RISKltandbEdge 2 2" xfId="15970" xr:uid="{00000000-0005-0000-0000-0000665F0000}"/>
    <cellStyle name="RISKltandbEdge 2 3" xfId="15971" xr:uid="{00000000-0005-0000-0000-0000675F0000}"/>
    <cellStyle name="RISKltandbEdge 20" xfId="15972" xr:uid="{00000000-0005-0000-0000-0000685F0000}"/>
    <cellStyle name="RISKltandbEdge 20 2" xfId="15973" xr:uid="{00000000-0005-0000-0000-0000695F0000}"/>
    <cellStyle name="RISKltandbEdge 20 3" xfId="15974" xr:uid="{00000000-0005-0000-0000-00006A5F0000}"/>
    <cellStyle name="RISKltandbEdge 21" xfId="15975" xr:uid="{00000000-0005-0000-0000-00006B5F0000}"/>
    <cellStyle name="RISKltandbEdge 21 2" xfId="15976" xr:uid="{00000000-0005-0000-0000-00006C5F0000}"/>
    <cellStyle name="RISKltandbEdge 21 3" xfId="15977" xr:uid="{00000000-0005-0000-0000-00006D5F0000}"/>
    <cellStyle name="RISKltandbEdge 22" xfId="15978" xr:uid="{00000000-0005-0000-0000-00006E5F0000}"/>
    <cellStyle name="RISKltandbEdge 22 2" xfId="15979" xr:uid="{00000000-0005-0000-0000-00006F5F0000}"/>
    <cellStyle name="RISKltandbEdge 22 3" xfId="15980" xr:uid="{00000000-0005-0000-0000-0000705F0000}"/>
    <cellStyle name="RISKltandbEdge 23" xfId="15981" xr:uid="{00000000-0005-0000-0000-0000715F0000}"/>
    <cellStyle name="RISKltandbEdge 23 2" xfId="15982" xr:uid="{00000000-0005-0000-0000-0000725F0000}"/>
    <cellStyle name="RISKltandbEdge 23 3" xfId="15983" xr:uid="{00000000-0005-0000-0000-0000735F0000}"/>
    <cellStyle name="RISKltandbEdge 24" xfId="15984" xr:uid="{00000000-0005-0000-0000-0000745F0000}"/>
    <cellStyle name="RISKltandbEdge 24 2" xfId="15985" xr:uid="{00000000-0005-0000-0000-0000755F0000}"/>
    <cellStyle name="RISKltandbEdge 24 3" xfId="15986" xr:uid="{00000000-0005-0000-0000-0000765F0000}"/>
    <cellStyle name="RISKltandbEdge 25" xfId="15987" xr:uid="{00000000-0005-0000-0000-0000775F0000}"/>
    <cellStyle name="RISKltandbEdge 25 2" xfId="15988" xr:uid="{00000000-0005-0000-0000-0000785F0000}"/>
    <cellStyle name="RISKltandbEdge 25 3" xfId="15989" xr:uid="{00000000-0005-0000-0000-0000795F0000}"/>
    <cellStyle name="RISKltandbEdge 26" xfId="15990" xr:uid="{00000000-0005-0000-0000-00007A5F0000}"/>
    <cellStyle name="RISKltandbEdge 26 2" xfId="15991" xr:uid="{00000000-0005-0000-0000-00007B5F0000}"/>
    <cellStyle name="RISKltandbEdge 26 3" xfId="15992" xr:uid="{00000000-0005-0000-0000-00007C5F0000}"/>
    <cellStyle name="RISKltandbEdge 27" xfId="15993" xr:uid="{00000000-0005-0000-0000-00007D5F0000}"/>
    <cellStyle name="RISKltandbEdge 27 2" xfId="15994" xr:uid="{00000000-0005-0000-0000-00007E5F0000}"/>
    <cellStyle name="RISKltandbEdge 27 3" xfId="15995" xr:uid="{00000000-0005-0000-0000-00007F5F0000}"/>
    <cellStyle name="RISKltandbEdge 28" xfId="15996" xr:uid="{00000000-0005-0000-0000-0000805F0000}"/>
    <cellStyle name="RISKltandbEdge 28 2" xfId="15997" xr:uid="{00000000-0005-0000-0000-0000815F0000}"/>
    <cellStyle name="RISKltandbEdge 28 3" xfId="15998" xr:uid="{00000000-0005-0000-0000-0000825F0000}"/>
    <cellStyle name="RISKltandbEdge 29" xfId="15999" xr:uid="{00000000-0005-0000-0000-0000835F0000}"/>
    <cellStyle name="RISKltandbEdge 29 2" xfId="16000" xr:uid="{00000000-0005-0000-0000-0000845F0000}"/>
    <cellStyle name="RISKltandbEdge 29 3" xfId="16001" xr:uid="{00000000-0005-0000-0000-0000855F0000}"/>
    <cellStyle name="RISKltandbEdge 3" xfId="16002" xr:uid="{00000000-0005-0000-0000-0000865F0000}"/>
    <cellStyle name="RISKltandbEdge 3 2" xfId="16003" xr:uid="{00000000-0005-0000-0000-0000875F0000}"/>
    <cellStyle name="RISKltandbEdge 3 3" xfId="16004" xr:uid="{00000000-0005-0000-0000-0000885F0000}"/>
    <cellStyle name="RISKltandbEdge 30" xfId="16005" xr:uid="{00000000-0005-0000-0000-0000895F0000}"/>
    <cellStyle name="RISKltandbEdge 30 2" xfId="16006" xr:uid="{00000000-0005-0000-0000-00008A5F0000}"/>
    <cellStyle name="RISKltandbEdge 30 3" xfId="16007" xr:uid="{00000000-0005-0000-0000-00008B5F0000}"/>
    <cellStyle name="RISKltandbEdge 31" xfId="16008" xr:uid="{00000000-0005-0000-0000-00008C5F0000}"/>
    <cellStyle name="RISKltandbEdge 31 2" xfId="16009" xr:uid="{00000000-0005-0000-0000-00008D5F0000}"/>
    <cellStyle name="RISKltandbEdge 31 3" xfId="16010" xr:uid="{00000000-0005-0000-0000-00008E5F0000}"/>
    <cellStyle name="RISKltandbEdge 32" xfId="16011" xr:uid="{00000000-0005-0000-0000-00008F5F0000}"/>
    <cellStyle name="RISKltandbEdge 32 2" xfId="16012" xr:uid="{00000000-0005-0000-0000-0000905F0000}"/>
    <cellStyle name="RISKltandbEdge 32 3" xfId="16013" xr:uid="{00000000-0005-0000-0000-0000915F0000}"/>
    <cellStyle name="RISKltandbEdge 33" xfId="16014" xr:uid="{00000000-0005-0000-0000-0000925F0000}"/>
    <cellStyle name="RISKltandbEdge 33 2" xfId="16015" xr:uid="{00000000-0005-0000-0000-0000935F0000}"/>
    <cellStyle name="RISKltandbEdge 33 3" xfId="16016" xr:uid="{00000000-0005-0000-0000-0000945F0000}"/>
    <cellStyle name="RISKltandbEdge 34" xfId="16017" xr:uid="{00000000-0005-0000-0000-0000955F0000}"/>
    <cellStyle name="RISKltandbEdge 34 2" xfId="16018" xr:uid="{00000000-0005-0000-0000-0000965F0000}"/>
    <cellStyle name="RISKltandbEdge 34 3" xfId="16019" xr:uid="{00000000-0005-0000-0000-0000975F0000}"/>
    <cellStyle name="RISKltandbEdge 35" xfId="16020" xr:uid="{00000000-0005-0000-0000-0000985F0000}"/>
    <cellStyle name="RISKltandbEdge 35 2" xfId="16021" xr:uid="{00000000-0005-0000-0000-0000995F0000}"/>
    <cellStyle name="RISKltandbEdge 35 3" xfId="16022" xr:uid="{00000000-0005-0000-0000-00009A5F0000}"/>
    <cellStyle name="RISKltandbEdge 36" xfId="16023" xr:uid="{00000000-0005-0000-0000-00009B5F0000}"/>
    <cellStyle name="RISKltandbEdge 36 2" xfId="16024" xr:uid="{00000000-0005-0000-0000-00009C5F0000}"/>
    <cellStyle name="RISKltandbEdge 36 3" xfId="16025" xr:uid="{00000000-0005-0000-0000-00009D5F0000}"/>
    <cellStyle name="RISKltandbEdge 37" xfId="16026" xr:uid="{00000000-0005-0000-0000-00009E5F0000}"/>
    <cellStyle name="RISKltandbEdge 37 2" xfId="16027" xr:uid="{00000000-0005-0000-0000-00009F5F0000}"/>
    <cellStyle name="RISKltandbEdge 37 3" xfId="16028" xr:uid="{00000000-0005-0000-0000-0000A05F0000}"/>
    <cellStyle name="RISKltandbEdge 38" xfId="16029" xr:uid="{00000000-0005-0000-0000-0000A15F0000}"/>
    <cellStyle name="RISKltandbEdge 38 2" xfId="16030" xr:uid="{00000000-0005-0000-0000-0000A25F0000}"/>
    <cellStyle name="RISKltandbEdge 38 3" xfId="16031" xr:uid="{00000000-0005-0000-0000-0000A35F0000}"/>
    <cellStyle name="RISKltandbEdge 39" xfId="16032" xr:uid="{00000000-0005-0000-0000-0000A45F0000}"/>
    <cellStyle name="RISKltandbEdge 39 2" xfId="16033" xr:uid="{00000000-0005-0000-0000-0000A55F0000}"/>
    <cellStyle name="RISKltandbEdge 39 3" xfId="16034" xr:uid="{00000000-0005-0000-0000-0000A65F0000}"/>
    <cellStyle name="RISKltandbEdge 4" xfId="16035" xr:uid="{00000000-0005-0000-0000-0000A75F0000}"/>
    <cellStyle name="RISKltandbEdge 4 2" xfId="16036" xr:uid="{00000000-0005-0000-0000-0000A85F0000}"/>
    <cellStyle name="RISKltandbEdge 4 3" xfId="16037" xr:uid="{00000000-0005-0000-0000-0000A95F0000}"/>
    <cellStyle name="RISKltandbEdge 40" xfId="16038" xr:uid="{00000000-0005-0000-0000-0000AA5F0000}"/>
    <cellStyle name="RISKltandbEdge 40 2" xfId="16039" xr:uid="{00000000-0005-0000-0000-0000AB5F0000}"/>
    <cellStyle name="RISKltandbEdge 40 3" xfId="16040" xr:uid="{00000000-0005-0000-0000-0000AC5F0000}"/>
    <cellStyle name="RISKltandbEdge 41" xfId="16041" xr:uid="{00000000-0005-0000-0000-0000AD5F0000}"/>
    <cellStyle name="RISKltandbEdge 41 2" xfId="16042" xr:uid="{00000000-0005-0000-0000-0000AE5F0000}"/>
    <cellStyle name="RISKltandbEdge 41 3" xfId="16043" xr:uid="{00000000-0005-0000-0000-0000AF5F0000}"/>
    <cellStyle name="RISKltandbEdge 42" xfId="16044" xr:uid="{00000000-0005-0000-0000-0000B05F0000}"/>
    <cellStyle name="RISKltandbEdge 42 2" xfId="16045" xr:uid="{00000000-0005-0000-0000-0000B15F0000}"/>
    <cellStyle name="RISKltandbEdge 42 3" xfId="16046" xr:uid="{00000000-0005-0000-0000-0000B25F0000}"/>
    <cellStyle name="RISKltandbEdge 43" xfId="16047" xr:uid="{00000000-0005-0000-0000-0000B35F0000}"/>
    <cellStyle name="RISKltandbEdge 44" xfId="16048" xr:uid="{00000000-0005-0000-0000-0000B45F0000}"/>
    <cellStyle name="RISKltandbEdge 5" xfId="16049" xr:uid="{00000000-0005-0000-0000-0000B55F0000}"/>
    <cellStyle name="RISKltandbEdge 5 2" xfId="16050" xr:uid="{00000000-0005-0000-0000-0000B65F0000}"/>
    <cellStyle name="RISKltandbEdge 5 3" xfId="16051" xr:uid="{00000000-0005-0000-0000-0000B75F0000}"/>
    <cellStyle name="RISKltandbEdge 6" xfId="16052" xr:uid="{00000000-0005-0000-0000-0000B85F0000}"/>
    <cellStyle name="RISKltandbEdge 6 2" xfId="16053" xr:uid="{00000000-0005-0000-0000-0000B95F0000}"/>
    <cellStyle name="RISKltandbEdge 6 3" xfId="16054" xr:uid="{00000000-0005-0000-0000-0000BA5F0000}"/>
    <cellStyle name="RISKltandbEdge 7" xfId="16055" xr:uid="{00000000-0005-0000-0000-0000BB5F0000}"/>
    <cellStyle name="RISKltandbEdge 7 2" xfId="16056" xr:uid="{00000000-0005-0000-0000-0000BC5F0000}"/>
    <cellStyle name="RISKltandbEdge 7 3" xfId="16057" xr:uid="{00000000-0005-0000-0000-0000BD5F0000}"/>
    <cellStyle name="RISKltandbEdge 8" xfId="16058" xr:uid="{00000000-0005-0000-0000-0000BE5F0000}"/>
    <cellStyle name="RISKltandbEdge 8 2" xfId="16059" xr:uid="{00000000-0005-0000-0000-0000BF5F0000}"/>
    <cellStyle name="RISKltandbEdge 8 3" xfId="16060" xr:uid="{00000000-0005-0000-0000-0000C05F0000}"/>
    <cellStyle name="RISKltandbEdge 9" xfId="16061" xr:uid="{00000000-0005-0000-0000-0000C15F0000}"/>
    <cellStyle name="RISKltandbEdge 9 2" xfId="16062" xr:uid="{00000000-0005-0000-0000-0000C25F0000}"/>
    <cellStyle name="RISKltandbEdge 9 3" xfId="16063" xr:uid="{00000000-0005-0000-0000-0000C35F0000}"/>
    <cellStyle name="RISKltandbEdge_DATA Input" xfId="16064" xr:uid="{00000000-0005-0000-0000-0000C45F0000}"/>
    <cellStyle name="RISKnormBoxed" xfId="491" xr:uid="{00000000-0005-0000-0000-0000C55F0000}"/>
    <cellStyle name="RISKnormBoxed 10" xfId="16065" xr:uid="{00000000-0005-0000-0000-0000C65F0000}"/>
    <cellStyle name="RISKnormBoxed 10 2" xfId="16066" xr:uid="{00000000-0005-0000-0000-0000C75F0000}"/>
    <cellStyle name="RISKnormBoxed 10 3" xfId="16067" xr:uid="{00000000-0005-0000-0000-0000C85F0000}"/>
    <cellStyle name="RISKnormBoxed 10 4" xfId="16068" xr:uid="{00000000-0005-0000-0000-0000C95F0000}"/>
    <cellStyle name="RISKnormBoxed 11" xfId="16069" xr:uid="{00000000-0005-0000-0000-0000CA5F0000}"/>
    <cellStyle name="RISKnormBoxed 11 2" xfId="16070" xr:uid="{00000000-0005-0000-0000-0000CB5F0000}"/>
    <cellStyle name="RISKnormBoxed 11 3" xfId="16071" xr:uid="{00000000-0005-0000-0000-0000CC5F0000}"/>
    <cellStyle name="RISKnormBoxed 11 4" xfId="16072" xr:uid="{00000000-0005-0000-0000-0000CD5F0000}"/>
    <cellStyle name="RISKnormBoxed 12" xfId="16073" xr:uid="{00000000-0005-0000-0000-0000CE5F0000}"/>
    <cellStyle name="RISKnormBoxed 12 2" xfId="16074" xr:uid="{00000000-0005-0000-0000-0000CF5F0000}"/>
    <cellStyle name="RISKnormBoxed 12 3" xfId="16075" xr:uid="{00000000-0005-0000-0000-0000D05F0000}"/>
    <cellStyle name="RISKnormBoxed 12 4" xfId="16076" xr:uid="{00000000-0005-0000-0000-0000D15F0000}"/>
    <cellStyle name="RISKnormBoxed 13" xfId="16077" xr:uid="{00000000-0005-0000-0000-0000D25F0000}"/>
    <cellStyle name="RISKnormBoxed 13 2" xfId="16078" xr:uid="{00000000-0005-0000-0000-0000D35F0000}"/>
    <cellStyle name="RISKnormBoxed 13 3" xfId="16079" xr:uid="{00000000-0005-0000-0000-0000D45F0000}"/>
    <cellStyle name="RISKnormBoxed 13 4" xfId="16080" xr:uid="{00000000-0005-0000-0000-0000D55F0000}"/>
    <cellStyle name="RISKnormBoxed 14" xfId="16081" xr:uid="{00000000-0005-0000-0000-0000D65F0000}"/>
    <cellStyle name="RISKnormBoxed 14 2" xfId="16082" xr:uid="{00000000-0005-0000-0000-0000D75F0000}"/>
    <cellStyle name="RISKnormBoxed 14 3" xfId="16083" xr:uid="{00000000-0005-0000-0000-0000D85F0000}"/>
    <cellStyle name="RISKnormBoxed 14 4" xfId="16084" xr:uid="{00000000-0005-0000-0000-0000D95F0000}"/>
    <cellStyle name="RISKnormBoxed 15" xfId="16085" xr:uid="{00000000-0005-0000-0000-0000DA5F0000}"/>
    <cellStyle name="RISKnormBoxed 15 2" xfId="16086" xr:uid="{00000000-0005-0000-0000-0000DB5F0000}"/>
    <cellStyle name="RISKnormBoxed 15 3" xfId="16087" xr:uid="{00000000-0005-0000-0000-0000DC5F0000}"/>
    <cellStyle name="RISKnormBoxed 15 4" xfId="16088" xr:uid="{00000000-0005-0000-0000-0000DD5F0000}"/>
    <cellStyle name="RISKnormBoxed 16" xfId="16089" xr:uid="{00000000-0005-0000-0000-0000DE5F0000}"/>
    <cellStyle name="RISKnormBoxed 16 2" xfId="16090" xr:uid="{00000000-0005-0000-0000-0000DF5F0000}"/>
    <cellStyle name="RISKnormBoxed 16 3" xfId="16091" xr:uid="{00000000-0005-0000-0000-0000E05F0000}"/>
    <cellStyle name="RISKnormBoxed 16 4" xfId="16092" xr:uid="{00000000-0005-0000-0000-0000E15F0000}"/>
    <cellStyle name="RISKnormBoxed 17" xfId="16093" xr:uid="{00000000-0005-0000-0000-0000E25F0000}"/>
    <cellStyle name="RISKnormBoxed 17 2" xfId="16094" xr:uid="{00000000-0005-0000-0000-0000E35F0000}"/>
    <cellStyle name="RISKnormBoxed 17 3" xfId="16095" xr:uid="{00000000-0005-0000-0000-0000E45F0000}"/>
    <cellStyle name="RISKnormBoxed 17 4" xfId="16096" xr:uid="{00000000-0005-0000-0000-0000E55F0000}"/>
    <cellStyle name="RISKnormBoxed 18" xfId="16097" xr:uid="{00000000-0005-0000-0000-0000E65F0000}"/>
    <cellStyle name="RISKnormBoxed 18 2" xfId="16098" xr:uid="{00000000-0005-0000-0000-0000E75F0000}"/>
    <cellStyle name="RISKnormBoxed 18 3" xfId="16099" xr:uid="{00000000-0005-0000-0000-0000E85F0000}"/>
    <cellStyle name="RISKnormBoxed 18 4" xfId="16100" xr:uid="{00000000-0005-0000-0000-0000E95F0000}"/>
    <cellStyle name="RISKnormBoxed 19" xfId="16101" xr:uid="{00000000-0005-0000-0000-0000EA5F0000}"/>
    <cellStyle name="RISKnormBoxed 19 2" xfId="16102" xr:uid="{00000000-0005-0000-0000-0000EB5F0000}"/>
    <cellStyle name="RISKnormBoxed 19 3" xfId="16103" xr:uid="{00000000-0005-0000-0000-0000EC5F0000}"/>
    <cellStyle name="RISKnormBoxed 19 4" xfId="16104" xr:uid="{00000000-0005-0000-0000-0000ED5F0000}"/>
    <cellStyle name="RISKnormBoxed 2" xfId="16105" xr:uid="{00000000-0005-0000-0000-0000EE5F0000}"/>
    <cellStyle name="RISKnormBoxed 2 2" xfId="16106" xr:uid="{00000000-0005-0000-0000-0000EF5F0000}"/>
    <cellStyle name="RISKnormBoxed 2 3" xfId="16107" xr:uid="{00000000-0005-0000-0000-0000F05F0000}"/>
    <cellStyle name="RISKnormBoxed 2 4" xfId="16108" xr:uid="{00000000-0005-0000-0000-0000F15F0000}"/>
    <cellStyle name="RISKnormBoxed 20" xfId="16109" xr:uid="{00000000-0005-0000-0000-0000F25F0000}"/>
    <cellStyle name="RISKnormBoxed 20 2" xfId="16110" xr:uid="{00000000-0005-0000-0000-0000F35F0000}"/>
    <cellStyle name="RISKnormBoxed 20 3" xfId="16111" xr:uid="{00000000-0005-0000-0000-0000F45F0000}"/>
    <cellStyle name="RISKnormBoxed 20 4" xfId="16112" xr:uid="{00000000-0005-0000-0000-0000F55F0000}"/>
    <cellStyle name="RISKnormBoxed 21" xfId="16113" xr:uid="{00000000-0005-0000-0000-0000F65F0000}"/>
    <cellStyle name="RISKnormBoxed 21 2" xfId="16114" xr:uid="{00000000-0005-0000-0000-0000F75F0000}"/>
    <cellStyle name="RISKnormBoxed 21 3" xfId="16115" xr:uid="{00000000-0005-0000-0000-0000F85F0000}"/>
    <cellStyle name="RISKnormBoxed 21 4" xfId="16116" xr:uid="{00000000-0005-0000-0000-0000F95F0000}"/>
    <cellStyle name="RISKnormBoxed 22" xfId="16117" xr:uid="{00000000-0005-0000-0000-0000FA5F0000}"/>
    <cellStyle name="RISKnormBoxed 22 2" xfId="16118" xr:uid="{00000000-0005-0000-0000-0000FB5F0000}"/>
    <cellStyle name="RISKnormBoxed 22 3" xfId="16119" xr:uid="{00000000-0005-0000-0000-0000FC5F0000}"/>
    <cellStyle name="RISKnormBoxed 22 4" xfId="16120" xr:uid="{00000000-0005-0000-0000-0000FD5F0000}"/>
    <cellStyle name="RISKnormBoxed 23" xfId="16121" xr:uid="{00000000-0005-0000-0000-0000FE5F0000}"/>
    <cellStyle name="RISKnormBoxed 23 2" xfId="16122" xr:uid="{00000000-0005-0000-0000-0000FF5F0000}"/>
    <cellStyle name="RISKnormBoxed 23 3" xfId="16123" xr:uid="{00000000-0005-0000-0000-000000600000}"/>
    <cellStyle name="RISKnormBoxed 23 4" xfId="16124" xr:uid="{00000000-0005-0000-0000-000001600000}"/>
    <cellStyle name="RISKnormBoxed 24" xfId="16125" xr:uid="{00000000-0005-0000-0000-000002600000}"/>
    <cellStyle name="RISKnormBoxed 24 2" xfId="16126" xr:uid="{00000000-0005-0000-0000-000003600000}"/>
    <cellStyle name="RISKnormBoxed 24 3" xfId="16127" xr:uid="{00000000-0005-0000-0000-000004600000}"/>
    <cellStyle name="RISKnormBoxed 24 4" xfId="16128" xr:uid="{00000000-0005-0000-0000-000005600000}"/>
    <cellStyle name="RISKnormBoxed 25" xfId="16129" xr:uid="{00000000-0005-0000-0000-000006600000}"/>
    <cellStyle name="RISKnormBoxed 25 2" xfId="16130" xr:uid="{00000000-0005-0000-0000-000007600000}"/>
    <cellStyle name="RISKnormBoxed 25 3" xfId="16131" xr:uid="{00000000-0005-0000-0000-000008600000}"/>
    <cellStyle name="RISKnormBoxed 25 4" xfId="16132" xr:uid="{00000000-0005-0000-0000-000009600000}"/>
    <cellStyle name="RISKnormBoxed 26" xfId="16133" xr:uid="{00000000-0005-0000-0000-00000A600000}"/>
    <cellStyle name="RISKnormBoxed 26 2" xfId="16134" xr:uid="{00000000-0005-0000-0000-00000B600000}"/>
    <cellStyle name="RISKnormBoxed 26 3" xfId="16135" xr:uid="{00000000-0005-0000-0000-00000C600000}"/>
    <cellStyle name="RISKnormBoxed 26 4" xfId="16136" xr:uid="{00000000-0005-0000-0000-00000D600000}"/>
    <cellStyle name="RISKnormBoxed 27" xfId="16137" xr:uid="{00000000-0005-0000-0000-00000E600000}"/>
    <cellStyle name="RISKnormBoxed 27 2" xfId="16138" xr:uid="{00000000-0005-0000-0000-00000F600000}"/>
    <cellStyle name="RISKnormBoxed 27 3" xfId="16139" xr:uid="{00000000-0005-0000-0000-000010600000}"/>
    <cellStyle name="RISKnormBoxed 27 4" xfId="16140" xr:uid="{00000000-0005-0000-0000-000011600000}"/>
    <cellStyle name="RISKnormBoxed 28" xfId="16141" xr:uid="{00000000-0005-0000-0000-000012600000}"/>
    <cellStyle name="RISKnormBoxed 28 2" xfId="16142" xr:uid="{00000000-0005-0000-0000-000013600000}"/>
    <cellStyle name="RISKnormBoxed 28 3" xfId="16143" xr:uid="{00000000-0005-0000-0000-000014600000}"/>
    <cellStyle name="RISKnormBoxed 28 4" xfId="16144" xr:uid="{00000000-0005-0000-0000-000015600000}"/>
    <cellStyle name="RISKnormBoxed 29" xfId="16145" xr:uid="{00000000-0005-0000-0000-000016600000}"/>
    <cellStyle name="RISKnormBoxed 29 2" xfId="16146" xr:uid="{00000000-0005-0000-0000-000017600000}"/>
    <cellStyle name="RISKnormBoxed 29 3" xfId="16147" xr:uid="{00000000-0005-0000-0000-000018600000}"/>
    <cellStyle name="RISKnormBoxed 29 4" xfId="16148" xr:uid="{00000000-0005-0000-0000-000019600000}"/>
    <cellStyle name="RISKnormBoxed 3" xfId="16149" xr:uid="{00000000-0005-0000-0000-00001A600000}"/>
    <cellStyle name="RISKnormBoxed 3 2" xfId="16150" xr:uid="{00000000-0005-0000-0000-00001B600000}"/>
    <cellStyle name="RISKnormBoxed 3 3" xfId="16151" xr:uid="{00000000-0005-0000-0000-00001C600000}"/>
    <cellStyle name="RISKnormBoxed 3 4" xfId="16152" xr:uid="{00000000-0005-0000-0000-00001D600000}"/>
    <cellStyle name="RISKnormBoxed 30" xfId="16153" xr:uid="{00000000-0005-0000-0000-00001E600000}"/>
    <cellStyle name="RISKnormBoxed 30 2" xfId="16154" xr:uid="{00000000-0005-0000-0000-00001F600000}"/>
    <cellStyle name="RISKnormBoxed 30 3" xfId="16155" xr:uid="{00000000-0005-0000-0000-000020600000}"/>
    <cellStyle name="RISKnormBoxed 30 4" xfId="16156" xr:uid="{00000000-0005-0000-0000-000021600000}"/>
    <cellStyle name="RISKnormBoxed 31" xfId="16157" xr:uid="{00000000-0005-0000-0000-000022600000}"/>
    <cellStyle name="RISKnormBoxed 31 2" xfId="16158" xr:uid="{00000000-0005-0000-0000-000023600000}"/>
    <cellStyle name="RISKnormBoxed 31 3" xfId="16159" xr:uid="{00000000-0005-0000-0000-000024600000}"/>
    <cellStyle name="RISKnormBoxed 31 4" xfId="16160" xr:uid="{00000000-0005-0000-0000-000025600000}"/>
    <cellStyle name="RISKnormBoxed 32" xfId="16161" xr:uid="{00000000-0005-0000-0000-000026600000}"/>
    <cellStyle name="RISKnormBoxed 32 2" xfId="16162" xr:uid="{00000000-0005-0000-0000-000027600000}"/>
    <cellStyle name="RISKnormBoxed 32 3" xfId="16163" xr:uid="{00000000-0005-0000-0000-000028600000}"/>
    <cellStyle name="RISKnormBoxed 32 4" xfId="16164" xr:uid="{00000000-0005-0000-0000-000029600000}"/>
    <cellStyle name="RISKnormBoxed 33" xfId="16165" xr:uid="{00000000-0005-0000-0000-00002A600000}"/>
    <cellStyle name="RISKnormBoxed 33 2" xfId="16166" xr:uid="{00000000-0005-0000-0000-00002B600000}"/>
    <cellStyle name="RISKnormBoxed 33 3" xfId="16167" xr:uid="{00000000-0005-0000-0000-00002C600000}"/>
    <cellStyle name="RISKnormBoxed 33 4" xfId="16168" xr:uid="{00000000-0005-0000-0000-00002D600000}"/>
    <cellStyle name="RISKnormBoxed 34" xfId="16169" xr:uid="{00000000-0005-0000-0000-00002E600000}"/>
    <cellStyle name="RISKnormBoxed 34 2" xfId="16170" xr:uid="{00000000-0005-0000-0000-00002F600000}"/>
    <cellStyle name="RISKnormBoxed 34 3" xfId="16171" xr:uid="{00000000-0005-0000-0000-000030600000}"/>
    <cellStyle name="RISKnormBoxed 34 4" xfId="16172" xr:uid="{00000000-0005-0000-0000-000031600000}"/>
    <cellStyle name="RISKnormBoxed 35" xfId="16173" xr:uid="{00000000-0005-0000-0000-000032600000}"/>
    <cellStyle name="RISKnormBoxed 35 2" xfId="16174" xr:uid="{00000000-0005-0000-0000-000033600000}"/>
    <cellStyle name="RISKnormBoxed 35 3" xfId="16175" xr:uid="{00000000-0005-0000-0000-000034600000}"/>
    <cellStyle name="RISKnormBoxed 35 4" xfId="16176" xr:uid="{00000000-0005-0000-0000-000035600000}"/>
    <cellStyle name="RISKnormBoxed 36" xfId="16177" xr:uid="{00000000-0005-0000-0000-000036600000}"/>
    <cellStyle name="RISKnormBoxed 36 2" xfId="16178" xr:uid="{00000000-0005-0000-0000-000037600000}"/>
    <cellStyle name="RISKnormBoxed 36 3" xfId="16179" xr:uid="{00000000-0005-0000-0000-000038600000}"/>
    <cellStyle name="RISKnormBoxed 36 4" xfId="16180" xr:uid="{00000000-0005-0000-0000-000039600000}"/>
    <cellStyle name="RISKnormBoxed 37" xfId="16181" xr:uid="{00000000-0005-0000-0000-00003A600000}"/>
    <cellStyle name="RISKnormBoxed 37 2" xfId="16182" xr:uid="{00000000-0005-0000-0000-00003B600000}"/>
    <cellStyle name="RISKnormBoxed 37 3" xfId="16183" xr:uid="{00000000-0005-0000-0000-00003C600000}"/>
    <cellStyle name="RISKnormBoxed 37 4" xfId="16184" xr:uid="{00000000-0005-0000-0000-00003D600000}"/>
    <cellStyle name="RISKnormBoxed 38" xfId="16185" xr:uid="{00000000-0005-0000-0000-00003E600000}"/>
    <cellStyle name="RISKnormBoxed 38 2" xfId="16186" xr:uid="{00000000-0005-0000-0000-00003F600000}"/>
    <cellStyle name="RISKnormBoxed 38 3" xfId="16187" xr:uid="{00000000-0005-0000-0000-000040600000}"/>
    <cellStyle name="RISKnormBoxed 38 4" xfId="16188" xr:uid="{00000000-0005-0000-0000-000041600000}"/>
    <cellStyle name="RISKnormBoxed 39" xfId="16189" xr:uid="{00000000-0005-0000-0000-000042600000}"/>
    <cellStyle name="RISKnormBoxed 39 2" xfId="16190" xr:uid="{00000000-0005-0000-0000-000043600000}"/>
    <cellStyle name="RISKnormBoxed 39 3" xfId="16191" xr:uid="{00000000-0005-0000-0000-000044600000}"/>
    <cellStyle name="RISKnormBoxed 39 4" xfId="16192" xr:uid="{00000000-0005-0000-0000-000045600000}"/>
    <cellStyle name="RISKnormBoxed 4" xfId="16193" xr:uid="{00000000-0005-0000-0000-000046600000}"/>
    <cellStyle name="RISKnormBoxed 4 2" xfId="16194" xr:uid="{00000000-0005-0000-0000-000047600000}"/>
    <cellStyle name="RISKnormBoxed 4 3" xfId="16195" xr:uid="{00000000-0005-0000-0000-000048600000}"/>
    <cellStyle name="RISKnormBoxed 4 4" xfId="16196" xr:uid="{00000000-0005-0000-0000-000049600000}"/>
    <cellStyle name="RISKnormBoxed 40" xfId="16197" xr:uid="{00000000-0005-0000-0000-00004A600000}"/>
    <cellStyle name="RISKnormBoxed 40 2" xfId="16198" xr:uid="{00000000-0005-0000-0000-00004B600000}"/>
    <cellStyle name="RISKnormBoxed 40 3" xfId="16199" xr:uid="{00000000-0005-0000-0000-00004C600000}"/>
    <cellStyle name="RISKnormBoxed 40 4" xfId="16200" xr:uid="{00000000-0005-0000-0000-00004D600000}"/>
    <cellStyle name="RISKnormBoxed 41" xfId="16201" xr:uid="{00000000-0005-0000-0000-00004E600000}"/>
    <cellStyle name="RISKnormBoxed 41 2" xfId="16202" xr:uid="{00000000-0005-0000-0000-00004F600000}"/>
    <cellStyle name="RISKnormBoxed 41 3" xfId="16203" xr:uid="{00000000-0005-0000-0000-000050600000}"/>
    <cellStyle name="RISKnormBoxed 41 4" xfId="16204" xr:uid="{00000000-0005-0000-0000-000051600000}"/>
    <cellStyle name="RISKnormBoxed 42" xfId="16205" xr:uid="{00000000-0005-0000-0000-000052600000}"/>
    <cellStyle name="RISKnormBoxed 42 2" xfId="16206" xr:uid="{00000000-0005-0000-0000-000053600000}"/>
    <cellStyle name="RISKnormBoxed 42 3" xfId="16207" xr:uid="{00000000-0005-0000-0000-000054600000}"/>
    <cellStyle name="RISKnormBoxed 42 4" xfId="16208" xr:uid="{00000000-0005-0000-0000-000055600000}"/>
    <cellStyle name="RISKnormBoxed 43" xfId="16209" xr:uid="{00000000-0005-0000-0000-000056600000}"/>
    <cellStyle name="RISKnormBoxed 44" xfId="16210" xr:uid="{00000000-0005-0000-0000-000057600000}"/>
    <cellStyle name="RISKnormBoxed 45" xfId="16211" xr:uid="{00000000-0005-0000-0000-000058600000}"/>
    <cellStyle name="RISKnormBoxed 5" xfId="16212" xr:uid="{00000000-0005-0000-0000-000059600000}"/>
    <cellStyle name="RISKnormBoxed 5 2" xfId="16213" xr:uid="{00000000-0005-0000-0000-00005A600000}"/>
    <cellStyle name="RISKnormBoxed 5 3" xfId="16214" xr:uid="{00000000-0005-0000-0000-00005B600000}"/>
    <cellStyle name="RISKnormBoxed 5 4" xfId="16215" xr:uid="{00000000-0005-0000-0000-00005C600000}"/>
    <cellStyle name="RISKnormBoxed 6" xfId="16216" xr:uid="{00000000-0005-0000-0000-00005D600000}"/>
    <cellStyle name="RISKnormBoxed 6 2" xfId="16217" xr:uid="{00000000-0005-0000-0000-00005E600000}"/>
    <cellStyle name="RISKnormBoxed 6 3" xfId="16218" xr:uid="{00000000-0005-0000-0000-00005F600000}"/>
    <cellStyle name="RISKnormBoxed 6 4" xfId="16219" xr:uid="{00000000-0005-0000-0000-000060600000}"/>
    <cellStyle name="RISKnormBoxed 7" xfId="16220" xr:uid="{00000000-0005-0000-0000-000061600000}"/>
    <cellStyle name="RISKnormBoxed 7 2" xfId="16221" xr:uid="{00000000-0005-0000-0000-000062600000}"/>
    <cellStyle name="RISKnormBoxed 7 3" xfId="16222" xr:uid="{00000000-0005-0000-0000-000063600000}"/>
    <cellStyle name="RISKnormBoxed 7 4" xfId="16223" xr:uid="{00000000-0005-0000-0000-000064600000}"/>
    <cellStyle name="RISKnormBoxed 8" xfId="16224" xr:uid="{00000000-0005-0000-0000-000065600000}"/>
    <cellStyle name="RISKnormBoxed 8 2" xfId="16225" xr:uid="{00000000-0005-0000-0000-000066600000}"/>
    <cellStyle name="RISKnormBoxed 8 3" xfId="16226" xr:uid="{00000000-0005-0000-0000-000067600000}"/>
    <cellStyle name="RISKnormBoxed 8 4" xfId="16227" xr:uid="{00000000-0005-0000-0000-000068600000}"/>
    <cellStyle name="RISKnormBoxed 9" xfId="16228" xr:uid="{00000000-0005-0000-0000-000069600000}"/>
    <cellStyle name="RISKnormBoxed 9 2" xfId="16229" xr:uid="{00000000-0005-0000-0000-00006A600000}"/>
    <cellStyle name="RISKnormBoxed 9 3" xfId="16230" xr:uid="{00000000-0005-0000-0000-00006B600000}"/>
    <cellStyle name="RISKnormBoxed 9 4" xfId="16231" xr:uid="{00000000-0005-0000-0000-00006C600000}"/>
    <cellStyle name="RISKnormBoxed_DATA Input" xfId="16232" xr:uid="{00000000-0005-0000-0000-00006D600000}"/>
    <cellStyle name="RISKnormCenter" xfId="492" xr:uid="{00000000-0005-0000-0000-00006E600000}"/>
    <cellStyle name="RISKnormHeading" xfId="493" xr:uid="{00000000-0005-0000-0000-00006F600000}"/>
    <cellStyle name="RISKnormItal" xfId="494" xr:uid="{00000000-0005-0000-0000-000070600000}"/>
    <cellStyle name="RISKnormLabel" xfId="495" xr:uid="{00000000-0005-0000-0000-000071600000}"/>
    <cellStyle name="RISKnormShade" xfId="496" xr:uid="{00000000-0005-0000-0000-000072600000}"/>
    <cellStyle name="RISKnormTitle" xfId="497" xr:uid="{00000000-0005-0000-0000-000073600000}"/>
    <cellStyle name="RISKoutNumber" xfId="498" xr:uid="{00000000-0005-0000-0000-000074600000}"/>
    <cellStyle name="RISKrightEdge" xfId="499" xr:uid="{00000000-0005-0000-0000-000075600000}"/>
    <cellStyle name="RISKrtandbEdge" xfId="500" xr:uid="{00000000-0005-0000-0000-000076600000}"/>
    <cellStyle name="RISKrtandbEdge 10" xfId="16233" xr:uid="{00000000-0005-0000-0000-000077600000}"/>
    <cellStyle name="RISKrtandbEdge 10 2" xfId="16234" xr:uid="{00000000-0005-0000-0000-000078600000}"/>
    <cellStyle name="RISKrtandbEdge 10 3" xfId="16235" xr:uid="{00000000-0005-0000-0000-000079600000}"/>
    <cellStyle name="RISKrtandbEdge 11" xfId="16236" xr:uid="{00000000-0005-0000-0000-00007A600000}"/>
    <cellStyle name="RISKrtandbEdge 11 2" xfId="16237" xr:uid="{00000000-0005-0000-0000-00007B600000}"/>
    <cellStyle name="RISKrtandbEdge 11 3" xfId="16238" xr:uid="{00000000-0005-0000-0000-00007C600000}"/>
    <cellStyle name="RISKrtandbEdge 12" xfId="16239" xr:uid="{00000000-0005-0000-0000-00007D600000}"/>
    <cellStyle name="RISKrtandbEdge 12 2" xfId="16240" xr:uid="{00000000-0005-0000-0000-00007E600000}"/>
    <cellStyle name="RISKrtandbEdge 12 3" xfId="16241" xr:uid="{00000000-0005-0000-0000-00007F600000}"/>
    <cellStyle name="RISKrtandbEdge 13" xfId="16242" xr:uid="{00000000-0005-0000-0000-000080600000}"/>
    <cellStyle name="RISKrtandbEdge 13 2" xfId="16243" xr:uid="{00000000-0005-0000-0000-000081600000}"/>
    <cellStyle name="RISKrtandbEdge 13 3" xfId="16244" xr:uid="{00000000-0005-0000-0000-000082600000}"/>
    <cellStyle name="RISKrtandbEdge 14" xfId="16245" xr:uid="{00000000-0005-0000-0000-000083600000}"/>
    <cellStyle name="RISKrtandbEdge 14 2" xfId="16246" xr:uid="{00000000-0005-0000-0000-000084600000}"/>
    <cellStyle name="RISKrtandbEdge 14 3" xfId="16247" xr:uid="{00000000-0005-0000-0000-000085600000}"/>
    <cellStyle name="RISKrtandbEdge 15" xfId="16248" xr:uid="{00000000-0005-0000-0000-000086600000}"/>
    <cellStyle name="RISKrtandbEdge 15 2" xfId="16249" xr:uid="{00000000-0005-0000-0000-000087600000}"/>
    <cellStyle name="RISKrtandbEdge 15 3" xfId="16250" xr:uid="{00000000-0005-0000-0000-000088600000}"/>
    <cellStyle name="RISKrtandbEdge 16" xfId="16251" xr:uid="{00000000-0005-0000-0000-000089600000}"/>
    <cellStyle name="RISKrtandbEdge 16 2" xfId="16252" xr:uid="{00000000-0005-0000-0000-00008A600000}"/>
    <cellStyle name="RISKrtandbEdge 16 3" xfId="16253" xr:uid="{00000000-0005-0000-0000-00008B600000}"/>
    <cellStyle name="RISKrtandbEdge 17" xfId="16254" xr:uid="{00000000-0005-0000-0000-00008C600000}"/>
    <cellStyle name="RISKrtandbEdge 17 2" xfId="16255" xr:uid="{00000000-0005-0000-0000-00008D600000}"/>
    <cellStyle name="RISKrtandbEdge 17 3" xfId="16256" xr:uid="{00000000-0005-0000-0000-00008E600000}"/>
    <cellStyle name="RISKrtandbEdge 18" xfId="16257" xr:uid="{00000000-0005-0000-0000-00008F600000}"/>
    <cellStyle name="RISKrtandbEdge 18 2" xfId="16258" xr:uid="{00000000-0005-0000-0000-000090600000}"/>
    <cellStyle name="RISKrtandbEdge 18 3" xfId="16259" xr:uid="{00000000-0005-0000-0000-000091600000}"/>
    <cellStyle name="RISKrtandbEdge 19" xfId="16260" xr:uid="{00000000-0005-0000-0000-000092600000}"/>
    <cellStyle name="RISKrtandbEdge 19 2" xfId="16261" xr:uid="{00000000-0005-0000-0000-000093600000}"/>
    <cellStyle name="RISKrtandbEdge 19 3" xfId="16262" xr:uid="{00000000-0005-0000-0000-000094600000}"/>
    <cellStyle name="RISKrtandbEdge 2" xfId="16263" xr:uid="{00000000-0005-0000-0000-000095600000}"/>
    <cellStyle name="RISKrtandbEdge 2 2" xfId="16264" xr:uid="{00000000-0005-0000-0000-000096600000}"/>
    <cellStyle name="RISKrtandbEdge 2 3" xfId="16265" xr:uid="{00000000-0005-0000-0000-000097600000}"/>
    <cellStyle name="RISKrtandbEdge 20" xfId="16266" xr:uid="{00000000-0005-0000-0000-000098600000}"/>
    <cellStyle name="RISKrtandbEdge 20 2" xfId="16267" xr:uid="{00000000-0005-0000-0000-000099600000}"/>
    <cellStyle name="RISKrtandbEdge 20 3" xfId="16268" xr:uid="{00000000-0005-0000-0000-00009A600000}"/>
    <cellStyle name="RISKrtandbEdge 21" xfId="16269" xr:uid="{00000000-0005-0000-0000-00009B600000}"/>
    <cellStyle name="RISKrtandbEdge 21 2" xfId="16270" xr:uid="{00000000-0005-0000-0000-00009C600000}"/>
    <cellStyle name="RISKrtandbEdge 21 3" xfId="16271" xr:uid="{00000000-0005-0000-0000-00009D600000}"/>
    <cellStyle name="RISKrtandbEdge 22" xfId="16272" xr:uid="{00000000-0005-0000-0000-00009E600000}"/>
    <cellStyle name="RISKrtandbEdge 22 2" xfId="16273" xr:uid="{00000000-0005-0000-0000-00009F600000}"/>
    <cellStyle name="RISKrtandbEdge 22 3" xfId="16274" xr:uid="{00000000-0005-0000-0000-0000A0600000}"/>
    <cellStyle name="RISKrtandbEdge 23" xfId="16275" xr:uid="{00000000-0005-0000-0000-0000A1600000}"/>
    <cellStyle name="RISKrtandbEdge 23 2" xfId="16276" xr:uid="{00000000-0005-0000-0000-0000A2600000}"/>
    <cellStyle name="RISKrtandbEdge 23 3" xfId="16277" xr:uid="{00000000-0005-0000-0000-0000A3600000}"/>
    <cellStyle name="RISKrtandbEdge 24" xfId="16278" xr:uid="{00000000-0005-0000-0000-0000A4600000}"/>
    <cellStyle name="RISKrtandbEdge 24 2" xfId="16279" xr:uid="{00000000-0005-0000-0000-0000A5600000}"/>
    <cellStyle name="RISKrtandbEdge 24 3" xfId="16280" xr:uid="{00000000-0005-0000-0000-0000A6600000}"/>
    <cellStyle name="RISKrtandbEdge 25" xfId="16281" xr:uid="{00000000-0005-0000-0000-0000A7600000}"/>
    <cellStyle name="RISKrtandbEdge 25 2" xfId="16282" xr:uid="{00000000-0005-0000-0000-0000A8600000}"/>
    <cellStyle name="RISKrtandbEdge 25 3" xfId="16283" xr:uid="{00000000-0005-0000-0000-0000A9600000}"/>
    <cellStyle name="RISKrtandbEdge 26" xfId="16284" xr:uid="{00000000-0005-0000-0000-0000AA600000}"/>
    <cellStyle name="RISKrtandbEdge 26 2" xfId="16285" xr:uid="{00000000-0005-0000-0000-0000AB600000}"/>
    <cellStyle name="RISKrtandbEdge 26 3" xfId="16286" xr:uid="{00000000-0005-0000-0000-0000AC600000}"/>
    <cellStyle name="RISKrtandbEdge 27" xfId="16287" xr:uid="{00000000-0005-0000-0000-0000AD600000}"/>
    <cellStyle name="RISKrtandbEdge 27 2" xfId="16288" xr:uid="{00000000-0005-0000-0000-0000AE600000}"/>
    <cellStyle name="RISKrtandbEdge 27 3" xfId="16289" xr:uid="{00000000-0005-0000-0000-0000AF600000}"/>
    <cellStyle name="RISKrtandbEdge 28" xfId="16290" xr:uid="{00000000-0005-0000-0000-0000B0600000}"/>
    <cellStyle name="RISKrtandbEdge 28 2" xfId="16291" xr:uid="{00000000-0005-0000-0000-0000B1600000}"/>
    <cellStyle name="RISKrtandbEdge 28 3" xfId="16292" xr:uid="{00000000-0005-0000-0000-0000B2600000}"/>
    <cellStyle name="RISKrtandbEdge 29" xfId="16293" xr:uid="{00000000-0005-0000-0000-0000B3600000}"/>
    <cellStyle name="RISKrtandbEdge 29 2" xfId="16294" xr:uid="{00000000-0005-0000-0000-0000B4600000}"/>
    <cellStyle name="RISKrtandbEdge 29 3" xfId="16295" xr:uid="{00000000-0005-0000-0000-0000B5600000}"/>
    <cellStyle name="RISKrtandbEdge 3" xfId="16296" xr:uid="{00000000-0005-0000-0000-0000B6600000}"/>
    <cellStyle name="RISKrtandbEdge 3 2" xfId="16297" xr:uid="{00000000-0005-0000-0000-0000B7600000}"/>
    <cellStyle name="RISKrtandbEdge 3 3" xfId="16298" xr:uid="{00000000-0005-0000-0000-0000B8600000}"/>
    <cellStyle name="RISKrtandbEdge 30" xfId="16299" xr:uid="{00000000-0005-0000-0000-0000B9600000}"/>
    <cellStyle name="RISKrtandbEdge 30 2" xfId="16300" xr:uid="{00000000-0005-0000-0000-0000BA600000}"/>
    <cellStyle name="RISKrtandbEdge 30 3" xfId="16301" xr:uid="{00000000-0005-0000-0000-0000BB600000}"/>
    <cellStyle name="RISKrtandbEdge 31" xfId="16302" xr:uid="{00000000-0005-0000-0000-0000BC600000}"/>
    <cellStyle name="RISKrtandbEdge 31 2" xfId="16303" xr:uid="{00000000-0005-0000-0000-0000BD600000}"/>
    <cellStyle name="RISKrtandbEdge 31 3" xfId="16304" xr:uid="{00000000-0005-0000-0000-0000BE600000}"/>
    <cellStyle name="RISKrtandbEdge 32" xfId="16305" xr:uid="{00000000-0005-0000-0000-0000BF600000}"/>
    <cellStyle name="RISKrtandbEdge 32 2" xfId="16306" xr:uid="{00000000-0005-0000-0000-0000C0600000}"/>
    <cellStyle name="RISKrtandbEdge 32 3" xfId="16307" xr:uid="{00000000-0005-0000-0000-0000C1600000}"/>
    <cellStyle name="RISKrtandbEdge 33" xfId="16308" xr:uid="{00000000-0005-0000-0000-0000C2600000}"/>
    <cellStyle name="RISKrtandbEdge 33 2" xfId="16309" xr:uid="{00000000-0005-0000-0000-0000C3600000}"/>
    <cellStyle name="RISKrtandbEdge 33 3" xfId="16310" xr:uid="{00000000-0005-0000-0000-0000C4600000}"/>
    <cellStyle name="RISKrtandbEdge 34" xfId="16311" xr:uid="{00000000-0005-0000-0000-0000C5600000}"/>
    <cellStyle name="RISKrtandbEdge 34 2" xfId="16312" xr:uid="{00000000-0005-0000-0000-0000C6600000}"/>
    <cellStyle name="RISKrtandbEdge 34 3" xfId="16313" xr:uid="{00000000-0005-0000-0000-0000C7600000}"/>
    <cellStyle name="RISKrtandbEdge 35" xfId="16314" xr:uid="{00000000-0005-0000-0000-0000C8600000}"/>
    <cellStyle name="RISKrtandbEdge 35 2" xfId="16315" xr:uid="{00000000-0005-0000-0000-0000C9600000}"/>
    <cellStyle name="RISKrtandbEdge 35 3" xfId="16316" xr:uid="{00000000-0005-0000-0000-0000CA600000}"/>
    <cellStyle name="RISKrtandbEdge 36" xfId="16317" xr:uid="{00000000-0005-0000-0000-0000CB600000}"/>
    <cellStyle name="RISKrtandbEdge 36 2" xfId="16318" xr:uid="{00000000-0005-0000-0000-0000CC600000}"/>
    <cellStyle name="RISKrtandbEdge 36 3" xfId="16319" xr:uid="{00000000-0005-0000-0000-0000CD600000}"/>
    <cellStyle name="RISKrtandbEdge 37" xfId="16320" xr:uid="{00000000-0005-0000-0000-0000CE600000}"/>
    <cellStyle name="RISKrtandbEdge 37 2" xfId="16321" xr:uid="{00000000-0005-0000-0000-0000CF600000}"/>
    <cellStyle name="RISKrtandbEdge 37 3" xfId="16322" xr:uid="{00000000-0005-0000-0000-0000D0600000}"/>
    <cellStyle name="RISKrtandbEdge 38" xfId="16323" xr:uid="{00000000-0005-0000-0000-0000D1600000}"/>
    <cellStyle name="RISKrtandbEdge 38 2" xfId="16324" xr:uid="{00000000-0005-0000-0000-0000D2600000}"/>
    <cellStyle name="RISKrtandbEdge 38 3" xfId="16325" xr:uid="{00000000-0005-0000-0000-0000D3600000}"/>
    <cellStyle name="RISKrtandbEdge 39" xfId="16326" xr:uid="{00000000-0005-0000-0000-0000D4600000}"/>
    <cellStyle name="RISKrtandbEdge 39 2" xfId="16327" xr:uid="{00000000-0005-0000-0000-0000D5600000}"/>
    <cellStyle name="RISKrtandbEdge 39 3" xfId="16328" xr:uid="{00000000-0005-0000-0000-0000D6600000}"/>
    <cellStyle name="RISKrtandbEdge 4" xfId="16329" xr:uid="{00000000-0005-0000-0000-0000D7600000}"/>
    <cellStyle name="RISKrtandbEdge 4 2" xfId="16330" xr:uid="{00000000-0005-0000-0000-0000D8600000}"/>
    <cellStyle name="RISKrtandbEdge 4 3" xfId="16331" xr:uid="{00000000-0005-0000-0000-0000D9600000}"/>
    <cellStyle name="RISKrtandbEdge 40" xfId="16332" xr:uid="{00000000-0005-0000-0000-0000DA600000}"/>
    <cellStyle name="RISKrtandbEdge 40 2" xfId="16333" xr:uid="{00000000-0005-0000-0000-0000DB600000}"/>
    <cellStyle name="RISKrtandbEdge 40 3" xfId="16334" xr:uid="{00000000-0005-0000-0000-0000DC600000}"/>
    <cellStyle name="RISKrtandbEdge 41" xfId="16335" xr:uid="{00000000-0005-0000-0000-0000DD600000}"/>
    <cellStyle name="RISKrtandbEdge 41 2" xfId="16336" xr:uid="{00000000-0005-0000-0000-0000DE600000}"/>
    <cellStyle name="RISKrtandbEdge 41 3" xfId="16337" xr:uid="{00000000-0005-0000-0000-0000DF600000}"/>
    <cellStyle name="RISKrtandbEdge 42" xfId="16338" xr:uid="{00000000-0005-0000-0000-0000E0600000}"/>
    <cellStyle name="RISKrtandbEdge 42 2" xfId="16339" xr:uid="{00000000-0005-0000-0000-0000E1600000}"/>
    <cellStyle name="RISKrtandbEdge 42 3" xfId="16340" xr:uid="{00000000-0005-0000-0000-0000E2600000}"/>
    <cellStyle name="RISKrtandbEdge 43" xfId="16341" xr:uid="{00000000-0005-0000-0000-0000E3600000}"/>
    <cellStyle name="RISKrtandbEdge 44" xfId="16342" xr:uid="{00000000-0005-0000-0000-0000E4600000}"/>
    <cellStyle name="RISKrtandbEdge 5" xfId="16343" xr:uid="{00000000-0005-0000-0000-0000E5600000}"/>
    <cellStyle name="RISKrtandbEdge 5 2" xfId="16344" xr:uid="{00000000-0005-0000-0000-0000E6600000}"/>
    <cellStyle name="RISKrtandbEdge 5 3" xfId="16345" xr:uid="{00000000-0005-0000-0000-0000E7600000}"/>
    <cellStyle name="RISKrtandbEdge 6" xfId="16346" xr:uid="{00000000-0005-0000-0000-0000E8600000}"/>
    <cellStyle name="RISKrtandbEdge 6 2" xfId="16347" xr:uid="{00000000-0005-0000-0000-0000E9600000}"/>
    <cellStyle name="RISKrtandbEdge 6 3" xfId="16348" xr:uid="{00000000-0005-0000-0000-0000EA600000}"/>
    <cellStyle name="RISKrtandbEdge 7" xfId="16349" xr:uid="{00000000-0005-0000-0000-0000EB600000}"/>
    <cellStyle name="RISKrtandbEdge 7 2" xfId="16350" xr:uid="{00000000-0005-0000-0000-0000EC600000}"/>
    <cellStyle name="RISKrtandbEdge 7 3" xfId="16351" xr:uid="{00000000-0005-0000-0000-0000ED600000}"/>
    <cellStyle name="RISKrtandbEdge 8" xfId="16352" xr:uid="{00000000-0005-0000-0000-0000EE600000}"/>
    <cellStyle name="RISKrtandbEdge 8 2" xfId="16353" xr:uid="{00000000-0005-0000-0000-0000EF600000}"/>
    <cellStyle name="RISKrtandbEdge 8 3" xfId="16354" xr:uid="{00000000-0005-0000-0000-0000F0600000}"/>
    <cellStyle name="RISKrtandbEdge 9" xfId="16355" xr:uid="{00000000-0005-0000-0000-0000F1600000}"/>
    <cellStyle name="RISKrtandbEdge 9 2" xfId="16356" xr:uid="{00000000-0005-0000-0000-0000F2600000}"/>
    <cellStyle name="RISKrtandbEdge 9 3" xfId="16357" xr:uid="{00000000-0005-0000-0000-0000F3600000}"/>
    <cellStyle name="RISKrtandbEdge_DATA Input" xfId="16358" xr:uid="{00000000-0005-0000-0000-0000F4600000}"/>
    <cellStyle name="RISKssTime" xfId="501" xr:uid="{00000000-0005-0000-0000-0000F5600000}"/>
    <cellStyle name="RISKtandbEdge" xfId="502" xr:uid="{00000000-0005-0000-0000-0000F6600000}"/>
    <cellStyle name="RISKtandbEdge 10" xfId="16359" xr:uid="{00000000-0005-0000-0000-0000F7600000}"/>
    <cellStyle name="RISKtandbEdge 10 2" xfId="16360" xr:uid="{00000000-0005-0000-0000-0000F8600000}"/>
    <cellStyle name="RISKtandbEdge 10 3" xfId="16361" xr:uid="{00000000-0005-0000-0000-0000F9600000}"/>
    <cellStyle name="RISKtandbEdge 11" xfId="16362" xr:uid="{00000000-0005-0000-0000-0000FA600000}"/>
    <cellStyle name="RISKtandbEdge 11 2" xfId="16363" xr:uid="{00000000-0005-0000-0000-0000FB600000}"/>
    <cellStyle name="RISKtandbEdge 11 3" xfId="16364" xr:uid="{00000000-0005-0000-0000-0000FC600000}"/>
    <cellStyle name="RISKtandbEdge 12" xfId="16365" xr:uid="{00000000-0005-0000-0000-0000FD600000}"/>
    <cellStyle name="RISKtandbEdge 12 2" xfId="16366" xr:uid="{00000000-0005-0000-0000-0000FE600000}"/>
    <cellStyle name="RISKtandbEdge 12 3" xfId="16367" xr:uid="{00000000-0005-0000-0000-0000FF600000}"/>
    <cellStyle name="RISKtandbEdge 13" xfId="16368" xr:uid="{00000000-0005-0000-0000-000000610000}"/>
    <cellStyle name="RISKtandbEdge 13 2" xfId="16369" xr:uid="{00000000-0005-0000-0000-000001610000}"/>
    <cellStyle name="RISKtandbEdge 13 3" xfId="16370" xr:uid="{00000000-0005-0000-0000-000002610000}"/>
    <cellStyle name="RISKtandbEdge 14" xfId="16371" xr:uid="{00000000-0005-0000-0000-000003610000}"/>
    <cellStyle name="RISKtandbEdge 14 2" xfId="16372" xr:uid="{00000000-0005-0000-0000-000004610000}"/>
    <cellStyle name="RISKtandbEdge 14 3" xfId="16373" xr:uid="{00000000-0005-0000-0000-000005610000}"/>
    <cellStyle name="RISKtandbEdge 15" xfId="16374" xr:uid="{00000000-0005-0000-0000-000006610000}"/>
    <cellStyle name="RISKtandbEdge 15 2" xfId="16375" xr:uid="{00000000-0005-0000-0000-000007610000}"/>
    <cellStyle name="RISKtandbEdge 15 3" xfId="16376" xr:uid="{00000000-0005-0000-0000-000008610000}"/>
    <cellStyle name="RISKtandbEdge 16" xfId="16377" xr:uid="{00000000-0005-0000-0000-000009610000}"/>
    <cellStyle name="RISKtandbEdge 16 2" xfId="16378" xr:uid="{00000000-0005-0000-0000-00000A610000}"/>
    <cellStyle name="RISKtandbEdge 16 3" xfId="16379" xr:uid="{00000000-0005-0000-0000-00000B610000}"/>
    <cellStyle name="RISKtandbEdge 17" xfId="16380" xr:uid="{00000000-0005-0000-0000-00000C610000}"/>
    <cellStyle name="RISKtandbEdge 17 2" xfId="16381" xr:uid="{00000000-0005-0000-0000-00000D610000}"/>
    <cellStyle name="RISKtandbEdge 17 3" xfId="16382" xr:uid="{00000000-0005-0000-0000-00000E610000}"/>
    <cellStyle name="RISKtandbEdge 18" xfId="16383" xr:uid="{00000000-0005-0000-0000-00000F610000}"/>
    <cellStyle name="RISKtandbEdge 18 2" xfId="16384" xr:uid="{00000000-0005-0000-0000-000010610000}"/>
    <cellStyle name="RISKtandbEdge 18 3" xfId="16385" xr:uid="{00000000-0005-0000-0000-000011610000}"/>
    <cellStyle name="RISKtandbEdge 19" xfId="16386" xr:uid="{00000000-0005-0000-0000-000012610000}"/>
    <cellStyle name="RISKtandbEdge 19 2" xfId="16387" xr:uid="{00000000-0005-0000-0000-000013610000}"/>
    <cellStyle name="RISKtandbEdge 19 3" xfId="16388" xr:uid="{00000000-0005-0000-0000-000014610000}"/>
    <cellStyle name="RISKtandbEdge 2" xfId="16389" xr:uid="{00000000-0005-0000-0000-000015610000}"/>
    <cellStyle name="RISKtandbEdge 2 2" xfId="16390" xr:uid="{00000000-0005-0000-0000-000016610000}"/>
    <cellStyle name="RISKtandbEdge 2 3" xfId="16391" xr:uid="{00000000-0005-0000-0000-000017610000}"/>
    <cellStyle name="RISKtandbEdge 20" xfId="16392" xr:uid="{00000000-0005-0000-0000-000018610000}"/>
    <cellStyle name="RISKtandbEdge 20 2" xfId="16393" xr:uid="{00000000-0005-0000-0000-000019610000}"/>
    <cellStyle name="RISKtandbEdge 20 3" xfId="16394" xr:uid="{00000000-0005-0000-0000-00001A610000}"/>
    <cellStyle name="RISKtandbEdge 21" xfId="16395" xr:uid="{00000000-0005-0000-0000-00001B610000}"/>
    <cellStyle name="RISKtandbEdge 21 2" xfId="16396" xr:uid="{00000000-0005-0000-0000-00001C610000}"/>
    <cellStyle name="RISKtandbEdge 21 3" xfId="16397" xr:uid="{00000000-0005-0000-0000-00001D610000}"/>
    <cellStyle name="RISKtandbEdge 22" xfId="16398" xr:uid="{00000000-0005-0000-0000-00001E610000}"/>
    <cellStyle name="RISKtandbEdge 22 2" xfId="16399" xr:uid="{00000000-0005-0000-0000-00001F610000}"/>
    <cellStyle name="RISKtandbEdge 22 3" xfId="16400" xr:uid="{00000000-0005-0000-0000-000020610000}"/>
    <cellStyle name="RISKtandbEdge 23" xfId="16401" xr:uid="{00000000-0005-0000-0000-000021610000}"/>
    <cellStyle name="RISKtandbEdge 23 2" xfId="16402" xr:uid="{00000000-0005-0000-0000-000022610000}"/>
    <cellStyle name="RISKtandbEdge 23 3" xfId="16403" xr:uid="{00000000-0005-0000-0000-000023610000}"/>
    <cellStyle name="RISKtandbEdge 24" xfId="16404" xr:uid="{00000000-0005-0000-0000-000024610000}"/>
    <cellStyle name="RISKtandbEdge 24 2" xfId="16405" xr:uid="{00000000-0005-0000-0000-000025610000}"/>
    <cellStyle name="RISKtandbEdge 24 3" xfId="16406" xr:uid="{00000000-0005-0000-0000-000026610000}"/>
    <cellStyle name="RISKtandbEdge 25" xfId="16407" xr:uid="{00000000-0005-0000-0000-000027610000}"/>
    <cellStyle name="RISKtandbEdge 25 2" xfId="16408" xr:uid="{00000000-0005-0000-0000-000028610000}"/>
    <cellStyle name="RISKtandbEdge 25 3" xfId="16409" xr:uid="{00000000-0005-0000-0000-000029610000}"/>
    <cellStyle name="RISKtandbEdge 26" xfId="16410" xr:uid="{00000000-0005-0000-0000-00002A610000}"/>
    <cellStyle name="RISKtandbEdge 26 2" xfId="16411" xr:uid="{00000000-0005-0000-0000-00002B610000}"/>
    <cellStyle name="RISKtandbEdge 26 3" xfId="16412" xr:uid="{00000000-0005-0000-0000-00002C610000}"/>
    <cellStyle name="RISKtandbEdge 27" xfId="16413" xr:uid="{00000000-0005-0000-0000-00002D610000}"/>
    <cellStyle name="RISKtandbEdge 27 2" xfId="16414" xr:uid="{00000000-0005-0000-0000-00002E610000}"/>
    <cellStyle name="RISKtandbEdge 27 3" xfId="16415" xr:uid="{00000000-0005-0000-0000-00002F610000}"/>
    <cellStyle name="RISKtandbEdge 28" xfId="16416" xr:uid="{00000000-0005-0000-0000-000030610000}"/>
    <cellStyle name="RISKtandbEdge 28 2" xfId="16417" xr:uid="{00000000-0005-0000-0000-000031610000}"/>
    <cellStyle name="RISKtandbEdge 28 3" xfId="16418" xr:uid="{00000000-0005-0000-0000-000032610000}"/>
    <cellStyle name="RISKtandbEdge 29" xfId="16419" xr:uid="{00000000-0005-0000-0000-000033610000}"/>
    <cellStyle name="RISKtandbEdge 29 2" xfId="16420" xr:uid="{00000000-0005-0000-0000-000034610000}"/>
    <cellStyle name="RISKtandbEdge 29 3" xfId="16421" xr:uid="{00000000-0005-0000-0000-000035610000}"/>
    <cellStyle name="RISKtandbEdge 3" xfId="16422" xr:uid="{00000000-0005-0000-0000-000036610000}"/>
    <cellStyle name="RISKtandbEdge 3 2" xfId="16423" xr:uid="{00000000-0005-0000-0000-000037610000}"/>
    <cellStyle name="RISKtandbEdge 3 3" xfId="16424" xr:uid="{00000000-0005-0000-0000-000038610000}"/>
    <cellStyle name="RISKtandbEdge 30" xfId="16425" xr:uid="{00000000-0005-0000-0000-000039610000}"/>
    <cellStyle name="RISKtandbEdge 30 2" xfId="16426" xr:uid="{00000000-0005-0000-0000-00003A610000}"/>
    <cellStyle name="RISKtandbEdge 30 3" xfId="16427" xr:uid="{00000000-0005-0000-0000-00003B610000}"/>
    <cellStyle name="RISKtandbEdge 31" xfId="16428" xr:uid="{00000000-0005-0000-0000-00003C610000}"/>
    <cellStyle name="RISKtandbEdge 31 2" xfId="16429" xr:uid="{00000000-0005-0000-0000-00003D610000}"/>
    <cellStyle name="RISKtandbEdge 31 3" xfId="16430" xr:uid="{00000000-0005-0000-0000-00003E610000}"/>
    <cellStyle name="RISKtandbEdge 32" xfId="16431" xr:uid="{00000000-0005-0000-0000-00003F610000}"/>
    <cellStyle name="RISKtandbEdge 32 2" xfId="16432" xr:uid="{00000000-0005-0000-0000-000040610000}"/>
    <cellStyle name="RISKtandbEdge 32 3" xfId="16433" xr:uid="{00000000-0005-0000-0000-000041610000}"/>
    <cellStyle name="RISKtandbEdge 33" xfId="16434" xr:uid="{00000000-0005-0000-0000-000042610000}"/>
    <cellStyle name="RISKtandbEdge 33 2" xfId="16435" xr:uid="{00000000-0005-0000-0000-000043610000}"/>
    <cellStyle name="RISKtandbEdge 33 3" xfId="16436" xr:uid="{00000000-0005-0000-0000-000044610000}"/>
    <cellStyle name="RISKtandbEdge 34" xfId="16437" xr:uid="{00000000-0005-0000-0000-000045610000}"/>
    <cellStyle name="RISKtandbEdge 34 2" xfId="16438" xr:uid="{00000000-0005-0000-0000-000046610000}"/>
    <cellStyle name="RISKtandbEdge 34 3" xfId="16439" xr:uid="{00000000-0005-0000-0000-000047610000}"/>
    <cellStyle name="RISKtandbEdge 35" xfId="16440" xr:uid="{00000000-0005-0000-0000-000048610000}"/>
    <cellStyle name="RISKtandbEdge 35 2" xfId="16441" xr:uid="{00000000-0005-0000-0000-000049610000}"/>
    <cellStyle name="RISKtandbEdge 35 3" xfId="16442" xr:uid="{00000000-0005-0000-0000-00004A610000}"/>
    <cellStyle name="RISKtandbEdge 36" xfId="16443" xr:uid="{00000000-0005-0000-0000-00004B610000}"/>
    <cellStyle name="RISKtandbEdge 36 2" xfId="16444" xr:uid="{00000000-0005-0000-0000-00004C610000}"/>
    <cellStyle name="RISKtandbEdge 36 3" xfId="16445" xr:uid="{00000000-0005-0000-0000-00004D610000}"/>
    <cellStyle name="RISKtandbEdge 37" xfId="16446" xr:uid="{00000000-0005-0000-0000-00004E610000}"/>
    <cellStyle name="RISKtandbEdge 37 2" xfId="16447" xr:uid="{00000000-0005-0000-0000-00004F610000}"/>
    <cellStyle name="RISKtandbEdge 37 3" xfId="16448" xr:uid="{00000000-0005-0000-0000-000050610000}"/>
    <cellStyle name="RISKtandbEdge 38" xfId="16449" xr:uid="{00000000-0005-0000-0000-000051610000}"/>
    <cellStyle name="RISKtandbEdge 38 2" xfId="16450" xr:uid="{00000000-0005-0000-0000-000052610000}"/>
    <cellStyle name="RISKtandbEdge 38 3" xfId="16451" xr:uid="{00000000-0005-0000-0000-000053610000}"/>
    <cellStyle name="RISKtandbEdge 39" xfId="16452" xr:uid="{00000000-0005-0000-0000-000054610000}"/>
    <cellStyle name="RISKtandbEdge 39 2" xfId="16453" xr:uid="{00000000-0005-0000-0000-000055610000}"/>
    <cellStyle name="RISKtandbEdge 39 3" xfId="16454" xr:uid="{00000000-0005-0000-0000-000056610000}"/>
    <cellStyle name="RISKtandbEdge 4" xfId="16455" xr:uid="{00000000-0005-0000-0000-000057610000}"/>
    <cellStyle name="RISKtandbEdge 4 2" xfId="16456" xr:uid="{00000000-0005-0000-0000-000058610000}"/>
    <cellStyle name="RISKtandbEdge 4 3" xfId="16457" xr:uid="{00000000-0005-0000-0000-000059610000}"/>
    <cellStyle name="RISKtandbEdge 40" xfId="16458" xr:uid="{00000000-0005-0000-0000-00005A610000}"/>
    <cellStyle name="RISKtandbEdge 40 2" xfId="16459" xr:uid="{00000000-0005-0000-0000-00005B610000}"/>
    <cellStyle name="RISKtandbEdge 40 3" xfId="16460" xr:uid="{00000000-0005-0000-0000-00005C610000}"/>
    <cellStyle name="RISKtandbEdge 41" xfId="16461" xr:uid="{00000000-0005-0000-0000-00005D610000}"/>
    <cellStyle name="RISKtandbEdge 41 2" xfId="16462" xr:uid="{00000000-0005-0000-0000-00005E610000}"/>
    <cellStyle name="RISKtandbEdge 41 3" xfId="16463" xr:uid="{00000000-0005-0000-0000-00005F610000}"/>
    <cellStyle name="RISKtandbEdge 42" xfId="16464" xr:uid="{00000000-0005-0000-0000-000060610000}"/>
    <cellStyle name="RISKtandbEdge 42 2" xfId="16465" xr:uid="{00000000-0005-0000-0000-000061610000}"/>
    <cellStyle name="RISKtandbEdge 42 3" xfId="16466" xr:uid="{00000000-0005-0000-0000-000062610000}"/>
    <cellStyle name="RISKtandbEdge 43" xfId="16467" xr:uid="{00000000-0005-0000-0000-000063610000}"/>
    <cellStyle name="RISKtandbEdge 44" xfId="16468" xr:uid="{00000000-0005-0000-0000-000064610000}"/>
    <cellStyle name="RISKtandbEdge 5" xfId="16469" xr:uid="{00000000-0005-0000-0000-000065610000}"/>
    <cellStyle name="RISKtandbEdge 5 2" xfId="16470" xr:uid="{00000000-0005-0000-0000-000066610000}"/>
    <cellStyle name="RISKtandbEdge 5 3" xfId="16471" xr:uid="{00000000-0005-0000-0000-000067610000}"/>
    <cellStyle name="RISKtandbEdge 6" xfId="16472" xr:uid="{00000000-0005-0000-0000-000068610000}"/>
    <cellStyle name="RISKtandbEdge 6 2" xfId="16473" xr:uid="{00000000-0005-0000-0000-000069610000}"/>
    <cellStyle name="RISKtandbEdge 6 3" xfId="16474" xr:uid="{00000000-0005-0000-0000-00006A610000}"/>
    <cellStyle name="RISKtandbEdge 7" xfId="16475" xr:uid="{00000000-0005-0000-0000-00006B610000}"/>
    <cellStyle name="RISKtandbEdge 7 2" xfId="16476" xr:uid="{00000000-0005-0000-0000-00006C610000}"/>
    <cellStyle name="RISKtandbEdge 7 3" xfId="16477" xr:uid="{00000000-0005-0000-0000-00006D610000}"/>
    <cellStyle name="RISKtandbEdge 8" xfId="16478" xr:uid="{00000000-0005-0000-0000-00006E610000}"/>
    <cellStyle name="RISKtandbEdge 8 2" xfId="16479" xr:uid="{00000000-0005-0000-0000-00006F610000}"/>
    <cellStyle name="RISKtandbEdge 8 3" xfId="16480" xr:uid="{00000000-0005-0000-0000-000070610000}"/>
    <cellStyle name="RISKtandbEdge 9" xfId="16481" xr:uid="{00000000-0005-0000-0000-000071610000}"/>
    <cellStyle name="RISKtandbEdge 9 2" xfId="16482" xr:uid="{00000000-0005-0000-0000-000072610000}"/>
    <cellStyle name="RISKtandbEdge 9 3" xfId="16483" xr:uid="{00000000-0005-0000-0000-000073610000}"/>
    <cellStyle name="RISKtandbEdge_DATA Input" xfId="16484" xr:uid="{00000000-0005-0000-0000-000074610000}"/>
    <cellStyle name="RISKtlandrEdge" xfId="503" xr:uid="{00000000-0005-0000-0000-000075610000}"/>
    <cellStyle name="RISKtlandrEdge 10" xfId="16485" xr:uid="{00000000-0005-0000-0000-000076610000}"/>
    <cellStyle name="RISKtlandrEdge 10 2" xfId="16486" xr:uid="{00000000-0005-0000-0000-000077610000}"/>
    <cellStyle name="RISKtlandrEdge 10 3" xfId="16487" xr:uid="{00000000-0005-0000-0000-000078610000}"/>
    <cellStyle name="RISKtlandrEdge 11" xfId="16488" xr:uid="{00000000-0005-0000-0000-000079610000}"/>
    <cellStyle name="RISKtlandrEdge 11 2" xfId="16489" xr:uid="{00000000-0005-0000-0000-00007A610000}"/>
    <cellStyle name="RISKtlandrEdge 11 3" xfId="16490" xr:uid="{00000000-0005-0000-0000-00007B610000}"/>
    <cellStyle name="RISKtlandrEdge 12" xfId="16491" xr:uid="{00000000-0005-0000-0000-00007C610000}"/>
    <cellStyle name="RISKtlandrEdge 12 2" xfId="16492" xr:uid="{00000000-0005-0000-0000-00007D610000}"/>
    <cellStyle name="RISKtlandrEdge 12 3" xfId="16493" xr:uid="{00000000-0005-0000-0000-00007E610000}"/>
    <cellStyle name="RISKtlandrEdge 13" xfId="16494" xr:uid="{00000000-0005-0000-0000-00007F610000}"/>
    <cellStyle name="RISKtlandrEdge 13 2" xfId="16495" xr:uid="{00000000-0005-0000-0000-000080610000}"/>
    <cellStyle name="RISKtlandrEdge 13 3" xfId="16496" xr:uid="{00000000-0005-0000-0000-000081610000}"/>
    <cellStyle name="RISKtlandrEdge 14" xfId="16497" xr:uid="{00000000-0005-0000-0000-000082610000}"/>
    <cellStyle name="RISKtlandrEdge 14 2" xfId="16498" xr:uid="{00000000-0005-0000-0000-000083610000}"/>
    <cellStyle name="RISKtlandrEdge 14 3" xfId="16499" xr:uid="{00000000-0005-0000-0000-000084610000}"/>
    <cellStyle name="RISKtlandrEdge 15" xfId="16500" xr:uid="{00000000-0005-0000-0000-000085610000}"/>
    <cellStyle name="RISKtlandrEdge 15 2" xfId="16501" xr:uid="{00000000-0005-0000-0000-000086610000}"/>
    <cellStyle name="RISKtlandrEdge 15 3" xfId="16502" xr:uid="{00000000-0005-0000-0000-000087610000}"/>
    <cellStyle name="RISKtlandrEdge 16" xfId="16503" xr:uid="{00000000-0005-0000-0000-000088610000}"/>
    <cellStyle name="RISKtlandrEdge 16 2" xfId="16504" xr:uid="{00000000-0005-0000-0000-000089610000}"/>
    <cellStyle name="RISKtlandrEdge 16 3" xfId="16505" xr:uid="{00000000-0005-0000-0000-00008A610000}"/>
    <cellStyle name="RISKtlandrEdge 17" xfId="16506" xr:uid="{00000000-0005-0000-0000-00008B610000}"/>
    <cellStyle name="RISKtlandrEdge 17 2" xfId="16507" xr:uid="{00000000-0005-0000-0000-00008C610000}"/>
    <cellStyle name="RISKtlandrEdge 17 3" xfId="16508" xr:uid="{00000000-0005-0000-0000-00008D610000}"/>
    <cellStyle name="RISKtlandrEdge 18" xfId="16509" xr:uid="{00000000-0005-0000-0000-00008E610000}"/>
    <cellStyle name="RISKtlandrEdge 18 2" xfId="16510" xr:uid="{00000000-0005-0000-0000-00008F610000}"/>
    <cellStyle name="RISKtlandrEdge 18 3" xfId="16511" xr:uid="{00000000-0005-0000-0000-000090610000}"/>
    <cellStyle name="RISKtlandrEdge 19" xfId="16512" xr:uid="{00000000-0005-0000-0000-000091610000}"/>
    <cellStyle name="RISKtlandrEdge 19 2" xfId="16513" xr:uid="{00000000-0005-0000-0000-000092610000}"/>
    <cellStyle name="RISKtlandrEdge 19 3" xfId="16514" xr:uid="{00000000-0005-0000-0000-000093610000}"/>
    <cellStyle name="RISKtlandrEdge 2" xfId="16515" xr:uid="{00000000-0005-0000-0000-000094610000}"/>
    <cellStyle name="RISKtlandrEdge 2 2" xfId="16516" xr:uid="{00000000-0005-0000-0000-000095610000}"/>
    <cellStyle name="RISKtlandrEdge 2 3" xfId="16517" xr:uid="{00000000-0005-0000-0000-000096610000}"/>
    <cellStyle name="RISKtlandrEdge 20" xfId="16518" xr:uid="{00000000-0005-0000-0000-000097610000}"/>
    <cellStyle name="RISKtlandrEdge 20 2" xfId="16519" xr:uid="{00000000-0005-0000-0000-000098610000}"/>
    <cellStyle name="RISKtlandrEdge 20 3" xfId="16520" xr:uid="{00000000-0005-0000-0000-000099610000}"/>
    <cellStyle name="RISKtlandrEdge 21" xfId="16521" xr:uid="{00000000-0005-0000-0000-00009A610000}"/>
    <cellStyle name="RISKtlandrEdge 21 2" xfId="16522" xr:uid="{00000000-0005-0000-0000-00009B610000}"/>
    <cellStyle name="RISKtlandrEdge 21 3" xfId="16523" xr:uid="{00000000-0005-0000-0000-00009C610000}"/>
    <cellStyle name="RISKtlandrEdge 22" xfId="16524" xr:uid="{00000000-0005-0000-0000-00009D610000}"/>
    <cellStyle name="RISKtlandrEdge 22 2" xfId="16525" xr:uid="{00000000-0005-0000-0000-00009E610000}"/>
    <cellStyle name="RISKtlandrEdge 22 3" xfId="16526" xr:uid="{00000000-0005-0000-0000-00009F610000}"/>
    <cellStyle name="RISKtlandrEdge 23" xfId="16527" xr:uid="{00000000-0005-0000-0000-0000A0610000}"/>
    <cellStyle name="RISKtlandrEdge 23 2" xfId="16528" xr:uid="{00000000-0005-0000-0000-0000A1610000}"/>
    <cellStyle name="RISKtlandrEdge 23 3" xfId="16529" xr:uid="{00000000-0005-0000-0000-0000A2610000}"/>
    <cellStyle name="RISKtlandrEdge 24" xfId="16530" xr:uid="{00000000-0005-0000-0000-0000A3610000}"/>
    <cellStyle name="RISKtlandrEdge 24 2" xfId="16531" xr:uid="{00000000-0005-0000-0000-0000A4610000}"/>
    <cellStyle name="RISKtlandrEdge 24 3" xfId="16532" xr:uid="{00000000-0005-0000-0000-0000A5610000}"/>
    <cellStyle name="RISKtlandrEdge 25" xfId="16533" xr:uid="{00000000-0005-0000-0000-0000A6610000}"/>
    <cellStyle name="RISKtlandrEdge 25 2" xfId="16534" xr:uid="{00000000-0005-0000-0000-0000A7610000}"/>
    <cellStyle name="RISKtlandrEdge 25 3" xfId="16535" xr:uid="{00000000-0005-0000-0000-0000A8610000}"/>
    <cellStyle name="RISKtlandrEdge 26" xfId="16536" xr:uid="{00000000-0005-0000-0000-0000A9610000}"/>
    <cellStyle name="RISKtlandrEdge 26 2" xfId="16537" xr:uid="{00000000-0005-0000-0000-0000AA610000}"/>
    <cellStyle name="RISKtlandrEdge 26 3" xfId="16538" xr:uid="{00000000-0005-0000-0000-0000AB610000}"/>
    <cellStyle name="RISKtlandrEdge 27" xfId="16539" xr:uid="{00000000-0005-0000-0000-0000AC610000}"/>
    <cellStyle name="RISKtlandrEdge 27 2" xfId="16540" xr:uid="{00000000-0005-0000-0000-0000AD610000}"/>
    <cellStyle name="RISKtlandrEdge 27 3" xfId="16541" xr:uid="{00000000-0005-0000-0000-0000AE610000}"/>
    <cellStyle name="RISKtlandrEdge 28" xfId="16542" xr:uid="{00000000-0005-0000-0000-0000AF610000}"/>
    <cellStyle name="RISKtlandrEdge 28 2" xfId="16543" xr:uid="{00000000-0005-0000-0000-0000B0610000}"/>
    <cellStyle name="RISKtlandrEdge 28 3" xfId="16544" xr:uid="{00000000-0005-0000-0000-0000B1610000}"/>
    <cellStyle name="RISKtlandrEdge 29" xfId="16545" xr:uid="{00000000-0005-0000-0000-0000B2610000}"/>
    <cellStyle name="RISKtlandrEdge 29 2" xfId="16546" xr:uid="{00000000-0005-0000-0000-0000B3610000}"/>
    <cellStyle name="RISKtlandrEdge 29 3" xfId="16547" xr:uid="{00000000-0005-0000-0000-0000B4610000}"/>
    <cellStyle name="RISKtlandrEdge 3" xfId="16548" xr:uid="{00000000-0005-0000-0000-0000B5610000}"/>
    <cellStyle name="RISKtlandrEdge 3 2" xfId="16549" xr:uid="{00000000-0005-0000-0000-0000B6610000}"/>
    <cellStyle name="RISKtlandrEdge 3 3" xfId="16550" xr:uid="{00000000-0005-0000-0000-0000B7610000}"/>
    <cellStyle name="RISKtlandrEdge 30" xfId="16551" xr:uid="{00000000-0005-0000-0000-0000B8610000}"/>
    <cellStyle name="RISKtlandrEdge 30 2" xfId="16552" xr:uid="{00000000-0005-0000-0000-0000B9610000}"/>
    <cellStyle name="RISKtlandrEdge 30 3" xfId="16553" xr:uid="{00000000-0005-0000-0000-0000BA610000}"/>
    <cellStyle name="RISKtlandrEdge 31" xfId="16554" xr:uid="{00000000-0005-0000-0000-0000BB610000}"/>
    <cellStyle name="RISKtlandrEdge 31 2" xfId="16555" xr:uid="{00000000-0005-0000-0000-0000BC610000}"/>
    <cellStyle name="RISKtlandrEdge 31 3" xfId="16556" xr:uid="{00000000-0005-0000-0000-0000BD610000}"/>
    <cellStyle name="RISKtlandrEdge 32" xfId="16557" xr:uid="{00000000-0005-0000-0000-0000BE610000}"/>
    <cellStyle name="RISKtlandrEdge 32 2" xfId="16558" xr:uid="{00000000-0005-0000-0000-0000BF610000}"/>
    <cellStyle name="RISKtlandrEdge 32 3" xfId="16559" xr:uid="{00000000-0005-0000-0000-0000C0610000}"/>
    <cellStyle name="RISKtlandrEdge 33" xfId="16560" xr:uid="{00000000-0005-0000-0000-0000C1610000}"/>
    <cellStyle name="RISKtlandrEdge 33 2" xfId="16561" xr:uid="{00000000-0005-0000-0000-0000C2610000}"/>
    <cellStyle name="RISKtlandrEdge 33 3" xfId="16562" xr:uid="{00000000-0005-0000-0000-0000C3610000}"/>
    <cellStyle name="RISKtlandrEdge 34" xfId="16563" xr:uid="{00000000-0005-0000-0000-0000C4610000}"/>
    <cellStyle name="RISKtlandrEdge 34 2" xfId="16564" xr:uid="{00000000-0005-0000-0000-0000C5610000}"/>
    <cellStyle name="RISKtlandrEdge 34 3" xfId="16565" xr:uid="{00000000-0005-0000-0000-0000C6610000}"/>
    <cellStyle name="RISKtlandrEdge 35" xfId="16566" xr:uid="{00000000-0005-0000-0000-0000C7610000}"/>
    <cellStyle name="RISKtlandrEdge 35 2" xfId="16567" xr:uid="{00000000-0005-0000-0000-0000C8610000}"/>
    <cellStyle name="RISKtlandrEdge 35 3" xfId="16568" xr:uid="{00000000-0005-0000-0000-0000C9610000}"/>
    <cellStyle name="RISKtlandrEdge 36" xfId="16569" xr:uid="{00000000-0005-0000-0000-0000CA610000}"/>
    <cellStyle name="RISKtlandrEdge 36 2" xfId="16570" xr:uid="{00000000-0005-0000-0000-0000CB610000}"/>
    <cellStyle name="RISKtlandrEdge 36 3" xfId="16571" xr:uid="{00000000-0005-0000-0000-0000CC610000}"/>
    <cellStyle name="RISKtlandrEdge 37" xfId="16572" xr:uid="{00000000-0005-0000-0000-0000CD610000}"/>
    <cellStyle name="RISKtlandrEdge 37 2" xfId="16573" xr:uid="{00000000-0005-0000-0000-0000CE610000}"/>
    <cellStyle name="RISKtlandrEdge 37 3" xfId="16574" xr:uid="{00000000-0005-0000-0000-0000CF610000}"/>
    <cellStyle name="RISKtlandrEdge 38" xfId="16575" xr:uid="{00000000-0005-0000-0000-0000D0610000}"/>
    <cellStyle name="RISKtlandrEdge 38 2" xfId="16576" xr:uid="{00000000-0005-0000-0000-0000D1610000}"/>
    <cellStyle name="RISKtlandrEdge 38 3" xfId="16577" xr:uid="{00000000-0005-0000-0000-0000D2610000}"/>
    <cellStyle name="RISKtlandrEdge 39" xfId="16578" xr:uid="{00000000-0005-0000-0000-0000D3610000}"/>
    <cellStyle name="RISKtlandrEdge 39 2" xfId="16579" xr:uid="{00000000-0005-0000-0000-0000D4610000}"/>
    <cellStyle name="RISKtlandrEdge 39 3" xfId="16580" xr:uid="{00000000-0005-0000-0000-0000D5610000}"/>
    <cellStyle name="RISKtlandrEdge 4" xfId="16581" xr:uid="{00000000-0005-0000-0000-0000D6610000}"/>
    <cellStyle name="RISKtlandrEdge 4 2" xfId="16582" xr:uid="{00000000-0005-0000-0000-0000D7610000}"/>
    <cellStyle name="RISKtlandrEdge 4 3" xfId="16583" xr:uid="{00000000-0005-0000-0000-0000D8610000}"/>
    <cellStyle name="RISKtlandrEdge 40" xfId="16584" xr:uid="{00000000-0005-0000-0000-0000D9610000}"/>
    <cellStyle name="RISKtlandrEdge 40 2" xfId="16585" xr:uid="{00000000-0005-0000-0000-0000DA610000}"/>
    <cellStyle name="RISKtlandrEdge 40 3" xfId="16586" xr:uid="{00000000-0005-0000-0000-0000DB610000}"/>
    <cellStyle name="RISKtlandrEdge 41" xfId="16587" xr:uid="{00000000-0005-0000-0000-0000DC610000}"/>
    <cellStyle name="RISKtlandrEdge 41 2" xfId="16588" xr:uid="{00000000-0005-0000-0000-0000DD610000}"/>
    <cellStyle name="RISKtlandrEdge 41 3" xfId="16589" xr:uid="{00000000-0005-0000-0000-0000DE610000}"/>
    <cellStyle name="RISKtlandrEdge 42" xfId="16590" xr:uid="{00000000-0005-0000-0000-0000DF610000}"/>
    <cellStyle name="RISKtlandrEdge 42 2" xfId="16591" xr:uid="{00000000-0005-0000-0000-0000E0610000}"/>
    <cellStyle name="RISKtlandrEdge 42 3" xfId="16592" xr:uid="{00000000-0005-0000-0000-0000E1610000}"/>
    <cellStyle name="RISKtlandrEdge 43" xfId="16593" xr:uid="{00000000-0005-0000-0000-0000E2610000}"/>
    <cellStyle name="RISKtlandrEdge 44" xfId="16594" xr:uid="{00000000-0005-0000-0000-0000E3610000}"/>
    <cellStyle name="RISKtlandrEdge 5" xfId="16595" xr:uid="{00000000-0005-0000-0000-0000E4610000}"/>
    <cellStyle name="RISKtlandrEdge 5 2" xfId="16596" xr:uid="{00000000-0005-0000-0000-0000E5610000}"/>
    <cellStyle name="RISKtlandrEdge 5 3" xfId="16597" xr:uid="{00000000-0005-0000-0000-0000E6610000}"/>
    <cellStyle name="RISKtlandrEdge 6" xfId="16598" xr:uid="{00000000-0005-0000-0000-0000E7610000}"/>
    <cellStyle name="RISKtlandrEdge 6 2" xfId="16599" xr:uid="{00000000-0005-0000-0000-0000E8610000}"/>
    <cellStyle name="RISKtlandrEdge 6 3" xfId="16600" xr:uid="{00000000-0005-0000-0000-0000E9610000}"/>
    <cellStyle name="RISKtlandrEdge 7" xfId="16601" xr:uid="{00000000-0005-0000-0000-0000EA610000}"/>
    <cellStyle name="RISKtlandrEdge 7 2" xfId="16602" xr:uid="{00000000-0005-0000-0000-0000EB610000}"/>
    <cellStyle name="RISKtlandrEdge 7 3" xfId="16603" xr:uid="{00000000-0005-0000-0000-0000EC610000}"/>
    <cellStyle name="RISKtlandrEdge 8" xfId="16604" xr:uid="{00000000-0005-0000-0000-0000ED610000}"/>
    <cellStyle name="RISKtlandrEdge 8 2" xfId="16605" xr:uid="{00000000-0005-0000-0000-0000EE610000}"/>
    <cellStyle name="RISKtlandrEdge 8 3" xfId="16606" xr:uid="{00000000-0005-0000-0000-0000EF610000}"/>
    <cellStyle name="RISKtlandrEdge 9" xfId="16607" xr:uid="{00000000-0005-0000-0000-0000F0610000}"/>
    <cellStyle name="RISKtlandrEdge 9 2" xfId="16608" xr:uid="{00000000-0005-0000-0000-0000F1610000}"/>
    <cellStyle name="RISKtlandrEdge 9 3" xfId="16609" xr:uid="{00000000-0005-0000-0000-0000F2610000}"/>
    <cellStyle name="RISKtlandrEdge_DATA Input" xfId="16610" xr:uid="{00000000-0005-0000-0000-0000F3610000}"/>
    <cellStyle name="RISKtlCorner" xfId="504" xr:uid="{00000000-0005-0000-0000-0000F4610000}"/>
    <cellStyle name="RISKtlCorner 10" xfId="16611" xr:uid="{00000000-0005-0000-0000-0000F5610000}"/>
    <cellStyle name="RISKtlCorner 10 2" xfId="16612" xr:uid="{00000000-0005-0000-0000-0000F6610000}"/>
    <cellStyle name="RISKtlCorner 10 3" xfId="16613" xr:uid="{00000000-0005-0000-0000-0000F7610000}"/>
    <cellStyle name="RISKtlCorner 11" xfId="16614" xr:uid="{00000000-0005-0000-0000-0000F8610000}"/>
    <cellStyle name="RISKtlCorner 11 2" xfId="16615" xr:uid="{00000000-0005-0000-0000-0000F9610000}"/>
    <cellStyle name="RISKtlCorner 11 3" xfId="16616" xr:uid="{00000000-0005-0000-0000-0000FA610000}"/>
    <cellStyle name="RISKtlCorner 12" xfId="16617" xr:uid="{00000000-0005-0000-0000-0000FB610000}"/>
    <cellStyle name="RISKtlCorner 12 2" xfId="16618" xr:uid="{00000000-0005-0000-0000-0000FC610000}"/>
    <cellStyle name="RISKtlCorner 12 3" xfId="16619" xr:uid="{00000000-0005-0000-0000-0000FD610000}"/>
    <cellStyle name="RISKtlCorner 13" xfId="16620" xr:uid="{00000000-0005-0000-0000-0000FE610000}"/>
    <cellStyle name="RISKtlCorner 13 2" xfId="16621" xr:uid="{00000000-0005-0000-0000-0000FF610000}"/>
    <cellStyle name="RISKtlCorner 13 3" xfId="16622" xr:uid="{00000000-0005-0000-0000-000000620000}"/>
    <cellStyle name="RISKtlCorner 14" xfId="16623" xr:uid="{00000000-0005-0000-0000-000001620000}"/>
    <cellStyle name="RISKtlCorner 14 2" xfId="16624" xr:uid="{00000000-0005-0000-0000-000002620000}"/>
    <cellStyle name="RISKtlCorner 14 3" xfId="16625" xr:uid="{00000000-0005-0000-0000-000003620000}"/>
    <cellStyle name="RISKtlCorner 15" xfId="16626" xr:uid="{00000000-0005-0000-0000-000004620000}"/>
    <cellStyle name="RISKtlCorner 15 2" xfId="16627" xr:uid="{00000000-0005-0000-0000-000005620000}"/>
    <cellStyle name="RISKtlCorner 15 3" xfId="16628" xr:uid="{00000000-0005-0000-0000-000006620000}"/>
    <cellStyle name="RISKtlCorner 16" xfId="16629" xr:uid="{00000000-0005-0000-0000-000007620000}"/>
    <cellStyle name="RISKtlCorner 16 2" xfId="16630" xr:uid="{00000000-0005-0000-0000-000008620000}"/>
    <cellStyle name="RISKtlCorner 16 3" xfId="16631" xr:uid="{00000000-0005-0000-0000-000009620000}"/>
    <cellStyle name="RISKtlCorner 17" xfId="16632" xr:uid="{00000000-0005-0000-0000-00000A620000}"/>
    <cellStyle name="RISKtlCorner 17 2" xfId="16633" xr:uid="{00000000-0005-0000-0000-00000B620000}"/>
    <cellStyle name="RISKtlCorner 17 3" xfId="16634" xr:uid="{00000000-0005-0000-0000-00000C620000}"/>
    <cellStyle name="RISKtlCorner 18" xfId="16635" xr:uid="{00000000-0005-0000-0000-00000D620000}"/>
    <cellStyle name="RISKtlCorner 18 2" xfId="16636" xr:uid="{00000000-0005-0000-0000-00000E620000}"/>
    <cellStyle name="RISKtlCorner 18 3" xfId="16637" xr:uid="{00000000-0005-0000-0000-00000F620000}"/>
    <cellStyle name="RISKtlCorner 19" xfId="16638" xr:uid="{00000000-0005-0000-0000-000010620000}"/>
    <cellStyle name="RISKtlCorner 19 2" xfId="16639" xr:uid="{00000000-0005-0000-0000-000011620000}"/>
    <cellStyle name="RISKtlCorner 19 3" xfId="16640" xr:uid="{00000000-0005-0000-0000-000012620000}"/>
    <cellStyle name="RISKtlCorner 2" xfId="16641" xr:uid="{00000000-0005-0000-0000-000013620000}"/>
    <cellStyle name="RISKtlCorner 2 2" xfId="16642" xr:uid="{00000000-0005-0000-0000-000014620000}"/>
    <cellStyle name="RISKtlCorner 2 3" xfId="16643" xr:uid="{00000000-0005-0000-0000-000015620000}"/>
    <cellStyle name="RISKtlCorner 20" xfId="16644" xr:uid="{00000000-0005-0000-0000-000016620000}"/>
    <cellStyle name="RISKtlCorner 20 2" xfId="16645" xr:uid="{00000000-0005-0000-0000-000017620000}"/>
    <cellStyle name="RISKtlCorner 20 3" xfId="16646" xr:uid="{00000000-0005-0000-0000-000018620000}"/>
    <cellStyle name="RISKtlCorner 21" xfId="16647" xr:uid="{00000000-0005-0000-0000-000019620000}"/>
    <cellStyle name="RISKtlCorner 21 2" xfId="16648" xr:uid="{00000000-0005-0000-0000-00001A620000}"/>
    <cellStyle name="RISKtlCorner 21 3" xfId="16649" xr:uid="{00000000-0005-0000-0000-00001B620000}"/>
    <cellStyle name="RISKtlCorner 22" xfId="16650" xr:uid="{00000000-0005-0000-0000-00001C620000}"/>
    <cellStyle name="RISKtlCorner 22 2" xfId="16651" xr:uid="{00000000-0005-0000-0000-00001D620000}"/>
    <cellStyle name="RISKtlCorner 22 3" xfId="16652" xr:uid="{00000000-0005-0000-0000-00001E620000}"/>
    <cellStyle name="RISKtlCorner 23" xfId="16653" xr:uid="{00000000-0005-0000-0000-00001F620000}"/>
    <cellStyle name="RISKtlCorner 23 2" xfId="16654" xr:uid="{00000000-0005-0000-0000-000020620000}"/>
    <cellStyle name="RISKtlCorner 23 3" xfId="16655" xr:uid="{00000000-0005-0000-0000-000021620000}"/>
    <cellStyle name="RISKtlCorner 24" xfId="16656" xr:uid="{00000000-0005-0000-0000-000022620000}"/>
    <cellStyle name="RISKtlCorner 24 2" xfId="16657" xr:uid="{00000000-0005-0000-0000-000023620000}"/>
    <cellStyle name="RISKtlCorner 24 3" xfId="16658" xr:uid="{00000000-0005-0000-0000-000024620000}"/>
    <cellStyle name="RISKtlCorner 25" xfId="16659" xr:uid="{00000000-0005-0000-0000-000025620000}"/>
    <cellStyle name="RISKtlCorner 25 2" xfId="16660" xr:uid="{00000000-0005-0000-0000-000026620000}"/>
    <cellStyle name="RISKtlCorner 25 3" xfId="16661" xr:uid="{00000000-0005-0000-0000-000027620000}"/>
    <cellStyle name="RISKtlCorner 26" xfId="16662" xr:uid="{00000000-0005-0000-0000-000028620000}"/>
    <cellStyle name="RISKtlCorner 26 2" xfId="16663" xr:uid="{00000000-0005-0000-0000-000029620000}"/>
    <cellStyle name="RISKtlCorner 26 3" xfId="16664" xr:uid="{00000000-0005-0000-0000-00002A620000}"/>
    <cellStyle name="RISKtlCorner 27" xfId="16665" xr:uid="{00000000-0005-0000-0000-00002B620000}"/>
    <cellStyle name="RISKtlCorner 27 2" xfId="16666" xr:uid="{00000000-0005-0000-0000-00002C620000}"/>
    <cellStyle name="RISKtlCorner 27 3" xfId="16667" xr:uid="{00000000-0005-0000-0000-00002D620000}"/>
    <cellStyle name="RISKtlCorner 28" xfId="16668" xr:uid="{00000000-0005-0000-0000-00002E620000}"/>
    <cellStyle name="RISKtlCorner 28 2" xfId="16669" xr:uid="{00000000-0005-0000-0000-00002F620000}"/>
    <cellStyle name="RISKtlCorner 28 3" xfId="16670" xr:uid="{00000000-0005-0000-0000-000030620000}"/>
    <cellStyle name="RISKtlCorner 29" xfId="16671" xr:uid="{00000000-0005-0000-0000-000031620000}"/>
    <cellStyle name="RISKtlCorner 29 2" xfId="16672" xr:uid="{00000000-0005-0000-0000-000032620000}"/>
    <cellStyle name="RISKtlCorner 29 3" xfId="16673" xr:uid="{00000000-0005-0000-0000-000033620000}"/>
    <cellStyle name="RISKtlCorner 3" xfId="16674" xr:uid="{00000000-0005-0000-0000-000034620000}"/>
    <cellStyle name="RISKtlCorner 3 2" xfId="16675" xr:uid="{00000000-0005-0000-0000-000035620000}"/>
    <cellStyle name="RISKtlCorner 3 3" xfId="16676" xr:uid="{00000000-0005-0000-0000-000036620000}"/>
    <cellStyle name="RISKtlCorner 30" xfId="16677" xr:uid="{00000000-0005-0000-0000-000037620000}"/>
    <cellStyle name="RISKtlCorner 30 2" xfId="16678" xr:uid="{00000000-0005-0000-0000-000038620000}"/>
    <cellStyle name="RISKtlCorner 30 3" xfId="16679" xr:uid="{00000000-0005-0000-0000-000039620000}"/>
    <cellStyle name="RISKtlCorner 31" xfId="16680" xr:uid="{00000000-0005-0000-0000-00003A620000}"/>
    <cellStyle name="RISKtlCorner 31 2" xfId="16681" xr:uid="{00000000-0005-0000-0000-00003B620000}"/>
    <cellStyle name="RISKtlCorner 31 3" xfId="16682" xr:uid="{00000000-0005-0000-0000-00003C620000}"/>
    <cellStyle name="RISKtlCorner 32" xfId="16683" xr:uid="{00000000-0005-0000-0000-00003D620000}"/>
    <cellStyle name="RISKtlCorner 32 2" xfId="16684" xr:uid="{00000000-0005-0000-0000-00003E620000}"/>
    <cellStyle name="RISKtlCorner 32 3" xfId="16685" xr:uid="{00000000-0005-0000-0000-00003F620000}"/>
    <cellStyle name="RISKtlCorner 33" xfId="16686" xr:uid="{00000000-0005-0000-0000-000040620000}"/>
    <cellStyle name="RISKtlCorner 33 2" xfId="16687" xr:uid="{00000000-0005-0000-0000-000041620000}"/>
    <cellStyle name="RISKtlCorner 33 3" xfId="16688" xr:uid="{00000000-0005-0000-0000-000042620000}"/>
    <cellStyle name="RISKtlCorner 34" xfId="16689" xr:uid="{00000000-0005-0000-0000-000043620000}"/>
    <cellStyle name="RISKtlCorner 34 2" xfId="16690" xr:uid="{00000000-0005-0000-0000-000044620000}"/>
    <cellStyle name="RISKtlCorner 34 3" xfId="16691" xr:uid="{00000000-0005-0000-0000-000045620000}"/>
    <cellStyle name="RISKtlCorner 35" xfId="16692" xr:uid="{00000000-0005-0000-0000-000046620000}"/>
    <cellStyle name="RISKtlCorner 35 2" xfId="16693" xr:uid="{00000000-0005-0000-0000-000047620000}"/>
    <cellStyle name="RISKtlCorner 35 3" xfId="16694" xr:uid="{00000000-0005-0000-0000-000048620000}"/>
    <cellStyle name="RISKtlCorner 36" xfId="16695" xr:uid="{00000000-0005-0000-0000-000049620000}"/>
    <cellStyle name="RISKtlCorner 36 2" xfId="16696" xr:uid="{00000000-0005-0000-0000-00004A620000}"/>
    <cellStyle name="RISKtlCorner 36 3" xfId="16697" xr:uid="{00000000-0005-0000-0000-00004B620000}"/>
    <cellStyle name="RISKtlCorner 37" xfId="16698" xr:uid="{00000000-0005-0000-0000-00004C620000}"/>
    <cellStyle name="RISKtlCorner 37 2" xfId="16699" xr:uid="{00000000-0005-0000-0000-00004D620000}"/>
    <cellStyle name="RISKtlCorner 37 3" xfId="16700" xr:uid="{00000000-0005-0000-0000-00004E620000}"/>
    <cellStyle name="RISKtlCorner 38" xfId="16701" xr:uid="{00000000-0005-0000-0000-00004F620000}"/>
    <cellStyle name="RISKtlCorner 38 2" xfId="16702" xr:uid="{00000000-0005-0000-0000-000050620000}"/>
    <cellStyle name="RISKtlCorner 38 3" xfId="16703" xr:uid="{00000000-0005-0000-0000-000051620000}"/>
    <cellStyle name="RISKtlCorner 39" xfId="16704" xr:uid="{00000000-0005-0000-0000-000052620000}"/>
    <cellStyle name="RISKtlCorner 39 2" xfId="16705" xr:uid="{00000000-0005-0000-0000-000053620000}"/>
    <cellStyle name="RISKtlCorner 39 3" xfId="16706" xr:uid="{00000000-0005-0000-0000-000054620000}"/>
    <cellStyle name="RISKtlCorner 4" xfId="16707" xr:uid="{00000000-0005-0000-0000-000055620000}"/>
    <cellStyle name="RISKtlCorner 4 2" xfId="16708" xr:uid="{00000000-0005-0000-0000-000056620000}"/>
    <cellStyle name="RISKtlCorner 4 3" xfId="16709" xr:uid="{00000000-0005-0000-0000-000057620000}"/>
    <cellStyle name="RISKtlCorner 40" xfId="16710" xr:uid="{00000000-0005-0000-0000-000058620000}"/>
    <cellStyle name="RISKtlCorner 40 2" xfId="16711" xr:uid="{00000000-0005-0000-0000-000059620000}"/>
    <cellStyle name="RISKtlCorner 40 3" xfId="16712" xr:uid="{00000000-0005-0000-0000-00005A620000}"/>
    <cellStyle name="RISKtlCorner 41" xfId="16713" xr:uid="{00000000-0005-0000-0000-00005B620000}"/>
    <cellStyle name="RISKtlCorner 41 2" xfId="16714" xr:uid="{00000000-0005-0000-0000-00005C620000}"/>
    <cellStyle name="RISKtlCorner 41 3" xfId="16715" xr:uid="{00000000-0005-0000-0000-00005D620000}"/>
    <cellStyle name="RISKtlCorner 42" xfId="16716" xr:uid="{00000000-0005-0000-0000-00005E620000}"/>
    <cellStyle name="RISKtlCorner 42 2" xfId="16717" xr:uid="{00000000-0005-0000-0000-00005F620000}"/>
    <cellStyle name="RISKtlCorner 42 3" xfId="16718" xr:uid="{00000000-0005-0000-0000-000060620000}"/>
    <cellStyle name="RISKtlCorner 43" xfId="16719" xr:uid="{00000000-0005-0000-0000-000061620000}"/>
    <cellStyle name="RISKtlCorner 44" xfId="16720" xr:uid="{00000000-0005-0000-0000-000062620000}"/>
    <cellStyle name="RISKtlCorner 5" xfId="16721" xr:uid="{00000000-0005-0000-0000-000063620000}"/>
    <cellStyle name="RISKtlCorner 5 2" xfId="16722" xr:uid="{00000000-0005-0000-0000-000064620000}"/>
    <cellStyle name="RISKtlCorner 5 3" xfId="16723" xr:uid="{00000000-0005-0000-0000-000065620000}"/>
    <cellStyle name="RISKtlCorner 6" xfId="16724" xr:uid="{00000000-0005-0000-0000-000066620000}"/>
    <cellStyle name="RISKtlCorner 6 2" xfId="16725" xr:uid="{00000000-0005-0000-0000-000067620000}"/>
    <cellStyle name="RISKtlCorner 6 3" xfId="16726" xr:uid="{00000000-0005-0000-0000-000068620000}"/>
    <cellStyle name="RISKtlCorner 7" xfId="16727" xr:uid="{00000000-0005-0000-0000-000069620000}"/>
    <cellStyle name="RISKtlCorner 7 2" xfId="16728" xr:uid="{00000000-0005-0000-0000-00006A620000}"/>
    <cellStyle name="RISKtlCorner 7 3" xfId="16729" xr:uid="{00000000-0005-0000-0000-00006B620000}"/>
    <cellStyle name="RISKtlCorner 8" xfId="16730" xr:uid="{00000000-0005-0000-0000-00006C620000}"/>
    <cellStyle name="RISKtlCorner 8 2" xfId="16731" xr:uid="{00000000-0005-0000-0000-00006D620000}"/>
    <cellStyle name="RISKtlCorner 8 3" xfId="16732" xr:uid="{00000000-0005-0000-0000-00006E620000}"/>
    <cellStyle name="RISKtlCorner 9" xfId="16733" xr:uid="{00000000-0005-0000-0000-00006F620000}"/>
    <cellStyle name="RISKtlCorner 9 2" xfId="16734" xr:uid="{00000000-0005-0000-0000-000070620000}"/>
    <cellStyle name="RISKtlCorner 9 3" xfId="16735" xr:uid="{00000000-0005-0000-0000-000071620000}"/>
    <cellStyle name="RISKtlCorner_DATA Input" xfId="16736" xr:uid="{00000000-0005-0000-0000-000072620000}"/>
    <cellStyle name="RISKtopEdge" xfId="505" xr:uid="{00000000-0005-0000-0000-000073620000}"/>
    <cellStyle name="RISKtopEdge 10" xfId="16737" xr:uid="{00000000-0005-0000-0000-000074620000}"/>
    <cellStyle name="RISKtopEdge 10 2" xfId="16738" xr:uid="{00000000-0005-0000-0000-000075620000}"/>
    <cellStyle name="RISKtopEdge 10 3" xfId="16739" xr:uid="{00000000-0005-0000-0000-000076620000}"/>
    <cellStyle name="RISKtopEdge 11" xfId="16740" xr:uid="{00000000-0005-0000-0000-000077620000}"/>
    <cellStyle name="RISKtopEdge 11 2" xfId="16741" xr:uid="{00000000-0005-0000-0000-000078620000}"/>
    <cellStyle name="RISKtopEdge 11 3" xfId="16742" xr:uid="{00000000-0005-0000-0000-000079620000}"/>
    <cellStyle name="RISKtopEdge 12" xfId="16743" xr:uid="{00000000-0005-0000-0000-00007A620000}"/>
    <cellStyle name="RISKtopEdge 12 2" xfId="16744" xr:uid="{00000000-0005-0000-0000-00007B620000}"/>
    <cellStyle name="RISKtopEdge 12 3" xfId="16745" xr:uid="{00000000-0005-0000-0000-00007C620000}"/>
    <cellStyle name="RISKtopEdge 13" xfId="16746" xr:uid="{00000000-0005-0000-0000-00007D620000}"/>
    <cellStyle name="RISKtopEdge 13 2" xfId="16747" xr:uid="{00000000-0005-0000-0000-00007E620000}"/>
    <cellStyle name="RISKtopEdge 13 3" xfId="16748" xr:uid="{00000000-0005-0000-0000-00007F620000}"/>
    <cellStyle name="RISKtopEdge 14" xfId="16749" xr:uid="{00000000-0005-0000-0000-000080620000}"/>
    <cellStyle name="RISKtopEdge 14 2" xfId="16750" xr:uid="{00000000-0005-0000-0000-000081620000}"/>
    <cellStyle name="RISKtopEdge 14 3" xfId="16751" xr:uid="{00000000-0005-0000-0000-000082620000}"/>
    <cellStyle name="RISKtopEdge 15" xfId="16752" xr:uid="{00000000-0005-0000-0000-000083620000}"/>
    <cellStyle name="RISKtopEdge 15 2" xfId="16753" xr:uid="{00000000-0005-0000-0000-000084620000}"/>
    <cellStyle name="RISKtopEdge 15 3" xfId="16754" xr:uid="{00000000-0005-0000-0000-000085620000}"/>
    <cellStyle name="RISKtopEdge 16" xfId="16755" xr:uid="{00000000-0005-0000-0000-000086620000}"/>
    <cellStyle name="RISKtopEdge 16 2" xfId="16756" xr:uid="{00000000-0005-0000-0000-000087620000}"/>
    <cellStyle name="RISKtopEdge 16 3" xfId="16757" xr:uid="{00000000-0005-0000-0000-000088620000}"/>
    <cellStyle name="RISKtopEdge 17" xfId="16758" xr:uid="{00000000-0005-0000-0000-000089620000}"/>
    <cellStyle name="RISKtopEdge 17 2" xfId="16759" xr:uid="{00000000-0005-0000-0000-00008A620000}"/>
    <cellStyle name="RISKtopEdge 17 3" xfId="16760" xr:uid="{00000000-0005-0000-0000-00008B620000}"/>
    <cellStyle name="RISKtopEdge 18" xfId="16761" xr:uid="{00000000-0005-0000-0000-00008C620000}"/>
    <cellStyle name="RISKtopEdge 18 2" xfId="16762" xr:uid="{00000000-0005-0000-0000-00008D620000}"/>
    <cellStyle name="RISKtopEdge 18 3" xfId="16763" xr:uid="{00000000-0005-0000-0000-00008E620000}"/>
    <cellStyle name="RISKtopEdge 19" xfId="16764" xr:uid="{00000000-0005-0000-0000-00008F620000}"/>
    <cellStyle name="RISKtopEdge 19 2" xfId="16765" xr:uid="{00000000-0005-0000-0000-000090620000}"/>
    <cellStyle name="RISKtopEdge 19 3" xfId="16766" xr:uid="{00000000-0005-0000-0000-000091620000}"/>
    <cellStyle name="RISKtopEdge 2" xfId="16767" xr:uid="{00000000-0005-0000-0000-000092620000}"/>
    <cellStyle name="RISKtopEdge 2 2" xfId="16768" xr:uid="{00000000-0005-0000-0000-000093620000}"/>
    <cellStyle name="RISKtopEdge 2 3" xfId="16769" xr:uid="{00000000-0005-0000-0000-000094620000}"/>
    <cellStyle name="RISKtopEdge 20" xfId="16770" xr:uid="{00000000-0005-0000-0000-000095620000}"/>
    <cellStyle name="RISKtopEdge 20 2" xfId="16771" xr:uid="{00000000-0005-0000-0000-000096620000}"/>
    <cellStyle name="RISKtopEdge 20 3" xfId="16772" xr:uid="{00000000-0005-0000-0000-000097620000}"/>
    <cellStyle name="RISKtopEdge 21" xfId="16773" xr:uid="{00000000-0005-0000-0000-000098620000}"/>
    <cellStyle name="RISKtopEdge 21 2" xfId="16774" xr:uid="{00000000-0005-0000-0000-000099620000}"/>
    <cellStyle name="RISKtopEdge 21 3" xfId="16775" xr:uid="{00000000-0005-0000-0000-00009A620000}"/>
    <cellStyle name="RISKtopEdge 22" xfId="16776" xr:uid="{00000000-0005-0000-0000-00009B620000}"/>
    <cellStyle name="RISKtopEdge 22 2" xfId="16777" xr:uid="{00000000-0005-0000-0000-00009C620000}"/>
    <cellStyle name="RISKtopEdge 22 3" xfId="16778" xr:uid="{00000000-0005-0000-0000-00009D620000}"/>
    <cellStyle name="RISKtopEdge 23" xfId="16779" xr:uid="{00000000-0005-0000-0000-00009E620000}"/>
    <cellStyle name="RISKtopEdge 23 2" xfId="16780" xr:uid="{00000000-0005-0000-0000-00009F620000}"/>
    <cellStyle name="RISKtopEdge 23 3" xfId="16781" xr:uid="{00000000-0005-0000-0000-0000A0620000}"/>
    <cellStyle name="RISKtopEdge 24" xfId="16782" xr:uid="{00000000-0005-0000-0000-0000A1620000}"/>
    <cellStyle name="RISKtopEdge 24 2" xfId="16783" xr:uid="{00000000-0005-0000-0000-0000A2620000}"/>
    <cellStyle name="RISKtopEdge 24 3" xfId="16784" xr:uid="{00000000-0005-0000-0000-0000A3620000}"/>
    <cellStyle name="RISKtopEdge 25" xfId="16785" xr:uid="{00000000-0005-0000-0000-0000A4620000}"/>
    <cellStyle name="RISKtopEdge 25 2" xfId="16786" xr:uid="{00000000-0005-0000-0000-0000A5620000}"/>
    <cellStyle name="RISKtopEdge 25 3" xfId="16787" xr:uid="{00000000-0005-0000-0000-0000A6620000}"/>
    <cellStyle name="RISKtopEdge 26" xfId="16788" xr:uid="{00000000-0005-0000-0000-0000A7620000}"/>
    <cellStyle name="RISKtopEdge 26 2" xfId="16789" xr:uid="{00000000-0005-0000-0000-0000A8620000}"/>
    <cellStyle name="RISKtopEdge 26 3" xfId="16790" xr:uid="{00000000-0005-0000-0000-0000A9620000}"/>
    <cellStyle name="RISKtopEdge 27" xfId="16791" xr:uid="{00000000-0005-0000-0000-0000AA620000}"/>
    <cellStyle name="RISKtopEdge 27 2" xfId="16792" xr:uid="{00000000-0005-0000-0000-0000AB620000}"/>
    <cellStyle name="RISKtopEdge 27 3" xfId="16793" xr:uid="{00000000-0005-0000-0000-0000AC620000}"/>
    <cellStyle name="RISKtopEdge 28" xfId="16794" xr:uid="{00000000-0005-0000-0000-0000AD620000}"/>
    <cellStyle name="RISKtopEdge 28 2" xfId="16795" xr:uid="{00000000-0005-0000-0000-0000AE620000}"/>
    <cellStyle name="RISKtopEdge 28 3" xfId="16796" xr:uid="{00000000-0005-0000-0000-0000AF620000}"/>
    <cellStyle name="RISKtopEdge 29" xfId="16797" xr:uid="{00000000-0005-0000-0000-0000B0620000}"/>
    <cellStyle name="RISKtopEdge 29 2" xfId="16798" xr:uid="{00000000-0005-0000-0000-0000B1620000}"/>
    <cellStyle name="RISKtopEdge 29 3" xfId="16799" xr:uid="{00000000-0005-0000-0000-0000B2620000}"/>
    <cellStyle name="RISKtopEdge 3" xfId="16800" xr:uid="{00000000-0005-0000-0000-0000B3620000}"/>
    <cellStyle name="RISKtopEdge 3 2" xfId="16801" xr:uid="{00000000-0005-0000-0000-0000B4620000}"/>
    <cellStyle name="RISKtopEdge 3 3" xfId="16802" xr:uid="{00000000-0005-0000-0000-0000B5620000}"/>
    <cellStyle name="RISKtopEdge 30" xfId="16803" xr:uid="{00000000-0005-0000-0000-0000B6620000}"/>
    <cellStyle name="RISKtopEdge 30 2" xfId="16804" xr:uid="{00000000-0005-0000-0000-0000B7620000}"/>
    <cellStyle name="RISKtopEdge 30 3" xfId="16805" xr:uid="{00000000-0005-0000-0000-0000B8620000}"/>
    <cellStyle name="RISKtopEdge 31" xfId="16806" xr:uid="{00000000-0005-0000-0000-0000B9620000}"/>
    <cellStyle name="RISKtopEdge 31 2" xfId="16807" xr:uid="{00000000-0005-0000-0000-0000BA620000}"/>
    <cellStyle name="RISKtopEdge 31 3" xfId="16808" xr:uid="{00000000-0005-0000-0000-0000BB620000}"/>
    <cellStyle name="RISKtopEdge 32" xfId="16809" xr:uid="{00000000-0005-0000-0000-0000BC620000}"/>
    <cellStyle name="RISKtopEdge 32 2" xfId="16810" xr:uid="{00000000-0005-0000-0000-0000BD620000}"/>
    <cellStyle name="RISKtopEdge 32 3" xfId="16811" xr:uid="{00000000-0005-0000-0000-0000BE620000}"/>
    <cellStyle name="RISKtopEdge 33" xfId="16812" xr:uid="{00000000-0005-0000-0000-0000BF620000}"/>
    <cellStyle name="RISKtopEdge 33 2" xfId="16813" xr:uid="{00000000-0005-0000-0000-0000C0620000}"/>
    <cellStyle name="RISKtopEdge 33 3" xfId="16814" xr:uid="{00000000-0005-0000-0000-0000C1620000}"/>
    <cellStyle name="RISKtopEdge 34" xfId="16815" xr:uid="{00000000-0005-0000-0000-0000C2620000}"/>
    <cellStyle name="RISKtopEdge 34 2" xfId="16816" xr:uid="{00000000-0005-0000-0000-0000C3620000}"/>
    <cellStyle name="RISKtopEdge 34 3" xfId="16817" xr:uid="{00000000-0005-0000-0000-0000C4620000}"/>
    <cellStyle name="RISKtopEdge 35" xfId="16818" xr:uid="{00000000-0005-0000-0000-0000C5620000}"/>
    <cellStyle name="RISKtopEdge 35 2" xfId="16819" xr:uid="{00000000-0005-0000-0000-0000C6620000}"/>
    <cellStyle name="RISKtopEdge 35 3" xfId="16820" xr:uid="{00000000-0005-0000-0000-0000C7620000}"/>
    <cellStyle name="RISKtopEdge 36" xfId="16821" xr:uid="{00000000-0005-0000-0000-0000C8620000}"/>
    <cellStyle name="RISKtopEdge 36 2" xfId="16822" xr:uid="{00000000-0005-0000-0000-0000C9620000}"/>
    <cellStyle name="RISKtopEdge 36 3" xfId="16823" xr:uid="{00000000-0005-0000-0000-0000CA620000}"/>
    <cellStyle name="RISKtopEdge 37" xfId="16824" xr:uid="{00000000-0005-0000-0000-0000CB620000}"/>
    <cellStyle name="RISKtopEdge 37 2" xfId="16825" xr:uid="{00000000-0005-0000-0000-0000CC620000}"/>
    <cellStyle name="RISKtopEdge 37 3" xfId="16826" xr:uid="{00000000-0005-0000-0000-0000CD620000}"/>
    <cellStyle name="RISKtopEdge 38" xfId="16827" xr:uid="{00000000-0005-0000-0000-0000CE620000}"/>
    <cellStyle name="RISKtopEdge 38 2" xfId="16828" xr:uid="{00000000-0005-0000-0000-0000CF620000}"/>
    <cellStyle name="RISKtopEdge 38 3" xfId="16829" xr:uid="{00000000-0005-0000-0000-0000D0620000}"/>
    <cellStyle name="RISKtopEdge 39" xfId="16830" xr:uid="{00000000-0005-0000-0000-0000D1620000}"/>
    <cellStyle name="RISKtopEdge 39 2" xfId="16831" xr:uid="{00000000-0005-0000-0000-0000D2620000}"/>
    <cellStyle name="RISKtopEdge 39 3" xfId="16832" xr:uid="{00000000-0005-0000-0000-0000D3620000}"/>
    <cellStyle name="RISKtopEdge 4" xfId="16833" xr:uid="{00000000-0005-0000-0000-0000D4620000}"/>
    <cellStyle name="RISKtopEdge 4 2" xfId="16834" xr:uid="{00000000-0005-0000-0000-0000D5620000}"/>
    <cellStyle name="RISKtopEdge 4 3" xfId="16835" xr:uid="{00000000-0005-0000-0000-0000D6620000}"/>
    <cellStyle name="RISKtopEdge 40" xfId="16836" xr:uid="{00000000-0005-0000-0000-0000D7620000}"/>
    <cellStyle name="RISKtopEdge 40 2" xfId="16837" xr:uid="{00000000-0005-0000-0000-0000D8620000}"/>
    <cellStyle name="RISKtopEdge 40 3" xfId="16838" xr:uid="{00000000-0005-0000-0000-0000D9620000}"/>
    <cellStyle name="RISKtopEdge 41" xfId="16839" xr:uid="{00000000-0005-0000-0000-0000DA620000}"/>
    <cellStyle name="RISKtopEdge 41 2" xfId="16840" xr:uid="{00000000-0005-0000-0000-0000DB620000}"/>
    <cellStyle name="RISKtopEdge 41 3" xfId="16841" xr:uid="{00000000-0005-0000-0000-0000DC620000}"/>
    <cellStyle name="RISKtopEdge 42" xfId="16842" xr:uid="{00000000-0005-0000-0000-0000DD620000}"/>
    <cellStyle name="RISKtopEdge 42 2" xfId="16843" xr:uid="{00000000-0005-0000-0000-0000DE620000}"/>
    <cellStyle name="RISKtopEdge 42 3" xfId="16844" xr:uid="{00000000-0005-0000-0000-0000DF620000}"/>
    <cellStyle name="RISKtopEdge 43" xfId="16845" xr:uid="{00000000-0005-0000-0000-0000E0620000}"/>
    <cellStyle name="RISKtopEdge 44" xfId="16846" xr:uid="{00000000-0005-0000-0000-0000E1620000}"/>
    <cellStyle name="RISKtopEdge 5" xfId="16847" xr:uid="{00000000-0005-0000-0000-0000E2620000}"/>
    <cellStyle name="RISKtopEdge 5 2" xfId="16848" xr:uid="{00000000-0005-0000-0000-0000E3620000}"/>
    <cellStyle name="RISKtopEdge 5 3" xfId="16849" xr:uid="{00000000-0005-0000-0000-0000E4620000}"/>
    <cellStyle name="RISKtopEdge 6" xfId="16850" xr:uid="{00000000-0005-0000-0000-0000E5620000}"/>
    <cellStyle name="RISKtopEdge 6 2" xfId="16851" xr:uid="{00000000-0005-0000-0000-0000E6620000}"/>
    <cellStyle name="RISKtopEdge 6 3" xfId="16852" xr:uid="{00000000-0005-0000-0000-0000E7620000}"/>
    <cellStyle name="RISKtopEdge 7" xfId="16853" xr:uid="{00000000-0005-0000-0000-0000E8620000}"/>
    <cellStyle name="RISKtopEdge 7 2" xfId="16854" xr:uid="{00000000-0005-0000-0000-0000E9620000}"/>
    <cellStyle name="RISKtopEdge 7 3" xfId="16855" xr:uid="{00000000-0005-0000-0000-0000EA620000}"/>
    <cellStyle name="RISKtopEdge 8" xfId="16856" xr:uid="{00000000-0005-0000-0000-0000EB620000}"/>
    <cellStyle name="RISKtopEdge 8 2" xfId="16857" xr:uid="{00000000-0005-0000-0000-0000EC620000}"/>
    <cellStyle name="RISKtopEdge 8 3" xfId="16858" xr:uid="{00000000-0005-0000-0000-0000ED620000}"/>
    <cellStyle name="RISKtopEdge 9" xfId="16859" xr:uid="{00000000-0005-0000-0000-0000EE620000}"/>
    <cellStyle name="RISKtopEdge 9 2" xfId="16860" xr:uid="{00000000-0005-0000-0000-0000EF620000}"/>
    <cellStyle name="RISKtopEdge 9 3" xfId="16861" xr:uid="{00000000-0005-0000-0000-0000F0620000}"/>
    <cellStyle name="RISKtopEdge_DATA Input" xfId="16862" xr:uid="{00000000-0005-0000-0000-0000F1620000}"/>
    <cellStyle name="RISKtrCorner" xfId="506" xr:uid="{00000000-0005-0000-0000-0000F2620000}"/>
    <cellStyle name="RISKtrCorner 10" xfId="16863" xr:uid="{00000000-0005-0000-0000-0000F3620000}"/>
    <cellStyle name="RISKtrCorner 10 2" xfId="16864" xr:uid="{00000000-0005-0000-0000-0000F4620000}"/>
    <cellStyle name="RISKtrCorner 10 3" xfId="16865" xr:uid="{00000000-0005-0000-0000-0000F5620000}"/>
    <cellStyle name="RISKtrCorner 11" xfId="16866" xr:uid="{00000000-0005-0000-0000-0000F6620000}"/>
    <cellStyle name="RISKtrCorner 11 2" xfId="16867" xr:uid="{00000000-0005-0000-0000-0000F7620000}"/>
    <cellStyle name="RISKtrCorner 11 3" xfId="16868" xr:uid="{00000000-0005-0000-0000-0000F8620000}"/>
    <cellStyle name="RISKtrCorner 12" xfId="16869" xr:uid="{00000000-0005-0000-0000-0000F9620000}"/>
    <cellStyle name="RISKtrCorner 12 2" xfId="16870" xr:uid="{00000000-0005-0000-0000-0000FA620000}"/>
    <cellStyle name="RISKtrCorner 12 3" xfId="16871" xr:uid="{00000000-0005-0000-0000-0000FB620000}"/>
    <cellStyle name="RISKtrCorner 13" xfId="16872" xr:uid="{00000000-0005-0000-0000-0000FC620000}"/>
    <cellStyle name="RISKtrCorner 13 2" xfId="16873" xr:uid="{00000000-0005-0000-0000-0000FD620000}"/>
    <cellStyle name="RISKtrCorner 13 3" xfId="16874" xr:uid="{00000000-0005-0000-0000-0000FE620000}"/>
    <cellStyle name="RISKtrCorner 14" xfId="16875" xr:uid="{00000000-0005-0000-0000-0000FF620000}"/>
    <cellStyle name="RISKtrCorner 14 2" xfId="16876" xr:uid="{00000000-0005-0000-0000-000000630000}"/>
    <cellStyle name="RISKtrCorner 14 3" xfId="16877" xr:uid="{00000000-0005-0000-0000-000001630000}"/>
    <cellStyle name="RISKtrCorner 15" xfId="16878" xr:uid="{00000000-0005-0000-0000-000002630000}"/>
    <cellStyle name="RISKtrCorner 15 2" xfId="16879" xr:uid="{00000000-0005-0000-0000-000003630000}"/>
    <cellStyle name="RISKtrCorner 15 3" xfId="16880" xr:uid="{00000000-0005-0000-0000-000004630000}"/>
    <cellStyle name="RISKtrCorner 16" xfId="16881" xr:uid="{00000000-0005-0000-0000-000005630000}"/>
    <cellStyle name="RISKtrCorner 16 2" xfId="16882" xr:uid="{00000000-0005-0000-0000-000006630000}"/>
    <cellStyle name="RISKtrCorner 16 3" xfId="16883" xr:uid="{00000000-0005-0000-0000-000007630000}"/>
    <cellStyle name="RISKtrCorner 17" xfId="16884" xr:uid="{00000000-0005-0000-0000-000008630000}"/>
    <cellStyle name="RISKtrCorner 17 2" xfId="16885" xr:uid="{00000000-0005-0000-0000-000009630000}"/>
    <cellStyle name="RISKtrCorner 17 3" xfId="16886" xr:uid="{00000000-0005-0000-0000-00000A630000}"/>
    <cellStyle name="RISKtrCorner 18" xfId="16887" xr:uid="{00000000-0005-0000-0000-00000B630000}"/>
    <cellStyle name="RISKtrCorner 18 2" xfId="16888" xr:uid="{00000000-0005-0000-0000-00000C630000}"/>
    <cellStyle name="RISKtrCorner 18 3" xfId="16889" xr:uid="{00000000-0005-0000-0000-00000D630000}"/>
    <cellStyle name="RISKtrCorner 19" xfId="16890" xr:uid="{00000000-0005-0000-0000-00000E630000}"/>
    <cellStyle name="RISKtrCorner 19 2" xfId="16891" xr:uid="{00000000-0005-0000-0000-00000F630000}"/>
    <cellStyle name="RISKtrCorner 19 3" xfId="16892" xr:uid="{00000000-0005-0000-0000-000010630000}"/>
    <cellStyle name="RISKtrCorner 2" xfId="16893" xr:uid="{00000000-0005-0000-0000-000011630000}"/>
    <cellStyle name="RISKtrCorner 2 2" xfId="16894" xr:uid="{00000000-0005-0000-0000-000012630000}"/>
    <cellStyle name="RISKtrCorner 2 3" xfId="16895" xr:uid="{00000000-0005-0000-0000-000013630000}"/>
    <cellStyle name="RISKtrCorner 20" xfId="16896" xr:uid="{00000000-0005-0000-0000-000014630000}"/>
    <cellStyle name="RISKtrCorner 20 2" xfId="16897" xr:uid="{00000000-0005-0000-0000-000015630000}"/>
    <cellStyle name="RISKtrCorner 20 3" xfId="16898" xr:uid="{00000000-0005-0000-0000-000016630000}"/>
    <cellStyle name="RISKtrCorner 21" xfId="16899" xr:uid="{00000000-0005-0000-0000-000017630000}"/>
    <cellStyle name="RISKtrCorner 21 2" xfId="16900" xr:uid="{00000000-0005-0000-0000-000018630000}"/>
    <cellStyle name="RISKtrCorner 21 3" xfId="16901" xr:uid="{00000000-0005-0000-0000-000019630000}"/>
    <cellStyle name="RISKtrCorner 22" xfId="16902" xr:uid="{00000000-0005-0000-0000-00001A630000}"/>
    <cellStyle name="RISKtrCorner 22 2" xfId="16903" xr:uid="{00000000-0005-0000-0000-00001B630000}"/>
    <cellStyle name="RISKtrCorner 22 3" xfId="16904" xr:uid="{00000000-0005-0000-0000-00001C630000}"/>
    <cellStyle name="RISKtrCorner 23" xfId="16905" xr:uid="{00000000-0005-0000-0000-00001D630000}"/>
    <cellStyle name="RISKtrCorner 23 2" xfId="16906" xr:uid="{00000000-0005-0000-0000-00001E630000}"/>
    <cellStyle name="RISKtrCorner 23 3" xfId="16907" xr:uid="{00000000-0005-0000-0000-00001F630000}"/>
    <cellStyle name="RISKtrCorner 24" xfId="16908" xr:uid="{00000000-0005-0000-0000-000020630000}"/>
    <cellStyle name="RISKtrCorner 24 2" xfId="16909" xr:uid="{00000000-0005-0000-0000-000021630000}"/>
    <cellStyle name="RISKtrCorner 24 3" xfId="16910" xr:uid="{00000000-0005-0000-0000-000022630000}"/>
    <cellStyle name="RISKtrCorner 25" xfId="16911" xr:uid="{00000000-0005-0000-0000-000023630000}"/>
    <cellStyle name="RISKtrCorner 25 2" xfId="16912" xr:uid="{00000000-0005-0000-0000-000024630000}"/>
    <cellStyle name="RISKtrCorner 25 3" xfId="16913" xr:uid="{00000000-0005-0000-0000-000025630000}"/>
    <cellStyle name="RISKtrCorner 26" xfId="16914" xr:uid="{00000000-0005-0000-0000-000026630000}"/>
    <cellStyle name="RISKtrCorner 26 2" xfId="16915" xr:uid="{00000000-0005-0000-0000-000027630000}"/>
    <cellStyle name="RISKtrCorner 26 3" xfId="16916" xr:uid="{00000000-0005-0000-0000-000028630000}"/>
    <cellStyle name="RISKtrCorner 27" xfId="16917" xr:uid="{00000000-0005-0000-0000-000029630000}"/>
    <cellStyle name="RISKtrCorner 27 2" xfId="16918" xr:uid="{00000000-0005-0000-0000-00002A630000}"/>
    <cellStyle name="RISKtrCorner 27 3" xfId="16919" xr:uid="{00000000-0005-0000-0000-00002B630000}"/>
    <cellStyle name="RISKtrCorner 28" xfId="16920" xr:uid="{00000000-0005-0000-0000-00002C630000}"/>
    <cellStyle name="RISKtrCorner 28 2" xfId="16921" xr:uid="{00000000-0005-0000-0000-00002D630000}"/>
    <cellStyle name="RISKtrCorner 28 3" xfId="16922" xr:uid="{00000000-0005-0000-0000-00002E630000}"/>
    <cellStyle name="RISKtrCorner 29" xfId="16923" xr:uid="{00000000-0005-0000-0000-00002F630000}"/>
    <cellStyle name="RISKtrCorner 29 2" xfId="16924" xr:uid="{00000000-0005-0000-0000-000030630000}"/>
    <cellStyle name="RISKtrCorner 29 3" xfId="16925" xr:uid="{00000000-0005-0000-0000-000031630000}"/>
    <cellStyle name="RISKtrCorner 3" xfId="16926" xr:uid="{00000000-0005-0000-0000-000032630000}"/>
    <cellStyle name="RISKtrCorner 3 2" xfId="16927" xr:uid="{00000000-0005-0000-0000-000033630000}"/>
    <cellStyle name="RISKtrCorner 3 3" xfId="16928" xr:uid="{00000000-0005-0000-0000-000034630000}"/>
    <cellStyle name="RISKtrCorner 30" xfId="16929" xr:uid="{00000000-0005-0000-0000-000035630000}"/>
    <cellStyle name="RISKtrCorner 30 2" xfId="16930" xr:uid="{00000000-0005-0000-0000-000036630000}"/>
    <cellStyle name="RISKtrCorner 30 3" xfId="16931" xr:uid="{00000000-0005-0000-0000-000037630000}"/>
    <cellStyle name="RISKtrCorner 31" xfId="16932" xr:uid="{00000000-0005-0000-0000-000038630000}"/>
    <cellStyle name="RISKtrCorner 31 2" xfId="16933" xr:uid="{00000000-0005-0000-0000-000039630000}"/>
    <cellStyle name="RISKtrCorner 31 3" xfId="16934" xr:uid="{00000000-0005-0000-0000-00003A630000}"/>
    <cellStyle name="RISKtrCorner 32" xfId="16935" xr:uid="{00000000-0005-0000-0000-00003B630000}"/>
    <cellStyle name="RISKtrCorner 32 2" xfId="16936" xr:uid="{00000000-0005-0000-0000-00003C630000}"/>
    <cellStyle name="RISKtrCorner 32 3" xfId="16937" xr:uid="{00000000-0005-0000-0000-00003D630000}"/>
    <cellStyle name="RISKtrCorner 33" xfId="16938" xr:uid="{00000000-0005-0000-0000-00003E630000}"/>
    <cellStyle name="RISKtrCorner 33 2" xfId="16939" xr:uid="{00000000-0005-0000-0000-00003F630000}"/>
    <cellStyle name="RISKtrCorner 33 3" xfId="16940" xr:uid="{00000000-0005-0000-0000-000040630000}"/>
    <cellStyle name="RISKtrCorner 34" xfId="16941" xr:uid="{00000000-0005-0000-0000-000041630000}"/>
    <cellStyle name="RISKtrCorner 34 2" xfId="16942" xr:uid="{00000000-0005-0000-0000-000042630000}"/>
    <cellStyle name="RISKtrCorner 34 3" xfId="16943" xr:uid="{00000000-0005-0000-0000-000043630000}"/>
    <cellStyle name="RISKtrCorner 35" xfId="16944" xr:uid="{00000000-0005-0000-0000-000044630000}"/>
    <cellStyle name="RISKtrCorner 35 2" xfId="16945" xr:uid="{00000000-0005-0000-0000-000045630000}"/>
    <cellStyle name="RISKtrCorner 35 3" xfId="16946" xr:uid="{00000000-0005-0000-0000-000046630000}"/>
    <cellStyle name="RISKtrCorner 36" xfId="16947" xr:uid="{00000000-0005-0000-0000-000047630000}"/>
    <cellStyle name="RISKtrCorner 36 2" xfId="16948" xr:uid="{00000000-0005-0000-0000-000048630000}"/>
    <cellStyle name="RISKtrCorner 36 3" xfId="16949" xr:uid="{00000000-0005-0000-0000-000049630000}"/>
    <cellStyle name="RISKtrCorner 37" xfId="16950" xr:uid="{00000000-0005-0000-0000-00004A630000}"/>
    <cellStyle name="RISKtrCorner 37 2" xfId="16951" xr:uid="{00000000-0005-0000-0000-00004B630000}"/>
    <cellStyle name="RISKtrCorner 37 3" xfId="16952" xr:uid="{00000000-0005-0000-0000-00004C630000}"/>
    <cellStyle name="RISKtrCorner 38" xfId="16953" xr:uid="{00000000-0005-0000-0000-00004D630000}"/>
    <cellStyle name="RISKtrCorner 38 2" xfId="16954" xr:uid="{00000000-0005-0000-0000-00004E630000}"/>
    <cellStyle name="RISKtrCorner 38 3" xfId="16955" xr:uid="{00000000-0005-0000-0000-00004F630000}"/>
    <cellStyle name="RISKtrCorner 39" xfId="16956" xr:uid="{00000000-0005-0000-0000-000050630000}"/>
    <cellStyle name="RISKtrCorner 39 2" xfId="16957" xr:uid="{00000000-0005-0000-0000-000051630000}"/>
    <cellStyle name="RISKtrCorner 39 3" xfId="16958" xr:uid="{00000000-0005-0000-0000-000052630000}"/>
    <cellStyle name="RISKtrCorner 4" xfId="16959" xr:uid="{00000000-0005-0000-0000-000053630000}"/>
    <cellStyle name="RISKtrCorner 4 2" xfId="16960" xr:uid="{00000000-0005-0000-0000-000054630000}"/>
    <cellStyle name="RISKtrCorner 4 3" xfId="16961" xr:uid="{00000000-0005-0000-0000-000055630000}"/>
    <cellStyle name="RISKtrCorner 40" xfId="16962" xr:uid="{00000000-0005-0000-0000-000056630000}"/>
    <cellStyle name="RISKtrCorner 40 2" xfId="16963" xr:uid="{00000000-0005-0000-0000-000057630000}"/>
    <cellStyle name="RISKtrCorner 40 3" xfId="16964" xr:uid="{00000000-0005-0000-0000-000058630000}"/>
    <cellStyle name="RISKtrCorner 41" xfId="16965" xr:uid="{00000000-0005-0000-0000-000059630000}"/>
    <cellStyle name="RISKtrCorner 41 2" xfId="16966" xr:uid="{00000000-0005-0000-0000-00005A630000}"/>
    <cellStyle name="RISKtrCorner 41 3" xfId="16967" xr:uid="{00000000-0005-0000-0000-00005B630000}"/>
    <cellStyle name="RISKtrCorner 42" xfId="16968" xr:uid="{00000000-0005-0000-0000-00005C630000}"/>
    <cellStyle name="RISKtrCorner 42 2" xfId="16969" xr:uid="{00000000-0005-0000-0000-00005D630000}"/>
    <cellStyle name="RISKtrCorner 42 3" xfId="16970" xr:uid="{00000000-0005-0000-0000-00005E630000}"/>
    <cellStyle name="RISKtrCorner 43" xfId="16971" xr:uid="{00000000-0005-0000-0000-00005F630000}"/>
    <cellStyle name="RISKtrCorner 44" xfId="16972" xr:uid="{00000000-0005-0000-0000-000060630000}"/>
    <cellStyle name="RISKtrCorner 5" xfId="16973" xr:uid="{00000000-0005-0000-0000-000061630000}"/>
    <cellStyle name="RISKtrCorner 5 2" xfId="16974" xr:uid="{00000000-0005-0000-0000-000062630000}"/>
    <cellStyle name="RISKtrCorner 5 3" xfId="16975" xr:uid="{00000000-0005-0000-0000-000063630000}"/>
    <cellStyle name="RISKtrCorner 6" xfId="16976" xr:uid="{00000000-0005-0000-0000-000064630000}"/>
    <cellStyle name="RISKtrCorner 6 2" xfId="16977" xr:uid="{00000000-0005-0000-0000-000065630000}"/>
    <cellStyle name="RISKtrCorner 6 3" xfId="16978" xr:uid="{00000000-0005-0000-0000-000066630000}"/>
    <cellStyle name="RISKtrCorner 7" xfId="16979" xr:uid="{00000000-0005-0000-0000-000067630000}"/>
    <cellStyle name="RISKtrCorner 7 2" xfId="16980" xr:uid="{00000000-0005-0000-0000-000068630000}"/>
    <cellStyle name="RISKtrCorner 7 3" xfId="16981" xr:uid="{00000000-0005-0000-0000-000069630000}"/>
    <cellStyle name="RISKtrCorner 8" xfId="16982" xr:uid="{00000000-0005-0000-0000-00006A630000}"/>
    <cellStyle name="RISKtrCorner 8 2" xfId="16983" xr:uid="{00000000-0005-0000-0000-00006B630000}"/>
    <cellStyle name="RISKtrCorner 8 3" xfId="16984" xr:uid="{00000000-0005-0000-0000-00006C630000}"/>
    <cellStyle name="RISKtrCorner 9" xfId="16985" xr:uid="{00000000-0005-0000-0000-00006D630000}"/>
    <cellStyle name="RISKtrCorner 9 2" xfId="16986" xr:uid="{00000000-0005-0000-0000-00006E630000}"/>
    <cellStyle name="RISKtrCorner 9 3" xfId="16987" xr:uid="{00000000-0005-0000-0000-00006F630000}"/>
    <cellStyle name="RISKtrCorner_DATA Input" xfId="16988" xr:uid="{00000000-0005-0000-0000-000070630000}"/>
    <cellStyle name="RM" xfId="16989" xr:uid="{00000000-0005-0000-0000-000071630000}"/>
    <cellStyle name="s" xfId="16990" xr:uid="{00000000-0005-0000-0000-000072630000}"/>
    <cellStyle name="s 2" xfId="16991" xr:uid="{00000000-0005-0000-0000-000073630000}"/>
    <cellStyle name="s]_x000d__x000a_run=c:\Hedgehog\app31.exe_x000d__x000a_spooler=yes_x000d__x000a_load=_x000d__x000a_run=_x000d__x000a_Beep=yes_x000d__x000a_NullPort=None_x000d__x000a_BorderWidth=3_x000d__x000a_CursorBlinkRate=530_x000d__x000a_D" xfId="507" xr:uid="{00000000-0005-0000-0000-000074630000}"/>
    <cellStyle name="s_Acc (Dil) Matrix (2)" xfId="16992" xr:uid="{00000000-0005-0000-0000-000075630000}"/>
    <cellStyle name="s_Acc (Dil) Matrix (2) 2" xfId="16993" xr:uid="{00000000-0005-0000-0000-000076630000}"/>
    <cellStyle name="s_Acc (Dil) Matrix (2)_1" xfId="16994" xr:uid="{00000000-0005-0000-0000-000077630000}"/>
    <cellStyle name="s_Acc (Dil) Matrix (2)_1 2" xfId="16995" xr:uid="{00000000-0005-0000-0000-000078630000}"/>
    <cellStyle name="s_Acc (Dil) Matrix (2)_1_DATA Input" xfId="16996" xr:uid="{00000000-0005-0000-0000-000079630000}"/>
    <cellStyle name="s_Acc (Dil) Matrix (2)_2" xfId="16997" xr:uid="{00000000-0005-0000-0000-00007A630000}"/>
    <cellStyle name="s_Acc (Dil) Matrix (2)_2_Celtic DCF" xfId="16998" xr:uid="{00000000-0005-0000-0000-00007B630000}"/>
    <cellStyle name="s_Acc (Dil) Matrix (2)_2_Celtic DCF Inputs" xfId="16999" xr:uid="{00000000-0005-0000-0000-00007C630000}"/>
    <cellStyle name="s_Acc (Dil) Matrix (2)_2_Celtic DCF Inputs_DATA Input" xfId="17000" xr:uid="{00000000-0005-0000-0000-00007D630000}"/>
    <cellStyle name="s_Acc (Dil) Matrix (2)_2_Celtic DCF_DATA Input" xfId="17001" xr:uid="{00000000-0005-0000-0000-00007E630000}"/>
    <cellStyle name="s_Acc (Dil) Matrix (2)_2_DATA Input" xfId="17002" xr:uid="{00000000-0005-0000-0000-00007F630000}"/>
    <cellStyle name="s_Acc (Dil) Matrix (2)_2_Valuation Summary" xfId="17003" xr:uid="{00000000-0005-0000-0000-000080630000}"/>
    <cellStyle name="s_Acc (Dil) Matrix (2)_2_Valuation Summary_DATA Input" xfId="17004" xr:uid="{00000000-0005-0000-0000-000081630000}"/>
    <cellStyle name="s_Acc (Dil) Matrix (2)_DATA Input" xfId="17005" xr:uid="{00000000-0005-0000-0000-000082630000}"/>
    <cellStyle name="s_Ariz_Nevada (2)" xfId="17006" xr:uid="{00000000-0005-0000-0000-000083630000}"/>
    <cellStyle name="s_Ariz_Nevada (2)_1" xfId="17007" xr:uid="{00000000-0005-0000-0000-000084630000}"/>
    <cellStyle name="s_Ariz_Nevada (2)_1 2" xfId="17008" xr:uid="{00000000-0005-0000-0000-000085630000}"/>
    <cellStyle name="s_Ariz_Nevada (2)_1_DATA Input" xfId="17009" xr:uid="{00000000-0005-0000-0000-000086630000}"/>
    <cellStyle name="s_Ariz_Nevada (2)_DATA Input" xfId="17010" xr:uid="{00000000-0005-0000-0000-000087630000}"/>
    <cellStyle name="s_Assum" xfId="17011" xr:uid="{00000000-0005-0000-0000-000088630000}"/>
    <cellStyle name="s_Assum_DATA Input" xfId="17012" xr:uid="{00000000-0005-0000-0000-000089630000}"/>
    <cellStyle name="s_Assumptions" xfId="17013" xr:uid="{00000000-0005-0000-0000-00008A630000}"/>
    <cellStyle name="s_Assumptions 2" xfId="17014" xr:uid="{00000000-0005-0000-0000-00008B630000}"/>
    <cellStyle name="s_Assumptions_DATA Input" xfId="17015" xr:uid="{00000000-0005-0000-0000-00008C630000}"/>
    <cellStyle name="s_B_S_Ratios _B" xfId="17016" xr:uid="{00000000-0005-0000-0000-00008D630000}"/>
    <cellStyle name="s_B_S_Ratios _B 2" xfId="17017" xr:uid="{00000000-0005-0000-0000-00008E630000}"/>
    <cellStyle name="s_B_S_Ratios _B_DATA Input" xfId="17018" xr:uid="{00000000-0005-0000-0000-00008F630000}"/>
    <cellStyle name="s_B_S_Ratios_T" xfId="17019" xr:uid="{00000000-0005-0000-0000-000090630000}"/>
    <cellStyle name="s_B_S_Ratios_T 2" xfId="17020" xr:uid="{00000000-0005-0000-0000-000091630000}"/>
    <cellStyle name="s_B_S_Ratios_T_DATA Input" xfId="17021" xr:uid="{00000000-0005-0000-0000-000092630000}"/>
    <cellStyle name="s_Bal Sheets" xfId="17022" xr:uid="{00000000-0005-0000-0000-000093630000}"/>
    <cellStyle name="s_Bal Sheets (2)" xfId="17023" xr:uid="{00000000-0005-0000-0000-000094630000}"/>
    <cellStyle name="s_Bal Sheets (2) 2" xfId="17024" xr:uid="{00000000-0005-0000-0000-000095630000}"/>
    <cellStyle name="s_Bal Sheets (2)_1" xfId="17025" xr:uid="{00000000-0005-0000-0000-000096630000}"/>
    <cellStyle name="s_Bal Sheets (2)_1_DATA Input" xfId="17026" xr:uid="{00000000-0005-0000-0000-000097630000}"/>
    <cellStyle name="s_Bal Sheets (2)_DATA Input" xfId="17027" xr:uid="{00000000-0005-0000-0000-000098630000}"/>
    <cellStyle name="s_Bal Sheets 2" xfId="17028" xr:uid="{00000000-0005-0000-0000-000099630000}"/>
    <cellStyle name="s_Bal Sheets 3" xfId="17029" xr:uid="{00000000-0005-0000-0000-00009A630000}"/>
    <cellStyle name="s_Bal Sheets 4" xfId="17030" xr:uid="{00000000-0005-0000-0000-00009B630000}"/>
    <cellStyle name="s_Bal Sheets 5" xfId="17031" xr:uid="{00000000-0005-0000-0000-00009C630000}"/>
    <cellStyle name="s_Bal Sheets 6" xfId="17032" xr:uid="{00000000-0005-0000-0000-00009D630000}"/>
    <cellStyle name="s_Bal Sheets 7" xfId="17033" xr:uid="{00000000-0005-0000-0000-00009E630000}"/>
    <cellStyle name="s_Bal Sheets_1" xfId="17034" xr:uid="{00000000-0005-0000-0000-00009F630000}"/>
    <cellStyle name="s_Bal Sheets_1 2" xfId="17035" xr:uid="{00000000-0005-0000-0000-0000A0630000}"/>
    <cellStyle name="s_Bal Sheets_1_AM0909" xfId="17036" xr:uid="{00000000-0005-0000-0000-0000A1630000}"/>
    <cellStyle name="s_Bal Sheets_1_AM0909 2" xfId="17037" xr:uid="{00000000-0005-0000-0000-0000A2630000}"/>
    <cellStyle name="s_Bal Sheets_1_AM0909_DATA Input" xfId="17038" xr:uid="{00000000-0005-0000-0000-0000A3630000}"/>
    <cellStyle name="s_Bal Sheets_1_Brenner" xfId="17039" xr:uid="{00000000-0005-0000-0000-0000A4630000}"/>
    <cellStyle name="s_Bal Sheets_1_Brenner 2" xfId="17040" xr:uid="{00000000-0005-0000-0000-0000A5630000}"/>
    <cellStyle name="s_Bal Sheets_1_Brenner_DATA Input" xfId="17041" xr:uid="{00000000-0005-0000-0000-0000A6630000}"/>
    <cellStyle name="s_Bal Sheets_1_DATA Input" xfId="17042" xr:uid="{00000000-0005-0000-0000-0000A7630000}"/>
    <cellStyle name="s_Bal Sheets_2" xfId="17043" xr:uid="{00000000-0005-0000-0000-0000A8630000}"/>
    <cellStyle name="s_Bal Sheets_2_DATA Input" xfId="17044" xr:uid="{00000000-0005-0000-0000-0000A9630000}"/>
    <cellStyle name="s_Bal Sheets_AM0909" xfId="17045" xr:uid="{00000000-0005-0000-0000-0000AA630000}"/>
    <cellStyle name="s_Bal Sheets_AM0909 2" xfId="17046" xr:uid="{00000000-0005-0000-0000-0000AB630000}"/>
    <cellStyle name="s_Bal Sheets_AM0909_DATA Input" xfId="17047" xr:uid="{00000000-0005-0000-0000-0000AC630000}"/>
    <cellStyle name="s_Bal Sheets_Brenner" xfId="17048" xr:uid="{00000000-0005-0000-0000-0000AD630000}"/>
    <cellStyle name="s_Bal Sheets_Brenner 2" xfId="17049" xr:uid="{00000000-0005-0000-0000-0000AE630000}"/>
    <cellStyle name="s_Bal Sheets_Brenner_DATA Input" xfId="17050" xr:uid="{00000000-0005-0000-0000-0000AF630000}"/>
    <cellStyle name="s_Bal Sheets_DATA Input" xfId="17051" xr:uid="{00000000-0005-0000-0000-0000B0630000}"/>
    <cellStyle name="s_Biggie" xfId="17052" xr:uid="{00000000-0005-0000-0000-0000B1630000}"/>
    <cellStyle name="s_Biggie 2" xfId="17053" xr:uid="{00000000-0005-0000-0000-0000B2630000}"/>
    <cellStyle name="s_Biggie_CoP" xfId="17054" xr:uid="{00000000-0005-0000-0000-0000B3630000}"/>
    <cellStyle name="s_Biggie_CoP 2" xfId="17055" xr:uid="{00000000-0005-0000-0000-0000B4630000}"/>
    <cellStyle name="s_Biggie_CoP_DATA Input" xfId="17056" xr:uid="{00000000-0005-0000-0000-0000B5630000}"/>
    <cellStyle name="s_Biggie_CoPa" xfId="17057" xr:uid="{00000000-0005-0000-0000-0000B6630000}"/>
    <cellStyle name="s_Biggie_CoPa 2" xfId="17058" xr:uid="{00000000-0005-0000-0000-0000B7630000}"/>
    <cellStyle name="s_Biggie_CoPa_DATA Input" xfId="17059" xr:uid="{00000000-0005-0000-0000-0000B8630000}"/>
    <cellStyle name="s_Biggie_CoPModelwarea" xfId="17060" xr:uid="{00000000-0005-0000-0000-0000B9630000}"/>
    <cellStyle name="s_Biggie_CoPModelwarea 2" xfId="17061" xr:uid="{00000000-0005-0000-0000-0000BA630000}"/>
    <cellStyle name="s_Biggie_CoPModelwarea_DATA Input" xfId="17062" xr:uid="{00000000-0005-0000-0000-0000BB630000}"/>
    <cellStyle name="s_Biggie_DATA Input" xfId="17063" xr:uid="{00000000-0005-0000-0000-0000BC630000}"/>
    <cellStyle name="s_Break-Up" xfId="17064" xr:uid="{00000000-0005-0000-0000-0000BD630000}"/>
    <cellStyle name="s_Break-Up 2" xfId="17065" xr:uid="{00000000-0005-0000-0000-0000BE630000}"/>
    <cellStyle name="s_Break-Up_DATA Input" xfId="17066" xr:uid="{00000000-0005-0000-0000-0000BF630000}"/>
    <cellStyle name="s_But813" xfId="17067" xr:uid="{00000000-0005-0000-0000-0000C0630000}"/>
    <cellStyle name="s_But813 2" xfId="17068" xr:uid="{00000000-0005-0000-0000-0000C1630000}"/>
    <cellStyle name="s_But813_DATA Input" xfId="17069" xr:uid="{00000000-0005-0000-0000-0000C2630000}"/>
    <cellStyle name="s_But925" xfId="17070" xr:uid="{00000000-0005-0000-0000-0000C3630000}"/>
    <cellStyle name="s_But925 2" xfId="17071" xr:uid="{00000000-0005-0000-0000-0000C4630000}"/>
    <cellStyle name="s_But925_DATA Input" xfId="17072" xr:uid="{00000000-0005-0000-0000-0000C5630000}"/>
    <cellStyle name="s_CA Cases (2)" xfId="17073" xr:uid="{00000000-0005-0000-0000-0000C6630000}"/>
    <cellStyle name="s_CA Cases (2)_1" xfId="17074" xr:uid="{00000000-0005-0000-0000-0000C7630000}"/>
    <cellStyle name="s_CA Cases (2)_1 2" xfId="17075" xr:uid="{00000000-0005-0000-0000-0000C8630000}"/>
    <cellStyle name="s_CA Cases (2)_1_DATA Input" xfId="17076" xr:uid="{00000000-0005-0000-0000-0000C9630000}"/>
    <cellStyle name="s_CA Cases (2)_Celtic DCF" xfId="17077" xr:uid="{00000000-0005-0000-0000-0000CA630000}"/>
    <cellStyle name="s_CA Cases (2)_Celtic DCF Inputs" xfId="17078" xr:uid="{00000000-0005-0000-0000-0000CB630000}"/>
    <cellStyle name="s_CA Cases (2)_Celtic DCF Inputs_DATA Input" xfId="17079" xr:uid="{00000000-0005-0000-0000-0000CC630000}"/>
    <cellStyle name="s_CA Cases (2)_Celtic DCF_DATA Input" xfId="17080" xr:uid="{00000000-0005-0000-0000-0000CD630000}"/>
    <cellStyle name="s_CA Cases (2)_DATA Input" xfId="17081" xr:uid="{00000000-0005-0000-0000-0000CE630000}"/>
    <cellStyle name="s_CA Cases (2)_Valuation Summary" xfId="17082" xr:uid="{00000000-0005-0000-0000-0000CF630000}"/>
    <cellStyle name="s_CA Cases (2)_Valuation Summary_DATA Input" xfId="17083" xr:uid="{00000000-0005-0000-0000-0000D0630000}"/>
    <cellStyle name="s_Cal. (2)" xfId="17084" xr:uid="{00000000-0005-0000-0000-0000D1630000}"/>
    <cellStyle name="s_Cal. (2)_1" xfId="17085" xr:uid="{00000000-0005-0000-0000-0000D2630000}"/>
    <cellStyle name="s_Cal. (2)_1 2" xfId="17086" xr:uid="{00000000-0005-0000-0000-0000D3630000}"/>
    <cellStyle name="s_Cal. (2)_1_DATA Input" xfId="17087" xr:uid="{00000000-0005-0000-0000-0000D4630000}"/>
    <cellStyle name="s_Cal. (2)_DATA Input" xfId="17088" xr:uid="{00000000-0005-0000-0000-0000D5630000}"/>
    <cellStyle name="s_Carl" xfId="17089" xr:uid="{00000000-0005-0000-0000-0000D6630000}"/>
    <cellStyle name="s_Carl 2" xfId="17090" xr:uid="{00000000-0005-0000-0000-0000D7630000}"/>
    <cellStyle name="s_Carl_DATA Input" xfId="17091" xr:uid="{00000000-0005-0000-0000-0000D8630000}"/>
    <cellStyle name="s_Cases" xfId="17092" xr:uid="{00000000-0005-0000-0000-0000D9630000}"/>
    <cellStyle name="s_Cases (2)" xfId="17093" xr:uid="{00000000-0005-0000-0000-0000DA630000}"/>
    <cellStyle name="s_Cases (2)_1" xfId="17094" xr:uid="{00000000-0005-0000-0000-0000DB630000}"/>
    <cellStyle name="s_Cases (2)_1 2" xfId="17095" xr:uid="{00000000-0005-0000-0000-0000DC630000}"/>
    <cellStyle name="s_Cases (2)_1_DATA Input" xfId="17096" xr:uid="{00000000-0005-0000-0000-0000DD630000}"/>
    <cellStyle name="s_Cases (2)_Celtic DCF" xfId="17097" xr:uid="{00000000-0005-0000-0000-0000DE630000}"/>
    <cellStyle name="s_Cases (2)_Celtic DCF Inputs" xfId="17098" xr:uid="{00000000-0005-0000-0000-0000DF630000}"/>
    <cellStyle name="s_Cases (2)_Celtic DCF Inputs_DATA Input" xfId="17099" xr:uid="{00000000-0005-0000-0000-0000E0630000}"/>
    <cellStyle name="s_Cases (2)_Celtic DCF_DATA Input" xfId="17100" xr:uid="{00000000-0005-0000-0000-0000E1630000}"/>
    <cellStyle name="s_Cases (2)_DATA Input" xfId="17101" xr:uid="{00000000-0005-0000-0000-0000E2630000}"/>
    <cellStyle name="s_Cases (2)_Valuation Summary" xfId="17102" xr:uid="{00000000-0005-0000-0000-0000E3630000}"/>
    <cellStyle name="s_Cases (2)_Valuation Summary_DATA Input" xfId="17103" xr:uid="{00000000-0005-0000-0000-0000E4630000}"/>
    <cellStyle name="s_Cases_1" xfId="17104" xr:uid="{00000000-0005-0000-0000-0000E5630000}"/>
    <cellStyle name="s_Cases_1 2" xfId="17105" xr:uid="{00000000-0005-0000-0000-0000E6630000}"/>
    <cellStyle name="s_Cases_1_DATA Input" xfId="17106" xr:uid="{00000000-0005-0000-0000-0000E7630000}"/>
    <cellStyle name="s_Cases_1_DCF" xfId="17107" xr:uid="{00000000-0005-0000-0000-0000E8630000}"/>
    <cellStyle name="s_Cases_1_DCF 2" xfId="17108" xr:uid="{00000000-0005-0000-0000-0000E9630000}"/>
    <cellStyle name="s_Cases_1_DCF_DATA Input" xfId="17109" xr:uid="{00000000-0005-0000-0000-0000EA630000}"/>
    <cellStyle name="s_Cases_1_Val's New Look Full Model" xfId="17110" xr:uid="{00000000-0005-0000-0000-0000EB630000}"/>
    <cellStyle name="s_Cases_1_Val's New Look Full Model 2" xfId="17111" xr:uid="{00000000-0005-0000-0000-0000EC630000}"/>
    <cellStyle name="s_Cases_1_Val's New Look Full Model_DATA Input" xfId="17112" xr:uid="{00000000-0005-0000-0000-0000ED630000}"/>
    <cellStyle name="s_Cases_2" xfId="17113" xr:uid="{00000000-0005-0000-0000-0000EE630000}"/>
    <cellStyle name="s_Cases_2_DATA Input" xfId="17114" xr:uid="{00000000-0005-0000-0000-0000EF630000}"/>
    <cellStyle name="s_Cases_AM0909" xfId="17115" xr:uid="{00000000-0005-0000-0000-0000F0630000}"/>
    <cellStyle name="s_Cases_AM0909 2" xfId="17116" xr:uid="{00000000-0005-0000-0000-0000F1630000}"/>
    <cellStyle name="s_Cases_AM0909_DATA Input" xfId="17117" xr:uid="{00000000-0005-0000-0000-0000F2630000}"/>
    <cellStyle name="s_Cases_Brenner" xfId="17118" xr:uid="{00000000-0005-0000-0000-0000F3630000}"/>
    <cellStyle name="s_Cases_Brenner 2" xfId="17119" xr:uid="{00000000-0005-0000-0000-0000F4630000}"/>
    <cellStyle name="s_Cases_Brenner_DATA Input" xfId="17120" xr:uid="{00000000-0005-0000-0000-0000F5630000}"/>
    <cellStyle name="s_Cases_DATA Input" xfId="17121" xr:uid="{00000000-0005-0000-0000-0000F6630000}"/>
    <cellStyle name="s_Cases_DCF" xfId="17122" xr:uid="{00000000-0005-0000-0000-0000F7630000}"/>
    <cellStyle name="s_Cases_DCF 2" xfId="17123" xr:uid="{00000000-0005-0000-0000-0000F8630000}"/>
    <cellStyle name="s_Cases_DCF_DATA Input" xfId="17124" xr:uid="{00000000-0005-0000-0000-0000F9630000}"/>
    <cellStyle name="s_Cases_Val's New Look Full Model" xfId="17125" xr:uid="{00000000-0005-0000-0000-0000FA630000}"/>
    <cellStyle name="s_Cases_Val's New Look Full Model_DATA Input" xfId="17126" xr:uid="{00000000-0005-0000-0000-0000FB630000}"/>
    <cellStyle name="s_CasesDialog" xfId="17127" xr:uid="{00000000-0005-0000-0000-0000FC630000}"/>
    <cellStyle name="s_CasesDialog 2" xfId="17128" xr:uid="{00000000-0005-0000-0000-0000FD630000}"/>
    <cellStyle name="s_CasesDialog_1" xfId="17129" xr:uid="{00000000-0005-0000-0000-0000FE630000}"/>
    <cellStyle name="s_CasesDialog_1 2" xfId="17130" xr:uid="{00000000-0005-0000-0000-0000FF630000}"/>
    <cellStyle name="s_CasesDialog_1_DATA Input" xfId="17131" xr:uid="{00000000-0005-0000-0000-000000640000}"/>
    <cellStyle name="s_CasesDialog_DATA Input" xfId="17132" xr:uid="{00000000-0005-0000-0000-000001640000}"/>
    <cellStyle name="s_Caterpillar" xfId="17133" xr:uid="{00000000-0005-0000-0000-000002640000}"/>
    <cellStyle name="s_Caterpillar 2" xfId="17134" xr:uid="{00000000-0005-0000-0000-000003640000}"/>
    <cellStyle name="s_Caterpillar_DATA Input" xfId="17135" xr:uid="{00000000-0005-0000-0000-000004640000}"/>
    <cellStyle name="s_Celtic DCF" xfId="17136" xr:uid="{00000000-0005-0000-0000-000005640000}"/>
    <cellStyle name="s_Celtic DCF Inputs" xfId="17137" xr:uid="{00000000-0005-0000-0000-000006640000}"/>
    <cellStyle name="s_Celtic DCF Inputs 2" xfId="17138" xr:uid="{00000000-0005-0000-0000-000007640000}"/>
    <cellStyle name="s_Celtic DCF Inputs_1" xfId="17139" xr:uid="{00000000-0005-0000-0000-000008640000}"/>
    <cellStyle name="s_Celtic DCF Inputs_1_DATA Input" xfId="17140" xr:uid="{00000000-0005-0000-0000-000009640000}"/>
    <cellStyle name="s_Celtic DCF Inputs_DATA Input" xfId="17141" xr:uid="{00000000-0005-0000-0000-00000A640000}"/>
    <cellStyle name="s_Celtic DCF_1" xfId="17142" xr:uid="{00000000-0005-0000-0000-00000B640000}"/>
    <cellStyle name="s_Celtic DCF_1 2" xfId="17143" xr:uid="{00000000-0005-0000-0000-00000C640000}"/>
    <cellStyle name="s_Celtic DCF_1_DATA Input" xfId="17144" xr:uid="{00000000-0005-0000-0000-00000D640000}"/>
    <cellStyle name="s_Celtic DCF_DATA Input" xfId="17145" xr:uid="{00000000-0005-0000-0000-00000E640000}"/>
    <cellStyle name="s_COMPONENT" xfId="17146" xr:uid="{00000000-0005-0000-0000-00000F640000}"/>
    <cellStyle name="s_COMPONENT_1" xfId="17147" xr:uid="{00000000-0005-0000-0000-000010640000}"/>
    <cellStyle name="s_COMPONENT_1 2" xfId="17148" xr:uid="{00000000-0005-0000-0000-000011640000}"/>
    <cellStyle name="s_COMPONENT_1_DATA Input" xfId="17149" xr:uid="{00000000-0005-0000-0000-000012640000}"/>
    <cellStyle name="s_COMPONENT_DATA Input" xfId="17150" xr:uid="{00000000-0005-0000-0000-000013640000}"/>
    <cellStyle name="s_CONTROL-LBO" xfId="17151" xr:uid="{00000000-0005-0000-0000-000014640000}"/>
    <cellStyle name="s_CONTROL-LBO 2" xfId="17152" xr:uid="{00000000-0005-0000-0000-000015640000}"/>
    <cellStyle name="s_CONTROL-LBO_DATA Input" xfId="17153" xr:uid="{00000000-0005-0000-0000-000016640000}"/>
    <cellStyle name="s_CoP" xfId="17154" xr:uid="{00000000-0005-0000-0000-000017640000}"/>
    <cellStyle name="s_CoP 2" xfId="17155" xr:uid="{00000000-0005-0000-0000-000018640000}"/>
    <cellStyle name="s_CoP_DATA Input" xfId="17156" xr:uid="{00000000-0005-0000-0000-000019640000}"/>
    <cellStyle name="s_CoPa" xfId="17157" xr:uid="{00000000-0005-0000-0000-00001A640000}"/>
    <cellStyle name="s_CoPa 2" xfId="17158" xr:uid="{00000000-0005-0000-0000-00001B640000}"/>
    <cellStyle name="s_CoPa_DATA Input" xfId="17159" xr:uid="{00000000-0005-0000-0000-00001C640000}"/>
    <cellStyle name="s_CoPModelwarea" xfId="17160" xr:uid="{00000000-0005-0000-0000-00001D640000}"/>
    <cellStyle name="s_CoPModelwarea 2" xfId="17161" xr:uid="{00000000-0005-0000-0000-00001E640000}"/>
    <cellStyle name="s_CoPModelwarea_DATA Input" xfId="17162" xr:uid="{00000000-0005-0000-0000-00001F640000}"/>
    <cellStyle name="s_Credit (2)" xfId="17163" xr:uid="{00000000-0005-0000-0000-000020640000}"/>
    <cellStyle name="s_Credit (2) 2" xfId="17164" xr:uid="{00000000-0005-0000-0000-000021640000}"/>
    <cellStyle name="s_Credit (2)_1" xfId="17165" xr:uid="{00000000-0005-0000-0000-000022640000}"/>
    <cellStyle name="s_Credit (2)_1_DATA Input" xfId="17166" xr:uid="{00000000-0005-0000-0000-000023640000}"/>
    <cellStyle name="s_Credit (2)_2" xfId="17167" xr:uid="{00000000-0005-0000-0000-000024640000}"/>
    <cellStyle name="s_Credit (2)_2 2" xfId="17168" xr:uid="{00000000-0005-0000-0000-000025640000}"/>
    <cellStyle name="s_Credit (2)_2_DATA Input" xfId="17169" xr:uid="{00000000-0005-0000-0000-000026640000}"/>
    <cellStyle name="s_Credit (2)_DATA Input" xfId="17170" xr:uid="{00000000-0005-0000-0000-000027640000}"/>
    <cellStyle name="s_Credit Buildup (2)" xfId="17171" xr:uid="{00000000-0005-0000-0000-000028640000}"/>
    <cellStyle name="s_Credit Buildup (2)_1" xfId="17172" xr:uid="{00000000-0005-0000-0000-000029640000}"/>
    <cellStyle name="s_Credit Buildup (2)_1 2" xfId="17173" xr:uid="{00000000-0005-0000-0000-00002A640000}"/>
    <cellStyle name="s_Credit Buildup (2)_1_DATA Input" xfId="17174" xr:uid="{00000000-0005-0000-0000-00002B640000}"/>
    <cellStyle name="s_Credit Buildup (2)_Celtic DCF" xfId="17175" xr:uid="{00000000-0005-0000-0000-00002C640000}"/>
    <cellStyle name="s_Credit Buildup (2)_Celtic DCF Inputs" xfId="17176" xr:uid="{00000000-0005-0000-0000-00002D640000}"/>
    <cellStyle name="s_Credit Buildup (2)_Celtic DCF Inputs_DATA Input" xfId="17177" xr:uid="{00000000-0005-0000-0000-00002E640000}"/>
    <cellStyle name="s_Credit Buildup (2)_Celtic DCF_DATA Input" xfId="17178" xr:uid="{00000000-0005-0000-0000-00002F640000}"/>
    <cellStyle name="s_Credit Buildup (2)_DATA Input" xfId="17179" xr:uid="{00000000-0005-0000-0000-000030640000}"/>
    <cellStyle name="s_Credit Buildup (2)_Valuation Summary" xfId="17180" xr:uid="{00000000-0005-0000-0000-000031640000}"/>
    <cellStyle name="s_Credit Buildup (2)_Valuation Summary_DATA Input" xfId="17181" xr:uid="{00000000-0005-0000-0000-000032640000}"/>
    <cellStyle name="s_Credit Graph" xfId="17182" xr:uid="{00000000-0005-0000-0000-000033640000}"/>
    <cellStyle name="s_Credit Graph 2" xfId="17183" xr:uid="{00000000-0005-0000-0000-000034640000}"/>
    <cellStyle name="s_Credit Graph_1" xfId="17184" xr:uid="{00000000-0005-0000-0000-000035640000}"/>
    <cellStyle name="s_Credit Graph_1 2" xfId="17185" xr:uid="{00000000-0005-0000-0000-000036640000}"/>
    <cellStyle name="s_Credit Graph_1_DATA Input" xfId="17186" xr:uid="{00000000-0005-0000-0000-000037640000}"/>
    <cellStyle name="s_Credit Graph_1_DCF" xfId="17187" xr:uid="{00000000-0005-0000-0000-000038640000}"/>
    <cellStyle name="s_Credit Graph_1_DCF 2" xfId="17188" xr:uid="{00000000-0005-0000-0000-000039640000}"/>
    <cellStyle name="s_Credit Graph_1_DCF_DATA Input" xfId="17189" xr:uid="{00000000-0005-0000-0000-00003A640000}"/>
    <cellStyle name="s_Credit Graph_1_Val's New Look Full Model" xfId="17190" xr:uid="{00000000-0005-0000-0000-00003B640000}"/>
    <cellStyle name="s_Credit Graph_1_Val's New Look Full Model 2" xfId="17191" xr:uid="{00000000-0005-0000-0000-00003C640000}"/>
    <cellStyle name="s_Credit Graph_1_Val's New Look Full Model_DATA Input" xfId="17192" xr:uid="{00000000-0005-0000-0000-00003D640000}"/>
    <cellStyle name="s_Credit Graph_2" xfId="17193" xr:uid="{00000000-0005-0000-0000-00003E640000}"/>
    <cellStyle name="s_Credit Graph_2_DATA Input" xfId="17194" xr:uid="{00000000-0005-0000-0000-00003F640000}"/>
    <cellStyle name="s_Credit Graph_DATA Input" xfId="17195" xr:uid="{00000000-0005-0000-0000-000040640000}"/>
    <cellStyle name="s_Credit Graph_DCF" xfId="17196" xr:uid="{00000000-0005-0000-0000-000041640000}"/>
    <cellStyle name="s_Credit Graph_DCF 2" xfId="17197" xr:uid="{00000000-0005-0000-0000-000042640000}"/>
    <cellStyle name="s_Credit Graph_DCF_DATA Input" xfId="17198" xr:uid="{00000000-0005-0000-0000-000043640000}"/>
    <cellStyle name="s_Credit Graph_Val's New Look Full Model" xfId="17199" xr:uid="{00000000-0005-0000-0000-000044640000}"/>
    <cellStyle name="s_Credit Graph_Val's New Look Full Model 2" xfId="17200" xr:uid="{00000000-0005-0000-0000-000045640000}"/>
    <cellStyle name="s_Credit Graph_Val's New Look Full Model_DATA Input" xfId="17201" xr:uid="{00000000-0005-0000-0000-000046640000}"/>
    <cellStyle name="s_CredSens" xfId="17202" xr:uid="{00000000-0005-0000-0000-000047640000}"/>
    <cellStyle name="s_CredSens_1" xfId="17203" xr:uid="{00000000-0005-0000-0000-000048640000}"/>
    <cellStyle name="s_CredSens_1 2" xfId="17204" xr:uid="{00000000-0005-0000-0000-000049640000}"/>
    <cellStyle name="s_CredSens_1_DATA Input" xfId="17205" xr:uid="{00000000-0005-0000-0000-00004A640000}"/>
    <cellStyle name="s_CredSens_2" xfId="17206" xr:uid="{00000000-0005-0000-0000-00004B640000}"/>
    <cellStyle name="s_CredSens_2 2" xfId="17207" xr:uid="{00000000-0005-0000-0000-00004C640000}"/>
    <cellStyle name="s_CredSens_2_DATA Input" xfId="17208" xr:uid="{00000000-0005-0000-0000-00004D640000}"/>
    <cellStyle name="s_CredSens_Celtic DCF" xfId="17209" xr:uid="{00000000-0005-0000-0000-00004E640000}"/>
    <cellStyle name="s_CredSens_Celtic DCF Inputs" xfId="17210" xr:uid="{00000000-0005-0000-0000-00004F640000}"/>
    <cellStyle name="s_CredSens_Celtic DCF Inputs_DATA Input" xfId="17211" xr:uid="{00000000-0005-0000-0000-000050640000}"/>
    <cellStyle name="s_CredSens_Celtic DCF_DATA Input" xfId="17212" xr:uid="{00000000-0005-0000-0000-000051640000}"/>
    <cellStyle name="s_CredSens_DATA Input" xfId="17213" xr:uid="{00000000-0005-0000-0000-000052640000}"/>
    <cellStyle name="s_CredSens_Valuation Summary" xfId="17214" xr:uid="{00000000-0005-0000-0000-000053640000}"/>
    <cellStyle name="s_CredSens_Valuation Summary_DATA Input" xfId="17215" xr:uid="{00000000-0005-0000-0000-000054640000}"/>
    <cellStyle name="s_DATA Input" xfId="17216" xr:uid="{00000000-0005-0000-0000-000055640000}"/>
    <cellStyle name="s_DCF" xfId="17217" xr:uid="{00000000-0005-0000-0000-000056640000}"/>
    <cellStyle name="s_DCF 2" xfId="17218" xr:uid="{00000000-0005-0000-0000-000057640000}"/>
    <cellStyle name="s_DCF Inputs" xfId="17219" xr:uid="{00000000-0005-0000-0000-000058640000}"/>
    <cellStyle name="s_DCF Inputs (2)" xfId="17220" xr:uid="{00000000-0005-0000-0000-000059640000}"/>
    <cellStyle name="s_DCF Inputs (2) 2" xfId="17221" xr:uid="{00000000-0005-0000-0000-00005A640000}"/>
    <cellStyle name="s_DCF Inputs (2)_1" xfId="17222" xr:uid="{00000000-0005-0000-0000-00005B640000}"/>
    <cellStyle name="s_DCF Inputs (2)_1_Celtic DCF" xfId="17223" xr:uid="{00000000-0005-0000-0000-00005C640000}"/>
    <cellStyle name="s_DCF Inputs (2)_1_Celtic DCF Inputs" xfId="17224" xr:uid="{00000000-0005-0000-0000-00005D640000}"/>
    <cellStyle name="s_DCF Inputs (2)_1_Celtic DCF Inputs_DATA Input" xfId="17225" xr:uid="{00000000-0005-0000-0000-00005E640000}"/>
    <cellStyle name="s_DCF Inputs (2)_1_Celtic DCF_DATA Input" xfId="17226" xr:uid="{00000000-0005-0000-0000-00005F640000}"/>
    <cellStyle name="s_DCF Inputs (2)_1_DATA Input" xfId="17227" xr:uid="{00000000-0005-0000-0000-000060640000}"/>
    <cellStyle name="s_DCF Inputs (2)_1_Valuation Summary" xfId="17228" xr:uid="{00000000-0005-0000-0000-000061640000}"/>
    <cellStyle name="s_DCF Inputs (2)_1_Valuation Summary_DATA Input" xfId="17229" xr:uid="{00000000-0005-0000-0000-000062640000}"/>
    <cellStyle name="s_DCF Inputs (2)_DATA Input" xfId="17230" xr:uid="{00000000-0005-0000-0000-000063640000}"/>
    <cellStyle name="s_DCF Inputs 2" xfId="17231" xr:uid="{00000000-0005-0000-0000-000064640000}"/>
    <cellStyle name="s_DCF Inputs 3" xfId="17232" xr:uid="{00000000-0005-0000-0000-000065640000}"/>
    <cellStyle name="s_DCF Inputs 4" xfId="17233" xr:uid="{00000000-0005-0000-0000-000066640000}"/>
    <cellStyle name="s_DCF Inputs 5" xfId="17234" xr:uid="{00000000-0005-0000-0000-000067640000}"/>
    <cellStyle name="s_DCF Inputs 6" xfId="17235" xr:uid="{00000000-0005-0000-0000-000068640000}"/>
    <cellStyle name="s_DCF Inputs 7" xfId="17236" xr:uid="{00000000-0005-0000-0000-000069640000}"/>
    <cellStyle name="s_DCF Inputs_1" xfId="17237" xr:uid="{00000000-0005-0000-0000-00006A640000}"/>
    <cellStyle name="s_DCF Inputs_1_DATA Input" xfId="17238" xr:uid="{00000000-0005-0000-0000-00006B640000}"/>
    <cellStyle name="s_DCF Inputs_1_DCF" xfId="17239" xr:uid="{00000000-0005-0000-0000-00006C640000}"/>
    <cellStyle name="s_DCF Inputs_1_DCF 2" xfId="17240" xr:uid="{00000000-0005-0000-0000-00006D640000}"/>
    <cellStyle name="s_DCF Inputs_1_DCF_DATA Input" xfId="17241" xr:uid="{00000000-0005-0000-0000-00006E640000}"/>
    <cellStyle name="s_DCF Inputs_1_Val's New Look Full Model" xfId="17242" xr:uid="{00000000-0005-0000-0000-00006F640000}"/>
    <cellStyle name="s_DCF Inputs_1_Val's New Look Full Model_DATA Input" xfId="17243" xr:uid="{00000000-0005-0000-0000-000070640000}"/>
    <cellStyle name="s_DCF Inputs_2" xfId="17244" xr:uid="{00000000-0005-0000-0000-000071640000}"/>
    <cellStyle name="s_DCF Inputs_2 2" xfId="17245" xr:uid="{00000000-0005-0000-0000-000072640000}"/>
    <cellStyle name="s_DCF Inputs_2_DATA Input" xfId="17246" xr:uid="{00000000-0005-0000-0000-000073640000}"/>
    <cellStyle name="s_DCF Inputs_AM0909" xfId="17247" xr:uid="{00000000-0005-0000-0000-000074640000}"/>
    <cellStyle name="s_DCF Inputs_AM0909 2" xfId="17248" xr:uid="{00000000-0005-0000-0000-000075640000}"/>
    <cellStyle name="s_DCF Inputs_AM0909_DATA Input" xfId="17249" xr:uid="{00000000-0005-0000-0000-000076640000}"/>
    <cellStyle name="s_DCF Inputs_Brenner" xfId="17250" xr:uid="{00000000-0005-0000-0000-000077640000}"/>
    <cellStyle name="s_DCF Inputs_Brenner 2" xfId="17251" xr:uid="{00000000-0005-0000-0000-000078640000}"/>
    <cellStyle name="s_DCF Inputs_Brenner_DATA Input" xfId="17252" xr:uid="{00000000-0005-0000-0000-000079640000}"/>
    <cellStyle name="s_DCF Inputs_DATA Input" xfId="17253" xr:uid="{00000000-0005-0000-0000-00007A640000}"/>
    <cellStyle name="s_DCF Inputs_DCF" xfId="17254" xr:uid="{00000000-0005-0000-0000-00007B640000}"/>
    <cellStyle name="s_DCF Inputs_DCF 2" xfId="17255" xr:uid="{00000000-0005-0000-0000-00007C640000}"/>
    <cellStyle name="s_DCF Inputs_DCF_DATA Input" xfId="17256" xr:uid="{00000000-0005-0000-0000-00007D640000}"/>
    <cellStyle name="s_DCF Inputs_Val's New Look Full Model" xfId="17257" xr:uid="{00000000-0005-0000-0000-00007E640000}"/>
    <cellStyle name="s_DCF Inputs_Val's New Look Full Model 2" xfId="17258" xr:uid="{00000000-0005-0000-0000-00007F640000}"/>
    <cellStyle name="s_DCF Inputs_Val's New Look Full Model_DATA Input" xfId="17259" xr:uid="{00000000-0005-0000-0000-000080640000}"/>
    <cellStyle name="s_DCF Matrix" xfId="17260" xr:uid="{00000000-0005-0000-0000-000081640000}"/>
    <cellStyle name="s_DCF Matrix (2)" xfId="17261" xr:uid="{00000000-0005-0000-0000-000082640000}"/>
    <cellStyle name="s_DCF Matrix (2) 2" xfId="17262" xr:uid="{00000000-0005-0000-0000-000083640000}"/>
    <cellStyle name="s_DCF Matrix (2)_1" xfId="17263" xr:uid="{00000000-0005-0000-0000-000084640000}"/>
    <cellStyle name="s_DCF Matrix (2)_1 2" xfId="17264" xr:uid="{00000000-0005-0000-0000-000085640000}"/>
    <cellStyle name="s_DCF Matrix (2)_1_DATA Input" xfId="17265" xr:uid="{00000000-0005-0000-0000-000086640000}"/>
    <cellStyle name="s_DCF Matrix (2)_2" xfId="17266" xr:uid="{00000000-0005-0000-0000-000087640000}"/>
    <cellStyle name="s_DCF Matrix (2)_2_Celtic DCF" xfId="17267" xr:uid="{00000000-0005-0000-0000-000088640000}"/>
    <cellStyle name="s_DCF Matrix (2)_2_Celtic DCF Inputs" xfId="17268" xr:uid="{00000000-0005-0000-0000-000089640000}"/>
    <cellStyle name="s_DCF Matrix (2)_2_Celtic DCF Inputs_DATA Input" xfId="17269" xr:uid="{00000000-0005-0000-0000-00008A640000}"/>
    <cellStyle name="s_DCF Matrix (2)_2_Celtic DCF_DATA Input" xfId="17270" xr:uid="{00000000-0005-0000-0000-00008B640000}"/>
    <cellStyle name="s_DCF Matrix (2)_2_DATA Input" xfId="17271" xr:uid="{00000000-0005-0000-0000-00008C640000}"/>
    <cellStyle name="s_DCF Matrix (2)_2_Valuation Summary" xfId="17272" xr:uid="{00000000-0005-0000-0000-00008D640000}"/>
    <cellStyle name="s_DCF Matrix (2)_2_Valuation Summary_DATA Input" xfId="17273" xr:uid="{00000000-0005-0000-0000-00008E640000}"/>
    <cellStyle name="s_DCF Matrix (2)_DATA Input" xfId="17274" xr:uid="{00000000-0005-0000-0000-00008F640000}"/>
    <cellStyle name="s_DCF Matrix 2" xfId="17275" xr:uid="{00000000-0005-0000-0000-000090640000}"/>
    <cellStyle name="s_DCF Matrix 3" xfId="17276" xr:uid="{00000000-0005-0000-0000-000091640000}"/>
    <cellStyle name="s_DCF Matrix 4" xfId="17277" xr:uid="{00000000-0005-0000-0000-000092640000}"/>
    <cellStyle name="s_DCF Matrix 5" xfId="17278" xr:uid="{00000000-0005-0000-0000-000093640000}"/>
    <cellStyle name="s_DCF Matrix 6" xfId="17279" xr:uid="{00000000-0005-0000-0000-000094640000}"/>
    <cellStyle name="s_DCF Matrix 7" xfId="17280" xr:uid="{00000000-0005-0000-0000-000095640000}"/>
    <cellStyle name="s_DCF Matrix_1" xfId="17281" xr:uid="{00000000-0005-0000-0000-000096640000}"/>
    <cellStyle name="s_DCF Matrix_1_AM0909" xfId="17282" xr:uid="{00000000-0005-0000-0000-000097640000}"/>
    <cellStyle name="s_DCF Matrix_1_AM0909 2" xfId="17283" xr:uid="{00000000-0005-0000-0000-000098640000}"/>
    <cellStyle name="s_DCF Matrix_1_AM0909_DATA Input" xfId="17284" xr:uid="{00000000-0005-0000-0000-000099640000}"/>
    <cellStyle name="s_DCF Matrix_1_Brenner" xfId="17285" xr:uid="{00000000-0005-0000-0000-00009A640000}"/>
    <cellStyle name="s_DCF Matrix_1_Brenner 2" xfId="17286" xr:uid="{00000000-0005-0000-0000-00009B640000}"/>
    <cellStyle name="s_DCF Matrix_1_Brenner_DATA Input" xfId="17287" xr:uid="{00000000-0005-0000-0000-00009C640000}"/>
    <cellStyle name="s_DCF Matrix_1_DATA Input" xfId="17288" xr:uid="{00000000-0005-0000-0000-00009D640000}"/>
    <cellStyle name="s_DCF Matrix_1_DCF" xfId="17289" xr:uid="{00000000-0005-0000-0000-00009E640000}"/>
    <cellStyle name="s_DCF Matrix_1_DCF 2" xfId="17290" xr:uid="{00000000-0005-0000-0000-00009F640000}"/>
    <cellStyle name="s_DCF Matrix_1_DCF_DATA Input" xfId="17291" xr:uid="{00000000-0005-0000-0000-0000A0640000}"/>
    <cellStyle name="s_DCF Matrix_1_group1_backupdataV4" xfId="17292" xr:uid="{00000000-0005-0000-0000-0000A1640000}"/>
    <cellStyle name="s_DCF Matrix_1_group1_backupdataV4_DATA Input" xfId="17293" xr:uid="{00000000-0005-0000-0000-0000A2640000}"/>
    <cellStyle name="s_DCF Matrix_1_IPO" xfId="17294" xr:uid="{00000000-0005-0000-0000-0000A3640000}"/>
    <cellStyle name="s_DCF Matrix_1_IPO 2" xfId="17295" xr:uid="{00000000-0005-0000-0000-0000A4640000}"/>
    <cellStyle name="s_DCF Matrix_1_IPO_DATA Input" xfId="17296" xr:uid="{00000000-0005-0000-0000-0000A5640000}"/>
    <cellStyle name="s_DCF Matrix_1_MiniMerger7" xfId="17297" xr:uid="{00000000-0005-0000-0000-0000A6640000}"/>
    <cellStyle name="s_DCF Matrix_1_MiniMerger7_DATA Input" xfId="17298" xr:uid="{00000000-0005-0000-0000-0000A7640000}"/>
    <cellStyle name="s_DCF Matrix_1_Model v6" xfId="17299" xr:uid="{00000000-0005-0000-0000-0000A8640000}"/>
    <cellStyle name="s_DCF Matrix_1_Model v6 2" xfId="17300" xr:uid="{00000000-0005-0000-0000-0000A9640000}"/>
    <cellStyle name="s_DCF Matrix_1_Model v6_DATA Input" xfId="17301" xr:uid="{00000000-0005-0000-0000-0000AA640000}"/>
    <cellStyle name="s_DCF Matrix_1_Modelv38" xfId="17302" xr:uid="{00000000-0005-0000-0000-0000AB640000}"/>
    <cellStyle name="s_DCF Matrix_1_Modelv38 2" xfId="17303" xr:uid="{00000000-0005-0000-0000-0000AC640000}"/>
    <cellStyle name="s_DCF Matrix_1_Modelv38_DATA Input" xfId="17304" xr:uid="{00000000-0005-0000-0000-0000AD640000}"/>
    <cellStyle name="s_DCF Matrix_1_SMF_Model_28Mar06_v4" xfId="17305" xr:uid="{00000000-0005-0000-0000-0000AE640000}"/>
    <cellStyle name="s_DCF Matrix_1_SMF_Model_28Mar06_v4 2" xfId="17306" xr:uid="{00000000-0005-0000-0000-0000AF640000}"/>
    <cellStyle name="s_DCF Matrix_1_SMF_Model_28Mar06_v4_DATA Input" xfId="17307" xr:uid="{00000000-0005-0000-0000-0000B0640000}"/>
    <cellStyle name="s_DCF Matrix_1_Val's New Look Full Model" xfId="17308" xr:uid="{00000000-0005-0000-0000-0000B1640000}"/>
    <cellStyle name="s_DCF Matrix_1_Val's New Look Full Model_DATA Input" xfId="17309" xr:uid="{00000000-0005-0000-0000-0000B2640000}"/>
    <cellStyle name="s_DCF Matrix_2" xfId="17310" xr:uid="{00000000-0005-0000-0000-0000B3640000}"/>
    <cellStyle name="s_DCF Matrix_2 2" xfId="17311" xr:uid="{00000000-0005-0000-0000-0000B4640000}"/>
    <cellStyle name="s_DCF Matrix_2_AM0909" xfId="17312" xr:uid="{00000000-0005-0000-0000-0000B5640000}"/>
    <cellStyle name="s_DCF Matrix_2_AM0909_DATA Input" xfId="17313" xr:uid="{00000000-0005-0000-0000-0000B6640000}"/>
    <cellStyle name="s_DCF Matrix_2_Brenner" xfId="17314" xr:uid="{00000000-0005-0000-0000-0000B7640000}"/>
    <cellStyle name="s_DCF Matrix_2_Brenner_DATA Input" xfId="17315" xr:uid="{00000000-0005-0000-0000-0000B8640000}"/>
    <cellStyle name="s_DCF Matrix_2_DATA Input" xfId="17316" xr:uid="{00000000-0005-0000-0000-0000B9640000}"/>
    <cellStyle name="s_DCF Matrix_DATA Input" xfId="17317" xr:uid="{00000000-0005-0000-0000-0000BA640000}"/>
    <cellStyle name="s_DCF Matrix_DCF" xfId="17318" xr:uid="{00000000-0005-0000-0000-0000BB640000}"/>
    <cellStyle name="s_DCF Matrix_DCF 2" xfId="17319" xr:uid="{00000000-0005-0000-0000-0000BC640000}"/>
    <cellStyle name="s_DCF Matrix_DCF_DATA Input" xfId="17320" xr:uid="{00000000-0005-0000-0000-0000BD640000}"/>
    <cellStyle name="s_DCF Matrix_group1_backupdataV4" xfId="17321" xr:uid="{00000000-0005-0000-0000-0000BE640000}"/>
    <cellStyle name="s_DCF Matrix_group1_backupdataV4 2" xfId="17322" xr:uid="{00000000-0005-0000-0000-0000BF640000}"/>
    <cellStyle name="s_DCF Matrix_group1_backupdataV4_DATA Input" xfId="17323" xr:uid="{00000000-0005-0000-0000-0000C0640000}"/>
    <cellStyle name="s_DCF Matrix_IPO" xfId="17324" xr:uid="{00000000-0005-0000-0000-0000C1640000}"/>
    <cellStyle name="s_DCF Matrix_IPO_DATA Input" xfId="17325" xr:uid="{00000000-0005-0000-0000-0000C2640000}"/>
    <cellStyle name="s_DCF Matrix_MiniMerger7" xfId="17326" xr:uid="{00000000-0005-0000-0000-0000C3640000}"/>
    <cellStyle name="s_DCF Matrix_MiniMerger7 2" xfId="17327" xr:uid="{00000000-0005-0000-0000-0000C4640000}"/>
    <cellStyle name="s_DCF Matrix_MiniMerger7_DATA Input" xfId="17328" xr:uid="{00000000-0005-0000-0000-0000C5640000}"/>
    <cellStyle name="s_DCF Matrix_Model v6" xfId="17329" xr:uid="{00000000-0005-0000-0000-0000C6640000}"/>
    <cellStyle name="s_DCF Matrix_Model v6_DATA Input" xfId="17330" xr:uid="{00000000-0005-0000-0000-0000C7640000}"/>
    <cellStyle name="s_DCF Matrix_Modelv38" xfId="17331" xr:uid="{00000000-0005-0000-0000-0000C8640000}"/>
    <cellStyle name="s_DCF Matrix_Modelv38_DATA Input" xfId="17332" xr:uid="{00000000-0005-0000-0000-0000C9640000}"/>
    <cellStyle name="s_DCF Matrix_REVISE24" xfId="17333" xr:uid="{00000000-0005-0000-0000-0000CA640000}"/>
    <cellStyle name="s_DCF Matrix_REVISE24_DATA Input" xfId="17334" xr:uid="{00000000-0005-0000-0000-0000CB640000}"/>
    <cellStyle name="s_DCF Matrix_SMF_Model_28Mar06_v4" xfId="17335" xr:uid="{00000000-0005-0000-0000-0000CC640000}"/>
    <cellStyle name="s_DCF Matrix_SMF_Model_28Mar06_v4_DATA Input" xfId="17336" xr:uid="{00000000-0005-0000-0000-0000CD640000}"/>
    <cellStyle name="s_DCF Matrix_Val's New Look Full Model" xfId="17337" xr:uid="{00000000-0005-0000-0000-0000CE640000}"/>
    <cellStyle name="s_DCF Matrix_Val's New Look Full Model 2" xfId="17338" xr:uid="{00000000-0005-0000-0000-0000CF640000}"/>
    <cellStyle name="s_DCF Matrix_Val's New Look Full Model_DATA Input" xfId="17339" xr:uid="{00000000-0005-0000-0000-0000D0640000}"/>
    <cellStyle name="s_DCF_1" xfId="17340" xr:uid="{00000000-0005-0000-0000-0000D1640000}"/>
    <cellStyle name="s_DCF_1 2" xfId="17341" xr:uid="{00000000-0005-0000-0000-0000D2640000}"/>
    <cellStyle name="s_DCF_1_DATA Input" xfId="17342" xr:uid="{00000000-0005-0000-0000-0000D3640000}"/>
    <cellStyle name="s_DCF_2" xfId="17343" xr:uid="{00000000-0005-0000-0000-0000D4640000}"/>
    <cellStyle name="s_DCF_2_DATA Input" xfId="17344" xr:uid="{00000000-0005-0000-0000-0000D5640000}"/>
    <cellStyle name="s_DCF_DATA Input" xfId="17345" xr:uid="{00000000-0005-0000-0000-0000D6640000}"/>
    <cellStyle name="s_DCFLBO Code" xfId="17346" xr:uid="{00000000-0005-0000-0000-0000D7640000}"/>
    <cellStyle name="s_DCFLBO Code_1" xfId="17347" xr:uid="{00000000-0005-0000-0000-0000D8640000}"/>
    <cellStyle name="s_DCFLBO Code_1 2" xfId="17348" xr:uid="{00000000-0005-0000-0000-0000D9640000}"/>
    <cellStyle name="s_DCFLBO Code_1_Assum" xfId="17349" xr:uid="{00000000-0005-0000-0000-0000DA640000}"/>
    <cellStyle name="s_DCFLBO Code_1_Assum 2" xfId="17350" xr:uid="{00000000-0005-0000-0000-0000DB640000}"/>
    <cellStyle name="s_DCFLBO Code_1_Assum_DATA Input" xfId="17351" xr:uid="{00000000-0005-0000-0000-0000DC640000}"/>
    <cellStyle name="s_DCFLBO Code_1_Break-Up" xfId="17352" xr:uid="{00000000-0005-0000-0000-0000DD640000}"/>
    <cellStyle name="s_DCFLBO Code_1_Break-Up 2" xfId="17353" xr:uid="{00000000-0005-0000-0000-0000DE640000}"/>
    <cellStyle name="s_DCFLBO Code_1_Break-Up_DATA Input" xfId="17354" xr:uid="{00000000-0005-0000-0000-0000DF640000}"/>
    <cellStyle name="s_DCFLBO Code_1_Carl" xfId="17355" xr:uid="{00000000-0005-0000-0000-0000E0640000}"/>
    <cellStyle name="s_DCFLBO Code_1_Carl 2" xfId="17356" xr:uid="{00000000-0005-0000-0000-0000E1640000}"/>
    <cellStyle name="s_DCFLBO Code_1_Carl_DATA Input" xfId="17357" xr:uid="{00000000-0005-0000-0000-0000E2640000}"/>
    <cellStyle name="s_DCFLBO Code_1_COMPONENT" xfId="17358" xr:uid="{00000000-0005-0000-0000-0000E3640000}"/>
    <cellStyle name="s_DCFLBO Code_1_COMPONENT 2" xfId="17359" xr:uid="{00000000-0005-0000-0000-0000E4640000}"/>
    <cellStyle name="s_DCFLBO Code_1_COMPONENT_1" xfId="17360" xr:uid="{00000000-0005-0000-0000-0000E5640000}"/>
    <cellStyle name="s_DCFLBO Code_1_COMPONENT_1 2" xfId="17361" xr:uid="{00000000-0005-0000-0000-0000E6640000}"/>
    <cellStyle name="s_DCFLBO Code_1_COMPONENT_1_DATA Input" xfId="17362" xr:uid="{00000000-0005-0000-0000-0000E7640000}"/>
    <cellStyle name="s_DCFLBO Code_1_COMPONENT_DATA Input" xfId="17363" xr:uid="{00000000-0005-0000-0000-0000E8640000}"/>
    <cellStyle name="s_DCFLBO Code_1_CONTROL-LBO" xfId="17364" xr:uid="{00000000-0005-0000-0000-0000E9640000}"/>
    <cellStyle name="s_DCFLBO Code_1_CONTROL-LBO 2" xfId="17365" xr:uid="{00000000-0005-0000-0000-0000EA640000}"/>
    <cellStyle name="s_DCFLBO Code_1_CONTROL-LBO_DATA Input" xfId="17366" xr:uid="{00000000-0005-0000-0000-0000EB640000}"/>
    <cellStyle name="s_DCFLBO Code_1_CoP" xfId="17367" xr:uid="{00000000-0005-0000-0000-0000EC640000}"/>
    <cellStyle name="s_DCFLBO Code_1_CoP 2" xfId="17368" xr:uid="{00000000-0005-0000-0000-0000ED640000}"/>
    <cellStyle name="s_DCFLBO Code_1_CoP_DATA Input" xfId="17369" xr:uid="{00000000-0005-0000-0000-0000EE640000}"/>
    <cellStyle name="s_DCFLBO Code_1_CoPa" xfId="17370" xr:uid="{00000000-0005-0000-0000-0000EF640000}"/>
    <cellStyle name="s_DCFLBO Code_1_CoPa 2" xfId="17371" xr:uid="{00000000-0005-0000-0000-0000F0640000}"/>
    <cellStyle name="s_DCFLBO Code_1_CoPa_DATA Input" xfId="17372" xr:uid="{00000000-0005-0000-0000-0000F1640000}"/>
    <cellStyle name="s_DCFLBO Code_1_CoPModelwarea" xfId="17373" xr:uid="{00000000-0005-0000-0000-0000F2640000}"/>
    <cellStyle name="s_DCFLBO Code_1_CoPModelwarea 2" xfId="17374" xr:uid="{00000000-0005-0000-0000-0000F3640000}"/>
    <cellStyle name="s_DCFLBO Code_1_CoPModelwarea_DATA Input" xfId="17375" xr:uid="{00000000-0005-0000-0000-0000F4640000}"/>
    <cellStyle name="s_DCFLBO Code_1_DATA Input" xfId="17376" xr:uid="{00000000-0005-0000-0000-0000F5640000}"/>
    <cellStyle name="s_DCFLBO Code_1_DCF Inputs (2)" xfId="17377" xr:uid="{00000000-0005-0000-0000-0000F6640000}"/>
    <cellStyle name="s_DCFLBO Code_1_DCF Inputs (2) 2" xfId="17378" xr:uid="{00000000-0005-0000-0000-0000F7640000}"/>
    <cellStyle name="s_DCFLBO Code_1_DCF Inputs (2)_DATA Input" xfId="17379" xr:uid="{00000000-0005-0000-0000-0000F8640000}"/>
    <cellStyle name="s_DCFLBO Code_1_DCF Matrix (2)" xfId="17380" xr:uid="{00000000-0005-0000-0000-0000F9640000}"/>
    <cellStyle name="s_DCFLBO Code_1_DCF Matrix (2) 2" xfId="17381" xr:uid="{00000000-0005-0000-0000-0000FA640000}"/>
    <cellStyle name="s_DCFLBO Code_1_DCF Matrix (2)_DATA Input" xfId="17382" xr:uid="{00000000-0005-0000-0000-0000FB640000}"/>
    <cellStyle name="s_DCFLBO Code_1_GI.N" xfId="17383" xr:uid="{00000000-0005-0000-0000-0000FC640000}"/>
    <cellStyle name="s_DCFLBO Code_1_GI.N 2" xfId="17384" xr:uid="{00000000-0005-0000-0000-0000FD640000}"/>
    <cellStyle name="s_DCFLBO Code_1_GI.N_DATA Input" xfId="17385" xr:uid="{00000000-0005-0000-0000-0000FE640000}"/>
    <cellStyle name="s_DCFLBO Code_1_ImpDD&amp;A" xfId="17386" xr:uid="{00000000-0005-0000-0000-0000FF640000}"/>
    <cellStyle name="s_DCFLBO Code_1_ImpDD&amp;A 2" xfId="17387" xr:uid="{00000000-0005-0000-0000-000000650000}"/>
    <cellStyle name="s_DCFLBO Code_1_ImpDD&amp;A_DATA Input" xfId="17388" xr:uid="{00000000-0005-0000-0000-000001650000}"/>
    <cellStyle name="s_DCFLBO Code_1_JV_PFII" xfId="17389" xr:uid="{00000000-0005-0000-0000-000002650000}"/>
    <cellStyle name="s_DCFLBO Code_1_JV_PFII 2" xfId="17390" xr:uid="{00000000-0005-0000-0000-000003650000}"/>
    <cellStyle name="s_DCFLBO Code_1_JV_PFII_DATA Input" xfId="17391" xr:uid="{00000000-0005-0000-0000-000004650000}"/>
    <cellStyle name="s_DCFLBO Code_1_LBO IRR" xfId="17392" xr:uid="{00000000-0005-0000-0000-000005650000}"/>
    <cellStyle name="s_DCFLBO Code_1_LBO IRR 2" xfId="17393" xr:uid="{00000000-0005-0000-0000-000006650000}"/>
    <cellStyle name="s_DCFLBO Code_1_LBO IRR_DATA Input" xfId="17394" xr:uid="{00000000-0005-0000-0000-000007650000}"/>
    <cellStyle name="s_DCFLBO Code_1_LBO Sens" xfId="17395" xr:uid="{00000000-0005-0000-0000-000008650000}"/>
    <cellStyle name="s_DCFLBO Code_1_LBO Sens 2" xfId="17396" xr:uid="{00000000-0005-0000-0000-000009650000}"/>
    <cellStyle name="s_DCFLBO Code_1_LBO Sens_DATA Input" xfId="17397" xr:uid="{00000000-0005-0000-0000-00000A650000}"/>
    <cellStyle name="s_DCFLBO Code_1_LBO Summary" xfId="17398" xr:uid="{00000000-0005-0000-0000-00000B650000}"/>
    <cellStyle name="s_DCFLBO Code_1_LBO Summary 2" xfId="17399" xr:uid="{00000000-0005-0000-0000-00000C650000}"/>
    <cellStyle name="s_DCFLBO Code_1_LBO Summary_DATA Input" xfId="17400" xr:uid="{00000000-0005-0000-0000-00000D650000}"/>
    <cellStyle name="s_DCFLBO Code_1_LeveredNI" xfId="17401" xr:uid="{00000000-0005-0000-0000-00000E650000}"/>
    <cellStyle name="s_DCFLBO Code_1_LeveredNI 2" xfId="17402" xr:uid="{00000000-0005-0000-0000-00000F650000}"/>
    <cellStyle name="s_DCFLBO Code_1_LeveredNI_DATA Input" xfId="17403" xr:uid="{00000000-0005-0000-0000-000010650000}"/>
    <cellStyle name="s_DCFLBO Code_1_LT INVESTMENTS" xfId="17404" xr:uid="{00000000-0005-0000-0000-000011650000}"/>
    <cellStyle name="s_DCFLBO Code_1_LT INVESTMENTS 2" xfId="17405" xr:uid="{00000000-0005-0000-0000-000012650000}"/>
    <cellStyle name="s_DCFLBO Code_1_LT INVESTMENTS_DATA Input" xfId="17406" xr:uid="{00000000-0005-0000-0000-000013650000}"/>
    <cellStyle name="s_DCFLBO Code_1_model10_18" xfId="17407" xr:uid="{00000000-0005-0000-0000-000014650000}"/>
    <cellStyle name="s_DCFLBO Code_1_model10_18 2" xfId="17408" xr:uid="{00000000-0005-0000-0000-000015650000}"/>
    <cellStyle name="s_DCFLBO Code_1_model10_18_DATA Input" xfId="17409" xr:uid="{00000000-0005-0000-0000-000016650000}"/>
    <cellStyle name="s_DCFLBO Code_1_Module1" xfId="17410" xr:uid="{00000000-0005-0000-0000-000017650000}"/>
    <cellStyle name="s_DCFLBO Code_1_Module1 2" xfId="17411" xr:uid="{00000000-0005-0000-0000-000018650000}"/>
    <cellStyle name="s_DCFLBO Code_1_Module1_DATA Input" xfId="17412" xr:uid="{00000000-0005-0000-0000-000019650000}"/>
    <cellStyle name="s_DCFLBO Code_1_recon" xfId="17413" xr:uid="{00000000-0005-0000-0000-00001A650000}"/>
    <cellStyle name="s_DCFLBO Code_1_recon 2" xfId="17414" xr:uid="{00000000-0005-0000-0000-00001B650000}"/>
    <cellStyle name="s_DCFLBO Code_1_recon_DATA Input" xfId="17415" xr:uid="{00000000-0005-0000-0000-00001C650000}"/>
    <cellStyle name="s_DCFLBO Code_1_Sheet1" xfId="17416" xr:uid="{00000000-0005-0000-0000-00001D650000}"/>
    <cellStyle name="s_DCFLBO Code_1_Sheet1 2" xfId="17417" xr:uid="{00000000-0005-0000-0000-00001E650000}"/>
    <cellStyle name="s_DCFLBO Code_1_Sheet1_DATA Input" xfId="17418" xr:uid="{00000000-0005-0000-0000-00001F650000}"/>
    <cellStyle name="s_DCFLBO Code_1_Sheet3" xfId="17419" xr:uid="{00000000-0005-0000-0000-000020650000}"/>
    <cellStyle name="s_DCFLBO Code_1_Sheet3 2" xfId="17420" xr:uid="{00000000-0005-0000-0000-000021650000}"/>
    <cellStyle name="s_DCFLBO Code_1_Sheet3_DATA Input" xfId="17421" xr:uid="{00000000-0005-0000-0000-000022650000}"/>
    <cellStyle name="s_DCFLBO Code_1_spin_pf" xfId="17422" xr:uid="{00000000-0005-0000-0000-000023650000}"/>
    <cellStyle name="s_DCFLBO Code_1_spin_pf 2" xfId="17423" xr:uid="{00000000-0005-0000-0000-000024650000}"/>
    <cellStyle name="s_DCFLBO Code_1_spin_pf_DATA Input" xfId="17424" xr:uid="{00000000-0005-0000-0000-000025650000}"/>
    <cellStyle name="s_DCFLBO Code_1_T_Co." xfId="17425" xr:uid="{00000000-0005-0000-0000-000026650000}"/>
    <cellStyle name="s_DCFLBO Code_1_T_Co. 2" xfId="17426" xr:uid="{00000000-0005-0000-0000-000027650000}"/>
    <cellStyle name="s_DCFLBO Code_1_T_Co._DATA Input" xfId="17427" xr:uid="{00000000-0005-0000-0000-000028650000}"/>
    <cellStyle name="s_DCFLBO Code_1_Trading Val Calc" xfId="17428" xr:uid="{00000000-0005-0000-0000-000029650000}"/>
    <cellStyle name="s_DCFLBO Code_1_Trading Val Calc 2" xfId="17429" xr:uid="{00000000-0005-0000-0000-00002A650000}"/>
    <cellStyle name="s_DCFLBO Code_1_Trading Val Calc_DATA Input" xfId="17430" xr:uid="{00000000-0005-0000-0000-00002B650000}"/>
    <cellStyle name="s_DCFLBO Code_1_Trans Assump" xfId="17431" xr:uid="{00000000-0005-0000-0000-00002C650000}"/>
    <cellStyle name="s_DCFLBO Code_1_Trans Assump 2" xfId="17432" xr:uid="{00000000-0005-0000-0000-00002D650000}"/>
    <cellStyle name="s_DCFLBO Code_1_Trans Assump_DATA Input" xfId="17433" xr:uid="{00000000-0005-0000-0000-00002E650000}"/>
    <cellStyle name="s_DCFLBO Code_1_valmatrix" xfId="17434" xr:uid="{00000000-0005-0000-0000-00002F650000}"/>
    <cellStyle name="s_DCFLBO Code_1_valmatrix 2" xfId="17435" xr:uid="{00000000-0005-0000-0000-000030650000}"/>
    <cellStyle name="s_DCFLBO Code_1_valmatrix_DATA Input" xfId="17436" xr:uid="{00000000-0005-0000-0000-000031650000}"/>
    <cellStyle name="s_DCFLBO Code_Assum" xfId="17437" xr:uid="{00000000-0005-0000-0000-000032650000}"/>
    <cellStyle name="s_DCFLBO Code_Assum 2" xfId="17438" xr:uid="{00000000-0005-0000-0000-000033650000}"/>
    <cellStyle name="s_DCFLBO Code_Assum_DATA Input" xfId="17439" xr:uid="{00000000-0005-0000-0000-000034650000}"/>
    <cellStyle name="s_DCFLBO Code_Break-Up" xfId="17440" xr:uid="{00000000-0005-0000-0000-000035650000}"/>
    <cellStyle name="s_DCFLBO Code_Break-Up_DATA Input" xfId="17441" xr:uid="{00000000-0005-0000-0000-000036650000}"/>
    <cellStyle name="s_DCFLBO Code_BUHR Mini-merger3" xfId="17442" xr:uid="{00000000-0005-0000-0000-000037650000}"/>
    <cellStyle name="s_DCFLBO Code_BUHR Mini-merger3_DATA Input" xfId="17443" xr:uid="{00000000-0005-0000-0000-000038650000}"/>
    <cellStyle name="s_DCFLBO Code_Carl" xfId="17444" xr:uid="{00000000-0005-0000-0000-000039650000}"/>
    <cellStyle name="s_DCFLBO Code_Carl_DATA Input" xfId="17445" xr:uid="{00000000-0005-0000-0000-00003A650000}"/>
    <cellStyle name="s_DCFLBO Code_Celtic DCF" xfId="17446" xr:uid="{00000000-0005-0000-0000-00003B650000}"/>
    <cellStyle name="s_DCFLBO Code_Celtic DCF Inputs" xfId="17447" xr:uid="{00000000-0005-0000-0000-00003C650000}"/>
    <cellStyle name="s_DCFLBO Code_Celtic DCF Inputs_DATA Input" xfId="17448" xr:uid="{00000000-0005-0000-0000-00003D650000}"/>
    <cellStyle name="s_DCFLBO Code_Celtic DCF_DATA Input" xfId="17449" xr:uid="{00000000-0005-0000-0000-00003E650000}"/>
    <cellStyle name="s_DCFLBO Code_Competitive Landscape" xfId="17450" xr:uid="{00000000-0005-0000-0000-00003F650000}"/>
    <cellStyle name="s_DCFLBO Code_Competitive Landscape_DATA Input" xfId="17451" xr:uid="{00000000-0005-0000-0000-000040650000}"/>
    <cellStyle name="s_DCFLBO Code_COMPONENT" xfId="17452" xr:uid="{00000000-0005-0000-0000-000041650000}"/>
    <cellStyle name="s_DCFLBO Code_COMPONENT 2" xfId="17453" xr:uid="{00000000-0005-0000-0000-000042650000}"/>
    <cellStyle name="s_DCFLBO Code_COMPONENT_1" xfId="17454" xr:uid="{00000000-0005-0000-0000-000043650000}"/>
    <cellStyle name="s_DCFLBO Code_COMPONENT_1_DATA Input" xfId="17455" xr:uid="{00000000-0005-0000-0000-000044650000}"/>
    <cellStyle name="s_DCFLBO Code_COMPONENT_DATA Input" xfId="17456" xr:uid="{00000000-0005-0000-0000-000045650000}"/>
    <cellStyle name="s_DCFLBO Code_Comps" xfId="17457" xr:uid="{00000000-0005-0000-0000-000046650000}"/>
    <cellStyle name="s_DCFLBO Code_Comps (version 2)" xfId="17458" xr:uid="{00000000-0005-0000-0000-000047650000}"/>
    <cellStyle name="s_DCFLBO Code_Comps (version 2)_DATA Input" xfId="17459" xr:uid="{00000000-0005-0000-0000-000048650000}"/>
    <cellStyle name="s_DCFLBO Code_Comps_DATA Input" xfId="17460" xr:uid="{00000000-0005-0000-0000-000049650000}"/>
    <cellStyle name="s_DCFLBO Code_CONTROL-LBO" xfId="17461" xr:uid="{00000000-0005-0000-0000-00004A650000}"/>
    <cellStyle name="s_DCFLBO Code_CONTROL-LBO_DATA Input" xfId="17462" xr:uid="{00000000-0005-0000-0000-00004B650000}"/>
    <cellStyle name="s_DCFLBO Code_CoP" xfId="17463" xr:uid="{00000000-0005-0000-0000-00004C650000}"/>
    <cellStyle name="s_DCFLBO Code_CoP_DATA Input" xfId="17464" xr:uid="{00000000-0005-0000-0000-00004D650000}"/>
    <cellStyle name="s_DCFLBO Code_CoPa" xfId="17465" xr:uid="{00000000-0005-0000-0000-00004E650000}"/>
    <cellStyle name="s_DCFLBO Code_CoPa_DATA Input" xfId="17466" xr:uid="{00000000-0005-0000-0000-00004F650000}"/>
    <cellStyle name="s_DCFLBO Code_CoPModelwarea" xfId="17467" xr:uid="{00000000-0005-0000-0000-000050650000}"/>
    <cellStyle name="s_DCFLBO Code_CoPModelwarea_DATA Input" xfId="17468" xr:uid="{00000000-0005-0000-0000-000051650000}"/>
    <cellStyle name="s_DCFLBO Code_DATA Input" xfId="17469" xr:uid="{00000000-0005-0000-0000-000052650000}"/>
    <cellStyle name="s_DCFLBO Code_DCF Inputs (2)" xfId="17470" xr:uid="{00000000-0005-0000-0000-000053650000}"/>
    <cellStyle name="s_DCFLBO Code_DCF Inputs (2)_DATA Input" xfId="17471" xr:uid="{00000000-0005-0000-0000-000054650000}"/>
    <cellStyle name="s_DCFLBO Code_DCF Matrix (2)" xfId="17472" xr:uid="{00000000-0005-0000-0000-000055650000}"/>
    <cellStyle name="s_DCFLBO Code_DCF Matrix (2)_DATA Input" xfId="17473" xr:uid="{00000000-0005-0000-0000-000056650000}"/>
    <cellStyle name="s_DCFLBO Code_GI.N" xfId="17474" xr:uid="{00000000-0005-0000-0000-000057650000}"/>
    <cellStyle name="s_DCFLBO Code_GI.N_DATA Input" xfId="17475" xr:uid="{00000000-0005-0000-0000-000058650000}"/>
    <cellStyle name="s_DCFLBO Code_group1_backupdataV4" xfId="17476" xr:uid="{00000000-0005-0000-0000-000059650000}"/>
    <cellStyle name="s_DCFLBO Code_group1_backupdataV4_DATA Input" xfId="17477" xr:uid="{00000000-0005-0000-0000-00005A650000}"/>
    <cellStyle name="s_DCFLBO Code_ImpDD&amp;A" xfId="17478" xr:uid="{00000000-0005-0000-0000-00005B650000}"/>
    <cellStyle name="s_DCFLBO Code_ImpDD&amp;A_DATA Input" xfId="17479" xr:uid="{00000000-0005-0000-0000-00005C650000}"/>
    <cellStyle name="s_DCFLBO Code_JV_PFII" xfId="17480" xr:uid="{00000000-0005-0000-0000-00005D650000}"/>
    <cellStyle name="s_DCFLBO Code_JV_PFII_DATA Input" xfId="17481" xr:uid="{00000000-0005-0000-0000-00005E650000}"/>
    <cellStyle name="s_DCFLBO Code_LBO IRR" xfId="17482" xr:uid="{00000000-0005-0000-0000-00005F650000}"/>
    <cellStyle name="s_DCFLBO Code_LBO IRR 2" xfId="17483" xr:uid="{00000000-0005-0000-0000-000060650000}"/>
    <cellStyle name="s_DCFLBO Code_LBO IRR_DATA Input" xfId="17484" xr:uid="{00000000-0005-0000-0000-000061650000}"/>
    <cellStyle name="s_DCFLBO Code_LBO Sens" xfId="17485" xr:uid="{00000000-0005-0000-0000-000062650000}"/>
    <cellStyle name="s_DCFLBO Code_LBO Sens 2" xfId="17486" xr:uid="{00000000-0005-0000-0000-000063650000}"/>
    <cellStyle name="s_DCFLBO Code_LBO Sens_DATA Input" xfId="17487" xr:uid="{00000000-0005-0000-0000-000064650000}"/>
    <cellStyle name="s_DCFLBO Code_LBO Summary" xfId="17488" xr:uid="{00000000-0005-0000-0000-000065650000}"/>
    <cellStyle name="s_DCFLBO Code_LBO Summary 2" xfId="17489" xr:uid="{00000000-0005-0000-0000-000066650000}"/>
    <cellStyle name="s_DCFLBO Code_LBO Summary_DATA Input" xfId="17490" xr:uid="{00000000-0005-0000-0000-000067650000}"/>
    <cellStyle name="s_DCFLBO Code_LeveredNI" xfId="17491" xr:uid="{00000000-0005-0000-0000-000068650000}"/>
    <cellStyle name="s_DCFLBO Code_LeveredNI_DATA Input" xfId="17492" xr:uid="{00000000-0005-0000-0000-000069650000}"/>
    <cellStyle name="s_DCFLBO Code_LT INVESTMENTS" xfId="17493" xr:uid="{00000000-0005-0000-0000-00006A650000}"/>
    <cellStyle name="s_DCFLBO Code_LT INVESTMENTS_DATA Input" xfId="17494" xr:uid="{00000000-0005-0000-0000-00006B650000}"/>
    <cellStyle name="s_DCFLBO Code_Model v6" xfId="17495" xr:uid="{00000000-0005-0000-0000-00006C650000}"/>
    <cellStyle name="s_DCFLBO Code_Model v6_DATA Input" xfId="17496" xr:uid="{00000000-0005-0000-0000-00006D650000}"/>
    <cellStyle name="s_DCFLBO Code_model10_18" xfId="17497" xr:uid="{00000000-0005-0000-0000-00006E650000}"/>
    <cellStyle name="s_DCFLBO Code_model10_18 2" xfId="17498" xr:uid="{00000000-0005-0000-0000-00006F650000}"/>
    <cellStyle name="s_DCFLBO Code_model10_18_DATA Input" xfId="17499" xr:uid="{00000000-0005-0000-0000-000070650000}"/>
    <cellStyle name="s_DCFLBO Code_Modelv38" xfId="17500" xr:uid="{00000000-0005-0000-0000-000071650000}"/>
    <cellStyle name="s_DCFLBO Code_Modelv38_DATA Input" xfId="17501" xr:uid="{00000000-0005-0000-0000-000072650000}"/>
    <cellStyle name="s_DCFLBO Code_Module1" xfId="17502" xr:uid="{00000000-0005-0000-0000-000073650000}"/>
    <cellStyle name="s_DCFLBO Code_Module1 2" xfId="17503" xr:uid="{00000000-0005-0000-0000-000074650000}"/>
    <cellStyle name="s_DCFLBO Code_Module1_DATA Input" xfId="17504" xr:uid="{00000000-0005-0000-0000-000075650000}"/>
    <cellStyle name="s_DCFLBO Code_New DCF 2-20-02" xfId="17505" xr:uid="{00000000-0005-0000-0000-000076650000}"/>
    <cellStyle name="s_DCFLBO Code_New DCF 2-20-02_DATA Input" xfId="17506" xr:uid="{00000000-0005-0000-0000-000077650000}"/>
    <cellStyle name="s_DCFLBO Code_recon" xfId="17507" xr:uid="{00000000-0005-0000-0000-000078650000}"/>
    <cellStyle name="s_DCFLBO Code_recon_DATA Input" xfId="17508" xr:uid="{00000000-0005-0000-0000-000079650000}"/>
    <cellStyle name="s_DCFLBO Code_Rolex-Timex" xfId="17509" xr:uid="{00000000-0005-0000-0000-00007A650000}"/>
    <cellStyle name="s_DCFLBO Code_Rolex-Timex_DATA Input" xfId="17510" xr:uid="{00000000-0005-0000-0000-00007B650000}"/>
    <cellStyle name="s_DCFLBO Code_Sheet1" xfId="17511" xr:uid="{00000000-0005-0000-0000-00007C650000}"/>
    <cellStyle name="s_DCFLBO Code_Sheet1 2" xfId="17512" xr:uid="{00000000-0005-0000-0000-00007D650000}"/>
    <cellStyle name="s_DCFLBO Code_Sheet1_DATA Input" xfId="17513" xr:uid="{00000000-0005-0000-0000-00007E650000}"/>
    <cellStyle name="s_DCFLBO Code_Sheet3" xfId="17514" xr:uid="{00000000-0005-0000-0000-00007F650000}"/>
    <cellStyle name="s_DCFLBO Code_Sheet3 2" xfId="17515" xr:uid="{00000000-0005-0000-0000-000080650000}"/>
    <cellStyle name="s_DCFLBO Code_Sheet3_DATA Input" xfId="17516" xr:uid="{00000000-0005-0000-0000-000081650000}"/>
    <cellStyle name="s_DCFLBO Code_SMF_Model_28Mar06_v4" xfId="17517" xr:uid="{00000000-0005-0000-0000-000082650000}"/>
    <cellStyle name="s_DCFLBO Code_SMF_Model_28Mar06_v4_DATA Input" xfId="17518" xr:uid="{00000000-0005-0000-0000-000083650000}"/>
    <cellStyle name="s_DCFLBO Code_spin_pf" xfId="17519" xr:uid="{00000000-0005-0000-0000-000084650000}"/>
    <cellStyle name="s_DCFLBO Code_spin_pf_DATA Input" xfId="17520" xr:uid="{00000000-0005-0000-0000-000085650000}"/>
    <cellStyle name="s_DCFLBO Code_T_Co." xfId="17521" xr:uid="{00000000-0005-0000-0000-000086650000}"/>
    <cellStyle name="s_DCFLBO Code_T_Co. 2" xfId="17522" xr:uid="{00000000-0005-0000-0000-000087650000}"/>
    <cellStyle name="s_DCFLBO Code_T_Co._DATA Input" xfId="17523" xr:uid="{00000000-0005-0000-0000-000088650000}"/>
    <cellStyle name="s_DCFLBO Code_Trading Val Calc" xfId="17524" xr:uid="{00000000-0005-0000-0000-000089650000}"/>
    <cellStyle name="s_DCFLBO Code_Trading Val Calc 2" xfId="17525" xr:uid="{00000000-0005-0000-0000-00008A650000}"/>
    <cellStyle name="s_DCFLBO Code_Trading Val Calc_DATA Input" xfId="17526" xr:uid="{00000000-0005-0000-0000-00008B650000}"/>
    <cellStyle name="s_DCFLBO Code_Trans Assump" xfId="17527" xr:uid="{00000000-0005-0000-0000-00008C650000}"/>
    <cellStyle name="s_DCFLBO Code_Trans Assump 2" xfId="17528" xr:uid="{00000000-0005-0000-0000-00008D650000}"/>
    <cellStyle name="s_DCFLBO Code_Trans Assump_DATA Input" xfId="17529" xr:uid="{00000000-0005-0000-0000-00008E650000}"/>
    <cellStyle name="s_DCFLBO Code_valmatrix" xfId="17530" xr:uid="{00000000-0005-0000-0000-00008F650000}"/>
    <cellStyle name="s_DCFLBO Code_valmatrix 2" xfId="17531" xr:uid="{00000000-0005-0000-0000-000090650000}"/>
    <cellStyle name="s_DCFLBO Code_valmatrix_DATA Input" xfId="17532" xr:uid="{00000000-0005-0000-0000-000091650000}"/>
    <cellStyle name="s_DCFLBO Code_Valuation Summary" xfId="17533" xr:uid="{00000000-0005-0000-0000-000092650000}"/>
    <cellStyle name="s_DCFLBO Code_Valuation Summary_DATA Input" xfId="17534" xr:uid="{00000000-0005-0000-0000-000093650000}"/>
    <cellStyle name="s_Deal" xfId="17535" xr:uid="{00000000-0005-0000-0000-000094650000}"/>
    <cellStyle name="s_Deal_1" xfId="17536" xr:uid="{00000000-0005-0000-0000-000095650000}"/>
    <cellStyle name="s_Deal_1 2" xfId="17537" xr:uid="{00000000-0005-0000-0000-000096650000}"/>
    <cellStyle name="s_Deal_1_DATA Input" xfId="17538" xr:uid="{00000000-0005-0000-0000-000097650000}"/>
    <cellStyle name="s_Deal_2" xfId="17539" xr:uid="{00000000-0005-0000-0000-000098650000}"/>
    <cellStyle name="s_Deal_2 2" xfId="17540" xr:uid="{00000000-0005-0000-0000-000099650000}"/>
    <cellStyle name="s_Deal_2_DATA Input" xfId="17541" xr:uid="{00000000-0005-0000-0000-00009A650000}"/>
    <cellStyle name="s_Deal_DATA Input" xfId="17542" xr:uid="{00000000-0005-0000-0000-00009B650000}"/>
    <cellStyle name="s_Dental (2)" xfId="17543" xr:uid="{00000000-0005-0000-0000-00009C650000}"/>
    <cellStyle name="s_Dental (2) 2" xfId="17544" xr:uid="{00000000-0005-0000-0000-00009D650000}"/>
    <cellStyle name="s_Dental (2)_1" xfId="17545" xr:uid="{00000000-0005-0000-0000-00009E650000}"/>
    <cellStyle name="s_Dental (2)_1 2" xfId="17546" xr:uid="{00000000-0005-0000-0000-00009F650000}"/>
    <cellStyle name="s_Dental (2)_1_DATA Input" xfId="17547" xr:uid="{00000000-0005-0000-0000-0000A0650000}"/>
    <cellStyle name="s_Dental (2)_2" xfId="17548" xr:uid="{00000000-0005-0000-0000-0000A1650000}"/>
    <cellStyle name="s_Dental (2)_2_Celtic DCF" xfId="17549" xr:uid="{00000000-0005-0000-0000-0000A2650000}"/>
    <cellStyle name="s_Dental (2)_2_Celtic DCF Inputs" xfId="17550" xr:uid="{00000000-0005-0000-0000-0000A3650000}"/>
    <cellStyle name="s_Dental (2)_2_Celtic DCF Inputs_DATA Input" xfId="17551" xr:uid="{00000000-0005-0000-0000-0000A4650000}"/>
    <cellStyle name="s_Dental (2)_2_Celtic DCF_DATA Input" xfId="17552" xr:uid="{00000000-0005-0000-0000-0000A5650000}"/>
    <cellStyle name="s_Dental (2)_2_DATA Input" xfId="17553" xr:uid="{00000000-0005-0000-0000-0000A6650000}"/>
    <cellStyle name="s_Dental (2)_2_Valuation Summary" xfId="17554" xr:uid="{00000000-0005-0000-0000-0000A7650000}"/>
    <cellStyle name="s_Dental (2)_2_Valuation Summary_DATA Input" xfId="17555" xr:uid="{00000000-0005-0000-0000-0000A8650000}"/>
    <cellStyle name="s_Dental (2)_DATA Input" xfId="17556" xr:uid="{00000000-0005-0000-0000-0000A9650000}"/>
    <cellStyle name="s_Dilution" xfId="17557" xr:uid="{00000000-0005-0000-0000-0000AA650000}"/>
    <cellStyle name="s_Dilution 2" xfId="17558" xr:uid="{00000000-0005-0000-0000-0000AB650000}"/>
    <cellStyle name="s_Dilution_DATA Input" xfId="17559" xr:uid="{00000000-0005-0000-0000-0000AC650000}"/>
    <cellStyle name="s_E (2)" xfId="17560" xr:uid="{00000000-0005-0000-0000-0000AD650000}"/>
    <cellStyle name="s_E (2) 2" xfId="17561" xr:uid="{00000000-0005-0000-0000-0000AE650000}"/>
    <cellStyle name="s_E (2)_1" xfId="17562" xr:uid="{00000000-0005-0000-0000-0000AF650000}"/>
    <cellStyle name="s_E (2)_1_DATA Input" xfId="17563" xr:uid="{00000000-0005-0000-0000-0000B0650000}"/>
    <cellStyle name="s_E (2)_DATA Input" xfId="17564" xr:uid="{00000000-0005-0000-0000-0000B1650000}"/>
    <cellStyle name="s_Earnings" xfId="17565" xr:uid="{00000000-0005-0000-0000-0000B2650000}"/>
    <cellStyle name="s_Earnings (2)" xfId="17566" xr:uid="{00000000-0005-0000-0000-0000B3650000}"/>
    <cellStyle name="s_Earnings (2) 2" xfId="17567" xr:uid="{00000000-0005-0000-0000-0000B4650000}"/>
    <cellStyle name="s_Earnings (2)_1" xfId="17568" xr:uid="{00000000-0005-0000-0000-0000B5650000}"/>
    <cellStyle name="s_Earnings (2)_1 2" xfId="17569" xr:uid="{00000000-0005-0000-0000-0000B6650000}"/>
    <cellStyle name="s_Earnings (2)_1_DATA Input" xfId="17570" xr:uid="{00000000-0005-0000-0000-0000B7650000}"/>
    <cellStyle name="s_Earnings (2)_DATA Input" xfId="17571" xr:uid="{00000000-0005-0000-0000-0000B8650000}"/>
    <cellStyle name="s_Earnings_1" xfId="17572" xr:uid="{00000000-0005-0000-0000-0000B9650000}"/>
    <cellStyle name="s_Earnings_1 2" xfId="17573" xr:uid="{00000000-0005-0000-0000-0000BA650000}"/>
    <cellStyle name="s_Earnings_1_AM0909" xfId="17574" xr:uid="{00000000-0005-0000-0000-0000BB650000}"/>
    <cellStyle name="s_Earnings_1_AM0909 2" xfId="17575" xr:uid="{00000000-0005-0000-0000-0000BC650000}"/>
    <cellStyle name="s_Earnings_1_AM0909_DATA Input" xfId="17576" xr:uid="{00000000-0005-0000-0000-0000BD650000}"/>
    <cellStyle name="s_Earnings_1_Brenner" xfId="17577" xr:uid="{00000000-0005-0000-0000-0000BE650000}"/>
    <cellStyle name="s_Earnings_1_Brenner 2" xfId="17578" xr:uid="{00000000-0005-0000-0000-0000BF650000}"/>
    <cellStyle name="s_Earnings_1_Brenner_DATA Input" xfId="17579" xr:uid="{00000000-0005-0000-0000-0000C0650000}"/>
    <cellStyle name="s_Earnings_1_DATA Input" xfId="17580" xr:uid="{00000000-0005-0000-0000-0000C1650000}"/>
    <cellStyle name="s_Earnings_2" xfId="17581" xr:uid="{00000000-0005-0000-0000-0000C2650000}"/>
    <cellStyle name="s_Earnings_2 2" xfId="17582" xr:uid="{00000000-0005-0000-0000-0000C3650000}"/>
    <cellStyle name="s_Earnings_2_AM0909" xfId="17583" xr:uid="{00000000-0005-0000-0000-0000C4650000}"/>
    <cellStyle name="s_Earnings_2_AM0909_DATA Input" xfId="17584" xr:uid="{00000000-0005-0000-0000-0000C5650000}"/>
    <cellStyle name="s_Earnings_2_Brenner" xfId="17585" xr:uid="{00000000-0005-0000-0000-0000C6650000}"/>
    <cellStyle name="s_Earnings_2_Brenner_DATA Input" xfId="17586" xr:uid="{00000000-0005-0000-0000-0000C7650000}"/>
    <cellStyle name="s_Earnings_2_DATA Input" xfId="17587" xr:uid="{00000000-0005-0000-0000-0000C8650000}"/>
    <cellStyle name="s_Earnings_AM0909" xfId="17588" xr:uid="{00000000-0005-0000-0000-0000C9650000}"/>
    <cellStyle name="s_Earnings_AM0909 2" xfId="17589" xr:uid="{00000000-0005-0000-0000-0000CA650000}"/>
    <cellStyle name="s_Earnings_AM0909_DATA Input" xfId="17590" xr:uid="{00000000-0005-0000-0000-0000CB650000}"/>
    <cellStyle name="s_Earnings_Brenner" xfId="17591" xr:uid="{00000000-0005-0000-0000-0000CC650000}"/>
    <cellStyle name="s_Earnings_Brenner 2" xfId="17592" xr:uid="{00000000-0005-0000-0000-0000CD650000}"/>
    <cellStyle name="s_Earnings_Brenner_DATA Input" xfId="17593" xr:uid="{00000000-0005-0000-0000-0000CE650000}"/>
    <cellStyle name="s_Earnings_DATA Input" xfId="17594" xr:uid="{00000000-0005-0000-0000-0000CF650000}"/>
    <cellStyle name="s_Earnings_DCF" xfId="17595" xr:uid="{00000000-0005-0000-0000-0000D0650000}"/>
    <cellStyle name="s_Earnings_DCF 2" xfId="17596" xr:uid="{00000000-0005-0000-0000-0000D1650000}"/>
    <cellStyle name="s_Earnings_DCF_DATA Input" xfId="17597" xr:uid="{00000000-0005-0000-0000-0000D2650000}"/>
    <cellStyle name="s_Earnings_Val's New Look Full Model" xfId="17598" xr:uid="{00000000-0005-0000-0000-0000D3650000}"/>
    <cellStyle name="s_Earnings_Val's New Look Full Model_DATA Input" xfId="17599" xr:uid="{00000000-0005-0000-0000-0000D4650000}"/>
    <cellStyle name="s_East Coast (2)" xfId="17600" xr:uid="{00000000-0005-0000-0000-0000D5650000}"/>
    <cellStyle name="s_East Coast (2) 2" xfId="17601" xr:uid="{00000000-0005-0000-0000-0000D6650000}"/>
    <cellStyle name="s_East Coast (2)_1" xfId="17602" xr:uid="{00000000-0005-0000-0000-0000D7650000}"/>
    <cellStyle name="s_East Coast (2)_1 2" xfId="17603" xr:uid="{00000000-0005-0000-0000-0000D8650000}"/>
    <cellStyle name="s_East Coast (2)_1_DATA Input" xfId="17604" xr:uid="{00000000-0005-0000-0000-0000D9650000}"/>
    <cellStyle name="s_East Coast (2)_2" xfId="17605" xr:uid="{00000000-0005-0000-0000-0000DA650000}"/>
    <cellStyle name="s_East Coast (2)_2_DATA Input" xfId="17606" xr:uid="{00000000-0005-0000-0000-0000DB650000}"/>
    <cellStyle name="s_East Coast (2)_DATA Input" xfId="17607" xr:uid="{00000000-0005-0000-0000-0000DC650000}"/>
    <cellStyle name="s_equity contribution analysisIII" xfId="17608" xr:uid="{00000000-0005-0000-0000-0000DD650000}"/>
    <cellStyle name="s_equity contribution analysisIII_DATA Input" xfId="17609" xr:uid="{00000000-0005-0000-0000-0000DE650000}"/>
    <cellStyle name="s_Fin Graph" xfId="17610" xr:uid="{00000000-0005-0000-0000-0000DF650000}"/>
    <cellStyle name="s_Fin Graph 2" xfId="17611" xr:uid="{00000000-0005-0000-0000-0000E0650000}"/>
    <cellStyle name="s_Fin Graph_1" xfId="17612" xr:uid="{00000000-0005-0000-0000-0000E1650000}"/>
    <cellStyle name="s_Fin Graph_1 2" xfId="17613" xr:uid="{00000000-0005-0000-0000-0000E2650000}"/>
    <cellStyle name="s_Fin Graph_1_DATA Input" xfId="17614" xr:uid="{00000000-0005-0000-0000-0000E3650000}"/>
    <cellStyle name="s_Fin Graph_1_DCF" xfId="17615" xr:uid="{00000000-0005-0000-0000-0000E4650000}"/>
    <cellStyle name="s_Fin Graph_1_DCF 2" xfId="17616" xr:uid="{00000000-0005-0000-0000-0000E5650000}"/>
    <cellStyle name="s_Fin Graph_1_DCF_DATA Input" xfId="17617" xr:uid="{00000000-0005-0000-0000-0000E6650000}"/>
    <cellStyle name="s_Fin Graph_1_Val's New Look Full Model" xfId="17618" xr:uid="{00000000-0005-0000-0000-0000E7650000}"/>
    <cellStyle name="s_Fin Graph_1_Val's New Look Full Model 2" xfId="17619" xr:uid="{00000000-0005-0000-0000-0000E8650000}"/>
    <cellStyle name="s_Fin Graph_1_Val's New Look Full Model_DATA Input" xfId="17620" xr:uid="{00000000-0005-0000-0000-0000E9650000}"/>
    <cellStyle name="s_Fin Graph_2" xfId="17621" xr:uid="{00000000-0005-0000-0000-0000EA650000}"/>
    <cellStyle name="s_Fin Graph_2_DATA Input" xfId="17622" xr:uid="{00000000-0005-0000-0000-0000EB650000}"/>
    <cellStyle name="s_Fin Graph_DATA Input" xfId="17623" xr:uid="{00000000-0005-0000-0000-0000EC650000}"/>
    <cellStyle name="s_Fin Graph_DCF" xfId="17624" xr:uid="{00000000-0005-0000-0000-0000ED650000}"/>
    <cellStyle name="s_Fin Graph_DCF 2" xfId="17625" xr:uid="{00000000-0005-0000-0000-0000EE650000}"/>
    <cellStyle name="s_Fin Graph_DCF_DATA Input" xfId="17626" xr:uid="{00000000-0005-0000-0000-0000EF650000}"/>
    <cellStyle name="s_Fin Graph_Val's New Look Full Model" xfId="17627" xr:uid="{00000000-0005-0000-0000-0000F0650000}"/>
    <cellStyle name="s_Fin Graph_Val's New Look Full Model 2" xfId="17628" xr:uid="{00000000-0005-0000-0000-0000F1650000}"/>
    <cellStyle name="s_Fin Graph_Val's New Look Full Model_DATA Input" xfId="17629" xr:uid="{00000000-0005-0000-0000-0000F2650000}"/>
    <cellStyle name="s_Financials_B" xfId="17630" xr:uid="{00000000-0005-0000-0000-0000F3650000}"/>
    <cellStyle name="s_Financials_B 2" xfId="17631" xr:uid="{00000000-0005-0000-0000-0000F4650000}"/>
    <cellStyle name="s_Financials_B_DATA Input" xfId="17632" xr:uid="{00000000-0005-0000-0000-0000F5650000}"/>
    <cellStyle name="s_Financials_T" xfId="17633" xr:uid="{00000000-0005-0000-0000-0000F6650000}"/>
    <cellStyle name="s_Financials_T 2" xfId="17634" xr:uid="{00000000-0005-0000-0000-0000F7650000}"/>
    <cellStyle name="s_Financials_T_DATA Input" xfId="17635" xr:uid="{00000000-0005-0000-0000-0000F8650000}"/>
    <cellStyle name="s_Florida (2)" xfId="17636" xr:uid="{00000000-0005-0000-0000-0000F9650000}"/>
    <cellStyle name="s_Florida (2) 2" xfId="17637" xr:uid="{00000000-0005-0000-0000-0000FA650000}"/>
    <cellStyle name="s_Florida (2)_1" xfId="17638" xr:uid="{00000000-0005-0000-0000-0000FB650000}"/>
    <cellStyle name="s_Florida (2)_1 2" xfId="17639" xr:uid="{00000000-0005-0000-0000-0000FC650000}"/>
    <cellStyle name="s_Florida (2)_1_DATA Input" xfId="17640" xr:uid="{00000000-0005-0000-0000-0000FD650000}"/>
    <cellStyle name="s_Florida (2)_2" xfId="17641" xr:uid="{00000000-0005-0000-0000-0000FE650000}"/>
    <cellStyle name="s_Florida (2)_2_DATA Input" xfId="17642" xr:uid="{00000000-0005-0000-0000-0000FF650000}"/>
    <cellStyle name="s_Florida (2)_DATA Input" xfId="17643" xr:uid="{00000000-0005-0000-0000-000000660000}"/>
    <cellStyle name="s_G" xfId="17644" xr:uid="{00000000-0005-0000-0000-000001660000}"/>
    <cellStyle name="s_G 2" xfId="17645" xr:uid="{00000000-0005-0000-0000-000002660000}"/>
    <cellStyle name="s_G_1" xfId="17646" xr:uid="{00000000-0005-0000-0000-000003660000}"/>
    <cellStyle name="s_G_1_DATA Input" xfId="17647" xr:uid="{00000000-0005-0000-0000-000004660000}"/>
    <cellStyle name="s_G_DATA Input" xfId="17648" xr:uid="{00000000-0005-0000-0000-000005660000}"/>
    <cellStyle name="s_Georgia (2)" xfId="17649" xr:uid="{00000000-0005-0000-0000-000006660000}"/>
    <cellStyle name="s_Georgia (2) 2" xfId="17650" xr:uid="{00000000-0005-0000-0000-000007660000}"/>
    <cellStyle name="s_Georgia (2)_1" xfId="17651" xr:uid="{00000000-0005-0000-0000-000008660000}"/>
    <cellStyle name="s_Georgia (2)_1 2" xfId="17652" xr:uid="{00000000-0005-0000-0000-000009660000}"/>
    <cellStyle name="s_Georgia (2)_1_DATA Input" xfId="17653" xr:uid="{00000000-0005-0000-0000-00000A660000}"/>
    <cellStyle name="s_Georgia (2)_DATA Input" xfId="17654" xr:uid="{00000000-0005-0000-0000-00000B660000}"/>
    <cellStyle name="s_GI.N" xfId="17655" xr:uid="{00000000-0005-0000-0000-00000C660000}"/>
    <cellStyle name="s_GI.N 2" xfId="17656" xr:uid="{00000000-0005-0000-0000-00000D660000}"/>
    <cellStyle name="s_GI.N_DATA Input" xfId="17657" xr:uid="{00000000-0005-0000-0000-00000E660000}"/>
    <cellStyle name="s_Goodwill" xfId="17658" xr:uid="{00000000-0005-0000-0000-00000F660000}"/>
    <cellStyle name="s_Goodwill 2" xfId="17659" xr:uid="{00000000-0005-0000-0000-000010660000}"/>
    <cellStyle name="s_Goodwill_CoP" xfId="17660" xr:uid="{00000000-0005-0000-0000-000011660000}"/>
    <cellStyle name="s_Goodwill_CoP 2" xfId="17661" xr:uid="{00000000-0005-0000-0000-000012660000}"/>
    <cellStyle name="s_Goodwill_CoP_DATA Input" xfId="17662" xr:uid="{00000000-0005-0000-0000-000013660000}"/>
    <cellStyle name="s_Goodwill_CoPa" xfId="17663" xr:uid="{00000000-0005-0000-0000-000014660000}"/>
    <cellStyle name="s_Goodwill_CoPa 2" xfId="17664" xr:uid="{00000000-0005-0000-0000-000015660000}"/>
    <cellStyle name="s_Goodwill_CoPa_DATA Input" xfId="17665" xr:uid="{00000000-0005-0000-0000-000016660000}"/>
    <cellStyle name="s_Goodwill_CoPModelwarea" xfId="17666" xr:uid="{00000000-0005-0000-0000-000017660000}"/>
    <cellStyle name="s_Goodwill_CoPModelwarea 2" xfId="17667" xr:uid="{00000000-0005-0000-0000-000018660000}"/>
    <cellStyle name="s_Goodwill_CoPModelwarea_DATA Input" xfId="17668" xr:uid="{00000000-0005-0000-0000-000019660000}"/>
    <cellStyle name="s_Goodwill_DATA Input" xfId="17669" xr:uid="{00000000-0005-0000-0000-00001A660000}"/>
    <cellStyle name="s_Grouse+Pelican" xfId="17670" xr:uid="{00000000-0005-0000-0000-00001B660000}"/>
    <cellStyle name="s_Grouse+Pelican_DATA Input" xfId="17671" xr:uid="{00000000-0005-0000-0000-00001C660000}"/>
    <cellStyle name="s_Hard Rock" xfId="17672" xr:uid="{00000000-0005-0000-0000-00001D660000}"/>
    <cellStyle name="s_Hard Rock (2)" xfId="17673" xr:uid="{00000000-0005-0000-0000-00001E660000}"/>
    <cellStyle name="s_Hard Rock (2)_1" xfId="17674" xr:uid="{00000000-0005-0000-0000-00001F660000}"/>
    <cellStyle name="s_Hard Rock (2)_1 2" xfId="17675" xr:uid="{00000000-0005-0000-0000-000020660000}"/>
    <cellStyle name="s_Hard Rock (2)_1_DATA Input" xfId="17676" xr:uid="{00000000-0005-0000-0000-000021660000}"/>
    <cellStyle name="s_Hard Rock (2)_Celtic DCF" xfId="17677" xr:uid="{00000000-0005-0000-0000-000022660000}"/>
    <cellStyle name="s_Hard Rock (2)_Celtic DCF Inputs" xfId="17678" xr:uid="{00000000-0005-0000-0000-000023660000}"/>
    <cellStyle name="s_Hard Rock (2)_Celtic DCF Inputs_DATA Input" xfId="17679" xr:uid="{00000000-0005-0000-0000-000024660000}"/>
    <cellStyle name="s_Hard Rock (2)_Celtic DCF_DATA Input" xfId="17680" xr:uid="{00000000-0005-0000-0000-000025660000}"/>
    <cellStyle name="s_Hard Rock (2)_DATA Input" xfId="17681" xr:uid="{00000000-0005-0000-0000-000026660000}"/>
    <cellStyle name="s_Hard Rock (2)_Valuation Summary" xfId="17682" xr:uid="{00000000-0005-0000-0000-000027660000}"/>
    <cellStyle name="s_Hard Rock (2)_Valuation Summary_DATA Input" xfId="17683" xr:uid="{00000000-0005-0000-0000-000028660000}"/>
    <cellStyle name="s_Hard Rock 2" xfId="17684" xr:uid="{00000000-0005-0000-0000-000029660000}"/>
    <cellStyle name="s_Hard Rock 3" xfId="17685" xr:uid="{00000000-0005-0000-0000-00002A660000}"/>
    <cellStyle name="s_Hard Rock 4" xfId="17686" xr:uid="{00000000-0005-0000-0000-00002B660000}"/>
    <cellStyle name="s_Hard Rock 5" xfId="17687" xr:uid="{00000000-0005-0000-0000-00002C660000}"/>
    <cellStyle name="s_Hard Rock 6" xfId="17688" xr:uid="{00000000-0005-0000-0000-00002D660000}"/>
    <cellStyle name="s_Hard Rock 7" xfId="17689" xr:uid="{00000000-0005-0000-0000-00002E660000}"/>
    <cellStyle name="s_Hard Rock_1" xfId="17690" xr:uid="{00000000-0005-0000-0000-00002F660000}"/>
    <cellStyle name="s_Hard Rock_1 2" xfId="17691" xr:uid="{00000000-0005-0000-0000-000030660000}"/>
    <cellStyle name="s_Hard Rock_1_Celtic DCF" xfId="17692" xr:uid="{00000000-0005-0000-0000-000031660000}"/>
    <cellStyle name="s_Hard Rock_1_Celtic DCF Inputs" xfId="17693" xr:uid="{00000000-0005-0000-0000-000032660000}"/>
    <cellStyle name="s_Hard Rock_1_Celtic DCF Inputs_DATA Input" xfId="17694" xr:uid="{00000000-0005-0000-0000-000033660000}"/>
    <cellStyle name="s_Hard Rock_1_Celtic DCF_DATA Input" xfId="17695" xr:uid="{00000000-0005-0000-0000-000034660000}"/>
    <cellStyle name="s_Hard Rock_1_DATA Input" xfId="17696" xr:uid="{00000000-0005-0000-0000-000035660000}"/>
    <cellStyle name="s_Hard Rock_1_Valuation Summary" xfId="17697" xr:uid="{00000000-0005-0000-0000-000036660000}"/>
    <cellStyle name="s_Hard Rock_1_Valuation Summary_DATA Input" xfId="17698" xr:uid="{00000000-0005-0000-0000-000037660000}"/>
    <cellStyle name="s_Hard Rock_2" xfId="17699" xr:uid="{00000000-0005-0000-0000-000038660000}"/>
    <cellStyle name="s_Hard Rock_2 2" xfId="17700" xr:uid="{00000000-0005-0000-0000-000039660000}"/>
    <cellStyle name="s_Hard Rock_2_DATA Input" xfId="17701" xr:uid="{00000000-0005-0000-0000-00003A660000}"/>
    <cellStyle name="s_Hard Rock_DATA Input" xfId="17702" xr:uid="{00000000-0005-0000-0000-00003B660000}"/>
    <cellStyle name="s_HardInc " xfId="17703" xr:uid="{00000000-0005-0000-0000-00003C660000}"/>
    <cellStyle name="s_HardInc  (2)" xfId="17704" xr:uid="{00000000-0005-0000-0000-00003D660000}"/>
    <cellStyle name="s_HardInc  (2)_1" xfId="17705" xr:uid="{00000000-0005-0000-0000-00003E660000}"/>
    <cellStyle name="s_HardInc  (2)_1 2" xfId="17706" xr:uid="{00000000-0005-0000-0000-00003F660000}"/>
    <cellStyle name="s_HardInc  (2)_1_DATA Input" xfId="17707" xr:uid="{00000000-0005-0000-0000-000040660000}"/>
    <cellStyle name="s_HardInc  (2)_2" xfId="17708" xr:uid="{00000000-0005-0000-0000-000041660000}"/>
    <cellStyle name="s_HardInc  (2)_2 2" xfId="17709" xr:uid="{00000000-0005-0000-0000-000042660000}"/>
    <cellStyle name="s_HardInc  (2)_2_DATA Input" xfId="17710" xr:uid="{00000000-0005-0000-0000-000043660000}"/>
    <cellStyle name="s_HardInc  (2)_Celtic DCF" xfId="17711" xr:uid="{00000000-0005-0000-0000-000044660000}"/>
    <cellStyle name="s_HardInc  (2)_Celtic DCF Inputs" xfId="17712" xr:uid="{00000000-0005-0000-0000-000045660000}"/>
    <cellStyle name="s_HardInc  (2)_Celtic DCF Inputs_DATA Input" xfId="17713" xr:uid="{00000000-0005-0000-0000-000046660000}"/>
    <cellStyle name="s_HardInc  (2)_Celtic DCF_DATA Input" xfId="17714" xr:uid="{00000000-0005-0000-0000-000047660000}"/>
    <cellStyle name="s_HardInc  (2)_DATA Input" xfId="17715" xr:uid="{00000000-0005-0000-0000-000048660000}"/>
    <cellStyle name="s_HardInc  (2)_Valuation Summary" xfId="17716" xr:uid="{00000000-0005-0000-0000-000049660000}"/>
    <cellStyle name="s_HardInc  (2)_Valuation Summary_DATA Input" xfId="17717" xr:uid="{00000000-0005-0000-0000-00004A660000}"/>
    <cellStyle name="s_HardInc _Celtic DCF" xfId="17718" xr:uid="{00000000-0005-0000-0000-00004B660000}"/>
    <cellStyle name="s_HardInc _Celtic DCF Inputs" xfId="17719" xr:uid="{00000000-0005-0000-0000-00004C660000}"/>
    <cellStyle name="s_HardInc _Celtic DCF Inputs_DATA Input" xfId="17720" xr:uid="{00000000-0005-0000-0000-00004D660000}"/>
    <cellStyle name="s_HardInc _Celtic DCF_DATA Input" xfId="17721" xr:uid="{00000000-0005-0000-0000-00004E660000}"/>
    <cellStyle name="s_HardInc _DATA Input" xfId="17722" xr:uid="{00000000-0005-0000-0000-00004F660000}"/>
    <cellStyle name="s_HardInc _Valuation Summary" xfId="17723" xr:uid="{00000000-0005-0000-0000-000050660000}"/>
    <cellStyle name="s_HardInc _Valuation Summary_DATA Input" xfId="17724" xr:uid="{00000000-0005-0000-0000-000051660000}"/>
    <cellStyle name="s_Has-Gets (2)" xfId="17725" xr:uid="{00000000-0005-0000-0000-000052660000}"/>
    <cellStyle name="s_Has-Gets (2) 2" xfId="17726" xr:uid="{00000000-0005-0000-0000-000053660000}"/>
    <cellStyle name="s_Has-Gets (2)_1" xfId="17727" xr:uid="{00000000-0005-0000-0000-000054660000}"/>
    <cellStyle name="s_Has-Gets (2)_1_DATA Input" xfId="17728" xr:uid="{00000000-0005-0000-0000-000055660000}"/>
    <cellStyle name="s_Has-Gets (2)_DATA Input" xfId="17729" xr:uid="{00000000-0005-0000-0000-000056660000}"/>
    <cellStyle name="s_Hist Graph" xfId="17730" xr:uid="{00000000-0005-0000-0000-000057660000}"/>
    <cellStyle name="s_Hist Graph 2" xfId="17731" xr:uid="{00000000-0005-0000-0000-000058660000}"/>
    <cellStyle name="s_Hist Graph_1" xfId="17732" xr:uid="{00000000-0005-0000-0000-000059660000}"/>
    <cellStyle name="s_Hist Graph_1 2" xfId="17733" xr:uid="{00000000-0005-0000-0000-00005A660000}"/>
    <cellStyle name="s_Hist Graph_1_DATA Input" xfId="17734" xr:uid="{00000000-0005-0000-0000-00005B660000}"/>
    <cellStyle name="s_Hist Graph_1_DCF" xfId="17735" xr:uid="{00000000-0005-0000-0000-00005C660000}"/>
    <cellStyle name="s_Hist Graph_1_DCF 2" xfId="17736" xr:uid="{00000000-0005-0000-0000-00005D660000}"/>
    <cellStyle name="s_Hist Graph_1_DCF_DATA Input" xfId="17737" xr:uid="{00000000-0005-0000-0000-00005E660000}"/>
    <cellStyle name="s_Hist Graph_1_Val's New Look Full Model" xfId="17738" xr:uid="{00000000-0005-0000-0000-00005F660000}"/>
    <cellStyle name="s_Hist Graph_1_Val's New Look Full Model 2" xfId="17739" xr:uid="{00000000-0005-0000-0000-000060660000}"/>
    <cellStyle name="s_Hist Graph_1_Val's New Look Full Model_DATA Input" xfId="17740" xr:uid="{00000000-0005-0000-0000-000061660000}"/>
    <cellStyle name="s_Hist Graph_2" xfId="17741" xr:uid="{00000000-0005-0000-0000-000062660000}"/>
    <cellStyle name="s_Hist Graph_2_DATA Input" xfId="17742" xr:uid="{00000000-0005-0000-0000-000063660000}"/>
    <cellStyle name="s_Hist Graph_DATA Input" xfId="17743" xr:uid="{00000000-0005-0000-0000-000064660000}"/>
    <cellStyle name="s_Hist Graph_DCF" xfId="17744" xr:uid="{00000000-0005-0000-0000-000065660000}"/>
    <cellStyle name="s_Hist Graph_DCF 2" xfId="17745" xr:uid="{00000000-0005-0000-0000-000066660000}"/>
    <cellStyle name="s_Hist Graph_DCF_DATA Input" xfId="17746" xr:uid="{00000000-0005-0000-0000-000067660000}"/>
    <cellStyle name="s_Hist Graph_Val's New Look Full Model" xfId="17747" xr:uid="{00000000-0005-0000-0000-000068660000}"/>
    <cellStyle name="s_Hist Graph_Val's New Look Full Model 2" xfId="17748" xr:uid="{00000000-0005-0000-0000-000069660000}"/>
    <cellStyle name="s_Hist Graph_Val's New Look Full Model_DATA Input" xfId="17749" xr:uid="{00000000-0005-0000-0000-00006A660000}"/>
    <cellStyle name="s_Hist Inputs" xfId="17750" xr:uid="{00000000-0005-0000-0000-00006B660000}"/>
    <cellStyle name="s_Hist Inputs (2)" xfId="17751" xr:uid="{00000000-0005-0000-0000-00006C660000}"/>
    <cellStyle name="s_Hist Inputs (2)_1" xfId="17752" xr:uid="{00000000-0005-0000-0000-00006D660000}"/>
    <cellStyle name="s_Hist Inputs (2)_1 2" xfId="17753" xr:uid="{00000000-0005-0000-0000-00006E660000}"/>
    <cellStyle name="s_Hist Inputs (2)_1_DATA Input" xfId="17754" xr:uid="{00000000-0005-0000-0000-00006F660000}"/>
    <cellStyle name="s_Hist Inputs (2)_DATA Input" xfId="17755" xr:uid="{00000000-0005-0000-0000-000070660000}"/>
    <cellStyle name="s_Hist Inputs 2" xfId="17756" xr:uid="{00000000-0005-0000-0000-000071660000}"/>
    <cellStyle name="s_Hist Inputs 3" xfId="17757" xr:uid="{00000000-0005-0000-0000-000072660000}"/>
    <cellStyle name="s_Hist Inputs 4" xfId="17758" xr:uid="{00000000-0005-0000-0000-000073660000}"/>
    <cellStyle name="s_Hist Inputs 5" xfId="17759" xr:uid="{00000000-0005-0000-0000-000074660000}"/>
    <cellStyle name="s_Hist Inputs 6" xfId="17760" xr:uid="{00000000-0005-0000-0000-000075660000}"/>
    <cellStyle name="s_Hist Inputs 7" xfId="17761" xr:uid="{00000000-0005-0000-0000-000076660000}"/>
    <cellStyle name="s_Hist Inputs_1" xfId="17762" xr:uid="{00000000-0005-0000-0000-000077660000}"/>
    <cellStyle name="s_Hist Inputs_1_AM0909" xfId="17763" xr:uid="{00000000-0005-0000-0000-000078660000}"/>
    <cellStyle name="s_Hist Inputs_1_AM0909 2" xfId="17764" xr:uid="{00000000-0005-0000-0000-000079660000}"/>
    <cellStyle name="s_Hist Inputs_1_AM0909_DATA Input" xfId="17765" xr:uid="{00000000-0005-0000-0000-00007A660000}"/>
    <cellStyle name="s_Hist Inputs_1_Brenner" xfId="17766" xr:uid="{00000000-0005-0000-0000-00007B660000}"/>
    <cellStyle name="s_Hist Inputs_1_Brenner 2" xfId="17767" xr:uid="{00000000-0005-0000-0000-00007C660000}"/>
    <cellStyle name="s_Hist Inputs_1_Brenner_DATA Input" xfId="17768" xr:uid="{00000000-0005-0000-0000-00007D660000}"/>
    <cellStyle name="s_Hist Inputs_1_DATA Input" xfId="17769" xr:uid="{00000000-0005-0000-0000-00007E660000}"/>
    <cellStyle name="s_Hist Inputs_1_DCF" xfId="17770" xr:uid="{00000000-0005-0000-0000-00007F660000}"/>
    <cellStyle name="s_Hist Inputs_1_DCF 2" xfId="17771" xr:uid="{00000000-0005-0000-0000-000080660000}"/>
    <cellStyle name="s_Hist Inputs_1_DCF_DATA Input" xfId="17772" xr:uid="{00000000-0005-0000-0000-000081660000}"/>
    <cellStyle name="s_Hist Inputs_1_Val's New Look Full Model" xfId="17773" xr:uid="{00000000-0005-0000-0000-000082660000}"/>
    <cellStyle name="s_Hist Inputs_1_Val's New Look Full Model_DATA Input" xfId="17774" xr:uid="{00000000-0005-0000-0000-000083660000}"/>
    <cellStyle name="s_Hist Inputs_2" xfId="17775" xr:uid="{00000000-0005-0000-0000-000084660000}"/>
    <cellStyle name="s_Hist Inputs_2_DATA Input" xfId="17776" xr:uid="{00000000-0005-0000-0000-000085660000}"/>
    <cellStyle name="s_Hist Inputs_AM0909" xfId="17777" xr:uid="{00000000-0005-0000-0000-000086660000}"/>
    <cellStyle name="s_Hist Inputs_AM0909 2" xfId="17778" xr:uid="{00000000-0005-0000-0000-000087660000}"/>
    <cellStyle name="s_Hist Inputs_AM0909_DATA Input" xfId="17779" xr:uid="{00000000-0005-0000-0000-000088660000}"/>
    <cellStyle name="s_Hist Inputs_Brenner" xfId="17780" xr:uid="{00000000-0005-0000-0000-000089660000}"/>
    <cellStyle name="s_Hist Inputs_Brenner 2" xfId="17781" xr:uid="{00000000-0005-0000-0000-00008A660000}"/>
    <cellStyle name="s_Hist Inputs_Brenner_DATA Input" xfId="17782" xr:uid="{00000000-0005-0000-0000-00008B660000}"/>
    <cellStyle name="s_Hist Inputs_DATA Input" xfId="17783" xr:uid="{00000000-0005-0000-0000-00008C660000}"/>
    <cellStyle name="s_ImpDD&amp;A" xfId="17784" xr:uid="{00000000-0005-0000-0000-00008D660000}"/>
    <cellStyle name="s_ImpDD&amp;A 2" xfId="17785" xr:uid="{00000000-0005-0000-0000-00008E660000}"/>
    <cellStyle name="s_ImpDD&amp;A_DATA Input" xfId="17786" xr:uid="{00000000-0005-0000-0000-00008F660000}"/>
    <cellStyle name="s_IPO" xfId="17787" xr:uid="{00000000-0005-0000-0000-000090660000}"/>
    <cellStyle name="s_IPO 2" xfId="17788" xr:uid="{00000000-0005-0000-0000-000091660000}"/>
    <cellStyle name="s_IPO_DATA Input" xfId="17789" xr:uid="{00000000-0005-0000-0000-000092660000}"/>
    <cellStyle name="s_IRR Sensitivity (2)" xfId="17790" xr:uid="{00000000-0005-0000-0000-000093660000}"/>
    <cellStyle name="s_IRR Sensitivity (2)_1" xfId="17791" xr:uid="{00000000-0005-0000-0000-000094660000}"/>
    <cellStyle name="s_IRR Sensitivity (2)_1 2" xfId="17792" xr:uid="{00000000-0005-0000-0000-000095660000}"/>
    <cellStyle name="s_IRR Sensitivity (2)_1_DATA Input" xfId="17793" xr:uid="{00000000-0005-0000-0000-000096660000}"/>
    <cellStyle name="s_IRR Sensitivity (2)_2" xfId="17794" xr:uid="{00000000-0005-0000-0000-000097660000}"/>
    <cellStyle name="s_IRR Sensitivity (2)_2 2" xfId="17795" xr:uid="{00000000-0005-0000-0000-000098660000}"/>
    <cellStyle name="s_IRR Sensitivity (2)_2_DATA Input" xfId="17796" xr:uid="{00000000-0005-0000-0000-000099660000}"/>
    <cellStyle name="s_IRR Sensitivity (2)_DATA Input" xfId="17797" xr:uid="{00000000-0005-0000-0000-00009A660000}"/>
    <cellStyle name="s_JV_PFII" xfId="17798" xr:uid="{00000000-0005-0000-0000-00009B660000}"/>
    <cellStyle name="s_JV_PFII 2" xfId="17799" xr:uid="{00000000-0005-0000-0000-00009C660000}"/>
    <cellStyle name="s_JV_PFII_DATA Input" xfId="17800" xr:uid="{00000000-0005-0000-0000-00009D660000}"/>
    <cellStyle name="s_LambSum_link_a" xfId="17801" xr:uid="{00000000-0005-0000-0000-00009E660000}"/>
    <cellStyle name="s_LambSum_link_a 2" xfId="17802" xr:uid="{00000000-0005-0000-0000-00009F660000}"/>
    <cellStyle name="s_LambSum_link_a_DATA Input" xfId="17803" xr:uid="{00000000-0005-0000-0000-0000A0660000}"/>
    <cellStyle name="s_LBO" xfId="17804" xr:uid="{00000000-0005-0000-0000-0000A1660000}"/>
    <cellStyle name="s_LBO 2" xfId="17805" xr:uid="{00000000-0005-0000-0000-0000A2660000}"/>
    <cellStyle name="s_LBO IRR" xfId="17806" xr:uid="{00000000-0005-0000-0000-0000A3660000}"/>
    <cellStyle name="s_LBO IRR 2" xfId="17807" xr:uid="{00000000-0005-0000-0000-0000A4660000}"/>
    <cellStyle name="s_LBO IRR_1" xfId="17808" xr:uid="{00000000-0005-0000-0000-0000A5660000}"/>
    <cellStyle name="s_LBO IRR_1 2" xfId="17809" xr:uid="{00000000-0005-0000-0000-0000A6660000}"/>
    <cellStyle name="s_LBO IRR_1_DATA Input" xfId="17810" xr:uid="{00000000-0005-0000-0000-0000A7660000}"/>
    <cellStyle name="s_LBO IRR_1_DCF" xfId="17811" xr:uid="{00000000-0005-0000-0000-0000A8660000}"/>
    <cellStyle name="s_LBO IRR_1_DCF 2" xfId="17812" xr:uid="{00000000-0005-0000-0000-0000A9660000}"/>
    <cellStyle name="s_LBO IRR_1_DCF_DATA Input" xfId="17813" xr:uid="{00000000-0005-0000-0000-0000AA660000}"/>
    <cellStyle name="s_LBO IRR_1_Val's New Look Full Model" xfId="17814" xr:uid="{00000000-0005-0000-0000-0000AB660000}"/>
    <cellStyle name="s_LBO IRR_1_Val's New Look Full Model 2" xfId="17815" xr:uid="{00000000-0005-0000-0000-0000AC660000}"/>
    <cellStyle name="s_LBO IRR_1_Val's New Look Full Model_DATA Input" xfId="17816" xr:uid="{00000000-0005-0000-0000-0000AD660000}"/>
    <cellStyle name="s_LBO IRR_2" xfId="17817" xr:uid="{00000000-0005-0000-0000-0000AE660000}"/>
    <cellStyle name="s_LBO IRR_2_DATA Input" xfId="17818" xr:uid="{00000000-0005-0000-0000-0000AF660000}"/>
    <cellStyle name="s_LBO IRR_DATA Input" xfId="17819" xr:uid="{00000000-0005-0000-0000-0000B0660000}"/>
    <cellStyle name="s_LBO IRR_DCF" xfId="17820" xr:uid="{00000000-0005-0000-0000-0000B1660000}"/>
    <cellStyle name="s_LBO IRR_DCF 2" xfId="17821" xr:uid="{00000000-0005-0000-0000-0000B2660000}"/>
    <cellStyle name="s_LBO IRR_DCF_DATA Input" xfId="17822" xr:uid="{00000000-0005-0000-0000-0000B3660000}"/>
    <cellStyle name="s_LBO IRR_Val's New Look Full Model" xfId="17823" xr:uid="{00000000-0005-0000-0000-0000B4660000}"/>
    <cellStyle name="s_LBO IRR_Val's New Look Full Model 2" xfId="17824" xr:uid="{00000000-0005-0000-0000-0000B5660000}"/>
    <cellStyle name="s_LBO IRR_Val's New Look Full Model_DATA Input" xfId="17825" xr:uid="{00000000-0005-0000-0000-0000B6660000}"/>
    <cellStyle name="s_LBO Sens" xfId="17826" xr:uid="{00000000-0005-0000-0000-0000B7660000}"/>
    <cellStyle name="s_LBO Sens 2" xfId="17827" xr:uid="{00000000-0005-0000-0000-0000B8660000}"/>
    <cellStyle name="s_LBO Sens_1" xfId="17828" xr:uid="{00000000-0005-0000-0000-0000B9660000}"/>
    <cellStyle name="s_LBO Sens_1 2" xfId="17829" xr:uid="{00000000-0005-0000-0000-0000BA660000}"/>
    <cellStyle name="s_LBO Sens_1_DATA Input" xfId="17830" xr:uid="{00000000-0005-0000-0000-0000BB660000}"/>
    <cellStyle name="s_LBO Sens_1_DCF" xfId="17831" xr:uid="{00000000-0005-0000-0000-0000BC660000}"/>
    <cellStyle name="s_LBO Sens_1_DCF 2" xfId="17832" xr:uid="{00000000-0005-0000-0000-0000BD660000}"/>
    <cellStyle name="s_LBO Sens_1_DCF_DATA Input" xfId="17833" xr:uid="{00000000-0005-0000-0000-0000BE660000}"/>
    <cellStyle name="s_LBO Sens_1_Val's New Look Full Model" xfId="17834" xr:uid="{00000000-0005-0000-0000-0000BF660000}"/>
    <cellStyle name="s_LBO Sens_1_Val's New Look Full Model 2" xfId="17835" xr:uid="{00000000-0005-0000-0000-0000C0660000}"/>
    <cellStyle name="s_LBO Sens_1_Val's New Look Full Model_DATA Input" xfId="17836" xr:uid="{00000000-0005-0000-0000-0000C1660000}"/>
    <cellStyle name="s_LBO Sens_2" xfId="17837" xr:uid="{00000000-0005-0000-0000-0000C2660000}"/>
    <cellStyle name="s_LBO Sens_2_DATA Input" xfId="17838" xr:uid="{00000000-0005-0000-0000-0000C3660000}"/>
    <cellStyle name="s_LBO Sens_DATA Input" xfId="17839" xr:uid="{00000000-0005-0000-0000-0000C4660000}"/>
    <cellStyle name="s_LBO Sens_DCF" xfId="17840" xr:uid="{00000000-0005-0000-0000-0000C5660000}"/>
    <cellStyle name="s_LBO Sens_DCF 2" xfId="17841" xr:uid="{00000000-0005-0000-0000-0000C6660000}"/>
    <cellStyle name="s_LBO Sens_DCF_DATA Input" xfId="17842" xr:uid="{00000000-0005-0000-0000-0000C7660000}"/>
    <cellStyle name="s_LBO Sens_Val's New Look Full Model" xfId="17843" xr:uid="{00000000-0005-0000-0000-0000C8660000}"/>
    <cellStyle name="s_LBO Sens_Val's New Look Full Model 2" xfId="17844" xr:uid="{00000000-0005-0000-0000-0000C9660000}"/>
    <cellStyle name="s_LBO Sens_Val's New Look Full Model_DATA Input" xfId="17845" xr:uid="{00000000-0005-0000-0000-0000CA660000}"/>
    <cellStyle name="s_LBO Summary" xfId="17846" xr:uid="{00000000-0005-0000-0000-0000CB660000}"/>
    <cellStyle name="s_LBO Summary_1" xfId="17847" xr:uid="{00000000-0005-0000-0000-0000CC660000}"/>
    <cellStyle name="s_LBO Summary_1 2" xfId="17848" xr:uid="{00000000-0005-0000-0000-0000CD660000}"/>
    <cellStyle name="s_LBO Summary_1_CoP" xfId="17849" xr:uid="{00000000-0005-0000-0000-0000CE660000}"/>
    <cellStyle name="s_LBO Summary_1_CoP_DATA Input" xfId="17850" xr:uid="{00000000-0005-0000-0000-0000CF660000}"/>
    <cellStyle name="s_LBO Summary_1_CoPa" xfId="17851" xr:uid="{00000000-0005-0000-0000-0000D0660000}"/>
    <cellStyle name="s_LBO Summary_1_CoPa_DATA Input" xfId="17852" xr:uid="{00000000-0005-0000-0000-0000D1660000}"/>
    <cellStyle name="s_LBO Summary_1_CoPModelwarea" xfId="17853" xr:uid="{00000000-0005-0000-0000-0000D2660000}"/>
    <cellStyle name="s_LBO Summary_1_CoPModelwarea_DATA Input" xfId="17854" xr:uid="{00000000-0005-0000-0000-0000D3660000}"/>
    <cellStyle name="s_LBO Summary_1_DATA Input" xfId="17855" xr:uid="{00000000-0005-0000-0000-0000D4660000}"/>
    <cellStyle name="s_LBO Summary_1_DCF" xfId="17856" xr:uid="{00000000-0005-0000-0000-0000D5660000}"/>
    <cellStyle name="s_LBO Summary_1_DCF 2" xfId="17857" xr:uid="{00000000-0005-0000-0000-0000D6660000}"/>
    <cellStyle name="s_LBO Summary_1_DCF_DATA Input" xfId="17858" xr:uid="{00000000-0005-0000-0000-0000D7660000}"/>
    <cellStyle name="s_LBO Summary_1_GI.N" xfId="17859" xr:uid="{00000000-0005-0000-0000-0000D8660000}"/>
    <cellStyle name="s_LBO Summary_1_GI.N_DATA Input" xfId="17860" xr:uid="{00000000-0005-0000-0000-0000D9660000}"/>
    <cellStyle name="s_LBO Summary_1_Mary911" xfId="17861" xr:uid="{00000000-0005-0000-0000-0000DA660000}"/>
    <cellStyle name="s_LBO Summary_1_Mary911_DATA Input" xfId="17862" xr:uid="{00000000-0005-0000-0000-0000DB660000}"/>
    <cellStyle name="s_LBO Summary_1_mona0915a" xfId="17863" xr:uid="{00000000-0005-0000-0000-0000DC660000}"/>
    <cellStyle name="s_LBO Summary_1_mona0915a_DATA Input" xfId="17864" xr:uid="{00000000-0005-0000-0000-0000DD660000}"/>
    <cellStyle name="s_LBO Summary_1_mona0915b" xfId="17865" xr:uid="{00000000-0005-0000-0000-0000DE660000}"/>
    <cellStyle name="s_LBO Summary_1_mona0915b_DATA Input" xfId="17866" xr:uid="{00000000-0005-0000-0000-0000DF660000}"/>
    <cellStyle name="s_LBO Summary_1_Val's New Look Full Model" xfId="17867" xr:uid="{00000000-0005-0000-0000-0000E0660000}"/>
    <cellStyle name="s_LBO Summary_1_Val's New Look Full Model 2" xfId="17868" xr:uid="{00000000-0005-0000-0000-0000E1660000}"/>
    <cellStyle name="s_LBO Summary_1_Val's New Look Full Model_DATA Input" xfId="17869" xr:uid="{00000000-0005-0000-0000-0000E2660000}"/>
    <cellStyle name="s_LBO Summary_2" xfId="17870" xr:uid="{00000000-0005-0000-0000-0000E3660000}"/>
    <cellStyle name="s_LBO Summary_2 2" xfId="17871" xr:uid="{00000000-0005-0000-0000-0000E4660000}"/>
    <cellStyle name="s_LBO Summary_2_AM0909" xfId="17872" xr:uid="{00000000-0005-0000-0000-0000E5660000}"/>
    <cellStyle name="s_LBO Summary_2_AM0909_DATA Input" xfId="17873" xr:uid="{00000000-0005-0000-0000-0000E6660000}"/>
    <cellStyle name="s_LBO Summary_2_Brenner" xfId="17874" xr:uid="{00000000-0005-0000-0000-0000E7660000}"/>
    <cellStyle name="s_LBO Summary_2_Brenner_DATA Input" xfId="17875" xr:uid="{00000000-0005-0000-0000-0000E8660000}"/>
    <cellStyle name="s_LBO Summary_2_DATA Input" xfId="17876" xr:uid="{00000000-0005-0000-0000-0000E9660000}"/>
    <cellStyle name="s_LBO Summary_2_DCF" xfId="17877" xr:uid="{00000000-0005-0000-0000-0000EA660000}"/>
    <cellStyle name="s_LBO Summary_2_DCF_DATA Input" xfId="17878" xr:uid="{00000000-0005-0000-0000-0000EB660000}"/>
    <cellStyle name="s_LBO Summary_2_Val's New Look Full Model" xfId="17879" xr:uid="{00000000-0005-0000-0000-0000EC660000}"/>
    <cellStyle name="s_LBO Summary_2_Val's New Look Full Model 2" xfId="17880" xr:uid="{00000000-0005-0000-0000-0000ED660000}"/>
    <cellStyle name="s_LBO Summary_2_Val's New Look Full Model_DATA Input" xfId="17881" xr:uid="{00000000-0005-0000-0000-0000EE660000}"/>
    <cellStyle name="s_LBO Summary_AM0909" xfId="17882" xr:uid="{00000000-0005-0000-0000-0000EF660000}"/>
    <cellStyle name="s_LBO Summary_AM0909 2" xfId="17883" xr:uid="{00000000-0005-0000-0000-0000F0660000}"/>
    <cellStyle name="s_LBO Summary_AM0909_DATA Input" xfId="17884" xr:uid="{00000000-0005-0000-0000-0000F1660000}"/>
    <cellStyle name="s_LBO Summary_Brenner" xfId="17885" xr:uid="{00000000-0005-0000-0000-0000F2660000}"/>
    <cellStyle name="s_LBO Summary_Brenner 2" xfId="17886" xr:uid="{00000000-0005-0000-0000-0000F3660000}"/>
    <cellStyle name="s_LBO Summary_Brenner_DATA Input" xfId="17887" xr:uid="{00000000-0005-0000-0000-0000F4660000}"/>
    <cellStyle name="s_LBO Summary_CoP" xfId="17888" xr:uid="{00000000-0005-0000-0000-0000F5660000}"/>
    <cellStyle name="s_LBO Summary_CoP 2" xfId="17889" xr:uid="{00000000-0005-0000-0000-0000F6660000}"/>
    <cellStyle name="s_LBO Summary_CoP_DATA Input" xfId="17890" xr:uid="{00000000-0005-0000-0000-0000F7660000}"/>
    <cellStyle name="s_LBO Summary_CoPa" xfId="17891" xr:uid="{00000000-0005-0000-0000-0000F8660000}"/>
    <cellStyle name="s_LBO Summary_CoPa 2" xfId="17892" xr:uid="{00000000-0005-0000-0000-0000F9660000}"/>
    <cellStyle name="s_LBO Summary_CoPa_DATA Input" xfId="17893" xr:uid="{00000000-0005-0000-0000-0000FA660000}"/>
    <cellStyle name="s_LBO Summary_CoPModelwarea" xfId="17894" xr:uid="{00000000-0005-0000-0000-0000FB660000}"/>
    <cellStyle name="s_LBO Summary_CoPModelwarea 2" xfId="17895" xr:uid="{00000000-0005-0000-0000-0000FC660000}"/>
    <cellStyle name="s_LBO Summary_CoPModelwarea_DATA Input" xfId="17896" xr:uid="{00000000-0005-0000-0000-0000FD660000}"/>
    <cellStyle name="s_LBO Summary_DATA Input" xfId="17897" xr:uid="{00000000-0005-0000-0000-0000FE660000}"/>
    <cellStyle name="s_LBO Summary_DCF" xfId="17898" xr:uid="{00000000-0005-0000-0000-0000FF660000}"/>
    <cellStyle name="s_LBO Summary_DCF 2" xfId="17899" xr:uid="{00000000-0005-0000-0000-000000670000}"/>
    <cellStyle name="s_LBO Summary_DCF_DATA Input" xfId="17900" xr:uid="{00000000-0005-0000-0000-000001670000}"/>
    <cellStyle name="s_LBO Summary_GI.N" xfId="17901" xr:uid="{00000000-0005-0000-0000-000002670000}"/>
    <cellStyle name="s_LBO Summary_GI.N 2" xfId="17902" xr:uid="{00000000-0005-0000-0000-000003670000}"/>
    <cellStyle name="s_LBO Summary_GI.N_DATA Input" xfId="17903" xr:uid="{00000000-0005-0000-0000-000004670000}"/>
    <cellStyle name="s_LBO Summary_Mary911" xfId="17904" xr:uid="{00000000-0005-0000-0000-000005670000}"/>
    <cellStyle name="s_LBO Summary_Mary911 2" xfId="17905" xr:uid="{00000000-0005-0000-0000-000006670000}"/>
    <cellStyle name="s_LBO Summary_Mary911_DATA Input" xfId="17906" xr:uid="{00000000-0005-0000-0000-000007670000}"/>
    <cellStyle name="s_LBO Summary_mona0915a" xfId="17907" xr:uid="{00000000-0005-0000-0000-000008670000}"/>
    <cellStyle name="s_LBO Summary_mona0915a 2" xfId="17908" xr:uid="{00000000-0005-0000-0000-000009670000}"/>
    <cellStyle name="s_LBO Summary_mona0915a_DATA Input" xfId="17909" xr:uid="{00000000-0005-0000-0000-00000A670000}"/>
    <cellStyle name="s_LBO Summary_mona0915b" xfId="17910" xr:uid="{00000000-0005-0000-0000-00000B670000}"/>
    <cellStyle name="s_LBO Summary_mona0915b 2" xfId="17911" xr:uid="{00000000-0005-0000-0000-00000C670000}"/>
    <cellStyle name="s_LBO Summary_mona0915b_DATA Input" xfId="17912" xr:uid="{00000000-0005-0000-0000-00000D670000}"/>
    <cellStyle name="s_LBO Summary_Val's New Look Full Model" xfId="17913" xr:uid="{00000000-0005-0000-0000-00000E670000}"/>
    <cellStyle name="s_LBO Summary_Val's New Look Full Model_DATA Input" xfId="17914" xr:uid="{00000000-0005-0000-0000-00000F670000}"/>
    <cellStyle name="s_LBO_1" xfId="17915" xr:uid="{00000000-0005-0000-0000-000010670000}"/>
    <cellStyle name="s_LBO_1 2" xfId="17916" xr:uid="{00000000-0005-0000-0000-000011670000}"/>
    <cellStyle name="s_LBO_1_DATA Input" xfId="17917" xr:uid="{00000000-0005-0000-0000-000012670000}"/>
    <cellStyle name="s_LBO_2" xfId="17918" xr:uid="{00000000-0005-0000-0000-000013670000}"/>
    <cellStyle name="s_LBO_2_DATA Input" xfId="17919" xr:uid="{00000000-0005-0000-0000-000014670000}"/>
    <cellStyle name="s_LBO_DATA Input" xfId="17920" xr:uid="{00000000-0005-0000-0000-000015670000}"/>
    <cellStyle name="s_LeveredNI" xfId="17921" xr:uid="{00000000-0005-0000-0000-000016670000}"/>
    <cellStyle name="s_LeveredNI 2" xfId="17922" xr:uid="{00000000-0005-0000-0000-000017670000}"/>
    <cellStyle name="s_LeveredNI_DATA Input" xfId="17923" xr:uid="{00000000-0005-0000-0000-000018670000}"/>
    <cellStyle name="s_LT INVESTMENTS" xfId="17924" xr:uid="{00000000-0005-0000-0000-000019670000}"/>
    <cellStyle name="s_LT INVESTMENTS 2" xfId="17925" xr:uid="{00000000-0005-0000-0000-00001A670000}"/>
    <cellStyle name="s_LT INVESTMENTS_DATA Input" xfId="17926" xr:uid="{00000000-0005-0000-0000-00001B670000}"/>
    <cellStyle name="s_Mango Merger" xfId="17927" xr:uid="{00000000-0005-0000-0000-00001C670000}"/>
    <cellStyle name="s_Mango Merger 2" xfId="17928" xr:uid="{00000000-0005-0000-0000-00001D670000}"/>
    <cellStyle name="s_Mango Merger 3" xfId="17929" xr:uid="{00000000-0005-0000-0000-00001E670000}"/>
    <cellStyle name="s_Mango Merger 3 2" xfId="17930" xr:uid="{00000000-0005-0000-0000-00001F670000}"/>
    <cellStyle name="s_Mango Merger 3_1" xfId="17931" xr:uid="{00000000-0005-0000-0000-000020670000}"/>
    <cellStyle name="s_Mango Merger 3_1_DATA Input" xfId="17932" xr:uid="{00000000-0005-0000-0000-000021670000}"/>
    <cellStyle name="s_Mango Merger 3_2" xfId="17933" xr:uid="{00000000-0005-0000-0000-000022670000}"/>
    <cellStyle name="s_Mango Merger 3_2 2" xfId="17934" xr:uid="{00000000-0005-0000-0000-000023670000}"/>
    <cellStyle name="s_Mango Merger 3_2_DATA Input" xfId="17935" xr:uid="{00000000-0005-0000-0000-000024670000}"/>
    <cellStyle name="s_Mango Merger 3_DATA Input" xfId="17936" xr:uid="{00000000-0005-0000-0000-000025670000}"/>
    <cellStyle name="s_Mango Merger_1" xfId="17937" xr:uid="{00000000-0005-0000-0000-000026670000}"/>
    <cellStyle name="s_Mango Merger_1_DATA Input" xfId="17938" xr:uid="{00000000-0005-0000-0000-000027670000}"/>
    <cellStyle name="s_Mango Merger_DATA Input" xfId="17939" xr:uid="{00000000-0005-0000-0000-000028670000}"/>
    <cellStyle name="s_Mary911" xfId="17940" xr:uid="{00000000-0005-0000-0000-000029670000}"/>
    <cellStyle name="s_Mary911 2" xfId="17941" xr:uid="{00000000-0005-0000-0000-00002A670000}"/>
    <cellStyle name="s_Mary911_DATA Input" xfId="17942" xr:uid="{00000000-0005-0000-0000-00002B670000}"/>
    <cellStyle name="s_Matrix_B" xfId="17943" xr:uid="{00000000-0005-0000-0000-00002C670000}"/>
    <cellStyle name="s_Matrix_B 2" xfId="17944" xr:uid="{00000000-0005-0000-0000-00002D670000}"/>
    <cellStyle name="s_Matrix_B_DATA Input" xfId="17945" xr:uid="{00000000-0005-0000-0000-00002E670000}"/>
    <cellStyle name="s_Matrix_T" xfId="17946" xr:uid="{00000000-0005-0000-0000-00002F670000}"/>
    <cellStyle name="s_Matrix_T 2" xfId="17947" xr:uid="{00000000-0005-0000-0000-000030670000}"/>
    <cellStyle name="s_Matrix_T_DATA Input" xfId="17948" xr:uid="{00000000-0005-0000-0000-000031670000}"/>
    <cellStyle name="s_Merger" xfId="17949" xr:uid="{00000000-0005-0000-0000-000032670000}"/>
    <cellStyle name="s_Merger 2" xfId="17950" xr:uid="{00000000-0005-0000-0000-000033670000}"/>
    <cellStyle name="s_Merger_DATA Input" xfId="17951" xr:uid="{00000000-0005-0000-0000-000034670000}"/>
    <cellStyle name="s_Mini merg7_20" xfId="17952" xr:uid="{00000000-0005-0000-0000-000035670000}"/>
    <cellStyle name="s_Mini merg7_20 2" xfId="17953" xr:uid="{00000000-0005-0000-0000-000036670000}"/>
    <cellStyle name="s_Mini merg7_20_DATA Input" xfId="17954" xr:uid="{00000000-0005-0000-0000-000037670000}"/>
    <cellStyle name="s_model" xfId="17955" xr:uid="{00000000-0005-0000-0000-000038670000}"/>
    <cellStyle name="s_model 2" xfId="17956" xr:uid="{00000000-0005-0000-0000-000039670000}"/>
    <cellStyle name="s_Model Assumptions (2)" xfId="17957" xr:uid="{00000000-0005-0000-0000-00003A670000}"/>
    <cellStyle name="s_Model Assumptions (2) 2" xfId="17958" xr:uid="{00000000-0005-0000-0000-00003B670000}"/>
    <cellStyle name="s_Model Assumptions (2)_1" xfId="17959" xr:uid="{00000000-0005-0000-0000-00003C670000}"/>
    <cellStyle name="s_Model Assumptions (2)_1 2" xfId="17960" xr:uid="{00000000-0005-0000-0000-00003D670000}"/>
    <cellStyle name="s_Model Assumptions (2)_1_DATA Input" xfId="17961" xr:uid="{00000000-0005-0000-0000-00003E670000}"/>
    <cellStyle name="s_Model Assumptions (2)_DATA Input" xfId="17962" xr:uid="{00000000-0005-0000-0000-00003F670000}"/>
    <cellStyle name="s_model_1" xfId="17963" xr:uid="{00000000-0005-0000-0000-000040670000}"/>
    <cellStyle name="s_model_1_DATA Input" xfId="17964" xr:uid="{00000000-0005-0000-0000-000041670000}"/>
    <cellStyle name="s_model_DATA Input" xfId="17965" xr:uid="{00000000-0005-0000-0000-000042670000}"/>
    <cellStyle name="s_Model0717" xfId="17966" xr:uid="{00000000-0005-0000-0000-000043670000}"/>
    <cellStyle name="s_Model0717 2" xfId="17967" xr:uid="{00000000-0005-0000-0000-000044670000}"/>
    <cellStyle name="s_Model0717_DATA Input" xfId="17968" xr:uid="{00000000-0005-0000-0000-000045670000}"/>
    <cellStyle name="s_model10_07" xfId="17969" xr:uid="{00000000-0005-0000-0000-000046670000}"/>
    <cellStyle name="s_model10_07 2" xfId="17970" xr:uid="{00000000-0005-0000-0000-000047670000}"/>
    <cellStyle name="s_model10_07_1" xfId="17971" xr:uid="{00000000-0005-0000-0000-000048670000}"/>
    <cellStyle name="s_model10_07_1 2" xfId="17972" xr:uid="{00000000-0005-0000-0000-000049670000}"/>
    <cellStyle name="s_model10_07_1_DATA Input" xfId="17973" xr:uid="{00000000-0005-0000-0000-00004A670000}"/>
    <cellStyle name="s_model10_07_2" xfId="17974" xr:uid="{00000000-0005-0000-0000-00004B670000}"/>
    <cellStyle name="s_model10_07_2_DATA Input" xfId="17975" xr:uid="{00000000-0005-0000-0000-00004C670000}"/>
    <cellStyle name="s_model10_07_DATA Input" xfId="17976" xr:uid="{00000000-0005-0000-0000-00004D670000}"/>
    <cellStyle name="s_model10_09" xfId="17977" xr:uid="{00000000-0005-0000-0000-00004E670000}"/>
    <cellStyle name="s_model10_09_1" xfId="17978" xr:uid="{00000000-0005-0000-0000-00004F670000}"/>
    <cellStyle name="s_model10_09_1 2" xfId="17979" xr:uid="{00000000-0005-0000-0000-000050670000}"/>
    <cellStyle name="s_model10_09_1_DATA Input" xfId="17980" xr:uid="{00000000-0005-0000-0000-000051670000}"/>
    <cellStyle name="s_model10_09_2" xfId="17981" xr:uid="{00000000-0005-0000-0000-000052670000}"/>
    <cellStyle name="s_model10_09_2 2" xfId="17982" xr:uid="{00000000-0005-0000-0000-000053670000}"/>
    <cellStyle name="s_model10_09_2_DATA Input" xfId="17983" xr:uid="{00000000-0005-0000-0000-000054670000}"/>
    <cellStyle name="s_model10_09_DATA Input" xfId="17984" xr:uid="{00000000-0005-0000-0000-000055670000}"/>
    <cellStyle name="s_model10_11" xfId="17985" xr:uid="{00000000-0005-0000-0000-000056670000}"/>
    <cellStyle name="s_model10_11_1" xfId="17986" xr:uid="{00000000-0005-0000-0000-000057670000}"/>
    <cellStyle name="s_model10_11_1 2" xfId="17987" xr:uid="{00000000-0005-0000-0000-000058670000}"/>
    <cellStyle name="s_model10_11_1_DATA Input" xfId="17988" xr:uid="{00000000-0005-0000-0000-000059670000}"/>
    <cellStyle name="s_model10_11_2" xfId="17989" xr:uid="{00000000-0005-0000-0000-00005A670000}"/>
    <cellStyle name="s_model10_11_2 2" xfId="17990" xr:uid="{00000000-0005-0000-0000-00005B670000}"/>
    <cellStyle name="s_model10_11_2_DATA Input" xfId="17991" xr:uid="{00000000-0005-0000-0000-00005C670000}"/>
    <cellStyle name="s_model10_11_DATA Input" xfId="17992" xr:uid="{00000000-0005-0000-0000-00005D670000}"/>
    <cellStyle name="s_model10_12" xfId="17993" xr:uid="{00000000-0005-0000-0000-00005E670000}"/>
    <cellStyle name="s_model10_12 2" xfId="17994" xr:uid="{00000000-0005-0000-0000-00005F670000}"/>
    <cellStyle name="s_model10_12_1" xfId="17995" xr:uid="{00000000-0005-0000-0000-000060670000}"/>
    <cellStyle name="s_model10_12_1 2" xfId="17996" xr:uid="{00000000-0005-0000-0000-000061670000}"/>
    <cellStyle name="s_model10_12_1_DATA Input" xfId="17997" xr:uid="{00000000-0005-0000-0000-000062670000}"/>
    <cellStyle name="s_model10_12_2" xfId="17998" xr:uid="{00000000-0005-0000-0000-000063670000}"/>
    <cellStyle name="s_model10_12_2_DATA Input" xfId="17999" xr:uid="{00000000-0005-0000-0000-000064670000}"/>
    <cellStyle name="s_model10_12_DATA Input" xfId="18000" xr:uid="{00000000-0005-0000-0000-000065670000}"/>
    <cellStyle name="s_model10_18" xfId="18001" xr:uid="{00000000-0005-0000-0000-000066670000}"/>
    <cellStyle name="s_model10_18_1" xfId="18002" xr:uid="{00000000-0005-0000-0000-000067670000}"/>
    <cellStyle name="s_model10_18_1 2" xfId="18003" xr:uid="{00000000-0005-0000-0000-000068670000}"/>
    <cellStyle name="s_model10_18_1_DATA Input" xfId="18004" xr:uid="{00000000-0005-0000-0000-000069670000}"/>
    <cellStyle name="s_model10_18_DATA Input" xfId="18005" xr:uid="{00000000-0005-0000-0000-00006A670000}"/>
    <cellStyle name="s_model2" xfId="18006" xr:uid="{00000000-0005-0000-0000-00006B670000}"/>
    <cellStyle name="s_model2 2" xfId="18007" xr:uid="{00000000-0005-0000-0000-00006C670000}"/>
    <cellStyle name="s_model2_DATA Input" xfId="18008" xr:uid="{00000000-0005-0000-0000-00006D670000}"/>
    <cellStyle name="s_model7_23" xfId="18009" xr:uid="{00000000-0005-0000-0000-00006E670000}"/>
    <cellStyle name="s_model7_23 2" xfId="18010" xr:uid="{00000000-0005-0000-0000-00006F670000}"/>
    <cellStyle name="s_model7_23_1" xfId="18011" xr:uid="{00000000-0005-0000-0000-000070670000}"/>
    <cellStyle name="s_model7_23_1 2" xfId="18012" xr:uid="{00000000-0005-0000-0000-000071670000}"/>
    <cellStyle name="s_model7_23_1_DATA Input" xfId="18013" xr:uid="{00000000-0005-0000-0000-000072670000}"/>
    <cellStyle name="s_model7_23_2" xfId="18014" xr:uid="{00000000-0005-0000-0000-000073670000}"/>
    <cellStyle name="s_model7_23_2_DATA Input" xfId="18015" xr:uid="{00000000-0005-0000-0000-000074670000}"/>
    <cellStyle name="s_model7_23_DATA Input" xfId="18016" xr:uid="{00000000-0005-0000-0000-000075670000}"/>
    <cellStyle name="s_model7_26b" xfId="18017" xr:uid="{00000000-0005-0000-0000-000076670000}"/>
    <cellStyle name="s_model7_26b 2" xfId="18018" xr:uid="{00000000-0005-0000-0000-000077670000}"/>
    <cellStyle name="s_model7_26b_1" xfId="18019" xr:uid="{00000000-0005-0000-0000-000078670000}"/>
    <cellStyle name="s_model7_26b_1_DATA Input" xfId="18020" xr:uid="{00000000-0005-0000-0000-000079670000}"/>
    <cellStyle name="s_model7_26b_2" xfId="18021" xr:uid="{00000000-0005-0000-0000-00007A670000}"/>
    <cellStyle name="s_model7_26b_2 2" xfId="18022" xr:uid="{00000000-0005-0000-0000-00007B670000}"/>
    <cellStyle name="s_model7_26b_2_DATA Input" xfId="18023" xr:uid="{00000000-0005-0000-0000-00007C670000}"/>
    <cellStyle name="s_model7_26b_DATA Input" xfId="18024" xr:uid="{00000000-0005-0000-0000-00007D670000}"/>
    <cellStyle name="s_model7_27modified" xfId="18025" xr:uid="{00000000-0005-0000-0000-00007E670000}"/>
    <cellStyle name="s_model7_27modified_1" xfId="18026" xr:uid="{00000000-0005-0000-0000-00007F670000}"/>
    <cellStyle name="s_model7_27modified_1 2" xfId="18027" xr:uid="{00000000-0005-0000-0000-000080670000}"/>
    <cellStyle name="s_model7_27modified_1_DATA Input" xfId="18028" xr:uid="{00000000-0005-0000-0000-000081670000}"/>
    <cellStyle name="s_model7_27modified_2" xfId="18029" xr:uid="{00000000-0005-0000-0000-000082670000}"/>
    <cellStyle name="s_model7_27modified_2 2" xfId="18030" xr:uid="{00000000-0005-0000-0000-000083670000}"/>
    <cellStyle name="s_model7_27modified_2_DATA Input" xfId="18031" xr:uid="{00000000-0005-0000-0000-000084670000}"/>
    <cellStyle name="s_model7_27modified_DATA Input" xfId="18032" xr:uid="{00000000-0005-0000-0000-000085670000}"/>
    <cellStyle name="s_Module1" xfId="18033" xr:uid="{00000000-0005-0000-0000-000086670000}"/>
    <cellStyle name="s_Module1_DATA Input" xfId="18034" xr:uid="{00000000-0005-0000-0000-000087670000}"/>
    <cellStyle name="s_OBGYN (2)" xfId="18035" xr:uid="{00000000-0005-0000-0000-000088670000}"/>
    <cellStyle name="s_OBGYN (2) 2" xfId="18036" xr:uid="{00000000-0005-0000-0000-000089670000}"/>
    <cellStyle name="s_OBGYN (2)_1" xfId="18037" xr:uid="{00000000-0005-0000-0000-00008A670000}"/>
    <cellStyle name="s_OBGYN (2)_1 2" xfId="18038" xr:uid="{00000000-0005-0000-0000-00008B670000}"/>
    <cellStyle name="s_OBGYN (2)_1_DATA Input" xfId="18039" xr:uid="{00000000-0005-0000-0000-00008C670000}"/>
    <cellStyle name="s_OBGYN (2)_2" xfId="18040" xr:uid="{00000000-0005-0000-0000-00008D670000}"/>
    <cellStyle name="s_OBGYN (2)_2_DATA Input" xfId="18041" xr:uid="{00000000-0005-0000-0000-00008E670000}"/>
    <cellStyle name="s_OBGYN (2)_DATA Input" xfId="18042" xr:uid="{00000000-0005-0000-0000-00008F670000}"/>
    <cellStyle name="s_Other Businesses (2)" xfId="18043" xr:uid="{00000000-0005-0000-0000-000090670000}"/>
    <cellStyle name="s_Other Businesses (2)_1" xfId="18044" xr:uid="{00000000-0005-0000-0000-000091670000}"/>
    <cellStyle name="s_Other Businesses (2)_1 2" xfId="18045" xr:uid="{00000000-0005-0000-0000-000092670000}"/>
    <cellStyle name="s_Other Businesses (2)_1_DATA Input" xfId="18046" xr:uid="{00000000-0005-0000-0000-000093670000}"/>
    <cellStyle name="s_Other Businesses (2)_2" xfId="18047" xr:uid="{00000000-0005-0000-0000-000094670000}"/>
    <cellStyle name="s_Other Businesses (2)_2 2" xfId="18048" xr:uid="{00000000-0005-0000-0000-000095670000}"/>
    <cellStyle name="s_Other Businesses (2)_2_DATA Input" xfId="18049" xr:uid="{00000000-0005-0000-0000-000096670000}"/>
    <cellStyle name="s_Other Businesses (2)_DATA Input" xfId="18050" xr:uid="{00000000-0005-0000-0000-000097670000}"/>
    <cellStyle name="s_Ownership" xfId="18051" xr:uid="{00000000-0005-0000-0000-000098670000}"/>
    <cellStyle name="s_Ownership_1" xfId="18052" xr:uid="{00000000-0005-0000-0000-000099670000}"/>
    <cellStyle name="s_Ownership_1 2" xfId="18053" xr:uid="{00000000-0005-0000-0000-00009A670000}"/>
    <cellStyle name="s_Ownership_1_DATA Input" xfId="18054" xr:uid="{00000000-0005-0000-0000-00009B670000}"/>
    <cellStyle name="s_Ownership_DATA Input" xfId="18055" xr:uid="{00000000-0005-0000-0000-00009C670000}"/>
    <cellStyle name="s_P_L_Ratios" xfId="18056" xr:uid="{00000000-0005-0000-0000-00009D670000}"/>
    <cellStyle name="s_P_L_Ratios 2" xfId="18057" xr:uid="{00000000-0005-0000-0000-00009E670000}"/>
    <cellStyle name="s_P_L_Ratios_B" xfId="18058" xr:uid="{00000000-0005-0000-0000-00009F670000}"/>
    <cellStyle name="s_P_L_Ratios_B 2" xfId="18059" xr:uid="{00000000-0005-0000-0000-0000A0670000}"/>
    <cellStyle name="s_P_L_Ratios_B_DATA Input" xfId="18060" xr:uid="{00000000-0005-0000-0000-0000A1670000}"/>
    <cellStyle name="s_P_L_Ratios_DATA Input" xfId="18061" xr:uid="{00000000-0005-0000-0000-0000A2670000}"/>
    <cellStyle name="s_PDGDCF1" xfId="18062" xr:uid="{00000000-0005-0000-0000-0000A3670000}"/>
    <cellStyle name="s_PDGDCF1 2" xfId="18063" xr:uid="{00000000-0005-0000-0000-0000A4670000}"/>
    <cellStyle name="s_PDGDCF1_DATA Input" xfId="18064" xr:uid="{00000000-0005-0000-0000-0000A5670000}"/>
    <cellStyle name="s_PFMA Cap" xfId="18065" xr:uid="{00000000-0005-0000-0000-0000A6670000}"/>
    <cellStyle name="s_PFMA Cap 2" xfId="18066" xr:uid="{00000000-0005-0000-0000-0000A7670000}"/>
    <cellStyle name="s_PFMA Cap_1" xfId="18067" xr:uid="{00000000-0005-0000-0000-0000A8670000}"/>
    <cellStyle name="s_PFMA Cap_1 2" xfId="18068" xr:uid="{00000000-0005-0000-0000-0000A9670000}"/>
    <cellStyle name="s_PFMA Cap_1_CoP" xfId="18069" xr:uid="{00000000-0005-0000-0000-0000AA670000}"/>
    <cellStyle name="s_PFMA Cap_1_CoP_DATA Input" xfId="18070" xr:uid="{00000000-0005-0000-0000-0000AB670000}"/>
    <cellStyle name="s_PFMA Cap_1_CoPa" xfId="18071" xr:uid="{00000000-0005-0000-0000-0000AC670000}"/>
    <cellStyle name="s_PFMA Cap_1_CoPa_DATA Input" xfId="18072" xr:uid="{00000000-0005-0000-0000-0000AD670000}"/>
    <cellStyle name="s_PFMA Cap_1_CoPModelwarea" xfId="18073" xr:uid="{00000000-0005-0000-0000-0000AE670000}"/>
    <cellStyle name="s_PFMA Cap_1_CoPModelwarea_DATA Input" xfId="18074" xr:uid="{00000000-0005-0000-0000-0000AF670000}"/>
    <cellStyle name="s_PFMA Cap_1_DATA Input" xfId="18075" xr:uid="{00000000-0005-0000-0000-0000B0670000}"/>
    <cellStyle name="s_PFMA Cap_1_DCF" xfId="18076" xr:uid="{00000000-0005-0000-0000-0000B1670000}"/>
    <cellStyle name="s_PFMA Cap_1_DCF 2" xfId="18077" xr:uid="{00000000-0005-0000-0000-0000B2670000}"/>
    <cellStyle name="s_PFMA Cap_1_DCF_DATA Input" xfId="18078" xr:uid="{00000000-0005-0000-0000-0000B3670000}"/>
    <cellStyle name="s_PFMA Cap_1_GI.N" xfId="18079" xr:uid="{00000000-0005-0000-0000-0000B4670000}"/>
    <cellStyle name="s_PFMA Cap_1_GI.N_DATA Input" xfId="18080" xr:uid="{00000000-0005-0000-0000-0000B5670000}"/>
    <cellStyle name="s_PFMA Cap_1_Mary911" xfId="18081" xr:uid="{00000000-0005-0000-0000-0000B6670000}"/>
    <cellStyle name="s_PFMA Cap_1_Mary911_DATA Input" xfId="18082" xr:uid="{00000000-0005-0000-0000-0000B7670000}"/>
    <cellStyle name="s_PFMA Cap_1_mona0915a" xfId="18083" xr:uid="{00000000-0005-0000-0000-0000B8670000}"/>
    <cellStyle name="s_PFMA Cap_1_mona0915a_DATA Input" xfId="18084" xr:uid="{00000000-0005-0000-0000-0000B9670000}"/>
    <cellStyle name="s_PFMA Cap_1_mona0915b" xfId="18085" xr:uid="{00000000-0005-0000-0000-0000BA670000}"/>
    <cellStyle name="s_PFMA Cap_1_mona0915b_DATA Input" xfId="18086" xr:uid="{00000000-0005-0000-0000-0000BB670000}"/>
    <cellStyle name="s_PFMA Cap_1_Val's New Look Full Model" xfId="18087" xr:uid="{00000000-0005-0000-0000-0000BC670000}"/>
    <cellStyle name="s_PFMA Cap_1_Val's New Look Full Model 2" xfId="18088" xr:uid="{00000000-0005-0000-0000-0000BD670000}"/>
    <cellStyle name="s_PFMA Cap_1_Val's New Look Full Model_DATA Input" xfId="18089" xr:uid="{00000000-0005-0000-0000-0000BE670000}"/>
    <cellStyle name="s_PFMA Cap_2" xfId="18090" xr:uid="{00000000-0005-0000-0000-0000BF670000}"/>
    <cellStyle name="s_PFMA Cap_2_DATA Input" xfId="18091" xr:uid="{00000000-0005-0000-0000-0000C0670000}"/>
    <cellStyle name="s_PFMA Cap_CoP" xfId="18092" xr:uid="{00000000-0005-0000-0000-0000C1670000}"/>
    <cellStyle name="s_PFMA Cap_CoP 2" xfId="18093" xr:uid="{00000000-0005-0000-0000-0000C2670000}"/>
    <cellStyle name="s_PFMA Cap_CoP_DATA Input" xfId="18094" xr:uid="{00000000-0005-0000-0000-0000C3670000}"/>
    <cellStyle name="s_PFMA Cap_CoPa" xfId="18095" xr:uid="{00000000-0005-0000-0000-0000C4670000}"/>
    <cellStyle name="s_PFMA Cap_CoPa 2" xfId="18096" xr:uid="{00000000-0005-0000-0000-0000C5670000}"/>
    <cellStyle name="s_PFMA Cap_CoPa_DATA Input" xfId="18097" xr:uid="{00000000-0005-0000-0000-0000C6670000}"/>
    <cellStyle name="s_PFMA Cap_CoPModelwarea" xfId="18098" xr:uid="{00000000-0005-0000-0000-0000C7670000}"/>
    <cellStyle name="s_PFMA Cap_CoPModelwarea 2" xfId="18099" xr:uid="{00000000-0005-0000-0000-0000C8670000}"/>
    <cellStyle name="s_PFMA Cap_CoPModelwarea_DATA Input" xfId="18100" xr:uid="{00000000-0005-0000-0000-0000C9670000}"/>
    <cellStyle name="s_PFMA Cap_DATA Input" xfId="18101" xr:uid="{00000000-0005-0000-0000-0000CA670000}"/>
    <cellStyle name="s_PFMA Cap_DCF" xfId="18102" xr:uid="{00000000-0005-0000-0000-0000CB670000}"/>
    <cellStyle name="s_PFMA Cap_DCF 2" xfId="18103" xr:uid="{00000000-0005-0000-0000-0000CC670000}"/>
    <cellStyle name="s_PFMA Cap_DCF_DATA Input" xfId="18104" xr:uid="{00000000-0005-0000-0000-0000CD670000}"/>
    <cellStyle name="s_PFMA Cap_GI.N" xfId="18105" xr:uid="{00000000-0005-0000-0000-0000CE670000}"/>
    <cellStyle name="s_PFMA Cap_GI.N 2" xfId="18106" xr:uid="{00000000-0005-0000-0000-0000CF670000}"/>
    <cellStyle name="s_PFMA Cap_GI.N_DATA Input" xfId="18107" xr:uid="{00000000-0005-0000-0000-0000D0670000}"/>
    <cellStyle name="s_PFMA Cap_Mary911" xfId="18108" xr:uid="{00000000-0005-0000-0000-0000D1670000}"/>
    <cellStyle name="s_PFMA Cap_Mary911 2" xfId="18109" xr:uid="{00000000-0005-0000-0000-0000D2670000}"/>
    <cellStyle name="s_PFMA Cap_Mary911_DATA Input" xfId="18110" xr:uid="{00000000-0005-0000-0000-0000D3670000}"/>
    <cellStyle name="s_PFMA Cap_mona0915a" xfId="18111" xr:uid="{00000000-0005-0000-0000-0000D4670000}"/>
    <cellStyle name="s_PFMA Cap_mona0915a 2" xfId="18112" xr:uid="{00000000-0005-0000-0000-0000D5670000}"/>
    <cellStyle name="s_PFMA Cap_mona0915a_DATA Input" xfId="18113" xr:uid="{00000000-0005-0000-0000-0000D6670000}"/>
    <cellStyle name="s_PFMA Cap_mona0915b" xfId="18114" xr:uid="{00000000-0005-0000-0000-0000D7670000}"/>
    <cellStyle name="s_PFMA Cap_mona0915b 2" xfId="18115" xr:uid="{00000000-0005-0000-0000-0000D8670000}"/>
    <cellStyle name="s_PFMA Cap_mona0915b_DATA Input" xfId="18116" xr:uid="{00000000-0005-0000-0000-0000D9670000}"/>
    <cellStyle name="s_PFMA Cap_Val's New Look Full Model" xfId="18117" xr:uid="{00000000-0005-0000-0000-0000DA670000}"/>
    <cellStyle name="s_PFMA Cap_Val's New Look Full Model 2" xfId="18118" xr:uid="{00000000-0005-0000-0000-0000DB670000}"/>
    <cellStyle name="s_PFMA Cap_Val's New Look Full Model_DATA Input" xfId="18119" xr:uid="{00000000-0005-0000-0000-0000DC670000}"/>
    <cellStyle name="s_PFMA Credit" xfId="18120" xr:uid="{00000000-0005-0000-0000-0000DD670000}"/>
    <cellStyle name="s_PFMA Credit (2)" xfId="18121" xr:uid="{00000000-0005-0000-0000-0000DE670000}"/>
    <cellStyle name="s_PFMA Credit (2) 2" xfId="18122" xr:uid="{00000000-0005-0000-0000-0000DF670000}"/>
    <cellStyle name="s_PFMA Credit (2)_1" xfId="18123" xr:uid="{00000000-0005-0000-0000-0000E0670000}"/>
    <cellStyle name="s_PFMA Credit (2)_1_CoP" xfId="18124" xr:uid="{00000000-0005-0000-0000-0000E1670000}"/>
    <cellStyle name="s_PFMA Credit (2)_1_CoP_DATA Input" xfId="18125" xr:uid="{00000000-0005-0000-0000-0000E2670000}"/>
    <cellStyle name="s_PFMA Credit (2)_1_CoPa" xfId="18126" xr:uid="{00000000-0005-0000-0000-0000E3670000}"/>
    <cellStyle name="s_PFMA Credit (2)_1_CoPa_DATA Input" xfId="18127" xr:uid="{00000000-0005-0000-0000-0000E4670000}"/>
    <cellStyle name="s_PFMA Credit (2)_1_CoPModelwarea" xfId="18128" xr:uid="{00000000-0005-0000-0000-0000E5670000}"/>
    <cellStyle name="s_PFMA Credit (2)_1_CoPModelwarea_DATA Input" xfId="18129" xr:uid="{00000000-0005-0000-0000-0000E6670000}"/>
    <cellStyle name="s_PFMA Credit (2)_1_DATA Input" xfId="18130" xr:uid="{00000000-0005-0000-0000-0000E7670000}"/>
    <cellStyle name="s_PFMA Credit (2)_1_GI.N" xfId="18131" xr:uid="{00000000-0005-0000-0000-0000E8670000}"/>
    <cellStyle name="s_PFMA Credit (2)_1_GI.N_DATA Input" xfId="18132" xr:uid="{00000000-0005-0000-0000-0000E9670000}"/>
    <cellStyle name="s_PFMA Credit (2)_CoP" xfId="18133" xr:uid="{00000000-0005-0000-0000-0000EA670000}"/>
    <cellStyle name="s_PFMA Credit (2)_CoP 2" xfId="18134" xr:uid="{00000000-0005-0000-0000-0000EB670000}"/>
    <cellStyle name="s_PFMA Credit (2)_CoP_DATA Input" xfId="18135" xr:uid="{00000000-0005-0000-0000-0000EC670000}"/>
    <cellStyle name="s_PFMA Credit (2)_CoPa" xfId="18136" xr:uid="{00000000-0005-0000-0000-0000ED670000}"/>
    <cellStyle name="s_PFMA Credit (2)_CoPa 2" xfId="18137" xr:uid="{00000000-0005-0000-0000-0000EE670000}"/>
    <cellStyle name="s_PFMA Credit (2)_CoPa_DATA Input" xfId="18138" xr:uid="{00000000-0005-0000-0000-0000EF670000}"/>
    <cellStyle name="s_PFMA Credit (2)_CoPModelwarea" xfId="18139" xr:uid="{00000000-0005-0000-0000-0000F0670000}"/>
    <cellStyle name="s_PFMA Credit (2)_CoPModelwarea 2" xfId="18140" xr:uid="{00000000-0005-0000-0000-0000F1670000}"/>
    <cellStyle name="s_PFMA Credit (2)_CoPModelwarea_DATA Input" xfId="18141" xr:uid="{00000000-0005-0000-0000-0000F2670000}"/>
    <cellStyle name="s_PFMA Credit (2)_DATA Input" xfId="18142" xr:uid="{00000000-0005-0000-0000-0000F3670000}"/>
    <cellStyle name="s_PFMA Credit (2)_GI.N" xfId="18143" xr:uid="{00000000-0005-0000-0000-0000F4670000}"/>
    <cellStyle name="s_PFMA Credit (2)_GI.N 2" xfId="18144" xr:uid="{00000000-0005-0000-0000-0000F5670000}"/>
    <cellStyle name="s_PFMA Credit (2)_GI.N_DATA Input" xfId="18145" xr:uid="{00000000-0005-0000-0000-0000F6670000}"/>
    <cellStyle name="s_PFMA Credit (2)_PFMA Cap" xfId="18146" xr:uid="{00000000-0005-0000-0000-0000F7670000}"/>
    <cellStyle name="s_PFMA Credit (2)_PFMA Cap 2" xfId="18147" xr:uid="{00000000-0005-0000-0000-0000F8670000}"/>
    <cellStyle name="s_PFMA Credit (2)_PFMA Cap_CoP" xfId="18148" xr:uid="{00000000-0005-0000-0000-0000F9670000}"/>
    <cellStyle name="s_PFMA Credit (2)_PFMA Cap_CoP 2" xfId="18149" xr:uid="{00000000-0005-0000-0000-0000FA670000}"/>
    <cellStyle name="s_PFMA Credit (2)_PFMA Cap_CoP_DATA Input" xfId="18150" xr:uid="{00000000-0005-0000-0000-0000FB670000}"/>
    <cellStyle name="s_PFMA Credit (2)_PFMA Cap_CoPa" xfId="18151" xr:uid="{00000000-0005-0000-0000-0000FC670000}"/>
    <cellStyle name="s_PFMA Credit (2)_PFMA Cap_CoPa 2" xfId="18152" xr:uid="{00000000-0005-0000-0000-0000FD670000}"/>
    <cellStyle name="s_PFMA Credit (2)_PFMA Cap_CoPa_DATA Input" xfId="18153" xr:uid="{00000000-0005-0000-0000-0000FE670000}"/>
    <cellStyle name="s_PFMA Credit (2)_PFMA Cap_CoPModelwarea" xfId="18154" xr:uid="{00000000-0005-0000-0000-0000FF670000}"/>
    <cellStyle name="s_PFMA Credit (2)_PFMA Cap_CoPModelwarea 2" xfId="18155" xr:uid="{00000000-0005-0000-0000-000000680000}"/>
    <cellStyle name="s_PFMA Credit (2)_PFMA Cap_CoPModelwarea_DATA Input" xfId="18156" xr:uid="{00000000-0005-0000-0000-000001680000}"/>
    <cellStyle name="s_PFMA Credit (2)_PFMA Cap_DATA Input" xfId="18157" xr:uid="{00000000-0005-0000-0000-000002680000}"/>
    <cellStyle name="s_PFMA Credit (2)_PFMA Cap_GI.N" xfId="18158" xr:uid="{00000000-0005-0000-0000-000003680000}"/>
    <cellStyle name="s_PFMA Credit (2)_PFMA Cap_GI.N 2" xfId="18159" xr:uid="{00000000-0005-0000-0000-000004680000}"/>
    <cellStyle name="s_PFMA Credit (2)_PFMA Cap_GI.N_DATA Input" xfId="18160" xr:uid="{00000000-0005-0000-0000-000005680000}"/>
    <cellStyle name="s_PFMA Credit 2" xfId="18161" xr:uid="{00000000-0005-0000-0000-000006680000}"/>
    <cellStyle name="s_PFMA Credit 3" xfId="18162" xr:uid="{00000000-0005-0000-0000-000007680000}"/>
    <cellStyle name="s_PFMA Credit 4" xfId="18163" xr:uid="{00000000-0005-0000-0000-000008680000}"/>
    <cellStyle name="s_PFMA Credit 5" xfId="18164" xr:uid="{00000000-0005-0000-0000-000009680000}"/>
    <cellStyle name="s_PFMA Credit 6" xfId="18165" xr:uid="{00000000-0005-0000-0000-00000A680000}"/>
    <cellStyle name="s_PFMA Credit 7" xfId="18166" xr:uid="{00000000-0005-0000-0000-00000B680000}"/>
    <cellStyle name="s_PFMA Credit_1" xfId="18167" xr:uid="{00000000-0005-0000-0000-00000C680000}"/>
    <cellStyle name="s_PFMA Credit_1 2" xfId="18168" xr:uid="{00000000-0005-0000-0000-00000D680000}"/>
    <cellStyle name="s_PFMA Credit_1_DATA Input" xfId="18169" xr:uid="{00000000-0005-0000-0000-00000E680000}"/>
    <cellStyle name="s_PFMA Credit_1_DCF" xfId="18170" xr:uid="{00000000-0005-0000-0000-00000F680000}"/>
    <cellStyle name="s_PFMA Credit_1_DCF 2" xfId="18171" xr:uid="{00000000-0005-0000-0000-000010680000}"/>
    <cellStyle name="s_PFMA Credit_1_DCF_DATA Input" xfId="18172" xr:uid="{00000000-0005-0000-0000-000011680000}"/>
    <cellStyle name="s_PFMA Credit_1_Val's New Look Full Model" xfId="18173" xr:uid="{00000000-0005-0000-0000-000012680000}"/>
    <cellStyle name="s_PFMA Credit_1_Val's New Look Full Model 2" xfId="18174" xr:uid="{00000000-0005-0000-0000-000013680000}"/>
    <cellStyle name="s_PFMA Credit_1_Val's New Look Full Model_DATA Input" xfId="18175" xr:uid="{00000000-0005-0000-0000-000014680000}"/>
    <cellStyle name="s_PFMA Credit_2" xfId="18176" xr:uid="{00000000-0005-0000-0000-000015680000}"/>
    <cellStyle name="s_PFMA Credit_2_DATA Input" xfId="18177" xr:uid="{00000000-0005-0000-0000-000016680000}"/>
    <cellStyle name="s_PFMA Credit_DATA Input" xfId="18178" xr:uid="{00000000-0005-0000-0000-000017680000}"/>
    <cellStyle name="s_PFMA Credit_DCF" xfId="18179" xr:uid="{00000000-0005-0000-0000-000018680000}"/>
    <cellStyle name="s_PFMA Credit_DCF 2" xfId="18180" xr:uid="{00000000-0005-0000-0000-000019680000}"/>
    <cellStyle name="s_PFMA Credit_DCF_DATA Input" xfId="18181" xr:uid="{00000000-0005-0000-0000-00001A680000}"/>
    <cellStyle name="s_PFMA Credit_Val's New Look Full Model" xfId="18182" xr:uid="{00000000-0005-0000-0000-00001B680000}"/>
    <cellStyle name="s_PFMA Credit_Val's New Look Full Model 2" xfId="18183" xr:uid="{00000000-0005-0000-0000-00001C680000}"/>
    <cellStyle name="s_PFMA Credit_Val's New Look Full Model_DATA Input" xfId="18184" xr:uid="{00000000-0005-0000-0000-00001D680000}"/>
    <cellStyle name="s_PFMA Fin Sum" xfId="18185" xr:uid="{00000000-0005-0000-0000-00001E680000}"/>
    <cellStyle name="s_PFMA Fin Sum 2" xfId="18186" xr:uid="{00000000-0005-0000-0000-00001F680000}"/>
    <cellStyle name="s_PFMA Fin Sum_1" xfId="18187" xr:uid="{00000000-0005-0000-0000-000020680000}"/>
    <cellStyle name="s_PFMA Fin Sum_1 2" xfId="18188" xr:uid="{00000000-0005-0000-0000-000021680000}"/>
    <cellStyle name="s_PFMA Fin Sum_1_DATA Input" xfId="18189" xr:uid="{00000000-0005-0000-0000-000022680000}"/>
    <cellStyle name="s_PFMA Fin Sum_1_DCF" xfId="18190" xr:uid="{00000000-0005-0000-0000-000023680000}"/>
    <cellStyle name="s_PFMA Fin Sum_1_DCF 2" xfId="18191" xr:uid="{00000000-0005-0000-0000-000024680000}"/>
    <cellStyle name="s_PFMA Fin Sum_1_DCF_DATA Input" xfId="18192" xr:uid="{00000000-0005-0000-0000-000025680000}"/>
    <cellStyle name="s_PFMA Fin Sum_1_Val's New Look Full Model" xfId="18193" xr:uid="{00000000-0005-0000-0000-000026680000}"/>
    <cellStyle name="s_PFMA Fin Sum_1_Val's New Look Full Model 2" xfId="18194" xr:uid="{00000000-0005-0000-0000-000027680000}"/>
    <cellStyle name="s_PFMA Fin Sum_1_Val's New Look Full Model_DATA Input" xfId="18195" xr:uid="{00000000-0005-0000-0000-000028680000}"/>
    <cellStyle name="s_PFMA Fin Sum_2" xfId="18196" xr:uid="{00000000-0005-0000-0000-000029680000}"/>
    <cellStyle name="s_PFMA Fin Sum_2_DATA Input" xfId="18197" xr:uid="{00000000-0005-0000-0000-00002A680000}"/>
    <cellStyle name="s_PFMA Fin Sum_DATA Input" xfId="18198" xr:uid="{00000000-0005-0000-0000-00002B680000}"/>
    <cellStyle name="s_PFMA Fin Sum_DCF" xfId="18199" xr:uid="{00000000-0005-0000-0000-00002C680000}"/>
    <cellStyle name="s_PFMA Fin Sum_DCF 2" xfId="18200" xr:uid="{00000000-0005-0000-0000-00002D680000}"/>
    <cellStyle name="s_PFMA Fin Sum_DCF_DATA Input" xfId="18201" xr:uid="{00000000-0005-0000-0000-00002E680000}"/>
    <cellStyle name="s_PFMA Fin Sum_Val's New Look Full Model" xfId="18202" xr:uid="{00000000-0005-0000-0000-00002F680000}"/>
    <cellStyle name="s_PFMA Fin Sum_Val's New Look Full Model 2" xfId="18203" xr:uid="{00000000-0005-0000-0000-000030680000}"/>
    <cellStyle name="s_PFMA Fin Sum_Val's New Look Full Model_DATA Input" xfId="18204" xr:uid="{00000000-0005-0000-0000-000031680000}"/>
    <cellStyle name="s_PFMA Income (2)" xfId="18205" xr:uid="{00000000-0005-0000-0000-000032680000}"/>
    <cellStyle name="s_PFMA Income (2) 2" xfId="18206" xr:uid="{00000000-0005-0000-0000-000033680000}"/>
    <cellStyle name="s_PFMA Income (2)_1" xfId="18207" xr:uid="{00000000-0005-0000-0000-000034680000}"/>
    <cellStyle name="s_PFMA Income (2)_1 2" xfId="18208" xr:uid="{00000000-0005-0000-0000-000035680000}"/>
    <cellStyle name="s_PFMA Income (2)_1_DATA Input" xfId="18209" xr:uid="{00000000-0005-0000-0000-000036680000}"/>
    <cellStyle name="s_PFMA Income (2)_2" xfId="18210" xr:uid="{00000000-0005-0000-0000-000037680000}"/>
    <cellStyle name="s_PFMA Income (2)_2_Celtic DCF" xfId="18211" xr:uid="{00000000-0005-0000-0000-000038680000}"/>
    <cellStyle name="s_PFMA Income (2)_2_Celtic DCF Inputs" xfId="18212" xr:uid="{00000000-0005-0000-0000-000039680000}"/>
    <cellStyle name="s_PFMA Income (2)_2_Celtic DCF Inputs_DATA Input" xfId="18213" xr:uid="{00000000-0005-0000-0000-00003A680000}"/>
    <cellStyle name="s_PFMA Income (2)_2_Celtic DCF_DATA Input" xfId="18214" xr:uid="{00000000-0005-0000-0000-00003B680000}"/>
    <cellStyle name="s_PFMA Income (2)_2_DATA Input" xfId="18215" xr:uid="{00000000-0005-0000-0000-00003C680000}"/>
    <cellStyle name="s_PFMA Income (2)_2_Valuation Summary" xfId="18216" xr:uid="{00000000-0005-0000-0000-00003D680000}"/>
    <cellStyle name="s_PFMA Income (2)_2_Valuation Summary_DATA Input" xfId="18217" xr:uid="{00000000-0005-0000-0000-00003E680000}"/>
    <cellStyle name="s_PFMA Income (2)_DATA Input" xfId="18218" xr:uid="{00000000-0005-0000-0000-00003F680000}"/>
    <cellStyle name="s_PFMA Statements" xfId="18219" xr:uid="{00000000-0005-0000-0000-000040680000}"/>
    <cellStyle name="s_PFMA Statements 2" xfId="18220" xr:uid="{00000000-0005-0000-0000-000041680000}"/>
    <cellStyle name="s_PFMA Statements_1" xfId="18221" xr:uid="{00000000-0005-0000-0000-000042680000}"/>
    <cellStyle name="s_PFMA Statements_1 2" xfId="18222" xr:uid="{00000000-0005-0000-0000-000043680000}"/>
    <cellStyle name="s_PFMA Statements_1_DATA Input" xfId="18223" xr:uid="{00000000-0005-0000-0000-000044680000}"/>
    <cellStyle name="s_PFMA Statements_1_DCF" xfId="18224" xr:uid="{00000000-0005-0000-0000-000045680000}"/>
    <cellStyle name="s_PFMA Statements_1_DCF 2" xfId="18225" xr:uid="{00000000-0005-0000-0000-000046680000}"/>
    <cellStyle name="s_PFMA Statements_1_DCF_DATA Input" xfId="18226" xr:uid="{00000000-0005-0000-0000-000047680000}"/>
    <cellStyle name="s_PFMA Statements_1_Val's New Look Full Model" xfId="18227" xr:uid="{00000000-0005-0000-0000-000048680000}"/>
    <cellStyle name="s_PFMA Statements_1_Val's New Look Full Model 2" xfId="18228" xr:uid="{00000000-0005-0000-0000-000049680000}"/>
    <cellStyle name="s_PFMA Statements_1_Val's New Look Full Model_DATA Input" xfId="18229" xr:uid="{00000000-0005-0000-0000-00004A680000}"/>
    <cellStyle name="s_PFMA Statements_2" xfId="18230" xr:uid="{00000000-0005-0000-0000-00004B680000}"/>
    <cellStyle name="s_PFMA Statements_2_DATA Input" xfId="18231" xr:uid="{00000000-0005-0000-0000-00004C680000}"/>
    <cellStyle name="s_PFMA Statements_DATA Input" xfId="18232" xr:uid="{00000000-0005-0000-0000-00004D680000}"/>
    <cellStyle name="s_PFMA Statements_DCF" xfId="18233" xr:uid="{00000000-0005-0000-0000-00004E680000}"/>
    <cellStyle name="s_PFMA Statements_DCF 2" xfId="18234" xr:uid="{00000000-0005-0000-0000-00004F680000}"/>
    <cellStyle name="s_PFMA Statements_DCF_DATA Input" xfId="18235" xr:uid="{00000000-0005-0000-0000-000050680000}"/>
    <cellStyle name="s_PFMA Statements_Val's New Look Full Model" xfId="18236" xr:uid="{00000000-0005-0000-0000-000051680000}"/>
    <cellStyle name="s_PFMA Statements_Val's New Look Full Model 2" xfId="18237" xr:uid="{00000000-0005-0000-0000-000052680000}"/>
    <cellStyle name="s_PFMA Statements_Val's New Look Full Model_DATA Input" xfId="18238" xr:uid="{00000000-0005-0000-0000-000053680000}"/>
    <cellStyle name="s_Pippen (2)" xfId="18239" xr:uid="{00000000-0005-0000-0000-000054680000}"/>
    <cellStyle name="s_Pippen (2) 2" xfId="18240" xr:uid="{00000000-0005-0000-0000-000055680000}"/>
    <cellStyle name="s_Pippen (2)_1" xfId="18241" xr:uid="{00000000-0005-0000-0000-000056680000}"/>
    <cellStyle name="s_Pippen (2)_1_DATA Input" xfId="18242" xr:uid="{00000000-0005-0000-0000-000057680000}"/>
    <cellStyle name="s_Pippen (2)_DATA Input" xfId="18243" xr:uid="{00000000-0005-0000-0000-000058680000}"/>
    <cellStyle name="s_Pippen Cases (2)" xfId="18244" xr:uid="{00000000-0005-0000-0000-000059680000}"/>
    <cellStyle name="s_Pippen Cases (2) 2" xfId="18245" xr:uid="{00000000-0005-0000-0000-00005A680000}"/>
    <cellStyle name="s_Pippen Cases (2)_1" xfId="18246" xr:uid="{00000000-0005-0000-0000-00005B680000}"/>
    <cellStyle name="s_Pippen Cases (2)_1_DATA Input" xfId="18247" xr:uid="{00000000-0005-0000-0000-00005C680000}"/>
    <cellStyle name="s_Pippen Cases (2)_DATA Input" xfId="18248" xr:uid="{00000000-0005-0000-0000-00005D680000}"/>
    <cellStyle name="s_Pippen ValMatrix (2)" xfId="18249" xr:uid="{00000000-0005-0000-0000-00005E680000}"/>
    <cellStyle name="s_Pippen ValMatrix (2)_1" xfId="18250" xr:uid="{00000000-0005-0000-0000-00005F680000}"/>
    <cellStyle name="s_Pippen ValMatrix (2)_1 2" xfId="18251" xr:uid="{00000000-0005-0000-0000-000060680000}"/>
    <cellStyle name="s_Pippen ValMatrix (2)_1_DATA Input" xfId="18252" xr:uid="{00000000-0005-0000-0000-000061680000}"/>
    <cellStyle name="s_Pippen ValMatrix (2)_DATA Input" xfId="18253" xr:uid="{00000000-0005-0000-0000-000062680000}"/>
    <cellStyle name="s_PMAT (2)" xfId="18254" xr:uid="{00000000-0005-0000-0000-000063680000}"/>
    <cellStyle name="s_PMAT (2)_1" xfId="18255" xr:uid="{00000000-0005-0000-0000-000064680000}"/>
    <cellStyle name="s_PMAT (2)_1 2" xfId="18256" xr:uid="{00000000-0005-0000-0000-000065680000}"/>
    <cellStyle name="s_PMAT (2)_1_DATA Input" xfId="18257" xr:uid="{00000000-0005-0000-0000-000066680000}"/>
    <cellStyle name="s_PMAT (2)_Celtic DCF" xfId="18258" xr:uid="{00000000-0005-0000-0000-000067680000}"/>
    <cellStyle name="s_PMAT (2)_Celtic DCF Inputs" xfId="18259" xr:uid="{00000000-0005-0000-0000-000068680000}"/>
    <cellStyle name="s_PMAT (2)_Celtic DCF Inputs_DATA Input" xfId="18260" xr:uid="{00000000-0005-0000-0000-000069680000}"/>
    <cellStyle name="s_PMAT (2)_Celtic DCF_DATA Input" xfId="18261" xr:uid="{00000000-0005-0000-0000-00006A680000}"/>
    <cellStyle name="s_PMAT (2)_DATA Input" xfId="18262" xr:uid="{00000000-0005-0000-0000-00006B680000}"/>
    <cellStyle name="s_PMAT (2)_Valuation Summary" xfId="18263" xr:uid="{00000000-0005-0000-0000-00006C680000}"/>
    <cellStyle name="s_PMAT (2)_Valuation Summary_DATA Input" xfId="18264" xr:uid="{00000000-0005-0000-0000-00006D680000}"/>
    <cellStyle name="s_PMAT (3)" xfId="18265" xr:uid="{00000000-0005-0000-0000-00006E680000}"/>
    <cellStyle name="s_PMAT (3)_1" xfId="18266" xr:uid="{00000000-0005-0000-0000-00006F680000}"/>
    <cellStyle name="s_PMAT (3)_1 2" xfId="18267" xr:uid="{00000000-0005-0000-0000-000070680000}"/>
    <cellStyle name="s_PMAT (3)_1_DATA Input" xfId="18268" xr:uid="{00000000-0005-0000-0000-000071680000}"/>
    <cellStyle name="s_PMAT (3)_2" xfId="18269" xr:uid="{00000000-0005-0000-0000-000072680000}"/>
    <cellStyle name="s_PMAT (3)_2 2" xfId="18270" xr:uid="{00000000-0005-0000-0000-000073680000}"/>
    <cellStyle name="s_PMAT (3)_2_DATA Input" xfId="18271" xr:uid="{00000000-0005-0000-0000-000074680000}"/>
    <cellStyle name="s_PMAT (3)_Celtic DCF" xfId="18272" xr:uid="{00000000-0005-0000-0000-000075680000}"/>
    <cellStyle name="s_PMAT (3)_Celtic DCF Inputs" xfId="18273" xr:uid="{00000000-0005-0000-0000-000076680000}"/>
    <cellStyle name="s_PMAT (3)_Celtic DCF Inputs_DATA Input" xfId="18274" xr:uid="{00000000-0005-0000-0000-000077680000}"/>
    <cellStyle name="s_PMAT (3)_Celtic DCF_DATA Input" xfId="18275" xr:uid="{00000000-0005-0000-0000-000078680000}"/>
    <cellStyle name="s_PMAT (3)_DATA Input" xfId="18276" xr:uid="{00000000-0005-0000-0000-000079680000}"/>
    <cellStyle name="s_PMAT (3)_Valuation Summary" xfId="18277" xr:uid="{00000000-0005-0000-0000-00007A680000}"/>
    <cellStyle name="s_PMAT (3)_Valuation Summary_DATA Input" xfId="18278" xr:uid="{00000000-0005-0000-0000-00007B680000}"/>
    <cellStyle name="s_PoundInc" xfId="18279" xr:uid="{00000000-0005-0000-0000-00007C680000}"/>
    <cellStyle name="s_PoundInc (2)" xfId="18280" xr:uid="{00000000-0005-0000-0000-00007D680000}"/>
    <cellStyle name="s_PoundInc (2) 2" xfId="18281" xr:uid="{00000000-0005-0000-0000-00007E680000}"/>
    <cellStyle name="s_PoundInc (2)_1" xfId="18282" xr:uid="{00000000-0005-0000-0000-00007F680000}"/>
    <cellStyle name="s_PoundInc (2)_1_Celtic DCF" xfId="18283" xr:uid="{00000000-0005-0000-0000-000080680000}"/>
    <cellStyle name="s_PoundInc (2)_1_Celtic DCF Inputs" xfId="18284" xr:uid="{00000000-0005-0000-0000-000081680000}"/>
    <cellStyle name="s_PoundInc (2)_1_Celtic DCF Inputs_DATA Input" xfId="18285" xr:uid="{00000000-0005-0000-0000-000082680000}"/>
    <cellStyle name="s_PoundInc (2)_1_Celtic DCF_DATA Input" xfId="18286" xr:uid="{00000000-0005-0000-0000-000083680000}"/>
    <cellStyle name="s_PoundInc (2)_1_DATA Input" xfId="18287" xr:uid="{00000000-0005-0000-0000-000084680000}"/>
    <cellStyle name="s_PoundInc (2)_1_Valuation Summary" xfId="18288" xr:uid="{00000000-0005-0000-0000-000085680000}"/>
    <cellStyle name="s_PoundInc (2)_1_Valuation Summary_DATA Input" xfId="18289" xr:uid="{00000000-0005-0000-0000-000086680000}"/>
    <cellStyle name="s_PoundInc (2)_2" xfId="18290" xr:uid="{00000000-0005-0000-0000-000087680000}"/>
    <cellStyle name="s_PoundInc (2)_2 2" xfId="18291" xr:uid="{00000000-0005-0000-0000-000088680000}"/>
    <cellStyle name="s_PoundInc (2)_2_DATA Input" xfId="18292" xr:uid="{00000000-0005-0000-0000-000089680000}"/>
    <cellStyle name="s_PoundInc (2)_DATA Input" xfId="18293" xr:uid="{00000000-0005-0000-0000-00008A680000}"/>
    <cellStyle name="s_PoundInc_Celtic DCF" xfId="18294" xr:uid="{00000000-0005-0000-0000-00008B680000}"/>
    <cellStyle name="s_PoundInc_Celtic DCF Inputs" xfId="18295" xr:uid="{00000000-0005-0000-0000-00008C680000}"/>
    <cellStyle name="s_PoundInc_Celtic DCF Inputs_DATA Input" xfId="18296" xr:uid="{00000000-0005-0000-0000-00008D680000}"/>
    <cellStyle name="s_PoundInc_Celtic DCF_DATA Input" xfId="18297" xr:uid="{00000000-0005-0000-0000-00008E680000}"/>
    <cellStyle name="s_PoundInc_DATA Input" xfId="18298" xr:uid="{00000000-0005-0000-0000-00008F680000}"/>
    <cellStyle name="s_PoundInc_Valuation Summary" xfId="18299" xr:uid="{00000000-0005-0000-0000-000090680000}"/>
    <cellStyle name="s_PoundInc_Valuation Summary_DATA Input" xfId="18300" xr:uid="{00000000-0005-0000-0000-000091680000}"/>
    <cellStyle name="s_Poundstone (2)" xfId="18301" xr:uid="{00000000-0005-0000-0000-000092680000}"/>
    <cellStyle name="s_Poundstone (2)_1" xfId="18302" xr:uid="{00000000-0005-0000-0000-000093680000}"/>
    <cellStyle name="s_Poundstone (2)_1 2" xfId="18303" xr:uid="{00000000-0005-0000-0000-000094680000}"/>
    <cellStyle name="s_Poundstone (2)_1_DATA Input" xfId="18304" xr:uid="{00000000-0005-0000-0000-000095680000}"/>
    <cellStyle name="s_Poundstone (2)_2" xfId="18305" xr:uid="{00000000-0005-0000-0000-000096680000}"/>
    <cellStyle name="s_Poundstone (2)_2 2" xfId="18306" xr:uid="{00000000-0005-0000-0000-000097680000}"/>
    <cellStyle name="s_Poundstone (2)_2_DATA Input" xfId="18307" xr:uid="{00000000-0005-0000-0000-000098680000}"/>
    <cellStyle name="s_Poundstone (2)_Celtic DCF" xfId="18308" xr:uid="{00000000-0005-0000-0000-000099680000}"/>
    <cellStyle name="s_Poundstone (2)_Celtic DCF Inputs" xfId="18309" xr:uid="{00000000-0005-0000-0000-00009A680000}"/>
    <cellStyle name="s_Poundstone (2)_Celtic DCF Inputs_DATA Input" xfId="18310" xr:uid="{00000000-0005-0000-0000-00009B680000}"/>
    <cellStyle name="s_Poundstone (2)_Celtic DCF_DATA Input" xfId="18311" xr:uid="{00000000-0005-0000-0000-00009C680000}"/>
    <cellStyle name="s_Poundstone (2)_DATA Input" xfId="18312" xr:uid="{00000000-0005-0000-0000-00009D680000}"/>
    <cellStyle name="s_Poundstone (2)_Valuation Summary" xfId="18313" xr:uid="{00000000-0005-0000-0000-00009E680000}"/>
    <cellStyle name="s_Poundstone (2)_Valuation Summary_DATA Input" xfId="18314" xr:uid="{00000000-0005-0000-0000-00009F680000}"/>
    <cellStyle name="s_Preliminary Poundstone (2)" xfId="18315" xr:uid="{00000000-0005-0000-0000-0000A0680000}"/>
    <cellStyle name="s_Preliminary Poundstone (2) 2" xfId="18316" xr:uid="{00000000-0005-0000-0000-0000A1680000}"/>
    <cellStyle name="s_Preliminary Poundstone (2)_1" xfId="18317" xr:uid="{00000000-0005-0000-0000-0000A2680000}"/>
    <cellStyle name="s_Preliminary Poundstone (2)_1 2" xfId="18318" xr:uid="{00000000-0005-0000-0000-0000A3680000}"/>
    <cellStyle name="s_Preliminary Poundstone (2)_1_DATA Input" xfId="18319" xr:uid="{00000000-0005-0000-0000-0000A4680000}"/>
    <cellStyle name="s_Preliminary Poundstone (2)_DATA Input" xfId="18320" xr:uid="{00000000-0005-0000-0000-0000A5680000}"/>
    <cellStyle name="s_Proj Graph" xfId="18321" xr:uid="{00000000-0005-0000-0000-0000A6680000}"/>
    <cellStyle name="s_Proj Graph 2" xfId="18322" xr:uid="{00000000-0005-0000-0000-0000A7680000}"/>
    <cellStyle name="s_Proj Graph_1" xfId="18323" xr:uid="{00000000-0005-0000-0000-0000A8680000}"/>
    <cellStyle name="s_Proj Graph_1 2" xfId="18324" xr:uid="{00000000-0005-0000-0000-0000A9680000}"/>
    <cellStyle name="s_Proj Graph_1_DATA Input" xfId="18325" xr:uid="{00000000-0005-0000-0000-0000AA680000}"/>
    <cellStyle name="s_Proj Graph_1_DCF" xfId="18326" xr:uid="{00000000-0005-0000-0000-0000AB680000}"/>
    <cellStyle name="s_Proj Graph_1_DCF 2" xfId="18327" xr:uid="{00000000-0005-0000-0000-0000AC680000}"/>
    <cellStyle name="s_Proj Graph_1_DCF_DATA Input" xfId="18328" xr:uid="{00000000-0005-0000-0000-0000AD680000}"/>
    <cellStyle name="s_Proj Graph_1_Val's New Look Full Model" xfId="18329" xr:uid="{00000000-0005-0000-0000-0000AE680000}"/>
    <cellStyle name="s_Proj Graph_1_Val's New Look Full Model 2" xfId="18330" xr:uid="{00000000-0005-0000-0000-0000AF680000}"/>
    <cellStyle name="s_Proj Graph_1_Val's New Look Full Model_DATA Input" xfId="18331" xr:uid="{00000000-0005-0000-0000-0000B0680000}"/>
    <cellStyle name="s_Proj Graph_2" xfId="18332" xr:uid="{00000000-0005-0000-0000-0000B1680000}"/>
    <cellStyle name="s_Proj Graph_2_DATA Input" xfId="18333" xr:uid="{00000000-0005-0000-0000-0000B2680000}"/>
    <cellStyle name="s_Proj Graph_DATA Input" xfId="18334" xr:uid="{00000000-0005-0000-0000-0000B3680000}"/>
    <cellStyle name="s_Proj Graph_DCF" xfId="18335" xr:uid="{00000000-0005-0000-0000-0000B4680000}"/>
    <cellStyle name="s_Proj Graph_DCF 2" xfId="18336" xr:uid="{00000000-0005-0000-0000-0000B5680000}"/>
    <cellStyle name="s_Proj Graph_DCF_DATA Input" xfId="18337" xr:uid="{00000000-0005-0000-0000-0000B6680000}"/>
    <cellStyle name="s_Proj Graph_Val's New Look Full Model" xfId="18338" xr:uid="{00000000-0005-0000-0000-0000B7680000}"/>
    <cellStyle name="s_Proj Graph_Val's New Look Full Model 2" xfId="18339" xr:uid="{00000000-0005-0000-0000-0000B8680000}"/>
    <cellStyle name="s_Proj Graph_Val's New Look Full Model_DATA Input" xfId="18340" xr:uid="{00000000-0005-0000-0000-0000B9680000}"/>
    <cellStyle name="s_recon" xfId="18341" xr:uid="{00000000-0005-0000-0000-0000BA680000}"/>
    <cellStyle name="s_recon 2" xfId="18342" xr:uid="{00000000-0005-0000-0000-0000BB680000}"/>
    <cellStyle name="s_recon_DATA Input" xfId="18343" xr:uid="{00000000-0005-0000-0000-0000BC680000}"/>
    <cellStyle name="s_Revenues" xfId="18344" xr:uid="{00000000-0005-0000-0000-0000BD680000}"/>
    <cellStyle name="s_Revenues 2" xfId="18345" xr:uid="{00000000-0005-0000-0000-0000BE680000}"/>
    <cellStyle name="s_Revenues_CoP" xfId="18346" xr:uid="{00000000-0005-0000-0000-0000BF680000}"/>
    <cellStyle name="s_Revenues_CoP 2" xfId="18347" xr:uid="{00000000-0005-0000-0000-0000C0680000}"/>
    <cellStyle name="s_Revenues_CoP_DATA Input" xfId="18348" xr:uid="{00000000-0005-0000-0000-0000C1680000}"/>
    <cellStyle name="s_Revenues_CoPa" xfId="18349" xr:uid="{00000000-0005-0000-0000-0000C2680000}"/>
    <cellStyle name="s_Revenues_CoPa 2" xfId="18350" xr:uid="{00000000-0005-0000-0000-0000C3680000}"/>
    <cellStyle name="s_Revenues_CoPa_DATA Input" xfId="18351" xr:uid="{00000000-0005-0000-0000-0000C4680000}"/>
    <cellStyle name="s_Revenues_CoPModelwarea" xfId="18352" xr:uid="{00000000-0005-0000-0000-0000C5680000}"/>
    <cellStyle name="s_Revenues_CoPModelwarea 2" xfId="18353" xr:uid="{00000000-0005-0000-0000-0000C6680000}"/>
    <cellStyle name="s_Revenues_CoPModelwarea_DATA Input" xfId="18354" xr:uid="{00000000-0005-0000-0000-0000C7680000}"/>
    <cellStyle name="s_Revenues_DATA Input" xfId="18355" xr:uid="{00000000-0005-0000-0000-0000C8680000}"/>
    <cellStyle name="s_REVISE24" xfId="18356" xr:uid="{00000000-0005-0000-0000-0000C9680000}"/>
    <cellStyle name="s_REVISE24 2" xfId="18357" xr:uid="{00000000-0005-0000-0000-0000CA680000}"/>
    <cellStyle name="s_REVISE24_DATA Input" xfId="18358" xr:uid="{00000000-0005-0000-0000-0000CB680000}"/>
    <cellStyle name="s_Rolex-Timex" xfId="18359" xr:uid="{00000000-0005-0000-0000-0000CC680000}"/>
    <cellStyle name="s_Rolex-Timex 2" xfId="18360" xr:uid="{00000000-0005-0000-0000-0000CD680000}"/>
    <cellStyle name="s_Rolex-Timex_1" xfId="18361" xr:uid="{00000000-0005-0000-0000-0000CE680000}"/>
    <cellStyle name="s_Rolex-Timex_1_DATA Input" xfId="18362" xr:uid="{00000000-0005-0000-0000-0000CF680000}"/>
    <cellStyle name="s_Rolex-Timex_DATA Input" xfId="18363" xr:uid="{00000000-0005-0000-0000-0000D0680000}"/>
    <cellStyle name="s_RushValSum (2)" xfId="18364" xr:uid="{00000000-0005-0000-0000-0000D1680000}"/>
    <cellStyle name="s_RushValSum (2)_1" xfId="18365" xr:uid="{00000000-0005-0000-0000-0000D2680000}"/>
    <cellStyle name="s_RushValSum (2)_1 2" xfId="18366" xr:uid="{00000000-0005-0000-0000-0000D3680000}"/>
    <cellStyle name="s_RushValSum (2)_1_DATA Input" xfId="18367" xr:uid="{00000000-0005-0000-0000-0000D4680000}"/>
    <cellStyle name="s_RushValSum (2)_2" xfId="18368" xr:uid="{00000000-0005-0000-0000-0000D5680000}"/>
    <cellStyle name="s_RushValSum (2)_2 2" xfId="18369" xr:uid="{00000000-0005-0000-0000-0000D6680000}"/>
    <cellStyle name="s_RushValSum (2)_2_DATA Input" xfId="18370" xr:uid="{00000000-0005-0000-0000-0000D7680000}"/>
    <cellStyle name="s_RushValSum (2)_Celtic DCF" xfId="18371" xr:uid="{00000000-0005-0000-0000-0000D8680000}"/>
    <cellStyle name="s_RushValSum (2)_Celtic DCF Inputs" xfId="18372" xr:uid="{00000000-0005-0000-0000-0000D9680000}"/>
    <cellStyle name="s_RushValSum (2)_Celtic DCF Inputs_DATA Input" xfId="18373" xr:uid="{00000000-0005-0000-0000-0000DA680000}"/>
    <cellStyle name="s_RushValSum (2)_Celtic DCF_DATA Input" xfId="18374" xr:uid="{00000000-0005-0000-0000-0000DB680000}"/>
    <cellStyle name="s_RushValSum (2)_DATA Input" xfId="18375" xr:uid="{00000000-0005-0000-0000-0000DC680000}"/>
    <cellStyle name="s_RushValSum (2)_Valuation Summary" xfId="18376" xr:uid="{00000000-0005-0000-0000-0000DD680000}"/>
    <cellStyle name="s_RushValSum (2)_Valuation Summary_DATA Input" xfId="18377" xr:uid="{00000000-0005-0000-0000-0000DE680000}"/>
    <cellStyle name="s_S_By_S" xfId="18378" xr:uid="{00000000-0005-0000-0000-0000DF680000}"/>
    <cellStyle name="s_S_By_S 2" xfId="18379" xr:uid="{00000000-0005-0000-0000-0000E0680000}"/>
    <cellStyle name="s_S_By_S_DATA Input" xfId="18380" xr:uid="{00000000-0005-0000-0000-0000E1680000}"/>
    <cellStyle name="s_Schedules" xfId="18381" xr:uid="{00000000-0005-0000-0000-0000E2680000}"/>
    <cellStyle name="s_Schedules_1" xfId="18382" xr:uid="{00000000-0005-0000-0000-0000E3680000}"/>
    <cellStyle name="s_Schedules_1 2" xfId="18383" xr:uid="{00000000-0005-0000-0000-0000E4680000}"/>
    <cellStyle name="s_Schedules_1_AM0909" xfId="18384" xr:uid="{00000000-0005-0000-0000-0000E5680000}"/>
    <cellStyle name="s_Schedules_1_AM0909 2" xfId="18385" xr:uid="{00000000-0005-0000-0000-0000E6680000}"/>
    <cellStyle name="s_Schedules_1_AM0909_DATA Input" xfId="18386" xr:uid="{00000000-0005-0000-0000-0000E7680000}"/>
    <cellStyle name="s_Schedules_1_Brenner" xfId="18387" xr:uid="{00000000-0005-0000-0000-0000E8680000}"/>
    <cellStyle name="s_Schedules_1_Brenner 2" xfId="18388" xr:uid="{00000000-0005-0000-0000-0000E9680000}"/>
    <cellStyle name="s_Schedules_1_Brenner_DATA Input" xfId="18389" xr:uid="{00000000-0005-0000-0000-0000EA680000}"/>
    <cellStyle name="s_Schedules_1_DATA Input" xfId="18390" xr:uid="{00000000-0005-0000-0000-0000EB680000}"/>
    <cellStyle name="s_Schedules_2" xfId="18391" xr:uid="{00000000-0005-0000-0000-0000EC680000}"/>
    <cellStyle name="s_Schedules_2_DATA Input" xfId="18392" xr:uid="{00000000-0005-0000-0000-0000ED680000}"/>
    <cellStyle name="s_Schedules_AM0909" xfId="18393" xr:uid="{00000000-0005-0000-0000-0000EE680000}"/>
    <cellStyle name="s_Schedules_AM0909 2" xfId="18394" xr:uid="{00000000-0005-0000-0000-0000EF680000}"/>
    <cellStyle name="s_Schedules_AM0909_DATA Input" xfId="18395" xr:uid="{00000000-0005-0000-0000-0000F0680000}"/>
    <cellStyle name="s_Schedules_Brenner" xfId="18396" xr:uid="{00000000-0005-0000-0000-0000F1680000}"/>
    <cellStyle name="s_Schedules_Brenner 2" xfId="18397" xr:uid="{00000000-0005-0000-0000-0000F2680000}"/>
    <cellStyle name="s_Schedules_Brenner_DATA Input" xfId="18398" xr:uid="{00000000-0005-0000-0000-0000F3680000}"/>
    <cellStyle name="s_Schedules_DATA Input" xfId="18399" xr:uid="{00000000-0005-0000-0000-0000F4680000}"/>
    <cellStyle name="s_Schedules_DCF" xfId="18400" xr:uid="{00000000-0005-0000-0000-0000F5680000}"/>
    <cellStyle name="s_Schedules_DCF 2" xfId="18401" xr:uid="{00000000-0005-0000-0000-0000F6680000}"/>
    <cellStyle name="s_Schedules_DCF_DATA Input" xfId="18402" xr:uid="{00000000-0005-0000-0000-0000F7680000}"/>
    <cellStyle name="s_Schedules_Val's New Look Full Model" xfId="18403" xr:uid="{00000000-0005-0000-0000-0000F8680000}"/>
    <cellStyle name="s_Schedules_Val's New Look Full Model_DATA Input" xfId="18404" xr:uid="{00000000-0005-0000-0000-0000F9680000}"/>
    <cellStyle name="s_Sheet1" xfId="18405" xr:uid="{00000000-0005-0000-0000-0000FA680000}"/>
    <cellStyle name="s_Sheet1_DATA Input" xfId="18406" xr:uid="{00000000-0005-0000-0000-0000FB680000}"/>
    <cellStyle name="s_Sheet3" xfId="18407" xr:uid="{00000000-0005-0000-0000-0000FC680000}"/>
    <cellStyle name="s_Sheet3_DATA Input" xfId="18408" xr:uid="{00000000-0005-0000-0000-0000FD680000}"/>
    <cellStyle name="s_Sheet5" xfId="18409" xr:uid="{00000000-0005-0000-0000-0000FE680000}"/>
    <cellStyle name="s_Sheet5 2" xfId="18410" xr:uid="{00000000-0005-0000-0000-0000FF680000}"/>
    <cellStyle name="s_Sheet5_DATA Input" xfId="18411" xr:uid="{00000000-0005-0000-0000-000000690000}"/>
    <cellStyle name="s_spin_pf" xfId="18412" xr:uid="{00000000-0005-0000-0000-000001690000}"/>
    <cellStyle name="s_spin_pf 2" xfId="18413" xr:uid="{00000000-0005-0000-0000-000002690000}"/>
    <cellStyle name="s_spin_pf_DATA Input" xfId="18414" xr:uid="{00000000-0005-0000-0000-000003690000}"/>
    <cellStyle name="s_Standalone" xfId="18415" xr:uid="{00000000-0005-0000-0000-000004690000}"/>
    <cellStyle name="s_Standalone 2" xfId="18416" xr:uid="{00000000-0005-0000-0000-000005690000}"/>
    <cellStyle name="s_Standalone_1" xfId="18417" xr:uid="{00000000-0005-0000-0000-000006690000}"/>
    <cellStyle name="s_Standalone_1 2" xfId="18418" xr:uid="{00000000-0005-0000-0000-000007690000}"/>
    <cellStyle name="s_Standalone_1_DATA Input" xfId="18419" xr:uid="{00000000-0005-0000-0000-000008690000}"/>
    <cellStyle name="s_Standalone_1_DCF" xfId="18420" xr:uid="{00000000-0005-0000-0000-000009690000}"/>
    <cellStyle name="s_Standalone_1_DCF 2" xfId="18421" xr:uid="{00000000-0005-0000-0000-00000A690000}"/>
    <cellStyle name="s_Standalone_1_DCF_DATA Input" xfId="18422" xr:uid="{00000000-0005-0000-0000-00000B690000}"/>
    <cellStyle name="s_Standalone_1_Val's New Look Full Model" xfId="18423" xr:uid="{00000000-0005-0000-0000-00000C690000}"/>
    <cellStyle name="s_Standalone_1_Val's New Look Full Model 2" xfId="18424" xr:uid="{00000000-0005-0000-0000-00000D690000}"/>
    <cellStyle name="s_Standalone_1_Val's New Look Full Model_DATA Input" xfId="18425" xr:uid="{00000000-0005-0000-0000-00000E690000}"/>
    <cellStyle name="s_Standalone_2" xfId="18426" xr:uid="{00000000-0005-0000-0000-00000F690000}"/>
    <cellStyle name="s_Standalone_2_DATA Input" xfId="18427" xr:uid="{00000000-0005-0000-0000-000010690000}"/>
    <cellStyle name="s_Standalone_DATA Input" xfId="18428" xr:uid="{00000000-0005-0000-0000-000011690000}"/>
    <cellStyle name="s_Standalone_DCF" xfId="18429" xr:uid="{00000000-0005-0000-0000-000012690000}"/>
    <cellStyle name="s_Standalone_DCF 2" xfId="18430" xr:uid="{00000000-0005-0000-0000-000013690000}"/>
    <cellStyle name="s_Standalone_DCF_DATA Input" xfId="18431" xr:uid="{00000000-0005-0000-0000-000014690000}"/>
    <cellStyle name="s_Standalone_Val's New Look Full Model" xfId="18432" xr:uid="{00000000-0005-0000-0000-000015690000}"/>
    <cellStyle name="s_Standalone_Val's New Look Full Model 2" xfId="18433" xr:uid="{00000000-0005-0000-0000-000016690000}"/>
    <cellStyle name="s_Standalone_Val's New Look Full Model_DATA Input" xfId="18434" xr:uid="{00000000-0005-0000-0000-000017690000}"/>
    <cellStyle name="s_Stub Value" xfId="18435" xr:uid="{00000000-0005-0000-0000-000018690000}"/>
    <cellStyle name="s_Stub Value_1" xfId="18436" xr:uid="{00000000-0005-0000-0000-000019690000}"/>
    <cellStyle name="s_Stub Value_1 2" xfId="18437" xr:uid="{00000000-0005-0000-0000-00001A690000}"/>
    <cellStyle name="s_Stub Value_1_DATA Input" xfId="18438" xr:uid="{00000000-0005-0000-0000-00001B690000}"/>
    <cellStyle name="s_Stub Value_DATA Input" xfId="18439" xr:uid="{00000000-0005-0000-0000-00001C690000}"/>
    <cellStyle name="s_Summary of Pro Forma (2)" xfId="18440" xr:uid="{00000000-0005-0000-0000-00001D690000}"/>
    <cellStyle name="s_Summary of Pro Forma (2)_1" xfId="18441" xr:uid="{00000000-0005-0000-0000-00001E690000}"/>
    <cellStyle name="s_Summary of Pro Forma (2)_1 2" xfId="18442" xr:uid="{00000000-0005-0000-0000-00001F690000}"/>
    <cellStyle name="s_Summary of Pro Forma (2)_1_DATA Input" xfId="18443" xr:uid="{00000000-0005-0000-0000-000020690000}"/>
    <cellStyle name="s_Summary of Pro Forma (2)_2" xfId="18444" xr:uid="{00000000-0005-0000-0000-000021690000}"/>
    <cellStyle name="s_Summary of Pro Forma (2)_2 2" xfId="18445" xr:uid="{00000000-0005-0000-0000-000022690000}"/>
    <cellStyle name="s_Summary of Pro Forma (2)_2_DATA Input" xfId="18446" xr:uid="{00000000-0005-0000-0000-000023690000}"/>
    <cellStyle name="s_Summary of Pro Forma (2)_Celtic DCF" xfId="18447" xr:uid="{00000000-0005-0000-0000-000024690000}"/>
    <cellStyle name="s_Summary of Pro Forma (2)_Celtic DCF Inputs" xfId="18448" xr:uid="{00000000-0005-0000-0000-000025690000}"/>
    <cellStyle name="s_Summary of Pro Forma (2)_Celtic DCF Inputs_DATA Input" xfId="18449" xr:uid="{00000000-0005-0000-0000-000026690000}"/>
    <cellStyle name="s_Summary of Pro Forma (2)_Celtic DCF_DATA Input" xfId="18450" xr:uid="{00000000-0005-0000-0000-000027690000}"/>
    <cellStyle name="s_Summary of Pro Forma (2)_DATA Input" xfId="18451" xr:uid="{00000000-0005-0000-0000-000028690000}"/>
    <cellStyle name="s_Summary of Pro Forma (2)_Valuation Summary" xfId="18452" xr:uid="{00000000-0005-0000-0000-000029690000}"/>
    <cellStyle name="s_Summary of Pro Forma (2)_Valuation Summary_DATA Input" xfId="18453" xr:uid="{00000000-0005-0000-0000-00002A690000}"/>
    <cellStyle name="s_Summary of Pro Forma (3)" xfId="18454" xr:uid="{00000000-0005-0000-0000-00002B690000}"/>
    <cellStyle name="s_Summary of Pro Forma (3)_1" xfId="18455" xr:uid="{00000000-0005-0000-0000-00002C690000}"/>
    <cellStyle name="s_Summary of Pro Forma (3)_1 2" xfId="18456" xr:uid="{00000000-0005-0000-0000-00002D690000}"/>
    <cellStyle name="s_Summary of Pro Forma (3)_1_DATA Input" xfId="18457" xr:uid="{00000000-0005-0000-0000-00002E690000}"/>
    <cellStyle name="s_Summary of Pro Forma (3)_Celtic DCF" xfId="18458" xr:uid="{00000000-0005-0000-0000-00002F690000}"/>
    <cellStyle name="s_Summary of Pro Forma (3)_Celtic DCF Inputs" xfId="18459" xr:uid="{00000000-0005-0000-0000-000030690000}"/>
    <cellStyle name="s_Summary of Pro Forma (3)_Celtic DCF Inputs_DATA Input" xfId="18460" xr:uid="{00000000-0005-0000-0000-000031690000}"/>
    <cellStyle name="s_Summary of Pro Forma (3)_Celtic DCF_DATA Input" xfId="18461" xr:uid="{00000000-0005-0000-0000-000032690000}"/>
    <cellStyle name="s_Summary of Pro Forma (3)_DATA Input" xfId="18462" xr:uid="{00000000-0005-0000-0000-000033690000}"/>
    <cellStyle name="s_Summary of Pro Forma (3)_Valuation Summary" xfId="18463" xr:uid="{00000000-0005-0000-0000-000034690000}"/>
    <cellStyle name="s_Summary of Pro Forma (3)_Valuation Summary_DATA Input" xfId="18464" xr:uid="{00000000-0005-0000-0000-000035690000}"/>
    <cellStyle name="s_T_Co." xfId="18465" xr:uid="{00000000-0005-0000-0000-000036690000}"/>
    <cellStyle name="s_T_Co._DATA Input" xfId="18466" xr:uid="{00000000-0005-0000-0000-000037690000}"/>
    <cellStyle name="s_Texas_Louisiana (2)" xfId="18467" xr:uid="{00000000-0005-0000-0000-000038690000}"/>
    <cellStyle name="s_Texas_Louisiana (2) 2" xfId="18468" xr:uid="{00000000-0005-0000-0000-000039690000}"/>
    <cellStyle name="s_Texas_Louisiana (2)_1" xfId="18469" xr:uid="{00000000-0005-0000-0000-00003A690000}"/>
    <cellStyle name="s_Texas_Louisiana (2)_1_DATA Input" xfId="18470" xr:uid="{00000000-0005-0000-0000-00003B690000}"/>
    <cellStyle name="s_Texas_Louisiana (2)_DATA Input" xfId="18471" xr:uid="{00000000-0005-0000-0000-00003C690000}"/>
    <cellStyle name="s_Timex-Gucci Merger2" xfId="18472" xr:uid="{00000000-0005-0000-0000-00003D690000}"/>
    <cellStyle name="s_Timex-Gucci Merger2 2" xfId="18473" xr:uid="{00000000-0005-0000-0000-00003E690000}"/>
    <cellStyle name="s_Timex-Gucci Merger2_1" xfId="18474" xr:uid="{00000000-0005-0000-0000-00003F690000}"/>
    <cellStyle name="s_Timex-Gucci Merger2_1 2" xfId="18475" xr:uid="{00000000-0005-0000-0000-000040690000}"/>
    <cellStyle name="s_Timex-Gucci Merger2_1_DATA Input" xfId="18476" xr:uid="{00000000-0005-0000-0000-000041690000}"/>
    <cellStyle name="s_Timex-Gucci Merger2_DATA Input" xfId="18477" xr:uid="{00000000-0005-0000-0000-000042690000}"/>
    <cellStyle name="s_Trading Val Calc" xfId="18478" xr:uid="{00000000-0005-0000-0000-000043690000}"/>
    <cellStyle name="s_Trading Val Calc_1" xfId="18479" xr:uid="{00000000-0005-0000-0000-000044690000}"/>
    <cellStyle name="s_Trading Val Calc_1 2" xfId="18480" xr:uid="{00000000-0005-0000-0000-000045690000}"/>
    <cellStyle name="s_Trading Val Calc_1_DATA Input" xfId="18481" xr:uid="{00000000-0005-0000-0000-000046690000}"/>
    <cellStyle name="s_Trading Val Calc_1_DCF" xfId="18482" xr:uid="{00000000-0005-0000-0000-000047690000}"/>
    <cellStyle name="s_Trading Val Calc_1_DCF 2" xfId="18483" xr:uid="{00000000-0005-0000-0000-000048690000}"/>
    <cellStyle name="s_Trading Val Calc_1_DCF_DATA Input" xfId="18484" xr:uid="{00000000-0005-0000-0000-000049690000}"/>
    <cellStyle name="s_Trading Val Calc_1_Val's New Look Full Model" xfId="18485" xr:uid="{00000000-0005-0000-0000-00004A690000}"/>
    <cellStyle name="s_Trading Val Calc_1_Val's New Look Full Model 2" xfId="18486" xr:uid="{00000000-0005-0000-0000-00004B690000}"/>
    <cellStyle name="s_Trading Val Calc_1_Val's New Look Full Model_DATA Input" xfId="18487" xr:uid="{00000000-0005-0000-0000-00004C690000}"/>
    <cellStyle name="s_Trading Val Calc_2" xfId="18488" xr:uid="{00000000-0005-0000-0000-00004D690000}"/>
    <cellStyle name="s_Trading Val Calc_2_DATA Input" xfId="18489" xr:uid="{00000000-0005-0000-0000-00004E690000}"/>
    <cellStyle name="s_Trading Val Calc_AM0909" xfId="18490" xr:uid="{00000000-0005-0000-0000-00004F690000}"/>
    <cellStyle name="s_Trading Val Calc_AM0909 2" xfId="18491" xr:uid="{00000000-0005-0000-0000-000050690000}"/>
    <cellStyle name="s_Trading Val Calc_AM0909_DATA Input" xfId="18492" xr:uid="{00000000-0005-0000-0000-000051690000}"/>
    <cellStyle name="s_Trading Val Calc_Brenner" xfId="18493" xr:uid="{00000000-0005-0000-0000-000052690000}"/>
    <cellStyle name="s_Trading Val Calc_Brenner 2" xfId="18494" xr:uid="{00000000-0005-0000-0000-000053690000}"/>
    <cellStyle name="s_Trading Val Calc_Brenner_DATA Input" xfId="18495" xr:uid="{00000000-0005-0000-0000-000054690000}"/>
    <cellStyle name="s_Trading Val Calc_DATA Input" xfId="18496" xr:uid="{00000000-0005-0000-0000-000055690000}"/>
    <cellStyle name="s_Trading Val Calc_DCF" xfId="18497" xr:uid="{00000000-0005-0000-0000-000056690000}"/>
    <cellStyle name="s_Trading Val Calc_DCF 2" xfId="18498" xr:uid="{00000000-0005-0000-0000-000057690000}"/>
    <cellStyle name="s_Trading Val Calc_DCF_DATA Input" xfId="18499" xr:uid="{00000000-0005-0000-0000-000058690000}"/>
    <cellStyle name="s_Trading Val Calc_Val's New Look Full Model" xfId="18500" xr:uid="{00000000-0005-0000-0000-000059690000}"/>
    <cellStyle name="s_Trading Val Calc_Val's New Look Full Model_DATA Input" xfId="18501" xr:uid="{00000000-0005-0000-0000-00005A690000}"/>
    <cellStyle name="s_Trading Value" xfId="18502" xr:uid="{00000000-0005-0000-0000-00005B690000}"/>
    <cellStyle name="s_Trading Value 2" xfId="18503" xr:uid="{00000000-0005-0000-0000-00005C690000}"/>
    <cellStyle name="s_Trading Value_1" xfId="18504" xr:uid="{00000000-0005-0000-0000-00005D690000}"/>
    <cellStyle name="s_Trading Value_1 2" xfId="18505" xr:uid="{00000000-0005-0000-0000-00005E690000}"/>
    <cellStyle name="s_Trading Value_1_DATA Input" xfId="18506" xr:uid="{00000000-0005-0000-0000-00005F690000}"/>
    <cellStyle name="s_Trading Value_1_DCF" xfId="18507" xr:uid="{00000000-0005-0000-0000-000060690000}"/>
    <cellStyle name="s_Trading Value_1_DCF 2" xfId="18508" xr:uid="{00000000-0005-0000-0000-000061690000}"/>
    <cellStyle name="s_Trading Value_1_DCF_DATA Input" xfId="18509" xr:uid="{00000000-0005-0000-0000-000062690000}"/>
    <cellStyle name="s_Trading Value_1_Val's New Look Full Model" xfId="18510" xr:uid="{00000000-0005-0000-0000-000063690000}"/>
    <cellStyle name="s_Trading Value_1_Val's New Look Full Model 2" xfId="18511" xr:uid="{00000000-0005-0000-0000-000064690000}"/>
    <cellStyle name="s_Trading Value_1_Val's New Look Full Model_DATA Input" xfId="18512" xr:uid="{00000000-0005-0000-0000-000065690000}"/>
    <cellStyle name="s_Trading Value_2" xfId="18513" xr:uid="{00000000-0005-0000-0000-000066690000}"/>
    <cellStyle name="s_Trading Value_2_DATA Input" xfId="18514" xr:uid="{00000000-0005-0000-0000-000067690000}"/>
    <cellStyle name="s_Trading Value_DATA Input" xfId="18515" xr:uid="{00000000-0005-0000-0000-000068690000}"/>
    <cellStyle name="s_Trading Value_DCF" xfId="18516" xr:uid="{00000000-0005-0000-0000-000069690000}"/>
    <cellStyle name="s_Trading Value_DCF 2" xfId="18517" xr:uid="{00000000-0005-0000-0000-00006A690000}"/>
    <cellStyle name="s_Trading Value_DCF_DATA Input" xfId="18518" xr:uid="{00000000-0005-0000-0000-00006B690000}"/>
    <cellStyle name="s_Trading Value_Val's New Look Full Model" xfId="18519" xr:uid="{00000000-0005-0000-0000-00006C690000}"/>
    <cellStyle name="s_Trading Value_Val's New Look Full Model 2" xfId="18520" xr:uid="{00000000-0005-0000-0000-00006D690000}"/>
    <cellStyle name="s_Trading Value_Val's New Look Full Model_DATA Input" xfId="18521" xr:uid="{00000000-0005-0000-0000-00006E690000}"/>
    <cellStyle name="s_Trans Assump" xfId="18522" xr:uid="{00000000-0005-0000-0000-00006F690000}"/>
    <cellStyle name="s_Trans Assump (2)" xfId="18523" xr:uid="{00000000-0005-0000-0000-000070690000}"/>
    <cellStyle name="s_Trans Assump (2)_1" xfId="18524" xr:uid="{00000000-0005-0000-0000-000071690000}"/>
    <cellStyle name="s_Trans Assump (2)_1 2" xfId="18525" xr:uid="{00000000-0005-0000-0000-000072690000}"/>
    <cellStyle name="s_Trans Assump (2)_1_DATA Input" xfId="18526" xr:uid="{00000000-0005-0000-0000-000073690000}"/>
    <cellStyle name="s_Trans Assump (2)_DATA Input" xfId="18527" xr:uid="{00000000-0005-0000-0000-000074690000}"/>
    <cellStyle name="s_Trans Assump 2" xfId="18528" xr:uid="{00000000-0005-0000-0000-000075690000}"/>
    <cellStyle name="s_Trans Assump 3" xfId="18529" xr:uid="{00000000-0005-0000-0000-000076690000}"/>
    <cellStyle name="s_Trans Assump 4" xfId="18530" xr:uid="{00000000-0005-0000-0000-000077690000}"/>
    <cellStyle name="s_Trans Assump 5" xfId="18531" xr:uid="{00000000-0005-0000-0000-000078690000}"/>
    <cellStyle name="s_Trans Assump 6" xfId="18532" xr:uid="{00000000-0005-0000-0000-000079690000}"/>
    <cellStyle name="s_Trans Assump 7" xfId="18533" xr:uid="{00000000-0005-0000-0000-00007A690000}"/>
    <cellStyle name="s_Trans Assump_1" xfId="18534" xr:uid="{00000000-0005-0000-0000-00007B690000}"/>
    <cellStyle name="s_Trans Assump_1_AM0909" xfId="18535" xr:uid="{00000000-0005-0000-0000-00007C690000}"/>
    <cellStyle name="s_Trans Assump_1_AM0909 2" xfId="18536" xr:uid="{00000000-0005-0000-0000-00007D690000}"/>
    <cellStyle name="s_Trans Assump_1_AM0909_DATA Input" xfId="18537" xr:uid="{00000000-0005-0000-0000-00007E690000}"/>
    <cellStyle name="s_Trans Assump_1_Brenner" xfId="18538" xr:uid="{00000000-0005-0000-0000-00007F690000}"/>
    <cellStyle name="s_Trans Assump_1_Brenner 2" xfId="18539" xr:uid="{00000000-0005-0000-0000-000080690000}"/>
    <cellStyle name="s_Trans Assump_1_Brenner_DATA Input" xfId="18540" xr:uid="{00000000-0005-0000-0000-000081690000}"/>
    <cellStyle name="s_Trans Assump_1_DATA Input" xfId="18541" xr:uid="{00000000-0005-0000-0000-000082690000}"/>
    <cellStyle name="s_Trans Assump_1_DCF" xfId="18542" xr:uid="{00000000-0005-0000-0000-000083690000}"/>
    <cellStyle name="s_Trans Assump_1_DCF 2" xfId="18543" xr:uid="{00000000-0005-0000-0000-000084690000}"/>
    <cellStyle name="s_Trans Assump_1_DCF_DATA Input" xfId="18544" xr:uid="{00000000-0005-0000-0000-000085690000}"/>
    <cellStyle name="s_Trans Assump_1_Val's New Look Full Model" xfId="18545" xr:uid="{00000000-0005-0000-0000-000086690000}"/>
    <cellStyle name="s_Trans Assump_1_Val's New Look Full Model_DATA Input" xfId="18546" xr:uid="{00000000-0005-0000-0000-000087690000}"/>
    <cellStyle name="s_Trans Assump_2" xfId="18547" xr:uid="{00000000-0005-0000-0000-000088690000}"/>
    <cellStyle name="s_Trans Assump_2_DATA Input" xfId="18548" xr:uid="{00000000-0005-0000-0000-000089690000}"/>
    <cellStyle name="s_Trans Assump_AM0909" xfId="18549" xr:uid="{00000000-0005-0000-0000-00008A690000}"/>
    <cellStyle name="s_Trans Assump_AM0909 2" xfId="18550" xr:uid="{00000000-0005-0000-0000-00008B690000}"/>
    <cellStyle name="s_Trans Assump_AM0909_DATA Input" xfId="18551" xr:uid="{00000000-0005-0000-0000-00008C690000}"/>
    <cellStyle name="s_Trans Assump_Brenner" xfId="18552" xr:uid="{00000000-0005-0000-0000-00008D690000}"/>
    <cellStyle name="s_Trans Assump_Brenner 2" xfId="18553" xr:uid="{00000000-0005-0000-0000-00008E690000}"/>
    <cellStyle name="s_Trans Assump_Brenner_DATA Input" xfId="18554" xr:uid="{00000000-0005-0000-0000-00008F690000}"/>
    <cellStyle name="s_Trans Assump_DATA Input" xfId="18555" xr:uid="{00000000-0005-0000-0000-000090690000}"/>
    <cellStyle name="s_Trans Assump_Trans Sum" xfId="18556" xr:uid="{00000000-0005-0000-0000-000091690000}"/>
    <cellStyle name="s_Trans Assump_Trans Sum 2" xfId="18557" xr:uid="{00000000-0005-0000-0000-000092690000}"/>
    <cellStyle name="s_Trans Assump_Trans Sum_DATA Input" xfId="18558" xr:uid="{00000000-0005-0000-0000-000093690000}"/>
    <cellStyle name="s_Trans Sum" xfId="18559" xr:uid="{00000000-0005-0000-0000-000094690000}"/>
    <cellStyle name="s_Trans Sum 2" xfId="18560" xr:uid="{00000000-0005-0000-0000-000095690000}"/>
    <cellStyle name="s_Trans Sum_1" xfId="18561" xr:uid="{00000000-0005-0000-0000-000096690000}"/>
    <cellStyle name="s_Trans Sum_1_DATA Input" xfId="18562" xr:uid="{00000000-0005-0000-0000-000097690000}"/>
    <cellStyle name="s_Trans Sum_2" xfId="18563" xr:uid="{00000000-0005-0000-0000-000098690000}"/>
    <cellStyle name="s_Trans Sum_2 2" xfId="18564" xr:uid="{00000000-0005-0000-0000-000099690000}"/>
    <cellStyle name="s_Trans Sum_2_DATA Input" xfId="18565" xr:uid="{00000000-0005-0000-0000-00009A690000}"/>
    <cellStyle name="s_Trans Sum_DATA Input" xfId="18566" xr:uid="{00000000-0005-0000-0000-00009B690000}"/>
    <cellStyle name="s_Trans Sum_Trans Assump" xfId="18567" xr:uid="{00000000-0005-0000-0000-00009C690000}"/>
    <cellStyle name="s_Trans Sum_Trans Assump 2" xfId="18568" xr:uid="{00000000-0005-0000-0000-00009D690000}"/>
    <cellStyle name="s_Trans Sum_Trans Assump_DATA Input" xfId="18569" xr:uid="{00000000-0005-0000-0000-00009E690000}"/>
    <cellStyle name="s_Unit Price Sen. (2)" xfId="18570" xr:uid="{00000000-0005-0000-0000-00009F690000}"/>
    <cellStyle name="s_Unit Price Sen. (2) 2" xfId="18571" xr:uid="{00000000-0005-0000-0000-0000A0690000}"/>
    <cellStyle name="s_Unit Price Sen. (2)_1" xfId="18572" xr:uid="{00000000-0005-0000-0000-0000A1690000}"/>
    <cellStyle name="s_Unit Price Sen. (2)_1 2" xfId="18573" xr:uid="{00000000-0005-0000-0000-0000A2690000}"/>
    <cellStyle name="s_Unit Price Sen. (2)_1_DATA Input" xfId="18574" xr:uid="{00000000-0005-0000-0000-0000A3690000}"/>
    <cellStyle name="s_Unit Price Sen. (2)_2" xfId="18575" xr:uid="{00000000-0005-0000-0000-0000A4690000}"/>
    <cellStyle name="s_Unit Price Sen. (2)_2_DATA Input" xfId="18576" xr:uid="{00000000-0005-0000-0000-0000A5690000}"/>
    <cellStyle name="s_Unit Price Sen. (2)_DATA Input" xfId="18577" xr:uid="{00000000-0005-0000-0000-0000A6690000}"/>
    <cellStyle name="s_UPVAL9" xfId="18578" xr:uid="{00000000-0005-0000-0000-0000A7690000}"/>
    <cellStyle name="s_UPVAL9 2" xfId="18579" xr:uid="{00000000-0005-0000-0000-0000A8690000}"/>
    <cellStyle name="s_UPVAL9_DATA Input" xfId="18580" xr:uid="{00000000-0005-0000-0000-0000A9690000}"/>
    <cellStyle name="s_Val Anal" xfId="18581" xr:uid="{00000000-0005-0000-0000-0000AA690000}"/>
    <cellStyle name="s_Val Anal 2" xfId="18582" xr:uid="{00000000-0005-0000-0000-0000AB690000}"/>
    <cellStyle name="s_Val Anal_DATA Input" xfId="18583" xr:uid="{00000000-0005-0000-0000-0000AC690000}"/>
    <cellStyle name="s_valmatrix" xfId="18584" xr:uid="{00000000-0005-0000-0000-0000AD690000}"/>
    <cellStyle name="s_valmatrix_DATA Input" xfId="18585" xr:uid="{00000000-0005-0000-0000-0000AE690000}"/>
    <cellStyle name="s_Valuation " xfId="18586" xr:uid="{00000000-0005-0000-0000-0000AF690000}"/>
    <cellStyle name="s_Valuation  2" xfId="18587" xr:uid="{00000000-0005-0000-0000-0000B0690000}"/>
    <cellStyle name="s_Valuation _DATA Input" xfId="18588" xr:uid="{00000000-0005-0000-0000-0000B1690000}"/>
    <cellStyle name="s_Valuation Matrix" xfId="18589" xr:uid="{00000000-0005-0000-0000-0000B2690000}"/>
    <cellStyle name="s_Valuation Matrix 2" xfId="18590" xr:uid="{00000000-0005-0000-0000-0000B3690000}"/>
    <cellStyle name="s_Valuation Matrix_CoP" xfId="18591" xr:uid="{00000000-0005-0000-0000-0000B4690000}"/>
    <cellStyle name="s_Valuation Matrix_CoP 2" xfId="18592" xr:uid="{00000000-0005-0000-0000-0000B5690000}"/>
    <cellStyle name="s_Valuation Matrix_CoP_DATA Input" xfId="18593" xr:uid="{00000000-0005-0000-0000-0000B6690000}"/>
    <cellStyle name="s_Valuation Matrix_CoPa" xfId="18594" xr:uid="{00000000-0005-0000-0000-0000B7690000}"/>
    <cellStyle name="s_Valuation Matrix_CoPa 2" xfId="18595" xr:uid="{00000000-0005-0000-0000-0000B8690000}"/>
    <cellStyle name="s_Valuation Matrix_CoPa_DATA Input" xfId="18596" xr:uid="{00000000-0005-0000-0000-0000B9690000}"/>
    <cellStyle name="s_Valuation Matrix_CoPModelwarea" xfId="18597" xr:uid="{00000000-0005-0000-0000-0000BA690000}"/>
    <cellStyle name="s_Valuation Matrix_CoPModelwarea 2" xfId="18598" xr:uid="{00000000-0005-0000-0000-0000BB690000}"/>
    <cellStyle name="s_Valuation Matrix_CoPModelwarea_DATA Input" xfId="18599" xr:uid="{00000000-0005-0000-0000-0000BC690000}"/>
    <cellStyle name="s_Valuation Matrix_DATA Input" xfId="18600" xr:uid="{00000000-0005-0000-0000-0000BD690000}"/>
    <cellStyle name="s_Valuation Matrix_GI.N" xfId="18601" xr:uid="{00000000-0005-0000-0000-0000BE690000}"/>
    <cellStyle name="s_Valuation Matrix_GI.N 2" xfId="18602" xr:uid="{00000000-0005-0000-0000-0000BF690000}"/>
    <cellStyle name="s_Valuation Matrix_GI.N_DATA Input" xfId="18603" xr:uid="{00000000-0005-0000-0000-0000C0690000}"/>
    <cellStyle name="s_Valuation Matrix-Board" xfId="18604" xr:uid="{00000000-0005-0000-0000-0000C1690000}"/>
    <cellStyle name="s_Valuation Matrix-Board 2" xfId="18605" xr:uid="{00000000-0005-0000-0000-0000C2690000}"/>
    <cellStyle name="s_Valuation Matrix-Board_CoP" xfId="18606" xr:uid="{00000000-0005-0000-0000-0000C3690000}"/>
    <cellStyle name="s_Valuation Matrix-Board_CoP 2" xfId="18607" xr:uid="{00000000-0005-0000-0000-0000C4690000}"/>
    <cellStyle name="s_Valuation Matrix-Board_CoP_DATA Input" xfId="18608" xr:uid="{00000000-0005-0000-0000-0000C5690000}"/>
    <cellStyle name="s_Valuation Matrix-Board_CoPa" xfId="18609" xr:uid="{00000000-0005-0000-0000-0000C6690000}"/>
    <cellStyle name="s_Valuation Matrix-Board_CoPa 2" xfId="18610" xr:uid="{00000000-0005-0000-0000-0000C7690000}"/>
    <cellStyle name="s_Valuation Matrix-Board_CoPa_DATA Input" xfId="18611" xr:uid="{00000000-0005-0000-0000-0000C8690000}"/>
    <cellStyle name="s_Valuation Matrix-Board_CoPModelwarea" xfId="18612" xr:uid="{00000000-0005-0000-0000-0000C9690000}"/>
    <cellStyle name="s_Valuation Matrix-Board_CoPModelwarea 2" xfId="18613" xr:uid="{00000000-0005-0000-0000-0000CA690000}"/>
    <cellStyle name="s_Valuation Matrix-Board_CoPModelwarea_DATA Input" xfId="18614" xr:uid="{00000000-0005-0000-0000-0000CB690000}"/>
    <cellStyle name="s_Valuation Matrix-Board_DATA Input" xfId="18615" xr:uid="{00000000-0005-0000-0000-0000CC690000}"/>
    <cellStyle name="s_Valuation Summary" xfId="18616" xr:uid="{00000000-0005-0000-0000-0000CD690000}"/>
    <cellStyle name="s_Valuation Summary (2)" xfId="18617" xr:uid="{00000000-0005-0000-0000-0000CE690000}"/>
    <cellStyle name="s_Valuation Summary (2) 2" xfId="18618" xr:uid="{00000000-0005-0000-0000-0000CF690000}"/>
    <cellStyle name="s_Valuation Summary (2)_1" xfId="18619" xr:uid="{00000000-0005-0000-0000-0000D0690000}"/>
    <cellStyle name="s_Valuation Summary (2)_1_Celtic DCF" xfId="18620" xr:uid="{00000000-0005-0000-0000-0000D1690000}"/>
    <cellStyle name="s_Valuation Summary (2)_1_Celtic DCF Inputs" xfId="18621" xr:uid="{00000000-0005-0000-0000-0000D2690000}"/>
    <cellStyle name="s_Valuation Summary (2)_1_Celtic DCF Inputs_DATA Input" xfId="18622" xr:uid="{00000000-0005-0000-0000-0000D3690000}"/>
    <cellStyle name="s_Valuation Summary (2)_1_Celtic DCF_DATA Input" xfId="18623" xr:uid="{00000000-0005-0000-0000-0000D4690000}"/>
    <cellStyle name="s_Valuation Summary (2)_1_DATA Input" xfId="18624" xr:uid="{00000000-0005-0000-0000-0000D5690000}"/>
    <cellStyle name="s_Valuation Summary (2)_1_Valuation Summary" xfId="18625" xr:uid="{00000000-0005-0000-0000-0000D6690000}"/>
    <cellStyle name="s_Valuation Summary (2)_1_Valuation Summary_DATA Input" xfId="18626" xr:uid="{00000000-0005-0000-0000-0000D7690000}"/>
    <cellStyle name="s_Valuation Summary (2)_2" xfId="18627" xr:uid="{00000000-0005-0000-0000-0000D8690000}"/>
    <cellStyle name="s_Valuation Summary (2)_2 2" xfId="18628" xr:uid="{00000000-0005-0000-0000-0000D9690000}"/>
    <cellStyle name="s_Valuation Summary (2)_2_DATA Input" xfId="18629" xr:uid="{00000000-0005-0000-0000-0000DA690000}"/>
    <cellStyle name="s_Valuation Summary (2)_DATA Input" xfId="18630" xr:uid="{00000000-0005-0000-0000-0000DB690000}"/>
    <cellStyle name="s_Valuation Summary 2" xfId="18631" xr:uid="{00000000-0005-0000-0000-0000DC690000}"/>
    <cellStyle name="s_Valuation Summary 3" xfId="18632" xr:uid="{00000000-0005-0000-0000-0000DD690000}"/>
    <cellStyle name="s_Valuation Summary 4" xfId="18633" xr:uid="{00000000-0005-0000-0000-0000DE690000}"/>
    <cellStyle name="s_Valuation Summary 5" xfId="18634" xr:uid="{00000000-0005-0000-0000-0000DF690000}"/>
    <cellStyle name="s_Valuation Summary 6" xfId="18635" xr:uid="{00000000-0005-0000-0000-0000E0690000}"/>
    <cellStyle name="s_Valuation Summary 7" xfId="18636" xr:uid="{00000000-0005-0000-0000-0000E1690000}"/>
    <cellStyle name="s_Valuation Summary_1" xfId="18637" xr:uid="{00000000-0005-0000-0000-0000E2690000}"/>
    <cellStyle name="s_Valuation Summary_1_DATA Input" xfId="18638" xr:uid="{00000000-0005-0000-0000-0000E3690000}"/>
    <cellStyle name="s_Valuation Summary_2" xfId="18639" xr:uid="{00000000-0005-0000-0000-0000E4690000}"/>
    <cellStyle name="s_Valuation Summary_2 2" xfId="18640" xr:uid="{00000000-0005-0000-0000-0000E5690000}"/>
    <cellStyle name="s_Valuation Summary_2_DATA Input" xfId="18641" xr:uid="{00000000-0005-0000-0000-0000E6690000}"/>
    <cellStyle name="s_Valuation Summary_DATA Input" xfId="18642" xr:uid="{00000000-0005-0000-0000-0000E7690000}"/>
    <cellStyle name="s_Warrant" xfId="18643" xr:uid="{00000000-0005-0000-0000-0000E8690000}"/>
    <cellStyle name="s_Warrant_1" xfId="18644" xr:uid="{00000000-0005-0000-0000-0000E9690000}"/>
    <cellStyle name="s_Warrant_1 2" xfId="18645" xr:uid="{00000000-0005-0000-0000-0000EA690000}"/>
    <cellStyle name="s_Warrant_1_DATA Input" xfId="18646" xr:uid="{00000000-0005-0000-0000-0000EB690000}"/>
    <cellStyle name="s_Warrant_2" xfId="18647" xr:uid="{00000000-0005-0000-0000-0000EC690000}"/>
    <cellStyle name="s_Warrant_2 2" xfId="18648" xr:uid="{00000000-0005-0000-0000-0000ED690000}"/>
    <cellStyle name="s_Warrant_2_DATA Input" xfId="18649" xr:uid="{00000000-0005-0000-0000-0000EE690000}"/>
    <cellStyle name="s_Warrant_DATA Input" xfId="18650" xr:uid="{00000000-0005-0000-0000-0000EF690000}"/>
    <cellStyle name="scenario" xfId="18651" xr:uid="{00000000-0005-0000-0000-0000F0690000}"/>
    <cellStyle name="scenario 2" xfId="18652" xr:uid="{00000000-0005-0000-0000-0000F1690000}"/>
    <cellStyle name="scenario 2 2" xfId="22491" xr:uid="{00000000-0005-0000-0000-0000F2690000}"/>
    <cellStyle name="scenario 3" xfId="22490" xr:uid="{00000000-0005-0000-0000-0000F3690000}"/>
    <cellStyle name="SectionHeaderNormal" xfId="18653" xr:uid="{00000000-0005-0000-0000-0000F4690000}"/>
    <cellStyle name="SHADEDSTORES" xfId="18654" xr:uid="{00000000-0005-0000-0000-0000F5690000}"/>
    <cellStyle name="SHADEDSTORES 2" xfId="18655" xr:uid="{00000000-0005-0000-0000-0000F6690000}"/>
    <cellStyle name="SHADEDSTORES 2 2" xfId="22493" xr:uid="{00000000-0005-0000-0000-0000F7690000}"/>
    <cellStyle name="SHADEDSTORES 3" xfId="18656" xr:uid="{00000000-0005-0000-0000-0000F8690000}"/>
    <cellStyle name="SHADEDSTORES 3 2" xfId="22494" xr:uid="{00000000-0005-0000-0000-0000F9690000}"/>
    <cellStyle name="SHADEDSTORES 4" xfId="22492" xr:uid="{00000000-0005-0000-0000-0000FA690000}"/>
    <cellStyle name="Shading" xfId="18657" xr:uid="{00000000-0005-0000-0000-0000FB690000}"/>
    <cellStyle name="Share" xfId="18658" xr:uid="{00000000-0005-0000-0000-0000FC690000}"/>
    <cellStyle name="sheet title" xfId="508" xr:uid="{00000000-0005-0000-0000-0000FD690000}"/>
    <cellStyle name="ShOut" xfId="18659" xr:uid="{00000000-0005-0000-0000-0000FE690000}"/>
    <cellStyle name="Sledovaný hypertextový odkaz" xfId="509" xr:uid="{00000000-0005-0000-0000-0000FF690000}"/>
    <cellStyle name="Source" xfId="18660" xr:uid="{00000000-0005-0000-0000-0000006A0000}"/>
    <cellStyle name="specstores" xfId="18661" xr:uid="{00000000-0005-0000-0000-0000016A0000}"/>
    <cellStyle name="SPOl" xfId="22739" xr:uid="{00000000-0005-0000-0000-0000026A0000}"/>
    <cellStyle name="ssp " xfId="18662" xr:uid="{00000000-0005-0000-0000-0000036A0000}"/>
    <cellStyle name="ssp  2" xfId="18663" xr:uid="{00000000-0005-0000-0000-0000046A0000}"/>
    <cellStyle name="Standard_1. TPS-Systeme" xfId="510" xr:uid="{00000000-0005-0000-0000-0000056A0000}"/>
    <cellStyle name="STYL1 - Style1" xfId="18664" xr:uid="{00000000-0005-0000-0000-0000066A0000}"/>
    <cellStyle name="Style 1" xfId="511" xr:uid="{00000000-0005-0000-0000-0000076A0000}"/>
    <cellStyle name="Style 1 10" xfId="18665" xr:uid="{00000000-0005-0000-0000-0000086A0000}"/>
    <cellStyle name="Style 1 11" xfId="18666" xr:uid="{00000000-0005-0000-0000-0000096A0000}"/>
    <cellStyle name="Style 1 12" xfId="18667" xr:uid="{00000000-0005-0000-0000-00000A6A0000}"/>
    <cellStyle name="Style 1 13" xfId="18668" xr:uid="{00000000-0005-0000-0000-00000B6A0000}"/>
    <cellStyle name="Style 1 14" xfId="18669" xr:uid="{00000000-0005-0000-0000-00000C6A0000}"/>
    <cellStyle name="Style 1 15" xfId="18670" xr:uid="{00000000-0005-0000-0000-00000D6A0000}"/>
    <cellStyle name="Style 1 16" xfId="18671" xr:uid="{00000000-0005-0000-0000-00000E6A0000}"/>
    <cellStyle name="Style 1 17" xfId="18672" xr:uid="{00000000-0005-0000-0000-00000F6A0000}"/>
    <cellStyle name="Style 1 18" xfId="18673" xr:uid="{00000000-0005-0000-0000-0000106A0000}"/>
    <cellStyle name="Style 1 19" xfId="18674" xr:uid="{00000000-0005-0000-0000-0000116A0000}"/>
    <cellStyle name="Style 1 2" xfId="512" xr:uid="{00000000-0005-0000-0000-0000126A0000}"/>
    <cellStyle name="Style 1 2 10" xfId="18675" xr:uid="{00000000-0005-0000-0000-0000136A0000}"/>
    <cellStyle name="Style 1 2 11" xfId="18676" xr:uid="{00000000-0005-0000-0000-0000146A0000}"/>
    <cellStyle name="Style 1 2 12" xfId="18677" xr:uid="{00000000-0005-0000-0000-0000156A0000}"/>
    <cellStyle name="Style 1 2 13" xfId="18678" xr:uid="{00000000-0005-0000-0000-0000166A0000}"/>
    <cellStyle name="Style 1 2 14" xfId="18679" xr:uid="{00000000-0005-0000-0000-0000176A0000}"/>
    <cellStyle name="Style 1 2 15" xfId="18680" xr:uid="{00000000-0005-0000-0000-0000186A0000}"/>
    <cellStyle name="Style 1 2 16" xfId="18681" xr:uid="{00000000-0005-0000-0000-0000196A0000}"/>
    <cellStyle name="Style 1 2 17" xfId="18682" xr:uid="{00000000-0005-0000-0000-00001A6A0000}"/>
    <cellStyle name="Style 1 2 18" xfId="18683" xr:uid="{00000000-0005-0000-0000-00001B6A0000}"/>
    <cellStyle name="Style 1 2 19" xfId="18684" xr:uid="{00000000-0005-0000-0000-00001C6A0000}"/>
    <cellStyle name="Style 1 2 2" xfId="18685" xr:uid="{00000000-0005-0000-0000-00001D6A0000}"/>
    <cellStyle name="Style 1 2 20" xfId="18686" xr:uid="{00000000-0005-0000-0000-00001E6A0000}"/>
    <cellStyle name="Style 1 2 21" xfId="18687" xr:uid="{00000000-0005-0000-0000-00001F6A0000}"/>
    <cellStyle name="Style 1 2 22" xfId="18688" xr:uid="{00000000-0005-0000-0000-0000206A0000}"/>
    <cellStyle name="Style 1 2 23" xfId="18689" xr:uid="{00000000-0005-0000-0000-0000216A0000}"/>
    <cellStyle name="Style 1 2 24" xfId="18690" xr:uid="{00000000-0005-0000-0000-0000226A0000}"/>
    <cellStyle name="Style 1 2 25" xfId="18691" xr:uid="{00000000-0005-0000-0000-0000236A0000}"/>
    <cellStyle name="Style 1 2 26" xfId="18692" xr:uid="{00000000-0005-0000-0000-0000246A0000}"/>
    <cellStyle name="Style 1 2 27" xfId="18693" xr:uid="{00000000-0005-0000-0000-0000256A0000}"/>
    <cellStyle name="Style 1 2 28" xfId="18694" xr:uid="{00000000-0005-0000-0000-0000266A0000}"/>
    <cellStyle name="Style 1 2 29" xfId="18695" xr:uid="{00000000-0005-0000-0000-0000276A0000}"/>
    <cellStyle name="Style 1 2 3" xfId="18696" xr:uid="{00000000-0005-0000-0000-0000286A0000}"/>
    <cellStyle name="Style 1 2 30" xfId="18697" xr:uid="{00000000-0005-0000-0000-0000296A0000}"/>
    <cellStyle name="Style 1 2 31" xfId="18698" xr:uid="{00000000-0005-0000-0000-00002A6A0000}"/>
    <cellStyle name="Style 1 2 32" xfId="18699" xr:uid="{00000000-0005-0000-0000-00002B6A0000}"/>
    <cellStyle name="Style 1 2 33" xfId="18700" xr:uid="{00000000-0005-0000-0000-00002C6A0000}"/>
    <cellStyle name="Style 1 2 34" xfId="18701" xr:uid="{00000000-0005-0000-0000-00002D6A0000}"/>
    <cellStyle name="Style 1 2 35" xfId="18702" xr:uid="{00000000-0005-0000-0000-00002E6A0000}"/>
    <cellStyle name="Style 1 2 36" xfId="18703" xr:uid="{00000000-0005-0000-0000-00002F6A0000}"/>
    <cellStyle name="Style 1 2 37" xfId="18704" xr:uid="{00000000-0005-0000-0000-0000306A0000}"/>
    <cellStyle name="Style 1 2 38" xfId="18705" xr:uid="{00000000-0005-0000-0000-0000316A0000}"/>
    <cellStyle name="Style 1 2 39" xfId="18706" xr:uid="{00000000-0005-0000-0000-0000326A0000}"/>
    <cellStyle name="Style 1 2 4" xfId="18707" xr:uid="{00000000-0005-0000-0000-0000336A0000}"/>
    <cellStyle name="Style 1 2 40" xfId="18708" xr:uid="{00000000-0005-0000-0000-0000346A0000}"/>
    <cellStyle name="Style 1 2 41" xfId="18709" xr:uid="{00000000-0005-0000-0000-0000356A0000}"/>
    <cellStyle name="Style 1 2 42" xfId="18710" xr:uid="{00000000-0005-0000-0000-0000366A0000}"/>
    <cellStyle name="Style 1 2 5" xfId="18711" xr:uid="{00000000-0005-0000-0000-0000376A0000}"/>
    <cellStyle name="Style 1 2 6" xfId="18712" xr:uid="{00000000-0005-0000-0000-0000386A0000}"/>
    <cellStyle name="Style 1 2 7" xfId="18713" xr:uid="{00000000-0005-0000-0000-0000396A0000}"/>
    <cellStyle name="Style 1 2 8" xfId="18714" xr:uid="{00000000-0005-0000-0000-00003A6A0000}"/>
    <cellStyle name="Style 1 2 9" xfId="18715" xr:uid="{00000000-0005-0000-0000-00003B6A0000}"/>
    <cellStyle name="Style 1 2_DATA Input" xfId="18716" xr:uid="{00000000-0005-0000-0000-00003C6A0000}"/>
    <cellStyle name="Style 1 20" xfId="18717" xr:uid="{00000000-0005-0000-0000-00003D6A0000}"/>
    <cellStyle name="Style 1 21" xfId="18718" xr:uid="{00000000-0005-0000-0000-00003E6A0000}"/>
    <cellStyle name="Style 1 22" xfId="18719" xr:uid="{00000000-0005-0000-0000-00003F6A0000}"/>
    <cellStyle name="Style 1 23" xfId="18720" xr:uid="{00000000-0005-0000-0000-0000406A0000}"/>
    <cellStyle name="Style 1 24" xfId="18721" xr:uid="{00000000-0005-0000-0000-0000416A0000}"/>
    <cellStyle name="Style 1 25" xfId="18722" xr:uid="{00000000-0005-0000-0000-0000426A0000}"/>
    <cellStyle name="Style 1 26" xfId="18723" xr:uid="{00000000-0005-0000-0000-0000436A0000}"/>
    <cellStyle name="Style 1 27" xfId="18724" xr:uid="{00000000-0005-0000-0000-0000446A0000}"/>
    <cellStyle name="Style 1 28" xfId="18725" xr:uid="{00000000-0005-0000-0000-0000456A0000}"/>
    <cellStyle name="Style 1 29" xfId="18726" xr:uid="{00000000-0005-0000-0000-0000466A0000}"/>
    <cellStyle name="Style 1 3" xfId="513" xr:uid="{00000000-0005-0000-0000-0000476A0000}"/>
    <cellStyle name="Style 1 30" xfId="18727" xr:uid="{00000000-0005-0000-0000-0000486A0000}"/>
    <cellStyle name="Style 1 31" xfId="18728" xr:uid="{00000000-0005-0000-0000-0000496A0000}"/>
    <cellStyle name="Style 1 32" xfId="18729" xr:uid="{00000000-0005-0000-0000-00004A6A0000}"/>
    <cellStyle name="Style 1 33" xfId="18730" xr:uid="{00000000-0005-0000-0000-00004B6A0000}"/>
    <cellStyle name="Style 1 34" xfId="18731" xr:uid="{00000000-0005-0000-0000-00004C6A0000}"/>
    <cellStyle name="Style 1 35" xfId="18732" xr:uid="{00000000-0005-0000-0000-00004D6A0000}"/>
    <cellStyle name="Style 1 36" xfId="18733" xr:uid="{00000000-0005-0000-0000-00004E6A0000}"/>
    <cellStyle name="Style 1 37" xfId="18734" xr:uid="{00000000-0005-0000-0000-00004F6A0000}"/>
    <cellStyle name="Style 1 38" xfId="18735" xr:uid="{00000000-0005-0000-0000-0000506A0000}"/>
    <cellStyle name="Style 1 39" xfId="18736" xr:uid="{00000000-0005-0000-0000-0000516A0000}"/>
    <cellStyle name="Style 1 4" xfId="18737" xr:uid="{00000000-0005-0000-0000-0000526A0000}"/>
    <cellStyle name="Style 1 40" xfId="18738" xr:uid="{00000000-0005-0000-0000-0000536A0000}"/>
    <cellStyle name="Style 1 41" xfId="18739" xr:uid="{00000000-0005-0000-0000-0000546A0000}"/>
    <cellStyle name="Style 1 42" xfId="18740" xr:uid="{00000000-0005-0000-0000-0000556A0000}"/>
    <cellStyle name="Style 1 43" xfId="18741" xr:uid="{00000000-0005-0000-0000-0000566A0000}"/>
    <cellStyle name="Style 1 44" xfId="18742" xr:uid="{00000000-0005-0000-0000-0000576A0000}"/>
    <cellStyle name="Style 1 45" xfId="18743" xr:uid="{00000000-0005-0000-0000-0000586A0000}"/>
    <cellStyle name="Style 1 46" xfId="18744" xr:uid="{00000000-0005-0000-0000-0000596A0000}"/>
    <cellStyle name="Style 1 47" xfId="18745" xr:uid="{00000000-0005-0000-0000-00005A6A0000}"/>
    <cellStyle name="Style 1 48" xfId="18746" xr:uid="{00000000-0005-0000-0000-00005B6A0000}"/>
    <cellStyle name="Style 1 49" xfId="18747" xr:uid="{00000000-0005-0000-0000-00005C6A0000}"/>
    <cellStyle name="Style 1 5" xfId="18748" xr:uid="{00000000-0005-0000-0000-00005D6A0000}"/>
    <cellStyle name="Style 1 6" xfId="18749" xr:uid="{00000000-0005-0000-0000-00005E6A0000}"/>
    <cellStyle name="Style 1 7" xfId="18750" xr:uid="{00000000-0005-0000-0000-00005F6A0000}"/>
    <cellStyle name="Style 1 8" xfId="18751" xr:uid="{00000000-0005-0000-0000-0000606A0000}"/>
    <cellStyle name="Style 1 9" xfId="18752" xr:uid="{00000000-0005-0000-0000-0000616A0000}"/>
    <cellStyle name="Style 1_DATA Input" xfId="18753" xr:uid="{00000000-0005-0000-0000-0000626A0000}"/>
    <cellStyle name="Style 1015" xfId="18754" xr:uid="{00000000-0005-0000-0000-0000636A0000}"/>
    <cellStyle name="Style 1017" xfId="18755" xr:uid="{00000000-0005-0000-0000-0000646A0000}"/>
    <cellStyle name="Style 1017 2" xfId="18756" xr:uid="{00000000-0005-0000-0000-0000656A0000}"/>
    <cellStyle name="Style 1017 3" xfId="18757" xr:uid="{00000000-0005-0000-0000-0000666A0000}"/>
    <cellStyle name="Style 1017 4" xfId="18758" xr:uid="{00000000-0005-0000-0000-0000676A0000}"/>
    <cellStyle name="Style 1018" xfId="18759" xr:uid="{00000000-0005-0000-0000-0000686A0000}"/>
    <cellStyle name="Style 1018 2" xfId="18760" xr:uid="{00000000-0005-0000-0000-0000696A0000}"/>
    <cellStyle name="Style 1018 3" xfId="18761" xr:uid="{00000000-0005-0000-0000-00006A6A0000}"/>
    <cellStyle name="Style 1018 4" xfId="18762" xr:uid="{00000000-0005-0000-0000-00006B6A0000}"/>
    <cellStyle name="Style 1019" xfId="18763" xr:uid="{00000000-0005-0000-0000-00006C6A0000}"/>
    <cellStyle name="Style 1019 2" xfId="18764" xr:uid="{00000000-0005-0000-0000-00006D6A0000}"/>
    <cellStyle name="Style 1019 3" xfId="18765" xr:uid="{00000000-0005-0000-0000-00006E6A0000}"/>
    <cellStyle name="Style 1019 4" xfId="18766" xr:uid="{00000000-0005-0000-0000-00006F6A0000}"/>
    <cellStyle name="Style 1020" xfId="18767" xr:uid="{00000000-0005-0000-0000-0000706A0000}"/>
    <cellStyle name="Style 1020 2" xfId="18768" xr:uid="{00000000-0005-0000-0000-0000716A0000}"/>
    <cellStyle name="Style 1020 3" xfId="18769" xr:uid="{00000000-0005-0000-0000-0000726A0000}"/>
    <cellStyle name="Style 1020 4" xfId="18770" xr:uid="{00000000-0005-0000-0000-0000736A0000}"/>
    <cellStyle name="Style 1021" xfId="18771" xr:uid="{00000000-0005-0000-0000-0000746A0000}"/>
    <cellStyle name="Style 1021 2" xfId="18772" xr:uid="{00000000-0005-0000-0000-0000756A0000}"/>
    <cellStyle name="Style 1021 3" xfId="18773" xr:uid="{00000000-0005-0000-0000-0000766A0000}"/>
    <cellStyle name="Style 1021 4" xfId="18774" xr:uid="{00000000-0005-0000-0000-0000776A0000}"/>
    <cellStyle name="Style 1022" xfId="18775" xr:uid="{00000000-0005-0000-0000-0000786A0000}"/>
    <cellStyle name="Style 1022 2" xfId="18776" xr:uid="{00000000-0005-0000-0000-0000796A0000}"/>
    <cellStyle name="Style 1022 3" xfId="18777" xr:uid="{00000000-0005-0000-0000-00007A6A0000}"/>
    <cellStyle name="Style 1022 4" xfId="18778" xr:uid="{00000000-0005-0000-0000-00007B6A0000}"/>
    <cellStyle name="Style 1023" xfId="18779" xr:uid="{00000000-0005-0000-0000-00007C6A0000}"/>
    <cellStyle name="Style 1023 2" xfId="18780" xr:uid="{00000000-0005-0000-0000-00007D6A0000}"/>
    <cellStyle name="Style 1023 3" xfId="18781" xr:uid="{00000000-0005-0000-0000-00007E6A0000}"/>
    <cellStyle name="Style 1023 4" xfId="18782" xr:uid="{00000000-0005-0000-0000-00007F6A0000}"/>
    <cellStyle name="Style 1024" xfId="18783" xr:uid="{00000000-0005-0000-0000-0000806A0000}"/>
    <cellStyle name="Style 1024 2" xfId="18784" xr:uid="{00000000-0005-0000-0000-0000816A0000}"/>
    <cellStyle name="Style 1024 3" xfId="18785" xr:uid="{00000000-0005-0000-0000-0000826A0000}"/>
    <cellStyle name="Style 1024 4" xfId="18786" xr:uid="{00000000-0005-0000-0000-0000836A0000}"/>
    <cellStyle name="Style 1025" xfId="18787" xr:uid="{00000000-0005-0000-0000-0000846A0000}"/>
    <cellStyle name="Style 1025 2" xfId="18788" xr:uid="{00000000-0005-0000-0000-0000856A0000}"/>
    <cellStyle name="Style 1025 3" xfId="18789" xr:uid="{00000000-0005-0000-0000-0000866A0000}"/>
    <cellStyle name="Style 1025 4" xfId="18790" xr:uid="{00000000-0005-0000-0000-0000876A0000}"/>
    <cellStyle name="Style 1177" xfId="18791" xr:uid="{00000000-0005-0000-0000-0000886A0000}"/>
    <cellStyle name="Style 1177 2" xfId="18792" xr:uid="{00000000-0005-0000-0000-0000896A0000}"/>
    <cellStyle name="Style 1177 3" xfId="18793" xr:uid="{00000000-0005-0000-0000-00008A6A0000}"/>
    <cellStyle name="Style 1177 4" xfId="18794" xr:uid="{00000000-0005-0000-0000-00008B6A0000}"/>
    <cellStyle name="Style 1178" xfId="18795" xr:uid="{00000000-0005-0000-0000-00008C6A0000}"/>
    <cellStyle name="Style 1178 2" xfId="18796" xr:uid="{00000000-0005-0000-0000-00008D6A0000}"/>
    <cellStyle name="Style 1178 3" xfId="18797" xr:uid="{00000000-0005-0000-0000-00008E6A0000}"/>
    <cellStyle name="Style 1178 4" xfId="18798" xr:uid="{00000000-0005-0000-0000-00008F6A0000}"/>
    <cellStyle name="Style 1179" xfId="18799" xr:uid="{00000000-0005-0000-0000-0000906A0000}"/>
    <cellStyle name="Style 1179 2" xfId="18800" xr:uid="{00000000-0005-0000-0000-0000916A0000}"/>
    <cellStyle name="Style 1179 3" xfId="18801" xr:uid="{00000000-0005-0000-0000-0000926A0000}"/>
    <cellStyle name="Style 1179 4" xfId="18802" xr:uid="{00000000-0005-0000-0000-0000936A0000}"/>
    <cellStyle name="Style 1180" xfId="18803" xr:uid="{00000000-0005-0000-0000-0000946A0000}"/>
    <cellStyle name="Style 1180 2" xfId="18804" xr:uid="{00000000-0005-0000-0000-0000956A0000}"/>
    <cellStyle name="Style 1180 3" xfId="18805" xr:uid="{00000000-0005-0000-0000-0000966A0000}"/>
    <cellStyle name="Style 1180 4" xfId="18806" xr:uid="{00000000-0005-0000-0000-0000976A0000}"/>
    <cellStyle name="Style 1181" xfId="18807" xr:uid="{00000000-0005-0000-0000-0000986A0000}"/>
    <cellStyle name="Style 1181 2" xfId="18808" xr:uid="{00000000-0005-0000-0000-0000996A0000}"/>
    <cellStyle name="Style 1181 3" xfId="18809" xr:uid="{00000000-0005-0000-0000-00009A6A0000}"/>
    <cellStyle name="Style 1181 4" xfId="18810" xr:uid="{00000000-0005-0000-0000-00009B6A0000}"/>
    <cellStyle name="Style 1182" xfId="18811" xr:uid="{00000000-0005-0000-0000-00009C6A0000}"/>
    <cellStyle name="Style 1182 2" xfId="18812" xr:uid="{00000000-0005-0000-0000-00009D6A0000}"/>
    <cellStyle name="Style 1182 3" xfId="18813" xr:uid="{00000000-0005-0000-0000-00009E6A0000}"/>
    <cellStyle name="Style 1182 4" xfId="18814" xr:uid="{00000000-0005-0000-0000-00009F6A0000}"/>
    <cellStyle name="Style 1183" xfId="18815" xr:uid="{00000000-0005-0000-0000-0000A06A0000}"/>
    <cellStyle name="Style 1183 2" xfId="18816" xr:uid="{00000000-0005-0000-0000-0000A16A0000}"/>
    <cellStyle name="Style 1183 3" xfId="18817" xr:uid="{00000000-0005-0000-0000-0000A26A0000}"/>
    <cellStyle name="Style 1183 4" xfId="18818" xr:uid="{00000000-0005-0000-0000-0000A36A0000}"/>
    <cellStyle name="Style 1184" xfId="18819" xr:uid="{00000000-0005-0000-0000-0000A46A0000}"/>
    <cellStyle name="Style 1184 2" xfId="18820" xr:uid="{00000000-0005-0000-0000-0000A56A0000}"/>
    <cellStyle name="Style 1184 3" xfId="18821" xr:uid="{00000000-0005-0000-0000-0000A66A0000}"/>
    <cellStyle name="Style 1184 4" xfId="18822" xr:uid="{00000000-0005-0000-0000-0000A76A0000}"/>
    <cellStyle name="Style 1185" xfId="18823" xr:uid="{00000000-0005-0000-0000-0000A86A0000}"/>
    <cellStyle name="Style 1185 2" xfId="18824" xr:uid="{00000000-0005-0000-0000-0000A96A0000}"/>
    <cellStyle name="Style 1185 3" xfId="18825" xr:uid="{00000000-0005-0000-0000-0000AA6A0000}"/>
    <cellStyle name="Style 1185 4" xfId="18826" xr:uid="{00000000-0005-0000-0000-0000AB6A0000}"/>
    <cellStyle name="Style 1214" xfId="18827" xr:uid="{00000000-0005-0000-0000-0000AC6A0000}"/>
    <cellStyle name="Style 1321" xfId="18828" xr:uid="{00000000-0005-0000-0000-0000AD6A0000}"/>
    <cellStyle name="Style 1323" xfId="18829" xr:uid="{00000000-0005-0000-0000-0000AE6A0000}"/>
    <cellStyle name="Style 1323 2" xfId="18830" xr:uid="{00000000-0005-0000-0000-0000AF6A0000}"/>
    <cellStyle name="Style 1323 3" xfId="18831" xr:uid="{00000000-0005-0000-0000-0000B06A0000}"/>
    <cellStyle name="Style 1323 4" xfId="18832" xr:uid="{00000000-0005-0000-0000-0000B16A0000}"/>
    <cellStyle name="Style 1324" xfId="18833" xr:uid="{00000000-0005-0000-0000-0000B26A0000}"/>
    <cellStyle name="Style 1324 2" xfId="18834" xr:uid="{00000000-0005-0000-0000-0000B36A0000}"/>
    <cellStyle name="Style 1324 3" xfId="18835" xr:uid="{00000000-0005-0000-0000-0000B46A0000}"/>
    <cellStyle name="Style 1324 4" xfId="18836" xr:uid="{00000000-0005-0000-0000-0000B56A0000}"/>
    <cellStyle name="Style 1325" xfId="18837" xr:uid="{00000000-0005-0000-0000-0000B66A0000}"/>
    <cellStyle name="Style 1325 2" xfId="18838" xr:uid="{00000000-0005-0000-0000-0000B76A0000}"/>
    <cellStyle name="Style 1325 3" xfId="18839" xr:uid="{00000000-0005-0000-0000-0000B86A0000}"/>
    <cellStyle name="Style 1325 4" xfId="18840" xr:uid="{00000000-0005-0000-0000-0000B96A0000}"/>
    <cellStyle name="Style 1326" xfId="18841" xr:uid="{00000000-0005-0000-0000-0000BA6A0000}"/>
    <cellStyle name="Style 1326 2" xfId="18842" xr:uid="{00000000-0005-0000-0000-0000BB6A0000}"/>
    <cellStyle name="Style 1326 3" xfId="18843" xr:uid="{00000000-0005-0000-0000-0000BC6A0000}"/>
    <cellStyle name="Style 1326 4" xfId="18844" xr:uid="{00000000-0005-0000-0000-0000BD6A0000}"/>
    <cellStyle name="Style 1327" xfId="18845" xr:uid="{00000000-0005-0000-0000-0000BE6A0000}"/>
    <cellStyle name="Style 1327 2" xfId="18846" xr:uid="{00000000-0005-0000-0000-0000BF6A0000}"/>
    <cellStyle name="Style 1327 3" xfId="18847" xr:uid="{00000000-0005-0000-0000-0000C06A0000}"/>
    <cellStyle name="Style 1327 4" xfId="18848" xr:uid="{00000000-0005-0000-0000-0000C16A0000}"/>
    <cellStyle name="Style 1328" xfId="18849" xr:uid="{00000000-0005-0000-0000-0000C26A0000}"/>
    <cellStyle name="Style 1328 2" xfId="18850" xr:uid="{00000000-0005-0000-0000-0000C36A0000}"/>
    <cellStyle name="Style 1328 3" xfId="18851" xr:uid="{00000000-0005-0000-0000-0000C46A0000}"/>
    <cellStyle name="Style 1328 4" xfId="18852" xr:uid="{00000000-0005-0000-0000-0000C56A0000}"/>
    <cellStyle name="Style 1329" xfId="18853" xr:uid="{00000000-0005-0000-0000-0000C66A0000}"/>
    <cellStyle name="Style 1329 2" xfId="18854" xr:uid="{00000000-0005-0000-0000-0000C76A0000}"/>
    <cellStyle name="Style 1329 3" xfId="18855" xr:uid="{00000000-0005-0000-0000-0000C86A0000}"/>
    <cellStyle name="Style 1329 4" xfId="18856" xr:uid="{00000000-0005-0000-0000-0000C96A0000}"/>
    <cellStyle name="Style 1330" xfId="18857" xr:uid="{00000000-0005-0000-0000-0000CA6A0000}"/>
    <cellStyle name="Style 1330 2" xfId="18858" xr:uid="{00000000-0005-0000-0000-0000CB6A0000}"/>
    <cellStyle name="Style 1330 3" xfId="18859" xr:uid="{00000000-0005-0000-0000-0000CC6A0000}"/>
    <cellStyle name="Style 1330 4" xfId="18860" xr:uid="{00000000-0005-0000-0000-0000CD6A0000}"/>
    <cellStyle name="Style 1331" xfId="18861" xr:uid="{00000000-0005-0000-0000-0000CE6A0000}"/>
    <cellStyle name="Style 1331 2" xfId="18862" xr:uid="{00000000-0005-0000-0000-0000CF6A0000}"/>
    <cellStyle name="Style 1331 3" xfId="18863" xr:uid="{00000000-0005-0000-0000-0000D06A0000}"/>
    <cellStyle name="Style 1331 4" xfId="18864" xr:uid="{00000000-0005-0000-0000-0000D16A0000}"/>
    <cellStyle name="Style 2" xfId="18865" xr:uid="{00000000-0005-0000-0000-0000D26A0000}"/>
    <cellStyle name="Style 227" xfId="18866" xr:uid="{00000000-0005-0000-0000-0000D36A0000}"/>
    <cellStyle name="Style 228" xfId="18867" xr:uid="{00000000-0005-0000-0000-0000D46A0000}"/>
    <cellStyle name="Style 228 2" xfId="18868" xr:uid="{00000000-0005-0000-0000-0000D56A0000}"/>
    <cellStyle name="Style 228 3" xfId="18869" xr:uid="{00000000-0005-0000-0000-0000D66A0000}"/>
    <cellStyle name="Style 228 4" xfId="18870" xr:uid="{00000000-0005-0000-0000-0000D76A0000}"/>
    <cellStyle name="Style 229" xfId="18871" xr:uid="{00000000-0005-0000-0000-0000D86A0000}"/>
    <cellStyle name="Style 229 2" xfId="18872" xr:uid="{00000000-0005-0000-0000-0000D96A0000}"/>
    <cellStyle name="Style 229 3" xfId="18873" xr:uid="{00000000-0005-0000-0000-0000DA6A0000}"/>
    <cellStyle name="Style 229 4" xfId="18874" xr:uid="{00000000-0005-0000-0000-0000DB6A0000}"/>
    <cellStyle name="Style 230" xfId="18875" xr:uid="{00000000-0005-0000-0000-0000DC6A0000}"/>
    <cellStyle name="Style 230 2" xfId="18876" xr:uid="{00000000-0005-0000-0000-0000DD6A0000}"/>
    <cellStyle name="Style 230 3" xfId="18877" xr:uid="{00000000-0005-0000-0000-0000DE6A0000}"/>
    <cellStyle name="Style 230 4" xfId="18878" xr:uid="{00000000-0005-0000-0000-0000DF6A0000}"/>
    <cellStyle name="Style 231" xfId="18879" xr:uid="{00000000-0005-0000-0000-0000E06A0000}"/>
    <cellStyle name="Style 231 2" xfId="18880" xr:uid="{00000000-0005-0000-0000-0000E16A0000}"/>
    <cellStyle name="Style 231 3" xfId="18881" xr:uid="{00000000-0005-0000-0000-0000E26A0000}"/>
    <cellStyle name="Style 231 4" xfId="18882" xr:uid="{00000000-0005-0000-0000-0000E36A0000}"/>
    <cellStyle name="Style 232" xfId="18883" xr:uid="{00000000-0005-0000-0000-0000E46A0000}"/>
    <cellStyle name="Style 233" xfId="18884" xr:uid="{00000000-0005-0000-0000-0000E56A0000}"/>
    <cellStyle name="Style 234" xfId="18885" xr:uid="{00000000-0005-0000-0000-0000E66A0000}"/>
    <cellStyle name="Style 235" xfId="18886" xr:uid="{00000000-0005-0000-0000-0000E76A0000}"/>
    <cellStyle name="Style 236" xfId="18887" xr:uid="{00000000-0005-0000-0000-0000E86A0000}"/>
    <cellStyle name="Style 237" xfId="18888" xr:uid="{00000000-0005-0000-0000-0000E96A0000}"/>
    <cellStyle name="Style 238" xfId="18889" xr:uid="{00000000-0005-0000-0000-0000EA6A0000}"/>
    <cellStyle name="Style 239" xfId="18890" xr:uid="{00000000-0005-0000-0000-0000EB6A0000}"/>
    <cellStyle name="Style 24" xfId="18891" xr:uid="{00000000-0005-0000-0000-0000EC6A0000}"/>
    <cellStyle name="Style 24 2" xfId="18892" xr:uid="{00000000-0005-0000-0000-0000ED6A0000}"/>
    <cellStyle name="Style 24 2 2" xfId="22496" xr:uid="{00000000-0005-0000-0000-0000EE6A0000}"/>
    <cellStyle name="Style 24 3" xfId="18893" xr:uid="{00000000-0005-0000-0000-0000EF6A0000}"/>
    <cellStyle name="Style 24 3 2" xfId="22497" xr:uid="{00000000-0005-0000-0000-0000F06A0000}"/>
    <cellStyle name="Style 24 4" xfId="22495" xr:uid="{00000000-0005-0000-0000-0000F16A0000}"/>
    <cellStyle name="Style 240" xfId="18894" xr:uid="{00000000-0005-0000-0000-0000F26A0000}"/>
    <cellStyle name="Style 241" xfId="18895" xr:uid="{00000000-0005-0000-0000-0000F36A0000}"/>
    <cellStyle name="Style 242" xfId="18896" xr:uid="{00000000-0005-0000-0000-0000F46A0000}"/>
    <cellStyle name="Style 243" xfId="18897" xr:uid="{00000000-0005-0000-0000-0000F56A0000}"/>
    <cellStyle name="Style 244" xfId="18898" xr:uid="{00000000-0005-0000-0000-0000F66A0000}"/>
    <cellStyle name="Style 245" xfId="18899" xr:uid="{00000000-0005-0000-0000-0000F76A0000}"/>
    <cellStyle name="Style 246" xfId="18900" xr:uid="{00000000-0005-0000-0000-0000F86A0000}"/>
    <cellStyle name="Style 247" xfId="18901" xr:uid="{00000000-0005-0000-0000-0000F96A0000}"/>
    <cellStyle name="Style 248" xfId="18902" xr:uid="{00000000-0005-0000-0000-0000FA6A0000}"/>
    <cellStyle name="Style 249" xfId="18903" xr:uid="{00000000-0005-0000-0000-0000FB6A0000}"/>
    <cellStyle name="Style 25" xfId="18904" xr:uid="{00000000-0005-0000-0000-0000FC6A0000}"/>
    <cellStyle name="Style 25 2" xfId="18905" xr:uid="{00000000-0005-0000-0000-0000FD6A0000}"/>
    <cellStyle name="Style 25 2 2" xfId="22499" xr:uid="{00000000-0005-0000-0000-0000FE6A0000}"/>
    <cellStyle name="Style 25 3" xfId="18906" xr:uid="{00000000-0005-0000-0000-0000FF6A0000}"/>
    <cellStyle name="Style 25 3 2" xfId="22500" xr:uid="{00000000-0005-0000-0000-0000006B0000}"/>
    <cellStyle name="Style 25 4" xfId="22498" xr:uid="{00000000-0005-0000-0000-0000016B0000}"/>
    <cellStyle name="Style 250" xfId="18907" xr:uid="{00000000-0005-0000-0000-0000026B0000}"/>
    <cellStyle name="Style 251" xfId="18908" xr:uid="{00000000-0005-0000-0000-0000036B0000}"/>
    <cellStyle name="Style 252" xfId="18909" xr:uid="{00000000-0005-0000-0000-0000046B0000}"/>
    <cellStyle name="Style 252 2" xfId="18910" xr:uid="{00000000-0005-0000-0000-0000056B0000}"/>
    <cellStyle name="Style 252 3" xfId="18911" xr:uid="{00000000-0005-0000-0000-0000066B0000}"/>
    <cellStyle name="Style 252 4" xfId="18912" xr:uid="{00000000-0005-0000-0000-0000076B0000}"/>
    <cellStyle name="Style 253" xfId="18913" xr:uid="{00000000-0005-0000-0000-0000086B0000}"/>
    <cellStyle name="Style 253 2" xfId="18914" xr:uid="{00000000-0005-0000-0000-0000096B0000}"/>
    <cellStyle name="Style 253 3" xfId="18915" xr:uid="{00000000-0005-0000-0000-00000A6B0000}"/>
    <cellStyle name="Style 253 4" xfId="18916" xr:uid="{00000000-0005-0000-0000-00000B6B0000}"/>
    <cellStyle name="Style 254" xfId="18917" xr:uid="{00000000-0005-0000-0000-00000C6B0000}"/>
    <cellStyle name="Style 254 2" xfId="18918" xr:uid="{00000000-0005-0000-0000-00000D6B0000}"/>
    <cellStyle name="Style 254 3" xfId="18919" xr:uid="{00000000-0005-0000-0000-00000E6B0000}"/>
    <cellStyle name="Style 254 4" xfId="18920" xr:uid="{00000000-0005-0000-0000-00000F6B0000}"/>
    <cellStyle name="Style 255" xfId="18921" xr:uid="{00000000-0005-0000-0000-0000106B0000}"/>
    <cellStyle name="Style 255 2" xfId="18922" xr:uid="{00000000-0005-0000-0000-0000116B0000}"/>
    <cellStyle name="Style 255 3" xfId="18923" xr:uid="{00000000-0005-0000-0000-0000126B0000}"/>
    <cellStyle name="Style 255 4" xfId="18924" xr:uid="{00000000-0005-0000-0000-0000136B0000}"/>
    <cellStyle name="Style 256" xfId="18925" xr:uid="{00000000-0005-0000-0000-0000146B0000}"/>
    <cellStyle name="Style 256 2" xfId="18926" xr:uid="{00000000-0005-0000-0000-0000156B0000}"/>
    <cellStyle name="Style 256 3" xfId="18927" xr:uid="{00000000-0005-0000-0000-0000166B0000}"/>
    <cellStyle name="Style 256 4" xfId="18928" xr:uid="{00000000-0005-0000-0000-0000176B0000}"/>
    <cellStyle name="Style 257" xfId="18929" xr:uid="{00000000-0005-0000-0000-0000186B0000}"/>
    <cellStyle name="Style 257 2" xfId="18930" xr:uid="{00000000-0005-0000-0000-0000196B0000}"/>
    <cellStyle name="Style 257 3" xfId="18931" xr:uid="{00000000-0005-0000-0000-00001A6B0000}"/>
    <cellStyle name="Style 257 4" xfId="18932" xr:uid="{00000000-0005-0000-0000-00001B6B0000}"/>
    <cellStyle name="Style 258" xfId="18933" xr:uid="{00000000-0005-0000-0000-00001C6B0000}"/>
    <cellStyle name="Style 258 2" xfId="18934" xr:uid="{00000000-0005-0000-0000-00001D6B0000}"/>
    <cellStyle name="Style 258 3" xfId="18935" xr:uid="{00000000-0005-0000-0000-00001E6B0000}"/>
    <cellStyle name="Style 258 4" xfId="18936" xr:uid="{00000000-0005-0000-0000-00001F6B0000}"/>
    <cellStyle name="Style 259" xfId="18937" xr:uid="{00000000-0005-0000-0000-0000206B0000}"/>
    <cellStyle name="Style 259 2" xfId="18938" xr:uid="{00000000-0005-0000-0000-0000216B0000}"/>
    <cellStyle name="Style 259 3" xfId="18939" xr:uid="{00000000-0005-0000-0000-0000226B0000}"/>
    <cellStyle name="Style 259 4" xfId="18940" xr:uid="{00000000-0005-0000-0000-0000236B0000}"/>
    <cellStyle name="Style 26" xfId="18941" xr:uid="{00000000-0005-0000-0000-0000246B0000}"/>
    <cellStyle name="Style 26 2" xfId="18942" xr:uid="{00000000-0005-0000-0000-0000256B0000}"/>
    <cellStyle name="Style 26 2 2" xfId="22502" xr:uid="{00000000-0005-0000-0000-0000266B0000}"/>
    <cellStyle name="Style 26 3" xfId="18943" xr:uid="{00000000-0005-0000-0000-0000276B0000}"/>
    <cellStyle name="Style 26 3 2" xfId="22503" xr:uid="{00000000-0005-0000-0000-0000286B0000}"/>
    <cellStyle name="Style 26 4" xfId="22501" xr:uid="{00000000-0005-0000-0000-0000296B0000}"/>
    <cellStyle name="Style 260" xfId="18944" xr:uid="{00000000-0005-0000-0000-00002A6B0000}"/>
    <cellStyle name="Style 260 2" xfId="18945" xr:uid="{00000000-0005-0000-0000-00002B6B0000}"/>
    <cellStyle name="Style 260 3" xfId="18946" xr:uid="{00000000-0005-0000-0000-00002C6B0000}"/>
    <cellStyle name="Style 260 4" xfId="18947" xr:uid="{00000000-0005-0000-0000-00002D6B0000}"/>
    <cellStyle name="Style 27" xfId="18948" xr:uid="{00000000-0005-0000-0000-00002E6B0000}"/>
    <cellStyle name="Style 27 2" xfId="18949" xr:uid="{00000000-0005-0000-0000-00002F6B0000}"/>
    <cellStyle name="Style 27 2 2" xfId="22505" xr:uid="{00000000-0005-0000-0000-0000306B0000}"/>
    <cellStyle name="Style 27 3" xfId="18950" xr:uid="{00000000-0005-0000-0000-0000316B0000}"/>
    <cellStyle name="Style 27 3 2" xfId="22506" xr:uid="{00000000-0005-0000-0000-0000326B0000}"/>
    <cellStyle name="Style 27 4" xfId="22504" xr:uid="{00000000-0005-0000-0000-0000336B0000}"/>
    <cellStyle name="Style 28" xfId="18951" xr:uid="{00000000-0005-0000-0000-0000346B0000}"/>
    <cellStyle name="Style 28 2" xfId="18952" xr:uid="{00000000-0005-0000-0000-0000356B0000}"/>
    <cellStyle name="Style 28 2 2" xfId="22508" xr:uid="{00000000-0005-0000-0000-0000366B0000}"/>
    <cellStyle name="Style 28 3" xfId="18953" xr:uid="{00000000-0005-0000-0000-0000376B0000}"/>
    <cellStyle name="Style 28 3 2" xfId="22509" xr:uid="{00000000-0005-0000-0000-0000386B0000}"/>
    <cellStyle name="Style 28 4" xfId="22507" xr:uid="{00000000-0005-0000-0000-0000396B0000}"/>
    <cellStyle name="Style 29" xfId="18954" xr:uid="{00000000-0005-0000-0000-00003A6B0000}"/>
    <cellStyle name="Style 297" xfId="18955" xr:uid="{00000000-0005-0000-0000-00003B6B0000}"/>
    <cellStyle name="Style 297 2" xfId="18956" xr:uid="{00000000-0005-0000-0000-00003C6B0000}"/>
    <cellStyle name="Style 297 3" xfId="18957" xr:uid="{00000000-0005-0000-0000-00003D6B0000}"/>
    <cellStyle name="Style 297 4" xfId="18958" xr:uid="{00000000-0005-0000-0000-00003E6B0000}"/>
    <cellStyle name="Style 30" xfId="18959" xr:uid="{00000000-0005-0000-0000-00003F6B0000}"/>
    <cellStyle name="Style 300" xfId="18960" xr:uid="{00000000-0005-0000-0000-0000406B0000}"/>
    <cellStyle name="Style 300 2" xfId="18961" xr:uid="{00000000-0005-0000-0000-0000416B0000}"/>
    <cellStyle name="Style 300 3" xfId="18962" xr:uid="{00000000-0005-0000-0000-0000426B0000}"/>
    <cellStyle name="Style 300 4" xfId="18963" xr:uid="{00000000-0005-0000-0000-0000436B0000}"/>
    <cellStyle name="Style 307" xfId="18964" xr:uid="{00000000-0005-0000-0000-0000446B0000}"/>
    <cellStyle name="Style 308" xfId="18965" xr:uid="{00000000-0005-0000-0000-0000456B0000}"/>
    <cellStyle name="Style 308 2" xfId="18966" xr:uid="{00000000-0005-0000-0000-0000466B0000}"/>
    <cellStyle name="Style 308 3" xfId="18967" xr:uid="{00000000-0005-0000-0000-0000476B0000}"/>
    <cellStyle name="Style 308 4" xfId="18968" xr:uid="{00000000-0005-0000-0000-0000486B0000}"/>
    <cellStyle name="Style 309" xfId="18969" xr:uid="{00000000-0005-0000-0000-0000496B0000}"/>
    <cellStyle name="Style 309 2" xfId="18970" xr:uid="{00000000-0005-0000-0000-00004A6B0000}"/>
    <cellStyle name="Style 309 3" xfId="18971" xr:uid="{00000000-0005-0000-0000-00004B6B0000}"/>
    <cellStyle name="Style 309 4" xfId="18972" xr:uid="{00000000-0005-0000-0000-00004C6B0000}"/>
    <cellStyle name="Style 31" xfId="18973" xr:uid="{00000000-0005-0000-0000-00004D6B0000}"/>
    <cellStyle name="Style 31 2" xfId="18974" xr:uid="{00000000-0005-0000-0000-00004E6B0000}"/>
    <cellStyle name="Style 31 2 2" xfId="22511" xr:uid="{00000000-0005-0000-0000-00004F6B0000}"/>
    <cellStyle name="Style 31 3" xfId="18975" xr:uid="{00000000-0005-0000-0000-0000506B0000}"/>
    <cellStyle name="Style 31 3 2" xfId="22512" xr:uid="{00000000-0005-0000-0000-0000516B0000}"/>
    <cellStyle name="Style 31 4" xfId="22510" xr:uid="{00000000-0005-0000-0000-0000526B0000}"/>
    <cellStyle name="Style 310" xfId="18976" xr:uid="{00000000-0005-0000-0000-0000536B0000}"/>
    <cellStyle name="Style 310 2" xfId="18977" xr:uid="{00000000-0005-0000-0000-0000546B0000}"/>
    <cellStyle name="Style 310 3" xfId="18978" xr:uid="{00000000-0005-0000-0000-0000556B0000}"/>
    <cellStyle name="Style 310 4" xfId="18979" xr:uid="{00000000-0005-0000-0000-0000566B0000}"/>
    <cellStyle name="Style 311" xfId="18980" xr:uid="{00000000-0005-0000-0000-0000576B0000}"/>
    <cellStyle name="Style 311 2" xfId="18981" xr:uid="{00000000-0005-0000-0000-0000586B0000}"/>
    <cellStyle name="Style 311 3" xfId="18982" xr:uid="{00000000-0005-0000-0000-0000596B0000}"/>
    <cellStyle name="Style 311 4" xfId="18983" xr:uid="{00000000-0005-0000-0000-00005A6B0000}"/>
    <cellStyle name="Style 312" xfId="18984" xr:uid="{00000000-0005-0000-0000-00005B6B0000}"/>
    <cellStyle name="Style 313" xfId="18985" xr:uid="{00000000-0005-0000-0000-00005C6B0000}"/>
    <cellStyle name="Style 314" xfId="18986" xr:uid="{00000000-0005-0000-0000-00005D6B0000}"/>
    <cellStyle name="Style 315" xfId="18987" xr:uid="{00000000-0005-0000-0000-00005E6B0000}"/>
    <cellStyle name="Style 316" xfId="18988" xr:uid="{00000000-0005-0000-0000-00005F6B0000}"/>
    <cellStyle name="Style 317" xfId="18989" xr:uid="{00000000-0005-0000-0000-0000606B0000}"/>
    <cellStyle name="Style 318" xfId="18990" xr:uid="{00000000-0005-0000-0000-0000616B0000}"/>
    <cellStyle name="Style 319" xfId="18991" xr:uid="{00000000-0005-0000-0000-0000626B0000}"/>
    <cellStyle name="Style 32" xfId="18992" xr:uid="{00000000-0005-0000-0000-0000636B0000}"/>
    <cellStyle name="Style 32 2" xfId="18993" xr:uid="{00000000-0005-0000-0000-0000646B0000}"/>
    <cellStyle name="Style 32 2 2" xfId="22514" xr:uid="{00000000-0005-0000-0000-0000656B0000}"/>
    <cellStyle name="Style 32 3" xfId="18994" xr:uid="{00000000-0005-0000-0000-0000666B0000}"/>
    <cellStyle name="Style 32 3 2" xfId="22515" xr:uid="{00000000-0005-0000-0000-0000676B0000}"/>
    <cellStyle name="Style 32 4" xfId="22513" xr:uid="{00000000-0005-0000-0000-0000686B0000}"/>
    <cellStyle name="Style 320" xfId="18995" xr:uid="{00000000-0005-0000-0000-0000696B0000}"/>
    <cellStyle name="Style 320 2" xfId="18996" xr:uid="{00000000-0005-0000-0000-00006A6B0000}"/>
    <cellStyle name="Style 320 3" xfId="18997" xr:uid="{00000000-0005-0000-0000-00006B6B0000}"/>
    <cellStyle name="Style 320 4" xfId="18998" xr:uid="{00000000-0005-0000-0000-00006C6B0000}"/>
    <cellStyle name="Style 321" xfId="18999" xr:uid="{00000000-0005-0000-0000-00006D6B0000}"/>
    <cellStyle name="Style 321 2" xfId="19000" xr:uid="{00000000-0005-0000-0000-00006E6B0000}"/>
    <cellStyle name="Style 321 3" xfId="19001" xr:uid="{00000000-0005-0000-0000-00006F6B0000}"/>
    <cellStyle name="Style 321 4" xfId="19002" xr:uid="{00000000-0005-0000-0000-0000706B0000}"/>
    <cellStyle name="Style 322" xfId="19003" xr:uid="{00000000-0005-0000-0000-0000716B0000}"/>
    <cellStyle name="Style 322 2" xfId="19004" xr:uid="{00000000-0005-0000-0000-0000726B0000}"/>
    <cellStyle name="Style 322 3" xfId="19005" xr:uid="{00000000-0005-0000-0000-0000736B0000}"/>
    <cellStyle name="Style 322 4" xfId="19006" xr:uid="{00000000-0005-0000-0000-0000746B0000}"/>
    <cellStyle name="Style 33" xfId="19007" xr:uid="{00000000-0005-0000-0000-0000756B0000}"/>
    <cellStyle name="Style 33 2" xfId="19008" xr:uid="{00000000-0005-0000-0000-0000766B0000}"/>
    <cellStyle name="Style 33 2 2" xfId="22517" xr:uid="{00000000-0005-0000-0000-0000776B0000}"/>
    <cellStyle name="Style 33 3" xfId="19009" xr:uid="{00000000-0005-0000-0000-0000786B0000}"/>
    <cellStyle name="Style 33 3 2" xfId="22518" xr:uid="{00000000-0005-0000-0000-0000796B0000}"/>
    <cellStyle name="Style 33 4" xfId="22516" xr:uid="{00000000-0005-0000-0000-00007A6B0000}"/>
    <cellStyle name="Style 34" xfId="19010" xr:uid="{00000000-0005-0000-0000-00007B6B0000}"/>
    <cellStyle name="Style 34 2" xfId="19011" xr:uid="{00000000-0005-0000-0000-00007C6B0000}"/>
    <cellStyle name="Style 34 2 2" xfId="22520" xr:uid="{00000000-0005-0000-0000-00007D6B0000}"/>
    <cellStyle name="Style 34 3" xfId="19012" xr:uid="{00000000-0005-0000-0000-00007E6B0000}"/>
    <cellStyle name="Style 34 3 2" xfId="22521" xr:uid="{00000000-0005-0000-0000-00007F6B0000}"/>
    <cellStyle name="Style 34 4" xfId="22519" xr:uid="{00000000-0005-0000-0000-0000806B0000}"/>
    <cellStyle name="Style 35" xfId="19013" xr:uid="{00000000-0005-0000-0000-0000816B0000}"/>
    <cellStyle name="Style 351" xfId="19014" xr:uid="{00000000-0005-0000-0000-0000826B0000}"/>
    <cellStyle name="Style 352" xfId="19015" xr:uid="{00000000-0005-0000-0000-0000836B0000}"/>
    <cellStyle name="Style 352 2" xfId="19016" xr:uid="{00000000-0005-0000-0000-0000846B0000}"/>
    <cellStyle name="Style 352 3" xfId="19017" xr:uid="{00000000-0005-0000-0000-0000856B0000}"/>
    <cellStyle name="Style 352 4" xfId="19018" xr:uid="{00000000-0005-0000-0000-0000866B0000}"/>
    <cellStyle name="Style 353" xfId="19019" xr:uid="{00000000-0005-0000-0000-0000876B0000}"/>
    <cellStyle name="Style 353 2" xfId="19020" xr:uid="{00000000-0005-0000-0000-0000886B0000}"/>
    <cellStyle name="Style 353 3" xfId="19021" xr:uid="{00000000-0005-0000-0000-0000896B0000}"/>
    <cellStyle name="Style 353 4" xfId="19022" xr:uid="{00000000-0005-0000-0000-00008A6B0000}"/>
    <cellStyle name="Style 354" xfId="19023" xr:uid="{00000000-0005-0000-0000-00008B6B0000}"/>
    <cellStyle name="Style 354 2" xfId="19024" xr:uid="{00000000-0005-0000-0000-00008C6B0000}"/>
    <cellStyle name="Style 354 3" xfId="19025" xr:uid="{00000000-0005-0000-0000-00008D6B0000}"/>
    <cellStyle name="Style 354 4" xfId="19026" xr:uid="{00000000-0005-0000-0000-00008E6B0000}"/>
    <cellStyle name="Style 355" xfId="19027" xr:uid="{00000000-0005-0000-0000-00008F6B0000}"/>
    <cellStyle name="Style 355 2" xfId="19028" xr:uid="{00000000-0005-0000-0000-0000906B0000}"/>
    <cellStyle name="Style 355 3" xfId="19029" xr:uid="{00000000-0005-0000-0000-0000916B0000}"/>
    <cellStyle name="Style 355 4" xfId="19030" xr:uid="{00000000-0005-0000-0000-0000926B0000}"/>
    <cellStyle name="Style 356" xfId="19031" xr:uid="{00000000-0005-0000-0000-0000936B0000}"/>
    <cellStyle name="Style 357" xfId="19032" xr:uid="{00000000-0005-0000-0000-0000946B0000}"/>
    <cellStyle name="Style 358" xfId="19033" xr:uid="{00000000-0005-0000-0000-0000956B0000}"/>
    <cellStyle name="Style 359" xfId="19034" xr:uid="{00000000-0005-0000-0000-0000966B0000}"/>
    <cellStyle name="Style 36" xfId="19035" xr:uid="{00000000-0005-0000-0000-0000976B0000}"/>
    <cellStyle name="Style 360" xfId="19036" xr:uid="{00000000-0005-0000-0000-0000986B0000}"/>
    <cellStyle name="Style 361" xfId="19037" xr:uid="{00000000-0005-0000-0000-0000996B0000}"/>
    <cellStyle name="Style 362" xfId="19038" xr:uid="{00000000-0005-0000-0000-00009A6B0000}"/>
    <cellStyle name="Style 363" xfId="19039" xr:uid="{00000000-0005-0000-0000-00009B6B0000}"/>
    <cellStyle name="Style 364" xfId="19040" xr:uid="{00000000-0005-0000-0000-00009C6B0000}"/>
    <cellStyle name="Style 364 2" xfId="19041" xr:uid="{00000000-0005-0000-0000-00009D6B0000}"/>
    <cellStyle name="Style 364 3" xfId="19042" xr:uid="{00000000-0005-0000-0000-00009E6B0000}"/>
    <cellStyle name="Style 365" xfId="19043" xr:uid="{00000000-0005-0000-0000-00009F6B0000}"/>
    <cellStyle name="Style 366" xfId="19044" xr:uid="{00000000-0005-0000-0000-0000A06B0000}"/>
    <cellStyle name="Style 367" xfId="19045" xr:uid="{00000000-0005-0000-0000-0000A16B0000}"/>
    <cellStyle name="Style 368" xfId="19046" xr:uid="{00000000-0005-0000-0000-0000A26B0000}"/>
    <cellStyle name="Style 369" xfId="19047" xr:uid="{00000000-0005-0000-0000-0000A36B0000}"/>
    <cellStyle name="Style 37" xfId="19048" xr:uid="{00000000-0005-0000-0000-0000A46B0000}"/>
    <cellStyle name="Style 370" xfId="19049" xr:uid="{00000000-0005-0000-0000-0000A56B0000}"/>
    <cellStyle name="Style 371" xfId="19050" xr:uid="{00000000-0005-0000-0000-0000A66B0000}"/>
    <cellStyle name="Style 372" xfId="19051" xr:uid="{00000000-0005-0000-0000-0000A76B0000}"/>
    <cellStyle name="Style 373" xfId="19052" xr:uid="{00000000-0005-0000-0000-0000A86B0000}"/>
    <cellStyle name="Style 374" xfId="19053" xr:uid="{00000000-0005-0000-0000-0000A96B0000}"/>
    <cellStyle name="Style 375" xfId="19054" xr:uid="{00000000-0005-0000-0000-0000AA6B0000}"/>
    <cellStyle name="Style 376" xfId="19055" xr:uid="{00000000-0005-0000-0000-0000AB6B0000}"/>
    <cellStyle name="Style 377" xfId="19056" xr:uid="{00000000-0005-0000-0000-0000AC6B0000}"/>
    <cellStyle name="Style 378" xfId="19057" xr:uid="{00000000-0005-0000-0000-0000AD6B0000}"/>
    <cellStyle name="Style 379" xfId="19058" xr:uid="{00000000-0005-0000-0000-0000AE6B0000}"/>
    <cellStyle name="Style 38" xfId="19059" xr:uid="{00000000-0005-0000-0000-0000AF6B0000}"/>
    <cellStyle name="Style 380" xfId="19060" xr:uid="{00000000-0005-0000-0000-0000B06B0000}"/>
    <cellStyle name="Style 381" xfId="19061" xr:uid="{00000000-0005-0000-0000-0000B16B0000}"/>
    <cellStyle name="Style 382" xfId="19062" xr:uid="{00000000-0005-0000-0000-0000B26B0000}"/>
    <cellStyle name="Style 382 2" xfId="19063" xr:uid="{00000000-0005-0000-0000-0000B36B0000}"/>
    <cellStyle name="Style 382 3" xfId="19064" xr:uid="{00000000-0005-0000-0000-0000B46B0000}"/>
    <cellStyle name="Style 383" xfId="19065" xr:uid="{00000000-0005-0000-0000-0000B56B0000}"/>
    <cellStyle name="Style 384" xfId="19066" xr:uid="{00000000-0005-0000-0000-0000B66B0000}"/>
    <cellStyle name="Style 384 2" xfId="19067" xr:uid="{00000000-0005-0000-0000-0000B76B0000}"/>
    <cellStyle name="Style 384 3" xfId="19068" xr:uid="{00000000-0005-0000-0000-0000B86B0000}"/>
    <cellStyle name="Style 384 4" xfId="19069" xr:uid="{00000000-0005-0000-0000-0000B96B0000}"/>
    <cellStyle name="Style 385" xfId="19070" xr:uid="{00000000-0005-0000-0000-0000BA6B0000}"/>
    <cellStyle name="Style 385 2" xfId="19071" xr:uid="{00000000-0005-0000-0000-0000BB6B0000}"/>
    <cellStyle name="Style 385 3" xfId="19072" xr:uid="{00000000-0005-0000-0000-0000BC6B0000}"/>
    <cellStyle name="Style 385 4" xfId="19073" xr:uid="{00000000-0005-0000-0000-0000BD6B0000}"/>
    <cellStyle name="Style 386" xfId="19074" xr:uid="{00000000-0005-0000-0000-0000BE6B0000}"/>
    <cellStyle name="Style 386 2" xfId="19075" xr:uid="{00000000-0005-0000-0000-0000BF6B0000}"/>
    <cellStyle name="Style 386 3" xfId="19076" xr:uid="{00000000-0005-0000-0000-0000C06B0000}"/>
    <cellStyle name="Style 386 4" xfId="19077" xr:uid="{00000000-0005-0000-0000-0000C16B0000}"/>
    <cellStyle name="Style 387" xfId="19078" xr:uid="{00000000-0005-0000-0000-0000C26B0000}"/>
    <cellStyle name="Style 387 2" xfId="19079" xr:uid="{00000000-0005-0000-0000-0000C36B0000}"/>
    <cellStyle name="Style 387 3" xfId="19080" xr:uid="{00000000-0005-0000-0000-0000C46B0000}"/>
    <cellStyle name="Style 387 4" xfId="19081" xr:uid="{00000000-0005-0000-0000-0000C56B0000}"/>
    <cellStyle name="Style 388" xfId="19082" xr:uid="{00000000-0005-0000-0000-0000C66B0000}"/>
    <cellStyle name="Style 388 2" xfId="19083" xr:uid="{00000000-0005-0000-0000-0000C76B0000}"/>
    <cellStyle name="Style 388 3" xfId="19084" xr:uid="{00000000-0005-0000-0000-0000C86B0000}"/>
    <cellStyle name="Style 388 4" xfId="19085" xr:uid="{00000000-0005-0000-0000-0000C96B0000}"/>
    <cellStyle name="Style 389" xfId="19086" xr:uid="{00000000-0005-0000-0000-0000CA6B0000}"/>
    <cellStyle name="Style 389 2" xfId="19087" xr:uid="{00000000-0005-0000-0000-0000CB6B0000}"/>
    <cellStyle name="Style 389 3" xfId="19088" xr:uid="{00000000-0005-0000-0000-0000CC6B0000}"/>
    <cellStyle name="Style 389 4" xfId="19089" xr:uid="{00000000-0005-0000-0000-0000CD6B0000}"/>
    <cellStyle name="Style 390" xfId="19090" xr:uid="{00000000-0005-0000-0000-0000CE6B0000}"/>
    <cellStyle name="Style 391" xfId="19091" xr:uid="{00000000-0005-0000-0000-0000CF6B0000}"/>
    <cellStyle name="Style 391 2" xfId="19092" xr:uid="{00000000-0005-0000-0000-0000D06B0000}"/>
    <cellStyle name="Style 391 2 2" xfId="22523" xr:uid="{00000000-0005-0000-0000-0000D16B0000}"/>
    <cellStyle name="Style 391 3" xfId="19093" xr:uid="{00000000-0005-0000-0000-0000D26B0000}"/>
    <cellStyle name="Style 391 3 2" xfId="22524" xr:uid="{00000000-0005-0000-0000-0000D36B0000}"/>
    <cellStyle name="Style 391 4" xfId="22522" xr:uid="{00000000-0005-0000-0000-0000D46B0000}"/>
    <cellStyle name="Style 392" xfId="19094" xr:uid="{00000000-0005-0000-0000-0000D56B0000}"/>
    <cellStyle name="Style 392 2" xfId="19095" xr:uid="{00000000-0005-0000-0000-0000D66B0000}"/>
    <cellStyle name="Style 392 3" xfId="19096" xr:uid="{00000000-0005-0000-0000-0000D76B0000}"/>
    <cellStyle name="Style 392 4" xfId="19097" xr:uid="{00000000-0005-0000-0000-0000D86B0000}"/>
    <cellStyle name="Style 393" xfId="19098" xr:uid="{00000000-0005-0000-0000-0000D96B0000}"/>
    <cellStyle name="Style 393 2" xfId="19099" xr:uid="{00000000-0005-0000-0000-0000DA6B0000}"/>
    <cellStyle name="Style 393 3" xfId="19100" xr:uid="{00000000-0005-0000-0000-0000DB6B0000}"/>
    <cellStyle name="Style 393 4" xfId="19101" xr:uid="{00000000-0005-0000-0000-0000DC6B0000}"/>
    <cellStyle name="Style 394" xfId="19102" xr:uid="{00000000-0005-0000-0000-0000DD6B0000}"/>
    <cellStyle name="Style 394 2" xfId="19103" xr:uid="{00000000-0005-0000-0000-0000DE6B0000}"/>
    <cellStyle name="Style 394 3" xfId="19104" xr:uid="{00000000-0005-0000-0000-0000DF6B0000}"/>
    <cellStyle name="Style 395" xfId="19105" xr:uid="{00000000-0005-0000-0000-0000E06B0000}"/>
    <cellStyle name="Style 395 2" xfId="19106" xr:uid="{00000000-0005-0000-0000-0000E16B0000}"/>
    <cellStyle name="Style 395 3" xfId="19107" xr:uid="{00000000-0005-0000-0000-0000E26B0000}"/>
    <cellStyle name="Style 396" xfId="19108" xr:uid="{00000000-0005-0000-0000-0000E36B0000}"/>
    <cellStyle name="Style 397" xfId="19109" xr:uid="{00000000-0005-0000-0000-0000E46B0000}"/>
    <cellStyle name="Style 398" xfId="19110" xr:uid="{00000000-0005-0000-0000-0000E56B0000}"/>
    <cellStyle name="Style 398 2" xfId="19111" xr:uid="{00000000-0005-0000-0000-0000E66B0000}"/>
    <cellStyle name="Style 399" xfId="19112" xr:uid="{00000000-0005-0000-0000-0000E76B0000}"/>
    <cellStyle name="Style 399 2" xfId="19113" xr:uid="{00000000-0005-0000-0000-0000E86B0000}"/>
    <cellStyle name="Style 400" xfId="19114" xr:uid="{00000000-0005-0000-0000-0000E96B0000}"/>
    <cellStyle name="Style 401" xfId="19115" xr:uid="{00000000-0005-0000-0000-0000EA6B0000}"/>
    <cellStyle name="Style 402" xfId="19116" xr:uid="{00000000-0005-0000-0000-0000EB6B0000}"/>
    <cellStyle name="Style 403" xfId="19117" xr:uid="{00000000-0005-0000-0000-0000EC6B0000}"/>
    <cellStyle name="Style 404" xfId="19118" xr:uid="{00000000-0005-0000-0000-0000ED6B0000}"/>
    <cellStyle name="Style 405" xfId="19119" xr:uid="{00000000-0005-0000-0000-0000EE6B0000}"/>
    <cellStyle name="Style 406" xfId="19120" xr:uid="{00000000-0005-0000-0000-0000EF6B0000}"/>
    <cellStyle name="Style 407" xfId="19121" xr:uid="{00000000-0005-0000-0000-0000F06B0000}"/>
    <cellStyle name="Style 408" xfId="19122" xr:uid="{00000000-0005-0000-0000-0000F16B0000}"/>
    <cellStyle name="Style 409" xfId="19123" xr:uid="{00000000-0005-0000-0000-0000F26B0000}"/>
    <cellStyle name="Style 410" xfId="19124" xr:uid="{00000000-0005-0000-0000-0000F36B0000}"/>
    <cellStyle name="Style 410 2" xfId="19125" xr:uid="{00000000-0005-0000-0000-0000F46B0000}"/>
    <cellStyle name="Style 410 3" xfId="19126" xr:uid="{00000000-0005-0000-0000-0000F56B0000}"/>
    <cellStyle name="Style 411" xfId="19127" xr:uid="{00000000-0005-0000-0000-0000F66B0000}"/>
    <cellStyle name="Style 42" xfId="19128" xr:uid="{00000000-0005-0000-0000-0000F76B0000}"/>
    <cellStyle name="Style 42 2" xfId="19129" xr:uid="{00000000-0005-0000-0000-0000F86B0000}"/>
    <cellStyle name="Style 42 2 2" xfId="22526" xr:uid="{00000000-0005-0000-0000-0000F96B0000}"/>
    <cellStyle name="Style 42 3" xfId="19130" xr:uid="{00000000-0005-0000-0000-0000FA6B0000}"/>
    <cellStyle name="Style 42 3 2" xfId="22527" xr:uid="{00000000-0005-0000-0000-0000FB6B0000}"/>
    <cellStyle name="Style 42 4" xfId="22525" xr:uid="{00000000-0005-0000-0000-0000FC6B0000}"/>
    <cellStyle name="Style 438" xfId="19131" xr:uid="{00000000-0005-0000-0000-0000FD6B0000}"/>
    <cellStyle name="Style 439" xfId="19132" xr:uid="{00000000-0005-0000-0000-0000FE6B0000}"/>
    <cellStyle name="Style 439 2" xfId="19133" xr:uid="{00000000-0005-0000-0000-0000FF6B0000}"/>
    <cellStyle name="Style 439 3" xfId="19134" xr:uid="{00000000-0005-0000-0000-0000006C0000}"/>
    <cellStyle name="Style 439 4" xfId="19135" xr:uid="{00000000-0005-0000-0000-0000016C0000}"/>
    <cellStyle name="Style 44" xfId="19136" xr:uid="{00000000-0005-0000-0000-0000026C0000}"/>
    <cellStyle name="Style 44 2" xfId="19137" xr:uid="{00000000-0005-0000-0000-0000036C0000}"/>
    <cellStyle name="Style 44 2 2" xfId="22529" xr:uid="{00000000-0005-0000-0000-0000046C0000}"/>
    <cellStyle name="Style 44 3" xfId="19138" xr:uid="{00000000-0005-0000-0000-0000056C0000}"/>
    <cellStyle name="Style 44 3 2" xfId="22530" xr:uid="{00000000-0005-0000-0000-0000066C0000}"/>
    <cellStyle name="Style 44 4" xfId="22528" xr:uid="{00000000-0005-0000-0000-0000076C0000}"/>
    <cellStyle name="Style 440" xfId="19139" xr:uid="{00000000-0005-0000-0000-0000086C0000}"/>
    <cellStyle name="Style 440 2" xfId="19140" xr:uid="{00000000-0005-0000-0000-0000096C0000}"/>
    <cellStyle name="Style 440 3" xfId="19141" xr:uid="{00000000-0005-0000-0000-00000A6C0000}"/>
    <cellStyle name="Style 440 4" xfId="19142" xr:uid="{00000000-0005-0000-0000-00000B6C0000}"/>
    <cellStyle name="Style 441" xfId="19143" xr:uid="{00000000-0005-0000-0000-00000C6C0000}"/>
    <cellStyle name="Style 441 2" xfId="19144" xr:uid="{00000000-0005-0000-0000-00000D6C0000}"/>
    <cellStyle name="Style 441 3" xfId="19145" xr:uid="{00000000-0005-0000-0000-00000E6C0000}"/>
    <cellStyle name="Style 441 4" xfId="19146" xr:uid="{00000000-0005-0000-0000-00000F6C0000}"/>
    <cellStyle name="Style 442" xfId="19147" xr:uid="{00000000-0005-0000-0000-0000106C0000}"/>
    <cellStyle name="Style 442 2" xfId="19148" xr:uid="{00000000-0005-0000-0000-0000116C0000}"/>
    <cellStyle name="Style 442 3" xfId="19149" xr:uid="{00000000-0005-0000-0000-0000126C0000}"/>
    <cellStyle name="Style 442 4" xfId="19150" xr:uid="{00000000-0005-0000-0000-0000136C0000}"/>
    <cellStyle name="Style 443" xfId="19151" xr:uid="{00000000-0005-0000-0000-0000146C0000}"/>
    <cellStyle name="Style 444" xfId="19152" xr:uid="{00000000-0005-0000-0000-0000156C0000}"/>
    <cellStyle name="Style 445" xfId="19153" xr:uid="{00000000-0005-0000-0000-0000166C0000}"/>
    <cellStyle name="Style 446" xfId="19154" xr:uid="{00000000-0005-0000-0000-0000176C0000}"/>
    <cellStyle name="Style 447" xfId="19155" xr:uid="{00000000-0005-0000-0000-0000186C0000}"/>
    <cellStyle name="Style 448" xfId="19156" xr:uid="{00000000-0005-0000-0000-0000196C0000}"/>
    <cellStyle name="Style 449" xfId="19157" xr:uid="{00000000-0005-0000-0000-00001A6C0000}"/>
    <cellStyle name="Style 45" xfId="19158" xr:uid="{00000000-0005-0000-0000-00001B6C0000}"/>
    <cellStyle name="Style 45 2" xfId="19159" xr:uid="{00000000-0005-0000-0000-00001C6C0000}"/>
    <cellStyle name="Style 45 2 2" xfId="22532" xr:uid="{00000000-0005-0000-0000-00001D6C0000}"/>
    <cellStyle name="Style 45 3" xfId="19160" xr:uid="{00000000-0005-0000-0000-00001E6C0000}"/>
    <cellStyle name="Style 45 3 2" xfId="22533" xr:uid="{00000000-0005-0000-0000-00001F6C0000}"/>
    <cellStyle name="Style 45 4" xfId="22531" xr:uid="{00000000-0005-0000-0000-0000206C0000}"/>
    <cellStyle name="Style 450" xfId="19161" xr:uid="{00000000-0005-0000-0000-0000216C0000}"/>
    <cellStyle name="Style 451" xfId="19162" xr:uid="{00000000-0005-0000-0000-0000226C0000}"/>
    <cellStyle name="Style 451 2" xfId="19163" xr:uid="{00000000-0005-0000-0000-0000236C0000}"/>
    <cellStyle name="Style 451 3" xfId="19164" xr:uid="{00000000-0005-0000-0000-0000246C0000}"/>
    <cellStyle name="Style 451 4" xfId="19165" xr:uid="{00000000-0005-0000-0000-0000256C0000}"/>
    <cellStyle name="Style 452" xfId="19166" xr:uid="{00000000-0005-0000-0000-0000266C0000}"/>
    <cellStyle name="Style 452 2" xfId="19167" xr:uid="{00000000-0005-0000-0000-0000276C0000}"/>
    <cellStyle name="Style 452 3" xfId="19168" xr:uid="{00000000-0005-0000-0000-0000286C0000}"/>
    <cellStyle name="Style 452 4" xfId="19169" xr:uid="{00000000-0005-0000-0000-0000296C0000}"/>
    <cellStyle name="Style 453" xfId="19170" xr:uid="{00000000-0005-0000-0000-00002A6C0000}"/>
    <cellStyle name="Style 453 2" xfId="19171" xr:uid="{00000000-0005-0000-0000-00002B6C0000}"/>
    <cellStyle name="Style 453 3" xfId="19172" xr:uid="{00000000-0005-0000-0000-00002C6C0000}"/>
    <cellStyle name="Style 453 4" xfId="19173" xr:uid="{00000000-0005-0000-0000-00002D6C0000}"/>
    <cellStyle name="Style 459" xfId="19174" xr:uid="{00000000-0005-0000-0000-00002E6C0000}"/>
    <cellStyle name="Style 460" xfId="19175" xr:uid="{00000000-0005-0000-0000-00002F6C0000}"/>
    <cellStyle name="Style 461" xfId="19176" xr:uid="{00000000-0005-0000-0000-0000306C0000}"/>
    <cellStyle name="Style 462" xfId="19177" xr:uid="{00000000-0005-0000-0000-0000316C0000}"/>
    <cellStyle name="Style 463" xfId="19178" xr:uid="{00000000-0005-0000-0000-0000326C0000}"/>
    <cellStyle name="Style 464" xfId="19179" xr:uid="{00000000-0005-0000-0000-0000336C0000}"/>
    <cellStyle name="Style 465" xfId="19180" xr:uid="{00000000-0005-0000-0000-0000346C0000}"/>
    <cellStyle name="Style 466" xfId="19181" xr:uid="{00000000-0005-0000-0000-0000356C0000}"/>
    <cellStyle name="Style 467" xfId="19182" xr:uid="{00000000-0005-0000-0000-0000366C0000}"/>
    <cellStyle name="Style 468" xfId="19183" xr:uid="{00000000-0005-0000-0000-0000376C0000}"/>
    <cellStyle name="Style 469" xfId="19184" xr:uid="{00000000-0005-0000-0000-0000386C0000}"/>
    <cellStyle name="Style 469 2" xfId="19185" xr:uid="{00000000-0005-0000-0000-0000396C0000}"/>
    <cellStyle name="Style 469 3" xfId="19186" xr:uid="{00000000-0005-0000-0000-00003A6C0000}"/>
    <cellStyle name="Style 47" xfId="19187" xr:uid="{00000000-0005-0000-0000-00003B6C0000}"/>
    <cellStyle name="Style 47 2" xfId="19188" xr:uid="{00000000-0005-0000-0000-00003C6C0000}"/>
    <cellStyle name="Style 47 2 2" xfId="22535" xr:uid="{00000000-0005-0000-0000-00003D6C0000}"/>
    <cellStyle name="Style 47 3" xfId="19189" xr:uid="{00000000-0005-0000-0000-00003E6C0000}"/>
    <cellStyle name="Style 47 3 2" xfId="22536" xr:uid="{00000000-0005-0000-0000-00003F6C0000}"/>
    <cellStyle name="Style 47 4" xfId="22534" xr:uid="{00000000-0005-0000-0000-0000406C0000}"/>
    <cellStyle name="Style 470" xfId="19190" xr:uid="{00000000-0005-0000-0000-0000416C0000}"/>
    <cellStyle name="Style 471" xfId="19191" xr:uid="{00000000-0005-0000-0000-0000426C0000}"/>
    <cellStyle name="Style 482" xfId="19192" xr:uid="{00000000-0005-0000-0000-0000436C0000}"/>
    <cellStyle name="Style 483" xfId="19193" xr:uid="{00000000-0005-0000-0000-0000446C0000}"/>
    <cellStyle name="Style 483 2" xfId="19194" xr:uid="{00000000-0005-0000-0000-0000456C0000}"/>
    <cellStyle name="Style 483 3" xfId="19195" xr:uid="{00000000-0005-0000-0000-0000466C0000}"/>
    <cellStyle name="Style 483 4" xfId="19196" xr:uid="{00000000-0005-0000-0000-0000476C0000}"/>
    <cellStyle name="Style 484" xfId="19197" xr:uid="{00000000-0005-0000-0000-0000486C0000}"/>
    <cellStyle name="Style 484 2" xfId="19198" xr:uid="{00000000-0005-0000-0000-0000496C0000}"/>
    <cellStyle name="Style 484 3" xfId="19199" xr:uid="{00000000-0005-0000-0000-00004A6C0000}"/>
    <cellStyle name="Style 484 4" xfId="19200" xr:uid="{00000000-0005-0000-0000-00004B6C0000}"/>
    <cellStyle name="Style 485" xfId="19201" xr:uid="{00000000-0005-0000-0000-00004C6C0000}"/>
    <cellStyle name="Style 485 2" xfId="19202" xr:uid="{00000000-0005-0000-0000-00004D6C0000}"/>
    <cellStyle name="Style 485 3" xfId="19203" xr:uid="{00000000-0005-0000-0000-00004E6C0000}"/>
    <cellStyle name="Style 485 4" xfId="19204" xr:uid="{00000000-0005-0000-0000-00004F6C0000}"/>
    <cellStyle name="Style 486" xfId="19205" xr:uid="{00000000-0005-0000-0000-0000506C0000}"/>
    <cellStyle name="Style 487" xfId="19206" xr:uid="{00000000-0005-0000-0000-0000516C0000}"/>
    <cellStyle name="Style 488" xfId="19207" xr:uid="{00000000-0005-0000-0000-0000526C0000}"/>
    <cellStyle name="Style 489" xfId="19208" xr:uid="{00000000-0005-0000-0000-0000536C0000}"/>
    <cellStyle name="Style 49" xfId="19209" xr:uid="{00000000-0005-0000-0000-0000546C0000}"/>
    <cellStyle name="Style 49 2" xfId="19210" xr:uid="{00000000-0005-0000-0000-0000556C0000}"/>
    <cellStyle name="Style 49 2 2" xfId="22538" xr:uid="{00000000-0005-0000-0000-0000566C0000}"/>
    <cellStyle name="Style 49 3" xfId="19211" xr:uid="{00000000-0005-0000-0000-0000576C0000}"/>
    <cellStyle name="Style 49 3 2" xfId="22539" xr:uid="{00000000-0005-0000-0000-0000586C0000}"/>
    <cellStyle name="Style 49 4" xfId="22537" xr:uid="{00000000-0005-0000-0000-0000596C0000}"/>
    <cellStyle name="Style 490" xfId="19212" xr:uid="{00000000-0005-0000-0000-00005A6C0000}"/>
    <cellStyle name="Style 491" xfId="19213" xr:uid="{00000000-0005-0000-0000-00005B6C0000}"/>
    <cellStyle name="Style 492" xfId="19214" xr:uid="{00000000-0005-0000-0000-00005C6C0000}"/>
    <cellStyle name="Style 493" xfId="19215" xr:uid="{00000000-0005-0000-0000-00005D6C0000}"/>
    <cellStyle name="Style 494" xfId="19216" xr:uid="{00000000-0005-0000-0000-00005E6C0000}"/>
    <cellStyle name="Style 495" xfId="19217" xr:uid="{00000000-0005-0000-0000-00005F6C0000}"/>
    <cellStyle name="Style 496" xfId="19218" xr:uid="{00000000-0005-0000-0000-0000606C0000}"/>
    <cellStyle name="Style 496 2" xfId="19219" xr:uid="{00000000-0005-0000-0000-0000616C0000}"/>
    <cellStyle name="Style 496 3" xfId="19220" xr:uid="{00000000-0005-0000-0000-0000626C0000}"/>
    <cellStyle name="Style 497" xfId="19221" xr:uid="{00000000-0005-0000-0000-0000636C0000}"/>
    <cellStyle name="Style 498" xfId="19222" xr:uid="{00000000-0005-0000-0000-0000646C0000}"/>
    <cellStyle name="Style 499" xfId="19223" xr:uid="{00000000-0005-0000-0000-0000656C0000}"/>
    <cellStyle name="Style 50" xfId="19224" xr:uid="{00000000-0005-0000-0000-0000666C0000}"/>
    <cellStyle name="Style 50 2" xfId="19225" xr:uid="{00000000-0005-0000-0000-0000676C0000}"/>
    <cellStyle name="Style 50 2 2" xfId="22541" xr:uid="{00000000-0005-0000-0000-0000686C0000}"/>
    <cellStyle name="Style 50 3" xfId="19226" xr:uid="{00000000-0005-0000-0000-0000696C0000}"/>
    <cellStyle name="Style 50 3 2" xfId="22542" xr:uid="{00000000-0005-0000-0000-00006A6C0000}"/>
    <cellStyle name="Style 50 4" xfId="22540" xr:uid="{00000000-0005-0000-0000-00006B6C0000}"/>
    <cellStyle name="Style 500" xfId="19227" xr:uid="{00000000-0005-0000-0000-00006C6C0000}"/>
    <cellStyle name="Style 501" xfId="19228" xr:uid="{00000000-0005-0000-0000-00006D6C0000}"/>
    <cellStyle name="Style 502" xfId="19229" xr:uid="{00000000-0005-0000-0000-00006E6C0000}"/>
    <cellStyle name="Style 503" xfId="19230" xr:uid="{00000000-0005-0000-0000-00006F6C0000}"/>
    <cellStyle name="Style 504" xfId="19231" xr:uid="{00000000-0005-0000-0000-0000706C0000}"/>
    <cellStyle name="Style 51" xfId="19232" xr:uid="{00000000-0005-0000-0000-0000716C0000}"/>
    <cellStyle name="Style 51 2" xfId="19233" xr:uid="{00000000-0005-0000-0000-0000726C0000}"/>
    <cellStyle name="Style 51 2 2" xfId="22544" xr:uid="{00000000-0005-0000-0000-0000736C0000}"/>
    <cellStyle name="Style 51 3" xfId="19234" xr:uid="{00000000-0005-0000-0000-0000746C0000}"/>
    <cellStyle name="Style 51 3 2" xfId="22545" xr:uid="{00000000-0005-0000-0000-0000756C0000}"/>
    <cellStyle name="Style 51 4" xfId="22543" xr:uid="{00000000-0005-0000-0000-0000766C0000}"/>
    <cellStyle name="Style 521" xfId="19235" xr:uid="{00000000-0005-0000-0000-0000776C0000}"/>
    <cellStyle name="Style 522" xfId="19236" xr:uid="{00000000-0005-0000-0000-0000786C0000}"/>
    <cellStyle name="Style 522 2" xfId="19237" xr:uid="{00000000-0005-0000-0000-0000796C0000}"/>
    <cellStyle name="Style 522 2 2" xfId="22547" xr:uid="{00000000-0005-0000-0000-00007A6C0000}"/>
    <cellStyle name="Style 522 3" xfId="19238" xr:uid="{00000000-0005-0000-0000-00007B6C0000}"/>
    <cellStyle name="Style 522 3 2" xfId="22548" xr:uid="{00000000-0005-0000-0000-00007C6C0000}"/>
    <cellStyle name="Style 522 4" xfId="22546" xr:uid="{00000000-0005-0000-0000-00007D6C0000}"/>
    <cellStyle name="Style 523" xfId="19239" xr:uid="{00000000-0005-0000-0000-00007E6C0000}"/>
    <cellStyle name="Style 523 2" xfId="19240" xr:uid="{00000000-0005-0000-0000-00007F6C0000}"/>
    <cellStyle name="Style 523 3" xfId="19241" xr:uid="{00000000-0005-0000-0000-0000806C0000}"/>
    <cellStyle name="Style 523 4" xfId="19242" xr:uid="{00000000-0005-0000-0000-0000816C0000}"/>
    <cellStyle name="Style 524" xfId="19243" xr:uid="{00000000-0005-0000-0000-0000826C0000}"/>
    <cellStyle name="Style 524 2" xfId="19244" xr:uid="{00000000-0005-0000-0000-0000836C0000}"/>
    <cellStyle name="Style 524 3" xfId="19245" xr:uid="{00000000-0005-0000-0000-0000846C0000}"/>
    <cellStyle name="Style 524 4" xfId="19246" xr:uid="{00000000-0005-0000-0000-0000856C0000}"/>
    <cellStyle name="Style 525" xfId="19247" xr:uid="{00000000-0005-0000-0000-0000866C0000}"/>
    <cellStyle name="Style 526" xfId="19248" xr:uid="{00000000-0005-0000-0000-0000876C0000}"/>
    <cellStyle name="Style 527" xfId="19249" xr:uid="{00000000-0005-0000-0000-0000886C0000}"/>
    <cellStyle name="Style 528" xfId="19250" xr:uid="{00000000-0005-0000-0000-0000896C0000}"/>
    <cellStyle name="Style 529" xfId="19251" xr:uid="{00000000-0005-0000-0000-00008A6C0000}"/>
    <cellStyle name="Style 53" xfId="19252" xr:uid="{00000000-0005-0000-0000-00008B6C0000}"/>
    <cellStyle name="Style 53 2" xfId="19253" xr:uid="{00000000-0005-0000-0000-00008C6C0000}"/>
    <cellStyle name="Style 53 2 2" xfId="22550" xr:uid="{00000000-0005-0000-0000-00008D6C0000}"/>
    <cellStyle name="Style 53 3" xfId="19254" xr:uid="{00000000-0005-0000-0000-00008E6C0000}"/>
    <cellStyle name="Style 53 3 2" xfId="22551" xr:uid="{00000000-0005-0000-0000-00008F6C0000}"/>
    <cellStyle name="Style 53 4" xfId="22549" xr:uid="{00000000-0005-0000-0000-0000906C0000}"/>
    <cellStyle name="Style 530" xfId="19255" xr:uid="{00000000-0005-0000-0000-0000916C0000}"/>
    <cellStyle name="Style 531" xfId="19256" xr:uid="{00000000-0005-0000-0000-0000926C0000}"/>
    <cellStyle name="Style 531 2" xfId="19257" xr:uid="{00000000-0005-0000-0000-0000936C0000}"/>
    <cellStyle name="Style 531 3" xfId="19258" xr:uid="{00000000-0005-0000-0000-0000946C0000}"/>
    <cellStyle name="Style 532" xfId="19259" xr:uid="{00000000-0005-0000-0000-0000956C0000}"/>
    <cellStyle name="Style 533" xfId="19260" xr:uid="{00000000-0005-0000-0000-0000966C0000}"/>
    <cellStyle name="Style 533 2" xfId="19261" xr:uid="{00000000-0005-0000-0000-0000976C0000}"/>
    <cellStyle name="Style 533 3" xfId="19262" xr:uid="{00000000-0005-0000-0000-0000986C0000}"/>
    <cellStyle name="Style 533 4" xfId="19263" xr:uid="{00000000-0005-0000-0000-0000996C0000}"/>
    <cellStyle name="Style 534" xfId="19264" xr:uid="{00000000-0005-0000-0000-00009A6C0000}"/>
    <cellStyle name="Style 534 2" xfId="19265" xr:uid="{00000000-0005-0000-0000-00009B6C0000}"/>
    <cellStyle name="Style 534 3" xfId="19266" xr:uid="{00000000-0005-0000-0000-00009C6C0000}"/>
    <cellStyle name="Style 534 4" xfId="19267" xr:uid="{00000000-0005-0000-0000-00009D6C0000}"/>
    <cellStyle name="Style 535" xfId="19268" xr:uid="{00000000-0005-0000-0000-00009E6C0000}"/>
    <cellStyle name="Style 536" xfId="19269" xr:uid="{00000000-0005-0000-0000-00009F6C0000}"/>
    <cellStyle name="Style 537" xfId="19270" xr:uid="{00000000-0005-0000-0000-0000A06C0000}"/>
    <cellStyle name="Style 538" xfId="19271" xr:uid="{00000000-0005-0000-0000-0000A16C0000}"/>
    <cellStyle name="Style 539" xfId="19272" xr:uid="{00000000-0005-0000-0000-0000A26C0000}"/>
    <cellStyle name="Style 540" xfId="19273" xr:uid="{00000000-0005-0000-0000-0000A36C0000}"/>
    <cellStyle name="Style 541" xfId="19274" xr:uid="{00000000-0005-0000-0000-0000A46C0000}"/>
    <cellStyle name="Style 541 2" xfId="19275" xr:uid="{00000000-0005-0000-0000-0000A56C0000}"/>
    <cellStyle name="Style 541 3" xfId="19276" xr:uid="{00000000-0005-0000-0000-0000A66C0000}"/>
    <cellStyle name="subhead" xfId="514" xr:uid="{00000000-0005-0000-0000-0000A76C0000}"/>
    <cellStyle name="Subtotal" xfId="515" xr:uid="{00000000-0005-0000-0000-0000A86C0000}"/>
    <cellStyle name="SWT-Number" xfId="22740" xr:uid="{00000000-0005-0000-0000-0000A96C0000}"/>
    <cellStyle name="SWT-Title" xfId="22741" xr:uid="{00000000-0005-0000-0000-0000AA6C0000}"/>
    <cellStyle name="SWT-Unprotect" xfId="22742" xr:uid="{00000000-0005-0000-0000-0000AB6C0000}"/>
    <cellStyle name="Text Indent A" xfId="516" xr:uid="{00000000-0005-0000-0000-0000AC6C0000}"/>
    <cellStyle name="Text Indent B" xfId="517" xr:uid="{00000000-0005-0000-0000-0000AD6C0000}"/>
    <cellStyle name="Text Indent C" xfId="518" xr:uid="{00000000-0005-0000-0000-0000AE6C0000}"/>
    <cellStyle name="title [1]" xfId="519" xr:uid="{00000000-0005-0000-0000-0000AF6C0000}"/>
    <cellStyle name="title [2]" xfId="520" xr:uid="{00000000-0005-0000-0000-0000B06C0000}"/>
    <cellStyle name="Title 10" xfId="521" xr:uid="{00000000-0005-0000-0000-0000B16C0000}"/>
    <cellStyle name="Title 2" xfId="522" xr:uid="{00000000-0005-0000-0000-0000B26C0000}"/>
    <cellStyle name="Title 3" xfId="523" xr:uid="{00000000-0005-0000-0000-0000B36C0000}"/>
    <cellStyle name="Title 4" xfId="524" xr:uid="{00000000-0005-0000-0000-0000B46C0000}"/>
    <cellStyle name="Title 5" xfId="525" xr:uid="{00000000-0005-0000-0000-0000B56C0000}"/>
    <cellStyle name="Title 6" xfId="526" xr:uid="{00000000-0005-0000-0000-0000B66C0000}"/>
    <cellStyle name="Title 7" xfId="527" xr:uid="{00000000-0005-0000-0000-0000B76C0000}"/>
    <cellStyle name="Title 8" xfId="528" xr:uid="{00000000-0005-0000-0000-0000B86C0000}"/>
    <cellStyle name="Title 9" xfId="529" xr:uid="{00000000-0005-0000-0000-0000B96C0000}"/>
    <cellStyle name="topbot" xfId="530" xr:uid="{00000000-0005-0000-0000-0000BA6C0000}"/>
    <cellStyle name="topbot 2" xfId="531" xr:uid="{00000000-0005-0000-0000-0000BB6C0000}"/>
    <cellStyle name="Total 2" xfId="532" xr:uid="{00000000-0005-0000-0000-0000BC6C0000}"/>
    <cellStyle name="Total 3" xfId="533" xr:uid="{00000000-0005-0000-0000-0000BD6C0000}"/>
    <cellStyle name="version" xfId="22743" xr:uid="{00000000-0005-0000-0000-0000BE6C0000}"/>
    <cellStyle name="Währung [0]_Compiling Utility Macros" xfId="534" xr:uid="{00000000-0005-0000-0000-0000BF6C0000}"/>
    <cellStyle name="Währung_Compiling Utility Macros" xfId="535" xr:uid="{00000000-0005-0000-0000-0000C06C0000}"/>
    <cellStyle name="Warning Text 2" xfId="536" xr:uid="{00000000-0005-0000-0000-0000C16C0000}"/>
    <cellStyle name="YEL" xfId="22744" xr:uid="{00000000-0005-0000-0000-0000C26C0000}"/>
    <cellStyle name="YEL 2" xfId="22745" xr:uid="{00000000-0005-0000-0000-0000C36C0000}"/>
    <cellStyle name="강조색1" xfId="537" xr:uid="{00000000-0005-0000-0000-0000C46C0000}"/>
    <cellStyle name="강조색2" xfId="538" xr:uid="{00000000-0005-0000-0000-0000C56C0000}"/>
    <cellStyle name="강조색3" xfId="539" xr:uid="{00000000-0005-0000-0000-0000C66C0000}"/>
    <cellStyle name="강조색4" xfId="540" xr:uid="{00000000-0005-0000-0000-0000C76C0000}"/>
    <cellStyle name="강조색5" xfId="541" xr:uid="{00000000-0005-0000-0000-0000C86C0000}"/>
    <cellStyle name="강조색6" xfId="542" xr:uid="{00000000-0005-0000-0000-0000C96C0000}"/>
    <cellStyle name="경고문" xfId="543" xr:uid="{00000000-0005-0000-0000-0000CA6C0000}"/>
    <cellStyle name="계산" xfId="544" xr:uid="{00000000-0005-0000-0000-0000CB6C0000}"/>
    <cellStyle name="고정소숫점" xfId="545" xr:uid="{00000000-0005-0000-0000-0000CC6C0000}"/>
    <cellStyle name="고정출력1" xfId="546" xr:uid="{00000000-0005-0000-0000-0000CD6C0000}"/>
    <cellStyle name="고정출력2" xfId="547" xr:uid="{00000000-0005-0000-0000-0000CE6C0000}"/>
    <cellStyle name="기본숫자" xfId="548" xr:uid="{00000000-0005-0000-0000-0000CF6C0000}"/>
    <cellStyle name="기본숫자 2" xfId="19415" xr:uid="{00000000-0005-0000-0000-0000D06C0000}"/>
    <cellStyle name="나쁨" xfId="549" xr:uid="{00000000-0005-0000-0000-0000D16C0000}"/>
    <cellStyle name="날짜" xfId="550" xr:uid="{00000000-0005-0000-0000-0000D26C0000}"/>
    <cellStyle name="내역서" xfId="551" xr:uid="{00000000-0005-0000-0000-0000D36C0000}"/>
    <cellStyle name="내역서 2" xfId="552" xr:uid="{00000000-0005-0000-0000-0000D46C0000}"/>
    <cellStyle name="내역서 3" xfId="553" xr:uid="{00000000-0005-0000-0000-0000D56C0000}"/>
    <cellStyle name="내역서 4" xfId="554" xr:uid="{00000000-0005-0000-0000-0000D66C0000}"/>
    <cellStyle name="단가" xfId="555" xr:uid="{00000000-0005-0000-0000-0000D76C0000}"/>
    <cellStyle name="달러" xfId="556" xr:uid="{00000000-0005-0000-0000-0000D86C0000}"/>
    <cellStyle name="뒤에 오는 하이퍼링크_0512" xfId="557" xr:uid="{00000000-0005-0000-0000-0000D96C0000}"/>
    <cellStyle name="똿뗦먛귟 [0.00]_PRODUCT DETAIL Q1" xfId="558" xr:uid="{00000000-0005-0000-0000-0000DA6C0000}"/>
    <cellStyle name="똿뗦먛귟_PRODUCT DETAIL Q1" xfId="559" xr:uid="{00000000-0005-0000-0000-0000DB6C0000}"/>
    <cellStyle name="메모" xfId="560" xr:uid="{00000000-0005-0000-0000-0000DC6C0000}"/>
    <cellStyle name="믅됞 [0.00]_PRODUCT DETAIL Q1" xfId="561" xr:uid="{00000000-0005-0000-0000-0000DD6C0000}"/>
    <cellStyle name="믅됞_PRODUCT DETAIL Q1" xfId="562" xr:uid="{00000000-0005-0000-0000-0000DE6C0000}"/>
    <cellStyle name="백분율 [0]" xfId="563" xr:uid="{00000000-0005-0000-0000-0000DF6C0000}"/>
    <cellStyle name="백분율 [2]" xfId="564" xr:uid="{00000000-0005-0000-0000-0000E06C0000}"/>
    <cellStyle name="보통" xfId="565" xr:uid="{00000000-0005-0000-0000-0000E16C0000}"/>
    <cellStyle name="뷭?_BOOKSHIP" xfId="566" xr:uid="{00000000-0005-0000-0000-0000E26C0000}"/>
    <cellStyle name="설명 텍스트" xfId="567" xr:uid="{00000000-0005-0000-0000-0000E36C0000}"/>
    <cellStyle name="셀 확인" xfId="568" xr:uid="{00000000-0005-0000-0000-0000E46C0000}"/>
    <cellStyle name="수량" xfId="569" xr:uid="{00000000-0005-0000-0000-0000E56C0000}"/>
    <cellStyle name="숫자(R)" xfId="570" xr:uid="{00000000-0005-0000-0000-0000E66C0000}"/>
    <cellStyle name="쉼표 [0] 2" xfId="571" xr:uid="{00000000-0005-0000-0000-0000E76C0000}"/>
    <cellStyle name="쉼표 [0]_041222_Prov Sum_DK" xfId="572" xr:uid="{00000000-0005-0000-0000-0000E86C0000}"/>
    <cellStyle name="스타일 1" xfId="573" xr:uid="{00000000-0005-0000-0000-0000E96C0000}"/>
    <cellStyle name="스타일 2" xfId="574" xr:uid="{00000000-0005-0000-0000-0000EA6C0000}"/>
    <cellStyle name="안건회계법인" xfId="575" xr:uid="{00000000-0005-0000-0000-0000EB6C0000}"/>
    <cellStyle name="연결된 셀" xfId="576" xr:uid="{00000000-0005-0000-0000-0000EC6C0000}"/>
    <cellStyle name="왼쪽2" xfId="577" xr:uid="{00000000-0005-0000-0000-0000ED6C0000}"/>
    <cellStyle name="왼쪽2 2" xfId="19416" xr:uid="{00000000-0005-0000-0000-0000EE6C0000}"/>
    <cellStyle name="요약" xfId="578" xr:uid="{00000000-0005-0000-0000-0000EF6C0000}"/>
    <cellStyle name="입력" xfId="579" xr:uid="{00000000-0005-0000-0000-0000F06C0000}"/>
    <cellStyle name="자리수" xfId="580" xr:uid="{00000000-0005-0000-0000-0000F16C0000}"/>
    <cellStyle name="자리수0" xfId="581" xr:uid="{00000000-0005-0000-0000-0000F26C0000}"/>
    <cellStyle name="제목" xfId="582" xr:uid="{00000000-0005-0000-0000-0000F36C0000}"/>
    <cellStyle name="제목 1" xfId="583" xr:uid="{00000000-0005-0000-0000-0000F46C0000}"/>
    <cellStyle name="제목 2" xfId="584" xr:uid="{00000000-0005-0000-0000-0000F56C0000}"/>
    <cellStyle name="제목 3" xfId="585" xr:uid="{00000000-0005-0000-0000-0000F66C0000}"/>
    <cellStyle name="제목 4" xfId="586" xr:uid="{00000000-0005-0000-0000-0000F76C0000}"/>
    <cellStyle name="좋음" xfId="587" xr:uid="{00000000-0005-0000-0000-0000F86C0000}"/>
    <cellStyle name="지정되지 않음" xfId="588" xr:uid="{00000000-0005-0000-0000-0000F96C0000}"/>
    <cellStyle name="출력" xfId="589" xr:uid="{00000000-0005-0000-0000-0000FA6C0000}"/>
    <cellStyle name="콤마 [0]" xfId="590" xr:uid="{00000000-0005-0000-0000-0000FB6C0000}"/>
    <cellStyle name="콤마 [2]" xfId="591" xr:uid="{00000000-0005-0000-0000-0000FC6C0000}"/>
    <cellStyle name="콤마_  종  합  " xfId="592" xr:uid="{00000000-0005-0000-0000-0000FD6C0000}"/>
    <cellStyle name="통화 [0]_1202" xfId="593" xr:uid="{00000000-0005-0000-0000-0000FE6C0000}"/>
    <cellStyle name="통화_1202" xfId="594" xr:uid="{00000000-0005-0000-0000-0000FF6C0000}"/>
    <cellStyle name="퍼센트" xfId="595" xr:uid="{00000000-0005-0000-0000-0000006D0000}"/>
    <cellStyle name="표준 2" xfId="596" xr:uid="{00000000-0005-0000-0000-0000016D0000}"/>
    <cellStyle name="표준_(정보부문)월별인원계획" xfId="597" xr:uid="{00000000-0005-0000-0000-0000026D0000}"/>
    <cellStyle name="합산" xfId="598" xr:uid="{00000000-0005-0000-0000-0000036D0000}"/>
    <cellStyle name="화폐기호" xfId="599" xr:uid="{00000000-0005-0000-0000-0000046D0000}"/>
    <cellStyle name="화폐기호0" xfId="600" xr:uid="{00000000-0005-0000-0000-0000056D0000}"/>
    <cellStyle name="一般_a.clad" xfId="601" xr:uid="{00000000-0005-0000-0000-0000066D0000}"/>
    <cellStyle name="千位[0]_laroux" xfId="22746" xr:uid="{00000000-0005-0000-0000-0000076D0000}"/>
    <cellStyle name="千位_laroux" xfId="22747" xr:uid="{00000000-0005-0000-0000-0000086D0000}"/>
    <cellStyle name="千分位[0]_a.clad" xfId="602" xr:uid="{00000000-0005-0000-0000-0000096D0000}"/>
    <cellStyle name="千分位_a.clad" xfId="603" xr:uid="{00000000-0005-0000-0000-00000A6D0000}"/>
    <cellStyle name="崔矾" xfId="22748" xr:uid="{00000000-0005-0000-0000-00000B6D0000}"/>
    <cellStyle name="拳企扁龋" xfId="22749" xr:uid="{00000000-0005-0000-0000-00000C6D0000}"/>
    <cellStyle name="未定義" xfId="604" xr:uid="{00000000-0005-0000-0000-00000D6D0000}"/>
    <cellStyle name="標準_1-100" xfId="605" xr:uid="{00000000-0005-0000-0000-00000E6D0000}"/>
    <cellStyle name="貨幣 [0]_BAJ_ 13_2001" xfId="606" xr:uid="{00000000-0005-0000-0000-00000F6D0000}"/>
    <cellStyle name="貨幣[0]_a.clad" xfId="607" xr:uid="{00000000-0005-0000-0000-0000106D0000}"/>
    <cellStyle name="貨幣_a.clad" xfId="608" xr:uid="{00000000-0005-0000-0000-0000116D0000}"/>
    <cellStyle name="超連結" xfId="609" xr:uid="{00000000-0005-0000-0000-0000126D0000}"/>
    <cellStyle name="隨後的超連結" xfId="610" xr:uid="{00000000-0005-0000-0000-0000136D0000}"/>
  </cellStyles>
  <dxfs count="396">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0"/>
      </font>
      <fill>
        <patternFill>
          <bgColor theme="1"/>
        </patternFill>
      </fill>
    </dxf>
    <dxf>
      <font>
        <b/>
        <i val="0"/>
        <color theme="0"/>
      </font>
      <fill>
        <patternFill>
          <bgColor rgb="FF00B050"/>
        </patternFill>
      </fill>
    </dxf>
    <dxf>
      <font>
        <b/>
        <i val="0"/>
        <color theme="0"/>
      </font>
      <fill>
        <patternFill>
          <bgColor theme="1"/>
        </patternFill>
      </fill>
    </dxf>
    <dxf>
      <font>
        <b/>
        <i val="0"/>
        <color theme="0"/>
      </font>
      <fill>
        <patternFill>
          <bgColor rgb="FF00B050"/>
        </patternFill>
      </fill>
    </dxf>
    <dxf>
      <font>
        <b/>
        <i val="0"/>
        <color theme="0"/>
      </font>
      <fill>
        <patternFill>
          <bgColor theme="1"/>
        </patternFill>
      </fill>
    </dxf>
    <dxf>
      <font>
        <b/>
        <i val="0"/>
        <color theme="0"/>
      </font>
      <fill>
        <patternFill>
          <bgColor rgb="FF00B050"/>
        </patternFill>
      </fill>
    </dxf>
    <dxf>
      <fill>
        <patternFill>
          <bgColor theme="7" tint="0.59996337778862885"/>
        </patternFill>
      </fill>
    </dxf>
    <dxf>
      <fill>
        <patternFill>
          <bgColor rgb="FF00B0F0"/>
        </patternFill>
      </fill>
    </dxf>
    <dxf>
      <fill>
        <patternFill>
          <bgColor rgb="FFFFFFCC"/>
        </patternFill>
      </fill>
    </dxf>
    <dxf>
      <fill>
        <patternFill>
          <bgColor rgb="FF92D050"/>
        </patternFill>
      </fill>
    </dxf>
    <dxf>
      <fill>
        <patternFill>
          <fgColor auto="1"/>
          <bgColor rgb="FFCC00FF"/>
        </patternFill>
      </fill>
    </dxf>
    <dxf>
      <fill>
        <patternFill>
          <bgColor theme="0" tint="-4.9989318521683403E-2"/>
        </patternFill>
      </fill>
    </dxf>
    <dxf>
      <fill>
        <patternFill>
          <bgColor theme="7" tint="0.59996337778862885"/>
        </patternFill>
      </fill>
    </dxf>
    <dxf>
      <fill>
        <patternFill>
          <bgColor rgb="FF00B0F0"/>
        </patternFill>
      </fill>
    </dxf>
    <dxf>
      <fill>
        <patternFill>
          <bgColor rgb="FFFFFFCC"/>
        </patternFill>
      </fill>
    </dxf>
    <dxf>
      <fill>
        <patternFill>
          <bgColor rgb="FF92D050"/>
        </patternFill>
      </fill>
    </dxf>
    <dxf>
      <fill>
        <patternFill>
          <fgColor auto="1"/>
          <bgColor rgb="FFCC00FF"/>
        </patternFill>
      </fill>
    </dxf>
    <dxf>
      <fill>
        <patternFill>
          <bgColor theme="0" tint="-4.9989318521683403E-2"/>
        </patternFill>
      </fill>
    </dxf>
    <dxf>
      <fill>
        <patternFill>
          <bgColor rgb="FFA6D86E"/>
        </patternFill>
      </fill>
    </dxf>
    <dxf>
      <fill>
        <patternFill>
          <bgColor rgb="FFFF6161"/>
        </patternFill>
      </fill>
    </dxf>
    <dxf>
      <fill>
        <patternFill>
          <bgColor rgb="FFA6D86E"/>
        </patternFill>
      </fill>
    </dxf>
    <dxf>
      <fill>
        <patternFill>
          <bgColor rgb="FFF68E38"/>
        </patternFill>
      </fill>
    </dxf>
    <dxf>
      <fill>
        <patternFill>
          <bgColor rgb="FFFF6969"/>
        </patternFill>
      </fill>
    </dxf>
    <dxf>
      <fill>
        <patternFill>
          <bgColor rgb="FFA6D86E"/>
        </patternFill>
      </fill>
    </dxf>
    <dxf>
      <fill>
        <patternFill>
          <bgColor rgb="FFF68E38"/>
        </patternFill>
      </fill>
    </dxf>
    <dxf>
      <fill>
        <patternFill>
          <bgColor rgb="FFFF6969"/>
        </patternFill>
      </fill>
    </dxf>
    <dxf>
      <fill>
        <patternFill>
          <bgColor rgb="FFA6D86E"/>
        </patternFill>
      </fill>
    </dxf>
    <dxf>
      <fill>
        <patternFill>
          <bgColor rgb="FFF68E38"/>
        </patternFill>
      </fill>
    </dxf>
    <dxf>
      <fill>
        <patternFill>
          <bgColor rgb="FFFF6969"/>
        </patternFill>
      </fill>
    </dxf>
    <dxf>
      <fill>
        <patternFill>
          <bgColor rgb="FFA6D86E"/>
        </patternFill>
      </fill>
    </dxf>
    <dxf>
      <fill>
        <patternFill>
          <bgColor rgb="FFF68E38"/>
        </patternFill>
      </fill>
    </dxf>
    <dxf>
      <fill>
        <patternFill>
          <bgColor rgb="FFFF6969"/>
        </patternFill>
      </fill>
    </dxf>
    <dxf>
      <fill>
        <patternFill>
          <bgColor rgb="FFA6D86E"/>
        </patternFill>
      </fill>
    </dxf>
    <dxf>
      <fill>
        <patternFill>
          <bgColor rgb="FFF68E38"/>
        </patternFill>
      </fill>
    </dxf>
    <dxf>
      <fill>
        <patternFill>
          <bgColor rgb="FFFF6969"/>
        </patternFill>
      </fill>
    </dxf>
    <dxf>
      <fill>
        <patternFill>
          <bgColor rgb="FFA6D86E"/>
        </patternFill>
      </fill>
    </dxf>
    <dxf>
      <fill>
        <patternFill>
          <bgColor rgb="FFF68E38"/>
        </patternFill>
      </fill>
    </dxf>
    <dxf>
      <fill>
        <patternFill>
          <bgColor rgb="FFFF6969"/>
        </patternFill>
      </fill>
    </dxf>
    <dxf>
      <fill>
        <patternFill>
          <bgColor rgb="FFA6D86E"/>
        </patternFill>
      </fill>
    </dxf>
    <dxf>
      <fill>
        <patternFill>
          <bgColor rgb="FFF68E38"/>
        </patternFill>
      </fill>
    </dxf>
    <dxf>
      <fill>
        <patternFill>
          <bgColor rgb="FFFF6969"/>
        </patternFill>
      </fill>
    </dxf>
    <dxf>
      <fill>
        <patternFill>
          <bgColor rgb="FFA6D86E"/>
        </patternFill>
      </fill>
    </dxf>
    <dxf>
      <fill>
        <patternFill>
          <bgColor rgb="FFF68E38"/>
        </patternFill>
      </fill>
    </dxf>
    <dxf>
      <fill>
        <patternFill>
          <bgColor rgb="FFFF6969"/>
        </patternFill>
      </fill>
    </dxf>
    <dxf>
      <fill>
        <patternFill>
          <bgColor rgb="FFA6D86E"/>
        </patternFill>
      </fill>
    </dxf>
    <dxf>
      <fill>
        <patternFill>
          <bgColor rgb="FFF68E38"/>
        </patternFill>
      </fill>
    </dxf>
    <dxf>
      <fill>
        <patternFill>
          <bgColor rgb="FFFF6969"/>
        </patternFill>
      </fill>
    </dxf>
    <dxf>
      <fill>
        <patternFill>
          <bgColor rgb="FFA6D86E"/>
        </patternFill>
      </fill>
    </dxf>
    <dxf>
      <fill>
        <patternFill>
          <bgColor rgb="FFFF6161"/>
        </patternFill>
      </fill>
    </dxf>
    <dxf>
      <fill>
        <patternFill>
          <bgColor rgb="FFFF6161"/>
        </patternFill>
      </fill>
    </dxf>
    <dxf>
      <fill>
        <patternFill>
          <bgColor rgb="FFA6D86E"/>
        </patternFill>
      </fill>
    </dxf>
    <dxf>
      <fill>
        <patternFill>
          <bgColor rgb="FFFF6161"/>
        </patternFill>
      </fill>
    </dxf>
    <dxf>
      <fill>
        <patternFill>
          <bgColor rgb="FFA6D86E"/>
        </patternFill>
      </fill>
    </dxf>
    <dxf>
      <fill>
        <patternFill>
          <bgColor rgb="FFA6D86E"/>
        </patternFill>
      </fill>
    </dxf>
    <dxf>
      <fill>
        <patternFill>
          <bgColor rgb="FFFF6161"/>
        </patternFill>
      </fill>
    </dxf>
    <dxf>
      <fill>
        <patternFill>
          <bgColor rgb="FFA6D86E"/>
        </patternFill>
      </fill>
    </dxf>
    <dxf>
      <fill>
        <patternFill>
          <bgColor rgb="FFFF6161"/>
        </patternFill>
      </fill>
    </dxf>
    <dxf>
      <fill>
        <patternFill>
          <bgColor rgb="FFFF6161"/>
        </patternFill>
      </fill>
    </dxf>
    <dxf>
      <fill>
        <patternFill>
          <bgColor rgb="FFA6D86E"/>
        </patternFill>
      </fill>
    </dxf>
    <dxf>
      <fill>
        <patternFill>
          <bgColor rgb="FFA6D86E"/>
        </patternFill>
      </fill>
    </dxf>
    <dxf>
      <fill>
        <patternFill>
          <bgColor rgb="FFFF6161"/>
        </patternFill>
      </fill>
    </dxf>
    <dxf>
      <fill>
        <patternFill>
          <bgColor rgb="FFFF6969"/>
        </patternFill>
      </fill>
    </dxf>
    <dxf>
      <fill>
        <patternFill>
          <bgColor rgb="FFF68E38"/>
        </patternFill>
      </fill>
    </dxf>
    <dxf>
      <fill>
        <patternFill>
          <bgColor rgb="FFA6D86E"/>
        </patternFill>
      </fill>
    </dxf>
    <dxf>
      <fill>
        <patternFill>
          <bgColor rgb="FFF68E38"/>
        </patternFill>
      </fill>
    </dxf>
    <dxf>
      <fill>
        <patternFill>
          <bgColor rgb="FFFF6969"/>
        </patternFill>
      </fill>
    </dxf>
    <dxf>
      <fill>
        <patternFill>
          <bgColor rgb="FFA6D86E"/>
        </patternFill>
      </fill>
    </dxf>
    <dxf>
      <fill>
        <patternFill>
          <bgColor rgb="FFA6D86E"/>
        </patternFill>
      </fill>
    </dxf>
    <dxf>
      <fill>
        <patternFill>
          <bgColor rgb="FFF68E38"/>
        </patternFill>
      </fill>
    </dxf>
    <dxf>
      <fill>
        <patternFill>
          <bgColor rgb="FFFF6969"/>
        </patternFill>
      </fill>
    </dxf>
    <dxf>
      <fill>
        <patternFill>
          <bgColor rgb="FFF68E38"/>
        </patternFill>
      </fill>
    </dxf>
    <dxf>
      <fill>
        <patternFill>
          <bgColor rgb="FFA6D86E"/>
        </patternFill>
      </fill>
    </dxf>
    <dxf>
      <fill>
        <patternFill>
          <bgColor rgb="FFF68E38"/>
        </patternFill>
      </fill>
    </dxf>
    <dxf>
      <fill>
        <patternFill>
          <bgColor rgb="FFA6D86E"/>
        </patternFill>
      </fill>
    </dxf>
    <dxf>
      <fill>
        <patternFill>
          <bgColor rgb="FFFF6969"/>
        </patternFill>
      </fill>
    </dxf>
    <dxf>
      <fill>
        <patternFill>
          <bgColor rgb="FFFF6969"/>
        </patternFill>
      </fill>
    </dxf>
    <dxf>
      <fill>
        <patternFill>
          <bgColor rgb="FFF68E38"/>
        </patternFill>
      </fill>
    </dxf>
    <dxf>
      <fill>
        <patternFill>
          <bgColor rgb="FFA6D86E"/>
        </patternFill>
      </fill>
    </dxf>
    <dxf>
      <fill>
        <patternFill>
          <bgColor rgb="FFA6D86E"/>
        </patternFill>
      </fill>
    </dxf>
    <dxf>
      <fill>
        <patternFill>
          <bgColor rgb="FFFF6969"/>
        </patternFill>
      </fill>
    </dxf>
    <dxf>
      <fill>
        <patternFill>
          <bgColor rgb="FFF68E38"/>
        </patternFill>
      </fill>
    </dxf>
    <dxf>
      <fill>
        <patternFill>
          <bgColor rgb="FFF68E38"/>
        </patternFill>
      </fill>
    </dxf>
    <dxf>
      <fill>
        <patternFill>
          <bgColor rgb="FFFF6969"/>
        </patternFill>
      </fill>
    </dxf>
    <dxf>
      <fill>
        <patternFill>
          <bgColor rgb="FFA6D86E"/>
        </patternFill>
      </fill>
    </dxf>
    <dxf>
      <fill>
        <patternFill>
          <bgColor rgb="FFFF6969"/>
        </patternFill>
      </fill>
    </dxf>
    <dxf>
      <fill>
        <patternFill>
          <bgColor rgb="FFA6D86E"/>
        </patternFill>
      </fill>
    </dxf>
    <dxf>
      <fill>
        <patternFill>
          <bgColor rgb="FFF68E38"/>
        </patternFill>
      </fill>
    </dxf>
    <dxf>
      <fill>
        <patternFill>
          <bgColor rgb="FFFF6969"/>
        </patternFill>
      </fill>
    </dxf>
    <dxf>
      <fill>
        <patternFill>
          <bgColor rgb="FFA6D86E"/>
        </patternFill>
      </fill>
    </dxf>
    <dxf>
      <fill>
        <patternFill>
          <bgColor rgb="FFF68E38"/>
        </patternFill>
      </fill>
    </dxf>
    <dxf>
      <fill>
        <patternFill>
          <bgColor rgb="FFF68E38"/>
        </patternFill>
      </fill>
    </dxf>
    <dxf>
      <fill>
        <patternFill>
          <bgColor rgb="FFA6D86E"/>
        </patternFill>
      </fill>
    </dxf>
    <dxf>
      <fill>
        <patternFill>
          <bgColor rgb="FFFF6969"/>
        </patternFill>
      </fill>
    </dxf>
    <dxf>
      <fill>
        <patternFill>
          <bgColor rgb="FFA6D86E"/>
        </patternFill>
      </fill>
    </dxf>
    <dxf>
      <fill>
        <patternFill>
          <bgColor rgb="FFF68E38"/>
        </patternFill>
      </fill>
    </dxf>
    <dxf>
      <fill>
        <patternFill>
          <bgColor rgb="FFFF6969"/>
        </patternFill>
      </fill>
    </dxf>
    <dxf>
      <fill>
        <patternFill>
          <bgColor rgb="FFA6D86E"/>
        </patternFill>
      </fill>
    </dxf>
    <dxf>
      <fill>
        <patternFill>
          <bgColor rgb="FFFF6969"/>
        </patternFill>
      </fill>
    </dxf>
    <dxf>
      <fill>
        <patternFill>
          <bgColor rgb="FFF68E38"/>
        </patternFill>
      </fill>
    </dxf>
    <dxf>
      <fill>
        <patternFill>
          <bgColor rgb="FFFF6969"/>
        </patternFill>
      </fill>
    </dxf>
    <dxf>
      <fill>
        <patternFill>
          <bgColor rgb="FFF68E38"/>
        </patternFill>
      </fill>
    </dxf>
    <dxf>
      <fill>
        <patternFill>
          <bgColor rgb="FFFF6969"/>
        </patternFill>
      </fill>
    </dxf>
    <dxf>
      <fill>
        <patternFill>
          <bgColor rgb="FFF68E38"/>
        </patternFill>
      </fill>
    </dxf>
    <dxf>
      <fill>
        <patternFill>
          <bgColor rgb="FFA6D86E"/>
        </patternFill>
      </fill>
    </dxf>
    <dxf>
      <fill>
        <patternFill>
          <bgColor rgb="FFFF6969"/>
        </patternFill>
      </fill>
    </dxf>
    <dxf>
      <fill>
        <patternFill>
          <bgColor rgb="FFA6D86E"/>
        </patternFill>
      </fill>
    </dxf>
    <dxf>
      <fill>
        <patternFill>
          <bgColor rgb="FFF68E38"/>
        </patternFill>
      </fill>
    </dxf>
    <dxf>
      <fill>
        <patternFill>
          <bgColor rgb="FFA6D86E"/>
        </patternFill>
      </fill>
    </dxf>
    <dxf>
      <fill>
        <patternFill>
          <bgColor rgb="FFF68E38"/>
        </patternFill>
      </fill>
    </dxf>
    <dxf>
      <fill>
        <patternFill>
          <bgColor rgb="FFFF6969"/>
        </patternFill>
      </fill>
    </dxf>
    <dxf>
      <fill>
        <patternFill>
          <bgColor rgb="FFA6D86E"/>
        </patternFill>
      </fill>
    </dxf>
    <dxf>
      <fill>
        <patternFill>
          <bgColor rgb="FFFF6969"/>
        </patternFill>
      </fill>
    </dxf>
    <dxf>
      <fill>
        <patternFill>
          <bgColor rgb="FFF68E38"/>
        </patternFill>
      </fill>
    </dxf>
    <dxf>
      <fill>
        <patternFill>
          <bgColor rgb="FFA6D86E"/>
        </patternFill>
      </fill>
    </dxf>
    <dxf>
      <fill>
        <patternFill>
          <bgColor rgb="FFFF6969"/>
        </patternFill>
      </fill>
    </dxf>
    <dxf>
      <fill>
        <patternFill>
          <bgColor rgb="FFF68E38"/>
        </patternFill>
      </fill>
    </dxf>
    <dxf>
      <fill>
        <patternFill>
          <bgColor rgb="FFA6D86E"/>
        </patternFill>
      </fill>
    </dxf>
    <dxf>
      <fill>
        <patternFill>
          <bgColor rgb="FFFF6969"/>
        </patternFill>
      </fill>
    </dxf>
    <dxf>
      <fill>
        <patternFill>
          <bgColor rgb="FFFF6969"/>
        </patternFill>
      </fill>
    </dxf>
    <dxf>
      <fill>
        <patternFill>
          <bgColor rgb="FFA6D86E"/>
        </patternFill>
      </fill>
    </dxf>
    <dxf>
      <fill>
        <patternFill>
          <bgColor rgb="FFF68E38"/>
        </patternFill>
      </fill>
    </dxf>
    <dxf>
      <fill>
        <patternFill>
          <bgColor rgb="FFA6D86E"/>
        </patternFill>
      </fill>
    </dxf>
    <dxf>
      <fill>
        <patternFill>
          <bgColor rgb="FFF68E38"/>
        </patternFill>
      </fill>
    </dxf>
    <dxf>
      <fill>
        <patternFill>
          <bgColor rgb="FFFF6969"/>
        </patternFill>
      </fill>
    </dxf>
    <dxf>
      <fill>
        <patternFill>
          <bgColor rgb="FFA6D86E"/>
        </patternFill>
      </fill>
    </dxf>
    <dxf>
      <fill>
        <patternFill>
          <bgColor rgb="FFF68E38"/>
        </patternFill>
      </fill>
    </dxf>
    <dxf>
      <fill>
        <patternFill>
          <bgColor rgb="FFFF6969"/>
        </patternFill>
      </fill>
    </dxf>
    <dxf>
      <fill>
        <patternFill>
          <bgColor rgb="FFF68E38"/>
        </patternFill>
      </fill>
    </dxf>
    <dxf>
      <fill>
        <patternFill>
          <bgColor rgb="FFA6D86E"/>
        </patternFill>
      </fill>
    </dxf>
    <dxf>
      <fill>
        <patternFill>
          <bgColor rgb="FFFF6969"/>
        </patternFill>
      </fill>
    </dxf>
    <dxf>
      <fill>
        <patternFill>
          <bgColor rgb="FFA6D86E"/>
        </patternFill>
      </fill>
    </dxf>
    <dxf>
      <fill>
        <patternFill>
          <bgColor rgb="FFF68E38"/>
        </patternFill>
      </fill>
    </dxf>
    <dxf>
      <fill>
        <patternFill>
          <bgColor rgb="FFFF6969"/>
        </patternFill>
      </fill>
    </dxf>
    <dxf>
      <fill>
        <patternFill>
          <bgColor rgb="FFA6D86E"/>
        </patternFill>
      </fill>
    </dxf>
    <dxf>
      <fill>
        <patternFill>
          <bgColor rgb="FFF68E38"/>
        </patternFill>
      </fill>
    </dxf>
    <dxf>
      <fill>
        <patternFill>
          <bgColor rgb="FFFF6969"/>
        </patternFill>
      </fill>
    </dxf>
    <dxf>
      <fill>
        <patternFill>
          <bgColor rgb="FFA6D86E"/>
        </patternFill>
      </fill>
    </dxf>
    <dxf>
      <fill>
        <patternFill>
          <bgColor rgb="FFF68E38"/>
        </patternFill>
      </fill>
    </dxf>
    <dxf>
      <fill>
        <patternFill>
          <bgColor rgb="FFFF6969"/>
        </patternFill>
      </fill>
    </dxf>
    <dxf>
      <fill>
        <patternFill>
          <bgColor rgb="FFA6D86E"/>
        </patternFill>
      </fill>
    </dxf>
    <dxf>
      <fill>
        <patternFill>
          <bgColor rgb="FFFF6969"/>
        </patternFill>
      </fill>
    </dxf>
    <dxf>
      <fill>
        <patternFill>
          <bgColor rgb="FFF68E38"/>
        </patternFill>
      </fill>
    </dxf>
    <dxf>
      <fill>
        <patternFill>
          <bgColor rgb="FFFF6969"/>
        </patternFill>
      </fill>
    </dxf>
    <dxf>
      <fill>
        <patternFill>
          <bgColor rgb="FFA6D86E"/>
        </patternFill>
      </fill>
    </dxf>
    <dxf>
      <fill>
        <patternFill>
          <bgColor rgb="FFF68E38"/>
        </patternFill>
      </fill>
    </dxf>
    <dxf>
      <fill>
        <patternFill>
          <bgColor rgb="FFA6D86E"/>
        </patternFill>
      </fill>
    </dxf>
    <dxf>
      <fill>
        <patternFill>
          <bgColor rgb="FFFF6969"/>
        </patternFill>
      </fill>
    </dxf>
    <dxf>
      <fill>
        <patternFill>
          <bgColor rgb="FFF68E38"/>
        </patternFill>
      </fill>
    </dxf>
    <dxf>
      <fill>
        <patternFill>
          <bgColor rgb="FFA6D86E"/>
        </patternFill>
      </fill>
    </dxf>
    <dxf>
      <fill>
        <patternFill>
          <bgColor rgb="FFF68E38"/>
        </patternFill>
      </fill>
    </dxf>
    <dxf>
      <fill>
        <patternFill>
          <bgColor rgb="FFFF6969"/>
        </patternFill>
      </fill>
    </dxf>
    <dxf>
      <fill>
        <patternFill>
          <bgColor rgb="FFA6D86E"/>
        </patternFill>
      </fill>
    </dxf>
    <dxf>
      <fill>
        <patternFill>
          <bgColor rgb="FFF68E38"/>
        </patternFill>
      </fill>
    </dxf>
    <dxf>
      <fill>
        <patternFill>
          <bgColor rgb="FFFF6969"/>
        </patternFill>
      </fill>
    </dxf>
    <dxf>
      <fill>
        <patternFill>
          <bgColor rgb="FFF68E38"/>
        </patternFill>
      </fill>
    </dxf>
    <dxf>
      <fill>
        <patternFill>
          <bgColor rgb="FFA6D86E"/>
        </patternFill>
      </fill>
    </dxf>
    <dxf>
      <fill>
        <patternFill>
          <bgColor rgb="FFFF6969"/>
        </patternFill>
      </fill>
    </dxf>
    <dxf>
      <fill>
        <patternFill>
          <bgColor rgb="FFF68E38"/>
        </patternFill>
      </fill>
    </dxf>
    <dxf>
      <fill>
        <patternFill>
          <bgColor rgb="FFA6D86E"/>
        </patternFill>
      </fill>
    </dxf>
    <dxf>
      <fill>
        <patternFill>
          <bgColor rgb="FFFF6969"/>
        </patternFill>
      </fill>
    </dxf>
    <dxf>
      <fill>
        <patternFill>
          <bgColor rgb="FFA6D86E"/>
        </patternFill>
      </fill>
    </dxf>
    <dxf>
      <fill>
        <patternFill>
          <bgColor rgb="FFF68E38"/>
        </patternFill>
      </fill>
    </dxf>
    <dxf>
      <fill>
        <patternFill>
          <bgColor rgb="FFFF6969"/>
        </patternFill>
      </fill>
    </dxf>
    <dxf>
      <fill>
        <patternFill>
          <bgColor rgb="FFF68E38"/>
        </patternFill>
      </fill>
    </dxf>
    <dxf>
      <fill>
        <patternFill>
          <bgColor rgb="FFA6D86E"/>
        </patternFill>
      </fill>
    </dxf>
    <dxf>
      <fill>
        <patternFill>
          <bgColor rgb="FFFF6969"/>
        </patternFill>
      </fill>
    </dxf>
    <dxf>
      <fill>
        <patternFill>
          <bgColor rgb="FFA6D86E"/>
        </patternFill>
      </fill>
    </dxf>
    <dxf>
      <fill>
        <patternFill>
          <bgColor rgb="FFF68E38"/>
        </patternFill>
      </fill>
    </dxf>
    <dxf>
      <fill>
        <patternFill>
          <bgColor rgb="FFFF6969"/>
        </patternFill>
      </fill>
    </dxf>
    <dxf>
      <fill>
        <patternFill>
          <bgColor rgb="FFF68E38"/>
        </patternFill>
      </fill>
    </dxf>
    <dxf>
      <fill>
        <patternFill>
          <bgColor rgb="FFFF6969"/>
        </patternFill>
      </fill>
    </dxf>
    <dxf>
      <fill>
        <patternFill>
          <bgColor rgb="FFA6D86E"/>
        </patternFill>
      </fill>
    </dxf>
    <dxf>
      <fill>
        <patternFill>
          <bgColor rgb="FFF68E38"/>
        </patternFill>
      </fill>
    </dxf>
    <dxf>
      <fill>
        <patternFill>
          <bgColor rgb="FFA6D86E"/>
        </patternFill>
      </fill>
    </dxf>
    <dxf>
      <fill>
        <patternFill>
          <bgColor rgb="FFF68E38"/>
        </patternFill>
      </fill>
    </dxf>
    <dxf>
      <fill>
        <patternFill>
          <bgColor rgb="FFFF6969"/>
        </patternFill>
      </fill>
    </dxf>
    <dxf>
      <fill>
        <patternFill>
          <bgColor rgb="FFA6D86E"/>
        </patternFill>
      </fill>
    </dxf>
    <dxf>
      <fill>
        <patternFill>
          <bgColor rgb="FFFF6969"/>
        </patternFill>
      </fill>
    </dxf>
    <dxf>
      <fill>
        <patternFill>
          <bgColor rgb="FFF68E38"/>
        </patternFill>
      </fill>
    </dxf>
    <dxf>
      <fill>
        <patternFill>
          <bgColor rgb="FFA6D86E"/>
        </patternFill>
      </fill>
    </dxf>
    <dxf>
      <fill>
        <patternFill>
          <bgColor rgb="FFFF6969"/>
        </patternFill>
      </fill>
    </dxf>
    <dxf>
      <fill>
        <patternFill>
          <bgColor rgb="FFF68E38"/>
        </patternFill>
      </fill>
    </dxf>
    <dxf>
      <fill>
        <patternFill>
          <bgColor rgb="FFA6D86E"/>
        </patternFill>
      </fill>
    </dxf>
    <dxf>
      <fill>
        <patternFill>
          <bgColor rgb="FFA6D86E"/>
        </patternFill>
      </fill>
    </dxf>
    <dxf>
      <fill>
        <patternFill>
          <bgColor rgb="FFF68E38"/>
        </patternFill>
      </fill>
    </dxf>
    <dxf>
      <fill>
        <patternFill>
          <bgColor rgb="FFFF6969"/>
        </patternFill>
      </fill>
    </dxf>
    <dxf>
      <fill>
        <patternFill>
          <bgColor rgb="FFFF6969"/>
        </patternFill>
      </fill>
    </dxf>
    <dxf>
      <fill>
        <patternFill>
          <bgColor rgb="FFF68E38"/>
        </patternFill>
      </fill>
    </dxf>
    <dxf>
      <fill>
        <patternFill>
          <bgColor rgb="FFA6D86E"/>
        </patternFill>
      </fill>
    </dxf>
    <dxf>
      <fill>
        <patternFill>
          <bgColor rgb="FFFF6969"/>
        </patternFill>
      </fill>
    </dxf>
    <dxf>
      <fill>
        <patternFill>
          <bgColor rgb="FFF68E38"/>
        </patternFill>
      </fill>
    </dxf>
    <dxf>
      <fill>
        <patternFill>
          <bgColor rgb="FFA6D86E"/>
        </patternFill>
      </fill>
    </dxf>
    <dxf>
      <fill>
        <patternFill>
          <bgColor rgb="FFF68E38"/>
        </patternFill>
      </fill>
    </dxf>
    <dxf>
      <fill>
        <patternFill>
          <bgColor rgb="FFFF6969"/>
        </patternFill>
      </fill>
    </dxf>
    <dxf>
      <fill>
        <patternFill>
          <bgColor rgb="FFA6D86E"/>
        </patternFill>
      </fill>
    </dxf>
    <dxf>
      <fill>
        <patternFill>
          <bgColor rgb="FFA6D86E"/>
        </patternFill>
      </fill>
    </dxf>
    <dxf>
      <fill>
        <patternFill>
          <bgColor rgb="FFFF6969"/>
        </patternFill>
      </fill>
    </dxf>
    <dxf>
      <fill>
        <patternFill>
          <bgColor rgb="FFF68E38"/>
        </patternFill>
      </fill>
    </dxf>
    <dxf>
      <fill>
        <patternFill>
          <bgColor rgb="FFFF6969"/>
        </patternFill>
      </fill>
    </dxf>
    <dxf>
      <fill>
        <patternFill>
          <bgColor rgb="FFF68E38"/>
        </patternFill>
      </fill>
    </dxf>
    <dxf>
      <fill>
        <patternFill>
          <bgColor rgb="FFA6D86E"/>
        </patternFill>
      </fill>
    </dxf>
    <dxf>
      <fill>
        <patternFill>
          <bgColor rgb="FFA6D86E"/>
        </patternFill>
      </fill>
    </dxf>
    <dxf>
      <fill>
        <patternFill>
          <bgColor rgb="FFF68E38"/>
        </patternFill>
      </fill>
    </dxf>
    <dxf>
      <fill>
        <patternFill>
          <bgColor rgb="FFFF6969"/>
        </patternFill>
      </fill>
    </dxf>
    <dxf>
      <fill>
        <patternFill>
          <bgColor rgb="FFFF6969"/>
        </patternFill>
      </fill>
    </dxf>
    <dxf>
      <fill>
        <patternFill>
          <bgColor rgb="FFF68E38"/>
        </patternFill>
      </fill>
    </dxf>
    <dxf>
      <fill>
        <patternFill>
          <bgColor rgb="FFA6D86E"/>
        </patternFill>
      </fill>
    </dxf>
    <dxf>
      <fill>
        <patternFill>
          <bgColor rgb="FFA6D86E"/>
        </patternFill>
      </fill>
    </dxf>
    <dxf>
      <fill>
        <patternFill>
          <bgColor rgb="FFFF6969"/>
        </patternFill>
      </fill>
    </dxf>
    <dxf>
      <fill>
        <patternFill>
          <bgColor rgb="FFF68E38"/>
        </patternFill>
      </fill>
    </dxf>
    <dxf>
      <fill>
        <patternFill>
          <bgColor rgb="FFA6D86E"/>
        </patternFill>
      </fill>
    </dxf>
    <dxf>
      <fill>
        <patternFill>
          <bgColor rgb="FFFF6969"/>
        </patternFill>
      </fill>
    </dxf>
    <dxf>
      <fill>
        <patternFill>
          <bgColor rgb="FFF68E38"/>
        </patternFill>
      </fill>
    </dxf>
    <dxf>
      <fill>
        <patternFill>
          <bgColor rgb="FFA6D86E"/>
        </patternFill>
      </fill>
    </dxf>
    <dxf>
      <fill>
        <patternFill>
          <bgColor rgb="FFF68E38"/>
        </patternFill>
      </fill>
    </dxf>
    <dxf>
      <fill>
        <patternFill>
          <bgColor rgb="FFFF6969"/>
        </patternFill>
      </fill>
    </dxf>
    <dxf>
      <fill>
        <patternFill>
          <bgColor rgb="FFFF6969"/>
        </patternFill>
      </fill>
    </dxf>
    <dxf>
      <fill>
        <patternFill>
          <bgColor rgb="FFF68E38"/>
        </patternFill>
      </fill>
    </dxf>
    <dxf>
      <fill>
        <patternFill>
          <bgColor rgb="FFA6D86E"/>
        </patternFill>
      </fill>
    </dxf>
    <dxf>
      <fill>
        <patternFill>
          <bgColor rgb="FFFF6969"/>
        </patternFill>
      </fill>
    </dxf>
    <dxf>
      <fill>
        <patternFill>
          <bgColor rgb="FFF68E38"/>
        </patternFill>
      </fill>
    </dxf>
    <dxf>
      <fill>
        <patternFill>
          <bgColor rgb="FFA6D86E"/>
        </patternFill>
      </fill>
    </dxf>
    <dxf>
      <fill>
        <patternFill>
          <bgColor rgb="FFA6D86E"/>
        </patternFill>
      </fill>
    </dxf>
    <dxf>
      <fill>
        <patternFill>
          <bgColor rgb="FFFF6969"/>
        </patternFill>
      </fill>
    </dxf>
    <dxf>
      <fill>
        <patternFill>
          <bgColor rgb="FFF68E38"/>
        </patternFill>
      </fill>
    </dxf>
    <dxf>
      <fill>
        <patternFill>
          <bgColor rgb="FFF68E38"/>
        </patternFill>
      </fill>
    </dxf>
    <dxf>
      <fill>
        <patternFill>
          <bgColor rgb="FFFF6969"/>
        </patternFill>
      </fill>
    </dxf>
    <dxf>
      <fill>
        <patternFill>
          <bgColor rgb="FFA6D86E"/>
        </patternFill>
      </fill>
    </dxf>
    <dxf>
      <fill>
        <patternFill>
          <bgColor rgb="FFA6D86E"/>
        </patternFill>
      </fill>
    </dxf>
    <dxf>
      <fill>
        <patternFill>
          <bgColor rgb="FFF68E38"/>
        </patternFill>
      </fill>
    </dxf>
    <dxf>
      <fill>
        <patternFill>
          <bgColor rgb="FFFF6969"/>
        </patternFill>
      </fill>
    </dxf>
    <dxf>
      <fill>
        <patternFill>
          <bgColor rgb="FFFF6969"/>
        </patternFill>
      </fill>
    </dxf>
    <dxf>
      <fill>
        <patternFill>
          <bgColor rgb="FFF68E38"/>
        </patternFill>
      </fill>
    </dxf>
    <dxf>
      <fill>
        <patternFill>
          <bgColor rgb="FFA6D86E"/>
        </patternFill>
      </fill>
    </dxf>
    <dxf>
      <fill>
        <patternFill>
          <bgColor rgb="FFF68E38"/>
        </patternFill>
      </fill>
    </dxf>
    <dxf>
      <fill>
        <patternFill>
          <bgColor rgb="FFA6D86E"/>
        </patternFill>
      </fill>
    </dxf>
    <dxf>
      <fill>
        <patternFill>
          <bgColor rgb="FFFF6969"/>
        </patternFill>
      </fill>
    </dxf>
    <dxf>
      <fill>
        <patternFill>
          <bgColor rgb="FFA6D86E"/>
        </patternFill>
      </fill>
    </dxf>
    <dxf>
      <fill>
        <patternFill>
          <bgColor rgb="FFFF6969"/>
        </patternFill>
      </fill>
    </dxf>
    <dxf>
      <fill>
        <patternFill>
          <bgColor rgb="FFF68E38"/>
        </patternFill>
      </fill>
    </dxf>
    <dxf>
      <fill>
        <patternFill>
          <bgColor rgb="FFA6D86E"/>
        </patternFill>
      </fill>
    </dxf>
    <dxf>
      <fill>
        <patternFill>
          <bgColor rgb="FFF68E38"/>
        </patternFill>
      </fill>
    </dxf>
    <dxf>
      <fill>
        <patternFill>
          <bgColor rgb="FFFF6969"/>
        </patternFill>
      </fill>
    </dxf>
    <dxf>
      <fill>
        <patternFill>
          <bgColor rgb="FFA6D86E"/>
        </patternFill>
      </fill>
    </dxf>
    <dxf>
      <fill>
        <patternFill>
          <bgColor rgb="FFF68E38"/>
        </patternFill>
      </fill>
    </dxf>
    <dxf>
      <fill>
        <patternFill>
          <bgColor rgb="FFFF6969"/>
        </patternFill>
      </fill>
    </dxf>
    <dxf>
      <fill>
        <patternFill>
          <bgColor rgb="FFFF6969"/>
        </patternFill>
      </fill>
    </dxf>
    <dxf>
      <fill>
        <patternFill>
          <bgColor rgb="FFA6D86E"/>
        </patternFill>
      </fill>
    </dxf>
    <dxf>
      <fill>
        <patternFill>
          <bgColor rgb="FFF68E38"/>
        </patternFill>
      </fill>
    </dxf>
    <dxf>
      <fill>
        <patternFill>
          <bgColor rgb="FFF68E38"/>
        </patternFill>
      </fill>
    </dxf>
    <dxf>
      <fill>
        <patternFill>
          <bgColor rgb="FFFF6969"/>
        </patternFill>
      </fill>
    </dxf>
    <dxf>
      <fill>
        <patternFill>
          <bgColor rgb="FFA6D86E"/>
        </patternFill>
      </fill>
    </dxf>
    <dxf>
      <fill>
        <patternFill>
          <bgColor rgb="FFA6D86E"/>
        </patternFill>
      </fill>
    </dxf>
    <dxf>
      <fill>
        <patternFill>
          <bgColor rgb="FFF68E38"/>
        </patternFill>
      </fill>
    </dxf>
    <dxf>
      <fill>
        <patternFill>
          <bgColor rgb="FFFF6969"/>
        </patternFill>
      </fill>
    </dxf>
    <dxf>
      <fill>
        <patternFill>
          <bgColor rgb="FFF68E38"/>
        </patternFill>
      </fill>
    </dxf>
    <dxf>
      <fill>
        <patternFill>
          <bgColor rgb="FFA6D86E"/>
        </patternFill>
      </fill>
    </dxf>
    <dxf>
      <fill>
        <patternFill>
          <bgColor rgb="FFA6D86E"/>
        </patternFill>
      </fill>
    </dxf>
    <dxf>
      <fill>
        <patternFill>
          <bgColor rgb="FFFF6969"/>
        </patternFill>
      </fill>
    </dxf>
    <dxf>
      <fill>
        <patternFill>
          <bgColor rgb="FFF68E38"/>
        </patternFill>
      </fill>
    </dxf>
    <dxf>
      <fill>
        <patternFill>
          <bgColor rgb="FFF68E38"/>
        </patternFill>
      </fill>
    </dxf>
    <dxf>
      <fill>
        <patternFill>
          <bgColor rgb="FFFF6969"/>
        </patternFill>
      </fill>
    </dxf>
    <dxf>
      <fill>
        <patternFill>
          <bgColor rgb="FFA6D86E"/>
        </patternFill>
      </fill>
    </dxf>
    <dxf>
      <fill>
        <patternFill>
          <bgColor rgb="FFA6D86E"/>
        </patternFill>
      </fill>
    </dxf>
    <dxf>
      <fill>
        <patternFill>
          <bgColor rgb="FFF68E38"/>
        </patternFill>
      </fill>
    </dxf>
    <dxf>
      <fill>
        <patternFill>
          <bgColor rgb="FFFF6969"/>
        </patternFill>
      </fill>
    </dxf>
    <dxf>
      <fill>
        <patternFill>
          <bgColor rgb="FFFF6969"/>
        </patternFill>
      </fill>
    </dxf>
    <dxf>
      <fill>
        <patternFill>
          <bgColor rgb="FFA6D86E"/>
        </patternFill>
      </fill>
    </dxf>
    <dxf>
      <fill>
        <patternFill>
          <bgColor rgb="FFA6D86E"/>
        </patternFill>
      </fill>
    </dxf>
    <dxf>
      <fill>
        <patternFill>
          <bgColor rgb="FFF68E38"/>
        </patternFill>
      </fill>
    </dxf>
    <dxf>
      <fill>
        <patternFill>
          <bgColor rgb="FFFF6969"/>
        </patternFill>
      </fill>
    </dxf>
    <dxf>
      <fill>
        <patternFill>
          <bgColor rgb="FFA6D86E"/>
        </patternFill>
      </fill>
    </dxf>
    <dxf>
      <fill>
        <patternFill>
          <bgColor rgb="FFF68E38"/>
        </patternFill>
      </fill>
    </dxf>
    <dxf>
      <fill>
        <patternFill>
          <bgColor rgb="FFFF6969"/>
        </patternFill>
      </fill>
    </dxf>
    <dxf>
      <fill>
        <patternFill>
          <bgColor rgb="FFF68E38"/>
        </patternFill>
      </fill>
    </dxf>
    <dxf>
      <fill>
        <patternFill>
          <bgColor rgb="FFFF6969"/>
        </patternFill>
      </fill>
    </dxf>
    <dxf>
      <fill>
        <patternFill>
          <bgColor rgb="FFF68E38"/>
        </patternFill>
      </fill>
    </dxf>
    <dxf>
      <fill>
        <patternFill>
          <bgColor rgb="FFFF6969"/>
        </patternFill>
      </fill>
    </dxf>
    <dxf>
      <fill>
        <patternFill>
          <bgColor rgb="FFA6D86E"/>
        </patternFill>
      </fill>
    </dxf>
    <dxf>
      <fill>
        <patternFill>
          <bgColor rgb="FFF68E38"/>
        </patternFill>
      </fill>
    </dxf>
    <dxf>
      <fill>
        <patternFill>
          <bgColor rgb="FFFF6969"/>
        </patternFill>
      </fill>
    </dxf>
    <dxf>
      <fill>
        <patternFill>
          <bgColor rgb="FFA6D86E"/>
        </patternFill>
      </fill>
    </dxf>
    <dxf>
      <fill>
        <patternFill>
          <bgColor rgb="FFF68E38"/>
        </patternFill>
      </fill>
    </dxf>
    <dxf>
      <fill>
        <patternFill>
          <bgColor rgb="FFFF6969"/>
        </patternFill>
      </fill>
    </dxf>
    <dxf>
      <fill>
        <patternFill>
          <bgColor rgb="FFA6D86E"/>
        </patternFill>
      </fill>
    </dxf>
    <dxf>
      <fill>
        <patternFill>
          <bgColor rgb="FFA6D86E"/>
        </patternFill>
      </fill>
    </dxf>
    <dxf>
      <fill>
        <patternFill>
          <bgColor rgb="FFF68E38"/>
        </patternFill>
      </fill>
    </dxf>
    <dxf>
      <fill>
        <patternFill>
          <bgColor rgb="FFFF6969"/>
        </patternFill>
      </fill>
    </dxf>
    <dxf>
      <fill>
        <patternFill>
          <bgColor rgb="FFFF6969"/>
        </patternFill>
      </fill>
    </dxf>
    <dxf>
      <fill>
        <patternFill>
          <bgColor rgb="FFF68E38"/>
        </patternFill>
      </fill>
    </dxf>
    <dxf>
      <fill>
        <patternFill>
          <bgColor rgb="FFA6D86E"/>
        </patternFill>
      </fill>
    </dxf>
    <dxf>
      <fill>
        <patternFill>
          <bgColor rgb="FFA6D86E"/>
        </patternFill>
      </fill>
    </dxf>
    <dxf>
      <fill>
        <patternFill>
          <bgColor rgb="FFF68E38"/>
        </patternFill>
      </fill>
    </dxf>
    <dxf>
      <fill>
        <patternFill>
          <bgColor rgb="FFFF6969"/>
        </patternFill>
      </fill>
    </dxf>
    <dxf>
      <fill>
        <patternFill>
          <bgColor rgb="FFFF6969"/>
        </patternFill>
      </fill>
    </dxf>
    <dxf>
      <fill>
        <patternFill>
          <bgColor rgb="FFF68E38"/>
        </patternFill>
      </fill>
    </dxf>
    <dxf>
      <fill>
        <patternFill>
          <bgColor rgb="FFA6D86E"/>
        </patternFill>
      </fill>
    </dxf>
    <dxf>
      <fill>
        <patternFill>
          <bgColor rgb="FFA6D86E"/>
        </patternFill>
      </fill>
    </dxf>
    <dxf>
      <fill>
        <patternFill>
          <bgColor rgb="FFF68E38"/>
        </patternFill>
      </fill>
    </dxf>
    <dxf>
      <fill>
        <patternFill>
          <bgColor rgb="FFFF6969"/>
        </patternFill>
      </fill>
    </dxf>
    <dxf>
      <fill>
        <patternFill>
          <bgColor rgb="FFFF6969"/>
        </patternFill>
      </fill>
    </dxf>
    <dxf>
      <fill>
        <patternFill>
          <bgColor rgb="FFF68E38"/>
        </patternFill>
      </fill>
    </dxf>
    <dxf>
      <fill>
        <patternFill>
          <bgColor rgb="FFA6D86E"/>
        </patternFill>
      </fill>
    </dxf>
    <dxf>
      <fill>
        <patternFill>
          <bgColor rgb="FFFF6969"/>
        </patternFill>
      </fill>
    </dxf>
    <dxf>
      <fill>
        <patternFill>
          <bgColor rgb="FFF68E38"/>
        </patternFill>
      </fill>
    </dxf>
    <dxf>
      <fill>
        <patternFill>
          <bgColor rgb="FFA6D86E"/>
        </patternFill>
      </fill>
    </dxf>
    <dxf>
      <fill>
        <patternFill>
          <bgColor rgb="FFFF6969"/>
        </patternFill>
      </fill>
    </dxf>
    <dxf>
      <fill>
        <patternFill>
          <bgColor rgb="FFA6D86E"/>
        </patternFill>
      </fill>
    </dxf>
    <dxf>
      <fill>
        <patternFill>
          <bgColor rgb="FFF68E38"/>
        </patternFill>
      </fill>
    </dxf>
    <dxf>
      <fill>
        <patternFill>
          <bgColor rgb="FFFF6969"/>
        </patternFill>
      </fill>
    </dxf>
    <dxf>
      <fill>
        <patternFill>
          <bgColor rgb="FFFF6969"/>
        </patternFill>
      </fill>
    </dxf>
    <dxf>
      <fill>
        <patternFill>
          <bgColor rgb="FFF68E38"/>
        </patternFill>
      </fill>
    </dxf>
    <dxf>
      <fill>
        <patternFill>
          <bgColor rgb="FFA6D86E"/>
        </patternFill>
      </fill>
    </dxf>
    <dxf>
      <fill>
        <patternFill>
          <bgColor rgb="FFF68E38"/>
        </patternFill>
      </fill>
    </dxf>
    <dxf>
      <fill>
        <patternFill>
          <bgColor rgb="FFA6D86E"/>
        </patternFill>
      </fill>
    </dxf>
    <dxf>
      <fill>
        <patternFill>
          <bgColor rgb="FFFF6969"/>
        </patternFill>
      </fill>
    </dxf>
    <dxf>
      <fill>
        <patternFill>
          <bgColor rgb="FFA6D86E"/>
        </patternFill>
      </fill>
    </dxf>
    <dxf>
      <fill>
        <patternFill>
          <bgColor rgb="FFF68E38"/>
        </patternFill>
      </fill>
    </dxf>
    <dxf>
      <fill>
        <patternFill>
          <bgColor rgb="FFFF6969"/>
        </patternFill>
      </fill>
    </dxf>
    <dxf>
      <fill>
        <patternFill>
          <bgColor rgb="FFA6D86E"/>
        </patternFill>
      </fill>
    </dxf>
    <dxf>
      <fill>
        <patternFill>
          <bgColor rgb="FFF68E38"/>
        </patternFill>
      </fill>
    </dxf>
    <dxf>
      <fill>
        <patternFill>
          <bgColor rgb="FFFF6969"/>
        </patternFill>
      </fill>
    </dxf>
    <dxf>
      <fill>
        <patternFill>
          <bgColor rgb="FFFF6969"/>
        </patternFill>
      </fill>
    </dxf>
    <dxf>
      <fill>
        <patternFill>
          <bgColor rgb="FFF68E38"/>
        </patternFill>
      </fill>
    </dxf>
    <dxf>
      <fill>
        <patternFill>
          <bgColor rgb="FFA6D86E"/>
        </patternFill>
      </fill>
    </dxf>
    <dxf>
      <fill>
        <patternFill>
          <bgColor rgb="FFFF6969"/>
        </patternFill>
      </fill>
    </dxf>
    <dxf>
      <fill>
        <patternFill>
          <bgColor rgb="FFF68E38"/>
        </patternFill>
      </fill>
    </dxf>
    <dxf>
      <fill>
        <patternFill>
          <bgColor rgb="FFA6D86E"/>
        </patternFill>
      </fill>
    </dxf>
    <dxf>
      <fill>
        <patternFill>
          <bgColor rgb="FFA6D86E"/>
        </patternFill>
      </fill>
    </dxf>
    <dxf>
      <fill>
        <patternFill>
          <bgColor rgb="FFF68E38"/>
        </patternFill>
      </fill>
    </dxf>
    <dxf>
      <fill>
        <patternFill>
          <bgColor rgb="FFFF6969"/>
        </patternFill>
      </fill>
    </dxf>
    <dxf>
      <fill>
        <patternFill>
          <bgColor rgb="FFF68E38"/>
        </patternFill>
      </fill>
    </dxf>
    <dxf>
      <fill>
        <patternFill>
          <bgColor rgb="FFA6D86E"/>
        </patternFill>
      </fill>
    </dxf>
    <dxf>
      <fill>
        <patternFill>
          <bgColor rgb="FFFF6969"/>
        </patternFill>
      </fill>
    </dxf>
    <dxf>
      <fill>
        <patternFill>
          <bgColor rgb="FFA6D86E"/>
        </patternFill>
      </fill>
    </dxf>
    <dxf>
      <fill>
        <patternFill>
          <bgColor rgb="FFFF6969"/>
        </patternFill>
      </fill>
    </dxf>
    <dxf>
      <fill>
        <patternFill>
          <bgColor rgb="FFF68E38"/>
        </patternFill>
      </fill>
    </dxf>
    <dxf>
      <fill>
        <patternFill>
          <bgColor rgb="FFA6D86E"/>
        </patternFill>
      </fill>
    </dxf>
    <dxf>
      <fill>
        <patternFill>
          <bgColor rgb="FFF68E38"/>
        </patternFill>
      </fill>
    </dxf>
    <dxf>
      <fill>
        <patternFill>
          <bgColor rgb="FFFF6969"/>
        </patternFill>
      </fill>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dxf>
  </dxfs>
  <tableStyles count="0" defaultTableStyle="TableStyleMedium2" defaultPivotStyle="PivotStyleLight16"/>
  <colors>
    <mruColors>
      <color rgb="FFD9D9D9"/>
      <color rgb="FF9AE6DD"/>
      <color rgb="FFDCC5ED"/>
      <color rgb="FFEDE2F6"/>
      <color rgb="FFE2EFDA"/>
      <color rgb="FFFFF6D1"/>
      <color rgb="FFE3E7ED"/>
      <color rgb="FFFFE7E7"/>
      <color rgb="FFFFEB9C"/>
      <color rgb="FFFFDD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customXml" Target="../customXml/item3.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theme" Target="theme/theme1.xml"/><Relationship Id="rId83"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sheetMetadata" Target="metadata.xml"/><Relationship Id="rId8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736699341559985E-2"/>
          <c:y val="5.2179029970549594E-2"/>
          <c:w val="0.95007810592285602"/>
          <c:h val="0.77095858038529463"/>
        </c:manualLayout>
      </c:layout>
      <c:barChart>
        <c:barDir val="col"/>
        <c:grouping val="clustered"/>
        <c:varyColors val="0"/>
        <c:ser>
          <c:idx val="0"/>
          <c:order val="0"/>
          <c:tx>
            <c:strRef>
              <c:f>'Executive Summary'!$D$52:$I$52</c:f>
              <c:strCache>
                <c:ptCount val="1"/>
                <c:pt idx="0">
                  <c:v> KEY PERIOD MOVEMENTS </c:v>
                </c:pt>
              </c:strCache>
            </c:strRef>
          </c:tx>
          <c:spPr>
            <a:solidFill>
              <a:srgbClr val="7030A0"/>
            </a:solidFill>
            <a:ln>
              <a:noFill/>
            </a:ln>
            <a:effectLst/>
          </c:spPr>
          <c:invertIfNegative val="0"/>
          <c:dPt>
            <c:idx val="0"/>
            <c:invertIfNegative val="0"/>
            <c:bubble3D val="0"/>
            <c:spPr>
              <a:solidFill>
                <a:srgbClr val="7030A0"/>
              </a:solidFill>
              <a:ln>
                <a:noFill/>
              </a:ln>
              <a:effectLst/>
            </c:spPr>
            <c:extLst>
              <c:ext xmlns:c16="http://schemas.microsoft.com/office/drawing/2014/chart" uri="{C3380CC4-5D6E-409C-BE32-E72D297353CC}">
                <c16:uniqueId val="{00000001-0FB9-4612-A5BD-225C1126C4FE}"/>
              </c:ext>
            </c:extLst>
          </c:dPt>
          <c:dPt>
            <c:idx val="1"/>
            <c:invertIfNegative val="0"/>
            <c:bubble3D val="0"/>
            <c:spPr>
              <a:solidFill>
                <a:srgbClr val="7030A0"/>
              </a:solidFill>
              <a:ln>
                <a:noFill/>
              </a:ln>
              <a:effectLst/>
            </c:spPr>
            <c:extLst>
              <c:ext xmlns:c16="http://schemas.microsoft.com/office/drawing/2014/chart" uri="{C3380CC4-5D6E-409C-BE32-E72D297353CC}">
                <c16:uniqueId val="{00000003-0FB9-4612-A5BD-225C1126C4FE}"/>
              </c:ext>
            </c:extLst>
          </c:dPt>
          <c:dPt>
            <c:idx val="2"/>
            <c:invertIfNegative val="0"/>
            <c:bubble3D val="0"/>
            <c:spPr>
              <a:solidFill>
                <a:srgbClr val="7030A0"/>
              </a:solidFill>
              <a:ln>
                <a:noFill/>
              </a:ln>
              <a:effectLst/>
            </c:spPr>
            <c:extLst>
              <c:ext xmlns:c16="http://schemas.microsoft.com/office/drawing/2014/chart" uri="{C3380CC4-5D6E-409C-BE32-E72D297353CC}">
                <c16:uniqueId val="{00000005-0FB9-4612-A5BD-225C1126C4FE}"/>
              </c:ext>
            </c:extLst>
          </c:dPt>
          <c:dPt>
            <c:idx val="3"/>
            <c:invertIfNegative val="0"/>
            <c:bubble3D val="0"/>
            <c:spPr>
              <a:solidFill>
                <a:srgbClr val="7030A0"/>
              </a:solidFill>
              <a:ln>
                <a:noFill/>
              </a:ln>
              <a:effectLst/>
            </c:spPr>
            <c:extLst>
              <c:ext xmlns:c16="http://schemas.microsoft.com/office/drawing/2014/chart" uri="{C3380CC4-5D6E-409C-BE32-E72D297353CC}">
                <c16:uniqueId val="{00000007-0FB9-4612-A5BD-225C1126C4FE}"/>
              </c:ext>
            </c:extLst>
          </c:dPt>
          <c:dLbls>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001"/>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shade val="95000"/>
                          <a:satMod val="105000"/>
                        </a:schemeClr>
                      </a:solidFill>
                      <a:prstDash val="solid"/>
                      <a:round/>
                    </a:ln>
                    <a:effectLst/>
                  </c:spPr>
                </c15:leaderLines>
              </c:ext>
            </c:extLst>
          </c:dLbls>
          <c:cat>
            <c:strRef>
              <c:f>'Executive Summary'!$U$32:$U$36</c:f>
              <c:strCache>
                <c:ptCount val="5"/>
                <c:pt idx="0">
                  <c:v> Count of DVO Closed </c:v>
                </c:pt>
                <c:pt idx="1">
                  <c:v> DVO Pending &lt; 30 days </c:v>
                </c:pt>
                <c:pt idx="2">
                  <c:v> DVO Pending &gt; 30 &lt; 60 days </c:v>
                </c:pt>
                <c:pt idx="3">
                  <c:v> DVO Pending &lt; 60 &gt; 90 days </c:v>
                </c:pt>
                <c:pt idx="4">
                  <c:v> DVO Overdue (&gt;90 days) </c:v>
                </c:pt>
              </c:strCache>
            </c:strRef>
          </c:cat>
          <c:val>
            <c:numRef>
              <c:f>'Executive Summary'!$V$32:$V$36</c:f>
              <c:numCache>
                <c:formatCode>#,##0</c:formatCode>
                <c:ptCount val="5"/>
                <c:pt idx="0">
                  <c:v>118</c:v>
                </c:pt>
                <c:pt idx="1">
                  <c:v>2</c:v>
                </c:pt>
                <c:pt idx="2">
                  <c:v>1</c:v>
                </c:pt>
                <c:pt idx="3">
                  <c:v>4</c:v>
                </c:pt>
                <c:pt idx="4">
                  <c:v>13</c:v>
                </c:pt>
              </c:numCache>
            </c:numRef>
          </c:val>
          <c:extLst>
            <c:ext xmlns:c16="http://schemas.microsoft.com/office/drawing/2014/chart" uri="{C3380CC4-5D6E-409C-BE32-E72D297353CC}">
              <c16:uniqueId val="{00000008-0FB9-4612-A5BD-225C1126C4FE}"/>
            </c:ext>
          </c:extLst>
        </c:ser>
        <c:dLbls>
          <c:showLegendKey val="0"/>
          <c:showVal val="0"/>
          <c:showCatName val="0"/>
          <c:showSerName val="0"/>
          <c:showPercent val="0"/>
          <c:showBubbleSize val="0"/>
        </c:dLbls>
        <c:gapWidth val="100"/>
        <c:axId val="1646166928"/>
        <c:axId val="1592935856"/>
      </c:barChart>
      <c:catAx>
        <c:axId val="1646166928"/>
        <c:scaling>
          <c:orientation val="minMax"/>
        </c:scaling>
        <c:delete val="0"/>
        <c:axPos val="b"/>
        <c:numFmt formatCode="General" sourceLinked="1"/>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001"/>
          </a:p>
        </c:txPr>
        <c:crossAx val="1592935856"/>
        <c:crosses val="autoZero"/>
        <c:auto val="1"/>
        <c:lblAlgn val="ctr"/>
        <c:lblOffset val="100"/>
        <c:noMultiLvlLbl val="0"/>
      </c:catAx>
      <c:valAx>
        <c:axId val="1592935856"/>
        <c:scaling>
          <c:orientation val="minMax"/>
        </c:scaling>
        <c:delete val="1"/>
        <c:axPos val="l"/>
        <c:majorGridlines>
          <c:spPr>
            <a:ln w="9525" cap="flat" cmpd="sng" algn="ctr">
              <a:solidFill>
                <a:schemeClr val="tx1">
                  <a:tint val="75000"/>
                  <a:shade val="95000"/>
                  <a:satMod val="105000"/>
                </a:schemeClr>
              </a:solidFill>
              <a:prstDash val="solid"/>
              <a:round/>
            </a:ln>
            <a:effectLst/>
          </c:spPr>
        </c:majorGridlines>
        <c:numFmt formatCode="#,##0" sourceLinked="1"/>
        <c:majorTickMark val="out"/>
        <c:minorTickMark val="none"/>
        <c:tickLblPos val="nextTo"/>
        <c:crossAx val="1646166928"/>
        <c:crosses val="autoZero"/>
        <c:crossBetween val="between"/>
      </c:valAx>
      <c:spPr>
        <a:solidFill>
          <a:schemeClr val="bg1"/>
        </a:solidFill>
        <a:ln>
          <a:noFill/>
        </a:ln>
        <a:effectLst/>
      </c:spPr>
    </c:plotArea>
    <c:plotVisOnly val="1"/>
    <c:dispBlanksAs val="gap"/>
    <c:showDLblsOverMax val="0"/>
  </c:chart>
  <c:spPr>
    <a:solidFill>
      <a:schemeClr val="bg1"/>
    </a:solidFill>
    <a:ln w="9525" cap="flat" cmpd="sng" algn="ctr">
      <a:noFill/>
      <a:prstDash val="solid"/>
      <a:round/>
    </a:ln>
    <a:effectLst/>
  </c:spPr>
  <c:txPr>
    <a:bodyPr/>
    <a:lstStyle/>
    <a:p>
      <a:pPr>
        <a:defRPr/>
      </a:pPr>
      <a:endParaRPr lang="en-001"/>
    </a:p>
  </c:txPr>
  <c:printSettings>
    <c:headerFooter/>
    <c:pageMargins b="0.75" l="0.7" r="0.7" t="0.75" header="0.3" footer="0.3"/>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3833475314991463E-2"/>
          <c:y val="0.14607075033263378"/>
          <c:w val="0.95007810592285602"/>
          <c:h val="0.77095858038529463"/>
        </c:manualLayout>
      </c:layout>
      <c:barChart>
        <c:barDir val="col"/>
        <c:grouping val="clustered"/>
        <c:varyColors val="0"/>
        <c:ser>
          <c:idx val="0"/>
          <c:order val="0"/>
          <c:tx>
            <c:strRef>
              <c:f>'Executive Summary'!$D$52:$I$52</c:f>
              <c:strCache>
                <c:ptCount val="1"/>
                <c:pt idx="0">
                  <c:v> KEY PERIOD MOVEMENTS </c:v>
                </c:pt>
              </c:strCache>
            </c:strRef>
          </c:tx>
          <c:spPr>
            <a:solidFill>
              <a:srgbClr val="038DCE"/>
            </a:solidFill>
            <a:ln>
              <a:noFill/>
            </a:ln>
            <a:effectLst/>
          </c:spPr>
          <c:invertIfNegative val="0"/>
          <c:dPt>
            <c:idx val="0"/>
            <c:invertIfNegative val="0"/>
            <c:bubble3D val="0"/>
            <c:spPr>
              <a:solidFill>
                <a:srgbClr val="038DCE"/>
              </a:solidFill>
              <a:ln>
                <a:noFill/>
              </a:ln>
              <a:effectLst/>
            </c:spPr>
            <c:extLst>
              <c:ext xmlns:c16="http://schemas.microsoft.com/office/drawing/2014/chart" uri="{C3380CC4-5D6E-409C-BE32-E72D297353CC}">
                <c16:uniqueId val="{00000001-91CD-4CDE-B546-9BCC007444E9}"/>
              </c:ext>
            </c:extLst>
          </c:dPt>
          <c:dPt>
            <c:idx val="1"/>
            <c:invertIfNegative val="0"/>
            <c:bubble3D val="0"/>
            <c:spPr>
              <a:solidFill>
                <a:srgbClr val="038DCE"/>
              </a:solidFill>
              <a:ln>
                <a:noFill/>
              </a:ln>
              <a:effectLst/>
            </c:spPr>
            <c:extLst>
              <c:ext xmlns:c16="http://schemas.microsoft.com/office/drawing/2014/chart" uri="{C3380CC4-5D6E-409C-BE32-E72D297353CC}">
                <c16:uniqueId val="{00000003-91CD-4CDE-B546-9BCC007444E9}"/>
              </c:ext>
            </c:extLst>
          </c:dPt>
          <c:dPt>
            <c:idx val="2"/>
            <c:invertIfNegative val="0"/>
            <c:bubble3D val="0"/>
            <c:spPr>
              <a:solidFill>
                <a:srgbClr val="038DCE"/>
              </a:solidFill>
              <a:ln>
                <a:noFill/>
              </a:ln>
              <a:effectLst/>
            </c:spPr>
            <c:extLst>
              <c:ext xmlns:c16="http://schemas.microsoft.com/office/drawing/2014/chart" uri="{C3380CC4-5D6E-409C-BE32-E72D297353CC}">
                <c16:uniqueId val="{00000005-91CD-4CDE-B546-9BCC007444E9}"/>
              </c:ext>
            </c:extLst>
          </c:dPt>
          <c:dPt>
            <c:idx val="3"/>
            <c:invertIfNegative val="0"/>
            <c:bubble3D val="0"/>
            <c:spPr>
              <a:solidFill>
                <a:srgbClr val="038DCE"/>
              </a:solidFill>
              <a:ln>
                <a:noFill/>
              </a:ln>
              <a:effectLst/>
            </c:spPr>
            <c:extLst>
              <c:ext xmlns:c16="http://schemas.microsoft.com/office/drawing/2014/chart" uri="{C3380CC4-5D6E-409C-BE32-E72D297353CC}">
                <c16:uniqueId val="{00000007-91CD-4CDE-B546-9BCC007444E9}"/>
              </c:ext>
            </c:extLst>
          </c:dPt>
          <c:dLbls>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001"/>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shade val="95000"/>
                          <a:satMod val="105000"/>
                        </a:schemeClr>
                      </a:solidFill>
                      <a:prstDash val="solid"/>
                      <a:round/>
                    </a:ln>
                    <a:effectLst/>
                  </c:spPr>
                </c15:leaderLines>
              </c:ext>
            </c:extLst>
          </c:dLbls>
          <c:cat>
            <c:strRef>
              <c:f>'Executive Summary'!$U$72:$U$74</c:f>
              <c:strCache>
                <c:ptCount val="3"/>
                <c:pt idx="0">
                  <c:v> Claims Pending &lt; 60 days </c:v>
                </c:pt>
                <c:pt idx="1">
                  <c:v> Claims Pending &gt; 60 &lt; 120 days </c:v>
                </c:pt>
                <c:pt idx="2">
                  <c:v> Claims Overdue (&gt;180 days) </c:v>
                </c:pt>
              </c:strCache>
            </c:strRef>
          </c:cat>
          <c:val>
            <c:numRef>
              <c:f>'Executive Summary'!$V$72:$V$74</c:f>
              <c:numCache>
                <c:formatCode>#,##0</c:formatCode>
                <c:ptCount val="3"/>
                <c:pt idx="0">
                  <c:v>0</c:v>
                </c:pt>
                <c:pt idx="1">
                  <c:v>0</c:v>
                </c:pt>
                <c:pt idx="2">
                  <c:v>3</c:v>
                </c:pt>
              </c:numCache>
            </c:numRef>
          </c:val>
          <c:extLst>
            <c:ext xmlns:c16="http://schemas.microsoft.com/office/drawing/2014/chart" uri="{C3380CC4-5D6E-409C-BE32-E72D297353CC}">
              <c16:uniqueId val="{00000008-91CD-4CDE-B546-9BCC007444E9}"/>
            </c:ext>
          </c:extLst>
        </c:ser>
        <c:dLbls>
          <c:showLegendKey val="0"/>
          <c:showVal val="0"/>
          <c:showCatName val="0"/>
          <c:showSerName val="0"/>
          <c:showPercent val="0"/>
          <c:showBubbleSize val="0"/>
        </c:dLbls>
        <c:gapWidth val="100"/>
        <c:axId val="1646166928"/>
        <c:axId val="1592935856"/>
      </c:barChart>
      <c:catAx>
        <c:axId val="1646166928"/>
        <c:scaling>
          <c:orientation val="minMax"/>
        </c:scaling>
        <c:delete val="0"/>
        <c:axPos val="b"/>
        <c:numFmt formatCode="General" sourceLinked="1"/>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001"/>
          </a:p>
        </c:txPr>
        <c:crossAx val="1592935856"/>
        <c:crosses val="autoZero"/>
        <c:auto val="1"/>
        <c:lblAlgn val="ctr"/>
        <c:lblOffset val="100"/>
        <c:noMultiLvlLbl val="0"/>
      </c:catAx>
      <c:valAx>
        <c:axId val="1592935856"/>
        <c:scaling>
          <c:orientation val="minMax"/>
        </c:scaling>
        <c:delete val="1"/>
        <c:axPos val="l"/>
        <c:majorGridlines>
          <c:spPr>
            <a:ln w="9525" cap="flat" cmpd="sng" algn="ctr">
              <a:solidFill>
                <a:schemeClr val="tx1">
                  <a:tint val="75000"/>
                  <a:shade val="95000"/>
                  <a:satMod val="105000"/>
                </a:schemeClr>
              </a:solidFill>
              <a:prstDash val="solid"/>
              <a:round/>
            </a:ln>
            <a:effectLst/>
          </c:spPr>
        </c:majorGridlines>
        <c:numFmt formatCode="#,##0" sourceLinked="1"/>
        <c:majorTickMark val="out"/>
        <c:minorTickMark val="none"/>
        <c:tickLblPos val="nextTo"/>
        <c:crossAx val="1646166928"/>
        <c:crosses val="autoZero"/>
        <c:crossBetween val="between"/>
      </c:valAx>
      <c:spPr>
        <a:solidFill>
          <a:schemeClr val="bg1"/>
        </a:solidFill>
        <a:ln>
          <a:noFill/>
        </a:ln>
        <a:effectLst/>
      </c:spPr>
    </c:plotArea>
    <c:plotVisOnly val="1"/>
    <c:dispBlanksAs val="gap"/>
    <c:showDLblsOverMax val="0"/>
  </c:chart>
  <c:spPr>
    <a:solidFill>
      <a:schemeClr val="bg1"/>
    </a:solidFill>
    <a:ln w="9525" cap="flat" cmpd="sng" algn="ctr">
      <a:noFill/>
      <a:prstDash val="solid"/>
      <a:round/>
    </a:ln>
    <a:effectLst/>
  </c:spPr>
  <c:txPr>
    <a:bodyPr/>
    <a:lstStyle/>
    <a:p>
      <a:pPr>
        <a:defRPr/>
      </a:pPr>
      <a:endParaRPr lang="en-001"/>
    </a:p>
  </c:txPr>
  <c:printSettings>
    <c:headerFooter/>
    <c:pageMargins b="0.75" l="0.7" r="0.7" t="0.75" header="0.3" footer="0.3"/>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4654882388482918E-4"/>
          <c:y val="6.0517142083535355E-2"/>
          <c:w val="0.95348731900704453"/>
          <c:h val="0.75865198456454697"/>
        </c:manualLayout>
      </c:layout>
      <c:barChart>
        <c:barDir val="col"/>
        <c:grouping val="clustered"/>
        <c:varyColors val="0"/>
        <c:ser>
          <c:idx val="0"/>
          <c:order val="0"/>
          <c:spPr>
            <a:solidFill>
              <a:srgbClr val="F36722"/>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001"/>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shade val="95000"/>
                          <a:satMod val="105000"/>
                        </a:schemeClr>
                      </a:solidFill>
                      <a:prstDash val="solid"/>
                      <a:round/>
                    </a:ln>
                    <a:effectLst/>
                  </c:spPr>
                </c15:leaderLines>
              </c:ext>
            </c:extLst>
          </c:dLbls>
          <c:cat>
            <c:strRef>
              <c:f>'Executive Summary'!$M$86:$M$90</c:f>
              <c:strCache>
                <c:ptCount val="5"/>
                <c:pt idx="0">
                  <c:v> Total PVO's  </c:v>
                </c:pt>
                <c:pt idx="1">
                  <c:v> PVO Approved  </c:v>
                </c:pt>
                <c:pt idx="2">
                  <c:v> PVO Pending </c:v>
                </c:pt>
                <c:pt idx="3">
                  <c:v> Cancelled (Not to Proceed) </c:v>
                </c:pt>
                <c:pt idx="4">
                  <c:v> Superseded (PVO Replaced) </c:v>
                </c:pt>
              </c:strCache>
            </c:strRef>
          </c:cat>
          <c:val>
            <c:numRef>
              <c:f>'Executive Summary'!$N$86:$N$90</c:f>
              <c:numCache>
                <c:formatCode>#,##0</c:formatCode>
                <c:ptCount val="5"/>
                <c:pt idx="0">
                  <c:v>184</c:v>
                </c:pt>
                <c:pt idx="1">
                  <c:v>144</c:v>
                </c:pt>
                <c:pt idx="2">
                  <c:v>24</c:v>
                </c:pt>
                <c:pt idx="3">
                  <c:v>16</c:v>
                </c:pt>
                <c:pt idx="4">
                  <c:v>0</c:v>
                </c:pt>
              </c:numCache>
            </c:numRef>
          </c:val>
          <c:extLst>
            <c:ext xmlns:c15="http://schemas.microsoft.com/office/drawing/2012/chart" uri="{02D57815-91ED-43cb-92C2-25804820EDAC}">
              <c15:filteredSeriesTitle>
                <c15:tx>
                  <c:strRef>
                    <c:extLst>
                      <c:ext uri="{02D57815-91ED-43cb-92C2-25804820EDAC}">
                        <c15:formulaRef>
                          <c15:sqref>'Executive Summary'!#REF!</c15:sqref>
                        </c15:formulaRef>
                      </c:ext>
                    </c:extLst>
                    <c:strCache>
                      <c:ptCount val="1"/>
                      <c:pt idx="0">
                        <c:v>#REF!</c:v>
                      </c:pt>
                    </c:strCache>
                  </c:strRef>
                </c15:tx>
              </c15:filteredSeriesTitle>
            </c:ext>
            <c:ext xmlns:c16="http://schemas.microsoft.com/office/drawing/2014/chart" uri="{C3380CC4-5D6E-409C-BE32-E72D297353CC}">
              <c16:uniqueId val="{00000000-230D-47C2-9CB1-FC76F0553325}"/>
            </c:ext>
          </c:extLst>
        </c:ser>
        <c:dLbls>
          <c:showLegendKey val="0"/>
          <c:showVal val="0"/>
          <c:showCatName val="0"/>
          <c:showSerName val="0"/>
          <c:showPercent val="0"/>
          <c:showBubbleSize val="0"/>
        </c:dLbls>
        <c:gapWidth val="100"/>
        <c:axId val="850381376"/>
        <c:axId val="1592810640"/>
      </c:barChart>
      <c:catAx>
        <c:axId val="850381376"/>
        <c:scaling>
          <c:orientation val="minMax"/>
        </c:scaling>
        <c:delete val="0"/>
        <c:axPos val="b"/>
        <c:numFmt formatCode="General" sourceLinked="1"/>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001"/>
          </a:p>
        </c:txPr>
        <c:crossAx val="1592810640"/>
        <c:crosses val="autoZero"/>
        <c:auto val="1"/>
        <c:lblAlgn val="ctr"/>
        <c:lblOffset val="100"/>
        <c:noMultiLvlLbl val="0"/>
      </c:catAx>
      <c:valAx>
        <c:axId val="1592810640"/>
        <c:scaling>
          <c:orientation val="minMax"/>
        </c:scaling>
        <c:delete val="1"/>
        <c:axPos val="l"/>
        <c:majorGridlines>
          <c:spPr>
            <a:ln w="9525" cap="flat" cmpd="sng" algn="ctr">
              <a:solidFill>
                <a:schemeClr val="tx1">
                  <a:tint val="75000"/>
                  <a:shade val="95000"/>
                  <a:satMod val="105000"/>
                </a:schemeClr>
              </a:solidFill>
              <a:prstDash val="solid"/>
              <a:round/>
            </a:ln>
            <a:effectLst/>
          </c:spPr>
        </c:majorGridlines>
        <c:numFmt formatCode="#,##0" sourceLinked="1"/>
        <c:majorTickMark val="out"/>
        <c:minorTickMark val="none"/>
        <c:tickLblPos val="nextTo"/>
        <c:crossAx val="850381376"/>
        <c:crosses val="autoZero"/>
        <c:crossBetween val="between"/>
      </c:valAx>
      <c:spPr>
        <a:noFill/>
        <a:ln w="25400">
          <a:noFill/>
        </a:ln>
        <a:effectLst/>
      </c:spPr>
    </c:plotArea>
    <c:plotVisOnly val="1"/>
    <c:dispBlanksAs val="gap"/>
    <c:showDLblsOverMax val="0"/>
  </c:chart>
  <c:spPr>
    <a:solidFill>
      <a:schemeClr val="bg1"/>
    </a:solidFill>
    <a:ln w="9525" cap="flat" cmpd="sng" algn="ctr">
      <a:noFill/>
      <a:prstDash val="solid"/>
      <a:round/>
    </a:ln>
    <a:effectLst/>
  </c:spPr>
  <c:txPr>
    <a:bodyPr/>
    <a:lstStyle/>
    <a:p>
      <a:pPr>
        <a:defRPr/>
      </a:pPr>
      <a:endParaRPr lang="en-001"/>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manualLayout>
          <c:layoutTarget val="inner"/>
          <c:xMode val="edge"/>
          <c:yMode val="edge"/>
          <c:x val="0"/>
          <c:y val="0.2328712585723885"/>
          <c:w val="0.92327566687960039"/>
          <c:h val="0.55078810157487001"/>
        </c:manualLayout>
      </c:layout>
      <c:barChart>
        <c:barDir val="col"/>
        <c:grouping val="clustered"/>
        <c:varyColors val="0"/>
        <c:ser>
          <c:idx val="0"/>
          <c:order val="0"/>
          <c:tx>
            <c:strRef>
              <c:f>'Executive Summary'!$M$92:$P$92</c:f>
              <c:strCache>
                <c:ptCount val="1"/>
                <c:pt idx="0">
                  <c:v> VARIATIONS (VO) </c:v>
                </c:pt>
              </c:strCache>
            </c:strRef>
          </c:tx>
          <c:spPr>
            <a:solidFill>
              <a:srgbClr val="2CAE9E"/>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001"/>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shade val="95000"/>
                          <a:satMod val="105000"/>
                        </a:schemeClr>
                      </a:solidFill>
                      <a:prstDash val="solid"/>
                      <a:round/>
                    </a:ln>
                    <a:effectLst/>
                  </c:spPr>
                </c15:leaderLines>
              </c:ext>
            </c:extLst>
          </c:dLbls>
          <c:cat>
            <c:strRef>
              <c:f>'Executive Summary'!$M$94:$M$98</c:f>
              <c:strCache>
                <c:ptCount val="5"/>
                <c:pt idx="0">
                  <c:v> Total VO's  </c:v>
                </c:pt>
                <c:pt idx="1">
                  <c:v> VO's Issued / Approved </c:v>
                </c:pt>
                <c:pt idx="2">
                  <c:v> VO Pending </c:v>
                </c:pt>
                <c:pt idx="3">
                  <c:v> Superseded (VO Replaced) </c:v>
                </c:pt>
                <c:pt idx="4">
                  <c:v> Cancelled (Not to Proceed) </c:v>
                </c:pt>
              </c:strCache>
            </c:strRef>
          </c:cat>
          <c:val>
            <c:numRef>
              <c:f>'Executive Summary'!$N$94:$N$98</c:f>
              <c:numCache>
                <c:formatCode>#,##0</c:formatCode>
                <c:ptCount val="5"/>
                <c:pt idx="0">
                  <c:v>166</c:v>
                </c:pt>
                <c:pt idx="1">
                  <c:v>139</c:v>
                </c:pt>
                <c:pt idx="2">
                  <c:v>14</c:v>
                </c:pt>
                <c:pt idx="3">
                  <c:v>0</c:v>
                </c:pt>
                <c:pt idx="4">
                  <c:v>13</c:v>
                </c:pt>
              </c:numCache>
            </c:numRef>
          </c:val>
          <c:extLst>
            <c:ext xmlns:c16="http://schemas.microsoft.com/office/drawing/2014/chart" uri="{C3380CC4-5D6E-409C-BE32-E72D297353CC}">
              <c16:uniqueId val="{00000000-186F-44E9-8486-0387728174BD}"/>
            </c:ext>
          </c:extLst>
        </c:ser>
        <c:dLbls>
          <c:showLegendKey val="0"/>
          <c:showVal val="0"/>
          <c:showCatName val="0"/>
          <c:showSerName val="0"/>
          <c:showPercent val="0"/>
          <c:showBubbleSize val="0"/>
        </c:dLbls>
        <c:gapWidth val="100"/>
        <c:axId val="1213586928"/>
        <c:axId val="1382115024"/>
      </c:barChart>
      <c:catAx>
        <c:axId val="1213586928"/>
        <c:scaling>
          <c:orientation val="minMax"/>
        </c:scaling>
        <c:delete val="0"/>
        <c:axPos val="b"/>
        <c:numFmt formatCode="General" sourceLinked="1"/>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001"/>
          </a:p>
        </c:txPr>
        <c:crossAx val="1382115024"/>
        <c:crosses val="autoZero"/>
        <c:auto val="1"/>
        <c:lblAlgn val="ctr"/>
        <c:lblOffset val="100"/>
        <c:noMultiLvlLbl val="0"/>
      </c:catAx>
      <c:valAx>
        <c:axId val="1382115024"/>
        <c:scaling>
          <c:orientation val="minMax"/>
        </c:scaling>
        <c:delete val="1"/>
        <c:axPos val="l"/>
        <c:majorGridlines>
          <c:spPr>
            <a:ln w="9525" cap="flat" cmpd="sng" algn="ctr">
              <a:solidFill>
                <a:schemeClr val="tx1">
                  <a:tint val="75000"/>
                  <a:shade val="95000"/>
                  <a:satMod val="105000"/>
                </a:schemeClr>
              </a:solidFill>
              <a:prstDash val="solid"/>
              <a:round/>
            </a:ln>
            <a:effectLst/>
          </c:spPr>
        </c:majorGridlines>
        <c:numFmt formatCode="#,##0" sourceLinked="1"/>
        <c:majorTickMark val="out"/>
        <c:minorTickMark val="none"/>
        <c:tickLblPos val="nextTo"/>
        <c:crossAx val="1213586928"/>
        <c:crosses val="autoZero"/>
        <c:crossBetween val="between"/>
      </c:valAx>
      <c:spPr>
        <a:solidFill>
          <a:schemeClr val="bg1"/>
        </a:solidFill>
        <a:ln>
          <a:noFill/>
        </a:ln>
        <a:effectLst/>
      </c:spPr>
    </c:plotArea>
    <c:plotVisOnly val="1"/>
    <c:dispBlanksAs val="gap"/>
    <c:showDLblsOverMax val="0"/>
  </c:chart>
  <c:spPr>
    <a:solidFill>
      <a:schemeClr val="bg1"/>
    </a:solidFill>
    <a:ln w="9525" cap="flat" cmpd="sng" algn="ctr">
      <a:noFill/>
      <a:prstDash val="solid"/>
      <a:round/>
    </a:ln>
    <a:effectLst/>
  </c:spPr>
  <c:txPr>
    <a:bodyPr/>
    <a:lstStyle/>
    <a:p>
      <a:pPr>
        <a:defRPr/>
      </a:pPr>
      <a:endParaRPr lang="en-001"/>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manualLayout>
          <c:layoutTarget val="inner"/>
          <c:xMode val="edge"/>
          <c:yMode val="edge"/>
          <c:x val="1.0418413764810472E-2"/>
          <c:y val="0.11282053583583539"/>
          <c:w val="0.72340723571881438"/>
          <c:h val="0.79872829245293964"/>
        </c:manualLayout>
      </c:layout>
      <c:barChart>
        <c:barDir val="col"/>
        <c:grouping val="clustered"/>
        <c:varyColors val="0"/>
        <c:ser>
          <c:idx val="0"/>
          <c:order val="0"/>
          <c:tx>
            <c:strRef>
              <c:f>'Executive Summary'!$M$101:$P$101</c:f>
              <c:strCache>
                <c:ptCount val="1"/>
                <c:pt idx="0">
                  <c:v> DETERMINED VARIATION ORDERS (DVO) </c:v>
                </c:pt>
              </c:strCache>
            </c:strRef>
          </c:tx>
          <c:spPr>
            <a:solidFill>
              <a:srgbClr val="7030A0"/>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001"/>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shade val="95000"/>
                          <a:satMod val="105000"/>
                        </a:schemeClr>
                      </a:solidFill>
                      <a:prstDash val="solid"/>
                      <a:round/>
                    </a:ln>
                    <a:effectLst/>
                  </c:spPr>
                </c15:leaderLines>
              </c:ext>
            </c:extLst>
          </c:dLbls>
          <c:cat>
            <c:strRef>
              <c:f>'Executive Summary'!$M$103:$M$107</c:f>
              <c:strCache>
                <c:ptCount val="5"/>
                <c:pt idx="0">
                  <c:v> Total DVO's </c:v>
                </c:pt>
                <c:pt idx="1">
                  <c:v> DVO Approved  </c:v>
                </c:pt>
                <c:pt idx="2">
                  <c:v> DVO Pending </c:v>
                </c:pt>
                <c:pt idx="3">
                  <c:v> Cancelled (Not to Proceed) </c:v>
                </c:pt>
                <c:pt idx="4">
                  <c:v> Superseded (DVO Replaced) </c:v>
                </c:pt>
              </c:strCache>
            </c:strRef>
          </c:cat>
          <c:val>
            <c:numRef>
              <c:f>'Executive Summary'!$N$103:$N$107</c:f>
              <c:numCache>
                <c:formatCode>#,##0</c:formatCode>
                <c:ptCount val="5"/>
                <c:pt idx="0">
                  <c:v>146</c:v>
                </c:pt>
                <c:pt idx="1">
                  <c:v>118</c:v>
                </c:pt>
                <c:pt idx="2">
                  <c:v>20</c:v>
                </c:pt>
                <c:pt idx="3">
                  <c:v>8</c:v>
                </c:pt>
                <c:pt idx="4">
                  <c:v>0</c:v>
                </c:pt>
              </c:numCache>
            </c:numRef>
          </c:val>
          <c:extLst>
            <c:ext xmlns:c16="http://schemas.microsoft.com/office/drawing/2014/chart" uri="{C3380CC4-5D6E-409C-BE32-E72D297353CC}">
              <c16:uniqueId val="{00000000-3981-4D08-9E73-A09C1188AD67}"/>
            </c:ext>
          </c:extLst>
        </c:ser>
        <c:dLbls>
          <c:showLegendKey val="0"/>
          <c:showVal val="0"/>
          <c:showCatName val="0"/>
          <c:showSerName val="0"/>
          <c:showPercent val="0"/>
          <c:showBubbleSize val="0"/>
        </c:dLbls>
        <c:gapWidth val="100"/>
        <c:axId val="1213586928"/>
        <c:axId val="1382115024"/>
      </c:barChart>
      <c:catAx>
        <c:axId val="1213586928"/>
        <c:scaling>
          <c:orientation val="minMax"/>
        </c:scaling>
        <c:delete val="0"/>
        <c:axPos val="b"/>
        <c:numFmt formatCode="General" sourceLinked="1"/>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001"/>
          </a:p>
        </c:txPr>
        <c:crossAx val="1382115024"/>
        <c:crosses val="autoZero"/>
        <c:auto val="1"/>
        <c:lblAlgn val="ctr"/>
        <c:lblOffset val="100"/>
        <c:noMultiLvlLbl val="0"/>
      </c:catAx>
      <c:valAx>
        <c:axId val="1382115024"/>
        <c:scaling>
          <c:orientation val="minMax"/>
        </c:scaling>
        <c:delete val="1"/>
        <c:axPos val="l"/>
        <c:majorGridlines>
          <c:spPr>
            <a:ln w="9525" cap="flat" cmpd="sng" algn="ctr">
              <a:solidFill>
                <a:schemeClr val="tx1">
                  <a:tint val="75000"/>
                  <a:shade val="95000"/>
                  <a:satMod val="105000"/>
                </a:schemeClr>
              </a:solidFill>
              <a:prstDash val="solid"/>
              <a:round/>
            </a:ln>
            <a:effectLst/>
          </c:spPr>
        </c:majorGridlines>
        <c:numFmt formatCode="#,##0" sourceLinked="1"/>
        <c:majorTickMark val="out"/>
        <c:minorTickMark val="none"/>
        <c:tickLblPos val="nextTo"/>
        <c:crossAx val="1213586928"/>
        <c:crosses val="autoZero"/>
        <c:crossBetween val="between"/>
      </c:valAx>
      <c:spPr>
        <a:solidFill>
          <a:schemeClr val="bg1"/>
        </a:solidFill>
        <a:ln>
          <a:noFill/>
        </a:ln>
        <a:effectLst/>
      </c:spPr>
    </c:plotArea>
    <c:plotVisOnly val="1"/>
    <c:dispBlanksAs val="gap"/>
    <c:showDLblsOverMax val="0"/>
  </c:chart>
  <c:spPr>
    <a:solidFill>
      <a:schemeClr val="bg1"/>
    </a:solidFill>
    <a:ln w="9525" cap="flat" cmpd="sng" algn="ctr">
      <a:noFill/>
      <a:prstDash val="solid"/>
      <a:round/>
    </a:ln>
    <a:effectLst/>
  </c:spPr>
  <c:txPr>
    <a:bodyPr/>
    <a:lstStyle/>
    <a:p>
      <a:pPr>
        <a:defRPr/>
      </a:pPr>
      <a:endParaRPr lang="en-001"/>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75"/>
      <c:rotY val="0"/>
      <c:rAngAx val="0"/>
    </c:view3D>
    <c:floor>
      <c:thickness val="0"/>
    </c:floor>
    <c:sideWall>
      <c:thickness val="0"/>
    </c:sideWall>
    <c:backWall>
      <c:thickness val="0"/>
    </c:backWall>
    <c:plotArea>
      <c:layout>
        <c:manualLayout>
          <c:layoutTarget val="inner"/>
          <c:xMode val="edge"/>
          <c:yMode val="edge"/>
          <c:x val="1.2732728865188581E-2"/>
          <c:y val="0.1127856280139289"/>
          <c:w val="0.5358652343388044"/>
          <c:h val="0.78280987012489933"/>
        </c:manualLayout>
      </c:layout>
      <c:pie3DChart>
        <c:varyColors val="1"/>
        <c:ser>
          <c:idx val="0"/>
          <c:order val="0"/>
          <c:tx>
            <c:v>Early Warnings</c:v>
          </c:tx>
          <c:explosion val="25"/>
          <c:dLbls>
            <c:spPr>
              <a:noFill/>
              <a:ln>
                <a:noFill/>
              </a:ln>
              <a:effectLst/>
            </c:spPr>
            <c:txPr>
              <a:bodyPr/>
              <a:lstStyle/>
              <a:p>
                <a:pPr>
                  <a:defRPr sz="1200"/>
                </a:pPr>
                <a:endParaRPr lang="en-001"/>
              </a:p>
            </c:txPr>
            <c:showLegendKey val="0"/>
            <c:showVal val="0"/>
            <c:showCatName val="0"/>
            <c:showSerName val="0"/>
            <c:showPercent val="1"/>
            <c:showBubbleSize val="0"/>
            <c:showLeaderLines val="1"/>
            <c:extLst>
              <c:ext xmlns:c15="http://schemas.microsoft.com/office/drawing/2012/chart" uri="{CE6537A1-D6FC-4f65-9D91-7224C49458BB}"/>
            </c:extLst>
          </c:dLbls>
          <c:cat>
            <c:strLit>
              <c:ptCount val="5"/>
              <c:pt idx="0">
                <c:v>Closed</c:v>
              </c:pt>
              <c:pt idx="1">
                <c:v>Transferred to RFC</c:v>
              </c:pt>
              <c:pt idx="2">
                <c:v>Mirage Pending &lt; 30 days</c:v>
              </c:pt>
              <c:pt idx="3">
                <c:v>Mirage Pending 30 to 60 days</c:v>
              </c:pt>
              <c:pt idx="4">
                <c:v>Mirage Pending &gt; 60 days</c:v>
              </c:pt>
            </c:strLit>
          </c:cat>
          <c:val>
            <c:numLit>
              <c:formatCode>General</c:formatCode>
              <c:ptCount val="5"/>
              <c:pt idx="0">
                <c:v>53</c:v>
              </c:pt>
              <c:pt idx="1">
                <c:v>26</c:v>
              </c:pt>
              <c:pt idx="2">
                <c:v>15</c:v>
              </c:pt>
              <c:pt idx="3">
                <c:v>1</c:v>
              </c:pt>
              <c:pt idx="4">
                <c:v>2</c:v>
              </c:pt>
            </c:numLit>
          </c:val>
          <c:extLst>
            <c:ext xmlns:c16="http://schemas.microsoft.com/office/drawing/2014/chart" uri="{C3380CC4-5D6E-409C-BE32-E72D297353CC}">
              <c16:uniqueId val="{00000000-D978-484C-8799-EA104EC2ADB7}"/>
            </c:ext>
          </c:extLst>
        </c:ser>
        <c:dLbls>
          <c:showLegendKey val="0"/>
          <c:showVal val="0"/>
          <c:showCatName val="0"/>
          <c:showSerName val="0"/>
          <c:showPercent val="1"/>
          <c:showBubbleSize val="0"/>
          <c:showLeaderLines val="1"/>
        </c:dLbls>
      </c:pie3DChart>
    </c:plotArea>
    <c:legend>
      <c:legendPos val="r"/>
      <c:legendEntry>
        <c:idx val="0"/>
        <c:txPr>
          <a:bodyPr/>
          <a:lstStyle/>
          <a:p>
            <a:pPr>
              <a:defRPr sz="1600"/>
            </a:pPr>
            <a:endParaRPr lang="en-001"/>
          </a:p>
        </c:txPr>
      </c:legendEntry>
      <c:legendEntry>
        <c:idx val="1"/>
        <c:txPr>
          <a:bodyPr/>
          <a:lstStyle/>
          <a:p>
            <a:pPr>
              <a:defRPr sz="1600"/>
            </a:pPr>
            <a:endParaRPr lang="en-001"/>
          </a:p>
        </c:txPr>
      </c:legendEntry>
      <c:layout>
        <c:manualLayout>
          <c:xMode val="edge"/>
          <c:yMode val="edge"/>
          <c:x val="0.5321211628100242"/>
          <c:y val="1.9645772792450771E-2"/>
          <c:w val="0.4509293491053718"/>
          <c:h val="0.96090923175158449"/>
        </c:manualLayout>
      </c:layout>
      <c:overlay val="0"/>
      <c:txPr>
        <a:bodyPr/>
        <a:lstStyle/>
        <a:p>
          <a:pPr>
            <a:defRPr sz="1600"/>
          </a:pPr>
          <a:endParaRPr lang="en-001"/>
        </a:p>
      </c:txPr>
    </c:legend>
    <c:plotVisOnly val="1"/>
    <c:dispBlanksAs val="gap"/>
    <c:showDLblsOverMax val="0"/>
  </c:chart>
  <c:spPr>
    <a:ln>
      <a:noFill/>
    </a:ln>
  </c:spPr>
  <c:printSettings>
    <c:headerFooter/>
    <c:pageMargins b="0.75" l="0.7" r="0.7" t="0.75" header="0.3" footer="0.3"/>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75"/>
      <c:rotY val="0"/>
      <c:rAngAx val="0"/>
    </c:view3D>
    <c:floor>
      <c:thickness val="0"/>
    </c:floor>
    <c:sideWall>
      <c:thickness val="0"/>
    </c:sideWall>
    <c:backWall>
      <c:thickness val="0"/>
    </c:backWall>
    <c:plotArea>
      <c:layout/>
      <c:pie3DChart>
        <c:varyColors val="1"/>
        <c:ser>
          <c:idx val="0"/>
          <c:order val="0"/>
          <c:explosion val="25"/>
          <c:dLbls>
            <c:dLbl>
              <c:idx val="0"/>
              <c:layout>
                <c:manualLayout>
                  <c:x val="8.560709980420406E-3"/>
                  <c:y val="-1.176797747976513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0-7F90-4780-B735-DF7BDB2D1DF3}"/>
                </c:ext>
              </c:extLst>
            </c:dLbl>
            <c:dLbl>
              <c:idx val="3"/>
              <c:layout>
                <c:manualLayout>
                  <c:x val="2.3515730692014156E-2"/>
                  <c:y val="-2.839420780313411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F90-4780-B735-DF7BDB2D1DF3}"/>
                </c:ext>
              </c:extLst>
            </c:dLbl>
            <c:spPr>
              <a:noFill/>
              <a:ln>
                <a:noFill/>
              </a:ln>
              <a:effectLst/>
            </c:spPr>
            <c:txPr>
              <a:bodyPr/>
              <a:lstStyle/>
              <a:p>
                <a:pPr>
                  <a:defRPr sz="1200"/>
                </a:pPr>
                <a:endParaRPr lang="en-001"/>
              </a:p>
            </c:txPr>
            <c:showLegendKey val="0"/>
            <c:showVal val="0"/>
            <c:showCatName val="0"/>
            <c:showSerName val="0"/>
            <c:showPercent val="1"/>
            <c:showBubbleSize val="0"/>
            <c:showLeaderLines val="1"/>
            <c:extLst>
              <c:ext xmlns:c15="http://schemas.microsoft.com/office/drawing/2012/chart" uri="{CE6537A1-D6FC-4f65-9D91-7224C49458BB}"/>
            </c:extLst>
          </c:dLbls>
          <c:cat>
            <c:strLit>
              <c:ptCount val="7"/>
              <c:pt idx="0">
                <c:v>Closed</c:v>
              </c:pt>
              <c:pt idx="1">
                <c:v>Approved (inc. in Lump Sum)</c:v>
              </c:pt>
              <c:pt idx="2">
                <c:v>Approved (Authority)</c:v>
              </c:pt>
              <c:pt idx="3">
                <c:v>Approved (proceed to ERI)</c:v>
              </c:pt>
              <c:pt idx="4">
                <c:v>Meraas Pending &lt; 30 days</c:v>
              </c:pt>
              <c:pt idx="5">
                <c:v>Meraas Pending 30 to 60 days</c:v>
              </c:pt>
              <c:pt idx="6">
                <c:v>Meraas Pending &gt; 60 days</c:v>
              </c:pt>
            </c:strLit>
          </c:cat>
          <c:val>
            <c:numLit>
              <c:formatCode>General</c:formatCode>
              <c:ptCount val="7"/>
              <c:pt idx="0">
                <c:v>14</c:v>
              </c:pt>
              <c:pt idx="1">
                <c:v>22</c:v>
              </c:pt>
              <c:pt idx="2">
                <c:v>3</c:v>
              </c:pt>
              <c:pt idx="3">
                <c:v>1</c:v>
              </c:pt>
              <c:pt idx="4">
                <c:v>1</c:v>
              </c:pt>
              <c:pt idx="5">
                <c:v>15</c:v>
              </c:pt>
              <c:pt idx="6">
                <c:v>1</c:v>
              </c:pt>
            </c:numLit>
          </c:val>
          <c:extLst>
            <c:ext xmlns:c16="http://schemas.microsoft.com/office/drawing/2014/chart" uri="{C3380CC4-5D6E-409C-BE32-E72D297353CC}">
              <c16:uniqueId val="{00000002-7F90-4780-B735-DF7BDB2D1DF3}"/>
            </c:ext>
          </c:extLst>
        </c:ser>
        <c:dLbls>
          <c:showLegendKey val="0"/>
          <c:showVal val="0"/>
          <c:showCatName val="0"/>
          <c:showSerName val="0"/>
          <c:showPercent val="1"/>
          <c:showBubbleSize val="0"/>
          <c:showLeaderLines val="1"/>
        </c:dLbls>
      </c:pie3DChart>
    </c:plotArea>
    <c:legend>
      <c:legendPos val="r"/>
      <c:legendEntry>
        <c:idx val="0"/>
        <c:txPr>
          <a:bodyPr/>
          <a:lstStyle/>
          <a:p>
            <a:pPr>
              <a:defRPr sz="1600"/>
            </a:pPr>
            <a:endParaRPr lang="en-001"/>
          </a:p>
        </c:txPr>
      </c:legendEntry>
      <c:legendEntry>
        <c:idx val="1"/>
        <c:txPr>
          <a:bodyPr/>
          <a:lstStyle/>
          <a:p>
            <a:pPr>
              <a:defRPr sz="1600"/>
            </a:pPr>
            <a:endParaRPr lang="en-001"/>
          </a:p>
        </c:txPr>
      </c:legendEntry>
      <c:layout>
        <c:manualLayout>
          <c:xMode val="edge"/>
          <c:yMode val="edge"/>
          <c:x val="0.58499031590908546"/>
          <c:y val="1.8434247836871788E-2"/>
          <c:w val="0.40544279571781733"/>
          <c:h val="0.96766755052695685"/>
        </c:manualLayout>
      </c:layout>
      <c:overlay val="0"/>
      <c:txPr>
        <a:bodyPr/>
        <a:lstStyle/>
        <a:p>
          <a:pPr>
            <a:defRPr sz="1600"/>
          </a:pPr>
          <a:endParaRPr lang="en-001"/>
        </a:p>
      </c:txPr>
    </c:legend>
    <c:plotVisOnly val="1"/>
    <c:dispBlanksAs val="gap"/>
    <c:showDLblsOverMax val="0"/>
  </c:chart>
  <c:spPr>
    <a:ln>
      <a:noFill/>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75"/>
      <c:rotY val="0"/>
      <c:rAngAx val="0"/>
    </c:view3D>
    <c:floor>
      <c:thickness val="0"/>
    </c:floor>
    <c:sideWall>
      <c:thickness val="0"/>
    </c:sideWall>
    <c:backWall>
      <c:thickness val="0"/>
    </c:backWall>
    <c:plotArea>
      <c:layout/>
      <c:pie3DChart>
        <c:varyColors val="1"/>
        <c:ser>
          <c:idx val="0"/>
          <c:order val="0"/>
          <c:tx>
            <c:v>Variations</c:v>
          </c:tx>
          <c:explosion val="25"/>
          <c:dLbls>
            <c:dLbl>
              <c:idx val="0"/>
              <c:layout>
                <c:manualLayout>
                  <c:x val="-1.215176585588159E-2"/>
                  <c:y val="2.863236773985304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0-6822-4EF1-8D3F-00A3E1489BF6}"/>
                </c:ext>
              </c:extLst>
            </c:dLbl>
            <c:dLbl>
              <c:idx val="3"/>
              <c:layout>
                <c:manualLayout>
                  <c:x val="7.9112225841978644E-4"/>
                  <c:y val="1.217461060865932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822-4EF1-8D3F-00A3E1489BF6}"/>
                </c:ext>
              </c:extLst>
            </c:dLbl>
            <c:spPr>
              <a:noFill/>
              <a:ln>
                <a:noFill/>
              </a:ln>
              <a:effectLst/>
            </c:spPr>
            <c:txPr>
              <a:bodyPr/>
              <a:lstStyle/>
              <a:p>
                <a:pPr>
                  <a:defRPr sz="1200"/>
                </a:pPr>
                <a:endParaRPr lang="en-001"/>
              </a:p>
            </c:txPr>
            <c:showLegendKey val="0"/>
            <c:showVal val="0"/>
            <c:showCatName val="0"/>
            <c:showSerName val="0"/>
            <c:showPercent val="1"/>
            <c:showBubbleSize val="0"/>
            <c:showLeaderLines val="1"/>
            <c:extLst>
              <c:ext xmlns:c15="http://schemas.microsoft.com/office/drawing/2012/chart" uri="{CE6537A1-D6FC-4f65-9D91-7224C49458BB}"/>
            </c:extLst>
          </c:dLbls>
          <c:cat>
            <c:strLit>
              <c:ptCount val="8"/>
              <c:pt idx="0">
                <c:v>Cancelled 0 0 0 46 46</c:v>
              </c:pt>
              <c:pt idx="1">
                <c:v>Disputed 0 0 0 0 0</c:v>
              </c:pt>
              <c:pt idx="2">
                <c:v>Approved (VO Issued) 0 39810 0 1 1</c:v>
              </c:pt>
              <c:pt idx="3">
                <c:v>Mirage Pending &lt; 30 days 0 0 0 0 0</c:v>
              </c:pt>
              <c:pt idx="4">
                <c:v>Mirage Pending &gt; 30 days 0 0 0 0 0</c:v>
              </c:pt>
              <c:pt idx="5">
                <c:v>Meraas Pending &lt; 30 days 0 39180 0 1 1</c:v>
              </c:pt>
              <c:pt idx="6">
                <c:v>Meraas Pending &gt; 30 days 0 0 0 0 0</c:v>
              </c:pt>
              <c:pt idx="7">
                <c:v>Total Pending VOAF's 0 39180 0 1 1</c:v>
              </c:pt>
            </c:strLit>
          </c:cat>
          <c:val>
            <c:numLit>
              <c:formatCode>General</c:formatCode>
              <c:ptCount val="8"/>
              <c:pt idx="0">
                <c:v>0</c:v>
              </c:pt>
              <c:pt idx="1">
                <c:v>0</c:v>
              </c:pt>
              <c:pt idx="2">
                <c:v>0</c:v>
              </c:pt>
              <c:pt idx="3">
                <c:v>0</c:v>
              </c:pt>
              <c:pt idx="4">
                <c:v>0</c:v>
              </c:pt>
              <c:pt idx="5">
                <c:v>0</c:v>
              </c:pt>
              <c:pt idx="6">
                <c:v>0</c:v>
              </c:pt>
              <c:pt idx="7">
                <c:v>0</c:v>
              </c:pt>
            </c:numLit>
          </c:val>
          <c:extLst>
            <c:ext xmlns:c16="http://schemas.microsoft.com/office/drawing/2014/chart" uri="{C3380CC4-5D6E-409C-BE32-E72D297353CC}">
              <c16:uniqueId val="{00000002-6822-4EF1-8D3F-00A3E1489BF6}"/>
            </c:ext>
          </c:extLst>
        </c:ser>
        <c:dLbls>
          <c:showLegendKey val="0"/>
          <c:showVal val="0"/>
          <c:showCatName val="0"/>
          <c:showSerName val="0"/>
          <c:showPercent val="1"/>
          <c:showBubbleSize val="0"/>
          <c:showLeaderLines val="1"/>
        </c:dLbls>
      </c:pie3DChart>
    </c:plotArea>
    <c:legend>
      <c:legendPos val="r"/>
      <c:legendEntry>
        <c:idx val="0"/>
        <c:txPr>
          <a:bodyPr/>
          <a:lstStyle/>
          <a:p>
            <a:pPr>
              <a:defRPr sz="1600"/>
            </a:pPr>
            <a:endParaRPr lang="en-001"/>
          </a:p>
        </c:txPr>
      </c:legendEntry>
      <c:legendEntry>
        <c:idx val="1"/>
        <c:txPr>
          <a:bodyPr/>
          <a:lstStyle/>
          <a:p>
            <a:pPr>
              <a:defRPr sz="1600"/>
            </a:pPr>
            <a:endParaRPr lang="en-001"/>
          </a:p>
        </c:txPr>
      </c:legendEntry>
      <c:layout>
        <c:manualLayout>
          <c:xMode val="edge"/>
          <c:yMode val="edge"/>
          <c:x val="0.49896671817116162"/>
          <c:y val="1.9645772792450771E-2"/>
          <c:w val="0.33981000534647643"/>
          <c:h val="0.89624995647581795"/>
        </c:manualLayout>
      </c:layout>
      <c:overlay val="0"/>
      <c:txPr>
        <a:bodyPr/>
        <a:lstStyle/>
        <a:p>
          <a:pPr>
            <a:defRPr sz="1600"/>
          </a:pPr>
          <a:endParaRPr lang="en-001"/>
        </a:p>
      </c:txPr>
    </c:legend>
    <c:plotVisOnly val="1"/>
    <c:dispBlanksAs val="gap"/>
    <c:showDLblsOverMax val="0"/>
  </c:chart>
  <c:spPr>
    <a:ln>
      <a:noFill/>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75"/>
      <c:rotY val="0"/>
      <c:rAngAx val="0"/>
    </c:view3D>
    <c:floor>
      <c:thickness val="0"/>
    </c:floor>
    <c:sideWall>
      <c:thickness val="0"/>
    </c:sideWall>
    <c:backWall>
      <c:thickness val="0"/>
    </c:backWall>
    <c:plotArea>
      <c:layout>
        <c:manualLayout>
          <c:layoutTarget val="inner"/>
          <c:xMode val="edge"/>
          <c:yMode val="edge"/>
          <c:x val="1.2918052295621207E-2"/>
          <c:y val="0.112785543545977"/>
          <c:w val="0.53859722829034307"/>
          <c:h val="0.78590413382292068"/>
        </c:manualLayout>
      </c:layout>
      <c:pie3DChart>
        <c:varyColors val="1"/>
        <c:ser>
          <c:idx val="0"/>
          <c:order val="0"/>
          <c:explosion val="25"/>
          <c:dLbls>
            <c:spPr>
              <a:noFill/>
              <a:ln>
                <a:noFill/>
              </a:ln>
              <a:effectLst/>
            </c:spPr>
            <c:txPr>
              <a:bodyPr/>
              <a:lstStyle/>
              <a:p>
                <a:pPr>
                  <a:defRPr sz="1200"/>
                </a:pPr>
                <a:endParaRPr lang="en-001"/>
              </a:p>
            </c:txPr>
            <c:showLegendKey val="0"/>
            <c:showVal val="0"/>
            <c:showCatName val="0"/>
            <c:showSerName val="0"/>
            <c:showPercent val="1"/>
            <c:showBubbleSize val="0"/>
            <c:showLeaderLines val="1"/>
            <c:extLst>
              <c:ext xmlns:c15="http://schemas.microsoft.com/office/drawing/2012/chart" uri="{CE6537A1-D6FC-4f65-9D91-7224C49458BB}"/>
            </c:extLst>
          </c:dLbls>
          <c:cat>
            <c:strLit>
              <c:ptCount val="5"/>
              <c:pt idx="0">
                <c:v>ERI's inc. in Lump Sum</c:v>
              </c:pt>
              <c:pt idx="1">
                <c:v>Contractor submitted Costs</c:v>
              </c:pt>
              <c:pt idx="2">
                <c:v>Contractor Pending &lt; 30 days</c:v>
              </c:pt>
              <c:pt idx="3">
                <c:v>Contractor Pending 30 to 60 days</c:v>
              </c:pt>
              <c:pt idx="4">
                <c:v>Contractor Pending &gt; 60 days</c:v>
              </c:pt>
            </c:strLit>
          </c:cat>
          <c:val>
            <c:numLit>
              <c:formatCode>General</c:formatCode>
              <c:ptCount val="5"/>
              <c:pt idx="0">
                <c:v>4</c:v>
              </c:pt>
              <c:pt idx="1">
                <c:v>0</c:v>
              </c:pt>
              <c:pt idx="2">
                <c:v>0</c:v>
              </c:pt>
              <c:pt idx="3">
                <c:v>0</c:v>
              </c:pt>
              <c:pt idx="4">
                <c:v>1</c:v>
              </c:pt>
            </c:numLit>
          </c:val>
          <c:extLst>
            <c:ext xmlns:c16="http://schemas.microsoft.com/office/drawing/2014/chart" uri="{C3380CC4-5D6E-409C-BE32-E72D297353CC}">
              <c16:uniqueId val="{00000000-5ED0-4B04-A21F-78451BA241D5}"/>
            </c:ext>
          </c:extLst>
        </c:ser>
        <c:dLbls>
          <c:showLegendKey val="0"/>
          <c:showVal val="0"/>
          <c:showCatName val="0"/>
          <c:showSerName val="0"/>
          <c:showPercent val="1"/>
          <c:showBubbleSize val="0"/>
          <c:showLeaderLines val="1"/>
        </c:dLbls>
      </c:pie3DChart>
    </c:plotArea>
    <c:legend>
      <c:legendPos val="r"/>
      <c:legendEntry>
        <c:idx val="0"/>
        <c:txPr>
          <a:bodyPr/>
          <a:lstStyle/>
          <a:p>
            <a:pPr>
              <a:defRPr sz="1600"/>
            </a:pPr>
            <a:endParaRPr lang="en-001"/>
          </a:p>
        </c:txPr>
      </c:legendEntry>
      <c:legendEntry>
        <c:idx val="1"/>
        <c:txPr>
          <a:bodyPr/>
          <a:lstStyle/>
          <a:p>
            <a:pPr>
              <a:defRPr sz="1600"/>
            </a:pPr>
            <a:endParaRPr lang="en-001"/>
          </a:p>
        </c:txPr>
      </c:legendEntry>
      <c:layout>
        <c:manualLayout>
          <c:xMode val="edge"/>
          <c:yMode val="edge"/>
          <c:x val="0.58154896945428958"/>
          <c:y val="3.2022637120228514E-2"/>
          <c:w val="0.41516164612058648"/>
          <c:h val="0.96090923175158449"/>
        </c:manualLayout>
      </c:layout>
      <c:overlay val="0"/>
      <c:txPr>
        <a:bodyPr/>
        <a:lstStyle/>
        <a:p>
          <a:pPr>
            <a:defRPr sz="1600"/>
          </a:pPr>
          <a:endParaRPr lang="en-001"/>
        </a:p>
      </c:txPr>
    </c:legend>
    <c:plotVisOnly val="1"/>
    <c:dispBlanksAs val="gap"/>
    <c:showDLblsOverMax val="0"/>
  </c:chart>
  <c:spPr>
    <a:ln>
      <a:noFill/>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75"/>
      <c:rotY val="0"/>
      <c:rAngAx val="0"/>
    </c:view3D>
    <c:floor>
      <c:thickness val="0"/>
    </c:floor>
    <c:sideWall>
      <c:thickness val="0"/>
    </c:sideWall>
    <c:backWall>
      <c:thickness val="0"/>
    </c:backWall>
    <c:plotArea>
      <c:layout/>
      <c:pie3DChart>
        <c:varyColors val="1"/>
        <c:ser>
          <c:idx val="0"/>
          <c:order val="0"/>
          <c:explosion val="25"/>
          <c:dLbls>
            <c:dLbl>
              <c:idx val="0"/>
              <c:layout>
                <c:manualLayout>
                  <c:x val="8.560709980420406E-3"/>
                  <c:y val="-1.176797747976513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0-D596-4295-94F8-6CA067254CC3}"/>
                </c:ext>
              </c:extLst>
            </c:dLbl>
            <c:dLbl>
              <c:idx val="3"/>
              <c:layout>
                <c:manualLayout>
                  <c:x val="-9.9076132750445058E-4"/>
                  <c:y val="7.7169728783902016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596-4295-94F8-6CA067254CC3}"/>
                </c:ext>
              </c:extLst>
            </c:dLbl>
            <c:spPr>
              <a:noFill/>
              <a:ln>
                <a:noFill/>
              </a:ln>
              <a:effectLst/>
            </c:spPr>
            <c:txPr>
              <a:bodyPr/>
              <a:lstStyle/>
              <a:p>
                <a:pPr>
                  <a:defRPr sz="1200"/>
                </a:pPr>
                <a:endParaRPr lang="en-001"/>
              </a:p>
            </c:txPr>
            <c:showLegendKey val="0"/>
            <c:showVal val="0"/>
            <c:showCatName val="0"/>
            <c:showSerName val="0"/>
            <c:showPercent val="1"/>
            <c:showBubbleSize val="0"/>
            <c:showLeaderLines val="1"/>
            <c:extLst>
              <c:ext xmlns:c15="http://schemas.microsoft.com/office/drawing/2012/chart" uri="{CE6537A1-D6FC-4f65-9D91-7224C49458BB}"/>
            </c:extLst>
          </c:dLbls>
          <c:cat>
            <c:strLit>
              <c:ptCount val="7"/>
              <c:pt idx="0">
                <c:v>Cancelled</c:v>
              </c:pt>
              <c:pt idx="1">
                <c:v>Disputed</c:v>
              </c:pt>
              <c:pt idx="2">
                <c:v>Approved (VO Issued)</c:v>
              </c:pt>
              <c:pt idx="3">
                <c:v>Mirage Pending &lt; 30 days</c:v>
              </c:pt>
              <c:pt idx="4">
                <c:v>Mirage Pending &gt; 30 days</c:v>
              </c:pt>
              <c:pt idx="5">
                <c:v>Meraas Pending &lt; 30 days</c:v>
              </c:pt>
              <c:pt idx="6">
                <c:v>Meraas Pending &gt; 30 days</c:v>
              </c:pt>
            </c:strLit>
          </c:cat>
          <c:val>
            <c:numLit>
              <c:formatCode>General</c:formatCode>
              <c:ptCount val="7"/>
              <c:pt idx="0">
                <c:v>46</c:v>
              </c:pt>
              <c:pt idx="1">
                <c:v>0</c:v>
              </c:pt>
              <c:pt idx="2">
                <c:v>1</c:v>
              </c:pt>
              <c:pt idx="3">
                <c:v>0</c:v>
              </c:pt>
              <c:pt idx="4">
                <c:v>0</c:v>
              </c:pt>
              <c:pt idx="5">
                <c:v>1</c:v>
              </c:pt>
              <c:pt idx="6">
                <c:v>0</c:v>
              </c:pt>
            </c:numLit>
          </c:val>
          <c:extLst>
            <c:ext xmlns:c16="http://schemas.microsoft.com/office/drawing/2014/chart" uri="{C3380CC4-5D6E-409C-BE32-E72D297353CC}">
              <c16:uniqueId val="{00000002-D596-4295-94F8-6CA067254CC3}"/>
            </c:ext>
          </c:extLst>
        </c:ser>
        <c:dLbls>
          <c:showLegendKey val="0"/>
          <c:showVal val="0"/>
          <c:showCatName val="0"/>
          <c:showSerName val="0"/>
          <c:showPercent val="1"/>
          <c:showBubbleSize val="0"/>
          <c:showLeaderLines val="1"/>
        </c:dLbls>
      </c:pie3DChart>
    </c:plotArea>
    <c:legend>
      <c:legendPos val="r"/>
      <c:legendEntry>
        <c:idx val="0"/>
        <c:txPr>
          <a:bodyPr/>
          <a:lstStyle/>
          <a:p>
            <a:pPr>
              <a:defRPr sz="1600"/>
            </a:pPr>
            <a:endParaRPr lang="en-001"/>
          </a:p>
        </c:txPr>
      </c:legendEntry>
      <c:legendEntry>
        <c:idx val="1"/>
        <c:txPr>
          <a:bodyPr/>
          <a:lstStyle/>
          <a:p>
            <a:pPr>
              <a:defRPr sz="1600"/>
            </a:pPr>
            <a:endParaRPr lang="en-001"/>
          </a:p>
        </c:txPr>
      </c:legendEntry>
      <c:layout>
        <c:manualLayout>
          <c:xMode val="edge"/>
          <c:yMode val="edge"/>
          <c:x val="0.58499031590908546"/>
          <c:y val="1.8434247836871788E-2"/>
          <c:w val="0.40544279571781733"/>
          <c:h val="0.96766755052695685"/>
        </c:manualLayout>
      </c:layout>
      <c:overlay val="0"/>
      <c:txPr>
        <a:bodyPr/>
        <a:lstStyle/>
        <a:p>
          <a:pPr>
            <a:defRPr sz="1600"/>
          </a:pPr>
          <a:endParaRPr lang="en-001"/>
        </a:p>
      </c:txPr>
    </c:legend>
    <c:plotVisOnly val="1"/>
    <c:dispBlanksAs val="gap"/>
    <c:showDLblsOverMax val="0"/>
  </c:chart>
  <c:spPr>
    <a:ln>
      <a:noFill/>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75"/>
      <c:rotY val="0"/>
      <c:rAngAx val="0"/>
    </c:view3D>
    <c:floor>
      <c:thickness val="0"/>
    </c:floor>
    <c:sideWall>
      <c:thickness val="0"/>
    </c:sideWall>
    <c:backWall>
      <c:thickness val="0"/>
    </c:backWall>
    <c:plotArea>
      <c:layout/>
      <c:pie3DChart>
        <c:varyColors val="1"/>
        <c:ser>
          <c:idx val="0"/>
          <c:order val="0"/>
          <c:tx>
            <c:v>Variations</c:v>
          </c:tx>
          <c:explosion val="25"/>
          <c:dLbls>
            <c:dLbl>
              <c:idx val="0"/>
              <c:layout>
                <c:manualLayout>
                  <c:x val="-1.215176585588159E-2"/>
                  <c:y val="2.863236773985304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0-7F73-4ACA-B0FC-DA7C6446BE56}"/>
                </c:ext>
              </c:extLst>
            </c:dLbl>
            <c:dLbl>
              <c:idx val="3"/>
              <c:layout>
                <c:manualLayout>
                  <c:x val="7.9112225841978644E-4"/>
                  <c:y val="1.217461060865932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F73-4ACA-B0FC-DA7C6446BE56}"/>
                </c:ext>
              </c:extLst>
            </c:dLbl>
            <c:spPr>
              <a:noFill/>
              <a:ln>
                <a:noFill/>
              </a:ln>
              <a:effectLst/>
            </c:spPr>
            <c:txPr>
              <a:bodyPr/>
              <a:lstStyle/>
              <a:p>
                <a:pPr>
                  <a:defRPr sz="1200"/>
                </a:pPr>
                <a:endParaRPr lang="en-001"/>
              </a:p>
            </c:txPr>
            <c:showLegendKey val="0"/>
            <c:showVal val="0"/>
            <c:showCatName val="0"/>
            <c:showSerName val="0"/>
            <c:showPercent val="1"/>
            <c:showBubbleSize val="0"/>
            <c:showLeaderLines val="1"/>
            <c:extLst>
              <c:ext xmlns:c15="http://schemas.microsoft.com/office/drawing/2012/chart" uri="{CE6537A1-D6FC-4f65-9D91-7224C49458BB}"/>
            </c:extLst>
          </c:dLbls>
          <c:cat>
            <c:strLit>
              <c:ptCount val="8"/>
              <c:pt idx="0">
                <c:v>Cancelled 0 0 0 46 46</c:v>
              </c:pt>
              <c:pt idx="1">
                <c:v>Disputed 0 0 0 0 0</c:v>
              </c:pt>
              <c:pt idx="2">
                <c:v>Approved (VO Issued) 0 39810 0 1 1</c:v>
              </c:pt>
              <c:pt idx="3">
                <c:v>Mirage Pending &lt; 30 days 0 0 0 0 0</c:v>
              </c:pt>
              <c:pt idx="4">
                <c:v>Mirage Pending &gt; 30 days 0 0 0 0 0</c:v>
              </c:pt>
              <c:pt idx="5">
                <c:v>Meraas Pending &lt; 30 days 0 39180 0 1 1</c:v>
              </c:pt>
              <c:pt idx="6">
                <c:v>Meraas Pending &gt; 30 days 0 0 0 0 0</c:v>
              </c:pt>
              <c:pt idx="7">
                <c:v>Total Pending VOAF's 0 39180 0 1 1</c:v>
              </c:pt>
            </c:strLit>
          </c:cat>
          <c:val>
            <c:numLit>
              <c:formatCode>General</c:formatCode>
              <c:ptCount val="8"/>
              <c:pt idx="0">
                <c:v>0</c:v>
              </c:pt>
              <c:pt idx="1">
                <c:v>0</c:v>
              </c:pt>
              <c:pt idx="2">
                <c:v>0</c:v>
              </c:pt>
              <c:pt idx="3">
                <c:v>0</c:v>
              </c:pt>
              <c:pt idx="4">
                <c:v>0</c:v>
              </c:pt>
              <c:pt idx="5">
                <c:v>0</c:v>
              </c:pt>
              <c:pt idx="6">
                <c:v>0</c:v>
              </c:pt>
              <c:pt idx="7">
                <c:v>0</c:v>
              </c:pt>
            </c:numLit>
          </c:val>
          <c:extLst>
            <c:ext xmlns:c16="http://schemas.microsoft.com/office/drawing/2014/chart" uri="{C3380CC4-5D6E-409C-BE32-E72D297353CC}">
              <c16:uniqueId val="{00000002-7F73-4ACA-B0FC-DA7C6446BE56}"/>
            </c:ext>
          </c:extLst>
        </c:ser>
        <c:dLbls>
          <c:showLegendKey val="0"/>
          <c:showVal val="0"/>
          <c:showCatName val="0"/>
          <c:showSerName val="0"/>
          <c:showPercent val="1"/>
          <c:showBubbleSize val="0"/>
          <c:showLeaderLines val="1"/>
        </c:dLbls>
      </c:pie3DChart>
    </c:plotArea>
    <c:legend>
      <c:legendPos val="r"/>
      <c:legendEntry>
        <c:idx val="0"/>
        <c:txPr>
          <a:bodyPr/>
          <a:lstStyle/>
          <a:p>
            <a:pPr>
              <a:defRPr sz="1600"/>
            </a:pPr>
            <a:endParaRPr lang="en-001"/>
          </a:p>
        </c:txPr>
      </c:legendEntry>
      <c:legendEntry>
        <c:idx val="1"/>
        <c:txPr>
          <a:bodyPr/>
          <a:lstStyle/>
          <a:p>
            <a:pPr>
              <a:defRPr sz="1600"/>
            </a:pPr>
            <a:endParaRPr lang="en-001"/>
          </a:p>
        </c:txPr>
      </c:legendEntry>
      <c:layout>
        <c:manualLayout>
          <c:xMode val="edge"/>
          <c:yMode val="edge"/>
          <c:x val="0.49896671817116162"/>
          <c:y val="1.9645772792450771E-2"/>
          <c:w val="0.33981000534647643"/>
          <c:h val="0.89624995647581795"/>
        </c:manualLayout>
      </c:layout>
      <c:overlay val="0"/>
      <c:txPr>
        <a:bodyPr/>
        <a:lstStyle/>
        <a:p>
          <a:pPr>
            <a:defRPr sz="1600"/>
          </a:pPr>
          <a:endParaRPr lang="en-001"/>
        </a:p>
      </c:txPr>
    </c:legend>
    <c:plotVisOnly val="1"/>
    <c:dispBlanksAs val="gap"/>
    <c:showDLblsOverMax val="0"/>
  </c:chart>
  <c:spPr>
    <a:ln>
      <a:noFill/>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75"/>
      <c:rotY val="0"/>
      <c:rAngAx val="0"/>
    </c:view3D>
    <c:floor>
      <c:thickness val="0"/>
    </c:floor>
    <c:sideWall>
      <c:thickness val="0"/>
    </c:sideWall>
    <c:backWall>
      <c:thickness val="0"/>
    </c:backWall>
    <c:plotArea>
      <c:layout>
        <c:manualLayout>
          <c:layoutTarget val="inner"/>
          <c:xMode val="edge"/>
          <c:yMode val="edge"/>
          <c:x val="1.9900568148205982E-3"/>
          <c:y val="8.445933805964953E-2"/>
          <c:w val="0.5358652343388044"/>
          <c:h val="0.78280987012489933"/>
        </c:manualLayout>
      </c:layout>
      <c:pie3DChart>
        <c:varyColors val="1"/>
        <c:ser>
          <c:idx val="0"/>
          <c:order val="0"/>
          <c:explosion val="25"/>
          <c:dLbls>
            <c:spPr>
              <a:noFill/>
              <a:ln>
                <a:noFill/>
              </a:ln>
              <a:effectLst/>
            </c:spPr>
            <c:txPr>
              <a:bodyPr/>
              <a:lstStyle/>
              <a:p>
                <a:pPr>
                  <a:defRPr sz="1200"/>
                </a:pPr>
                <a:endParaRPr lang="en-001"/>
              </a:p>
            </c:txPr>
            <c:showLegendKey val="0"/>
            <c:showVal val="0"/>
            <c:showCatName val="0"/>
            <c:showSerName val="0"/>
            <c:showPercent val="1"/>
            <c:showBubbleSize val="0"/>
            <c:showLeaderLines val="1"/>
            <c:extLst>
              <c:ext xmlns:c15="http://schemas.microsoft.com/office/drawing/2012/chart" uri="{CE6537A1-D6FC-4f65-9D91-7224C49458BB}"/>
            </c:extLst>
          </c:dLbls>
          <c:cat>
            <c:strLit>
              <c:ptCount val="7"/>
              <c:pt idx="0">
                <c:v>Closed / Rejected</c:v>
              </c:pt>
              <c:pt idx="1">
                <c:v>Awaiting Details</c:v>
              </c:pt>
              <c:pt idx="2">
                <c:v>Disputed</c:v>
              </c:pt>
              <c:pt idx="3">
                <c:v>Approved (Proceed to VOAF)</c:v>
              </c:pt>
              <c:pt idx="4">
                <c:v>Mirage Pending &lt; 30 days</c:v>
              </c:pt>
              <c:pt idx="5">
                <c:v>Mirage Pending 30 to 60 days</c:v>
              </c:pt>
              <c:pt idx="6">
                <c:v>Mirage Pending &gt; 60 days</c:v>
              </c:pt>
            </c:strLit>
          </c:cat>
          <c:val>
            <c:numLit>
              <c:formatCode>General</c:formatCode>
              <c:ptCount val="7"/>
              <c:pt idx="0">
                <c:v>1</c:v>
              </c:pt>
              <c:pt idx="1">
                <c:v>62</c:v>
              </c:pt>
              <c:pt idx="2">
                <c:v>0</c:v>
              </c:pt>
              <c:pt idx="3">
                <c:v>0</c:v>
              </c:pt>
              <c:pt idx="4">
                <c:v>1</c:v>
              </c:pt>
              <c:pt idx="5">
                <c:v>0</c:v>
              </c:pt>
              <c:pt idx="6">
                <c:v>0</c:v>
              </c:pt>
            </c:numLit>
          </c:val>
          <c:extLst>
            <c:ext xmlns:c16="http://schemas.microsoft.com/office/drawing/2014/chart" uri="{C3380CC4-5D6E-409C-BE32-E72D297353CC}">
              <c16:uniqueId val="{00000000-2707-4590-B528-FB4607ED12AD}"/>
            </c:ext>
          </c:extLst>
        </c:ser>
        <c:dLbls>
          <c:showLegendKey val="0"/>
          <c:showVal val="0"/>
          <c:showCatName val="0"/>
          <c:showSerName val="0"/>
          <c:showPercent val="1"/>
          <c:showBubbleSize val="0"/>
          <c:showLeaderLines val="1"/>
        </c:dLbls>
      </c:pie3DChart>
    </c:plotArea>
    <c:legend>
      <c:legendPos val="r"/>
      <c:legendEntry>
        <c:idx val="0"/>
        <c:txPr>
          <a:bodyPr/>
          <a:lstStyle/>
          <a:p>
            <a:pPr>
              <a:defRPr sz="1600"/>
            </a:pPr>
            <a:endParaRPr lang="en-001"/>
          </a:p>
        </c:txPr>
      </c:legendEntry>
      <c:legendEntry>
        <c:idx val="1"/>
        <c:txPr>
          <a:bodyPr/>
          <a:lstStyle/>
          <a:p>
            <a:pPr>
              <a:defRPr sz="1600"/>
            </a:pPr>
            <a:endParaRPr lang="en-001"/>
          </a:p>
        </c:txPr>
      </c:legendEntry>
      <c:layout>
        <c:manualLayout>
          <c:xMode val="edge"/>
          <c:yMode val="edge"/>
          <c:x val="0.49896671817116162"/>
          <c:y val="1.9645772792450771E-2"/>
          <c:w val="0.48408395473578775"/>
          <c:h val="0.96090923175158449"/>
        </c:manualLayout>
      </c:layout>
      <c:overlay val="0"/>
      <c:txPr>
        <a:bodyPr/>
        <a:lstStyle/>
        <a:p>
          <a:pPr>
            <a:defRPr sz="1600"/>
          </a:pPr>
          <a:endParaRPr lang="en-001"/>
        </a:p>
      </c:txPr>
    </c:legend>
    <c:plotVisOnly val="1"/>
    <c:dispBlanksAs val="gap"/>
    <c:showDLblsOverMax val="0"/>
  </c:chart>
  <c:spPr>
    <a:ln>
      <a:noFill/>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75"/>
      <c:rotY val="0"/>
      <c:rAngAx val="0"/>
    </c:view3D>
    <c:floor>
      <c:thickness val="0"/>
    </c:floor>
    <c:sideWall>
      <c:thickness val="0"/>
    </c:sideWall>
    <c:backWall>
      <c:thickness val="0"/>
    </c:backWall>
    <c:plotArea>
      <c:layout>
        <c:manualLayout>
          <c:layoutTarget val="inner"/>
          <c:xMode val="edge"/>
          <c:yMode val="edge"/>
          <c:x val="4.2857877956900492E-2"/>
          <c:y val="0.10019451761977782"/>
          <c:w val="0.50198602514102431"/>
          <c:h val="0.79961096476044435"/>
        </c:manualLayout>
      </c:layout>
      <c:pie3DChart>
        <c:varyColors val="1"/>
        <c:ser>
          <c:idx val="0"/>
          <c:order val="0"/>
          <c:explosion val="25"/>
          <c:dLbls>
            <c:dLbl>
              <c:idx val="0"/>
              <c:layout>
                <c:manualLayout>
                  <c:x val="8.560709980420406E-3"/>
                  <c:y val="-1.176797747976513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0-56F0-4979-AFB6-6F5782E161BE}"/>
                </c:ext>
              </c:extLst>
            </c:dLbl>
            <c:dLbl>
              <c:idx val="3"/>
              <c:layout>
                <c:manualLayout>
                  <c:x val="2.3515730692014156E-2"/>
                  <c:y val="-2.839420780313411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6F0-4979-AFB6-6F5782E161BE}"/>
                </c:ext>
              </c:extLst>
            </c:dLbl>
            <c:spPr>
              <a:noFill/>
              <a:ln>
                <a:noFill/>
              </a:ln>
              <a:effectLst/>
            </c:spPr>
            <c:txPr>
              <a:bodyPr/>
              <a:lstStyle/>
              <a:p>
                <a:pPr>
                  <a:defRPr sz="1200"/>
                </a:pPr>
                <a:endParaRPr lang="en-001"/>
              </a:p>
            </c:txPr>
            <c:showLegendKey val="0"/>
            <c:showVal val="0"/>
            <c:showCatName val="0"/>
            <c:showSerName val="0"/>
            <c:showPercent val="1"/>
            <c:showBubbleSize val="0"/>
            <c:showLeaderLines val="1"/>
            <c:extLst>
              <c:ext xmlns:c15="http://schemas.microsoft.com/office/drawing/2012/chart" uri="{CE6537A1-D6FC-4f65-9D91-7224C49458BB}"/>
            </c:extLst>
          </c:dLbls>
          <c:cat>
            <c:strLit>
              <c:ptCount val="7"/>
              <c:pt idx="0">
                <c:v>Closed or inc. in Lump Sum</c:v>
              </c:pt>
              <c:pt idx="1">
                <c:v>Awaiting Costs (No ERI)</c:v>
              </c:pt>
              <c:pt idx="2">
                <c:v>Awaiting Costs (ERI issued)</c:v>
              </c:pt>
              <c:pt idx="3">
                <c:v>Approved (proceed to RFC)</c:v>
              </c:pt>
              <c:pt idx="4">
                <c:v>Mirage Pending &lt; 30 days</c:v>
              </c:pt>
              <c:pt idx="5">
                <c:v>Mirage Pending 30 to 60 days</c:v>
              </c:pt>
              <c:pt idx="6">
                <c:v>Mirage Pending &gt; 60 days</c:v>
              </c:pt>
            </c:strLit>
          </c:cat>
          <c:val>
            <c:numLit>
              <c:formatCode>General</c:formatCode>
              <c:ptCount val="7"/>
              <c:pt idx="0">
                <c:v>0</c:v>
              </c:pt>
              <c:pt idx="1">
                <c:v>21</c:v>
              </c:pt>
              <c:pt idx="2">
                <c:v>0</c:v>
              </c:pt>
              <c:pt idx="3">
                <c:v>0</c:v>
              </c:pt>
              <c:pt idx="4">
                <c:v>1</c:v>
              </c:pt>
              <c:pt idx="5">
                <c:v>0</c:v>
              </c:pt>
              <c:pt idx="6">
                <c:v>20</c:v>
              </c:pt>
            </c:numLit>
          </c:val>
          <c:extLst>
            <c:ext xmlns:c16="http://schemas.microsoft.com/office/drawing/2014/chart" uri="{C3380CC4-5D6E-409C-BE32-E72D297353CC}">
              <c16:uniqueId val="{00000002-56F0-4979-AFB6-6F5782E161BE}"/>
            </c:ext>
          </c:extLst>
        </c:ser>
        <c:dLbls>
          <c:showLegendKey val="0"/>
          <c:showVal val="0"/>
          <c:showCatName val="0"/>
          <c:showSerName val="0"/>
          <c:showPercent val="1"/>
          <c:showBubbleSize val="0"/>
          <c:showLeaderLines val="1"/>
        </c:dLbls>
      </c:pie3DChart>
    </c:plotArea>
    <c:legend>
      <c:legendPos val="r"/>
      <c:legendEntry>
        <c:idx val="0"/>
        <c:txPr>
          <a:bodyPr/>
          <a:lstStyle/>
          <a:p>
            <a:pPr rtl="0">
              <a:defRPr sz="1600"/>
            </a:pPr>
            <a:endParaRPr lang="en-001"/>
          </a:p>
        </c:txPr>
      </c:legendEntry>
      <c:legendEntry>
        <c:idx val="1"/>
        <c:txPr>
          <a:bodyPr/>
          <a:lstStyle/>
          <a:p>
            <a:pPr>
              <a:defRPr sz="1600"/>
            </a:pPr>
            <a:endParaRPr lang="en-001"/>
          </a:p>
        </c:txPr>
      </c:legendEntry>
      <c:layout>
        <c:manualLayout>
          <c:xMode val="edge"/>
          <c:yMode val="edge"/>
          <c:x val="0.58499031590908546"/>
          <c:y val="1.8434247836871788E-2"/>
          <c:w val="0.40544279571781733"/>
          <c:h val="0.96766755052695685"/>
        </c:manualLayout>
      </c:layout>
      <c:overlay val="0"/>
      <c:txPr>
        <a:bodyPr/>
        <a:lstStyle/>
        <a:p>
          <a:pPr>
            <a:defRPr sz="1600"/>
          </a:pPr>
          <a:endParaRPr lang="en-001"/>
        </a:p>
      </c:txPr>
    </c:legend>
    <c:plotVisOnly val="1"/>
    <c:dispBlanksAs val="gap"/>
    <c:showDLblsOverMax val="0"/>
  </c:chart>
  <c:spPr>
    <a:ln>
      <a:noFill/>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3.3249348368300728E-2"/>
          <c:y val="1.4506495721945635E-2"/>
          <c:w val="0.92747775180355829"/>
          <c:h val="0.84815246544133294"/>
        </c:manualLayout>
      </c:layout>
      <c:barChart>
        <c:barDir val="col"/>
        <c:grouping val="clustered"/>
        <c:varyColors val="0"/>
        <c:ser>
          <c:idx val="1"/>
          <c:order val="0"/>
          <c:tx>
            <c:strRef>
              <c:f>'Schedule L'!$C$165</c:f>
              <c:strCache>
                <c:ptCount val="1"/>
                <c:pt idx="0">
                  <c:v>ACTUAL/FORECAST  - Net</c:v>
                </c:pt>
              </c:strCache>
            </c:strRef>
          </c:tx>
          <c:spPr>
            <a:solidFill>
              <a:srgbClr val="CC0000"/>
            </a:solidFill>
            <a:ln>
              <a:solidFill>
                <a:srgbClr val="CBD52B"/>
              </a:solidFill>
            </a:ln>
          </c:spPr>
          <c:invertIfNegative val="0"/>
          <c:dLbls>
            <c:spPr>
              <a:noFill/>
              <a:ln>
                <a:noFill/>
              </a:ln>
              <a:effectLst/>
            </c:spPr>
            <c:txPr>
              <a:bodyPr rot="-5400000" vert="horz"/>
              <a:lstStyle/>
              <a:p>
                <a:pPr>
                  <a:defRPr/>
                </a:pPr>
                <a:endParaRPr lang="en-001"/>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'Schedule L'!$E$50:$BB$51</c:f>
              <c:multiLvlStrCache>
                <c:ptCount val="18"/>
                <c:lvl>
                  <c:pt idx="0">
                    <c:v>Oct-17</c:v>
                  </c:pt>
                  <c:pt idx="1">
                    <c:v>Nov-17</c:v>
                  </c:pt>
                  <c:pt idx="2">
                    <c:v>Jul-18</c:v>
                  </c:pt>
                  <c:pt idx="3">
                    <c:v>Aug-18</c:v>
                  </c:pt>
                  <c:pt idx="4">
                    <c:v>Sep-18</c:v>
                  </c:pt>
                  <c:pt idx="5">
                    <c:v>Oct-18</c:v>
                  </c:pt>
                  <c:pt idx="6">
                    <c:v>Nov-18</c:v>
                  </c:pt>
                  <c:pt idx="7">
                    <c:v>Dec-18</c:v>
                  </c:pt>
                  <c:pt idx="8">
                    <c:v>Jan-19</c:v>
                  </c:pt>
                  <c:pt idx="9">
                    <c:v>Feb-19</c:v>
                  </c:pt>
                  <c:pt idx="10">
                    <c:v>Mar-19</c:v>
                  </c:pt>
                  <c:pt idx="11">
                    <c:v>Apr-19</c:v>
                  </c:pt>
                  <c:pt idx="12">
                    <c:v>May-19</c:v>
                  </c:pt>
                  <c:pt idx="13">
                    <c:v>Jun-19</c:v>
                  </c:pt>
                  <c:pt idx="14">
                    <c:v>Jul-19</c:v>
                  </c:pt>
                  <c:pt idx="15">
                    <c:v>Aug-19</c:v>
                  </c:pt>
                  <c:pt idx="16">
                    <c:v>Sep-19</c:v>
                  </c:pt>
                  <c:pt idx="17">
                    <c:v>Oct-19</c:v>
                  </c:pt>
                </c:lvl>
                <c:lvl>
                  <c:pt idx="0">
                    <c:v>1</c:v>
                  </c:pt>
                  <c:pt idx="1">
                    <c:v>2</c:v>
                  </c:pt>
                  <c:pt idx="2">
                    <c:v>10</c:v>
                  </c:pt>
                  <c:pt idx="3">
                    <c:v>11</c:v>
                  </c:pt>
                  <c:pt idx="4">
                    <c:v>12</c:v>
                  </c:pt>
                  <c:pt idx="5">
                    <c:v>13</c:v>
                  </c:pt>
                  <c:pt idx="6">
                    <c:v>14</c:v>
                  </c:pt>
                  <c:pt idx="7">
                    <c:v>15</c:v>
                  </c:pt>
                  <c:pt idx="8">
                    <c:v>16</c:v>
                  </c:pt>
                  <c:pt idx="9">
                    <c:v>17</c:v>
                  </c:pt>
                  <c:pt idx="10">
                    <c:v>18</c:v>
                  </c:pt>
                  <c:pt idx="11">
                    <c:v>19</c:v>
                  </c:pt>
                  <c:pt idx="12">
                    <c:v>20</c:v>
                  </c:pt>
                  <c:pt idx="13">
                    <c:v>21</c:v>
                  </c:pt>
                  <c:pt idx="14">
                    <c:v>22</c:v>
                  </c:pt>
                  <c:pt idx="15">
                    <c:v>23</c:v>
                  </c:pt>
                  <c:pt idx="16">
                    <c:v>24</c:v>
                  </c:pt>
                  <c:pt idx="17">
                    <c:v>25</c:v>
                  </c:pt>
                </c:lvl>
              </c:multiLvlStrCache>
            </c:multiLvlStrRef>
          </c:cat>
          <c:val>
            <c:numRef>
              <c:f>'Schedule L'!$E$165:$BB$165</c:f>
              <c:numCache>
                <c:formatCode>_(* #,##0.00_);_(* \(#,##0.00\);_(* "-"??_);_(@_)</c:formatCode>
                <c:ptCount val="18"/>
                <c:pt idx="0">
                  <c:v>252931</c:v>
                </c:pt>
                <c:pt idx="1">
                  <c:v>535586</c:v>
                </c:pt>
                <c:pt idx="2">
                  <c:v>9862836.7400000002</c:v>
                </c:pt>
                <c:pt idx="3">
                  <c:v>3699330.5599999987</c:v>
                </c:pt>
                <c:pt idx="4">
                  <c:v>2367161.3500000015</c:v>
                </c:pt>
                <c:pt idx="5">
                  <c:v>3685850.3599999994</c:v>
                </c:pt>
                <c:pt idx="6">
                  <c:v>4184734.7599999979</c:v>
                </c:pt>
                <c:pt idx="7">
                  <c:v>3277998.9299999997</c:v>
                </c:pt>
                <c:pt idx="8">
                  <c:v>4166778.25</c:v>
                </c:pt>
                <c:pt idx="9">
                  <c:v>6889815.2800000012</c:v>
                </c:pt>
                <c:pt idx="10">
                  <c:v>5797492.6499999985</c:v>
                </c:pt>
                <c:pt idx="11">
                  <c:v>4895961.6099999994</c:v>
                </c:pt>
                <c:pt idx="12">
                  <c:v>5297570.3199999928</c:v>
                </c:pt>
                <c:pt idx="13">
                  <c:v>6501875.9300000072</c:v>
                </c:pt>
                <c:pt idx="14">
                  <c:v>7073949.4600000083</c:v>
                </c:pt>
                <c:pt idx="15">
                  <c:v>0</c:v>
                </c:pt>
                <c:pt idx="16">
                  <c:v>0</c:v>
                </c:pt>
                <c:pt idx="17">
                  <c:v>0</c:v>
                </c:pt>
              </c:numCache>
            </c:numRef>
          </c:val>
          <c:extLst>
            <c:ext xmlns:c16="http://schemas.microsoft.com/office/drawing/2014/chart" uri="{C3380CC4-5D6E-409C-BE32-E72D297353CC}">
              <c16:uniqueId val="{00000000-9F78-4D3D-8DE4-3B3CD8E2F9CF}"/>
            </c:ext>
          </c:extLst>
        </c:ser>
        <c:ser>
          <c:idx val="5"/>
          <c:order val="2"/>
          <c:tx>
            <c:strRef>
              <c:f>'Schedule L'!$C$53</c:f>
              <c:strCache>
                <c:ptCount val="1"/>
                <c:pt idx="0">
                  <c:v>BASELINE - Net</c:v>
                </c:pt>
              </c:strCache>
            </c:strRef>
          </c:tx>
          <c:spPr>
            <a:solidFill>
              <a:srgbClr val="3366FF"/>
            </a:solidFill>
          </c:spPr>
          <c:invertIfNegative val="0"/>
          <c:dLbls>
            <c:spPr>
              <a:noFill/>
              <a:ln>
                <a:noFill/>
              </a:ln>
              <a:effectLst/>
            </c:spPr>
            <c:txPr>
              <a:bodyPr rot="-5400000" vert="horz"/>
              <a:lstStyle/>
              <a:p>
                <a:pPr>
                  <a:defRPr/>
                </a:pPr>
                <a:endParaRPr lang="en-001"/>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'Schedule L'!$E$50:$BB$51</c:f>
              <c:multiLvlStrCache>
                <c:ptCount val="18"/>
                <c:lvl>
                  <c:pt idx="0">
                    <c:v>Oct-17</c:v>
                  </c:pt>
                  <c:pt idx="1">
                    <c:v>Nov-17</c:v>
                  </c:pt>
                  <c:pt idx="2">
                    <c:v>Jul-18</c:v>
                  </c:pt>
                  <c:pt idx="3">
                    <c:v>Aug-18</c:v>
                  </c:pt>
                  <c:pt idx="4">
                    <c:v>Sep-18</c:v>
                  </c:pt>
                  <c:pt idx="5">
                    <c:v>Oct-18</c:v>
                  </c:pt>
                  <c:pt idx="6">
                    <c:v>Nov-18</c:v>
                  </c:pt>
                  <c:pt idx="7">
                    <c:v>Dec-18</c:v>
                  </c:pt>
                  <c:pt idx="8">
                    <c:v>Jan-19</c:v>
                  </c:pt>
                  <c:pt idx="9">
                    <c:v>Feb-19</c:v>
                  </c:pt>
                  <c:pt idx="10">
                    <c:v>Mar-19</c:v>
                  </c:pt>
                  <c:pt idx="11">
                    <c:v>Apr-19</c:v>
                  </c:pt>
                  <c:pt idx="12">
                    <c:v>May-19</c:v>
                  </c:pt>
                  <c:pt idx="13">
                    <c:v>Jun-19</c:v>
                  </c:pt>
                  <c:pt idx="14">
                    <c:v>Jul-19</c:v>
                  </c:pt>
                  <c:pt idx="15">
                    <c:v>Aug-19</c:v>
                  </c:pt>
                  <c:pt idx="16">
                    <c:v>Sep-19</c:v>
                  </c:pt>
                  <c:pt idx="17">
                    <c:v>Oct-19</c:v>
                  </c:pt>
                </c:lvl>
                <c:lvl>
                  <c:pt idx="0">
                    <c:v>1</c:v>
                  </c:pt>
                  <c:pt idx="1">
                    <c:v>2</c:v>
                  </c:pt>
                  <c:pt idx="2">
                    <c:v>10</c:v>
                  </c:pt>
                  <c:pt idx="3">
                    <c:v>11</c:v>
                  </c:pt>
                  <c:pt idx="4">
                    <c:v>12</c:v>
                  </c:pt>
                  <c:pt idx="5">
                    <c:v>13</c:v>
                  </c:pt>
                  <c:pt idx="6">
                    <c:v>14</c:v>
                  </c:pt>
                  <c:pt idx="7">
                    <c:v>15</c:v>
                  </c:pt>
                  <c:pt idx="8">
                    <c:v>16</c:v>
                  </c:pt>
                  <c:pt idx="9">
                    <c:v>17</c:v>
                  </c:pt>
                  <c:pt idx="10">
                    <c:v>18</c:v>
                  </c:pt>
                  <c:pt idx="11">
                    <c:v>19</c:v>
                  </c:pt>
                  <c:pt idx="12">
                    <c:v>20</c:v>
                  </c:pt>
                  <c:pt idx="13">
                    <c:v>21</c:v>
                  </c:pt>
                  <c:pt idx="14">
                    <c:v>22</c:v>
                  </c:pt>
                  <c:pt idx="15">
                    <c:v>23</c:v>
                  </c:pt>
                  <c:pt idx="16">
                    <c:v>24</c:v>
                  </c:pt>
                  <c:pt idx="17">
                    <c:v>25</c:v>
                  </c:pt>
                </c:lvl>
              </c:multiLvlStrCache>
            </c:multiLvlStrRef>
          </c:cat>
          <c:val>
            <c:numRef>
              <c:f>'Schedule L'!$E$53:$BB$53</c:f>
              <c:numCache>
                <c:formatCode>_(* #,##0.00_);_(* \(#,##0.00\);_(* "-"??_);_(@_)</c:formatCode>
                <c:ptCount val="18"/>
                <c:pt idx="0">
                  <c:v>252931</c:v>
                </c:pt>
                <c:pt idx="1">
                  <c:v>535207</c:v>
                </c:pt>
                <c:pt idx="2">
                  <c:v>8512536</c:v>
                </c:pt>
                <c:pt idx="3">
                  <c:v>7685710</c:v>
                </c:pt>
                <c:pt idx="4">
                  <c:v>6176939</c:v>
                </c:pt>
                <c:pt idx="5">
                  <c:v>8205309</c:v>
                </c:pt>
                <c:pt idx="6">
                  <c:v>8184469</c:v>
                </c:pt>
                <c:pt idx="7">
                  <c:v>7952687</c:v>
                </c:pt>
                <c:pt idx="8">
                  <c:v>6979385</c:v>
                </c:pt>
                <c:pt idx="9">
                  <c:v>6440338</c:v>
                </c:pt>
                <c:pt idx="10">
                  <c:v>7293357</c:v>
                </c:pt>
                <c:pt idx="11">
                  <c:v>7310825</c:v>
                </c:pt>
                <c:pt idx="12">
                  <c:v>6998102</c:v>
                </c:pt>
                <c:pt idx="13">
                  <c:v>8062761</c:v>
                </c:pt>
                <c:pt idx="14">
                  <c:v>9131537</c:v>
                </c:pt>
                <c:pt idx="15">
                  <c:v>9568946</c:v>
                </c:pt>
                <c:pt idx="16">
                  <c:v>11482708</c:v>
                </c:pt>
                <c:pt idx="17">
                  <c:v>13982408</c:v>
                </c:pt>
              </c:numCache>
            </c:numRef>
          </c:val>
          <c:extLst>
            <c:ext xmlns:c16="http://schemas.microsoft.com/office/drawing/2014/chart" uri="{C3380CC4-5D6E-409C-BE32-E72D297353CC}">
              <c16:uniqueId val="{00000001-9F78-4D3D-8DE4-3B3CD8E2F9CF}"/>
            </c:ext>
          </c:extLst>
        </c:ser>
        <c:dLbls>
          <c:showLegendKey val="0"/>
          <c:showVal val="0"/>
          <c:showCatName val="0"/>
          <c:showSerName val="0"/>
          <c:showPercent val="0"/>
          <c:showBubbleSize val="0"/>
        </c:dLbls>
        <c:gapWidth val="150"/>
        <c:axId val="129136720"/>
        <c:axId val="129136328"/>
      </c:barChart>
      <c:lineChart>
        <c:grouping val="standard"/>
        <c:varyColors val="0"/>
        <c:ser>
          <c:idx val="3"/>
          <c:order val="1"/>
          <c:tx>
            <c:strRef>
              <c:f>'Schedule L'!$C$164</c:f>
              <c:strCache>
                <c:ptCount val="1"/>
                <c:pt idx="0">
                  <c:v>ACTUAL/FORECAST - Cum.</c:v>
                </c:pt>
              </c:strCache>
            </c:strRef>
          </c:tx>
          <c:spPr>
            <a:ln>
              <a:solidFill>
                <a:srgbClr val="2CAE9E"/>
              </a:solidFill>
            </a:ln>
          </c:spPr>
          <c:marker>
            <c:symbol val="none"/>
          </c:marker>
          <c:cat>
            <c:multiLvlStrRef>
              <c:f>'Schedule L'!$E$50:$BB$51</c:f>
              <c:multiLvlStrCache>
                <c:ptCount val="18"/>
                <c:lvl>
                  <c:pt idx="0">
                    <c:v>Oct-17</c:v>
                  </c:pt>
                  <c:pt idx="1">
                    <c:v>Nov-17</c:v>
                  </c:pt>
                  <c:pt idx="2">
                    <c:v>Jul-18</c:v>
                  </c:pt>
                  <c:pt idx="3">
                    <c:v>Aug-18</c:v>
                  </c:pt>
                  <c:pt idx="4">
                    <c:v>Sep-18</c:v>
                  </c:pt>
                  <c:pt idx="5">
                    <c:v>Oct-18</c:v>
                  </c:pt>
                  <c:pt idx="6">
                    <c:v>Nov-18</c:v>
                  </c:pt>
                  <c:pt idx="7">
                    <c:v>Dec-18</c:v>
                  </c:pt>
                  <c:pt idx="8">
                    <c:v>Jan-19</c:v>
                  </c:pt>
                  <c:pt idx="9">
                    <c:v>Feb-19</c:v>
                  </c:pt>
                  <c:pt idx="10">
                    <c:v>Mar-19</c:v>
                  </c:pt>
                  <c:pt idx="11">
                    <c:v>Apr-19</c:v>
                  </c:pt>
                  <c:pt idx="12">
                    <c:v>May-19</c:v>
                  </c:pt>
                  <c:pt idx="13">
                    <c:v>Jun-19</c:v>
                  </c:pt>
                  <c:pt idx="14">
                    <c:v>Jul-19</c:v>
                  </c:pt>
                  <c:pt idx="15">
                    <c:v>Aug-19</c:v>
                  </c:pt>
                  <c:pt idx="16">
                    <c:v>Sep-19</c:v>
                  </c:pt>
                  <c:pt idx="17">
                    <c:v>Oct-19</c:v>
                  </c:pt>
                </c:lvl>
                <c:lvl>
                  <c:pt idx="0">
                    <c:v>1</c:v>
                  </c:pt>
                  <c:pt idx="1">
                    <c:v>2</c:v>
                  </c:pt>
                  <c:pt idx="2">
                    <c:v>10</c:v>
                  </c:pt>
                  <c:pt idx="3">
                    <c:v>11</c:v>
                  </c:pt>
                  <c:pt idx="4">
                    <c:v>12</c:v>
                  </c:pt>
                  <c:pt idx="5">
                    <c:v>13</c:v>
                  </c:pt>
                  <c:pt idx="6">
                    <c:v>14</c:v>
                  </c:pt>
                  <c:pt idx="7">
                    <c:v>15</c:v>
                  </c:pt>
                  <c:pt idx="8">
                    <c:v>16</c:v>
                  </c:pt>
                  <c:pt idx="9">
                    <c:v>17</c:v>
                  </c:pt>
                  <c:pt idx="10">
                    <c:v>18</c:v>
                  </c:pt>
                  <c:pt idx="11">
                    <c:v>19</c:v>
                  </c:pt>
                  <c:pt idx="12">
                    <c:v>20</c:v>
                  </c:pt>
                  <c:pt idx="13">
                    <c:v>21</c:v>
                  </c:pt>
                  <c:pt idx="14">
                    <c:v>22</c:v>
                  </c:pt>
                  <c:pt idx="15">
                    <c:v>23</c:v>
                  </c:pt>
                  <c:pt idx="16">
                    <c:v>24</c:v>
                  </c:pt>
                  <c:pt idx="17">
                    <c:v>25</c:v>
                  </c:pt>
                </c:lvl>
              </c:multiLvlStrCache>
            </c:multiLvlStrRef>
          </c:cat>
          <c:val>
            <c:numRef>
              <c:f>'Schedule L'!$E$164:$Z$164</c:f>
              <c:numCache>
                <c:formatCode>_(* #,##0.00_);_(* \(#,##0.00\);_(* "-"??_);_(@_)</c:formatCode>
                <c:ptCount val="15"/>
                <c:pt idx="0">
                  <c:v>252931</c:v>
                </c:pt>
                <c:pt idx="1">
                  <c:v>788517</c:v>
                </c:pt>
                <c:pt idx="2">
                  <c:v>24389411.91</c:v>
                </c:pt>
                <c:pt idx="3">
                  <c:v>28088742.469999999</c:v>
                </c:pt>
                <c:pt idx="4">
                  <c:v>30455903.82</c:v>
                </c:pt>
                <c:pt idx="5">
                  <c:v>34141754.18</c:v>
                </c:pt>
                <c:pt idx="6">
                  <c:v>38326488.939999998</c:v>
                </c:pt>
                <c:pt idx="7">
                  <c:v>41604487.869999997</c:v>
                </c:pt>
                <c:pt idx="8">
                  <c:v>45771266.119999997</c:v>
                </c:pt>
                <c:pt idx="9">
                  <c:v>52661081.399999999</c:v>
                </c:pt>
                <c:pt idx="10">
                  <c:v>58458574.049999997</c:v>
                </c:pt>
                <c:pt idx="11">
                  <c:v>63354535.659999996</c:v>
                </c:pt>
                <c:pt idx="12">
                  <c:v>68652105.979999989</c:v>
                </c:pt>
                <c:pt idx="13">
                  <c:v>75153981.909999996</c:v>
                </c:pt>
                <c:pt idx="14">
                  <c:v>82227931.370000005</c:v>
                </c:pt>
              </c:numCache>
            </c:numRef>
          </c:val>
          <c:smooth val="0"/>
          <c:extLst>
            <c:ext xmlns:c16="http://schemas.microsoft.com/office/drawing/2014/chart" uri="{C3380CC4-5D6E-409C-BE32-E72D297353CC}">
              <c16:uniqueId val="{00000002-9F78-4D3D-8DE4-3B3CD8E2F9CF}"/>
            </c:ext>
          </c:extLst>
        </c:ser>
        <c:ser>
          <c:idx val="6"/>
          <c:order val="3"/>
          <c:tx>
            <c:strRef>
              <c:f>'Schedule L'!$C$52</c:f>
              <c:strCache>
                <c:ptCount val="1"/>
                <c:pt idx="0">
                  <c:v>BASELINE - Cum.</c:v>
                </c:pt>
              </c:strCache>
            </c:strRef>
          </c:tx>
          <c:spPr>
            <a:ln>
              <a:solidFill>
                <a:srgbClr val="CBD52B"/>
              </a:solidFill>
            </a:ln>
          </c:spPr>
          <c:marker>
            <c:symbol val="none"/>
          </c:marker>
          <c:cat>
            <c:multiLvlStrRef>
              <c:f>'Schedule L'!$E$50:$BB$51</c:f>
              <c:multiLvlStrCache>
                <c:ptCount val="18"/>
                <c:lvl>
                  <c:pt idx="0">
                    <c:v>Oct-17</c:v>
                  </c:pt>
                  <c:pt idx="1">
                    <c:v>Nov-17</c:v>
                  </c:pt>
                  <c:pt idx="2">
                    <c:v>Jul-18</c:v>
                  </c:pt>
                  <c:pt idx="3">
                    <c:v>Aug-18</c:v>
                  </c:pt>
                  <c:pt idx="4">
                    <c:v>Sep-18</c:v>
                  </c:pt>
                  <c:pt idx="5">
                    <c:v>Oct-18</c:v>
                  </c:pt>
                  <c:pt idx="6">
                    <c:v>Nov-18</c:v>
                  </c:pt>
                  <c:pt idx="7">
                    <c:v>Dec-18</c:v>
                  </c:pt>
                  <c:pt idx="8">
                    <c:v>Jan-19</c:v>
                  </c:pt>
                  <c:pt idx="9">
                    <c:v>Feb-19</c:v>
                  </c:pt>
                  <c:pt idx="10">
                    <c:v>Mar-19</c:v>
                  </c:pt>
                  <c:pt idx="11">
                    <c:v>Apr-19</c:v>
                  </c:pt>
                  <c:pt idx="12">
                    <c:v>May-19</c:v>
                  </c:pt>
                  <c:pt idx="13">
                    <c:v>Jun-19</c:v>
                  </c:pt>
                  <c:pt idx="14">
                    <c:v>Jul-19</c:v>
                  </c:pt>
                  <c:pt idx="15">
                    <c:v>Aug-19</c:v>
                  </c:pt>
                  <c:pt idx="16">
                    <c:v>Sep-19</c:v>
                  </c:pt>
                  <c:pt idx="17">
                    <c:v>Oct-19</c:v>
                  </c:pt>
                </c:lvl>
                <c:lvl>
                  <c:pt idx="0">
                    <c:v>1</c:v>
                  </c:pt>
                  <c:pt idx="1">
                    <c:v>2</c:v>
                  </c:pt>
                  <c:pt idx="2">
                    <c:v>10</c:v>
                  </c:pt>
                  <c:pt idx="3">
                    <c:v>11</c:v>
                  </c:pt>
                  <c:pt idx="4">
                    <c:v>12</c:v>
                  </c:pt>
                  <c:pt idx="5">
                    <c:v>13</c:v>
                  </c:pt>
                  <c:pt idx="6">
                    <c:v>14</c:v>
                  </c:pt>
                  <c:pt idx="7">
                    <c:v>15</c:v>
                  </c:pt>
                  <c:pt idx="8">
                    <c:v>16</c:v>
                  </c:pt>
                  <c:pt idx="9">
                    <c:v>17</c:v>
                  </c:pt>
                  <c:pt idx="10">
                    <c:v>18</c:v>
                  </c:pt>
                  <c:pt idx="11">
                    <c:v>19</c:v>
                  </c:pt>
                  <c:pt idx="12">
                    <c:v>20</c:v>
                  </c:pt>
                  <c:pt idx="13">
                    <c:v>21</c:v>
                  </c:pt>
                  <c:pt idx="14">
                    <c:v>22</c:v>
                  </c:pt>
                  <c:pt idx="15">
                    <c:v>23</c:v>
                  </c:pt>
                  <c:pt idx="16">
                    <c:v>24</c:v>
                  </c:pt>
                  <c:pt idx="17">
                    <c:v>25</c:v>
                  </c:pt>
                </c:lvl>
              </c:multiLvlStrCache>
            </c:multiLvlStrRef>
          </c:cat>
          <c:val>
            <c:numRef>
              <c:f>'Schedule L'!$F$52:$AW$52</c:f>
              <c:numCache>
                <c:formatCode>_(* #,##0.00_);_(* \(#,##0.00\);_(* "-"??_);_(@_)</c:formatCode>
                <c:ptCount val="17"/>
                <c:pt idx="0">
                  <c:v>788138</c:v>
                </c:pt>
                <c:pt idx="1">
                  <c:v>25355592</c:v>
                </c:pt>
                <c:pt idx="2">
                  <c:v>33041302</c:v>
                </c:pt>
                <c:pt idx="3">
                  <c:v>39218241</c:v>
                </c:pt>
                <c:pt idx="4">
                  <c:v>47423550</c:v>
                </c:pt>
                <c:pt idx="5">
                  <c:v>55608019</c:v>
                </c:pt>
                <c:pt idx="6">
                  <c:v>63560706</c:v>
                </c:pt>
                <c:pt idx="7">
                  <c:v>70540091</c:v>
                </c:pt>
                <c:pt idx="8">
                  <c:v>76980429</c:v>
                </c:pt>
                <c:pt idx="9">
                  <c:v>84273786</c:v>
                </c:pt>
                <c:pt idx="10">
                  <c:v>91584611</c:v>
                </c:pt>
                <c:pt idx="11">
                  <c:v>98582713</c:v>
                </c:pt>
                <c:pt idx="12">
                  <c:v>106645474</c:v>
                </c:pt>
                <c:pt idx="13">
                  <c:v>115777011</c:v>
                </c:pt>
                <c:pt idx="14">
                  <c:v>125345957</c:v>
                </c:pt>
                <c:pt idx="15">
                  <c:v>136828665</c:v>
                </c:pt>
                <c:pt idx="16">
                  <c:v>150811073</c:v>
                </c:pt>
              </c:numCache>
            </c:numRef>
          </c:val>
          <c:smooth val="0"/>
          <c:extLst>
            <c:ext xmlns:c16="http://schemas.microsoft.com/office/drawing/2014/chart" uri="{C3380CC4-5D6E-409C-BE32-E72D297353CC}">
              <c16:uniqueId val="{00000003-9F78-4D3D-8DE4-3B3CD8E2F9CF}"/>
            </c:ext>
          </c:extLst>
        </c:ser>
        <c:ser>
          <c:idx val="2"/>
          <c:order val="4"/>
          <c:tx>
            <c:strRef>
              <c:f>'Schedule L'!$C$273</c:f>
              <c:strCache>
                <c:ptCount val="1"/>
                <c:pt idx="0">
                  <c:v>MPX -UPDATED FORECAST - Cum.</c:v>
                </c:pt>
              </c:strCache>
            </c:strRef>
          </c:tx>
          <c:spPr>
            <a:ln>
              <a:solidFill>
                <a:srgbClr val="7030A0"/>
              </a:solidFill>
            </a:ln>
          </c:spPr>
          <c:marker>
            <c:symbol val="none"/>
          </c:marker>
          <c:cat>
            <c:multiLvlStrRef>
              <c:f>'Schedule L'!$E$50:$BB$51</c:f>
              <c:multiLvlStrCache>
                <c:ptCount val="18"/>
                <c:lvl>
                  <c:pt idx="0">
                    <c:v>Oct-17</c:v>
                  </c:pt>
                  <c:pt idx="1">
                    <c:v>Nov-17</c:v>
                  </c:pt>
                  <c:pt idx="2">
                    <c:v>Jul-18</c:v>
                  </c:pt>
                  <c:pt idx="3">
                    <c:v>Aug-18</c:v>
                  </c:pt>
                  <c:pt idx="4">
                    <c:v>Sep-18</c:v>
                  </c:pt>
                  <c:pt idx="5">
                    <c:v>Oct-18</c:v>
                  </c:pt>
                  <c:pt idx="6">
                    <c:v>Nov-18</c:v>
                  </c:pt>
                  <c:pt idx="7">
                    <c:v>Dec-18</c:v>
                  </c:pt>
                  <c:pt idx="8">
                    <c:v>Jan-19</c:v>
                  </c:pt>
                  <c:pt idx="9">
                    <c:v>Feb-19</c:v>
                  </c:pt>
                  <c:pt idx="10">
                    <c:v>Mar-19</c:v>
                  </c:pt>
                  <c:pt idx="11">
                    <c:v>Apr-19</c:v>
                  </c:pt>
                  <c:pt idx="12">
                    <c:v>May-19</c:v>
                  </c:pt>
                  <c:pt idx="13">
                    <c:v>Jun-19</c:v>
                  </c:pt>
                  <c:pt idx="14">
                    <c:v>Jul-19</c:v>
                  </c:pt>
                  <c:pt idx="15">
                    <c:v>Aug-19</c:v>
                  </c:pt>
                  <c:pt idx="16">
                    <c:v>Sep-19</c:v>
                  </c:pt>
                  <c:pt idx="17">
                    <c:v>Oct-19</c:v>
                  </c:pt>
                </c:lvl>
                <c:lvl>
                  <c:pt idx="0">
                    <c:v>1</c:v>
                  </c:pt>
                  <c:pt idx="1">
                    <c:v>2</c:v>
                  </c:pt>
                  <c:pt idx="2">
                    <c:v>10</c:v>
                  </c:pt>
                  <c:pt idx="3">
                    <c:v>11</c:v>
                  </c:pt>
                  <c:pt idx="4">
                    <c:v>12</c:v>
                  </c:pt>
                  <c:pt idx="5">
                    <c:v>13</c:v>
                  </c:pt>
                  <c:pt idx="6">
                    <c:v>14</c:v>
                  </c:pt>
                  <c:pt idx="7">
                    <c:v>15</c:v>
                  </c:pt>
                  <c:pt idx="8">
                    <c:v>16</c:v>
                  </c:pt>
                  <c:pt idx="9">
                    <c:v>17</c:v>
                  </c:pt>
                  <c:pt idx="10">
                    <c:v>18</c:v>
                  </c:pt>
                  <c:pt idx="11">
                    <c:v>19</c:v>
                  </c:pt>
                  <c:pt idx="12">
                    <c:v>20</c:v>
                  </c:pt>
                  <c:pt idx="13">
                    <c:v>21</c:v>
                  </c:pt>
                  <c:pt idx="14">
                    <c:v>22</c:v>
                  </c:pt>
                  <c:pt idx="15">
                    <c:v>23</c:v>
                  </c:pt>
                  <c:pt idx="16">
                    <c:v>24</c:v>
                  </c:pt>
                  <c:pt idx="17">
                    <c:v>25</c:v>
                  </c:pt>
                </c:lvl>
              </c:multiLvlStrCache>
            </c:multiLvlStrRef>
          </c:cat>
          <c:val>
            <c:numRef>
              <c:f>'Schedule L'!$E$273:$AW$273</c:f>
              <c:numCache>
                <c:formatCode>_(* #,##0.00_);_(* \(#,##0.00\);_(* "-"??_);_(@_)</c:formatCode>
                <c:ptCount val="18"/>
                <c:pt idx="0">
                  <c:v>252931</c:v>
                </c:pt>
                <c:pt idx="1">
                  <c:v>788517</c:v>
                </c:pt>
                <c:pt idx="2">
                  <c:v>24389412</c:v>
                </c:pt>
                <c:pt idx="3">
                  <c:v>28088741</c:v>
                </c:pt>
                <c:pt idx="4">
                  <c:v>30455904</c:v>
                </c:pt>
                <c:pt idx="5">
                  <c:v>34141752</c:v>
                </c:pt>
                <c:pt idx="6">
                  <c:v>38326487</c:v>
                </c:pt>
                <c:pt idx="7">
                  <c:v>41604486</c:v>
                </c:pt>
                <c:pt idx="8">
                  <c:v>45771264</c:v>
                </c:pt>
                <c:pt idx="9">
                  <c:v>52661083</c:v>
                </c:pt>
                <c:pt idx="10">
                  <c:v>58458576</c:v>
                </c:pt>
                <c:pt idx="11">
                  <c:v>63354541</c:v>
                </c:pt>
                <c:pt idx="12">
                  <c:v>69951821</c:v>
                </c:pt>
                <c:pt idx="13">
                  <c:v>78915068</c:v>
                </c:pt>
                <c:pt idx="14">
                  <c:v>89038178</c:v>
                </c:pt>
                <c:pt idx="15">
                  <c:v>96941258</c:v>
                </c:pt>
                <c:pt idx="16">
                  <c:v>109754198</c:v>
                </c:pt>
                <c:pt idx="17">
                  <c:v>123157738</c:v>
                </c:pt>
              </c:numCache>
            </c:numRef>
          </c:val>
          <c:smooth val="0"/>
          <c:extLst>
            <c:ext xmlns:c16="http://schemas.microsoft.com/office/drawing/2014/chart" uri="{C3380CC4-5D6E-409C-BE32-E72D297353CC}">
              <c16:uniqueId val="{00000004-9F78-4D3D-8DE4-3B3CD8E2F9CF}"/>
            </c:ext>
          </c:extLst>
        </c:ser>
        <c:dLbls>
          <c:showLegendKey val="0"/>
          <c:showVal val="0"/>
          <c:showCatName val="0"/>
          <c:showSerName val="0"/>
          <c:showPercent val="0"/>
          <c:showBubbleSize val="0"/>
        </c:dLbls>
        <c:marker val="1"/>
        <c:smooth val="0"/>
        <c:axId val="541387280"/>
        <c:axId val="129134760"/>
      </c:lineChart>
      <c:catAx>
        <c:axId val="541387280"/>
        <c:scaling>
          <c:orientation val="minMax"/>
        </c:scaling>
        <c:delete val="0"/>
        <c:axPos val="b"/>
        <c:numFmt formatCode="General" sourceLinked="0"/>
        <c:majorTickMark val="out"/>
        <c:minorTickMark val="none"/>
        <c:tickLblPos val="nextTo"/>
        <c:crossAx val="129134760"/>
        <c:crosses val="autoZero"/>
        <c:auto val="1"/>
        <c:lblAlgn val="ctr"/>
        <c:lblOffset val="100"/>
        <c:noMultiLvlLbl val="0"/>
      </c:catAx>
      <c:valAx>
        <c:axId val="129134760"/>
        <c:scaling>
          <c:orientation val="minMax"/>
        </c:scaling>
        <c:delete val="0"/>
        <c:axPos val="r"/>
        <c:title>
          <c:tx>
            <c:rich>
              <a:bodyPr/>
              <a:lstStyle/>
              <a:p>
                <a:pPr>
                  <a:defRPr/>
                </a:pPr>
                <a:r>
                  <a:rPr lang="en-US"/>
                  <a:t>Net amount ($)</a:t>
                </a:r>
              </a:p>
            </c:rich>
          </c:tx>
          <c:overlay val="0"/>
        </c:title>
        <c:numFmt formatCode="_(* #,##0.00_);_(* \(#,##0.00\);_(* &quot;-&quot;??_);_(@_)" sourceLinked="1"/>
        <c:majorTickMark val="out"/>
        <c:minorTickMark val="none"/>
        <c:tickLblPos val="nextTo"/>
        <c:txPr>
          <a:bodyPr rot="0" vert="horz"/>
          <a:lstStyle/>
          <a:p>
            <a:pPr>
              <a:defRPr/>
            </a:pPr>
            <a:endParaRPr lang="en-001"/>
          </a:p>
        </c:txPr>
        <c:crossAx val="541387280"/>
        <c:crosses val="max"/>
        <c:crossBetween val="between"/>
      </c:valAx>
      <c:valAx>
        <c:axId val="129136328"/>
        <c:scaling>
          <c:orientation val="minMax"/>
          <c:min val="0"/>
        </c:scaling>
        <c:delete val="0"/>
        <c:axPos val="l"/>
        <c:numFmt formatCode="_(* #,##0.00_);_(* \(#,##0.00\);_(* &quot;-&quot;??_);_(@_)" sourceLinked="1"/>
        <c:majorTickMark val="out"/>
        <c:minorTickMark val="none"/>
        <c:tickLblPos val="nextTo"/>
        <c:crossAx val="129136720"/>
        <c:crosses val="autoZero"/>
        <c:crossBetween val="between"/>
      </c:valAx>
      <c:catAx>
        <c:axId val="129136720"/>
        <c:scaling>
          <c:orientation val="minMax"/>
        </c:scaling>
        <c:delete val="1"/>
        <c:axPos val="b"/>
        <c:numFmt formatCode="General" sourceLinked="1"/>
        <c:majorTickMark val="out"/>
        <c:minorTickMark val="none"/>
        <c:tickLblPos val="nextTo"/>
        <c:crossAx val="129136328"/>
        <c:crosses val="autoZero"/>
        <c:auto val="1"/>
        <c:lblAlgn val="ctr"/>
        <c:lblOffset val="100"/>
        <c:noMultiLvlLbl val="0"/>
      </c:catAx>
    </c:plotArea>
    <c:legend>
      <c:legendPos val="b"/>
      <c:layout>
        <c:manualLayout>
          <c:xMode val="edge"/>
          <c:yMode val="edge"/>
          <c:x val="0.39872236185762139"/>
          <c:y val="0.9189658648526271"/>
          <c:w val="0.24035716187047154"/>
          <c:h val="3.8583421425254484E-2"/>
        </c:manualLayout>
      </c:layout>
      <c:overlay val="0"/>
    </c:legend>
    <c:plotVisOnly val="1"/>
    <c:dispBlanksAs val="gap"/>
    <c:showDLblsOverMax val="0"/>
  </c:chart>
  <c:printSettings>
    <c:headerFooter/>
    <c:pageMargins b="0.75000000000000056" l="0.70000000000000051" r="0.70000000000000051" t="0.75000000000000056" header="0.30000000000000027" footer="0.30000000000000027"/>
    <c:pageSetup orientation="landscape"/>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3.3249348368300728E-2"/>
          <c:y val="1.4506495721945635E-2"/>
          <c:w val="0.92747775180355829"/>
          <c:h val="0.84815246544133294"/>
        </c:manualLayout>
      </c:layout>
      <c:barChart>
        <c:barDir val="col"/>
        <c:grouping val="clustered"/>
        <c:varyColors val="0"/>
        <c:ser>
          <c:idx val="1"/>
          <c:order val="0"/>
          <c:tx>
            <c:strRef>
              <c:f>'Cash Flow - Future'!$C$184</c:f>
              <c:strCache>
                <c:ptCount val="1"/>
                <c:pt idx="0">
                  <c:v>ACTUAL/FORECAST  - Net</c:v>
                </c:pt>
              </c:strCache>
            </c:strRef>
          </c:tx>
          <c:spPr>
            <a:solidFill>
              <a:srgbClr val="CC0000"/>
            </a:solidFill>
          </c:spPr>
          <c:invertIfNegative val="0"/>
          <c:dLbls>
            <c:spPr>
              <a:noFill/>
              <a:ln>
                <a:noFill/>
              </a:ln>
              <a:effectLst/>
            </c:spPr>
            <c:txPr>
              <a:bodyPr rot="-5400000" vert="horz"/>
              <a:lstStyle/>
              <a:p>
                <a:pPr>
                  <a:defRPr/>
                </a:pPr>
                <a:endParaRPr lang="en-001"/>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'Cash Flow - Future'!$E$50:$BB$51</c:f>
              <c:multiLvlStrCache>
                <c:ptCount val="50"/>
                <c:lvl>
                  <c:pt idx="0">
                    <c:v>Oct-17</c:v>
                  </c:pt>
                  <c:pt idx="1">
                    <c:v>Nov-17</c:v>
                  </c:pt>
                  <c:pt idx="2">
                    <c:v>Dec-17</c:v>
                  </c:pt>
                  <c:pt idx="3">
                    <c:v>Jan-18</c:v>
                  </c:pt>
                  <c:pt idx="4">
                    <c:v>Feb-18</c:v>
                  </c:pt>
                  <c:pt idx="5">
                    <c:v>Mar-18</c:v>
                  </c:pt>
                  <c:pt idx="6">
                    <c:v>Apr-18</c:v>
                  </c:pt>
                  <c:pt idx="7">
                    <c:v>May-18</c:v>
                  </c:pt>
                  <c:pt idx="8">
                    <c:v>Jun-18</c:v>
                  </c:pt>
                  <c:pt idx="9">
                    <c:v>Jul-18</c:v>
                  </c:pt>
                  <c:pt idx="10">
                    <c:v>Aug-18</c:v>
                  </c:pt>
                  <c:pt idx="11">
                    <c:v>Sep-18</c:v>
                  </c:pt>
                  <c:pt idx="12">
                    <c:v>Oct-18</c:v>
                  </c:pt>
                  <c:pt idx="13">
                    <c:v>Nov-18</c:v>
                  </c:pt>
                  <c:pt idx="14">
                    <c:v>Dec-18</c:v>
                  </c:pt>
                  <c:pt idx="15">
                    <c:v>Jan-19</c:v>
                  </c:pt>
                  <c:pt idx="16">
                    <c:v>Feb-19</c:v>
                  </c:pt>
                  <c:pt idx="17">
                    <c:v>Mar-19</c:v>
                  </c:pt>
                  <c:pt idx="18">
                    <c:v>Apr-19</c:v>
                  </c:pt>
                  <c:pt idx="19">
                    <c:v>May-19</c:v>
                  </c:pt>
                  <c:pt idx="20">
                    <c:v>Jun-19</c:v>
                  </c:pt>
                  <c:pt idx="21">
                    <c:v>Jul-19</c:v>
                  </c:pt>
                  <c:pt idx="22">
                    <c:v>Aug-19</c:v>
                  </c:pt>
                  <c:pt idx="23">
                    <c:v>Sep-19</c:v>
                  </c:pt>
                  <c:pt idx="24">
                    <c:v>Oct-19</c:v>
                  </c:pt>
                  <c:pt idx="25">
                    <c:v>Nov-19</c:v>
                  </c:pt>
                  <c:pt idx="26">
                    <c:v>Dec-19</c:v>
                  </c:pt>
                  <c:pt idx="27">
                    <c:v>Jan-20</c:v>
                  </c:pt>
                  <c:pt idx="28">
                    <c:v>Feb-20</c:v>
                  </c:pt>
                  <c:pt idx="29">
                    <c:v>Mar-20</c:v>
                  </c:pt>
                  <c:pt idx="30">
                    <c:v>Apr-20</c:v>
                  </c:pt>
                  <c:pt idx="31">
                    <c:v>May-20</c:v>
                  </c:pt>
                  <c:pt idx="32">
                    <c:v>Jun-20</c:v>
                  </c:pt>
                  <c:pt idx="33">
                    <c:v>Jul-20</c:v>
                  </c:pt>
                  <c:pt idx="34">
                    <c:v>Aug-20</c:v>
                  </c:pt>
                  <c:pt idx="35">
                    <c:v>Sep-20</c:v>
                  </c:pt>
                  <c:pt idx="36">
                    <c:v>Oct-20</c:v>
                  </c:pt>
                  <c:pt idx="37">
                    <c:v>Nov-20</c:v>
                  </c:pt>
                  <c:pt idx="38">
                    <c:v>Dec-20</c:v>
                  </c:pt>
                  <c:pt idx="39">
                    <c:v>Jan-21</c:v>
                  </c:pt>
                  <c:pt idx="40">
                    <c:v>Feb-21</c:v>
                  </c:pt>
                  <c:pt idx="41">
                    <c:v>Mar-21</c:v>
                  </c:pt>
                  <c:pt idx="42">
                    <c:v>Apr-21</c:v>
                  </c:pt>
                  <c:pt idx="43">
                    <c:v>May-21</c:v>
                  </c:pt>
                  <c:pt idx="44">
                    <c:v>Jun-21</c:v>
                  </c:pt>
                  <c:pt idx="45">
                    <c:v>Jul-21</c:v>
                  </c:pt>
                  <c:pt idx="46">
                    <c:v>Aug-21</c:v>
                  </c:pt>
                  <c:pt idx="47">
                    <c:v>Sep-21</c:v>
                  </c:pt>
                  <c:pt idx="48">
                    <c:v>Oct-21</c:v>
                  </c:pt>
                  <c:pt idx="49">
                    <c:v>Nov-21</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39</c:v>
                  </c:pt>
                  <c:pt idx="49">
                    <c:v>40</c:v>
                  </c:pt>
                </c:lvl>
              </c:multiLvlStrCache>
            </c:multiLvlStrRef>
          </c:cat>
          <c:val>
            <c:numRef>
              <c:f>'Cash Flow - Future'!$E$184:$BB$184</c:f>
              <c:numCache>
                <c:formatCode>_(* #,##0.00_);_(* \(#,##0.00\);_(* "-"??_);_(@_)</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val>
          <c:extLst>
            <c:ext xmlns:c16="http://schemas.microsoft.com/office/drawing/2014/chart" uri="{C3380CC4-5D6E-409C-BE32-E72D297353CC}">
              <c16:uniqueId val="{00000000-6402-45C2-AEAB-58B75EEF9B8C}"/>
            </c:ext>
          </c:extLst>
        </c:ser>
        <c:ser>
          <c:idx val="5"/>
          <c:order val="2"/>
          <c:tx>
            <c:strRef>
              <c:f>'Cash Flow - Future'!$C$53</c:f>
              <c:strCache>
                <c:ptCount val="1"/>
                <c:pt idx="0">
                  <c:v>BASELINE - Net</c:v>
                </c:pt>
              </c:strCache>
            </c:strRef>
          </c:tx>
          <c:spPr>
            <a:solidFill>
              <a:srgbClr val="3366FF"/>
            </a:solidFill>
          </c:spPr>
          <c:invertIfNegative val="0"/>
          <c:dLbls>
            <c:spPr>
              <a:noFill/>
              <a:ln>
                <a:noFill/>
              </a:ln>
              <a:effectLst/>
            </c:spPr>
            <c:txPr>
              <a:bodyPr rot="-5400000" vert="horz"/>
              <a:lstStyle/>
              <a:p>
                <a:pPr>
                  <a:defRPr/>
                </a:pPr>
                <a:endParaRPr lang="en-001"/>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'Cash Flow - Future'!$E$50:$BB$51</c:f>
              <c:multiLvlStrCache>
                <c:ptCount val="50"/>
                <c:lvl>
                  <c:pt idx="0">
                    <c:v>Oct-17</c:v>
                  </c:pt>
                  <c:pt idx="1">
                    <c:v>Nov-17</c:v>
                  </c:pt>
                  <c:pt idx="2">
                    <c:v>Dec-17</c:v>
                  </c:pt>
                  <c:pt idx="3">
                    <c:v>Jan-18</c:v>
                  </c:pt>
                  <c:pt idx="4">
                    <c:v>Feb-18</c:v>
                  </c:pt>
                  <c:pt idx="5">
                    <c:v>Mar-18</c:v>
                  </c:pt>
                  <c:pt idx="6">
                    <c:v>Apr-18</c:v>
                  </c:pt>
                  <c:pt idx="7">
                    <c:v>May-18</c:v>
                  </c:pt>
                  <c:pt idx="8">
                    <c:v>Jun-18</c:v>
                  </c:pt>
                  <c:pt idx="9">
                    <c:v>Jul-18</c:v>
                  </c:pt>
                  <c:pt idx="10">
                    <c:v>Aug-18</c:v>
                  </c:pt>
                  <c:pt idx="11">
                    <c:v>Sep-18</c:v>
                  </c:pt>
                  <c:pt idx="12">
                    <c:v>Oct-18</c:v>
                  </c:pt>
                  <c:pt idx="13">
                    <c:v>Nov-18</c:v>
                  </c:pt>
                  <c:pt idx="14">
                    <c:v>Dec-18</c:v>
                  </c:pt>
                  <c:pt idx="15">
                    <c:v>Jan-19</c:v>
                  </c:pt>
                  <c:pt idx="16">
                    <c:v>Feb-19</c:v>
                  </c:pt>
                  <c:pt idx="17">
                    <c:v>Mar-19</c:v>
                  </c:pt>
                  <c:pt idx="18">
                    <c:v>Apr-19</c:v>
                  </c:pt>
                  <c:pt idx="19">
                    <c:v>May-19</c:v>
                  </c:pt>
                  <c:pt idx="20">
                    <c:v>Jun-19</c:v>
                  </c:pt>
                  <c:pt idx="21">
                    <c:v>Jul-19</c:v>
                  </c:pt>
                  <c:pt idx="22">
                    <c:v>Aug-19</c:v>
                  </c:pt>
                  <c:pt idx="23">
                    <c:v>Sep-19</c:v>
                  </c:pt>
                  <c:pt idx="24">
                    <c:v>Oct-19</c:v>
                  </c:pt>
                  <c:pt idx="25">
                    <c:v>Nov-19</c:v>
                  </c:pt>
                  <c:pt idx="26">
                    <c:v>Dec-19</c:v>
                  </c:pt>
                  <c:pt idx="27">
                    <c:v>Jan-20</c:v>
                  </c:pt>
                  <c:pt idx="28">
                    <c:v>Feb-20</c:v>
                  </c:pt>
                  <c:pt idx="29">
                    <c:v>Mar-20</c:v>
                  </c:pt>
                  <c:pt idx="30">
                    <c:v>Apr-20</c:v>
                  </c:pt>
                  <c:pt idx="31">
                    <c:v>May-20</c:v>
                  </c:pt>
                  <c:pt idx="32">
                    <c:v>Jun-20</c:v>
                  </c:pt>
                  <c:pt idx="33">
                    <c:v>Jul-20</c:v>
                  </c:pt>
                  <c:pt idx="34">
                    <c:v>Aug-20</c:v>
                  </c:pt>
                  <c:pt idx="35">
                    <c:v>Sep-20</c:v>
                  </c:pt>
                  <c:pt idx="36">
                    <c:v>Oct-20</c:v>
                  </c:pt>
                  <c:pt idx="37">
                    <c:v>Nov-20</c:v>
                  </c:pt>
                  <c:pt idx="38">
                    <c:v>Dec-20</c:v>
                  </c:pt>
                  <c:pt idx="39">
                    <c:v>Jan-21</c:v>
                  </c:pt>
                  <c:pt idx="40">
                    <c:v>Feb-21</c:v>
                  </c:pt>
                  <c:pt idx="41">
                    <c:v>Mar-21</c:v>
                  </c:pt>
                  <c:pt idx="42">
                    <c:v>Apr-21</c:v>
                  </c:pt>
                  <c:pt idx="43">
                    <c:v>May-21</c:v>
                  </c:pt>
                  <c:pt idx="44">
                    <c:v>Jun-21</c:v>
                  </c:pt>
                  <c:pt idx="45">
                    <c:v>Jul-21</c:v>
                  </c:pt>
                  <c:pt idx="46">
                    <c:v>Aug-21</c:v>
                  </c:pt>
                  <c:pt idx="47">
                    <c:v>Sep-21</c:v>
                  </c:pt>
                  <c:pt idx="48">
                    <c:v>Oct-21</c:v>
                  </c:pt>
                  <c:pt idx="49">
                    <c:v>Nov-21</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39</c:v>
                  </c:pt>
                  <c:pt idx="49">
                    <c:v>40</c:v>
                  </c:pt>
                </c:lvl>
              </c:multiLvlStrCache>
            </c:multiLvlStrRef>
          </c:cat>
          <c:val>
            <c:numRef>
              <c:f>'Cash Flow - Future'!$E$53:$BB$53</c:f>
              <c:numCache>
                <c:formatCode>_(* #,##0.00_);_(* \(#,##0.00\);_(* "-"??_);_(@_)</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val>
          <c:extLst>
            <c:ext xmlns:c16="http://schemas.microsoft.com/office/drawing/2014/chart" uri="{C3380CC4-5D6E-409C-BE32-E72D297353CC}">
              <c16:uniqueId val="{00000001-6402-45C2-AEAB-58B75EEF9B8C}"/>
            </c:ext>
          </c:extLst>
        </c:ser>
        <c:dLbls>
          <c:showLegendKey val="0"/>
          <c:showVal val="0"/>
          <c:showCatName val="0"/>
          <c:showSerName val="0"/>
          <c:showPercent val="0"/>
          <c:showBubbleSize val="0"/>
        </c:dLbls>
        <c:gapWidth val="150"/>
        <c:axId val="129136720"/>
        <c:axId val="129136328"/>
      </c:barChart>
      <c:lineChart>
        <c:grouping val="standard"/>
        <c:varyColors val="0"/>
        <c:ser>
          <c:idx val="3"/>
          <c:order val="1"/>
          <c:tx>
            <c:strRef>
              <c:f>'Cash Flow - Future'!$C$183</c:f>
              <c:strCache>
                <c:ptCount val="1"/>
                <c:pt idx="0">
                  <c:v>ACTUAL/FORECAST - Cum.</c:v>
                </c:pt>
              </c:strCache>
            </c:strRef>
          </c:tx>
          <c:spPr>
            <a:ln>
              <a:solidFill>
                <a:srgbClr val="800000"/>
              </a:solidFill>
            </a:ln>
          </c:spPr>
          <c:marker>
            <c:symbol val="none"/>
          </c:marker>
          <c:cat>
            <c:multiLvlStrRef>
              <c:f>'Cash Flow - Future'!$E$50:$BB$51</c:f>
              <c:multiLvlStrCache>
                <c:ptCount val="50"/>
                <c:lvl>
                  <c:pt idx="0">
                    <c:v>Oct-17</c:v>
                  </c:pt>
                  <c:pt idx="1">
                    <c:v>Nov-17</c:v>
                  </c:pt>
                  <c:pt idx="2">
                    <c:v>Dec-17</c:v>
                  </c:pt>
                  <c:pt idx="3">
                    <c:v>Jan-18</c:v>
                  </c:pt>
                  <c:pt idx="4">
                    <c:v>Feb-18</c:v>
                  </c:pt>
                  <c:pt idx="5">
                    <c:v>Mar-18</c:v>
                  </c:pt>
                  <c:pt idx="6">
                    <c:v>Apr-18</c:v>
                  </c:pt>
                  <c:pt idx="7">
                    <c:v>May-18</c:v>
                  </c:pt>
                  <c:pt idx="8">
                    <c:v>Jun-18</c:v>
                  </c:pt>
                  <c:pt idx="9">
                    <c:v>Jul-18</c:v>
                  </c:pt>
                  <c:pt idx="10">
                    <c:v>Aug-18</c:v>
                  </c:pt>
                  <c:pt idx="11">
                    <c:v>Sep-18</c:v>
                  </c:pt>
                  <c:pt idx="12">
                    <c:v>Oct-18</c:v>
                  </c:pt>
                  <c:pt idx="13">
                    <c:v>Nov-18</c:v>
                  </c:pt>
                  <c:pt idx="14">
                    <c:v>Dec-18</c:v>
                  </c:pt>
                  <c:pt idx="15">
                    <c:v>Jan-19</c:v>
                  </c:pt>
                  <c:pt idx="16">
                    <c:v>Feb-19</c:v>
                  </c:pt>
                  <c:pt idx="17">
                    <c:v>Mar-19</c:v>
                  </c:pt>
                  <c:pt idx="18">
                    <c:v>Apr-19</c:v>
                  </c:pt>
                  <c:pt idx="19">
                    <c:v>May-19</c:v>
                  </c:pt>
                  <c:pt idx="20">
                    <c:v>Jun-19</c:v>
                  </c:pt>
                  <c:pt idx="21">
                    <c:v>Jul-19</c:v>
                  </c:pt>
                  <c:pt idx="22">
                    <c:v>Aug-19</c:v>
                  </c:pt>
                  <c:pt idx="23">
                    <c:v>Sep-19</c:v>
                  </c:pt>
                  <c:pt idx="24">
                    <c:v>Oct-19</c:v>
                  </c:pt>
                  <c:pt idx="25">
                    <c:v>Nov-19</c:v>
                  </c:pt>
                  <c:pt idx="26">
                    <c:v>Dec-19</c:v>
                  </c:pt>
                  <c:pt idx="27">
                    <c:v>Jan-20</c:v>
                  </c:pt>
                  <c:pt idx="28">
                    <c:v>Feb-20</c:v>
                  </c:pt>
                  <c:pt idx="29">
                    <c:v>Mar-20</c:v>
                  </c:pt>
                  <c:pt idx="30">
                    <c:v>Apr-20</c:v>
                  </c:pt>
                  <c:pt idx="31">
                    <c:v>May-20</c:v>
                  </c:pt>
                  <c:pt idx="32">
                    <c:v>Jun-20</c:v>
                  </c:pt>
                  <c:pt idx="33">
                    <c:v>Jul-20</c:v>
                  </c:pt>
                  <c:pt idx="34">
                    <c:v>Aug-20</c:v>
                  </c:pt>
                  <c:pt idx="35">
                    <c:v>Sep-20</c:v>
                  </c:pt>
                  <c:pt idx="36">
                    <c:v>Oct-20</c:v>
                  </c:pt>
                  <c:pt idx="37">
                    <c:v>Nov-20</c:v>
                  </c:pt>
                  <c:pt idx="38">
                    <c:v>Dec-20</c:v>
                  </c:pt>
                  <c:pt idx="39">
                    <c:v>Jan-21</c:v>
                  </c:pt>
                  <c:pt idx="40">
                    <c:v>Feb-21</c:v>
                  </c:pt>
                  <c:pt idx="41">
                    <c:v>Mar-21</c:v>
                  </c:pt>
                  <c:pt idx="42">
                    <c:v>Apr-21</c:v>
                  </c:pt>
                  <c:pt idx="43">
                    <c:v>May-21</c:v>
                  </c:pt>
                  <c:pt idx="44">
                    <c:v>Jun-21</c:v>
                  </c:pt>
                  <c:pt idx="45">
                    <c:v>Jul-21</c:v>
                  </c:pt>
                  <c:pt idx="46">
                    <c:v>Aug-21</c:v>
                  </c:pt>
                  <c:pt idx="47">
                    <c:v>Sep-21</c:v>
                  </c:pt>
                  <c:pt idx="48">
                    <c:v>Oct-21</c:v>
                  </c:pt>
                  <c:pt idx="49">
                    <c:v>Nov-21</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39</c:v>
                  </c:pt>
                  <c:pt idx="49">
                    <c:v>40</c:v>
                  </c:pt>
                </c:lvl>
              </c:multiLvlStrCache>
            </c:multiLvlStrRef>
          </c:cat>
          <c:val>
            <c:numRef>
              <c:f>'Cash Flow - Future'!$E$183:$Z$183</c:f>
              <c:numCache>
                <c:formatCode>_(* #,##0.00_);_(* \(#,##0.00\);_(* "-"??_);_(@_)</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val>
          <c:smooth val="0"/>
          <c:extLst>
            <c:ext xmlns:c16="http://schemas.microsoft.com/office/drawing/2014/chart" uri="{C3380CC4-5D6E-409C-BE32-E72D297353CC}">
              <c16:uniqueId val="{00000002-6402-45C2-AEAB-58B75EEF9B8C}"/>
            </c:ext>
          </c:extLst>
        </c:ser>
        <c:ser>
          <c:idx val="6"/>
          <c:order val="3"/>
          <c:tx>
            <c:strRef>
              <c:f>'Cash Flow - Future'!$C$52</c:f>
              <c:strCache>
                <c:ptCount val="1"/>
                <c:pt idx="0">
                  <c:v>BASELINE - Cum.</c:v>
                </c:pt>
              </c:strCache>
            </c:strRef>
          </c:tx>
          <c:spPr>
            <a:ln>
              <a:solidFill>
                <a:srgbClr val="000099"/>
              </a:solidFill>
            </a:ln>
          </c:spPr>
          <c:marker>
            <c:symbol val="none"/>
          </c:marker>
          <c:cat>
            <c:multiLvlStrRef>
              <c:f>'Cash Flow - Future'!$E$50:$BB$51</c:f>
              <c:multiLvlStrCache>
                <c:ptCount val="50"/>
                <c:lvl>
                  <c:pt idx="0">
                    <c:v>Oct-17</c:v>
                  </c:pt>
                  <c:pt idx="1">
                    <c:v>Nov-17</c:v>
                  </c:pt>
                  <c:pt idx="2">
                    <c:v>Dec-17</c:v>
                  </c:pt>
                  <c:pt idx="3">
                    <c:v>Jan-18</c:v>
                  </c:pt>
                  <c:pt idx="4">
                    <c:v>Feb-18</c:v>
                  </c:pt>
                  <c:pt idx="5">
                    <c:v>Mar-18</c:v>
                  </c:pt>
                  <c:pt idx="6">
                    <c:v>Apr-18</c:v>
                  </c:pt>
                  <c:pt idx="7">
                    <c:v>May-18</c:v>
                  </c:pt>
                  <c:pt idx="8">
                    <c:v>Jun-18</c:v>
                  </c:pt>
                  <c:pt idx="9">
                    <c:v>Jul-18</c:v>
                  </c:pt>
                  <c:pt idx="10">
                    <c:v>Aug-18</c:v>
                  </c:pt>
                  <c:pt idx="11">
                    <c:v>Sep-18</c:v>
                  </c:pt>
                  <c:pt idx="12">
                    <c:v>Oct-18</c:v>
                  </c:pt>
                  <c:pt idx="13">
                    <c:v>Nov-18</c:v>
                  </c:pt>
                  <c:pt idx="14">
                    <c:v>Dec-18</c:v>
                  </c:pt>
                  <c:pt idx="15">
                    <c:v>Jan-19</c:v>
                  </c:pt>
                  <c:pt idx="16">
                    <c:v>Feb-19</c:v>
                  </c:pt>
                  <c:pt idx="17">
                    <c:v>Mar-19</c:v>
                  </c:pt>
                  <c:pt idx="18">
                    <c:v>Apr-19</c:v>
                  </c:pt>
                  <c:pt idx="19">
                    <c:v>May-19</c:v>
                  </c:pt>
                  <c:pt idx="20">
                    <c:v>Jun-19</c:v>
                  </c:pt>
                  <c:pt idx="21">
                    <c:v>Jul-19</c:v>
                  </c:pt>
                  <c:pt idx="22">
                    <c:v>Aug-19</c:v>
                  </c:pt>
                  <c:pt idx="23">
                    <c:v>Sep-19</c:v>
                  </c:pt>
                  <c:pt idx="24">
                    <c:v>Oct-19</c:v>
                  </c:pt>
                  <c:pt idx="25">
                    <c:v>Nov-19</c:v>
                  </c:pt>
                  <c:pt idx="26">
                    <c:v>Dec-19</c:v>
                  </c:pt>
                  <c:pt idx="27">
                    <c:v>Jan-20</c:v>
                  </c:pt>
                  <c:pt idx="28">
                    <c:v>Feb-20</c:v>
                  </c:pt>
                  <c:pt idx="29">
                    <c:v>Mar-20</c:v>
                  </c:pt>
                  <c:pt idx="30">
                    <c:v>Apr-20</c:v>
                  </c:pt>
                  <c:pt idx="31">
                    <c:v>May-20</c:v>
                  </c:pt>
                  <c:pt idx="32">
                    <c:v>Jun-20</c:v>
                  </c:pt>
                  <c:pt idx="33">
                    <c:v>Jul-20</c:v>
                  </c:pt>
                  <c:pt idx="34">
                    <c:v>Aug-20</c:v>
                  </c:pt>
                  <c:pt idx="35">
                    <c:v>Sep-20</c:v>
                  </c:pt>
                  <c:pt idx="36">
                    <c:v>Oct-20</c:v>
                  </c:pt>
                  <c:pt idx="37">
                    <c:v>Nov-20</c:v>
                  </c:pt>
                  <c:pt idx="38">
                    <c:v>Dec-20</c:v>
                  </c:pt>
                  <c:pt idx="39">
                    <c:v>Jan-21</c:v>
                  </c:pt>
                  <c:pt idx="40">
                    <c:v>Feb-21</c:v>
                  </c:pt>
                  <c:pt idx="41">
                    <c:v>Mar-21</c:v>
                  </c:pt>
                  <c:pt idx="42">
                    <c:v>Apr-21</c:v>
                  </c:pt>
                  <c:pt idx="43">
                    <c:v>May-21</c:v>
                  </c:pt>
                  <c:pt idx="44">
                    <c:v>Jun-21</c:v>
                  </c:pt>
                  <c:pt idx="45">
                    <c:v>Jul-21</c:v>
                  </c:pt>
                  <c:pt idx="46">
                    <c:v>Aug-21</c:v>
                  </c:pt>
                  <c:pt idx="47">
                    <c:v>Sep-21</c:v>
                  </c:pt>
                  <c:pt idx="48">
                    <c:v>Oct-21</c:v>
                  </c:pt>
                  <c:pt idx="49">
                    <c:v>Nov-21</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39</c:v>
                  </c:pt>
                  <c:pt idx="49">
                    <c:v>40</c:v>
                  </c:pt>
                </c:lvl>
              </c:multiLvlStrCache>
            </c:multiLvlStrRef>
          </c:cat>
          <c:val>
            <c:numRef>
              <c:f>'Cash Flow - Future'!$F$52:$AW$52</c:f>
              <c:numCache>
                <c:formatCode>_(* #,##0.00_);_(* \(#,##0.00\);_(* "-"??_);_(@_)</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val>
          <c:smooth val="0"/>
          <c:extLst>
            <c:ext xmlns:c16="http://schemas.microsoft.com/office/drawing/2014/chart" uri="{C3380CC4-5D6E-409C-BE32-E72D297353CC}">
              <c16:uniqueId val="{00000003-6402-45C2-AEAB-58B75EEF9B8C}"/>
            </c:ext>
          </c:extLst>
        </c:ser>
        <c:ser>
          <c:idx val="2"/>
          <c:order val="4"/>
          <c:tx>
            <c:strRef>
              <c:f>'Cash Flow - Future'!$C$292</c:f>
              <c:strCache>
                <c:ptCount val="1"/>
                <c:pt idx="0">
                  <c:v>MPX -UPDATED FORECAST - Cum.</c:v>
                </c:pt>
              </c:strCache>
            </c:strRef>
          </c:tx>
          <c:marker>
            <c:symbol val="none"/>
          </c:marker>
          <c:cat>
            <c:multiLvlStrRef>
              <c:f>'Cash Flow - Future'!$E$50:$BB$51</c:f>
              <c:multiLvlStrCache>
                <c:ptCount val="50"/>
                <c:lvl>
                  <c:pt idx="0">
                    <c:v>Oct-17</c:v>
                  </c:pt>
                  <c:pt idx="1">
                    <c:v>Nov-17</c:v>
                  </c:pt>
                  <c:pt idx="2">
                    <c:v>Dec-17</c:v>
                  </c:pt>
                  <c:pt idx="3">
                    <c:v>Jan-18</c:v>
                  </c:pt>
                  <c:pt idx="4">
                    <c:v>Feb-18</c:v>
                  </c:pt>
                  <c:pt idx="5">
                    <c:v>Mar-18</c:v>
                  </c:pt>
                  <c:pt idx="6">
                    <c:v>Apr-18</c:v>
                  </c:pt>
                  <c:pt idx="7">
                    <c:v>May-18</c:v>
                  </c:pt>
                  <c:pt idx="8">
                    <c:v>Jun-18</c:v>
                  </c:pt>
                  <c:pt idx="9">
                    <c:v>Jul-18</c:v>
                  </c:pt>
                  <c:pt idx="10">
                    <c:v>Aug-18</c:v>
                  </c:pt>
                  <c:pt idx="11">
                    <c:v>Sep-18</c:v>
                  </c:pt>
                  <c:pt idx="12">
                    <c:v>Oct-18</c:v>
                  </c:pt>
                  <c:pt idx="13">
                    <c:v>Nov-18</c:v>
                  </c:pt>
                  <c:pt idx="14">
                    <c:v>Dec-18</c:v>
                  </c:pt>
                  <c:pt idx="15">
                    <c:v>Jan-19</c:v>
                  </c:pt>
                  <c:pt idx="16">
                    <c:v>Feb-19</c:v>
                  </c:pt>
                  <c:pt idx="17">
                    <c:v>Mar-19</c:v>
                  </c:pt>
                  <c:pt idx="18">
                    <c:v>Apr-19</c:v>
                  </c:pt>
                  <c:pt idx="19">
                    <c:v>May-19</c:v>
                  </c:pt>
                  <c:pt idx="20">
                    <c:v>Jun-19</c:v>
                  </c:pt>
                  <c:pt idx="21">
                    <c:v>Jul-19</c:v>
                  </c:pt>
                  <c:pt idx="22">
                    <c:v>Aug-19</c:v>
                  </c:pt>
                  <c:pt idx="23">
                    <c:v>Sep-19</c:v>
                  </c:pt>
                  <c:pt idx="24">
                    <c:v>Oct-19</c:v>
                  </c:pt>
                  <c:pt idx="25">
                    <c:v>Nov-19</c:v>
                  </c:pt>
                  <c:pt idx="26">
                    <c:v>Dec-19</c:v>
                  </c:pt>
                  <c:pt idx="27">
                    <c:v>Jan-20</c:v>
                  </c:pt>
                  <c:pt idx="28">
                    <c:v>Feb-20</c:v>
                  </c:pt>
                  <c:pt idx="29">
                    <c:v>Mar-20</c:v>
                  </c:pt>
                  <c:pt idx="30">
                    <c:v>Apr-20</c:v>
                  </c:pt>
                  <c:pt idx="31">
                    <c:v>May-20</c:v>
                  </c:pt>
                  <c:pt idx="32">
                    <c:v>Jun-20</c:v>
                  </c:pt>
                  <c:pt idx="33">
                    <c:v>Jul-20</c:v>
                  </c:pt>
                  <c:pt idx="34">
                    <c:v>Aug-20</c:v>
                  </c:pt>
                  <c:pt idx="35">
                    <c:v>Sep-20</c:v>
                  </c:pt>
                  <c:pt idx="36">
                    <c:v>Oct-20</c:v>
                  </c:pt>
                  <c:pt idx="37">
                    <c:v>Nov-20</c:v>
                  </c:pt>
                  <c:pt idx="38">
                    <c:v>Dec-20</c:v>
                  </c:pt>
                  <c:pt idx="39">
                    <c:v>Jan-21</c:v>
                  </c:pt>
                  <c:pt idx="40">
                    <c:v>Feb-21</c:v>
                  </c:pt>
                  <c:pt idx="41">
                    <c:v>Mar-21</c:v>
                  </c:pt>
                  <c:pt idx="42">
                    <c:v>Apr-21</c:v>
                  </c:pt>
                  <c:pt idx="43">
                    <c:v>May-21</c:v>
                  </c:pt>
                  <c:pt idx="44">
                    <c:v>Jun-21</c:v>
                  </c:pt>
                  <c:pt idx="45">
                    <c:v>Jul-21</c:v>
                  </c:pt>
                  <c:pt idx="46">
                    <c:v>Aug-21</c:v>
                  </c:pt>
                  <c:pt idx="47">
                    <c:v>Sep-21</c:v>
                  </c:pt>
                  <c:pt idx="48">
                    <c:v>Oct-21</c:v>
                  </c:pt>
                  <c:pt idx="49">
                    <c:v>Nov-21</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39</c:v>
                  </c:pt>
                  <c:pt idx="49">
                    <c:v>40</c:v>
                  </c:pt>
                </c:lvl>
              </c:multiLvlStrCache>
            </c:multiLvlStrRef>
          </c:cat>
          <c:val>
            <c:numRef>
              <c:f>'Cash Flow - Future'!$E$292:$AW$292</c:f>
              <c:numCache>
                <c:formatCode>_(* #,##0.00_);_(* \(#,##0.00\);_(* "-"??_);_(@_)</c:formatCode>
                <c:ptCount val="4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numCache>
            </c:numRef>
          </c:val>
          <c:smooth val="0"/>
          <c:extLst>
            <c:ext xmlns:c16="http://schemas.microsoft.com/office/drawing/2014/chart" uri="{C3380CC4-5D6E-409C-BE32-E72D297353CC}">
              <c16:uniqueId val="{00000004-6402-45C2-AEAB-58B75EEF9B8C}"/>
            </c:ext>
          </c:extLst>
        </c:ser>
        <c:dLbls>
          <c:showLegendKey val="0"/>
          <c:showVal val="0"/>
          <c:showCatName val="0"/>
          <c:showSerName val="0"/>
          <c:showPercent val="0"/>
          <c:showBubbleSize val="0"/>
        </c:dLbls>
        <c:marker val="1"/>
        <c:smooth val="0"/>
        <c:axId val="541387280"/>
        <c:axId val="129134760"/>
      </c:lineChart>
      <c:catAx>
        <c:axId val="541387280"/>
        <c:scaling>
          <c:orientation val="minMax"/>
        </c:scaling>
        <c:delete val="0"/>
        <c:axPos val="b"/>
        <c:numFmt formatCode="General" sourceLinked="0"/>
        <c:majorTickMark val="out"/>
        <c:minorTickMark val="none"/>
        <c:tickLblPos val="nextTo"/>
        <c:crossAx val="129134760"/>
        <c:crosses val="autoZero"/>
        <c:auto val="1"/>
        <c:lblAlgn val="ctr"/>
        <c:lblOffset val="100"/>
        <c:noMultiLvlLbl val="0"/>
      </c:catAx>
      <c:valAx>
        <c:axId val="129134760"/>
        <c:scaling>
          <c:orientation val="minMax"/>
        </c:scaling>
        <c:delete val="0"/>
        <c:axPos val="r"/>
        <c:title>
          <c:tx>
            <c:rich>
              <a:bodyPr/>
              <a:lstStyle/>
              <a:p>
                <a:pPr>
                  <a:defRPr/>
                </a:pPr>
                <a:r>
                  <a:rPr lang="en-US"/>
                  <a:t>Net amount ($)</a:t>
                </a:r>
              </a:p>
            </c:rich>
          </c:tx>
          <c:overlay val="0"/>
        </c:title>
        <c:numFmt formatCode="_(* #,##0.00_);_(* \(#,##0.00\);_(* &quot;-&quot;??_);_(@_)" sourceLinked="1"/>
        <c:majorTickMark val="out"/>
        <c:minorTickMark val="none"/>
        <c:tickLblPos val="nextTo"/>
        <c:txPr>
          <a:bodyPr rot="0" vert="horz"/>
          <a:lstStyle/>
          <a:p>
            <a:pPr>
              <a:defRPr/>
            </a:pPr>
            <a:endParaRPr lang="en-001"/>
          </a:p>
        </c:txPr>
        <c:crossAx val="541387280"/>
        <c:crosses val="max"/>
        <c:crossBetween val="between"/>
      </c:valAx>
      <c:valAx>
        <c:axId val="129136328"/>
        <c:scaling>
          <c:orientation val="minMax"/>
          <c:min val="0"/>
        </c:scaling>
        <c:delete val="0"/>
        <c:axPos val="l"/>
        <c:numFmt formatCode="_(* #,##0.00_);_(* \(#,##0.00\);_(* &quot;-&quot;??_);_(@_)" sourceLinked="1"/>
        <c:majorTickMark val="out"/>
        <c:minorTickMark val="none"/>
        <c:tickLblPos val="nextTo"/>
        <c:crossAx val="129136720"/>
        <c:crosses val="autoZero"/>
        <c:crossBetween val="between"/>
      </c:valAx>
      <c:catAx>
        <c:axId val="129136720"/>
        <c:scaling>
          <c:orientation val="minMax"/>
        </c:scaling>
        <c:delete val="1"/>
        <c:axPos val="b"/>
        <c:numFmt formatCode="General" sourceLinked="1"/>
        <c:majorTickMark val="out"/>
        <c:minorTickMark val="none"/>
        <c:tickLblPos val="nextTo"/>
        <c:crossAx val="129136328"/>
        <c:crosses val="autoZero"/>
        <c:auto val="1"/>
        <c:lblAlgn val="ctr"/>
        <c:lblOffset val="100"/>
        <c:noMultiLvlLbl val="0"/>
      </c:catAx>
    </c:plotArea>
    <c:legend>
      <c:legendPos val="b"/>
      <c:layout>
        <c:manualLayout>
          <c:xMode val="edge"/>
          <c:yMode val="edge"/>
          <c:x val="0.39872236185762139"/>
          <c:y val="0.9189658648526271"/>
          <c:w val="0.24035716187047154"/>
          <c:h val="3.8583421425254484E-2"/>
        </c:manualLayout>
      </c:layout>
      <c:overlay val="0"/>
    </c:legend>
    <c:plotVisOnly val="1"/>
    <c:dispBlanksAs val="gap"/>
    <c:showDLblsOverMax val="0"/>
  </c:chart>
  <c:printSettings>
    <c:headerFooter/>
    <c:pageMargins b="0.75000000000000056" l="0.70000000000000051" r="0.70000000000000051" t="0.75000000000000056" header="0.30000000000000027" footer="0.30000000000000027"/>
    <c:pageSetup orientation="landscape"/>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Reversed" id="24">
  <a:schemeClr val="accent4"/>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8" Type="http://schemas.openxmlformats.org/officeDocument/2006/relationships/chart" Target="../charts/chart1.xml"/><Relationship Id="rId3" Type="http://schemas.openxmlformats.org/officeDocument/2006/relationships/image" Target="../media/image6.jpeg"/><Relationship Id="rId7" Type="http://schemas.openxmlformats.org/officeDocument/2006/relationships/image" Target="../media/image10.png"/><Relationship Id="rId12" Type="http://schemas.openxmlformats.org/officeDocument/2006/relationships/chart" Target="../charts/chart5.xml"/><Relationship Id="rId2" Type="http://schemas.openxmlformats.org/officeDocument/2006/relationships/image" Target="../media/image5.jpeg"/><Relationship Id="rId1" Type="http://schemas.openxmlformats.org/officeDocument/2006/relationships/image" Target="../media/image4.jpeg"/><Relationship Id="rId6" Type="http://schemas.openxmlformats.org/officeDocument/2006/relationships/image" Target="../media/image9.png"/><Relationship Id="rId11" Type="http://schemas.openxmlformats.org/officeDocument/2006/relationships/chart" Target="../charts/chart4.xml"/><Relationship Id="rId5" Type="http://schemas.openxmlformats.org/officeDocument/2006/relationships/image" Target="../media/image8.png"/><Relationship Id="rId10" Type="http://schemas.openxmlformats.org/officeDocument/2006/relationships/chart" Target="../charts/chart3.xml"/><Relationship Id="rId4" Type="http://schemas.openxmlformats.org/officeDocument/2006/relationships/image" Target="../media/image7.png"/><Relationship Id="rId9" Type="http://schemas.openxmlformats.org/officeDocument/2006/relationships/chart" Target="../charts/chart2.xml"/></Relationships>
</file>

<file path=xl/drawings/_rels/drawing3.xml.rels><?xml version="1.0" encoding="UTF-8" standalone="yes"?>
<Relationships xmlns="http://schemas.openxmlformats.org/package/2006/relationships"><Relationship Id="rId8" Type="http://schemas.openxmlformats.org/officeDocument/2006/relationships/image" Target="../media/image18.png"/><Relationship Id="rId3" Type="http://schemas.openxmlformats.org/officeDocument/2006/relationships/image" Target="../media/image13.png"/><Relationship Id="rId7" Type="http://schemas.openxmlformats.org/officeDocument/2006/relationships/image" Target="../media/image17.png"/><Relationship Id="rId2" Type="http://schemas.openxmlformats.org/officeDocument/2006/relationships/image" Target="../media/image12.png"/><Relationship Id="rId1" Type="http://schemas.openxmlformats.org/officeDocument/2006/relationships/image" Target="../media/image11.png"/><Relationship Id="rId6" Type="http://schemas.openxmlformats.org/officeDocument/2006/relationships/image" Target="../media/image16.png"/><Relationship Id="rId5" Type="http://schemas.openxmlformats.org/officeDocument/2006/relationships/image" Target="../media/image15.png"/><Relationship Id="rId4" Type="http://schemas.openxmlformats.org/officeDocument/2006/relationships/image" Target="../media/image14.png"/></Relationships>
</file>

<file path=xl/drawings/_rels/drawing5.xml.rels><?xml version="1.0" encoding="UTF-8" standalone="yes"?>
<Relationships xmlns="http://schemas.openxmlformats.org/package/2006/relationships"><Relationship Id="rId2" Type="http://schemas.openxmlformats.org/officeDocument/2006/relationships/image" Target="../media/image20.png"/><Relationship Id="rId1" Type="http://schemas.openxmlformats.org/officeDocument/2006/relationships/image" Target="../media/image19.png"/></Relationships>
</file>

<file path=xl/drawings/_rels/drawing6.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chart" Target="../charts/chart8.xml"/><Relationship Id="rId7" Type="http://schemas.openxmlformats.org/officeDocument/2006/relationships/chart" Target="../charts/chart11.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image" Target="../media/image21.jpeg"/><Relationship Id="rId9"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1" Type="http://schemas.openxmlformats.org/officeDocument/2006/relationships/image" Target="../media/image2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2.png"/></Relationships>
</file>

<file path=xl/drawings/_rels/drawing10.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5.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9</xdr:col>
      <xdr:colOff>76200</xdr:colOff>
      <xdr:row>36</xdr:row>
      <xdr:rowOff>37087</xdr:rowOff>
    </xdr:to>
    <xdr:pic>
      <xdr:nvPicPr>
        <xdr:cNvPr id="7" name="Picture 6" descr="A picture containing nature, sky, outdoor, mountain&#10;&#10;Description automatically generated">
          <a:extLst>
            <a:ext uri="{FF2B5EF4-FFF2-40B4-BE49-F238E27FC236}">
              <a16:creationId xmlns:a16="http://schemas.microsoft.com/office/drawing/2014/main" id="{87A3F896-4C71-4D40-8F4D-2DB98AED7F35}"/>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38100" y="38100"/>
          <a:ext cx="47777400" cy="28802587"/>
        </a:xfrm>
        <a:prstGeom prst="rect">
          <a:avLst/>
        </a:prstGeom>
      </xdr:spPr>
    </xdr:pic>
    <xdr:clientData/>
  </xdr:twoCellAnchor>
  <xdr:twoCellAnchor editAs="oneCell">
    <xdr:from>
      <xdr:col>4</xdr:col>
      <xdr:colOff>4763</xdr:colOff>
      <xdr:row>24</xdr:row>
      <xdr:rowOff>571499</xdr:rowOff>
    </xdr:from>
    <xdr:to>
      <xdr:col>5</xdr:col>
      <xdr:colOff>2867527</xdr:colOff>
      <xdr:row>35</xdr:row>
      <xdr:rowOff>571500</xdr:rowOff>
    </xdr:to>
    <xdr:pic>
      <xdr:nvPicPr>
        <xdr:cNvPr id="6" name="Image 8">
          <a:extLst>
            <a:ext uri="{FF2B5EF4-FFF2-40B4-BE49-F238E27FC236}">
              <a16:creationId xmlns:a16="http://schemas.microsoft.com/office/drawing/2014/main" id="{4D514FFC-888C-5B4E-8660-556EB6A2CFE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18959513" y="20002499"/>
          <a:ext cx="7601452" cy="8905876"/>
        </a:xfrm>
        <a:prstGeom prst="rect">
          <a:avLst/>
        </a:prstGeom>
        <a:ln w="12700" cap="flat">
          <a:noFill/>
          <a:miter lim="400000"/>
        </a:ln>
        <a:effectLst/>
      </xdr:spPr>
    </xdr:pic>
    <xdr:clientData/>
  </xdr:twoCellAnchor>
  <xdr:twoCellAnchor>
    <xdr:from>
      <xdr:col>0</xdr:col>
      <xdr:colOff>1295400</xdr:colOff>
      <xdr:row>0</xdr:row>
      <xdr:rowOff>-118782</xdr:rowOff>
    </xdr:from>
    <xdr:to>
      <xdr:col>8</xdr:col>
      <xdr:colOff>3390900</xdr:colOff>
      <xdr:row>6</xdr:row>
      <xdr:rowOff>409513</xdr:rowOff>
    </xdr:to>
    <xdr:sp macro="" textlink="">
      <xdr:nvSpPr>
        <xdr:cNvPr id="9" name="Text Placeholder 3">
          <a:extLst>
            <a:ext uri="{FF2B5EF4-FFF2-40B4-BE49-F238E27FC236}">
              <a16:creationId xmlns:a16="http://schemas.microsoft.com/office/drawing/2014/main" id="{785F9BF4-2258-4C8D-8BA5-328232642431}"/>
            </a:ext>
          </a:extLst>
        </xdr:cNvPr>
        <xdr:cNvSpPr txBox="1">
          <a:spLocks/>
        </xdr:cNvSpPr>
      </xdr:nvSpPr>
      <xdr:spPr>
        <a:xfrm>
          <a:off x="1295400" y="-118782"/>
          <a:ext cx="40195500" cy="5328895"/>
        </a:xfrm>
        <a:prstGeom prst="rect">
          <a:avLst/>
        </a:prstGeom>
      </xdr:spPr>
      <xdr:txBody>
        <a:bodyPr vert="horz" wrap="square" lIns="0" tIns="0" rIns="0" bIns="0" rtlCol="0" anchor="b">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1077072" rtl="0" eaLnBrk="1" latinLnBrk="0" hangingPunct="1">
            <a:spcAft>
              <a:spcPts val="707"/>
            </a:spcAft>
            <a:defRPr/>
          </a:pPr>
          <a:r>
            <a:rPr lang="en-GB" sz="10000" b="1" kern="1200">
              <a:solidFill>
                <a:srgbClr val="FFFFFF"/>
              </a:solidFill>
              <a:latin typeface="Open Sans"/>
              <a:ea typeface="+mn-ea"/>
              <a:cs typeface="+mn-cs"/>
            </a:rPr>
            <a:t>TRIPLE BAY - MARINA VILLAGE - AMAALA YACHT CLUB - MONTHLY REPORT</a:t>
          </a:r>
        </a:p>
        <a:p>
          <a:pPr marL="0" indent="0" algn="l" defTabSz="1077072" rtl="0" eaLnBrk="1" latinLnBrk="0" hangingPunct="1">
            <a:spcAft>
              <a:spcPts val="707"/>
            </a:spcAft>
            <a:defRPr/>
          </a:pPr>
          <a:r>
            <a:rPr lang="en-GB" sz="10000" b="1" kern="1200">
              <a:solidFill>
                <a:srgbClr val="FFFFFF"/>
              </a:solidFill>
              <a:latin typeface="Open Sans"/>
              <a:ea typeface="+mn-ea"/>
              <a:cs typeface="+mn-cs"/>
            </a:rPr>
            <a:t>October 2026 Report</a:t>
          </a:r>
        </a:p>
      </xdr:txBody>
    </xdr:sp>
    <xdr:clientData/>
  </xdr:twoCellAnchor>
  <xdr:twoCellAnchor>
    <xdr:from>
      <xdr:col>0</xdr:col>
      <xdr:colOff>940420</xdr:colOff>
      <xdr:row>7</xdr:row>
      <xdr:rowOff>152400</xdr:rowOff>
    </xdr:from>
    <xdr:to>
      <xdr:col>8</xdr:col>
      <xdr:colOff>723900</xdr:colOff>
      <xdr:row>7</xdr:row>
      <xdr:rowOff>152400</xdr:rowOff>
    </xdr:to>
    <xdr:cxnSp macro="">
      <xdr:nvCxnSpPr>
        <xdr:cNvPr id="10" name="Straight Connector 9">
          <a:extLst>
            <a:ext uri="{FF2B5EF4-FFF2-40B4-BE49-F238E27FC236}">
              <a16:creationId xmlns:a16="http://schemas.microsoft.com/office/drawing/2014/main" id="{D2F1C549-F1B3-43CB-9ED2-BDDE378E5725}"/>
            </a:ext>
          </a:extLst>
        </xdr:cNvPr>
        <xdr:cNvCxnSpPr/>
      </xdr:nvCxnSpPr>
      <xdr:spPr>
        <a:xfrm flipV="1">
          <a:off x="940420" y="5753100"/>
          <a:ext cx="39712280" cy="0"/>
        </a:xfrm>
        <a:prstGeom prst="line">
          <a:avLst/>
        </a:prstGeom>
        <a:ln>
          <a:solidFill>
            <a:schemeClr val="bg1"/>
          </a:solidFill>
        </a:ln>
      </xdr:spPr>
      <xdr:style>
        <a:lnRef idx="3">
          <a:schemeClr val="accent6"/>
        </a:lnRef>
        <a:fillRef idx="0">
          <a:schemeClr val="accent6"/>
        </a:fillRef>
        <a:effectRef idx="2">
          <a:schemeClr val="accent6"/>
        </a:effectRef>
        <a:fontRef idx="minor">
          <a:schemeClr val="tx1"/>
        </a:fontRef>
      </xdr:style>
    </xdr:cxnSp>
    <xdr:clientData/>
  </xdr:twoCellAnchor>
  <xdr:twoCellAnchor>
    <xdr:from>
      <xdr:col>0</xdr:col>
      <xdr:colOff>990600</xdr:colOff>
      <xdr:row>7</xdr:row>
      <xdr:rowOff>720790</xdr:rowOff>
    </xdr:from>
    <xdr:to>
      <xdr:col>2</xdr:col>
      <xdr:colOff>4686300</xdr:colOff>
      <xdr:row>10</xdr:row>
      <xdr:rowOff>26213</xdr:rowOff>
    </xdr:to>
    <xdr:sp macro="" textlink="">
      <xdr:nvSpPr>
        <xdr:cNvPr id="15" name="Text Placeholder 10">
          <a:extLst>
            <a:ext uri="{FF2B5EF4-FFF2-40B4-BE49-F238E27FC236}">
              <a16:creationId xmlns:a16="http://schemas.microsoft.com/office/drawing/2014/main" id="{1D986F4E-F155-4258-9FDD-1243C377286E}"/>
            </a:ext>
          </a:extLst>
        </xdr:cNvPr>
        <xdr:cNvSpPr txBox="1">
          <a:spLocks/>
        </xdr:cNvSpPr>
      </xdr:nvSpPr>
      <xdr:spPr>
        <a:xfrm>
          <a:off x="990600" y="6321490"/>
          <a:ext cx="13677900" cy="1705723"/>
        </a:xfrm>
        <a:prstGeom prst="rect">
          <a:avLst/>
        </a:prstGeom>
      </xdr:spPr>
      <xdr:txBody>
        <a:bodyPr vert="horz" wrap="square" lIns="0" tIns="0" rIns="0" bIns="0" rtlCol="0" anchor="b">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1077072">
            <a:spcAft>
              <a:spcPts val="707"/>
            </a:spcAft>
            <a:defRPr/>
          </a:pPr>
          <a:r>
            <a:rPr lang="en-US" sz="10000" b="1">
              <a:solidFill>
                <a:srgbClr val="FFFFFF"/>
              </a:solidFill>
              <a:latin typeface="Open Sans"/>
            </a:rPr>
            <a:t>Commercial </a:t>
          </a:r>
        </a:p>
      </xdr:txBody>
    </xdr:sp>
    <xdr:clientData/>
  </xdr:twoCellAnchor>
  <xdr:twoCellAnchor>
    <xdr:from>
      <xdr:col>7</xdr:col>
      <xdr:colOff>444500</xdr:colOff>
      <xdr:row>32</xdr:row>
      <xdr:rowOff>333667</xdr:rowOff>
    </xdr:from>
    <xdr:to>
      <xdr:col>9</xdr:col>
      <xdr:colOff>9525</xdr:colOff>
      <xdr:row>35</xdr:row>
      <xdr:rowOff>571500</xdr:rowOff>
    </xdr:to>
    <xdr:sp macro="" textlink="">
      <xdr:nvSpPr>
        <xdr:cNvPr id="16" name="Rectangle 15">
          <a:extLst>
            <a:ext uri="{FF2B5EF4-FFF2-40B4-BE49-F238E27FC236}">
              <a16:creationId xmlns:a16="http://schemas.microsoft.com/office/drawing/2014/main" id="{051B5283-9356-430E-B1AF-9FFD8C39F946}"/>
            </a:ext>
          </a:extLst>
        </xdr:cNvPr>
        <xdr:cNvSpPr/>
      </xdr:nvSpPr>
      <xdr:spPr>
        <a:xfrm>
          <a:off x="33782000" y="26749667"/>
          <a:ext cx="11757025" cy="2714333"/>
        </a:xfrm>
        <a:prstGeom prst="rect">
          <a:avLst/>
        </a:prstGeom>
      </xdr:spPr>
      <xdr:txBody>
        <a:bodyPr vert="horz" wrap="square" lIns="0" tIns="0" rIns="0" bIns="0" rtlCol="0" anchor="b">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1077072" rtl="0" eaLnBrk="1" fontAlgn="auto" latinLnBrk="0" hangingPunct="1">
            <a:lnSpc>
              <a:spcPct val="100000"/>
            </a:lnSpc>
            <a:spcBef>
              <a:spcPts val="0"/>
            </a:spcBef>
            <a:spcAft>
              <a:spcPts val="707"/>
            </a:spcAft>
            <a:buClrTx/>
            <a:buSzTx/>
            <a:buFontTx/>
            <a:buNone/>
            <a:tabLst/>
            <a:defRPr/>
          </a:pPr>
          <a:r>
            <a:rPr lang="en-US" sz="3500" b="1" kern="1200">
              <a:solidFill>
                <a:schemeClr val="bg1"/>
              </a:solidFill>
              <a:latin typeface="Open Sans"/>
              <a:ea typeface="+mn-ea"/>
              <a:cs typeface="+mn-cs"/>
            </a:rPr>
            <a:t>REPORTING NOTES</a:t>
          </a:r>
        </a:p>
        <a:p>
          <a:pPr marL="0" marR="0" lvl="0" indent="0" algn="l" defTabSz="1077072" rtl="0" eaLnBrk="1" fontAlgn="auto" latinLnBrk="0" hangingPunct="1">
            <a:lnSpc>
              <a:spcPct val="100000"/>
            </a:lnSpc>
            <a:spcBef>
              <a:spcPts val="0"/>
            </a:spcBef>
            <a:spcAft>
              <a:spcPts val="707"/>
            </a:spcAft>
            <a:buClrTx/>
            <a:buSzTx/>
            <a:buFontTx/>
            <a:buNone/>
            <a:tabLst/>
            <a:defRPr/>
          </a:pPr>
          <a:r>
            <a:rPr lang="en-US" sz="3500" b="1" kern="1200">
              <a:solidFill>
                <a:schemeClr val="bg1"/>
              </a:solidFill>
              <a:latin typeface="Open Sans"/>
              <a:ea typeface="+mn-ea"/>
              <a:cs typeface="+mn-cs"/>
            </a:rPr>
            <a:t>Data Cut-off Date: 30 September 2026</a:t>
          </a:r>
        </a:p>
        <a:p>
          <a:pPr marL="0" marR="0" lvl="0" indent="0" algn="l" defTabSz="1077072" rtl="0" eaLnBrk="1" fontAlgn="auto" latinLnBrk="0" hangingPunct="1">
            <a:lnSpc>
              <a:spcPct val="100000"/>
            </a:lnSpc>
            <a:spcBef>
              <a:spcPts val="0"/>
            </a:spcBef>
            <a:spcAft>
              <a:spcPts val="707"/>
            </a:spcAft>
            <a:buClrTx/>
            <a:buSzTx/>
            <a:buFontTx/>
            <a:buNone/>
            <a:tabLst/>
            <a:defRPr/>
          </a:pPr>
          <a:r>
            <a:rPr lang="en-US" sz="3500" b="1" kern="1200">
              <a:solidFill>
                <a:schemeClr val="bg1"/>
              </a:solidFill>
              <a:latin typeface="Open Sans"/>
              <a:ea typeface="+mn-ea"/>
              <a:cs typeface="+mn-cs"/>
            </a:rPr>
            <a:t>Reporting Date: 31st </a:t>
          </a:r>
          <a:r>
            <a:rPr lang="en-US" sz="3500" b="1" kern="1200" baseline="0">
              <a:solidFill>
                <a:schemeClr val="bg1"/>
              </a:solidFill>
              <a:latin typeface="Open Sans"/>
              <a:ea typeface="+mn-ea"/>
              <a:cs typeface="+mn-cs"/>
            </a:rPr>
            <a:t>of the Month</a:t>
          </a:r>
          <a:endParaRPr lang="en-US" sz="3500" b="1" kern="1200">
            <a:solidFill>
              <a:schemeClr val="bg1"/>
            </a:solidFill>
            <a:latin typeface="Open Sans"/>
            <a:ea typeface="+mn-ea"/>
            <a:cs typeface="+mn-cs"/>
          </a:endParaRPr>
        </a:p>
        <a:p>
          <a:pPr marL="0" marR="0" lvl="0" indent="0" algn="l" defTabSz="1077072" rtl="0" eaLnBrk="1" fontAlgn="auto" latinLnBrk="0" hangingPunct="1">
            <a:lnSpc>
              <a:spcPct val="100000"/>
            </a:lnSpc>
            <a:spcBef>
              <a:spcPts val="0"/>
            </a:spcBef>
            <a:spcAft>
              <a:spcPts val="707"/>
            </a:spcAft>
            <a:buClrTx/>
            <a:buSzTx/>
            <a:buFontTx/>
            <a:buNone/>
            <a:tabLst/>
            <a:defRPr/>
          </a:pPr>
          <a:r>
            <a:rPr lang="en-US" sz="3500" b="1" kern="1200">
              <a:solidFill>
                <a:schemeClr val="bg1"/>
              </a:solidFill>
              <a:latin typeface="Open Sans"/>
              <a:ea typeface="+mn-ea"/>
              <a:cs typeface="+mn-cs"/>
            </a:rPr>
            <a:t>Data projected from cut-off date until 31st of month</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583746</xdr:colOff>
      <xdr:row>6</xdr:row>
      <xdr:rowOff>20637</xdr:rowOff>
    </xdr:from>
    <xdr:to>
      <xdr:col>17</xdr:col>
      <xdr:colOff>1741714</xdr:colOff>
      <xdr:row>23</xdr:row>
      <xdr:rowOff>16782</xdr:rowOff>
    </xdr:to>
    <xdr:pic>
      <xdr:nvPicPr>
        <xdr:cNvPr id="4" name="Picture 3">
          <a:extLst>
            <a:ext uri="{FF2B5EF4-FFF2-40B4-BE49-F238E27FC236}">
              <a16:creationId xmlns:a16="http://schemas.microsoft.com/office/drawing/2014/main" id="{87AB2503-587C-48E5-864D-2768DC15572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rcRect/>
        <a:stretch/>
      </xdr:blipFill>
      <xdr:spPr>
        <a:xfrm>
          <a:off x="24205746" y="873351"/>
          <a:ext cx="4750254" cy="1846717"/>
        </a:xfrm>
        <a:prstGeom prst="rect">
          <a:avLst/>
        </a:prstGeom>
      </xdr:spPr>
    </xdr:pic>
    <xdr:clientData/>
  </xdr:twoCellAnchor>
  <xdr:twoCellAnchor editAs="oneCell">
    <xdr:from>
      <xdr:col>18</xdr:col>
      <xdr:colOff>30390</xdr:colOff>
      <xdr:row>6</xdr:row>
      <xdr:rowOff>19050</xdr:rowOff>
    </xdr:from>
    <xdr:to>
      <xdr:col>21</xdr:col>
      <xdr:colOff>1037318</xdr:colOff>
      <xdr:row>22</xdr:row>
      <xdr:rowOff>74385</xdr:rowOff>
    </xdr:to>
    <xdr:pic>
      <xdr:nvPicPr>
        <xdr:cNvPr id="5" name="Picture 4">
          <a:extLst>
            <a:ext uri="{FF2B5EF4-FFF2-40B4-BE49-F238E27FC236}">
              <a16:creationId xmlns:a16="http://schemas.microsoft.com/office/drawing/2014/main" id="{2B44A6F0-D832-4304-8E34-5F679BB3B9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a:ext>
          </a:extLst>
        </a:blip>
        <a:srcRect/>
        <a:stretch/>
      </xdr:blipFill>
      <xdr:spPr>
        <a:xfrm>
          <a:off x="29040819" y="871764"/>
          <a:ext cx="4215038" cy="1797050"/>
        </a:xfrm>
        <a:prstGeom prst="rect">
          <a:avLst/>
        </a:prstGeom>
      </xdr:spPr>
    </xdr:pic>
    <xdr:clientData/>
  </xdr:twoCellAnchor>
  <xdr:twoCellAnchor editAs="oneCell">
    <xdr:from>
      <xdr:col>22</xdr:col>
      <xdr:colOff>707571</xdr:colOff>
      <xdr:row>6</xdr:row>
      <xdr:rowOff>3174</xdr:rowOff>
    </xdr:from>
    <xdr:to>
      <xdr:col>25</xdr:col>
      <xdr:colOff>656318</xdr:colOff>
      <xdr:row>23</xdr:row>
      <xdr:rowOff>36408</xdr:rowOff>
    </xdr:to>
    <xdr:pic>
      <xdr:nvPicPr>
        <xdr:cNvPr id="7" name="Picture 6">
          <a:extLst>
            <a:ext uri="{FF2B5EF4-FFF2-40B4-BE49-F238E27FC236}">
              <a16:creationId xmlns:a16="http://schemas.microsoft.com/office/drawing/2014/main" id="{848136F4-F982-46F7-A17A-B0867F208405}"/>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a:ext>
          </a:extLst>
        </a:blip>
        <a:srcRect/>
        <a:stretch/>
      </xdr:blipFill>
      <xdr:spPr>
        <a:xfrm>
          <a:off x="34870571" y="855888"/>
          <a:ext cx="5769429" cy="1883806"/>
        </a:xfrm>
        <a:prstGeom prst="rect">
          <a:avLst/>
        </a:prstGeom>
      </xdr:spPr>
    </xdr:pic>
    <xdr:clientData/>
  </xdr:twoCellAnchor>
  <xdr:twoCellAnchor editAs="oneCell">
    <xdr:from>
      <xdr:col>12</xdr:col>
      <xdr:colOff>1605415</xdr:colOff>
      <xdr:row>6</xdr:row>
      <xdr:rowOff>22338</xdr:rowOff>
    </xdr:from>
    <xdr:to>
      <xdr:col>14</xdr:col>
      <xdr:colOff>1142999</xdr:colOff>
      <xdr:row>23</xdr:row>
      <xdr:rowOff>16263</xdr:rowOff>
    </xdr:to>
    <xdr:pic>
      <xdr:nvPicPr>
        <xdr:cNvPr id="8" name="Picture 7">
          <a:extLst>
            <a:ext uri="{FF2B5EF4-FFF2-40B4-BE49-F238E27FC236}">
              <a16:creationId xmlns:a16="http://schemas.microsoft.com/office/drawing/2014/main" id="{765B0036-4E55-4FAF-88E9-CC8E478A1176}"/>
            </a:ext>
          </a:extLst>
        </xdr:cNvPr>
        <xdr:cNvPicPr>
          <a:picLocks noChangeAspect="1"/>
        </xdr:cNvPicPr>
      </xdr:nvPicPr>
      <xdr:blipFill>
        <a:blip xmlns:r="http://schemas.openxmlformats.org/officeDocument/2006/relationships" r:embed="rId4"/>
        <a:stretch>
          <a:fillRect/>
        </a:stretch>
      </xdr:blipFill>
      <xdr:spPr>
        <a:xfrm>
          <a:off x="17643701" y="875052"/>
          <a:ext cx="5325155" cy="1844497"/>
        </a:xfrm>
        <a:prstGeom prst="rect">
          <a:avLst/>
        </a:prstGeom>
      </xdr:spPr>
    </xdr:pic>
    <xdr:clientData/>
  </xdr:twoCellAnchor>
  <xdr:twoCellAnchor editAs="oneCell">
    <xdr:from>
      <xdr:col>7</xdr:col>
      <xdr:colOff>333376</xdr:colOff>
      <xdr:row>6</xdr:row>
      <xdr:rowOff>11906</xdr:rowOff>
    </xdr:from>
    <xdr:to>
      <xdr:col>12</xdr:col>
      <xdr:colOff>816428</xdr:colOff>
      <xdr:row>23</xdr:row>
      <xdr:rowOff>17273</xdr:rowOff>
    </xdr:to>
    <xdr:pic>
      <xdr:nvPicPr>
        <xdr:cNvPr id="6" name="Picture 5">
          <a:extLst>
            <a:ext uri="{FF2B5EF4-FFF2-40B4-BE49-F238E27FC236}">
              <a16:creationId xmlns:a16="http://schemas.microsoft.com/office/drawing/2014/main" id="{FF468406-1021-43EF-9896-2004BF340278}"/>
            </a:ext>
          </a:extLst>
        </xdr:cNvPr>
        <xdr:cNvPicPr>
          <a:picLocks noChangeAspect="1"/>
        </xdr:cNvPicPr>
      </xdr:nvPicPr>
      <xdr:blipFill>
        <a:blip xmlns:r="http://schemas.openxmlformats.org/officeDocument/2006/relationships" r:embed="rId5"/>
        <a:stretch>
          <a:fillRect/>
        </a:stretch>
      </xdr:blipFill>
      <xdr:spPr>
        <a:xfrm>
          <a:off x="12053662" y="864620"/>
          <a:ext cx="4801052" cy="1855939"/>
        </a:xfrm>
        <a:prstGeom prst="rect">
          <a:avLst/>
        </a:prstGeom>
      </xdr:spPr>
    </xdr:pic>
    <xdr:clientData/>
  </xdr:twoCellAnchor>
  <xdr:twoCellAnchor editAs="oneCell">
    <xdr:from>
      <xdr:col>4</xdr:col>
      <xdr:colOff>1023937</xdr:colOff>
      <xdr:row>6</xdr:row>
      <xdr:rowOff>11905</xdr:rowOff>
    </xdr:from>
    <xdr:to>
      <xdr:col>6</xdr:col>
      <xdr:colOff>1418318</xdr:colOff>
      <xdr:row>23</xdr:row>
      <xdr:rowOff>2985</xdr:rowOff>
    </xdr:to>
    <xdr:pic>
      <xdr:nvPicPr>
        <xdr:cNvPr id="3" name="Picture 2">
          <a:extLst>
            <a:ext uri="{FF2B5EF4-FFF2-40B4-BE49-F238E27FC236}">
              <a16:creationId xmlns:a16="http://schemas.microsoft.com/office/drawing/2014/main" id="{49D40233-DB6B-4228-9821-75DAA9F9D13C}"/>
            </a:ext>
          </a:extLst>
        </xdr:cNvPr>
        <xdr:cNvPicPr>
          <a:picLocks noChangeAspect="1"/>
        </xdr:cNvPicPr>
      </xdr:nvPicPr>
      <xdr:blipFill>
        <a:blip xmlns:r="http://schemas.openxmlformats.org/officeDocument/2006/relationships" r:embed="rId6"/>
        <a:stretch>
          <a:fillRect/>
        </a:stretch>
      </xdr:blipFill>
      <xdr:spPr>
        <a:xfrm>
          <a:off x="6757080" y="864619"/>
          <a:ext cx="4382634" cy="1841652"/>
        </a:xfrm>
        <a:prstGeom prst="rect">
          <a:avLst/>
        </a:prstGeom>
      </xdr:spPr>
    </xdr:pic>
    <xdr:clientData/>
  </xdr:twoCellAnchor>
  <xdr:twoCellAnchor editAs="oneCell">
    <xdr:from>
      <xdr:col>3</xdr:col>
      <xdr:colOff>172018</xdr:colOff>
      <xdr:row>6</xdr:row>
      <xdr:rowOff>6185</xdr:rowOff>
    </xdr:from>
    <xdr:to>
      <xdr:col>4</xdr:col>
      <xdr:colOff>550636</xdr:colOff>
      <xdr:row>20</xdr:row>
      <xdr:rowOff>35093</xdr:rowOff>
    </xdr:to>
    <xdr:pic>
      <xdr:nvPicPr>
        <xdr:cNvPr id="2" name="Picture 1">
          <a:extLst>
            <a:ext uri="{FF2B5EF4-FFF2-40B4-BE49-F238E27FC236}">
              <a16:creationId xmlns:a16="http://schemas.microsoft.com/office/drawing/2014/main" id="{42E6C20C-7628-4079-834D-82C6975E31FC}"/>
            </a:ext>
          </a:extLst>
        </xdr:cNvPr>
        <xdr:cNvPicPr>
          <a:picLocks noChangeAspect="1"/>
        </xdr:cNvPicPr>
      </xdr:nvPicPr>
      <xdr:blipFill>
        <a:blip xmlns:r="http://schemas.openxmlformats.org/officeDocument/2006/relationships" r:embed="rId7"/>
        <a:stretch>
          <a:fillRect/>
        </a:stretch>
      </xdr:blipFill>
      <xdr:spPr>
        <a:xfrm>
          <a:off x="498589" y="858899"/>
          <a:ext cx="5778840" cy="1546558"/>
        </a:xfrm>
        <a:prstGeom prst="rect">
          <a:avLst/>
        </a:prstGeom>
      </xdr:spPr>
    </xdr:pic>
    <xdr:clientData/>
  </xdr:twoCellAnchor>
  <xdr:twoCellAnchor>
    <xdr:from>
      <xdr:col>24</xdr:col>
      <xdr:colOff>15876</xdr:colOff>
      <xdr:row>26</xdr:row>
      <xdr:rowOff>10584</xdr:rowOff>
    </xdr:from>
    <xdr:to>
      <xdr:col>25</xdr:col>
      <xdr:colOff>1571626</xdr:colOff>
      <xdr:row>36</xdr:row>
      <xdr:rowOff>0</xdr:rowOff>
    </xdr:to>
    <xdr:graphicFrame macro="">
      <xdr:nvGraphicFramePr>
        <xdr:cNvPr id="32" name="Chart 31">
          <a:extLst>
            <a:ext uri="{FF2B5EF4-FFF2-40B4-BE49-F238E27FC236}">
              <a16:creationId xmlns:a16="http://schemas.microsoft.com/office/drawing/2014/main" id="{A8A5EFE2-2162-429D-A632-B93EC11811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24</xdr:col>
      <xdr:colOff>8315</xdr:colOff>
      <xdr:row>65</xdr:row>
      <xdr:rowOff>31750</xdr:rowOff>
    </xdr:from>
    <xdr:to>
      <xdr:col>25</xdr:col>
      <xdr:colOff>1571624</xdr:colOff>
      <xdr:row>73</xdr:row>
      <xdr:rowOff>164041</xdr:rowOff>
    </xdr:to>
    <xdr:graphicFrame macro="">
      <xdr:nvGraphicFramePr>
        <xdr:cNvPr id="34" name="Chart 33">
          <a:extLst>
            <a:ext uri="{FF2B5EF4-FFF2-40B4-BE49-F238E27FC236}">
              <a16:creationId xmlns:a16="http://schemas.microsoft.com/office/drawing/2014/main" id="{19836B86-730D-4976-9293-7CFA237D41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11906</xdr:colOff>
      <xdr:row>20</xdr:row>
      <xdr:rowOff>34016</xdr:rowOff>
    </xdr:from>
    <xdr:to>
      <xdr:col>4</xdr:col>
      <xdr:colOff>535781</xdr:colOff>
      <xdr:row>22</xdr:row>
      <xdr:rowOff>111114</xdr:rowOff>
    </xdr:to>
    <xdr:sp macro="" textlink="">
      <xdr:nvSpPr>
        <xdr:cNvPr id="18" name="Text Placeholder 5">
          <a:extLst>
            <a:ext uri="{FF2B5EF4-FFF2-40B4-BE49-F238E27FC236}">
              <a16:creationId xmlns:a16="http://schemas.microsoft.com/office/drawing/2014/main" id="{4830D54E-4A43-4E0F-920D-FDBC14A462E2}"/>
            </a:ext>
          </a:extLst>
        </xdr:cNvPr>
        <xdr:cNvSpPr>
          <a:spLocks noGrp="1"/>
        </xdr:cNvSpPr>
      </xdr:nvSpPr>
      <xdr:spPr>
        <a:xfrm>
          <a:off x="333375" y="2593860"/>
          <a:ext cx="3964781" cy="315223"/>
        </a:xfrm>
        <a:prstGeom prst="rect">
          <a:avLst/>
        </a:prstGeom>
        <a:solidFill>
          <a:schemeClr val="bg2">
            <a:lumMod val="75000"/>
          </a:schemeClr>
        </a:solidFill>
      </xdr:spPr>
      <xdr:txBody>
        <a:bodyPr vert="horz" wrap="square" lIns="53852" tIns="53852" rIns="53852" bIns="53852" rtlCol="0" anchor="ctr">
          <a:spAutoFit/>
        </a:bodyPr>
        <a:lstStyle>
          <a:lvl1pPr marL="0" algn="l" eaLnBrk="1" hangingPunct="1">
            <a:defRPr lang="en-US" sz="900" b="0" i="0" kern="1200" baseline="0" smtClean="0">
              <a:solidFill>
                <a:srgbClr val="FFFFFF"/>
              </a:solidFill>
              <a:latin typeface="Amaala Sans" pitchFamily="2" charset="-78"/>
              <a:ea typeface="+mn-lt"/>
              <a:cs typeface="Amaala Sans" pitchFamily="2" charset="-78"/>
            </a:defRPr>
          </a:lvl1pPr>
          <a:lvl2pPr marL="342946" eaLnBrk="1" hangingPunct="1">
            <a:defRPr lang="en-US" sz="1600" kern="1200" smtClean="0">
              <a:solidFill>
                <a:schemeClr val="tx1"/>
              </a:solidFill>
              <a:latin typeface="+mn-lt"/>
              <a:ea typeface="+mn-ea"/>
              <a:cs typeface="+mn-cs"/>
            </a:defRPr>
          </a:lvl2pPr>
          <a:lvl3pPr marL="685891" eaLnBrk="1" hangingPunct="1">
            <a:defRPr lang="en-US" sz="1333" kern="1200" smtClean="0">
              <a:solidFill>
                <a:schemeClr val="tx1"/>
              </a:solidFill>
              <a:latin typeface="+mn-lt"/>
              <a:ea typeface="+mn-ea"/>
              <a:cs typeface="+mn-cs"/>
            </a:defRPr>
          </a:lvl3pPr>
          <a:lvl4pPr marL="1028837" eaLnBrk="1" hangingPunct="1">
            <a:defRPr lang="en-US" sz="1200" kern="1200" smtClean="0">
              <a:solidFill>
                <a:schemeClr val="tx1"/>
              </a:solidFill>
              <a:latin typeface="+mn-lt"/>
              <a:ea typeface="+mn-ea"/>
              <a:cs typeface="+mn-cs"/>
            </a:defRPr>
          </a:lvl4pPr>
          <a:lvl5pPr marL="1371783" eaLnBrk="1" hangingPunct="1">
            <a:defRPr lang="en-US" sz="1200" kern="1200">
              <a:solidFill>
                <a:schemeClr val="tx1"/>
              </a:solidFill>
              <a:latin typeface="+mn-lt"/>
              <a:ea typeface="+mn-ea"/>
              <a:cs typeface="+mn-cs"/>
            </a:defRPr>
          </a:lvl5pPr>
          <a:lvl6pPr marL="1714729" eaLnBrk="1" hangingPunct="1">
            <a:defRPr>
              <a:latin typeface="+mn-lt"/>
              <a:ea typeface="+mn-ea"/>
              <a:cs typeface="+mn-cs"/>
            </a:defRPr>
          </a:lvl6pPr>
          <a:lvl7pPr marL="2057674" eaLnBrk="1" hangingPunct="1">
            <a:defRPr>
              <a:latin typeface="+mn-lt"/>
              <a:ea typeface="+mn-ea"/>
              <a:cs typeface="+mn-cs"/>
            </a:defRPr>
          </a:lvl7pPr>
          <a:lvl8pPr marL="2400620" eaLnBrk="1" hangingPunct="1">
            <a:defRPr>
              <a:latin typeface="+mn-lt"/>
              <a:ea typeface="+mn-ea"/>
              <a:cs typeface="+mn-cs"/>
            </a:defRPr>
          </a:lvl8pPr>
          <a:lvl9pPr marL="2743566" eaLnBrk="1" hangingPunct="1">
            <a:defRPr>
              <a:latin typeface="+mn-lt"/>
              <a:ea typeface="+mn-ea"/>
              <a:cs typeface="+mn-cs"/>
            </a:defRPr>
          </a:lvl9pPr>
        </a:lstStyle>
        <a:p>
          <a:pPr algn="ctr"/>
          <a:r>
            <a:rPr lang="en-US" sz="1400" b="0" i="0" kern="1200" baseline="0">
              <a:solidFill>
                <a:sysClr val="windowText" lastClr="000000"/>
              </a:solidFill>
              <a:effectLst/>
              <a:latin typeface="Amaala Sans" pitchFamily="2" charset="-78"/>
              <a:ea typeface="+mn-lt"/>
              <a:cs typeface="Amaala Sans" pitchFamily="2" charset="-78"/>
            </a:rPr>
            <a:t>View from </a:t>
          </a:r>
          <a:r>
            <a:rPr lang="es-ES" sz="1400" b="0" i="0" kern="1200" baseline="0">
              <a:solidFill>
                <a:sysClr val="windowText" lastClr="000000"/>
              </a:solidFill>
              <a:effectLst/>
              <a:latin typeface="Amaala Sans" pitchFamily="2" charset="-78"/>
              <a:ea typeface="+mn-lt"/>
              <a:cs typeface="Amaala Sans" pitchFamily="2" charset="-78"/>
            </a:rPr>
            <a:t>Red Sea Marine Life Institute</a:t>
          </a:r>
          <a:endParaRPr lang="en-US" sz="1400" b="1">
            <a:solidFill>
              <a:sysClr val="windowText" lastClr="000000"/>
            </a:solidFill>
          </a:endParaRPr>
        </a:p>
      </xdr:txBody>
    </xdr:sp>
    <xdr:clientData/>
  </xdr:twoCellAnchor>
  <xdr:twoCellAnchor>
    <xdr:from>
      <xdr:col>15</xdr:col>
      <xdr:colOff>544248</xdr:colOff>
      <xdr:row>20</xdr:row>
      <xdr:rowOff>24091</xdr:rowOff>
    </xdr:from>
    <xdr:to>
      <xdr:col>18</xdr:col>
      <xdr:colOff>0</xdr:colOff>
      <xdr:row>23</xdr:row>
      <xdr:rowOff>12742</xdr:rowOff>
    </xdr:to>
    <xdr:sp macro="" textlink="">
      <xdr:nvSpPr>
        <xdr:cNvPr id="30" name="Text Placeholder 5">
          <a:extLst>
            <a:ext uri="{FF2B5EF4-FFF2-40B4-BE49-F238E27FC236}">
              <a16:creationId xmlns:a16="http://schemas.microsoft.com/office/drawing/2014/main" id="{37BB2A76-E2EE-44E2-802C-04E77C85F92F}"/>
            </a:ext>
          </a:extLst>
        </xdr:cNvPr>
        <xdr:cNvSpPr>
          <a:spLocks noGrp="1"/>
        </xdr:cNvSpPr>
      </xdr:nvSpPr>
      <xdr:spPr>
        <a:xfrm>
          <a:off x="18696177" y="2432555"/>
          <a:ext cx="3784363" cy="315223"/>
        </a:xfrm>
        <a:prstGeom prst="rect">
          <a:avLst/>
        </a:prstGeom>
        <a:solidFill>
          <a:schemeClr val="bg2">
            <a:lumMod val="75000"/>
          </a:schemeClr>
        </a:solidFill>
      </xdr:spPr>
      <xdr:txBody>
        <a:bodyPr vert="horz" wrap="square" lIns="53852" tIns="53852" rIns="53852" bIns="53852" rtlCol="0" anchor="ctr">
          <a:spAutoFit/>
        </a:bodyPr>
        <a:lstStyle>
          <a:lvl1pPr marL="0" algn="l" eaLnBrk="1" hangingPunct="1">
            <a:defRPr lang="en-US" sz="900" b="0" i="0" kern="1200" baseline="0" smtClean="0">
              <a:solidFill>
                <a:srgbClr val="FFFFFF"/>
              </a:solidFill>
              <a:latin typeface="Amaala Sans" pitchFamily="2" charset="-78"/>
              <a:ea typeface="+mn-lt"/>
              <a:cs typeface="Amaala Sans" pitchFamily="2" charset="-78"/>
            </a:defRPr>
          </a:lvl1pPr>
          <a:lvl2pPr marL="342946" eaLnBrk="1" hangingPunct="1">
            <a:defRPr lang="en-US" sz="1600" kern="1200" smtClean="0">
              <a:solidFill>
                <a:schemeClr val="tx1"/>
              </a:solidFill>
              <a:latin typeface="+mn-lt"/>
              <a:ea typeface="+mn-ea"/>
              <a:cs typeface="+mn-cs"/>
            </a:defRPr>
          </a:lvl2pPr>
          <a:lvl3pPr marL="685891" eaLnBrk="1" hangingPunct="1">
            <a:defRPr lang="en-US" sz="1333" kern="1200" smtClean="0">
              <a:solidFill>
                <a:schemeClr val="tx1"/>
              </a:solidFill>
              <a:latin typeface="+mn-lt"/>
              <a:ea typeface="+mn-ea"/>
              <a:cs typeface="+mn-cs"/>
            </a:defRPr>
          </a:lvl3pPr>
          <a:lvl4pPr marL="1028837" eaLnBrk="1" hangingPunct="1">
            <a:defRPr lang="en-US" sz="1200" kern="1200" smtClean="0">
              <a:solidFill>
                <a:schemeClr val="tx1"/>
              </a:solidFill>
              <a:latin typeface="+mn-lt"/>
              <a:ea typeface="+mn-ea"/>
              <a:cs typeface="+mn-cs"/>
            </a:defRPr>
          </a:lvl4pPr>
          <a:lvl5pPr marL="1371783" eaLnBrk="1" hangingPunct="1">
            <a:defRPr lang="en-US" sz="1200" kern="1200">
              <a:solidFill>
                <a:schemeClr val="tx1"/>
              </a:solidFill>
              <a:latin typeface="+mn-lt"/>
              <a:ea typeface="+mn-ea"/>
              <a:cs typeface="+mn-cs"/>
            </a:defRPr>
          </a:lvl5pPr>
          <a:lvl6pPr marL="1714729" eaLnBrk="1" hangingPunct="1">
            <a:defRPr>
              <a:latin typeface="+mn-lt"/>
              <a:ea typeface="+mn-ea"/>
              <a:cs typeface="+mn-cs"/>
            </a:defRPr>
          </a:lvl6pPr>
          <a:lvl7pPr marL="2057674" eaLnBrk="1" hangingPunct="1">
            <a:defRPr>
              <a:latin typeface="+mn-lt"/>
              <a:ea typeface="+mn-ea"/>
              <a:cs typeface="+mn-cs"/>
            </a:defRPr>
          </a:lvl7pPr>
          <a:lvl8pPr marL="2400620" eaLnBrk="1" hangingPunct="1">
            <a:defRPr>
              <a:latin typeface="+mn-lt"/>
              <a:ea typeface="+mn-ea"/>
              <a:cs typeface="+mn-cs"/>
            </a:defRPr>
          </a:lvl8pPr>
          <a:lvl9pPr marL="2743566" eaLnBrk="1" hangingPunct="1">
            <a:defRPr>
              <a:latin typeface="+mn-lt"/>
              <a:ea typeface="+mn-ea"/>
              <a:cs typeface="+mn-cs"/>
            </a:defRPr>
          </a:lvl9pPr>
        </a:lstStyle>
        <a:p>
          <a:pPr algn="ctr"/>
          <a:r>
            <a:rPr lang="en-US" sz="1400" b="1">
              <a:solidFill>
                <a:schemeClr val="tx1"/>
              </a:solidFill>
            </a:rPr>
            <a:t>Core Walls Under Construction</a:t>
          </a:r>
        </a:p>
      </xdr:txBody>
    </xdr:sp>
    <xdr:clientData/>
  </xdr:twoCellAnchor>
  <xdr:twoCellAnchor>
    <xdr:from>
      <xdr:col>12</xdr:col>
      <xdr:colOff>1464466</xdr:colOff>
      <xdr:row>20</xdr:row>
      <xdr:rowOff>50491</xdr:rowOff>
    </xdr:from>
    <xdr:to>
      <xdr:col>14</xdr:col>
      <xdr:colOff>1154906</xdr:colOff>
      <xdr:row>23</xdr:row>
      <xdr:rowOff>16464</xdr:rowOff>
    </xdr:to>
    <xdr:sp macro="" textlink="">
      <xdr:nvSpPr>
        <xdr:cNvPr id="29" name="Text Placeholder 5">
          <a:extLst>
            <a:ext uri="{FF2B5EF4-FFF2-40B4-BE49-F238E27FC236}">
              <a16:creationId xmlns:a16="http://schemas.microsoft.com/office/drawing/2014/main" id="{33117060-B678-48DD-8486-64BE68CAAE4B}"/>
            </a:ext>
          </a:extLst>
        </xdr:cNvPr>
        <xdr:cNvSpPr>
          <a:spLocks noGrp="1"/>
        </xdr:cNvSpPr>
      </xdr:nvSpPr>
      <xdr:spPr>
        <a:xfrm>
          <a:off x="13894591" y="2610335"/>
          <a:ext cx="4012409" cy="323160"/>
        </a:xfrm>
        <a:prstGeom prst="rect">
          <a:avLst/>
        </a:prstGeom>
        <a:solidFill>
          <a:schemeClr val="bg2">
            <a:lumMod val="75000"/>
          </a:schemeClr>
        </a:solidFill>
      </xdr:spPr>
      <xdr:txBody>
        <a:bodyPr vert="horz" wrap="square" lIns="53852" tIns="53852" rIns="53852" bIns="53852" rtlCol="0" anchor="ctr">
          <a:spAutoFit/>
        </a:bodyPr>
        <a:lstStyle>
          <a:lvl1pPr marL="0" algn="l" eaLnBrk="1" hangingPunct="1">
            <a:defRPr lang="en-US" sz="900" b="0" i="0" kern="1200" baseline="0" smtClean="0">
              <a:solidFill>
                <a:srgbClr val="FFFFFF"/>
              </a:solidFill>
              <a:latin typeface="Amaala Sans" pitchFamily="2" charset="-78"/>
              <a:ea typeface="+mn-lt"/>
              <a:cs typeface="Amaala Sans" pitchFamily="2" charset="-78"/>
            </a:defRPr>
          </a:lvl1pPr>
          <a:lvl2pPr marL="342946" eaLnBrk="1" hangingPunct="1">
            <a:defRPr lang="en-US" sz="1600" kern="1200" smtClean="0">
              <a:solidFill>
                <a:schemeClr val="tx1"/>
              </a:solidFill>
              <a:latin typeface="+mn-lt"/>
              <a:ea typeface="+mn-ea"/>
              <a:cs typeface="+mn-cs"/>
            </a:defRPr>
          </a:lvl2pPr>
          <a:lvl3pPr marL="685891" eaLnBrk="1" hangingPunct="1">
            <a:defRPr lang="en-US" sz="1333" kern="1200" smtClean="0">
              <a:solidFill>
                <a:schemeClr val="tx1"/>
              </a:solidFill>
              <a:latin typeface="+mn-lt"/>
              <a:ea typeface="+mn-ea"/>
              <a:cs typeface="+mn-cs"/>
            </a:defRPr>
          </a:lvl3pPr>
          <a:lvl4pPr marL="1028837" eaLnBrk="1" hangingPunct="1">
            <a:defRPr lang="en-US" sz="1200" kern="1200" smtClean="0">
              <a:solidFill>
                <a:schemeClr val="tx1"/>
              </a:solidFill>
              <a:latin typeface="+mn-lt"/>
              <a:ea typeface="+mn-ea"/>
              <a:cs typeface="+mn-cs"/>
            </a:defRPr>
          </a:lvl4pPr>
          <a:lvl5pPr marL="1371783" eaLnBrk="1" hangingPunct="1">
            <a:defRPr lang="en-US" sz="1200" kern="1200">
              <a:solidFill>
                <a:schemeClr val="tx1"/>
              </a:solidFill>
              <a:latin typeface="+mn-lt"/>
              <a:ea typeface="+mn-ea"/>
              <a:cs typeface="+mn-cs"/>
            </a:defRPr>
          </a:lvl5pPr>
          <a:lvl6pPr marL="1714729" eaLnBrk="1" hangingPunct="1">
            <a:defRPr>
              <a:latin typeface="+mn-lt"/>
              <a:ea typeface="+mn-ea"/>
              <a:cs typeface="+mn-cs"/>
            </a:defRPr>
          </a:lvl6pPr>
          <a:lvl7pPr marL="2057674" eaLnBrk="1" hangingPunct="1">
            <a:defRPr>
              <a:latin typeface="+mn-lt"/>
              <a:ea typeface="+mn-ea"/>
              <a:cs typeface="+mn-cs"/>
            </a:defRPr>
          </a:lvl7pPr>
          <a:lvl8pPr marL="2400620" eaLnBrk="1" hangingPunct="1">
            <a:defRPr>
              <a:latin typeface="+mn-lt"/>
              <a:ea typeface="+mn-ea"/>
              <a:cs typeface="+mn-cs"/>
            </a:defRPr>
          </a:lvl8pPr>
          <a:lvl9pPr marL="2743566" eaLnBrk="1" hangingPunct="1">
            <a:defRPr>
              <a:latin typeface="+mn-lt"/>
              <a:ea typeface="+mn-ea"/>
              <a:cs typeface="+mn-cs"/>
            </a:defRPr>
          </a:lvl9pPr>
        </a:lstStyle>
        <a:p>
          <a:pPr algn="ctr"/>
          <a:r>
            <a:rPr lang="en-US" sz="1400" b="1" baseline="0">
              <a:solidFill>
                <a:schemeClr val="tx1"/>
              </a:solidFill>
            </a:rPr>
            <a:t>Level 3 Pool Deck</a:t>
          </a:r>
          <a:endParaRPr lang="en-US" sz="1400" b="1">
            <a:solidFill>
              <a:schemeClr val="tx1"/>
            </a:solidFill>
          </a:endParaRPr>
        </a:p>
      </xdr:txBody>
    </xdr:sp>
    <xdr:clientData/>
  </xdr:twoCellAnchor>
  <xdr:twoCellAnchor>
    <xdr:from>
      <xdr:col>7</xdr:col>
      <xdr:colOff>333375</xdr:colOff>
      <xdr:row>20</xdr:row>
      <xdr:rowOff>56700</xdr:rowOff>
    </xdr:from>
    <xdr:to>
      <xdr:col>12</xdr:col>
      <xdr:colOff>857251</xdr:colOff>
      <xdr:row>23</xdr:row>
      <xdr:rowOff>14736</xdr:rowOff>
    </xdr:to>
    <xdr:sp macro="" textlink="">
      <xdr:nvSpPr>
        <xdr:cNvPr id="27" name="Text Placeholder 5">
          <a:extLst>
            <a:ext uri="{FF2B5EF4-FFF2-40B4-BE49-F238E27FC236}">
              <a16:creationId xmlns:a16="http://schemas.microsoft.com/office/drawing/2014/main" id="{51D0A430-2B89-4502-AD54-6A4873E8C2CB}"/>
            </a:ext>
          </a:extLst>
        </xdr:cNvPr>
        <xdr:cNvSpPr>
          <a:spLocks noGrp="1"/>
        </xdr:cNvSpPr>
      </xdr:nvSpPr>
      <xdr:spPr>
        <a:xfrm>
          <a:off x="9298781" y="2616544"/>
          <a:ext cx="3988595" cy="315223"/>
        </a:xfrm>
        <a:prstGeom prst="rect">
          <a:avLst/>
        </a:prstGeom>
        <a:solidFill>
          <a:schemeClr val="bg2">
            <a:lumMod val="75000"/>
          </a:schemeClr>
        </a:solidFill>
      </xdr:spPr>
      <xdr:txBody>
        <a:bodyPr vert="horz" wrap="square" lIns="53852" tIns="53852" rIns="53852" bIns="53852" rtlCol="0" anchor="ctr">
          <a:spAutoFit/>
        </a:bodyPr>
        <a:lstStyle>
          <a:lvl1pPr marL="0" algn="l" eaLnBrk="1" hangingPunct="1">
            <a:defRPr lang="en-US" sz="900" b="0" i="0" kern="1200" baseline="0" smtClean="0">
              <a:solidFill>
                <a:srgbClr val="FFFFFF"/>
              </a:solidFill>
              <a:latin typeface="Amaala Sans" pitchFamily="2" charset="-78"/>
              <a:ea typeface="+mn-lt"/>
              <a:cs typeface="Amaala Sans" pitchFamily="2" charset="-78"/>
            </a:defRPr>
          </a:lvl1pPr>
          <a:lvl2pPr marL="342946" eaLnBrk="1" hangingPunct="1">
            <a:defRPr lang="en-US" sz="1600" kern="1200" smtClean="0">
              <a:solidFill>
                <a:schemeClr val="tx1"/>
              </a:solidFill>
              <a:latin typeface="+mn-lt"/>
              <a:ea typeface="+mn-ea"/>
              <a:cs typeface="+mn-cs"/>
            </a:defRPr>
          </a:lvl2pPr>
          <a:lvl3pPr marL="685891" eaLnBrk="1" hangingPunct="1">
            <a:defRPr lang="en-US" sz="1333" kern="1200" smtClean="0">
              <a:solidFill>
                <a:schemeClr val="tx1"/>
              </a:solidFill>
              <a:latin typeface="+mn-lt"/>
              <a:ea typeface="+mn-ea"/>
              <a:cs typeface="+mn-cs"/>
            </a:defRPr>
          </a:lvl3pPr>
          <a:lvl4pPr marL="1028837" eaLnBrk="1" hangingPunct="1">
            <a:defRPr lang="en-US" sz="1200" kern="1200" smtClean="0">
              <a:solidFill>
                <a:schemeClr val="tx1"/>
              </a:solidFill>
              <a:latin typeface="+mn-lt"/>
              <a:ea typeface="+mn-ea"/>
              <a:cs typeface="+mn-cs"/>
            </a:defRPr>
          </a:lvl4pPr>
          <a:lvl5pPr marL="1371783" eaLnBrk="1" hangingPunct="1">
            <a:defRPr lang="en-US" sz="1200" kern="1200">
              <a:solidFill>
                <a:schemeClr val="tx1"/>
              </a:solidFill>
              <a:latin typeface="+mn-lt"/>
              <a:ea typeface="+mn-ea"/>
              <a:cs typeface="+mn-cs"/>
            </a:defRPr>
          </a:lvl5pPr>
          <a:lvl6pPr marL="1714729" eaLnBrk="1" hangingPunct="1">
            <a:defRPr>
              <a:latin typeface="+mn-lt"/>
              <a:ea typeface="+mn-ea"/>
              <a:cs typeface="+mn-cs"/>
            </a:defRPr>
          </a:lvl6pPr>
          <a:lvl7pPr marL="2057674" eaLnBrk="1" hangingPunct="1">
            <a:defRPr>
              <a:latin typeface="+mn-lt"/>
              <a:ea typeface="+mn-ea"/>
              <a:cs typeface="+mn-cs"/>
            </a:defRPr>
          </a:lvl7pPr>
          <a:lvl8pPr marL="2400620" eaLnBrk="1" hangingPunct="1">
            <a:defRPr>
              <a:latin typeface="+mn-lt"/>
              <a:ea typeface="+mn-ea"/>
              <a:cs typeface="+mn-cs"/>
            </a:defRPr>
          </a:lvl8pPr>
          <a:lvl9pPr marL="2743566" eaLnBrk="1" hangingPunct="1">
            <a:defRPr>
              <a:latin typeface="+mn-lt"/>
              <a:ea typeface="+mn-ea"/>
              <a:cs typeface="+mn-cs"/>
            </a:defRPr>
          </a:lvl9pPr>
        </a:lstStyle>
        <a:p>
          <a:pPr algn="ctr"/>
          <a:r>
            <a:rPr lang="en-US" sz="1400" b="1" baseline="0">
              <a:solidFill>
                <a:schemeClr val="tx1"/>
              </a:solidFill>
            </a:rPr>
            <a:t>Aerial Photo</a:t>
          </a:r>
          <a:endParaRPr lang="en-US" sz="1400" b="1">
            <a:solidFill>
              <a:schemeClr val="tx1"/>
            </a:solidFill>
          </a:endParaRPr>
        </a:p>
      </xdr:txBody>
    </xdr:sp>
    <xdr:clientData/>
  </xdr:twoCellAnchor>
  <xdr:twoCellAnchor>
    <xdr:from>
      <xdr:col>4</xdr:col>
      <xdr:colOff>1021103</xdr:colOff>
      <xdr:row>20</xdr:row>
      <xdr:rowOff>63316</xdr:rowOff>
    </xdr:from>
    <xdr:to>
      <xdr:col>6</xdr:col>
      <xdr:colOff>1452563</xdr:colOff>
      <xdr:row>23</xdr:row>
      <xdr:rowOff>0</xdr:rowOff>
    </xdr:to>
    <xdr:sp macro="" textlink="">
      <xdr:nvSpPr>
        <xdr:cNvPr id="25" name="Text Placeholder 5">
          <a:extLst>
            <a:ext uri="{FF2B5EF4-FFF2-40B4-BE49-F238E27FC236}">
              <a16:creationId xmlns:a16="http://schemas.microsoft.com/office/drawing/2014/main" id="{0F12AAA2-F7A6-437E-863E-0EB260C2FA88}"/>
            </a:ext>
          </a:extLst>
        </xdr:cNvPr>
        <xdr:cNvSpPr>
          <a:spLocks noGrp="1"/>
        </xdr:cNvSpPr>
      </xdr:nvSpPr>
      <xdr:spPr>
        <a:xfrm>
          <a:off x="4783478" y="2623160"/>
          <a:ext cx="3931898" cy="293871"/>
        </a:xfrm>
        <a:prstGeom prst="rect">
          <a:avLst/>
        </a:prstGeom>
        <a:solidFill>
          <a:schemeClr val="bg2">
            <a:lumMod val="75000"/>
          </a:schemeClr>
        </a:solidFill>
      </xdr:spPr>
      <xdr:txBody>
        <a:bodyPr vert="horz" wrap="square" lIns="53852" tIns="53852" rIns="53852" bIns="53852" rtlCol="0" anchor="ctr">
          <a:noAutofit/>
        </a:bodyPr>
        <a:lstStyle>
          <a:lvl1pPr marL="0" algn="l" eaLnBrk="1" hangingPunct="1">
            <a:defRPr lang="en-US" sz="900" b="0" i="0" kern="1200" baseline="0" smtClean="0">
              <a:solidFill>
                <a:srgbClr val="FFFFFF"/>
              </a:solidFill>
              <a:latin typeface="Amaala Sans" pitchFamily="2" charset="-78"/>
              <a:ea typeface="+mn-lt"/>
              <a:cs typeface="Amaala Sans" pitchFamily="2" charset="-78"/>
            </a:defRPr>
          </a:lvl1pPr>
          <a:lvl2pPr marL="342946" eaLnBrk="1" hangingPunct="1">
            <a:defRPr lang="en-US" sz="1600" kern="1200" smtClean="0">
              <a:solidFill>
                <a:schemeClr val="tx1"/>
              </a:solidFill>
              <a:latin typeface="+mn-lt"/>
              <a:ea typeface="+mn-ea"/>
              <a:cs typeface="+mn-cs"/>
            </a:defRPr>
          </a:lvl2pPr>
          <a:lvl3pPr marL="685891" eaLnBrk="1" hangingPunct="1">
            <a:defRPr lang="en-US" sz="1333" kern="1200" smtClean="0">
              <a:solidFill>
                <a:schemeClr val="tx1"/>
              </a:solidFill>
              <a:latin typeface="+mn-lt"/>
              <a:ea typeface="+mn-ea"/>
              <a:cs typeface="+mn-cs"/>
            </a:defRPr>
          </a:lvl3pPr>
          <a:lvl4pPr marL="1028837" eaLnBrk="1" hangingPunct="1">
            <a:defRPr lang="en-US" sz="1200" kern="1200" smtClean="0">
              <a:solidFill>
                <a:schemeClr val="tx1"/>
              </a:solidFill>
              <a:latin typeface="+mn-lt"/>
              <a:ea typeface="+mn-ea"/>
              <a:cs typeface="+mn-cs"/>
            </a:defRPr>
          </a:lvl4pPr>
          <a:lvl5pPr marL="1371783" eaLnBrk="1" hangingPunct="1">
            <a:defRPr lang="en-US" sz="1200" kern="1200">
              <a:solidFill>
                <a:schemeClr val="tx1"/>
              </a:solidFill>
              <a:latin typeface="+mn-lt"/>
              <a:ea typeface="+mn-ea"/>
              <a:cs typeface="+mn-cs"/>
            </a:defRPr>
          </a:lvl5pPr>
          <a:lvl6pPr marL="1714729" eaLnBrk="1" hangingPunct="1">
            <a:defRPr>
              <a:latin typeface="+mn-lt"/>
              <a:ea typeface="+mn-ea"/>
              <a:cs typeface="+mn-cs"/>
            </a:defRPr>
          </a:lvl6pPr>
          <a:lvl7pPr marL="2057674" eaLnBrk="1" hangingPunct="1">
            <a:defRPr>
              <a:latin typeface="+mn-lt"/>
              <a:ea typeface="+mn-ea"/>
              <a:cs typeface="+mn-cs"/>
            </a:defRPr>
          </a:lvl7pPr>
          <a:lvl8pPr marL="2400620" eaLnBrk="1" hangingPunct="1">
            <a:defRPr>
              <a:latin typeface="+mn-lt"/>
              <a:ea typeface="+mn-ea"/>
              <a:cs typeface="+mn-cs"/>
            </a:defRPr>
          </a:lvl8pPr>
          <a:lvl9pPr marL="2743566" eaLnBrk="1" hangingPunct="1">
            <a:defRPr>
              <a:latin typeface="+mn-lt"/>
              <a:ea typeface="+mn-ea"/>
              <a:cs typeface="+mn-cs"/>
            </a:defRPr>
          </a:lvl9pPr>
        </a:lstStyle>
        <a:p>
          <a:pPr algn="ctr"/>
          <a:r>
            <a:rPr lang="en-US" sz="1400" b="1">
              <a:solidFill>
                <a:schemeClr val="tx1"/>
              </a:solidFill>
            </a:rPr>
            <a:t>West</a:t>
          </a:r>
          <a:r>
            <a:rPr lang="en-US" sz="1400" b="1" baseline="0">
              <a:solidFill>
                <a:schemeClr val="tx1"/>
              </a:solidFill>
            </a:rPr>
            <a:t> Elevation</a:t>
          </a:r>
          <a:endParaRPr lang="en-US" sz="1400" b="1">
            <a:solidFill>
              <a:schemeClr val="tx1"/>
            </a:solidFill>
          </a:endParaRPr>
        </a:p>
      </xdr:txBody>
    </xdr:sp>
    <xdr:clientData/>
  </xdr:twoCellAnchor>
  <xdr:twoCellAnchor>
    <xdr:from>
      <xdr:col>18</xdr:col>
      <xdr:colOff>0</xdr:colOff>
      <xdr:row>20</xdr:row>
      <xdr:rowOff>48794</xdr:rowOff>
    </xdr:from>
    <xdr:to>
      <xdr:col>21</xdr:col>
      <xdr:colOff>1039018</xdr:colOff>
      <xdr:row>23</xdr:row>
      <xdr:rowOff>37445</xdr:rowOff>
    </xdr:to>
    <xdr:sp macro="" textlink="">
      <xdr:nvSpPr>
        <xdr:cNvPr id="20" name="Text Placeholder 5">
          <a:extLst>
            <a:ext uri="{FF2B5EF4-FFF2-40B4-BE49-F238E27FC236}">
              <a16:creationId xmlns:a16="http://schemas.microsoft.com/office/drawing/2014/main" id="{E5B2B438-488F-4957-9EE7-4B16F5FED6A2}"/>
            </a:ext>
          </a:extLst>
        </xdr:cNvPr>
        <xdr:cNvSpPr>
          <a:spLocks noGrp="1"/>
        </xdr:cNvSpPr>
      </xdr:nvSpPr>
      <xdr:spPr>
        <a:xfrm>
          <a:off x="23499763" y="2457258"/>
          <a:ext cx="3733005" cy="315223"/>
        </a:xfrm>
        <a:prstGeom prst="rect">
          <a:avLst/>
        </a:prstGeom>
        <a:solidFill>
          <a:schemeClr val="bg2">
            <a:lumMod val="75000"/>
          </a:schemeClr>
        </a:solidFill>
      </xdr:spPr>
      <xdr:txBody>
        <a:bodyPr vert="horz" wrap="square" lIns="53852" tIns="53852" rIns="53852" bIns="53852" rtlCol="0" anchor="ctr">
          <a:spAutoFit/>
        </a:bodyPr>
        <a:lstStyle>
          <a:lvl1pPr marL="0" algn="l" eaLnBrk="1" hangingPunct="1">
            <a:defRPr lang="en-US" sz="900" b="0" i="0" kern="1200" baseline="0" smtClean="0">
              <a:solidFill>
                <a:srgbClr val="FFFFFF"/>
              </a:solidFill>
              <a:latin typeface="Amaala Sans" pitchFamily="2" charset="-78"/>
              <a:ea typeface="+mn-lt"/>
              <a:cs typeface="Amaala Sans" pitchFamily="2" charset="-78"/>
            </a:defRPr>
          </a:lvl1pPr>
          <a:lvl2pPr marL="342946" eaLnBrk="1" hangingPunct="1">
            <a:defRPr lang="en-US" sz="1600" kern="1200" smtClean="0">
              <a:solidFill>
                <a:schemeClr val="tx1"/>
              </a:solidFill>
              <a:latin typeface="+mn-lt"/>
              <a:ea typeface="+mn-ea"/>
              <a:cs typeface="+mn-cs"/>
            </a:defRPr>
          </a:lvl2pPr>
          <a:lvl3pPr marL="685891" eaLnBrk="1" hangingPunct="1">
            <a:defRPr lang="en-US" sz="1333" kern="1200" smtClean="0">
              <a:solidFill>
                <a:schemeClr val="tx1"/>
              </a:solidFill>
              <a:latin typeface="+mn-lt"/>
              <a:ea typeface="+mn-ea"/>
              <a:cs typeface="+mn-cs"/>
            </a:defRPr>
          </a:lvl3pPr>
          <a:lvl4pPr marL="1028837" eaLnBrk="1" hangingPunct="1">
            <a:defRPr lang="en-US" sz="1200" kern="1200" smtClean="0">
              <a:solidFill>
                <a:schemeClr val="tx1"/>
              </a:solidFill>
              <a:latin typeface="+mn-lt"/>
              <a:ea typeface="+mn-ea"/>
              <a:cs typeface="+mn-cs"/>
            </a:defRPr>
          </a:lvl4pPr>
          <a:lvl5pPr marL="1371783" eaLnBrk="1" hangingPunct="1">
            <a:defRPr lang="en-US" sz="1200" kern="1200">
              <a:solidFill>
                <a:schemeClr val="tx1"/>
              </a:solidFill>
              <a:latin typeface="+mn-lt"/>
              <a:ea typeface="+mn-ea"/>
              <a:cs typeface="+mn-cs"/>
            </a:defRPr>
          </a:lvl5pPr>
          <a:lvl6pPr marL="1714729" eaLnBrk="1" hangingPunct="1">
            <a:defRPr>
              <a:latin typeface="+mn-lt"/>
              <a:ea typeface="+mn-ea"/>
              <a:cs typeface="+mn-cs"/>
            </a:defRPr>
          </a:lvl6pPr>
          <a:lvl7pPr marL="2057674" eaLnBrk="1" hangingPunct="1">
            <a:defRPr>
              <a:latin typeface="+mn-lt"/>
              <a:ea typeface="+mn-ea"/>
              <a:cs typeface="+mn-cs"/>
            </a:defRPr>
          </a:lvl7pPr>
          <a:lvl8pPr marL="2400620" eaLnBrk="1" hangingPunct="1">
            <a:defRPr>
              <a:latin typeface="+mn-lt"/>
              <a:ea typeface="+mn-ea"/>
              <a:cs typeface="+mn-cs"/>
            </a:defRPr>
          </a:lvl8pPr>
          <a:lvl9pPr marL="2743566" eaLnBrk="1" hangingPunct="1">
            <a:defRPr>
              <a:latin typeface="+mn-lt"/>
              <a:ea typeface="+mn-ea"/>
              <a:cs typeface="+mn-cs"/>
            </a:defRPr>
          </a:lvl9pPr>
        </a:lstStyle>
        <a:p>
          <a:pPr algn="ctr"/>
          <a:r>
            <a:rPr lang="en-US" sz="1400" b="1" i="0" kern="1200" baseline="0">
              <a:solidFill>
                <a:sysClr val="windowText" lastClr="000000"/>
              </a:solidFill>
              <a:effectLst/>
              <a:latin typeface="Amaala Sans" pitchFamily="2" charset="-78"/>
              <a:ea typeface="+mn-lt"/>
              <a:cs typeface="Amaala Sans" pitchFamily="2" charset="-78"/>
            </a:rPr>
            <a:t>Site Overview - Dec 2023</a:t>
          </a:r>
        </a:p>
      </xdr:txBody>
    </xdr:sp>
    <xdr:clientData/>
  </xdr:twoCellAnchor>
  <xdr:twoCellAnchor>
    <xdr:from>
      <xdr:col>16</xdr:col>
      <xdr:colOff>164949</xdr:colOff>
      <xdr:row>84</xdr:row>
      <xdr:rowOff>56030</xdr:rowOff>
    </xdr:from>
    <xdr:to>
      <xdr:col>18</xdr:col>
      <xdr:colOff>0</xdr:colOff>
      <xdr:row>89</xdr:row>
      <xdr:rowOff>326571</xdr:rowOff>
    </xdr:to>
    <xdr:graphicFrame macro="">
      <xdr:nvGraphicFramePr>
        <xdr:cNvPr id="58" name="Chart 57">
          <a:extLst>
            <a:ext uri="{FF2B5EF4-FFF2-40B4-BE49-F238E27FC236}">
              <a16:creationId xmlns:a16="http://schemas.microsoft.com/office/drawing/2014/main" id="{4038316F-7A79-421B-ACF8-5B190C52D0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16</xdr:col>
      <xdr:colOff>213179</xdr:colOff>
      <xdr:row>91</xdr:row>
      <xdr:rowOff>181428</xdr:rowOff>
    </xdr:from>
    <xdr:to>
      <xdr:col>18</xdr:col>
      <xdr:colOff>0</xdr:colOff>
      <xdr:row>99</xdr:row>
      <xdr:rowOff>0</xdr:rowOff>
    </xdr:to>
    <xdr:graphicFrame macro="">
      <xdr:nvGraphicFramePr>
        <xdr:cNvPr id="59" name="Chart 58">
          <a:extLst>
            <a:ext uri="{FF2B5EF4-FFF2-40B4-BE49-F238E27FC236}">
              <a16:creationId xmlns:a16="http://schemas.microsoft.com/office/drawing/2014/main" id="{689CF01A-8DA0-4E05-8D5F-7E1F46F833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16</xdr:col>
      <xdr:colOff>94115</xdr:colOff>
      <xdr:row>100</xdr:row>
      <xdr:rowOff>2267</xdr:rowOff>
    </xdr:from>
    <xdr:to>
      <xdr:col>17</xdr:col>
      <xdr:colOff>1360715</xdr:colOff>
      <xdr:row>107</xdr:row>
      <xdr:rowOff>0</xdr:rowOff>
    </xdr:to>
    <xdr:graphicFrame macro="">
      <xdr:nvGraphicFramePr>
        <xdr:cNvPr id="60" name="Chart 59">
          <a:extLst>
            <a:ext uri="{FF2B5EF4-FFF2-40B4-BE49-F238E27FC236}">
              <a16:creationId xmlns:a16="http://schemas.microsoft.com/office/drawing/2014/main" id="{E3752F74-0596-45D3-8D98-50813AD7A0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22</xdr:col>
      <xdr:colOff>731838</xdr:colOff>
      <xdr:row>20</xdr:row>
      <xdr:rowOff>33790</xdr:rowOff>
    </xdr:from>
    <xdr:to>
      <xdr:col>25</xdr:col>
      <xdr:colOff>696913</xdr:colOff>
      <xdr:row>23</xdr:row>
      <xdr:rowOff>22442</xdr:rowOff>
    </xdr:to>
    <xdr:sp macro="" textlink="">
      <xdr:nvSpPr>
        <xdr:cNvPr id="37" name="Text Placeholder 5">
          <a:extLst>
            <a:ext uri="{FF2B5EF4-FFF2-40B4-BE49-F238E27FC236}">
              <a16:creationId xmlns:a16="http://schemas.microsoft.com/office/drawing/2014/main" id="{0BAFEBB2-8987-476E-B4F5-030F4350EBF2}"/>
            </a:ext>
          </a:extLst>
        </xdr:cNvPr>
        <xdr:cNvSpPr>
          <a:spLocks noGrp="1"/>
        </xdr:cNvSpPr>
      </xdr:nvSpPr>
      <xdr:spPr>
        <a:xfrm>
          <a:off x="29524552" y="2415040"/>
          <a:ext cx="4128861" cy="315223"/>
        </a:xfrm>
        <a:prstGeom prst="rect">
          <a:avLst/>
        </a:prstGeom>
        <a:solidFill>
          <a:schemeClr val="bg2">
            <a:lumMod val="75000"/>
          </a:schemeClr>
        </a:solidFill>
      </xdr:spPr>
      <xdr:txBody>
        <a:bodyPr vert="horz" wrap="square" lIns="53852" tIns="53852" rIns="53852" bIns="53852" rtlCol="0" anchor="ctr">
          <a:spAutoFit/>
        </a:bodyPr>
        <a:lstStyle>
          <a:lvl1pPr marL="0" algn="l" eaLnBrk="1" hangingPunct="1">
            <a:defRPr lang="en-US" sz="900" b="0" i="0" kern="1200" baseline="0" smtClean="0">
              <a:solidFill>
                <a:srgbClr val="FFFFFF"/>
              </a:solidFill>
              <a:latin typeface="Amaala Sans" pitchFamily="2" charset="-78"/>
              <a:ea typeface="+mn-lt"/>
              <a:cs typeface="Amaala Sans" pitchFamily="2" charset="-78"/>
            </a:defRPr>
          </a:lvl1pPr>
          <a:lvl2pPr marL="342946" eaLnBrk="1" hangingPunct="1">
            <a:defRPr lang="en-US" sz="1600" kern="1200" smtClean="0">
              <a:solidFill>
                <a:schemeClr val="tx1"/>
              </a:solidFill>
              <a:latin typeface="+mn-lt"/>
              <a:ea typeface="+mn-ea"/>
              <a:cs typeface="+mn-cs"/>
            </a:defRPr>
          </a:lvl2pPr>
          <a:lvl3pPr marL="685891" eaLnBrk="1" hangingPunct="1">
            <a:defRPr lang="en-US" sz="1333" kern="1200" smtClean="0">
              <a:solidFill>
                <a:schemeClr val="tx1"/>
              </a:solidFill>
              <a:latin typeface="+mn-lt"/>
              <a:ea typeface="+mn-ea"/>
              <a:cs typeface="+mn-cs"/>
            </a:defRPr>
          </a:lvl3pPr>
          <a:lvl4pPr marL="1028837" eaLnBrk="1" hangingPunct="1">
            <a:defRPr lang="en-US" sz="1200" kern="1200" smtClean="0">
              <a:solidFill>
                <a:schemeClr val="tx1"/>
              </a:solidFill>
              <a:latin typeface="+mn-lt"/>
              <a:ea typeface="+mn-ea"/>
              <a:cs typeface="+mn-cs"/>
            </a:defRPr>
          </a:lvl4pPr>
          <a:lvl5pPr marL="1371783" eaLnBrk="1" hangingPunct="1">
            <a:defRPr lang="en-US" sz="1200" kern="1200">
              <a:solidFill>
                <a:schemeClr val="tx1"/>
              </a:solidFill>
              <a:latin typeface="+mn-lt"/>
              <a:ea typeface="+mn-ea"/>
              <a:cs typeface="+mn-cs"/>
            </a:defRPr>
          </a:lvl5pPr>
          <a:lvl6pPr marL="1714729" eaLnBrk="1" hangingPunct="1">
            <a:defRPr>
              <a:latin typeface="+mn-lt"/>
              <a:ea typeface="+mn-ea"/>
              <a:cs typeface="+mn-cs"/>
            </a:defRPr>
          </a:lvl6pPr>
          <a:lvl7pPr marL="2057674" eaLnBrk="1" hangingPunct="1">
            <a:defRPr>
              <a:latin typeface="+mn-lt"/>
              <a:ea typeface="+mn-ea"/>
              <a:cs typeface="+mn-cs"/>
            </a:defRPr>
          </a:lvl7pPr>
          <a:lvl8pPr marL="2400620" eaLnBrk="1" hangingPunct="1">
            <a:defRPr>
              <a:latin typeface="+mn-lt"/>
              <a:ea typeface="+mn-ea"/>
              <a:cs typeface="+mn-cs"/>
            </a:defRPr>
          </a:lvl8pPr>
          <a:lvl9pPr marL="2743566" eaLnBrk="1" hangingPunct="1">
            <a:defRPr>
              <a:latin typeface="+mn-lt"/>
              <a:ea typeface="+mn-ea"/>
              <a:cs typeface="+mn-cs"/>
            </a:defRPr>
          </a:lvl9pPr>
        </a:lstStyle>
        <a:p>
          <a:pPr algn="ctr"/>
          <a:r>
            <a:rPr lang="en-US" sz="1400" b="1">
              <a:solidFill>
                <a:schemeClr val="tx1"/>
              </a:solidFill>
            </a:rPr>
            <a:t>Site Overview - Dec 2023</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31743</xdr:colOff>
      <xdr:row>7</xdr:row>
      <xdr:rowOff>26453</xdr:rowOff>
    </xdr:from>
    <xdr:to>
      <xdr:col>46</xdr:col>
      <xdr:colOff>102660</xdr:colOff>
      <xdr:row>83</xdr:row>
      <xdr:rowOff>95250</xdr:rowOff>
    </xdr:to>
    <xdr:pic>
      <xdr:nvPicPr>
        <xdr:cNvPr id="2" name="Picture 1">
          <a:extLst>
            <a:ext uri="{FF2B5EF4-FFF2-40B4-BE49-F238E27FC236}">
              <a16:creationId xmlns:a16="http://schemas.microsoft.com/office/drawing/2014/main" id="{9F892C44-57F3-6776-F0BA-BE1A2253A8FE}"/>
            </a:ext>
          </a:extLst>
        </xdr:cNvPr>
        <xdr:cNvPicPr>
          <a:picLocks noChangeAspect="1"/>
        </xdr:cNvPicPr>
      </xdr:nvPicPr>
      <xdr:blipFill>
        <a:blip xmlns:r="http://schemas.openxmlformats.org/officeDocument/2006/relationships" r:embed="rId1"/>
        <a:stretch>
          <a:fillRect/>
        </a:stretch>
      </xdr:blipFill>
      <xdr:spPr>
        <a:xfrm>
          <a:off x="31743" y="1137703"/>
          <a:ext cx="27820417" cy="12133797"/>
        </a:xfrm>
        <a:prstGeom prst="rect">
          <a:avLst/>
        </a:prstGeom>
      </xdr:spPr>
    </xdr:pic>
    <xdr:clientData/>
  </xdr:twoCellAnchor>
  <xdr:twoCellAnchor editAs="oneCell">
    <xdr:from>
      <xdr:col>0</xdr:col>
      <xdr:colOff>296327</xdr:colOff>
      <xdr:row>110</xdr:row>
      <xdr:rowOff>26454</xdr:rowOff>
    </xdr:from>
    <xdr:to>
      <xdr:col>46</xdr:col>
      <xdr:colOff>58642</xdr:colOff>
      <xdr:row>184</xdr:row>
      <xdr:rowOff>127000</xdr:rowOff>
    </xdr:to>
    <xdr:pic>
      <xdr:nvPicPr>
        <xdr:cNvPr id="4" name="Picture 3">
          <a:extLst>
            <a:ext uri="{FF2B5EF4-FFF2-40B4-BE49-F238E27FC236}">
              <a16:creationId xmlns:a16="http://schemas.microsoft.com/office/drawing/2014/main" id="{5199F1D7-B6B4-A2CC-08CF-38FEA944B02B}"/>
            </a:ext>
          </a:extLst>
        </xdr:cNvPr>
        <xdr:cNvPicPr>
          <a:picLocks noChangeAspect="1"/>
        </xdr:cNvPicPr>
      </xdr:nvPicPr>
      <xdr:blipFill>
        <a:blip xmlns:r="http://schemas.openxmlformats.org/officeDocument/2006/relationships" r:embed="rId2"/>
        <a:stretch>
          <a:fillRect/>
        </a:stretch>
      </xdr:blipFill>
      <xdr:spPr>
        <a:xfrm>
          <a:off x="296327" y="17488954"/>
          <a:ext cx="27511815" cy="11848046"/>
        </a:xfrm>
        <a:prstGeom prst="rect">
          <a:avLst/>
        </a:prstGeom>
      </xdr:spPr>
    </xdr:pic>
    <xdr:clientData/>
  </xdr:twoCellAnchor>
  <xdr:twoCellAnchor editAs="oneCell">
    <xdr:from>
      <xdr:col>0</xdr:col>
      <xdr:colOff>248706</xdr:colOff>
      <xdr:row>219</xdr:row>
      <xdr:rowOff>89956</xdr:rowOff>
    </xdr:from>
    <xdr:to>
      <xdr:col>46</xdr:col>
      <xdr:colOff>68618</xdr:colOff>
      <xdr:row>295</xdr:row>
      <xdr:rowOff>0</xdr:rowOff>
    </xdr:to>
    <xdr:pic>
      <xdr:nvPicPr>
        <xdr:cNvPr id="5" name="Picture 4">
          <a:extLst>
            <a:ext uri="{FF2B5EF4-FFF2-40B4-BE49-F238E27FC236}">
              <a16:creationId xmlns:a16="http://schemas.microsoft.com/office/drawing/2014/main" id="{1D771651-FB7A-CD36-62E7-3EEDEB604CC7}"/>
            </a:ext>
          </a:extLst>
        </xdr:cNvPr>
        <xdr:cNvPicPr>
          <a:picLocks noChangeAspect="1"/>
        </xdr:cNvPicPr>
      </xdr:nvPicPr>
      <xdr:blipFill>
        <a:blip xmlns:r="http://schemas.openxmlformats.org/officeDocument/2006/relationships" r:embed="rId3"/>
        <a:stretch>
          <a:fillRect/>
        </a:stretch>
      </xdr:blipFill>
      <xdr:spPr>
        <a:xfrm>
          <a:off x="248706" y="34856206"/>
          <a:ext cx="27569412" cy="11975044"/>
        </a:xfrm>
        <a:prstGeom prst="rect">
          <a:avLst/>
        </a:prstGeom>
      </xdr:spPr>
    </xdr:pic>
    <xdr:clientData/>
  </xdr:twoCellAnchor>
  <xdr:twoCellAnchor editAs="oneCell">
    <xdr:from>
      <xdr:col>0</xdr:col>
      <xdr:colOff>328079</xdr:colOff>
      <xdr:row>327</xdr:row>
      <xdr:rowOff>89954</xdr:rowOff>
    </xdr:from>
    <xdr:to>
      <xdr:col>46</xdr:col>
      <xdr:colOff>95891</xdr:colOff>
      <xdr:row>403</xdr:row>
      <xdr:rowOff>95249</xdr:rowOff>
    </xdr:to>
    <xdr:pic>
      <xdr:nvPicPr>
        <xdr:cNvPr id="6" name="Picture 5">
          <a:extLst>
            <a:ext uri="{FF2B5EF4-FFF2-40B4-BE49-F238E27FC236}">
              <a16:creationId xmlns:a16="http://schemas.microsoft.com/office/drawing/2014/main" id="{687C671D-140C-6E34-F640-1B66F41A5CF1}"/>
            </a:ext>
          </a:extLst>
        </xdr:cNvPr>
        <xdr:cNvPicPr>
          <a:picLocks noChangeAspect="1"/>
        </xdr:cNvPicPr>
      </xdr:nvPicPr>
      <xdr:blipFill>
        <a:blip xmlns:r="http://schemas.openxmlformats.org/officeDocument/2006/relationships" r:embed="rId4"/>
        <a:stretch>
          <a:fillRect/>
        </a:stretch>
      </xdr:blipFill>
      <xdr:spPr>
        <a:xfrm>
          <a:off x="328079" y="52001204"/>
          <a:ext cx="27517312" cy="12070295"/>
        </a:xfrm>
        <a:prstGeom prst="rect">
          <a:avLst/>
        </a:prstGeom>
      </xdr:spPr>
    </xdr:pic>
    <xdr:clientData/>
  </xdr:twoCellAnchor>
  <xdr:twoCellAnchor editAs="oneCell">
    <xdr:from>
      <xdr:col>0</xdr:col>
      <xdr:colOff>285751</xdr:colOff>
      <xdr:row>427</xdr:row>
      <xdr:rowOff>81515</xdr:rowOff>
    </xdr:from>
    <xdr:to>
      <xdr:col>46</xdr:col>
      <xdr:colOff>39453</xdr:colOff>
      <xdr:row>502</xdr:row>
      <xdr:rowOff>142875</xdr:rowOff>
    </xdr:to>
    <xdr:pic>
      <xdr:nvPicPr>
        <xdr:cNvPr id="14" name="Picture 13">
          <a:extLst>
            <a:ext uri="{FF2B5EF4-FFF2-40B4-BE49-F238E27FC236}">
              <a16:creationId xmlns:a16="http://schemas.microsoft.com/office/drawing/2014/main" id="{0C631815-1959-C71D-D9BB-A53B854FD523}"/>
            </a:ext>
          </a:extLst>
        </xdr:cNvPr>
        <xdr:cNvPicPr>
          <a:picLocks noChangeAspect="1"/>
        </xdr:cNvPicPr>
      </xdr:nvPicPr>
      <xdr:blipFill>
        <a:blip xmlns:r="http://schemas.openxmlformats.org/officeDocument/2006/relationships" r:embed="rId5"/>
        <a:stretch>
          <a:fillRect/>
        </a:stretch>
      </xdr:blipFill>
      <xdr:spPr>
        <a:xfrm>
          <a:off x="285751" y="67867765"/>
          <a:ext cx="27503202" cy="11967610"/>
        </a:xfrm>
        <a:prstGeom prst="rect">
          <a:avLst/>
        </a:prstGeom>
      </xdr:spPr>
    </xdr:pic>
    <xdr:clientData/>
  </xdr:twoCellAnchor>
  <xdr:twoCellAnchor editAs="oneCell">
    <xdr:from>
      <xdr:col>0</xdr:col>
      <xdr:colOff>333372</xdr:colOff>
      <xdr:row>530</xdr:row>
      <xdr:rowOff>142873</xdr:rowOff>
    </xdr:from>
    <xdr:to>
      <xdr:col>46</xdr:col>
      <xdr:colOff>31749</xdr:colOff>
      <xdr:row>606</xdr:row>
      <xdr:rowOff>74272</xdr:rowOff>
    </xdr:to>
    <xdr:pic>
      <xdr:nvPicPr>
        <xdr:cNvPr id="15" name="Picture 14">
          <a:extLst>
            <a:ext uri="{FF2B5EF4-FFF2-40B4-BE49-F238E27FC236}">
              <a16:creationId xmlns:a16="http://schemas.microsoft.com/office/drawing/2014/main" id="{8B4BC223-9D93-21F4-676F-E4AA6267FD49}"/>
            </a:ext>
          </a:extLst>
        </xdr:cNvPr>
        <xdr:cNvPicPr>
          <a:picLocks noChangeAspect="1"/>
        </xdr:cNvPicPr>
      </xdr:nvPicPr>
      <xdr:blipFill>
        <a:blip xmlns:r="http://schemas.openxmlformats.org/officeDocument/2006/relationships" r:embed="rId6"/>
        <a:stretch>
          <a:fillRect/>
        </a:stretch>
      </xdr:blipFill>
      <xdr:spPr>
        <a:xfrm>
          <a:off x="333372" y="84280373"/>
          <a:ext cx="27447877" cy="11996399"/>
        </a:xfrm>
        <a:prstGeom prst="rect">
          <a:avLst/>
        </a:prstGeom>
      </xdr:spPr>
    </xdr:pic>
    <xdr:clientData/>
  </xdr:twoCellAnchor>
  <xdr:twoCellAnchor editAs="oneCell">
    <xdr:from>
      <xdr:col>0</xdr:col>
      <xdr:colOff>460373</xdr:colOff>
      <xdr:row>634</xdr:row>
      <xdr:rowOff>126999</xdr:rowOff>
    </xdr:from>
    <xdr:to>
      <xdr:col>46</xdr:col>
      <xdr:colOff>15874</xdr:colOff>
      <xdr:row>708</xdr:row>
      <xdr:rowOff>138480</xdr:rowOff>
    </xdr:to>
    <xdr:pic>
      <xdr:nvPicPr>
        <xdr:cNvPr id="17" name="Picture 16">
          <a:extLst>
            <a:ext uri="{FF2B5EF4-FFF2-40B4-BE49-F238E27FC236}">
              <a16:creationId xmlns:a16="http://schemas.microsoft.com/office/drawing/2014/main" id="{9F8729AA-7FE3-7F6E-55C7-7CFB755D0F83}"/>
            </a:ext>
          </a:extLst>
        </xdr:cNvPr>
        <xdr:cNvPicPr>
          <a:picLocks noChangeAspect="1"/>
        </xdr:cNvPicPr>
      </xdr:nvPicPr>
      <xdr:blipFill>
        <a:blip xmlns:r="http://schemas.openxmlformats.org/officeDocument/2006/relationships" r:embed="rId7"/>
        <a:stretch>
          <a:fillRect/>
        </a:stretch>
      </xdr:blipFill>
      <xdr:spPr>
        <a:xfrm>
          <a:off x="460373" y="100774499"/>
          <a:ext cx="27305001" cy="11758981"/>
        </a:xfrm>
        <a:prstGeom prst="rect">
          <a:avLst/>
        </a:prstGeom>
      </xdr:spPr>
    </xdr:pic>
    <xdr:clientData/>
  </xdr:twoCellAnchor>
  <xdr:twoCellAnchor editAs="oneCell">
    <xdr:from>
      <xdr:col>0</xdr:col>
      <xdr:colOff>174625</xdr:colOff>
      <xdr:row>739</xdr:row>
      <xdr:rowOff>31750</xdr:rowOff>
    </xdr:from>
    <xdr:to>
      <xdr:col>46</xdr:col>
      <xdr:colOff>47625</xdr:colOff>
      <xdr:row>801</xdr:row>
      <xdr:rowOff>148282</xdr:rowOff>
    </xdr:to>
    <xdr:pic>
      <xdr:nvPicPr>
        <xdr:cNvPr id="18" name="Picture 17">
          <a:extLst>
            <a:ext uri="{FF2B5EF4-FFF2-40B4-BE49-F238E27FC236}">
              <a16:creationId xmlns:a16="http://schemas.microsoft.com/office/drawing/2014/main" id="{30169AFD-E6D2-F84C-259E-E711ACE9AE4A}"/>
            </a:ext>
          </a:extLst>
        </xdr:cNvPr>
        <xdr:cNvPicPr>
          <a:picLocks noChangeAspect="1"/>
        </xdr:cNvPicPr>
      </xdr:nvPicPr>
      <xdr:blipFill>
        <a:blip xmlns:r="http://schemas.openxmlformats.org/officeDocument/2006/relationships" r:embed="rId8"/>
        <a:stretch>
          <a:fillRect/>
        </a:stretch>
      </xdr:blipFill>
      <xdr:spPr>
        <a:xfrm>
          <a:off x="174625" y="117348000"/>
          <a:ext cx="27622500" cy="995903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40</xdr:col>
      <xdr:colOff>22412</xdr:colOff>
      <xdr:row>12</xdr:row>
      <xdr:rowOff>125505</xdr:rowOff>
    </xdr:from>
    <xdr:to>
      <xdr:col>53</xdr:col>
      <xdr:colOff>0</xdr:colOff>
      <xdr:row>14</xdr:row>
      <xdr:rowOff>173130</xdr:rowOff>
    </xdr:to>
    <xdr:sp macro="" textlink="">
      <xdr:nvSpPr>
        <xdr:cNvPr id="2" name="Left-Right Arrow 4">
          <a:extLst>
            <a:ext uri="{FF2B5EF4-FFF2-40B4-BE49-F238E27FC236}">
              <a16:creationId xmlns:a16="http://schemas.microsoft.com/office/drawing/2014/main" id="{3C450291-A1C0-4A4F-B21E-33604678D2EB}"/>
            </a:ext>
          </a:extLst>
        </xdr:cNvPr>
        <xdr:cNvSpPr/>
      </xdr:nvSpPr>
      <xdr:spPr>
        <a:xfrm>
          <a:off x="36245987" y="1030380"/>
          <a:ext cx="12779188" cy="371475"/>
        </a:xfrm>
        <a:prstGeom prst="leftRightArrow">
          <a:avLst/>
        </a:prstGeom>
        <a:solidFill>
          <a:srgbClr val="CBD32B"/>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GB" sz="1600">
              <a:solidFill>
                <a:schemeClr val="tx1"/>
              </a:solidFill>
            </a:rPr>
            <a:t>Internal and External Procedures</a:t>
          </a:r>
        </a:p>
      </xdr:txBody>
    </xdr:sp>
    <xdr:clientData/>
  </xdr:twoCellAnchor>
  <xdr:twoCellAnchor>
    <xdr:from>
      <xdr:col>17</xdr:col>
      <xdr:colOff>0</xdr:colOff>
      <xdr:row>12</xdr:row>
      <xdr:rowOff>125015</xdr:rowOff>
    </xdr:from>
    <xdr:to>
      <xdr:col>37</xdr:col>
      <xdr:colOff>21790</xdr:colOff>
      <xdr:row>15</xdr:row>
      <xdr:rowOff>0</xdr:rowOff>
    </xdr:to>
    <xdr:sp macro="" textlink="">
      <xdr:nvSpPr>
        <xdr:cNvPr id="3" name="Left-Right Arrow 5">
          <a:extLst>
            <a:ext uri="{FF2B5EF4-FFF2-40B4-BE49-F238E27FC236}">
              <a16:creationId xmlns:a16="http://schemas.microsoft.com/office/drawing/2014/main" id="{4FE4C4BA-C448-44A4-8C5A-B7B865609C88}"/>
            </a:ext>
          </a:extLst>
        </xdr:cNvPr>
        <xdr:cNvSpPr/>
      </xdr:nvSpPr>
      <xdr:spPr>
        <a:xfrm>
          <a:off x="25527000" y="2728515"/>
          <a:ext cx="17754165" cy="367110"/>
        </a:xfrm>
        <a:prstGeom prst="leftRightArrow">
          <a:avLst/>
        </a:prstGeom>
        <a:solidFill>
          <a:srgbClr val="464E5E"/>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GB" sz="1600"/>
            <a:t>AMAALA</a:t>
          </a:r>
          <a:r>
            <a:rPr lang="en-GB" sz="1600" baseline="0"/>
            <a:t> </a:t>
          </a:r>
          <a:r>
            <a:rPr lang="en-GB" sz="1600"/>
            <a:t>Internal Procedure</a:t>
          </a:r>
        </a:p>
      </xdr:txBody>
    </xdr:sp>
    <xdr:clientData/>
  </xdr:twoCellAnchor>
  <xdr:twoCellAnchor>
    <xdr:from>
      <xdr:col>37</xdr:col>
      <xdr:colOff>22411</xdr:colOff>
      <xdr:row>12</xdr:row>
      <xdr:rowOff>112058</xdr:rowOff>
    </xdr:from>
    <xdr:to>
      <xdr:col>40</xdr:col>
      <xdr:colOff>33617</xdr:colOff>
      <xdr:row>14</xdr:row>
      <xdr:rowOff>159683</xdr:rowOff>
    </xdr:to>
    <xdr:sp macro="" textlink="">
      <xdr:nvSpPr>
        <xdr:cNvPr id="4" name="Left-Right Arrow 4">
          <a:extLst>
            <a:ext uri="{FF2B5EF4-FFF2-40B4-BE49-F238E27FC236}">
              <a16:creationId xmlns:a16="http://schemas.microsoft.com/office/drawing/2014/main" id="{F4A1B516-C588-45AB-B039-15198CEAF121}"/>
            </a:ext>
          </a:extLst>
        </xdr:cNvPr>
        <xdr:cNvSpPr/>
      </xdr:nvSpPr>
      <xdr:spPr>
        <a:xfrm>
          <a:off x="33074161" y="1016933"/>
          <a:ext cx="3183031" cy="371475"/>
        </a:xfrm>
        <a:prstGeom prst="leftRightArrow">
          <a:avLst/>
        </a:prstGeom>
        <a:solidFill>
          <a:schemeClr val="accent6">
            <a:lumMod val="75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GB" sz="1600">
              <a:solidFill>
                <a:schemeClr val="tx1"/>
              </a:solidFill>
            </a:rPr>
            <a:t>Engineer</a:t>
          </a:r>
        </a:p>
      </xdr:txBody>
    </xdr:sp>
    <xdr:clientData/>
  </xdr:twoCellAnchor>
  <xdr:twoCellAnchor>
    <xdr:from>
      <xdr:col>12</xdr:col>
      <xdr:colOff>0</xdr:colOff>
      <xdr:row>12</xdr:row>
      <xdr:rowOff>95251</xdr:rowOff>
    </xdr:from>
    <xdr:to>
      <xdr:col>14</xdr:col>
      <xdr:colOff>4232</xdr:colOff>
      <xdr:row>14</xdr:row>
      <xdr:rowOff>142876</xdr:rowOff>
    </xdr:to>
    <xdr:sp macro="" textlink="">
      <xdr:nvSpPr>
        <xdr:cNvPr id="5" name="Left-Right Arrow 5">
          <a:extLst>
            <a:ext uri="{FF2B5EF4-FFF2-40B4-BE49-F238E27FC236}">
              <a16:creationId xmlns:a16="http://schemas.microsoft.com/office/drawing/2014/main" id="{9721293B-6D49-43EE-BE32-31422350FB54}"/>
            </a:ext>
          </a:extLst>
        </xdr:cNvPr>
        <xdr:cNvSpPr/>
      </xdr:nvSpPr>
      <xdr:spPr>
        <a:xfrm>
          <a:off x="10394156" y="2547939"/>
          <a:ext cx="1790170" cy="381000"/>
        </a:xfrm>
        <a:prstGeom prst="leftRightArrow">
          <a:avLst/>
        </a:prstGeom>
        <a:solidFill>
          <a:schemeClr val="accent2"/>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GB" sz="1600"/>
            <a:t>Contractor</a:t>
          </a:r>
        </a:p>
      </xdr:txBody>
    </xdr:sp>
    <xdr:clientData/>
  </xdr:twoCellAnchor>
  <xdr:twoCellAnchor>
    <xdr:from>
      <xdr:col>4</xdr:col>
      <xdr:colOff>31749</xdr:colOff>
      <xdr:row>12</xdr:row>
      <xdr:rowOff>83345</xdr:rowOff>
    </xdr:from>
    <xdr:to>
      <xdr:col>7</xdr:col>
      <xdr:colOff>5554</xdr:colOff>
      <xdr:row>14</xdr:row>
      <xdr:rowOff>127000</xdr:rowOff>
    </xdr:to>
    <xdr:sp macro="" textlink="">
      <xdr:nvSpPr>
        <xdr:cNvPr id="6" name="Left-Right Arrow 5">
          <a:extLst>
            <a:ext uri="{FF2B5EF4-FFF2-40B4-BE49-F238E27FC236}">
              <a16:creationId xmlns:a16="http://schemas.microsoft.com/office/drawing/2014/main" id="{71BDE2E5-9F13-43F3-B622-68C1BD794299}"/>
            </a:ext>
          </a:extLst>
        </xdr:cNvPr>
        <xdr:cNvSpPr/>
      </xdr:nvSpPr>
      <xdr:spPr>
        <a:xfrm>
          <a:off x="5826124" y="2512220"/>
          <a:ext cx="2767805" cy="361155"/>
        </a:xfrm>
        <a:prstGeom prst="leftRightArrow">
          <a:avLst/>
        </a:prstGeom>
        <a:solidFill>
          <a:schemeClr val="accent5">
            <a:lumMod val="75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GB" sz="1600"/>
            <a:t>AMAALA</a:t>
          </a:r>
          <a:r>
            <a:rPr lang="en-GB" sz="1600" baseline="0"/>
            <a:t> INTERNAL</a:t>
          </a:r>
        </a:p>
      </xdr:txBody>
    </xdr:sp>
    <xdr:clientData/>
  </xdr:twoCellAnchor>
  <xdr:twoCellAnchor>
    <xdr:from>
      <xdr:col>23</xdr:col>
      <xdr:colOff>449036</xdr:colOff>
      <xdr:row>11</xdr:row>
      <xdr:rowOff>27214</xdr:rowOff>
    </xdr:from>
    <xdr:to>
      <xdr:col>23</xdr:col>
      <xdr:colOff>721179</xdr:colOff>
      <xdr:row>12</xdr:row>
      <xdr:rowOff>121158</xdr:rowOff>
    </xdr:to>
    <xdr:sp macro="" textlink="">
      <xdr:nvSpPr>
        <xdr:cNvPr id="7" name="Arrow: Down 6">
          <a:extLst>
            <a:ext uri="{FF2B5EF4-FFF2-40B4-BE49-F238E27FC236}">
              <a16:creationId xmlns:a16="http://schemas.microsoft.com/office/drawing/2014/main" id="{B7FF4E91-D673-4CB5-AC0B-03C18014A6B5}"/>
            </a:ext>
          </a:extLst>
        </xdr:cNvPr>
        <xdr:cNvSpPr/>
      </xdr:nvSpPr>
      <xdr:spPr>
        <a:xfrm>
          <a:off x="24261536" y="1632857"/>
          <a:ext cx="272143" cy="379694"/>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31</xdr:col>
      <xdr:colOff>449036</xdr:colOff>
      <xdr:row>11</xdr:row>
      <xdr:rowOff>81643</xdr:rowOff>
    </xdr:from>
    <xdr:to>
      <xdr:col>31</xdr:col>
      <xdr:colOff>762000</xdr:colOff>
      <xdr:row>12</xdr:row>
      <xdr:rowOff>121158</xdr:rowOff>
    </xdr:to>
    <xdr:sp macro="" textlink="">
      <xdr:nvSpPr>
        <xdr:cNvPr id="8" name="Arrow: Down 7">
          <a:extLst>
            <a:ext uri="{FF2B5EF4-FFF2-40B4-BE49-F238E27FC236}">
              <a16:creationId xmlns:a16="http://schemas.microsoft.com/office/drawing/2014/main" id="{FCCB1DE5-17E8-4FA7-8ABE-EEB2945E9F33}"/>
            </a:ext>
          </a:extLst>
        </xdr:cNvPr>
        <xdr:cNvSpPr/>
      </xdr:nvSpPr>
      <xdr:spPr>
        <a:xfrm>
          <a:off x="31813500" y="2204357"/>
          <a:ext cx="312964" cy="325265"/>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47625</xdr:colOff>
      <xdr:row>12</xdr:row>
      <xdr:rowOff>95249</xdr:rowOff>
    </xdr:from>
    <xdr:to>
      <xdr:col>16</xdr:col>
      <xdr:colOff>1254125</xdr:colOff>
      <xdr:row>14</xdr:row>
      <xdr:rowOff>174624</xdr:rowOff>
    </xdr:to>
    <xdr:sp macro="" textlink="">
      <xdr:nvSpPr>
        <xdr:cNvPr id="10" name="Left-Right Arrow 5">
          <a:extLst>
            <a:ext uri="{FF2B5EF4-FFF2-40B4-BE49-F238E27FC236}">
              <a16:creationId xmlns:a16="http://schemas.microsoft.com/office/drawing/2014/main" id="{6271176F-5BF3-4638-9F54-94BF5B15399E}"/>
            </a:ext>
          </a:extLst>
        </xdr:cNvPr>
        <xdr:cNvSpPr/>
      </xdr:nvSpPr>
      <xdr:spPr>
        <a:xfrm>
          <a:off x="18796000" y="2698749"/>
          <a:ext cx="6715125" cy="396875"/>
        </a:xfrm>
        <a:prstGeom prst="leftRightArrow">
          <a:avLst/>
        </a:prstGeom>
        <a:solidFill>
          <a:srgbClr val="7030A0"/>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GB" sz="1600">
              <a:solidFill>
                <a:schemeClr val="bg1"/>
              </a:solidFill>
            </a:rPr>
            <a:t>Commercial</a:t>
          </a:r>
          <a:r>
            <a:rPr lang="en-GB" sz="1600" baseline="0">
              <a:solidFill>
                <a:schemeClr val="bg1"/>
              </a:solidFill>
            </a:rPr>
            <a:t> Team</a:t>
          </a:r>
          <a:endParaRPr lang="en-GB" sz="1600">
            <a:solidFill>
              <a:schemeClr val="bg1"/>
            </a:solidFill>
          </a:endParaRPr>
        </a:p>
      </xdr:txBody>
    </xdr:sp>
    <xdr:clientData/>
  </xdr:twoCellAnchor>
  <xdr:twoCellAnchor>
    <xdr:from>
      <xdr:col>50</xdr:col>
      <xdr:colOff>202406</xdr:colOff>
      <xdr:row>11</xdr:row>
      <xdr:rowOff>83343</xdr:rowOff>
    </xdr:from>
    <xdr:to>
      <xdr:col>50</xdr:col>
      <xdr:colOff>515370</xdr:colOff>
      <xdr:row>12</xdr:row>
      <xdr:rowOff>122858</xdr:rowOff>
    </xdr:to>
    <xdr:sp macro="" textlink="">
      <xdr:nvSpPr>
        <xdr:cNvPr id="11" name="Arrow: Down 10">
          <a:extLst>
            <a:ext uri="{FF2B5EF4-FFF2-40B4-BE49-F238E27FC236}">
              <a16:creationId xmlns:a16="http://schemas.microsoft.com/office/drawing/2014/main" id="{14D169B5-12C5-44DE-A0E8-E792079CF833}"/>
            </a:ext>
          </a:extLst>
        </xdr:cNvPr>
        <xdr:cNvSpPr/>
      </xdr:nvSpPr>
      <xdr:spPr>
        <a:xfrm>
          <a:off x="43362562" y="2262187"/>
          <a:ext cx="312964" cy="325265"/>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70</xdr:col>
      <xdr:colOff>139701</xdr:colOff>
      <xdr:row>5</xdr:row>
      <xdr:rowOff>38100</xdr:rowOff>
    </xdr:from>
    <xdr:to>
      <xdr:col>70</xdr:col>
      <xdr:colOff>2959101</xdr:colOff>
      <xdr:row>8</xdr:row>
      <xdr:rowOff>215899</xdr:rowOff>
    </xdr:to>
    <xdr:pic>
      <xdr:nvPicPr>
        <xdr:cNvPr id="2" name="Picture 4">
          <a:extLst>
            <a:ext uri="{FF2B5EF4-FFF2-40B4-BE49-F238E27FC236}">
              <a16:creationId xmlns:a16="http://schemas.microsoft.com/office/drawing/2014/main" id="{00000000-0008-0000-07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3525481" y="281940"/>
          <a:ext cx="2819400" cy="848360"/>
        </a:xfrm>
        <a:prstGeom prst="rect">
          <a:avLst/>
        </a:prstGeom>
        <a:noFill/>
      </xdr:spPr>
    </xdr:pic>
    <xdr:clientData/>
  </xdr:twoCellAnchor>
  <xdr:twoCellAnchor>
    <xdr:from>
      <xdr:col>21</xdr:col>
      <xdr:colOff>13607</xdr:colOff>
      <xdr:row>11</xdr:row>
      <xdr:rowOff>114300</xdr:rowOff>
    </xdr:from>
    <xdr:to>
      <xdr:col>67</xdr:col>
      <xdr:colOff>1040422</xdr:colOff>
      <xdr:row>13</xdr:row>
      <xdr:rowOff>161925</xdr:rowOff>
    </xdr:to>
    <xdr:sp macro="" textlink="">
      <xdr:nvSpPr>
        <xdr:cNvPr id="3" name="Left-Right Arrow 2">
          <a:extLst>
            <a:ext uri="{FF2B5EF4-FFF2-40B4-BE49-F238E27FC236}">
              <a16:creationId xmlns:a16="http://schemas.microsoft.com/office/drawing/2014/main" id="{00000000-0008-0000-0700-000003000000}"/>
            </a:ext>
          </a:extLst>
        </xdr:cNvPr>
        <xdr:cNvSpPr/>
      </xdr:nvSpPr>
      <xdr:spPr>
        <a:xfrm>
          <a:off x="12754247" y="1470660"/>
          <a:ext cx="8479175" cy="497205"/>
        </a:xfrm>
        <a:prstGeom prst="leftRightArrow">
          <a:avLst/>
        </a:prstGeom>
        <a:gradFill flip="none" rotWithShape="1">
          <a:gsLst>
            <a:gs pos="21000">
              <a:schemeClr val="tx2">
                <a:lumMod val="50000"/>
                <a:alpha val="61000"/>
              </a:schemeClr>
            </a:gs>
            <a:gs pos="50000">
              <a:schemeClr val="accent1">
                <a:lumMod val="75000"/>
              </a:schemeClr>
            </a:gs>
            <a:gs pos="100000">
              <a:schemeClr val="accent1">
                <a:tint val="23500"/>
                <a:satMod val="160000"/>
              </a:schemeClr>
            </a:gs>
          </a:gsLst>
          <a:lin ang="5400000" scaled="1"/>
          <a:tileRect/>
        </a:gra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GB" sz="1600"/>
            <a:t>External Change Management Procedure</a:t>
          </a:r>
        </a:p>
      </xdr:txBody>
    </xdr:sp>
    <xdr:clientData/>
  </xdr:twoCellAnchor>
  <xdr:twoCellAnchor>
    <xdr:from>
      <xdr:col>4</xdr:col>
      <xdr:colOff>13621</xdr:colOff>
      <xdr:row>11</xdr:row>
      <xdr:rowOff>122463</xdr:rowOff>
    </xdr:from>
    <xdr:to>
      <xdr:col>8</xdr:col>
      <xdr:colOff>666750</xdr:colOff>
      <xdr:row>13</xdr:row>
      <xdr:rowOff>170088</xdr:rowOff>
    </xdr:to>
    <xdr:sp macro="" textlink="">
      <xdr:nvSpPr>
        <xdr:cNvPr id="4" name="Left-Right Arrow 3">
          <a:extLst>
            <a:ext uri="{FF2B5EF4-FFF2-40B4-BE49-F238E27FC236}">
              <a16:creationId xmlns:a16="http://schemas.microsoft.com/office/drawing/2014/main" id="{00000000-0008-0000-0700-000004000000}"/>
            </a:ext>
          </a:extLst>
        </xdr:cNvPr>
        <xdr:cNvSpPr/>
      </xdr:nvSpPr>
      <xdr:spPr>
        <a:xfrm>
          <a:off x="4715161" y="1478823"/>
          <a:ext cx="3449669" cy="497205"/>
        </a:xfrm>
        <a:prstGeom prst="leftRightArrow">
          <a:avLst/>
        </a:prstGeom>
        <a:gradFill flip="none" rotWithShape="1">
          <a:gsLst>
            <a:gs pos="21000">
              <a:schemeClr val="bg2">
                <a:lumMod val="25000"/>
              </a:schemeClr>
            </a:gs>
            <a:gs pos="50000">
              <a:schemeClr val="bg2">
                <a:lumMod val="50000"/>
              </a:schemeClr>
            </a:gs>
            <a:gs pos="100000">
              <a:schemeClr val="bg2">
                <a:lumMod val="90000"/>
              </a:schemeClr>
            </a:gs>
          </a:gsLst>
          <a:lin ang="5400000" scaled="1"/>
          <a:tileRect/>
        </a:gra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GB" sz="1600"/>
            <a:t>Meraas Internal Procedure</a:t>
          </a:r>
        </a:p>
      </xdr:txBody>
    </xdr:sp>
    <xdr:clientData/>
  </xdr:twoCellAnchor>
  <xdr:twoCellAnchor>
    <xdr:from>
      <xdr:col>9</xdr:col>
      <xdr:colOff>13621</xdr:colOff>
      <xdr:row>11</xdr:row>
      <xdr:rowOff>122463</xdr:rowOff>
    </xdr:from>
    <xdr:to>
      <xdr:col>14</xdr:col>
      <xdr:colOff>736600</xdr:colOff>
      <xdr:row>13</xdr:row>
      <xdr:rowOff>170088</xdr:rowOff>
    </xdr:to>
    <xdr:sp macro="" textlink="">
      <xdr:nvSpPr>
        <xdr:cNvPr id="5" name="Left-Right Arrow 4">
          <a:extLst>
            <a:ext uri="{FF2B5EF4-FFF2-40B4-BE49-F238E27FC236}">
              <a16:creationId xmlns:a16="http://schemas.microsoft.com/office/drawing/2014/main" id="{00000000-0008-0000-0700-000005000000}"/>
            </a:ext>
          </a:extLst>
        </xdr:cNvPr>
        <xdr:cNvSpPr/>
      </xdr:nvSpPr>
      <xdr:spPr>
        <a:xfrm>
          <a:off x="8182261" y="1478823"/>
          <a:ext cx="4517739" cy="497205"/>
        </a:xfrm>
        <a:prstGeom prst="leftRightArrow">
          <a:avLst/>
        </a:prstGeom>
        <a:gradFill flip="none" rotWithShape="1">
          <a:gsLst>
            <a:gs pos="21000">
              <a:schemeClr val="accent2">
                <a:lumMod val="60000"/>
                <a:lumOff val="40000"/>
              </a:schemeClr>
            </a:gs>
            <a:gs pos="50000">
              <a:schemeClr val="accent2"/>
            </a:gs>
            <a:gs pos="100000">
              <a:schemeClr val="accent2">
                <a:lumMod val="60000"/>
                <a:lumOff val="40000"/>
              </a:schemeClr>
            </a:gs>
          </a:gsLst>
          <a:lin ang="5400000" scaled="1"/>
          <a:tileRect/>
        </a:gra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GB" sz="1600"/>
            <a:t>Early Warnings</a:t>
          </a:r>
        </a:p>
      </xdr:txBody>
    </xdr:sp>
    <xdr:clientData/>
  </xdr:twoCellAnchor>
  <xdr:twoCellAnchor editAs="oneCell">
    <xdr:from>
      <xdr:col>70</xdr:col>
      <xdr:colOff>139701</xdr:colOff>
      <xdr:row>5</xdr:row>
      <xdr:rowOff>38100</xdr:rowOff>
    </xdr:from>
    <xdr:to>
      <xdr:col>70</xdr:col>
      <xdr:colOff>2959101</xdr:colOff>
      <xdr:row>8</xdr:row>
      <xdr:rowOff>215899</xdr:rowOff>
    </xdr:to>
    <xdr:pic>
      <xdr:nvPicPr>
        <xdr:cNvPr id="6" name="Picture 4">
          <a:extLst>
            <a:ext uri="{FF2B5EF4-FFF2-40B4-BE49-F238E27FC236}">
              <a16:creationId xmlns:a16="http://schemas.microsoft.com/office/drawing/2014/main" id="{00000000-0008-0000-0700-000006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8387041" y="281940"/>
          <a:ext cx="2819400" cy="848360"/>
        </a:xfrm>
        <a:prstGeom prst="rect">
          <a:avLst/>
        </a:prstGeom>
        <a:noFill/>
      </xdr:spPr>
    </xdr:pic>
    <xdr:clientData/>
  </xdr:twoCellAnchor>
  <xdr:twoCellAnchor editAs="oneCell">
    <xdr:from>
      <xdr:col>0</xdr:col>
      <xdr:colOff>43543</xdr:colOff>
      <xdr:row>0</xdr:row>
      <xdr:rowOff>54429</xdr:rowOff>
    </xdr:from>
    <xdr:to>
      <xdr:col>1</xdr:col>
      <xdr:colOff>357946</xdr:colOff>
      <xdr:row>3</xdr:row>
      <xdr:rowOff>133297</xdr:rowOff>
    </xdr:to>
    <xdr:pic>
      <xdr:nvPicPr>
        <xdr:cNvPr id="7" name="Picture 6">
          <a:extLst>
            <a:ext uri="{FF2B5EF4-FFF2-40B4-BE49-F238E27FC236}">
              <a16:creationId xmlns:a16="http://schemas.microsoft.com/office/drawing/2014/main" id="{00000000-0008-0000-0700-000007000000}"/>
            </a:ext>
          </a:extLst>
        </xdr:cNvPr>
        <xdr:cNvPicPr>
          <a:picLocks noChangeAspect="1"/>
        </xdr:cNvPicPr>
      </xdr:nvPicPr>
      <xdr:blipFill>
        <a:blip xmlns:r="http://schemas.openxmlformats.org/officeDocument/2006/relationships" r:embed="rId2"/>
        <a:stretch>
          <a:fillRect/>
        </a:stretch>
      </xdr:blipFill>
      <xdr:spPr>
        <a:xfrm>
          <a:off x="43543" y="54429"/>
          <a:ext cx="1536325" cy="63403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9</xdr:col>
      <xdr:colOff>69272</xdr:colOff>
      <xdr:row>7</xdr:row>
      <xdr:rowOff>51955</xdr:rowOff>
    </xdr:from>
    <xdr:to>
      <xdr:col>13</xdr:col>
      <xdr:colOff>925203</xdr:colOff>
      <xdr:row>16</xdr:row>
      <xdr:rowOff>432954</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103909</xdr:colOff>
      <xdr:row>7</xdr:row>
      <xdr:rowOff>103909</xdr:rowOff>
    </xdr:from>
    <xdr:to>
      <xdr:col>26</xdr:col>
      <xdr:colOff>941906</xdr:colOff>
      <xdr:row>17</xdr:row>
      <xdr:rowOff>0</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53789</xdr:colOff>
      <xdr:row>36</xdr:row>
      <xdr:rowOff>44823</xdr:rowOff>
    </xdr:from>
    <xdr:to>
      <xdr:col>13</xdr:col>
      <xdr:colOff>950260</xdr:colOff>
      <xdr:row>44</xdr:row>
      <xdr:rowOff>286871</xdr:rowOff>
    </xdr:to>
    <xdr:graphicFrame macro="">
      <xdr:nvGraphicFramePr>
        <xdr:cNvPr id="4" name="Chart 3">
          <a:extLst>
            <a:ext uri="{FF2B5EF4-FFF2-40B4-BE49-F238E27FC236}">
              <a16:creationId xmlns:a16="http://schemas.microsoft.com/office/drawing/2014/main" id="{00000000-0008-0000-08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32</xdr:col>
      <xdr:colOff>409574</xdr:colOff>
      <xdr:row>1</xdr:row>
      <xdr:rowOff>207820</xdr:rowOff>
    </xdr:from>
    <xdr:ext cx="6632864" cy="1472044"/>
    <xdr:pic>
      <xdr:nvPicPr>
        <xdr:cNvPr id="5" name="Picture 4" descr="C:\Users\nea90132\Desktop\Meraas logo - 18 04.jpg">
          <a:extLst>
            <a:ext uri="{FF2B5EF4-FFF2-40B4-BE49-F238E27FC236}">
              <a16:creationId xmlns:a16="http://schemas.microsoft.com/office/drawing/2014/main" id="{00000000-0008-0000-0800-000005000000}"/>
            </a:ext>
          </a:extLst>
        </xdr:cNvPr>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14914" t="37642" r="14529" b="37868"/>
        <a:stretch/>
      </xdr:blipFill>
      <xdr:spPr bwMode="auto">
        <a:xfrm>
          <a:off x="28403549" y="379270"/>
          <a:ext cx="6632864" cy="1472044"/>
        </a:xfrm>
        <a:prstGeom prst="rect">
          <a:avLst/>
        </a:prstGeom>
        <a:noFill/>
        <a:ln>
          <a:noFill/>
        </a:ln>
        <a:extLst>
          <a:ext uri="{53640926-AAD7-44D8-BBD7-CCE9431645EC}">
            <a14:shadowObscured xmlns:a14="http://schemas.microsoft.com/office/drawing/2010/main"/>
          </a:ext>
        </a:extLst>
      </xdr:spPr>
    </xdr:pic>
    <xdr:clientData/>
  </xdr:oneCellAnchor>
  <xdr:twoCellAnchor>
    <xdr:from>
      <xdr:col>35</xdr:col>
      <xdr:colOff>69272</xdr:colOff>
      <xdr:row>7</xdr:row>
      <xdr:rowOff>69273</xdr:rowOff>
    </xdr:from>
    <xdr:to>
      <xdr:col>39</xdr:col>
      <xdr:colOff>935182</xdr:colOff>
      <xdr:row>16</xdr:row>
      <xdr:rowOff>432954</xdr:rowOff>
    </xdr:to>
    <xdr:graphicFrame macro="">
      <xdr:nvGraphicFramePr>
        <xdr:cNvPr id="6" name="Chart 5">
          <a:extLst>
            <a:ext uri="{FF2B5EF4-FFF2-40B4-BE49-F238E27FC236}">
              <a16:creationId xmlns:a16="http://schemas.microsoft.com/office/drawing/2014/main" id="{00000000-0008-0000-08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86591</xdr:colOff>
      <xdr:row>35</xdr:row>
      <xdr:rowOff>103909</xdr:rowOff>
    </xdr:from>
    <xdr:to>
      <xdr:col>13</xdr:col>
      <xdr:colOff>941906</xdr:colOff>
      <xdr:row>45</xdr:row>
      <xdr:rowOff>0</xdr:rowOff>
    </xdr:to>
    <xdr:graphicFrame macro="">
      <xdr:nvGraphicFramePr>
        <xdr:cNvPr id="7" name="Chart 6">
          <a:extLst>
            <a:ext uri="{FF2B5EF4-FFF2-40B4-BE49-F238E27FC236}">
              <a16:creationId xmlns:a16="http://schemas.microsoft.com/office/drawing/2014/main" id="{00000000-0008-0000-08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53789</xdr:colOff>
      <xdr:row>36</xdr:row>
      <xdr:rowOff>44823</xdr:rowOff>
    </xdr:from>
    <xdr:to>
      <xdr:col>26</xdr:col>
      <xdr:colOff>950260</xdr:colOff>
      <xdr:row>44</xdr:row>
      <xdr:rowOff>286871</xdr:rowOff>
    </xdr:to>
    <xdr:graphicFrame macro="">
      <xdr:nvGraphicFramePr>
        <xdr:cNvPr id="8" name="Chart 7">
          <a:extLst>
            <a:ext uri="{FF2B5EF4-FFF2-40B4-BE49-F238E27FC236}">
              <a16:creationId xmlns:a16="http://schemas.microsoft.com/office/drawing/2014/main" id="{00000000-0008-0000-08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35</xdr:col>
      <xdr:colOff>34637</xdr:colOff>
      <xdr:row>35</xdr:row>
      <xdr:rowOff>138546</xdr:rowOff>
    </xdr:from>
    <xdr:to>
      <xdr:col>39</xdr:col>
      <xdr:colOff>942521</xdr:colOff>
      <xdr:row>44</xdr:row>
      <xdr:rowOff>432955</xdr:rowOff>
    </xdr:to>
    <xdr:graphicFrame macro="">
      <xdr:nvGraphicFramePr>
        <xdr:cNvPr id="9" name="Chart 8">
          <a:extLst>
            <a:ext uri="{FF2B5EF4-FFF2-40B4-BE49-F238E27FC236}">
              <a16:creationId xmlns:a16="http://schemas.microsoft.com/office/drawing/2014/main" id="{00000000-0008-0000-08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22</xdr:col>
      <xdr:colOff>51953</xdr:colOff>
      <xdr:row>35</xdr:row>
      <xdr:rowOff>103909</xdr:rowOff>
    </xdr:from>
    <xdr:to>
      <xdr:col>26</xdr:col>
      <xdr:colOff>941905</xdr:colOff>
      <xdr:row>45</xdr:row>
      <xdr:rowOff>0</xdr:rowOff>
    </xdr:to>
    <xdr:graphicFrame macro="">
      <xdr:nvGraphicFramePr>
        <xdr:cNvPr id="10" name="Chart 9">
          <a:extLst>
            <a:ext uri="{FF2B5EF4-FFF2-40B4-BE49-F238E27FC236}">
              <a16:creationId xmlns:a16="http://schemas.microsoft.com/office/drawing/2014/main" id="{00000000-0008-0000-08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3209925</xdr:colOff>
      <xdr:row>0</xdr:row>
      <xdr:rowOff>66675</xdr:rowOff>
    </xdr:from>
    <xdr:to>
      <xdr:col>7</xdr:col>
      <xdr:colOff>0</xdr:colOff>
      <xdr:row>2</xdr:row>
      <xdr:rowOff>144823</xdr:rowOff>
    </xdr:to>
    <xdr:pic>
      <xdr:nvPicPr>
        <xdr:cNvPr id="2" name="Picture 1">
          <a:extLst>
            <a:ext uri="{FF2B5EF4-FFF2-40B4-BE49-F238E27FC236}">
              <a16:creationId xmlns:a16="http://schemas.microsoft.com/office/drawing/2014/main" id="{62BA70A6-DAF9-4B5F-B34E-E20D280905F3}"/>
            </a:ext>
          </a:extLst>
        </xdr:cNvPr>
        <xdr:cNvPicPr>
          <a:picLocks noChangeAspect="1"/>
        </xdr:cNvPicPr>
      </xdr:nvPicPr>
      <xdr:blipFill>
        <a:blip xmlns:r="http://schemas.openxmlformats.org/officeDocument/2006/relationships" r:embed="rId1"/>
        <a:stretch>
          <a:fillRect/>
        </a:stretch>
      </xdr:blipFill>
      <xdr:spPr>
        <a:xfrm>
          <a:off x="7143750" y="66675"/>
          <a:ext cx="714375" cy="398823"/>
        </a:xfrm>
        <a:prstGeom prst="rect">
          <a:avLst/>
        </a:prstGeom>
      </xdr:spPr>
    </xdr:pic>
    <xdr:clientData/>
  </xdr:twoCellAnchor>
  <xdr:oneCellAnchor>
    <xdr:from>
      <xdr:col>7</xdr:col>
      <xdr:colOff>66676</xdr:colOff>
      <xdr:row>0</xdr:row>
      <xdr:rowOff>79663</xdr:rowOff>
    </xdr:from>
    <xdr:ext cx="733424" cy="374077"/>
    <xdr:sp macro="" textlink="">
      <xdr:nvSpPr>
        <xdr:cNvPr id="3" name="TextBox 2">
          <a:extLst>
            <a:ext uri="{FF2B5EF4-FFF2-40B4-BE49-F238E27FC236}">
              <a16:creationId xmlns:a16="http://schemas.microsoft.com/office/drawing/2014/main" id="{8F8B89DE-5151-484A-A5FE-F48DB8E9FD9A}"/>
            </a:ext>
          </a:extLst>
        </xdr:cNvPr>
        <xdr:cNvSpPr txBox="1"/>
      </xdr:nvSpPr>
      <xdr:spPr>
        <a:xfrm>
          <a:off x="8105776" y="79663"/>
          <a:ext cx="733424" cy="374077"/>
        </a:xfrm>
        <a:prstGeom prst="rect">
          <a:avLst/>
        </a:prstGeom>
        <a:solidFill>
          <a:schemeClr val="tx2">
            <a:lumMod val="60000"/>
            <a:lumOff val="40000"/>
          </a:schemeClr>
        </a:solidFill>
        <a:ln w="28575">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900" b="1">
              <a:solidFill>
                <a:schemeClr val="bg1"/>
              </a:solidFill>
            </a:rPr>
            <a:t>SELECT THE YEAR</a:t>
          </a:r>
        </a:p>
      </xdr:txBody>
    </xdr:sp>
    <xdr:clientData/>
  </xdr:oneCellAnchor>
</xdr:wsDr>
</file>

<file path=xl/drawings/drawing8.xml><?xml version="1.0" encoding="utf-8"?>
<xdr:wsDr xmlns:xdr="http://schemas.openxmlformats.org/drawingml/2006/spreadsheetDrawing" xmlns:a="http://schemas.openxmlformats.org/drawingml/2006/main">
  <xdr:twoCellAnchor editAs="oneCell">
    <xdr:from>
      <xdr:col>5</xdr:col>
      <xdr:colOff>5057775</xdr:colOff>
      <xdr:row>0</xdr:row>
      <xdr:rowOff>95250</xdr:rowOff>
    </xdr:from>
    <xdr:to>
      <xdr:col>7</xdr:col>
      <xdr:colOff>0</xdr:colOff>
      <xdr:row>3</xdr:row>
      <xdr:rowOff>11473</xdr:rowOff>
    </xdr:to>
    <xdr:pic>
      <xdr:nvPicPr>
        <xdr:cNvPr id="2" name="Picture 1">
          <a:extLst>
            <a:ext uri="{FF2B5EF4-FFF2-40B4-BE49-F238E27FC236}">
              <a16:creationId xmlns:a16="http://schemas.microsoft.com/office/drawing/2014/main" id="{281C3C83-0EA6-4EB6-A2B6-2BA60A3CD4B6}"/>
            </a:ext>
          </a:extLst>
        </xdr:cNvPr>
        <xdr:cNvPicPr>
          <a:picLocks noChangeAspect="1"/>
        </xdr:cNvPicPr>
      </xdr:nvPicPr>
      <xdr:blipFill>
        <a:blip xmlns:r="http://schemas.openxmlformats.org/officeDocument/2006/relationships" r:embed="rId1"/>
        <a:stretch>
          <a:fillRect/>
        </a:stretch>
      </xdr:blipFill>
      <xdr:spPr>
        <a:xfrm>
          <a:off x="8991600" y="95250"/>
          <a:ext cx="714375" cy="398823"/>
        </a:xfrm>
        <a:prstGeom prst="rect">
          <a:avLst/>
        </a:prstGeom>
      </xdr:spPr>
    </xdr:pic>
    <xdr:clientData/>
  </xdr:twoCellAnchor>
  <xdr:oneCellAnchor>
    <xdr:from>
      <xdr:col>7</xdr:col>
      <xdr:colOff>66676</xdr:colOff>
      <xdr:row>0</xdr:row>
      <xdr:rowOff>79663</xdr:rowOff>
    </xdr:from>
    <xdr:ext cx="733424" cy="374077"/>
    <xdr:sp macro="" textlink="">
      <xdr:nvSpPr>
        <xdr:cNvPr id="3" name="TextBox 2">
          <a:extLst>
            <a:ext uri="{FF2B5EF4-FFF2-40B4-BE49-F238E27FC236}">
              <a16:creationId xmlns:a16="http://schemas.microsoft.com/office/drawing/2014/main" id="{F20FD283-56C8-4E04-A79A-252E0A12C7A6}"/>
            </a:ext>
          </a:extLst>
        </xdr:cNvPr>
        <xdr:cNvSpPr txBox="1"/>
      </xdr:nvSpPr>
      <xdr:spPr>
        <a:xfrm>
          <a:off x="9782176" y="79663"/>
          <a:ext cx="733424" cy="374077"/>
        </a:xfrm>
        <a:prstGeom prst="rect">
          <a:avLst/>
        </a:prstGeom>
        <a:solidFill>
          <a:schemeClr val="tx2">
            <a:lumMod val="60000"/>
            <a:lumOff val="40000"/>
          </a:schemeClr>
        </a:solidFill>
        <a:ln w="28575">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900" b="1">
              <a:solidFill>
                <a:schemeClr val="bg1"/>
              </a:solidFill>
            </a:rPr>
            <a:t>SELECT THE YEAR</a:t>
          </a:r>
        </a:p>
      </xdr:txBody>
    </xdr:sp>
    <xdr:clientData/>
  </xdr:oneCellAnchor>
</xdr:wsDr>
</file>

<file path=xl/drawings/drawing9.xml><?xml version="1.0" encoding="utf-8"?>
<xdr:wsDr xmlns:xdr="http://schemas.openxmlformats.org/drawingml/2006/spreadsheetDrawing" xmlns:a="http://schemas.openxmlformats.org/drawingml/2006/main">
  <xdr:twoCellAnchor>
    <xdr:from>
      <xdr:col>20</xdr:col>
      <xdr:colOff>269575</xdr:colOff>
      <xdr:row>10</xdr:row>
      <xdr:rowOff>114300</xdr:rowOff>
    </xdr:from>
    <xdr:to>
      <xdr:col>23</xdr:col>
      <xdr:colOff>779780</xdr:colOff>
      <xdr:row>10</xdr:row>
      <xdr:rowOff>116816</xdr:rowOff>
    </xdr:to>
    <xdr:cxnSp macro="">
      <xdr:nvCxnSpPr>
        <xdr:cNvPr id="2" name="Straight Arrow Connector 1">
          <a:extLst>
            <a:ext uri="{FF2B5EF4-FFF2-40B4-BE49-F238E27FC236}">
              <a16:creationId xmlns:a16="http://schemas.microsoft.com/office/drawing/2014/main" id="{9A71B0E1-5DEC-47D8-BF6A-E9B2A2B238EA}"/>
            </a:ext>
          </a:extLst>
        </xdr:cNvPr>
        <xdr:cNvCxnSpPr/>
      </xdr:nvCxnSpPr>
      <xdr:spPr>
        <a:xfrm flipV="1">
          <a:off x="14814250" y="495300"/>
          <a:ext cx="2167555" cy="2516"/>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114300</xdr:colOff>
      <xdr:row>10</xdr:row>
      <xdr:rowOff>114300</xdr:rowOff>
    </xdr:from>
    <xdr:to>
      <xdr:col>17</xdr:col>
      <xdr:colOff>727854</xdr:colOff>
      <xdr:row>10</xdr:row>
      <xdr:rowOff>116816</xdr:rowOff>
    </xdr:to>
    <xdr:cxnSp macro="">
      <xdr:nvCxnSpPr>
        <xdr:cNvPr id="3" name="Straight Arrow Connector 2">
          <a:extLst>
            <a:ext uri="{FF2B5EF4-FFF2-40B4-BE49-F238E27FC236}">
              <a16:creationId xmlns:a16="http://schemas.microsoft.com/office/drawing/2014/main" id="{2F3807C6-A8EE-4486-8A82-3E68141DA30C}"/>
            </a:ext>
          </a:extLst>
        </xdr:cNvPr>
        <xdr:cNvCxnSpPr/>
      </xdr:nvCxnSpPr>
      <xdr:spPr>
        <a:xfrm flipH="1" flipV="1">
          <a:off x="11553825" y="495300"/>
          <a:ext cx="1632729" cy="2516"/>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oneCellAnchor>
    <xdr:from>
      <xdr:col>0</xdr:col>
      <xdr:colOff>19050</xdr:colOff>
      <xdr:row>8</xdr:row>
      <xdr:rowOff>32008</xdr:rowOff>
    </xdr:from>
    <xdr:ext cx="25831800" cy="339467"/>
    <xdr:sp macro="" textlink="">
      <xdr:nvSpPr>
        <xdr:cNvPr id="4" name="TextBox 3">
          <a:extLst>
            <a:ext uri="{FF2B5EF4-FFF2-40B4-BE49-F238E27FC236}">
              <a16:creationId xmlns:a16="http://schemas.microsoft.com/office/drawing/2014/main" id="{8E042B11-354D-42B7-A5BD-00EDF6F52E59}"/>
            </a:ext>
          </a:extLst>
        </xdr:cNvPr>
        <xdr:cNvSpPr txBox="1"/>
      </xdr:nvSpPr>
      <xdr:spPr>
        <a:xfrm>
          <a:off x="19050" y="1727458"/>
          <a:ext cx="25831800" cy="339467"/>
        </a:xfrm>
        <a:prstGeom prst="rect">
          <a:avLst/>
        </a:prstGeom>
        <a:solidFill>
          <a:srgbClr val="464E5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800" b="1">
              <a:solidFill>
                <a:schemeClr val="bg1"/>
              </a:solidFill>
            </a:rPr>
            <a:t>CLAIM TRACKER</a:t>
          </a:r>
        </a:p>
      </xdr:txBody>
    </xdr:sp>
    <xdr:clientData/>
  </xdr:oneCellAnchor>
</xdr:wsDr>
</file>

<file path=xl/drawings/drawing10.xml><?xml version="1.0" encoding="utf-8"?>
<xdr:wsDr xmlns:xdr="http://schemas.openxmlformats.org/drawingml/2006/spreadsheetDrawing" xmlns:a="http://schemas.openxmlformats.org/drawingml/2006/main">
  <xdr:twoCellAnchor>
    <xdr:from>
      <xdr:col>4</xdr:col>
      <xdr:colOff>225138</xdr:colOff>
      <xdr:row>18</xdr:row>
      <xdr:rowOff>17319</xdr:rowOff>
    </xdr:from>
    <xdr:to>
      <xdr:col>54</xdr:col>
      <xdr:colOff>1281545</xdr:colOff>
      <xdr:row>48</xdr:row>
      <xdr:rowOff>123466</xdr:rowOff>
    </xdr:to>
    <xdr:graphicFrame macro="">
      <xdr:nvGraphicFramePr>
        <xdr:cNvPr id="2" name="Chart 1">
          <a:extLst>
            <a:ext uri="{FF2B5EF4-FFF2-40B4-BE49-F238E27FC236}">
              <a16:creationId xmlns:a16="http://schemas.microsoft.com/office/drawing/2014/main" id="{D348AFC5-8857-465A-810F-B7AB042FD0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4</xdr:col>
      <xdr:colOff>225138</xdr:colOff>
      <xdr:row>18</xdr:row>
      <xdr:rowOff>17319</xdr:rowOff>
    </xdr:from>
    <xdr:to>
      <xdr:col>54</xdr:col>
      <xdr:colOff>1281545</xdr:colOff>
      <xdr:row>48</xdr:row>
      <xdr:rowOff>123466</xdr:rowOff>
    </xdr:to>
    <xdr:graphicFrame macro="">
      <xdr:nvGraphicFramePr>
        <xdr:cNvPr id="2" name="Chart 1">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7.bin"/><Relationship Id="rId4" Type="http://schemas.openxmlformats.org/officeDocument/2006/relationships/comments" Target="../comments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19.bin"/><Relationship Id="rId4" Type="http://schemas.openxmlformats.org/officeDocument/2006/relationships/comments" Target="../comments3.xm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21.bin"/><Relationship Id="rId4" Type="http://schemas.openxmlformats.org/officeDocument/2006/relationships/comments" Target="../comments4.xml"/></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22.bin"/><Relationship Id="rId4" Type="http://schemas.openxmlformats.org/officeDocument/2006/relationships/comments" Target="../comments5.xml"/></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9.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27.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8.vml"/><Relationship Id="rId1" Type="http://schemas.openxmlformats.org/officeDocument/2006/relationships/printerSettings" Target="../printerSettings/printerSettings37.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4.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9.vml"/><Relationship Id="rId1" Type="http://schemas.openxmlformats.org/officeDocument/2006/relationships/printerSettings" Target="../printerSettings/printerSettings62.bin"/></Relationships>
</file>

<file path=xl/worksheets/_rels/sheet65.xml.rels><?xml version="1.0" encoding="UTF-8" standalone="yes"?>
<Relationships xmlns="http://schemas.openxmlformats.org/package/2006/relationships"><Relationship Id="rId2" Type="http://schemas.openxmlformats.org/officeDocument/2006/relationships/printerSettings" Target="../printerSettings/printerSettings63.bin"/><Relationship Id="rId1" Type="http://schemas.openxmlformats.org/officeDocument/2006/relationships/hyperlink" Target="../../../../../../../../JChavenia/AppData/Local/Microsoft/Windows/jchavenia/AppData/Local/Microsoft/Windows/AppData/Local/Microsoft/Windows/AppData/Local/Microsoft/Windows/AppData/Local/Microsoft/Windows/AppData/Local/Microsoft/Windows/jchavenia/Desktop/AppData/Local/Microsoft/Windows/INetCache/Content.Outlook/A0NW6HO6/Forms%20of%20Works%20Contract%20-%20AYC%20(004).docx" TargetMode="External"/></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6.bin"/></Relationships>
</file>

<file path=xl/worksheets/_rels/sheet6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7.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2.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9.xml"/><Relationship Id="rId1" Type="http://schemas.openxmlformats.org/officeDocument/2006/relationships/printerSettings" Target="../printerSettings/printerSettings70.bin"/><Relationship Id="rId4" Type="http://schemas.openxmlformats.org/officeDocument/2006/relationships/comments" Target="../comments8.xml"/></Relationships>
</file>

<file path=xl/worksheets/_rels/sheet7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71.bin"/></Relationships>
</file>

<file path=xl/worksheets/_rels/sheet74.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7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DE962-2979-4D18-A695-19A2F3A738E8}">
  <dimension ref="A2:O1048576"/>
  <sheetViews>
    <sheetView topLeftCell="A232" zoomScale="87" zoomScaleNormal="140" workbookViewId="0">
      <selection activeCell="K303" sqref="K303"/>
    </sheetView>
  </sheetViews>
  <sheetFormatPr defaultColWidth="9.140625" defaultRowHeight="12"/>
  <cols>
    <col min="1" max="1" width="11.42578125" style="4767" bestFit="1" customWidth="1"/>
    <col min="2" max="2" width="26.28515625" style="4778" bestFit="1" customWidth="1"/>
    <col min="3" max="3" width="15.5703125" style="4767" bestFit="1" customWidth="1"/>
    <col min="4" max="4" width="12.42578125" style="4767" customWidth="1"/>
    <col min="5" max="5" width="37.42578125" style="4776" customWidth="1"/>
    <col min="6" max="6" width="37.42578125" style="4767" customWidth="1"/>
    <col min="7" max="7" width="9.5703125" style="4776" customWidth="1"/>
    <col min="8" max="8" width="34" style="4776" customWidth="1"/>
    <col min="9" max="10" width="6.42578125" style="4767" bestFit="1" customWidth="1"/>
    <col min="11" max="11" width="12.28515625" style="4767" bestFit="1" customWidth="1"/>
    <col min="12" max="12" width="61" style="4767" bestFit="1" customWidth="1"/>
    <col min="13" max="15" width="24.42578125" style="4767" bestFit="1" customWidth="1"/>
    <col min="16" max="16384" width="9.140625" style="4767"/>
  </cols>
  <sheetData>
    <row r="2" spans="1:15">
      <c r="A2" s="4765" t="s">
        <v>5595</v>
      </c>
      <c r="B2" s="4765" t="s">
        <v>5596</v>
      </c>
      <c r="C2" s="4765" t="s">
        <v>5597</v>
      </c>
      <c r="D2" s="4765" t="s">
        <v>5598</v>
      </c>
      <c r="E2" s="4766" t="s">
        <v>5599</v>
      </c>
      <c r="F2" s="4765" t="s">
        <v>5600</v>
      </c>
      <c r="G2" s="4766" t="s">
        <v>5601</v>
      </c>
      <c r="H2" s="4766" t="s">
        <v>580</v>
      </c>
      <c r="I2" s="4765" t="s">
        <v>5602</v>
      </c>
      <c r="J2" s="4765" t="s">
        <v>5603</v>
      </c>
      <c r="K2" s="4765" t="s">
        <v>5604</v>
      </c>
      <c r="L2" s="4765" t="s">
        <v>5605</v>
      </c>
      <c r="M2" s="4765" t="s">
        <v>5606</v>
      </c>
      <c r="N2" s="4765" t="s">
        <v>5607</v>
      </c>
      <c r="O2" s="4765" t="s">
        <v>5608</v>
      </c>
    </row>
    <row r="3" spans="1:15">
      <c r="A3" s="4768" t="s">
        <v>258</v>
      </c>
      <c r="B3" s="4769" t="s">
        <v>5609</v>
      </c>
      <c r="C3" s="4768">
        <v>2210224</v>
      </c>
      <c r="D3" s="4768" t="s">
        <v>1512</v>
      </c>
      <c r="E3" s="4770" t="s">
        <v>2674</v>
      </c>
      <c r="F3" s="4768" t="s">
        <v>5610</v>
      </c>
      <c r="G3" s="4770" t="s">
        <v>91</v>
      </c>
      <c r="H3" s="4770" t="s">
        <v>2673</v>
      </c>
      <c r="I3" s="4769" t="s">
        <v>494</v>
      </c>
      <c r="J3" s="4771" t="str">
        <f t="shared" ref="J3:J66" si="0">RIGHT(A3,2)</f>
        <v>01</v>
      </c>
      <c r="K3" s="4771" t="str">
        <f>I3&amp;"."&amp;D3</f>
        <v>CN.003C13</v>
      </c>
      <c r="L3" s="4771" t="str">
        <f>E3&amp;" - "&amp;C3</f>
        <v>Soil Improvement Contracting - 2210224</v>
      </c>
      <c r="M3" s="4771" t="str">
        <f>"1TB01006"&amp;"."&amp;J3&amp;"."&amp;I3&amp;"."&amp;D3&amp;".00"</f>
        <v>1TB01006.01.CN.003C13.00</v>
      </c>
      <c r="N3" s="4771" t="str">
        <f>"1TB01006"&amp;"."&amp;J3&amp;"."&amp;I3&amp;"."&amp;D3&amp;".01"</f>
        <v>1TB01006.01.CN.003C13.01</v>
      </c>
      <c r="O3" s="4771" t="str">
        <f>"1TB01006"&amp;"."&amp;J3&amp;"."&amp;I3&amp;"."&amp;D3&amp;".02"</f>
        <v>1TB01006.01.CN.003C13.02</v>
      </c>
    </row>
    <row r="4" spans="1:15">
      <c r="A4" s="4772" t="s">
        <v>258</v>
      </c>
      <c r="B4" s="4769" t="s">
        <v>5609</v>
      </c>
      <c r="C4" s="4772">
        <v>2210167</v>
      </c>
      <c r="D4" s="4772" t="s">
        <v>5611</v>
      </c>
      <c r="E4" s="4773" t="s">
        <v>1819</v>
      </c>
      <c r="F4" s="4768" t="s">
        <v>5612</v>
      </c>
      <c r="G4" s="4770" t="s">
        <v>82</v>
      </c>
      <c r="H4" s="4770" t="s">
        <v>1820</v>
      </c>
      <c r="I4" s="4769" t="s">
        <v>472</v>
      </c>
      <c r="J4" s="4774" t="str">
        <f t="shared" si="0"/>
        <v>01</v>
      </c>
      <c r="K4" s="4774" t="str">
        <f t="shared" ref="K4:K67" si="1">I4&amp;"."&amp;D4</f>
        <v>PS.003D04</v>
      </c>
      <c r="L4" s="4774" t="str">
        <f t="shared" ref="L4:L67" si="2">E4&amp;" - "&amp;C4</f>
        <v>Applied Technology and Management Inc (Dubai BR) - 2210167</v>
      </c>
      <c r="M4" s="4774" t="str">
        <f t="shared" ref="M4:M67" si="3">"1TB01006"&amp;"."&amp;J4&amp;"."&amp;I4&amp;"."&amp;D4&amp;".00"</f>
        <v>1TB01006.01.PS.003D04.00</v>
      </c>
      <c r="N4" s="4774" t="str">
        <f t="shared" ref="N4:N67" si="4">"1TB01006"&amp;"."&amp;J4&amp;"."&amp;I4&amp;"."&amp;D4&amp;".01"</f>
        <v>1TB01006.01.PS.003D04.01</v>
      </c>
      <c r="O4" s="4774" t="str">
        <f t="shared" ref="O4:O67" si="5">"1TB01006"&amp;"."&amp;J4&amp;"."&amp;I4&amp;"."&amp;D4&amp;".02"</f>
        <v>1TB01006.01.PS.003D04.02</v>
      </c>
    </row>
    <row r="5" spans="1:15">
      <c r="A5" s="4772" t="s">
        <v>258</v>
      </c>
      <c r="B5" s="4769" t="s">
        <v>5609</v>
      </c>
      <c r="C5" s="4772">
        <v>2200445</v>
      </c>
      <c r="D5" s="4772" t="s">
        <v>5613</v>
      </c>
      <c r="E5" s="4773" t="s">
        <v>1438</v>
      </c>
      <c r="F5" s="4768" t="s">
        <v>5614</v>
      </c>
      <c r="G5" s="4770" t="s">
        <v>82</v>
      </c>
      <c r="H5" s="4770" t="s">
        <v>5615</v>
      </c>
      <c r="I5" s="4769" t="s">
        <v>472</v>
      </c>
      <c r="J5" s="4774" t="str">
        <f t="shared" si="0"/>
        <v>01</v>
      </c>
      <c r="K5" s="4774" t="str">
        <f t="shared" si="1"/>
        <v>PS.003D01</v>
      </c>
      <c r="L5" s="4774" t="str">
        <f t="shared" si="2"/>
        <v>Dewan Architects &amp; Engineers - 2200445</v>
      </c>
      <c r="M5" s="4774" t="str">
        <f t="shared" si="3"/>
        <v>1TB01006.01.PS.003D01.00</v>
      </c>
      <c r="N5" s="4774" t="str">
        <f t="shared" si="4"/>
        <v>1TB01006.01.PS.003D01.01</v>
      </c>
      <c r="O5" s="4774" t="str">
        <f t="shared" si="5"/>
        <v>1TB01006.01.PS.003D01.02</v>
      </c>
    </row>
    <row r="6" spans="1:15">
      <c r="A6" s="4772" t="s">
        <v>258</v>
      </c>
      <c r="B6" s="4769" t="s">
        <v>5609</v>
      </c>
      <c r="C6" s="4772">
        <v>2200375</v>
      </c>
      <c r="D6" s="4772" t="s">
        <v>5616</v>
      </c>
      <c r="E6" s="4773" t="s">
        <v>5617</v>
      </c>
      <c r="F6" s="4768" t="s">
        <v>5618</v>
      </c>
      <c r="G6" s="4770" t="s">
        <v>82</v>
      </c>
      <c r="H6" s="4770" t="s">
        <v>5619</v>
      </c>
      <c r="I6" s="4769" t="s">
        <v>472</v>
      </c>
      <c r="J6" s="4774" t="str">
        <f t="shared" si="0"/>
        <v>01</v>
      </c>
      <c r="K6" s="4774" t="str">
        <f t="shared" si="1"/>
        <v>PS.003D03</v>
      </c>
      <c r="L6" s="4774" t="str">
        <f t="shared" si="2"/>
        <v>HKS Architects Limited - 2200375</v>
      </c>
      <c r="M6" s="4774" t="str">
        <f t="shared" si="3"/>
        <v>1TB01006.01.PS.003D03.00</v>
      </c>
      <c r="N6" s="4774" t="str">
        <f t="shared" si="4"/>
        <v>1TB01006.01.PS.003D03.01</v>
      </c>
      <c r="O6" s="4774" t="str">
        <f t="shared" si="5"/>
        <v>1TB01006.01.PS.003D03.02</v>
      </c>
    </row>
    <row r="7" spans="1:15">
      <c r="A7" s="4772" t="s">
        <v>258</v>
      </c>
      <c r="B7" s="4774" t="s">
        <v>5609</v>
      </c>
      <c r="C7" s="4772">
        <v>2200010</v>
      </c>
      <c r="D7" s="4772" t="s">
        <v>5620</v>
      </c>
      <c r="E7" s="4773" t="s">
        <v>5617</v>
      </c>
      <c r="F7" s="4768" t="s">
        <v>5618</v>
      </c>
      <c r="G7" s="4770" t="s">
        <v>82</v>
      </c>
      <c r="H7" s="4770" t="s">
        <v>5621</v>
      </c>
      <c r="I7" s="4769" t="s">
        <v>472</v>
      </c>
      <c r="J7" s="4774" t="str">
        <f t="shared" si="0"/>
        <v>01</v>
      </c>
      <c r="K7" s="4774" t="str">
        <f t="shared" si="1"/>
        <v>PS.003D02</v>
      </c>
      <c r="L7" s="4774" t="str">
        <f t="shared" si="2"/>
        <v>HKS Architects Limited - 2200010</v>
      </c>
      <c r="M7" s="4774" t="str">
        <f t="shared" si="3"/>
        <v>1TB01006.01.PS.003D02.00</v>
      </c>
      <c r="N7" s="4774" t="str">
        <f t="shared" si="4"/>
        <v>1TB01006.01.PS.003D02.01</v>
      </c>
      <c r="O7" s="4774" t="str">
        <f t="shared" si="5"/>
        <v>1TB01006.01.PS.003D02.02</v>
      </c>
    </row>
    <row r="8" spans="1:15">
      <c r="A8" s="4772" t="s">
        <v>258</v>
      </c>
      <c r="B8" s="4774" t="s">
        <v>5609</v>
      </c>
      <c r="C8" s="4772">
        <v>2220032</v>
      </c>
      <c r="D8" s="4772" t="s">
        <v>1514</v>
      </c>
      <c r="E8" s="4773" t="s">
        <v>1807</v>
      </c>
      <c r="F8" s="4768" t="s">
        <v>135</v>
      </c>
      <c r="G8" s="4770" t="s">
        <v>91</v>
      </c>
      <c r="H8" s="4770" t="s">
        <v>2675</v>
      </c>
      <c r="I8" s="4769" t="s">
        <v>494</v>
      </c>
      <c r="J8" s="4774" t="str">
        <f t="shared" si="0"/>
        <v>01</v>
      </c>
      <c r="K8" s="4774" t="str">
        <f t="shared" si="1"/>
        <v>CN.003C14</v>
      </c>
      <c r="L8" s="4774" t="str">
        <f t="shared" si="2"/>
        <v>NSCC International Saudi Contracting - 2220032</v>
      </c>
      <c r="M8" s="4774" t="str">
        <f t="shared" si="3"/>
        <v>1TB01006.01.CN.003C14.00</v>
      </c>
      <c r="N8" s="4774" t="str">
        <f t="shared" si="4"/>
        <v>1TB01006.01.CN.003C14.01</v>
      </c>
      <c r="O8" s="4774" t="str">
        <f t="shared" si="5"/>
        <v>1TB01006.01.CN.003C14.02</v>
      </c>
    </row>
    <row r="9" spans="1:15">
      <c r="A9" s="4772" t="s">
        <v>258</v>
      </c>
      <c r="B9" s="4774" t="s">
        <v>5609</v>
      </c>
      <c r="C9" s="4772">
        <v>2220038</v>
      </c>
      <c r="D9" s="4772" t="s">
        <v>1509</v>
      </c>
      <c r="E9" s="4773" t="s">
        <v>5622</v>
      </c>
      <c r="F9" s="4768" t="s">
        <v>5623</v>
      </c>
      <c r="G9" s="4770" t="s">
        <v>5624</v>
      </c>
      <c r="H9" s="4770" t="s">
        <v>5625</v>
      </c>
      <c r="I9" s="4769" t="s">
        <v>494</v>
      </c>
      <c r="J9" s="4774" t="str">
        <f t="shared" si="0"/>
        <v>01</v>
      </c>
      <c r="K9" s="4774" t="str">
        <f t="shared" si="1"/>
        <v>CN.003C20</v>
      </c>
      <c r="L9" s="4774" t="str">
        <f t="shared" si="2"/>
        <v>Green Business Certification Inc - 2220038</v>
      </c>
      <c r="M9" s="4774" t="str">
        <f t="shared" si="3"/>
        <v>1TB01006.01.CN.003C20.00</v>
      </c>
      <c r="N9" s="4774" t="str">
        <f t="shared" si="4"/>
        <v>1TB01006.01.CN.003C20.01</v>
      </c>
      <c r="O9" s="4774" t="str">
        <f t="shared" si="5"/>
        <v>1TB01006.01.CN.003C20.02</v>
      </c>
    </row>
    <row r="10" spans="1:15">
      <c r="A10" s="4772" t="s">
        <v>258</v>
      </c>
      <c r="B10" s="4774" t="s">
        <v>5609</v>
      </c>
      <c r="C10" s="4772">
        <v>2230023</v>
      </c>
      <c r="D10" s="4772" t="s">
        <v>1516</v>
      </c>
      <c r="E10" s="4773" t="s">
        <v>2685</v>
      </c>
      <c r="F10" s="4768" t="s">
        <v>5626</v>
      </c>
      <c r="G10" s="4770" t="s">
        <v>91</v>
      </c>
      <c r="H10" s="4770" t="s">
        <v>2684</v>
      </c>
      <c r="I10" s="4769" t="s">
        <v>494</v>
      </c>
      <c r="J10" s="4774" t="str">
        <f t="shared" si="0"/>
        <v>01</v>
      </c>
      <c r="K10" s="4774" t="str">
        <f t="shared" si="1"/>
        <v>CN.003C03</v>
      </c>
      <c r="L10" s="4774" t="str">
        <f t="shared" si="2"/>
        <v>Saudi Arabian Baytur Construction Company - 2230023</v>
      </c>
      <c r="M10" s="4774" t="str">
        <f t="shared" si="3"/>
        <v>1TB01006.01.CN.003C03.00</v>
      </c>
      <c r="N10" s="4774" t="str">
        <f t="shared" si="4"/>
        <v>1TB01006.01.CN.003C03.01</v>
      </c>
      <c r="O10" s="4774" t="str">
        <f t="shared" si="5"/>
        <v>1TB01006.01.CN.003C03.02</v>
      </c>
    </row>
    <row r="11" spans="1:15">
      <c r="A11" s="4772" t="s">
        <v>258</v>
      </c>
      <c r="B11" s="4774" t="s">
        <v>5609</v>
      </c>
      <c r="C11" s="4772">
        <v>2230042</v>
      </c>
      <c r="D11" s="4772" t="s">
        <v>5627</v>
      </c>
      <c r="E11" s="4773" t="s">
        <v>2025</v>
      </c>
      <c r="F11" s="4768" t="s">
        <v>5628</v>
      </c>
      <c r="G11" s="4770" t="s">
        <v>82</v>
      </c>
      <c r="H11" s="4770" t="s">
        <v>5629</v>
      </c>
      <c r="I11" s="4769" t="s">
        <v>472</v>
      </c>
      <c r="J11" s="4774" t="str">
        <f t="shared" si="0"/>
        <v>01</v>
      </c>
      <c r="K11" s="4774" t="str">
        <f t="shared" si="1"/>
        <v>PS.003D05</v>
      </c>
      <c r="L11" s="4774" t="str">
        <f t="shared" si="2"/>
        <v>LANGAN International UK, LTD - 2230042</v>
      </c>
      <c r="M11" s="4774" t="str">
        <f t="shared" si="3"/>
        <v>1TB01006.01.PS.003D05.00</v>
      </c>
      <c r="N11" s="4774" t="str">
        <f t="shared" si="4"/>
        <v>1TB01006.01.PS.003D05.01</v>
      </c>
      <c r="O11" s="4774" t="str">
        <f t="shared" si="5"/>
        <v>1TB01006.01.PS.003D05.02</v>
      </c>
    </row>
    <row r="12" spans="1:15">
      <c r="A12" s="4772" t="s">
        <v>258</v>
      </c>
      <c r="B12" s="4774" t="s">
        <v>5609</v>
      </c>
      <c r="C12" s="4772">
        <v>2230075</v>
      </c>
      <c r="D12" s="4772" t="s">
        <v>1518</v>
      </c>
      <c r="E12" s="4773" t="s">
        <v>5630</v>
      </c>
      <c r="F12" s="4768" t="s">
        <v>1519</v>
      </c>
      <c r="G12" s="4770" t="s">
        <v>91</v>
      </c>
      <c r="H12" s="4770" t="s">
        <v>5631</v>
      </c>
      <c r="I12" s="4769" t="s">
        <v>494</v>
      </c>
      <c r="J12" s="4774" t="str">
        <f t="shared" si="0"/>
        <v>01</v>
      </c>
      <c r="K12" s="4774" t="str">
        <f t="shared" si="1"/>
        <v>CN.003C21</v>
      </c>
      <c r="L12" s="4774" t="str">
        <f t="shared" si="2"/>
        <v>Medtel - W.N - 2230075</v>
      </c>
      <c r="M12" s="4774" t="str">
        <f t="shared" si="3"/>
        <v>1TB01006.01.CN.003C21.00</v>
      </c>
      <c r="N12" s="4774" t="str">
        <f t="shared" si="4"/>
        <v>1TB01006.01.CN.003C21.01</v>
      </c>
      <c r="O12" s="4774" t="str">
        <f t="shared" si="5"/>
        <v>1TB01006.01.CN.003C21.02</v>
      </c>
    </row>
    <row r="13" spans="1:15">
      <c r="A13" s="4772" t="s">
        <v>258</v>
      </c>
      <c r="B13" s="4774" t="s">
        <v>5609</v>
      </c>
      <c r="C13" s="4772">
        <v>2230031</v>
      </c>
      <c r="D13" s="4772" t="s">
        <v>1506</v>
      </c>
      <c r="E13" s="4773" t="s">
        <v>5632</v>
      </c>
      <c r="F13" s="4768" t="s">
        <v>5633</v>
      </c>
      <c r="G13" s="4770" t="s">
        <v>82</v>
      </c>
      <c r="H13" s="4770" t="s">
        <v>5634</v>
      </c>
      <c r="I13" s="4769" t="s">
        <v>485</v>
      </c>
      <c r="J13" s="4774" t="str">
        <f t="shared" si="0"/>
        <v>01</v>
      </c>
      <c r="K13" s="4774" t="str">
        <f t="shared" si="1"/>
        <v>MS.003F02</v>
      </c>
      <c r="L13" s="4774" t="str">
        <f t="shared" si="2"/>
        <v>Saudi Consolidated Engineering Company - Khatib &amp; Alami - 2230031</v>
      </c>
      <c r="M13" s="4774" t="str">
        <f t="shared" si="3"/>
        <v>1TB01006.01.MS.003F02.00</v>
      </c>
      <c r="N13" s="4774" t="str">
        <f t="shared" si="4"/>
        <v>1TB01006.01.MS.003F02.01</v>
      </c>
      <c r="O13" s="4774" t="str">
        <f t="shared" si="5"/>
        <v>1TB01006.01.MS.003F02.02</v>
      </c>
    </row>
    <row r="14" spans="1:15">
      <c r="A14" s="4772" t="s">
        <v>258</v>
      </c>
      <c r="B14" s="4774" t="s">
        <v>5609</v>
      </c>
      <c r="C14" s="4772">
        <v>699226</v>
      </c>
      <c r="D14" s="4772" t="s">
        <v>2177</v>
      </c>
      <c r="E14" s="4773" t="s">
        <v>5635</v>
      </c>
      <c r="F14" s="4768" t="s">
        <v>5636</v>
      </c>
      <c r="G14" s="4770" t="s">
        <v>5624</v>
      </c>
      <c r="H14" s="4770" t="s">
        <v>5637</v>
      </c>
      <c r="I14" s="4769" t="s">
        <v>472</v>
      </c>
      <c r="J14" s="4774" t="str">
        <f t="shared" si="0"/>
        <v>01</v>
      </c>
      <c r="K14" s="4774" t="str">
        <f t="shared" si="1"/>
        <v>PS.003D06</v>
      </c>
      <c r="L14" s="4774" t="str">
        <f t="shared" si="2"/>
        <v>Ministry of Municipality and Rural Affairs - 699226</v>
      </c>
      <c r="M14" s="4774" t="str">
        <f t="shared" si="3"/>
        <v>1TB01006.01.PS.003D06.00</v>
      </c>
      <c r="N14" s="4774" t="str">
        <f t="shared" si="4"/>
        <v>1TB01006.01.PS.003D06.01</v>
      </c>
      <c r="O14" s="4774" t="str">
        <f t="shared" si="5"/>
        <v>1TB01006.01.PS.003D06.02</v>
      </c>
    </row>
    <row r="15" spans="1:15">
      <c r="A15" s="4772" t="s">
        <v>258</v>
      </c>
      <c r="B15" s="4774" t="s">
        <v>5609</v>
      </c>
      <c r="C15" s="4772">
        <v>2230041</v>
      </c>
      <c r="D15" s="4772" t="s">
        <v>1499</v>
      </c>
      <c r="E15" s="4773" t="s">
        <v>5638</v>
      </c>
      <c r="F15" s="4768" t="s">
        <v>5639</v>
      </c>
      <c r="G15" s="4770" t="s">
        <v>82</v>
      </c>
      <c r="H15" s="4770" t="s">
        <v>5640</v>
      </c>
      <c r="I15" s="4769" t="s">
        <v>472</v>
      </c>
      <c r="J15" s="4774" t="str">
        <f t="shared" si="0"/>
        <v>01</v>
      </c>
      <c r="K15" s="4774" t="str">
        <f t="shared" si="1"/>
        <v>PS.003F01</v>
      </c>
      <c r="L15" s="4774" t="str">
        <f t="shared" si="2"/>
        <v>Zuhair Fayez Partnership Consultants (ZFP) - 2230041</v>
      </c>
      <c r="M15" s="4774" t="str">
        <f t="shared" si="3"/>
        <v>1TB01006.01.PS.003F01.00</v>
      </c>
      <c r="N15" s="4774" t="str">
        <f t="shared" si="4"/>
        <v>1TB01006.01.PS.003F01.01</v>
      </c>
      <c r="O15" s="4774" t="str">
        <f t="shared" si="5"/>
        <v>1TB01006.01.PS.003F01.02</v>
      </c>
    </row>
    <row r="16" spans="1:15">
      <c r="A16" s="4772" t="s">
        <v>258</v>
      </c>
      <c r="B16" s="4774" t="s">
        <v>5609</v>
      </c>
      <c r="C16" s="4772">
        <v>2230178</v>
      </c>
      <c r="D16" s="4772" t="s">
        <v>1521</v>
      </c>
      <c r="E16" s="4773" t="s">
        <v>4255</v>
      </c>
      <c r="F16" s="4768" t="s">
        <v>155</v>
      </c>
      <c r="G16" s="4770" t="s">
        <v>91</v>
      </c>
      <c r="H16" s="4770" t="s">
        <v>5641</v>
      </c>
      <c r="I16" s="4769" t="s">
        <v>494</v>
      </c>
      <c r="J16" s="4774" t="str">
        <f t="shared" si="0"/>
        <v>01</v>
      </c>
      <c r="K16" s="4774" t="str">
        <f t="shared" si="1"/>
        <v>CN.003F03</v>
      </c>
      <c r="L16" s="4774" t="str">
        <f t="shared" si="2"/>
        <v>Elevator Systems Contracting Company (ESCCO) - 2230178</v>
      </c>
      <c r="M16" s="4774" t="str">
        <f t="shared" si="3"/>
        <v>1TB01006.01.CN.003F03.00</v>
      </c>
      <c r="N16" s="4774" t="str">
        <f t="shared" si="4"/>
        <v>1TB01006.01.CN.003F03.01</v>
      </c>
      <c r="O16" s="4774" t="str">
        <f t="shared" si="5"/>
        <v>1TB01006.01.CN.003F03.02</v>
      </c>
    </row>
    <row r="17" spans="1:15">
      <c r="A17" s="4772" t="s">
        <v>258</v>
      </c>
      <c r="B17" s="4774" t="s">
        <v>5609</v>
      </c>
      <c r="C17" s="4772">
        <v>2230180</v>
      </c>
      <c r="D17" s="4772" t="s">
        <v>1502</v>
      </c>
      <c r="E17" s="4773" t="s">
        <v>5642</v>
      </c>
      <c r="F17" s="4768" t="s">
        <v>5643</v>
      </c>
      <c r="G17" s="4770" t="s">
        <v>82</v>
      </c>
      <c r="H17" s="4770" t="s">
        <v>5644</v>
      </c>
      <c r="I17" s="4769" t="s">
        <v>472</v>
      </c>
      <c r="J17" s="4774" t="str">
        <f t="shared" si="0"/>
        <v>01</v>
      </c>
      <c r="K17" s="4774" t="str">
        <f t="shared" si="1"/>
        <v>PS.003F04</v>
      </c>
      <c r="L17" s="4774" t="str">
        <f t="shared" si="2"/>
        <v>Jensen Hughes Saudi Arabia, LLC - 2230180</v>
      </c>
      <c r="M17" s="4774" t="str">
        <f t="shared" si="3"/>
        <v>1TB01006.01.PS.003F04.00</v>
      </c>
      <c r="N17" s="4774" t="str">
        <f t="shared" si="4"/>
        <v>1TB01006.01.PS.003F04.01</v>
      </c>
      <c r="O17" s="4774" t="str">
        <f t="shared" si="5"/>
        <v>1TB01006.01.PS.003F04.02</v>
      </c>
    </row>
    <row r="18" spans="1:15">
      <c r="A18" s="4772" t="s">
        <v>258</v>
      </c>
      <c r="B18" s="4774" t="s">
        <v>5609</v>
      </c>
      <c r="C18" s="4772">
        <v>2230205</v>
      </c>
      <c r="D18" s="4772" t="s">
        <v>2008</v>
      </c>
      <c r="E18" s="4773" t="s">
        <v>3150</v>
      </c>
      <c r="F18" s="4768" t="s">
        <v>5645</v>
      </c>
      <c r="G18" s="4770" t="s">
        <v>91</v>
      </c>
      <c r="H18" s="4770" t="s">
        <v>1999</v>
      </c>
      <c r="I18" s="4769" t="s">
        <v>494</v>
      </c>
      <c r="J18" s="4774" t="str">
        <f t="shared" si="0"/>
        <v>01</v>
      </c>
      <c r="K18" s="4774" t="str">
        <f t="shared" si="1"/>
        <v>CN.003C08</v>
      </c>
      <c r="L18" s="4774" t="str">
        <f t="shared" si="2"/>
        <v>Abdulaziz Al Raqtan and Partners Company for Trading and Industry Company - 2230205</v>
      </c>
      <c r="M18" s="4774" t="str">
        <f t="shared" si="3"/>
        <v>1TB01006.01.CN.003C08.00</v>
      </c>
      <c r="N18" s="4774" t="str">
        <f t="shared" si="4"/>
        <v>1TB01006.01.CN.003C08.01</v>
      </c>
      <c r="O18" s="4774" t="str">
        <f t="shared" si="5"/>
        <v>1TB01006.01.CN.003C08.02</v>
      </c>
    </row>
    <row r="19" spans="1:15">
      <c r="A19" s="4772" t="s">
        <v>258</v>
      </c>
      <c r="B19" s="4774" t="s">
        <v>5609</v>
      </c>
      <c r="C19" s="4772">
        <v>2230416</v>
      </c>
      <c r="D19" s="4772" t="s">
        <v>2559</v>
      </c>
      <c r="E19" s="4773" t="s">
        <v>3535</v>
      </c>
      <c r="F19" s="4768" t="s">
        <v>2558</v>
      </c>
      <c r="G19" s="4770" t="s">
        <v>91</v>
      </c>
      <c r="H19" s="4770" t="s">
        <v>5646</v>
      </c>
      <c r="I19" s="4769" t="s">
        <v>494</v>
      </c>
      <c r="J19" s="4774" t="str">
        <f t="shared" si="0"/>
        <v>01</v>
      </c>
      <c r="K19" s="4774" t="str">
        <f t="shared" si="1"/>
        <v>CN.003C09</v>
      </c>
      <c r="L19" s="4774" t="str">
        <f t="shared" si="2"/>
        <v>DEPA Saudi Arabia for Contracting and Interior Decoration Co. Ltd - 2230416</v>
      </c>
      <c r="M19" s="4774" t="str">
        <f t="shared" si="3"/>
        <v>1TB01006.01.CN.003C09.00</v>
      </c>
      <c r="N19" s="4774" t="str">
        <f t="shared" si="4"/>
        <v>1TB01006.01.CN.003C09.01</v>
      </c>
      <c r="O19" s="4774" t="str">
        <f t="shared" si="5"/>
        <v>1TB01006.01.CN.003C09.02</v>
      </c>
    </row>
    <row r="20" spans="1:15">
      <c r="A20" s="4772" t="s">
        <v>258</v>
      </c>
      <c r="B20" s="4774" t="s">
        <v>5609</v>
      </c>
      <c r="C20" s="4772">
        <v>2240110</v>
      </c>
      <c r="D20" s="4772" t="s">
        <v>2743</v>
      </c>
      <c r="E20" s="4773" t="s">
        <v>4986</v>
      </c>
      <c r="F20" s="4768" t="s">
        <v>2742</v>
      </c>
      <c r="G20" s="4770" t="s">
        <v>91</v>
      </c>
      <c r="H20" s="4770" t="s">
        <v>5647</v>
      </c>
      <c r="I20" s="4769" t="s">
        <v>494</v>
      </c>
      <c r="J20" s="4774" t="str">
        <f t="shared" si="0"/>
        <v>01</v>
      </c>
      <c r="K20" s="4774" t="str">
        <f t="shared" si="1"/>
        <v>CN.003C27</v>
      </c>
      <c r="L20" s="4774" t="str">
        <f t="shared" si="2"/>
        <v>Aluminium Technology Auxiliary Industries (Alutec) WLL - 2240110</v>
      </c>
      <c r="M20" s="4774" t="str">
        <f t="shared" si="3"/>
        <v>1TB01006.01.CN.003C27.00</v>
      </c>
      <c r="N20" s="4774" t="str">
        <f t="shared" si="4"/>
        <v>1TB01006.01.CN.003C27.01</v>
      </c>
      <c r="O20" s="4774" t="str">
        <f t="shared" si="5"/>
        <v>1TB01006.01.CN.003C27.02</v>
      </c>
    </row>
    <row r="21" spans="1:15">
      <c r="A21" s="4772" t="s">
        <v>258</v>
      </c>
      <c r="B21" s="4774" t="s">
        <v>5609</v>
      </c>
      <c r="C21" s="4772">
        <v>2240357</v>
      </c>
      <c r="D21" s="4772" t="s">
        <v>4484</v>
      </c>
      <c r="E21" s="4773" t="s">
        <v>5648</v>
      </c>
      <c r="F21" s="4768" t="s">
        <v>5649</v>
      </c>
      <c r="G21" s="4770" t="s">
        <v>82</v>
      </c>
      <c r="H21" s="4770" t="s">
        <v>5650</v>
      </c>
      <c r="I21" s="4769" t="s">
        <v>472</v>
      </c>
      <c r="J21" s="4774" t="str">
        <f t="shared" si="0"/>
        <v>01</v>
      </c>
      <c r="K21" s="4774" t="str">
        <f t="shared" si="1"/>
        <v>PS.003F07</v>
      </c>
      <c r="L21" s="4774" t="str">
        <f t="shared" si="2"/>
        <v>Euro Consult For Engineering Consultancy - 2240357</v>
      </c>
      <c r="M21" s="4774" t="str">
        <f t="shared" si="3"/>
        <v>1TB01006.01.PS.003F07.00</v>
      </c>
      <c r="N21" s="4774" t="str">
        <f t="shared" si="4"/>
        <v>1TB01006.01.PS.003F07.01</v>
      </c>
      <c r="O21" s="4774" t="str">
        <f t="shared" si="5"/>
        <v>1TB01006.01.PS.003F07.02</v>
      </c>
    </row>
    <row r="22" spans="1:15">
      <c r="A22" s="4772" t="s">
        <v>258</v>
      </c>
      <c r="B22" s="4774" t="s">
        <v>5609</v>
      </c>
      <c r="C22" s="4772">
        <v>2240202</v>
      </c>
      <c r="D22" s="4772" t="s">
        <v>3096</v>
      </c>
      <c r="E22" s="4773" t="s">
        <v>5651</v>
      </c>
      <c r="F22" s="4768" t="s">
        <v>5652</v>
      </c>
      <c r="G22" s="4770" t="s">
        <v>82</v>
      </c>
      <c r="H22" s="4770" t="s">
        <v>5653</v>
      </c>
      <c r="I22" s="4769" t="s">
        <v>5654</v>
      </c>
      <c r="J22" s="4774" t="str">
        <f t="shared" si="0"/>
        <v>01</v>
      </c>
      <c r="K22" s="4774" t="str">
        <f t="shared" si="1"/>
        <v>FFEOSE.003F06</v>
      </c>
      <c r="L22" s="4774" t="str">
        <f t="shared" si="2"/>
        <v>Areen Design Limited - 2240202</v>
      </c>
      <c r="M22" s="4774" t="str">
        <f t="shared" si="3"/>
        <v>1TB01006.01.FFEOSE.003F06.00</v>
      </c>
      <c r="N22" s="4774" t="str">
        <f t="shared" si="4"/>
        <v>1TB01006.01.FFEOSE.003F06.01</v>
      </c>
      <c r="O22" s="4774" t="str">
        <f t="shared" si="5"/>
        <v>1TB01006.01.FFEOSE.003F06.02</v>
      </c>
    </row>
    <row r="23" spans="1:15">
      <c r="A23" s="4772" t="s">
        <v>258</v>
      </c>
      <c r="B23" s="4774" t="s">
        <v>5609</v>
      </c>
      <c r="C23" s="4772">
        <v>2240377</v>
      </c>
      <c r="D23" s="4772" t="s">
        <v>3588</v>
      </c>
      <c r="E23" s="4773" t="s">
        <v>3553</v>
      </c>
      <c r="F23" s="4768" t="s">
        <v>2965</v>
      </c>
      <c r="G23" s="4770" t="s">
        <v>82</v>
      </c>
      <c r="H23" s="4770" t="s">
        <v>5655</v>
      </c>
      <c r="I23" s="4769" t="s">
        <v>472</v>
      </c>
      <c r="J23" s="4774" t="str">
        <f t="shared" si="0"/>
        <v>01</v>
      </c>
      <c r="K23" s="4774" t="str">
        <f t="shared" si="1"/>
        <v>PS.003F08</v>
      </c>
      <c r="L23" s="4774" t="str">
        <f t="shared" si="2"/>
        <v>CML International Saudi LLC - 2240377</v>
      </c>
      <c r="M23" s="4774" t="str">
        <f t="shared" si="3"/>
        <v>1TB01006.01.PS.003F08.00</v>
      </c>
      <c r="N23" s="4774" t="str">
        <f t="shared" si="4"/>
        <v>1TB01006.01.PS.003F08.01</v>
      </c>
      <c r="O23" s="4774" t="str">
        <f t="shared" si="5"/>
        <v>1TB01006.01.PS.003F08.02</v>
      </c>
    </row>
    <row r="24" spans="1:15">
      <c r="A24" s="4772" t="s">
        <v>258</v>
      </c>
      <c r="B24" s="4774" t="s">
        <v>5609</v>
      </c>
      <c r="C24" s="4772">
        <v>2240427</v>
      </c>
      <c r="D24" s="4772" t="s">
        <v>3471</v>
      </c>
      <c r="E24" s="4773" t="s">
        <v>5656</v>
      </c>
      <c r="F24" s="4768" t="s">
        <v>3128</v>
      </c>
      <c r="G24" s="4770" t="s">
        <v>91</v>
      </c>
      <c r="H24" s="4770" t="s">
        <v>5657</v>
      </c>
      <c r="I24" s="4769" t="s">
        <v>494</v>
      </c>
      <c r="J24" s="4774" t="str">
        <f t="shared" si="0"/>
        <v>01</v>
      </c>
      <c r="K24" s="4774" t="str">
        <f t="shared" si="1"/>
        <v>CN.003C31</v>
      </c>
      <c r="L24" s="4774" t="str">
        <f t="shared" si="2"/>
        <v>MAS Engineering &amp; Construction Company LTD - 2240427</v>
      </c>
      <c r="M24" s="4774" t="str">
        <f t="shared" si="3"/>
        <v>1TB01006.01.CN.003C31.00</v>
      </c>
      <c r="N24" s="4774" t="str">
        <f t="shared" si="4"/>
        <v>1TB01006.01.CN.003C31.01</v>
      </c>
      <c r="O24" s="4774" t="str">
        <f t="shared" si="5"/>
        <v>1TB01006.01.CN.003C31.02</v>
      </c>
    </row>
    <row r="25" spans="1:15">
      <c r="A25" s="4772" t="s">
        <v>258</v>
      </c>
      <c r="B25" s="4774" t="s">
        <v>5609</v>
      </c>
      <c r="C25" s="4772">
        <v>2240461</v>
      </c>
      <c r="D25" s="4772" t="s">
        <v>3472</v>
      </c>
      <c r="E25" s="4773" t="s">
        <v>5656</v>
      </c>
      <c r="F25" s="4768" t="s">
        <v>3128</v>
      </c>
      <c r="G25" s="4770" t="s">
        <v>91</v>
      </c>
      <c r="H25" s="4770" t="s">
        <v>5658</v>
      </c>
      <c r="I25" s="4769" t="s">
        <v>494</v>
      </c>
      <c r="J25" s="4774" t="str">
        <f t="shared" si="0"/>
        <v>01</v>
      </c>
      <c r="K25" s="4774" t="str">
        <f t="shared" si="1"/>
        <v>CN.003C32</v>
      </c>
      <c r="L25" s="4774" t="str">
        <f t="shared" si="2"/>
        <v>MAS Engineering &amp; Construction Company LTD - 2240461</v>
      </c>
      <c r="M25" s="4774" t="str">
        <f t="shared" si="3"/>
        <v>1TB01006.01.CN.003C32.00</v>
      </c>
      <c r="N25" s="4774" t="str">
        <f t="shared" si="4"/>
        <v>1TB01006.01.CN.003C32.01</v>
      </c>
      <c r="O25" s="4774" t="str">
        <f t="shared" si="5"/>
        <v>1TB01006.01.CN.003C32.02</v>
      </c>
    </row>
    <row r="26" spans="1:15">
      <c r="A26" s="4772" t="s">
        <v>258</v>
      </c>
      <c r="B26" s="4774" t="s">
        <v>5609</v>
      </c>
      <c r="C26" s="4772">
        <v>2250012</v>
      </c>
      <c r="D26" s="4772" t="s">
        <v>3584</v>
      </c>
      <c r="E26" s="4773" t="s">
        <v>5659</v>
      </c>
      <c r="F26" s="4768" t="s">
        <v>5660</v>
      </c>
      <c r="G26" s="4770" t="s">
        <v>91</v>
      </c>
      <c r="H26" s="4770" t="s">
        <v>5661</v>
      </c>
      <c r="I26" s="4769" t="s">
        <v>494</v>
      </c>
      <c r="J26" s="4774" t="str">
        <f t="shared" si="0"/>
        <v>01</v>
      </c>
      <c r="K26" s="4774" t="str">
        <f t="shared" si="1"/>
        <v>CN.003C34</v>
      </c>
      <c r="L26" s="4774" t="str">
        <f t="shared" si="2"/>
        <v>Alfanar Company - 2250012</v>
      </c>
      <c r="M26" s="4774" t="str">
        <f t="shared" si="3"/>
        <v>1TB01006.01.CN.003C34.00</v>
      </c>
      <c r="N26" s="4774" t="str">
        <f t="shared" si="4"/>
        <v>1TB01006.01.CN.003C34.01</v>
      </c>
      <c r="O26" s="4774" t="str">
        <f t="shared" si="5"/>
        <v>1TB01006.01.CN.003C34.02</v>
      </c>
    </row>
    <row r="27" spans="1:15">
      <c r="A27" s="4772" t="s">
        <v>258</v>
      </c>
      <c r="B27" s="4774" t="s">
        <v>5609</v>
      </c>
      <c r="C27" s="4772">
        <v>2250084</v>
      </c>
      <c r="D27" s="4772" t="s">
        <v>4507</v>
      </c>
      <c r="E27" s="4773" t="s">
        <v>5662</v>
      </c>
      <c r="F27" s="4768" t="s">
        <v>3216</v>
      </c>
      <c r="G27" s="4770" t="s">
        <v>91</v>
      </c>
      <c r="H27" s="4770" t="s">
        <v>5663</v>
      </c>
      <c r="I27" s="4769" t="s">
        <v>494</v>
      </c>
      <c r="J27" s="4774" t="str">
        <f t="shared" si="0"/>
        <v>01</v>
      </c>
      <c r="K27" s="4774" t="str">
        <f t="shared" si="1"/>
        <v>CN.003C33</v>
      </c>
      <c r="L27" s="4774" t="str">
        <f t="shared" si="2"/>
        <v>Armetal Metal Industries Co. Ltd - 2250084</v>
      </c>
      <c r="M27" s="4774" t="str">
        <f t="shared" si="3"/>
        <v>1TB01006.01.CN.003C33.00</v>
      </c>
      <c r="N27" s="4774" t="str">
        <f t="shared" si="4"/>
        <v>1TB01006.01.CN.003C33.01</v>
      </c>
      <c r="O27" s="4774" t="str">
        <f t="shared" si="5"/>
        <v>1TB01006.01.CN.003C33.02</v>
      </c>
    </row>
    <row r="28" spans="1:15">
      <c r="A28" s="4772" t="s">
        <v>258</v>
      </c>
      <c r="B28" s="4774" t="s">
        <v>5609</v>
      </c>
      <c r="C28" s="4772">
        <v>2250010</v>
      </c>
      <c r="D28" s="4772" t="s">
        <v>5664</v>
      </c>
      <c r="E28" s="4773" t="s">
        <v>5665</v>
      </c>
      <c r="F28" s="4768" t="s">
        <v>5666</v>
      </c>
      <c r="G28" s="4770" t="s">
        <v>91</v>
      </c>
      <c r="H28" s="4770" t="s">
        <v>5667</v>
      </c>
      <c r="I28" s="4769" t="s">
        <v>494</v>
      </c>
      <c r="J28" s="4774" t="str">
        <f t="shared" si="0"/>
        <v>01</v>
      </c>
      <c r="K28" s="4774" t="str">
        <f t="shared" si="1"/>
        <v>CN.003C36</v>
      </c>
      <c r="L28" s="4774" t="str">
        <f t="shared" si="2"/>
        <v>Al Rajhi Company For Cooperative Insurance - 2250010</v>
      </c>
      <c r="M28" s="4774" t="str">
        <f t="shared" si="3"/>
        <v>1TB01006.01.CN.003C36.00</v>
      </c>
      <c r="N28" s="4774" t="str">
        <f t="shared" si="4"/>
        <v>1TB01006.01.CN.003C36.01</v>
      </c>
      <c r="O28" s="4774" t="str">
        <f t="shared" si="5"/>
        <v>1TB01006.01.CN.003C36.02</v>
      </c>
    </row>
    <row r="29" spans="1:15">
      <c r="A29" s="4772" t="s">
        <v>258</v>
      </c>
      <c r="B29" s="4774" t="s">
        <v>5609</v>
      </c>
      <c r="C29" s="4772">
        <v>2250069</v>
      </c>
      <c r="D29" s="4772" t="s">
        <v>5668</v>
      </c>
      <c r="E29" s="4773" t="s">
        <v>5669</v>
      </c>
      <c r="F29" s="4768" t="s">
        <v>5670</v>
      </c>
      <c r="G29" s="4770" t="s">
        <v>91</v>
      </c>
      <c r="H29" s="4770" t="s">
        <v>5671</v>
      </c>
      <c r="I29" s="4769" t="s">
        <v>494</v>
      </c>
      <c r="J29" s="4774" t="str">
        <f t="shared" si="0"/>
        <v>01</v>
      </c>
      <c r="K29" s="4774" t="str">
        <f t="shared" si="1"/>
        <v>CN.003C35</v>
      </c>
      <c r="L29" s="4774" t="str">
        <f t="shared" si="2"/>
        <v>Abu Dhabi Precast LLC - 2250069</v>
      </c>
      <c r="M29" s="4774" t="str">
        <f t="shared" si="3"/>
        <v>1TB01006.01.CN.003C35.00</v>
      </c>
      <c r="N29" s="4774" t="str">
        <f t="shared" si="4"/>
        <v>1TB01006.01.CN.003C35.01</v>
      </c>
      <c r="O29" s="4774" t="str">
        <f t="shared" si="5"/>
        <v>1TB01006.01.CN.003C35.02</v>
      </c>
    </row>
    <row r="30" spans="1:15">
      <c r="A30" s="4772" t="s">
        <v>258</v>
      </c>
      <c r="B30" s="4774" t="s">
        <v>5609</v>
      </c>
      <c r="C30" s="4772">
        <v>2250063</v>
      </c>
      <c r="D30" s="4772" t="s">
        <v>4485</v>
      </c>
      <c r="E30" s="4773" t="s">
        <v>5648</v>
      </c>
      <c r="F30" s="4768" t="s">
        <v>5649</v>
      </c>
      <c r="G30" s="4770" t="s">
        <v>82</v>
      </c>
      <c r="H30" s="4770" t="s">
        <v>5672</v>
      </c>
      <c r="I30" s="4769" t="s">
        <v>472</v>
      </c>
      <c r="J30" s="4774" t="str">
        <f t="shared" si="0"/>
        <v>01</v>
      </c>
      <c r="K30" s="4774" t="str">
        <f t="shared" si="1"/>
        <v>PS.003F09</v>
      </c>
      <c r="L30" s="4774" t="str">
        <f t="shared" si="2"/>
        <v>Euro Consult For Engineering Consultancy - 2250063</v>
      </c>
      <c r="M30" s="4774" t="str">
        <f t="shared" si="3"/>
        <v>1TB01006.01.PS.003F09.00</v>
      </c>
      <c r="N30" s="4774" t="str">
        <f t="shared" si="4"/>
        <v>1TB01006.01.PS.003F09.01</v>
      </c>
      <c r="O30" s="4774" t="str">
        <f t="shared" si="5"/>
        <v>1TB01006.01.PS.003F09.02</v>
      </c>
    </row>
    <row r="31" spans="1:15">
      <c r="A31" s="4772" t="s">
        <v>258</v>
      </c>
      <c r="B31" s="4774" t="s">
        <v>5609</v>
      </c>
      <c r="C31" s="4772">
        <v>2250145</v>
      </c>
      <c r="D31" s="4772" t="s">
        <v>4505</v>
      </c>
      <c r="E31" s="4773" t="s">
        <v>5673</v>
      </c>
      <c r="F31" s="4768" t="s">
        <v>5674</v>
      </c>
      <c r="G31" s="4770" t="s">
        <v>91</v>
      </c>
      <c r="H31" s="4770" t="s">
        <v>4502</v>
      </c>
      <c r="I31" s="4769" t="s">
        <v>494</v>
      </c>
      <c r="J31" s="4774" t="str">
        <f t="shared" si="0"/>
        <v>01</v>
      </c>
      <c r="K31" s="4774" t="str">
        <f t="shared" si="1"/>
        <v>CN.003C37</v>
      </c>
      <c r="L31" s="4774" t="str">
        <f t="shared" si="2"/>
        <v>Hassan Allam Construction Saudi Limited - 2250145</v>
      </c>
      <c r="M31" s="4774" t="str">
        <f t="shared" si="3"/>
        <v>1TB01006.01.CN.003C37.00</v>
      </c>
      <c r="N31" s="4774" t="str">
        <f t="shared" si="4"/>
        <v>1TB01006.01.CN.003C37.01</v>
      </c>
      <c r="O31" s="4774" t="str">
        <f t="shared" si="5"/>
        <v>1TB01006.01.CN.003C37.02</v>
      </c>
    </row>
    <row r="32" spans="1:15">
      <c r="A32" s="4772" t="s">
        <v>258</v>
      </c>
      <c r="B32" s="4774" t="s">
        <v>5609</v>
      </c>
      <c r="C32" s="4772" t="s">
        <v>5675</v>
      </c>
      <c r="D32" s="4772" t="s">
        <v>5676</v>
      </c>
      <c r="E32" s="4773" t="s">
        <v>5677</v>
      </c>
      <c r="F32" s="4768" t="s">
        <v>5678</v>
      </c>
      <c r="G32" s="4770" t="s">
        <v>91</v>
      </c>
      <c r="H32" s="4770" t="s">
        <v>5679</v>
      </c>
      <c r="I32" s="4769" t="s">
        <v>494</v>
      </c>
      <c r="J32" s="4774" t="str">
        <f t="shared" si="0"/>
        <v>01</v>
      </c>
      <c r="K32" s="4774" t="str">
        <f t="shared" si="1"/>
        <v>CN.003C66</v>
      </c>
      <c r="L32" s="4774" t="str">
        <f t="shared" si="2"/>
        <v>Sami General Contracting Est. - BAYTUR_PAYMENT</v>
      </c>
      <c r="M32" s="4774" t="str">
        <f t="shared" si="3"/>
        <v>1TB01006.01.CN.003C66.00</v>
      </c>
      <c r="N32" s="4774" t="str">
        <f t="shared" si="4"/>
        <v>1TB01006.01.CN.003C66.01</v>
      </c>
      <c r="O32" s="4774" t="str">
        <f t="shared" si="5"/>
        <v>1TB01006.01.CN.003C66.02</v>
      </c>
    </row>
    <row r="33" spans="1:15">
      <c r="A33" s="4772" t="s">
        <v>258</v>
      </c>
      <c r="B33" s="4774" t="s">
        <v>5609</v>
      </c>
      <c r="C33" s="4772" t="s">
        <v>5675</v>
      </c>
      <c r="D33" s="4772" t="s">
        <v>5680</v>
      </c>
      <c r="E33" s="4773" t="s">
        <v>5681</v>
      </c>
      <c r="F33" s="4768" t="s">
        <v>5682</v>
      </c>
      <c r="G33" s="4770" t="s">
        <v>91</v>
      </c>
      <c r="H33" s="4770" t="s">
        <v>5679</v>
      </c>
      <c r="I33" s="4769" t="s">
        <v>494</v>
      </c>
      <c r="J33" s="4774" t="str">
        <f t="shared" si="0"/>
        <v>01</v>
      </c>
      <c r="K33" s="4774" t="str">
        <f t="shared" si="1"/>
        <v>CN.003C42</v>
      </c>
      <c r="L33" s="4774" t="str">
        <f t="shared" si="2"/>
        <v>Saad Al Easa - Metal Industry - BAYTUR_PAYMENT</v>
      </c>
      <c r="M33" s="4774" t="str">
        <f t="shared" si="3"/>
        <v>1TB01006.01.CN.003C42.00</v>
      </c>
      <c r="N33" s="4774" t="str">
        <f t="shared" si="4"/>
        <v>1TB01006.01.CN.003C42.01</v>
      </c>
      <c r="O33" s="4774" t="str">
        <f t="shared" si="5"/>
        <v>1TB01006.01.CN.003C42.02</v>
      </c>
    </row>
    <row r="34" spans="1:15">
      <c r="A34" s="4772" t="s">
        <v>258</v>
      </c>
      <c r="B34" s="4774" t="s">
        <v>5609</v>
      </c>
      <c r="C34" s="4772" t="s">
        <v>5675</v>
      </c>
      <c r="D34" s="4772" t="s">
        <v>5683</v>
      </c>
      <c r="E34" s="4773" t="s">
        <v>5684</v>
      </c>
      <c r="F34" s="4768" t="s">
        <v>5685</v>
      </c>
      <c r="G34" s="4770" t="s">
        <v>91</v>
      </c>
      <c r="H34" s="4770" t="s">
        <v>5679</v>
      </c>
      <c r="I34" s="4769" t="s">
        <v>494</v>
      </c>
      <c r="J34" s="4774" t="str">
        <f t="shared" si="0"/>
        <v>01</v>
      </c>
      <c r="K34" s="4774" t="str">
        <f t="shared" si="1"/>
        <v>CN.003C70</v>
      </c>
      <c r="L34" s="4774" t="str">
        <f t="shared" si="2"/>
        <v>Aldrees Petroleum and Transport Services Company - BAYTUR_PAYMENT</v>
      </c>
      <c r="M34" s="4774" t="str">
        <f t="shared" si="3"/>
        <v>1TB01006.01.CN.003C70.00</v>
      </c>
      <c r="N34" s="4774" t="str">
        <f t="shared" si="4"/>
        <v>1TB01006.01.CN.003C70.01</v>
      </c>
      <c r="O34" s="4774" t="str">
        <f t="shared" si="5"/>
        <v>1TB01006.01.CN.003C70.02</v>
      </c>
    </row>
    <row r="35" spans="1:15">
      <c r="A35" s="4772" t="s">
        <v>258</v>
      </c>
      <c r="B35" s="4774" t="s">
        <v>5609</v>
      </c>
      <c r="C35" s="4772" t="s">
        <v>5675</v>
      </c>
      <c r="D35" s="4772" t="s">
        <v>5686</v>
      </c>
      <c r="E35" s="4773" t="s">
        <v>5687</v>
      </c>
      <c r="F35" s="4768" t="s">
        <v>5688</v>
      </c>
      <c r="G35" s="4770" t="s">
        <v>91</v>
      </c>
      <c r="H35" s="4770" t="s">
        <v>5679</v>
      </c>
      <c r="I35" s="4769" t="s">
        <v>494</v>
      </c>
      <c r="J35" s="4774" t="str">
        <f t="shared" si="0"/>
        <v>01</v>
      </c>
      <c r="K35" s="4774" t="str">
        <f t="shared" si="1"/>
        <v>CN.003C69</v>
      </c>
      <c r="L35" s="4774" t="str">
        <f t="shared" si="2"/>
        <v>Salim Hamed Cleaning - BAYTUR_PAYMENT</v>
      </c>
      <c r="M35" s="4774" t="str">
        <f t="shared" si="3"/>
        <v>1TB01006.01.CN.003C69.00</v>
      </c>
      <c r="N35" s="4774" t="str">
        <f t="shared" si="4"/>
        <v>1TB01006.01.CN.003C69.01</v>
      </c>
      <c r="O35" s="4774" t="str">
        <f t="shared" si="5"/>
        <v>1TB01006.01.CN.003C69.02</v>
      </c>
    </row>
    <row r="36" spans="1:15">
      <c r="A36" s="4772" t="s">
        <v>258</v>
      </c>
      <c r="B36" s="4774" t="s">
        <v>5609</v>
      </c>
      <c r="C36" s="4772" t="s">
        <v>5675</v>
      </c>
      <c r="D36" s="4772" t="s">
        <v>5689</v>
      </c>
      <c r="E36" s="4773" t="s">
        <v>5690</v>
      </c>
      <c r="F36" s="4768" t="s">
        <v>5691</v>
      </c>
      <c r="G36" s="4770" t="s">
        <v>91</v>
      </c>
      <c r="H36" s="4770" t="s">
        <v>5679</v>
      </c>
      <c r="I36" s="4769" t="s">
        <v>494</v>
      </c>
      <c r="J36" s="4774" t="str">
        <f t="shared" si="0"/>
        <v>01</v>
      </c>
      <c r="K36" s="4774" t="str">
        <f t="shared" si="1"/>
        <v>CN.003C65</v>
      </c>
      <c r="L36" s="4774" t="str">
        <f t="shared" si="2"/>
        <v>Eastern Horizon Foundation Transportation Comp. - BAYTUR_PAYMENT</v>
      </c>
      <c r="M36" s="4774" t="str">
        <f t="shared" si="3"/>
        <v>1TB01006.01.CN.003C65.00</v>
      </c>
      <c r="N36" s="4774" t="str">
        <f t="shared" si="4"/>
        <v>1TB01006.01.CN.003C65.01</v>
      </c>
      <c r="O36" s="4774" t="str">
        <f t="shared" si="5"/>
        <v>1TB01006.01.CN.003C65.02</v>
      </c>
    </row>
    <row r="37" spans="1:15">
      <c r="A37" s="4772" t="s">
        <v>258</v>
      </c>
      <c r="B37" s="4774" t="s">
        <v>5609</v>
      </c>
      <c r="C37" s="4772" t="s">
        <v>5675</v>
      </c>
      <c r="D37" s="4772" t="s">
        <v>5692</v>
      </c>
      <c r="E37" s="4773" t="s">
        <v>5693</v>
      </c>
      <c r="F37" s="4768" t="s">
        <v>5694</v>
      </c>
      <c r="G37" s="4770" t="s">
        <v>91</v>
      </c>
      <c r="H37" s="4770" t="s">
        <v>5679</v>
      </c>
      <c r="I37" s="4769" t="s">
        <v>494</v>
      </c>
      <c r="J37" s="4774" t="str">
        <f t="shared" si="0"/>
        <v>01</v>
      </c>
      <c r="K37" s="4774" t="str">
        <f t="shared" si="1"/>
        <v>CN.003C64</v>
      </c>
      <c r="L37" s="4774" t="str">
        <f t="shared" si="2"/>
        <v>JAK Generation Cont. Co. LLC - BAYTUR_PAYMENT</v>
      </c>
      <c r="M37" s="4774" t="str">
        <f t="shared" si="3"/>
        <v>1TB01006.01.CN.003C64.00</v>
      </c>
      <c r="N37" s="4774" t="str">
        <f t="shared" si="4"/>
        <v>1TB01006.01.CN.003C64.01</v>
      </c>
      <c r="O37" s="4774" t="str">
        <f t="shared" si="5"/>
        <v>1TB01006.01.CN.003C64.02</v>
      </c>
    </row>
    <row r="38" spans="1:15">
      <c r="A38" s="4772" t="s">
        <v>258</v>
      </c>
      <c r="B38" s="4774" t="s">
        <v>5609</v>
      </c>
      <c r="C38" s="4772" t="s">
        <v>5675</v>
      </c>
      <c r="D38" s="4772" t="s">
        <v>5695</v>
      </c>
      <c r="E38" s="4773" t="s">
        <v>5696</v>
      </c>
      <c r="F38" s="4768" t="s">
        <v>5697</v>
      </c>
      <c r="G38" s="4770" t="s">
        <v>91</v>
      </c>
      <c r="H38" s="4770" t="s">
        <v>5679</v>
      </c>
      <c r="I38" s="4769" t="s">
        <v>494</v>
      </c>
      <c r="J38" s="4774" t="str">
        <f t="shared" si="0"/>
        <v>01</v>
      </c>
      <c r="K38" s="4774" t="str">
        <f t="shared" si="1"/>
        <v>CN.003C67</v>
      </c>
      <c r="L38" s="4774" t="str">
        <f t="shared" si="2"/>
        <v>Clean Coast For Contracting - BAYTUR_PAYMENT</v>
      </c>
      <c r="M38" s="4774" t="str">
        <f t="shared" si="3"/>
        <v>1TB01006.01.CN.003C67.00</v>
      </c>
      <c r="N38" s="4774" t="str">
        <f t="shared" si="4"/>
        <v>1TB01006.01.CN.003C67.01</v>
      </c>
      <c r="O38" s="4774" t="str">
        <f t="shared" si="5"/>
        <v>1TB01006.01.CN.003C67.02</v>
      </c>
    </row>
    <row r="39" spans="1:15">
      <c r="A39" s="4772" t="s">
        <v>258</v>
      </c>
      <c r="B39" s="4774" t="s">
        <v>5609</v>
      </c>
      <c r="C39" s="4772" t="s">
        <v>5675</v>
      </c>
      <c r="D39" s="4772" t="s">
        <v>5698</v>
      </c>
      <c r="E39" s="4773" t="s">
        <v>5699</v>
      </c>
      <c r="F39" s="4768" t="s">
        <v>5700</v>
      </c>
      <c r="G39" s="4770" t="s">
        <v>91</v>
      </c>
      <c r="H39" s="4770" t="s">
        <v>5679</v>
      </c>
      <c r="I39" s="4769" t="s">
        <v>494</v>
      </c>
      <c r="J39" s="4774" t="str">
        <f t="shared" si="0"/>
        <v>01</v>
      </c>
      <c r="K39" s="4774" t="str">
        <f t="shared" si="1"/>
        <v>CN.003C61</v>
      </c>
      <c r="L39" s="4774" t="str">
        <f t="shared" si="2"/>
        <v>Al Rai Modern Water Factory - BAYTUR_PAYMENT</v>
      </c>
      <c r="M39" s="4774" t="str">
        <f t="shared" si="3"/>
        <v>1TB01006.01.CN.003C61.00</v>
      </c>
      <c r="N39" s="4774" t="str">
        <f t="shared" si="4"/>
        <v>1TB01006.01.CN.003C61.01</v>
      </c>
      <c r="O39" s="4774" t="str">
        <f t="shared" si="5"/>
        <v>1TB01006.01.CN.003C61.02</v>
      </c>
    </row>
    <row r="40" spans="1:15">
      <c r="A40" s="4772" t="s">
        <v>258</v>
      </c>
      <c r="B40" s="4774" t="s">
        <v>5609</v>
      </c>
      <c r="C40" s="4772" t="s">
        <v>5675</v>
      </c>
      <c r="D40" s="4772" t="s">
        <v>5701</v>
      </c>
      <c r="E40" s="4773" t="s">
        <v>5702</v>
      </c>
      <c r="F40" s="4768" t="s">
        <v>5703</v>
      </c>
      <c r="G40" s="4770" t="s">
        <v>91</v>
      </c>
      <c r="H40" s="4770" t="s">
        <v>5679</v>
      </c>
      <c r="I40" s="4769" t="s">
        <v>494</v>
      </c>
      <c r="J40" s="4774" t="str">
        <f t="shared" si="0"/>
        <v>01</v>
      </c>
      <c r="K40" s="4774" t="str">
        <f t="shared" si="1"/>
        <v>CN.003C57</v>
      </c>
      <c r="L40" s="4774" t="str">
        <f t="shared" si="2"/>
        <v>Juffali Technical Equipment Company - BAYTUR_PAYMENT</v>
      </c>
      <c r="M40" s="4774" t="str">
        <f t="shared" si="3"/>
        <v>1TB01006.01.CN.003C57.00</v>
      </c>
      <c r="N40" s="4774" t="str">
        <f t="shared" si="4"/>
        <v>1TB01006.01.CN.003C57.01</v>
      </c>
      <c r="O40" s="4774" t="str">
        <f t="shared" si="5"/>
        <v>1TB01006.01.CN.003C57.02</v>
      </c>
    </row>
    <row r="41" spans="1:15">
      <c r="A41" s="4772" t="s">
        <v>258</v>
      </c>
      <c r="B41" s="4774" t="s">
        <v>5609</v>
      </c>
      <c r="C41" s="4772" t="s">
        <v>5675</v>
      </c>
      <c r="D41" s="4772" t="s">
        <v>5704</v>
      </c>
      <c r="E41" s="4773" t="s">
        <v>5705</v>
      </c>
      <c r="F41" s="4768" t="s">
        <v>5706</v>
      </c>
      <c r="G41" s="4770" t="s">
        <v>91</v>
      </c>
      <c r="H41" s="4770" t="s">
        <v>5679</v>
      </c>
      <c r="I41" s="4769" t="s">
        <v>494</v>
      </c>
      <c r="J41" s="4774" t="str">
        <f t="shared" si="0"/>
        <v>01</v>
      </c>
      <c r="K41" s="4774" t="str">
        <f t="shared" si="1"/>
        <v>CN.003C63</v>
      </c>
      <c r="L41" s="4774" t="str">
        <f t="shared" si="2"/>
        <v>Intelligent General Cont. Co - Equipment - Industrial Forklift &amp; 5ton - BAYTUR_PAYMENT</v>
      </c>
      <c r="M41" s="4774" t="str">
        <f t="shared" si="3"/>
        <v>1TB01006.01.CN.003C63.00</v>
      </c>
      <c r="N41" s="4774" t="str">
        <f t="shared" si="4"/>
        <v>1TB01006.01.CN.003C63.01</v>
      </c>
      <c r="O41" s="4774" t="str">
        <f t="shared" si="5"/>
        <v>1TB01006.01.CN.003C63.02</v>
      </c>
    </row>
    <row r="42" spans="1:15">
      <c r="A42" s="4772" t="s">
        <v>258</v>
      </c>
      <c r="B42" s="4774" t="s">
        <v>5609</v>
      </c>
      <c r="C42" s="4772" t="s">
        <v>5675</v>
      </c>
      <c r="D42" s="4772" t="s">
        <v>5707</v>
      </c>
      <c r="E42" s="4773" t="s">
        <v>5708</v>
      </c>
      <c r="F42" s="4768" t="s">
        <v>5709</v>
      </c>
      <c r="G42" s="4770" t="s">
        <v>91</v>
      </c>
      <c r="H42" s="4770" t="s">
        <v>5679</v>
      </c>
      <c r="I42" s="4769" t="s">
        <v>494</v>
      </c>
      <c r="J42" s="4774" t="str">
        <f t="shared" si="0"/>
        <v>01</v>
      </c>
      <c r="K42" s="4774" t="str">
        <f t="shared" si="1"/>
        <v>CN.003C71</v>
      </c>
      <c r="L42" s="4774" t="str">
        <f t="shared" si="2"/>
        <v>Al-Anan Travels and Tours - BAYTUR_PAYMENT</v>
      </c>
      <c r="M42" s="4774" t="str">
        <f t="shared" si="3"/>
        <v>1TB01006.01.CN.003C71.00</v>
      </c>
      <c r="N42" s="4774" t="str">
        <f t="shared" si="4"/>
        <v>1TB01006.01.CN.003C71.01</v>
      </c>
      <c r="O42" s="4774" t="str">
        <f t="shared" si="5"/>
        <v>1TB01006.01.CN.003C71.02</v>
      </c>
    </row>
    <row r="43" spans="1:15">
      <c r="A43" s="4772" t="s">
        <v>258</v>
      </c>
      <c r="B43" s="4774" t="s">
        <v>5609</v>
      </c>
      <c r="C43" s="4772" t="s">
        <v>5675</v>
      </c>
      <c r="D43" s="4772" t="s">
        <v>5710</v>
      </c>
      <c r="E43" s="4773" t="s">
        <v>5711</v>
      </c>
      <c r="F43" s="4768" t="s">
        <v>5712</v>
      </c>
      <c r="G43" s="4770" t="s">
        <v>91</v>
      </c>
      <c r="H43" s="4770" t="s">
        <v>5679</v>
      </c>
      <c r="I43" s="4769" t="s">
        <v>494</v>
      </c>
      <c r="J43" s="4774" t="str">
        <f t="shared" si="0"/>
        <v>01</v>
      </c>
      <c r="K43" s="4774" t="str">
        <f t="shared" si="1"/>
        <v>CN.003C58</v>
      </c>
      <c r="L43" s="4774" t="str">
        <f t="shared" si="2"/>
        <v>Madar Building Material Co. - BAYTUR_PAYMENT</v>
      </c>
      <c r="M43" s="4774" t="str">
        <f t="shared" si="3"/>
        <v>1TB01006.01.CN.003C58.00</v>
      </c>
      <c r="N43" s="4774" t="str">
        <f t="shared" si="4"/>
        <v>1TB01006.01.CN.003C58.01</v>
      </c>
      <c r="O43" s="4774" t="str">
        <f t="shared" si="5"/>
        <v>1TB01006.01.CN.003C58.02</v>
      </c>
    </row>
    <row r="44" spans="1:15">
      <c r="A44" s="4772" t="s">
        <v>258</v>
      </c>
      <c r="B44" s="4774" t="s">
        <v>5609</v>
      </c>
      <c r="C44" s="4772" t="s">
        <v>5675</v>
      </c>
      <c r="D44" s="4772" t="s">
        <v>5713</v>
      </c>
      <c r="E44" s="4773" t="s">
        <v>5714</v>
      </c>
      <c r="F44" s="4768" t="s">
        <v>5715</v>
      </c>
      <c r="G44" s="4770" t="s">
        <v>91</v>
      </c>
      <c r="H44" s="4770" t="s">
        <v>5679</v>
      </c>
      <c r="I44" s="4769" t="s">
        <v>494</v>
      </c>
      <c r="J44" s="4774" t="str">
        <f t="shared" si="0"/>
        <v>01</v>
      </c>
      <c r="K44" s="4774" t="str">
        <f t="shared" si="1"/>
        <v>CN.003C53</v>
      </c>
      <c r="L44" s="4774" t="str">
        <f t="shared" si="2"/>
        <v>Factory Of USG Middle East Ltd. Co. - BAYTUR_PAYMENT</v>
      </c>
      <c r="M44" s="4774" t="str">
        <f t="shared" si="3"/>
        <v>1TB01006.01.CN.003C53.00</v>
      </c>
      <c r="N44" s="4774" t="str">
        <f t="shared" si="4"/>
        <v>1TB01006.01.CN.003C53.01</v>
      </c>
      <c r="O44" s="4774" t="str">
        <f t="shared" si="5"/>
        <v>1TB01006.01.CN.003C53.02</v>
      </c>
    </row>
    <row r="45" spans="1:15">
      <c r="A45" s="4772" t="s">
        <v>258</v>
      </c>
      <c r="B45" s="4774" t="s">
        <v>5609</v>
      </c>
      <c r="C45" s="4772" t="s">
        <v>5675</v>
      </c>
      <c r="D45" s="4772" t="s">
        <v>5716</v>
      </c>
      <c r="E45" s="4773" t="s">
        <v>5717</v>
      </c>
      <c r="F45" s="4768" t="s">
        <v>5718</v>
      </c>
      <c r="G45" s="4770" t="s">
        <v>91</v>
      </c>
      <c r="H45" s="4770" t="s">
        <v>5679</v>
      </c>
      <c r="I45" s="4769" t="s">
        <v>494</v>
      </c>
      <c r="J45" s="4774" t="str">
        <f t="shared" si="0"/>
        <v>01</v>
      </c>
      <c r="K45" s="4774" t="str">
        <f t="shared" si="1"/>
        <v>CN.003C73</v>
      </c>
      <c r="L45" s="4774" t="str">
        <f t="shared" si="2"/>
        <v>M Mohammad Alharbi Medical Company - BAYTUR_PAYMENT</v>
      </c>
      <c r="M45" s="4774" t="str">
        <f t="shared" si="3"/>
        <v>1TB01006.01.CN.003C73.00</v>
      </c>
      <c r="N45" s="4774" t="str">
        <f t="shared" si="4"/>
        <v>1TB01006.01.CN.003C73.01</v>
      </c>
      <c r="O45" s="4774" t="str">
        <f t="shared" si="5"/>
        <v>1TB01006.01.CN.003C73.02</v>
      </c>
    </row>
    <row r="46" spans="1:15">
      <c r="A46" s="4772" t="s">
        <v>258</v>
      </c>
      <c r="B46" s="4774" t="s">
        <v>5609</v>
      </c>
      <c r="C46" s="4772" t="s">
        <v>5675</v>
      </c>
      <c r="D46" s="4772" t="s">
        <v>5719</v>
      </c>
      <c r="E46" s="4773" t="s">
        <v>5720</v>
      </c>
      <c r="F46" s="4768" t="s">
        <v>5721</v>
      </c>
      <c r="G46" s="4770" t="s">
        <v>91</v>
      </c>
      <c r="H46" s="4770" t="s">
        <v>5679</v>
      </c>
      <c r="I46" s="4769" t="s">
        <v>494</v>
      </c>
      <c r="J46" s="4774" t="str">
        <f t="shared" si="0"/>
        <v>01</v>
      </c>
      <c r="K46" s="4774" t="str">
        <f t="shared" si="1"/>
        <v>CN.003C39</v>
      </c>
      <c r="L46" s="4774" t="str">
        <f t="shared" si="2"/>
        <v>Issam Kabani and Partners - BAYTUR_PAYMENT</v>
      </c>
      <c r="M46" s="4774" t="str">
        <f t="shared" si="3"/>
        <v>1TB01006.01.CN.003C39.00</v>
      </c>
      <c r="N46" s="4774" t="str">
        <f t="shared" si="4"/>
        <v>1TB01006.01.CN.003C39.01</v>
      </c>
      <c r="O46" s="4774" t="str">
        <f t="shared" si="5"/>
        <v>1TB01006.01.CN.003C39.02</v>
      </c>
    </row>
    <row r="47" spans="1:15">
      <c r="A47" s="4772" t="s">
        <v>258</v>
      </c>
      <c r="B47" s="4774" t="s">
        <v>5609</v>
      </c>
      <c r="C47" s="4772" t="s">
        <v>5675</v>
      </c>
      <c r="D47" s="4772" t="s">
        <v>5722</v>
      </c>
      <c r="E47" s="4773" t="s">
        <v>5669</v>
      </c>
      <c r="F47" s="4768" t="s">
        <v>5670</v>
      </c>
      <c r="G47" s="4770" t="s">
        <v>91</v>
      </c>
      <c r="H47" s="4770" t="s">
        <v>5679</v>
      </c>
      <c r="I47" s="4769" t="s">
        <v>494</v>
      </c>
      <c r="J47" s="4774" t="str">
        <f t="shared" si="0"/>
        <v>01</v>
      </c>
      <c r="K47" s="4774" t="str">
        <f t="shared" si="1"/>
        <v>CN.003C43</v>
      </c>
      <c r="L47" s="4774" t="str">
        <f t="shared" si="2"/>
        <v>Abu Dhabi Precast LLC - BAYTUR_PAYMENT</v>
      </c>
      <c r="M47" s="4774" t="str">
        <f t="shared" si="3"/>
        <v>1TB01006.01.CN.003C43.00</v>
      </c>
      <c r="N47" s="4774" t="str">
        <f t="shared" si="4"/>
        <v>1TB01006.01.CN.003C43.01</v>
      </c>
      <c r="O47" s="4774" t="str">
        <f t="shared" si="5"/>
        <v>1TB01006.01.CN.003C43.02</v>
      </c>
    </row>
    <row r="48" spans="1:15">
      <c r="A48" s="4772" t="s">
        <v>258</v>
      </c>
      <c r="B48" s="4774" t="s">
        <v>5609</v>
      </c>
      <c r="C48" s="4772" t="s">
        <v>5675</v>
      </c>
      <c r="D48" s="4772" t="s">
        <v>5723</v>
      </c>
      <c r="E48" s="4773" t="s">
        <v>5724</v>
      </c>
      <c r="F48" s="4768" t="s">
        <v>5725</v>
      </c>
      <c r="G48" s="4770" t="s">
        <v>91</v>
      </c>
      <c r="H48" s="4770" t="s">
        <v>5679</v>
      </c>
      <c r="I48" s="4769" t="s">
        <v>494</v>
      </c>
      <c r="J48" s="4774" t="str">
        <f t="shared" si="0"/>
        <v>01</v>
      </c>
      <c r="K48" s="4774" t="str">
        <f t="shared" si="1"/>
        <v>CN.003C115</v>
      </c>
      <c r="L48" s="4774" t="str">
        <f t="shared" si="2"/>
        <v>Ahmed Bin Salem Bin Dagher Al-Balawi Est. - BAYTUR_PAYMENT</v>
      </c>
      <c r="M48" s="4774" t="str">
        <f t="shared" si="3"/>
        <v>1TB01006.01.CN.003C115.00</v>
      </c>
      <c r="N48" s="4774" t="str">
        <f t="shared" si="4"/>
        <v>1TB01006.01.CN.003C115.01</v>
      </c>
      <c r="O48" s="4774" t="str">
        <f t="shared" si="5"/>
        <v>1TB01006.01.CN.003C115.02</v>
      </c>
    </row>
    <row r="49" spans="1:15">
      <c r="A49" s="4772" t="s">
        <v>258</v>
      </c>
      <c r="B49" s="4774" t="s">
        <v>5609</v>
      </c>
      <c r="C49" s="4772" t="s">
        <v>5675</v>
      </c>
      <c r="D49" s="4772" t="s">
        <v>5726</v>
      </c>
      <c r="E49" s="4773" t="s">
        <v>5727</v>
      </c>
      <c r="F49" s="4768" t="s">
        <v>5728</v>
      </c>
      <c r="G49" s="4770" t="s">
        <v>91</v>
      </c>
      <c r="H49" s="4770" t="s">
        <v>5679</v>
      </c>
      <c r="I49" s="4769" t="s">
        <v>494</v>
      </c>
      <c r="J49" s="4774" t="str">
        <f t="shared" si="0"/>
        <v>01</v>
      </c>
      <c r="K49" s="4774" t="str">
        <f t="shared" si="1"/>
        <v>CN.003C87</v>
      </c>
      <c r="L49" s="4774" t="str">
        <f t="shared" si="2"/>
        <v>Bahamdoon Trading Co - BAYTUR_PAYMENT</v>
      </c>
      <c r="M49" s="4774" t="str">
        <f t="shared" si="3"/>
        <v>1TB01006.01.CN.003C87.00</v>
      </c>
      <c r="N49" s="4774" t="str">
        <f t="shared" si="4"/>
        <v>1TB01006.01.CN.003C87.01</v>
      </c>
      <c r="O49" s="4774" t="str">
        <f t="shared" si="5"/>
        <v>1TB01006.01.CN.003C87.02</v>
      </c>
    </row>
    <row r="50" spans="1:15">
      <c r="A50" s="4772" t="s">
        <v>258</v>
      </c>
      <c r="B50" s="4774" t="s">
        <v>5609</v>
      </c>
      <c r="C50" s="4772" t="s">
        <v>5675</v>
      </c>
      <c r="D50" s="4772" t="s">
        <v>5729</v>
      </c>
      <c r="E50" s="4773" t="s">
        <v>5730</v>
      </c>
      <c r="F50" s="4768" t="s">
        <v>5731</v>
      </c>
      <c r="G50" s="4770" t="s">
        <v>91</v>
      </c>
      <c r="H50" s="4770" t="s">
        <v>5679</v>
      </c>
      <c r="I50" s="4769" t="s">
        <v>494</v>
      </c>
      <c r="J50" s="4774" t="str">
        <f t="shared" si="0"/>
        <v>01</v>
      </c>
      <c r="K50" s="4774" t="str">
        <f t="shared" si="1"/>
        <v>CN.003C84</v>
      </c>
      <c r="L50" s="4774" t="str">
        <f t="shared" si="2"/>
        <v>Energy &amp; Building Masters - BAYTUR_PAYMENT</v>
      </c>
      <c r="M50" s="4774" t="str">
        <f t="shared" si="3"/>
        <v>1TB01006.01.CN.003C84.00</v>
      </c>
      <c r="N50" s="4774" t="str">
        <f t="shared" si="4"/>
        <v>1TB01006.01.CN.003C84.01</v>
      </c>
      <c r="O50" s="4774" t="str">
        <f t="shared" si="5"/>
        <v>1TB01006.01.CN.003C84.02</v>
      </c>
    </row>
    <row r="51" spans="1:15">
      <c r="A51" s="4772" t="s">
        <v>258</v>
      </c>
      <c r="B51" s="4774" t="s">
        <v>5609</v>
      </c>
      <c r="C51" s="4772" t="s">
        <v>5675</v>
      </c>
      <c r="D51" s="4772" t="s">
        <v>5732</v>
      </c>
      <c r="E51" s="4773" t="s">
        <v>5733</v>
      </c>
      <c r="F51" s="4768" t="s">
        <v>5734</v>
      </c>
      <c r="G51" s="4770" t="s">
        <v>91</v>
      </c>
      <c r="H51" s="4770" t="s">
        <v>5679</v>
      </c>
      <c r="I51" s="4769" t="s">
        <v>494</v>
      </c>
      <c r="J51" s="4774" t="str">
        <f t="shared" si="0"/>
        <v>01</v>
      </c>
      <c r="K51" s="4774" t="str">
        <f t="shared" si="1"/>
        <v>CN.003C59</v>
      </c>
      <c r="L51" s="4774" t="str">
        <f t="shared" si="2"/>
        <v>Fosam Company LTD - BAYTUR_PAYMENT</v>
      </c>
      <c r="M51" s="4774" t="str">
        <f t="shared" si="3"/>
        <v>1TB01006.01.CN.003C59.00</v>
      </c>
      <c r="N51" s="4774" t="str">
        <f t="shared" si="4"/>
        <v>1TB01006.01.CN.003C59.01</v>
      </c>
      <c r="O51" s="4774" t="str">
        <f t="shared" si="5"/>
        <v>1TB01006.01.CN.003C59.02</v>
      </c>
    </row>
    <row r="52" spans="1:15">
      <c r="A52" s="4772" t="s">
        <v>258</v>
      </c>
      <c r="B52" s="4774" t="s">
        <v>5609</v>
      </c>
      <c r="C52" s="4772" t="s">
        <v>5675</v>
      </c>
      <c r="D52" s="4772" t="s">
        <v>5735</v>
      </c>
      <c r="E52" s="4773" t="s">
        <v>5736</v>
      </c>
      <c r="F52" s="4768" t="s">
        <v>5737</v>
      </c>
      <c r="G52" s="4770" t="s">
        <v>91</v>
      </c>
      <c r="H52" s="4770" t="s">
        <v>5679</v>
      </c>
      <c r="I52" s="4769" t="s">
        <v>494</v>
      </c>
      <c r="J52" s="4774" t="str">
        <f t="shared" si="0"/>
        <v>01</v>
      </c>
      <c r="K52" s="4774" t="str">
        <f t="shared" si="1"/>
        <v>CN.003C56</v>
      </c>
      <c r="L52" s="4774" t="str">
        <f t="shared" si="2"/>
        <v>Glow Arabia Trading - BAYTUR_PAYMENT</v>
      </c>
      <c r="M52" s="4774" t="str">
        <f t="shared" si="3"/>
        <v>1TB01006.01.CN.003C56.00</v>
      </c>
      <c r="N52" s="4774" t="str">
        <f t="shared" si="4"/>
        <v>1TB01006.01.CN.003C56.01</v>
      </c>
      <c r="O52" s="4774" t="str">
        <f t="shared" si="5"/>
        <v>1TB01006.01.CN.003C56.02</v>
      </c>
    </row>
    <row r="53" spans="1:15">
      <c r="A53" s="4772" t="s">
        <v>258</v>
      </c>
      <c r="B53" s="4774" t="s">
        <v>5609</v>
      </c>
      <c r="C53" s="4772" t="s">
        <v>5675</v>
      </c>
      <c r="D53" s="4772" t="s">
        <v>5738</v>
      </c>
      <c r="E53" s="4773" t="s">
        <v>5739</v>
      </c>
      <c r="F53" s="4768" t="s">
        <v>5740</v>
      </c>
      <c r="G53" s="4770" t="s">
        <v>91</v>
      </c>
      <c r="H53" s="4770" t="s">
        <v>5679</v>
      </c>
      <c r="I53" s="4769" t="s">
        <v>494</v>
      </c>
      <c r="J53" s="4774" t="str">
        <f t="shared" si="0"/>
        <v>01</v>
      </c>
      <c r="K53" s="4774" t="str">
        <f t="shared" si="1"/>
        <v>CN.003C54</v>
      </c>
      <c r="L53" s="4774" t="str">
        <f t="shared" si="2"/>
        <v>Nextware International Supply - BAYTUR_PAYMENT</v>
      </c>
      <c r="M53" s="4774" t="str">
        <f t="shared" si="3"/>
        <v>1TB01006.01.CN.003C54.00</v>
      </c>
      <c r="N53" s="4774" t="str">
        <f t="shared" si="4"/>
        <v>1TB01006.01.CN.003C54.01</v>
      </c>
      <c r="O53" s="4774" t="str">
        <f t="shared" si="5"/>
        <v>1TB01006.01.CN.003C54.02</v>
      </c>
    </row>
    <row r="54" spans="1:15">
      <c r="A54" s="4772" t="s">
        <v>258</v>
      </c>
      <c r="B54" s="4774" t="s">
        <v>5609</v>
      </c>
      <c r="C54" s="4772" t="s">
        <v>5675</v>
      </c>
      <c r="D54" s="4772" t="s">
        <v>5741</v>
      </c>
      <c r="E54" s="4773" t="s">
        <v>5742</v>
      </c>
      <c r="F54" s="4768" t="s">
        <v>5743</v>
      </c>
      <c r="G54" s="4770" t="s">
        <v>91</v>
      </c>
      <c r="H54" s="4770" t="s">
        <v>5679</v>
      </c>
      <c r="I54" s="4769" t="s">
        <v>494</v>
      </c>
      <c r="J54" s="4774" t="str">
        <f t="shared" si="0"/>
        <v>01</v>
      </c>
      <c r="K54" s="4774" t="str">
        <f t="shared" si="1"/>
        <v>CN.003C86</v>
      </c>
      <c r="L54" s="4774" t="str">
        <f t="shared" si="2"/>
        <v>Wood Expert - BAYTUR_PAYMENT</v>
      </c>
      <c r="M54" s="4774" t="str">
        <f t="shared" si="3"/>
        <v>1TB01006.01.CN.003C86.00</v>
      </c>
      <c r="N54" s="4774" t="str">
        <f t="shared" si="4"/>
        <v>1TB01006.01.CN.003C86.01</v>
      </c>
      <c r="O54" s="4774" t="str">
        <f t="shared" si="5"/>
        <v>1TB01006.01.CN.003C86.02</v>
      </c>
    </row>
    <row r="55" spans="1:15">
      <c r="A55" s="4772" t="s">
        <v>258</v>
      </c>
      <c r="B55" s="4774" t="s">
        <v>5609</v>
      </c>
      <c r="C55" s="4772" t="s">
        <v>5675</v>
      </c>
      <c r="D55" s="4772" t="s">
        <v>5744</v>
      </c>
      <c r="E55" s="4773" t="s">
        <v>5745</v>
      </c>
      <c r="F55" s="4768" t="s">
        <v>5746</v>
      </c>
      <c r="G55" s="4770" t="s">
        <v>91</v>
      </c>
      <c r="H55" s="4770" t="s">
        <v>5679</v>
      </c>
      <c r="I55" s="4769" t="s">
        <v>494</v>
      </c>
      <c r="J55" s="4774" t="str">
        <f t="shared" si="0"/>
        <v>01</v>
      </c>
      <c r="K55" s="4774" t="str">
        <f t="shared" si="1"/>
        <v>CN.003C85</v>
      </c>
      <c r="L55" s="4774" t="str">
        <f t="shared" si="2"/>
        <v>Lumi Rental Co. - BAYTUR_PAYMENT</v>
      </c>
      <c r="M55" s="4774" t="str">
        <f t="shared" si="3"/>
        <v>1TB01006.01.CN.003C85.00</v>
      </c>
      <c r="N55" s="4774" t="str">
        <f t="shared" si="4"/>
        <v>1TB01006.01.CN.003C85.01</v>
      </c>
      <c r="O55" s="4774" t="str">
        <f t="shared" si="5"/>
        <v>1TB01006.01.CN.003C85.02</v>
      </c>
    </row>
    <row r="56" spans="1:15">
      <c r="A56" s="4772" t="s">
        <v>258</v>
      </c>
      <c r="B56" s="4774" t="s">
        <v>5609</v>
      </c>
      <c r="C56" s="4772" t="s">
        <v>5675</v>
      </c>
      <c r="D56" s="4772" t="s">
        <v>5747</v>
      </c>
      <c r="E56" s="4773" t="s">
        <v>5748</v>
      </c>
      <c r="F56" s="4768" t="s">
        <v>5749</v>
      </c>
      <c r="G56" s="4770" t="s">
        <v>91</v>
      </c>
      <c r="H56" s="4770" t="s">
        <v>5679</v>
      </c>
      <c r="I56" s="4769" t="s">
        <v>494</v>
      </c>
      <c r="J56" s="4774" t="str">
        <f t="shared" si="0"/>
        <v>01</v>
      </c>
      <c r="K56" s="4774" t="str">
        <f t="shared" si="1"/>
        <v>CN.003C40</v>
      </c>
      <c r="L56" s="4774" t="str">
        <f t="shared" si="2"/>
        <v>Noreom Company Limited - BAYTUR_PAYMENT</v>
      </c>
      <c r="M56" s="4774" t="str">
        <f t="shared" si="3"/>
        <v>1TB01006.01.CN.003C40.00</v>
      </c>
      <c r="N56" s="4774" t="str">
        <f t="shared" si="4"/>
        <v>1TB01006.01.CN.003C40.01</v>
      </c>
      <c r="O56" s="4774" t="str">
        <f t="shared" si="5"/>
        <v>1TB01006.01.CN.003C40.02</v>
      </c>
    </row>
    <row r="57" spans="1:15">
      <c r="A57" s="4772" t="s">
        <v>258</v>
      </c>
      <c r="B57" s="4774" t="s">
        <v>5609</v>
      </c>
      <c r="C57" s="4772" t="s">
        <v>5675</v>
      </c>
      <c r="D57" s="4772" t="s">
        <v>5750</v>
      </c>
      <c r="E57" s="4773" t="s">
        <v>5751</v>
      </c>
      <c r="F57" s="4768" t="s">
        <v>5752</v>
      </c>
      <c r="G57" s="4770" t="s">
        <v>91</v>
      </c>
      <c r="H57" s="4770" t="s">
        <v>5679</v>
      </c>
      <c r="I57" s="4769" t="s">
        <v>494</v>
      </c>
      <c r="J57" s="4774" t="str">
        <f t="shared" si="0"/>
        <v>01</v>
      </c>
      <c r="K57" s="4774" t="str">
        <f t="shared" si="1"/>
        <v>CN.003C41</v>
      </c>
      <c r="L57" s="4774" t="str">
        <f t="shared" si="2"/>
        <v>Raddad Al Madinah for General
Contracting - BAYTUR_PAYMENT</v>
      </c>
      <c r="M57" s="4774" t="str">
        <f t="shared" si="3"/>
        <v>1TB01006.01.CN.003C41.00</v>
      </c>
      <c r="N57" s="4774" t="str">
        <f t="shared" si="4"/>
        <v>1TB01006.01.CN.003C41.01</v>
      </c>
      <c r="O57" s="4774" t="str">
        <f t="shared" si="5"/>
        <v>1TB01006.01.CN.003C41.02</v>
      </c>
    </row>
    <row r="58" spans="1:15">
      <c r="A58" s="4772" t="s">
        <v>258</v>
      </c>
      <c r="B58" s="4774" t="s">
        <v>5609</v>
      </c>
      <c r="C58" s="4772" t="s">
        <v>5675</v>
      </c>
      <c r="D58" s="4772" t="s">
        <v>5753</v>
      </c>
      <c r="E58" s="4773" t="s">
        <v>5630</v>
      </c>
      <c r="F58" s="4768" t="s">
        <v>1519</v>
      </c>
      <c r="G58" s="4770" t="s">
        <v>91</v>
      </c>
      <c r="H58" s="4770" t="s">
        <v>5679</v>
      </c>
      <c r="I58" s="4769" t="s">
        <v>494</v>
      </c>
      <c r="J58" s="4774" t="str">
        <f t="shared" si="0"/>
        <v>01</v>
      </c>
      <c r="K58" s="4774" t="str">
        <f t="shared" si="1"/>
        <v>CN.003C44</v>
      </c>
      <c r="L58" s="4774" t="str">
        <f t="shared" si="2"/>
        <v>Medtel - W.N - BAYTUR_PAYMENT</v>
      </c>
      <c r="M58" s="4774" t="str">
        <f t="shared" si="3"/>
        <v>1TB01006.01.CN.003C44.00</v>
      </c>
      <c r="N58" s="4774" t="str">
        <f t="shared" si="4"/>
        <v>1TB01006.01.CN.003C44.01</v>
      </c>
      <c r="O58" s="4774" t="str">
        <f t="shared" si="5"/>
        <v>1TB01006.01.CN.003C44.02</v>
      </c>
    </row>
    <row r="59" spans="1:15">
      <c r="A59" s="4772" t="s">
        <v>258</v>
      </c>
      <c r="B59" s="4774" t="s">
        <v>5609</v>
      </c>
      <c r="C59" s="4772" t="s">
        <v>5675</v>
      </c>
      <c r="D59" s="4772" t="s">
        <v>5754</v>
      </c>
      <c r="E59" s="4773" t="s">
        <v>5755</v>
      </c>
      <c r="F59" s="4768" t="s">
        <v>5756</v>
      </c>
      <c r="G59" s="4770" t="s">
        <v>91</v>
      </c>
      <c r="H59" s="4770" t="s">
        <v>5679</v>
      </c>
      <c r="I59" s="4769" t="s">
        <v>494</v>
      </c>
      <c r="J59" s="4774" t="str">
        <f t="shared" si="0"/>
        <v>01</v>
      </c>
      <c r="K59" s="4774" t="str">
        <f t="shared" si="1"/>
        <v>CN.003C45</v>
      </c>
      <c r="L59" s="4774" t="str">
        <f t="shared" si="2"/>
        <v>Virtual Projects DMCC - BAYTUR_PAYMENT</v>
      </c>
      <c r="M59" s="4774" t="str">
        <f t="shared" si="3"/>
        <v>1TB01006.01.CN.003C45.00</v>
      </c>
      <c r="N59" s="4774" t="str">
        <f t="shared" si="4"/>
        <v>1TB01006.01.CN.003C45.01</v>
      </c>
      <c r="O59" s="4774" t="str">
        <f t="shared" si="5"/>
        <v>1TB01006.01.CN.003C45.02</v>
      </c>
    </row>
    <row r="60" spans="1:15">
      <c r="A60" s="4772" t="s">
        <v>258</v>
      </c>
      <c r="B60" s="4774" t="s">
        <v>5609</v>
      </c>
      <c r="C60" s="4772" t="s">
        <v>5675</v>
      </c>
      <c r="D60" s="4772" t="s">
        <v>5757</v>
      </c>
      <c r="E60" s="4773" t="s">
        <v>5758</v>
      </c>
      <c r="F60" s="4768" t="s">
        <v>5759</v>
      </c>
      <c r="G60" s="4770" t="s">
        <v>91</v>
      </c>
      <c r="H60" s="4770" t="s">
        <v>5679</v>
      </c>
      <c r="I60" s="4769" t="s">
        <v>494</v>
      </c>
      <c r="J60" s="4774" t="str">
        <f t="shared" si="0"/>
        <v>01</v>
      </c>
      <c r="K60" s="4774" t="str">
        <f t="shared" si="1"/>
        <v>CN.003C46</v>
      </c>
      <c r="L60" s="4774" t="str">
        <f t="shared" si="2"/>
        <v>Jameel Mohammed Hussain Alqatafa Cont.Est. - BAYTUR_PAYMENT</v>
      </c>
      <c r="M60" s="4774" t="str">
        <f t="shared" si="3"/>
        <v>1TB01006.01.CN.003C46.00</v>
      </c>
      <c r="N60" s="4774" t="str">
        <f t="shared" si="4"/>
        <v>1TB01006.01.CN.003C46.01</v>
      </c>
      <c r="O60" s="4774" t="str">
        <f t="shared" si="5"/>
        <v>1TB01006.01.CN.003C46.02</v>
      </c>
    </row>
    <row r="61" spans="1:15">
      <c r="A61" s="4772" t="s">
        <v>258</v>
      </c>
      <c r="B61" s="4774" t="s">
        <v>5609</v>
      </c>
      <c r="C61" s="4772" t="s">
        <v>5675</v>
      </c>
      <c r="D61" s="4772" t="s">
        <v>5760</v>
      </c>
      <c r="E61" s="4773" t="s">
        <v>5761</v>
      </c>
      <c r="F61" s="4768" t="s">
        <v>5762</v>
      </c>
      <c r="G61" s="4770" t="s">
        <v>91</v>
      </c>
      <c r="H61" s="4770" t="s">
        <v>5679</v>
      </c>
      <c r="I61" s="4769" t="s">
        <v>494</v>
      </c>
      <c r="J61" s="4774" t="str">
        <f t="shared" si="0"/>
        <v>01</v>
      </c>
      <c r="K61" s="4774" t="str">
        <f t="shared" si="1"/>
        <v>CN.003C47</v>
      </c>
      <c r="L61" s="4774" t="str">
        <f t="shared" si="2"/>
        <v>Gesr Alarab - BAYTUR_PAYMENT</v>
      </c>
      <c r="M61" s="4774" t="str">
        <f t="shared" si="3"/>
        <v>1TB01006.01.CN.003C47.00</v>
      </c>
      <c r="N61" s="4774" t="str">
        <f t="shared" si="4"/>
        <v>1TB01006.01.CN.003C47.01</v>
      </c>
      <c r="O61" s="4774" t="str">
        <f t="shared" si="5"/>
        <v>1TB01006.01.CN.003C47.02</v>
      </c>
    </row>
    <row r="62" spans="1:15">
      <c r="A62" s="4772" t="s">
        <v>258</v>
      </c>
      <c r="B62" s="4774" t="s">
        <v>5609</v>
      </c>
      <c r="C62" s="4772" t="s">
        <v>5675</v>
      </c>
      <c r="D62" s="4772" t="s">
        <v>5763</v>
      </c>
      <c r="E62" s="4773" t="s">
        <v>5764</v>
      </c>
      <c r="F62" s="4768" t="s">
        <v>5765</v>
      </c>
      <c r="G62" s="4770" t="s">
        <v>91</v>
      </c>
      <c r="H62" s="4770" t="s">
        <v>5679</v>
      </c>
      <c r="I62" s="4769" t="s">
        <v>494</v>
      </c>
      <c r="J62" s="4774" t="str">
        <f t="shared" si="0"/>
        <v>01</v>
      </c>
      <c r="K62" s="4774" t="str">
        <f t="shared" si="1"/>
        <v>CN.003C48</v>
      </c>
      <c r="L62" s="4774" t="str">
        <f t="shared" si="2"/>
        <v>National Fire Fighting Manufacturing Company - NAFFCO - BAYTUR_PAYMENT</v>
      </c>
      <c r="M62" s="4774" t="str">
        <f t="shared" si="3"/>
        <v>1TB01006.01.CN.003C48.00</v>
      </c>
      <c r="N62" s="4774" t="str">
        <f t="shared" si="4"/>
        <v>1TB01006.01.CN.003C48.01</v>
      </c>
      <c r="O62" s="4774" t="str">
        <f t="shared" si="5"/>
        <v>1TB01006.01.CN.003C48.02</v>
      </c>
    </row>
    <row r="63" spans="1:15">
      <c r="A63" s="4772" t="s">
        <v>258</v>
      </c>
      <c r="B63" s="4774" t="s">
        <v>5609</v>
      </c>
      <c r="C63" s="4772" t="s">
        <v>5675</v>
      </c>
      <c r="D63" s="4772" t="s">
        <v>5766</v>
      </c>
      <c r="E63" s="4773" t="s">
        <v>5767</v>
      </c>
      <c r="F63" s="4768" t="s">
        <v>5768</v>
      </c>
      <c r="G63" s="4770" t="s">
        <v>91</v>
      </c>
      <c r="H63" s="4770" t="s">
        <v>5679</v>
      </c>
      <c r="I63" s="4769" t="s">
        <v>494</v>
      </c>
      <c r="J63" s="4774" t="str">
        <f t="shared" si="0"/>
        <v>01</v>
      </c>
      <c r="K63" s="4774" t="str">
        <f t="shared" si="1"/>
        <v>CN.003C49</v>
      </c>
      <c r="L63" s="4774" t="str">
        <f t="shared" si="2"/>
        <v>Yaz Development Contracting - BAYTUR_PAYMENT</v>
      </c>
      <c r="M63" s="4774" t="str">
        <f t="shared" si="3"/>
        <v>1TB01006.01.CN.003C49.00</v>
      </c>
      <c r="N63" s="4774" t="str">
        <f t="shared" si="4"/>
        <v>1TB01006.01.CN.003C49.01</v>
      </c>
      <c r="O63" s="4774" t="str">
        <f t="shared" si="5"/>
        <v>1TB01006.01.CN.003C49.02</v>
      </c>
    </row>
    <row r="64" spans="1:15">
      <c r="A64" s="4772" t="s">
        <v>258</v>
      </c>
      <c r="B64" s="4774" t="s">
        <v>5609</v>
      </c>
      <c r="C64" s="4772" t="s">
        <v>5675</v>
      </c>
      <c r="D64" s="4772" t="s">
        <v>5769</v>
      </c>
      <c r="E64" s="4773" t="s">
        <v>5770</v>
      </c>
      <c r="F64" s="4768" t="s">
        <v>5771</v>
      </c>
      <c r="G64" s="4770" t="s">
        <v>91</v>
      </c>
      <c r="H64" s="4770" t="s">
        <v>5679</v>
      </c>
      <c r="I64" s="4769" t="s">
        <v>494</v>
      </c>
      <c r="J64" s="4774" t="str">
        <f t="shared" si="0"/>
        <v>01</v>
      </c>
      <c r="K64" s="4774" t="str">
        <f t="shared" si="1"/>
        <v>CN.003C50</v>
      </c>
      <c r="L64" s="4774" t="str">
        <f t="shared" si="2"/>
        <v>Abeer Manawer Al-Shamari Contracting Est. - BAYTUR_PAYMENT</v>
      </c>
      <c r="M64" s="4774" t="str">
        <f t="shared" si="3"/>
        <v>1TB01006.01.CN.003C50.00</v>
      </c>
      <c r="N64" s="4774" t="str">
        <f t="shared" si="4"/>
        <v>1TB01006.01.CN.003C50.01</v>
      </c>
      <c r="O64" s="4774" t="str">
        <f t="shared" si="5"/>
        <v>1TB01006.01.CN.003C50.02</v>
      </c>
    </row>
    <row r="65" spans="1:15">
      <c r="A65" s="4772" t="s">
        <v>258</v>
      </c>
      <c r="B65" s="4774" t="s">
        <v>5609</v>
      </c>
      <c r="C65" s="4772" t="s">
        <v>5675</v>
      </c>
      <c r="D65" s="4772" t="s">
        <v>5772</v>
      </c>
      <c r="E65" s="4773" t="s">
        <v>5773</v>
      </c>
      <c r="F65" s="4768" t="s">
        <v>5774</v>
      </c>
      <c r="G65" s="4770" t="s">
        <v>91</v>
      </c>
      <c r="H65" s="4770" t="s">
        <v>5679</v>
      </c>
      <c r="I65" s="4769" t="s">
        <v>494</v>
      </c>
      <c r="J65" s="4774" t="str">
        <f t="shared" si="0"/>
        <v>01</v>
      </c>
      <c r="K65" s="4774" t="str">
        <f t="shared" si="1"/>
        <v>CN.003C51</v>
      </c>
      <c r="L65" s="4774" t="str">
        <f t="shared" si="2"/>
        <v>Brooq Alamaan Trading Company - BAYTUR_PAYMENT</v>
      </c>
      <c r="M65" s="4774" t="str">
        <f t="shared" si="3"/>
        <v>1TB01006.01.CN.003C51.00</v>
      </c>
      <c r="N65" s="4774" t="str">
        <f t="shared" si="4"/>
        <v>1TB01006.01.CN.003C51.01</v>
      </c>
      <c r="O65" s="4774" t="str">
        <f t="shared" si="5"/>
        <v>1TB01006.01.CN.003C51.02</v>
      </c>
    </row>
    <row r="66" spans="1:15">
      <c r="A66" s="4772" t="s">
        <v>258</v>
      </c>
      <c r="B66" s="4774" t="s">
        <v>5609</v>
      </c>
      <c r="C66" s="4772" t="s">
        <v>5675</v>
      </c>
      <c r="D66" s="4772" t="s">
        <v>5775</v>
      </c>
      <c r="E66" s="4773" t="s">
        <v>5767</v>
      </c>
      <c r="F66" s="4768" t="s">
        <v>5768</v>
      </c>
      <c r="G66" s="4770" t="s">
        <v>91</v>
      </c>
      <c r="H66" s="4770" t="s">
        <v>5679</v>
      </c>
      <c r="I66" s="4769" t="s">
        <v>494</v>
      </c>
      <c r="J66" s="4774" t="str">
        <f t="shared" si="0"/>
        <v>01</v>
      </c>
      <c r="K66" s="4774" t="str">
        <f t="shared" si="1"/>
        <v>CN.003C83</v>
      </c>
      <c r="L66" s="4774" t="str">
        <f t="shared" si="2"/>
        <v>Yaz Development Contracting - BAYTUR_PAYMENT</v>
      </c>
      <c r="M66" s="4774" t="str">
        <f t="shared" si="3"/>
        <v>1TB01006.01.CN.003C83.00</v>
      </c>
      <c r="N66" s="4774" t="str">
        <f t="shared" si="4"/>
        <v>1TB01006.01.CN.003C83.01</v>
      </c>
      <c r="O66" s="4774" t="str">
        <f t="shared" si="5"/>
        <v>1TB01006.01.CN.003C83.02</v>
      </c>
    </row>
    <row r="67" spans="1:15">
      <c r="A67" s="4772" t="s">
        <v>258</v>
      </c>
      <c r="B67" s="4774" t="s">
        <v>5609</v>
      </c>
      <c r="C67" s="4772" t="s">
        <v>5675</v>
      </c>
      <c r="D67" s="4772" t="s">
        <v>5776</v>
      </c>
      <c r="E67" s="4773" t="s">
        <v>5777</v>
      </c>
      <c r="F67" s="4768" t="s">
        <v>5778</v>
      </c>
      <c r="G67" s="4770" t="s">
        <v>91</v>
      </c>
      <c r="H67" s="4770" t="s">
        <v>5679</v>
      </c>
      <c r="I67" s="4769" t="s">
        <v>494</v>
      </c>
      <c r="J67" s="4774" t="str">
        <f t="shared" ref="J67:J295" si="6">RIGHT(A67,2)</f>
        <v>01</v>
      </c>
      <c r="K67" s="4774" t="str">
        <f t="shared" si="1"/>
        <v>CN.003C116</v>
      </c>
      <c r="L67" s="4774" t="str">
        <f t="shared" si="2"/>
        <v>Arabian Testing Evolution Company - BAYTUR_PAYMENT</v>
      </c>
      <c r="M67" s="4774" t="str">
        <f t="shared" si="3"/>
        <v>1TB01006.01.CN.003C116.00</v>
      </c>
      <c r="N67" s="4774" t="str">
        <f t="shared" si="4"/>
        <v>1TB01006.01.CN.003C116.01</v>
      </c>
      <c r="O67" s="4774" t="str">
        <f t="shared" si="5"/>
        <v>1TB01006.01.CN.003C116.02</v>
      </c>
    </row>
    <row r="68" spans="1:15">
      <c r="A68" s="4772" t="s">
        <v>258</v>
      </c>
      <c r="B68" s="4774" t="s">
        <v>5609</v>
      </c>
      <c r="C68" s="4772" t="s">
        <v>5675</v>
      </c>
      <c r="D68" s="4772" t="s">
        <v>5779</v>
      </c>
      <c r="E68" s="4773" t="s">
        <v>5780</v>
      </c>
      <c r="F68" s="4768" t="s">
        <v>5781</v>
      </c>
      <c r="G68" s="4770" t="s">
        <v>91</v>
      </c>
      <c r="H68" s="4770" t="s">
        <v>5679</v>
      </c>
      <c r="I68" s="4769" t="s">
        <v>494</v>
      </c>
      <c r="J68" s="4774" t="str">
        <f t="shared" si="6"/>
        <v>01</v>
      </c>
      <c r="K68" s="4774" t="str">
        <f t="shared" ref="K68:K295" si="7">I68&amp;"."&amp;D68</f>
        <v>CN.003C74</v>
      </c>
      <c r="L68" s="4774" t="str">
        <f t="shared" ref="L68:L295" si="8">E68&amp;" - "&amp;C68</f>
        <v>Abu Nayyan Trading - BAYTUR_PAYMENT</v>
      </c>
      <c r="M68" s="4774" t="str">
        <f t="shared" ref="M68:M295" si="9">"1TB01006"&amp;"."&amp;J68&amp;"."&amp;I68&amp;"."&amp;D68&amp;".00"</f>
        <v>1TB01006.01.CN.003C74.00</v>
      </c>
      <c r="N68" s="4774" t="str">
        <f t="shared" ref="N68:N295" si="10">"1TB01006"&amp;"."&amp;J68&amp;"."&amp;I68&amp;"."&amp;D68&amp;".01"</f>
        <v>1TB01006.01.CN.003C74.01</v>
      </c>
      <c r="O68" s="4774" t="str">
        <f t="shared" ref="O68:O295" si="11">"1TB01006"&amp;"."&amp;J68&amp;"."&amp;I68&amp;"."&amp;D68&amp;".02"</f>
        <v>1TB01006.01.CN.003C74.02</v>
      </c>
    </row>
    <row r="69" spans="1:15">
      <c r="A69" s="4772" t="s">
        <v>258</v>
      </c>
      <c r="B69" s="4774" t="s">
        <v>5609</v>
      </c>
      <c r="C69" s="4772" t="s">
        <v>5675</v>
      </c>
      <c r="D69" s="4772" t="s">
        <v>5782</v>
      </c>
      <c r="E69" s="4773" t="s">
        <v>5783</v>
      </c>
      <c r="F69" s="4768" t="s">
        <v>5784</v>
      </c>
      <c r="G69" s="4770" t="s">
        <v>91</v>
      </c>
      <c r="H69" s="4770" t="s">
        <v>5679</v>
      </c>
      <c r="I69" s="4769" t="s">
        <v>494</v>
      </c>
      <c r="J69" s="4774" t="str">
        <f t="shared" si="6"/>
        <v>01</v>
      </c>
      <c r="K69" s="4774" t="str">
        <f t="shared" si="7"/>
        <v>CN.003C75</v>
      </c>
      <c r="L69" s="4774" t="str">
        <f t="shared" si="8"/>
        <v>Filter Expert Trading - BAYTUR_PAYMENT</v>
      </c>
      <c r="M69" s="4774" t="str">
        <f t="shared" si="9"/>
        <v>1TB01006.01.CN.003C75.00</v>
      </c>
      <c r="N69" s="4774" t="str">
        <f t="shared" si="10"/>
        <v>1TB01006.01.CN.003C75.01</v>
      </c>
      <c r="O69" s="4774" t="str">
        <f t="shared" si="11"/>
        <v>1TB01006.01.CN.003C75.02</v>
      </c>
    </row>
    <row r="70" spans="1:15">
      <c r="A70" s="4772" t="s">
        <v>258</v>
      </c>
      <c r="B70" s="4774" t="s">
        <v>5609</v>
      </c>
      <c r="C70" s="4772" t="s">
        <v>5675</v>
      </c>
      <c r="D70" s="4772" t="s">
        <v>5785</v>
      </c>
      <c r="E70" s="4773" t="s">
        <v>5786</v>
      </c>
      <c r="F70" s="4768" t="s">
        <v>5787</v>
      </c>
      <c r="G70" s="4770" t="s">
        <v>91</v>
      </c>
      <c r="H70" s="4770" t="s">
        <v>5679</v>
      </c>
      <c r="I70" s="4769" t="s">
        <v>494</v>
      </c>
      <c r="J70" s="4774" t="str">
        <f t="shared" si="6"/>
        <v>01</v>
      </c>
      <c r="K70" s="4774" t="str">
        <f t="shared" si="7"/>
        <v>CN.003C77</v>
      </c>
      <c r="L70" s="4774" t="str">
        <f t="shared" si="8"/>
        <v>Arab Company for Laboratories and Soil Branch (ACES) - BAYTUR_PAYMENT</v>
      </c>
      <c r="M70" s="4774" t="str">
        <f t="shared" si="9"/>
        <v>1TB01006.01.CN.003C77.00</v>
      </c>
      <c r="N70" s="4774" t="str">
        <f t="shared" si="10"/>
        <v>1TB01006.01.CN.003C77.01</v>
      </c>
      <c r="O70" s="4774" t="str">
        <f t="shared" si="11"/>
        <v>1TB01006.01.CN.003C77.02</v>
      </c>
    </row>
    <row r="71" spans="1:15">
      <c r="A71" s="4772" t="s">
        <v>258</v>
      </c>
      <c r="B71" s="4774" t="s">
        <v>5609</v>
      </c>
      <c r="C71" s="4772" t="s">
        <v>5675</v>
      </c>
      <c r="D71" s="4772" t="s">
        <v>5788</v>
      </c>
      <c r="E71" s="4773" t="s">
        <v>5789</v>
      </c>
      <c r="F71" s="4768" t="s">
        <v>5790</v>
      </c>
      <c r="G71" s="4770" t="s">
        <v>91</v>
      </c>
      <c r="H71" s="4770" t="s">
        <v>5791</v>
      </c>
      <c r="I71" s="4769" t="s">
        <v>494</v>
      </c>
      <c r="J71" s="4774" t="str">
        <f t="shared" si="6"/>
        <v>01</v>
      </c>
      <c r="K71" s="4774" t="str">
        <f t="shared" si="7"/>
        <v>CN.003C92</v>
      </c>
      <c r="L71" s="4774" t="str">
        <f t="shared" si="8"/>
        <v>Al Hayat Investment - BAYTUR_PAYMENT</v>
      </c>
      <c r="M71" s="4774" t="str">
        <f t="shared" si="9"/>
        <v>1TB01006.01.CN.003C92.00</v>
      </c>
      <c r="N71" s="4774" t="str">
        <f t="shared" si="10"/>
        <v>1TB01006.01.CN.003C92.01</v>
      </c>
      <c r="O71" s="4774" t="str">
        <f t="shared" si="11"/>
        <v>1TB01006.01.CN.003C92.02</v>
      </c>
    </row>
    <row r="72" spans="1:15">
      <c r="A72" s="4772" t="s">
        <v>258</v>
      </c>
      <c r="B72" s="4774" t="s">
        <v>5609</v>
      </c>
      <c r="C72" s="4772" t="s">
        <v>5675</v>
      </c>
      <c r="D72" s="4772" t="s">
        <v>5792</v>
      </c>
      <c r="E72" s="4773" t="s">
        <v>5761</v>
      </c>
      <c r="F72" s="4768" t="s">
        <v>5762</v>
      </c>
      <c r="G72" s="4770" t="s">
        <v>91</v>
      </c>
      <c r="H72" s="4770" t="s">
        <v>5791</v>
      </c>
      <c r="I72" s="4769" t="s">
        <v>494</v>
      </c>
      <c r="J72" s="4774" t="str">
        <f t="shared" si="6"/>
        <v>01</v>
      </c>
      <c r="K72" s="4774" t="str">
        <f t="shared" si="7"/>
        <v>CN.003C93</v>
      </c>
      <c r="L72" s="4774" t="str">
        <f t="shared" si="8"/>
        <v>Gesr Alarab - BAYTUR_PAYMENT</v>
      </c>
      <c r="M72" s="4774" t="str">
        <f t="shared" si="9"/>
        <v>1TB01006.01.CN.003C93.00</v>
      </c>
      <c r="N72" s="4774" t="str">
        <f t="shared" si="10"/>
        <v>1TB01006.01.CN.003C93.01</v>
      </c>
      <c r="O72" s="4774" t="str">
        <f t="shared" si="11"/>
        <v>1TB01006.01.CN.003C93.02</v>
      </c>
    </row>
    <row r="73" spans="1:15">
      <c r="A73" s="4772" t="s">
        <v>258</v>
      </c>
      <c r="B73" s="4774" t="s">
        <v>5609</v>
      </c>
      <c r="C73" s="4772" t="s">
        <v>5675</v>
      </c>
      <c r="D73" s="4772" t="s">
        <v>5793</v>
      </c>
      <c r="E73" s="4773" t="s">
        <v>5764</v>
      </c>
      <c r="F73" s="4768" t="s">
        <v>5765</v>
      </c>
      <c r="G73" s="4770" t="s">
        <v>91</v>
      </c>
      <c r="H73" s="4770" t="s">
        <v>5791</v>
      </c>
      <c r="I73" s="4769" t="s">
        <v>494</v>
      </c>
      <c r="J73" s="4774" t="str">
        <f t="shared" si="6"/>
        <v>01</v>
      </c>
      <c r="K73" s="4774" t="str">
        <f t="shared" si="7"/>
        <v>CN.003C94</v>
      </c>
      <c r="L73" s="4774" t="str">
        <f t="shared" si="8"/>
        <v>National Fire Fighting Manufacturing Company - NAFFCO - BAYTUR_PAYMENT</v>
      </c>
      <c r="M73" s="4774" t="str">
        <f t="shared" si="9"/>
        <v>1TB01006.01.CN.003C94.00</v>
      </c>
      <c r="N73" s="4774" t="str">
        <f t="shared" si="10"/>
        <v>1TB01006.01.CN.003C94.01</v>
      </c>
      <c r="O73" s="4774" t="str">
        <f t="shared" si="11"/>
        <v>1TB01006.01.CN.003C94.02</v>
      </c>
    </row>
    <row r="74" spans="1:15">
      <c r="A74" s="4772" t="s">
        <v>258</v>
      </c>
      <c r="B74" s="4774" t="s">
        <v>5609</v>
      </c>
      <c r="C74" s="4772" t="s">
        <v>5675</v>
      </c>
      <c r="D74" s="4772" t="s">
        <v>5794</v>
      </c>
      <c r="E74" s="4773" t="s">
        <v>5767</v>
      </c>
      <c r="F74" s="4768" t="s">
        <v>5768</v>
      </c>
      <c r="G74" s="4770" t="s">
        <v>91</v>
      </c>
      <c r="H74" s="4770" t="s">
        <v>5791</v>
      </c>
      <c r="I74" s="4769" t="s">
        <v>494</v>
      </c>
      <c r="J74" s="4774" t="str">
        <f t="shared" si="6"/>
        <v>01</v>
      </c>
      <c r="K74" s="4774" t="str">
        <f t="shared" si="7"/>
        <v>CN.003C95</v>
      </c>
      <c r="L74" s="4774" t="str">
        <f t="shared" si="8"/>
        <v>Yaz Development Contracting - BAYTUR_PAYMENT</v>
      </c>
      <c r="M74" s="4774" t="str">
        <f t="shared" si="9"/>
        <v>1TB01006.01.CN.003C95.00</v>
      </c>
      <c r="N74" s="4774" t="str">
        <f t="shared" si="10"/>
        <v>1TB01006.01.CN.003C95.01</v>
      </c>
      <c r="O74" s="4774" t="str">
        <f t="shared" si="11"/>
        <v>1TB01006.01.CN.003C95.02</v>
      </c>
    </row>
    <row r="75" spans="1:15">
      <c r="A75" s="4772" t="s">
        <v>258</v>
      </c>
      <c r="B75" s="4774" t="s">
        <v>5609</v>
      </c>
      <c r="C75" s="4772" t="s">
        <v>5675</v>
      </c>
      <c r="D75" s="4772" t="s">
        <v>5795</v>
      </c>
      <c r="E75" s="4773" t="s">
        <v>5714</v>
      </c>
      <c r="F75" s="4768" t="s">
        <v>5715</v>
      </c>
      <c r="G75" s="4770" t="s">
        <v>91</v>
      </c>
      <c r="H75" s="4770" t="s">
        <v>5791</v>
      </c>
      <c r="I75" s="4769" t="s">
        <v>494</v>
      </c>
      <c r="J75" s="4774" t="str">
        <f t="shared" si="6"/>
        <v>01</v>
      </c>
      <c r="K75" s="4774" t="str">
        <f t="shared" si="7"/>
        <v>CN.003C96</v>
      </c>
      <c r="L75" s="4774" t="str">
        <f t="shared" si="8"/>
        <v>Factory Of USG Middle East Ltd. Co. - BAYTUR_PAYMENT</v>
      </c>
      <c r="M75" s="4774" t="str">
        <f t="shared" si="9"/>
        <v>1TB01006.01.CN.003C96.00</v>
      </c>
      <c r="N75" s="4774" t="str">
        <f t="shared" si="10"/>
        <v>1TB01006.01.CN.003C96.01</v>
      </c>
      <c r="O75" s="4774" t="str">
        <f t="shared" si="11"/>
        <v>1TB01006.01.CN.003C96.02</v>
      </c>
    </row>
    <row r="76" spans="1:15">
      <c r="A76" s="4772" t="s">
        <v>258</v>
      </c>
      <c r="B76" s="4774" t="s">
        <v>5609</v>
      </c>
      <c r="C76" s="4772" t="s">
        <v>5675</v>
      </c>
      <c r="D76" s="4772" t="s">
        <v>5796</v>
      </c>
      <c r="E76" s="4773" t="s">
        <v>5736</v>
      </c>
      <c r="F76" s="4768" t="s">
        <v>5737</v>
      </c>
      <c r="G76" s="4770" t="s">
        <v>91</v>
      </c>
      <c r="H76" s="4770" t="s">
        <v>5791</v>
      </c>
      <c r="I76" s="4769" t="s">
        <v>494</v>
      </c>
      <c r="J76" s="4774" t="str">
        <f t="shared" si="6"/>
        <v>01</v>
      </c>
      <c r="K76" s="4774" t="str">
        <f t="shared" si="7"/>
        <v>CN.003C97</v>
      </c>
      <c r="L76" s="4774" t="str">
        <f t="shared" si="8"/>
        <v>Glow Arabia Trading - BAYTUR_PAYMENT</v>
      </c>
      <c r="M76" s="4774" t="str">
        <f t="shared" si="9"/>
        <v>1TB01006.01.CN.003C97.00</v>
      </c>
      <c r="N76" s="4774" t="str">
        <f t="shared" si="10"/>
        <v>1TB01006.01.CN.003C97.01</v>
      </c>
      <c r="O76" s="4774" t="str">
        <f t="shared" si="11"/>
        <v>1TB01006.01.CN.003C97.02</v>
      </c>
    </row>
    <row r="77" spans="1:15">
      <c r="A77" s="4772" t="s">
        <v>258</v>
      </c>
      <c r="B77" s="4774" t="s">
        <v>5609</v>
      </c>
      <c r="C77" s="4772" t="s">
        <v>5675</v>
      </c>
      <c r="D77" s="4772" t="s">
        <v>5797</v>
      </c>
      <c r="E77" s="4773" t="s">
        <v>5702</v>
      </c>
      <c r="F77" s="4768" t="s">
        <v>5703</v>
      </c>
      <c r="G77" s="4770" t="s">
        <v>91</v>
      </c>
      <c r="H77" s="4770" t="s">
        <v>5791</v>
      </c>
      <c r="I77" s="4769" t="s">
        <v>494</v>
      </c>
      <c r="J77" s="4774" t="str">
        <f t="shared" si="6"/>
        <v>01</v>
      </c>
      <c r="K77" s="4774" t="str">
        <f t="shared" si="7"/>
        <v>CN.003C98</v>
      </c>
      <c r="L77" s="4774" t="str">
        <f t="shared" si="8"/>
        <v>Juffali Technical Equipment Company - BAYTUR_PAYMENT</v>
      </c>
      <c r="M77" s="4774" t="str">
        <f t="shared" si="9"/>
        <v>1TB01006.01.CN.003C98.00</v>
      </c>
      <c r="N77" s="4774" t="str">
        <f t="shared" si="10"/>
        <v>1TB01006.01.CN.003C98.01</v>
      </c>
      <c r="O77" s="4774" t="str">
        <f t="shared" si="11"/>
        <v>1TB01006.01.CN.003C98.02</v>
      </c>
    </row>
    <row r="78" spans="1:15">
      <c r="A78" s="4772" t="s">
        <v>258</v>
      </c>
      <c r="B78" s="4774" t="s">
        <v>5609</v>
      </c>
      <c r="C78" s="4772" t="s">
        <v>5675</v>
      </c>
      <c r="D78" s="4772" t="s">
        <v>5798</v>
      </c>
      <c r="E78" s="4773" t="s">
        <v>5799</v>
      </c>
      <c r="F78" s="4768" t="s">
        <v>5800</v>
      </c>
      <c r="G78" s="4770" t="s">
        <v>91</v>
      </c>
      <c r="H78" s="4770" t="s">
        <v>5791</v>
      </c>
      <c r="I78" s="4769" t="s">
        <v>494</v>
      </c>
      <c r="J78" s="4774" t="str">
        <f t="shared" si="6"/>
        <v>01</v>
      </c>
      <c r="K78" s="4774" t="str">
        <f t="shared" si="7"/>
        <v>CN.003C99</v>
      </c>
      <c r="L78" s="4774" t="str">
        <f t="shared" si="8"/>
        <v>The International Company For Building Materials LTD Binex - BAYTUR_PAYMENT</v>
      </c>
      <c r="M78" s="4774" t="str">
        <f t="shared" si="9"/>
        <v>1TB01006.01.CN.003C99.00</v>
      </c>
      <c r="N78" s="4774" t="str">
        <f t="shared" si="10"/>
        <v>1TB01006.01.CN.003C99.01</v>
      </c>
      <c r="O78" s="4774" t="str">
        <f t="shared" si="11"/>
        <v>1TB01006.01.CN.003C99.02</v>
      </c>
    </row>
    <row r="79" spans="1:15">
      <c r="A79" s="4772" t="s">
        <v>258</v>
      </c>
      <c r="B79" s="4774" t="s">
        <v>5609</v>
      </c>
      <c r="C79" s="4772" t="s">
        <v>5675</v>
      </c>
      <c r="D79" s="4772" t="s">
        <v>5801</v>
      </c>
      <c r="E79" s="4773" t="s">
        <v>5733</v>
      </c>
      <c r="F79" s="4768" t="s">
        <v>5734</v>
      </c>
      <c r="G79" s="4770" t="s">
        <v>91</v>
      </c>
      <c r="H79" s="4770" t="s">
        <v>5791</v>
      </c>
      <c r="I79" s="4769" t="s">
        <v>494</v>
      </c>
      <c r="J79" s="4774" t="str">
        <f t="shared" si="6"/>
        <v>01</v>
      </c>
      <c r="K79" s="4774" t="str">
        <f t="shared" si="7"/>
        <v>CN.003C100</v>
      </c>
      <c r="L79" s="4774" t="str">
        <f t="shared" si="8"/>
        <v>Fosam Company LTD - BAYTUR_PAYMENT</v>
      </c>
      <c r="M79" s="4774" t="str">
        <f t="shared" si="9"/>
        <v>1TB01006.01.CN.003C100.00</v>
      </c>
      <c r="N79" s="4774" t="str">
        <f t="shared" si="10"/>
        <v>1TB01006.01.CN.003C100.01</v>
      </c>
      <c r="O79" s="4774" t="str">
        <f t="shared" si="11"/>
        <v>1TB01006.01.CN.003C100.02</v>
      </c>
    </row>
    <row r="80" spans="1:15">
      <c r="A80" s="4772" t="s">
        <v>258</v>
      </c>
      <c r="B80" s="4774" t="s">
        <v>5609</v>
      </c>
      <c r="C80" s="4772" t="s">
        <v>5675</v>
      </c>
      <c r="D80" s="4772" t="s">
        <v>5802</v>
      </c>
      <c r="E80" s="4773" t="s">
        <v>5699</v>
      </c>
      <c r="F80" s="4768" t="s">
        <v>5700</v>
      </c>
      <c r="G80" s="4770" t="s">
        <v>91</v>
      </c>
      <c r="H80" s="4770" t="s">
        <v>5791</v>
      </c>
      <c r="I80" s="4769" t="s">
        <v>494</v>
      </c>
      <c r="J80" s="4774" t="str">
        <f t="shared" si="6"/>
        <v>01</v>
      </c>
      <c r="K80" s="4774" t="str">
        <f t="shared" si="7"/>
        <v>CN.003C101</v>
      </c>
      <c r="L80" s="4774" t="str">
        <f t="shared" si="8"/>
        <v>Al Rai Modern Water Factory - BAYTUR_PAYMENT</v>
      </c>
      <c r="M80" s="4774" t="str">
        <f t="shared" si="9"/>
        <v>1TB01006.01.CN.003C101.00</v>
      </c>
      <c r="N80" s="4774" t="str">
        <f t="shared" si="10"/>
        <v>1TB01006.01.CN.003C101.01</v>
      </c>
      <c r="O80" s="4774" t="str">
        <f t="shared" si="11"/>
        <v>1TB01006.01.CN.003C101.02</v>
      </c>
    </row>
    <row r="81" spans="1:15">
      <c r="A81" s="4772" t="s">
        <v>258</v>
      </c>
      <c r="B81" s="4774" t="s">
        <v>5609</v>
      </c>
      <c r="C81" s="4772" t="s">
        <v>5675</v>
      </c>
      <c r="D81" s="4772" t="s">
        <v>5803</v>
      </c>
      <c r="E81" s="4773" t="s">
        <v>5705</v>
      </c>
      <c r="F81" s="4768" t="s">
        <v>5706</v>
      </c>
      <c r="G81" s="4770" t="s">
        <v>91</v>
      </c>
      <c r="H81" s="4770" t="s">
        <v>5791</v>
      </c>
      <c r="I81" s="4769" t="s">
        <v>494</v>
      </c>
      <c r="J81" s="4774" t="str">
        <f t="shared" si="6"/>
        <v>01</v>
      </c>
      <c r="K81" s="4774" t="str">
        <f t="shared" si="7"/>
        <v>CN.003C102</v>
      </c>
      <c r="L81" s="4774" t="str">
        <f t="shared" si="8"/>
        <v>Intelligent General Cont. Co - Equipment - Industrial Forklift &amp; 5ton - BAYTUR_PAYMENT</v>
      </c>
      <c r="M81" s="4774" t="str">
        <f t="shared" si="9"/>
        <v>1TB01006.01.CN.003C102.00</v>
      </c>
      <c r="N81" s="4774" t="str">
        <f t="shared" si="10"/>
        <v>1TB01006.01.CN.003C102.01</v>
      </c>
      <c r="O81" s="4774" t="str">
        <f t="shared" si="11"/>
        <v>1TB01006.01.CN.003C102.02</v>
      </c>
    </row>
    <row r="82" spans="1:15">
      <c r="A82" s="4772" t="s">
        <v>258</v>
      </c>
      <c r="B82" s="4774" t="s">
        <v>5609</v>
      </c>
      <c r="C82" s="4772" t="s">
        <v>5675</v>
      </c>
      <c r="D82" s="4772" t="s">
        <v>5804</v>
      </c>
      <c r="E82" s="4773" t="s">
        <v>5693</v>
      </c>
      <c r="F82" s="4768" t="s">
        <v>5694</v>
      </c>
      <c r="G82" s="4770" t="s">
        <v>91</v>
      </c>
      <c r="H82" s="4770" t="s">
        <v>5791</v>
      </c>
      <c r="I82" s="4769" t="s">
        <v>494</v>
      </c>
      <c r="J82" s="4774" t="str">
        <f t="shared" si="6"/>
        <v>01</v>
      </c>
      <c r="K82" s="4774" t="str">
        <f t="shared" si="7"/>
        <v>CN.003C103</v>
      </c>
      <c r="L82" s="4774" t="str">
        <f t="shared" si="8"/>
        <v>JAK Generation Cont. Co. LLC - BAYTUR_PAYMENT</v>
      </c>
      <c r="M82" s="4774" t="str">
        <f t="shared" si="9"/>
        <v>1TB01006.01.CN.003C103.00</v>
      </c>
      <c r="N82" s="4774" t="str">
        <f t="shared" si="10"/>
        <v>1TB01006.01.CN.003C103.01</v>
      </c>
      <c r="O82" s="4774" t="str">
        <f t="shared" si="11"/>
        <v>1TB01006.01.CN.003C103.02</v>
      </c>
    </row>
    <row r="83" spans="1:15">
      <c r="A83" s="4772" t="s">
        <v>258</v>
      </c>
      <c r="B83" s="4774" t="s">
        <v>5609</v>
      </c>
      <c r="C83" s="4772" t="s">
        <v>5675</v>
      </c>
      <c r="D83" s="4772" t="s">
        <v>5805</v>
      </c>
      <c r="E83" s="4773" t="s">
        <v>5677</v>
      </c>
      <c r="F83" s="4768" t="s">
        <v>5678</v>
      </c>
      <c r="G83" s="4770" t="s">
        <v>91</v>
      </c>
      <c r="H83" s="4770" t="s">
        <v>5791</v>
      </c>
      <c r="I83" s="4769" t="s">
        <v>494</v>
      </c>
      <c r="J83" s="4774" t="str">
        <f t="shared" si="6"/>
        <v>01</v>
      </c>
      <c r="K83" s="4774" t="str">
        <f t="shared" si="7"/>
        <v>CN.003C104</v>
      </c>
      <c r="L83" s="4774" t="str">
        <f t="shared" si="8"/>
        <v>Sami General Contracting Est. - BAYTUR_PAYMENT</v>
      </c>
      <c r="M83" s="4774" t="str">
        <f t="shared" si="9"/>
        <v>1TB01006.01.CN.003C104.00</v>
      </c>
      <c r="N83" s="4774" t="str">
        <f t="shared" si="10"/>
        <v>1TB01006.01.CN.003C104.01</v>
      </c>
      <c r="O83" s="4774" t="str">
        <f t="shared" si="11"/>
        <v>1TB01006.01.CN.003C104.02</v>
      </c>
    </row>
    <row r="84" spans="1:15">
      <c r="A84" s="4772" t="s">
        <v>258</v>
      </c>
      <c r="B84" s="4774" t="s">
        <v>5609</v>
      </c>
      <c r="C84" s="4772" t="s">
        <v>5675</v>
      </c>
      <c r="D84" s="4772" t="s">
        <v>5806</v>
      </c>
      <c r="E84" s="4773" t="s">
        <v>5696</v>
      </c>
      <c r="F84" s="4768" t="s">
        <v>5697</v>
      </c>
      <c r="G84" s="4770" t="s">
        <v>91</v>
      </c>
      <c r="H84" s="4770" t="s">
        <v>5791</v>
      </c>
      <c r="I84" s="4769" t="s">
        <v>494</v>
      </c>
      <c r="J84" s="4774" t="str">
        <f t="shared" si="6"/>
        <v>01</v>
      </c>
      <c r="K84" s="4774" t="str">
        <f t="shared" si="7"/>
        <v>CN.003C105</v>
      </c>
      <c r="L84" s="4774" t="str">
        <f t="shared" si="8"/>
        <v>Clean Coast For Contracting - BAYTUR_PAYMENT</v>
      </c>
      <c r="M84" s="4774" t="str">
        <f t="shared" si="9"/>
        <v>1TB01006.01.CN.003C105.00</v>
      </c>
      <c r="N84" s="4774" t="str">
        <f t="shared" si="10"/>
        <v>1TB01006.01.CN.003C105.01</v>
      </c>
      <c r="O84" s="4774" t="str">
        <f t="shared" si="11"/>
        <v>1TB01006.01.CN.003C105.02</v>
      </c>
    </row>
    <row r="85" spans="1:15">
      <c r="A85" s="4772" t="s">
        <v>258</v>
      </c>
      <c r="B85" s="4774" t="s">
        <v>5609</v>
      </c>
      <c r="C85" s="4772" t="s">
        <v>5675</v>
      </c>
      <c r="D85" s="4772" t="s">
        <v>5807</v>
      </c>
      <c r="E85" s="4773" t="s">
        <v>5717</v>
      </c>
      <c r="F85" s="4768" t="s">
        <v>5718</v>
      </c>
      <c r="G85" s="4770" t="s">
        <v>91</v>
      </c>
      <c r="H85" s="4770" t="s">
        <v>5791</v>
      </c>
      <c r="I85" s="4769" t="s">
        <v>494</v>
      </c>
      <c r="J85" s="4774" t="str">
        <f t="shared" si="6"/>
        <v>01</v>
      </c>
      <c r="K85" s="4774" t="str">
        <f t="shared" si="7"/>
        <v>CN.003C108</v>
      </c>
      <c r="L85" s="4774" t="str">
        <f t="shared" si="8"/>
        <v>M Mohammad Alharbi Medical Company - BAYTUR_PAYMENT</v>
      </c>
      <c r="M85" s="4774" t="str">
        <f t="shared" si="9"/>
        <v>1TB01006.01.CN.003C108.00</v>
      </c>
      <c r="N85" s="4774" t="str">
        <f t="shared" si="10"/>
        <v>1TB01006.01.CN.003C108.01</v>
      </c>
      <c r="O85" s="4774" t="str">
        <f t="shared" si="11"/>
        <v>1TB01006.01.CN.003C108.02</v>
      </c>
    </row>
    <row r="86" spans="1:15">
      <c r="A86" s="4772" t="s">
        <v>258</v>
      </c>
      <c r="B86" s="4774" t="s">
        <v>5609</v>
      </c>
      <c r="C86" s="4772" t="s">
        <v>5675</v>
      </c>
      <c r="D86" s="4772" t="s">
        <v>5808</v>
      </c>
      <c r="E86" s="4773" t="s">
        <v>5809</v>
      </c>
      <c r="F86" s="4768" t="s">
        <v>5810</v>
      </c>
      <c r="G86" s="4770" t="s">
        <v>91</v>
      </c>
      <c r="H86" s="4770" t="s">
        <v>5791</v>
      </c>
      <c r="I86" s="4769" t="s">
        <v>494</v>
      </c>
      <c r="J86" s="4774" t="str">
        <f t="shared" si="6"/>
        <v>01</v>
      </c>
      <c r="K86" s="4774" t="str">
        <f t="shared" si="7"/>
        <v>CN.003C110</v>
      </c>
      <c r="L86" s="4774" t="str">
        <f t="shared" si="8"/>
        <v>AAMTAC Company LTD - BAYTUR_PAYMENT</v>
      </c>
      <c r="M86" s="4774" t="str">
        <f t="shared" si="9"/>
        <v>1TB01006.01.CN.003C110.00</v>
      </c>
      <c r="N86" s="4774" t="str">
        <f t="shared" si="10"/>
        <v>1TB01006.01.CN.003C110.01</v>
      </c>
      <c r="O86" s="4774" t="str">
        <f t="shared" si="11"/>
        <v>1TB01006.01.CN.003C110.02</v>
      </c>
    </row>
    <row r="87" spans="1:15">
      <c r="A87" s="4772" t="s">
        <v>258</v>
      </c>
      <c r="B87" s="4774" t="s">
        <v>5609</v>
      </c>
      <c r="C87" s="4772" t="s">
        <v>5675</v>
      </c>
      <c r="D87" s="4772" t="s">
        <v>5811</v>
      </c>
      <c r="E87" s="4773" t="s">
        <v>5812</v>
      </c>
      <c r="F87" s="4768" t="s">
        <v>5813</v>
      </c>
      <c r="G87" s="4770" t="s">
        <v>91</v>
      </c>
      <c r="H87" s="4770" t="s">
        <v>5791</v>
      </c>
      <c r="I87" s="4769" t="s">
        <v>494</v>
      </c>
      <c r="J87" s="4774" t="str">
        <f t="shared" si="6"/>
        <v>01</v>
      </c>
      <c r="K87" s="4774" t="str">
        <f t="shared" si="7"/>
        <v>CN.003C111</v>
      </c>
      <c r="L87" s="4774" t="str">
        <f t="shared" si="8"/>
        <v>Ramzi Abbas Mohd Sayed Est - BAYTUR_PAYMENT</v>
      </c>
      <c r="M87" s="4774" t="str">
        <f t="shared" si="9"/>
        <v>1TB01006.01.CN.003C111.00</v>
      </c>
      <c r="N87" s="4774" t="str">
        <f t="shared" si="10"/>
        <v>1TB01006.01.CN.003C111.01</v>
      </c>
      <c r="O87" s="4774" t="str">
        <f t="shared" si="11"/>
        <v>1TB01006.01.CN.003C111.02</v>
      </c>
    </row>
    <row r="88" spans="1:15">
      <c r="A88" s="4772" t="s">
        <v>258</v>
      </c>
      <c r="B88" s="4774" t="s">
        <v>5609</v>
      </c>
      <c r="C88" s="4772" t="s">
        <v>5675</v>
      </c>
      <c r="D88" s="4772" t="s">
        <v>5814</v>
      </c>
      <c r="E88" s="4773" t="s">
        <v>5815</v>
      </c>
      <c r="F88" s="4768" t="s">
        <v>5816</v>
      </c>
      <c r="G88" s="4770" t="s">
        <v>91</v>
      </c>
      <c r="H88" s="4770" t="s">
        <v>5791</v>
      </c>
      <c r="I88" s="4769" t="s">
        <v>494</v>
      </c>
      <c r="J88" s="4774" t="str">
        <f t="shared" si="6"/>
        <v>01</v>
      </c>
      <c r="K88" s="4774" t="str">
        <f t="shared" si="7"/>
        <v>CN.003C112</v>
      </c>
      <c r="L88" s="4774" t="str">
        <f t="shared" si="8"/>
        <v>Ihsan Muhammed Thakir Idress Trading - BAYTUR_PAYMENT</v>
      </c>
      <c r="M88" s="4774" t="str">
        <f t="shared" si="9"/>
        <v>1TB01006.01.CN.003C112.00</v>
      </c>
      <c r="N88" s="4774" t="str">
        <f t="shared" si="10"/>
        <v>1TB01006.01.CN.003C112.01</v>
      </c>
      <c r="O88" s="4774" t="str">
        <f t="shared" si="11"/>
        <v>1TB01006.01.CN.003C112.02</v>
      </c>
    </row>
    <row r="89" spans="1:15">
      <c r="A89" s="4772" t="s">
        <v>258</v>
      </c>
      <c r="B89" s="4774" t="s">
        <v>5609</v>
      </c>
      <c r="C89" s="4772" t="s">
        <v>5675</v>
      </c>
      <c r="D89" s="4772" t="s">
        <v>5817</v>
      </c>
      <c r="E89" s="4773" t="s">
        <v>5818</v>
      </c>
      <c r="F89" s="4768" t="s">
        <v>5819</v>
      </c>
      <c r="G89" s="4770" t="s">
        <v>91</v>
      </c>
      <c r="H89" s="4770" t="s">
        <v>5791</v>
      </c>
      <c r="I89" s="4769" t="s">
        <v>494</v>
      </c>
      <c r="J89" s="4774" t="str">
        <f t="shared" si="6"/>
        <v>01</v>
      </c>
      <c r="K89" s="4774" t="str">
        <f t="shared" si="7"/>
        <v>CN.003C113</v>
      </c>
      <c r="L89" s="4774" t="str">
        <f t="shared" si="8"/>
        <v>Saint Gobain - Sodamco Industrial - BAYTUR_PAYMENT</v>
      </c>
      <c r="M89" s="4774" t="str">
        <f t="shared" si="9"/>
        <v>1TB01006.01.CN.003C113.00</v>
      </c>
      <c r="N89" s="4774" t="str">
        <f t="shared" si="10"/>
        <v>1TB01006.01.CN.003C113.01</v>
      </c>
      <c r="O89" s="4774" t="str">
        <f t="shared" si="11"/>
        <v>1TB01006.01.CN.003C113.02</v>
      </c>
    </row>
    <row r="90" spans="1:15">
      <c r="A90" s="4772" t="s">
        <v>258</v>
      </c>
      <c r="B90" s="4774" t="s">
        <v>5609</v>
      </c>
      <c r="C90" s="4772" t="s">
        <v>5675</v>
      </c>
      <c r="D90" s="4772" t="s">
        <v>5820</v>
      </c>
      <c r="E90" s="4773" t="s">
        <v>5821</v>
      </c>
      <c r="F90" s="4768" t="s">
        <v>5822</v>
      </c>
      <c r="G90" s="4770" t="s">
        <v>91</v>
      </c>
      <c r="H90" s="4770" t="s">
        <v>5791</v>
      </c>
      <c r="I90" s="4769" t="s">
        <v>494</v>
      </c>
      <c r="J90" s="4774" t="str">
        <f t="shared" si="6"/>
        <v>01</v>
      </c>
      <c r="K90" s="4774" t="str">
        <f t="shared" si="7"/>
        <v>CN.003C79</v>
      </c>
      <c r="L90" s="4774" t="str">
        <f t="shared" si="8"/>
        <v>Glsan Contracting Company - BAYTUR_PAYMENT</v>
      </c>
      <c r="M90" s="4774" t="str">
        <f t="shared" si="9"/>
        <v>1TB01006.01.CN.003C79.00</v>
      </c>
      <c r="N90" s="4774" t="str">
        <f t="shared" si="10"/>
        <v>1TB01006.01.CN.003C79.01</v>
      </c>
      <c r="O90" s="4774" t="str">
        <f t="shared" si="11"/>
        <v>1TB01006.01.CN.003C79.02</v>
      </c>
    </row>
    <row r="91" spans="1:15">
      <c r="A91" s="4772" t="s">
        <v>258</v>
      </c>
      <c r="B91" s="4774" t="s">
        <v>5609</v>
      </c>
      <c r="C91" s="4772">
        <v>2250184</v>
      </c>
      <c r="D91" s="4772" t="s">
        <v>5823</v>
      </c>
      <c r="E91" s="4773" t="s">
        <v>5642</v>
      </c>
      <c r="F91" s="4768" t="s">
        <v>5643</v>
      </c>
      <c r="G91" s="4770" t="s">
        <v>82</v>
      </c>
      <c r="H91" s="4770" t="s">
        <v>5824</v>
      </c>
      <c r="I91" s="4769" t="s">
        <v>472</v>
      </c>
      <c r="J91" s="4774" t="str">
        <f t="shared" si="6"/>
        <v>01</v>
      </c>
      <c r="K91" s="4774" t="str">
        <f t="shared" si="7"/>
        <v>PS.003F10</v>
      </c>
      <c r="L91" s="4774" t="str">
        <f t="shared" si="8"/>
        <v>Jensen Hughes Saudi Arabia, LLC - 2250184</v>
      </c>
      <c r="M91" s="4774" t="str">
        <f t="shared" si="9"/>
        <v>1TB01006.01.PS.003F10.00</v>
      </c>
      <c r="N91" s="4774" t="str">
        <f t="shared" si="10"/>
        <v>1TB01006.01.PS.003F10.01</v>
      </c>
      <c r="O91" s="4774" t="str">
        <f t="shared" si="11"/>
        <v>1TB01006.01.PS.003F10.02</v>
      </c>
    </row>
    <row r="92" spans="1:15">
      <c r="A92" s="4772" t="s">
        <v>258</v>
      </c>
      <c r="B92" s="4774" t="s">
        <v>5609</v>
      </c>
      <c r="C92" s="4772" t="s">
        <v>5675</v>
      </c>
      <c r="D92" s="4772" t="s">
        <v>5825</v>
      </c>
      <c r="E92" s="4773" t="s">
        <v>5758</v>
      </c>
      <c r="F92" s="4768" t="s">
        <v>5759</v>
      </c>
      <c r="G92" s="4770" t="s">
        <v>91</v>
      </c>
      <c r="H92" s="4770" t="s">
        <v>5791</v>
      </c>
      <c r="I92" s="4769" t="s">
        <v>494</v>
      </c>
      <c r="J92" s="4774" t="str">
        <f t="shared" si="6"/>
        <v>01</v>
      </c>
      <c r="K92" s="4774" t="str">
        <f t="shared" si="7"/>
        <v>CN.003C81</v>
      </c>
      <c r="L92" s="4774" t="str">
        <f t="shared" si="8"/>
        <v>Jameel Mohammed Hussain Alqatafa Cont.Est. - BAYTUR_PAYMENT</v>
      </c>
      <c r="M92" s="4774" t="str">
        <f t="shared" si="9"/>
        <v>1TB01006.01.CN.003C81.00</v>
      </c>
      <c r="N92" s="4774" t="str">
        <f t="shared" si="10"/>
        <v>1TB01006.01.CN.003C81.01</v>
      </c>
      <c r="O92" s="4774" t="str">
        <f t="shared" si="11"/>
        <v>1TB01006.01.CN.003C81.02</v>
      </c>
    </row>
    <row r="93" spans="1:15">
      <c r="A93" s="4772" t="s">
        <v>258</v>
      </c>
      <c r="B93" s="4774" t="s">
        <v>5609</v>
      </c>
      <c r="C93" s="4772" t="s">
        <v>5675</v>
      </c>
      <c r="D93" s="4772" t="s">
        <v>5826</v>
      </c>
      <c r="E93" s="4773" t="s">
        <v>5720</v>
      </c>
      <c r="F93" s="4768" t="s">
        <v>5721</v>
      </c>
      <c r="G93" s="4770" t="s">
        <v>91</v>
      </c>
      <c r="H93" s="4770" t="s">
        <v>5791</v>
      </c>
      <c r="I93" s="4769" t="s">
        <v>494</v>
      </c>
      <c r="J93" s="4774" t="str">
        <f t="shared" si="6"/>
        <v>01</v>
      </c>
      <c r="K93" s="4774" t="str">
        <f t="shared" si="7"/>
        <v>CN.003C89</v>
      </c>
      <c r="L93" s="4774" t="str">
        <f t="shared" si="8"/>
        <v>Issam Kabani and Partners - BAYTUR_PAYMENT</v>
      </c>
      <c r="M93" s="4774" t="str">
        <f t="shared" si="9"/>
        <v>1TB01006.01.CN.003C89.00</v>
      </c>
      <c r="N93" s="4774" t="str">
        <f t="shared" si="10"/>
        <v>1TB01006.01.CN.003C89.01</v>
      </c>
      <c r="O93" s="4774" t="str">
        <f t="shared" si="11"/>
        <v>1TB01006.01.CN.003C89.02</v>
      </c>
    </row>
    <row r="94" spans="1:15">
      <c r="A94" s="4772" t="s">
        <v>258</v>
      </c>
      <c r="B94" s="4774" t="s">
        <v>5609</v>
      </c>
      <c r="C94" s="4772" t="s">
        <v>5675</v>
      </c>
      <c r="D94" s="4772" t="s">
        <v>5827</v>
      </c>
      <c r="E94" s="4773" t="s">
        <v>5681</v>
      </c>
      <c r="F94" s="4768" t="s">
        <v>5682</v>
      </c>
      <c r="G94" s="4770" t="s">
        <v>91</v>
      </c>
      <c r="H94" s="4770" t="s">
        <v>5791</v>
      </c>
      <c r="I94" s="4769" t="s">
        <v>494</v>
      </c>
      <c r="J94" s="4774" t="str">
        <f t="shared" si="6"/>
        <v>01</v>
      </c>
      <c r="K94" s="4774" t="str">
        <f t="shared" si="7"/>
        <v>CN.003C90</v>
      </c>
      <c r="L94" s="4774" t="str">
        <f t="shared" si="8"/>
        <v>Saad Al Easa - Metal Industry - BAYTUR_PAYMENT</v>
      </c>
      <c r="M94" s="4774" t="str">
        <f t="shared" si="9"/>
        <v>1TB01006.01.CN.003C90.00</v>
      </c>
      <c r="N94" s="4774" t="str">
        <f t="shared" si="10"/>
        <v>1TB01006.01.CN.003C90.01</v>
      </c>
      <c r="O94" s="4774" t="str">
        <f t="shared" si="11"/>
        <v>1TB01006.01.CN.003C90.02</v>
      </c>
    </row>
    <row r="95" spans="1:15">
      <c r="A95" s="4772" t="s">
        <v>258</v>
      </c>
      <c r="B95" s="4774" t="s">
        <v>5609</v>
      </c>
      <c r="C95" s="4772" t="s">
        <v>5675</v>
      </c>
      <c r="D95" s="4772" t="s">
        <v>5828</v>
      </c>
      <c r="E95" s="4773" t="s">
        <v>5630</v>
      </c>
      <c r="F95" s="4768" t="s">
        <v>1519</v>
      </c>
      <c r="G95" s="4770" t="s">
        <v>91</v>
      </c>
      <c r="H95" s="4770" t="s">
        <v>5791</v>
      </c>
      <c r="I95" s="4769" t="s">
        <v>494</v>
      </c>
      <c r="J95" s="4774" t="str">
        <f t="shared" si="6"/>
        <v>01</v>
      </c>
      <c r="K95" s="4774" t="str">
        <f t="shared" si="7"/>
        <v>CN.003C91</v>
      </c>
      <c r="L95" s="4774" t="str">
        <f t="shared" si="8"/>
        <v>Medtel - W.N - BAYTUR_PAYMENT</v>
      </c>
      <c r="M95" s="4774" t="str">
        <f t="shared" si="9"/>
        <v>1TB01006.01.CN.003C91.00</v>
      </c>
      <c r="N95" s="4774" t="str">
        <f t="shared" si="10"/>
        <v>1TB01006.01.CN.003C91.01</v>
      </c>
      <c r="O95" s="4774" t="str">
        <f t="shared" si="11"/>
        <v>1TB01006.01.CN.003C91.02</v>
      </c>
    </row>
    <row r="96" spans="1:15">
      <c r="A96" s="4772" t="s">
        <v>258</v>
      </c>
      <c r="B96" s="4774" t="s">
        <v>5609</v>
      </c>
      <c r="C96" s="4772" t="s">
        <v>5675</v>
      </c>
      <c r="D96" s="4772" t="s">
        <v>5829</v>
      </c>
      <c r="E96" s="4773" t="s">
        <v>5761</v>
      </c>
      <c r="F96" s="4768" t="s">
        <v>5762</v>
      </c>
      <c r="G96" s="4770" t="s">
        <v>91</v>
      </c>
      <c r="H96" s="4770" t="s">
        <v>5791</v>
      </c>
      <c r="I96" s="4769" t="s">
        <v>494</v>
      </c>
      <c r="J96" s="4774" t="str">
        <f t="shared" si="6"/>
        <v>01</v>
      </c>
      <c r="K96" s="4774" t="str">
        <f t="shared" si="7"/>
        <v>CN.003C82</v>
      </c>
      <c r="L96" s="4774" t="str">
        <f t="shared" si="8"/>
        <v>Gesr Alarab - BAYTUR_PAYMENT</v>
      </c>
      <c r="M96" s="4774" t="str">
        <f t="shared" si="9"/>
        <v>1TB01006.01.CN.003C82.00</v>
      </c>
      <c r="N96" s="4774" t="str">
        <f t="shared" si="10"/>
        <v>1TB01006.01.CN.003C82.01</v>
      </c>
      <c r="O96" s="4774" t="str">
        <f t="shared" si="11"/>
        <v>1TB01006.01.CN.003C82.02</v>
      </c>
    </row>
    <row r="97" spans="1:15">
      <c r="A97" s="4772" t="s">
        <v>258</v>
      </c>
      <c r="B97" s="4774" t="s">
        <v>5609</v>
      </c>
      <c r="C97" s="4772" t="s">
        <v>5675</v>
      </c>
      <c r="D97" s="4772" t="s">
        <v>5830</v>
      </c>
      <c r="E97" s="4773" t="s">
        <v>5821</v>
      </c>
      <c r="F97" s="4768" t="s">
        <v>5822</v>
      </c>
      <c r="G97" s="4770" t="s">
        <v>91</v>
      </c>
      <c r="H97" s="4770" t="s">
        <v>5791</v>
      </c>
      <c r="I97" s="4769" t="s">
        <v>494</v>
      </c>
      <c r="J97" s="4774" t="str">
        <f t="shared" si="6"/>
        <v>01</v>
      </c>
      <c r="K97" s="4774" t="str">
        <f t="shared" si="7"/>
        <v>CN.003C80</v>
      </c>
      <c r="L97" s="4774" t="str">
        <f t="shared" si="8"/>
        <v>Glsan Contracting Company - BAYTUR_PAYMENT</v>
      </c>
      <c r="M97" s="4774" t="str">
        <f t="shared" si="9"/>
        <v>1TB01006.01.CN.003C80.00</v>
      </c>
      <c r="N97" s="4774" t="str">
        <f t="shared" si="10"/>
        <v>1TB01006.01.CN.003C80.01</v>
      </c>
      <c r="O97" s="4774" t="str">
        <f t="shared" si="11"/>
        <v>1TB01006.01.CN.003C80.02</v>
      </c>
    </row>
    <row r="98" spans="1:15">
      <c r="A98" s="4772" t="s">
        <v>258</v>
      </c>
      <c r="B98" s="4774" t="s">
        <v>5609</v>
      </c>
      <c r="C98" s="4772" t="s">
        <v>805</v>
      </c>
      <c r="D98" s="4772" t="s">
        <v>5831</v>
      </c>
      <c r="E98" s="4773" t="s">
        <v>5724</v>
      </c>
      <c r="F98" s="4768" t="s">
        <v>5725</v>
      </c>
      <c r="G98" s="4770" t="s">
        <v>91</v>
      </c>
      <c r="H98" s="4770" t="s">
        <v>5832</v>
      </c>
      <c r="I98" s="4769" t="s">
        <v>494</v>
      </c>
      <c r="J98" s="4774" t="str">
        <f t="shared" si="6"/>
        <v>01</v>
      </c>
      <c r="K98" s="4774" t="str">
        <f t="shared" si="7"/>
        <v>CN.003CXX</v>
      </c>
      <c r="L98" s="4774" t="str">
        <f t="shared" si="8"/>
        <v>Ahmed Bin Salem Bin Dagher Al-Balawi Est. - N/A</v>
      </c>
      <c r="M98" s="4774" t="str">
        <f t="shared" si="9"/>
        <v>1TB01006.01.CN.003CXX.00</v>
      </c>
      <c r="N98" s="4774" t="str">
        <f t="shared" si="10"/>
        <v>1TB01006.01.CN.003CXX.01</v>
      </c>
      <c r="O98" s="4774" t="str">
        <f t="shared" si="11"/>
        <v>1TB01006.01.CN.003CXX.02</v>
      </c>
    </row>
    <row r="99" spans="1:15">
      <c r="A99" s="4772" t="s">
        <v>258</v>
      </c>
      <c r="B99" s="4774" t="s">
        <v>5609</v>
      </c>
      <c r="C99" s="4772" t="s">
        <v>5675</v>
      </c>
      <c r="D99" s="4772" t="s">
        <v>5833</v>
      </c>
      <c r="E99" s="4773" t="s">
        <v>5696</v>
      </c>
      <c r="F99" s="4768" t="s">
        <v>5697</v>
      </c>
      <c r="G99" s="4770" t="s">
        <v>91</v>
      </c>
      <c r="H99" s="4770" t="s">
        <v>5791</v>
      </c>
      <c r="I99" s="4769" t="s">
        <v>494</v>
      </c>
      <c r="J99" s="4774" t="str">
        <f t="shared" si="6"/>
        <v>01</v>
      </c>
      <c r="K99" s="4774" t="str">
        <f t="shared" si="7"/>
        <v>CN.003C149</v>
      </c>
      <c r="L99" s="4774" t="str">
        <f t="shared" si="8"/>
        <v>Clean Coast For Contracting - BAYTUR_PAYMENT</v>
      </c>
      <c r="M99" s="4774" t="str">
        <f t="shared" si="9"/>
        <v>1TB01006.01.CN.003C149.00</v>
      </c>
      <c r="N99" s="4774" t="str">
        <f t="shared" si="10"/>
        <v>1TB01006.01.CN.003C149.01</v>
      </c>
      <c r="O99" s="4774" t="str">
        <f t="shared" si="11"/>
        <v>1TB01006.01.CN.003C149.02</v>
      </c>
    </row>
    <row r="100" spans="1:15">
      <c r="A100" s="4772" t="s">
        <v>258</v>
      </c>
      <c r="B100" s="4774" t="s">
        <v>5609</v>
      </c>
      <c r="C100" s="4772">
        <v>2250196</v>
      </c>
      <c r="D100" s="4772" t="s">
        <v>5834</v>
      </c>
      <c r="E100" s="4773" t="s">
        <v>5665</v>
      </c>
      <c r="F100" s="4768" t="s">
        <v>5666</v>
      </c>
      <c r="G100" s="4770" t="s">
        <v>91</v>
      </c>
      <c r="H100" s="4770" t="s">
        <v>5835</v>
      </c>
      <c r="I100" s="4769" t="s">
        <v>494</v>
      </c>
      <c r="J100" s="4774" t="str">
        <f t="shared" si="6"/>
        <v>01</v>
      </c>
      <c r="K100" s="4774" t="str">
        <f t="shared" si="7"/>
        <v>CN.003C150</v>
      </c>
      <c r="L100" s="4774" t="str">
        <f t="shared" si="8"/>
        <v>Al Rajhi Company For Cooperative Insurance - 2250196</v>
      </c>
      <c r="M100" s="4774" t="str">
        <f t="shared" si="9"/>
        <v>1TB01006.01.CN.003C150.00</v>
      </c>
      <c r="N100" s="4774" t="str">
        <f t="shared" si="10"/>
        <v>1TB01006.01.CN.003C150.01</v>
      </c>
      <c r="O100" s="4774" t="str">
        <f t="shared" si="11"/>
        <v>1TB01006.01.CN.003C150.02</v>
      </c>
    </row>
    <row r="101" spans="1:15">
      <c r="A101" s="4772" t="s">
        <v>258</v>
      </c>
      <c r="B101" s="4774" t="s">
        <v>5609</v>
      </c>
      <c r="C101" s="4772" t="s">
        <v>5675</v>
      </c>
      <c r="D101" s="4772" t="s">
        <v>5836</v>
      </c>
      <c r="E101" s="4773" t="s">
        <v>5767</v>
      </c>
      <c r="F101" s="4768" t="s">
        <v>5768</v>
      </c>
      <c r="G101" s="4770" t="s">
        <v>91</v>
      </c>
      <c r="H101" s="4770" t="s">
        <v>5837</v>
      </c>
      <c r="I101" s="4769" t="s">
        <v>494</v>
      </c>
      <c r="J101" s="4774" t="str">
        <f t="shared" si="6"/>
        <v>01</v>
      </c>
      <c r="K101" s="4774" t="str">
        <f t="shared" si="7"/>
        <v>CN.003C125</v>
      </c>
      <c r="L101" s="4774" t="str">
        <f t="shared" si="8"/>
        <v>Yaz Development Contracting - BAYTUR_PAYMENT</v>
      </c>
      <c r="M101" s="4774" t="str">
        <f t="shared" si="9"/>
        <v>1TB01006.01.CN.003C125.00</v>
      </c>
      <c r="N101" s="4774" t="str">
        <f t="shared" si="10"/>
        <v>1TB01006.01.CN.003C125.01</v>
      </c>
      <c r="O101" s="4774" t="str">
        <f t="shared" si="11"/>
        <v>1TB01006.01.CN.003C125.02</v>
      </c>
    </row>
    <row r="102" spans="1:15">
      <c r="A102" s="4772" t="s">
        <v>258</v>
      </c>
      <c r="B102" s="4774" t="s">
        <v>5609</v>
      </c>
      <c r="C102" s="4772" t="s">
        <v>5675</v>
      </c>
      <c r="D102" s="4772" t="s">
        <v>5838</v>
      </c>
      <c r="E102" s="4773" t="s">
        <v>5761</v>
      </c>
      <c r="F102" s="4768" t="s">
        <v>5762</v>
      </c>
      <c r="G102" s="4770" t="s">
        <v>91</v>
      </c>
      <c r="H102" s="4770" t="s">
        <v>5837</v>
      </c>
      <c r="I102" s="4769" t="s">
        <v>494</v>
      </c>
      <c r="J102" s="4774" t="str">
        <f t="shared" si="6"/>
        <v>01</v>
      </c>
      <c r="K102" s="4774" t="str">
        <f t="shared" si="7"/>
        <v>CN.003C124</v>
      </c>
      <c r="L102" s="4774" t="str">
        <f t="shared" si="8"/>
        <v>Gesr Alarab - BAYTUR_PAYMENT</v>
      </c>
      <c r="M102" s="4774" t="str">
        <f t="shared" si="9"/>
        <v>1TB01006.01.CN.003C124.00</v>
      </c>
      <c r="N102" s="4774" t="str">
        <f t="shared" si="10"/>
        <v>1TB01006.01.CN.003C124.01</v>
      </c>
      <c r="O102" s="4774" t="str">
        <f t="shared" si="11"/>
        <v>1TB01006.01.CN.003C124.02</v>
      </c>
    </row>
    <row r="103" spans="1:15">
      <c r="A103" s="4772" t="s">
        <v>258</v>
      </c>
      <c r="B103" s="4774" t="s">
        <v>5609</v>
      </c>
      <c r="C103" s="4772" t="s">
        <v>5675</v>
      </c>
      <c r="D103" s="4772" t="s">
        <v>5839</v>
      </c>
      <c r="E103" s="4773" t="s">
        <v>5770</v>
      </c>
      <c r="F103" s="4768" t="s">
        <v>5771</v>
      </c>
      <c r="G103" s="4770" t="s">
        <v>91</v>
      </c>
      <c r="H103" s="4770" t="s">
        <v>5837</v>
      </c>
      <c r="I103" s="4769" t="s">
        <v>494</v>
      </c>
      <c r="J103" s="4774" t="str">
        <f t="shared" si="6"/>
        <v>01</v>
      </c>
      <c r="K103" s="4774" t="str">
        <f t="shared" si="7"/>
        <v>CN.003C117</v>
      </c>
      <c r="L103" s="4774" t="str">
        <f t="shared" si="8"/>
        <v>Abeer Manawer Al-Shamari Contracting Est. - BAYTUR_PAYMENT</v>
      </c>
      <c r="M103" s="4774" t="str">
        <f t="shared" si="9"/>
        <v>1TB01006.01.CN.003C117.00</v>
      </c>
      <c r="N103" s="4774" t="str">
        <f t="shared" si="10"/>
        <v>1TB01006.01.CN.003C117.01</v>
      </c>
      <c r="O103" s="4774" t="str">
        <f t="shared" si="11"/>
        <v>1TB01006.01.CN.003C117.02</v>
      </c>
    </row>
    <row r="104" spans="1:15">
      <c r="A104" s="4772" t="s">
        <v>258</v>
      </c>
      <c r="B104" s="4774" t="s">
        <v>5609</v>
      </c>
      <c r="C104" s="4772" t="s">
        <v>5675</v>
      </c>
      <c r="D104" s="4772" t="s">
        <v>5840</v>
      </c>
      <c r="E104" s="4773" t="s">
        <v>5821</v>
      </c>
      <c r="F104" s="4768" t="s">
        <v>5822</v>
      </c>
      <c r="G104" s="4770" t="s">
        <v>91</v>
      </c>
      <c r="H104" s="4770" t="s">
        <v>5837</v>
      </c>
      <c r="I104" s="4769" t="s">
        <v>494</v>
      </c>
      <c r="J104" s="4774" t="str">
        <f t="shared" si="6"/>
        <v>01</v>
      </c>
      <c r="K104" s="4774" t="str">
        <f t="shared" si="7"/>
        <v>CN.003C109</v>
      </c>
      <c r="L104" s="4774" t="str">
        <f t="shared" si="8"/>
        <v>Glsan Contracting Company - BAYTUR_PAYMENT</v>
      </c>
      <c r="M104" s="4774" t="str">
        <f t="shared" si="9"/>
        <v>1TB01006.01.CN.003C109.00</v>
      </c>
      <c r="N104" s="4774" t="str">
        <f t="shared" si="10"/>
        <v>1TB01006.01.CN.003C109.01</v>
      </c>
      <c r="O104" s="4774" t="str">
        <f t="shared" si="11"/>
        <v>1TB01006.01.CN.003C109.02</v>
      </c>
    </row>
    <row r="105" spans="1:15">
      <c r="A105" s="4772" t="s">
        <v>258</v>
      </c>
      <c r="B105" s="4774" t="s">
        <v>5609</v>
      </c>
      <c r="C105" s="4772" t="s">
        <v>5675</v>
      </c>
      <c r="D105" s="4772" t="s">
        <v>5841</v>
      </c>
      <c r="E105" s="4773" t="s">
        <v>5742</v>
      </c>
      <c r="F105" s="4768" t="s">
        <v>5743</v>
      </c>
      <c r="G105" s="4770" t="s">
        <v>91</v>
      </c>
      <c r="H105" s="4770" t="s">
        <v>5837</v>
      </c>
      <c r="I105" s="4769" t="s">
        <v>494</v>
      </c>
      <c r="J105" s="4774" t="str">
        <f t="shared" si="6"/>
        <v>01</v>
      </c>
      <c r="K105" s="4774" t="str">
        <f t="shared" si="7"/>
        <v>CN.003C76</v>
      </c>
      <c r="L105" s="4774" t="str">
        <f t="shared" si="8"/>
        <v>Wood Expert - BAYTUR_PAYMENT</v>
      </c>
      <c r="M105" s="4774" t="str">
        <f t="shared" si="9"/>
        <v>1TB01006.01.CN.003C76.00</v>
      </c>
      <c r="N105" s="4774" t="str">
        <f t="shared" si="10"/>
        <v>1TB01006.01.CN.003C76.01</v>
      </c>
      <c r="O105" s="4774" t="str">
        <f t="shared" si="11"/>
        <v>1TB01006.01.CN.003C76.02</v>
      </c>
    </row>
    <row r="106" spans="1:15">
      <c r="A106" s="4772" t="s">
        <v>258</v>
      </c>
      <c r="B106" s="4774" t="s">
        <v>5609</v>
      </c>
      <c r="C106" s="4772" t="s">
        <v>5675</v>
      </c>
      <c r="D106" s="4772" t="s">
        <v>5842</v>
      </c>
      <c r="E106" s="4773" t="s">
        <v>5843</v>
      </c>
      <c r="F106" s="4768" t="s">
        <v>5844</v>
      </c>
      <c r="G106" s="4770" t="s">
        <v>91</v>
      </c>
      <c r="H106" s="4770" t="s">
        <v>5837</v>
      </c>
      <c r="I106" s="4769" t="s">
        <v>494</v>
      </c>
      <c r="J106" s="4774" t="str">
        <f t="shared" si="6"/>
        <v>01</v>
      </c>
      <c r="K106" s="4774" t="str">
        <f t="shared" si="7"/>
        <v>CN.003C146</v>
      </c>
      <c r="L106" s="4774" t="str">
        <f t="shared" si="8"/>
        <v>Al Tala'a International Transportation Co. - BAYTUR_PAYMENT</v>
      </c>
      <c r="M106" s="4774" t="str">
        <f t="shared" si="9"/>
        <v>1TB01006.01.CN.003C146.00</v>
      </c>
      <c r="N106" s="4774" t="str">
        <f t="shared" si="10"/>
        <v>1TB01006.01.CN.003C146.01</v>
      </c>
      <c r="O106" s="4774" t="str">
        <f t="shared" si="11"/>
        <v>1TB01006.01.CN.003C146.02</v>
      </c>
    </row>
    <row r="107" spans="1:15">
      <c r="A107" s="4772" t="s">
        <v>258</v>
      </c>
      <c r="B107" s="4774" t="s">
        <v>5609</v>
      </c>
      <c r="C107" s="4772" t="s">
        <v>5675</v>
      </c>
      <c r="D107" s="4772" t="s">
        <v>5845</v>
      </c>
      <c r="E107" s="4773" t="s">
        <v>5821</v>
      </c>
      <c r="F107" s="4768" t="s">
        <v>5822</v>
      </c>
      <c r="G107" s="4770" t="s">
        <v>91</v>
      </c>
      <c r="H107" s="4770" t="s">
        <v>5837</v>
      </c>
      <c r="I107" s="4769" t="s">
        <v>494</v>
      </c>
      <c r="J107" s="4774" t="str">
        <f t="shared" si="6"/>
        <v>01</v>
      </c>
      <c r="K107" s="4774" t="str">
        <f t="shared" si="7"/>
        <v>CN.003C144</v>
      </c>
      <c r="L107" s="4774" t="str">
        <f t="shared" si="8"/>
        <v>Glsan Contracting Company - BAYTUR_PAYMENT</v>
      </c>
      <c r="M107" s="4774" t="str">
        <f t="shared" si="9"/>
        <v>1TB01006.01.CN.003C144.00</v>
      </c>
      <c r="N107" s="4774" t="str">
        <f t="shared" si="10"/>
        <v>1TB01006.01.CN.003C144.01</v>
      </c>
      <c r="O107" s="4774" t="str">
        <f t="shared" si="11"/>
        <v>1TB01006.01.CN.003C144.02</v>
      </c>
    </row>
    <row r="108" spans="1:15">
      <c r="A108" s="4772" t="s">
        <v>258</v>
      </c>
      <c r="B108" s="4774" t="s">
        <v>5609</v>
      </c>
      <c r="C108" s="4772" t="s">
        <v>5675</v>
      </c>
      <c r="D108" s="4772" t="s">
        <v>5846</v>
      </c>
      <c r="E108" s="4773" t="s">
        <v>5717</v>
      </c>
      <c r="F108" s="4768" t="s">
        <v>5718</v>
      </c>
      <c r="G108" s="4770" t="s">
        <v>91</v>
      </c>
      <c r="H108" s="4770" t="s">
        <v>5837</v>
      </c>
      <c r="I108" s="4769" t="s">
        <v>494</v>
      </c>
      <c r="J108" s="4774" t="str">
        <f t="shared" si="6"/>
        <v>01</v>
      </c>
      <c r="K108" s="4774" t="str">
        <f t="shared" si="7"/>
        <v>CN.003C143</v>
      </c>
      <c r="L108" s="4774" t="str">
        <f t="shared" si="8"/>
        <v>M Mohammad Alharbi Medical Company - BAYTUR_PAYMENT</v>
      </c>
      <c r="M108" s="4774" t="str">
        <f t="shared" si="9"/>
        <v>1TB01006.01.CN.003C143.00</v>
      </c>
      <c r="N108" s="4774" t="str">
        <f t="shared" si="10"/>
        <v>1TB01006.01.CN.003C143.01</v>
      </c>
      <c r="O108" s="4774" t="str">
        <f t="shared" si="11"/>
        <v>1TB01006.01.CN.003C143.02</v>
      </c>
    </row>
    <row r="109" spans="1:15">
      <c r="A109" s="4772" t="s">
        <v>258</v>
      </c>
      <c r="B109" s="4774" t="s">
        <v>5609</v>
      </c>
      <c r="C109" s="4772" t="s">
        <v>5675</v>
      </c>
      <c r="D109" s="4772" t="s">
        <v>5847</v>
      </c>
      <c r="E109" s="4773" t="s">
        <v>5696</v>
      </c>
      <c r="F109" s="4768" t="s">
        <v>5697</v>
      </c>
      <c r="G109" s="4770" t="s">
        <v>91</v>
      </c>
      <c r="H109" s="4770" t="s">
        <v>5837</v>
      </c>
      <c r="I109" s="4769" t="s">
        <v>494</v>
      </c>
      <c r="J109" s="4774" t="str">
        <f t="shared" si="6"/>
        <v>01</v>
      </c>
      <c r="K109" s="4774" t="str">
        <f t="shared" si="7"/>
        <v>CN.003C139</v>
      </c>
      <c r="L109" s="4774" t="str">
        <f t="shared" si="8"/>
        <v>Clean Coast For Contracting - BAYTUR_PAYMENT</v>
      </c>
      <c r="M109" s="4774" t="str">
        <f t="shared" si="9"/>
        <v>1TB01006.01.CN.003C139.00</v>
      </c>
      <c r="N109" s="4774" t="str">
        <f t="shared" si="10"/>
        <v>1TB01006.01.CN.003C139.01</v>
      </c>
      <c r="O109" s="4774" t="str">
        <f t="shared" si="11"/>
        <v>1TB01006.01.CN.003C139.02</v>
      </c>
    </row>
    <row r="110" spans="1:15">
      <c r="A110" s="4772" t="s">
        <v>258</v>
      </c>
      <c r="B110" s="4774" t="s">
        <v>5609</v>
      </c>
      <c r="C110" s="4772" t="s">
        <v>5675</v>
      </c>
      <c r="D110" s="4772" t="s">
        <v>5848</v>
      </c>
      <c r="E110" s="4773" t="s">
        <v>5693</v>
      </c>
      <c r="F110" s="4768" t="s">
        <v>5694</v>
      </c>
      <c r="G110" s="4770" t="s">
        <v>91</v>
      </c>
      <c r="H110" s="4770" t="s">
        <v>5837</v>
      </c>
      <c r="I110" s="4769" t="s">
        <v>494</v>
      </c>
      <c r="J110" s="4774" t="str">
        <f t="shared" si="6"/>
        <v>01</v>
      </c>
      <c r="K110" s="4774" t="str">
        <f t="shared" si="7"/>
        <v>CN.003C137</v>
      </c>
      <c r="L110" s="4774" t="str">
        <f t="shared" si="8"/>
        <v>JAK Generation Cont. Co. LLC - BAYTUR_PAYMENT</v>
      </c>
      <c r="M110" s="4774" t="str">
        <f t="shared" si="9"/>
        <v>1TB01006.01.CN.003C137.00</v>
      </c>
      <c r="N110" s="4774" t="str">
        <f t="shared" si="10"/>
        <v>1TB01006.01.CN.003C137.01</v>
      </c>
      <c r="O110" s="4774" t="str">
        <f t="shared" si="11"/>
        <v>1TB01006.01.CN.003C137.02</v>
      </c>
    </row>
    <row r="111" spans="1:15">
      <c r="A111" s="4772" t="s">
        <v>258</v>
      </c>
      <c r="B111" s="4774" t="s">
        <v>5609</v>
      </c>
      <c r="C111" s="4772" t="s">
        <v>5675</v>
      </c>
      <c r="D111" s="4772" t="s">
        <v>5849</v>
      </c>
      <c r="E111" s="4773" t="s">
        <v>5677</v>
      </c>
      <c r="F111" s="4768" t="s">
        <v>5678</v>
      </c>
      <c r="G111" s="4770" t="s">
        <v>91</v>
      </c>
      <c r="H111" s="4770" t="s">
        <v>5837</v>
      </c>
      <c r="I111" s="4769" t="s">
        <v>494</v>
      </c>
      <c r="J111" s="4774" t="str">
        <f t="shared" si="6"/>
        <v>01</v>
      </c>
      <c r="K111" s="4774" t="str">
        <f t="shared" si="7"/>
        <v>CN.003C138</v>
      </c>
      <c r="L111" s="4774" t="str">
        <f t="shared" si="8"/>
        <v>Sami General Contracting Est. - BAYTUR_PAYMENT</v>
      </c>
      <c r="M111" s="4774" t="str">
        <f t="shared" si="9"/>
        <v>1TB01006.01.CN.003C138.00</v>
      </c>
      <c r="N111" s="4774" t="str">
        <f t="shared" si="10"/>
        <v>1TB01006.01.CN.003C138.01</v>
      </c>
      <c r="O111" s="4774" t="str">
        <f t="shared" si="11"/>
        <v>1TB01006.01.CN.003C138.02</v>
      </c>
    </row>
    <row r="112" spans="1:15">
      <c r="A112" s="4772" t="s">
        <v>258</v>
      </c>
      <c r="B112" s="4774" t="s">
        <v>5609</v>
      </c>
      <c r="C112" s="4772" t="s">
        <v>5675</v>
      </c>
      <c r="D112" s="4772" t="s">
        <v>5850</v>
      </c>
      <c r="E112" s="4773" t="s">
        <v>5699</v>
      </c>
      <c r="F112" s="4768" t="s">
        <v>5700</v>
      </c>
      <c r="G112" s="4770" t="s">
        <v>91</v>
      </c>
      <c r="H112" s="4770" t="s">
        <v>5837</v>
      </c>
      <c r="I112" s="4769" t="s">
        <v>494</v>
      </c>
      <c r="J112" s="4774" t="str">
        <f t="shared" si="6"/>
        <v>01</v>
      </c>
      <c r="K112" s="4774" t="str">
        <f t="shared" si="7"/>
        <v>CN.003C135</v>
      </c>
      <c r="L112" s="4774" t="str">
        <f t="shared" si="8"/>
        <v>Al Rai Modern Water Factory - BAYTUR_PAYMENT</v>
      </c>
      <c r="M112" s="4774" t="str">
        <f t="shared" si="9"/>
        <v>1TB01006.01.CN.003C135.00</v>
      </c>
      <c r="N112" s="4774" t="str">
        <f t="shared" si="10"/>
        <v>1TB01006.01.CN.003C135.01</v>
      </c>
      <c r="O112" s="4774" t="str">
        <f t="shared" si="11"/>
        <v>1TB01006.01.CN.003C135.02</v>
      </c>
    </row>
    <row r="113" spans="1:15">
      <c r="A113" s="4772" t="s">
        <v>258</v>
      </c>
      <c r="B113" s="4774" t="s">
        <v>5609</v>
      </c>
      <c r="C113" s="4772" t="s">
        <v>5675</v>
      </c>
      <c r="D113" s="4772" t="s">
        <v>5851</v>
      </c>
      <c r="E113" s="4773" t="s">
        <v>5799</v>
      </c>
      <c r="F113" s="4768" t="s">
        <v>5800</v>
      </c>
      <c r="G113" s="4770" t="s">
        <v>91</v>
      </c>
      <c r="H113" s="4770" t="s">
        <v>5837</v>
      </c>
      <c r="I113" s="4769" t="s">
        <v>494</v>
      </c>
      <c r="J113" s="4774" t="str">
        <f t="shared" si="6"/>
        <v>01</v>
      </c>
      <c r="K113" s="4774" t="str">
        <f t="shared" si="7"/>
        <v>CN.003C134</v>
      </c>
      <c r="L113" s="4774" t="str">
        <f t="shared" si="8"/>
        <v>The International Company For Building Materials LTD Binex - BAYTUR_PAYMENT</v>
      </c>
      <c r="M113" s="4774" t="str">
        <f t="shared" si="9"/>
        <v>1TB01006.01.CN.003C134.00</v>
      </c>
      <c r="N113" s="4774" t="str">
        <f t="shared" si="10"/>
        <v>1TB01006.01.CN.003C134.01</v>
      </c>
      <c r="O113" s="4774" t="str">
        <f t="shared" si="11"/>
        <v>1TB01006.01.CN.003C134.02</v>
      </c>
    </row>
    <row r="114" spans="1:15">
      <c r="A114" s="4772" t="s">
        <v>258</v>
      </c>
      <c r="B114" s="4774" t="s">
        <v>5609</v>
      </c>
      <c r="C114" s="4772" t="s">
        <v>5675</v>
      </c>
      <c r="D114" s="4772" t="s">
        <v>5852</v>
      </c>
      <c r="E114" s="4773" t="s">
        <v>5711</v>
      </c>
      <c r="F114" s="4768" t="s">
        <v>5712</v>
      </c>
      <c r="G114" s="4770" t="s">
        <v>91</v>
      </c>
      <c r="H114" s="4770" t="s">
        <v>5837</v>
      </c>
      <c r="I114" s="4769" t="s">
        <v>494</v>
      </c>
      <c r="J114" s="4774" t="str">
        <f t="shared" si="6"/>
        <v>01</v>
      </c>
      <c r="K114" s="4774" t="str">
        <f t="shared" si="7"/>
        <v>CN.003C133</v>
      </c>
      <c r="L114" s="4774" t="str">
        <f t="shared" si="8"/>
        <v>Madar Building Material Co. - BAYTUR_PAYMENT</v>
      </c>
      <c r="M114" s="4774" t="str">
        <f t="shared" si="9"/>
        <v>1TB01006.01.CN.003C133.00</v>
      </c>
      <c r="N114" s="4774" t="str">
        <f t="shared" si="10"/>
        <v>1TB01006.01.CN.003C133.01</v>
      </c>
      <c r="O114" s="4774" t="str">
        <f t="shared" si="11"/>
        <v>1TB01006.01.CN.003C133.02</v>
      </c>
    </row>
    <row r="115" spans="1:15">
      <c r="A115" s="4772" t="s">
        <v>258</v>
      </c>
      <c r="B115" s="4774" t="s">
        <v>5609</v>
      </c>
      <c r="C115" s="4772" t="s">
        <v>5675</v>
      </c>
      <c r="D115" s="4772" t="s">
        <v>5853</v>
      </c>
      <c r="E115" s="4773" t="s">
        <v>5736</v>
      </c>
      <c r="F115" s="4768" t="s">
        <v>5737</v>
      </c>
      <c r="G115" s="4770" t="s">
        <v>91</v>
      </c>
      <c r="H115" s="4770" t="s">
        <v>5837</v>
      </c>
      <c r="I115" s="4769" t="s">
        <v>494</v>
      </c>
      <c r="J115" s="4774" t="str">
        <f t="shared" si="6"/>
        <v>01</v>
      </c>
      <c r="K115" s="4774" t="str">
        <f t="shared" si="7"/>
        <v>CN.003C132</v>
      </c>
      <c r="L115" s="4774" t="str">
        <f t="shared" si="8"/>
        <v>Glow Arabia Trading - BAYTUR_PAYMENT</v>
      </c>
      <c r="M115" s="4774" t="str">
        <f t="shared" si="9"/>
        <v>1TB01006.01.CN.003C132.00</v>
      </c>
      <c r="N115" s="4774" t="str">
        <f t="shared" si="10"/>
        <v>1TB01006.01.CN.003C132.01</v>
      </c>
      <c r="O115" s="4774" t="str">
        <f t="shared" si="11"/>
        <v>1TB01006.01.CN.003C132.02</v>
      </c>
    </row>
    <row r="116" spans="1:15">
      <c r="A116" s="4772" t="s">
        <v>258</v>
      </c>
      <c r="B116" s="4774" t="s">
        <v>5609</v>
      </c>
      <c r="C116" s="4772" t="s">
        <v>5675</v>
      </c>
      <c r="D116" s="4772" t="s">
        <v>5854</v>
      </c>
      <c r="E116" s="4773" t="s">
        <v>5855</v>
      </c>
      <c r="F116" s="4768" t="s">
        <v>5856</v>
      </c>
      <c r="G116" s="4770" t="s">
        <v>91</v>
      </c>
      <c r="H116" s="4770" t="s">
        <v>5837</v>
      </c>
      <c r="I116" s="4769" t="s">
        <v>494</v>
      </c>
      <c r="J116" s="4774" t="str">
        <f t="shared" si="6"/>
        <v>01</v>
      </c>
      <c r="K116" s="4774" t="str">
        <f t="shared" si="7"/>
        <v>CN.003C131</v>
      </c>
      <c r="L116" s="4774" t="str">
        <f t="shared" si="8"/>
        <v>Masa Equipments Est - BAYTUR_PAYMENT</v>
      </c>
      <c r="M116" s="4774" t="str">
        <f t="shared" si="9"/>
        <v>1TB01006.01.CN.003C131.00</v>
      </c>
      <c r="N116" s="4774" t="str">
        <f t="shared" si="10"/>
        <v>1TB01006.01.CN.003C131.01</v>
      </c>
      <c r="O116" s="4774" t="str">
        <f t="shared" si="11"/>
        <v>1TB01006.01.CN.003C131.02</v>
      </c>
    </row>
    <row r="117" spans="1:15">
      <c r="A117" s="4772" t="s">
        <v>258</v>
      </c>
      <c r="B117" s="4774" t="s">
        <v>5609</v>
      </c>
      <c r="C117" s="4772" t="s">
        <v>5675</v>
      </c>
      <c r="D117" s="4772" t="s">
        <v>5857</v>
      </c>
      <c r="E117" s="4773" t="s">
        <v>5773</v>
      </c>
      <c r="F117" s="4768" t="s">
        <v>5774</v>
      </c>
      <c r="G117" s="4770" t="s">
        <v>91</v>
      </c>
      <c r="H117" s="4770" t="s">
        <v>5837</v>
      </c>
      <c r="I117" s="4769" t="s">
        <v>494</v>
      </c>
      <c r="J117" s="4774" t="str">
        <f t="shared" si="6"/>
        <v>01</v>
      </c>
      <c r="K117" s="4774" t="str">
        <f t="shared" si="7"/>
        <v>CN.003C127</v>
      </c>
      <c r="L117" s="4774" t="str">
        <f t="shared" si="8"/>
        <v>Brooq Alamaan Trading Company - BAYTUR_PAYMENT</v>
      </c>
      <c r="M117" s="4774" t="str">
        <f t="shared" si="9"/>
        <v>1TB01006.01.CN.003C127.00</v>
      </c>
      <c r="N117" s="4774" t="str">
        <f t="shared" si="10"/>
        <v>1TB01006.01.CN.003C127.01</v>
      </c>
      <c r="O117" s="4774" t="str">
        <f t="shared" si="11"/>
        <v>1TB01006.01.CN.003C127.02</v>
      </c>
    </row>
    <row r="118" spans="1:15">
      <c r="A118" s="4772" t="s">
        <v>258</v>
      </c>
      <c r="B118" s="4774" t="s">
        <v>5609</v>
      </c>
      <c r="C118" s="4772" t="s">
        <v>5675</v>
      </c>
      <c r="D118" s="4772" t="s">
        <v>5858</v>
      </c>
      <c r="E118" s="4773" t="s">
        <v>5818</v>
      </c>
      <c r="F118" s="4768" t="s">
        <v>5819</v>
      </c>
      <c r="G118" s="4770" t="s">
        <v>91</v>
      </c>
      <c r="H118" s="4770" t="s">
        <v>5837</v>
      </c>
      <c r="I118" s="4769" t="s">
        <v>494</v>
      </c>
      <c r="J118" s="4774" t="str">
        <f t="shared" si="6"/>
        <v>01</v>
      </c>
      <c r="K118" s="4774" t="str">
        <f t="shared" si="7"/>
        <v>CN.003C145</v>
      </c>
      <c r="L118" s="4774" t="str">
        <f t="shared" si="8"/>
        <v>Saint Gobain - Sodamco Industrial - BAYTUR_PAYMENT</v>
      </c>
      <c r="M118" s="4774" t="str">
        <f t="shared" si="9"/>
        <v>1TB01006.01.CN.003C145.00</v>
      </c>
      <c r="N118" s="4774" t="str">
        <f t="shared" si="10"/>
        <v>1TB01006.01.CN.003C145.01</v>
      </c>
      <c r="O118" s="4774" t="str">
        <f t="shared" si="11"/>
        <v>1TB01006.01.CN.003C145.02</v>
      </c>
    </row>
    <row r="119" spans="1:15">
      <c r="A119" s="4772" t="s">
        <v>258</v>
      </c>
      <c r="B119" s="4774" t="s">
        <v>5609</v>
      </c>
      <c r="C119" s="4772" t="s">
        <v>5675</v>
      </c>
      <c r="D119" s="4772" t="s">
        <v>5859</v>
      </c>
      <c r="E119" s="4773" t="s">
        <v>5720</v>
      </c>
      <c r="F119" s="4768" t="s">
        <v>5721</v>
      </c>
      <c r="G119" s="4770" t="s">
        <v>91</v>
      </c>
      <c r="H119" s="4770" t="s">
        <v>5837</v>
      </c>
      <c r="I119" s="4769" t="s">
        <v>494</v>
      </c>
      <c r="J119" s="4774" t="str">
        <f t="shared" si="6"/>
        <v>01</v>
      </c>
      <c r="K119" s="4774" t="str">
        <f t="shared" si="7"/>
        <v>CN.003C120</v>
      </c>
      <c r="L119" s="4774" t="str">
        <f t="shared" si="8"/>
        <v>Issam Kabani and Partners - BAYTUR_PAYMENT</v>
      </c>
      <c r="M119" s="4774" t="str">
        <f t="shared" si="9"/>
        <v>1TB01006.01.CN.003C120.00</v>
      </c>
      <c r="N119" s="4774" t="str">
        <f t="shared" si="10"/>
        <v>1TB01006.01.CN.003C120.01</v>
      </c>
      <c r="O119" s="4774" t="str">
        <f t="shared" si="11"/>
        <v>1TB01006.01.CN.003C120.02</v>
      </c>
    </row>
    <row r="120" spans="1:15">
      <c r="A120" s="4772" t="s">
        <v>258</v>
      </c>
      <c r="B120" s="4774" t="s">
        <v>5609</v>
      </c>
      <c r="C120" s="4772" t="s">
        <v>5675</v>
      </c>
      <c r="D120" s="4772" t="s">
        <v>5860</v>
      </c>
      <c r="E120" s="4773" t="s">
        <v>5630</v>
      </c>
      <c r="F120" s="4768" t="s">
        <v>1519</v>
      </c>
      <c r="G120" s="4770" t="s">
        <v>91</v>
      </c>
      <c r="H120" s="4770" t="s">
        <v>5837</v>
      </c>
      <c r="I120" s="4769" t="s">
        <v>494</v>
      </c>
      <c r="J120" s="4774" t="str">
        <f t="shared" si="6"/>
        <v>01</v>
      </c>
      <c r="K120" s="4774" t="str">
        <f t="shared" si="7"/>
        <v>CN.003C123</v>
      </c>
      <c r="L120" s="4774" t="str">
        <f t="shared" si="8"/>
        <v>Medtel - W.N - BAYTUR_PAYMENT</v>
      </c>
      <c r="M120" s="4774" t="str">
        <f t="shared" si="9"/>
        <v>1TB01006.01.CN.003C123.00</v>
      </c>
      <c r="N120" s="4774" t="str">
        <f t="shared" si="10"/>
        <v>1TB01006.01.CN.003C123.01</v>
      </c>
      <c r="O120" s="4774" t="str">
        <f t="shared" si="11"/>
        <v>1TB01006.01.CN.003C123.02</v>
      </c>
    </row>
    <row r="121" spans="1:15">
      <c r="A121" s="4772" t="s">
        <v>258</v>
      </c>
      <c r="B121" s="4774" t="s">
        <v>5609</v>
      </c>
      <c r="C121" s="4772" t="s">
        <v>5675</v>
      </c>
      <c r="D121" s="4772" t="s">
        <v>5861</v>
      </c>
      <c r="E121" s="4773" t="s">
        <v>5669</v>
      </c>
      <c r="F121" s="4768" t="s">
        <v>5670</v>
      </c>
      <c r="G121" s="4770" t="s">
        <v>91</v>
      </c>
      <c r="H121" s="4770" t="s">
        <v>5837</v>
      </c>
      <c r="I121" s="4769" t="s">
        <v>494</v>
      </c>
      <c r="J121" s="4774" t="str">
        <f t="shared" si="6"/>
        <v>01</v>
      </c>
      <c r="K121" s="4774" t="str">
        <f t="shared" si="7"/>
        <v>CN.003C121</v>
      </c>
      <c r="L121" s="4774" t="str">
        <f t="shared" si="8"/>
        <v>Abu Dhabi Precast LLC - BAYTUR_PAYMENT</v>
      </c>
      <c r="M121" s="4774" t="str">
        <f t="shared" si="9"/>
        <v>1TB01006.01.CN.003C121.00</v>
      </c>
      <c r="N121" s="4774" t="str">
        <f t="shared" si="10"/>
        <v>1TB01006.01.CN.003C121.01</v>
      </c>
      <c r="O121" s="4774" t="str">
        <f t="shared" si="11"/>
        <v>1TB01006.01.CN.003C121.02</v>
      </c>
    </row>
    <row r="122" spans="1:15">
      <c r="A122" s="4772" t="s">
        <v>258</v>
      </c>
      <c r="B122" s="4774" t="s">
        <v>5609</v>
      </c>
      <c r="C122" s="4772" t="s">
        <v>5675</v>
      </c>
      <c r="D122" s="4772" t="s">
        <v>5862</v>
      </c>
      <c r="E122" s="4773" t="s">
        <v>5705</v>
      </c>
      <c r="F122" s="4768" t="s">
        <v>5706</v>
      </c>
      <c r="G122" s="4770" t="s">
        <v>91</v>
      </c>
      <c r="H122" s="4770" t="s">
        <v>5837</v>
      </c>
      <c r="I122" s="4769" t="s">
        <v>494</v>
      </c>
      <c r="J122" s="4774" t="str">
        <f t="shared" si="6"/>
        <v>01</v>
      </c>
      <c r="K122" s="4774" t="str">
        <f t="shared" si="7"/>
        <v>CN.003C136</v>
      </c>
      <c r="L122" s="4774" t="str">
        <f t="shared" si="8"/>
        <v>Intelligent General Cont. Co - Equipment - Industrial Forklift &amp; 5ton - BAYTUR_PAYMENT</v>
      </c>
      <c r="M122" s="4774" t="str">
        <f t="shared" si="9"/>
        <v>1TB01006.01.CN.003C136.00</v>
      </c>
      <c r="N122" s="4774" t="str">
        <f t="shared" si="10"/>
        <v>1TB01006.01.CN.003C136.01</v>
      </c>
      <c r="O122" s="4774" t="str">
        <f t="shared" si="11"/>
        <v>1TB01006.01.CN.003C136.02</v>
      </c>
    </row>
    <row r="123" spans="1:15">
      <c r="A123" s="4772" t="s">
        <v>258</v>
      </c>
      <c r="B123" s="4774" t="s">
        <v>5609</v>
      </c>
      <c r="C123" s="4772" t="s">
        <v>5675</v>
      </c>
      <c r="D123" s="4772" t="s">
        <v>5863</v>
      </c>
      <c r="E123" s="4773" t="s">
        <v>5864</v>
      </c>
      <c r="F123" s="4768" t="s">
        <v>5865</v>
      </c>
      <c r="G123" s="4770" t="s">
        <v>91</v>
      </c>
      <c r="H123" s="4770" t="s">
        <v>5837</v>
      </c>
      <c r="I123" s="4769" t="s">
        <v>494</v>
      </c>
      <c r="J123" s="4774" t="str">
        <f t="shared" si="6"/>
        <v>01</v>
      </c>
      <c r="K123" s="4774" t="str">
        <f t="shared" si="7"/>
        <v>CN.003C148</v>
      </c>
      <c r="L123" s="4774" t="str">
        <f t="shared" si="8"/>
        <v>Top Construction Co. Ltd. - BAYTUR_PAYMENT</v>
      </c>
      <c r="M123" s="4774" t="str">
        <f t="shared" si="9"/>
        <v>1TB01006.01.CN.003C148.00</v>
      </c>
      <c r="N123" s="4774" t="str">
        <f t="shared" si="10"/>
        <v>1TB01006.01.CN.003C148.01</v>
      </c>
      <c r="O123" s="4774" t="str">
        <f t="shared" si="11"/>
        <v>1TB01006.01.CN.003C148.02</v>
      </c>
    </row>
    <row r="124" spans="1:15">
      <c r="A124" s="4772" t="s">
        <v>258</v>
      </c>
      <c r="B124" s="4774" t="s">
        <v>5609</v>
      </c>
      <c r="C124" s="4772" t="s">
        <v>5675</v>
      </c>
      <c r="D124" s="4772" t="s">
        <v>5866</v>
      </c>
      <c r="E124" s="4773" t="s">
        <v>5821</v>
      </c>
      <c r="F124" s="4768" t="s">
        <v>5822</v>
      </c>
      <c r="G124" s="4770" t="s">
        <v>91</v>
      </c>
      <c r="H124" s="4770" t="s">
        <v>5837</v>
      </c>
      <c r="I124" s="4769" t="s">
        <v>494</v>
      </c>
      <c r="J124" s="4774" t="str">
        <f t="shared" si="6"/>
        <v>01</v>
      </c>
      <c r="K124" s="4774" t="str">
        <f t="shared" si="7"/>
        <v>CN.003C119</v>
      </c>
      <c r="L124" s="4774" t="str">
        <f t="shared" si="8"/>
        <v>Glsan Contracting Company - BAYTUR_PAYMENT</v>
      </c>
      <c r="M124" s="4774" t="str">
        <f t="shared" si="9"/>
        <v>1TB01006.01.CN.003C119.00</v>
      </c>
      <c r="N124" s="4774" t="str">
        <f t="shared" si="10"/>
        <v>1TB01006.01.CN.003C119.01</v>
      </c>
      <c r="O124" s="4774" t="str">
        <f t="shared" si="11"/>
        <v>1TB01006.01.CN.003C119.02</v>
      </c>
    </row>
    <row r="125" spans="1:15">
      <c r="A125" s="4772" t="s">
        <v>258</v>
      </c>
      <c r="B125" s="4774" t="s">
        <v>5609</v>
      </c>
      <c r="C125" s="4772" t="s">
        <v>5675</v>
      </c>
      <c r="D125" s="4772" t="s">
        <v>5867</v>
      </c>
      <c r="E125" s="4773" t="s">
        <v>5684</v>
      </c>
      <c r="F125" s="4768" t="s">
        <v>5685</v>
      </c>
      <c r="G125" s="4770" t="s">
        <v>91</v>
      </c>
      <c r="H125" s="4770" t="s">
        <v>5837</v>
      </c>
      <c r="I125" s="4769" t="s">
        <v>494</v>
      </c>
      <c r="J125" s="4774" t="str">
        <f t="shared" si="6"/>
        <v>01</v>
      </c>
      <c r="K125" s="4774" t="str">
        <f t="shared" si="7"/>
        <v>CN.003C140</v>
      </c>
      <c r="L125" s="4774" t="str">
        <f t="shared" si="8"/>
        <v>Aldrees Petroleum and Transport Services Company - BAYTUR_PAYMENT</v>
      </c>
      <c r="M125" s="4774" t="str">
        <f t="shared" si="9"/>
        <v>1TB01006.01.CN.003C140.00</v>
      </c>
      <c r="N125" s="4774" t="str">
        <f t="shared" si="10"/>
        <v>1TB01006.01.CN.003C140.01</v>
      </c>
      <c r="O125" s="4774" t="str">
        <f t="shared" si="11"/>
        <v>1TB01006.01.CN.003C140.02</v>
      </c>
    </row>
    <row r="126" spans="1:15">
      <c r="A126" s="4772" t="s">
        <v>258</v>
      </c>
      <c r="B126" s="4774" t="s">
        <v>5609</v>
      </c>
      <c r="C126" s="4772" t="s">
        <v>5675</v>
      </c>
      <c r="D126" s="4772" t="s">
        <v>5868</v>
      </c>
      <c r="E126" s="4773" t="s">
        <v>5869</v>
      </c>
      <c r="F126" s="4768" t="s">
        <v>5870</v>
      </c>
      <c r="G126" s="4770" t="s">
        <v>91</v>
      </c>
      <c r="H126" s="4770" t="s">
        <v>5837</v>
      </c>
      <c r="I126" s="4769" t="s">
        <v>494</v>
      </c>
      <c r="J126" s="4774" t="str">
        <f t="shared" si="6"/>
        <v>01</v>
      </c>
      <c r="K126" s="4774" t="str">
        <f t="shared" si="7"/>
        <v>CN.003C130</v>
      </c>
      <c r="L126" s="4774" t="str">
        <f t="shared" si="8"/>
        <v>Aknan Al Bena - ABECO - BAYTUR_PAYMENT</v>
      </c>
      <c r="M126" s="4774" t="str">
        <f t="shared" si="9"/>
        <v>1TB01006.01.CN.003C130.00</v>
      </c>
      <c r="N126" s="4774" t="str">
        <f t="shared" si="10"/>
        <v>1TB01006.01.CN.003C130.01</v>
      </c>
      <c r="O126" s="4774" t="str">
        <f t="shared" si="11"/>
        <v>1TB01006.01.CN.003C130.02</v>
      </c>
    </row>
    <row r="127" spans="1:15">
      <c r="A127" s="4772" t="s">
        <v>258</v>
      </c>
      <c r="B127" s="4774" t="s">
        <v>5609</v>
      </c>
      <c r="C127" s="4772" t="s">
        <v>5675</v>
      </c>
      <c r="D127" s="4772" t="s">
        <v>5871</v>
      </c>
      <c r="E127" s="4773" t="s">
        <v>5872</v>
      </c>
      <c r="F127" s="4768" t="s">
        <v>5873</v>
      </c>
      <c r="G127" s="4770" t="s">
        <v>91</v>
      </c>
      <c r="H127" s="4770" t="s">
        <v>5837</v>
      </c>
      <c r="I127" s="4769" t="s">
        <v>494</v>
      </c>
      <c r="J127" s="4774" t="str">
        <f t="shared" si="6"/>
        <v>01</v>
      </c>
      <c r="K127" s="4774" t="str">
        <f t="shared" si="7"/>
        <v>CN.003C126</v>
      </c>
      <c r="L127" s="4774" t="str">
        <f t="shared" si="8"/>
        <v>TBK Metal - BAYTUR_PAYMENT</v>
      </c>
      <c r="M127" s="4774" t="str">
        <f t="shared" si="9"/>
        <v>1TB01006.01.CN.003C126.00</v>
      </c>
      <c r="N127" s="4774" t="str">
        <f t="shared" si="10"/>
        <v>1TB01006.01.CN.003C126.01</v>
      </c>
      <c r="O127" s="4774" t="str">
        <f t="shared" si="11"/>
        <v>1TB01006.01.CN.003C126.02</v>
      </c>
    </row>
    <row r="128" spans="1:15">
      <c r="A128" s="4772" t="s">
        <v>258</v>
      </c>
      <c r="B128" s="4774" t="s">
        <v>5609</v>
      </c>
      <c r="C128" s="4772" t="s">
        <v>5675</v>
      </c>
      <c r="D128" s="4772" t="s">
        <v>5874</v>
      </c>
      <c r="E128" s="4773" t="s">
        <v>5708</v>
      </c>
      <c r="F128" s="4768" t="s">
        <v>5709</v>
      </c>
      <c r="G128" s="4770" t="s">
        <v>91</v>
      </c>
      <c r="H128" s="4770" t="s">
        <v>5837</v>
      </c>
      <c r="I128" s="4769" t="s">
        <v>494</v>
      </c>
      <c r="J128" s="4774" t="str">
        <f t="shared" si="6"/>
        <v>01</v>
      </c>
      <c r="K128" s="4774" t="str">
        <f t="shared" si="7"/>
        <v>CN.003C141</v>
      </c>
      <c r="L128" s="4774" t="str">
        <f t="shared" si="8"/>
        <v>Al-Anan Travels and Tours - BAYTUR_PAYMENT</v>
      </c>
      <c r="M128" s="4774" t="str">
        <f t="shared" si="9"/>
        <v>1TB01006.01.CN.003C141.00</v>
      </c>
      <c r="N128" s="4774" t="str">
        <f t="shared" si="10"/>
        <v>1TB01006.01.CN.003C141.01</v>
      </c>
      <c r="O128" s="4774" t="str">
        <f t="shared" si="11"/>
        <v>1TB01006.01.CN.003C141.02</v>
      </c>
    </row>
    <row r="129" spans="1:15">
      <c r="A129" s="4772" t="s">
        <v>258</v>
      </c>
      <c r="B129" s="4774" t="s">
        <v>5609</v>
      </c>
      <c r="C129" s="4772" t="s">
        <v>5675</v>
      </c>
      <c r="D129" s="4772" t="s">
        <v>5875</v>
      </c>
      <c r="E129" s="4773" t="s">
        <v>5876</v>
      </c>
      <c r="F129" s="4768" t="s">
        <v>5877</v>
      </c>
      <c r="G129" s="4770" t="s">
        <v>91</v>
      </c>
      <c r="H129" s="4770" t="s">
        <v>5837</v>
      </c>
      <c r="I129" s="4769" t="s">
        <v>494</v>
      </c>
      <c r="J129" s="4774" t="str">
        <f t="shared" si="6"/>
        <v>01</v>
      </c>
      <c r="K129" s="4774" t="str">
        <f t="shared" si="7"/>
        <v>CN.003C122</v>
      </c>
      <c r="L129" s="4774" t="str">
        <f t="shared" si="8"/>
        <v>Alcatop International Company for Building Material - BAYTUR_PAYMENT</v>
      </c>
      <c r="M129" s="4774" t="str">
        <f t="shared" si="9"/>
        <v>1TB01006.01.CN.003C122.00</v>
      </c>
      <c r="N129" s="4774" t="str">
        <f t="shared" si="10"/>
        <v>1TB01006.01.CN.003C122.01</v>
      </c>
      <c r="O129" s="4774" t="str">
        <f t="shared" si="11"/>
        <v>1TB01006.01.CN.003C122.02</v>
      </c>
    </row>
    <row r="130" spans="1:15">
      <c r="A130" s="4772" t="s">
        <v>258</v>
      </c>
      <c r="B130" s="4774" t="s">
        <v>5609</v>
      </c>
      <c r="C130" s="4772" t="s">
        <v>5675</v>
      </c>
      <c r="D130" s="4772" t="s">
        <v>5878</v>
      </c>
      <c r="E130" s="4773" t="s">
        <v>5879</v>
      </c>
      <c r="F130" s="4768" t="s">
        <v>5880</v>
      </c>
      <c r="G130" s="4770" t="s">
        <v>91</v>
      </c>
      <c r="H130" s="4770" t="s">
        <v>5837</v>
      </c>
      <c r="I130" s="4769" t="s">
        <v>494</v>
      </c>
      <c r="J130" s="4774" t="str">
        <f t="shared" si="6"/>
        <v>01</v>
      </c>
      <c r="K130" s="4774" t="str">
        <f t="shared" si="7"/>
        <v>CN.003C147</v>
      </c>
      <c r="L130" s="4774" t="str">
        <f t="shared" si="8"/>
        <v>Saudi Brokers - BAYTUR_PAYMENT</v>
      </c>
      <c r="M130" s="4774" t="str">
        <f t="shared" si="9"/>
        <v>1TB01006.01.CN.003C147.00</v>
      </c>
      <c r="N130" s="4774" t="str">
        <f t="shared" si="10"/>
        <v>1TB01006.01.CN.003C147.01</v>
      </c>
      <c r="O130" s="4774" t="str">
        <f t="shared" si="11"/>
        <v>1TB01006.01.CN.003C147.02</v>
      </c>
    </row>
    <row r="131" spans="1:15">
      <c r="A131" s="4772" t="s">
        <v>258</v>
      </c>
      <c r="B131" s="4774" t="s">
        <v>5609</v>
      </c>
      <c r="C131" s="4772" t="s">
        <v>5675</v>
      </c>
      <c r="D131" s="4772" t="s">
        <v>5881</v>
      </c>
      <c r="E131" s="4773" t="s">
        <v>5882</v>
      </c>
      <c r="F131" s="4768" t="s">
        <v>5883</v>
      </c>
      <c r="G131" s="4770" t="s">
        <v>91</v>
      </c>
      <c r="H131" s="4770" t="s">
        <v>5837</v>
      </c>
      <c r="I131" s="4769" t="s">
        <v>494</v>
      </c>
      <c r="J131" s="4774" t="str">
        <f t="shared" si="6"/>
        <v>01</v>
      </c>
      <c r="K131" s="4774" t="str">
        <f t="shared" si="7"/>
        <v>CN.003C128</v>
      </c>
      <c r="L131" s="4774" t="str">
        <f t="shared" si="8"/>
        <v>Saveto Saudi Vetonit Co Ltd - BAYTUR_PAYMENT</v>
      </c>
      <c r="M131" s="4774" t="str">
        <f t="shared" si="9"/>
        <v>1TB01006.01.CN.003C128.00</v>
      </c>
      <c r="N131" s="4774" t="str">
        <f t="shared" si="10"/>
        <v>1TB01006.01.CN.003C128.01</v>
      </c>
      <c r="O131" s="4774" t="str">
        <f t="shared" si="11"/>
        <v>1TB01006.01.CN.003C128.02</v>
      </c>
    </row>
    <row r="132" spans="1:15">
      <c r="A132" s="4772" t="s">
        <v>258</v>
      </c>
      <c r="B132" s="4774" t="s">
        <v>5609</v>
      </c>
      <c r="C132" s="4772" t="s">
        <v>5675</v>
      </c>
      <c r="D132" s="4772" t="s">
        <v>5884</v>
      </c>
      <c r="E132" s="4773" t="s">
        <v>5885</v>
      </c>
      <c r="F132" s="4768" t="s">
        <v>5886</v>
      </c>
      <c r="G132" s="4770" t="s">
        <v>91</v>
      </c>
      <c r="H132" s="4770" t="s">
        <v>5837</v>
      </c>
      <c r="I132" s="4769" t="s">
        <v>494</v>
      </c>
      <c r="J132" s="4774" t="str">
        <f t="shared" si="6"/>
        <v>01</v>
      </c>
      <c r="K132" s="4774" t="str">
        <f t="shared" si="7"/>
        <v>CN.003C152</v>
      </c>
      <c r="L132" s="4774" t="str">
        <f t="shared" si="8"/>
        <v>Lakeside Flood Solutions - BAYTUR_PAYMENT</v>
      </c>
      <c r="M132" s="4774" t="str">
        <f t="shared" si="9"/>
        <v>1TB01006.01.CN.003C152.00</v>
      </c>
      <c r="N132" s="4774" t="str">
        <f t="shared" si="10"/>
        <v>1TB01006.01.CN.003C152.01</v>
      </c>
      <c r="O132" s="4774" t="str">
        <f t="shared" si="11"/>
        <v>1TB01006.01.CN.003C152.02</v>
      </c>
    </row>
    <row r="133" spans="1:15">
      <c r="A133" s="4772" t="s">
        <v>258</v>
      </c>
      <c r="B133" s="4774" t="s">
        <v>5609</v>
      </c>
      <c r="C133" s="4772" t="s">
        <v>5675</v>
      </c>
      <c r="D133" s="4772" t="s">
        <v>5887</v>
      </c>
      <c r="E133" s="4773" t="s">
        <v>5821</v>
      </c>
      <c r="F133" s="4768" t="s">
        <v>5822</v>
      </c>
      <c r="G133" s="4770" t="s">
        <v>91</v>
      </c>
      <c r="H133" s="4770" t="s">
        <v>5888</v>
      </c>
      <c r="I133" s="4769" t="s">
        <v>494</v>
      </c>
      <c r="J133" s="4774" t="str">
        <f t="shared" si="6"/>
        <v>01</v>
      </c>
      <c r="K133" s="4774" t="str">
        <f t="shared" si="7"/>
        <v>CN.003C174</v>
      </c>
      <c r="L133" s="4774" t="str">
        <f t="shared" si="8"/>
        <v>Glsan Contracting Company - BAYTUR_PAYMENT</v>
      </c>
      <c r="M133" s="4774" t="str">
        <f t="shared" si="9"/>
        <v>1TB01006.01.CN.003C174.00</v>
      </c>
      <c r="N133" s="4774" t="str">
        <f t="shared" si="10"/>
        <v>1TB01006.01.CN.003C174.01</v>
      </c>
      <c r="O133" s="4774" t="str">
        <f t="shared" si="11"/>
        <v>1TB01006.01.CN.003C174.02</v>
      </c>
    </row>
    <row r="134" spans="1:15">
      <c r="A134" s="4772" t="s">
        <v>258</v>
      </c>
      <c r="B134" s="4774" t="s">
        <v>5609</v>
      </c>
      <c r="C134" s="4772" t="s">
        <v>5675</v>
      </c>
      <c r="D134" s="4772" t="s">
        <v>5889</v>
      </c>
      <c r="E134" s="4773" t="s">
        <v>5890</v>
      </c>
      <c r="F134" s="4768" t="s">
        <v>5891</v>
      </c>
      <c r="G134" s="4770" t="s">
        <v>91</v>
      </c>
      <c r="H134" s="4770" t="s">
        <v>5837</v>
      </c>
      <c r="I134" s="4769" t="s">
        <v>494</v>
      </c>
      <c r="J134" s="4774" t="str">
        <f t="shared" si="6"/>
        <v>01</v>
      </c>
      <c r="K134" s="4774" t="str">
        <f t="shared" si="7"/>
        <v>CN.003C118</v>
      </c>
      <c r="L134" s="4774" t="str">
        <f t="shared" si="8"/>
        <v>Dosar Al Najd - BAYTUR_PAYMENT</v>
      </c>
      <c r="M134" s="4774" t="str">
        <f t="shared" si="9"/>
        <v>1TB01006.01.CN.003C118.00</v>
      </c>
      <c r="N134" s="4774" t="str">
        <f t="shared" si="10"/>
        <v>1TB01006.01.CN.003C118.01</v>
      </c>
      <c r="O134" s="4774" t="str">
        <f t="shared" si="11"/>
        <v>1TB01006.01.CN.003C118.02</v>
      </c>
    </row>
    <row r="135" spans="1:15">
      <c r="A135" s="4772" t="s">
        <v>258</v>
      </c>
      <c r="B135" s="4774" t="s">
        <v>5609</v>
      </c>
      <c r="C135" s="4772" t="s">
        <v>5675</v>
      </c>
      <c r="D135" s="4772" t="s">
        <v>5892</v>
      </c>
      <c r="E135" s="4773" t="s">
        <v>5684</v>
      </c>
      <c r="F135" s="4768" t="s">
        <v>5685</v>
      </c>
      <c r="G135" s="4770" t="s">
        <v>91</v>
      </c>
      <c r="H135" s="4770" t="s">
        <v>5837</v>
      </c>
      <c r="I135" s="4769" t="s">
        <v>494</v>
      </c>
      <c r="J135" s="4774" t="str">
        <f t="shared" si="6"/>
        <v>01</v>
      </c>
      <c r="K135" s="4774" t="str">
        <f t="shared" si="7"/>
        <v>CN.003C106</v>
      </c>
      <c r="L135" s="4774" t="str">
        <f t="shared" si="8"/>
        <v>Aldrees Petroleum and Transport Services Company - BAYTUR_PAYMENT</v>
      </c>
      <c r="M135" s="4774" t="str">
        <f t="shared" si="9"/>
        <v>1TB01006.01.CN.003C106.00</v>
      </c>
      <c r="N135" s="4774" t="str">
        <f t="shared" si="10"/>
        <v>1TB01006.01.CN.003C106.01</v>
      </c>
      <c r="O135" s="4774" t="str">
        <f t="shared" si="11"/>
        <v>1TB01006.01.CN.003C106.02</v>
      </c>
    </row>
    <row r="136" spans="1:15">
      <c r="A136" s="4772" t="s">
        <v>258</v>
      </c>
      <c r="B136" s="4774" t="s">
        <v>5609</v>
      </c>
      <c r="C136" s="4772" t="s">
        <v>5675</v>
      </c>
      <c r="D136" s="4772" t="s">
        <v>5893</v>
      </c>
      <c r="E136" s="4773" t="s">
        <v>5681</v>
      </c>
      <c r="F136" s="4768" t="s">
        <v>5682</v>
      </c>
      <c r="G136" s="4770" t="s">
        <v>91</v>
      </c>
      <c r="H136" s="4770" t="s">
        <v>5837</v>
      </c>
      <c r="I136" s="4769" t="s">
        <v>494</v>
      </c>
      <c r="J136" s="4774" t="str">
        <f t="shared" si="6"/>
        <v>01</v>
      </c>
      <c r="K136" s="4774" t="str">
        <f t="shared" si="7"/>
        <v>CN.003C154</v>
      </c>
      <c r="L136" s="4774" t="str">
        <f t="shared" si="8"/>
        <v>Saad Al Easa - Metal Industry - BAYTUR_PAYMENT</v>
      </c>
      <c r="M136" s="4774" t="str">
        <f t="shared" si="9"/>
        <v>1TB01006.01.CN.003C154.00</v>
      </c>
      <c r="N136" s="4774" t="str">
        <f t="shared" si="10"/>
        <v>1TB01006.01.CN.003C154.01</v>
      </c>
      <c r="O136" s="4774" t="str">
        <f t="shared" si="11"/>
        <v>1TB01006.01.CN.003C154.02</v>
      </c>
    </row>
    <row r="137" spans="1:15">
      <c r="A137" s="4772" t="s">
        <v>258</v>
      </c>
      <c r="B137" s="4774" t="s">
        <v>5609</v>
      </c>
      <c r="C137" s="4772" t="s">
        <v>5675</v>
      </c>
      <c r="D137" s="4772" t="s">
        <v>5894</v>
      </c>
      <c r="E137" s="4773" t="s">
        <v>5669</v>
      </c>
      <c r="F137" s="4768" t="s">
        <v>5670</v>
      </c>
      <c r="G137" s="4770" t="s">
        <v>91</v>
      </c>
      <c r="H137" s="4770" t="s">
        <v>5895</v>
      </c>
      <c r="I137" s="4769" t="s">
        <v>494</v>
      </c>
      <c r="J137" s="4774" t="str">
        <f t="shared" si="6"/>
        <v>01</v>
      </c>
      <c r="K137" s="4774" t="str">
        <f t="shared" si="7"/>
        <v>CN.003C180</v>
      </c>
      <c r="L137" s="4774" t="str">
        <f t="shared" si="8"/>
        <v>Abu Dhabi Precast LLC - BAYTUR_PAYMENT</v>
      </c>
      <c r="M137" s="4774" t="str">
        <f t="shared" si="9"/>
        <v>1TB01006.01.CN.003C180.00</v>
      </c>
      <c r="N137" s="4774" t="str">
        <f t="shared" si="10"/>
        <v>1TB01006.01.CN.003C180.01</v>
      </c>
      <c r="O137" s="4774" t="str">
        <f t="shared" si="11"/>
        <v>1TB01006.01.CN.003C180.02</v>
      </c>
    </row>
    <row r="138" spans="1:15">
      <c r="A138" s="4772" t="s">
        <v>258</v>
      </c>
      <c r="B138" s="4774" t="s">
        <v>5609</v>
      </c>
      <c r="C138" s="4772" t="s">
        <v>5675</v>
      </c>
      <c r="D138" s="4772" t="s">
        <v>5896</v>
      </c>
      <c r="E138" s="4773" t="s">
        <v>5630</v>
      </c>
      <c r="F138" s="4768" t="s">
        <v>1519</v>
      </c>
      <c r="G138" s="4770" t="s">
        <v>91</v>
      </c>
      <c r="H138" s="4770" t="s">
        <v>5895</v>
      </c>
      <c r="I138" s="4769" t="s">
        <v>494</v>
      </c>
      <c r="J138" s="4774" t="str">
        <f t="shared" si="6"/>
        <v>01</v>
      </c>
      <c r="K138" s="4774" t="str">
        <f t="shared" si="7"/>
        <v>CN.003C181</v>
      </c>
      <c r="L138" s="4774" t="str">
        <f t="shared" si="8"/>
        <v>Medtel - W.N - BAYTUR_PAYMENT</v>
      </c>
      <c r="M138" s="4774" t="str">
        <f t="shared" si="9"/>
        <v>1TB01006.01.CN.003C181.00</v>
      </c>
      <c r="N138" s="4774" t="str">
        <f t="shared" si="10"/>
        <v>1TB01006.01.CN.003C181.01</v>
      </c>
      <c r="O138" s="4774" t="str">
        <f t="shared" si="11"/>
        <v>1TB01006.01.CN.003C181.02</v>
      </c>
    </row>
    <row r="139" spans="1:15">
      <c r="A139" s="4772" t="s">
        <v>258</v>
      </c>
      <c r="B139" s="4774" t="s">
        <v>5609</v>
      </c>
      <c r="C139" s="4772" t="s">
        <v>5675</v>
      </c>
      <c r="D139" s="4772" t="s">
        <v>5897</v>
      </c>
      <c r="E139" s="4773" t="s">
        <v>5821</v>
      </c>
      <c r="F139" s="4768" t="s">
        <v>5822</v>
      </c>
      <c r="G139" s="4770" t="s">
        <v>91</v>
      </c>
      <c r="H139" s="4770" t="s">
        <v>5895</v>
      </c>
      <c r="I139" s="4769" t="s">
        <v>494</v>
      </c>
      <c r="J139" s="4774" t="str">
        <f t="shared" si="6"/>
        <v>01</v>
      </c>
      <c r="K139" s="4774" t="str">
        <f t="shared" si="7"/>
        <v>CN.003C183</v>
      </c>
      <c r="L139" s="4774" t="str">
        <f t="shared" si="8"/>
        <v>Glsan Contracting Company - BAYTUR_PAYMENT</v>
      </c>
      <c r="M139" s="4774" t="str">
        <f t="shared" si="9"/>
        <v>1TB01006.01.CN.003C183.00</v>
      </c>
      <c r="N139" s="4774" t="str">
        <f t="shared" si="10"/>
        <v>1TB01006.01.CN.003C183.01</v>
      </c>
      <c r="O139" s="4774" t="str">
        <f t="shared" si="11"/>
        <v>1TB01006.01.CN.003C183.02</v>
      </c>
    </row>
    <row r="140" spans="1:15">
      <c r="A140" s="4772" t="s">
        <v>258</v>
      </c>
      <c r="B140" s="4774" t="s">
        <v>5609</v>
      </c>
      <c r="C140" s="4772" t="s">
        <v>5675</v>
      </c>
      <c r="D140" s="4772" t="s">
        <v>5898</v>
      </c>
      <c r="E140" s="4773" t="s">
        <v>5720</v>
      </c>
      <c r="F140" s="4768" t="s">
        <v>5721</v>
      </c>
      <c r="G140" s="4770" t="s">
        <v>91</v>
      </c>
      <c r="H140" s="4770" t="s">
        <v>5895</v>
      </c>
      <c r="I140" s="4769" t="s">
        <v>494</v>
      </c>
      <c r="J140" s="4774" t="str">
        <f t="shared" si="6"/>
        <v>01</v>
      </c>
      <c r="K140" s="4774" t="str">
        <f t="shared" si="7"/>
        <v>CN.003C178</v>
      </c>
      <c r="L140" s="4774" t="str">
        <f t="shared" si="8"/>
        <v>Issam Kabani and Partners - BAYTUR_PAYMENT</v>
      </c>
      <c r="M140" s="4774" t="str">
        <f t="shared" si="9"/>
        <v>1TB01006.01.CN.003C178.00</v>
      </c>
      <c r="N140" s="4774" t="str">
        <f t="shared" si="10"/>
        <v>1TB01006.01.CN.003C178.01</v>
      </c>
      <c r="O140" s="4774" t="str">
        <f t="shared" si="11"/>
        <v>1TB01006.01.CN.003C178.02</v>
      </c>
    </row>
    <row r="141" spans="1:15">
      <c r="A141" s="4772" t="s">
        <v>258</v>
      </c>
      <c r="B141" s="4774" t="s">
        <v>5609</v>
      </c>
      <c r="C141" s="4772" t="s">
        <v>5675</v>
      </c>
      <c r="D141" s="4772" t="s">
        <v>5899</v>
      </c>
      <c r="E141" s="4773" t="s">
        <v>5681</v>
      </c>
      <c r="F141" s="4768" t="s">
        <v>5682</v>
      </c>
      <c r="G141" s="4770" t="s">
        <v>91</v>
      </c>
      <c r="H141" s="4770" t="s">
        <v>5895</v>
      </c>
      <c r="I141" s="4769" t="s">
        <v>494</v>
      </c>
      <c r="J141" s="4774" t="str">
        <f t="shared" si="6"/>
        <v>01</v>
      </c>
      <c r="K141" s="4774" t="str">
        <f t="shared" si="7"/>
        <v>CN.003C179</v>
      </c>
      <c r="L141" s="4774" t="str">
        <f t="shared" si="8"/>
        <v>Saad Al Easa - Metal Industry - BAYTUR_PAYMENT</v>
      </c>
      <c r="M141" s="4774" t="str">
        <f t="shared" si="9"/>
        <v>1TB01006.01.CN.003C179.00</v>
      </c>
      <c r="N141" s="4774" t="str">
        <f t="shared" si="10"/>
        <v>1TB01006.01.CN.003C179.01</v>
      </c>
      <c r="O141" s="4774" t="str">
        <f t="shared" si="11"/>
        <v>1TB01006.01.CN.003C179.02</v>
      </c>
    </row>
    <row r="142" spans="1:15">
      <c r="A142" s="4772" t="s">
        <v>258</v>
      </c>
      <c r="B142" s="4774" t="s">
        <v>5609</v>
      </c>
      <c r="C142" s="4772" t="s">
        <v>5675</v>
      </c>
      <c r="D142" s="4772" t="s">
        <v>5900</v>
      </c>
      <c r="E142" s="4773" t="s">
        <v>5901</v>
      </c>
      <c r="F142" s="4768" t="s">
        <v>5703</v>
      </c>
      <c r="G142" s="4770" t="s">
        <v>91</v>
      </c>
      <c r="H142" s="4770" t="s">
        <v>5895</v>
      </c>
      <c r="I142" s="4769" t="s">
        <v>494</v>
      </c>
      <c r="J142" s="4774" t="str">
        <f t="shared" si="6"/>
        <v>01</v>
      </c>
      <c r="K142" s="4774" t="str">
        <f t="shared" si="7"/>
        <v>CN.003C190</v>
      </c>
      <c r="L142" s="4774" t="str">
        <f t="shared" si="8"/>
        <v>Juffali Technical Equipment company - BAYTUR_PAYMENT</v>
      </c>
      <c r="M142" s="4774" t="str">
        <f t="shared" si="9"/>
        <v>1TB01006.01.CN.003C190.00</v>
      </c>
      <c r="N142" s="4774" t="str">
        <f t="shared" si="10"/>
        <v>1TB01006.01.CN.003C190.01</v>
      </c>
      <c r="O142" s="4774" t="str">
        <f t="shared" si="11"/>
        <v>1TB01006.01.CN.003C190.02</v>
      </c>
    </row>
    <row r="143" spans="1:15">
      <c r="A143" s="4772" t="s">
        <v>258</v>
      </c>
      <c r="B143" s="4774" t="s">
        <v>5609</v>
      </c>
      <c r="C143" s="4772" t="s">
        <v>5675</v>
      </c>
      <c r="D143" s="4772" t="s">
        <v>5902</v>
      </c>
      <c r="E143" s="4773" t="s">
        <v>5736</v>
      </c>
      <c r="F143" s="4768" t="s">
        <v>5737</v>
      </c>
      <c r="G143" s="4770" t="s">
        <v>91</v>
      </c>
      <c r="H143" s="4770" t="s">
        <v>5895</v>
      </c>
      <c r="I143" s="4769" t="s">
        <v>494</v>
      </c>
      <c r="J143" s="4774" t="str">
        <f t="shared" si="6"/>
        <v>01</v>
      </c>
      <c r="K143" s="4774" t="str">
        <f t="shared" si="7"/>
        <v>CN.003C189</v>
      </c>
      <c r="L143" s="4774" t="str">
        <f t="shared" si="8"/>
        <v>Glow Arabia Trading - BAYTUR_PAYMENT</v>
      </c>
      <c r="M143" s="4774" t="str">
        <f t="shared" si="9"/>
        <v>1TB01006.01.CN.003C189.00</v>
      </c>
      <c r="N143" s="4774" t="str">
        <f t="shared" si="10"/>
        <v>1TB01006.01.CN.003C189.01</v>
      </c>
      <c r="O143" s="4774" t="str">
        <f t="shared" si="11"/>
        <v>1TB01006.01.CN.003C189.02</v>
      </c>
    </row>
    <row r="144" spans="1:15">
      <c r="A144" s="4772" t="s">
        <v>258</v>
      </c>
      <c r="B144" s="4774" t="s">
        <v>5609</v>
      </c>
      <c r="C144" s="4772" t="s">
        <v>5675</v>
      </c>
      <c r="D144" s="4772" t="s">
        <v>5903</v>
      </c>
      <c r="E144" s="4773" t="s">
        <v>5773</v>
      </c>
      <c r="F144" s="4768" t="s">
        <v>5774</v>
      </c>
      <c r="G144" s="4770" t="s">
        <v>91</v>
      </c>
      <c r="H144" s="4770" t="s">
        <v>5895</v>
      </c>
      <c r="I144" s="4769" t="s">
        <v>494</v>
      </c>
      <c r="J144" s="4774" t="str">
        <f t="shared" si="6"/>
        <v>01</v>
      </c>
      <c r="K144" s="4774" t="str">
        <f t="shared" si="7"/>
        <v>CN.003C187</v>
      </c>
      <c r="L144" s="4774" t="str">
        <f t="shared" si="8"/>
        <v>Brooq Alamaan Trading Company - BAYTUR_PAYMENT</v>
      </c>
      <c r="M144" s="4774" t="str">
        <f t="shared" si="9"/>
        <v>1TB01006.01.CN.003C187.00</v>
      </c>
      <c r="N144" s="4774" t="str">
        <f t="shared" si="10"/>
        <v>1TB01006.01.CN.003C187.01</v>
      </c>
      <c r="O144" s="4774" t="str">
        <f t="shared" si="11"/>
        <v>1TB01006.01.CN.003C187.02</v>
      </c>
    </row>
    <row r="145" spans="1:15">
      <c r="A145" s="4772" t="s">
        <v>258</v>
      </c>
      <c r="B145" s="4774" t="s">
        <v>5609</v>
      </c>
      <c r="C145" s="4772" t="s">
        <v>5675</v>
      </c>
      <c r="D145" s="4772" t="s">
        <v>5904</v>
      </c>
      <c r="E145" s="4773" t="s">
        <v>5872</v>
      </c>
      <c r="F145" s="4768" t="s">
        <v>5873</v>
      </c>
      <c r="G145" s="4770" t="s">
        <v>91</v>
      </c>
      <c r="H145" s="4770" t="s">
        <v>5895</v>
      </c>
      <c r="I145" s="4769" t="s">
        <v>494</v>
      </c>
      <c r="J145" s="4774" t="str">
        <f t="shared" si="6"/>
        <v>01</v>
      </c>
      <c r="K145" s="4774" t="str">
        <f t="shared" si="7"/>
        <v>CN.003C186</v>
      </c>
      <c r="L145" s="4774" t="str">
        <f t="shared" si="8"/>
        <v>TBK Metal - BAYTUR_PAYMENT</v>
      </c>
      <c r="M145" s="4774" t="str">
        <f t="shared" si="9"/>
        <v>1TB01006.01.CN.003C186.00</v>
      </c>
      <c r="N145" s="4774" t="str">
        <f t="shared" si="10"/>
        <v>1TB01006.01.CN.003C186.01</v>
      </c>
      <c r="O145" s="4774" t="str">
        <f t="shared" si="11"/>
        <v>1TB01006.01.CN.003C186.02</v>
      </c>
    </row>
    <row r="146" spans="1:15">
      <c r="A146" s="4772" t="s">
        <v>258</v>
      </c>
      <c r="B146" s="4774" t="s">
        <v>5609</v>
      </c>
      <c r="C146" s="4772" t="s">
        <v>5675</v>
      </c>
      <c r="D146" s="4772" t="s">
        <v>5905</v>
      </c>
      <c r="E146" s="4773" t="s">
        <v>5767</v>
      </c>
      <c r="F146" s="4768" t="s">
        <v>5768</v>
      </c>
      <c r="G146" s="4770" t="s">
        <v>91</v>
      </c>
      <c r="H146" s="4770" t="s">
        <v>5895</v>
      </c>
      <c r="I146" s="4769" t="s">
        <v>494</v>
      </c>
      <c r="J146" s="4774" t="str">
        <f t="shared" si="6"/>
        <v>01</v>
      </c>
      <c r="K146" s="4774" t="str">
        <f t="shared" si="7"/>
        <v>CN.003C185</v>
      </c>
      <c r="L146" s="4774" t="str">
        <f t="shared" si="8"/>
        <v>Yaz Development Contracting - BAYTUR_PAYMENT</v>
      </c>
      <c r="M146" s="4774" t="str">
        <f t="shared" si="9"/>
        <v>1TB01006.01.CN.003C185.00</v>
      </c>
      <c r="N146" s="4774" t="str">
        <f t="shared" si="10"/>
        <v>1TB01006.01.CN.003C185.01</v>
      </c>
      <c r="O146" s="4774" t="str">
        <f t="shared" si="11"/>
        <v>1TB01006.01.CN.003C185.02</v>
      </c>
    </row>
    <row r="147" spans="1:15">
      <c r="A147" s="4772" t="s">
        <v>258</v>
      </c>
      <c r="B147" s="4774" t="s">
        <v>5609</v>
      </c>
      <c r="C147" s="4772" t="s">
        <v>5675</v>
      </c>
      <c r="D147" s="4772" t="s">
        <v>5906</v>
      </c>
      <c r="E147" s="4773" t="s">
        <v>5761</v>
      </c>
      <c r="F147" s="4768" t="s">
        <v>5762</v>
      </c>
      <c r="G147" s="4770" t="s">
        <v>91</v>
      </c>
      <c r="H147" s="4770" t="s">
        <v>5895</v>
      </c>
      <c r="I147" s="4769" t="s">
        <v>494</v>
      </c>
      <c r="J147" s="4774" t="str">
        <f t="shared" si="6"/>
        <v>01</v>
      </c>
      <c r="K147" s="4774" t="str">
        <f t="shared" si="7"/>
        <v>CN.003C184</v>
      </c>
      <c r="L147" s="4774" t="str">
        <f t="shared" si="8"/>
        <v>Gesr Alarab - BAYTUR_PAYMENT</v>
      </c>
      <c r="M147" s="4774" t="str">
        <f t="shared" si="9"/>
        <v>1TB01006.01.CN.003C184.00</v>
      </c>
      <c r="N147" s="4774" t="str">
        <f t="shared" si="10"/>
        <v>1TB01006.01.CN.003C184.01</v>
      </c>
      <c r="O147" s="4774" t="str">
        <f t="shared" si="11"/>
        <v>1TB01006.01.CN.003C184.02</v>
      </c>
    </row>
    <row r="148" spans="1:15">
      <c r="A148" s="4772" t="s">
        <v>258</v>
      </c>
      <c r="B148" s="4774" t="s">
        <v>5609</v>
      </c>
      <c r="C148" s="4772" t="s">
        <v>5675</v>
      </c>
      <c r="D148" s="4772" t="s">
        <v>5907</v>
      </c>
      <c r="E148" s="4773" t="s">
        <v>4687</v>
      </c>
      <c r="F148" s="4768" t="s">
        <v>5908</v>
      </c>
      <c r="G148" s="4770" t="s">
        <v>91</v>
      </c>
      <c r="H148" s="4770" t="s">
        <v>5895</v>
      </c>
      <c r="I148" s="4769" t="s">
        <v>494</v>
      </c>
      <c r="J148" s="4774" t="str">
        <f t="shared" si="6"/>
        <v>01</v>
      </c>
      <c r="K148" s="4774" t="str">
        <f t="shared" si="7"/>
        <v>CN.003C204</v>
      </c>
      <c r="L148" s="4774" t="str">
        <f t="shared" si="8"/>
        <v>Fast Steps - BAYTUR_PAYMENT</v>
      </c>
      <c r="M148" s="4774" t="str">
        <f t="shared" si="9"/>
        <v>1TB01006.01.CN.003C204.00</v>
      </c>
      <c r="N148" s="4774" t="str">
        <f t="shared" si="10"/>
        <v>1TB01006.01.CN.003C204.01</v>
      </c>
      <c r="O148" s="4774" t="str">
        <f t="shared" si="11"/>
        <v>1TB01006.01.CN.003C204.02</v>
      </c>
    </row>
    <row r="149" spans="1:15">
      <c r="A149" s="4772" t="s">
        <v>258</v>
      </c>
      <c r="B149" s="4774" t="s">
        <v>5609</v>
      </c>
      <c r="C149" s="4772" t="s">
        <v>5675</v>
      </c>
      <c r="D149" s="4772" t="s">
        <v>5909</v>
      </c>
      <c r="E149" s="4773" t="s">
        <v>4720</v>
      </c>
      <c r="F149" s="4768" t="s">
        <v>5910</v>
      </c>
      <c r="G149" s="4770" t="s">
        <v>91</v>
      </c>
      <c r="H149" s="4770" t="s">
        <v>5895</v>
      </c>
      <c r="I149" s="4769" t="s">
        <v>494</v>
      </c>
      <c r="J149" s="4774" t="str">
        <f t="shared" si="6"/>
        <v>01</v>
      </c>
      <c r="K149" s="4774" t="str">
        <f t="shared" si="7"/>
        <v>CN.003C203</v>
      </c>
      <c r="L149" s="4774" t="str">
        <f t="shared" si="8"/>
        <v>Tanseeq LLC - BAYTUR_PAYMENT</v>
      </c>
      <c r="M149" s="4774" t="str">
        <f t="shared" si="9"/>
        <v>1TB01006.01.CN.003C203.00</v>
      </c>
      <c r="N149" s="4774" t="str">
        <f t="shared" si="10"/>
        <v>1TB01006.01.CN.003C203.01</v>
      </c>
      <c r="O149" s="4774" t="str">
        <f t="shared" si="11"/>
        <v>1TB01006.01.CN.003C203.02</v>
      </c>
    </row>
    <row r="150" spans="1:15">
      <c r="A150" s="4772" t="s">
        <v>258</v>
      </c>
      <c r="B150" s="4774" t="s">
        <v>5609</v>
      </c>
      <c r="C150" s="4772" t="s">
        <v>5675</v>
      </c>
      <c r="D150" s="4772" t="s">
        <v>5911</v>
      </c>
      <c r="E150" s="4773" t="s">
        <v>5864</v>
      </c>
      <c r="F150" s="4768" t="s">
        <v>5865</v>
      </c>
      <c r="G150" s="4770" t="s">
        <v>91</v>
      </c>
      <c r="H150" s="4770" t="s">
        <v>5895</v>
      </c>
      <c r="I150" s="4769" t="s">
        <v>494</v>
      </c>
      <c r="J150" s="4774" t="str">
        <f t="shared" si="6"/>
        <v>01</v>
      </c>
      <c r="K150" s="4774" t="str">
        <f t="shared" si="7"/>
        <v>CN.003C202</v>
      </c>
      <c r="L150" s="4774" t="str">
        <f t="shared" si="8"/>
        <v>Top Construction Co. Ltd. - BAYTUR_PAYMENT</v>
      </c>
      <c r="M150" s="4774" t="str">
        <f t="shared" si="9"/>
        <v>1TB01006.01.CN.003C202.00</v>
      </c>
      <c r="N150" s="4774" t="str">
        <f t="shared" si="10"/>
        <v>1TB01006.01.CN.003C202.01</v>
      </c>
      <c r="O150" s="4774" t="str">
        <f t="shared" si="11"/>
        <v>1TB01006.01.CN.003C202.02</v>
      </c>
    </row>
    <row r="151" spans="1:15">
      <c r="A151" s="4772" t="s">
        <v>258</v>
      </c>
      <c r="B151" s="4774" t="s">
        <v>5609</v>
      </c>
      <c r="C151" s="4772" t="s">
        <v>5675</v>
      </c>
      <c r="D151" s="4772" t="s">
        <v>5912</v>
      </c>
      <c r="E151" s="4773" t="s">
        <v>5818</v>
      </c>
      <c r="F151" s="4768" t="s">
        <v>5819</v>
      </c>
      <c r="G151" s="4770" t="s">
        <v>91</v>
      </c>
      <c r="H151" s="4770" t="s">
        <v>5895</v>
      </c>
      <c r="I151" s="4769" t="s">
        <v>494</v>
      </c>
      <c r="J151" s="4774" t="str">
        <f t="shared" si="6"/>
        <v>01</v>
      </c>
      <c r="K151" s="4774" t="str">
        <f t="shared" si="7"/>
        <v>CN.003C201</v>
      </c>
      <c r="L151" s="4774" t="str">
        <f t="shared" si="8"/>
        <v>Saint Gobain - Sodamco Industrial - BAYTUR_PAYMENT</v>
      </c>
      <c r="M151" s="4774" t="str">
        <f t="shared" si="9"/>
        <v>1TB01006.01.CN.003C201.00</v>
      </c>
      <c r="N151" s="4774" t="str">
        <f t="shared" si="10"/>
        <v>1TB01006.01.CN.003C201.01</v>
      </c>
      <c r="O151" s="4774" t="str">
        <f t="shared" si="11"/>
        <v>1TB01006.01.CN.003C201.02</v>
      </c>
    </row>
    <row r="152" spans="1:15">
      <c r="A152" s="4772" t="s">
        <v>258</v>
      </c>
      <c r="B152" s="4774" t="s">
        <v>5609</v>
      </c>
      <c r="C152" s="4772" t="s">
        <v>5675</v>
      </c>
      <c r="D152" s="4772" t="s">
        <v>5913</v>
      </c>
      <c r="E152" s="4773" t="s">
        <v>5815</v>
      </c>
      <c r="F152" s="4768" t="s">
        <v>5816</v>
      </c>
      <c r="G152" s="4770" t="s">
        <v>91</v>
      </c>
      <c r="H152" s="4770" t="s">
        <v>5895</v>
      </c>
      <c r="I152" s="4769" t="s">
        <v>494</v>
      </c>
      <c r="J152" s="4774" t="str">
        <f t="shared" si="6"/>
        <v>01</v>
      </c>
      <c r="K152" s="4774" t="str">
        <f t="shared" si="7"/>
        <v>CN.003C200</v>
      </c>
      <c r="L152" s="4774" t="str">
        <f t="shared" si="8"/>
        <v>Ihsan Muhammed Thakir Idress Trading - BAYTUR_PAYMENT</v>
      </c>
      <c r="M152" s="4774" t="str">
        <f t="shared" si="9"/>
        <v>1TB01006.01.CN.003C200.00</v>
      </c>
      <c r="N152" s="4774" t="str">
        <f t="shared" si="10"/>
        <v>1TB01006.01.CN.003C200.01</v>
      </c>
      <c r="O152" s="4774" t="str">
        <f t="shared" si="11"/>
        <v>1TB01006.01.CN.003C200.02</v>
      </c>
    </row>
    <row r="153" spans="1:15">
      <c r="A153" s="4772" t="s">
        <v>258</v>
      </c>
      <c r="B153" s="4774" t="s">
        <v>5609</v>
      </c>
      <c r="C153" s="4772" t="s">
        <v>5675</v>
      </c>
      <c r="D153" s="4772" t="s">
        <v>5914</v>
      </c>
      <c r="E153" s="4773" t="s">
        <v>5821</v>
      </c>
      <c r="F153" s="4768" t="s">
        <v>5822</v>
      </c>
      <c r="G153" s="4770" t="s">
        <v>91</v>
      </c>
      <c r="H153" s="4770" t="s">
        <v>5895</v>
      </c>
      <c r="I153" s="4769" t="s">
        <v>494</v>
      </c>
      <c r="J153" s="4774" t="str">
        <f t="shared" si="6"/>
        <v>01</v>
      </c>
      <c r="K153" s="4774" t="str">
        <f t="shared" si="7"/>
        <v>CN.003C199</v>
      </c>
      <c r="L153" s="4774" t="str">
        <f t="shared" si="8"/>
        <v>Glsan Contracting Company - BAYTUR_PAYMENT</v>
      </c>
      <c r="M153" s="4774" t="str">
        <f t="shared" si="9"/>
        <v>1TB01006.01.CN.003C199.00</v>
      </c>
      <c r="N153" s="4774" t="str">
        <f t="shared" si="10"/>
        <v>1TB01006.01.CN.003C199.01</v>
      </c>
      <c r="O153" s="4774" t="str">
        <f t="shared" si="11"/>
        <v>1TB01006.01.CN.003C199.02</v>
      </c>
    </row>
    <row r="154" spans="1:15">
      <c r="A154" s="4772" t="s">
        <v>258</v>
      </c>
      <c r="B154" s="4774" t="s">
        <v>5609</v>
      </c>
      <c r="C154" s="4772" t="s">
        <v>5675</v>
      </c>
      <c r="D154" s="4772" t="s">
        <v>5915</v>
      </c>
      <c r="E154" s="4773" t="s">
        <v>5821</v>
      </c>
      <c r="F154" s="4768" t="s">
        <v>5822</v>
      </c>
      <c r="G154" s="4770" t="s">
        <v>91</v>
      </c>
      <c r="H154" s="4770" t="s">
        <v>5895</v>
      </c>
      <c r="I154" s="4769" t="s">
        <v>494</v>
      </c>
      <c r="J154" s="4774" t="str">
        <f t="shared" si="6"/>
        <v>01</v>
      </c>
      <c r="K154" s="4774" t="str">
        <f t="shared" si="7"/>
        <v>CN.003C198</v>
      </c>
      <c r="L154" s="4774" t="str">
        <f t="shared" si="8"/>
        <v>Glsan Contracting Company - BAYTUR_PAYMENT</v>
      </c>
      <c r="M154" s="4774" t="str">
        <f t="shared" si="9"/>
        <v>1TB01006.01.CN.003C198.00</v>
      </c>
      <c r="N154" s="4774" t="str">
        <f t="shared" si="10"/>
        <v>1TB01006.01.CN.003C198.01</v>
      </c>
      <c r="O154" s="4774" t="str">
        <f t="shared" si="11"/>
        <v>1TB01006.01.CN.003C198.02</v>
      </c>
    </row>
    <row r="155" spans="1:15">
      <c r="A155" s="4772" t="s">
        <v>258</v>
      </c>
      <c r="B155" s="4774" t="s">
        <v>5609</v>
      </c>
      <c r="C155" s="4772" t="s">
        <v>5675</v>
      </c>
      <c r="D155" s="4772" t="s">
        <v>5916</v>
      </c>
      <c r="E155" s="4773" t="s">
        <v>5717</v>
      </c>
      <c r="F155" s="4768" t="s">
        <v>5718</v>
      </c>
      <c r="G155" s="4770" t="s">
        <v>91</v>
      </c>
      <c r="H155" s="4770" t="s">
        <v>5895</v>
      </c>
      <c r="I155" s="4769" t="s">
        <v>494</v>
      </c>
      <c r="J155" s="4774" t="str">
        <f t="shared" si="6"/>
        <v>01</v>
      </c>
      <c r="K155" s="4774" t="str">
        <f t="shared" si="7"/>
        <v>CN.003C197</v>
      </c>
      <c r="L155" s="4774" t="str">
        <f t="shared" si="8"/>
        <v>M Mohammad Alharbi Medical Company - BAYTUR_PAYMENT</v>
      </c>
      <c r="M155" s="4774" t="str">
        <f t="shared" si="9"/>
        <v>1TB01006.01.CN.003C197.00</v>
      </c>
      <c r="N155" s="4774" t="str">
        <f t="shared" si="10"/>
        <v>1TB01006.01.CN.003C197.01</v>
      </c>
      <c r="O155" s="4774" t="str">
        <f t="shared" si="11"/>
        <v>1TB01006.01.CN.003C197.02</v>
      </c>
    </row>
    <row r="156" spans="1:15">
      <c r="A156" s="4772" t="s">
        <v>258</v>
      </c>
      <c r="B156" s="4774" t="s">
        <v>5609</v>
      </c>
      <c r="C156" s="4772" t="s">
        <v>5675</v>
      </c>
      <c r="D156" s="4772" t="s">
        <v>5917</v>
      </c>
      <c r="E156" s="4773" t="s">
        <v>5724</v>
      </c>
      <c r="F156" s="4768" t="s">
        <v>5725</v>
      </c>
      <c r="G156" s="4770" t="s">
        <v>91</v>
      </c>
      <c r="H156" s="4770" t="s">
        <v>5895</v>
      </c>
      <c r="I156" s="4769" t="s">
        <v>494</v>
      </c>
      <c r="J156" s="4774" t="str">
        <f t="shared" si="6"/>
        <v>01</v>
      </c>
      <c r="K156" s="4774" t="str">
        <f t="shared" si="7"/>
        <v>CN.003C196</v>
      </c>
      <c r="L156" s="4774" t="str">
        <f t="shared" si="8"/>
        <v>Ahmed Bin Salem Bin Dagher Al-Balawi Est. - BAYTUR_PAYMENT</v>
      </c>
      <c r="M156" s="4774" t="str">
        <f t="shared" si="9"/>
        <v>1TB01006.01.CN.003C196.00</v>
      </c>
      <c r="N156" s="4774" t="str">
        <f t="shared" si="10"/>
        <v>1TB01006.01.CN.003C196.01</v>
      </c>
      <c r="O156" s="4774" t="str">
        <f t="shared" si="11"/>
        <v>1TB01006.01.CN.003C196.02</v>
      </c>
    </row>
    <row r="157" spans="1:15">
      <c r="A157" s="4772" t="s">
        <v>258</v>
      </c>
      <c r="B157" s="4774" t="s">
        <v>5609</v>
      </c>
      <c r="C157" s="4772" t="s">
        <v>5675</v>
      </c>
      <c r="D157" s="4772" t="s">
        <v>5918</v>
      </c>
      <c r="E157" s="4773" t="s">
        <v>5677</v>
      </c>
      <c r="F157" s="4768" t="s">
        <v>5678</v>
      </c>
      <c r="G157" s="4770" t="s">
        <v>91</v>
      </c>
      <c r="H157" s="4770" t="s">
        <v>5895</v>
      </c>
      <c r="I157" s="4769" t="s">
        <v>494</v>
      </c>
      <c r="J157" s="4774" t="str">
        <f t="shared" si="6"/>
        <v>01</v>
      </c>
      <c r="K157" s="4774" t="str">
        <f t="shared" si="7"/>
        <v>CN.003C195</v>
      </c>
      <c r="L157" s="4774" t="str">
        <f t="shared" si="8"/>
        <v>Sami General Contracting Est. - BAYTUR_PAYMENT</v>
      </c>
      <c r="M157" s="4774" t="str">
        <f t="shared" si="9"/>
        <v>1TB01006.01.CN.003C195.00</v>
      </c>
      <c r="N157" s="4774" t="str">
        <f t="shared" si="10"/>
        <v>1TB01006.01.CN.003C195.01</v>
      </c>
      <c r="O157" s="4774" t="str">
        <f t="shared" si="11"/>
        <v>1TB01006.01.CN.003C195.02</v>
      </c>
    </row>
    <row r="158" spans="1:15">
      <c r="A158" s="4772" t="s">
        <v>258</v>
      </c>
      <c r="B158" s="4774" t="s">
        <v>5609</v>
      </c>
      <c r="C158" s="4772" t="s">
        <v>5675</v>
      </c>
      <c r="D158" s="4772" t="s">
        <v>5919</v>
      </c>
      <c r="E158" s="4773" t="s">
        <v>5705</v>
      </c>
      <c r="F158" s="4768" t="s">
        <v>5706</v>
      </c>
      <c r="G158" s="4770" t="s">
        <v>91</v>
      </c>
      <c r="H158" s="4770" t="s">
        <v>5895</v>
      </c>
      <c r="I158" s="4769" t="s">
        <v>494</v>
      </c>
      <c r="J158" s="4774" t="str">
        <f t="shared" si="6"/>
        <v>01</v>
      </c>
      <c r="K158" s="4774" t="str">
        <f t="shared" si="7"/>
        <v>CN.003C193</v>
      </c>
      <c r="L158" s="4774" t="str">
        <f t="shared" si="8"/>
        <v>Intelligent General Cont. Co - Equipment - Industrial Forklift &amp; 5ton - BAYTUR_PAYMENT</v>
      </c>
      <c r="M158" s="4774" t="str">
        <f t="shared" si="9"/>
        <v>1TB01006.01.CN.003C193.00</v>
      </c>
      <c r="N158" s="4774" t="str">
        <f t="shared" si="10"/>
        <v>1TB01006.01.CN.003C193.01</v>
      </c>
      <c r="O158" s="4774" t="str">
        <f t="shared" si="11"/>
        <v>1TB01006.01.CN.003C193.02</v>
      </c>
    </row>
    <row r="159" spans="1:15">
      <c r="A159" s="4772" t="s">
        <v>258</v>
      </c>
      <c r="B159" s="4774" t="s">
        <v>5609</v>
      </c>
      <c r="C159" s="4772" t="s">
        <v>5675</v>
      </c>
      <c r="D159" s="4772" t="s">
        <v>5920</v>
      </c>
      <c r="E159" s="4773" t="s">
        <v>5693</v>
      </c>
      <c r="F159" s="4768" t="s">
        <v>5694</v>
      </c>
      <c r="G159" s="4770" t="s">
        <v>91</v>
      </c>
      <c r="H159" s="4770" t="s">
        <v>5895</v>
      </c>
      <c r="I159" s="4769" t="s">
        <v>494</v>
      </c>
      <c r="J159" s="4774" t="str">
        <f t="shared" si="6"/>
        <v>01</v>
      </c>
      <c r="K159" s="4774" t="str">
        <f t="shared" si="7"/>
        <v>CN.003C194</v>
      </c>
      <c r="L159" s="4774" t="str">
        <f t="shared" si="8"/>
        <v>JAK Generation Cont. Co. LLC - BAYTUR_PAYMENT</v>
      </c>
      <c r="M159" s="4774" t="str">
        <f t="shared" si="9"/>
        <v>1TB01006.01.CN.003C194.00</v>
      </c>
      <c r="N159" s="4774" t="str">
        <f t="shared" si="10"/>
        <v>1TB01006.01.CN.003C194.01</v>
      </c>
      <c r="O159" s="4774" t="str">
        <f t="shared" si="11"/>
        <v>1TB01006.01.CN.003C194.02</v>
      </c>
    </row>
    <row r="160" spans="1:15">
      <c r="A160" s="4772" t="s">
        <v>258</v>
      </c>
      <c r="B160" s="4774" t="s">
        <v>5609</v>
      </c>
      <c r="C160" s="4772" t="s">
        <v>5675</v>
      </c>
      <c r="D160" s="4772" t="s">
        <v>5921</v>
      </c>
      <c r="E160" s="4773" t="s">
        <v>5699</v>
      </c>
      <c r="F160" s="4768" t="s">
        <v>5700</v>
      </c>
      <c r="G160" s="4770" t="s">
        <v>91</v>
      </c>
      <c r="H160" s="4770" t="s">
        <v>5895</v>
      </c>
      <c r="I160" s="4769" t="s">
        <v>494</v>
      </c>
      <c r="J160" s="4774" t="str">
        <f t="shared" si="6"/>
        <v>01</v>
      </c>
      <c r="K160" s="4774" t="str">
        <f t="shared" si="7"/>
        <v>CN.003C192</v>
      </c>
      <c r="L160" s="4774" t="str">
        <f t="shared" si="8"/>
        <v>Al Rai Modern Water Factory - BAYTUR_PAYMENT</v>
      </c>
      <c r="M160" s="4774" t="str">
        <f t="shared" si="9"/>
        <v>1TB01006.01.CN.003C192.00</v>
      </c>
      <c r="N160" s="4774" t="str">
        <f t="shared" si="10"/>
        <v>1TB01006.01.CN.003C192.01</v>
      </c>
      <c r="O160" s="4774" t="str">
        <f t="shared" si="11"/>
        <v>1TB01006.01.CN.003C192.02</v>
      </c>
    </row>
    <row r="161" spans="1:15">
      <c r="A161" s="4772" t="s">
        <v>258</v>
      </c>
      <c r="B161" s="4774" t="s">
        <v>5609</v>
      </c>
      <c r="C161" s="4772" t="s">
        <v>5675</v>
      </c>
      <c r="D161" s="4772" t="s">
        <v>5922</v>
      </c>
      <c r="E161" s="4773" t="s">
        <v>5730</v>
      </c>
      <c r="F161" s="4768" t="s">
        <v>5731</v>
      </c>
      <c r="G161" s="4770" t="s">
        <v>91</v>
      </c>
      <c r="H161" s="4770" t="s">
        <v>5895</v>
      </c>
      <c r="I161" s="4769" t="s">
        <v>494</v>
      </c>
      <c r="J161" s="4774" t="str">
        <f t="shared" si="6"/>
        <v>01</v>
      </c>
      <c r="K161" s="4774" t="str">
        <f t="shared" si="7"/>
        <v>CN.003C191</v>
      </c>
      <c r="L161" s="4774" t="str">
        <f t="shared" si="8"/>
        <v>Energy &amp; Building Masters - BAYTUR_PAYMENT</v>
      </c>
      <c r="M161" s="4774" t="str">
        <f t="shared" si="9"/>
        <v>1TB01006.01.CN.003C191.00</v>
      </c>
      <c r="N161" s="4774" t="str">
        <f t="shared" si="10"/>
        <v>1TB01006.01.CN.003C191.01</v>
      </c>
      <c r="O161" s="4774" t="str">
        <f t="shared" si="11"/>
        <v>1TB01006.01.CN.003C191.02</v>
      </c>
    </row>
    <row r="162" spans="1:15">
      <c r="A162" s="4772" t="s">
        <v>258</v>
      </c>
      <c r="B162" s="4774" t="s">
        <v>5609</v>
      </c>
      <c r="C162" s="4772" t="s">
        <v>5675</v>
      </c>
      <c r="D162" s="4772" t="s">
        <v>5923</v>
      </c>
      <c r="E162" s="4773" t="s">
        <v>5720</v>
      </c>
      <c r="F162" s="4768" t="s">
        <v>5721</v>
      </c>
      <c r="G162" s="4770" t="s">
        <v>91</v>
      </c>
      <c r="H162" s="4770" t="s">
        <v>5924</v>
      </c>
      <c r="I162" s="4769" t="s">
        <v>494</v>
      </c>
      <c r="J162" s="4774" t="str">
        <f t="shared" si="6"/>
        <v>01</v>
      </c>
      <c r="K162" s="4774" t="str">
        <f t="shared" si="7"/>
        <v>CN.003C205</v>
      </c>
      <c r="L162" s="4774" t="str">
        <f t="shared" si="8"/>
        <v>Issam Kabani and Partners - BAYTUR_PAYMENT</v>
      </c>
      <c r="M162" s="4774" t="str">
        <f t="shared" si="9"/>
        <v>1TB01006.01.CN.003C205.00</v>
      </c>
      <c r="N162" s="4774" t="str">
        <f t="shared" si="10"/>
        <v>1TB01006.01.CN.003C205.01</v>
      </c>
      <c r="O162" s="4774" t="str">
        <f t="shared" si="11"/>
        <v>1TB01006.01.CN.003C205.02</v>
      </c>
    </row>
    <row r="163" spans="1:15">
      <c r="A163" s="4772" t="s">
        <v>258</v>
      </c>
      <c r="B163" s="4774" t="s">
        <v>5609</v>
      </c>
      <c r="C163" s="4772" t="s">
        <v>5675</v>
      </c>
      <c r="D163" s="4772" t="s">
        <v>5925</v>
      </c>
      <c r="E163" s="4773" t="s">
        <v>5669</v>
      </c>
      <c r="F163" s="4768" t="s">
        <v>5670</v>
      </c>
      <c r="G163" s="4770" t="s">
        <v>91</v>
      </c>
      <c r="H163" s="4770" t="s">
        <v>5924</v>
      </c>
      <c r="I163" s="4769" t="s">
        <v>494</v>
      </c>
      <c r="J163" s="4774" t="str">
        <f t="shared" si="6"/>
        <v>01</v>
      </c>
      <c r="K163" s="4774" t="str">
        <f t="shared" si="7"/>
        <v>CN.003C206</v>
      </c>
      <c r="L163" s="4774" t="str">
        <f t="shared" si="8"/>
        <v>Abu Dhabi Precast LLC - BAYTUR_PAYMENT</v>
      </c>
      <c r="M163" s="4774" t="str">
        <f t="shared" si="9"/>
        <v>1TB01006.01.CN.003C206.00</v>
      </c>
      <c r="N163" s="4774" t="str">
        <f t="shared" si="10"/>
        <v>1TB01006.01.CN.003C206.01</v>
      </c>
      <c r="O163" s="4774" t="str">
        <f t="shared" si="11"/>
        <v>1TB01006.01.CN.003C206.02</v>
      </c>
    </row>
    <row r="164" spans="1:15">
      <c r="A164" s="4772" t="s">
        <v>258</v>
      </c>
      <c r="B164" s="4774" t="s">
        <v>5609</v>
      </c>
      <c r="C164" s="4772" t="s">
        <v>5675</v>
      </c>
      <c r="D164" s="4772" t="s">
        <v>5926</v>
      </c>
      <c r="E164" s="4773" t="s">
        <v>5876</v>
      </c>
      <c r="F164" s="4768" t="s">
        <v>5877</v>
      </c>
      <c r="G164" s="4770" t="s">
        <v>91</v>
      </c>
      <c r="H164" s="4770" t="s">
        <v>5924</v>
      </c>
      <c r="I164" s="4769" t="s">
        <v>494</v>
      </c>
      <c r="J164" s="4774" t="str">
        <f t="shared" si="6"/>
        <v>01</v>
      </c>
      <c r="K164" s="4774" t="str">
        <f t="shared" si="7"/>
        <v>CN.003C207</v>
      </c>
      <c r="L164" s="4774" t="str">
        <f t="shared" si="8"/>
        <v>Alcatop International Company for Building Material - BAYTUR_PAYMENT</v>
      </c>
      <c r="M164" s="4774" t="str">
        <f t="shared" si="9"/>
        <v>1TB01006.01.CN.003C207.00</v>
      </c>
      <c r="N164" s="4774" t="str">
        <f t="shared" si="10"/>
        <v>1TB01006.01.CN.003C207.01</v>
      </c>
      <c r="O164" s="4774" t="str">
        <f t="shared" si="11"/>
        <v>1TB01006.01.CN.003C207.02</v>
      </c>
    </row>
    <row r="165" spans="1:15">
      <c r="A165" s="4772" t="s">
        <v>258</v>
      </c>
      <c r="B165" s="4774" t="s">
        <v>5609</v>
      </c>
      <c r="C165" s="4772" t="s">
        <v>5675</v>
      </c>
      <c r="D165" s="4772" t="s">
        <v>5927</v>
      </c>
      <c r="E165" s="4773" t="s">
        <v>5630</v>
      </c>
      <c r="F165" s="4768" t="s">
        <v>1519</v>
      </c>
      <c r="G165" s="4770" t="s">
        <v>91</v>
      </c>
      <c r="H165" s="4770" t="s">
        <v>5924</v>
      </c>
      <c r="I165" s="4769" t="s">
        <v>494</v>
      </c>
      <c r="J165" s="4774" t="str">
        <f t="shared" si="6"/>
        <v>01</v>
      </c>
      <c r="K165" s="4774" t="str">
        <f t="shared" si="7"/>
        <v>CN.003C208</v>
      </c>
      <c r="L165" s="4774" t="str">
        <f t="shared" si="8"/>
        <v>Medtel - W.N - BAYTUR_PAYMENT</v>
      </c>
      <c r="M165" s="4774" t="str">
        <f t="shared" si="9"/>
        <v>1TB01006.01.CN.003C208.00</v>
      </c>
      <c r="N165" s="4774" t="str">
        <f t="shared" si="10"/>
        <v>1TB01006.01.CN.003C208.01</v>
      </c>
      <c r="O165" s="4774" t="str">
        <f t="shared" si="11"/>
        <v>1TB01006.01.CN.003C208.02</v>
      </c>
    </row>
    <row r="166" spans="1:15">
      <c r="A166" s="4772" t="s">
        <v>258</v>
      </c>
      <c r="B166" s="4774" t="s">
        <v>5609</v>
      </c>
      <c r="C166" s="4772" t="s">
        <v>5675</v>
      </c>
      <c r="D166" s="4772" t="s">
        <v>5928</v>
      </c>
      <c r="E166" s="4773" t="s">
        <v>5761</v>
      </c>
      <c r="F166" s="4768" t="s">
        <v>5762</v>
      </c>
      <c r="G166" s="4770" t="s">
        <v>91</v>
      </c>
      <c r="H166" s="4770" t="s">
        <v>5924</v>
      </c>
      <c r="I166" s="4769" t="s">
        <v>494</v>
      </c>
      <c r="J166" s="4774" t="str">
        <f t="shared" si="6"/>
        <v>01</v>
      </c>
      <c r="K166" s="4774" t="str">
        <f t="shared" si="7"/>
        <v>CN.003C211</v>
      </c>
      <c r="L166" s="4774" t="str">
        <f t="shared" si="8"/>
        <v>Gesr Alarab - BAYTUR_PAYMENT</v>
      </c>
      <c r="M166" s="4774" t="str">
        <f t="shared" si="9"/>
        <v>1TB01006.01.CN.003C211.00</v>
      </c>
      <c r="N166" s="4774" t="str">
        <f t="shared" si="10"/>
        <v>1TB01006.01.CN.003C211.01</v>
      </c>
      <c r="O166" s="4774" t="str">
        <f t="shared" si="11"/>
        <v>1TB01006.01.CN.003C211.02</v>
      </c>
    </row>
    <row r="167" spans="1:15">
      <c r="A167" s="4772" t="s">
        <v>258</v>
      </c>
      <c r="B167" s="4774" t="s">
        <v>5609</v>
      </c>
      <c r="C167" s="4772" t="s">
        <v>5675</v>
      </c>
      <c r="D167" s="4772" t="s">
        <v>5929</v>
      </c>
      <c r="E167" s="4773" t="s">
        <v>5764</v>
      </c>
      <c r="F167" s="4768" t="s">
        <v>5765</v>
      </c>
      <c r="G167" s="4770" t="s">
        <v>91</v>
      </c>
      <c r="H167" s="4770" t="s">
        <v>5924</v>
      </c>
      <c r="I167" s="4769" t="s">
        <v>494</v>
      </c>
      <c r="J167" s="4774" t="str">
        <f t="shared" si="6"/>
        <v>01</v>
      </c>
      <c r="K167" s="4774" t="str">
        <f t="shared" si="7"/>
        <v>CN.003C212</v>
      </c>
      <c r="L167" s="4774" t="str">
        <f t="shared" si="8"/>
        <v>National Fire Fighting Manufacturing Company - NAFFCO - BAYTUR_PAYMENT</v>
      </c>
      <c r="M167" s="4774" t="str">
        <f t="shared" si="9"/>
        <v>1TB01006.01.CN.003C212.00</v>
      </c>
      <c r="N167" s="4774" t="str">
        <f t="shared" si="10"/>
        <v>1TB01006.01.CN.003C212.01</v>
      </c>
      <c r="O167" s="4774" t="str">
        <f t="shared" si="11"/>
        <v>1TB01006.01.CN.003C212.02</v>
      </c>
    </row>
    <row r="168" spans="1:15">
      <c r="A168" s="4772" t="s">
        <v>258</v>
      </c>
      <c r="B168" s="4774" t="s">
        <v>5609</v>
      </c>
      <c r="C168" s="4772" t="s">
        <v>5675</v>
      </c>
      <c r="D168" s="4772" t="s">
        <v>5930</v>
      </c>
      <c r="E168" s="4773" t="s">
        <v>5767</v>
      </c>
      <c r="F168" s="4768" t="s">
        <v>5768</v>
      </c>
      <c r="G168" s="4770" t="s">
        <v>91</v>
      </c>
      <c r="H168" s="4770" t="s">
        <v>5924</v>
      </c>
      <c r="I168" s="4769" t="s">
        <v>494</v>
      </c>
      <c r="J168" s="4774" t="str">
        <f t="shared" si="6"/>
        <v>01</v>
      </c>
      <c r="K168" s="4774" t="str">
        <f t="shared" si="7"/>
        <v>CN.003C213</v>
      </c>
      <c r="L168" s="4774" t="str">
        <f t="shared" si="8"/>
        <v>Yaz Development Contracting - BAYTUR_PAYMENT</v>
      </c>
      <c r="M168" s="4774" t="str">
        <f t="shared" si="9"/>
        <v>1TB01006.01.CN.003C213.00</v>
      </c>
      <c r="N168" s="4774" t="str">
        <f t="shared" si="10"/>
        <v>1TB01006.01.CN.003C213.01</v>
      </c>
      <c r="O168" s="4774" t="str">
        <f t="shared" si="11"/>
        <v>1TB01006.01.CN.003C213.02</v>
      </c>
    </row>
    <row r="169" spans="1:15">
      <c r="A169" s="4772" t="s">
        <v>258</v>
      </c>
      <c r="B169" s="4774" t="s">
        <v>5609</v>
      </c>
      <c r="C169" s="4772" t="s">
        <v>5675</v>
      </c>
      <c r="D169" s="4772" t="s">
        <v>5931</v>
      </c>
      <c r="E169" s="4773" t="s">
        <v>5872</v>
      </c>
      <c r="F169" s="4768" t="s">
        <v>5873</v>
      </c>
      <c r="G169" s="4770" t="s">
        <v>91</v>
      </c>
      <c r="H169" s="4770" t="s">
        <v>5924</v>
      </c>
      <c r="I169" s="4769" t="s">
        <v>494</v>
      </c>
      <c r="J169" s="4774" t="str">
        <f t="shared" si="6"/>
        <v>01</v>
      </c>
      <c r="K169" s="4774" t="str">
        <f t="shared" si="7"/>
        <v>CN.003C214</v>
      </c>
      <c r="L169" s="4774" t="str">
        <f t="shared" si="8"/>
        <v>TBK Metal - BAYTUR_PAYMENT</v>
      </c>
      <c r="M169" s="4774" t="str">
        <f t="shared" si="9"/>
        <v>1TB01006.01.CN.003C214.00</v>
      </c>
      <c r="N169" s="4774" t="str">
        <f t="shared" si="10"/>
        <v>1TB01006.01.CN.003C214.01</v>
      </c>
      <c r="O169" s="4774" t="str">
        <f t="shared" si="11"/>
        <v>1TB01006.01.CN.003C214.02</v>
      </c>
    </row>
    <row r="170" spans="1:15">
      <c r="A170" s="4772" t="s">
        <v>258</v>
      </c>
      <c r="B170" s="4774" t="s">
        <v>5609</v>
      </c>
      <c r="C170" s="4772" t="s">
        <v>5675</v>
      </c>
      <c r="D170" s="4772" t="s">
        <v>5932</v>
      </c>
      <c r="E170" s="4773" t="s">
        <v>5770</v>
      </c>
      <c r="F170" s="4768" t="s">
        <v>5771</v>
      </c>
      <c r="G170" s="4770" t="s">
        <v>91</v>
      </c>
      <c r="H170" s="4770" t="s">
        <v>5924</v>
      </c>
      <c r="I170" s="4769" t="s">
        <v>494</v>
      </c>
      <c r="J170" s="4774" t="str">
        <f t="shared" si="6"/>
        <v>01</v>
      </c>
      <c r="K170" s="4774" t="str">
        <f t="shared" si="7"/>
        <v>CN.003C215</v>
      </c>
      <c r="L170" s="4774" t="str">
        <f t="shared" si="8"/>
        <v>Abeer Manawer Al-Shamari Contracting Est. - BAYTUR_PAYMENT</v>
      </c>
      <c r="M170" s="4774" t="str">
        <f t="shared" si="9"/>
        <v>1TB01006.01.CN.003C215.00</v>
      </c>
      <c r="N170" s="4774" t="str">
        <f t="shared" si="10"/>
        <v>1TB01006.01.CN.003C215.01</v>
      </c>
      <c r="O170" s="4774" t="str">
        <f t="shared" si="11"/>
        <v>1TB01006.01.CN.003C215.02</v>
      </c>
    </row>
    <row r="171" spans="1:15">
      <c r="A171" s="4772" t="s">
        <v>258</v>
      </c>
      <c r="B171" s="4774" t="s">
        <v>5609</v>
      </c>
      <c r="C171" s="4772" t="s">
        <v>5675</v>
      </c>
      <c r="D171" s="4772" t="s">
        <v>5933</v>
      </c>
      <c r="E171" s="4773" t="s">
        <v>5855</v>
      </c>
      <c r="F171" s="4768" t="s">
        <v>5856</v>
      </c>
      <c r="G171" s="4770" t="s">
        <v>91</v>
      </c>
      <c r="H171" s="4770" t="s">
        <v>5924</v>
      </c>
      <c r="I171" s="4769" t="s">
        <v>494</v>
      </c>
      <c r="J171" s="4774" t="str">
        <f t="shared" si="6"/>
        <v>01</v>
      </c>
      <c r="K171" s="4774" t="str">
        <f t="shared" si="7"/>
        <v>CN.003C216</v>
      </c>
      <c r="L171" s="4774" t="str">
        <f t="shared" si="8"/>
        <v>Masa Equipments Est - BAYTUR_PAYMENT</v>
      </c>
      <c r="M171" s="4774" t="str">
        <f t="shared" si="9"/>
        <v>1TB01006.01.CN.003C216.00</v>
      </c>
      <c r="N171" s="4774" t="str">
        <f t="shared" si="10"/>
        <v>1TB01006.01.CN.003C216.01</v>
      </c>
      <c r="O171" s="4774" t="str">
        <f t="shared" si="11"/>
        <v>1TB01006.01.CN.003C216.02</v>
      </c>
    </row>
    <row r="172" spans="1:15">
      <c r="A172" s="4772" t="s">
        <v>258</v>
      </c>
      <c r="B172" s="4774" t="s">
        <v>5609</v>
      </c>
      <c r="C172" s="4772" t="s">
        <v>5675</v>
      </c>
      <c r="D172" s="4772" t="s">
        <v>5934</v>
      </c>
      <c r="E172" s="4773" t="s">
        <v>5711</v>
      </c>
      <c r="F172" s="4768" t="s">
        <v>5712</v>
      </c>
      <c r="G172" s="4770" t="s">
        <v>91</v>
      </c>
      <c r="H172" s="4770" t="s">
        <v>5924</v>
      </c>
      <c r="I172" s="4769" t="s">
        <v>494</v>
      </c>
      <c r="J172" s="4774" t="str">
        <f t="shared" si="6"/>
        <v>01</v>
      </c>
      <c r="K172" s="4774" t="str">
        <f t="shared" si="7"/>
        <v>CN.003C217</v>
      </c>
      <c r="L172" s="4774" t="str">
        <f t="shared" si="8"/>
        <v>Madar Building Material Co. - BAYTUR_PAYMENT</v>
      </c>
      <c r="M172" s="4774" t="str">
        <f t="shared" si="9"/>
        <v>1TB01006.01.CN.003C217.00</v>
      </c>
      <c r="N172" s="4774" t="str">
        <f t="shared" si="10"/>
        <v>1TB01006.01.CN.003C217.01</v>
      </c>
      <c r="O172" s="4774" t="str">
        <f t="shared" si="11"/>
        <v>1TB01006.01.CN.003C217.02</v>
      </c>
    </row>
    <row r="173" spans="1:15">
      <c r="A173" s="4772" t="s">
        <v>258</v>
      </c>
      <c r="B173" s="4774" t="s">
        <v>5609</v>
      </c>
      <c r="C173" s="4772" t="s">
        <v>5675</v>
      </c>
      <c r="D173" s="4772" t="s">
        <v>5935</v>
      </c>
      <c r="E173" s="4773" t="s">
        <v>5730</v>
      </c>
      <c r="F173" s="4768" t="s">
        <v>5731</v>
      </c>
      <c r="G173" s="4770" t="s">
        <v>91</v>
      </c>
      <c r="H173" s="4770" t="s">
        <v>5924</v>
      </c>
      <c r="I173" s="4769" t="s">
        <v>494</v>
      </c>
      <c r="J173" s="4774" t="str">
        <f t="shared" si="6"/>
        <v>01</v>
      </c>
      <c r="K173" s="4774" t="str">
        <f t="shared" si="7"/>
        <v>CN.003C218</v>
      </c>
      <c r="L173" s="4774" t="str">
        <f t="shared" si="8"/>
        <v>Energy &amp; Building Masters - BAYTUR_PAYMENT</v>
      </c>
      <c r="M173" s="4774" t="str">
        <f t="shared" si="9"/>
        <v>1TB01006.01.CN.003C218.00</v>
      </c>
      <c r="N173" s="4774" t="str">
        <f t="shared" si="10"/>
        <v>1TB01006.01.CN.003C218.01</v>
      </c>
      <c r="O173" s="4774" t="str">
        <f t="shared" si="11"/>
        <v>1TB01006.01.CN.003C218.02</v>
      </c>
    </row>
    <row r="174" spans="1:15">
      <c r="A174" s="4772" t="s">
        <v>258</v>
      </c>
      <c r="B174" s="4774" t="s">
        <v>5609</v>
      </c>
      <c r="C174" s="4772" t="s">
        <v>5675</v>
      </c>
      <c r="D174" s="4772" t="s">
        <v>5936</v>
      </c>
      <c r="E174" s="4773" t="s">
        <v>5699</v>
      </c>
      <c r="F174" s="4768" t="s">
        <v>5700</v>
      </c>
      <c r="G174" s="4770" t="s">
        <v>91</v>
      </c>
      <c r="H174" s="4770" t="s">
        <v>5924</v>
      </c>
      <c r="I174" s="4769" t="s">
        <v>494</v>
      </c>
      <c r="J174" s="4774" t="str">
        <f t="shared" si="6"/>
        <v>01</v>
      </c>
      <c r="K174" s="4774" t="str">
        <f t="shared" si="7"/>
        <v>CN.003C219</v>
      </c>
      <c r="L174" s="4774" t="str">
        <f t="shared" si="8"/>
        <v>Al Rai Modern Water Factory - BAYTUR_PAYMENT</v>
      </c>
      <c r="M174" s="4774" t="str">
        <f t="shared" si="9"/>
        <v>1TB01006.01.CN.003C219.00</v>
      </c>
      <c r="N174" s="4774" t="str">
        <f t="shared" si="10"/>
        <v>1TB01006.01.CN.003C219.01</v>
      </c>
      <c r="O174" s="4774" t="str">
        <f t="shared" si="11"/>
        <v>1TB01006.01.CN.003C219.02</v>
      </c>
    </row>
    <row r="175" spans="1:15">
      <c r="A175" s="4772" t="s">
        <v>258</v>
      </c>
      <c r="B175" s="4774" t="s">
        <v>5609</v>
      </c>
      <c r="C175" s="4772" t="s">
        <v>5675</v>
      </c>
      <c r="D175" s="4772" t="s">
        <v>5937</v>
      </c>
      <c r="E175" s="4773" t="s">
        <v>5705</v>
      </c>
      <c r="F175" s="4768" t="s">
        <v>5706</v>
      </c>
      <c r="G175" s="4770" t="s">
        <v>91</v>
      </c>
      <c r="H175" s="4770" t="s">
        <v>5924</v>
      </c>
      <c r="I175" s="4769" t="s">
        <v>494</v>
      </c>
      <c r="J175" s="4774" t="str">
        <f t="shared" si="6"/>
        <v>01</v>
      </c>
      <c r="K175" s="4774" t="str">
        <f t="shared" si="7"/>
        <v>CN.003C220</v>
      </c>
      <c r="L175" s="4774" t="str">
        <f t="shared" si="8"/>
        <v>Intelligent General Cont. Co - Equipment - Industrial Forklift &amp; 5ton - BAYTUR_PAYMENT</v>
      </c>
      <c r="M175" s="4774" t="str">
        <f t="shared" si="9"/>
        <v>1TB01006.01.CN.003C220.00</v>
      </c>
      <c r="N175" s="4774" t="str">
        <f t="shared" si="10"/>
        <v>1TB01006.01.CN.003C220.01</v>
      </c>
      <c r="O175" s="4774" t="str">
        <f t="shared" si="11"/>
        <v>1TB01006.01.CN.003C220.02</v>
      </c>
    </row>
    <row r="176" spans="1:15">
      <c r="A176" s="4772" t="s">
        <v>258</v>
      </c>
      <c r="B176" s="4774" t="s">
        <v>5609</v>
      </c>
      <c r="C176" s="4772" t="s">
        <v>5675</v>
      </c>
      <c r="D176" s="4772" t="s">
        <v>5938</v>
      </c>
      <c r="E176" s="4773" t="s">
        <v>5693</v>
      </c>
      <c r="F176" s="4768" t="s">
        <v>5694</v>
      </c>
      <c r="G176" s="4770" t="s">
        <v>91</v>
      </c>
      <c r="H176" s="4770" t="s">
        <v>5924</v>
      </c>
      <c r="I176" s="4769" t="s">
        <v>494</v>
      </c>
      <c r="J176" s="4774" t="str">
        <f t="shared" si="6"/>
        <v>01</v>
      </c>
      <c r="K176" s="4774" t="str">
        <f t="shared" si="7"/>
        <v>CN.003C221</v>
      </c>
      <c r="L176" s="4774" t="str">
        <f t="shared" si="8"/>
        <v>JAK Generation Cont. Co. LLC - BAYTUR_PAYMENT</v>
      </c>
      <c r="M176" s="4774" t="str">
        <f t="shared" si="9"/>
        <v>1TB01006.01.CN.003C221.00</v>
      </c>
      <c r="N176" s="4774" t="str">
        <f t="shared" si="10"/>
        <v>1TB01006.01.CN.003C221.01</v>
      </c>
      <c r="O176" s="4774" t="str">
        <f t="shared" si="11"/>
        <v>1TB01006.01.CN.003C221.02</v>
      </c>
    </row>
    <row r="177" spans="1:15">
      <c r="A177" s="4772" t="s">
        <v>258</v>
      </c>
      <c r="B177" s="4774" t="s">
        <v>5609</v>
      </c>
      <c r="C177" s="4772" t="s">
        <v>5675</v>
      </c>
      <c r="D177" s="4772" t="s">
        <v>5939</v>
      </c>
      <c r="E177" s="4773" t="s">
        <v>5677</v>
      </c>
      <c r="F177" s="4768" t="s">
        <v>5678</v>
      </c>
      <c r="G177" s="4770" t="s">
        <v>91</v>
      </c>
      <c r="H177" s="4770" t="s">
        <v>5924</v>
      </c>
      <c r="I177" s="4769" t="s">
        <v>494</v>
      </c>
      <c r="J177" s="4774" t="str">
        <f t="shared" si="6"/>
        <v>01</v>
      </c>
      <c r="K177" s="4774" t="str">
        <f t="shared" si="7"/>
        <v>CN.003C222</v>
      </c>
      <c r="L177" s="4774" t="str">
        <f t="shared" si="8"/>
        <v>Sami General Contracting Est. - BAYTUR_PAYMENT</v>
      </c>
      <c r="M177" s="4774" t="str">
        <f t="shared" si="9"/>
        <v>1TB01006.01.CN.003C222.00</v>
      </c>
      <c r="N177" s="4774" t="str">
        <f t="shared" si="10"/>
        <v>1TB01006.01.CN.003C222.01</v>
      </c>
      <c r="O177" s="4774" t="str">
        <f t="shared" si="11"/>
        <v>1TB01006.01.CN.003C222.02</v>
      </c>
    </row>
    <row r="178" spans="1:15">
      <c r="A178" s="4772" t="s">
        <v>258</v>
      </c>
      <c r="B178" s="4774" t="s">
        <v>5609</v>
      </c>
      <c r="C178" s="4772" t="s">
        <v>5675</v>
      </c>
      <c r="D178" s="4772" t="s">
        <v>5940</v>
      </c>
      <c r="E178" s="4773" t="s">
        <v>5724</v>
      </c>
      <c r="F178" s="4768" t="s">
        <v>5725</v>
      </c>
      <c r="G178" s="4770" t="s">
        <v>91</v>
      </c>
      <c r="H178" s="4770" t="s">
        <v>5924</v>
      </c>
      <c r="I178" s="4769" t="s">
        <v>494</v>
      </c>
      <c r="J178" s="4774" t="str">
        <f t="shared" si="6"/>
        <v>01</v>
      </c>
      <c r="K178" s="4774" t="str">
        <f t="shared" si="7"/>
        <v>CN.003C223</v>
      </c>
      <c r="L178" s="4774" t="str">
        <f t="shared" si="8"/>
        <v>Ahmed Bin Salem Bin Dagher Al-Balawi Est. - BAYTUR_PAYMENT</v>
      </c>
      <c r="M178" s="4774" t="str">
        <f t="shared" si="9"/>
        <v>1TB01006.01.CN.003C223.00</v>
      </c>
      <c r="N178" s="4774" t="str">
        <f t="shared" si="10"/>
        <v>1TB01006.01.CN.003C223.01</v>
      </c>
      <c r="O178" s="4774" t="str">
        <f t="shared" si="11"/>
        <v>1TB01006.01.CN.003C223.02</v>
      </c>
    </row>
    <row r="179" spans="1:15">
      <c r="A179" s="4772" t="s">
        <v>258</v>
      </c>
      <c r="B179" s="4774" t="s">
        <v>5609</v>
      </c>
      <c r="C179" s="4772" t="s">
        <v>5675</v>
      </c>
      <c r="D179" s="4772" t="s">
        <v>5941</v>
      </c>
      <c r="E179" s="4773" t="s">
        <v>5687</v>
      </c>
      <c r="F179" s="4768" t="s">
        <v>5688</v>
      </c>
      <c r="G179" s="4770" t="s">
        <v>91</v>
      </c>
      <c r="H179" s="4770" t="s">
        <v>5924</v>
      </c>
      <c r="I179" s="4769" t="s">
        <v>494</v>
      </c>
      <c r="J179" s="4774" t="str">
        <f t="shared" si="6"/>
        <v>01</v>
      </c>
      <c r="K179" s="4774" t="str">
        <f t="shared" si="7"/>
        <v>CN.003C224</v>
      </c>
      <c r="L179" s="4774" t="str">
        <f t="shared" si="8"/>
        <v>Salim Hamed Cleaning - BAYTUR_PAYMENT</v>
      </c>
      <c r="M179" s="4774" t="str">
        <f t="shared" si="9"/>
        <v>1TB01006.01.CN.003C224.00</v>
      </c>
      <c r="N179" s="4774" t="str">
        <f t="shared" si="10"/>
        <v>1TB01006.01.CN.003C224.01</v>
      </c>
      <c r="O179" s="4774" t="str">
        <f t="shared" si="11"/>
        <v>1TB01006.01.CN.003C224.02</v>
      </c>
    </row>
    <row r="180" spans="1:15">
      <c r="A180" s="4772" t="s">
        <v>258</v>
      </c>
      <c r="B180" s="4774" t="s">
        <v>5609</v>
      </c>
      <c r="C180" s="4772" t="s">
        <v>5675</v>
      </c>
      <c r="D180" s="4772" t="s">
        <v>5942</v>
      </c>
      <c r="E180" s="4773" t="s">
        <v>5717</v>
      </c>
      <c r="F180" s="4768" t="s">
        <v>5718</v>
      </c>
      <c r="G180" s="4770" t="s">
        <v>91</v>
      </c>
      <c r="H180" s="4770" t="s">
        <v>5924</v>
      </c>
      <c r="I180" s="4769" t="s">
        <v>494</v>
      </c>
      <c r="J180" s="4774" t="str">
        <f t="shared" si="6"/>
        <v>01</v>
      </c>
      <c r="K180" s="4774" t="str">
        <f t="shared" si="7"/>
        <v>CN.003C225</v>
      </c>
      <c r="L180" s="4774" t="str">
        <f t="shared" si="8"/>
        <v>M Mohammad Alharbi Medical Company - BAYTUR_PAYMENT</v>
      </c>
      <c r="M180" s="4774" t="str">
        <f t="shared" si="9"/>
        <v>1TB01006.01.CN.003C225.00</v>
      </c>
      <c r="N180" s="4774" t="str">
        <f t="shared" si="10"/>
        <v>1TB01006.01.CN.003C225.01</v>
      </c>
      <c r="O180" s="4774" t="str">
        <f t="shared" si="11"/>
        <v>1TB01006.01.CN.003C225.02</v>
      </c>
    </row>
    <row r="181" spans="1:15">
      <c r="A181" s="4772" t="s">
        <v>258</v>
      </c>
      <c r="B181" s="4774" t="s">
        <v>5609</v>
      </c>
      <c r="C181" s="4772" t="s">
        <v>5675</v>
      </c>
      <c r="D181" s="4772" t="s">
        <v>5943</v>
      </c>
      <c r="E181" s="4773" t="s">
        <v>5821</v>
      </c>
      <c r="F181" s="4768" t="s">
        <v>5822</v>
      </c>
      <c r="G181" s="4770" t="s">
        <v>91</v>
      </c>
      <c r="H181" s="4770" t="s">
        <v>5924</v>
      </c>
      <c r="I181" s="4769" t="s">
        <v>494</v>
      </c>
      <c r="J181" s="4774" t="str">
        <f t="shared" si="6"/>
        <v>01</v>
      </c>
      <c r="K181" s="4774" t="str">
        <f t="shared" si="7"/>
        <v>CN.003C226</v>
      </c>
      <c r="L181" s="4774" t="str">
        <f t="shared" si="8"/>
        <v>Glsan Contracting Company - BAYTUR_PAYMENT</v>
      </c>
      <c r="M181" s="4774" t="str">
        <f t="shared" si="9"/>
        <v>1TB01006.01.CN.003C226.00</v>
      </c>
      <c r="N181" s="4774" t="str">
        <f t="shared" si="10"/>
        <v>1TB01006.01.CN.003C226.01</v>
      </c>
      <c r="O181" s="4774" t="str">
        <f t="shared" si="11"/>
        <v>1TB01006.01.CN.003C226.02</v>
      </c>
    </row>
    <row r="182" spans="1:15">
      <c r="A182" s="4772" t="s">
        <v>258</v>
      </c>
      <c r="B182" s="4774" t="s">
        <v>5609</v>
      </c>
      <c r="C182" s="4772" t="s">
        <v>5675</v>
      </c>
      <c r="D182" s="4772" t="s">
        <v>5944</v>
      </c>
      <c r="E182" s="4773" t="s">
        <v>5821</v>
      </c>
      <c r="F182" s="4768" t="s">
        <v>5822</v>
      </c>
      <c r="G182" s="4770" t="s">
        <v>91</v>
      </c>
      <c r="H182" s="4770" t="s">
        <v>5924</v>
      </c>
      <c r="I182" s="4769" t="s">
        <v>494</v>
      </c>
      <c r="J182" s="4774" t="str">
        <f t="shared" si="6"/>
        <v>01</v>
      </c>
      <c r="K182" s="4774" t="str">
        <f t="shared" si="7"/>
        <v>CN.003C227</v>
      </c>
      <c r="L182" s="4774" t="str">
        <f t="shared" si="8"/>
        <v>Glsan Contracting Company - BAYTUR_PAYMENT</v>
      </c>
      <c r="M182" s="4774" t="str">
        <f t="shared" si="9"/>
        <v>1TB01006.01.CN.003C227.00</v>
      </c>
      <c r="N182" s="4774" t="str">
        <f t="shared" si="10"/>
        <v>1TB01006.01.CN.003C227.01</v>
      </c>
      <c r="O182" s="4774" t="str">
        <f t="shared" si="11"/>
        <v>1TB01006.01.CN.003C227.02</v>
      </c>
    </row>
    <row r="183" spans="1:15">
      <c r="A183" s="4772" t="s">
        <v>258</v>
      </c>
      <c r="B183" s="4774" t="s">
        <v>5609</v>
      </c>
      <c r="C183" s="4772" t="s">
        <v>5675</v>
      </c>
      <c r="D183" s="4772" t="s">
        <v>5945</v>
      </c>
      <c r="E183" s="4773" t="s">
        <v>5815</v>
      </c>
      <c r="F183" s="4768" t="s">
        <v>5816</v>
      </c>
      <c r="G183" s="4770" t="s">
        <v>91</v>
      </c>
      <c r="H183" s="4770" t="s">
        <v>5924</v>
      </c>
      <c r="I183" s="4769" t="s">
        <v>494</v>
      </c>
      <c r="J183" s="4774" t="str">
        <f t="shared" si="6"/>
        <v>01</v>
      </c>
      <c r="K183" s="4774" t="str">
        <f t="shared" si="7"/>
        <v>CN.003C228</v>
      </c>
      <c r="L183" s="4774" t="str">
        <f t="shared" si="8"/>
        <v>Ihsan Muhammed Thakir Idress Trading - BAYTUR_PAYMENT</v>
      </c>
      <c r="M183" s="4774" t="str">
        <f t="shared" si="9"/>
        <v>1TB01006.01.CN.003C228.00</v>
      </c>
      <c r="N183" s="4774" t="str">
        <f t="shared" si="10"/>
        <v>1TB01006.01.CN.003C228.01</v>
      </c>
      <c r="O183" s="4774" t="str">
        <f t="shared" si="11"/>
        <v>1TB01006.01.CN.003C228.02</v>
      </c>
    </row>
    <row r="184" spans="1:15">
      <c r="A184" s="4772" t="s">
        <v>258</v>
      </c>
      <c r="B184" s="4774" t="s">
        <v>5609</v>
      </c>
      <c r="C184" s="4772" t="s">
        <v>5675</v>
      </c>
      <c r="D184" s="4772" t="s">
        <v>5946</v>
      </c>
      <c r="E184" s="4773" t="s">
        <v>5864</v>
      </c>
      <c r="F184" s="4768" t="s">
        <v>5865</v>
      </c>
      <c r="G184" s="4770" t="s">
        <v>91</v>
      </c>
      <c r="H184" s="4770" t="s">
        <v>5924</v>
      </c>
      <c r="I184" s="4769" t="s">
        <v>494</v>
      </c>
      <c r="J184" s="4774" t="str">
        <f t="shared" si="6"/>
        <v>01</v>
      </c>
      <c r="K184" s="4774" t="str">
        <f t="shared" si="7"/>
        <v>CN.003C229</v>
      </c>
      <c r="L184" s="4774" t="str">
        <f t="shared" si="8"/>
        <v>Top Construction Co. Ltd. - BAYTUR_PAYMENT</v>
      </c>
      <c r="M184" s="4774" t="str">
        <f t="shared" si="9"/>
        <v>1TB01006.01.CN.003C229.00</v>
      </c>
      <c r="N184" s="4774" t="str">
        <f t="shared" si="10"/>
        <v>1TB01006.01.CN.003C229.01</v>
      </c>
      <c r="O184" s="4774" t="str">
        <f t="shared" si="11"/>
        <v>1TB01006.01.CN.003C229.02</v>
      </c>
    </row>
    <row r="185" spans="1:15">
      <c r="A185" s="4772" t="s">
        <v>258</v>
      </c>
      <c r="B185" s="4774" t="s">
        <v>5609</v>
      </c>
      <c r="C185" s="4772" t="s">
        <v>5675</v>
      </c>
      <c r="D185" s="4772" t="s">
        <v>5947</v>
      </c>
      <c r="E185" s="4773" t="s">
        <v>4687</v>
      </c>
      <c r="F185" s="4768" t="s">
        <v>5908</v>
      </c>
      <c r="G185" s="4770" t="s">
        <v>91</v>
      </c>
      <c r="H185" s="4770" t="s">
        <v>5924</v>
      </c>
      <c r="I185" s="4769" t="s">
        <v>494</v>
      </c>
      <c r="J185" s="4774" t="str">
        <f t="shared" si="6"/>
        <v>01</v>
      </c>
      <c r="K185" s="4774" t="str">
        <f t="shared" si="7"/>
        <v>CN.003C230</v>
      </c>
      <c r="L185" s="4774" t="str">
        <f t="shared" si="8"/>
        <v>Fast Steps - BAYTUR_PAYMENT</v>
      </c>
      <c r="M185" s="4774" t="str">
        <f t="shared" si="9"/>
        <v>1TB01006.01.CN.003C230.00</v>
      </c>
      <c r="N185" s="4774" t="str">
        <f t="shared" si="10"/>
        <v>1TB01006.01.CN.003C230.01</v>
      </c>
      <c r="O185" s="4774" t="str">
        <f t="shared" si="11"/>
        <v>1TB01006.01.CN.003C230.02</v>
      </c>
    </row>
    <row r="186" spans="1:15">
      <c r="A186" s="4772" t="s">
        <v>258</v>
      </c>
      <c r="B186" s="4774" t="s">
        <v>5609</v>
      </c>
      <c r="C186" s="4772" t="s">
        <v>5948</v>
      </c>
      <c r="D186" s="4772" t="s">
        <v>5949</v>
      </c>
      <c r="E186" s="4773" t="s">
        <v>5950</v>
      </c>
      <c r="F186" s="4768" t="s">
        <v>5951</v>
      </c>
      <c r="G186" s="4770" t="s">
        <v>82</v>
      </c>
      <c r="H186" s="4770" t="s">
        <v>5952</v>
      </c>
      <c r="I186" s="4769" t="s">
        <v>472</v>
      </c>
      <c r="J186" s="4774" t="str">
        <f t="shared" si="6"/>
        <v>01</v>
      </c>
      <c r="K186" s="4774" t="str">
        <f t="shared" si="7"/>
        <v>PS.003F12</v>
      </c>
      <c r="L186" s="4774" t="str">
        <f t="shared" si="8"/>
        <v>GST Building Energy Efficiency Services - TBC 1</v>
      </c>
      <c r="M186" s="4774" t="str">
        <f t="shared" si="9"/>
        <v>1TB01006.01.PS.003F12.00</v>
      </c>
      <c r="N186" s="4774" t="str">
        <f t="shared" si="10"/>
        <v>1TB01006.01.PS.003F12.01</v>
      </c>
      <c r="O186" s="4774" t="str">
        <f t="shared" si="11"/>
        <v>1TB01006.01.PS.003F12.02</v>
      </c>
    </row>
    <row r="187" spans="1:15">
      <c r="A187" s="4772" t="s">
        <v>258</v>
      </c>
      <c r="B187" s="4774" t="s">
        <v>5609</v>
      </c>
      <c r="C187" s="4772" t="s">
        <v>5675</v>
      </c>
      <c r="D187" s="4772" t="s">
        <v>5953</v>
      </c>
      <c r="E187" s="4773" t="s">
        <v>5720</v>
      </c>
      <c r="F187" s="4768" t="s">
        <v>5721</v>
      </c>
      <c r="G187" s="4770" t="s">
        <v>91</v>
      </c>
      <c r="H187" s="4770" t="s">
        <v>5895</v>
      </c>
      <c r="I187" s="4769" t="s">
        <v>494</v>
      </c>
      <c r="J187" s="4774" t="str">
        <f t="shared" si="6"/>
        <v>01</v>
      </c>
      <c r="K187" s="4774" t="str">
        <f t="shared" si="7"/>
        <v>CN.003C153</v>
      </c>
      <c r="L187" s="4774" t="str">
        <f t="shared" si="8"/>
        <v>Issam Kabani and Partners - BAYTUR_PAYMENT</v>
      </c>
      <c r="M187" s="4774" t="str">
        <f t="shared" si="9"/>
        <v>1TB01006.01.CN.003C153.00</v>
      </c>
      <c r="N187" s="4774" t="str">
        <f t="shared" si="10"/>
        <v>1TB01006.01.CN.003C153.01</v>
      </c>
      <c r="O187" s="4774" t="str">
        <f t="shared" si="11"/>
        <v>1TB01006.01.CN.003C153.02</v>
      </c>
    </row>
    <row r="188" spans="1:15">
      <c r="A188" s="4772" t="s">
        <v>258</v>
      </c>
      <c r="B188" s="4774" t="s">
        <v>5609</v>
      </c>
      <c r="C188" s="4772" t="s">
        <v>5675</v>
      </c>
      <c r="D188" s="4772" t="s">
        <v>5954</v>
      </c>
      <c r="E188" s="4773" t="s">
        <v>5669</v>
      </c>
      <c r="F188" s="4768" t="s">
        <v>5670</v>
      </c>
      <c r="G188" s="4770" t="s">
        <v>91</v>
      </c>
      <c r="H188" s="4770" t="s">
        <v>5895</v>
      </c>
      <c r="I188" s="4769" t="s">
        <v>494</v>
      </c>
      <c r="J188" s="4774" t="str">
        <f t="shared" si="6"/>
        <v>01</v>
      </c>
      <c r="K188" s="4774" t="str">
        <f t="shared" si="7"/>
        <v>CN.003C155</v>
      </c>
      <c r="L188" s="4774" t="str">
        <f t="shared" si="8"/>
        <v>Abu Dhabi Precast LLC - BAYTUR_PAYMENT</v>
      </c>
      <c r="M188" s="4774" t="str">
        <f t="shared" si="9"/>
        <v>1TB01006.01.CN.003C155.00</v>
      </c>
      <c r="N188" s="4774" t="str">
        <f t="shared" si="10"/>
        <v>1TB01006.01.CN.003C155.01</v>
      </c>
      <c r="O188" s="4774" t="str">
        <f t="shared" si="11"/>
        <v>1TB01006.01.CN.003C155.02</v>
      </c>
    </row>
    <row r="189" spans="1:15">
      <c r="A189" s="4772" t="s">
        <v>258</v>
      </c>
      <c r="B189" s="4774" t="s">
        <v>5609</v>
      </c>
      <c r="C189" s="4772" t="s">
        <v>5675</v>
      </c>
      <c r="D189" s="4772" t="s">
        <v>5955</v>
      </c>
      <c r="E189" s="4773" t="s">
        <v>5821</v>
      </c>
      <c r="F189" s="4768" t="s">
        <v>5822</v>
      </c>
      <c r="G189" s="4770" t="s">
        <v>91</v>
      </c>
      <c r="H189" s="4770" t="s">
        <v>5895</v>
      </c>
      <c r="I189" s="4769" t="s">
        <v>494</v>
      </c>
      <c r="J189" s="4774" t="str">
        <f t="shared" si="6"/>
        <v>01</v>
      </c>
      <c r="K189" s="4774" t="str">
        <f t="shared" si="7"/>
        <v>CN.003C157</v>
      </c>
      <c r="L189" s="4774" t="str">
        <f t="shared" si="8"/>
        <v>Glsan Contracting Company - BAYTUR_PAYMENT</v>
      </c>
      <c r="M189" s="4774" t="str">
        <f t="shared" si="9"/>
        <v>1TB01006.01.CN.003C157.00</v>
      </c>
      <c r="N189" s="4774" t="str">
        <f t="shared" si="10"/>
        <v>1TB01006.01.CN.003C157.01</v>
      </c>
      <c r="O189" s="4774" t="str">
        <f t="shared" si="11"/>
        <v>1TB01006.01.CN.003C157.02</v>
      </c>
    </row>
    <row r="190" spans="1:15">
      <c r="A190" s="4772" t="s">
        <v>258</v>
      </c>
      <c r="B190" s="4774" t="s">
        <v>5609</v>
      </c>
      <c r="C190" s="4772" t="s">
        <v>5675</v>
      </c>
      <c r="D190" s="4772" t="s">
        <v>5956</v>
      </c>
      <c r="E190" s="4773" t="s">
        <v>5761</v>
      </c>
      <c r="F190" s="4768" t="s">
        <v>5762</v>
      </c>
      <c r="G190" s="4770" t="s">
        <v>91</v>
      </c>
      <c r="H190" s="4770" t="s">
        <v>5895</v>
      </c>
      <c r="I190" s="4769" t="s">
        <v>494</v>
      </c>
      <c r="J190" s="4774" t="str">
        <f t="shared" si="6"/>
        <v>01</v>
      </c>
      <c r="K190" s="4774" t="str">
        <f t="shared" si="7"/>
        <v>CN.003C158</v>
      </c>
      <c r="L190" s="4774" t="str">
        <f t="shared" si="8"/>
        <v>Gesr Alarab - BAYTUR_PAYMENT</v>
      </c>
      <c r="M190" s="4774" t="str">
        <f t="shared" si="9"/>
        <v>1TB01006.01.CN.003C158.00</v>
      </c>
      <c r="N190" s="4774" t="str">
        <f t="shared" si="10"/>
        <v>1TB01006.01.CN.003C158.01</v>
      </c>
      <c r="O190" s="4774" t="str">
        <f t="shared" si="11"/>
        <v>1TB01006.01.CN.003C158.02</v>
      </c>
    </row>
    <row r="191" spans="1:15">
      <c r="A191" s="4772" t="s">
        <v>258</v>
      </c>
      <c r="B191" s="4774" t="s">
        <v>5609</v>
      </c>
      <c r="C191" s="4772" t="s">
        <v>5675</v>
      </c>
      <c r="D191" s="4772" t="s">
        <v>5957</v>
      </c>
      <c r="E191" s="4773" t="s">
        <v>5767</v>
      </c>
      <c r="F191" s="4768" t="s">
        <v>5768</v>
      </c>
      <c r="G191" s="4770" t="s">
        <v>91</v>
      </c>
      <c r="H191" s="4770" t="s">
        <v>5895</v>
      </c>
      <c r="I191" s="4769" t="s">
        <v>494</v>
      </c>
      <c r="J191" s="4774" t="str">
        <f t="shared" si="6"/>
        <v>01</v>
      </c>
      <c r="K191" s="4774" t="str">
        <f t="shared" si="7"/>
        <v>CN.003C159</v>
      </c>
      <c r="L191" s="4774" t="str">
        <f t="shared" si="8"/>
        <v>Yaz Development Contracting - BAYTUR_PAYMENT</v>
      </c>
      <c r="M191" s="4774" t="str">
        <f t="shared" si="9"/>
        <v>1TB01006.01.CN.003C159.00</v>
      </c>
      <c r="N191" s="4774" t="str">
        <f t="shared" si="10"/>
        <v>1TB01006.01.CN.003C159.01</v>
      </c>
      <c r="O191" s="4774" t="str">
        <f t="shared" si="11"/>
        <v>1TB01006.01.CN.003C159.02</v>
      </c>
    </row>
    <row r="192" spans="1:15">
      <c r="A192" s="4772" t="s">
        <v>258</v>
      </c>
      <c r="B192" s="4774" t="s">
        <v>5609</v>
      </c>
      <c r="C192" s="4772" t="s">
        <v>5675</v>
      </c>
      <c r="D192" s="4772" t="s">
        <v>5958</v>
      </c>
      <c r="E192" s="4773" t="s">
        <v>5872</v>
      </c>
      <c r="F192" s="4768" t="s">
        <v>5873</v>
      </c>
      <c r="G192" s="4770" t="s">
        <v>91</v>
      </c>
      <c r="H192" s="4770" t="s">
        <v>5895</v>
      </c>
      <c r="I192" s="4769" t="s">
        <v>494</v>
      </c>
      <c r="J192" s="4774" t="str">
        <f t="shared" si="6"/>
        <v>01</v>
      </c>
      <c r="K192" s="4774" t="str">
        <f t="shared" si="7"/>
        <v>CN.003C160</v>
      </c>
      <c r="L192" s="4774" t="str">
        <f t="shared" si="8"/>
        <v>TBK Metal - BAYTUR_PAYMENT</v>
      </c>
      <c r="M192" s="4774" t="str">
        <f t="shared" si="9"/>
        <v>1TB01006.01.CN.003C160.00</v>
      </c>
      <c r="N192" s="4774" t="str">
        <f t="shared" si="10"/>
        <v>1TB01006.01.CN.003C160.01</v>
      </c>
      <c r="O192" s="4774" t="str">
        <f t="shared" si="11"/>
        <v>1TB01006.01.CN.003C160.02</v>
      </c>
    </row>
    <row r="193" spans="1:15">
      <c r="A193" s="4772" t="s">
        <v>258</v>
      </c>
      <c r="B193" s="4774" t="s">
        <v>5609</v>
      </c>
      <c r="C193" s="4772" t="s">
        <v>5675</v>
      </c>
      <c r="D193" s="4772" t="s">
        <v>5959</v>
      </c>
      <c r="E193" s="4773" t="s">
        <v>5699</v>
      </c>
      <c r="F193" s="4768" t="s">
        <v>5700</v>
      </c>
      <c r="G193" s="4770" t="s">
        <v>91</v>
      </c>
      <c r="H193" s="4770" t="s">
        <v>5895</v>
      </c>
      <c r="I193" s="4769" t="s">
        <v>494</v>
      </c>
      <c r="J193" s="4774" t="str">
        <f t="shared" si="6"/>
        <v>01</v>
      </c>
      <c r="K193" s="4774" t="str">
        <f t="shared" si="7"/>
        <v>CN.003C162</v>
      </c>
      <c r="L193" s="4774" t="str">
        <f t="shared" si="8"/>
        <v>Al Rai Modern Water Factory - BAYTUR_PAYMENT</v>
      </c>
      <c r="M193" s="4774" t="str">
        <f t="shared" si="9"/>
        <v>1TB01006.01.CN.003C162.00</v>
      </c>
      <c r="N193" s="4774" t="str">
        <f t="shared" si="10"/>
        <v>1TB01006.01.CN.003C162.01</v>
      </c>
      <c r="O193" s="4774" t="str">
        <f t="shared" si="11"/>
        <v>1TB01006.01.CN.003C162.02</v>
      </c>
    </row>
    <row r="194" spans="1:15">
      <c r="A194" s="4772" t="s">
        <v>258</v>
      </c>
      <c r="B194" s="4774" t="s">
        <v>5609</v>
      </c>
      <c r="C194" s="4772" t="s">
        <v>5675</v>
      </c>
      <c r="D194" s="4772" t="s">
        <v>5960</v>
      </c>
      <c r="E194" s="4773" t="s">
        <v>5705</v>
      </c>
      <c r="F194" s="4768" t="s">
        <v>5706</v>
      </c>
      <c r="G194" s="4770" t="s">
        <v>91</v>
      </c>
      <c r="H194" s="4770" t="s">
        <v>5895</v>
      </c>
      <c r="I194" s="4769" t="s">
        <v>494</v>
      </c>
      <c r="J194" s="4774" t="str">
        <f t="shared" si="6"/>
        <v>01</v>
      </c>
      <c r="K194" s="4774" t="str">
        <f t="shared" si="7"/>
        <v>CN.003C163</v>
      </c>
      <c r="L194" s="4774" t="str">
        <f t="shared" si="8"/>
        <v>Intelligent General Cont. Co - Equipment - Industrial Forklift &amp; 5ton - BAYTUR_PAYMENT</v>
      </c>
      <c r="M194" s="4774" t="str">
        <f t="shared" si="9"/>
        <v>1TB01006.01.CN.003C163.00</v>
      </c>
      <c r="N194" s="4774" t="str">
        <f t="shared" si="10"/>
        <v>1TB01006.01.CN.003C163.01</v>
      </c>
      <c r="O194" s="4774" t="str">
        <f t="shared" si="11"/>
        <v>1TB01006.01.CN.003C163.02</v>
      </c>
    </row>
    <row r="195" spans="1:15">
      <c r="A195" s="4772" t="s">
        <v>258</v>
      </c>
      <c r="B195" s="4774" t="s">
        <v>5609</v>
      </c>
      <c r="C195" s="4772" t="s">
        <v>5675</v>
      </c>
      <c r="D195" s="4772" t="s">
        <v>5961</v>
      </c>
      <c r="E195" s="4773" t="s">
        <v>5693</v>
      </c>
      <c r="F195" s="4768" t="s">
        <v>5694</v>
      </c>
      <c r="G195" s="4770" t="s">
        <v>91</v>
      </c>
      <c r="H195" s="4770" t="s">
        <v>5895</v>
      </c>
      <c r="I195" s="4769" t="s">
        <v>494</v>
      </c>
      <c r="J195" s="4774" t="str">
        <f t="shared" si="6"/>
        <v>01</v>
      </c>
      <c r="K195" s="4774" t="str">
        <f t="shared" si="7"/>
        <v>CN.003C164</v>
      </c>
      <c r="L195" s="4774" t="str">
        <f t="shared" si="8"/>
        <v>JAK Generation Cont. Co. LLC - BAYTUR_PAYMENT</v>
      </c>
      <c r="M195" s="4774" t="str">
        <f t="shared" si="9"/>
        <v>1TB01006.01.CN.003C164.00</v>
      </c>
      <c r="N195" s="4774" t="str">
        <f t="shared" si="10"/>
        <v>1TB01006.01.CN.003C164.01</v>
      </c>
      <c r="O195" s="4774" t="str">
        <f t="shared" si="11"/>
        <v>1TB01006.01.CN.003C164.02</v>
      </c>
    </row>
    <row r="196" spans="1:15">
      <c r="A196" s="4772" t="s">
        <v>258</v>
      </c>
      <c r="B196" s="4774" t="s">
        <v>5609</v>
      </c>
      <c r="C196" s="4772" t="s">
        <v>5675</v>
      </c>
      <c r="D196" s="4772" t="s">
        <v>5962</v>
      </c>
      <c r="E196" s="4773" t="s">
        <v>5677</v>
      </c>
      <c r="F196" s="4768" t="s">
        <v>5678</v>
      </c>
      <c r="G196" s="4770" t="s">
        <v>91</v>
      </c>
      <c r="H196" s="4770" t="s">
        <v>5895</v>
      </c>
      <c r="I196" s="4769" t="s">
        <v>494</v>
      </c>
      <c r="J196" s="4774" t="str">
        <f t="shared" si="6"/>
        <v>01</v>
      </c>
      <c r="K196" s="4774" t="str">
        <f t="shared" si="7"/>
        <v>CN.003C165</v>
      </c>
      <c r="L196" s="4774" t="str">
        <f t="shared" si="8"/>
        <v>Sami General Contracting Est. - BAYTUR_PAYMENT</v>
      </c>
      <c r="M196" s="4774" t="str">
        <f t="shared" si="9"/>
        <v>1TB01006.01.CN.003C165.00</v>
      </c>
      <c r="N196" s="4774" t="str">
        <f t="shared" si="10"/>
        <v>1TB01006.01.CN.003C165.01</v>
      </c>
      <c r="O196" s="4774" t="str">
        <f t="shared" si="11"/>
        <v>1TB01006.01.CN.003C165.02</v>
      </c>
    </row>
    <row r="197" spans="1:15">
      <c r="A197" s="4772" t="s">
        <v>258</v>
      </c>
      <c r="B197" s="4774" t="s">
        <v>5609</v>
      </c>
      <c r="C197" s="4772" t="s">
        <v>5675</v>
      </c>
      <c r="D197" s="4772" t="s">
        <v>5963</v>
      </c>
      <c r="E197" s="4773" t="s">
        <v>5696</v>
      </c>
      <c r="F197" s="4768" t="s">
        <v>5697</v>
      </c>
      <c r="G197" s="4770" t="s">
        <v>91</v>
      </c>
      <c r="H197" s="4770" t="s">
        <v>5895</v>
      </c>
      <c r="I197" s="4769" t="s">
        <v>494</v>
      </c>
      <c r="J197" s="4774" t="str">
        <f t="shared" si="6"/>
        <v>01</v>
      </c>
      <c r="K197" s="4774" t="str">
        <f t="shared" si="7"/>
        <v>CN.003C166</v>
      </c>
      <c r="L197" s="4774" t="str">
        <f t="shared" si="8"/>
        <v>Clean Coast For Contracting - BAYTUR_PAYMENT</v>
      </c>
      <c r="M197" s="4774" t="str">
        <f t="shared" si="9"/>
        <v>1TB01006.01.CN.003C166.00</v>
      </c>
      <c r="N197" s="4774" t="str">
        <f t="shared" si="10"/>
        <v>1TB01006.01.CN.003C166.01</v>
      </c>
      <c r="O197" s="4774" t="str">
        <f t="shared" si="11"/>
        <v>1TB01006.01.CN.003C166.02</v>
      </c>
    </row>
    <row r="198" spans="1:15">
      <c r="A198" s="4772" t="s">
        <v>258</v>
      </c>
      <c r="B198" s="4774" t="s">
        <v>5609</v>
      </c>
      <c r="C198" s="4772" t="s">
        <v>5675</v>
      </c>
      <c r="D198" s="4772" t="s">
        <v>5964</v>
      </c>
      <c r="E198" s="4773" t="s">
        <v>5687</v>
      </c>
      <c r="F198" s="4768" t="s">
        <v>5688</v>
      </c>
      <c r="G198" s="4770" t="s">
        <v>91</v>
      </c>
      <c r="H198" s="4770" t="s">
        <v>5895</v>
      </c>
      <c r="I198" s="4769" t="s">
        <v>494</v>
      </c>
      <c r="J198" s="4774" t="str">
        <f t="shared" si="6"/>
        <v>01</v>
      </c>
      <c r="K198" s="4774" t="str">
        <f t="shared" si="7"/>
        <v>CN.003C167</v>
      </c>
      <c r="L198" s="4774" t="str">
        <f t="shared" si="8"/>
        <v>Salim Hamed Cleaning - BAYTUR_PAYMENT</v>
      </c>
      <c r="M198" s="4774" t="str">
        <f t="shared" si="9"/>
        <v>1TB01006.01.CN.003C167.00</v>
      </c>
      <c r="N198" s="4774" t="str">
        <f t="shared" si="10"/>
        <v>1TB01006.01.CN.003C167.01</v>
      </c>
      <c r="O198" s="4774" t="str">
        <f t="shared" si="11"/>
        <v>1TB01006.01.CN.003C167.02</v>
      </c>
    </row>
    <row r="199" spans="1:15">
      <c r="A199" s="4772" t="s">
        <v>258</v>
      </c>
      <c r="B199" s="4774" t="s">
        <v>5609</v>
      </c>
      <c r="C199" s="4772" t="s">
        <v>5675</v>
      </c>
      <c r="D199" s="4772" t="s">
        <v>5965</v>
      </c>
      <c r="E199" s="4773" t="s">
        <v>5708</v>
      </c>
      <c r="F199" s="4768" t="s">
        <v>5709</v>
      </c>
      <c r="G199" s="4770" t="s">
        <v>91</v>
      </c>
      <c r="H199" s="4770" t="s">
        <v>5895</v>
      </c>
      <c r="I199" s="4769" t="s">
        <v>494</v>
      </c>
      <c r="J199" s="4774" t="str">
        <f t="shared" si="6"/>
        <v>01</v>
      </c>
      <c r="K199" s="4774" t="str">
        <f t="shared" si="7"/>
        <v>CN.003C168</v>
      </c>
      <c r="L199" s="4774" t="str">
        <f t="shared" si="8"/>
        <v>Al-Anan Travels and Tours - BAYTUR_PAYMENT</v>
      </c>
      <c r="M199" s="4774" t="str">
        <f t="shared" si="9"/>
        <v>1TB01006.01.CN.003C168.00</v>
      </c>
      <c r="N199" s="4774" t="str">
        <f t="shared" si="10"/>
        <v>1TB01006.01.CN.003C168.01</v>
      </c>
      <c r="O199" s="4774" t="str">
        <f t="shared" si="11"/>
        <v>1TB01006.01.CN.003C168.02</v>
      </c>
    </row>
    <row r="200" spans="1:15">
      <c r="A200" s="4772" t="s">
        <v>258</v>
      </c>
      <c r="B200" s="4774" t="s">
        <v>5609</v>
      </c>
      <c r="C200" s="4772" t="s">
        <v>5675</v>
      </c>
      <c r="D200" s="4772" t="s">
        <v>5966</v>
      </c>
      <c r="E200" s="4773" t="s">
        <v>5717</v>
      </c>
      <c r="F200" s="4768" t="s">
        <v>5718</v>
      </c>
      <c r="G200" s="4770" t="s">
        <v>91</v>
      </c>
      <c r="H200" s="4770" t="s">
        <v>5895</v>
      </c>
      <c r="I200" s="4769" t="s">
        <v>494</v>
      </c>
      <c r="J200" s="4774" t="str">
        <f t="shared" si="6"/>
        <v>01</v>
      </c>
      <c r="K200" s="4774" t="str">
        <f t="shared" si="7"/>
        <v>CN.003C170</v>
      </c>
      <c r="L200" s="4774" t="str">
        <f t="shared" si="8"/>
        <v>M Mohammad Alharbi Medical Company - BAYTUR_PAYMENT</v>
      </c>
      <c r="M200" s="4774" t="str">
        <f t="shared" si="9"/>
        <v>1TB01006.01.CN.003C170.00</v>
      </c>
      <c r="N200" s="4774" t="str">
        <f t="shared" si="10"/>
        <v>1TB01006.01.CN.003C170.01</v>
      </c>
      <c r="O200" s="4774" t="str">
        <f t="shared" si="11"/>
        <v>1TB01006.01.CN.003C170.02</v>
      </c>
    </row>
    <row r="201" spans="1:15">
      <c r="A201" s="4772" t="s">
        <v>258</v>
      </c>
      <c r="B201" s="4774" t="s">
        <v>5609</v>
      </c>
      <c r="C201" s="4772" t="s">
        <v>5675</v>
      </c>
      <c r="D201" s="4772" t="s">
        <v>5967</v>
      </c>
      <c r="E201" s="4773" t="s">
        <v>5742</v>
      </c>
      <c r="F201" s="4768" t="s">
        <v>5743</v>
      </c>
      <c r="G201" s="4770" t="s">
        <v>91</v>
      </c>
      <c r="H201" s="4770" t="s">
        <v>5895</v>
      </c>
      <c r="I201" s="4769" t="s">
        <v>494</v>
      </c>
      <c r="J201" s="4774" t="str">
        <f t="shared" si="6"/>
        <v>01</v>
      </c>
      <c r="K201" s="4774" t="str">
        <f t="shared" si="7"/>
        <v>CN.003C171</v>
      </c>
      <c r="L201" s="4774" t="str">
        <f t="shared" si="8"/>
        <v>Wood Expert - BAYTUR_PAYMENT</v>
      </c>
      <c r="M201" s="4774" t="str">
        <f t="shared" si="9"/>
        <v>1TB01006.01.CN.003C171.00</v>
      </c>
      <c r="N201" s="4774" t="str">
        <f t="shared" si="10"/>
        <v>1TB01006.01.CN.003C171.01</v>
      </c>
      <c r="O201" s="4774" t="str">
        <f t="shared" si="11"/>
        <v>1TB01006.01.CN.003C171.02</v>
      </c>
    </row>
    <row r="202" spans="1:15">
      <c r="A202" s="4772" t="s">
        <v>258</v>
      </c>
      <c r="B202" s="4774" t="s">
        <v>5609</v>
      </c>
      <c r="C202" s="4772" t="s">
        <v>5675</v>
      </c>
      <c r="D202" s="4772" t="s">
        <v>5968</v>
      </c>
      <c r="E202" s="4773" t="s">
        <v>5821</v>
      </c>
      <c r="F202" s="4768" t="s">
        <v>5822</v>
      </c>
      <c r="G202" s="4770" t="s">
        <v>91</v>
      </c>
      <c r="H202" s="4770" t="s">
        <v>5895</v>
      </c>
      <c r="I202" s="4769" t="s">
        <v>494</v>
      </c>
      <c r="J202" s="4774" t="str">
        <f t="shared" si="6"/>
        <v>01</v>
      </c>
      <c r="K202" s="4774" t="str">
        <f t="shared" si="7"/>
        <v>CN.003C172</v>
      </c>
      <c r="L202" s="4774" t="str">
        <f t="shared" si="8"/>
        <v>Glsan Contracting Company - BAYTUR_PAYMENT</v>
      </c>
      <c r="M202" s="4774" t="str">
        <f t="shared" si="9"/>
        <v>1TB01006.01.CN.003C172.00</v>
      </c>
      <c r="N202" s="4774" t="str">
        <f t="shared" si="10"/>
        <v>1TB01006.01.CN.003C172.01</v>
      </c>
      <c r="O202" s="4774" t="str">
        <f t="shared" si="11"/>
        <v>1TB01006.01.CN.003C172.02</v>
      </c>
    </row>
    <row r="203" spans="1:15">
      <c r="A203" s="4772" t="s">
        <v>258</v>
      </c>
      <c r="B203" s="4774" t="s">
        <v>5609</v>
      </c>
      <c r="C203" s="4772" t="s">
        <v>5675</v>
      </c>
      <c r="D203" s="4772" t="s">
        <v>5969</v>
      </c>
      <c r="E203" s="4773" t="s">
        <v>5821</v>
      </c>
      <c r="F203" s="4768" t="s">
        <v>5822</v>
      </c>
      <c r="G203" s="4770" t="s">
        <v>91</v>
      </c>
      <c r="H203" s="4770" t="s">
        <v>5895</v>
      </c>
      <c r="I203" s="4769" t="s">
        <v>494</v>
      </c>
      <c r="J203" s="4774" t="str">
        <f t="shared" si="6"/>
        <v>01</v>
      </c>
      <c r="K203" s="4774" t="str">
        <f t="shared" si="7"/>
        <v>CN.003C173</v>
      </c>
      <c r="L203" s="4774" t="str">
        <f t="shared" si="8"/>
        <v>Glsan Contracting Company - BAYTUR_PAYMENT</v>
      </c>
      <c r="M203" s="4774" t="str">
        <f t="shared" si="9"/>
        <v>1TB01006.01.CN.003C173.00</v>
      </c>
      <c r="N203" s="4774" t="str">
        <f t="shared" si="10"/>
        <v>1TB01006.01.CN.003C173.01</v>
      </c>
      <c r="O203" s="4774" t="str">
        <f t="shared" si="11"/>
        <v>1TB01006.01.CN.003C173.02</v>
      </c>
    </row>
    <row r="204" spans="1:15">
      <c r="A204" s="4772" t="s">
        <v>258</v>
      </c>
      <c r="B204" s="4774" t="s">
        <v>5609</v>
      </c>
      <c r="C204" s="4772" t="s">
        <v>5675</v>
      </c>
      <c r="D204" s="4772" t="s">
        <v>5970</v>
      </c>
      <c r="E204" s="4773" t="s">
        <v>5815</v>
      </c>
      <c r="F204" s="4768" t="s">
        <v>5816</v>
      </c>
      <c r="G204" s="4770" t="s">
        <v>91</v>
      </c>
      <c r="H204" s="4770" t="s">
        <v>5895</v>
      </c>
      <c r="I204" s="4769" t="s">
        <v>494</v>
      </c>
      <c r="J204" s="4774" t="str">
        <f t="shared" si="6"/>
        <v>01</v>
      </c>
      <c r="K204" s="4774" t="str">
        <f t="shared" si="7"/>
        <v>CN.003C175</v>
      </c>
      <c r="L204" s="4774" t="str">
        <f t="shared" si="8"/>
        <v>Ihsan Muhammed Thakir Idress Trading - BAYTUR_PAYMENT</v>
      </c>
      <c r="M204" s="4774" t="str">
        <f t="shared" si="9"/>
        <v>1TB01006.01.CN.003C175.00</v>
      </c>
      <c r="N204" s="4774" t="str">
        <f t="shared" si="10"/>
        <v>1TB01006.01.CN.003C175.01</v>
      </c>
      <c r="O204" s="4774" t="str">
        <f t="shared" si="11"/>
        <v>1TB01006.01.CN.003C175.02</v>
      </c>
    </row>
    <row r="205" spans="1:15">
      <c r="A205" s="4772" t="s">
        <v>258</v>
      </c>
      <c r="B205" s="4774" t="s">
        <v>5609</v>
      </c>
      <c r="C205" s="4772" t="s">
        <v>5675</v>
      </c>
      <c r="D205" s="4772" t="s">
        <v>5971</v>
      </c>
      <c r="E205" s="4773" t="s">
        <v>5864</v>
      </c>
      <c r="F205" s="4768" t="s">
        <v>5865</v>
      </c>
      <c r="G205" s="4770" t="s">
        <v>91</v>
      </c>
      <c r="H205" s="4770" t="s">
        <v>5895</v>
      </c>
      <c r="I205" s="4769" t="s">
        <v>494</v>
      </c>
      <c r="J205" s="4774" t="str">
        <f t="shared" si="6"/>
        <v>01</v>
      </c>
      <c r="K205" s="4774" t="str">
        <f t="shared" si="7"/>
        <v>CN.003C177</v>
      </c>
      <c r="L205" s="4774" t="str">
        <f t="shared" si="8"/>
        <v>Top Construction Co. Ltd. - BAYTUR_PAYMENT</v>
      </c>
      <c r="M205" s="4774" t="str">
        <f t="shared" si="9"/>
        <v>1TB01006.01.CN.003C177.00</v>
      </c>
      <c r="N205" s="4774" t="str">
        <f t="shared" si="10"/>
        <v>1TB01006.01.CN.003C177.01</v>
      </c>
      <c r="O205" s="4774" t="str">
        <f t="shared" si="11"/>
        <v>1TB01006.01.CN.003C177.02</v>
      </c>
    </row>
    <row r="206" spans="1:15">
      <c r="A206" s="4772" t="s">
        <v>258</v>
      </c>
      <c r="B206" s="4774" t="s">
        <v>5609</v>
      </c>
      <c r="C206" s="4772" t="s">
        <v>5675</v>
      </c>
      <c r="D206" s="4772" t="s">
        <v>5972</v>
      </c>
      <c r="E206" s="4773" t="s">
        <v>5821</v>
      </c>
      <c r="F206" s="4768" t="s">
        <v>5822</v>
      </c>
      <c r="G206" s="4770" t="s">
        <v>91</v>
      </c>
      <c r="H206" s="4770" t="s">
        <v>5895</v>
      </c>
      <c r="I206" s="4769" t="s">
        <v>494</v>
      </c>
      <c r="J206" s="4774" t="str">
        <f t="shared" si="6"/>
        <v>01</v>
      </c>
      <c r="K206" s="4774" t="str">
        <f t="shared" si="7"/>
        <v>CN.003C210</v>
      </c>
      <c r="L206" s="4774" t="str">
        <f t="shared" si="8"/>
        <v>Glsan Contracting Company - BAYTUR_PAYMENT</v>
      </c>
      <c r="M206" s="4774" t="str">
        <f t="shared" si="9"/>
        <v>1TB01006.01.CN.003C210.00</v>
      </c>
      <c r="N206" s="4774" t="str">
        <f t="shared" si="10"/>
        <v>1TB01006.01.CN.003C210.01</v>
      </c>
      <c r="O206" s="4774" t="str">
        <f t="shared" si="11"/>
        <v>1TB01006.01.CN.003C210.02</v>
      </c>
    </row>
    <row r="207" spans="1:15">
      <c r="A207" s="4772" t="s">
        <v>258</v>
      </c>
      <c r="B207" s="4774" t="s">
        <v>5609</v>
      </c>
      <c r="C207" s="4772" t="s">
        <v>5675</v>
      </c>
      <c r="D207" s="4772" t="s">
        <v>5973</v>
      </c>
      <c r="E207" s="4773" t="s">
        <v>5630</v>
      </c>
      <c r="F207" s="4768" t="s">
        <v>1519</v>
      </c>
      <c r="G207" s="4770" t="s">
        <v>91</v>
      </c>
      <c r="H207" s="4770" t="s">
        <v>5895</v>
      </c>
      <c r="I207" s="4769" t="s">
        <v>494</v>
      </c>
      <c r="J207" s="4774" t="str">
        <f t="shared" si="6"/>
        <v>01</v>
      </c>
      <c r="K207" s="4774" t="str">
        <f t="shared" si="7"/>
        <v>CN.003C156</v>
      </c>
      <c r="L207" s="4774" t="str">
        <f t="shared" si="8"/>
        <v>Medtel - W.N - BAYTUR_PAYMENT</v>
      </c>
      <c r="M207" s="4774" t="str">
        <f t="shared" si="9"/>
        <v>1TB01006.01.CN.003C156.00</v>
      </c>
      <c r="N207" s="4774" t="str">
        <f t="shared" si="10"/>
        <v>1TB01006.01.CN.003C156.01</v>
      </c>
      <c r="O207" s="4774" t="str">
        <f t="shared" si="11"/>
        <v>1TB01006.01.CN.003C156.02</v>
      </c>
    </row>
    <row r="208" spans="1:15">
      <c r="A208" s="4772" t="s">
        <v>258</v>
      </c>
      <c r="B208" s="4774" t="s">
        <v>5609</v>
      </c>
      <c r="C208" s="4772" t="s">
        <v>5974</v>
      </c>
      <c r="D208" s="4772" t="s">
        <v>5975</v>
      </c>
      <c r="E208" s="4773" t="s">
        <v>5976</v>
      </c>
      <c r="F208" s="4768" t="s">
        <v>5977</v>
      </c>
      <c r="G208" s="4770" t="s">
        <v>91</v>
      </c>
      <c r="H208" s="4770" t="s">
        <v>5978</v>
      </c>
      <c r="I208" s="4769" t="s">
        <v>494</v>
      </c>
      <c r="J208" s="4774" t="str">
        <f t="shared" si="6"/>
        <v>01</v>
      </c>
      <c r="K208" s="4774" t="str">
        <f t="shared" si="7"/>
        <v>CN.003F13</v>
      </c>
      <c r="L208" s="4774" t="str">
        <f t="shared" si="8"/>
        <v>Tabuk Investment and Tourism Company (Enviro Facility Management) - TBC 18</v>
      </c>
      <c r="M208" s="4774" t="str">
        <f t="shared" si="9"/>
        <v>1TB01006.01.CN.003F13.00</v>
      </c>
      <c r="N208" s="4774" t="str">
        <f t="shared" si="10"/>
        <v>1TB01006.01.CN.003F13.01</v>
      </c>
      <c r="O208" s="4774" t="str">
        <f t="shared" si="11"/>
        <v>1TB01006.01.CN.003F13.02</v>
      </c>
    </row>
    <row r="209" spans="1:15">
      <c r="A209" s="4772" t="s">
        <v>258</v>
      </c>
      <c r="B209" s="4774" t="s">
        <v>5609</v>
      </c>
      <c r="C209" s="4772" t="s">
        <v>5675</v>
      </c>
      <c r="D209" s="4772" t="s">
        <v>5979</v>
      </c>
      <c r="E209" s="4773" t="s">
        <v>5815</v>
      </c>
      <c r="F209" s="4768" t="s">
        <v>5816</v>
      </c>
      <c r="G209" s="4770" t="s">
        <v>91</v>
      </c>
      <c r="H209" s="4770" t="s">
        <v>5980</v>
      </c>
      <c r="I209" s="4769" t="s">
        <v>494</v>
      </c>
      <c r="J209" s="4774" t="str">
        <f t="shared" si="6"/>
        <v>01</v>
      </c>
      <c r="K209" s="4774" t="str">
        <f t="shared" si="7"/>
        <v>CN.003C250</v>
      </c>
      <c r="L209" s="4774" t="str">
        <f t="shared" si="8"/>
        <v>Ihsan Muhammed Thakir Idress Trading - BAYTUR_PAYMENT</v>
      </c>
      <c r="M209" s="4774" t="str">
        <f t="shared" si="9"/>
        <v>1TB01006.01.CN.003C250.00</v>
      </c>
      <c r="N209" s="4774" t="str">
        <f t="shared" si="10"/>
        <v>1TB01006.01.CN.003C250.01</v>
      </c>
      <c r="O209" s="4774" t="str">
        <f t="shared" si="11"/>
        <v>1TB01006.01.CN.003C250.02</v>
      </c>
    </row>
    <row r="210" spans="1:15">
      <c r="A210" s="4772" t="s">
        <v>258</v>
      </c>
      <c r="B210" s="4774" t="s">
        <v>5609</v>
      </c>
      <c r="C210" s="4772" t="s">
        <v>5675</v>
      </c>
      <c r="D210" s="4772" t="s">
        <v>5981</v>
      </c>
      <c r="E210" s="4773" t="s">
        <v>5720</v>
      </c>
      <c r="F210" s="4768" t="s">
        <v>5721</v>
      </c>
      <c r="G210" s="4770" t="s">
        <v>91</v>
      </c>
      <c r="H210" s="4770" t="s">
        <v>5980</v>
      </c>
      <c r="I210" s="4769" t="s">
        <v>494</v>
      </c>
      <c r="J210" s="4774" t="str">
        <f t="shared" si="6"/>
        <v>01</v>
      </c>
      <c r="K210" s="4774" t="str">
        <f t="shared" si="7"/>
        <v>CN.003C232</v>
      </c>
      <c r="L210" s="4774" t="str">
        <f t="shared" si="8"/>
        <v>Issam Kabani and Partners - BAYTUR_PAYMENT</v>
      </c>
      <c r="M210" s="4774" t="str">
        <f t="shared" si="9"/>
        <v>1TB01006.01.CN.003C232.00</v>
      </c>
      <c r="N210" s="4774" t="str">
        <f t="shared" si="10"/>
        <v>1TB01006.01.CN.003C232.01</v>
      </c>
      <c r="O210" s="4774" t="str">
        <f t="shared" si="11"/>
        <v>1TB01006.01.CN.003C232.02</v>
      </c>
    </row>
    <row r="211" spans="1:15">
      <c r="A211" s="4772" t="s">
        <v>258</v>
      </c>
      <c r="B211" s="4774" t="s">
        <v>5609</v>
      </c>
      <c r="C211" s="4772" t="s">
        <v>5675</v>
      </c>
      <c r="D211" s="4772" t="s">
        <v>5982</v>
      </c>
      <c r="E211" s="4773" t="s">
        <v>5681</v>
      </c>
      <c r="F211" s="4768" t="s">
        <v>5682</v>
      </c>
      <c r="G211" s="4770" t="s">
        <v>91</v>
      </c>
      <c r="H211" s="4770" t="s">
        <v>5980</v>
      </c>
      <c r="I211" s="4769" t="s">
        <v>494</v>
      </c>
      <c r="J211" s="4774" t="str">
        <f t="shared" si="6"/>
        <v>01</v>
      </c>
      <c r="K211" s="4774" t="str">
        <f t="shared" si="7"/>
        <v>CN.003C233</v>
      </c>
      <c r="L211" s="4774" t="str">
        <f t="shared" si="8"/>
        <v>Saad Al Easa - Metal Industry - BAYTUR_PAYMENT</v>
      </c>
      <c r="M211" s="4774" t="str">
        <f t="shared" si="9"/>
        <v>1TB01006.01.CN.003C233.00</v>
      </c>
      <c r="N211" s="4774" t="str">
        <f t="shared" si="10"/>
        <v>1TB01006.01.CN.003C233.01</v>
      </c>
      <c r="O211" s="4774" t="str">
        <f t="shared" si="11"/>
        <v>1TB01006.01.CN.003C233.02</v>
      </c>
    </row>
    <row r="212" spans="1:15">
      <c r="A212" s="4772" t="s">
        <v>258</v>
      </c>
      <c r="B212" s="4774" t="s">
        <v>5609</v>
      </c>
      <c r="C212" s="4772" t="s">
        <v>5675</v>
      </c>
      <c r="D212" s="4772" t="s">
        <v>5983</v>
      </c>
      <c r="E212" s="4773" t="s">
        <v>5669</v>
      </c>
      <c r="F212" s="4768" t="s">
        <v>5670</v>
      </c>
      <c r="G212" s="4770" t="s">
        <v>91</v>
      </c>
      <c r="H212" s="4770" t="s">
        <v>5980</v>
      </c>
      <c r="I212" s="4769" t="s">
        <v>494</v>
      </c>
      <c r="J212" s="4774" t="str">
        <f t="shared" si="6"/>
        <v>01</v>
      </c>
      <c r="K212" s="4774" t="str">
        <f t="shared" si="7"/>
        <v>CN.003C234</v>
      </c>
      <c r="L212" s="4774" t="str">
        <f t="shared" si="8"/>
        <v>Abu Dhabi Precast LLC - BAYTUR_PAYMENT</v>
      </c>
      <c r="M212" s="4774" t="str">
        <f t="shared" si="9"/>
        <v>1TB01006.01.CN.003C234.00</v>
      </c>
      <c r="N212" s="4774" t="str">
        <f t="shared" si="10"/>
        <v>1TB01006.01.CN.003C234.01</v>
      </c>
      <c r="O212" s="4774" t="str">
        <f t="shared" si="11"/>
        <v>1TB01006.01.CN.003C234.02</v>
      </c>
    </row>
    <row r="213" spans="1:15">
      <c r="A213" s="4772" t="s">
        <v>258</v>
      </c>
      <c r="B213" s="4774" t="s">
        <v>5609</v>
      </c>
      <c r="C213" s="4772" t="s">
        <v>5675</v>
      </c>
      <c r="D213" s="4772" t="s">
        <v>5984</v>
      </c>
      <c r="E213" s="4773" t="s">
        <v>5876</v>
      </c>
      <c r="F213" s="4768" t="s">
        <v>5877</v>
      </c>
      <c r="G213" s="4770" t="s">
        <v>91</v>
      </c>
      <c r="H213" s="4770" t="s">
        <v>5980</v>
      </c>
      <c r="I213" s="4769" t="s">
        <v>494</v>
      </c>
      <c r="J213" s="4774" t="str">
        <f t="shared" si="6"/>
        <v>01</v>
      </c>
      <c r="K213" s="4774" t="str">
        <f t="shared" si="7"/>
        <v>CN.003C235</v>
      </c>
      <c r="L213" s="4774" t="str">
        <f t="shared" si="8"/>
        <v>Alcatop International Company for Building Material - BAYTUR_PAYMENT</v>
      </c>
      <c r="M213" s="4774" t="str">
        <f t="shared" si="9"/>
        <v>1TB01006.01.CN.003C235.00</v>
      </c>
      <c r="N213" s="4774" t="str">
        <f t="shared" si="10"/>
        <v>1TB01006.01.CN.003C235.01</v>
      </c>
      <c r="O213" s="4774" t="str">
        <f t="shared" si="11"/>
        <v>1TB01006.01.CN.003C235.02</v>
      </c>
    </row>
    <row r="214" spans="1:15">
      <c r="A214" s="4772" t="s">
        <v>258</v>
      </c>
      <c r="B214" s="4774" t="s">
        <v>5609</v>
      </c>
      <c r="C214" s="4772" t="s">
        <v>5675</v>
      </c>
      <c r="D214" s="4772" t="s">
        <v>5985</v>
      </c>
      <c r="E214" s="4773" t="s">
        <v>5764</v>
      </c>
      <c r="F214" s="4768" t="s">
        <v>5765</v>
      </c>
      <c r="G214" s="4770" t="s">
        <v>91</v>
      </c>
      <c r="H214" s="4770" t="s">
        <v>5980</v>
      </c>
      <c r="I214" s="4769" t="s">
        <v>494</v>
      </c>
      <c r="J214" s="4774" t="str">
        <f t="shared" si="6"/>
        <v>01</v>
      </c>
      <c r="K214" s="4774" t="str">
        <f t="shared" si="7"/>
        <v>CN.003C238</v>
      </c>
      <c r="L214" s="4774" t="str">
        <f t="shared" si="8"/>
        <v>National Fire Fighting Manufacturing Company - NAFFCO - BAYTUR_PAYMENT</v>
      </c>
      <c r="M214" s="4774" t="str">
        <f t="shared" si="9"/>
        <v>1TB01006.01.CN.003C238.00</v>
      </c>
      <c r="N214" s="4774" t="str">
        <f t="shared" si="10"/>
        <v>1TB01006.01.CN.003C238.01</v>
      </c>
      <c r="O214" s="4774" t="str">
        <f t="shared" si="11"/>
        <v>1TB01006.01.CN.003C238.02</v>
      </c>
    </row>
    <row r="215" spans="1:15">
      <c r="A215" s="4772" t="s">
        <v>258</v>
      </c>
      <c r="B215" s="4774" t="s">
        <v>5609</v>
      </c>
      <c r="C215" s="4772" t="s">
        <v>5675</v>
      </c>
      <c r="D215" s="4772" t="s">
        <v>5986</v>
      </c>
      <c r="E215" s="4773" t="s">
        <v>5761</v>
      </c>
      <c r="F215" s="4768" t="s">
        <v>5762</v>
      </c>
      <c r="G215" s="4770" t="s">
        <v>91</v>
      </c>
      <c r="H215" s="4770" t="s">
        <v>5980</v>
      </c>
      <c r="I215" s="4769" t="s">
        <v>494</v>
      </c>
      <c r="J215" s="4774" t="str">
        <f t="shared" si="6"/>
        <v>01</v>
      </c>
      <c r="K215" s="4774" t="str">
        <f t="shared" si="7"/>
        <v>CN.003C237</v>
      </c>
      <c r="L215" s="4774" t="str">
        <f t="shared" si="8"/>
        <v>Gesr Alarab - BAYTUR_PAYMENT</v>
      </c>
      <c r="M215" s="4774" t="str">
        <f t="shared" si="9"/>
        <v>1TB01006.01.CN.003C237.00</v>
      </c>
      <c r="N215" s="4774" t="str">
        <f t="shared" si="10"/>
        <v>1TB01006.01.CN.003C237.01</v>
      </c>
      <c r="O215" s="4774" t="str">
        <f t="shared" si="11"/>
        <v>1TB01006.01.CN.003C237.02</v>
      </c>
    </row>
    <row r="216" spans="1:15">
      <c r="A216" s="4772" t="s">
        <v>258</v>
      </c>
      <c r="B216" s="4774" t="s">
        <v>5609</v>
      </c>
      <c r="C216" s="4772" t="s">
        <v>5675</v>
      </c>
      <c r="D216" s="4772" t="s">
        <v>5987</v>
      </c>
      <c r="E216" s="4773" t="s">
        <v>5767</v>
      </c>
      <c r="F216" s="4768" t="s">
        <v>5768</v>
      </c>
      <c r="G216" s="4770" t="s">
        <v>91</v>
      </c>
      <c r="H216" s="4770" t="s">
        <v>5980</v>
      </c>
      <c r="I216" s="4769" t="s">
        <v>494</v>
      </c>
      <c r="J216" s="4774" t="str">
        <f t="shared" si="6"/>
        <v>01</v>
      </c>
      <c r="K216" s="4774" t="str">
        <f t="shared" si="7"/>
        <v>CN.003C239</v>
      </c>
      <c r="L216" s="4774" t="str">
        <f t="shared" si="8"/>
        <v>Yaz Development Contracting - BAYTUR_PAYMENT</v>
      </c>
      <c r="M216" s="4774" t="str">
        <f t="shared" si="9"/>
        <v>1TB01006.01.CN.003C239.00</v>
      </c>
      <c r="N216" s="4774" t="str">
        <f t="shared" si="10"/>
        <v>1TB01006.01.CN.003C239.01</v>
      </c>
      <c r="O216" s="4774" t="str">
        <f t="shared" si="11"/>
        <v>1TB01006.01.CN.003C239.02</v>
      </c>
    </row>
    <row r="217" spans="1:15">
      <c r="A217" s="4772" t="s">
        <v>258</v>
      </c>
      <c r="B217" s="4774" t="s">
        <v>5609</v>
      </c>
      <c r="C217" s="4772" t="s">
        <v>5675</v>
      </c>
      <c r="D217" s="4772" t="s">
        <v>5988</v>
      </c>
      <c r="E217" s="4773" t="s">
        <v>5872</v>
      </c>
      <c r="F217" s="4768" t="s">
        <v>5873</v>
      </c>
      <c r="G217" s="4770" t="s">
        <v>91</v>
      </c>
      <c r="H217" s="4770" t="s">
        <v>5980</v>
      </c>
      <c r="I217" s="4769" t="s">
        <v>494</v>
      </c>
      <c r="J217" s="4774" t="str">
        <f t="shared" si="6"/>
        <v>01</v>
      </c>
      <c r="K217" s="4774" t="str">
        <f t="shared" si="7"/>
        <v>CN.003C240</v>
      </c>
      <c r="L217" s="4774" t="str">
        <f t="shared" si="8"/>
        <v>TBK Metal - BAYTUR_PAYMENT</v>
      </c>
      <c r="M217" s="4774" t="str">
        <f t="shared" si="9"/>
        <v>1TB01006.01.CN.003C240.00</v>
      </c>
      <c r="N217" s="4774" t="str">
        <f t="shared" si="10"/>
        <v>1TB01006.01.CN.003C240.01</v>
      </c>
      <c r="O217" s="4774" t="str">
        <f t="shared" si="11"/>
        <v>1TB01006.01.CN.003C240.02</v>
      </c>
    </row>
    <row r="218" spans="1:15">
      <c r="A218" s="4772" t="s">
        <v>258</v>
      </c>
      <c r="B218" s="4774" t="s">
        <v>5609</v>
      </c>
      <c r="C218" s="4772" t="s">
        <v>5675</v>
      </c>
      <c r="D218" s="4772" t="s">
        <v>5989</v>
      </c>
      <c r="E218" s="4773" t="s">
        <v>5699</v>
      </c>
      <c r="F218" s="4768" t="s">
        <v>5700</v>
      </c>
      <c r="G218" s="4770" t="s">
        <v>91</v>
      </c>
      <c r="H218" s="4770" t="s">
        <v>5980</v>
      </c>
      <c r="I218" s="4769" t="s">
        <v>494</v>
      </c>
      <c r="J218" s="4774" t="str">
        <f t="shared" si="6"/>
        <v>01</v>
      </c>
      <c r="K218" s="4774" t="str">
        <f t="shared" si="7"/>
        <v>CN.003C241</v>
      </c>
      <c r="L218" s="4774" t="str">
        <f t="shared" si="8"/>
        <v>Al Rai Modern Water Factory - BAYTUR_PAYMENT</v>
      </c>
      <c r="M218" s="4774" t="str">
        <f t="shared" si="9"/>
        <v>1TB01006.01.CN.003C241.00</v>
      </c>
      <c r="N218" s="4774" t="str">
        <f t="shared" si="10"/>
        <v>1TB01006.01.CN.003C241.01</v>
      </c>
      <c r="O218" s="4774" t="str">
        <f t="shared" si="11"/>
        <v>1TB01006.01.CN.003C241.02</v>
      </c>
    </row>
    <row r="219" spans="1:15">
      <c r="A219" s="4772" t="s">
        <v>258</v>
      </c>
      <c r="B219" s="4774" t="s">
        <v>5609</v>
      </c>
      <c r="C219" s="4772" t="s">
        <v>5675</v>
      </c>
      <c r="D219" s="4772" t="s">
        <v>5990</v>
      </c>
      <c r="E219" s="4773" t="s">
        <v>5705</v>
      </c>
      <c r="F219" s="4768" t="s">
        <v>5706</v>
      </c>
      <c r="G219" s="4770" t="s">
        <v>91</v>
      </c>
      <c r="H219" s="4770" t="s">
        <v>5980</v>
      </c>
      <c r="I219" s="4769" t="s">
        <v>494</v>
      </c>
      <c r="J219" s="4774" t="str">
        <f t="shared" si="6"/>
        <v>01</v>
      </c>
      <c r="K219" s="4774" t="str">
        <f t="shared" si="7"/>
        <v>CN.003C242</v>
      </c>
      <c r="L219" s="4774" t="str">
        <f t="shared" si="8"/>
        <v>Intelligent General Cont. Co - Equipment - Industrial Forklift &amp; 5ton - BAYTUR_PAYMENT</v>
      </c>
      <c r="M219" s="4774" t="str">
        <f t="shared" si="9"/>
        <v>1TB01006.01.CN.003C242.00</v>
      </c>
      <c r="N219" s="4774" t="str">
        <f t="shared" si="10"/>
        <v>1TB01006.01.CN.003C242.01</v>
      </c>
      <c r="O219" s="4774" t="str">
        <f t="shared" si="11"/>
        <v>1TB01006.01.CN.003C242.02</v>
      </c>
    </row>
    <row r="220" spans="1:15">
      <c r="A220" s="4772" t="s">
        <v>258</v>
      </c>
      <c r="B220" s="4774" t="s">
        <v>5609</v>
      </c>
      <c r="C220" s="4772" t="s">
        <v>5675</v>
      </c>
      <c r="D220" s="4772" t="s">
        <v>5991</v>
      </c>
      <c r="E220" s="4773" t="s">
        <v>5693</v>
      </c>
      <c r="F220" s="4768" t="s">
        <v>5694</v>
      </c>
      <c r="G220" s="4770" t="s">
        <v>91</v>
      </c>
      <c r="H220" s="4770" t="s">
        <v>5980</v>
      </c>
      <c r="I220" s="4769" t="s">
        <v>494</v>
      </c>
      <c r="J220" s="4774" t="str">
        <f t="shared" si="6"/>
        <v>01</v>
      </c>
      <c r="K220" s="4774" t="str">
        <f t="shared" si="7"/>
        <v>CN.003C243</v>
      </c>
      <c r="L220" s="4774" t="str">
        <f t="shared" si="8"/>
        <v>JAK Generation Cont. Co. LLC - BAYTUR_PAYMENT</v>
      </c>
      <c r="M220" s="4774" t="str">
        <f t="shared" si="9"/>
        <v>1TB01006.01.CN.003C243.00</v>
      </c>
      <c r="N220" s="4774" t="str">
        <f t="shared" si="10"/>
        <v>1TB01006.01.CN.003C243.01</v>
      </c>
      <c r="O220" s="4774" t="str">
        <f t="shared" si="11"/>
        <v>1TB01006.01.CN.003C243.02</v>
      </c>
    </row>
    <row r="221" spans="1:15">
      <c r="A221" s="4772" t="s">
        <v>258</v>
      </c>
      <c r="B221" s="4774" t="s">
        <v>5609</v>
      </c>
      <c r="C221" s="4772" t="s">
        <v>5675</v>
      </c>
      <c r="D221" s="4772" t="s">
        <v>5992</v>
      </c>
      <c r="E221" s="4773" t="s">
        <v>5677</v>
      </c>
      <c r="F221" s="4768" t="s">
        <v>5678</v>
      </c>
      <c r="G221" s="4770" t="s">
        <v>91</v>
      </c>
      <c r="H221" s="4770" t="s">
        <v>5980</v>
      </c>
      <c r="I221" s="4769" t="s">
        <v>494</v>
      </c>
      <c r="J221" s="4774" t="str">
        <f t="shared" si="6"/>
        <v>01</v>
      </c>
      <c r="K221" s="4774" t="str">
        <f t="shared" si="7"/>
        <v>CN.003C244</v>
      </c>
      <c r="L221" s="4774" t="str">
        <f t="shared" si="8"/>
        <v>Sami General Contracting Est. - BAYTUR_PAYMENT</v>
      </c>
      <c r="M221" s="4774" t="str">
        <f t="shared" si="9"/>
        <v>1TB01006.01.CN.003C244.00</v>
      </c>
      <c r="N221" s="4774" t="str">
        <f t="shared" si="10"/>
        <v>1TB01006.01.CN.003C244.01</v>
      </c>
      <c r="O221" s="4774" t="str">
        <f t="shared" si="11"/>
        <v>1TB01006.01.CN.003C244.02</v>
      </c>
    </row>
    <row r="222" spans="1:15">
      <c r="A222" s="4772" t="s">
        <v>258</v>
      </c>
      <c r="B222" s="4774" t="s">
        <v>5609</v>
      </c>
      <c r="C222" s="4772" t="s">
        <v>5675</v>
      </c>
      <c r="D222" s="4772" t="s">
        <v>5993</v>
      </c>
      <c r="E222" s="4773" t="s">
        <v>5724</v>
      </c>
      <c r="F222" s="4768" t="s">
        <v>5725</v>
      </c>
      <c r="G222" s="4770" t="s">
        <v>91</v>
      </c>
      <c r="H222" s="4770" t="s">
        <v>5980</v>
      </c>
      <c r="I222" s="4769" t="s">
        <v>494</v>
      </c>
      <c r="J222" s="4774" t="str">
        <f t="shared" si="6"/>
        <v>01</v>
      </c>
      <c r="K222" s="4774" t="str">
        <f t="shared" si="7"/>
        <v>CN.003C245</v>
      </c>
      <c r="L222" s="4774" t="str">
        <f t="shared" si="8"/>
        <v>Ahmed Bin Salem Bin Dagher Al-Balawi Est. - BAYTUR_PAYMENT</v>
      </c>
      <c r="M222" s="4774" t="str">
        <f t="shared" si="9"/>
        <v>1TB01006.01.CN.003C245.00</v>
      </c>
      <c r="N222" s="4774" t="str">
        <f t="shared" si="10"/>
        <v>1TB01006.01.CN.003C245.01</v>
      </c>
      <c r="O222" s="4774" t="str">
        <f t="shared" si="11"/>
        <v>1TB01006.01.CN.003C245.02</v>
      </c>
    </row>
    <row r="223" spans="1:15">
      <c r="A223" s="4772" t="s">
        <v>258</v>
      </c>
      <c r="B223" s="4774" t="s">
        <v>5609</v>
      </c>
      <c r="C223" s="4772" t="s">
        <v>5675</v>
      </c>
      <c r="D223" s="4772" t="s">
        <v>5994</v>
      </c>
      <c r="E223" s="4773" t="s">
        <v>5687</v>
      </c>
      <c r="F223" s="4768" t="s">
        <v>5688</v>
      </c>
      <c r="G223" s="4770" t="s">
        <v>91</v>
      </c>
      <c r="H223" s="4770" t="s">
        <v>5980</v>
      </c>
      <c r="I223" s="4769" t="s">
        <v>494</v>
      </c>
      <c r="J223" s="4774" t="str">
        <f t="shared" si="6"/>
        <v>01</v>
      </c>
      <c r="K223" s="4774" t="str">
        <f t="shared" si="7"/>
        <v>CN.003C246</v>
      </c>
      <c r="L223" s="4774" t="str">
        <f t="shared" si="8"/>
        <v>Salim Hamed Cleaning - BAYTUR_PAYMENT</v>
      </c>
      <c r="M223" s="4774" t="str">
        <f t="shared" si="9"/>
        <v>1TB01006.01.CN.003C246.00</v>
      </c>
      <c r="N223" s="4774" t="str">
        <f t="shared" si="10"/>
        <v>1TB01006.01.CN.003C246.01</v>
      </c>
      <c r="O223" s="4774" t="str">
        <f t="shared" si="11"/>
        <v>1TB01006.01.CN.003C246.02</v>
      </c>
    </row>
    <row r="224" spans="1:15">
      <c r="A224" s="4772" t="s">
        <v>258</v>
      </c>
      <c r="B224" s="4774" t="s">
        <v>5609</v>
      </c>
      <c r="C224" s="4772" t="s">
        <v>5675</v>
      </c>
      <c r="D224" s="4772" t="s">
        <v>5995</v>
      </c>
      <c r="E224" s="4773" t="s">
        <v>5717</v>
      </c>
      <c r="F224" s="4768" t="s">
        <v>5718</v>
      </c>
      <c r="G224" s="4770" t="s">
        <v>91</v>
      </c>
      <c r="H224" s="4770" t="s">
        <v>5980</v>
      </c>
      <c r="I224" s="4769" t="s">
        <v>494</v>
      </c>
      <c r="J224" s="4774" t="str">
        <f t="shared" si="6"/>
        <v>01</v>
      </c>
      <c r="K224" s="4774" t="str">
        <f t="shared" si="7"/>
        <v>CN.003C247</v>
      </c>
      <c r="L224" s="4774" t="str">
        <f t="shared" si="8"/>
        <v>M Mohammad Alharbi Medical Company - BAYTUR_PAYMENT</v>
      </c>
      <c r="M224" s="4774" t="str">
        <f t="shared" si="9"/>
        <v>1TB01006.01.CN.003C247.00</v>
      </c>
      <c r="N224" s="4774" t="str">
        <f t="shared" si="10"/>
        <v>1TB01006.01.CN.003C247.01</v>
      </c>
      <c r="O224" s="4774" t="str">
        <f t="shared" si="11"/>
        <v>1TB01006.01.CN.003C247.02</v>
      </c>
    </row>
    <row r="225" spans="1:15">
      <c r="A225" s="4772" t="s">
        <v>258</v>
      </c>
      <c r="B225" s="4774" t="s">
        <v>5609</v>
      </c>
      <c r="C225" s="4772" t="s">
        <v>5675</v>
      </c>
      <c r="D225" s="4772" t="s">
        <v>5996</v>
      </c>
      <c r="E225" s="4773" t="s">
        <v>5821</v>
      </c>
      <c r="F225" s="4768" t="s">
        <v>5822</v>
      </c>
      <c r="G225" s="4770" t="s">
        <v>91</v>
      </c>
      <c r="H225" s="4770" t="s">
        <v>5980</v>
      </c>
      <c r="I225" s="4769" t="s">
        <v>494</v>
      </c>
      <c r="J225" s="4774" t="str">
        <f t="shared" si="6"/>
        <v>01</v>
      </c>
      <c r="K225" s="4774" t="str">
        <f t="shared" si="7"/>
        <v>CN.003C248</v>
      </c>
      <c r="L225" s="4774" t="str">
        <f t="shared" si="8"/>
        <v>Glsan Contracting Company - BAYTUR_PAYMENT</v>
      </c>
      <c r="M225" s="4774" t="str">
        <f t="shared" si="9"/>
        <v>1TB01006.01.CN.003C248.00</v>
      </c>
      <c r="N225" s="4774" t="str">
        <f t="shared" si="10"/>
        <v>1TB01006.01.CN.003C248.01</v>
      </c>
      <c r="O225" s="4774" t="str">
        <f t="shared" si="11"/>
        <v>1TB01006.01.CN.003C248.02</v>
      </c>
    </row>
    <row r="226" spans="1:15">
      <c r="A226" s="4772" t="s">
        <v>258</v>
      </c>
      <c r="B226" s="4774" t="s">
        <v>5609</v>
      </c>
      <c r="C226" s="4772" t="s">
        <v>5675</v>
      </c>
      <c r="D226" s="4772" t="s">
        <v>5997</v>
      </c>
      <c r="E226" s="4773" t="s">
        <v>5821</v>
      </c>
      <c r="F226" s="4768" t="s">
        <v>5822</v>
      </c>
      <c r="G226" s="4770" t="s">
        <v>91</v>
      </c>
      <c r="H226" s="4770" t="s">
        <v>5980</v>
      </c>
      <c r="I226" s="4769" t="s">
        <v>494</v>
      </c>
      <c r="J226" s="4774" t="str">
        <f t="shared" si="6"/>
        <v>01</v>
      </c>
      <c r="K226" s="4774" t="str">
        <f t="shared" si="7"/>
        <v>CN.003C249</v>
      </c>
      <c r="L226" s="4774" t="str">
        <f t="shared" si="8"/>
        <v>Glsan Contracting Company - BAYTUR_PAYMENT</v>
      </c>
      <c r="M226" s="4774" t="str">
        <f t="shared" si="9"/>
        <v>1TB01006.01.CN.003C249.00</v>
      </c>
      <c r="N226" s="4774" t="str">
        <f t="shared" si="10"/>
        <v>1TB01006.01.CN.003C249.01</v>
      </c>
      <c r="O226" s="4774" t="str">
        <f t="shared" si="11"/>
        <v>1TB01006.01.CN.003C249.02</v>
      </c>
    </row>
    <row r="227" spans="1:15">
      <c r="A227" s="4772" t="s">
        <v>258</v>
      </c>
      <c r="B227" s="4774" t="s">
        <v>5609</v>
      </c>
      <c r="C227" s="4772" t="s">
        <v>5675</v>
      </c>
      <c r="D227" s="4772" t="s">
        <v>5998</v>
      </c>
      <c r="E227" s="4773" t="s">
        <v>5864</v>
      </c>
      <c r="F227" s="4768" t="s">
        <v>5865</v>
      </c>
      <c r="G227" s="4770" t="s">
        <v>91</v>
      </c>
      <c r="H227" s="4770" t="s">
        <v>5980</v>
      </c>
      <c r="I227" s="4769" t="s">
        <v>494</v>
      </c>
      <c r="J227" s="4774" t="str">
        <f t="shared" si="6"/>
        <v>01</v>
      </c>
      <c r="K227" s="4774" t="str">
        <f t="shared" si="7"/>
        <v>CN.003C251</v>
      </c>
      <c r="L227" s="4774" t="str">
        <f t="shared" si="8"/>
        <v>Top Construction Co. Ltd. - BAYTUR_PAYMENT</v>
      </c>
      <c r="M227" s="4774" t="str">
        <f t="shared" si="9"/>
        <v>1TB01006.01.CN.003C251.00</v>
      </c>
      <c r="N227" s="4774" t="str">
        <f t="shared" si="10"/>
        <v>1TB01006.01.CN.003C251.01</v>
      </c>
      <c r="O227" s="4774" t="str">
        <f t="shared" si="11"/>
        <v>1TB01006.01.CN.003C251.02</v>
      </c>
    </row>
    <row r="228" spans="1:15">
      <c r="A228" s="4772" t="s">
        <v>258</v>
      </c>
      <c r="B228" s="4774" t="s">
        <v>5609</v>
      </c>
      <c r="C228" s="4772" t="s">
        <v>5675</v>
      </c>
      <c r="D228" s="4772" t="s">
        <v>5999</v>
      </c>
      <c r="E228" s="4773" t="s">
        <v>6000</v>
      </c>
      <c r="F228" s="4768" t="s">
        <v>6001</v>
      </c>
      <c r="G228" s="4770" t="s">
        <v>91</v>
      </c>
      <c r="H228" s="4770" t="s">
        <v>5980</v>
      </c>
      <c r="I228" s="4769" t="s">
        <v>494</v>
      </c>
      <c r="J228" s="4774" t="str">
        <f t="shared" si="6"/>
        <v>01</v>
      </c>
      <c r="K228" s="4774" t="str">
        <f t="shared" si="7"/>
        <v>CN.003C252</v>
      </c>
      <c r="L228" s="4774" t="str">
        <f t="shared" si="8"/>
        <v>HRFA Special Skills Co - BAYTUR_PAYMENT</v>
      </c>
      <c r="M228" s="4774" t="str">
        <f t="shared" si="9"/>
        <v>1TB01006.01.CN.003C252.00</v>
      </c>
      <c r="N228" s="4774" t="str">
        <f t="shared" si="10"/>
        <v>1TB01006.01.CN.003C252.01</v>
      </c>
      <c r="O228" s="4774" t="str">
        <f t="shared" si="11"/>
        <v>1TB01006.01.CN.003C252.02</v>
      </c>
    </row>
    <row r="229" spans="1:15">
      <c r="A229" s="4772" t="s">
        <v>258</v>
      </c>
      <c r="B229" s="4774" t="s">
        <v>5609</v>
      </c>
      <c r="C229" s="4772" t="s">
        <v>5675</v>
      </c>
      <c r="D229" s="4772" t="s">
        <v>6002</v>
      </c>
      <c r="E229" s="4773" t="s">
        <v>6003</v>
      </c>
      <c r="F229" s="4768" t="s">
        <v>6004</v>
      </c>
      <c r="G229" s="4770" t="s">
        <v>91</v>
      </c>
      <c r="H229" s="4770" t="s">
        <v>5980</v>
      </c>
      <c r="I229" s="4769" t="s">
        <v>494</v>
      </c>
      <c r="J229" s="4774" t="str">
        <f t="shared" si="6"/>
        <v>01</v>
      </c>
      <c r="K229" s="4774" t="str">
        <f t="shared" si="7"/>
        <v>CN.003C253</v>
      </c>
      <c r="L229" s="4774" t="str">
        <f t="shared" si="8"/>
        <v>Nesma United Industries Co. Ltd. - BAYTUR_PAYMENT</v>
      </c>
      <c r="M229" s="4774" t="str">
        <f t="shared" si="9"/>
        <v>1TB01006.01.CN.003C253.00</v>
      </c>
      <c r="N229" s="4774" t="str">
        <f t="shared" si="10"/>
        <v>1TB01006.01.CN.003C253.01</v>
      </c>
      <c r="O229" s="4774" t="str">
        <f t="shared" si="11"/>
        <v>1TB01006.01.CN.003C253.02</v>
      </c>
    </row>
    <row r="230" spans="1:15">
      <c r="A230" s="4772" t="s">
        <v>258</v>
      </c>
      <c r="B230" s="4774" t="s">
        <v>5609</v>
      </c>
      <c r="C230" s="4772" t="s">
        <v>5675</v>
      </c>
      <c r="D230" s="4772" t="s">
        <v>6005</v>
      </c>
      <c r="E230" s="4773" t="s">
        <v>5789</v>
      </c>
      <c r="F230" s="4768" t="s">
        <v>5790</v>
      </c>
      <c r="G230" s="4770" t="s">
        <v>91</v>
      </c>
      <c r="H230" s="4770" t="s">
        <v>6006</v>
      </c>
      <c r="I230" s="4769" t="s">
        <v>494</v>
      </c>
      <c r="J230" s="4774" t="str">
        <f t="shared" si="6"/>
        <v>01</v>
      </c>
      <c r="K230" s="4774" t="str">
        <f t="shared" si="7"/>
        <v>CN.003C182</v>
      </c>
      <c r="L230" s="4774" t="str">
        <f t="shared" si="8"/>
        <v>Al Hayat Investment - BAYTUR_PAYMENT</v>
      </c>
      <c r="M230" s="4774" t="str">
        <f t="shared" si="9"/>
        <v>1TB01006.01.CN.003C182.00</v>
      </c>
      <c r="N230" s="4774" t="str">
        <f t="shared" si="10"/>
        <v>1TB01006.01.CN.003C182.01</v>
      </c>
      <c r="O230" s="4774" t="str">
        <f t="shared" si="11"/>
        <v>1TB01006.01.CN.003C182.02</v>
      </c>
    </row>
    <row r="231" spans="1:15">
      <c r="A231" s="4772" t="s">
        <v>258</v>
      </c>
      <c r="B231" s="4774" t="s">
        <v>5609</v>
      </c>
      <c r="C231" s="4772" t="s">
        <v>5675</v>
      </c>
      <c r="D231" s="4772" t="s">
        <v>6007</v>
      </c>
      <c r="E231" s="4773" t="s">
        <v>5630</v>
      </c>
      <c r="F231" s="4768" t="s">
        <v>1519</v>
      </c>
      <c r="G231" s="4770" t="s">
        <v>91</v>
      </c>
      <c r="H231" s="4770" t="s">
        <v>6006</v>
      </c>
      <c r="I231" s="4769" t="s">
        <v>494</v>
      </c>
      <c r="J231" s="4774" t="str">
        <f t="shared" si="6"/>
        <v>01</v>
      </c>
      <c r="K231" s="4774" t="str">
        <f t="shared" si="7"/>
        <v>CN.003C236</v>
      </c>
      <c r="L231" s="4774" t="str">
        <f t="shared" si="8"/>
        <v>Medtel - W.N - BAYTUR_PAYMENT</v>
      </c>
      <c r="M231" s="4774" t="str">
        <f t="shared" si="9"/>
        <v>1TB01006.01.CN.003C236.00</v>
      </c>
      <c r="N231" s="4774" t="str">
        <f t="shared" si="10"/>
        <v>1TB01006.01.CN.003C236.01</v>
      </c>
      <c r="O231" s="4774" t="str">
        <f t="shared" si="11"/>
        <v>1TB01006.01.CN.003C236.02</v>
      </c>
    </row>
    <row r="232" spans="1:15">
      <c r="A232" s="4772" t="s">
        <v>258</v>
      </c>
      <c r="B232" s="4774" t="s">
        <v>5609</v>
      </c>
      <c r="C232" s="4772" t="s">
        <v>6008</v>
      </c>
      <c r="D232" s="4772" t="s">
        <v>6009</v>
      </c>
      <c r="E232" s="4773" t="s">
        <v>5239</v>
      </c>
      <c r="F232" s="4768" t="s">
        <v>6010</v>
      </c>
      <c r="G232" s="4770" t="s">
        <v>91</v>
      </c>
      <c r="H232" s="4770" t="s">
        <v>6011</v>
      </c>
      <c r="I232" s="4769" t="s">
        <v>5654</v>
      </c>
      <c r="J232" s="4774" t="str">
        <f t="shared" si="6"/>
        <v>01</v>
      </c>
      <c r="K232" s="4774" t="str">
        <f t="shared" si="7"/>
        <v>FFEOSE.003F11</v>
      </c>
      <c r="L232" s="4774" t="str">
        <f t="shared" si="8"/>
        <v>Extraordinary Cart - TBC 42</v>
      </c>
      <c r="M232" s="4774" t="str">
        <f t="shared" si="9"/>
        <v>1TB01006.01.FFEOSE.003F11.00</v>
      </c>
      <c r="N232" s="4774" t="str">
        <f t="shared" si="10"/>
        <v>1TB01006.01.FFEOSE.003F11.01</v>
      </c>
      <c r="O232" s="4774" t="str">
        <f t="shared" si="11"/>
        <v>1TB01006.01.FFEOSE.003F11.02</v>
      </c>
    </row>
    <row r="233" spans="1:15">
      <c r="A233" s="4772" t="s">
        <v>258</v>
      </c>
      <c r="B233" s="4774" t="s">
        <v>5609</v>
      </c>
      <c r="C233" s="4772" t="s">
        <v>5675</v>
      </c>
      <c r="D233" s="4772" t="s">
        <v>6012</v>
      </c>
      <c r="E233" s="4773" t="s">
        <v>5864</v>
      </c>
      <c r="F233" s="4768" t="s">
        <v>5865</v>
      </c>
      <c r="G233" s="4770" t="s">
        <v>91</v>
      </c>
      <c r="H233" s="4770" t="s">
        <v>6013</v>
      </c>
      <c r="I233" s="4769" t="s">
        <v>494</v>
      </c>
      <c r="J233" s="4774" t="str">
        <f t="shared" si="6"/>
        <v>01</v>
      </c>
      <c r="K233" s="4774" t="str">
        <f t="shared" si="7"/>
        <v>CN.003C272</v>
      </c>
      <c r="L233" s="4774" t="str">
        <f t="shared" si="8"/>
        <v>Top Construction Co. Ltd. - BAYTUR_PAYMENT</v>
      </c>
      <c r="M233" s="4774" t="str">
        <f t="shared" si="9"/>
        <v>1TB01006.01.CN.003C272.00</v>
      </c>
      <c r="N233" s="4774" t="str">
        <f t="shared" si="10"/>
        <v>1TB01006.01.CN.003C272.01</v>
      </c>
      <c r="O233" s="4774" t="str">
        <f t="shared" si="11"/>
        <v>1TB01006.01.CN.003C272.02</v>
      </c>
    </row>
    <row r="234" spans="1:15">
      <c r="A234" s="4772" t="s">
        <v>258</v>
      </c>
      <c r="B234" s="4774" t="s">
        <v>5609</v>
      </c>
      <c r="C234" s="4772" t="s">
        <v>5675</v>
      </c>
      <c r="D234" s="4772" t="s">
        <v>6014</v>
      </c>
      <c r="E234" s="4773" t="s">
        <v>5821</v>
      </c>
      <c r="F234" s="4768" t="s">
        <v>5822</v>
      </c>
      <c r="G234" s="4770" t="s">
        <v>91</v>
      </c>
      <c r="H234" s="4770" t="s">
        <v>6013</v>
      </c>
      <c r="I234" s="4769" t="s">
        <v>494</v>
      </c>
      <c r="J234" s="4774" t="str">
        <f t="shared" si="6"/>
        <v>01</v>
      </c>
      <c r="K234" s="4774" t="str">
        <f t="shared" si="7"/>
        <v>CN.003C270</v>
      </c>
      <c r="L234" s="4774" t="str">
        <f t="shared" si="8"/>
        <v>Glsan Contracting Company - BAYTUR_PAYMENT</v>
      </c>
      <c r="M234" s="4774" t="str">
        <f t="shared" si="9"/>
        <v>1TB01006.01.CN.003C270.00</v>
      </c>
      <c r="N234" s="4774" t="str">
        <f t="shared" si="10"/>
        <v>1TB01006.01.CN.003C270.01</v>
      </c>
      <c r="O234" s="4774" t="str">
        <f t="shared" si="11"/>
        <v>1TB01006.01.CN.003C270.02</v>
      </c>
    </row>
    <row r="235" spans="1:15">
      <c r="A235" s="4772" t="s">
        <v>258</v>
      </c>
      <c r="B235" s="4774" t="s">
        <v>5609</v>
      </c>
      <c r="C235" s="4772" t="s">
        <v>5675</v>
      </c>
      <c r="D235" s="4772" t="s">
        <v>6015</v>
      </c>
      <c r="E235" s="4773" t="s">
        <v>5815</v>
      </c>
      <c r="F235" s="4768" t="s">
        <v>5816</v>
      </c>
      <c r="G235" s="4770" t="s">
        <v>91</v>
      </c>
      <c r="H235" s="4770" t="s">
        <v>6013</v>
      </c>
      <c r="I235" s="4769" t="s">
        <v>494</v>
      </c>
      <c r="J235" s="4774" t="str">
        <f t="shared" si="6"/>
        <v>01</v>
      </c>
      <c r="K235" s="4774" t="str">
        <f t="shared" si="7"/>
        <v>CN.003C271</v>
      </c>
      <c r="L235" s="4774" t="str">
        <f t="shared" si="8"/>
        <v>Ihsan Muhammed Thakir Idress Trading - BAYTUR_PAYMENT</v>
      </c>
      <c r="M235" s="4774" t="str">
        <f t="shared" si="9"/>
        <v>1TB01006.01.CN.003C271.00</v>
      </c>
      <c r="N235" s="4774" t="str">
        <f t="shared" si="10"/>
        <v>1TB01006.01.CN.003C271.01</v>
      </c>
      <c r="O235" s="4774" t="str">
        <f t="shared" si="11"/>
        <v>1TB01006.01.CN.003C271.02</v>
      </c>
    </row>
    <row r="236" spans="1:15">
      <c r="A236" s="4772" t="s">
        <v>258</v>
      </c>
      <c r="B236" s="4774" t="s">
        <v>5609</v>
      </c>
      <c r="C236" s="4772" t="s">
        <v>5675</v>
      </c>
      <c r="D236" s="4772" t="s">
        <v>6016</v>
      </c>
      <c r="E236" s="4773" t="s">
        <v>5821</v>
      </c>
      <c r="F236" s="4768" t="s">
        <v>5822</v>
      </c>
      <c r="G236" s="4770" t="s">
        <v>91</v>
      </c>
      <c r="H236" s="4770" t="s">
        <v>6013</v>
      </c>
      <c r="I236" s="4769" t="s">
        <v>494</v>
      </c>
      <c r="J236" s="4774" t="str">
        <f t="shared" si="6"/>
        <v>01</v>
      </c>
      <c r="K236" s="4774" t="str">
        <f t="shared" si="7"/>
        <v>CN.003C269</v>
      </c>
      <c r="L236" s="4774" t="str">
        <f t="shared" si="8"/>
        <v>Glsan Contracting Company - BAYTUR_PAYMENT</v>
      </c>
      <c r="M236" s="4774" t="str">
        <f t="shared" si="9"/>
        <v>1TB01006.01.CN.003C269.00</v>
      </c>
      <c r="N236" s="4774" t="str">
        <f t="shared" si="10"/>
        <v>1TB01006.01.CN.003C269.01</v>
      </c>
      <c r="O236" s="4774" t="str">
        <f t="shared" si="11"/>
        <v>1TB01006.01.CN.003C269.02</v>
      </c>
    </row>
    <row r="237" spans="1:15">
      <c r="A237" s="4772" t="s">
        <v>258</v>
      </c>
      <c r="B237" s="4774" t="s">
        <v>5609</v>
      </c>
      <c r="C237" s="4772" t="s">
        <v>5675</v>
      </c>
      <c r="D237" s="4772" t="s">
        <v>6017</v>
      </c>
      <c r="E237" s="4773" t="s">
        <v>5717</v>
      </c>
      <c r="F237" s="4768" t="s">
        <v>5718</v>
      </c>
      <c r="G237" s="4770" t="s">
        <v>91</v>
      </c>
      <c r="H237" s="4770" t="s">
        <v>6013</v>
      </c>
      <c r="I237" s="4769" t="s">
        <v>494</v>
      </c>
      <c r="J237" s="4774" t="str">
        <f t="shared" si="6"/>
        <v>01</v>
      </c>
      <c r="K237" s="4774" t="str">
        <f t="shared" si="7"/>
        <v>CN.003C268</v>
      </c>
      <c r="L237" s="4774" t="str">
        <f t="shared" si="8"/>
        <v>M Mohammad Alharbi Medical Company - BAYTUR_PAYMENT</v>
      </c>
      <c r="M237" s="4774" t="str">
        <f t="shared" si="9"/>
        <v>1TB01006.01.CN.003C268.00</v>
      </c>
      <c r="N237" s="4774" t="str">
        <f t="shared" si="10"/>
        <v>1TB01006.01.CN.003C268.01</v>
      </c>
      <c r="O237" s="4774" t="str">
        <f t="shared" si="11"/>
        <v>1TB01006.01.CN.003C268.02</v>
      </c>
    </row>
    <row r="238" spans="1:15">
      <c r="A238" s="4772" t="s">
        <v>258</v>
      </c>
      <c r="B238" s="4774" t="s">
        <v>5609</v>
      </c>
      <c r="C238" s="4772" t="s">
        <v>5675</v>
      </c>
      <c r="D238" s="4772" t="s">
        <v>6018</v>
      </c>
      <c r="E238" s="4773" t="s">
        <v>5687</v>
      </c>
      <c r="F238" s="4768" t="s">
        <v>5688</v>
      </c>
      <c r="G238" s="4770" t="s">
        <v>91</v>
      </c>
      <c r="H238" s="4770" t="s">
        <v>6013</v>
      </c>
      <c r="I238" s="4769" t="s">
        <v>494</v>
      </c>
      <c r="J238" s="4774" t="str">
        <f t="shared" si="6"/>
        <v>01</v>
      </c>
      <c r="K238" s="4774" t="str">
        <f t="shared" si="7"/>
        <v>CN.003C267</v>
      </c>
      <c r="L238" s="4774" t="str">
        <f t="shared" si="8"/>
        <v>Salim Hamed Cleaning - BAYTUR_PAYMENT</v>
      </c>
      <c r="M238" s="4774" t="str">
        <f t="shared" si="9"/>
        <v>1TB01006.01.CN.003C267.00</v>
      </c>
      <c r="N238" s="4774" t="str">
        <f t="shared" si="10"/>
        <v>1TB01006.01.CN.003C267.01</v>
      </c>
      <c r="O238" s="4774" t="str">
        <f t="shared" si="11"/>
        <v>1TB01006.01.CN.003C267.02</v>
      </c>
    </row>
    <row r="239" spans="1:15">
      <c r="A239" s="4772" t="s">
        <v>258</v>
      </c>
      <c r="B239" s="4774" t="s">
        <v>5609</v>
      </c>
      <c r="C239" s="4772" t="s">
        <v>5675</v>
      </c>
      <c r="D239" s="4772" t="s">
        <v>6019</v>
      </c>
      <c r="E239" s="4773" t="s">
        <v>5724</v>
      </c>
      <c r="F239" s="4768" t="s">
        <v>5725</v>
      </c>
      <c r="G239" s="4770" t="s">
        <v>91</v>
      </c>
      <c r="H239" s="4770" t="s">
        <v>6013</v>
      </c>
      <c r="I239" s="4769" t="s">
        <v>494</v>
      </c>
      <c r="J239" s="4774" t="str">
        <f t="shared" si="6"/>
        <v>01</v>
      </c>
      <c r="K239" s="4774" t="str">
        <f t="shared" si="7"/>
        <v>CN.003C266</v>
      </c>
      <c r="L239" s="4774" t="str">
        <f t="shared" si="8"/>
        <v>Ahmed Bin Salem Bin Dagher Al-Balawi Est. - BAYTUR_PAYMENT</v>
      </c>
      <c r="M239" s="4774" t="str">
        <f t="shared" si="9"/>
        <v>1TB01006.01.CN.003C266.00</v>
      </c>
      <c r="N239" s="4774" t="str">
        <f t="shared" si="10"/>
        <v>1TB01006.01.CN.003C266.01</v>
      </c>
      <c r="O239" s="4774" t="str">
        <f t="shared" si="11"/>
        <v>1TB01006.01.CN.003C266.02</v>
      </c>
    </row>
    <row r="240" spans="1:15">
      <c r="A240" s="4772" t="s">
        <v>258</v>
      </c>
      <c r="B240" s="4774" t="s">
        <v>5609</v>
      </c>
      <c r="C240" s="4772" t="s">
        <v>5675</v>
      </c>
      <c r="D240" s="4772" t="s">
        <v>6020</v>
      </c>
      <c r="E240" s="4773" t="s">
        <v>5677</v>
      </c>
      <c r="F240" s="4768" t="s">
        <v>5678</v>
      </c>
      <c r="G240" s="4770" t="s">
        <v>91</v>
      </c>
      <c r="H240" s="4770" t="s">
        <v>6013</v>
      </c>
      <c r="I240" s="4769" t="s">
        <v>494</v>
      </c>
      <c r="J240" s="4774" t="str">
        <f t="shared" si="6"/>
        <v>01</v>
      </c>
      <c r="K240" s="4774" t="str">
        <f t="shared" si="7"/>
        <v>CN.003C265</v>
      </c>
      <c r="L240" s="4774" t="str">
        <f t="shared" si="8"/>
        <v>Sami General Contracting Est. - BAYTUR_PAYMENT</v>
      </c>
      <c r="M240" s="4774" t="str">
        <f t="shared" si="9"/>
        <v>1TB01006.01.CN.003C265.00</v>
      </c>
      <c r="N240" s="4774" t="str">
        <f t="shared" si="10"/>
        <v>1TB01006.01.CN.003C265.01</v>
      </c>
      <c r="O240" s="4774" t="str">
        <f t="shared" si="11"/>
        <v>1TB01006.01.CN.003C265.02</v>
      </c>
    </row>
    <row r="241" spans="1:15">
      <c r="A241" s="4772" t="s">
        <v>258</v>
      </c>
      <c r="B241" s="4774" t="s">
        <v>5609</v>
      </c>
      <c r="C241" s="4772" t="s">
        <v>5675</v>
      </c>
      <c r="D241" s="4772" t="s">
        <v>6021</v>
      </c>
      <c r="E241" s="4773" t="s">
        <v>5693</v>
      </c>
      <c r="F241" s="4768" t="s">
        <v>5694</v>
      </c>
      <c r="G241" s="4770" t="s">
        <v>91</v>
      </c>
      <c r="H241" s="4770" t="s">
        <v>6013</v>
      </c>
      <c r="I241" s="4769" t="s">
        <v>494</v>
      </c>
      <c r="J241" s="4774" t="str">
        <f t="shared" si="6"/>
        <v>01</v>
      </c>
      <c r="K241" s="4774" t="str">
        <f t="shared" si="7"/>
        <v>CN.003C263</v>
      </c>
      <c r="L241" s="4774" t="str">
        <f t="shared" si="8"/>
        <v>JAK Generation Cont. Co. LLC - BAYTUR_PAYMENT</v>
      </c>
      <c r="M241" s="4774" t="str">
        <f t="shared" si="9"/>
        <v>1TB01006.01.CN.003C263.00</v>
      </c>
      <c r="N241" s="4774" t="str">
        <f t="shared" si="10"/>
        <v>1TB01006.01.CN.003C263.01</v>
      </c>
      <c r="O241" s="4774" t="str">
        <f t="shared" si="11"/>
        <v>1TB01006.01.CN.003C263.02</v>
      </c>
    </row>
    <row r="242" spans="1:15">
      <c r="A242" s="4772" t="s">
        <v>258</v>
      </c>
      <c r="B242" s="4774" t="s">
        <v>5609</v>
      </c>
      <c r="C242" s="4772" t="s">
        <v>5675</v>
      </c>
      <c r="D242" s="4772" t="s">
        <v>6022</v>
      </c>
      <c r="E242" s="4773" t="s">
        <v>5705</v>
      </c>
      <c r="F242" s="4768" t="s">
        <v>5706</v>
      </c>
      <c r="G242" s="4770" t="s">
        <v>91</v>
      </c>
      <c r="H242" s="4770" t="s">
        <v>6013</v>
      </c>
      <c r="I242" s="4769" t="s">
        <v>494</v>
      </c>
      <c r="J242" s="4774" t="str">
        <f t="shared" si="6"/>
        <v>01</v>
      </c>
      <c r="K242" s="4774" t="str">
        <f t="shared" si="7"/>
        <v>CN.003C262</v>
      </c>
      <c r="L242" s="4774" t="str">
        <f t="shared" si="8"/>
        <v>Intelligent General Cont. Co - Equipment - Industrial Forklift &amp; 5ton - BAYTUR_PAYMENT</v>
      </c>
      <c r="M242" s="4774" t="str">
        <f t="shared" si="9"/>
        <v>1TB01006.01.CN.003C262.00</v>
      </c>
      <c r="N242" s="4774" t="str">
        <f t="shared" si="10"/>
        <v>1TB01006.01.CN.003C262.01</v>
      </c>
      <c r="O242" s="4774" t="str">
        <f t="shared" si="11"/>
        <v>1TB01006.01.CN.003C262.02</v>
      </c>
    </row>
    <row r="243" spans="1:15">
      <c r="A243" s="4772" t="s">
        <v>258</v>
      </c>
      <c r="B243" s="4774" t="s">
        <v>5609</v>
      </c>
      <c r="C243" s="4772" t="s">
        <v>5675</v>
      </c>
      <c r="D243" s="4772" t="s">
        <v>6023</v>
      </c>
      <c r="E243" s="4773" t="s">
        <v>5699</v>
      </c>
      <c r="F243" s="4768" t="s">
        <v>5700</v>
      </c>
      <c r="G243" s="4770" t="s">
        <v>91</v>
      </c>
      <c r="H243" s="4770" t="s">
        <v>6013</v>
      </c>
      <c r="I243" s="4769" t="s">
        <v>494</v>
      </c>
      <c r="J243" s="4774" t="str">
        <f t="shared" si="6"/>
        <v>01</v>
      </c>
      <c r="K243" s="4774" t="str">
        <f t="shared" si="7"/>
        <v>CN.003C261</v>
      </c>
      <c r="L243" s="4774" t="str">
        <f t="shared" si="8"/>
        <v>Al Rai Modern Water Factory - BAYTUR_PAYMENT</v>
      </c>
      <c r="M243" s="4774" t="str">
        <f t="shared" si="9"/>
        <v>1TB01006.01.CN.003C261.00</v>
      </c>
      <c r="N243" s="4774" t="str">
        <f t="shared" si="10"/>
        <v>1TB01006.01.CN.003C261.01</v>
      </c>
      <c r="O243" s="4774" t="str">
        <f t="shared" si="11"/>
        <v>1TB01006.01.CN.003C261.02</v>
      </c>
    </row>
    <row r="244" spans="1:15">
      <c r="A244" s="4772" t="s">
        <v>258</v>
      </c>
      <c r="B244" s="4774" t="s">
        <v>5609</v>
      </c>
      <c r="C244" s="4772" t="s">
        <v>5675</v>
      </c>
      <c r="D244" s="4772" t="s">
        <v>6024</v>
      </c>
      <c r="E244" s="4773" t="s">
        <v>5770</v>
      </c>
      <c r="F244" s="4768" t="s">
        <v>5771</v>
      </c>
      <c r="G244" s="4770" t="s">
        <v>91</v>
      </c>
      <c r="H244" s="4770" t="s">
        <v>6013</v>
      </c>
      <c r="I244" s="4769" t="s">
        <v>494</v>
      </c>
      <c r="J244" s="4774" t="str">
        <f t="shared" si="6"/>
        <v>01</v>
      </c>
      <c r="K244" s="4774" t="str">
        <f t="shared" si="7"/>
        <v>CN.003C260</v>
      </c>
      <c r="L244" s="4774" t="str">
        <f t="shared" si="8"/>
        <v>Abeer Manawer Al-Shamari Contracting Est. - BAYTUR_PAYMENT</v>
      </c>
      <c r="M244" s="4774" t="str">
        <f t="shared" si="9"/>
        <v>1TB01006.01.CN.003C260.00</v>
      </c>
      <c r="N244" s="4774" t="str">
        <f t="shared" si="10"/>
        <v>1TB01006.01.CN.003C260.01</v>
      </c>
      <c r="O244" s="4774" t="str">
        <f t="shared" si="11"/>
        <v>1TB01006.01.CN.003C260.02</v>
      </c>
    </row>
    <row r="245" spans="1:15">
      <c r="A245" s="4772" t="s">
        <v>258</v>
      </c>
      <c r="B245" s="4774" t="s">
        <v>5609</v>
      </c>
      <c r="C245" s="4772" t="s">
        <v>5675</v>
      </c>
      <c r="D245" s="4772" t="s">
        <v>6025</v>
      </c>
      <c r="E245" s="4773" t="s">
        <v>5767</v>
      </c>
      <c r="F245" s="4768" t="s">
        <v>5768</v>
      </c>
      <c r="G245" s="4770" t="s">
        <v>91</v>
      </c>
      <c r="H245" s="4770" t="s">
        <v>6013</v>
      </c>
      <c r="I245" s="4769" t="s">
        <v>494</v>
      </c>
      <c r="J245" s="4774" t="str">
        <f t="shared" si="6"/>
        <v>01</v>
      </c>
      <c r="K245" s="4774" t="str">
        <f t="shared" si="7"/>
        <v>CN.003C259</v>
      </c>
      <c r="L245" s="4774" t="str">
        <f t="shared" si="8"/>
        <v>Yaz Development Contracting - BAYTUR_PAYMENT</v>
      </c>
      <c r="M245" s="4774" t="str">
        <f t="shared" si="9"/>
        <v>1TB01006.01.CN.003C259.00</v>
      </c>
      <c r="N245" s="4774" t="str">
        <f t="shared" si="10"/>
        <v>1TB01006.01.CN.003C259.01</v>
      </c>
      <c r="O245" s="4774" t="str">
        <f t="shared" si="11"/>
        <v>1TB01006.01.CN.003C259.02</v>
      </c>
    </row>
    <row r="246" spans="1:15">
      <c r="A246" s="4772" t="s">
        <v>258</v>
      </c>
      <c r="B246" s="4774" t="s">
        <v>5609</v>
      </c>
      <c r="C246" s="4772" t="s">
        <v>5675</v>
      </c>
      <c r="D246" s="4772" t="s">
        <v>6026</v>
      </c>
      <c r="E246" s="4773" t="s">
        <v>5764</v>
      </c>
      <c r="F246" s="4768" t="s">
        <v>5765</v>
      </c>
      <c r="G246" s="4770" t="s">
        <v>91</v>
      </c>
      <c r="H246" s="4770" t="s">
        <v>6013</v>
      </c>
      <c r="I246" s="4769" t="s">
        <v>494</v>
      </c>
      <c r="J246" s="4774" t="str">
        <f t="shared" si="6"/>
        <v>01</v>
      </c>
      <c r="K246" s="4774" t="str">
        <f t="shared" si="7"/>
        <v>CN.003C258</v>
      </c>
      <c r="L246" s="4774" t="str">
        <f t="shared" si="8"/>
        <v>National Fire Fighting Manufacturing Company - NAFFCO - BAYTUR_PAYMENT</v>
      </c>
      <c r="M246" s="4774" t="str">
        <f t="shared" si="9"/>
        <v>1TB01006.01.CN.003C258.00</v>
      </c>
      <c r="N246" s="4774" t="str">
        <f t="shared" si="10"/>
        <v>1TB01006.01.CN.003C258.01</v>
      </c>
      <c r="O246" s="4774" t="str">
        <f t="shared" si="11"/>
        <v>1TB01006.01.CN.003C258.02</v>
      </c>
    </row>
    <row r="247" spans="1:15">
      <c r="A247" s="4772" t="s">
        <v>258</v>
      </c>
      <c r="B247" s="4774" t="s">
        <v>5609</v>
      </c>
      <c r="C247" s="4772" t="s">
        <v>5675</v>
      </c>
      <c r="D247" s="4772" t="s">
        <v>6027</v>
      </c>
      <c r="E247" s="4773" t="s">
        <v>5761</v>
      </c>
      <c r="F247" s="4768" t="s">
        <v>5762</v>
      </c>
      <c r="G247" s="4770" t="s">
        <v>91</v>
      </c>
      <c r="H247" s="4770" t="s">
        <v>6013</v>
      </c>
      <c r="I247" s="4769" t="s">
        <v>494</v>
      </c>
      <c r="J247" s="4774" t="str">
        <f t="shared" si="6"/>
        <v>01</v>
      </c>
      <c r="K247" s="4774" t="str">
        <f t="shared" si="7"/>
        <v>CN.003C257</v>
      </c>
      <c r="L247" s="4774" t="str">
        <f t="shared" si="8"/>
        <v>Gesr Alarab - BAYTUR_PAYMENT</v>
      </c>
      <c r="M247" s="4774" t="str">
        <f t="shared" si="9"/>
        <v>1TB01006.01.CN.003C257.00</v>
      </c>
      <c r="N247" s="4774" t="str">
        <f t="shared" si="10"/>
        <v>1TB01006.01.CN.003C257.01</v>
      </c>
      <c r="O247" s="4774" t="str">
        <f t="shared" si="11"/>
        <v>1TB01006.01.CN.003C257.02</v>
      </c>
    </row>
    <row r="248" spans="1:15">
      <c r="A248" s="4772" t="s">
        <v>258</v>
      </c>
      <c r="B248" s="4774" t="s">
        <v>5609</v>
      </c>
      <c r="C248" s="4772" t="s">
        <v>5675</v>
      </c>
      <c r="D248" s="4772" t="s">
        <v>6028</v>
      </c>
      <c r="E248" s="4773" t="s">
        <v>5821</v>
      </c>
      <c r="F248" s="4768" t="s">
        <v>5822</v>
      </c>
      <c r="G248" s="4770" t="s">
        <v>91</v>
      </c>
      <c r="H248" s="4770" t="s">
        <v>6013</v>
      </c>
      <c r="I248" s="4769" t="s">
        <v>494</v>
      </c>
      <c r="J248" s="4774" t="str">
        <f t="shared" si="6"/>
        <v>01</v>
      </c>
      <c r="K248" s="4774" t="str">
        <f t="shared" si="7"/>
        <v>CN.003C256</v>
      </c>
      <c r="L248" s="4774" t="str">
        <f t="shared" si="8"/>
        <v>Glsan Contracting Company - BAYTUR_PAYMENT</v>
      </c>
      <c r="M248" s="4774" t="str">
        <f t="shared" si="9"/>
        <v>1TB01006.01.CN.003C256.00</v>
      </c>
      <c r="N248" s="4774" t="str">
        <f t="shared" si="10"/>
        <v>1TB01006.01.CN.003C256.01</v>
      </c>
      <c r="O248" s="4774" t="str">
        <f t="shared" si="11"/>
        <v>1TB01006.01.CN.003C256.02</v>
      </c>
    </row>
    <row r="249" spans="1:15">
      <c r="A249" s="4772" t="s">
        <v>258</v>
      </c>
      <c r="B249" s="4774" t="s">
        <v>5609</v>
      </c>
      <c r="C249" s="4772" t="s">
        <v>5675</v>
      </c>
      <c r="D249" s="4772" t="s">
        <v>6029</v>
      </c>
      <c r="E249" s="4773" t="s">
        <v>5630</v>
      </c>
      <c r="F249" s="4768" t="s">
        <v>1519</v>
      </c>
      <c r="G249" s="4770" t="s">
        <v>91</v>
      </c>
      <c r="H249" s="4770" t="s">
        <v>6013</v>
      </c>
      <c r="I249" s="4769" t="s">
        <v>494</v>
      </c>
      <c r="J249" s="4774" t="str">
        <f t="shared" si="6"/>
        <v>01</v>
      </c>
      <c r="K249" s="4774" t="str">
        <f t="shared" si="7"/>
        <v>CN.003C255</v>
      </c>
      <c r="L249" s="4774" t="str">
        <f t="shared" si="8"/>
        <v>Medtel - W.N - BAYTUR_PAYMENT</v>
      </c>
      <c r="M249" s="4774" t="str">
        <f t="shared" si="9"/>
        <v>1TB01006.01.CN.003C255.00</v>
      </c>
      <c r="N249" s="4774" t="str">
        <f t="shared" si="10"/>
        <v>1TB01006.01.CN.003C255.01</v>
      </c>
      <c r="O249" s="4774" t="str">
        <f t="shared" si="11"/>
        <v>1TB01006.01.CN.003C255.02</v>
      </c>
    </row>
    <row r="250" spans="1:15">
      <c r="A250" s="4772" t="s">
        <v>258</v>
      </c>
      <c r="B250" s="4774" t="s">
        <v>5609</v>
      </c>
      <c r="C250" s="4772" t="s">
        <v>5675</v>
      </c>
      <c r="D250" s="4772" t="s">
        <v>6030</v>
      </c>
      <c r="E250" s="4773" t="s">
        <v>5720</v>
      </c>
      <c r="F250" s="4768" t="s">
        <v>5721</v>
      </c>
      <c r="G250" s="4770" t="s">
        <v>91</v>
      </c>
      <c r="H250" s="4770" t="s">
        <v>6013</v>
      </c>
      <c r="I250" s="4769" t="s">
        <v>494</v>
      </c>
      <c r="J250" s="4774" t="str">
        <f t="shared" si="6"/>
        <v>01</v>
      </c>
      <c r="K250" s="4774" t="str">
        <f t="shared" si="7"/>
        <v>CN.003C254</v>
      </c>
      <c r="L250" s="4774" t="str">
        <f t="shared" si="8"/>
        <v>Issam Kabani and Partners - BAYTUR_PAYMENT</v>
      </c>
      <c r="M250" s="4774" t="str">
        <f t="shared" si="9"/>
        <v>1TB01006.01.CN.003C254.00</v>
      </c>
      <c r="N250" s="4774" t="str">
        <f t="shared" si="10"/>
        <v>1TB01006.01.CN.003C254.01</v>
      </c>
      <c r="O250" s="4774" t="str">
        <f t="shared" si="11"/>
        <v>1TB01006.01.CN.003C254.02</v>
      </c>
    </row>
    <row r="251" spans="1:15">
      <c r="A251" s="4772" t="s">
        <v>258</v>
      </c>
      <c r="B251" s="4774" t="s">
        <v>5609</v>
      </c>
      <c r="C251" s="4772" t="s">
        <v>6031</v>
      </c>
      <c r="D251" s="4772" t="s">
        <v>6032</v>
      </c>
      <c r="E251" s="4773" t="s">
        <v>6033</v>
      </c>
      <c r="F251" s="4768" t="s">
        <v>6034</v>
      </c>
      <c r="G251" s="4770" t="s">
        <v>82</v>
      </c>
      <c r="H251" s="4770" t="s">
        <v>6035</v>
      </c>
      <c r="I251" s="4769" t="s">
        <v>5654</v>
      </c>
      <c r="J251" s="4774" t="str">
        <f t="shared" si="6"/>
        <v>01</v>
      </c>
      <c r="K251" s="4774" t="str">
        <f t="shared" si="7"/>
        <v>FFEOSE.003D09</v>
      </c>
      <c r="L251" s="4774" t="str">
        <f t="shared" si="8"/>
        <v>SaudiCo Electronic Systems - TBC 60</v>
      </c>
      <c r="M251" s="4774" t="str">
        <f t="shared" si="9"/>
        <v>1TB01006.01.FFEOSE.003D09.00</v>
      </c>
      <c r="N251" s="4774" t="str">
        <f t="shared" si="10"/>
        <v>1TB01006.01.FFEOSE.003D09.01</v>
      </c>
      <c r="O251" s="4774" t="str">
        <f t="shared" si="11"/>
        <v>1TB01006.01.FFEOSE.003D09.02</v>
      </c>
    </row>
    <row r="252" spans="1:15">
      <c r="A252" s="4772" t="s">
        <v>258</v>
      </c>
      <c r="B252" s="4774" t="s">
        <v>5609</v>
      </c>
      <c r="C252" s="4772" t="s">
        <v>6036</v>
      </c>
      <c r="D252" s="4772" t="s">
        <v>6037</v>
      </c>
      <c r="E252" s="4773" t="s">
        <v>6038</v>
      </c>
      <c r="F252" s="4768" t="s">
        <v>6039</v>
      </c>
      <c r="G252" s="4770" t="s">
        <v>82</v>
      </c>
      <c r="H252" s="4770" t="s">
        <v>6040</v>
      </c>
      <c r="I252" s="4769" t="s">
        <v>5654</v>
      </c>
      <c r="J252" s="4774" t="str">
        <f t="shared" si="6"/>
        <v>01</v>
      </c>
      <c r="K252" s="4774" t="str">
        <f t="shared" si="7"/>
        <v>FFEOSE.003D07</v>
      </c>
      <c r="L252" s="4774" t="str">
        <f t="shared" si="8"/>
        <v>Birchstreet Systems, LLC - TBC 72</v>
      </c>
      <c r="M252" s="4774" t="str">
        <f t="shared" si="9"/>
        <v>1TB01006.01.FFEOSE.003D07.00</v>
      </c>
      <c r="N252" s="4774" t="str">
        <f t="shared" si="10"/>
        <v>1TB01006.01.FFEOSE.003D07.01</v>
      </c>
      <c r="O252" s="4774" t="str">
        <f t="shared" si="11"/>
        <v>1TB01006.01.FFEOSE.003D07.02</v>
      </c>
    </row>
    <row r="253" spans="1:15">
      <c r="A253" s="4772" t="s">
        <v>258</v>
      </c>
      <c r="B253" s="4774" t="s">
        <v>5609</v>
      </c>
      <c r="C253" s="4772" t="s">
        <v>5675</v>
      </c>
      <c r="D253" s="4772" t="s">
        <v>6041</v>
      </c>
      <c r="E253" s="4773" t="s">
        <v>6042</v>
      </c>
      <c r="F253" s="4768" t="s">
        <v>6043</v>
      </c>
      <c r="G253" s="4770" t="s">
        <v>91</v>
      </c>
      <c r="H253" s="4770" t="s">
        <v>6044</v>
      </c>
      <c r="I253" s="4769" t="s">
        <v>494</v>
      </c>
      <c r="J253" s="4774" t="str">
        <f t="shared" si="6"/>
        <v>01</v>
      </c>
      <c r="K253" s="4774" t="str">
        <f t="shared" si="7"/>
        <v>CN.003C292</v>
      </c>
      <c r="L253" s="4774" t="str">
        <f t="shared" si="8"/>
        <v>Emaar Suhail Engineering Consultant - BAYTUR_PAYMENT</v>
      </c>
      <c r="M253" s="4774" t="str">
        <f t="shared" si="9"/>
        <v>1TB01006.01.CN.003C292.00</v>
      </c>
      <c r="N253" s="4774" t="str">
        <f t="shared" si="10"/>
        <v>1TB01006.01.CN.003C292.01</v>
      </c>
      <c r="O253" s="4774" t="str">
        <f t="shared" si="11"/>
        <v>1TB01006.01.CN.003C292.02</v>
      </c>
    </row>
    <row r="254" spans="1:15">
      <c r="A254" s="4772" t="s">
        <v>258</v>
      </c>
      <c r="B254" s="4774" t="s">
        <v>5609</v>
      </c>
      <c r="C254" s="4772" t="s">
        <v>5675</v>
      </c>
      <c r="D254" s="4772" t="s">
        <v>6045</v>
      </c>
      <c r="E254" s="4773" t="s">
        <v>6000</v>
      </c>
      <c r="F254" s="4768" t="s">
        <v>6001</v>
      </c>
      <c r="G254" s="4770" t="s">
        <v>91</v>
      </c>
      <c r="H254" s="4770" t="s">
        <v>6044</v>
      </c>
      <c r="I254" s="4769" t="s">
        <v>494</v>
      </c>
      <c r="J254" s="4774" t="str">
        <f t="shared" si="6"/>
        <v>01</v>
      </c>
      <c r="K254" s="4774" t="str">
        <f t="shared" si="7"/>
        <v>CN.003C291</v>
      </c>
      <c r="L254" s="4774" t="str">
        <f t="shared" si="8"/>
        <v>HRFA Special Skills Co - BAYTUR_PAYMENT</v>
      </c>
      <c r="M254" s="4774" t="str">
        <f t="shared" si="9"/>
        <v>1TB01006.01.CN.003C291.00</v>
      </c>
      <c r="N254" s="4774" t="str">
        <f t="shared" si="10"/>
        <v>1TB01006.01.CN.003C291.01</v>
      </c>
      <c r="O254" s="4774" t="str">
        <f t="shared" si="11"/>
        <v>1TB01006.01.CN.003C291.02</v>
      </c>
    </row>
    <row r="255" spans="1:15">
      <c r="A255" s="4772" t="s">
        <v>258</v>
      </c>
      <c r="B255" s="4774" t="s">
        <v>5609</v>
      </c>
      <c r="C255" s="4772" t="s">
        <v>5675</v>
      </c>
      <c r="D255" s="4772" t="s">
        <v>6046</v>
      </c>
      <c r="E255" s="4773" t="s">
        <v>5864</v>
      </c>
      <c r="F255" s="4768" t="s">
        <v>5865</v>
      </c>
      <c r="G255" s="4770" t="s">
        <v>91</v>
      </c>
      <c r="H255" s="4770" t="s">
        <v>6044</v>
      </c>
      <c r="I255" s="4769" t="s">
        <v>494</v>
      </c>
      <c r="J255" s="4774" t="str">
        <f t="shared" si="6"/>
        <v>01</v>
      </c>
      <c r="K255" s="4774" t="str">
        <f t="shared" si="7"/>
        <v>CN.003C290</v>
      </c>
      <c r="L255" s="4774" t="str">
        <f t="shared" si="8"/>
        <v>Top Construction Co. Ltd. - BAYTUR_PAYMENT</v>
      </c>
      <c r="M255" s="4774" t="str">
        <f t="shared" si="9"/>
        <v>1TB01006.01.CN.003C290.00</v>
      </c>
      <c r="N255" s="4774" t="str">
        <f t="shared" si="10"/>
        <v>1TB01006.01.CN.003C290.01</v>
      </c>
      <c r="O255" s="4774" t="str">
        <f t="shared" si="11"/>
        <v>1TB01006.01.CN.003C290.02</v>
      </c>
    </row>
    <row r="256" spans="1:15">
      <c r="A256" s="4772" t="s">
        <v>258</v>
      </c>
      <c r="B256" s="4774" t="s">
        <v>5609</v>
      </c>
      <c r="C256" s="4772" t="s">
        <v>5675</v>
      </c>
      <c r="D256" s="4772" t="s">
        <v>6047</v>
      </c>
      <c r="E256" s="4773" t="s">
        <v>5821</v>
      </c>
      <c r="F256" s="4768" t="s">
        <v>5822</v>
      </c>
      <c r="G256" s="4770" t="s">
        <v>91</v>
      </c>
      <c r="H256" s="4770" t="s">
        <v>6044</v>
      </c>
      <c r="I256" s="4769" t="s">
        <v>494</v>
      </c>
      <c r="J256" s="4774" t="str">
        <f t="shared" si="6"/>
        <v>01</v>
      </c>
      <c r="K256" s="4774" t="str">
        <f t="shared" si="7"/>
        <v>CN.003C289</v>
      </c>
      <c r="L256" s="4774" t="str">
        <f t="shared" si="8"/>
        <v>Glsan Contracting Company - BAYTUR_PAYMENT</v>
      </c>
      <c r="M256" s="4774" t="str">
        <f t="shared" si="9"/>
        <v>1TB01006.01.CN.003C289.00</v>
      </c>
      <c r="N256" s="4774" t="str">
        <f t="shared" si="10"/>
        <v>1TB01006.01.CN.003C289.01</v>
      </c>
      <c r="O256" s="4774" t="str">
        <f t="shared" si="11"/>
        <v>1TB01006.01.CN.003C289.02</v>
      </c>
    </row>
    <row r="257" spans="1:15">
      <c r="A257" s="4772" t="s">
        <v>258</v>
      </c>
      <c r="B257" s="4774" t="s">
        <v>5609</v>
      </c>
      <c r="C257" s="4772" t="s">
        <v>5675</v>
      </c>
      <c r="D257" s="4772" t="s">
        <v>6048</v>
      </c>
      <c r="E257" s="4773" t="s">
        <v>5821</v>
      </c>
      <c r="F257" s="4768" t="s">
        <v>5822</v>
      </c>
      <c r="G257" s="4770" t="s">
        <v>91</v>
      </c>
      <c r="H257" s="4770" t="s">
        <v>6044</v>
      </c>
      <c r="I257" s="4769" t="s">
        <v>494</v>
      </c>
      <c r="J257" s="4774" t="str">
        <f t="shared" si="6"/>
        <v>01</v>
      </c>
      <c r="K257" s="4774" t="str">
        <f t="shared" si="7"/>
        <v>CN.003C288</v>
      </c>
      <c r="L257" s="4774" t="str">
        <f t="shared" si="8"/>
        <v>Glsan Contracting Company - BAYTUR_PAYMENT</v>
      </c>
      <c r="M257" s="4774" t="str">
        <f t="shared" si="9"/>
        <v>1TB01006.01.CN.003C288.00</v>
      </c>
      <c r="N257" s="4774" t="str">
        <f t="shared" si="10"/>
        <v>1TB01006.01.CN.003C288.01</v>
      </c>
      <c r="O257" s="4774" t="str">
        <f t="shared" si="11"/>
        <v>1TB01006.01.CN.003C288.02</v>
      </c>
    </row>
    <row r="258" spans="1:15">
      <c r="A258" s="4772" t="s">
        <v>258</v>
      </c>
      <c r="B258" s="4774" t="s">
        <v>5609</v>
      </c>
      <c r="C258" s="4772" t="s">
        <v>5675</v>
      </c>
      <c r="D258" s="4772" t="s">
        <v>6049</v>
      </c>
      <c r="E258" s="4773" t="s">
        <v>5717</v>
      </c>
      <c r="F258" s="4768" t="s">
        <v>5718</v>
      </c>
      <c r="G258" s="4770" t="s">
        <v>91</v>
      </c>
      <c r="H258" s="4770" t="s">
        <v>6044</v>
      </c>
      <c r="I258" s="4769" t="s">
        <v>494</v>
      </c>
      <c r="J258" s="4774" t="str">
        <f t="shared" si="6"/>
        <v>01</v>
      </c>
      <c r="K258" s="4774" t="str">
        <f t="shared" si="7"/>
        <v>CN.003C287</v>
      </c>
      <c r="L258" s="4774" t="str">
        <f t="shared" si="8"/>
        <v>M Mohammad Alharbi Medical Company - BAYTUR_PAYMENT</v>
      </c>
      <c r="M258" s="4774" t="str">
        <f t="shared" si="9"/>
        <v>1TB01006.01.CN.003C287.00</v>
      </c>
      <c r="N258" s="4774" t="str">
        <f t="shared" si="10"/>
        <v>1TB01006.01.CN.003C287.01</v>
      </c>
      <c r="O258" s="4774" t="str">
        <f t="shared" si="11"/>
        <v>1TB01006.01.CN.003C287.02</v>
      </c>
    </row>
    <row r="259" spans="1:15">
      <c r="A259" s="4772" t="s">
        <v>258</v>
      </c>
      <c r="B259" s="4774" t="s">
        <v>5609</v>
      </c>
      <c r="C259" s="4772" t="s">
        <v>5675</v>
      </c>
      <c r="D259" s="4772" t="s">
        <v>6050</v>
      </c>
      <c r="E259" s="4773" t="s">
        <v>5724</v>
      </c>
      <c r="F259" s="4768" t="s">
        <v>5725</v>
      </c>
      <c r="G259" s="4770" t="s">
        <v>91</v>
      </c>
      <c r="H259" s="4770" t="s">
        <v>6044</v>
      </c>
      <c r="I259" s="4769" t="s">
        <v>494</v>
      </c>
      <c r="J259" s="4774" t="str">
        <f t="shared" si="6"/>
        <v>01</v>
      </c>
      <c r="K259" s="4774" t="str">
        <f t="shared" si="7"/>
        <v>CN.003C286</v>
      </c>
      <c r="L259" s="4774" t="str">
        <f t="shared" si="8"/>
        <v>Ahmed Bin Salem Bin Dagher Al-Balawi Est. - BAYTUR_PAYMENT</v>
      </c>
      <c r="M259" s="4774" t="str">
        <f t="shared" si="9"/>
        <v>1TB01006.01.CN.003C286.00</v>
      </c>
      <c r="N259" s="4774" t="str">
        <f t="shared" si="10"/>
        <v>1TB01006.01.CN.003C286.01</v>
      </c>
      <c r="O259" s="4774" t="str">
        <f t="shared" si="11"/>
        <v>1TB01006.01.CN.003C286.02</v>
      </c>
    </row>
    <row r="260" spans="1:15">
      <c r="A260" s="4772" t="s">
        <v>258</v>
      </c>
      <c r="B260" s="4774" t="s">
        <v>5609</v>
      </c>
      <c r="C260" s="4772" t="s">
        <v>5675</v>
      </c>
      <c r="D260" s="4772" t="s">
        <v>6051</v>
      </c>
      <c r="E260" s="4773" t="s">
        <v>5677</v>
      </c>
      <c r="F260" s="4768" t="s">
        <v>5678</v>
      </c>
      <c r="G260" s="4770" t="s">
        <v>91</v>
      </c>
      <c r="H260" s="4770" t="s">
        <v>6044</v>
      </c>
      <c r="I260" s="4769" t="s">
        <v>494</v>
      </c>
      <c r="J260" s="4774" t="str">
        <f t="shared" si="6"/>
        <v>01</v>
      </c>
      <c r="K260" s="4774" t="str">
        <f t="shared" si="7"/>
        <v>CN.003C285</v>
      </c>
      <c r="L260" s="4774" t="str">
        <f t="shared" si="8"/>
        <v>Sami General Contracting Est. - BAYTUR_PAYMENT</v>
      </c>
      <c r="M260" s="4774" t="str">
        <f t="shared" si="9"/>
        <v>1TB01006.01.CN.003C285.00</v>
      </c>
      <c r="N260" s="4774" t="str">
        <f t="shared" si="10"/>
        <v>1TB01006.01.CN.003C285.01</v>
      </c>
      <c r="O260" s="4774" t="str">
        <f t="shared" si="11"/>
        <v>1TB01006.01.CN.003C285.02</v>
      </c>
    </row>
    <row r="261" spans="1:15">
      <c r="A261" s="4772" t="s">
        <v>258</v>
      </c>
      <c r="B261" s="4774" t="s">
        <v>5609</v>
      </c>
      <c r="C261" s="4772" t="s">
        <v>5675</v>
      </c>
      <c r="D261" s="4772" t="s">
        <v>6052</v>
      </c>
      <c r="E261" s="4773" t="s">
        <v>5693</v>
      </c>
      <c r="F261" s="4768" t="s">
        <v>5694</v>
      </c>
      <c r="G261" s="4770" t="s">
        <v>91</v>
      </c>
      <c r="H261" s="4770" t="s">
        <v>6044</v>
      </c>
      <c r="I261" s="4769" t="s">
        <v>494</v>
      </c>
      <c r="J261" s="4774" t="str">
        <f t="shared" si="6"/>
        <v>01</v>
      </c>
      <c r="K261" s="4774" t="str">
        <f t="shared" si="7"/>
        <v>CN.003C284</v>
      </c>
      <c r="L261" s="4774" t="str">
        <f t="shared" si="8"/>
        <v>JAK Generation Cont. Co. LLC - BAYTUR_PAYMENT</v>
      </c>
      <c r="M261" s="4774" t="str">
        <f t="shared" si="9"/>
        <v>1TB01006.01.CN.003C284.00</v>
      </c>
      <c r="N261" s="4774" t="str">
        <f t="shared" si="10"/>
        <v>1TB01006.01.CN.003C284.01</v>
      </c>
      <c r="O261" s="4774" t="str">
        <f t="shared" si="11"/>
        <v>1TB01006.01.CN.003C284.02</v>
      </c>
    </row>
    <row r="262" spans="1:15">
      <c r="A262" s="4772" t="s">
        <v>258</v>
      </c>
      <c r="B262" s="4774" t="s">
        <v>5609</v>
      </c>
      <c r="C262" s="4772" t="s">
        <v>5675</v>
      </c>
      <c r="D262" s="4772" t="s">
        <v>6053</v>
      </c>
      <c r="E262" s="4773" t="s">
        <v>5705</v>
      </c>
      <c r="F262" s="4768" t="s">
        <v>5706</v>
      </c>
      <c r="G262" s="4770" t="s">
        <v>91</v>
      </c>
      <c r="H262" s="4770" t="s">
        <v>6044</v>
      </c>
      <c r="I262" s="4769" t="s">
        <v>494</v>
      </c>
      <c r="J262" s="4774" t="str">
        <f t="shared" si="6"/>
        <v>01</v>
      </c>
      <c r="K262" s="4774" t="str">
        <f t="shared" si="7"/>
        <v>CN.003C283</v>
      </c>
      <c r="L262" s="4774" t="str">
        <f t="shared" si="8"/>
        <v>Intelligent General Cont. Co - Equipment - Industrial Forklift &amp; 5ton - BAYTUR_PAYMENT</v>
      </c>
      <c r="M262" s="4774" t="str">
        <f t="shared" si="9"/>
        <v>1TB01006.01.CN.003C283.00</v>
      </c>
      <c r="N262" s="4774" t="str">
        <f t="shared" si="10"/>
        <v>1TB01006.01.CN.003C283.01</v>
      </c>
      <c r="O262" s="4774" t="str">
        <f t="shared" si="11"/>
        <v>1TB01006.01.CN.003C283.02</v>
      </c>
    </row>
    <row r="263" spans="1:15">
      <c r="A263" s="4772" t="s">
        <v>258</v>
      </c>
      <c r="B263" s="4774" t="s">
        <v>5609</v>
      </c>
      <c r="C263" s="4772" t="s">
        <v>5675</v>
      </c>
      <c r="D263" s="4772" t="s">
        <v>6054</v>
      </c>
      <c r="E263" s="4773" t="s">
        <v>5699</v>
      </c>
      <c r="F263" s="4768" t="s">
        <v>5700</v>
      </c>
      <c r="G263" s="4770" t="s">
        <v>91</v>
      </c>
      <c r="H263" s="4770" t="s">
        <v>6044</v>
      </c>
      <c r="I263" s="4769" t="s">
        <v>494</v>
      </c>
      <c r="J263" s="4774" t="str">
        <f t="shared" si="6"/>
        <v>01</v>
      </c>
      <c r="K263" s="4774" t="str">
        <f t="shared" si="7"/>
        <v>CN.003C282</v>
      </c>
      <c r="L263" s="4774" t="str">
        <f t="shared" si="8"/>
        <v>Al Rai Modern Water Factory - BAYTUR_PAYMENT</v>
      </c>
      <c r="M263" s="4774" t="str">
        <f t="shared" si="9"/>
        <v>1TB01006.01.CN.003C282.00</v>
      </c>
      <c r="N263" s="4774" t="str">
        <f t="shared" si="10"/>
        <v>1TB01006.01.CN.003C282.01</v>
      </c>
      <c r="O263" s="4774" t="str">
        <f t="shared" si="11"/>
        <v>1TB01006.01.CN.003C282.02</v>
      </c>
    </row>
    <row r="264" spans="1:15">
      <c r="A264" s="4772" t="s">
        <v>258</v>
      </c>
      <c r="B264" s="4774" t="s">
        <v>5609</v>
      </c>
      <c r="C264" s="4772" t="s">
        <v>5675</v>
      </c>
      <c r="D264" s="4772" t="s">
        <v>6055</v>
      </c>
      <c r="E264" s="4773" t="s">
        <v>5855</v>
      </c>
      <c r="F264" s="4768" t="s">
        <v>5856</v>
      </c>
      <c r="G264" s="4770" t="s">
        <v>91</v>
      </c>
      <c r="H264" s="4770" t="s">
        <v>6044</v>
      </c>
      <c r="I264" s="4769" t="s">
        <v>494</v>
      </c>
      <c r="J264" s="4774" t="str">
        <f t="shared" si="6"/>
        <v>01</v>
      </c>
      <c r="K264" s="4774" t="str">
        <f t="shared" si="7"/>
        <v>CN.003C281</v>
      </c>
      <c r="L264" s="4774" t="str">
        <f t="shared" si="8"/>
        <v>Masa Equipments Est - BAYTUR_PAYMENT</v>
      </c>
      <c r="M264" s="4774" t="str">
        <f t="shared" si="9"/>
        <v>1TB01006.01.CN.003C281.00</v>
      </c>
      <c r="N264" s="4774" t="str">
        <f t="shared" si="10"/>
        <v>1TB01006.01.CN.003C281.01</v>
      </c>
      <c r="O264" s="4774" t="str">
        <f t="shared" si="11"/>
        <v>1TB01006.01.CN.003C281.02</v>
      </c>
    </row>
    <row r="265" spans="1:15">
      <c r="A265" s="4772" t="s">
        <v>258</v>
      </c>
      <c r="B265" s="4774" t="s">
        <v>5609</v>
      </c>
      <c r="C265" s="4772" t="s">
        <v>5675</v>
      </c>
      <c r="D265" s="4772" t="s">
        <v>6056</v>
      </c>
      <c r="E265" s="4773" t="s">
        <v>5767</v>
      </c>
      <c r="F265" s="4768" t="s">
        <v>5768</v>
      </c>
      <c r="G265" s="4770" t="s">
        <v>91</v>
      </c>
      <c r="H265" s="4770" t="s">
        <v>6044</v>
      </c>
      <c r="I265" s="4769" t="s">
        <v>494</v>
      </c>
      <c r="J265" s="4774" t="str">
        <f t="shared" si="6"/>
        <v>01</v>
      </c>
      <c r="K265" s="4774" t="str">
        <f t="shared" si="7"/>
        <v>CN.003C280</v>
      </c>
      <c r="L265" s="4774" t="str">
        <f t="shared" si="8"/>
        <v>Yaz Development Contracting - BAYTUR_PAYMENT</v>
      </c>
      <c r="M265" s="4774" t="str">
        <f t="shared" si="9"/>
        <v>1TB01006.01.CN.003C280.00</v>
      </c>
      <c r="N265" s="4774" t="str">
        <f t="shared" si="10"/>
        <v>1TB01006.01.CN.003C280.01</v>
      </c>
      <c r="O265" s="4774" t="str">
        <f t="shared" si="11"/>
        <v>1TB01006.01.CN.003C280.02</v>
      </c>
    </row>
    <row r="266" spans="1:15">
      <c r="A266" s="4772" t="s">
        <v>258</v>
      </c>
      <c r="B266" s="4774" t="s">
        <v>5609</v>
      </c>
      <c r="C266" s="4772" t="s">
        <v>5675</v>
      </c>
      <c r="D266" s="4772" t="s">
        <v>6057</v>
      </c>
      <c r="E266" s="4773" t="s">
        <v>5764</v>
      </c>
      <c r="F266" s="4768" t="s">
        <v>5765</v>
      </c>
      <c r="G266" s="4770" t="s">
        <v>91</v>
      </c>
      <c r="H266" s="4770" t="s">
        <v>6044</v>
      </c>
      <c r="I266" s="4769" t="s">
        <v>494</v>
      </c>
      <c r="J266" s="4774" t="str">
        <f t="shared" si="6"/>
        <v>01</v>
      </c>
      <c r="K266" s="4774" t="str">
        <f t="shared" si="7"/>
        <v>CN.003C279</v>
      </c>
      <c r="L266" s="4774" t="str">
        <f t="shared" si="8"/>
        <v>National Fire Fighting Manufacturing Company - NAFFCO - BAYTUR_PAYMENT</v>
      </c>
      <c r="M266" s="4774" t="str">
        <f t="shared" si="9"/>
        <v>1TB01006.01.CN.003C279.00</v>
      </c>
      <c r="N266" s="4774" t="str">
        <f t="shared" si="10"/>
        <v>1TB01006.01.CN.003C279.01</v>
      </c>
      <c r="O266" s="4774" t="str">
        <f t="shared" si="11"/>
        <v>1TB01006.01.CN.003C279.02</v>
      </c>
    </row>
    <row r="267" spans="1:15">
      <c r="A267" s="4772" t="s">
        <v>258</v>
      </c>
      <c r="B267" s="4774" t="s">
        <v>5609</v>
      </c>
      <c r="C267" s="4772" t="s">
        <v>5675</v>
      </c>
      <c r="D267" s="4772" t="s">
        <v>6058</v>
      </c>
      <c r="E267" s="4773" t="s">
        <v>5761</v>
      </c>
      <c r="F267" s="4768" t="s">
        <v>5762</v>
      </c>
      <c r="G267" s="4770" t="s">
        <v>91</v>
      </c>
      <c r="H267" s="4770" t="s">
        <v>6044</v>
      </c>
      <c r="I267" s="4769" t="s">
        <v>494</v>
      </c>
      <c r="J267" s="4774" t="str">
        <f t="shared" si="6"/>
        <v>01</v>
      </c>
      <c r="K267" s="4774" t="str">
        <f t="shared" si="7"/>
        <v>CN.003C278</v>
      </c>
      <c r="L267" s="4774" t="str">
        <f t="shared" si="8"/>
        <v>Gesr Alarab - BAYTUR_PAYMENT</v>
      </c>
      <c r="M267" s="4774" t="str">
        <f t="shared" si="9"/>
        <v>1TB01006.01.CN.003C278.00</v>
      </c>
      <c r="N267" s="4774" t="str">
        <f t="shared" si="10"/>
        <v>1TB01006.01.CN.003C278.01</v>
      </c>
      <c r="O267" s="4774" t="str">
        <f t="shared" si="11"/>
        <v>1TB01006.01.CN.003C278.02</v>
      </c>
    </row>
    <row r="268" spans="1:15">
      <c r="A268" s="4772" t="s">
        <v>258</v>
      </c>
      <c r="B268" s="4774" t="s">
        <v>5609</v>
      </c>
      <c r="C268" s="4772" t="s">
        <v>5675</v>
      </c>
      <c r="D268" s="4772" t="s">
        <v>6059</v>
      </c>
      <c r="E268" s="4773" t="s">
        <v>5821</v>
      </c>
      <c r="F268" s="4768" t="s">
        <v>5822</v>
      </c>
      <c r="G268" s="4770" t="s">
        <v>91</v>
      </c>
      <c r="H268" s="4770" t="s">
        <v>6044</v>
      </c>
      <c r="I268" s="4769" t="s">
        <v>494</v>
      </c>
      <c r="J268" s="4774" t="str">
        <f t="shared" si="6"/>
        <v>01</v>
      </c>
      <c r="K268" s="4774" t="str">
        <f t="shared" si="7"/>
        <v>CN.003C277</v>
      </c>
      <c r="L268" s="4774" t="str">
        <f t="shared" si="8"/>
        <v>Glsan Contracting Company - BAYTUR_PAYMENT</v>
      </c>
      <c r="M268" s="4774" t="str">
        <f t="shared" si="9"/>
        <v>1TB01006.01.CN.003C277.00</v>
      </c>
      <c r="N268" s="4774" t="str">
        <f t="shared" si="10"/>
        <v>1TB01006.01.CN.003C277.01</v>
      </c>
      <c r="O268" s="4774" t="str">
        <f t="shared" si="11"/>
        <v>1TB01006.01.CN.003C277.02</v>
      </c>
    </row>
    <row r="269" spans="1:15">
      <c r="A269" s="4772" t="s">
        <v>258</v>
      </c>
      <c r="B269" s="4774" t="s">
        <v>5609</v>
      </c>
      <c r="C269" s="4772" t="s">
        <v>5675</v>
      </c>
      <c r="D269" s="4772" t="s">
        <v>6060</v>
      </c>
      <c r="E269" s="4773" t="s">
        <v>6061</v>
      </c>
      <c r="F269" s="4768" t="s">
        <v>6062</v>
      </c>
      <c r="G269" s="4770" t="s">
        <v>91</v>
      </c>
      <c r="H269" s="4770" t="s">
        <v>6044</v>
      </c>
      <c r="I269" s="4769" t="s">
        <v>494</v>
      </c>
      <c r="J269" s="4774" t="str">
        <f t="shared" si="6"/>
        <v>01</v>
      </c>
      <c r="K269" s="4774" t="str">
        <f t="shared" si="7"/>
        <v>CN.003C276</v>
      </c>
      <c r="L269" s="4774" t="str">
        <f t="shared" si="8"/>
        <v>Medtel WN Contracting Co. - BAYTUR_PAYMENT</v>
      </c>
      <c r="M269" s="4774" t="str">
        <f t="shared" si="9"/>
        <v>1TB01006.01.CN.003C276.00</v>
      </c>
      <c r="N269" s="4774" t="str">
        <f t="shared" si="10"/>
        <v>1TB01006.01.CN.003C276.01</v>
      </c>
      <c r="O269" s="4774" t="str">
        <f t="shared" si="11"/>
        <v>1TB01006.01.CN.003C276.02</v>
      </c>
    </row>
    <row r="270" spans="1:15">
      <c r="A270" s="4772" t="s">
        <v>258</v>
      </c>
      <c r="B270" s="4774" t="s">
        <v>5609</v>
      </c>
      <c r="C270" s="4772" t="s">
        <v>5675</v>
      </c>
      <c r="D270" s="4772" t="s">
        <v>6063</v>
      </c>
      <c r="E270" s="4773" t="s">
        <v>5876</v>
      </c>
      <c r="F270" s="4768" t="s">
        <v>5877</v>
      </c>
      <c r="G270" s="4770" t="s">
        <v>91</v>
      </c>
      <c r="H270" s="4770" t="s">
        <v>6044</v>
      </c>
      <c r="I270" s="4769" t="s">
        <v>494</v>
      </c>
      <c r="J270" s="4774" t="str">
        <f t="shared" si="6"/>
        <v>01</v>
      </c>
      <c r="K270" s="4774" t="str">
        <f t="shared" si="7"/>
        <v>CN.003C275</v>
      </c>
      <c r="L270" s="4774" t="str">
        <f t="shared" si="8"/>
        <v>Alcatop International Company for Building Material - BAYTUR_PAYMENT</v>
      </c>
      <c r="M270" s="4774" t="str">
        <f t="shared" si="9"/>
        <v>1TB01006.01.CN.003C275.00</v>
      </c>
      <c r="N270" s="4774" t="str">
        <f t="shared" si="10"/>
        <v>1TB01006.01.CN.003C275.01</v>
      </c>
      <c r="O270" s="4774" t="str">
        <f t="shared" si="11"/>
        <v>1TB01006.01.CN.003C275.02</v>
      </c>
    </row>
    <row r="271" spans="1:15">
      <c r="A271" s="4772" t="s">
        <v>258</v>
      </c>
      <c r="B271" s="4774" t="s">
        <v>5609</v>
      </c>
      <c r="C271" s="4772" t="s">
        <v>5675</v>
      </c>
      <c r="D271" s="4772" t="s">
        <v>6064</v>
      </c>
      <c r="E271" s="4773" t="s">
        <v>5681</v>
      </c>
      <c r="F271" s="4768" t="s">
        <v>5682</v>
      </c>
      <c r="G271" s="4770" t="s">
        <v>91</v>
      </c>
      <c r="H271" s="4770" t="s">
        <v>6044</v>
      </c>
      <c r="I271" s="4769" t="s">
        <v>494</v>
      </c>
      <c r="J271" s="4774" t="str">
        <f t="shared" si="6"/>
        <v>01</v>
      </c>
      <c r="K271" s="4774" t="str">
        <f t="shared" si="7"/>
        <v>CN.003C274</v>
      </c>
      <c r="L271" s="4774" t="str">
        <f t="shared" si="8"/>
        <v>Saad Al Easa - Metal Industry - BAYTUR_PAYMENT</v>
      </c>
      <c r="M271" s="4774" t="str">
        <f t="shared" si="9"/>
        <v>1TB01006.01.CN.003C274.00</v>
      </c>
      <c r="N271" s="4774" t="str">
        <f t="shared" si="10"/>
        <v>1TB01006.01.CN.003C274.01</v>
      </c>
      <c r="O271" s="4774" t="str">
        <f t="shared" si="11"/>
        <v>1TB01006.01.CN.003C274.02</v>
      </c>
    </row>
    <row r="272" spans="1:15">
      <c r="A272" s="4772" t="s">
        <v>258</v>
      </c>
      <c r="B272" s="4774" t="s">
        <v>5609</v>
      </c>
      <c r="C272" s="4772" t="s">
        <v>5675</v>
      </c>
      <c r="D272" s="4772" t="s">
        <v>6065</v>
      </c>
      <c r="E272" s="4773" t="s">
        <v>5720</v>
      </c>
      <c r="F272" s="4768" t="s">
        <v>5721</v>
      </c>
      <c r="G272" s="4770" t="s">
        <v>91</v>
      </c>
      <c r="H272" s="4770" t="s">
        <v>6044</v>
      </c>
      <c r="I272" s="4769" t="s">
        <v>494</v>
      </c>
      <c r="J272" s="4774" t="str">
        <f t="shared" si="6"/>
        <v>01</v>
      </c>
      <c r="K272" s="4774" t="str">
        <f t="shared" si="7"/>
        <v>CN.003C273</v>
      </c>
      <c r="L272" s="4774" t="str">
        <f t="shared" si="8"/>
        <v>Issam Kabani and Partners - BAYTUR_PAYMENT</v>
      </c>
      <c r="M272" s="4774" t="str">
        <f t="shared" si="9"/>
        <v>1TB01006.01.CN.003C273.00</v>
      </c>
      <c r="N272" s="4774" t="str">
        <f t="shared" si="10"/>
        <v>1TB01006.01.CN.003C273.01</v>
      </c>
      <c r="O272" s="4774" t="str">
        <f t="shared" si="11"/>
        <v>1TB01006.01.CN.003C273.02</v>
      </c>
    </row>
    <row r="273" spans="1:15">
      <c r="A273" s="4772" t="s">
        <v>258</v>
      </c>
      <c r="B273" s="4774" t="s">
        <v>5609</v>
      </c>
      <c r="C273" s="4772" t="s">
        <v>6066</v>
      </c>
      <c r="D273" s="4772" t="s">
        <v>6067</v>
      </c>
      <c r="E273" s="4773" t="s">
        <v>5166</v>
      </c>
      <c r="F273" s="4768" t="s">
        <v>6034</v>
      </c>
      <c r="G273" s="4770" t="s">
        <v>82</v>
      </c>
      <c r="H273" s="4770" t="s">
        <v>6068</v>
      </c>
      <c r="I273" s="4769" t="s">
        <v>5654</v>
      </c>
      <c r="J273" s="4774" t="str">
        <f t="shared" si="6"/>
        <v>01</v>
      </c>
      <c r="K273" s="4774" t="str">
        <f t="shared" si="7"/>
        <v>FFEOSE.003D15</v>
      </c>
      <c r="L273" s="4774" t="str">
        <f t="shared" si="8"/>
        <v>Saudico Electronic Systems - TBC 143</v>
      </c>
      <c r="M273" s="4774" t="str">
        <f t="shared" si="9"/>
        <v>1TB01006.01.FFEOSE.003D15.00</v>
      </c>
      <c r="N273" s="4774" t="str">
        <f t="shared" si="10"/>
        <v>1TB01006.01.FFEOSE.003D15.01</v>
      </c>
      <c r="O273" s="4774" t="str">
        <f t="shared" si="11"/>
        <v>1TB01006.01.FFEOSE.003D15.02</v>
      </c>
    </row>
    <row r="274" spans="1:15">
      <c r="A274" s="4772" t="s">
        <v>258</v>
      </c>
      <c r="B274" s="4774" t="s">
        <v>5609</v>
      </c>
      <c r="C274" s="4772" t="s">
        <v>5675</v>
      </c>
      <c r="D274" s="4772" t="s">
        <v>6069</v>
      </c>
      <c r="E274" s="4773" t="s">
        <v>5821</v>
      </c>
      <c r="F274" s="4768" t="s">
        <v>5822</v>
      </c>
      <c r="G274" s="4770" t="s">
        <v>91</v>
      </c>
      <c r="H274" s="4770" t="s">
        <v>6070</v>
      </c>
      <c r="I274" s="4769" t="s">
        <v>494</v>
      </c>
      <c r="J274" s="4774" t="str">
        <f t="shared" si="6"/>
        <v>01</v>
      </c>
      <c r="K274" s="4774" t="str">
        <f t="shared" si="7"/>
        <v>CN.003C293</v>
      </c>
      <c r="L274" s="4774" t="str">
        <f t="shared" si="8"/>
        <v>Glsan Contracting Company - BAYTUR_PAYMENT</v>
      </c>
      <c r="M274" s="4774" t="str">
        <f t="shared" si="9"/>
        <v>1TB01006.01.CN.003C293.00</v>
      </c>
      <c r="N274" s="4774" t="str">
        <f t="shared" si="10"/>
        <v>1TB01006.01.CN.003C293.01</v>
      </c>
      <c r="O274" s="4774" t="str">
        <f t="shared" si="11"/>
        <v>1TB01006.01.CN.003C293.02</v>
      </c>
    </row>
    <row r="275" spans="1:15">
      <c r="A275" s="4772" t="s">
        <v>258</v>
      </c>
      <c r="B275" s="4774" t="s">
        <v>5609</v>
      </c>
      <c r="C275" s="4772" t="s">
        <v>6071</v>
      </c>
      <c r="D275" s="4772" t="s">
        <v>6072</v>
      </c>
      <c r="E275" s="4773" t="s">
        <v>6073</v>
      </c>
      <c r="F275" s="4768" t="s">
        <v>6074</v>
      </c>
      <c r="G275" s="4770" t="s">
        <v>82</v>
      </c>
      <c r="H275" s="4770" t="s">
        <v>6075</v>
      </c>
      <c r="I275" s="4769" t="s">
        <v>5654</v>
      </c>
      <c r="J275" s="4774" t="str">
        <f t="shared" si="6"/>
        <v>01</v>
      </c>
      <c r="K275" s="4774" t="str">
        <f t="shared" si="7"/>
        <v>FFEOSE.003D10</v>
      </c>
      <c r="L275" s="4774" t="str">
        <f t="shared" si="8"/>
        <v>Al Falak Electronic Equipment &amp; Supplies Co - TBC 154</v>
      </c>
      <c r="M275" s="4774" t="str">
        <f t="shared" si="9"/>
        <v>1TB01006.01.FFEOSE.003D10.00</v>
      </c>
      <c r="N275" s="4774" t="str">
        <f t="shared" si="10"/>
        <v>1TB01006.01.FFEOSE.003D10.01</v>
      </c>
      <c r="O275" s="4774" t="str">
        <f t="shared" si="11"/>
        <v>1TB01006.01.FFEOSE.003D10.02</v>
      </c>
    </row>
    <row r="276" spans="1:15">
      <c r="A276" s="4772" t="s">
        <v>258</v>
      </c>
      <c r="B276" s="4774" t="s">
        <v>5609</v>
      </c>
      <c r="C276" s="4772" t="s">
        <v>5675</v>
      </c>
      <c r="D276" s="4772" t="s">
        <v>6076</v>
      </c>
      <c r="E276" s="4773" t="s">
        <v>5764</v>
      </c>
      <c r="F276" s="4768" t="s">
        <v>5765</v>
      </c>
      <c r="G276" s="4770" t="s">
        <v>91</v>
      </c>
      <c r="H276" s="4770" t="s">
        <v>6077</v>
      </c>
      <c r="I276" s="4769" t="s">
        <v>494</v>
      </c>
      <c r="J276" s="4774" t="str">
        <f t="shared" si="6"/>
        <v>01</v>
      </c>
      <c r="K276" s="4774" t="str">
        <f t="shared" si="7"/>
        <v>CN.003C299</v>
      </c>
      <c r="L276" s="4774" t="str">
        <f t="shared" si="8"/>
        <v>National Fire Fighting Manufacturing Company - NAFFCO - BAYTUR_PAYMENT</v>
      </c>
      <c r="M276" s="4774" t="str">
        <f t="shared" si="9"/>
        <v>1TB01006.01.CN.003C299.00</v>
      </c>
      <c r="N276" s="4774" t="str">
        <f t="shared" si="10"/>
        <v>1TB01006.01.CN.003C299.01</v>
      </c>
      <c r="O276" s="4774" t="str">
        <f t="shared" si="11"/>
        <v>1TB01006.01.CN.003C299.02</v>
      </c>
    </row>
    <row r="277" spans="1:15">
      <c r="A277" s="4772" t="s">
        <v>258</v>
      </c>
      <c r="B277" s="4774" t="s">
        <v>5609</v>
      </c>
      <c r="C277" s="4772" t="s">
        <v>5675</v>
      </c>
      <c r="D277" s="4772" t="s">
        <v>6078</v>
      </c>
      <c r="E277" s="4773" t="s">
        <v>5705</v>
      </c>
      <c r="F277" s="4768" t="s">
        <v>5706</v>
      </c>
      <c r="G277" s="4770" t="s">
        <v>91</v>
      </c>
      <c r="H277" s="4770" t="s">
        <v>6077</v>
      </c>
      <c r="I277" s="4769" t="s">
        <v>494</v>
      </c>
      <c r="J277" s="4774" t="str">
        <f t="shared" si="6"/>
        <v>01</v>
      </c>
      <c r="K277" s="4774" t="str">
        <f t="shared" si="7"/>
        <v>CN.003C302</v>
      </c>
      <c r="L277" s="4774" t="str">
        <f t="shared" si="8"/>
        <v>Intelligent General Cont. Co - Equipment - Industrial Forklift &amp; 5ton - BAYTUR_PAYMENT</v>
      </c>
      <c r="M277" s="4774" t="str">
        <f t="shared" si="9"/>
        <v>1TB01006.01.CN.003C302.00</v>
      </c>
      <c r="N277" s="4774" t="str">
        <f t="shared" si="10"/>
        <v>1TB01006.01.CN.003C302.01</v>
      </c>
      <c r="O277" s="4774" t="str">
        <f t="shared" si="11"/>
        <v>1TB01006.01.CN.003C302.02</v>
      </c>
    </row>
    <row r="278" spans="1:15">
      <c r="A278" s="4772" t="s">
        <v>258</v>
      </c>
      <c r="B278" s="4774" t="s">
        <v>5609</v>
      </c>
      <c r="C278" s="4772" t="s">
        <v>5675</v>
      </c>
      <c r="D278" s="4772" t="s">
        <v>6079</v>
      </c>
      <c r="E278" s="4773" t="s">
        <v>5693</v>
      </c>
      <c r="F278" s="4768" t="s">
        <v>5694</v>
      </c>
      <c r="G278" s="4770" t="s">
        <v>91</v>
      </c>
      <c r="H278" s="4770" t="s">
        <v>6077</v>
      </c>
      <c r="I278" s="4769" t="s">
        <v>494</v>
      </c>
      <c r="J278" s="4774" t="str">
        <f t="shared" si="6"/>
        <v>01</v>
      </c>
      <c r="K278" s="4774" t="str">
        <f t="shared" si="7"/>
        <v>CN.003C303</v>
      </c>
      <c r="L278" s="4774" t="str">
        <f t="shared" si="8"/>
        <v>JAK Generation Cont. Co. LLC - BAYTUR_PAYMENT</v>
      </c>
      <c r="M278" s="4774" t="str">
        <f t="shared" si="9"/>
        <v>1TB01006.01.CN.003C303.00</v>
      </c>
      <c r="N278" s="4774" t="str">
        <f t="shared" si="10"/>
        <v>1TB01006.01.CN.003C303.01</v>
      </c>
      <c r="O278" s="4774" t="str">
        <f t="shared" si="11"/>
        <v>1TB01006.01.CN.003C303.02</v>
      </c>
    </row>
    <row r="279" spans="1:15">
      <c r="A279" s="4772" t="s">
        <v>258</v>
      </c>
      <c r="B279" s="4774" t="s">
        <v>5609</v>
      </c>
      <c r="C279" s="4772" t="s">
        <v>5675</v>
      </c>
      <c r="D279" s="4772" t="s">
        <v>6080</v>
      </c>
      <c r="E279" s="4773" t="s">
        <v>5699</v>
      </c>
      <c r="F279" s="4768" t="s">
        <v>5700</v>
      </c>
      <c r="G279" s="4770" t="s">
        <v>91</v>
      </c>
      <c r="H279" s="4770" t="s">
        <v>6077</v>
      </c>
      <c r="I279" s="4769" t="s">
        <v>494</v>
      </c>
      <c r="J279" s="4774" t="str">
        <f t="shared" si="6"/>
        <v>01</v>
      </c>
      <c r="K279" s="4774" t="str">
        <f t="shared" si="7"/>
        <v>CN.003C301</v>
      </c>
      <c r="L279" s="4774" t="str">
        <f t="shared" si="8"/>
        <v>Al Rai Modern Water Factory - BAYTUR_PAYMENT</v>
      </c>
      <c r="M279" s="4774" t="str">
        <f t="shared" si="9"/>
        <v>1TB01006.01.CN.003C301.00</v>
      </c>
      <c r="N279" s="4774" t="str">
        <f t="shared" si="10"/>
        <v>1TB01006.01.CN.003C301.01</v>
      </c>
      <c r="O279" s="4774" t="str">
        <f t="shared" si="11"/>
        <v>1TB01006.01.CN.003C301.02</v>
      </c>
    </row>
    <row r="280" spans="1:15">
      <c r="A280" s="4772" t="s">
        <v>258</v>
      </c>
      <c r="B280" s="4774" t="s">
        <v>5609</v>
      </c>
      <c r="C280" s="4772" t="s">
        <v>5675</v>
      </c>
      <c r="D280" s="4772" t="s">
        <v>6081</v>
      </c>
      <c r="E280" s="4773" t="s">
        <v>5767</v>
      </c>
      <c r="F280" s="4768" t="s">
        <v>5768</v>
      </c>
      <c r="G280" s="4770" t="s">
        <v>91</v>
      </c>
      <c r="H280" s="4770" t="s">
        <v>6077</v>
      </c>
      <c r="I280" s="4769" t="s">
        <v>494</v>
      </c>
      <c r="J280" s="4774" t="str">
        <f t="shared" si="6"/>
        <v>01</v>
      </c>
      <c r="K280" s="4774" t="str">
        <f t="shared" si="7"/>
        <v>CN.003C300</v>
      </c>
      <c r="L280" s="4774" t="str">
        <f t="shared" si="8"/>
        <v>Yaz Development Contracting - BAYTUR_PAYMENT</v>
      </c>
      <c r="M280" s="4774" t="str">
        <f t="shared" si="9"/>
        <v>1TB01006.01.CN.003C300.00</v>
      </c>
      <c r="N280" s="4774" t="str">
        <f t="shared" si="10"/>
        <v>1TB01006.01.CN.003C300.01</v>
      </c>
      <c r="O280" s="4774" t="str">
        <f t="shared" si="11"/>
        <v>1TB01006.01.CN.003C300.02</v>
      </c>
    </row>
    <row r="281" spans="1:15">
      <c r="A281" s="4772" t="s">
        <v>258</v>
      </c>
      <c r="B281" s="4774" t="s">
        <v>5609</v>
      </c>
      <c r="C281" s="4772" t="s">
        <v>5675</v>
      </c>
      <c r="D281" s="4772" t="s">
        <v>6082</v>
      </c>
      <c r="E281" s="4773" t="s">
        <v>5864</v>
      </c>
      <c r="F281" s="4768" t="s">
        <v>5865</v>
      </c>
      <c r="G281" s="4770" t="s">
        <v>91</v>
      </c>
      <c r="H281" s="4770" t="s">
        <v>6077</v>
      </c>
      <c r="I281" s="4769" t="s">
        <v>494</v>
      </c>
      <c r="J281" s="4774" t="str">
        <f t="shared" si="6"/>
        <v>01</v>
      </c>
      <c r="K281" s="4774" t="str">
        <f t="shared" si="7"/>
        <v>CN.003C309</v>
      </c>
      <c r="L281" s="4774" t="str">
        <f t="shared" si="8"/>
        <v>Top Construction Co. Ltd. - BAYTUR_PAYMENT</v>
      </c>
      <c r="M281" s="4774" t="str">
        <f t="shared" si="9"/>
        <v>1TB01006.01.CN.003C309.00</v>
      </c>
      <c r="N281" s="4774" t="str">
        <f t="shared" si="10"/>
        <v>1TB01006.01.CN.003C309.01</v>
      </c>
      <c r="O281" s="4774" t="str">
        <f t="shared" si="11"/>
        <v>1TB01006.01.CN.003C309.02</v>
      </c>
    </row>
    <row r="282" spans="1:15">
      <c r="A282" s="4772" t="s">
        <v>258</v>
      </c>
      <c r="B282" s="4774" t="s">
        <v>5609</v>
      </c>
      <c r="C282" s="4772" t="s">
        <v>5675</v>
      </c>
      <c r="D282" s="4772" t="s">
        <v>6083</v>
      </c>
      <c r="E282" s="4773" t="s">
        <v>6003</v>
      </c>
      <c r="F282" s="4768" t="s">
        <v>6004</v>
      </c>
      <c r="G282" s="4770" t="s">
        <v>91</v>
      </c>
      <c r="H282" s="4770" t="s">
        <v>6077</v>
      </c>
      <c r="I282" s="4769" t="s">
        <v>494</v>
      </c>
      <c r="J282" s="4774" t="str">
        <f t="shared" si="6"/>
        <v>01</v>
      </c>
      <c r="K282" s="4774" t="str">
        <f t="shared" si="7"/>
        <v>CN.003C310</v>
      </c>
      <c r="L282" s="4774" t="str">
        <f t="shared" si="8"/>
        <v>Nesma United Industries Co. Ltd. - BAYTUR_PAYMENT</v>
      </c>
      <c r="M282" s="4774" t="str">
        <f t="shared" si="9"/>
        <v>1TB01006.01.CN.003C310.00</v>
      </c>
      <c r="N282" s="4774" t="str">
        <f t="shared" si="10"/>
        <v>1TB01006.01.CN.003C310.01</v>
      </c>
      <c r="O282" s="4774" t="str">
        <f t="shared" si="11"/>
        <v>1TB01006.01.CN.003C310.02</v>
      </c>
    </row>
    <row r="283" spans="1:15">
      <c r="A283" s="4772" t="s">
        <v>258</v>
      </c>
      <c r="B283" s="4774" t="s">
        <v>5609</v>
      </c>
      <c r="C283" s="4772" t="s">
        <v>5675</v>
      </c>
      <c r="D283" s="4772" t="s">
        <v>6084</v>
      </c>
      <c r="E283" s="4773" t="s">
        <v>5720</v>
      </c>
      <c r="F283" s="4768" t="s">
        <v>5721</v>
      </c>
      <c r="G283" s="4770" t="s">
        <v>91</v>
      </c>
      <c r="H283" s="4770" t="s">
        <v>6077</v>
      </c>
      <c r="I283" s="4769" t="s">
        <v>494</v>
      </c>
      <c r="J283" s="4774" t="str">
        <f t="shared" si="6"/>
        <v>01</v>
      </c>
      <c r="K283" s="4774" t="str">
        <f t="shared" si="7"/>
        <v>CN.003C294</v>
      </c>
      <c r="L283" s="4774" t="str">
        <f t="shared" si="8"/>
        <v>Issam Kabani and Partners - BAYTUR_PAYMENT</v>
      </c>
      <c r="M283" s="4774" t="str">
        <f t="shared" si="9"/>
        <v>1TB01006.01.CN.003C294.00</v>
      </c>
      <c r="N283" s="4774" t="str">
        <f t="shared" si="10"/>
        <v>1TB01006.01.CN.003C294.01</v>
      </c>
      <c r="O283" s="4774" t="str">
        <f t="shared" si="11"/>
        <v>1TB01006.01.CN.003C294.02</v>
      </c>
    </row>
    <row r="284" spans="1:15">
      <c r="A284" s="4772" t="s">
        <v>258</v>
      </c>
      <c r="B284" s="4774" t="s">
        <v>5609</v>
      </c>
      <c r="C284" s="4772" t="s">
        <v>5675</v>
      </c>
      <c r="D284" s="4772" t="s">
        <v>6085</v>
      </c>
      <c r="E284" s="4773" t="s">
        <v>5821</v>
      </c>
      <c r="F284" s="4768" t="s">
        <v>5822</v>
      </c>
      <c r="G284" s="4770" t="s">
        <v>91</v>
      </c>
      <c r="H284" s="4770" t="s">
        <v>6077</v>
      </c>
      <c r="I284" s="4769" t="s">
        <v>494</v>
      </c>
      <c r="J284" s="4774" t="str">
        <f t="shared" si="6"/>
        <v>01</v>
      </c>
      <c r="K284" s="4774" t="str">
        <f t="shared" si="7"/>
        <v>CN.003C308</v>
      </c>
      <c r="L284" s="4774" t="str">
        <f t="shared" si="8"/>
        <v>Glsan Contracting Company - BAYTUR_PAYMENT</v>
      </c>
      <c r="M284" s="4774" t="str">
        <f t="shared" si="9"/>
        <v>1TB01006.01.CN.003C308.00</v>
      </c>
      <c r="N284" s="4774" t="str">
        <f t="shared" si="10"/>
        <v>1TB01006.01.CN.003C308.01</v>
      </c>
      <c r="O284" s="4774" t="str">
        <f t="shared" si="11"/>
        <v>1TB01006.01.CN.003C308.02</v>
      </c>
    </row>
    <row r="285" spans="1:15">
      <c r="A285" s="4772" t="s">
        <v>258</v>
      </c>
      <c r="B285" s="4774" t="s">
        <v>5609</v>
      </c>
      <c r="C285" s="4772" t="s">
        <v>5675</v>
      </c>
      <c r="D285" s="4772" t="s">
        <v>6086</v>
      </c>
      <c r="E285" s="4773" t="s">
        <v>5717</v>
      </c>
      <c r="F285" s="4768" t="s">
        <v>5718</v>
      </c>
      <c r="G285" s="4770" t="s">
        <v>91</v>
      </c>
      <c r="H285" s="4770" t="s">
        <v>6077</v>
      </c>
      <c r="I285" s="4769" t="s">
        <v>494</v>
      </c>
      <c r="J285" s="4774" t="str">
        <f t="shared" si="6"/>
        <v>01</v>
      </c>
      <c r="K285" s="4774" t="str">
        <f t="shared" si="7"/>
        <v>CN.003C306</v>
      </c>
      <c r="L285" s="4774" t="str">
        <f t="shared" si="8"/>
        <v>M Mohammad Alharbi Medical Company - BAYTUR_PAYMENT</v>
      </c>
      <c r="M285" s="4774" t="str">
        <f t="shared" si="9"/>
        <v>1TB01006.01.CN.003C306.00</v>
      </c>
      <c r="N285" s="4774" t="str">
        <f t="shared" si="10"/>
        <v>1TB01006.01.CN.003C306.01</v>
      </c>
      <c r="O285" s="4774" t="str">
        <f t="shared" si="11"/>
        <v>1TB01006.01.CN.003C306.02</v>
      </c>
    </row>
    <row r="286" spans="1:15">
      <c r="A286" s="4772" t="s">
        <v>258</v>
      </c>
      <c r="B286" s="4774" t="s">
        <v>5609</v>
      </c>
      <c r="C286" s="4772" t="s">
        <v>5675</v>
      </c>
      <c r="D286" s="4772" t="s">
        <v>6087</v>
      </c>
      <c r="E286" s="4773" t="s">
        <v>5724</v>
      </c>
      <c r="F286" s="4768" t="s">
        <v>5725</v>
      </c>
      <c r="G286" s="4770" t="s">
        <v>91</v>
      </c>
      <c r="H286" s="4770" t="s">
        <v>6077</v>
      </c>
      <c r="I286" s="4769" t="s">
        <v>494</v>
      </c>
      <c r="J286" s="4774" t="str">
        <f t="shared" si="6"/>
        <v>01</v>
      </c>
      <c r="K286" s="4774" t="str">
        <f t="shared" si="7"/>
        <v>CN.003C305</v>
      </c>
      <c r="L286" s="4774" t="str">
        <f t="shared" si="8"/>
        <v>Ahmed Bin Salem Bin Dagher Al-Balawi Est. - BAYTUR_PAYMENT</v>
      </c>
      <c r="M286" s="4774" t="str">
        <f t="shared" si="9"/>
        <v>1TB01006.01.CN.003C305.00</v>
      </c>
      <c r="N286" s="4774" t="str">
        <f t="shared" si="10"/>
        <v>1TB01006.01.CN.003C305.01</v>
      </c>
      <c r="O286" s="4774" t="str">
        <f t="shared" si="11"/>
        <v>1TB01006.01.CN.003C305.02</v>
      </c>
    </row>
    <row r="287" spans="1:15">
      <c r="A287" s="4772" t="s">
        <v>258</v>
      </c>
      <c r="B287" s="4774" t="s">
        <v>5609</v>
      </c>
      <c r="C287" s="4772" t="s">
        <v>5675</v>
      </c>
      <c r="D287" s="4772" t="s">
        <v>6088</v>
      </c>
      <c r="E287" s="4773" t="s">
        <v>5677</v>
      </c>
      <c r="F287" s="4768" t="s">
        <v>5678</v>
      </c>
      <c r="G287" s="4770" t="s">
        <v>91</v>
      </c>
      <c r="H287" s="4770" t="s">
        <v>6077</v>
      </c>
      <c r="I287" s="4769" t="s">
        <v>494</v>
      </c>
      <c r="J287" s="4774" t="str">
        <f t="shared" si="6"/>
        <v>01</v>
      </c>
      <c r="K287" s="4774" t="str">
        <f t="shared" si="7"/>
        <v>CN.003C304</v>
      </c>
      <c r="L287" s="4774" t="str">
        <f t="shared" si="8"/>
        <v>Sami General Contracting Est. - BAYTUR_PAYMENT</v>
      </c>
      <c r="M287" s="4774" t="str">
        <f t="shared" si="9"/>
        <v>1TB01006.01.CN.003C304.00</v>
      </c>
      <c r="N287" s="4774" t="str">
        <f t="shared" si="10"/>
        <v>1TB01006.01.CN.003C304.01</v>
      </c>
      <c r="O287" s="4774" t="str">
        <f t="shared" si="11"/>
        <v>1TB01006.01.CN.003C304.02</v>
      </c>
    </row>
    <row r="288" spans="1:15">
      <c r="A288" s="4772" t="s">
        <v>258</v>
      </c>
      <c r="B288" s="4774" t="s">
        <v>5609</v>
      </c>
      <c r="C288" s="4772" t="s">
        <v>5675</v>
      </c>
      <c r="D288" s="4772" t="s">
        <v>6089</v>
      </c>
      <c r="E288" s="4773" t="s">
        <v>5821</v>
      </c>
      <c r="F288" s="4768" t="s">
        <v>5822</v>
      </c>
      <c r="G288" s="4770" t="s">
        <v>91</v>
      </c>
      <c r="H288" s="4770" t="s">
        <v>6077</v>
      </c>
      <c r="I288" s="4769" t="s">
        <v>494</v>
      </c>
      <c r="J288" s="4774" t="str">
        <f t="shared" si="6"/>
        <v>01</v>
      </c>
      <c r="K288" s="4774" t="str">
        <f t="shared" si="7"/>
        <v>CN.003C297</v>
      </c>
      <c r="L288" s="4774" t="str">
        <f t="shared" si="8"/>
        <v>Glsan Contracting Company - BAYTUR_PAYMENT</v>
      </c>
      <c r="M288" s="4774" t="str">
        <f t="shared" si="9"/>
        <v>1TB01006.01.CN.003C297.00</v>
      </c>
      <c r="N288" s="4774" t="str">
        <f t="shared" si="10"/>
        <v>1TB01006.01.CN.003C297.01</v>
      </c>
      <c r="O288" s="4774" t="str">
        <f t="shared" si="11"/>
        <v>1TB01006.01.CN.003C297.02</v>
      </c>
    </row>
    <row r="289" spans="1:15">
      <c r="A289" s="4772" t="s">
        <v>258</v>
      </c>
      <c r="B289" s="4774" t="s">
        <v>5609</v>
      </c>
      <c r="C289" s="4772" t="s">
        <v>5675</v>
      </c>
      <c r="D289" s="4772" t="s">
        <v>6090</v>
      </c>
      <c r="E289" s="4773" t="s">
        <v>5669</v>
      </c>
      <c r="F289" s="4768" t="s">
        <v>5670</v>
      </c>
      <c r="G289" s="4770" t="s">
        <v>91</v>
      </c>
      <c r="H289" s="4770" t="s">
        <v>6077</v>
      </c>
      <c r="I289" s="4769" t="s">
        <v>494</v>
      </c>
      <c r="J289" s="4774" t="str">
        <f t="shared" si="6"/>
        <v>01</v>
      </c>
      <c r="K289" s="4774" t="str">
        <f t="shared" si="7"/>
        <v>CN.003C295</v>
      </c>
      <c r="L289" s="4774" t="str">
        <f t="shared" si="8"/>
        <v>Abu Dhabi Precast LLC - BAYTUR_PAYMENT</v>
      </c>
      <c r="M289" s="4774" t="str">
        <f t="shared" si="9"/>
        <v>1TB01006.01.CN.003C295.00</v>
      </c>
      <c r="N289" s="4774" t="str">
        <f t="shared" si="10"/>
        <v>1TB01006.01.CN.003C295.01</v>
      </c>
      <c r="O289" s="4774" t="str">
        <f t="shared" si="11"/>
        <v>1TB01006.01.CN.003C295.02</v>
      </c>
    </row>
    <row r="290" spans="1:15">
      <c r="A290" s="4772" t="s">
        <v>258</v>
      </c>
      <c r="B290" s="4774" t="s">
        <v>5609</v>
      </c>
      <c r="C290" s="4772" t="s">
        <v>6091</v>
      </c>
      <c r="D290" s="4772" t="s">
        <v>6092</v>
      </c>
      <c r="E290" s="4773" t="s">
        <v>6093</v>
      </c>
      <c r="F290" s="4768" t="s">
        <v>6094</v>
      </c>
      <c r="G290" s="4770" t="s">
        <v>82</v>
      </c>
      <c r="H290" s="4770" t="s">
        <v>6095</v>
      </c>
      <c r="I290" s="4769" t="s">
        <v>5654</v>
      </c>
      <c r="J290" s="4774" t="str">
        <f t="shared" si="6"/>
        <v>01</v>
      </c>
      <c r="K290" s="4774" t="str">
        <f t="shared" si="7"/>
        <v>FFEOSE.003D12</v>
      </c>
      <c r="L290" s="4774" t="str">
        <f t="shared" si="8"/>
        <v>Infor (Saudi Arabia Limited) - TBC 165</v>
      </c>
      <c r="M290" s="4774" t="str">
        <f t="shared" si="9"/>
        <v>1TB01006.01.FFEOSE.003D12.00</v>
      </c>
      <c r="N290" s="4774" t="str">
        <f t="shared" si="10"/>
        <v>1TB01006.01.FFEOSE.003D12.01</v>
      </c>
      <c r="O290" s="4774" t="str">
        <f t="shared" si="11"/>
        <v>1TB01006.01.FFEOSE.003D12.02</v>
      </c>
    </row>
    <row r="291" spans="1:15">
      <c r="A291" s="4772" t="s">
        <v>258</v>
      </c>
      <c r="B291" s="4774" t="s">
        <v>5609</v>
      </c>
      <c r="C291" s="4772" t="s">
        <v>6096</v>
      </c>
      <c r="D291" s="4772" t="s">
        <v>6097</v>
      </c>
      <c r="E291" s="4773" t="s">
        <v>6098</v>
      </c>
      <c r="F291" s="4768" t="s">
        <v>6099</v>
      </c>
      <c r="G291" s="4770" t="s">
        <v>82</v>
      </c>
      <c r="H291" s="4770" t="s">
        <v>6100</v>
      </c>
      <c r="I291" s="4769" t="s">
        <v>5654</v>
      </c>
      <c r="J291" s="4774" t="str">
        <f t="shared" si="6"/>
        <v>01</v>
      </c>
      <c r="K291" s="4774" t="str">
        <f t="shared" si="7"/>
        <v>FFEOSE.003D11</v>
      </c>
      <c r="L291" s="4774" t="str">
        <f t="shared" si="8"/>
        <v>Sevenrooms Inc. - TBC 167</v>
      </c>
      <c r="M291" s="4774" t="str">
        <f t="shared" si="9"/>
        <v>1TB01006.01.FFEOSE.003D11.00</v>
      </c>
      <c r="N291" s="4774" t="str">
        <f t="shared" si="10"/>
        <v>1TB01006.01.FFEOSE.003D11.01</v>
      </c>
      <c r="O291" s="4774" t="str">
        <f t="shared" si="11"/>
        <v>1TB01006.01.FFEOSE.003D11.02</v>
      </c>
    </row>
    <row r="292" spans="1:15">
      <c r="A292" s="4772" t="s">
        <v>258</v>
      </c>
      <c r="B292" s="4774" t="s">
        <v>5609</v>
      </c>
      <c r="C292" s="4772" t="s">
        <v>5675</v>
      </c>
      <c r="D292" s="4772" t="s">
        <v>6101</v>
      </c>
      <c r="E292" s="4773" t="s">
        <v>5764</v>
      </c>
      <c r="F292" s="4768" t="s">
        <v>5765</v>
      </c>
      <c r="G292" s="4770" t="s">
        <v>91</v>
      </c>
      <c r="H292" s="4770" t="s">
        <v>6102</v>
      </c>
      <c r="I292" s="4769" t="s">
        <v>494</v>
      </c>
      <c r="J292" s="4774" t="str">
        <f t="shared" si="6"/>
        <v>01</v>
      </c>
      <c r="K292" s="4774" t="str">
        <f t="shared" si="7"/>
        <v>CN.003C312</v>
      </c>
      <c r="L292" s="4774" t="str">
        <f t="shared" si="8"/>
        <v>National Fire Fighting Manufacturing Company - NAFFCO - BAYTUR_PAYMENT</v>
      </c>
      <c r="M292" s="4774" t="str">
        <f t="shared" si="9"/>
        <v>1TB01006.01.CN.003C312.00</v>
      </c>
      <c r="N292" s="4774" t="str">
        <f t="shared" si="10"/>
        <v>1TB01006.01.CN.003C312.01</v>
      </c>
      <c r="O292" s="4774" t="str">
        <f t="shared" si="11"/>
        <v>1TB01006.01.CN.003C312.02</v>
      </c>
    </row>
    <row r="293" spans="1:15">
      <c r="A293" s="4772" t="s">
        <v>258</v>
      </c>
      <c r="B293" s="4774" t="s">
        <v>5609</v>
      </c>
      <c r="C293" s="4772" t="s">
        <v>5675</v>
      </c>
      <c r="D293" s="4772" t="s">
        <v>6103</v>
      </c>
      <c r="E293" s="4773" t="s">
        <v>5821</v>
      </c>
      <c r="F293" s="4768" t="s">
        <v>5822</v>
      </c>
      <c r="G293" s="4770" t="s">
        <v>91</v>
      </c>
      <c r="H293" s="4770" t="s">
        <v>6077</v>
      </c>
      <c r="I293" s="4769" t="s">
        <v>494</v>
      </c>
      <c r="J293" s="4774" t="str">
        <f t="shared" si="6"/>
        <v>01</v>
      </c>
      <c r="K293" s="4774" t="str">
        <f t="shared" si="7"/>
        <v>CN.003C307</v>
      </c>
      <c r="L293" s="4774" t="str">
        <f t="shared" si="8"/>
        <v>Glsan Contracting Company - BAYTUR_PAYMENT</v>
      </c>
      <c r="M293" s="4774" t="str">
        <f t="shared" si="9"/>
        <v>1TB01006.01.CN.003C307.00</v>
      </c>
      <c r="N293" s="4774" t="str">
        <f t="shared" si="10"/>
        <v>1TB01006.01.CN.003C307.01</v>
      </c>
      <c r="O293" s="4774" t="str">
        <f t="shared" si="11"/>
        <v>1TB01006.01.CN.003C307.02</v>
      </c>
    </row>
    <row r="294" spans="1:15">
      <c r="A294" s="4772" t="s">
        <v>279</v>
      </c>
      <c r="B294" s="4774" t="s">
        <v>6178</v>
      </c>
      <c r="C294" s="4772" t="s">
        <v>6179</v>
      </c>
      <c r="D294" s="4772" t="s">
        <v>6180</v>
      </c>
      <c r="E294" s="4773" t="s">
        <v>6181</v>
      </c>
      <c r="F294" s="4768" t="s">
        <v>6179</v>
      </c>
      <c r="G294" s="4770" t="s">
        <v>91</v>
      </c>
      <c r="H294" s="4770"/>
      <c r="I294" s="4769" t="s">
        <v>494</v>
      </c>
      <c r="J294" s="4774" t="str">
        <f t="shared" si="6"/>
        <v>01</v>
      </c>
      <c r="K294" s="4774" t="str">
        <f t="shared" si="7"/>
        <v>CN.009C05</v>
      </c>
      <c r="L294" s="4774" t="str">
        <f t="shared" si="8"/>
        <v>KTH - MEP Works Package - 2240072 - KORTEK</v>
      </c>
      <c r="M294" s="4774" t="str">
        <f t="shared" si="9"/>
        <v>1TB01006.01.CN.009C05.00</v>
      </c>
      <c r="N294" s="4774" t="str">
        <f t="shared" si="10"/>
        <v>1TB01006.01.CN.009C05.01</v>
      </c>
      <c r="O294" s="4774" t="str">
        <f t="shared" si="11"/>
        <v>1TB01006.01.CN.009C05.02</v>
      </c>
    </row>
    <row r="295" spans="1:15">
      <c r="A295" s="4772" t="s">
        <v>6203</v>
      </c>
      <c r="B295" s="4774" t="s">
        <v>6204</v>
      </c>
      <c r="C295" s="4772" t="s">
        <v>6205</v>
      </c>
      <c r="D295" s="4772" t="s">
        <v>6206</v>
      </c>
      <c r="E295" s="4773" t="s">
        <v>6207</v>
      </c>
      <c r="F295" s="4768" t="s">
        <v>5877</v>
      </c>
      <c r="G295" s="4770" t="s">
        <v>91</v>
      </c>
      <c r="H295" s="4770"/>
      <c r="I295" s="4769" t="s">
        <v>494</v>
      </c>
      <c r="J295" s="4774" t="str">
        <f t="shared" si="6"/>
        <v>01</v>
      </c>
      <c r="K295" s="4774" t="str">
        <f t="shared" si="7"/>
        <v>CN.012C33</v>
      </c>
      <c r="L295" s="4774" t="str">
        <f t="shared" si="8"/>
        <v>ALC - Alcatop Package - Fourseasons - Alcatop</v>
      </c>
      <c r="M295" s="4774" t="str">
        <f t="shared" si="9"/>
        <v>1TB01006.01.CN.012C33.00</v>
      </c>
      <c r="N295" s="4774" t="str">
        <f t="shared" si="10"/>
        <v>1TB01006.01.CN.012C33.01</v>
      </c>
      <c r="O295" s="4774" t="str">
        <f t="shared" si="11"/>
        <v>1TB01006.01.CN.012C33.02</v>
      </c>
    </row>
    <row r="296" spans="1:15">
      <c r="A296" s="4772" t="s">
        <v>258</v>
      </c>
      <c r="B296" s="4774" t="s">
        <v>5609</v>
      </c>
      <c r="C296" s="4772" t="s">
        <v>6241</v>
      </c>
      <c r="D296" s="4772" t="s">
        <v>6640</v>
      </c>
      <c r="E296" s="4773" t="s">
        <v>6242</v>
      </c>
      <c r="F296" s="4768" t="s">
        <v>6243</v>
      </c>
      <c r="G296" s="4770" t="s">
        <v>91</v>
      </c>
      <c r="H296" s="4770"/>
      <c r="I296" s="4769" t="s">
        <v>494</v>
      </c>
      <c r="J296" s="4774" t="str">
        <f t="shared" ref="J296:J297" si="12">RIGHT(A296,2)</f>
        <v>01</v>
      </c>
      <c r="K296" s="4774" t="str">
        <f t="shared" ref="K296:K297" si="13">I296&amp;"."&amp;D296</f>
        <v>CN.003C328</v>
      </c>
      <c r="L296" s="4774" t="str">
        <f t="shared" ref="L296:L297" si="14">E296&amp;" - "&amp;C296</f>
        <v>Al Futtaim Pioneer Elevators - Al Futtaim Pioneer</v>
      </c>
      <c r="M296" s="4774" t="str">
        <f t="shared" ref="M296:M297" si="15">"1TB01006"&amp;"."&amp;J296&amp;"."&amp;I296&amp;"."&amp;D296&amp;".00"</f>
        <v>1TB01006.01.CN.003C328.00</v>
      </c>
      <c r="N296" s="4774" t="str">
        <f t="shared" ref="N296:N297" si="16">"1TB01006"&amp;"."&amp;J296&amp;"."&amp;I296&amp;"."&amp;D296&amp;".01"</f>
        <v>1TB01006.01.CN.003C328.01</v>
      </c>
      <c r="O296" s="4774" t="str">
        <f t="shared" ref="O296:O297" si="17">"1TB01006"&amp;"."&amp;J296&amp;"."&amp;I296&amp;"."&amp;D296&amp;".02"</f>
        <v>1TB01006.01.CN.003C328.02</v>
      </c>
    </row>
    <row r="297" spans="1:15">
      <c r="A297" s="4772" t="s">
        <v>258</v>
      </c>
      <c r="B297" s="4774" t="s">
        <v>5609</v>
      </c>
      <c r="C297" s="4772"/>
      <c r="D297" s="4772" t="s">
        <v>6457</v>
      </c>
      <c r="E297" s="4773" t="s">
        <v>6456</v>
      </c>
      <c r="F297" s="4768" t="s">
        <v>6458</v>
      </c>
      <c r="G297" s="4770" t="s">
        <v>82</v>
      </c>
      <c r="H297" s="4770" t="s">
        <v>6459</v>
      </c>
      <c r="I297" s="4769" t="s">
        <v>5654</v>
      </c>
      <c r="J297" s="4774" t="str">
        <f t="shared" si="12"/>
        <v>01</v>
      </c>
      <c r="K297" s="4774" t="str">
        <f t="shared" si="13"/>
        <v>FFEOSE.003D14</v>
      </c>
      <c r="L297" s="4774" t="str">
        <f t="shared" si="14"/>
        <v xml:space="preserve">TRA - Zatca Integration with Reachware - </v>
      </c>
      <c r="M297" s="4774" t="str">
        <f t="shared" si="15"/>
        <v>1TB01006.01.FFEOSE.003D14.00</v>
      </c>
      <c r="N297" s="4774" t="str">
        <f t="shared" si="16"/>
        <v>1TB01006.01.FFEOSE.003D14.01</v>
      </c>
      <c r="O297" s="4774" t="str">
        <f t="shared" si="17"/>
        <v>1TB01006.01.FFEOSE.003D14.02</v>
      </c>
    </row>
    <row r="298" spans="1:15">
      <c r="A298" s="4772" t="s">
        <v>258</v>
      </c>
      <c r="B298" s="4774" t="s">
        <v>5609</v>
      </c>
      <c r="C298" s="4772"/>
      <c r="D298" s="4772" t="s">
        <v>6457</v>
      </c>
      <c r="E298" s="4773" t="s">
        <v>6456</v>
      </c>
      <c r="F298" s="4768" t="s">
        <v>6458</v>
      </c>
      <c r="G298" s="4770" t="s">
        <v>82</v>
      </c>
      <c r="H298" s="4770" t="s">
        <v>6459</v>
      </c>
      <c r="I298" s="4769" t="s">
        <v>5654</v>
      </c>
      <c r="J298" s="4774" t="str">
        <f t="shared" ref="J298:J299" si="18">RIGHT(A298,2)</f>
        <v>01</v>
      </c>
      <c r="K298" s="4774" t="str">
        <f t="shared" ref="K298:K299" si="19">I298&amp;"."&amp;D298</f>
        <v>FFEOSE.003D14</v>
      </c>
      <c r="L298" s="4774" t="str">
        <f t="shared" ref="L298:L299" si="20">E298&amp;" - "&amp;C298</f>
        <v xml:space="preserve">TRA - Zatca Integration with Reachware - </v>
      </c>
      <c r="M298" s="4774" t="str">
        <f t="shared" ref="M298:M299" si="21">"1TB01006"&amp;"."&amp;J298&amp;"."&amp;I298&amp;"."&amp;D298&amp;".00"</f>
        <v>1TB01006.01.FFEOSE.003D14.00</v>
      </c>
      <c r="N298" s="4774" t="str">
        <f t="shared" ref="N298:N299" si="22">"1TB01006"&amp;"."&amp;J298&amp;"."&amp;I298&amp;"."&amp;D298&amp;".01"</f>
        <v>1TB01006.01.FFEOSE.003D14.01</v>
      </c>
      <c r="O298" s="4774" t="str">
        <f t="shared" ref="O298:O299" si="23">"1TB01006"&amp;"."&amp;J298&amp;"."&amp;I298&amp;"."&amp;D298&amp;".02"</f>
        <v>1TB01006.01.FFEOSE.003D14.02</v>
      </c>
    </row>
    <row r="299" spans="1:15">
      <c r="A299" s="5123" t="s">
        <v>6471</v>
      </c>
      <c r="B299" s="5124" t="s">
        <v>6472</v>
      </c>
      <c r="C299" s="5123">
        <v>2230277</v>
      </c>
      <c r="D299" s="5123" t="s">
        <v>6473</v>
      </c>
      <c r="E299" s="5125" t="s">
        <v>6474</v>
      </c>
      <c r="F299" s="5126" t="s">
        <v>6475</v>
      </c>
      <c r="G299" s="5127" t="s">
        <v>91</v>
      </c>
      <c r="H299" s="5127"/>
      <c r="I299" s="5128" t="s">
        <v>494</v>
      </c>
      <c r="J299" s="5124" t="str">
        <f t="shared" si="18"/>
        <v>99</v>
      </c>
      <c r="K299" s="5124" t="str">
        <f t="shared" si="19"/>
        <v>CN.006C22</v>
      </c>
      <c r="L299" s="5124" t="str">
        <f t="shared" si="20"/>
        <v>Shandong Tiejun Electric Power Engineering Co. LTD. Branch - 2230277</v>
      </c>
      <c r="M299" s="5124" t="str">
        <f t="shared" si="21"/>
        <v>1TB01006.99.CN.006C22.00</v>
      </c>
      <c r="N299" s="5124" t="str">
        <f t="shared" si="22"/>
        <v>1TB01006.99.CN.006C22.01</v>
      </c>
      <c r="O299" s="5124" t="str">
        <f t="shared" si="23"/>
        <v>1TB01006.99.CN.006C22.02</v>
      </c>
    </row>
    <row r="300" spans="1:15">
      <c r="A300" s="5123" t="s">
        <v>6486</v>
      </c>
      <c r="B300" s="5124" t="s">
        <v>6178</v>
      </c>
      <c r="C300" s="5123" t="s">
        <v>6490</v>
      </c>
      <c r="D300" s="5123" t="s">
        <v>6488</v>
      </c>
      <c r="E300" s="5125" t="s">
        <v>6487</v>
      </c>
      <c r="F300" s="5126" t="s">
        <v>6489</v>
      </c>
      <c r="G300" s="5127" t="s">
        <v>91</v>
      </c>
      <c r="H300" s="5127"/>
      <c r="I300" s="5128" t="s">
        <v>494</v>
      </c>
      <c r="J300" s="5124" t="str">
        <f t="shared" ref="J300" si="24">RIGHT(A300,2)</f>
        <v>99</v>
      </c>
      <c r="K300" s="5124" t="str">
        <f t="shared" ref="K300" si="25">I300&amp;"."&amp;D300</f>
        <v>CN.009C09</v>
      </c>
      <c r="L300" s="5124" t="str">
        <f t="shared" ref="L300" si="26">E300&amp;" - "&amp;C300</f>
        <v>IMAR Overseas Saudi Arabia Co. W.L.L. - IMAR MH3</v>
      </c>
      <c r="M300" s="5124" t="str">
        <f t="shared" ref="M300" si="27">"1TB01006"&amp;"."&amp;J300&amp;"."&amp;I300&amp;"."&amp;D300&amp;".00"</f>
        <v>1TB01006.99.CN.009C09.00</v>
      </c>
      <c r="N300" s="5124" t="str">
        <f t="shared" ref="N300" si="28">"1TB01006"&amp;"."&amp;J300&amp;"."&amp;I300&amp;"."&amp;D300&amp;".01"</f>
        <v>1TB01006.99.CN.009C09.01</v>
      </c>
      <c r="O300" s="5124" t="str">
        <f t="shared" ref="O300" si="29">"1TB01006"&amp;"."&amp;J300&amp;"."&amp;I300&amp;"."&amp;D300&amp;".02"</f>
        <v>1TB01006.99.CN.009C09.02</v>
      </c>
    </row>
    <row r="301" spans="1:15">
      <c r="A301" s="5123" t="s">
        <v>6486</v>
      </c>
      <c r="B301" s="5124" t="s">
        <v>6178</v>
      </c>
      <c r="C301" s="5123" t="s">
        <v>6497</v>
      </c>
      <c r="D301" s="5123" t="s">
        <v>6498</v>
      </c>
      <c r="E301" s="5125" t="s">
        <v>6499</v>
      </c>
      <c r="F301" s="5126" t="s">
        <v>6500</v>
      </c>
      <c r="G301" s="5127" t="s">
        <v>91</v>
      </c>
      <c r="H301" s="5127"/>
      <c r="I301" s="5128" t="s">
        <v>494</v>
      </c>
      <c r="J301" s="5124" t="str">
        <f t="shared" ref="J301" si="30">RIGHT(A301,2)</f>
        <v>99</v>
      </c>
      <c r="K301" s="5124" t="str">
        <f t="shared" ref="K301" si="31">I301&amp;"."&amp;D301</f>
        <v>CN.009C35</v>
      </c>
      <c r="L301" s="5124" t="str">
        <f t="shared" ref="L301" si="32">E301&amp;" - "&amp;C301</f>
        <v>Fibrex LLC - FIBREX LLC</v>
      </c>
      <c r="M301" s="5124" t="str">
        <f t="shared" ref="M301" si="33">"1TB01006"&amp;"."&amp;J301&amp;"."&amp;I301&amp;"."&amp;D301&amp;".00"</f>
        <v>1TB01006.99.CN.009C35.00</v>
      </c>
      <c r="N301" s="5124" t="str">
        <f t="shared" ref="N301" si="34">"1TB01006"&amp;"."&amp;J301&amp;"."&amp;I301&amp;"."&amp;D301&amp;".01"</f>
        <v>1TB01006.99.CN.009C35.01</v>
      </c>
      <c r="O301" s="5124" t="str">
        <f t="shared" ref="O301" si="35">"1TB01006"&amp;"."&amp;J301&amp;"."&amp;I301&amp;"."&amp;D301&amp;".02"</f>
        <v>1TB01006.99.CN.009C35.02</v>
      </c>
    </row>
    <row r="302" spans="1:15">
      <c r="A302" s="5123" t="s">
        <v>6486</v>
      </c>
      <c r="B302" s="4774" t="s">
        <v>5609</v>
      </c>
      <c r="C302" s="5123" t="s">
        <v>6636</v>
      </c>
      <c r="D302" s="5123" t="s">
        <v>6637</v>
      </c>
      <c r="E302" s="5125" t="s">
        <v>6638</v>
      </c>
      <c r="F302" s="5126" t="s">
        <v>6636</v>
      </c>
      <c r="G302" s="5127" t="s">
        <v>91</v>
      </c>
      <c r="H302" s="5127"/>
      <c r="I302" s="5128" t="s">
        <v>494</v>
      </c>
      <c r="J302" s="5124" t="str">
        <f t="shared" ref="J302" si="36">RIGHT(A302,2)</f>
        <v>99</v>
      </c>
      <c r="K302" s="5124" t="str">
        <f t="shared" ref="K302" si="37">I302&amp;"."&amp;D302</f>
        <v>CN.003C314</v>
      </c>
      <c r="L302" s="5124" t="str">
        <f t="shared" ref="L302" si="38">E302&amp;" - "&amp;C302</f>
        <v>RJT- OCIP Insurance Premium - Declaration 11 - OCIP Insurance</v>
      </c>
      <c r="M302" s="5124" t="str">
        <f t="shared" ref="M302" si="39">"1TB01006"&amp;"."&amp;J302&amp;"."&amp;I302&amp;"."&amp;D302&amp;".00"</f>
        <v>1TB01006.99.CN.003C314.00</v>
      </c>
      <c r="N302" s="5124" t="str">
        <f t="shared" ref="N302" si="40">"1TB01006"&amp;"."&amp;J302&amp;"."&amp;I302&amp;"."&amp;D302&amp;".01"</f>
        <v>1TB01006.99.CN.003C314.01</v>
      </c>
      <c r="O302" s="5124" t="str">
        <f t="shared" ref="O302" si="41">"1TB01006"&amp;"."&amp;J302&amp;"."&amp;I302&amp;"."&amp;D302&amp;".02"</f>
        <v>1TB01006.99.CN.003C314.02</v>
      </c>
    </row>
    <row r="303" spans="1:15">
      <c r="A303" s="4772" t="s">
        <v>258</v>
      </c>
      <c r="B303" s="4774" t="s">
        <v>5609</v>
      </c>
      <c r="C303" s="5123" t="s">
        <v>6686</v>
      </c>
      <c r="D303" s="5123" t="s">
        <v>6687</v>
      </c>
      <c r="E303" s="5125" t="s">
        <v>6688</v>
      </c>
      <c r="F303" s="5126" t="s">
        <v>6689</v>
      </c>
      <c r="G303" s="5127" t="s">
        <v>91</v>
      </c>
      <c r="H303" s="5127"/>
      <c r="I303" s="4769" t="s">
        <v>5654</v>
      </c>
      <c r="J303" s="5124" t="str">
        <f t="shared" ref="J303" si="42">RIGHT(A303,2)</f>
        <v>01</v>
      </c>
      <c r="K303" s="5124" t="str">
        <f t="shared" ref="K303" si="43">I303&amp;"."&amp;D303</f>
        <v>FFEOSE.003D20</v>
      </c>
      <c r="L303" s="5124" t="str">
        <f t="shared" ref="L303" si="44">E303&amp;" - "&amp;C303</f>
        <v>Samtiah Arabis Ltd - Operation systems - Operation Systems</v>
      </c>
      <c r="M303" s="5124" t="str">
        <f t="shared" ref="M303" si="45">"1TB01006"&amp;"."&amp;J303&amp;"."&amp;I303&amp;"."&amp;D303&amp;".00"</f>
        <v>1TB01006.01.FFEOSE.003D20.00</v>
      </c>
      <c r="N303" s="5124" t="str">
        <f t="shared" ref="N303" si="46">"1TB01006"&amp;"."&amp;J303&amp;"."&amp;I303&amp;"."&amp;D303&amp;".01"</f>
        <v>1TB01006.01.FFEOSE.003D20.01</v>
      </c>
      <c r="O303" s="5124" t="str">
        <f t="shared" ref="O303" si="47">"1TB01006"&amp;"."&amp;J303&amp;"."&amp;I303&amp;"."&amp;D303&amp;".02"</f>
        <v>1TB01006.01.FFEOSE.003D20.02</v>
      </c>
    </row>
    <row r="304" spans="1:15">
      <c r="B304" s="4777"/>
    </row>
    <row r="319" spans="2:2">
      <c r="B319" s="4775" t="s">
        <v>6104</v>
      </c>
    </row>
    <row r="320" spans="2:2">
      <c r="B320" s="4775" t="s">
        <v>6105</v>
      </c>
    </row>
    <row r="321" spans="2:2">
      <c r="B321" s="4775" t="s">
        <v>6106</v>
      </c>
    </row>
    <row r="322" spans="2:2">
      <c r="B322" s="4775" t="s">
        <v>6107</v>
      </c>
    </row>
    <row r="1048576" spans="6:6">
      <c r="F1048576" s="4768"/>
    </row>
  </sheetData>
  <autoFilter ref="A2:O297" xr:uid="{6B1D6DDE-0AB7-4A83-AA30-5B12D7528D01}"/>
  <phoneticPr fontId="347" type="noConversion"/>
  <dataValidations count="1">
    <dataValidation type="list" allowBlank="1" showInputMessage="1" showErrorMessage="1" sqref="I3:I303" xr:uid="{F9839E2A-0157-47DB-9194-59E3C06ADBB2}">
      <formula1>"PS,MS,CM,CN,FFEOSE"</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I47"/>
  <sheetViews>
    <sheetView workbookViewId="0">
      <selection activeCell="B12" sqref="B12"/>
    </sheetView>
  </sheetViews>
  <sheetFormatPr defaultColWidth="8.85546875" defaultRowHeight="12.75"/>
  <cols>
    <col min="1" max="1" width="20" customWidth="1"/>
    <col min="2" max="2" width="44" customWidth="1"/>
  </cols>
  <sheetData>
    <row r="1" spans="1:9">
      <c r="A1" t="s">
        <v>0</v>
      </c>
      <c r="B1" t="s">
        <v>1</v>
      </c>
    </row>
    <row r="2" spans="1:9">
      <c r="A2" t="s">
        <v>2</v>
      </c>
      <c r="B2" t="s">
        <v>3</v>
      </c>
    </row>
    <row r="3" spans="1:9">
      <c r="A3" t="s">
        <v>4</v>
      </c>
      <c r="B3" t="s">
        <v>5</v>
      </c>
      <c r="E3" s="42" t="s">
        <v>6</v>
      </c>
    </row>
    <row r="4" spans="1:9">
      <c r="A4" t="s">
        <v>7</v>
      </c>
      <c r="B4" t="s">
        <v>8</v>
      </c>
      <c r="E4" s="42"/>
    </row>
    <row r="5" spans="1:9">
      <c r="A5" t="s">
        <v>9</v>
      </c>
      <c r="B5" t="s">
        <v>10</v>
      </c>
    </row>
    <row r="6" spans="1:9">
      <c r="A6" t="s">
        <v>11</v>
      </c>
      <c r="B6" t="s">
        <v>12</v>
      </c>
    </row>
    <row r="7" spans="1:9">
      <c r="A7" t="s">
        <v>13</v>
      </c>
      <c r="B7" s="40" t="s">
        <v>6708</v>
      </c>
    </row>
    <row r="8" spans="1:9">
      <c r="A8" t="s">
        <v>14</v>
      </c>
      <c r="B8" s="41" t="s">
        <v>6709</v>
      </c>
    </row>
    <row r="9" spans="1:9">
      <c r="A9" t="s">
        <v>15</v>
      </c>
      <c r="B9" t="s">
        <v>16</v>
      </c>
    </row>
    <row r="10" spans="1:9">
      <c r="A10" t="s">
        <v>15</v>
      </c>
      <c r="B10" t="s">
        <v>16</v>
      </c>
    </row>
    <row r="11" spans="1:9">
      <c r="A11" t="s">
        <v>17</v>
      </c>
      <c r="B11" s="40" t="s">
        <v>6710</v>
      </c>
    </row>
    <row r="12" spans="1:9">
      <c r="E12" t="s">
        <v>18</v>
      </c>
      <c r="F12" t="s">
        <v>19</v>
      </c>
    </row>
    <row r="13" spans="1:9">
      <c r="A13" s="42" t="s">
        <v>20</v>
      </c>
      <c r="E13" s="2452" t="s">
        <v>21</v>
      </c>
      <c r="F13" s="2452" t="s">
        <v>22</v>
      </c>
    </row>
    <row r="14" spans="1:9">
      <c r="A14" s="7" t="s">
        <v>23</v>
      </c>
      <c r="B14" s="7" t="s">
        <v>24</v>
      </c>
      <c r="C14" s="2452" t="s">
        <v>22</v>
      </c>
      <c r="E14" s="2452" t="s">
        <v>21</v>
      </c>
    </row>
    <row r="15" spans="1:9">
      <c r="A15" s="7" t="s">
        <v>25</v>
      </c>
      <c r="B15" s="7" t="s">
        <v>26</v>
      </c>
      <c r="C15" s="2452" t="s">
        <v>22</v>
      </c>
      <c r="E15" s="2452" t="s">
        <v>21</v>
      </c>
    </row>
    <row r="16" spans="1:9">
      <c r="A16" s="7" t="s">
        <v>25</v>
      </c>
      <c r="B16" s="7" t="s">
        <v>2981</v>
      </c>
      <c r="C16" s="2452" t="s">
        <v>22</v>
      </c>
      <c r="E16" s="2452" t="s">
        <v>21</v>
      </c>
      <c r="I16" s="7"/>
    </row>
    <row r="17" spans="1:9">
      <c r="A17" s="7" t="s">
        <v>25</v>
      </c>
      <c r="B17" s="7" t="s">
        <v>566</v>
      </c>
      <c r="C17" s="2452" t="s">
        <v>22</v>
      </c>
      <c r="E17" s="2452" t="s">
        <v>21</v>
      </c>
      <c r="I17" s="7"/>
    </row>
    <row r="18" spans="1:9">
      <c r="A18" s="7" t="s">
        <v>25</v>
      </c>
      <c r="B18" s="7" t="s">
        <v>2982</v>
      </c>
      <c r="C18" s="2452" t="s">
        <v>22</v>
      </c>
      <c r="E18" s="2452" t="s">
        <v>21</v>
      </c>
      <c r="I18" s="7"/>
    </row>
    <row r="19" spans="1:9">
      <c r="A19" s="7" t="s">
        <v>27</v>
      </c>
      <c r="B19" s="7" t="s">
        <v>28</v>
      </c>
      <c r="C19" s="2452" t="s">
        <v>22</v>
      </c>
      <c r="E19" s="2452" t="s">
        <v>21</v>
      </c>
      <c r="I19" s="7"/>
    </row>
    <row r="20" spans="1:9">
      <c r="A20" s="7" t="s">
        <v>29</v>
      </c>
      <c r="B20" s="7" t="s">
        <v>30</v>
      </c>
      <c r="C20" s="2452" t="s">
        <v>22</v>
      </c>
      <c r="E20" s="2452" t="s">
        <v>21</v>
      </c>
      <c r="I20" s="7"/>
    </row>
    <row r="21" spans="1:9">
      <c r="A21" s="7" t="s">
        <v>31</v>
      </c>
      <c r="B21" s="7" t="s">
        <v>32</v>
      </c>
      <c r="C21" s="2452" t="s">
        <v>22</v>
      </c>
      <c r="E21" s="2452" t="s">
        <v>21</v>
      </c>
      <c r="I21" s="7"/>
    </row>
    <row r="22" spans="1:9">
      <c r="A22" s="7" t="s">
        <v>33</v>
      </c>
      <c r="B22" s="7" t="s">
        <v>34</v>
      </c>
      <c r="C22" s="2452" t="s">
        <v>22</v>
      </c>
      <c r="E22" s="2452" t="s">
        <v>21</v>
      </c>
      <c r="I22" s="7"/>
    </row>
    <row r="23" spans="1:9">
      <c r="A23" s="7" t="s">
        <v>35</v>
      </c>
      <c r="B23" s="7" t="s">
        <v>36</v>
      </c>
      <c r="C23" s="2452" t="s">
        <v>22</v>
      </c>
      <c r="E23" s="2452" t="s">
        <v>21</v>
      </c>
      <c r="I23" s="7"/>
    </row>
    <row r="24" spans="1:9">
      <c r="A24" s="7" t="s">
        <v>37</v>
      </c>
      <c r="B24" s="7" t="s">
        <v>38</v>
      </c>
      <c r="C24" s="2452" t="s">
        <v>22</v>
      </c>
      <c r="E24" s="2452" t="s">
        <v>21</v>
      </c>
      <c r="I24" s="7"/>
    </row>
    <row r="25" spans="1:9">
      <c r="A25" s="7" t="s">
        <v>39</v>
      </c>
      <c r="B25" s="7" t="s">
        <v>40</v>
      </c>
      <c r="C25" s="2452" t="s">
        <v>22</v>
      </c>
      <c r="E25" s="2452" t="s">
        <v>21</v>
      </c>
      <c r="I25" s="7"/>
    </row>
    <row r="26" spans="1:9">
      <c r="A26" s="7" t="s">
        <v>41</v>
      </c>
      <c r="B26" s="7" t="s">
        <v>42</v>
      </c>
      <c r="C26" s="2452" t="s">
        <v>22</v>
      </c>
      <c r="E26" s="2452" t="s">
        <v>21</v>
      </c>
      <c r="I26" s="7"/>
    </row>
    <row r="27" spans="1:9">
      <c r="A27" s="7" t="s">
        <v>43</v>
      </c>
      <c r="B27" s="7" t="s">
        <v>44</v>
      </c>
      <c r="I27" s="7"/>
    </row>
    <row r="28" spans="1:9">
      <c r="A28" s="7" t="s">
        <v>45</v>
      </c>
      <c r="B28" s="7" t="s">
        <v>46</v>
      </c>
      <c r="I28" s="7"/>
    </row>
    <row r="29" spans="1:9">
      <c r="A29" s="7" t="s">
        <v>47</v>
      </c>
      <c r="B29" s="7" t="s">
        <v>48</v>
      </c>
      <c r="I29" s="7"/>
    </row>
    <row r="30" spans="1:9">
      <c r="I30" s="7"/>
    </row>
    <row r="31" spans="1:9">
      <c r="A31" s="872" t="s">
        <v>49</v>
      </c>
      <c r="I31" s="7"/>
    </row>
    <row r="32" spans="1:9">
      <c r="A32" s="870" t="s">
        <v>2983</v>
      </c>
      <c r="C32" t="s">
        <v>51</v>
      </c>
    </row>
    <row r="33" spans="1:3">
      <c r="A33" s="870" t="s">
        <v>50</v>
      </c>
      <c r="C33" t="s">
        <v>53</v>
      </c>
    </row>
    <row r="34" spans="1:3">
      <c r="A34" s="870" t="s">
        <v>52</v>
      </c>
      <c r="C34" t="s">
        <v>54</v>
      </c>
    </row>
    <row r="35" spans="1:3">
      <c r="A35" s="870" t="s">
        <v>55</v>
      </c>
      <c r="C35" t="s">
        <v>56</v>
      </c>
    </row>
    <row r="36" spans="1:3">
      <c r="A36" s="870"/>
    </row>
    <row r="37" spans="1:3">
      <c r="A37" s="870" t="s">
        <v>2334</v>
      </c>
      <c r="C37" t="s">
        <v>2335</v>
      </c>
    </row>
    <row r="39" spans="1:3">
      <c r="A39" s="870" t="s">
        <v>57</v>
      </c>
    </row>
    <row r="40" spans="1:3">
      <c r="A40" s="870" t="s">
        <v>2984</v>
      </c>
    </row>
    <row r="41" spans="1:3">
      <c r="A41" s="870" t="s">
        <v>2334</v>
      </c>
      <c r="C41" t="s">
        <v>2335</v>
      </c>
    </row>
    <row r="42" spans="1:3">
      <c r="A42" s="870" t="s">
        <v>2985</v>
      </c>
      <c r="C42" t="s">
        <v>58</v>
      </c>
    </row>
    <row r="43" spans="1:3">
      <c r="A43" s="870" t="s">
        <v>2986</v>
      </c>
    </row>
    <row r="44" spans="1:3">
      <c r="A44" s="870" t="s">
        <v>52</v>
      </c>
      <c r="C44" t="s">
        <v>54</v>
      </c>
    </row>
    <row r="45" spans="1:3">
      <c r="A45" s="870" t="s">
        <v>59</v>
      </c>
      <c r="C45" t="s">
        <v>56</v>
      </c>
    </row>
    <row r="46" spans="1:3">
      <c r="A46" s="870" t="s">
        <v>60</v>
      </c>
      <c r="C46" t="s">
        <v>61</v>
      </c>
    </row>
    <row r="47" spans="1:3">
      <c r="A47" s="870" t="s">
        <v>2666</v>
      </c>
      <c r="C47" t="s">
        <v>62</v>
      </c>
    </row>
  </sheetData>
  <pageMargins left="0.70866141732283505" right="0.70866141732283505" top="0.74803149606299202" bottom="0.74803149606299202" header="0.31496062992126" footer="0.31496062992126"/>
  <pageSetup paperSize="8" fitToHeight="100" orientation="landscape" r:id="rId1"/>
  <headerFooter>
    <oddHeader>&amp;R
&amp;D</oddHeader>
    <oddFooter>&amp;L&amp;F&amp;C&amp;P&amp;R&amp;A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6"/>
  <dimension ref="B1:Q173"/>
  <sheetViews>
    <sheetView topLeftCell="B107" zoomScaleNormal="100" workbookViewId="0">
      <selection activeCell="I162" sqref="I162"/>
    </sheetView>
  </sheetViews>
  <sheetFormatPr defaultColWidth="8.85546875" defaultRowHeight="12.75"/>
  <cols>
    <col min="1" max="1" width="8.85546875" style="5"/>
    <col min="2" max="3" width="16" style="5" customWidth="1"/>
    <col min="4" max="4" width="12" style="5" customWidth="1"/>
    <col min="5" max="5" width="27" style="5" customWidth="1"/>
    <col min="6" max="6" width="21.85546875" style="5" customWidth="1"/>
    <col min="7" max="7" width="23.42578125" style="5" customWidth="1"/>
    <col min="8" max="8" width="28.42578125" style="5" customWidth="1"/>
    <col min="9" max="9" width="41.5703125" style="5" customWidth="1"/>
    <col min="10" max="10" width="22" style="5" customWidth="1"/>
    <col min="11" max="11" width="8.85546875" style="5"/>
    <col min="12" max="12" width="30.85546875" style="5" customWidth="1"/>
    <col min="13" max="13" width="25.42578125" style="5" customWidth="1"/>
    <col min="14" max="14" width="36" style="5" customWidth="1"/>
    <col min="15" max="15" width="43.85546875" style="5" customWidth="1"/>
    <col min="16" max="16" width="11.5703125" style="5" customWidth="1"/>
    <col min="17" max="16384" width="8.85546875" style="5"/>
  </cols>
  <sheetData>
    <row r="1" spans="2:17">
      <c r="J1" s="5">
        <v>1</v>
      </c>
      <c r="K1" s="5">
        <v>2</v>
      </c>
      <c r="L1" s="5">
        <v>3</v>
      </c>
      <c r="M1" s="5">
        <v>4</v>
      </c>
      <c r="N1" s="5">
        <v>5</v>
      </c>
      <c r="O1" s="5">
        <v>6</v>
      </c>
      <c r="P1" s="5">
        <v>7</v>
      </c>
      <c r="Q1" s="5">
        <v>8</v>
      </c>
    </row>
    <row r="2" spans="2:17" s="3" customFormat="1" ht="25.5">
      <c r="B2" s="3" t="s">
        <v>63</v>
      </c>
      <c r="C2" s="3" t="s">
        <v>64</v>
      </c>
      <c r="D2" s="3" t="s">
        <v>65</v>
      </c>
      <c r="E2" s="3" t="s">
        <v>66</v>
      </c>
      <c r="F2" s="1056" t="s">
        <v>67</v>
      </c>
      <c r="G2" s="3" t="s">
        <v>68</v>
      </c>
      <c r="H2" s="3" t="s">
        <v>69</v>
      </c>
      <c r="I2" s="3" t="s">
        <v>70</v>
      </c>
      <c r="J2" s="653" t="s">
        <v>71</v>
      </c>
      <c r="L2" s="3" t="s">
        <v>72</v>
      </c>
      <c r="M2" s="3" t="s">
        <v>73</v>
      </c>
      <c r="N2" s="3" t="s">
        <v>74</v>
      </c>
      <c r="O2" s="3" t="s">
        <v>75</v>
      </c>
      <c r="P2" s="1461" t="s">
        <v>76</v>
      </c>
      <c r="Q2" s="1461" t="s">
        <v>77</v>
      </c>
    </row>
    <row r="3" spans="2:17">
      <c r="B3" s="4" t="s">
        <v>5122</v>
      </c>
      <c r="C3" t="s">
        <v>79</v>
      </c>
      <c r="D3" s="4" t="s">
        <v>80</v>
      </c>
      <c r="E3" s="4" t="s">
        <v>81</v>
      </c>
      <c r="F3" s="1057" t="s">
        <v>82</v>
      </c>
      <c r="G3" s="4" t="s">
        <v>83</v>
      </c>
      <c r="H3" s="4" t="s">
        <v>84</v>
      </c>
      <c r="I3" s="4" t="s">
        <v>85</v>
      </c>
      <c r="J3" s="4" t="s">
        <v>86</v>
      </c>
      <c r="L3" s="4" t="s">
        <v>87</v>
      </c>
      <c r="M3" s="4" t="s">
        <v>88</v>
      </c>
      <c r="N3" s="4" t="s">
        <v>89</v>
      </c>
      <c r="O3" s="4" t="s">
        <v>90</v>
      </c>
      <c r="P3" s="1462">
        <v>2200340</v>
      </c>
      <c r="Q3" s="1462" t="s">
        <v>91</v>
      </c>
    </row>
    <row r="4" spans="2:17">
      <c r="B4" s="4" t="s">
        <v>5113</v>
      </c>
      <c r="C4" t="s">
        <v>93</v>
      </c>
      <c r="D4" s="4" t="s">
        <v>94</v>
      </c>
      <c r="E4" s="4" t="s">
        <v>82</v>
      </c>
      <c r="F4" s="1057" t="s">
        <v>91</v>
      </c>
      <c r="G4" s="4" t="s">
        <v>95</v>
      </c>
      <c r="H4" s="4" t="s">
        <v>96</v>
      </c>
      <c r="I4" s="4" t="s">
        <v>97</v>
      </c>
      <c r="J4" s="4" t="s">
        <v>98</v>
      </c>
      <c r="L4" s="4" t="s">
        <v>99</v>
      </c>
      <c r="M4" s="4" t="s">
        <v>100</v>
      </c>
      <c r="N4" s="4" t="s">
        <v>101</v>
      </c>
      <c r="O4" s="4" t="s">
        <v>102</v>
      </c>
      <c r="P4" s="1462">
        <v>2200317</v>
      </c>
      <c r="Q4" s="1462" t="s">
        <v>91</v>
      </c>
    </row>
    <row r="5" spans="2:17">
      <c r="B5" s="4" t="s">
        <v>5114</v>
      </c>
      <c r="C5" t="s">
        <v>87</v>
      </c>
      <c r="E5" s="4" t="s">
        <v>91</v>
      </c>
      <c r="F5" s="1057" t="s">
        <v>104</v>
      </c>
      <c r="G5" s="4" t="s">
        <v>105</v>
      </c>
      <c r="H5" s="545" t="s">
        <v>106</v>
      </c>
      <c r="I5" s="4" t="s">
        <v>107</v>
      </c>
      <c r="J5" s="4" t="s">
        <v>98</v>
      </c>
      <c r="L5" s="4" t="s">
        <v>108</v>
      </c>
      <c r="M5" s="4" t="s">
        <v>109</v>
      </c>
      <c r="O5" s="4" t="s">
        <v>110</v>
      </c>
      <c r="P5" s="1462">
        <v>2200571</v>
      </c>
      <c r="Q5" s="1462" t="s">
        <v>91</v>
      </c>
    </row>
    <row r="6" spans="2:17">
      <c r="B6" s="4" t="s">
        <v>5115</v>
      </c>
      <c r="C6" t="s">
        <v>111</v>
      </c>
      <c r="G6" s="4" t="s">
        <v>112</v>
      </c>
      <c r="H6" s="545" t="s">
        <v>113</v>
      </c>
      <c r="I6" s="4" t="s">
        <v>114</v>
      </c>
      <c r="J6" s="4" t="s">
        <v>115</v>
      </c>
      <c r="M6" s="4" t="s">
        <v>116</v>
      </c>
      <c r="O6" s="4" t="s">
        <v>117</v>
      </c>
      <c r="P6" s="1462">
        <v>2200571</v>
      </c>
      <c r="Q6" s="1462" t="s">
        <v>91</v>
      </c>
    </row>
    <row r="7" spans="2:17">
      <c r="B7" s="4" t="s">
        <v>3337</v>
      </c>
      <c r="C7" t="s">
        <v>118</v>
      </c>
      <c r="G7" s="5" t="s">
        <v>119</v>
      </c>
      <c r="H7" s="545" t="s">
        <v>120</v>
      </c>
      <c r="I7" s="4" t="s">
        <v>121</v>
      </c>
      <c r="J7" s="4" t="s">
        <v>122</v>
      </c>
      <c r="M7" s="4" t="s">
        <v>123</v>
      </c>
      <c r="O7" s="4" t="s">
        <v>124</v>
      </c>
    </row>
    <row r="8" spans="2:17">
      <c r="B8" s="5" t="s">
        <v>5116</v>
      </c>
      <c r="C8" t="s">
        <v>125</v>
      </c>
      <c r="G8" s="5" t="s">
        <v>126</v>
      </c>
      <c r="H8" s="545" t="s">
        <v>127</v>
      </c>
      <c r="I8" s="4" t="s">
        <v>128</v>
      </c>
      <c r="J8" s="4" t="s">
        <v>129</v>
      </c>
      <c r="M8" s="4" t="s">
        <v>130</v>
      </c>
      <c r="O8" s="4" t="s">
        <v>131</v>
      </c>
    </row>
    <row r="9" spans="2:17">
      <c r="B9" s="5" t="s">
        <v>5117</v>
      </c>
      <c r="C9" t="s">
        <v>132</v>
      </c>
      <c r="H9" s="545" t="s">
        <v>133</v>
      </c>
      <c r="I9" s="4" t="s">
        <v>134</v>
      </c>
      <c r="J9" s="4" t="s">
        <v>135</v>
      </c>
      <c r="M9" s="4" t="s">
        <v>136</v>
      </c>
      <c r="O9" s="4" t="s">
        <v>137</v>
      </c>
    </row>
    <row r="10" spans="2:17">
      <c r="B10" s="4" t="s">
        <v>5119</v>
      </c>
      <c r="C10" t="s">
        <v>138</v>
      </c>
      <c r="H10" s="545"/>
      <c r="I10" s="4" t="s">
        <v>139</v>
      </c>
      <c r="J10" s="4" t="s">
        <v>2564</v>
      </c>
      <c r="M10" s="4" t="s">
        <v>141</v>
      </c>
      <c r="O10" s="4" t="s">
        <v>142</v>
      </c>
    </row>
    <row r="11" spans="2:17">
      <c r="B11" s="5" t="s">
        <v>5118</v>
      </c>
      <c r="H11" s="545"/>
      <c r="I11" s="4" t="s">
        <v>2815</v>
      </c>
      <c r="J11" s="4" t="s">
        <v>140</v>
      </c>
      <c r="M11" s="4" t="s">
        <v>145</v>
      </c>
      <c r="O11" s="4" t="s">
        <v>146</v>
      </c>
    </row>
    <row r="12" spans="2:17">
      <c r="B12" s="4" t="s">
        <v>5123</v>
      </c>
      <c r="H12" s="545"/>
      <c r="I12" s="4" t="s">
        <v>3691</v>
      </c>
      <c r="J12" s="4" t="s">
        <v>2965</v>
      </c>
      <c r="M12" s="4" t="s">
        <v>149</v>
      </c>
      <c r="O12" s="4" t="s">
        <v>150</v>
      </c>
    </row>
    <row r="13" spans="2:17">
      <c r="B13" s="4" t="s">
        <v>5124</v>
      </c>
      <c r="H13" s="545"/>
      <c r="I13" s="4" t="s">
        <v>2964</v>
      </c>
      <c r="J13" s="4" t="s">
        <v>144</v>
      </c>
      <c r="M13" s="4" t="s">
        <v>153</v>
      </c>
      <c r="O13" s="4" t="s">
        <v>2296</v>
      </c>
    </row>
    <row r="14" spans="2:17">
      <c r="B14" s="4" t="s">
        <v>5125</v>
      </c>
      <c r="H14" s="4"/>
      <c r="I14" s="1254" t="s">
        <v>143</v>
      </c>
      <c r="J14" s="4" t="s">
        <v>148</v>
      </c>
      <c r="O14" s="4" t="s">
        <v>2297</v>
      </c>
    </row>
    <row r="15" spans="2:17">
      <c r="B15" s="4" t="s">
        <v>5117</v>
      </c>
      <c r="H15" s="4"/>
      <c r="I15" s="1254" t="s">
        <v>3593</v>
      </c>
      <c r="J15" s="4" t="s">
        <v>2966</v>
      </c>
      <c r="O15" s="4" t="s">
        <v>2298</v>
      </c>
    </row>
    <row r="16" spans="2:17" ht="25.5">
      <c r="B16" s="4" t="s">
        <v>5126</v>
      </c>
      <c r="E16" s="1054" t="s">
        <v>158</v>
      </c>
      <c r="G16" s="1053" t="s">
        <v>159</v>
      </c>
      <c r="H16" s="4"/>
      <c r="I16" s="1254" t="s">
        <v>4928</v>
      </c>
      <c r="J16" s="4" t="s">
        <v>3609</v>
      </c>
      <c r="O16" s="4" t="s">
        <v>2720</v>
      </c>
    </row>
    <row r="17" spans="2:15">
      <c r="B17" s="4" t="s">
        <v>6131</v>
      </c>
      <c r="E17" s="1055" t="s">
        <v>162</v>
      </c>
      <c r="G17" t="s">
        <v>163</v>
      </c>
      <c r="I17" s="4" t="s">
        <v>147</v>
      </c>
      <c r="J17" s="4" t="s">
        <v>152</v>
      </c>
      <c r="O17" s="4" t="s">
        <v>2721</v>
      </c>
    </row>
    <row r="18" spans="2:15">
      <c r="E18" s="1055" t="s">
        <v>166</v>
      </c>
      <c r="G18" t="s">
        <v>167</v>
      </c>
      <c r="I18" s="4" t="s">
        <v>151</v>
      </c>
      <c r="J18" s="4" t="s">
        <v>2558</v>
      </c>
      <c r="O18" s="4" t="s">
        <v>2722</v>
      </c>
    </row>
    <row r="19" spans="2:15">
      <c r="B19" s="1053" t="s">
        <v>157</v>
      </c>
      <c r="E19" s="1055" t="s">
        <v>170</v>
      </c>
      <c r="G19" t="s">
        <v>171</v>
      </c>
      <c r="I19" s="4" t="s">
        <v>5134</v>
      </c>
      <c r="J19" s="4" t="s">
        <v>2777</v>
      </c>
      <c r="O19" s="4" t="s">
        <v>2723</v>
      </c>
    </row>
    <row r="20" spans="2:15">
      <c r="B20" s="4" t="s">
        <v>161</v>
      </c>
      <c r="E20" s="1055" t="s">
        <v>174</v>
      </c>
      <c r="G20" t="s">
        <v>175</v>
      </c>
      <c r="I20" s="4" t="s">
        <v>154</v>
      </c>
      <c r="J20" s="4" t="s">
        <v>2758</v>
      </c>
      <c r="O20" s="4" t="s">
        <v>2719</v>
      </c>
    </row>
    <row r="21" spans="2:15">
      <c r="B21" s="4" t="s">
        <v>165</v>
      </c>
      <c r="E21" s="1055" t="s">
        <v>178</v>
      </c>
      <c r="G21" t="s">
        <v>2690</v>
      </c>
      <c r="I21" s="4" t="s">
        <v>2218</v>
      </c>
      <c r="J21" s="4" t="s">
        <v>155</v>
      </c>
      <c r="O21" s="4" t="s">
        <v>2817</v>
      </c>
    </row>
    <row r="22" spans="2:15">
      <c r="B22" s="4" t="s">
        <v>169</v>
      </c>
      <c r="E22" s="1055" t="s">
        <v>181</v>
      </c>
      <c r="G22" t="s">
        <v>179</v>
      </c>
      <c r="I22" s="4" t="s">
        <v>2003</v>
      </c>
      <c r="J22" s="4" t="s">
        <v>2043</v>
      </c>
      <c r="O22" s="4" t="s">
        <v>2818</v>
      </c>
    </row>
    <row r="23" spans="2:15">
      <c r="B23" s="5" t="s">
        <v>173</v>
      </c>
      <c r="E23" s="1055" t="s">
        <v>184</v>
      </c>
      <c r="G23" t="s">
        <v>2565</v>
      </c>
      <c r="I23" s="1462" t="s">
        <v>156</v>
      </c>
      <c r="J23" s="4" t="s">
        <v>3216</v>
      </c>
      <c r="O23" s="4" t="s">
        <v>2819</v>
      </c>
    </row>
    <row r="24" spans="2:15">
      <c r="B24" s="5" t="s">
        <v>177</v>
      </c>
      <c r="E24" s="1055" t="s">
        <v>187</v>
      </c>
      <c r="G24" t="s">
        <v>182</v>
      </c>
      <c r="I24" s="1462" t="s">
        <v>2173</v>
      </c>
      <c r="J24" s="4" t="s">
        <v>2742</v>
      </c>
      <c r="O24" s="4" t="s">
        <v>2820</v>
      </c>
    </row>
    <row r="25" spans="2:15">
      <c r="E25" s="1055" t="s">
        <v>190</v>
      </c>
      <c r="G25" t="s">
        <v>185</v>
      </c>
      <c r="I25" s="1462" t="s">
        <v>160</v>
      </c>
      <c r="J25" s="4" t="s">
        <v>3207</v>
      </c>
      <c r="O25" s="4" t="s">
        <v>2821</v>
      </c>
    </row>
    <row r="26" spans="2:15">
      <c r="E26" s="1055" t="s">
        <v>193</v>
      </c>
      <c r="G26" t="s">
        <v>188</v>
      </c>
      <c r="I26" s="4" t="s">
        <v>2269</v>
      </c>
      <c r="J26" s="4" t="s">
        <v>3600</v>
      </c>
      <c r="O26" s="4" t="s">
        <v>2822</v>
      </c>
    </row>
    <row r="27" spans="2:15" ht="25.5">
      <c r="G27" t="s">
        <v>191</v>
      </c>
      <c r="I27" s="1254" t="s">
        <v>2756</v>
      </c>
      <c r="J27" s="4" t="s">
        <v>3716</v>
      </c>
      <c r="O27" s="4" t="s">
        <v>2823</v>
      </c>
    </row>
    <row r="28" spans="2:15">
      <c r="G28" t="s">
        <v>194</v>
      </c>
      <c r="I28" s="4" t="s">
        <v>164</v>
      </c>
      <c r="J28" s="4" t="s">
        <v>4118</v>
      </c>
      <c r="O28" s="4" t="s">
        <v>2824</v>
      </c>
    </row>
    <row r="29" spans="2:15">
      <c r="G29" t="s">
        <v>196</v>
      </c>
      <c r="I29" s="4" t="s">
        <v>168</v>
      </c>
      <c r="J29" s="1462" t="s">
        <v>4612</v>
      </c>
      <c r="O29" s="4" t="s">
        <v>2825</v>
      </c>
    </row>
    <row r="30" spans="2:15">
      <c r="G30" t="s">
        <v>199</v>
      </c>
      <c r="I30" s="4" t="s">
        <v>172</v>
      </c>
      <c r="J30" s="4" t="s">
        <v>3128</v>
      </c>
      <c r="O30" s="4" t="s">
        <v>2826</v>
      </c>
    </row>
    <row r="31" spans="2:15">
      <c r="B31" s="1437" t="s">
        <v>198</v>
      </c>
      <c r="G31" t="s">
        <v>202</v>
      </c>
      <c r="I31" s="4" t="s">
        <v>176</v>
      </c>
      <c r="J31" s="4" t="s">
        <v>6182</v>
      </c>
      <c r="O31" s="4" t="s">
        <v>3690</v>
      </c>
    </row>
    <row r="32" spans="2:15">
      <c r="B32" s="1438" t="s">
        <v>201</v>
      </c>
      <c r="G32" t="s">
        <v>204</v>
      </c>
      <c r="I32" s="4" t="s">
        <v>2237</v>
      </c>
      <c r="J32" s="4" t="s">
        <v>5877</v>
      </c>
      <c r="O32" s="4" t="s">
        <v>3725</v>
      </c>
    </row>
    <row r="33" spans="2:15">
      <c r="B33" s="1438" t="s">
        <v>203</v>
      </c>
      <c r="G33" t="s">
        <v>207</v>
      </c>
      <c r="I33" s="1254" t="s">
        <v>183</v>
      </c>
      <c r="J33" s="4" t="s">
        <v>6245</v>
      </c>
      <c r="O33" s="4"/>
    </row>
    <row r="34" spans="2:15">
      <c r="B34" s="1438" t="s">
        <v>206</v>
      </c>
      <c r="G34" t="s">
        <v>210</v>
      </c>
      <c r="I34" s="4" t="s">
        <v>3930</v>
      </c>
      <c r="J34" s="4" t="s">
        <v>4361</v>
      </c>
      <c r="O34" s="4"/>
    </row>
    <row r="35" spans="2:15">
      <c r="B35" s="1438" t="s">
        <v>209</v>
      </c>
      <c r="G35" t="s">
        <v>213</v>
      </c>
      <c r="I35" s="4" t="s">
        <v>2807</v>
      </c>
      <c r="J35" s="4" t="s">
        <v>6442</v>
      </c>
      <c r="O35" s="4"/>
    </row>
    <row r="36" spans="2:15">
      <c r="B36" s="1438" t="s">
        <v>212</v>
      </c>
      <c r="G36" t="s">
        <v>215</v>
      </c>
      <c r="I36" s="4" t="s">
        <v>2725</v>
      </c>
      <c r="J36" s="4" t="s">
        <v>6478</v>
      </c>
      <c r="O36" s="4066"/>
    </row>
    <row r="37" spans="2:15">
      <c r="G37" t="s">
        <v>217</v>
      </c>
      <c r="I37" s="4" t="s">
        <v>2239</v>
      </c>
      <c r="J37" s="4" t="s">
        <v>6490</v>
      </c>
      <c r="O37" s="4"/>
    </row>
    <row r="38" spans="2:15">
      <c r="G38" t="s">
        <v>218</v>
      </c>
      <c r="I38" s="4" t="s">
        <v>192</v>
      </c>
      <c r="J38" s="4" t="s">
        <v>6501</v>
      </c>
      <c r="O38" s="4"/>
    </row>
    <row r="39" spans="2:15">
      <c r="G39" t="s">
        <v>220</v>
      </c>
      <c r="I39" s="4" t="s">
        <v>195</v>
      </c>
      <c r="O39" s="4"/>
    </row>
    <row r="40" spans="2:15">
      <c r="I40" s="4" t="s">
        <v>3929</v>
      </c>
      <c r="O40" s="4"/>
    </row>
    <row r="41" spans="2:15">
      <c r="I41" s="4" t="s">
        <v>200</v>
      </c>
      <c r="O41" s="4"/>
    </row>
    <row r="42" spans="2:15" ht="26.25" thickBot="1">
      <c r="I42" s="4004" t="s">
        <v>3608</v>
      </c>
      <c r="O42" s="4"/>
    </row>
    <row r="43" spans="2:15" ht="26.25" thickBot="1">
      <c r="C43" s="1058" t="s">
        <v>227</v>
      </c>
      <c r="D43" s="1059" t="s">
        <v>228</v>
      </c>
      <c r="E43" s="1059" t="s">
        <v>229</v>
      </c>
      <c r="F43" s="1059" t="s">
        <v>230</v>
      </c>
      <c r="G43" s="1058" t="s">
        <v>231</v>
      </c>
      <c r="H43" s="1059" t="s">
        <v>232</v>
      </c>
      <c r="I43" s="4" t="s">
        <v>3217</v>
      </c>
      <c r="O43" s="4"/>
    </row>
    <row r="44" spans="2:15" ht="13.5" thickBot="1">
      <c r="C44" s="1060"/>
      <c r="D44" s="1060"/>
      <c r="E44" s="1061"/>
      <c r="F44" s="1060"/>
      <c r="G44" s="1061"/>
      <c r="H44" s="1060"/>
      <c r="I44" s="4" t="s">
        <v>3599</v>
      </c>
      <c r="O44" s="4"/>
    </row>
    <row r="45" spans="2:15" ht="13.5" thickBot="1">
      <c r="C45" s="1063" t="s">
        <v>235</v>
      </c>
      <c r="D45" s="1064" t="s">
        <v>236</v>
      </c>
      <c r="E45" s="1065" t="s">
        <v>237</v>
      </c>
      <c r="F45" s="1066" t="s">
        <v>238</v>
      </c>
      <c r="G45" s="1065" t="s">
        <v>239</v>
      </c>
      <c r="H45" s="1066" t="s">
        <v>240</v>
      </c>
      <c r="I45" s="4" t="s">
        <v>3205</v>
      </c>
      <c r="O45" s="4"/>
    </row>
    <row r="46" spans="2:15" ht="13.5" thickBot="1">
      <c r="B46" s="1058" t="s">
        <v>226</v>
      </c>
      <c r="C46" s="1068" t="s">
        <v>242</v>
      </c>
      <c r="D46" s="1069" t="s">
        <v>243</v>
      </c>
      <c r="E46" s="1070" t="s">
        <v>244</v>
      </c>
      <c r="F46" s="1071" t="s">
        <v>245</v>
      </c>
      <c r="G46" s="1070" t="s">
        <v>246</v>
      </c>
      <c r="H46" s="1071" t="s">
        <v>247</v>
      </c>
      <c r="I46" s="4" t="s">
        <v>3206</v>
      </c>
      <c r="O46" s="4"/>
    </row>
    <row r="47" spans="2:15" ht="13.5" thickBot="1">
      <c r="B47" s="1060"/>
      <c r="C47" s="1068" t="s">
        <v>248</v>
      </c>
      <c r="D47" s="1069" t="s">
        <v>249</v>
      </c>
      <c r="E47" s="1070" t="s">
        <v>250</v>
      </c>
      <c r="F47" s="1071" t="s">
        <v>251</v>
      </c>
      <c r="G47" s="1070" t="s">
        <v>252</v>
      </c>
      <c r="H47" s="1071" t="s">
        <v>253</v>
      </c>
      <c r="I47" s="4" t="s">
        <v>3204</v>
      </c>
      <c r="O47" s="4"/>
    </row>
    <row r="48" spans="2:15">
      <c r="B48" s="1062">
        <v>1</v>
      </c>
      <c r="C48" s="1068" t="s">
        <v>254</v>
      </c>
      <c r="D48" s="1069" t="s">
        <v>255</v>
      </c>
      <c r="E48" s="1070" t="s">
        <v>256</v>
      </c>
      <c r="F48" s="1071" t="s">
        <v>257</v>
      </c>
      <c r="G48" s="1070" t="s">
        <v>244</v>
      </c>
      <c r="H48" s="1071" t="s">
        <v>258</v>
      </c>
      <c r="I48" s="4" t="s">
        <v>3133</v>
      </c>
      <c r="O48" s="4"/>
    </row>
    <row r="49" spans="2:15">
      <c r="B49" s="1067">
        <v>2</v>
      </c>
      <c r="C49" s="1068" t="s">
        <v>259</v>
      </c>
      <c r="D49" s="1069" t="s">
        <v>260</v>
      </c>
      <c r="E49" s="1070" t="s">
        <v>261</v>
      </c>
      <c r="F49" s="1071" t="s">
        <v>262</v>
      </c>
      <c r="G49" s="1070" t="s">
        <v>250</v>
      </c>
      <c r="H49" s="1071" t="s">
        <v>263</v>
      </c>
      <c r="I49" s="4" t="s">
        <v>3762</v>
      </c>
      <c r="O49" s="4"/>
    </row>
    <row r="50" spans="2:15">
      <c r="B50" s="1067">
        <v>3</v>
      </c>
      <c r="C50" s="1068" t="s">
        <v>264</v>
      </c>
      <c r="D50" s="1069" t="s">
        <v>265</v>
      </c>
      <c r="E50" s="1070" t="s">
        <v>266</v>
      </c>
      <c r="F50" s="1071" t="s">
        <v>267</v>
      </c>
      <c r="G50" s="1070" t="s">
        <v>268</v>
      </c>
      <c r="H50" s="1071" t="s">
        <v>269</v>
      </c>
      <c r="I50" s="4" t="s">
        <v>3923</v>
      </c>
      <c r="O50" s="4"/>
    </row>
    <row r="51" spans="2:15">
      <c r="B51" s="1067">
        <v>4</v>
      </c>
      <c r="C51" s="1068" t="s">
        <v>270</v>
      </c>
      <c r="D51" s="1069" t="s">
        <v>271</v>
      </c>
      <c r="E51" s="1070" t="s">
        <v>272</v>
      </c>
      <c r="F51" s="1071" t="s">
        <v>273</v>
      </c>
      <c r="G51" s="1070" t="s">
        <v>274</v>
      </c>
      <c r="H51" s="1071" t="s">
        <v>275</v>
      </c>
      <c r="I51" s="4" t="s">
        <v>3715</v>
      </c>
      <c r="O51" s="4"/>
    </row>
    <row r="52" spans="2:15">
      <c r="B52" s="1067">
        <v>5</v>
      </c>
      <c r="C52" s="1068" t="s">
        <v>276</v>
      </c>
      <c r="D52" s="1069" t="s">
        <v>277</v>
      </c>
      <c r="E52" s="1070"/>
      <c r="F52" s="1071"/>
      <c r="G52" s="1070" t="s">
        <v>256</v>
      </c>
      <c r="H52" s="1071" t="s">
        <v>278</v>
      </c>
      <c r="I52" s="4" t="s">
        <v>4243</v>
      </c>
      <c r="O52" s="4"/>
    </row>
    <row r="53" spans="2:15">
      <c r="B53" s="1067">
        <v>6</v>
      </c>
      <c r="C53" s="4912" t="s">
        <v>6208</v>
      </c>
      <c r="D53" s="4912" t="s">
        <v>6209</v>
      </c>
      <c r="E53" s="4913" t="s">
        <v>6210</v>
      </c>
      <c r="F53" s="4914" t="s">
        <v>6211</v>
      </c>
      <c r="G53" s="1070" t="s">
        <v>261</v>
      </c>
      <c r="H53" s="1071" t="s">
        <v>279</v>
      </c>
      <c r="I53" s="4" t="s">
        <v>4929</v>
      </c>
      <c r="O53" s="4"/>
    </row>
    <row r="54" spans="2:15">
      <c r="B54" s="1067">
        <v>7</v>
      </c>
      <c r="C54" s="1069"/>
      <c r="D54" s="1069"/>
      <c r="E54" s="1070"/>
      <c r="F54" s="1071"/>
      <c r="G54" s="1070" t="s">
        <v>266</v>
      </c>
      <c r="H54" s="1071" t="s">
        <v>280</v>
      </c>
      <c r="I54" s="4" t="s">
        <v>4947</v>
      </c>
      <c r="O54" s="4"/>
    </row>
    <row r="55" spans="2:15">
      <c r="B55" s="1067">
        <v>8</v>
      </c>
      <c r="C55" s="1069"/>
      <c r="D55" s="1069"/>
      <c r="E55" s="1070"/>
      <c r="F55" s="1071"/>
      <c r="G55" s="1070" t="s">
        <v>272</v>
      </c>
      <c r="H55" s="1071" t="s">
        <v>281</v>
      </c>
      <c r="I55" s="4" t="s">
        <v>5080</v>
      </c>
      <c r="O55" s="4" t="s">
        <v>2298</v>
      </c>
    </row>
    <row r="56" spans="2:15" ht="13.5" thickBot="1">
      <c r="B56" s="1067">
        <v>9</v>
      </c>
      <c r="C56" s="4912" t="s">
        <v>6208</v>
      </c>
      <c r="D56" s="4912" t="s">
        <v>6209</v>
      </c>
      <c r="E56" s="4913" t="s">
        <v>6210</v>
      </c>
      <c r="F56" s="4914" t="s">
        <v>6211</v>
      </c>
      <c r="G56" s="4915" t="s">
        <v>6210</v>
      </c>
      <c r="H56" s="4914" t="s">
        <v>6203</v>
      </c>
      <c r="I56" s="4" t="s">
        <v>5211</v>
      </c>
      <c r="O56" s="4"/>
    </row>
    <row r="57" spans="2:15">
      <c r="B57" s="1067">
        <v>10</v>
      </c>
      <c r="I57" s="4" t="s">
        <v>5247</v>
      </c>
      <c r="N57" s="5" t="s">
        <v>5092</v>
      </c>
      <c r="O57" s="4"/>
    </row>
    <row r="58" spans="2:15">
      <c r="B58" s="1067">
        <v>11</v>
      </c>
      <c r="I58" s="4" t="s">
        <v>5337</v>
      </c>
      <c r="N58" s="5" t="s">
        <v>5093</v>
      </c>
      <c r="O58" s="4"/>
    </row>
    <row r="59" spans="2:15" ht="13.5" thickBot="1">
      <c r="B59" s="1072"/>
      <c r="I59" s="4" t="s">
        <v>5339</v>
      </c>
      <c r="N59" s="5" t="s">
        <v>5094</v>
      </c>
      <c r="O59" s="4"/>
    </row>
    <row r="60" spans="2:15">
      <c r="I60" s="4" t="s">
        <v>5418</v>
      </c>
      <c r="N60" s="5" t="s">
        <v>5095</v>
      </c>
    </row>
    <row r="61" spans="2:15">
      <c r="I61" s="4"/>
      <c r="N61" s="5" t="s">
        <v>5096</v>
      </c>
    </row>
    <row r="62" spans="2:15">
      <c r="I62" s="4" t="s">
        <v>5297</v>
      </c>
      <c r="N62" s="5" t="s">
        <v>5097</v>
      </c>
    </row>
    <row r="63" spans="2:15">
      <c r="I63" s="4" t="s">
        <v>4075</v>
      </c>
      <c r="N63" s="5" t="s">
        <v>5098</v>
      </c>
    </row>
    <row r="64" spans="2:15">
      <c r="I64" s="4" t="s">
        <v>4079</v>
      </c>
      <c r="N64" s="5" t="s">
        <v>5099</v>
      </c>
    </row>
    <row r="65" spans="9:14">
      <c r="I65" s="4" t="s">
        <v>4078</v>
      </c>
      <c r="N65" s="5" t="s">
        <v>5100</v>
      </c>
    </row>
    <row r="66" spans="9:14">
      <c r="I66" s="4" t="s">
        <v>4077</v>
      </c>
      <c r="N66" s="5" t="s">
        <v>5101</v>
      </c>
    </row>
    <row r="67" spans="9:14">
      <c r="I67" s="4" t="s">
        <v>4076</v>
      </c>
      <c r="N67" s="5" t="s">
        <v>5102</v>
      </c>
    </row>
    <row r="68" spans="9:14">
      <c r="I68" s="4" t="s">
        <v>4094</v>
      </c>
      <c r="N68" s="5" t="s">
        <v>5103</v>
      </c>
    </row>
    <row r="69" spans="9:14">
      <c r="I69" s="4" t="s">
        <v>4095</v>
      </c>
      <c r="N69" s="5" t="s">
        <v>5104</v>
      </c>
    </row>
    <row r="70" spans="9:14">
      <c r="I70" s="4" t="s">
        <v>4096</v>
      </c>
      <c r="N70" s="5" t="s">
        <v>5105</v>
      </c>
    </row>
    <row r="71" spans="9:14">
      <c r="I71" s="4" t="s">
        <v>4080</v>
      </c>
      <c r="N71" s="5" t="s">
        <v>5106</v>
      </c>
    </row>
    <row r="72" spans="9:14">
      <c r="I72" s="4" t="s">
        <v>4081</v>
      </c>
      <c r="N72" s="5" t="s">
        <v>5107</v>
      </c>
    </row>
    <row r="73" spans="9:14">
      <c r="I73" s="4" t="s">
        <v>4082</v>
      </c>
      <c r="N73" s="5" t="s">
        <v>5108</v>
      </c>
    </row>
    <row r="74" spans="9:14">
      <c r="I74" s="4" t="s">
        <v>4097</v>
      </c>
      <c r="N74" s="5" t="s">
        <v>5109</v>
      </c>
    </row>
    <row r="75" spans="9:14">
      <c r="I75" s="4" t="s">
        <v>4083</v>
      </c>
      <c r="N75" s="5" t="s">
        <v>5110</v>
      </c>
    </row>
    <row r="76" spans="9:14">
      <c r="I76" s="4" t="s">
        <v>4084</v>
      </c>
      <c r="N76" s="4" t="s">
        <v>5111</v>
      </c>
    </row>
    <row r="77" spans="9:14">
      <c r="I77" s="4" t="s">
        <v>4085</v>
      </c>
    </row>
    <row r="78" spans="9:14">
      <c r="I78" s="4" t="s">
        <v>4098</v>
      </c>
      <c r="N78" s="4" t="s">
        <v>5112</v>
      </c>
    </row>
    <row r="79" spans="9:14">
      <c r="I79" s="4" t="s">
        <v>4099</v>
      </c>
      <c r="N79" s="4" t="s">
        <v>5113</v>
      </c>
    </row>
    <row r="80" spans="9:14">
      <c r="I80" s="4" t="s">
        <v>4100</v>
      </c>
      <c r="N80" s="4" t="s">
        <v>5114</v>
      </c>
    </row>
    <row r="81" spans="8:14">
      <c r="H81" s="4"/>
      <c r="I81" s="4" t="s">
        <v>5076</v>
      </c>
      <c r="N81" s="4" t="s">
        <v>5115</v>
      </c>
    </row>
    <row r="82" spans="8:14">
      <c r="I82" s="4" t="s">
        <v>5077</v>
      </c>
      <c r="N82" s="4" t="s">
        <v>3337</v>
      </c>
    </row>
    <row r="83" spans="8:14">
      <c r="I83" s="4"/>
      <c r="N83" s="4" t="s">
        <v>5116</v>
      </c>
    </row>
    <row r="84" spans="8:14">
      <c r="I84" s="4" t="s">
        <v>4101</v>
      </c>
      <c r="N84" s="4" t="s">
        <v>5117</v>
      </c>
    </row>
    <row r="85" spans="8:14">
      <c r="I85" s="4" t="s">
        <v>4102</v>
      </c>
      <c r="N85" s="1254" t="s">
        <v>5120</v>
      </c>
    </row>
    <row r="86" spans="8:14">
      <c r="I86" s="4" t="s">
        <v>4103</v>
      </c>
      <c r="N86" s="4" t="s">
        <v>5118</v>
      </c>
    </row>
    <row r="87" spans="8:14">
      <c r="I87" s="4" t="s">
        <v>4104</v>
      </c>
      <c r="N87" s="4" t="s">
        <v>6131</v>
      </c>
    </row>
    <row r="88" spans="8:14">
      <c r="I88" s="4" t="s">
        <v>4086</v>
      </c>
      <c r="N88" s="4"/>
    </row>
    <row r="89" spans="8:14">
      <c r="I89" s="4" t="s">
        <v>4105</v>
      </c>
      <c r="N89" s="4"/>
    </row>
    <row r="90" spans="8:14">
      <c r="I90" s="4" t="s">
        <v>4106</v>
      </c>
      <c r="N90" s="4"/>
    </row>
    <row r="91" spans="8:14">
      <c r="I91" s="4" t="s">
        <v>4088</v>
      </c>
    </row>
    <row r="92" spans="8:14">
      <c r="I92" s="4" t="s">
        <v>4089</v>
      </c>
    </row>
    <row r="93" spans="8:14">
      <c r="I93" s="4" t="s">
        <v>4107</v>
      </c>
    </row>
    <row r="94" spans="8:14">
      <c r="I94" s="4" t="s">
        <v>4090</v>
      </c>
    </row>
    <row r="95" spans="8:14">
      <c r="I95" s="4" t="s">
        <v>4091</v>
      </c>
    </row>
    <row r="96" spans="8:14">
      <c r="I96" s="4" t="s">
        <v>4108</v>
      </c>
    </row>
    <row r="97" spans="9:14">
      <c r="I97" s="4" t="s">
        <v>4092</v>
      </c>
      <c r="N97" s="4"/>
    </row>
    <row r="98" spans="9:14">
      <c r="I98" s="4"/>
    </row>
    <row r="99" spans="9:14">
      <c r="I99" s="4" t="s">
        <v>4198</v>
      </c>
      <c r="N99" s="4"/>
    </row>
    <row r="100" spans="9:14">
      <c r="I100" s="4" t="s">
        <v>4196</v>
      </c>
      <c r="N100" s="4"/>
    </row>
    <row r="101" spans="9:14">
      <c r="I101" s="4" t="s">
        <v>4197</v>
      </c>
      <c r="N101" s="4"/>
    </row>
    <row r="102" spans="9:14">
      <c r="I102" s="4" t="s">
        <v>4199</v>
      </c>
      <c r="N102" s="4"/>
    </row>
    <row r="103" spans="9:14">
      <c r="I103" s="4" t="s">
        <v>4200</v>
      </c>
      <c r="N103" s="4"/>
    </row>
    <row r="104" spans="9:14">
      <c r="I104" s="4" t="s">
        <v>4201</v>
      </c>
      <c r="N104" s="4"/>
    </row>
    <row r="105" spans="9:14">
      <c r="I105" s="4" t="s">
        <v>4202</v>
      </c>
      <c r="N105" s="4"/>
    </row>
    <row r="106" spans="9:14">
      <c r="I106" s="4" t="s">
        <v>4203</v>
      </c>
    </row>
    <row r="107" spans="9:14">
      <c r="I107" s="4" t="s">
        <v>4191</v>
      </c>
    </row>
    <row r="108" spans="9:14">
      <c r="I108" s="4" t="s">
        <v>4192</v>
      </c>
    </row>
    <row r="109" spans="9:14">
      <c r="I109" s="4" t="s">
        <v>4204</v>
      </c>
    </row>
    <row r="110" spans="9:14">
      <c r="I110" s="4" t="s">
        <v>4205</v>
      </c>
    </row>
    <row r="111" spans="9:14">
      <c r="I111" s="4" t="s">
        <v>4206</v>
      </c>
    </row>
    <row r="112" spans="9:14">
      <c r="I112" s="4" t="s">
        <v>4193</v>
      </c>
    </row>
    <row r="113" spans="9:9">
      <c r="I113" s="4"/>
    </row>
    <row r="114" spans="9:9">
      <c r="I114" s="4" t="s">
        <v>4213</v>
      </c>
    </row>
    <row r="115" spans="9:9">
      <c r="I115" s="4" t="s">
        <v>4215</v>
      </c>
    </row>
    <row r="116" spans="9:9">
      <c r="I116" s="4514" t="s">
        <v>5183</v>
      </c>
    </row>
    <row r="117" spans="9:9">
      <c r="I117" s="4" t="s">
        <v>4722</v>
      </c>
    </row>
    <row r="118" spans="9:9">
      <c r="I118" s="4" t="s">
        <v>4723</v>
      </c>
    </row>
    <row r="119" spans="9:9">
      <c r="I119" s="4259" t="s">
        <v>4464</v>
      </c>
    </row>
    <row r="120" spans="9:9">
      <c r="I120" s="4" t="s">
        <v>4465</v>
      </c>
    </row>
    <row r="121" spans="9:9">
      <c r="I121" s="4" t="s">
        <v>4466</v>
      </c>
    </row>
    <row r="122" spans="9:9">
      <c r="I122" s="4" t="s">
        <v>4467</v>
      </c>
    </row>
    <row r="123" spans="9:9">
      <c r="I123" s="4" t="s">
        <v>4468</v>
      </c>
    </row>
    <row r="124" spans="9:9">
      <c r="I124" s="4" t="s">
        <v>4469</v>
      </c>
    </row>
    <row r="125" spans="9:9">
      <c r="I125" s="4" t="s">
        <v>4470</v>
      </c>
    </row>
    <row r="126" spans="9:9">
      <c r="I126" s="4" t="s">
        <v>4471</v>
      </c>
    </row>
    <row r="127" spans="9:9">
      <c r="I127" s="4" t="s">
        <v>4473</v>
      </c>
    </row>
    <row r="128" spans="9:9">
      <c r="I128" s="4"/>
    </row>
    <row r="129" spans="9:9">
      <c r="I129" s="1462" t="s">
        <v>4611</v>
      </c>
    </row>
    <row r="130" spans="9:9">
      <c r="I130" s="1462"/>
    </row>
    <row r="131" spans="9:9">
      <c r="I131" s="1462" t="s">
        <v>5165</v>
      </c>
    </row>
    <row r="132" spans="9:9">
      <c r="I132" s="1462" t="s">
        <v>5166</v>
      </c>
    </row>
    <row r="133" spans="9:9">
      <c r="I133" s="4"/>
    </row>
    <row r="134" spans="9:9">
      <c r="I134" s="4" t="s">
        <v>205</v>
      </c>
    </row>
    <row r="135" spans="9:9">
      <c r="I135" s="1254" t="s">
        <v>208</v>
      </c>
    </row>
    <row r="136" spans="9:9">
      <c r="I136" s="4" t="s">
        <v>211</v>
      </c>
    </row>
    <row r="137" spans="9:9">
      <c r="I137" s="4" t="s">
        <v>214</v>
      </c>
    </row>
    <row r="138" spans="9:9">
      <c r="I138" s="4" t="s">
        <v>216</v>
      </c>
    </row>
    <row r="139" spans="9:9">
      <c r="I139" s="4"/>
    </row>
    <row r="140" spans="9:9">
      <c r="I140" s="4" t="s">
        <v>219</v>
      </c>
    </row>
    <row r="141" spans="9:9">
      <c r="I141" s="4" t="s">
        <v>221</v>
      </c>
    </row>
    <row r="142" spans="9:9" ht="25.5">
      <c r="I142" s="1254" t="s">
        <v>222</v>
      </c>
    </row>
    <row r="143" spans="9:9">
      <c r="I143" s="4"/>
    </row>
    <row r="144" spans="9:9">
      <c r="I144" s="4" t="s">
        <v>3695</v>
      </c>
    </row>
    <row r="145" spans="9:9">
      <c r="I145" s="4" t="s">
        <v>2171</v>
      </c>
    </row>
    <row r="146" spans="9:9">
      <c r="I146" s="4" t="s">
        <v>223</v>
      </c>
    </row>
    <row r="147" spans="9:9">
      <c r="I147" s="4" t="s">
        <v>224</v>
      </c>
    </row>
    <row r="148" spans="9:9">
      <c r="I148" s="4" t="s">
        <v>225</v>
      </c>
    </row>
    <row r="149" spans="9:9">
      <c r="I149" s="4" t="s">
        <v>233</v>
      </c>
    </row>
    <row r="150" spans="9:9">
      <c r="I150" s="4" t="s">
        <v>234</v>
      </c>
    </row>
    <row r="151" spans="9:9">
      <c r="I151" s="4" t="s">
        <v>241</v>
      </c>
    </row>
    <row r="152" spans="9:9">
      <c r="I152" s="4" t="s">
        <v>2002</v>
      </c>
    </row>
    <row r="153" spans="9:9">
      <c r="I153" s="4" t="str">
        <f>DATA!L294</f>
        <v>KTH - MEP Works Package - 2240072 - KORTEK</v>
      </c>
    </row>
    <row r="154" spans="9:9">
      <c r="I154" s="1254" t="s">
        <v>6207</v>
      </c>
    </row>
    <row r="155" spans="9:9">
      <c r="I155" s="1254" t="s">
        <v>6299</v>
      </c>
    </row>
    <row r="156" spans="9:9">
      <c r="I156" s="5" t="str">
        <f>DATA!L296</f>
        <v>Al Futtaim Pioneer Elevators - Al Futtaim Pioneer</v>
      </c>
    </row>
    <row r="157" spans="9:9">
      <c r="I157" s="4" t="s">
        <v>6476</v>
      </c>
    </row>
    <row r="158" spans="9:9">
      <c r="I158" s="4" t="s">
        <v>6490</v>
      </c>
    </row>
    <row r="159" spans="9:9">
      <c r="I159" s="4" t="s">
        <v>6501</v>
      </c>
    </row>
    <row r="160" spans="9:9">
      <c r="I160" s="4" t="s">
        <v>6638</v>
      </c>
    </row>
    <row r="161" spans="9:9">
      <c r="I161" s="4" t="s">
        <v>6688</v>
      </c>
    </row>
    <row r="167" spans="9:9">
      <c r="I167" s="4"/>
    </row>
    <row r="168" spans="9:9">
      <c r="I168" s="4"/>
    </row>
    <row r="169" spans="9:9">
      <c r="I169" s="4"/>
    </row>
    <row r="170" spans="9:9">
      <c r="I170" s="4"/>
    </row>
    <row r="171" spans="9:9">
      <c r="I171" s="4"/>
    </row>
    <row r="172" spans="9:9">
      <c r="I172" s="4"/>
    </row>
    <row r="173" spans="9:9">
      <c r="I173" s="4"/>
    </row>
  </sheetData>
  <phoneticPr fontId="347"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A3D60-320F-4E51-B204-DA06D9CD3B6E}">
  <sheetPr codeName="Sheet4">
    <pageSetUpPr fitToPage="1"/>
  </sheetPr>
  <dimension ref="B1:AH220"/>
  <sheetViews>
    <sheetView showGridLines="0" view="pageBreakPreview" topLeftCell="A8" zoomScale="30" zoomScaleNormal="25" zoomScaleSheetLayoutView="30" workbookViewId="0">
      <selection activeCell="M133" sqref="M133"/>
    </sheetView>
  </sheetViews>
  <sheetFormatPr defaultColWidth="1.5703125" defaultRowHeight="14.25" outlineLevelRow="1"/>
  <cols>
    <col min="1" max="3" width="1.5703125" style="1572"/>
    <col min="4" max="4" width="51.5703125" style="1572" customWidth="1"/>
    <col min="5" max="5" width="25.85546875" style="1628" customWidth="1"/>
    <col min="6" max="6" width="26.5703125" style="1628" customWidth="1"/>
    <col min="7" max="7" width="25.5703125" style="1628" customWidth="1"/>
    <col min="8" max="8" width="23" style="1628" bestFit="1" customWidth="1"/>
    <col min="9" max="9" width="24" style="1628" customWidth="1"/>
    <col min="10" max="11" width="1.5703125" style="1628"/>
    <col min="12" max="12" width="1.5703125" style="1572"/>
    <col min="13" max="13" width="42" style="1572" customWidth="1"/>
    <col min="14" max="18" width="22.85546875" style="1628" customWidth="1"/>
    <col min="19" max="19" width="1.5703125" style="1572"/>
    <col min="20" max="20" width="1" style="1572" customWidth="1"/>
    <col min="21" max="21" width="38" style="1572" bestFit="1" customWidth="1"/>
    <col min="22" max="22" width="22.42578125" style="1628" customWidth="1"/>
    <col min="23" max="23" width="20" style="1628" customWidth="1"/>
    <col min="24" max="24" width="20.85546875" style="1628" customWidth="1"/>
    <col min="25" max="25" width="22" style="1628" customWidth="1"/>
    <col min="26" max="26" width="23.85546875" style="1628" customWidth="1"/>
    <col min="27" max="29" width="1.5703125" style="1572"/>
    <col min="30" max="30" width="14" style="1572" bestFit="1" customWidth="1"/>
    <col min="31" max="33" width="1.5703125" style="1572"/>
    <col min="34" max="34" width="24" style="1572" customWidth="1"/>
    <col min="35" max="16384" width="1.5703125" style="1572"/>
  </cols>
  <sheetData>
    <row r="1" spans="2:27" s="1567" customFormat="1"/>
    <row r="2" spans="2:27" ht="5.25" customHeight="1">
      <c r="B2" s="1568"/>
      <c r="C2" s="1568"/>
      <c r="D2" s="1568"/>
      <c r="E2" s="1569"/>
      <c r="F2" s="1569"/>
      <c r="G2" s="1569"/>
      <c r="H2" s="1569"/>
      <c r="I2" s="1569"/>
      <c r="J2" s="1569"/>
      <c r="K2" s="1569"/>
      <c r="L2" s="1570"/>
      <c r="M2" s="1570"/>
      <c r="N2" s="1571"/>
      <c r="O2" s="1571"/>
      <c r="P2" s="1571"/>
      <c r="Q2" s="1571"/>
      <c r="R2" s="1571"/>
      <c r="S2" s="1570"/>
      <c r="T2" s="1568"/>
      <c r="U2" s="1568"/>
      <c r="V2" s="1569"/>
      <c r="W2" s="1569"/>
      <c r="X2" s="1569"/>
      <c r="Y2" s="1569"/>
      <c r="Z2" s="1569"/>
    </row>
    <row r="3" spans="2:27" ht="24.75" customHeight="1" outlineLevel="1">
      <c r="B3" s="1568"/>
      <c r="C3" s="1573"/>
      <c r="D3" s="5341" t="s">
        <v>287</v>
      </c>
      <c r="E3" s="5341"/>
      <c r="F3" s="5341"/>
      <c r="G3" s="5341"/>
      <c r="H3" s="5341"/>
      <c r="I3" s="5341"/>
      <c r="J3" s="5341"/>
      <c r="K3" s="5341"/>
      <c r="L3" s="5341"/>
      <c r="M3" s="5341"/>
      <c r="N3" s="5341"/>
      <c r="O3" s="5341"/>
      <c r="P3" s="5341"/>
      <c r="Q3" s="5341"/>
      <c r="R3" s="5341"/>
      <c r="S3" s="5341"/>
      <c r="T3" s="5341"/>
      <c r="U3" s="5341"/>
      <c r="V3" s="5341"/>
      <c r="W3" s="5341"/>
      <c r="X3" s="5341"/>
      <c r="Y3" s="5341"/>
      <c r="Z3" s="5341"/>
      <c r="AA3" s="1574"/>
    </row>
    <row r="4" spans="2:27" ht="5.25" customHeight="1" outlineLevel="1">
      <c r="B4" s="1568"/>
      <c r="C4" s="1568"/>
      <c r="D4" s="1568"/>
      <c r="E4" s="1575"/>
      <c r="F4" s="1575"/>
      <c r="G4" s="1575"/>
      <c r="H4" s="1575"/>
      <c r="I4" s="1575"/>
      <c r="J4" s="1575"/>
      <c r="K4" s="1575"/>
      <c r="L4" s="1576"/>
      <c r="M4" s="1576"/>
      <c r="N4" s="1577"/>
      <c r="O4" s="1577"/>
      <c r="P4" s="1577"/>
      <c r="Q4" s="1577"/>
      <c r="R4" s="1577"/>
      <c r="S4" s="1576"/>
      <c r="T4" s="1568"/>
      <c r="U4" s="1568"/>
      <c r="V4" s="1575"/>
      <c r="W4" s="1575"/>
      <c r="X4" s="1575"/>
      <c r="Y4" s="1575"/>
      <c r="Z4" s="1575"/>
    </row>
    <row r="5" spans="2:27" outlineLevel="1">
      <c r="B5" s="1568"/>
      <c r="C5" s="1568"/>
      <c r="D5" s="1578"/>
      <c r="E5" s="1579"/>
      <c r="F5" s="1579"/>
      <c r="G5" s="1579"/>
      <c r="H5" s="1579"/>
      <c r="I5" s="1579"/>
      <c r="J5" s="1579"/>
      <c r="K5" s="1579"/>
      <c r="L5" s="1579"/>
      <c r="M5" s="1579"/>
      <c r="N5" s="1579"/>
      <c r="O5" s="1579"/>
      <c r="P5" s="1579"/>
      <c r="Q5" s="1579"/>
      <c r="R5" s="1579"/>
      <c r="S5" s="1579"/>
      <c r="T5" s="1579"/>
      <c r="U5" s="1579"/>
      <c r="V5" s="1579"/>
      <c r="W5" s="1579"/>
      <c r="X5" s="1579"/>
      <c r="Y5" s="1579"/>
      <c r="Z5" s="1579"/>
    </row>
    <row r="6" spans="2:27" ht="6.75" customHeight="1" outlineLevel="1">
      <c r="B6" s="1568"/>
      <c r="C6" s="1568"/>
      <c r="D6" s="1580"/>
      <c r="E6" s="1575"/>
      <c r="F6" s="1575"/>
      <c r="G6" s="1575"/>
      <c r="H6" s="1575"/>
      <c r="I6" s="1575"/>
      <c r="J6" s="1575"/>
      <c r="K6" s="1575"/>
      <c r="L6" s="1576"/>
      <c r="M6" s="1580"/>
      <c r="N6" s="1575"/>
      <c r="O6" s="1575"/>
      <c r="P6" s="1575"/>
      <c r="Q6" s="1575"/>
      <c r="R6" s="1575"/>
      <c r="T6" s="1568"/>
      <c r="U6" s="1580"/>
      <c r="V6" s="1575"/>
      <c r="W6" s="1575"/>
      <c r="X6" s="1575"/>
      <c r="Y6" s="1575"/>
      <c r="Z6" s="1575"/>
    </row>
    <row r="7" spans="2:27" ht="9.1999999999999993" customHeight="1" outlineLevel="1">
      <c r="B7" s="1568"/>
      <c r="C7" s="1568"/>
      <c r="D7" s="1581"/>
      <c r="E7" s="1582"/>
      <c r="F7" s="1582"/>
      <c r="G7" s="1582"/>
      <c r="H7" s="1582"/>
      <c r="I7" s="1582"/>
      <c r="J7" s="1582"/>
      <c r="K7" s="1582"/>
      <c r="L7" s="1583"/>
      <c r="M7" s="1584"/>
      <c r="N7" s="1585"/>
      <c r="O7" s="1585"/>
      <c r="P7" s="1585"/>
      <c r="Q7" s="1585"/>
      <c r="R7" s="1585"/>
      <c r="S7" s="1584"/>
      <c r="T7" s="1586"/>
      <c r="U7" s="1581"/>
      <c r="V7" s="1582"/>
      <c r="W7" s="1582"/>
      <c r="X7" s="1582"/>
      <c r="Y7" s="1582"/>
      <c r="Z7" s="1582"/>
    </row>
    <row r="8" spans="2:27" ht="9.1999999999999993" customHeight="1" outlineLevel="1">
      <c r="B8" s="1568"/>
      <c r="C8" s="1568"/>
      <c r="D8" s="1581"/>
      <c r="E8" s="1582"/>
      <c r="F8" s="1582"/>
      <c r="G8" s="1582"/>
      <c r="H8" s="1582"/>
      <c r="I8" s="1582"/>
      <c r="J8" s="1582"/>
      <c r="K8" s="1582"/>
      <c r="L8" s="1583"/>
      <c r="M8" s="1584"/>
      <c r="N8" s="1585"/>
      <c r="O8" s="1585"/>
      <c r="P8" s="1585"/>
      <c r="Q8" s="1585"/>
      <c r="R8" s="1585"/>
      <c r="S8" s="1584"/>
      <c r="T8" s="1586"/>
      <c r="U8" s="1581"/>
      <c r="V8" s="1582"/>
      <c r="W8" s="1582"/>
      <c r="X8" s="1582"/>
      <c r="Y8" s="1582"/>
      <c r="Z8" s="1582"/>
    </row>
    <row r="9" spans="2:27" ht="9.1999999999999993" customHeight="1" outlineLevel="1">
      <c r="B9" s="1568"/>
      <c r="C9" s="1568"/>
      <c r="D9" s="1581"/>
      <c r="E9" s="1582"/>
      <c r="F9" s="1582"/>
      <c r="G9" s="1582"/>
      <c r="H9" s="1582"/>
      <c r="I9" s="1582"/>
      <c r="J9" s="1582"/>
      <c r="K9" s="1582"/>
      <c r="L9" s="1583"/>
      <c r="M9" s="1584"/>
      <c r="N9" s="1585"/>
      <c r="O9" s="1585"/>
      <c r="P9" s="1585"/>
      <c r="Q9" s="1585"/>
      <c r="R9" s="1585"/>
      <c r="S9" s="1584"/>
      <c r="T9" s="1586"/>
      <c r="U9" s="1581"/>
      <c r="V9" s="1582"/>
      <c r="W9" s="1582"/>
      <c r="X9" s="1582"/>
      <c r="Y9" s="1582"/>
      <c r="Z9" s="1582"/>
    </row>
    <row r="10" spans="2:27" ht="9.1999999999999993" customHeight="1" outlineLevel="1">
      <c r="B10" s="1568"/>
      <c r="C10" s="1568"/>
      <c r="D10" s="1581"/>
      <c r="E10" s="1582"/>
      <c r="F10" s="1582"/>
      <c r="G10" s="1582"/>
      <c r="H10" s="1582"/>
      <c r="I10" s="1582"/>
      <c r="J10" s="1582"/>
      <c r="K10" s="1582"/>
      <c r="L10" s="1583"/>
      <c r="M10" s="1584"/>
      <c r="N10" s="1585"/>
      <c r="O10" s="1585"/>
      <c r="P10" s="1585"/>
      <c r="Q10" s="1585"/>
      <c r="R10" s="1585"/>
      <c r="S10" s="1584"/>
      <c r="T10" s="1586"/>
      <c r="U10" s="1581"/>
      <c r="V10" s="1582"/>
      <c r="W10" s="1582"/>
      <c r="X10" s="1582"/>
      <c r="Y10" s="1582"/>
      <c r="Z10" s="1582"/>
    </row>
    <row r="11" spans="2:27" ht="9.1999999999999993" customHeight="1" outlineLevel="1">
      <c r="B11" s="1568"/>
      <c r="C11" s="1568"/>
      <c r="D11" s="5342" t="s">
        <v>288</v>
      </c>
      <c r="E11" s="5342"/>
      <c r="F11" s="5342"/>
      <c r="G11" s="5342"/>
      <c r="H11" s="5342"/>
      <c r="I11" s="5342"/>
      <c r="J11" s="5342"/>
      <c r="K11" s="5342"/>
      <c r="L11" s="5342"/>
      <c r="M11" s="5342"/>
      <c r="N11" s="5342"/>
      <c r="O11" s="5342"/>
      <c r="P11" s="5342"/>
      <c r="Q11" s="5342"/>
      <c r="R11" s="5342"/>
      <c r="S11" s="5342"/>
      <c r="T11" s="5342"/>
      <c r="U11" s="5342"/>
      <c r="V11" s="5342"/>
      <c r="W11" s="5342"/>
      <c r="X11" s="5342"/>
      <c r="Y11" s="5342"/>
      <c r="Z11" s="5342"/>
    </row>
    <row r="12" spans="2:27" ht="9.1999999999999993" customHeight="1" outlineLevel="1">
      <c r="B12" s="1568"/>
      <c r="C12" s="1568"/>
      <c r="D12" s="5342"/>
      <c r="E12" s="5342"/>
      <c r="F12" s="5342"/>
      <c r="G12" s="5342"/>
      <c r="H12" s="5342"/>
      <c r="I12" s="5342"/>
      <c r="J12" s="5342"/>
      <c r="K12" s="5342"/>
      <c r="L12" s="5342"/>
      <c r="M12" s="5342"/>
      <c r="N12" s="5342"/>
      <c r="O12" s="5342"/>
      <c r="P12" s="5342"/>
      <c r="Q12" s="5342"/>
      <c r="R12" s="5342"/>
      <c r="S12" s="5342"/>
      <c r="T12" s="5342"/>
      <c r="U12" s="5342"/>
      <c r="V12" s="5342"/>
      <c r="W12" s="5342"/>
      <c r="X12" s="5342"/>
      <c r="Y12" s="5342"/>
      <c r="Z12" s="5342"/>
    </row>
    <row r="13" spans="2:27" ht="9.1999999999999993" customHeight="1" outlineLevel="1">
      <c r="B13" s="1568"/>
      <c r="C13" s="1568"/>
      <c r="D13" s="5342"/>
      <c r="E13" s="5342"/>
      <c r="F13" s="5342"/>
      <c r="G13" s="5342"/>
      <c r="H13" s="5342"/>
      <c r="I13" s="5342"/>
      <c r="J13" s="5342"/>
      <c r="K13" s="5342"/>
      <c r="L13" s="5342"/>
      <c r="M13" s="5342"/>
      <c r="N13" s="5342"/>
      <c r="O13" s="5342"/>
      <c r="P13" s="5342"/>
      <c r="Q13" s="5342"/>
      <c r="R13" s="5342"/>
      <c r="S13" s="5342"/>
      <c r="T13" s="5342"/>
      <c r="U13" s="5342"/>
      <c r="V13" s="5342"/>
      <c r="W13" s="5342"/>
      <c r="X13" s="5342"/>
      <c r="Y13" s="5342"/>
      <c r="Z13" s="5342"/>
    </row>
    <row r="14" spans="2:27" ht="9.1999999999999993" customHeight="1" outlineLevel="1">
      <c r="B14" s="1568"/>
      <c r="C14" s="1568"/>
      <c r="D14" s="5342"/>
      <c r="E14" s="5342"/>
      <c r="F14" s="5342"/>
      <c r="G14" s="5342"/>
      <c r="H14" s="5342"/>
      <c r="I14" s="5342"/>
      <c r="J14" s="5342"/>
      <c r="K14" s="5342"/>
      <c r="L14" s="5342"/>
      <c r="M14" s="5342"/>
      <c r="N14" s="5342"/>
      <c r="O14" s="5342"/>
      <c r="P14" s="5342"/>
      <c r="Q14" s="5342"/>
      <c r="R14" s="5342"/>
      <c r="S14" s="5342"/>
      <c r="T14" s="5342"/>
      <c r="U14" s="5342"/>
      <c r="V14" s="5342"/>
      <c r="W14" s="5342"/>
      <c r="X14" s="5342"/>
      <c r="Y14" s="5342"/>
      <c r="Z14" s="5342"/>
    </row>
    <row r="15" spans="2:27" ht="9.1999999999999993" customHeight="1" outlineLevel="1">
      <c r="D15" s="5342"/>
      <c r="E15" s="5342"/>
      <c r="F15" s="5342"/>
      <c r="G15" s="5342"/>
      <c r="H15" s="5342"/>
      <c r="I15" s="5342"/>
      <c r="J15" s="5342"/>
      <c r="K15" s="5342"/>
      <c r="L15" s="5342"/>
      <c r="M15" s="5342"/>
      <c r="N15" s="5342"/>
      <c r="O15" s="5342"/>
      <c r="P15" s="5342"/>
      <c r="Q15" s="5342"/>
      <c r="R15" s="5342"/>
      <c r="S15" s="5342"/>
      <c r="T15" s="5342"/>
      <c r="U15" s="5342"/>
      <c r="V15" s="5342"/>
      <c r="W15" s="5342"/>
      <c r="X15" s="5342"/>
      <c r="Y15" s="5342"/>
      <c r="Z15" s="5342"/>
    </row>
    <row r="16" spans="2:27" ht="9.1999999999999993" customHeight="1" outlineLevel="1">
      <c r="D16" s="5342"/>
      <c r="E16" s="5342"/>
      <c r="F16" s="5342"/>
      <c r="G16" s="5342"/>
      <c r="H16" s="5342"/>
      <c r="I16" s="5342"/>
      <c r="J16" s="5342"/>
      <c r="K16" s="5342"/>
      <c r="L16" s="5342"/>
      <c r="M16" s="5342"/>
      <c r="N16" s="5342"/>
      <c r="O16" s="5342"/>
      <c r="P16" s="5342"/>
      <c r="Q16" s="5342"/>
      <c r="R16" s="5342"/>
      <c r="S16" s="5342"/>
      <c r="T16" s="5342"/>
      <c r="U16" s="5342"/>
      <c r="V16" s="5342"/>
      <c r="W16" s="5342"/>
      <c r="X16" s="5342"/>
      <c r="Y16" s="5342"/>
      <c r="Z16" s="5342"/>
    </row>
    <row r="17" spans="2:34" ht="9.1999999999999993" customHeight="1" outlineLevel="1">
      <c r="D17" s="5342"/>
      <c r="E17" s="5342"/>
      <c r="F17" s="5342"/>
      <c r="G17" s="5342"/>
      <c r="H17" s="5342"/>
      <c r="I17" s="5342"/>
      <c r="J17" s="5342"/>
      <c r="K17" s="5342"/>
      <c r="L17" s="5342"/>
      <c r="M17" s="5342"/>
      <c r="N17" s="5342"/>
      <c r="O17" s="5342"/>
      <c r="P17" s="5342"/>
      <c r="Q17" s="5342"/>
      <c r="R17" s="5342"/>
      <c r="S17" s="5342"/>
      <c r="T17" s="5342"/>
      <c r="U17" s="5342"/>
      <c r="V17" s="5342"/>
      <c r="W17" s="5342"/>
      <c r="X17" s="5342"/>
      <c r="Y17" s="5342"/>
      <c r="Z17" s="5342"/>
    </row>
    <row r="18" spans="2:34" ht="9.1999999999999993" customHeight="1" outlineLevel="1">
      <c r="D18" s="5342"/>
      <c r="E18" s="5342"/>
      <c r="F18" s="5342"/>
      <c r="G18" s="5342"/>
      <c r="H18" s="5342"/>
      <c r="I18" s="5342"/>
      <c r="J18" s="5342"/>
      <c r="K18" s="5342"/>
      <c r="L18" s="5342"/>
      <c r="M18" s="5342"/>
      <c r="N18" s="5342"/>
      <c r="O18" s="5342"/>
      <c r="P18" s="5342"/>
      <c r="Q18" s="5342"/>
      <c r="R18" s="5342"/>
      <c r="S18" s="5342"/>
      <c r="T18" s="5342"/>
      <c r="U18" s="5342"/>
      <c r="V18" s="5342"/>
      <c r="W18" s="5342"/>
      <c r="X18" s="5342"/>
      <c r="Y18" s="5342"/>
      <c r="Z18" s="5342"/>
    </row>
    <row r="19" spans="2:34" ht="9.1999999999999993" customHeight="1" outlineLevel="1">
      <c r="D19" s="1581"/>
      <c r="E19" s="1582"/>
      <c r="F19" s="1582"/>
      <c r="G19" s="1582"/>
      <c r="H19" s="1582"/>
      <c r="I19" s="1582"/>
      <c r="J19" s="1582"/>
      <c r="K19" s="1582"/>
      <c r="L19" s="1583"/>
      <c r="M19" s="1584"/>
      <c r="N19" s="1585"/>
      <c r="O19" s="1585"/>
      <c r="P19" s="1585"/>
      <c r="Q19" s="1585"/>
      <c r="R19" s="1585"/>
      <c r="S19" s="1584"/>
      <c r="T19" s="1584"/>
      <c r="U19" s="1581"/>
      <c r="V19" s="1582"/>
      <c r="W19" s="1582"/>
      <c r="X19" s="1582"/>
      <c r="Y19" s="1582"/>
      <c r="Z19" s="1582"/>
    </row>
    <row r="20" spans="2:34" ht="9.1999999999999993" customHeight="1" outlineLevel="1">
      <c r="B20" s="1568"/>
      <c r="C20" s="1568"/>
      <c r="D20" s="1581"/>
      <c r="E20" s="1582"/>
      <c r="F20" s="1582"/>
      <c r="G20" s="1582"/>
      <c r="H20" s="1582"/>
      <c r="I20" s="1582"/>
      <c r="J20" s="1582"/>
      <c r="K20" s="1582"/>
      <c r="L20" s="1583"/>
      <c r="M20" s="1584"/>
      <c r="N20" s="1585"/>
      <c r="O20" s="1585"/>
      <c r="P20" s="1585"/>
      <c r="Q20" s="1585"/>
      <c r="R20" s="1585"/>
      <c r="S20" s="1584"/>
      <c r="T20" s="1586"/>
      <c r="U20" s="1581"/>
      <c r="V20" s="1582"/>
      <c r="W20" s="1582"/>
      <c r="X20" s="1582"/>
      <c r="Y20" s="1582"/>
      <c r="Z20" s="1582"/>
    </row>
    <row r="21" spans="2:34" ht="9.1999999999999993" customHeight="1" outlineLevel="1">
      <c r="B21" s="1568"/>
      <c r="C21" s="1568"/>
      <c r="D21" s="1581"/>
      <c r="E21" s="1582"/>
      <c r="F21" s="1582"/>
      <c r="G21" s="1582"/>
      <c r="H21" s="1582"/>
      <c r="I21" s="1582"/>
      <c r="J21" s="1582"/>
      <c r="K21" s="1582"/>
      <c r="L21" s="1583"/>
      <c r="M21" s="1584"/>
      <c r="N21" s="1585"/>
      <c r="O21" s="1585"/>
      <c r="P21" s="1585"/>
      <c r="Q21" s="1585"/>
      <c r="R21" s="1585"/>
      <c r="S21" s="1584"/>
      <c r="T21" s="1586"/>
      <c r="U21" s="1581"/>
      <c r="V21" s="1582"/>
      <c r="W21" s="1582"/>
      <c r="X21" s="1582"/>
      <c r="Y21" s="1582"/>
      <c r="Z21" s="1582"/>
    </row>
    <row r="22" spans="2:34" ht="9.1999999999999993" customHeight="1" outlineLevel="1">
      <c r="B22" s="1568"/>
      <c r="C22" s="1568"/>
      <c r="D22" s="1581"/>
      <c r="E22" s="1582"/>
      <c r="F22" s="1582"/>
      <c r="G22" s="1582"/>
      <c r="H22" s="1582"/>
      <c r="I22" s="1582"/>
      <c r="J22" s="1582"/>
      <c r="K22" s="1582"/>
      <c r="L22" s="1583"/>
      <c r="M22" s="1584"/>
      <c r="N22" s="1585"/>
      <c r="O22" s="1585"/>
      <c r="P22" s="1585"/>
      <c r="Q22" s="1585"/>
      <c r="R22" s="1585"/>
      <c r="S22" s="1584"/>
      <c r="T22" s="1586"/>
      <c r="U22" s="1581"/>
      <c r="V22" s="1582"/>
      <c r="W22" s="1582"/>
      <c r="X22" s="1582"/>
      <c r="Y22" s="1582"/>
      <c r="Z22" s="1582"/>
    </row>
    <row r="23" spans="2:34" ht="9.1999999999999993" customHeight="1" outlineLevel="1">
      <c r="B23" s="1568"/>
      <c r="C23" s="1568"/>
      <c r="D23" s="1581"/>
      <c r="E23" s="1582"/>
      <c r="F23" s="1582"/>
      <c r="G23" s="1582"/>
      <c r="H23" s="1582"/>
      <c r="I23" s="1582"/>
      <c r="J23" s="1582"/>
      <c r="K23" s="1582"/>
      <c r="L23" s="1583"/>
      <c r="M23" s="1584"/>
      <c r="N23" s="1585"/>
      <c r="O23" s="1585"/>
      <c r="P23" s="1585"/>
      <c r="Q23" s="1585"/>
      <c r="R23" s="1585"/>
      <c r="S23" s="1584"/>
      <c r="T23" s="1586"/>
      <c r="U23" s="1581"/>
      <c r="V23" s="1582"/>
      <c r="W23" s="1582"/>
      <c r="X23" s="1582"/>
      <c r="Y23" s="1582"/>
      <c r="Z23" s="1582"/>
    </row>
    <row r="24" spans="2:34" ht="8.25" customHeight="1" outlineLevel="1" thickBot="1">
      <c r="B24" s="1568"/>
      <c r="C24" s="1568"/>
      <c r="D24" s="1580"/>
      <c r="E24" s="1575"/>
      <c r="F24" s="1575"/>
      <c r="G24" s="1575"/>
      <c r="H24" s="1575"/>
      <c r="I24" s="1575"/>
      <c r="J24" s="1575"/>
      <c r="K24" s="1575"/>
      <c r="L24" s="1576"/>
      <c r="M24" s="1580"/>
      <c r="N24" s="1575"/>
      <c r="O24" s="1575"/>
      <c r="P24" s="1575"/>
      <c r="Q24" s="1575"/>
      <c r="R24" s="1575"/>
      <c r="T24" s="1568"/>
      <c r="U24" s="1580"/>
      <c r="V24" s="1575"/>
      <c r="W24" s="1575"/>
      <c r="X24" s="1575"/>
      <c r="Y24" s="1575"/>
      <c r="Z24" s="1575"/>
    </row>
    <row r="25" spans="2:34" ht="32.25" customHeight="1">
      <c r="B25" s="1568"/>
      <c r="C25" s="1568"/>
      <c r="D25" s="1587" t="s">
        <v>289</v>
      </c>
      <c r="E25" s="1588"/>
      <c r="F25" s="1588"/>
      <c r="G25" s="1588"/>
      <c r="H25" s="1588"/>
      <c r="I25" s="1588"/>
      <c r="J25" s="1589"/>
      <c r="K25" s="1590"/>
      <c r="L25" s="1576"/>
      <c r="M25" s="1591" t="s">
        <v>290</v>
      </c>
      <c r="N25" s="1592"/>
      <c r="O25" s="1592"/>
      <c r="P25" s="1592"/>
      <c r="Q25" s="1592"/>
      <c r="R25" s="1593"/>
      <c r="S25" s="1590"/>
      <c r="U25" s="1594" t="s">
        <v>291</v>
      </c>
      <c r="V25" s="1595"/>
      <c r="W25" s="1595"/>
      <c r="X25" s="1595"/>
      <c r="Y25" s="1595"/>
      <c r="Z25" s="1596"/>
      <c r="AA25" s="1567"/>
    </row>
    <row r="26" spans="2:34" ht="16.5" customHeight="1">
      <c r="B26" s="1568"/>
      <c r="C26" s="1568"/>
      <c r="D26" s="5343" t="s">
        <v>292</v>
      </c>
      <c r="E26" s="5344"/>
      <c r="F26" s="5345"/>
      <c r="G26" s="1597" t="s">
        <v>293</v>
      </c>
      <c r="H26" s="1598" t="s">
        <v>294</v>
      </c>
      <c r="I26" s="1599" t="s">
        <v>295</v>
      </c>
      <c r="J26" s="1600"/>
      <c r="K26" s="1575"/>
      <c r="L26" s="1580"/>
      <c r="M26" s="5346" t="s">
        <v>292</v>
      </c>
      <c r="N26" s="5347"/>
      <c r="O26" s="5347"/>
      <c r="P26" s="1601" t="s">
        <v>293</v>
      </c>
      <c r="Q26" s="1602" t="s">
        <v>294</v>
      </c>
      <c r="R26" s="1603" t="s">
        <v>295</v>
      </c>
      <c r="U26" s="5348" t="s">
        <v>292</v>
      </c>
      <c r="V26" s="5349"/>
      <c r="W26" s="5349"/>
      <c r="X26" s="1602" t="s">
        <v>296</v>
      </c>
      <c r="Y26" s="1602" t="s">
        <v>294</v>
      </c>
      <c r="Z26" s="1603" t="s">
        <v>295</v>
      </c>
      <c r="AA26" s="1567"/>
      <c r="AB26" s="1567"/>
      <c r="AC26" s="1567"/>
      <c r="AD26" s="1567"/>
      <c r="AE26" s="1567"/>
      <c r="AF26" s="1567"/>
      <c r="AG26" s="1567"/>
      <c r="AH26" s="1567"/>
    </row>
    <row r="27" spans="2:34" ht="21.75" customHeight="1">
      <c r="B27" s="1568"/>
      <c r="C27" s="1568"/>
      <c r="D27" s="5350" t="s">
        <v>297</v>
      </c>
      <c r="E27" s="5351"/>
      <c r="F27" s="5352"/>
      <c r="G27" s="5353">
        <v>44874</v>
      </c>
      <c r="H27" s="5354" t="s">
        <v>298</v>
      </c>
      <c r="I27" s="5355" t="s">
        <v>299</v>
      </c>
      <c r="J27" s="1604"/>
      <c r="K27" s="1575"/>
      <c r="L27" s="1580"/>
      <c r="M27" s="5338"/>
      <c r="N27" s="5339"/>
      <c r="O27" s="5340"/>
      <c r="P27" s="1605"/>
      <c r="Q27" s="1606"/>
      <c r="R27" s="1607"/>
      <c r="U27" s="5338" t="s">
        <v>300</v>
      </c>
      <c r="V27" s="5339"/>
      <c r="W27" s="5340"/>
      <c r="X27" s="1605">
        <v>44874</v>
      </c>
      <c r="Y27" s="1606" t="s">
        <v>298</v>
      </c>
      <c r="Z27" s="1607" t="s">
        <v>299</v>
      </c>
      <c r="AA27" s="1567"/>
      <c r="AB27" s="1567"/>
      <c r="AC27" s="1567"/>
      <c r="AD27" s="1567"/>
      <c r="AE27" s="1567"/>
      <c r="AF27" s="1567"/>
      <c r="AG27" s="1567"/>
      <c r="AH27" s="1567"/>
    </row>
    <row r="28" spans="2:34" ht="17.25" customHeight="1">
      <c r="B28" s="1568"/>
      <c r="C28" s="1568"/>
      <c r="D28" s="5350"/>
      <c r="E28" s="5351"/>
      <c r="F28" s="5352"/>
      <c r="G28" s="5353"/>
      <c r="H28" s="5354"/>
      <c r="I28" s="5355"/>
      <c r="J28" s="2094"/>
      <c r="K28" s="1575"/>
      <c r="L28" s="1580"/>
      <c r="M28" s="1609"/>
      <c r="N28" s="1610"/>
      <c r="O28" s="1610"/>
      <c r="P28" s="1611"/>
      <c r="Q28" s="1611"/>
      <c r="R28" s="1612"/>
      <c r="U28" s="1613"/>
      <c r="V28" s="1590"/>
      <c r="W28" s="1590"/>
      <c r="X28" s="1611"/>
      <c r="Y28" s="1611"/>
      <c r="Z28" s="1612"/>
      <c r="AA28" s="1567"/>
      <c r="AB28" s="1567"/>
      <c r="AC28" s="1567"/>
      <c r="AD28" s="1567"/>
      <c r="AE28" s="1567"/>
      <c r="AF28" s="1567"/>
      <c r="AG28" s="1567"/>
      <c r="AH28" s="1567"/>
    </row>
    <row r="29" spans="2:34" ht="17.25" customHeight="1">
      <c r="B29" s="1568"/>
      <c r="C29" s="1568"/>
      <c r="D29" s="5350"/>
      <c r="E29" s="5351"/>
      <c r="F29" s="5352"/>
      <c r="G29" s="5353"/>
      <c r="H29" s="5354"/>
      <c r="I29" s="5355"/>
      <c r="J29" s="1604"/>
      <c r="K29" s="1575"/>
      <c r="L29" s="1580"/>
      <c r="M29" s="5338"/>
      <c r="N29" s="5339"/>
      <c r="O29" s="5340"/>
      <c r="P29" s="1605"/>
      <c r="Q29" s="1606"/>
      <c r="R29" s="1607"/>
      <c r="U29" s="5338"/>
      <c r="V29" s="5339"/>
      <c r="W29" s="5340"/>
      <c r="X29" s="1605"/>
      <c r="Y29" s="1606"/>
      <c r="Z29" s="1607"/>
      <c r="AA29" s="1567"/>
      <c r="AB29" s="1567"/>
      <c r="AC29" s="1567"/>
      <c r="AD29" s="1567">
        <v>2452499.7199999997</v>
      </c>
      <c r="AE29" s="1567"/>
      <c r="AF29" s="1567"/>
      <c r="AG29" s="1567"/>
      <c r="AH29" s="1567"/>
    </row>
    <row r="30" spans="2:34" ht="17.25" customHeight="1">
      <c r="B30" s="1568"/>
      <c r="C30" s="1568"/>
      <c r="D30" s="5350"/>
      <c r="E30" s="5351"/>
      <c r="F30" s="5352"/>
      <c r="G30" s="5353"/>
      <c r="H30" s="5354"/>
      <c r="I30" s="5355"/>
      <c r="J30" s="2094"/>
      <c r="K30" s="1575"/>
      <c r="L30" s="1580"/>
      <c r="M30" s="1613"/>
      <c r="N30" s="1614"/>
      <c r="O30" s="1615"/>
      <c r="P30" s="1616"/>
      <c r="Q30" s="1617"/>
      <c r="R30" s="1618"/>
      <c r="U30" s="1613"/>
      <c r="V30" s="1619"/>
      <c r="W30" s="1619"/>
      <c r="X30" s="1616"/>
      <c r="Y30" s="1617"/>
      <c r="Z30" s="1618"/>
      <c r="AA30" s="1567"/>
      <c r="AB30" s="1567"/>
      <c r="AC30" s="1567"/>
      <c r="AD30" s="1567"/>
      <c r="AE30" s="1567"/>
      <c r="AF30" s="1567"/>
      <c r="AG30" s="1567"/>
      <c r="AH30" s="1567"/>
    </row>
    <row r="31" spans="2:34" ht="17.25" customHeight="1">
      <c r="B31" s="1568"/>
      <c r="C31" s="1568"/>
      <c r="D31" s="5350"/>
      <c r="E31" s="5351"/>
      <c r="F31" s="5352"/>
      <c r="G31" s="5353"/>
      <c r="H31" s="5354"/>
      <c r="I31" s="5355"/>
      <c r="J31" s="1604"/>
      <c r="K31" s="1575"/>
      <c r="L31" s="1580"/>
      <c r="M31" s="5338"/>
      <c r="N31" s="5339"/>
      <c r="O31" s="5340"/>
      <c r="P31" s="1605"/>
      <c r="Q31" s="1606"/>
      <c r="R31" s="1607"/>
      <c r="U31" s="5338"/>
      <c r="V31" s="5339"/>
      <c r="W31" s="5340"/>
      <c r="X31" s="1605"/>
      <c r="Y31" s="1606"/>
      <c r="Z31" s="1607"/>
      <c r="AA31" s="1567"/>
      <c r="AB31" s="1567"/>
      <c r="AC31" s="1567"/>
      <c r="AD31" s="1567"/>
      <c r="AE31" s="1567"/>
      <c r="AF31" s="1567"/>
      <c r="AG31" s="1567"/>
      <c r="AH31" s="1567"/>
    </row>
    <row r="32" spans="2:34" ht="17.25" customHeight="1">
      <c r="B32" s="1568"/>
      <c r="C32" s="1568"/>
      <c r="D32" s="5350"/>
      <c r="E32" s="5351"/>
      <c r="F32" s="5352"/>
      <c r="G32" s="5353"/>
      <c r="H32" s="5354"/>
      <c r="I32" s="5355"/>
      <c r="J32" s="2094"/>
      <c r="K32" s="1575"/>
      <c r="L32" s="1580"/>
      <c r="M32" s="1609"/>
      <c r="N32" s="1610"/>
      <c r="O32" s="1610"/>
      <c r="P32" s="1611"/>
      <c r="Q32" s="1611"/>
      <c r="R32" s="1612"/>
      <c r="U32" s="1613"/>
      <c r="V32" s="1590"/>
      <c r="W32" s="1590"/>
      <c r="X32" s="1611"/>
      <c r="Y32" s="1611"/>
      <c r="Z32" s="1612"/>
      <c r="AA32" s="1567"/>
      <c r="AB32" s="1567"/>
      <c r="AC32" s="1567"/>
      <c r="AD32" s="1567"/>
      <c r="AE32" s="1567"/>
      <c r="AF32" s="1567"/>
      <c r="AG32" s="1567"/>
      <c r="AH32" s="1567"/>
    </row>
    <row r="33" spans="2:34" ht="17.25" customHeight="1">
      <c r="B33" s="1568"/>
      <c r="C33" s="1568"/>
      <c r="D33" s="5350"/>
      <c r="E33" s="5351"/>
      <c r="F33" s="5352"/>
      <c r="G33" s="5353"/>
      <c r="H33" s="5354"/>
      <c r="I33" s="5355"/>
      <c r="J33" s="1604"/>
      <c r="K33" s="1575"/>
      <c r="L33" s="1580"/>
      <c r="M33" s="5338"/>
      <c r="N33" s="5339"/>
      <c r="O33" s="5340"/>
      <c r="P33" s="1605"/>
      <c r="Q33" s="1606"/>
      <c r="R33" s="1607"/>
      <c r="U33" s="5338"/>
      <c r="V33" s="5339"/>
      <c r="W33" s="5340"/>
      <c r="X33" s="1605"/>
      <c r="Y33" s="1606"/>
      <c r="Z33" s="1607"/>
      <c r="AA33" s="1567"/>
      <c r="AB33" s="1567"/>
      <c r="AC33" s="1567"/>
      <c r="AD33" s="1567"/>
      <c r="AE33" s="1567"/>
      <c r="AF33" s="1567"/>
      <c r="AG33" s="1567"/>
      <c r="AH33" s="1567"/>
    </row>
    <row r="34" spans="2:34" ht="18" customHeight="1">
      <c r="B34" s="1568"/>
      <c r="C34" s="1568"/>
      <c r="D34" s="5350"/>
      <c r="E34" s="5351"/>
      <c r="F34" s="5352"/>
      <c r="G34" s="5353"/>
      <c r="H34" s="5354"/>
      <c r="I34" s="5355"/>
      <c r="J34" s="2094"/>
      <c r="K34" s="1575"/>
      <c r="L34" s="1580"/>
      <c r="M34" s="1620"/>
      <c r="N34" s="1614"/>
      <c r="O34" s="1621"/>
      <c r="P34" s="1616"/>
      <c r="Q34" s="1622"/>
      <c r="R34" s="1618"/>
      <c r="U34" s="1613"/>
      <c r="V34" s="1590"/>
      <c r="W34" s="1590"/>
      <c r="X34" s="1616"/>
      <c r="Y34" s="1622"/>
      <c r="Z34" s="1618"/>
      <c r="AA34" s="1567"/>
      <c r="AB34" s="1567"/>
      <c r="AC34" s="1567"/>
      <c r="AD34" s="1567"/>
      <c r="AE34" s="1567"/>
      <c r="AF34" s="1567"/>
      <c r="AG34" s="1567"/>
      <c r="AH34" s="1567"/>
    </row>
    <row r="35" spans="2:34" ht="18" customHeight="1">
      <c r="B35" s="1568"/>
      <c r="C35" s="1568"/>
      <c r="D35" s="5350"/>
      <c r="E35" s="5351"/>
      <c r="F35" s="5352"/>
      <c r="G35" s="5353"/>
      <c r="H35" s="5354"/>
      <c r="I35" s="5355"/>
      <c r="J35" s="1604"/>
      <c r="K35" s="1575"/>
      <c r="L35" s="1580"/>
      <c r="M35" s="5338"/>
      <c r="N35" s="5339"/>
      <c r="O35" s="5340"/>
      <c r="P35" s="1605"/>
      <c r="Q35" s="1606"/>
      <c r="R35" s="1607"/>
      <c r="U35" s="5338"/>
      <c r="V35" s="5339"/>
      <c r="W35" s="5340"/>
      <c r="X35" s="1605"/>
      <c r="Y35" s="1606"/>
      <c r="Z35" s="1607"/>
      <c r="AA35" s="1567"/>
      <c r="AB35" s="1567"/>
      <c r="AC35" s="1567"/>
      <c r="AD35" s="1567"/>
      <c r="AE35" s="1567"/>
      <c r="AF35" s="1567"/>
      <c r="AG35" s="1567"/>
      <c r="AH35" s="1567"/>
    </row>
    <row r="36" spans="2:34" ht="18" customHeight="1">
      <c r="B36" s="1568"/>
      <c r="C36" s="1568"/>
      <c r="D36" s="5356"/>
      <c r="E36" s="5357"/>
      <c r="F36" s="5358"/>
      <c r="G36" s="1623"/>
      <c r="H36" s="1624"/>
      <c r="I36" s="1625"/>
      <c r="J36" s="1608"/>
      <c r="K36" s="1575"/>
      <c r="L36" s="1580"/>
      <c r="M36" s="1613"/>
      <c r="N36" s="1614"/>
      <c r="O36" s="1615"/>
      <c r="P36" s="1616"/>
      <c r="Q36" s="1617"/>
      <c r="R36" s="1618"/>
      <c r="U36" s="1613"/>
      <c r="V36" s="1619"/>
      <c r="W36" s="1619"/>
      <c r="X36" s="1616"/>
      <c r="Y36" s="1617"/>
      <c r="Z36" s="1618"/>
      <c r="AA36" s="1567"/>
      <c r="AB36" s="1567"/>
      <c r="AC36" s="1567"/>
      <c r="AD36" s="1567"/>
      <c r="AE36" s="1567"/>
      <c r="AF36" s="1567"/>
      <c r="AG36" s="1567"/>
      <c r="AH36" s="1567"/>
    </row>
    <row r="37" spans="2:34" ht="20.25" customHeight="1">
      <c r="B37" s="1568"/>
      <c r="C37" s="1568"/>
      <c r="D37" s="5359"/>
      <c r="E37" s="5360"/>
      <c r="F37" s="5361"/>
      <c r="G37" s="1605"/>
      <c r="H37" s="1626"/>
      <c r="I37" s="1627"/>
      <c r="J37" s="1604"/>
      <c r="M37" s="5338"/>
      <c r="N37" s="5339"/>
      <c r="O37" s="5340"/>
      <c r="P37" s="1605"/>
      <c r="Q37" s="1606"/>
      <c r="R37" s="1607"/>
      <c r="U37" s="5338"/>
      <c r="V37" s="5339"/>
      <c r="W37" s="5340"/>
      <c r="X37" s="1605"/>
      <c r="Y37" s="1606"/>
      <c r="Z37" s="1607"/>
      <c r="AA37" s="1567"/>
      <c r="AB37" s="1567"/>
      <c r="AC37" s="1567"/>
      <c r="AD37" s="1567"/>
      <c r="AE37" s="1567"/>
      <c r="AF37" s="1567"/>
      <c r="AG37" s="1567"/>
      <c r="AH37" s="1567"/>
    </row>
    <row r="38" spans="2:34" ht="18" customHeight="1">
      <c r="B38" s="1568"/>
      <c r="C38" s="1568"/>
      <c r="D38" s="5356"/>
      <c r="E38" s="5357"/>
      <c r="F38" s="5358"/>
      <c r="G38" s="1623"/>
      <c r="H38" s="1624"/>
      <c r="I38" s="1625"/>
      <c r="J38" s="1608"/>
      <c r="K38" s="1575"/>
      <c r="L38" s="1580"/>
      <c r="M38" s="1609"/>
      <c r="N38" s="1610"/>
      <c r="O38" s="1610"/>
      <c r="P38" s="1611"/>
      <c r="Q38" s="1611"/>
      <c r="R38" s="1612"/>
      <c r="U38" s="1613"/>
      <c r="V38" s="1590"/>
      <c r="W38" s="1590"/>
      <c r="X38" s="1611"/>
      <c r="Y38" s="1611"/>
      <c r="Z38" s="1612"/>
      <c r="AA38" s="1567"/>
      <c r="AB38" s="1567"/>
      <c r="AC38" s="1567"/>
      <c r="AD38" s="1567"/>
      <c r="AE38" s="1567"/>
      <c r="AF38" s="1567"/>
      <c r="AG38" s="1567"/>
      <c r="AH38" s="1629"/>
    </row>
    <row r="39" spans="2:34" ht="17.25" customHeight="1">
      <c r="C39" s="1568"/>
      <c r="D39" s="5359"/>
      <c r="E39" s="5360"/>
      <c r="F39" s="5361"/>
      <c r="G39" s="1605"/>
      <c r="H39" s="1626"/>
      <c r="I39" s="1627"/>
      <c r="J39" s="1604"/>
      <c r="K39" s="1575"/>
      <c r="M39" s="5338"/>
      <c r="N39" s="5339"/>
      <c r="O39" s="5340"/>
      <c r="P39" s="1605"/>
      <c r="Q39" s="1606"/>
      <c r="R39" s="1607"/>
      <c r="U39" s="5338"/>
      <c r="V39" s="5339"/>
      <c r="W39" s="5340"/>
      <c r="X39" s="1605"/>
      <c r="Y39" s="1606"/>
      <c r="Z39" s="1607"/>
      <c r="AA39" s="1567"/>
      <c r="AB39" s="1567"/>
      <c r="AC39" s="1567"/>
      <c r="AD39" s="1567"/>
      <c r="AE39" s="1567"/>
      <c r="AF39" s="1567"/>
      <c r="AG39" s="1567"/>
      <c r="AH39" s="1629"/>
    </row>
    <row r="40" spans="2:34" ht="17.25" customHeight="1">
      <c r="B40" s="1568"/>
      <c r="C40" s="1568"/>
      <c r="D40" s="5356"/>
      <c r="E40" s="5357"/>
      <c r="F40" s="5358"/>
      <c r="G40" s="1630"/>
      <c r="H40" s="1631"/>
      <c r="I40" s="1632"/>
      <c r="J40" s="1633"/>
      <c r="M40" s="1634"/>
      <c r="N40" s="1614"/>
      <c r="O40" s="1621"/>
      <c r="P40" s="1616"/>
      <c r="Q40" s="1622"/>
      <c r="R40" s="1635"/>
      <c r="T40" s="1576"/>
      <c r="U40" s="1636"/>
      <c r="V40" s="1637"/>
      <c r="W40" s="1637"/>
      <c r="X40" s="1616"/>
      <c r="Y40" s="1622"/>
      <c r="Z40" s="1635"/>
      <c r="AA40" s="1567"/>
      <c r="AB40" s="1567"/>
      <c r="AC40" s="1567"/>
      <c r="AD40" s="1567"/>
      <c r="AE40" s="1567"/>
      <c r="AF40" s="1567"/>
      <c r="AG40" s="1567"/>
      <c r="AH40" s="1567"/>
    </row>
    <row r="41" spans="2:34" ht="21.75" customHeight="1" thickBot="1">
      <c r="B41" s="1568"/>
      <c r="C41" s="1568"/>
      <c r="D41" s="5359"/>
      <c r="E41" s="5360"/>
      <c r="F41" s="5361"/>
      <c r="G41" s="1605"/>
      <c r="H41" s="1626"/>
      <c r="I41" s="1627"/>
      <c r="J41" s="1604"/>
      <c r="K41" s="1575"/>
      <c r="L41" s="1580"/>
      <c r="M41" s="5362"/>
      <c r="N41" s="5363"/>
      <c r="O41" s="5364"/>
      <c r="P41" s="1638"/>
      <c r="Q41" s="1639"/>
      <c r="R41" s="1640"/>
      <c r="T41" s="1576"/>
      <c r="U41" s="5338"/>
      <c r="V41" s="5339"/>
      <c r="W41" s="5340"/>
      <c r="X41" s="1605"/>
      <c r="Y41" s="1606"/>
      <c r="Z41" s="1607"/>
      <c r="AA41" s="1567"/>
      <c r="AB41" s="1567"/>
      <c r="AC41" s="1567"/>
      <c r="AD41" s="1567"/>
      <c r="AE41" s="1567"/>
      <c r="AF41" s="1567"/>
      <c r="AG41" s="1567"/>
      <c r="AH41" s="1567"/>
    </row>
    <row r="42" spans="2:34" ht="20.25" customHeight="1" thickBot="1">
      <c r="C42" s="1568"/>
      <c r="D42" s="5374"/>
      <c r="E42" s="5375"/>
      <c r="F42" s="5375"/>
      <c r="G42" s="1641"/>
      <c r="H42" s="1642"/>
      <c r="I42" s="1643"/>
      <c r="J42" s="1644"/>
      <c r="K42" s="1575"/>
      <c r="U42" s="1613"/>
      <c r="V42" s="1590"/>
      <c r="W42" s="1590"/>
      <c r="X42" s="1611"/>
      <c r="Y42" s="1611"/>
      <c r="Z42" s="1612"/>
      <c r="AA42" s="1567"/>
      <c r="AB42" s="1567"/>
      <c r="AC42" s="1567"/>
      <c r="AD42" s="1567"/>
      <c r="AE42" s="1567"/>
      <c r="AF42" s="1567"/>
      <c r="AG42" s="1567"/>
      <c r="AH42" s="1567"/>
    </row>
    <row r="43" spans="2:34" ht="26.25" customHeight="1" thickBot="1">
      <c r="C43" s="1568"/>
      <c r="D43" s="1645"/>
      <c r="E43" s="1646"/>
      <c r="F43" s="1646"/>
      <c r="G43" s="1646"/>
      <c r="H43" s="1646"/>
      <c r="I43" s="1646"/>
      <c r="J43" s="1646"/>
      <c r="K43" s="1575"/>
      <c r="M43" s="1591" t="s">
        <v>301</v>
      </c>
      <c r="N43" s="1592"/>
      <c r="O43" s="1592"/>
      <c r="P43" s="1592"/>
      <c r="Q43" s="1592"/>
      <c r="R43" s="1593"/>
      <c r="U43" s="5338"/>
      <c r="V43" s="5339"/>
      <c r="W43" s="5340"/>
      <c r="X43" s="1605"/>
      <c r="Y43" s="1606"/>
      <c r="Z43" s="1607"/>
      <c r="AA43" s="1567"/>
      <c r="AB43" s="1567"/>
      <c r="AC43" s="1567"/>
      <c r="AD43" s="1567"/>
      <c r="AE43" s="1567"/>
      <c r="AF43" s="1567"/>
      <c r="AG43" s="1567"/>
      <c r="AH43" s="1647"/>
    </row>
    <row r="44" spans="2:34" ht="20.25" customHeight="1">
      <c r="B44" s="1568"/>
      <c r="C44" s="1568"/>
      <c r="D44" s="1648" t="s">
        <v>302</v>
      </c>
      <c r="E44" s="1649"/>
      <c r="F44" s="1649"/>
      <c r="G44" s="1649"/>
      <c r="H44" s="1649"/>
      <c r="I44" s="1649"/>
      <c r="J44" s="1650"/>
      <c r="K44" s="1575"/>
      <c r="L44" s="1580"/>
      <c r="M44" s="5346" t="s">
        <v>292</v>
      </c>
      <c r="N44" s="5347"/>
      <c r="O44" s="5347"/>
      <c r="P44" s="1601" t="s">
        <v>293</v>
      </c>
      <c r="Q44" s="1602" t="s">
        <v>294</v>
      </c>
      <c r="R44" s="1603" t="s">
        <v>295</v>
      </c>
      <c r="T44" s="1576"/>
      <c r="U44" s="1651"/>
      <c r="V44" s="1652"/>
      <c r="W44" s="1653"/>
      <c r="X44" s="1616"/>
      <c r="Y44" s="1622"/>
      <c r="Z44" s="1635"/>
      <c r="AA44" s="1567"/>
      <c r="AB44" s="1567"/>
      <c r="AC44" s="1567"/>
      <c r="AD44" s="1567"/>
      <c r="AE44" s="1567"/>
      <c r="AF44" s="1567"/>
      <c r="AG44" s="1567"/>
      <c r="AH44" s="1567"/>
    </row>
    <row r="45" spans="2:34" ht="17.25" customHeight="1" thickBot="1">
      <c r="C45" s="1568"/>
      <c r="D45" s="5376" t="s">
        <v>292</v>
      </c>
      <c r="E45" s="5377"/>
      <c r="F45" s="5378"/>
      <c r="G45" s="1597" t="s">
        <v>293</v>
      </c>
      <c r="H45" s="1654" t="s">
        <v>294</v>
      </c>
      <c r="I45" s="1601" t="s">
        <v>295</v>
      </c>
      <c r="J45" s="1655"/>
      <c r="K45" s="1575"/>
      <c r="M45" s="5338"/>
      <c r="N45" s="5339"/>
      <c r="O45" s="5340"/>
      <c r="P45" s="1605"/>
      <c r="Q45" s="1606"/>
      <c r="R45" s="1607"/>
      <c r="U45" s="5362"/>
      <c r="V45" s="5363"/>
      <c r="W45" s="5364"/>
      <c r="X45" s="1638"/>
      <c r="Y45" s="1639"/>
      <c r="Z45" s="1640"/>
      <c r="AA45" s="1567"/>
      <c r="AB45" s="1567"/>
      <c r="AC45" s="1567"/>
      <c r="AD45" s="1567"/>
      <c r="AE45" s="1567"/>
      <c r="AF45" s="1567"/>
      <c r="AG45" s="1567"/>
      <c r="AH45" s="1567"/>
    </row>
    <row r="46" spans="2:34" ht="17.25" customHeight="1" thickBot="1">
      <c r="C46" s="1568"/>
      <c r="D46" s="5359"/>
      <c r="E46" s="5360"/>
      <c r="F46" s="5361"/>
      <c r="G46" s="1605"/>
      <c r="H46" s="1606"/>
      <c r="I46" s="1656"/>
      <c r="J46" s="1604"/>
      <c r="K46" s="1575"/>
      <c r="M46" s="1613"/>
      <c r="N46" s="1614"/>
      <c r="O46" s="1615"/>
      <c r="P46" s="1611"/>
      <c r="Q46" s="1611"/>
      <c r="R46" s="1612"/>
      <c r="AA46" s="1567"/>
      <c r="AB46" s="1567"/>
      <c r="AC46" s="1567"/>
      <c r="AD46" s="1567"/>
      <c r="AE46" s="1567"/>
      <c r="AF46" s="1567"/>
      <c r="AG46" s="1567"/>
      <c r="AH46" s="1567"/>
    </row>
    <row r="47" spans="2:34" ht="18" customHeight="1">
      <c r="D47" s="5365"/>
      <c r="E47" s="5366"/>
      <c r="F47" s="5367"/>
      <c r="G47" s="1657"/>
      <c r="H47" s="1657"/>
      <c r="I47" s="5368"/>
      <c r="J47" s="5369"/>
      <c r="K47" s="1575"/>
      <c r="M47" s="5338"/>
      <c r="N47" s="5339"/>
      <c r="O47" s="5340"/>
      <c r="P47" s="1605"/>
      <c r="Q47" s="1606"/>
      <c r="R47" s="1607"/>
      <c r="U47" s="5370" t="s">
        <v>303</v>
      </c>
      <c r="V47" s="5371"/>
      <c r="W47" s="1658"/>
      <c r="X47" s="1658"/>
      <c r="Y47" s="1658"/>
      <c r="Z47" s="1659"/>
      <c r="AA47" s="1567"/>
      <c r="AB47" s="1567"/>
      <c r="AC47" s="1567"/>
      <c r="AD47" s="1567"/>
      <c r="AE47" s="1567"/>
      <c r="AF47" s="1567"/>
      <c r="AG47" s="1567"/>
      <c r="AH47" s="1567"/>
    </row>
    <row r="48" spans="2:34" ht="18" customHeight="1">
      <c r="C48" s="1568"/>
      <c r="D48" s="5359"/>
      <c r="E48" s="5360"/>
      <c r="F48" s="5361"/>
      <c r="G48" s="1605"/>
      <c r="H48" s="1606"/>
      <c r="I48" s="1656"/>
      <c r="J48" s="1604"/>
      <c r="K48" s="1575"/>
      <c r="M48" s="1613"/>
      <c r="N48" s="1614"/>
      <c r="O48" s="1615"/>
      <c r="P48" s="1616"/>
      <c r="Q48" s="1617"/>
      <c r="R48" s="1618"/>
      <c r="U48" s="5372"/>
      <c r="V48" s="5373"/>
      <c r="W48" s="1660"/>
      <c r="X48" s="1660"/>
      <c r="Y48" s="1660"/>
      <c r="Z48" s="1661"/>
      <c r="AA48" s="1567"/>
      <c r="AB48" s="1567"/>
      <c r="AC48" s="1567"/>
      <c r="AD48" s="1567"/>
      <c r="AE48" s="1567"/>
      <c r="AF48" s="1567"/>
      <c r="AG48" s="1567"/>
      <c r="AH48" s="1567"/>
    </row>
    <row r="49" spans="3:34" ht="18" customHeight="1">
      <c r="C49" s="1568"/>
      <c r="D49" s="5365"/>
      <c r="E49" s="5366"/>
      <c r="F49" s="5367"/>
      <c r="G49" s="1657"/>
      <c r="H49" s="1657"/>
      <c r="I49" s="5368"/>
      <c r="J49" s="5369"/>
      <c r="K49" s="1575"/>
      <c r="M49" s="5338"/>
      <c r="N49" s="5339"/>
      <c r="O49" s="5340"/>
      <c r="P49" s="1605"/>
      <c r="Q49" s="1606"/>
      <c r="R49" s="1607"/>
      <c r="U49" s="5348" t="s">
        <v>292</v>
      </c>
      <c r="V49" s="5349"/>
      <c r="W49" s="5349"/>
      <c r="X49" s="1602" t="s">
        <v>296</v>
      </c>
      <c r="Y49" s="1602" t="s">
        <v>294</v>
      </c>
      <c r="Z49" s="1603" t="s">
        <v>295</v>
      </c>
      <c r="AA49" s="1567"/>
      <c r="AB49" s="1567"/>
      <c r="AC49" s="1567"/>
      <c r="AD49" s="1567"/>
      <c r="AE49" s="1567"/>
      <c r="AF49" s="1567"/>
      <c r="AG49" s="1567"/>
      <c r="AH49" s="1567"/>
    </row>
    <row r="50" spans="3:34" ht="18" customHeight="1">
      <c r="D50" s="5359"/>
      <c r="E50" s="5360"/>
      <c r="F50" s="5361"/>
      <c r="G50" s="1605"/>
      <c r="H50" s="1606"/>
      <c r="I50" s="1656"/>
      <c r="J50" s="1604"/>
      <c r="K50" s="1575"/>
      <c r="M50" s="1613"/>
      <c r="N50" s="1614"/>
      <c r="O50" s="1615"/>
      <c r="P50" s="1611"/>
      <c r="Q50" s="1611"/>
      <c r="R50" s="1612"/>
      <c r="U50" s="5338"/>
      <c r="V50" s="5339"/>
      <c r="W50" s="5340"/>
      <c r="X50" s="1605"/>
      <c r="Y50" s="1606"/>
      <c r="Z50" s="1607"/>
      <c r="AA50" s="1567"/>
      <c r="AB50" s="1567"/>
      <c r="AC50" s="1567"/>
      <c r="AD50" s="1567"/>
      <c r="AE50" s="1567"/>
      <c r="AF50" s="1567"/>
      <c r="AG50" s="1567"/>
      <c r="AH50" s="1662"/>
    </row>
    <row r="51" spans="3:34" ht="18" customHeight="1" thickBot="1">
      <c r="D51" s="5365"/>
      <c r="E51" s="5366"/>
      <c r="F51" s="5367"/>
      <c r="G51" s="1657"/>
      <c r="H51" s="1657"/>
      <c r="I51" s="5368"/>
      <c r="J51" s="5369"/>
      <c r="K51" s="1575"/>
      <c r="M51" s="5362"/>
      <c r="N51" s="5363"/>
      <c r="O51" s="5364"/>
      <c r="P51" s="1638"/>
      <c r="Q51" s="1639"/>
      <c r="R51" s="1640"/>
      <c r="U51" s="1613"/>
      <c r="V51" s="1590"/>
      <c r="W51" s="1590"/>
      <c r="X51" s="1611"/>
      <c r="Y51" s="1611"/>
      <c r="Z51" s="1612"/>
      <c r="AA51" s="1567"/>
      <c r="AB51" s="1567"/>
      <c r="AC51" s="1567"/>
      <c r="AD51" s="1567"/>
      <c r="AE51" s="1567"/>
      <c r="AF51" s="1567"/>
      <c r="AG51" s="1567"/>
      <c r="AH51" s="1662"/>
    </row>
    <row r="52" spans="3:34" ht="17.25" customHeight="1" thickBot="1">
      <c r="C52" s="1568"/>
      <c r="D52" s="5359"/>
      <c r="E52" s="5360"/>
      <c r="F52" s="5361"/>
      <c r="G52" s="1605"/>
      <c r="H52" s="1606"/>
      <c r="I52" s="1656"/>
      <c r="J52" s="1604"/>
      <c r="K52" s="1575"/>
      <c r="M52" s="1663"/>
      <c r="N52" s="1663"/>
      <c r="O52" s="1663"/>
      <c r="P52" s="1663"/>
      <c r="Q52" s="1663"/>
      <c r="R52" s="1663"/>
      <c r="U52" s="5338"/>
      <c r="V52" s="5339"/>
      <c r="W52" s="5340"/>
      <c r="X52" s="1605"/>
      <c r="Y52" s="1606"/>
      <c r="Z52" s="1607"/>
      <c r="AA52" s="1567"/>
      <c r="AB52" s="1567"/>
      <c r="AC52" s="1567"/>
      <c r="AD52" s="1567"/>
      <c r="AE52" s="1567"/>
      <c r="AF52" s="1567"/>
      <c r="AG52" s="1567"/>
      <c r="AH52" s="1662"/>
    </row>
    <row r="53" spans="3:34" ht="25.5" customHeight="1">
      <c r="D53" s="5365"/>
      <c r="E53" s="5366"/>
      <c r="F53" s="5367"/>
      <c r="G53" s="1657"/>
      <c r="H53" s="1657"/>
      <c r="I53" s="5368"/>
      <c r="J53" s="5369"/>
      <c r="K53" s="1575"/>
      <c r="M53" s="1664" t="s">
        <v>304</v>
      </c>
      <c r="N53" s="1588"/>
      <c r="O53" s="1588"/>
      <c r="P53" s="1588"/>
      <c r="Q53" s="1588"/>
      <c r="R53" s="1589"/>
      <c r="U53" s="1613"/>
      <c r="V53" s="1619"/>
      <c r="W53" s="1619"/>
      <c r="X53" s="1616"/>
      <c r="Y53" s="1617"/>
      <c r="Z53" s="1618"/>
      <c r="AA53" s="1567"/>
      <c r="AB53" s="1567"/>
      <c r="AC53" s="1567"/>
      <c r="AD53" s="1567"/>
      <c r="AE53" s="1567"/>
      <c r="AF53" s="1567"/>
      <c r="AG53" s="1567"/>
      <c r="AH53" s="1662"/>
    </row>
    <row r="54" spans="3:34" ht="18" customHeight="1">
      <c r="D54" s="5359"/>
      <c r="E54" s="5360"/>
      <c r="F54" s="5361"/>
      <c r="G54" s="1605"/>
      <c r="H54" s="1606"/>
      <c r="I54" s="1656"/>
      <c r="J54" s="1604"/>
      <c r="K54" s="1575"/>
      <c r="M54" s="5346" t="s">
        <v>292</v>
      </c>
      <c r="N54" s="5347"/>
      <c r="O54" s="5347"/>
      <c r="P54" s="1601" t="s">
        <v>293</v>
      </c>
      <c r="Q54" s="1602" t="s">
        <v>294</v>
      </c>
      <c r="R54" s="1603" t="s">
        <v>295</v>
      </c>
      <c r="S54" s="1665"/>
      <c r="T54" s="873"/>
      <c r="U54" s="5338"/>
      <c r="V54" s="5339"/>
      <c r="W54" s="5340"/>
      <c r="X54" s="1605"/>
      <c r="Y54" s="1606"/>
      <c r="Z54" s="1607"/>
      <c r="AA54" s="1567"/>
      <c r="AB54" s="1567"/>
      <c r="AC54" s="1567"/>
      <c r="AD54" s="1567"/>
      <c r="AE54" s="1567"/>
      <c r="AF54" s="1567"/>
      <c r="AG54" s="1567"/>
      <c r="AH54" s="1567"/>
    </row>
    <row r="55" spans="3:34" ht="18" customHeight="1">
      <c r="D55" s="5365"/>
      <c r="E55" s="5366"/>
      <c r="F55" s="5367"/>
      <c r="G55" s="1657"/>
      <c r="H55" s="1657"/>
      <c r="I55" s="5368"/>
      <c r="J55" s="5369"/>
      <c r="K55" s="1575"/>
      <c r="M55" s="5338"/>
      <c r="N55" s="5339"/>
      <c r="O55" s="5340"/>
      <c r="P55" s="1605"/>
      <c r="Q55" s="1606"/>
      <c r="R55" s="1607"/>
      <c r="S55" s="873"/>
      <c r="T55" s="874"/>
      <c r="U55" s="1613"/>
      <c r="V55" s="1590"/>
      <c r="W55" s="1590"/>
      <c r="X55" s="1611"/>
      <c r="Y55" s="1611"/>
      <c r="Z55" s="1612"/>
      <c r="AA55" s="1567"/>
      <c r="AB55" s="1567"/>
      <c r="AC55" s="1567"/>
      <c r="AD55" s="1567"/>
      <c r="AE55" s="1567"/>
      <c r="AF55" s="1567"/>
      <c r="AG55" s="1567"/>
      <c r="AH55" s="1666"/>
    </row>
    <row r="56" spans="3:34" ht="18" customHeight="1">
      <c r="D56" s="5359"/>
      <c r="E56" s="5360"/>
      <c r="F56" s="5361"/>
      <c r="G56" s="1605"/>
      <c r="H56" s="1606"/>
      <c r="I56" s="1656"/>
      <c r="J56" s="1604"/>
      <c r="K56" s="1575"/>
      <c r="M56" s="1613"/>
      <c r="N56" s="1614"/>
      <c r="O56" s="1615"/>
      <c r="P56" s="1611"/>
      <c r="Q56" s="1611"/>
      <c r="R56" s="1612"/>
      <c r="S56" s="874"/>
      <c r="T56" s="1637"/>
      <c r="U56" s="5338"/>
      <c r="V56" s="5339"/>
      <c r="W56" s="5340"/>
      <c r="X56" s="1605"/>
      <c r="Y56" s="1606"/>
      <c r="Z56" s="1607"/>
      <c r="AA56" s="1567"/>
      <c r="AB56" s="1567"/>
      <c r="AC56" s="1567"/>
      <c r="AD56" s="1567"/>
      <c r="AE56" s="1567"/>
      <c r="AF56" s="1567"/>
      <c r="AG56" s="1567"/>
      <c r="AH56" s="1567"/>
    </row>
    <row r="57" spans="3:34" ht="33" customHeight="1">
      <c r="D57" s="5365"/>
      <c r="E57" s="5366"/>
      <c r="F57" s="5367"/>
      <c r="G57" s="1667"/>
      <c r="H57" s="1668"/>
      <c r="I57" s="1669"/>
      <c r="J57" s="1670"/>
      <c r="K57" s="1575"/>
      <c r="M57" s="5379"/>
      <c r="N57" s="5380"/>
      <c r="O57" s="5381"/>
      <c r="P57" s="1605"/>
      <c r="Q57" s="1606"/>
      <c r="R57" s="1607"/>
      <c r="S57" s="1637"/>
      <c r="T57" s="1637"/>
      <c r="U57" s="1636"/>
      <c r="V57" s="1637"/>
      <c r="W57" s="1637"/>
      <c r="X57" s="1616"/>
      <c r="Y57" s="1622"/>
      <c r="Z57" s="1618"/>
      <c r="AA57" s="1567"/>
      <c r="AB57" s="1567"/>
      <c r="AC57" s="1567"/>
      <c r="AD57" s="1567"/>
      <c r="AE57" s="1567"/>
      <c r="AF57" s="1567"/>
      <c r="AG57" s="1567"/>
      <c r="AH57" s="1567"/>
    </row>
    <row r="58" spans="3:34" ht="18" customHeight="1">
      <c r="D58" s="5359"/>
      <c r="E58" s="5360"/>
      <c r="F58" s="5361"/>
      <c r="G58" s="1605"/>
      <c r="H58" s="1606"/>
      <c r="I58" s="1656"/>
      <c r="J58" s="1604"/>
      <c r="K58" s="1575"/>
      <c r="M58" s="1613"/>
      <c r="N58" s="1614"/>
      <c r="O58" s="1615"/>
      <c r="P58" s="1616"/>
      <c r="Q58" s="1617"/>
      <c r="R58" s="1618"/>
      <c r="S58" s="1637"/>
      <c r="T58" s="1637"/>
      <c r="U58" s="5338"/>
      <c r="V58" s="5339"/>
      <c r="W58" s="5340"/>
      <c r="X58" s="1605"/>
      <c r="Y58" s="1606"/>
      <c r="Z58" s="1607"/>
      <c r="AA58" s="1567"/>
      <c r="AB58" s="1567"/>
      <c r="AC58" s="1567"/>
      <c r="AD58" s="1567"/>
      <c r="AE58" s="1567"/>
      <c r="AF58" s="1567"/>
      <c r="AG58" s="1567"/>
      <c r="AH58" s="1567"/>
    </row>
    <row r="59" spans="3:34" ht="18" customHeight="1">
      <c r="D59" s="5365"/>
      <c r="E59" s="5366"/>
      <c r="F59" s="5367"/>
      <c r="G59" s="1657"/>
      <c r="H59" s="1657"/>
      <c r="I59" s="5368"/>
      <c r="J59" s="5369"/>
      <c r="K59" s="1575"/>
      <c r="M59" s="5338"/>
      <c r="N59" s="5339"/>
      <c r="O59" s="5340"/>
      <c r="P59" s="1605"/>
      <c r="Q59" s="1606"/>
      <c r="R59" s="1607"/>
      <c r="S59" s="1637"/>
      <c r="T59" s="1637"/>
      <c r="U59" s="1613"/>
      <c r="V59" s="1590"/>
      <c r="W59" s="1590"/>
      <c r="X59" s="1616"/>
      <c r="Y59" s="1617"/>
      <c r="Z59" s="1618"/>
      <c r="AA59" s="1567"/>
      <c r="AB59" s="1567"/>
      <c r="AC59" s="1567"/>
      <c r="AD59" s="1567"/>
      <c r="AE59" s="1567"/>
      <c r="AF59" s="1567"/>
      <c r="AG59" s="1567"/>
      <c r="AH59" s="1567"/>
    </row>
    <row r="60" spans="3:34" ht="18" customHeight="1">
      <c r="D60" s="5359"/>
      <c r="E60" s="5360"/>
      <c r="F60" s="5361"/>
      <c r="G60" s="1605"/>
      <c r="H60" s="1606"/>
      <c r="I60" s="1656"/>
      <c r="J60" s="1604"/>
      <c r="K60" s="1575"/>
      <c r="M60" s="1613"/>
      <c r="N60" s="1671"/>
      <c r="O60" s="1671"/>
      <c r="P60" s="1611"/>
      <c r="Q60" s="1611"/>
      <c r="R60" s="1612"/>
      <c r="S60" s="1637"/>
      <c r="T60" s="1637"/>
      <c r="U60" s="5338"/>
      <c r="V60" s="5339"/>
      <c r="W60" s="5340"/>
      <c r="X60" s="1605"/>
      <c r="Y60" s="1606"/>
      <c r="Z60" s="1607"/>
      <c r="AA60" s="1567"/>
      <c r="AB60" s="1567"/>
      <c r="AC60" s="1567"/>
      <c r="AD60" s="1567"/>
      <c r="AE60" s="1567"/>
      <c r="AF60" s="1567"/>
      <c r="AG60" s="1567"/>
      <c r="AH60" s="1567"/>
    </row>
    <row r="61" spans="3:34" ht="18" customHeight="1">
      <c r="D61" s="5365"/>
      <c r="E61" s="5366"/>
      <c r="F61" s="5367"/>
      <c r="G61" s="1657"/>
      <c r="H61" s="1657"/>
      <c r="I61" s="5368"/>
      <c r="J61" s="5369"/>
      <c r="K61" s="1575"/>
      <c r="M61" s="5338"/>
      <c r="N61" s="5339"/>
      <c r="O61" s="5340"/>
      <c r="P61" s="1605"/>
      <c r="Q61" s="1606"/>
      <c r="R61" s="1607"/>
      <c r="S61" s="1637"/>
      <c r="T61" s="1637"/>
      <c r="U61" s="1613"/>
      <c r="V61" s="1672"/>
      <c r="W61" s="1672"/>
      <c r="X61" s="1611"/>
      <c r="Y61" s="1611"/>
      <c r="Z61" s="1612"/>
      <c r="AA61" s="1567"/>
      <c r="AB61" s="1567"/>
      <c r="AC61" s="1567"/>
      <c r="AD61" s="1567"/>
      <c r="AE61" s="1567"/>
      <c r="AF61" s="1567"/>
      <c r="AG61" s="1567"/>
      <c r="AH61" s="1567"/>
    </row>
    <row r="62" spans="3:34" ht="18" customHeight="1">
      <c r="D62" s="5359"/>
      <c r="E62" s="5360"/>
      <c r="F62" s="5361"/>
      <c r="G62" s="1605"/>
      <c r="H62" s="1606"/>
      <c r="I62" s="1656"/>
      <c r="J62" s="1604"/>
      <c r="K62" s="1575"/>
      <c r="M62" s="1613"/>
      <c r="N62" s="1614"/>
      <c r="O62" s="1615"/>
      <c r="P62" s="1616"/>
      <c r="Q62" s="1622"/>
      <c r="R62" s="1618"/>
      <c r="S62" s="1637"/>
      <c r="U62" s="5338"/>
      <c r="V62" s="5339"/>
      <c r="W62" s="5340"/>
      <c r="X62" s="1605"/>
      <c r="Y62" s="1606"/>
      <c r="Z62" s="1607"/>
      <c r="AA62" s="1567"/>
      <c r="AB62" s="1567"/>
      <c r="AC62" s="1567"/>
      <c r="AD62" s="1567"/>
      <c r="AE62" s="1567"/>
      <c r="AF62" s="1567"/>
      <c r="AG62" s="1567"/>
      <c r="AH62" s="1567"/>
    </row>
    <row r="63" spans="3:34" ht="18" customHeight="1" thickBot="1">
      <c r="D63" s="5382"/>
      <c r="E63" s="5383"/>
      <c r="F63" s="5384"/>
      <c r="G63" s="1673"/>
      <c r="H63" s="1674"/>
      <c r="I63" s="2453"/>
      <c r="J63" s="1675"/>
      <c r="K63" s="1575"/>
      <c r="M63" s="5338"/>
      <c r="N63" s="5339"/>
      <c r="O63" s="5340"/>
      <c r="P63" s="1605"/>
      <c r="Q63" s="1606"/>
      <c r="R63" s="1607"/>
      <c r="U63" s="1636"/>
      <c r="V63" s="1637"/>
      <c r="W63" s="1637"/>
      <c r="X63" s="1616"/>
      <c r="Y63" s="1622"/>
      <c r="Z63" s="1635"/>
      <c r="AA63" s="1567"/>
      <c r="AB63" s="1567"/>
      <c r="AC63" s="1567"/>
      <c r="AD63" s="1567"/>
      <c r="AE63" s="1567"/>
      <c r="AF63" s="1567"/>
      <c r="AG63" s="1567"/>
      <c r="AH63" s="1567"/>
    </row>
    <row r="64" spans="3:34" ht="18" customHeight="1" thickBot="1">
      <c r="D64" s="1676"/>
      <c r="E64" s="1676"/>
      <c r="F64" s="1676"/>
      <c r="G64" s="1676"/>
      <c r="H64" s="1677"/>
      <c r="I64" s="1677"/>
      <c r="J64" s="1678"/>
      <c r="K64" s="1575"/>
      <c r="M64" s="1613"/>
      <c r="N64" s="1614"/>
      <c r="O64" s="1615"/>
      <c r="P64" s="1616"/>
      <c r="Q64" s="1617"/>
      <c r="R64" s="1618"/>
      <c r="T64" s="1637"/>
      <c r="U64" s="5338"/>
      <c r="V64" s="5339"/>
      <c r="W64" s="5340"/>
      <c r="X64" s="1605"/>
      <c r="Y64" s="1606"/>
      <c r="Z64" s="1607"/>
      <c r="AA64" s="1567"/>
      <c r="AB64" s="1567"/>
      <c r="AC64" s="1567"/>
      <c r="AD64" s="1567"/>
      <c r="AE64" s="1567"/>
      <c r="AF64" s="1567"/>
      <c r="AG64" s="1567"/>
      <c r="AH64" s="1567"/>
    </row>
    <row r="65" spans="4:34" ht="18" customHeight="1">
      <c r="D65" s="1679" t="s">
        <v>305</v>
      </c>
      <c r="E65" s="1680"/>
      <c r="F65" s="1680"/>
      <c r="G65" s="1680"/>
      <c r="H65" s="1680"/>
      <c r="I65" s="1680"/>
      <c r="J65" s="1681"/>
      <c r="K65" s="1575"/>
      <c r="M65" s="5338"/>
      <c r="N65" s="5339"/>
      <c r="O65" s="5340"/>
      <c r="P65" s="1605"/>
      <c r="Q65" s="1606"/>
      <c r="R65" s="1607"/>
      <c r="S65" s="1637"/>
      <c r="T65" s="1637"/>
      <c r="U65" s="1613"/>
      <c r="V65" s="1590"/>
      <c r="W65" s="1590"/>
      <c r="X65" s="1611"/>
      <c r="Y65" s="1611"/>
      <c r="Z65" s="1612"/>
      <c r="AA65" s="1567"/>
      <c r="AB65" s="1567"/>
      <c r="AC65" s="1567"/>
      <c r="AD65" s="1567"/>
      <c r="AE65" s="1567"/>
      <c r="AF65" s="1567"/>
      <c r="AG65" s="1567"/>
      <c r="AH65" s="1567"/>
    </row>
    <row r="66" spans="4:34" ht="18" customHeight="1">
      <c r="D66" s="5390" t="s">
        <v>292</v>
      </c>
      <c r="E66" s="5391"/>
      <c r="F66" s="5391"/>
      <c r="G66" s="1597" t="s">
        <v>293</v>
      </c>
      <c r="H66" s="1682" t="s">
        <v>294</v>
      </c>
      <c r="I66" s="1683" t="s">
        <v>295</v>
      </c>
      <c r="J66" s="1670"/>
      <c r="K66" s="1575"/>
      <c r="M66" s="1613"/>
      <c r="N66" s="1671"/>
      <c r="O66" s="1671"/>
      <c r="P66" s="1611"/>
      <c r="Q66" s="1611"/>
      <c r="R66" s="1612"/>
      <c r="S66" s="1637"/>
      <c r="T66" s="1637"/>
      <c r="U66" s="5338"/>
      <c r="V66" s="5339"/>
      <c r="W66" s="5340"/>
      <c r="X66" s="1605"/>
      <c r="Y66" s="1606"/>
      <c r="Z66" s="1607"/>
      <c r="AA66" s="1567"/>
      <c r="AB66" s="1567"/>
      <c r="AC66" s="1567"/>
      <c r="AD66" s="1567"/>
      <c r="AE66" s="1567"/>
      <c r="AF66" s="1567"/>
      <c r="AG66" s="1567"/>
      <c r="AH66" s="1567"/>
    </row>
    <row r="67" spans="4:34" ht="19.5" customHeight="1">
      <c r="D67" s="5385" t="s">
        <v>306</v>
      </c>
      <c r="E67" s="5386"/>
      <c r="F67" s="5386"/>
      <c r="G67" s="1605">
        <v>44874</v>
      </c>
      <c r="H67" s="1606" t="s">
        <v>298</v>
      </c>
      <c r="I67" s="1656" t="s">
        <v>299</v>
      </c>
      <c r="J67" s="1604"/>
      <c r="K67" s="1575"/>
      <c r="M67" s="5338"/>
      <c r="N67" s="5339"/>
      <c r="O67" s="5340"/>
      <c r="P67" s="1605"/>
      <c r="Q67" s="1606"/>
      <c r="R67" s="1607"/>
      <c r="S67" s="1637"/>
      <c r="T67" s="1637"/>
      <c r="U67" s="1613"/>
      <c r="V67" s="1672"/>
      <c r="W67" s="1672"/>
      <c r="X67" s="1616"/>
      <c r="Y67" s="1622"/>
      <c r="Z67" s="1635"/>
      <c r="AA67" s="1567"/>
      <c r="AB67" s="1567"/>
      <c r="AC67" s="1567"/>
      <c r="AD67" s="1567"/>
      <c r="AE67" s="1567"/>
      <c r="AF67" s="1567"/>
      <c r="AG67" s="1567"/>
      <c r="AH67" s="1567"/>
    </row>
    <row r="68" spans="4:34" ht="21.95" customHeight="1">
      <c r="D68" s="5387"/>
      <c r="E68" s="5388"/>
      <c r="F68" s="5389"/>
      <c r="G68" s="1657"/>
      <c r="H68" s="1657"/>
      <c r="I68" s="5392"/>
      <c r="J68" s="5369"/>
      <c r="K68" s="1575"/>
      <c r="M68" s="1613"/>
      <c r="N68" s="1614"/>
      <c r="O68" s="1615"/>
      <c r="P68" s="1616"/>
      <c r="Q68" s="1622"/>
      <c r="R68" s="1635"/>
      <c r="S68" s="1637"/>
      <c r="T68" s="873"/>
      <c r="U68" s="5338"/>
      <c r="V68" s="5339"/>
      <c r="W68" s="5340"/>
      <c r="X68" s="1605"/>
      <c r="Y68" s="1606"/>
      <c r="Z68" s="1607"/>
      <c r="AA68" s="1567"/>
      <c r="AB68" s="1567"/>
      <c r="AC68" s="1567"/>
      <c r="AD68" s="1567"/>
      <c r="AE68" s="1567"/>
      <c r="AF68" s="1567"/>
      <c r="AG68" s="1567"/>
      <c r="AH68" s="1567"/>
    </row>
    <row r="69" spans="4:34" ht="18" customHeight="1">
      <c r="D69" s="5385"/>
      <c r="E69" s="5386"/>
      <c r="F69" s="5386"/>
      <c r="G69" s="1605"/>
      <c r="H69" s="1606"/>
      <c r="I69" s="1656"/>
      <c r="J69" s="1604"/>
      <c r="K69" s="1575"/>
      <c r="M69" s="5338"/>
      <c r="N69" s="5339"/>
      <c r="O69" s="5340"/>
      <c r="P69" s="1605"/>
      <c r="Q69" s="1606"/>
      <c r="R69" s="1607"/>
      <c r="S69" s="873"/>
      <c r="T69" s="873"/>
      <c r="U69" s="1613"/>
      <c r="V69" s="1590"/>
      <c r="W69" s="1590"/>
      <c r="X69" s="1616"/>
      <c r="Y69" s="1622"/>
      <c r="Z69" s="1635"/>
      <c r="AA69" s="1567"/>
      <c r="AB69" s="1567"/>
      <c r="AC69" s="1567"/>
      <c r="AD69" s="1567"/>
      <c r="AE69" s="1567"/>
      <c r="AF69" s="1567"/>
      <c r="AG69" s="1567"/>
      <c r="AH69" s="1567"/>
    </row>
    <row r="70" spans="4:34" ht="18" customHeight="1" thickBot="1">
      <c r="D70" s="5387"/>
      <c r="E70" s="5388"/>
      <c r="F70" s="5389"/>
      <c r="G70" s="1611"/>
      <c r="H70" s="1611"/>
      <c r="I70" s="1684"/>
      <c r="J70" s="1670"/>
      <c r="K70" s="1575"/>
      <c r="M70" s="1613"/>
      <c r="N70" s="1614"/>
      <c r="O70" s="1615"/>
      <c r="P70" s="1616"/>
      <c r="Q70" s="1617"/>
      <c r="R70" s="1618"/>
      <c r="S70" s="873"/>
      <c r="T70" s="873"/>
      <c r="U70" s="5362"/>
      <c r="V70" s="5363"/>
      <c r="W70" s="5364"/>
      <c r="X70" s="1638"/>
      <c r="Y70" s="1639"/>
      <c r="Z70" s="1640"/>
      <c r="AA70" s="1567"/>
      <c r="AB70" s="1567"/>
      <c r="AC70" s="1567"/>
      <c r="AD70" s="1567"/>
      <c r="AE70" s="1567"/>
      <c r="AF70" s="1567"/>
      <c r="AG70" s="1567"/>
      <c r="AH70" s="1567"/>
    </row>
    <row r="71" spans="4:34" ht="18" customHeight="1" thickBot="1">
      <c r="D71" s="5385"/>
      <c r="E71" s="5386"/>
      <c r="F71" s="5386"/>
      <c r="G71" s="1605"/>
      <c r="H71" s="1606"/>
      <c r="I71" s="1656"/>
      <c r="J71" s="1604"/>
      <c r="K71" s="1575"/>
      <c r="M71" s="5338"/>
      <c r="N71" s="5339"/>
      <c r="O71" s="5340"/>
      <c r="P71" s="1605"/>
      <c r="Q71" s="1606"/>
      <c r="R71" s="1607"/>
      <c r="S71" s="873"/>
      <c r="T71" s="874"/>
      <c r="AA71" s="1567"/>
      <c r="AB71" s="1567"/>
      <c r="AC71" s="1567"/>
      <c r="AD71" s="1567"/>
      <c r="AE71" s="1567"/>
      <c r="AF71" s="1567"/>
      <c r="AG71" s="1567"/>
      <c r="AH71" s="1567"/>
    </row>
    <row r="72" spans="4:34" ht="18" customHeight="1">
      <c r="D72" s="5387"/>
      <c r="E72" s="5388"/>
      <c r="F72" s="5389"/>
      <c r="G72" s="1685"/>
      <c r="H72" s="1685"/>
      <c r="I72" s="1686"/>
      <c r="J72" s="1670"/>
      <c r="K72" s="1575"/>
      <c r="M72" s="1613"/>
      <c r="N72" s="1671"/>
      <c r="O72" s="1671"/>
      <c r="P72" s="1611"/>
      <c r="Q72" s="1611"/>
      <c r="R72" s="1612"/>
      <c r="S72" s="874"/>
      <c r="U72" s="5393" t="s">
        <v>307</v>
      </c>
      <c r="V72" s="1687"/>
      <c r="W72" s="1687"/>
      <c r="X72" s="1687"/>
      <c r="Y72" s="1687"/>
      <c r="Z72" s="1688"/>
      <c r="AA72" s="1567"/>
      <c r="AB72" s="1567"/>
      <c r="AC72" s="1567"/>
      <c r="AD72" s="1567"/>
      <c r="AE72" s="1567"/>
      <c r="AF72" s="1567"/>
      <c r="AG72" s="1567"/>
      <c r="AH72" s="1567"/>
    </row>
    <row r="73" spans="4:34" ht="18" customHeight="1">
      <c r="D73" s="5385"/>
      <c r="E73" s="5386"/>
      <c r="F73" s="5386"/>
      <c r="G73" s="1605"/>
      <c r="H73" s="1606"/>
      <c r="I73" s="1656"/>
      <c r="J73" s="1604"/>
      <c r="K73" s="1575"/>
      <c r="M73" s="5338"/>
      <c r="N73" s="5339"/>
      <c r="O73" s="5340"/>
      <c r="P73" s="1605"/>
      <c r="Q73" s="1606"/>
      <c r="R73" s="1607"/>
      <c r="T73" s="1637"/>
      <c r="U73" s="5394"/>
      <c r="V73" s="1689"/>
      <c r="W73" s="1689"/>
      <c r="X73" s="1689"/>
      <c r="Y73" s="1689"/>
      <c r="Z73" s="1690"/>
      <c r="AA73" s="1567"/>
      <c r="AB73" s="1567"/>
      <c r="AC73" s="1567"/>
      <c r="AD73" s="1567"/>
      <c r="AE73" s="1567"/>
      <c r="AF73" s="1567"/>
      <c r="AG73" s="1567"/>
      <c r="AH73" s="1567"/>
    </row>
    <row r="74" spans="4:34" ht="18" customHeight="1">
      <c r="D74" s="5387"/>
      <c r="E74" s="5388"/>
      <c r="F74" s="5389"/>
      <c r="G74" s="1657"/>
      <c r="H74" s="1657"/>
      <c r="I74" s="5392"/>
      <c r="J74" s="5369"/>
      <c r="K74" s="1575"/>
      <c r="M74" s="1613"/>
      <c r="N74" s="1614"/>
      <c r="O74" s="1615"/>
      <c r="P74" s="1616"/>
      <c r="Q74" s="1617"/>
      <c r="R74" s="1618"/>
      <c r="S74" s="1637"/>
      <c r="T74" s="1637"/>
      <c r="U74" s="5348" t="s">
        <v>292</v>
      </c>
      <c r="V74" s="5349"/>
      <c r="W74" s="5349"/>
      <c r="X74" s="1602" t="s">
        <v>296</v>
      </c>
      <c r="Y74" s="1602" t="s">
        <v>294</v>
      </c>
      <c r="Z74" s="1603" t="s">
        <v>295</v>
      </c>
      <c r="AA74" s="1567"/>
      <c r="AB74" s="1567"/>
      <c r="AC74" s="1567"/>
      <c r="AD74" s="1567"/>
      <c r="AE74" s="1567"/>
      <c r="AF74" s="1567"/>
      <c r="AG74" s="1567"/>
      <c r="AH74" s="1567"/>
    </row>
    <row r="75" spans="4:34" ht="18" customHeight="1">
      <c r="D75" s="5385"/>
      <c r="E75" s="5386"/>
      <c r="F75" s="5386"/>
      <c r="G75" s="1605"/>
      <c r="H75" s="1606"/>
      <c r="I75" s="1656"/>
      <c r="J75" s="1604"/>
      <c r="K75" s="1575"/>
      <c r="M75" s="5338"/>
      <c r="N75" s="5339"/>
      <c r="O75" s="5340"/>
      <c r="P75" s="1605"/>
      <c r="Q75" s="1606"/>
      <c r="R75" s="1607"/>
      <c r="S75" s="1637"/>
      <c r="T75" s="1637"/>
      <c r="U75" s="5338"/>
      <c r="V75" s="5339"/>
      <c r="W75" s="5340"/>
      <c r="X75" s="1605"/>
      <c r="Y75" s="1606"/>
      <c r="Z75" s="1607"/>
      <c r="AA75" s="1567"/>
      <c r="AB75" s="1567"/>
      <c r="AC75" s="1567"/>
      <c r="AD75" s="1567"/>
      <c r="AE75" s="1567"/>
      <c r="AF75" s="1567"/>
      <c r="AG75" s="1567"/>
      <c r="AH75" s="1567"/>
    </row>
    <row r="76" spans="4:34" ht="18" customHeight="1">
      <c r="D76" s="5387"/>
      <c r="E76" s="5388"/>
      <c r="F76" s="5389"/>
      <c r="G76" s="1611"/>
      <c r="H76" s="1611"/>
      <c r="I76" s="1684"/>
      <c r="J76" s="1670"/>
      <c r="K76" s="1575"/>
      <c r="M76" s="1613"/>
      <c r="N76" s="1614"/>
      <c r="O76" s="1615"/>
      <c r="P76" s="1611"/>
      <c r="Q76" s="1611"/>
      <c r="R76" s="1612"/>
      <c r="S76" s="1637"/>
      <c r="T76" s="1637"/>
      <c r="U76" s="1613"/>
      <c r="V76" s="1590"/>
      <c r="W76" s="1590"/>
      <c r="X76" s="1616"/>
      <c r="Y76" s="1617"/>
      <c r="Z76" s="1618"/>
      <c r="AA76" s="1567"/>
      <c r="AB76" s="1567"/>
      <c r="AC76" s="1567"/>
      <c r="AD76" s="1567"/>
      <c r="AE76" s="1567"/>
      <c r="AF76" s="1567"/>
      <c r="AG76" s="1567"/>
      <c r="AH76" s="1567"/>
    </row>
    <row r="77" spans="4:34" ht="33" customHeight="1">
      <c r="D77" s="5385"/>
      <c r="E77" s="5386"/>
      <c r="F77" s="5386"/>
      <c r="G77" s="1605"/>
      <c r="H77" s="1606"/>
      <c r="I77" s="1656"/>
      <c r="J77" s="1604"/>
      <c r="K77" s="1575"/>
      <c r="M77" s="5338"/>
      <c r="N77" s="5339"/>
      <c r="O77" s="5340"/>
      <c r="P77" s="1605"/>
      <c r="Q77" s="1606"/>
      <c r="R77" s="1607"/>
      <c r="S77" s="1637"/>
      <c r="T77" s="1637"/>
      <c r="U77" s="5379"/>
      <c r="V77" s="5380"/>
      <c r="W77" s="5381"/>
      <c r="X77" s="1605"/>
      <c r="Y77" s="1606"/>
      <c r="Z77" s="1607"/>
      <c r="AA77" s="1567"/>
      <c r="AB77" s="1567"/>
    </row>
    <row r="78" spans="4:34" ht="18" customHeight="1">
      <c r="D78" s="5387"/>
      <c r="E78" s="5388"/>
      <c r="F78" s="5389"/>
      <c r="G78" s="1685"/>
      <c r="H78" s="1685"/>
      <c r="I78" s="1686"/>
      <c r="J78" s="1691"/>
      <c r="K78" s="1575"/>
      <c r="M78" s="1613"/>
      <c r="N78" s="1671"/>
      <c r="O78" s="1671"/>
      <c r="P78" s="1616"/>
      <c r="Q78" s="1622"/>
      <c r="R78" s="1618"/>
      <c r="S78" s="1637"/>
      <c r="T78" s="1637"/>
      <c r="U78" s="1613"/>
      <c r="V78" s="1672"/>
      <c r="W78" s="1672"/>
      <c r="X78" s="1611"/>
      <c r="Y78" s="1611"/>
      <c r="Z78" s="1612"/>
      <c r="AA78" s="1567"/>
      <c r="AB78" s="1567"/>
      <c r="AC78" s="1567"/>
      <c r="AD78" s="1567"/>
      <c r="AE78" s="1567"/>
      <c r="AF78" s="1567"/>
      <c r="AG78" s="1567"/>
      <c r="AH78" s="1567"/>
    </row>
    <row r="79" spans="4:34" ht="35.450000000000003" customHeight="1">
      <c r="D79" s="5385"/>
      <c r="E79" s="5386"/>
      <c r="F79" s="5386"/>
      <c r="G79" s="1605"/>
      <c r="H79" s="1606"/>
      <c r="I79" s="1656"/>
      <c r="J79" s="1604"/>
      <c r="K79" s="1575"/>
      <c r="M79" s="5338"/>
      <c r="N79" s="5339"/>
      <c r="O79" s="5340"/>
      <c r="P79" s="1605"/>
      <c r="Q79" s="1606"/>
      <c r="R79" s="1607"/>
      <c r="S79" s="1637"/>
      <c r="T79" s="1637"/>
      <c r="U79" s="5395"/>
      <c r="V79" s="5396"/>
      <c r="W79" s="5397"/>
      <c r="X79" s="1605"/>
      <c r="Y79" s="1606"/>
      <c r="Z79" s="1607"/>
      <c r="AA79" s="1567"/>
      <c r="AB79" s="1567"/>
      <c r="AC79" s="1567"/>
      <c r="AD79" s="1567"/>
      <c r="AE79" s="1567"/>
      <c r="AF79" s="1567"/>
      <c r="AG79" s="1567"/>
      <c r="AH79" s="1567"/>
    </row>
    <row r="80" spans="4:34" ht="18" customHeight="1">
      <c r="D80" s="5387"/>
      <c r="E80" s="5388"/>
      <c r="F80" s="5389"/>
      <c r="G80" s="1657"/>
      <c r="H80" s="1657"/>
      <c r="I80" s="5392"/>
      <c r="J80" s="5369"/>
      <c r="K80" s="1575"/>
      <c r="M80" s="1613"/>
      <c r="N80" s="1671"/>
      <c r="O80" s="1671"/>
      <c r="P80" s="1616"/>
      <c r="Q80" s="1617"/>
      <c r="R80" s="1618"/>
      <c r="S80" s="1637"/>
      <c r="T80" s="1637"/>
      <c r="U80" s="1636"/>
      <c r="V80" s="1637"/>
      <c r="W80" s="1637"/>
      <c r="X80" s="1616"/>
      <c r="Y80" s="1622"/>
      <c r="Z80" s="1635"/>
      <c r="AA80" s="1567"/>
      <c r="AB80" s="1567"/>
      <c r="AC80" s="1567"/>
      <c r="AD80" s="1567"/>
      <c r="AE80" s="1567"/>
      <c r="AF80" s="1567"/>
      <c r="AG80" s="1567"/>
      <c r="AH80" s="1567"/>
    </row>
    <row r="81" spans="2:34" ht="18" customHeight="1">
      <c r="D81" s="5385"/>
      <c r="E81" s="5386"/>
      <c r="F81" s="5386"/>
      <c r="G81" s="1605"/>
      <c r="H81" s="1606"/>
      <c r="I81" s="1656"/>
      <c r="J81" s="1604"/>
      <c r="K81" s="1575"/>
      <c r="M81" s="5338"/>
      <c r="N81" s="5339"/>
      <c r="O81" s="5340"/>
      <c r="P81" s="1605"/>
      <c r="Q81" s="1606"/>
      <c r="R81" s="1607"/>
      <c r="S81" s="1637"/>
      <c r="T81" s="1637"/>
      <c r="U81" s="5338"/>
      <c r="V81" s="5339"/>
      <c r="W81" s="5340"/>
      <c r="X81" s="1605"/>
      <c r="Y81" s="1606"/>
      <c r="Z81" s="1607"/>
      <c r="AA81" s="1567"/>
      <c r="AB81" s="1567"/>
      <c r="AC81" s="1567"/>
      <c r="AD81" s="1567"/>
      <c r="AE81" s="1567"/>
      <c r="AF81" s="1567"/>
      <c r="AG81" s="1567"/>
      <c r="AH81" s="1567"/>
    </row>
    <row r="82" spans="2:34" ht="18" customHeight="1">
      <c r="D82" s="5387"/>
      <c r="E82" s="5388"/>
      <c r="F82" s="5389"/>
      <c r="G82" s="1611"/>
      <c r="H82" s="1611"/>
      <c r="I82" s="1684"/>
      <c r="J82" s="1670"/>
      <c r="K82" s="1575"/>
      <c r="M82" s="1613"/>
      <c r="N82" s="1614"/>
      <c r="O82" s="1615"/>
      <c r="P82" s="1611"/>
      <c r="Q82" s="1611"/>
      <c r="R82" s="1612"/>
      <c r="S82" s="1637"/>
      <c r="T82" s="1637"/>
      <c r="U82" s="1613"/>
      <c r="V82" s="1590"/>
      <c r="W82" s="1590"/>
      <c r="X82" s="1611"/>
      <c r="Y82" s="1611"/>
      <c r="Z82" s="1612"/>
      <c r="AA82" s="1567"/>
      <c r="AB82" s="1567"/>
      <c r="AC82" s="1567"/>
      <c r="AD82" s="1567"/>
      <c r="AE82" s="1567"/>
      <c r="AF82" s="1567"/>
      <c r="AG82" s="1567"/>
      <c r="AH82" s="1567"/>
    </row>
    <row r="83" spans="2:34" ht="18" customHeight="1">
      <c r="D83" s="5385"/>
      <c r="E83" s="5386"/>
      <c r="F83" s="5386"/>
      <c r="G83" s="1605"/>
      <c r="H83" s="1606"/>
      <c r="I83" s="1656"/>
      <c r="J83" s="1604"/>
      <c r="K83" s="1575"/>
      <c r="M83" s="5338"/>
      <c r="N83" s="5339"/>
      <c r="O83" s="5340"/>
      <c r="P83" s="1605"/>
      <c r="Q83" s="1606"/>
      <c r="R83" s="1607"/>
      <c r="S83" s="1637"/>
      <c r="T83" s="1637"/>
      <c r="U83" s="5338"/>
      <c r="V83" s="5339"/>
      <c r="W83" s="5340"/>
      <c r="X83" s="1605"/>
      <c r="Y83" s="1606"/>
      <c r="Z83" s="1607"/>
      <c r="AA83" s="1567"/>
      <c r="AB83" s="1567"/>
      <c r="AC83" s="1567"/>
      <c r="AD83" s="1567"/>
      <c r="AE83" s="1567"/>
      <c r="AF83" s="1567"/>
      <c r="AG83" s="1567"/>
      <c r="AH83" s="1567"/>
    </row>
    <row r="84" spans="2:34" ht="18" customHeight="1">
      <c r="D84" s="5387"/>
      <c r="E84" s="5388"/>
      <c r="F84" s="5389"/>
      <c r="G84" s="1611"/>
      <c r="H84" s="1611"/>
      <c r="I84" s="1684"/>
      <c r="J84" s="1692"/>
      <c r="K84" s="1567"/>
      <c r="M84" s="1613"/>
      <c r="N84" s="1614"/>
      <c r="O84" s="1615"/>
      <c r="P84" s="1616"/>
      <c r="Q84" s="1622"/>
      <c r="R84" s="1635"/>
      <c r="S84" s="1637"/>
      <c r="T84" s="1637"/>
      <c r="U84" s="1613"/>
      <c r="V84" s="1672"/>
      <c r="W84" s="1672"/>
      <c r="X84" s="1616"/>
      <c r="Y84" s="1622"/>
      <c r="Z84" s="1635"/>
      <c r="AA84" s="1567"/>
      <c r="AB84" s="1567"/>
      <c r="AC84" s="1567"/>
      <c r="AD84" s="1567"/>
      <c r="AE84" s="1567"/>
      <c r="AF84" s="1567"/>
      <c r="AG84" s="1567"/>
      <c r="AH84" s="1567"/>
    </row>
    <row r="85" spans="2:34" ht="30.75" customHeight="1">
      <c r="D85" s="5385"/>
      <c r="E85" s="5386"/>
      <c r="F85" s="5386"/>
      <c r="G85" s="1605"/>
      <c r="H85" s="1606"/>
      <c r="I85" s="1656"/>
      <c r="J85" s="1604"/>
      <c r="K85" s="1693"/>
      <c r="M85" s="5338"/>
      <c r="N85" s="5339"/>
      <c r="O85" s="5340"/>
      <c r="P85" s="1605"/>
      <c r="Q85" s="1606"/>
      <c r="R85" s="1607"/>
      <c r="S85" s="1637"/>
      <c r="T85" s="1637"/>
      <c r="U85" s="5379"/>
      <c r="V85" s="5380"/>
      <c r="W85" s="5381"/>
      <c r="X85" s="1605"/>
      <c r="Y85" s="1606"/>
      <c r="Z85" s="1607"/>
      <c r="AA85" s="1567"/>
      <c r="AB85" s="1567"/>
      <c r="AC85" s="1567"/>
      <c r="AD85" s="1567"/>
      <c r="AE85" s="1567"/>
      <c r="AF85" s="1567"/>
      <c r="AG85" s="1567"/>
      <c r="AH85" s="1567"/>
    </row>
    <row r="86" spans="2:34" ht="18" customHeight="1">
      <c r="D86" s="5387"/>
      <c r="E86" s="5388"/>
      <c r="F86" s="5389"/>
      <c r="G86" s="1611"/>
      <c r="H86" s="1611"/>
      <c r="I86" s="1684"/>
      <c r="J86" s="1692"/>
      <c r="M86" s="1613"/>
      <c r="N86" s="1671"/>
      <c r="O86" s="1619"/>
      <c r="P86" s="1616"/>
      <c r="Q86" s="1622"/>
      <c r="R86" s="1635"/>
      <c r="S86" s="1637"/>
      <c r="U86" s="1613"/>
      <c r="V86" s="1590"/>
      <c r="W86" s="1590"/>
      <c r="X86" s="1616"/>
      <c r="Y86" s="1622"/>
      <c r="Z86" s="1635"/>
      <c r="AA86" s="1567"/>
      <c r="AB86" s="1567"/>
      <c r="AC86" s="1567"/>
      <c r="AD86" s="1567"/>
      <c r="AE86" s="1567"/>
      <c r="AF86" s="1567"/>
      <c r="AG86" s="1567"/>
      <c r="AH86" s="1567"/>
    </row>
    <row r="87" spans="2:34" ht="18" customHeight="1">
      <c r="D87" s="5385"/>
      <c r="E87" s="5386"/>
      <c r="F87" s="5386"/>
      <c r="G87" s="1605"/>
      <c r="H87" s="1606"/>
      <c r="I87" s="1656"/>
      <c r="J87" s="1604"/>
      <c r="M87" s="5338"/>
      <c r="N87" s="5339"/>
      <c r="O87" s="5340"/>
      <c r="P87" s="1605"/>
      <c r="Q87" s="1606"/>
      <c r="R87" s="1607"/>
      <c r="U87" s="5338"/>
      <c r="V87" s="5339"/>
      <c r="W87" s="5339"/>
      <c r="X87" s="1605"/>
      <c r="Y87" s="1606"/>
      <c r="Z87" s="1607"/>
      <c r="AA87" s="1567"/>
      <c r="AB87" s="1567"/>
      <c r="AC87" s="1567"/>
      <c r="AD87" s="1567"/>
      <c r="AE87" s="1567"/>
      <c r="AF87" s="1567"/>
      <c r="AG87" s="1567"/>
      <c r="AH87" s="1567"/>
    </row>
    <row r="88" spans="2:34" ht="18" customHeight="1" thickBot="1">
      <c r="D88" s="5398"/>
      <c r="E88" s="5399"/>
      <c r="F88" s="5400"/>
      <c r="G88" s="1694"/>
      <c r="H88" s="1694"/>
      <c r="I88" s="1695"/>
      <c r="J88" s="1696"/>
      <c r="M88" s="1697"/>
      <c r="N88" s="2454"/>
      <c r="O88" s="2455"/>
      <c r="P88" s="1698"/>
      <c r="Q88" s="1699"/>
      <c r="R88" s="1700"/>
      <c r="U88" s="1701"/>
      <c r="V88" s="2456"/>
      <c r="W88" s="2456"/>
      <c r="X88" s="1702"/>
      <c r="Y88" s="1702"/>
      <c r="Z88" s="1696"/>
      <c r="AA88" s="1567"/>
      <c r="AB88" s="1567"/>
      <c r="AC88" s="1567"/>
      <c r="AD88" s="1567"/>
      <c r="AE88" s="1567"/>
      <c r="AF88" s="1567"/>
      <c r="AG88" s="1567"/>
      <c r="AH88" s="1567"/>
    </row>
    <row r="89" spans="2:34">
      <c r="AA89" s="1567"/>
      <c r="AB89" s="1567"/>
      <c r="AC89" s="1567"/>
      <c r="AD89" s="1567"/>
      <c r="AE89" s="1567"/>
      <c r="AF89" s="1567"/>
      <c r="AG89" s="1567"/>
      <c r="AH89" s="1567"/>
    </row>
    <row r="90" spans="2:34">
      <c r="D90" s="1703"/>
      <c r="E90" s="1704"/>
      <c r="F90" s="1705"/>
      <c r="G90" s="1705"/>
      <c r="H90" s="1705"/>
      <c r="I90" s="1706"/>
      <c r="K90" s="1707"/>
      <c r="AA90" s="1567"/>
      <c r="AB90" s="1567"/>
      <c r="AC90" s="1567"/>
      <c r="AD90" s="1567"/>
      <c r="AE90" s="1567"/>
    </row>
    <row r="91" spans="2:34">
      <c r="E91" s="1572"/>
      <c r="F91" s="1572"/>
      <c r="G91" s="1572"/>
      <c r="H91" s="1572"/>
      <c r="I91" s="1572"/>
      <c r="AA91" s="1567"/>
      <c r="AB91" s="1567"/>
      <c r="AC91" s="1567"/>
      <c r="AD91" s="1567"/>
      <c r="AE91" s="1567"/>
    </row>
    <row r="92" spans="2:34">
      <c r="E92" s="1572"/>
      <c r="F92" s="1572"/>
      <c r="G92" s="1572"/>
      <c r="H92" s="1572"/>
      <c r="I92" s="1572"/>
      <c r="AA92" s="1567"/>
      <c r="AB92" s="1567"/>
      <c r="AC92" s="1567"/>
      <c r="AD92" s="1567"/>
      <c r="AE92" s="1567"/>
    </row>
    <row r="93" spans="2:34">
      <c r="E93" s="1572"/>
      <c r="F93" s="1572"/>
      <c r="G93" s="1708"/>
      <c r="H93" s="1572"/>
      <c r="I93" s="1572"/>
      <c r="K93" s="1707"/>
      <c r="AA93" s="1567"/>
      <c r="AB93" s="1567"/>
      <c r="AC93" s="1567"/>
      <c r="AD93" s="1567"/>
    </row>
    <row r="94" spans="2:34" ht="235.5" customHeight="1">
      <c r="D94" s="5401" t="s">
        <v>308</v>
      </c>
      <c r="E94" s="5402"/>
      <c r="F94" s="5403"/>
      <c r="G94" s="1708"/>
      <c r="H94" s="1572"/>
      <c r="I94" s="1709"/>
      <c r="M94" s="1710"/>
      <c r="N94" s="1711"/>
      <c r="O94" s="1711"/>
      <c r="P94" s="1706"/>
      <c r="U94" s="5401"/>
      <c r="V94" s="5402"/>
      <c r="W94" s="5403"/>
      <c r="AA94" s="1567"/>
      <c r="AB94" s="1567"/>
      <c r="AC94" s="1567"/>
      <c r="AD94" s="1567"/>
    </row>
    <row r="95" spans="2:34">
      <c r="D95" s="1710"/>
      <c r="F95" s="1712"/>
      <c r="G95" s="1712"/>
      <c r="H95" s="1712"/>
      <c r="I95" s="1712"/>
      <c r="Q95" s="1567"/>
      <c r="R95" s="1567"/>
      <c r="AA95" s="1567"/>
      <c r="AB95" s="1567"/>
      <c r="AC95" s="1567"/>
      <c r="AD95" s="1567"/>
    </row>
    <row r="96" spans="2:34">
      <c r="B96" s="1568"/>
      <c r="F96" s="1712"/>
      <c r="G96" s="1713"/>
      <c r="H96" s="1713"/>
      <c r="I96" s="1706"/>
      <c r="J96" s="1590"/>
      <c r="M96" s="1567"/>
      <c r="N96" s="1567"/>
      <c r="O96" s="1567"/>
      <c r="P96" s="1567"/>
      <c r="Q96" s="1705"/>
      <c r="R96" s="1705"/>
      <c r="AA96" s="1567"/>
      <c r="AB96" s="1567"/>
      <c r="AC96" s="1567"/>
      <c r="AD96" s="1567"/>
      <c r="AE96" s="1567"/>
    </row>
    <row r="97" spans="2:34">
      <c r="B97" s="1568"/>
      <c r="M97" s="1567"/>
      <c r="N97" s="1567"/>
      <c r="O97" s="1567"/>
      <c r="P97" s="1567"/>
      <c r="AA97" s="1567"/>
      <c r="AB97" s="1567"/>
      <c r="AC97" s="1567"/>
      <c r="AD97" s="1567"/>
      <c r="AE97" s="1567"/>
    </row>
    <row r="98" spans="2:34">
      <c r="B98" s="1568"/>
      <c r="D98" s="1703"/>
      <c r="E98" s="1704"/>
      <c r="F98" s="1704"/>
      <c r="G98" s="1704"/>
      <c r="H98" s="1704"/>
      <c r="I98" s="1704"/>
      <c r="M98" s="1567"/>
      <c r="N98" s="1567"/>
      <c r="O98" s="1567"/>
      <c r="P98" s="1567"/>
      <c r="Q98" s="1714"/>
      <c r="R98" s="1714"/>
      <c r="AA98" s="1567"/>
      <c r="AB98" s="1567"/>
      <c r="AC98" s="1567"/>
      <c r="AD98" s="1567"/>
      <c r="AE98" s="1567"/>
    </row>
    <row r="99" spans="2:34">
      <c r="B99" s="1568"/>
      <c r="C99" s="1568"/>
      <c r="H99" s="1580"/>
      <c r="M99" s="1567"/>
      <c r="N99" s="1567"/>
      <c r="O99" s="1567"/>
      <c r="P99" s="1567"/>
      <c r="AA99" s="1567"/>
      <c r="AB99" s="1567"/>
      <c r="AC99" s="1567"/>
      <c r="AD99" s="1567"/>
      <c r="AE99" s="1567"/>
    </row>
    <row r="100" spans="2:34">
      <c r="B100" s="1568"/>
      <c r="C100" s="1568"/>
      <c r="H100" s="1580"/>
      <c r="M100" s="1567"/>
      <c r="N100" s="1567"/>
      <c r="O100" s="1567"/>
      <c r="P100" s="1567"/>
      <c r="Q100" s="1567"/>
      <c r="R100" s="1567"/>
      <c r="AA100" s="1567"/>
      <c r="AB100" s="1567"/>
      <c r="AC100" s="1567"/>
      <c r="AD100" s="1567"/>
      <c r="AE100" s="1567"/>
    </row>
    <row r="101" spans="2:34">
      <c r="B101" s="1568"/>
      <c r="C101" s="1568"/>
      <c r="H101" s="1580"/>
      <c r="M101" s="1567"/>
      <c r="N101" s="1567"/>
      <c r="O101" s="1567"/>
      <c r="P101" s="1567"/>
      <c r="Q101" s="1567"/>
      <c r="R101" s="1567"/>
      <c r="AA101" s="1567"/>
      <c r="AB101" s="1567"/>
      <c r="AC101" s="1567"/>
      <c r="AD101" s="1567"/>
      <c r="AE101" s="1567"/>
    </row>
    <row r="102" spans="2:34">
      <c r="B102" s="1568"/>
      <c r="C102" s="1568"/>
      <c r="H102" s="1572"/>
      <c r="M102" s="1567"/>
      <c r="N102" s="1567"/>
      <c r="O102" s="1567"/>
      <c r="P102" s="1567"/>
      <c r="Q102" s="1567"/>
      <c r="R102" s="1567"/>
      <c r="AA102" s="1567"/>
      <c r="AB102" s="1567"/>
      <c r="AC102" s="1567"/>
      <c r="AD102" s="1567"/>
      <c r="AE102" s="1567"/>
    </row>
    <row r="103" spans="2:34">
      <c r="B103" s="1568"/>
      <c r="C103" s="1580"/>
      <c r="H103" s="1580"/>
      <c r="M103" s="1567"/>
      <c r="N103" s="1567"/>
      <c r="O103" s="1567"/>
      <c r="P103" s="1567"/>
      <c r="Q103" s="1567"/>
      <c r="R103" s="1567"/>
      <c r="S103" s="1567"/>
      <c r="AA103" s="1567"/>
      <c r="AB103" s="1567"/>
      <c r="AC103" s="1567"/>
      <c r="AD103" s="1567"/>
      <c r="AE103" s="1567"/>
    </row>
    <row r="104" spans="2:34">
      <c r="B104" s="1568"/>
      <c r="C104" s="1580"/>
      <c r="H104" s="1580"/>
      <c r="M104" s="1567"/>
      <c r="N104" s="1567"/>
      <c r="O104" s="1567"/>
      <c r="P104" s="1567"/>
      <c r="Q104" s="1567"/>
      <c r="R104" s="1567"/>
      <c r="S104" s="1628"/>
      <c r="AA104" s="1567"/>
      <c r="AB104" s="1567"/>
      <c r="AC104" s="1567"/>
      <c r="AD104" s="1567"/>
      <c r="AE104" s="1567"/>
    </row>
    <row r="105" spans="2:34">
      <c r="B105" s="1568"/>
      <c r="C105" s="1580"/>
      <c r="D105" s="1628"/>
      <c r="M105" s="1567"/>
      <c r="N105" s="1567"/>
      <c r="O105" s="1567"/>
      <c r="P105" s="1567"/>
      <c r="Q105" s="1567"/>
      <c r="R105" s="1567"/>
      <c r="S105" s="1715"/>
      <c r="AA105" s="1567"/>
      <c r="AB105" s="1567"/>
      <c r="AC105" s="1567"/>
      <c r="AD105" s="1567"/>
      <c r="AE105" s="1567"/>
    </row>
    <row r="106" spans="2:34">
      <c r="B106" s="1568"/>
      <c r="C106" s="1580"/>
      <c r="D106" s="1628"/>
      <c r="M106" s="1567"/>
      <c r="N106" s="1567"/>
      <c r="O106" s="1567"/>
      <c r="P106" s="1567"/>
      <c r="Q106" s="1567"/>
      <c r="R106" s="1567"/>
      <c r="S106" s="1716"/>
      <c r="T106" s="1567"/>
      <c r="AA106" s="1567"/>
      <c r="AB106" s="1567"/>
      <c r="AC106" s="1567"/>
      <c r="AD106" s="1567"/>
      <c r="AE106" s="1567"/>
    </row>
    <row r="107" spans="2:34">
      <c r="B107" s="1568"/>
      <c r="C107" s="1580"/>
      <c r="D107" s="1628"/>
      <c r="M107" s="1567"/>
      <c r="N107" s="1567"/>
      <c r="O107" s="1567"/>
      <c r="P107" s="1567"/>
      <c r="Q107" s="1567"/>
      <c r="R107" s="1567"/>
      <c r="S107" s="1567"/>
      <c r="T107" s="1567"/>
      <c r="AA107" s="1567"/>
      <c r="AB107" s="1567"/>
      <c r="AC107" s="1567"/>
      <c r="AD107" s="1567"/>
      <c r="AE107" s="1567"/>
    </row>
    <row r="108" spans="2:34">
      <c r="B108" s="1568"/>
      <c r="C108" s="1580"/>
      <c r="D108" s="1628"/>
      <c r="J108" s="1575"/>
      <c r="M108" s="1567"/>
      <c r="N108" s="1567"/>
      <c r="O108" s="1567"/>
      <c r="P108" s="1567"/>
      <c r="Q108" s="1567"/>
      <c r="R108" s="1567"/>
      <c r="S108" s="1567"/>
      <c r="T108" s="1567"/>
      <c r="AA108" s="1567"/>
      <c r="AB108" s="1567"/>
      <c r="AC108" s="1567"/>
      <c r="AD108" s="1567"/>
      <c r="AE108" s="1567"/>
    </row>
    <row r="109" spans="2:34">
      <c r="B109" s="1568"/>
      <c r="C109" s="1580"/>
      <c r="D109" s="1628"/>
      <c r="K109" s="1572"/>
      <c r="M109" s="1567"/>
      <c r="N109" s="1567"/>
      <c r="O109" s="1567"/>
      <c r="P109" s="1567"/>
      <c r="Q109" s="1567"/>
      <c r="R109" s="1567"/>
      <c r="S109" s="1567"/>
      <c r="T109" s="1567"/>
      <c r="AA109" s="1567"/>
      <c r="AB109" s="1567"/>
      <c r="AC109" s="1567"/>
      <c r="AD109" s="1567"/>
      <c r="AE109" s="1567"/>
    </row>
    <row r="110" spans="2:34">
      <c r="B110" s="1568"/>
      <c r="C110" s="1580"/>
      <c r="D110" s="1628"/>
      <c r="I110" s="1575"/>
      <c r="K110" s="1572"/>
      <c r="M110" s="1567"/>
      <c r="N110" s="1567"/>
      <c r="O110" s="1567"/>
      <c r="P110" s="1567"/>
      <c r="Q110" s="1567"/>
      <c r="R110" s="1567"/>
      <c r="S110" s="1567"/>
      <c r="T110" s="1567"/>
      <c r="AA110" s="1567"/>
      <c r="AB110" s="1567"/>
      <c r="AC110" s="1567"/>
      <c r="AD110" s="1567"/>
      <c r="AE110" s="1567"/>
    </row>
    <row r="111" spans="2:34">
      <c r="B111" s="1568"/>
      <c r="C111" s="1580"/>
      <c r="D111" s="1628"/>
      <c r="K111" s="1572"/>
      <c r="L111" s="1580"/>
      <c r="M111" s="1567"/>
      <c r="N111" s="1567"/>
      <c r="O111" s="1567"/>
      <c r="P111" s="1567"/>
      <c r="Q111" s="1567"/>
      <c r="R111" s="1567"/>
      <c r="S111" s="1567"/>
      <c r="T111" s="1567"/>
      <c r="AA111" s="1567"/>
      <c r="AB111" s="1567"/>
      <c r="AC111" s="1567"/>
      <c r="AD111" s="1567"/>
      <c r="AE111" s="1567"/>
      <c r="AF111" s="1567"/>
      <c r="AG111" s="1567"/>
      <c r="AH111" s="1567"/>
    </row>
    <row r="112" spans="2:34">
      <c r="B112" s="1568"/>
      <c r="C112" s="1580"/>
      <c r="L112" s="1580"/>
      <c r="M112" s="1567"/>
      <c r="N112" s="1567"/>
      <c r="O112" s="1567"/>
      <c r="P112" s="1567"/>
      <c r="Q112" s="1567"/>
      <c r="R112" s="1567"/>
      <c r="S112" s="1567"/>
      <c r="T112" s="1567"/>
      <c r="AA112" s="1567"/>
      <c r="AB112" s="1567"/>
      <c r="AC112" s="1567"/>
      <c r="AD112" s="1567"/>
      <c r="AE112" s="1567"/>
      <c r="AF112" s="1567"/>
      <c r="AG112" s="1567"/>
      <c r="AH112" s="1567"/>
    </row>
    <row r="113" spans="2:34">
      <c r="B113" s="1580"/>
      <c r="C113" s="1580"/>
      <c r="K113" s="1575"/>
      <c r="L113" s="1580"/>
      <c r="M113" s="1567"/>
      <c r="N113" s="1567"/>
      <c r="O113" s="1567"/>
      <c r="P113" s="1567"/>
      <c r="Q113" s="1567"/>
      <c r="R113" s="1567"/>
      <c r="S113" s="1567"/>
      <c r="T113" s="1567"/>
      <c r="AA113" s="1567"/>
      <c r="AB113" s="1567"/>
      <c r="AC113" s="1567"/>
      <c r="AD113" s="1567"/>
      <c r="AE113" s="1567"/>
      <c r="AF113" s="1567"/>
      <c r="AG113" s="1567"/>
      <c r="AH113" s="1567"/>
    </row>
    <row r="114" spans="2:34">
      <c r="C114" s="1580"/>
      <c r="M114" s="1567"/>
      <c r="N114" s="1567"/>
      <c r="O114" s="1567"/>
      <c r="P114" s="1567"/>
      <c r="Q114" s="1567"/>
      <c r="R114" s="1567"/>
      <c r="S114" s="1567"/>
      <c r="T114" s="1567"/>
    </row>
    <row r="115" spans="2:34">
      <c r="C115" s="1580"/>
      <c r="M115" s="1567"/>
      <c r="N115" s="1567"/>
      <c r="O115" s="1567"/>
      <c r="P115" s="1567"/>
      <c r="Q115" s="1567"/>
      <c r="R115" s="1567"/>
      <c r="S115" s="1567"/>
      <c r="T115" s="1567"/>
    </row>
    <row r="116" spans="2:34">
      <c r="C116" s="1580"/>
      <c r="M116" s="1567"/>
      <c r="N116" s="1567"/>
      <c r="O116" s="1567"/>
      <c r="P116" s="1567"/>
      <c r="Q116" s="1567"/>
      <c r="R116" s="1567"/>
      <c r="S116" s="1567"/>
      <c r="T116" s="1567"/>
    </row>
    <row r="117" spans="2:34">
      <c r="C117" s="1580"/>
      <c r="M117" s="1567"/>
      <c r="N117" s="1567"/>
      <c r="O117" s="1567"/>
      <c r="P117" s="1567"/>
      <c r="Q117" s="1567"/>
      <c r="R117" s="1567"/>
      <c r="S117" s="1567"/>
    </row>
    <row r="118" spans="2:34">
      <c r="C118" s="1580"/>
      <c r="M118" s="1567"/>
      <c r="N118" s="1567"/>
      <c r="O118" s="1567"/>
      <c r="P118" s="1567"/>
      <c r="Q118" s="1567"/>
      <c r="R118" s="1567"/>
    </row>
    <row r="119" spans="2:34">
      <c r="C119" s="1580"/>
      <c r="M119" s="1567"/>
      <c r="N119" s="1567"/>
      <c r="O119" s="1567"/>
      <c r="P119" s="1567"/>
      <c r="Q119" s="1567"/>
      <c r="R119" s="1567"/>
    </row>
    <row r="120" spans="2:34">
      <c r="C120" s="1580"/>
      <c r="M120" s="1567"/>
      <c r="N120" s="1567"/>
      <c r="O120" s="1567"/>
      <c r="P120" s="1567"/>
      <c r="Q120" s="1567"/>
      <c r="R120" s="1567"/>
    </row>
    <row r="121" spans="2:34">
      <c r="C121" s="1580"/>
      <c r="M121" s="1567"/>
      <c r="N121" s="1567"/>
      <c r="O121" s="1567"/>
      <c r="P121" s="1567"/>
      <c r="Q121" s="1567"/>
      <c r="R121" s="1567"/>
    </row>
    <row r="122" spans="2:34">
      <c r="C122" s="1580"/>
      <c r="M122" s="1567"/>
      <c r="N122" s="1567"/>
      <c r="O122" s="1567"/>
      <c r="P122" s="1567"/>
      <c r="Q122" s="1567"/>
      <c r="R122" s="1567"/>
    </row>
    <row r="123" spans="2:34">
      <c r="E123" s="1628" t="s">
        <v>309</v>
      </c>
      <c r="F123" s="1717" t="s">
        <v>310</v>
      </c>
      <c r="M123" s="1567"/>
      <c r="N123" s="1567"/>
      <c r="O123" s="1567"/>
      <c r="P123" s="1567"/>
      <c r="Q123" s="1567"/>
      <c r="R123" s="1567"/>
    </row>
    <row r="124" spans="2:34">
      <c r="E124" s="1628" t="s">
        <v>311</v>
      </c>
      <c r="F124" s="1717" t="s">
        <v>312</v>
      </c>
      <c r="M124" s="1567"/>
      <c r="N124" s="1567"/>
      <c r="O124" s="1567"/>
      <c r="P124" s="1567"/>
      <c r="Q124" s="1567"/>
      <c r="R124" s="1567"/>
    </row>
    <row r="125" spans="2:34">
      <c r="E125" s="1628" t="s">
        <v>313</v>
      </c>
      <c r="F125" s="1717" t="s">
        <v>314</v>
      </c>
      <c r="M125" s="1567"/>
      <c r="N125" s="1567"/>
      <c r="O125" s="1567"/>
      <c r="P125" s="1567"/>
      <c r="Q125" s="1567"/>
      <c r="R125" s="1567"/>
    </row>
    <row r="126" spans="2:34">
      <c r="E126" s="1628" t="s">
        <v>315</v>
      </c>
      <c r="F126" s="1717" t="s">
        <v>316</v>
      </c>
      <c r="M126" s="1567"/>
      <c r="N126" s="1567"/>
      <c r="O126" s="1567"/>
      <c r="P126" s="1567"/>
      <c r="Q126" s="1567"/>
      <c r="R126" s="1567"/>
    </row>
    <row r="127" spans="2:34">
      <c r="E127" s="1628" t="s">
        <v>317</v>
      </c>
      <c r="F127" s="1717" t="s">
        <v>318</v>
      </c>
      <c r="M127" s="1567"/>
      <c r="N127" s="1567"/>
      <c r="O127" s="1567"/>
      <c r="P127" s="1567"/>
      <c r="Q127" s="1567"/>
      <c r="R127" s="1567"/>
    </row>
    <row r="128" spans="2:34">
      <c r="M128" s="1567"/>
      <c r="N128" s="1567"/>
      <c r="O128" s="1567"/>
      <c r="P128" s="1567"/>
      <c r="Q128" s="1567"/>
      <c r="R128" s="1567"/>
    </row>
    <row r="129" spans="13:18">
      <c r="M129" s="1567"/>
      <c r="N129" s="1567"/>
      <c r="O129" s="1567"/>
      <c r="P129" s="1567"/>
      <c r="Q129" s="1567"/>
      <c r="R129" s="1567"/>
    </row>
    <row r="130" spans="13:18">
      <c r="M130" s="1567"/>
      <c r="N130" s="1567"/>
      <c r="O130" s="1567"/>
      <c r="P130" s="1567"/>
      <c r="Q130" s="1567"/>
      <c r="R130" s="1567"/>
    </row>
    <row r="131" spans="13:18">
      <c r="M131" s="1567"/>
      <c r="N131" s="1567"/>
      <c r="O131" s="1567"/>
      <c r="P131" s="1567"/>
      <c r="Q131" s="1567"/>
      <c r="R131" s="1567"/>
    </row>
    <row r="132" spans="13:18">
      <c r="M132" s="1567"/>
      <c r="N132" s="1567"/>
      <c r="O132" s="1567"/>
      <c r="P132" s="1567"/>
      <c r="Q132" s="1567"/>
      <c r="R132" s="1567"/>
    </row>
    <row r="133" spans="13:18">
      <c r="M133" s="1567"/>
      <c r="N133" s="1567"/>
      <c r="O133" s="1567"/>
      <c r="P133" s="1567"/>
      <c r="Q133" s="1567"/>
      <c r="R133" s="1567"/>
    </row>
    <row r="134" spans="13:18">
      <c r="M134" s="1567"/>
      <c r="N134" s="1567"/>
      <c r="O134" s="1567"/>
      <c r="P134" s="1567"/>
      <c r="Q134" s="1567"/>
      <c r="R134" s="1567"/>
    </row>
    <row r="135" spans="13:18">
      <c r="M135" s="1567"/>
      <c r="N135" s="1567"/>
      <c r="O135" s="1567"/>
      <c r="P135" s="1567"/>
      <c r="Q135" s="1567"/>
      <c r="R135" s="1567"/>
    </row>
    <row r="136" spans="13:18">
      <c r="M136" s="1567"/>
      <c r="N136" s="1567"/>
      <c r="O136" s="1567"/>
      <c r="P136" s="1567"/>
      <c r="Q136" s="1567"/>
      <c r="R136" s="1567"/>
    </row>
    <row r="137" spans="13:18">
      <c r="M137" s="1567"/>
      <c r="N137" s="1567"/>
      <c r="O137" s="1567"/>
      <c r="P137" s="1567"/>
      <c r="Q137" s="1567"/>
      <c r="R137" s="1567"/>
    </row>
    <row r="138" spans="13:18">
      <c r="M138" s="1567"/>
      <c r="N138" s="1567"/>
      <c r="O138" s="1567"/>
      <c r="P138" s="1567"/>
      <c r="Q138" s="1567"/>
      <c r="R138" s="1567"/>
    </row>
    <row r="139" spans="13:18">
      <c r="M139" s="1567"/>
      <c r="N139" s="1567"/>
      <c r="O139" s="1567"/>
      <c r="P139" s="1567"/>
      <c r="Q139" s="1567"/>
      <c r="R139" s="1567"/>
    </row>
    <row r="140" spans="13:18">
      <c r="M140" s="1567"/>
      <c r="N140" s="1567"/>
      <c r="O140" s="1567"/>
      <c r="P140" s="1567"/>
      <c r="Q140" s="1567"/>
      <c r="R140" s="1567"/>
    </row>
    <row r="141" spans="13:18">
      <c r="M141" s="1567"/>
      <c r="N141" s="1567"/>
      <c r="O141" s="1567"/>
      <c r="P141" s="1567"/>
      <c r="Q141" s="1567"/>
      <c r="R141" s="1567"/>
    </row>
    <row r="142" spans="13:18">
      <c r="M142" s="1567"/>
      <c r="N142" s="1567"/>
      <c r="O142" s="1567"/>
      <c r="P142" s="1567"/>
      <c r="Q142" s="1567"/>
      <c r="R142" s="1567"/>
    </row>
    <row r="143" spans="13:18">
      <c r="M143" s="1567"/>
      <c r="N143" s="1567"/>
      <c r="O143" s="1567"/>
      <c r="P143" s="1567"/>
      <c r="Q143" s="1567"/>
      <c r="R143" s="1567"/>
    </row>
    <row r="144" spans="13:18">
      <c r="M144" s="1567"/>
      <c r="N144" s="1567"/>
      <c r="O144" s="1567"/>
      <c r="P144" s="1567"/>
      <c r="Q144" s="1567"/>
      <c r="R144" s="1567"/>
    </row>
    <row r="145" spans="13:18">
      <c r="M145" s="1567"/>
      <c r="N145" s="1567"/>
      <c r="O145" s="1567"/>
      <c r="P145" s="1567"/>
      <c r="Q145" s="1567"/>
      <c r="R145" s="1567"/>
    </row>
    <row r="146" spans="13:18">
      <c r="M146" s="1567"/>
      <c r="N146" s="1567"/>
      <c r="O146" s="1567"/>
      <c r="P146" s="1567"/>
      <c r="Q146" s="1567"/>
      <c r="R146" s="1567"/>
    </row>
    <row r="147" spans="13:18">
      <c r="M147" s="1567"/>
      <c r="N147" s="1567"/>
      <c r="O147" s="1567"/>
      <c r="P147" s="1567"/>
      <c r="Q147" s="1567"/>
      <c r="R147" s="1567"/>
    </row>
    <row r="148" spans="13:18">
      <c r="M148" s="1567"/>
      <c r="N148" s="1567"/>
      <c r="O148" s="1567"/>
      <c r="P148" s="1567"/>
      <c r="Q148" s="1567"/>
      <c r="R148" s="1567"/>
    </row>
    <row r="149" spans="13:18">
      <c r="M149" s="1567"/>
      <c r="N149" s="1567"/>
      <c r="O149" s="1567"/>
      <c r="P149" s="1567"/>
      <c r="Q149" s="1567"/>
      <c r="R149" s="1567"/>
    </row>
    <row r="150" spans="13:18">
      <c r="M150" s="1567"/>
      <c r="N150" s="1567"/>
      <c r="O150" s="1567"/>
      <c r="P150" s="1567"/>
      <c r="Q150" s="1567"/>
      <c r="R150" s="1567"/>
    </row>
    <row r="151" spans="13:18">
      <c r="M151" s="1567"/>
      <c r="N151" s="1567"/>
      <c r="O151" s="1567"/>
      <c r="P151" s="1567"/>
      <c r="Q151" s="1567"/>
      <c r="R151" s="1567"/>
    </row>
    <row r="152" spans="13:18">
      <c r="M152" s="1567"/>
      <c r="N152" s="1567"/>
      <c r="O152" s="1567"/>
      <c r="P152" s="1567"/>
      <c r="Q152" s="1567"/>
      <c r="R152" s="1567"/>
    </row>
    <row r="153" spans="13:18">
      <c r="M153" s="1567"/>
      <c r="N153" s="1567"/>
      <c r="O153" s="1567"/>
      <c r="P153" s="1567"/>
      <c r="Q153" s="1567"/>
      <c r="R153" s="1567"/>
    </row>
    <row r="154" spans="13:18">
      <c r="M154" s="1567"/>
      <c r="N154" s="1567"/>
      <c r="O154" s="1567"/>
      <c r="P154" s="1567"/>
      <c r="Q154" s="1567"/>
      <c r="R154" s="1567"/>
    </row>
    <row r="155" spans="13:18">
      <c r="M155" s="1567"/>
      <c r="N155" s="1567"/>
      <c r="O155" s="1567"/>
      <c r="P155" s="1567"/>
      <c r="Q155" s="1567"/>
      <c r="R155" s="1567"/>
    </row>
    <row r="156" spans="13:18">
      <c r="M156" s="1567"/>
      <c r="N156" s="1567"/>
      <c r="O156" s="1567"/>
      <c r="P156" s="1567"/>
      <c r="Q156" s="1567"/>
      <c r="R156" s="1567"/>
    </row>
    <row r="157" spans="13:18">
      <c r="M157" s="1567"/>
      <c r="N157" s="1567"/>
      <c r="O157" s="1567"/>
      <c r="P157" s="1567"/>
      <c r="Q157" s="1567"/>
      <c r="R157" s="1567"/>
    </row>
    <row r="158" spans="13:18">
      <c r="M158" s="1567"/>
      <c r="N158" s="1567"/>
      <c r="O158" s="1567"/>
      <c r="P158" s="1567"/>
      <c r="Q158" s="1567"/>
      <c r="R158" s="1567"/>
    </row>
    <row r="159" spans="13:18">
      <c r="M159" s="1567"/>
      <c r="N159" s="1567"/>
      <c r="O159" s="1567"/>
      <c r="P159" s="1567"/>
      <c r="Q159" s="1567"/>
      <c r="R159" s="1567"/>
    </row>
    <row r="160" spans="13:18">
      <c r="M160" s="1567"/>
      <c r="N160" s="1567"/>
      <c r="O160" s="1567"/>
      <c r="P160" s="1567"/>
      <c r="Q160" s="1567"/>
      <c r="R160" s="1567"/>
    </row>
    <row r="161" spans="13:18">
      <c r="M161" s="1567"/>
      <c r="N161" s="1567"/>
      <c r="O161" s="1567"/>
      <c r="P161" s="1567"/>
      <c r="Q161" s="1567"/>
      <c r="R161" s="1567"/>
    </row>
    <row r="162" spans="13:18">
      <c r="M162" s="1567"/>
      <c r="N162" s="1567"/>
      <c r="O162" s="1567"/>
      <c r="P162" s="1567"/>
      <c r="Q162" s="1567"/>
      <c r="R162" s="1567"/>
    </row>
    <row r="163" spans="13:18">
      <c r="M163" s="1567"/>
      <c r="N163" s="1567"/>
      <c r="O163" s="1567"/>
      <c r="P163" s="1567"/>
      <c r="Q163" s="1567"/>
      <c r="R163" s="1567"/>
    </row>
    <row r="164" spans="13:18">
      <c r="M164" s="1567"/>
      <c r="N164" s="1567"/>
      <c r="O164" s="1567"/>
      <c r="P164" s="1567"/>
      <c r="Q164" s="1567"/>
      <c r="R164" s="1567"/>
    </row>
    <row r="165" spans="13:18">
      <c r="M165" s="1567"/>
      <c r="N165" s="1567"/>
      <c r="O165" s="1567"/>
      <c r="P165" s="1567"/>
      <c r="Q165" s="1567"/>
      <c r="R165" s="1567"/>
    </row>
    <row r="166" spans="13:18">
      <c r="M166" s="1567"/>
      <c r="N166" s="1567"/>
      <c r="O166" s="1567"/>
      <c r="P166" s="1567"/>
      <c r="Q166" s="1567"/>
      <c r="R166" s="1567"/>
    </row>
    <row r="167" spans="13:18">
      <c r="M167" s="1567"/>
      <c r="N167" s="1567"/>
      <c r="O167" s="1567"/>
      <c r="P167" s="1567"/>
      <c r="Q167" s="1567"/>
      <c r="R167" s="1567"/>
    </row>
    <row r="168" spans="13:18">
      <c r="M168" s="1567"/>
      <c r="N168" s="1567"/>
      <c r="O168" s="1567"/>
      <c r="P168" s="1567"/>
      <c r="Q168" s="1567"/>
      <c r="R168" s="1567"/>
    </row>
    <row r="169" spans="13:18">
      <c r="M169" s="1580"/>
      <c r="N169" s="1567"/>
      <c r="O169" s="1567"/>
      <c r="P169" s="1567"/>
      <c r="Q169" s="1567"/>
      <c r="R169" s="1567"/>
    </row>
    <row r="170" spans="13:18">
      <c r="Q170" s="1567"/>
      <c r="R170" s="1567"/>
    </row>
    <row r="171" spans="13:18">
      <c r="Q171" s="1567"/>
      <c r="R171" s="1567"/>
    </row>
    <row r="172" spans="13:18">
      <c r="Q172" s="1567"/>
      <c r="R172" s="1567"/>
    </row>
    <row r="173" spans="13:18">
      <c r="Q173" s="1567"/>
      <c r="R173" s="1567"/>
    </row>
    <row r="183" spans="2:34">
      <c r="D183" s="1718" t="s">
        <v>319</v>
      </c>
      <c r="F183" s="1719" t="s">
        <v>320</v>
      </c>
      <c r="H183" s="1567"/>
    </row>
    <row r="184" spans="2:34">
      <c r="D184" s="1718" t="s">
        <v>321</v>
      </c>
      <c r="F184" s="1719" t="s">
        <v>322</v>
      </c>
    </row>
    <row r="185" spans="2:34">
      <c r="D185" s="1718" t="s">
        <v>323</v>
      </c>
      <c r="F185" s="1719">
        <v>1</v>
      </c>
    </row>
    <row r="186" spans="2:34">
      <c r="D186" s="1719">
        <v>2</v>
      </c>
    </row>
    <row r="188" spans="2:34">
      <c r="D188" s="1719">
        <v>0</v>
      </c>
      <c r="E188" s="1567"/>
      <c r="F188" s="1567"/>
      <c r="G188" s="1567"/>
      <c r="H188" s="1567"/>
      <c r="I188" s="1567"/>
      <c r="M188" s="1567"/>
    </row>
    <row r="189" spans="2:34">
      <c r="D189" s="1567"/>
      <c r="E189" s="1567"/>
      <c r="F189" s="1567"/>
      <c r="G189" s="1567"/>
      <c r="H189" s="1567"/>
      <c r="I189" s="1567"/>
      <c r="J189" s="1720"/>
      <c r="M189" s="1567"/>
    </row>
    <row r="190" spans="2:34">
      <c r="D190" s="1567"/>
      <c r="E190" s="1567"/>
      <c r="F190" s="1567"/>
      <c r="G190" s="1567"/>
      <c r="H190" s="1567"/>
      <c r="I190" s="1567"/>
      <c r="M190" s="1567"/>
    </row>
    <row r="191" spans="2:34" s="1628" customFormat="1">
      <c r="B191" s="1572"/>
      <c r="C191" s="1572"/>
      <c r="D191" s="1721" t="s">
        <v>324</v>
      </c>
      <c r="E191" s="1722" t="e">
        <f>#REF!</f>
        <v>#REF!</v>
      </c>
      <c r="F191" s="1722" t="e">
        <f>#REF!</f>
        <v>#REF!</v>
      </c>
      <c r="G191" s="1722" t="e">
        <f>#REF!</f>
        <v>#REF!</v>
      </c>
      <c r="H191" s="1567"/>
      <c r="I191" s="1722" t="e">
        <f>IF($D$186=1,E191)+IF($D$186=2,F191)+IF($D$186=3,G191)+IF($D$186=4,H191)</f>
        <v>#REF!</v>
      </c>
      <c r="L191" s="1572"/>
      <c r="M191" s="1567"/>
      <c r="S191" s="1572"/>
      <c r="T191" s="1572"/>
      <c r="U191" s="1572"/>
      <c r="AA191" s="1572"/>
      <c r="AB191" s="1572"/>
      <c r="AC191" s="1572"/>
      <c r="AD191" s="1572"/>
      <c r="AE191" s="1572"/>
      <c r="AF191" s="1572"/>
      <c r="AG191" s="1572"/>
      <c r="AH191" s="1572"/>
    </row>
    <row r="192" spans="2:34" s="1628" customFormat="1">
      <c r="B192" s="1572"/>
      <c r="C192" s="1572"/>
      <c r="D192" s="1721" t="s">
        <v>325</v>
      </c>
      <c r="E192" s="1722" t="e">
        <f>#REF!</f>
        <v>#REF!</v>
      </c>
      <c r="F192" s="1722" t="e">
        <f>#REF!</f>
        <v>#REF!</v>
      </c>
      <c r="G192" s="1722" t="e">
        <f>#REF!</f>
        <v>#REF!</v>
      </c>
      <c r="H192" s="1723"/>
      <c r="I192" s="1722" t="e">
        <f>IF($D$186=1,E192)+IF($D$186=2,F192)+IF($D$186=3,G192)+IF($D$186=4,H192)</f>
        <v>#REF!</v>
      </c>
      <c r="L192" s="1572"/>
      <c r="M192" s="1567"/>
      <c r="S192" s="1572"/>
      <c r="T192" s="1572"/>
      <c r="U192" s="1572"/>
      <c r="AA192" s="1572"/>
      <c r="AB192" s="1572"/>
      <c r="AC192" s="1572"/>
      <c r="AD192" s="1572"/>
      <c r="AE192" s="1572"/>
      <c r="AF192" s="1572"/>
      <c r="AG192" s="1572"/>
      <c r="AH192" s="1572"/>
    </row>
    <row r="193" spans="2:34" s="1628" customFormat="1">
      <c r="B193" s="1572"/>
      <c r="C193" s="1572"/>
      <c r="D193" s="1572"/>
      <c r="L193" s="1572"/>
      <c r="M193" s="1567"/>
      <c r="S193" s="1572"/>
      <c r="T193" s="1572"/>
      <c r="U193" s="1572"/>
      <c r="AA193" s="1572"/>
      <c r="AB193" s="1572"/>
      <c r="AC193" s="1572"/>
      <c r="AD193" s="1572"/>
      <c r="AE193" s="1572"/>
      <c r="AF193" s="1572"/>
      <c r="AG193" s="1572"/>
      <c r="AH193" s="1572"/>
    </row>
    <row r="194" spans="2:34" s="1628" customFormat="1">
      <c r="B194" s="1572"/>
      <c r="C194" s="1572"/>
      <c r="D194" s="1567"/>
      <c r="E194" s="1567"/>
      <c r="F194" s="1567"/>
      <c r="G194" s="1567"/>
      <c r="H194" s="1567"/>
      <c r="I194" s="1567"/>
      <c r="L194" s="1572"/>
      <c r="M194" s="1567"/>
      <c r="S194" s="1572"/>
      <c r="T194" s="1572"/>
      <c r="U194" s="1572"/>
      <c r="AA194" s="1572"/>
      <c r="AB194" s="1572"/>
      <c r="AC194" s="1572"/>
      <c r="AD194" s="1572"/>
      <c r="AE194" s="1572"/>
      <c r="AF194" s="1572"/>
      <c r="AG194" s="1572"/>
      <c r="AH194" s="1572"/>
    </row>
    <row r="195" spans="2:34" s="1628" customFormat="1">
      <c r="B195" s="1572"/>
      <c r="C195" s="1572"/>
      <c r="D195" s="1721" t="s">
        <v>326</v>
      </c>
      <c r="E195" s="1722" t="e">
        <f>E191/#REF!</f>
        <v>#REF!</v>
      </c>
      <c r="F195" s="1722" t="e">
        <f>F191/#REF!</f>
        <v>#REF!</v>
      </c>
      <c r="G195" s="1722" t="e">
        <f>G191/#REF!</f>
        <v>#REF!</v>
      </c>
      <c r="H195" s="1567"/>
      <c r="I195" s="1722" t="e">
        <f>IF($D$186=1,E195)+IF($D$186=2,F195)+IF($D$186=3,G195)+IF($D$186=4,H195)</f>
        <v>#REF!</v>
      </c>
      <c r="L195" s="1572"/>
      <c r="M195" s="1567"/>
      <c r="S195" s="1572"/>
      <c r="T195" s="1572"/>
      <c r="U195" s="1572"/>
      <c r="AA195" s="1572"/>
      <c r="AB195" s="1572"/>
      <c r="AC195" s="1572"/>
      <c r="AD195" s="1572"/>
      <c r="AE195" s="1572"/>
      <c r="AF195" s="1572"/>
      <c r="AG195" s="1572"/>
      <c r="AH195" s="1572"/>
    </row>
    <row r="196" spans="2:34">
      <c r="D196" s="1721" t="s">
        <v>327</v>
      </c>
      <c r="E196" s="1722" t="e">
        <f>E192/#REF!</f>
        <v>#REF!</v>
      </c>
      <c r="F196" s="1722" t="e">
        <f>F192/#REF!</f>
        <v>#REF!</v>
      </c>
      <c r="G196" s="1722" t="e">
        <f>G192/#REF!</f>
        <v>#REF!</v>
      </c>
      <c r="H196" s="1723"/>
      <c r="I196" s="1722" t="e">
        <f>IF($D$186=1,E196)+IF($D$186=2,F196)+IF($D$186=3,G196)+IF($D$186=4,H196)</f>
        <v>#REF!</v>
      </c>
      <c r="M196" s="1567"/>
    </row>
    <row r="197" spans="2:34" s="1628" customFormat="1">
      <c r="B197" s="1572"/>
      <c r="C197" s="1572"/>
      <c r="D197" s="1721" t="s">
        <v>328</v>
      </c>
      <c r="E197" s="1724" t="e">
        <f>E196/E195</f>
        <v>#REF!</v>
      </c>
      <c r="F197" s="1724" t="e">
        <f>F196/F195</f>
        <v>#REF!</v>
      </c>
      <c r="G197" s="1724" t="e">
        <f>G196/G195</f>
        <v>#REF!</v>
      </c>
      <c r="H197" s="1723"/>
      <c r="I197" s="1725" t="e">
        <f>IF($D$186=1,E197)+IF($D$186=2,F197)+IF($D$186=3,G197)+IF($D$186=4,H197)</f>
        <v>#REF!</v>
      </c>
      <c r="L197" s="1572"/>
      <c r="M197" s="1567"/>
      <c r="S197" s="1572"/>
      <c r="T197" s="1572"/>
      <c r="U197" s="1572"/>
      <c r="AA197" s="1572"/>
      <c r="AB197" s="1572"/>
      <c r="AC197" s="1572"/>
      <c r="AD197" s="1572"/>
      <c r="AE197" s="1572"/>
      <c r="AF197" s="1572"/>
      <c r="AG197" s="1572"/>
      <c r="AH197" s="1572"/>
    </row>
    <row r="198" spans="2:34" s="1628" customFormat="1">
      <c r="B198" s="1572"/>
      <c r="C198" s="1572"/>
      <c r="D198" s="1572"/>
      <c r="L198" s="1572"/>
      <c r="M198" s="1567"/>
      <c r="S198" s="1572"/>
      <c r="T198" s="1572"/>
      <c r="U198" s="1572"/>
      <c r="AA198" s="1572"/>
      <c r="AB198" s="1572"/>
      <c r="AC198" s="1572"/>
      <c r="AD198" s="1572"/>
      <c r="AE198" s="1572"/>
      <c r="AF198" s="1572"/>
      <c r="AG198" s="1572"/>
      <c r="AH198" s="1572"/>
    </row>
    <row r="199" spans="2:34" s="1628" customFormat="1">
      <c r="B199" s="1572"/>
      <c r="C199" s="1572"/>
      <c r="D199" s="1572"/>
      <c r="L199" s="1572"/>
      <c r="M199" s="1567"/>
      <c r="S199" s="1572"/>
      <c r="T199" s="1572"/>
      <c r="U199" s="1572"/>
      <c r="AA199" s="1572"/>
      <c r="AB199" s="1572"/>
      <c r="AC199" s="1572"/>
      <c r="AD199" s="1572"/>
      <c r="AE199" s="1572"/>
      <c r="AF199" s="1572"/>
      <c r="AG199" s="1572"/>
      <c r="AH199" s="1572"/>
    </row>
    <row r="200" spans="2:34" s="1628" customFormat="1">
      <c r="B200" s="1572"/>
      <c r="C200" s="1572"/>
      <c r="D200" s="1572"/>
      <c r="J200" s="1567"/>
      <c r="L200" s="1572"/>
      <c r="M200" s="1567"/>
      <c r="S200" s="1572"/>
      <c r="T200" s="1572"/>
      <c r="U200" s="1572"/>
      <c r="AA200" s="1572"/>
      <c r="AB200" s="1572"/>
      <c r="AC200" s="1572"/>
      <c r="AD200" s="1572"/>
      <c r="AE200" s="1572"/>
      <c r="AF200" s="1572"/>
      <c r="AG200" s="1572"/>
      <c r="AH200" s="1572"/>
    </row>
    <row r="201" spans="2:34">
      <c r="J201" s="1567"/>
      <c r="M201" s="1567"/>
    </row>
    <row r="202" spans="2:34" s="1628" customFormat="1">
      <c r="B202" s="1572"/>
      <c r="C202" s="1572"/>
      <c r="D202" s="1567"/>
      <c r="E202" s="1567"/>
      <c r="F202" s="1567"/>
      <c r="G202" s="1567"/>
      <c r="H202" s="1567"/>
      <c r="I202" s="1567"/>
      <c r="J202" s="1567"/>
      <c r="L202" s="1572"/>
      <c r="M202" s="1567"/>
      <c r="S202" s="1572"/>
      <c r="T202" s="1572"/>
      <c r="U202" s="1572"/>
      <c r="AA202" s="1572"/>
      <c r="AB202" s="1572"/>
      <c r="AC202" s="1572"/>
      <c r="AD202" s="1572"/>
      <c r="AE202" s="1572"/>
      <c r="AF202" s="1572"/>
      <c r="AG202" s="1572"/>
      <c r="AH202" s="1572"/>
    </row>
    <row r="203" spans="2:34" s="1628" customFormat="1">
      <c r="B203" s="1572"/>
      <c r="C203" s="1572"/>
      <c r="D203" s="1567"/>
      <c r="E203" s="1567"/>
      <c r="F203" s="1567"/>
      <c r="G203" s="1567"/>
      <c r="H203" s="1567"/>
      <c r="I203" s="1567"/>
      <c r="J203" s="1567"/>
      <c r="L203" s="1572"/>
      <c r="M203" s="1567"/>
      <c r="S203" s="1572"/>
      <c r="T203" s="1572"/>
      <c r="U203" s="1572"/>
      <c r="AA203" s="1572"/>
      <c r="AB203" s="1572"/>
      <c r="AC203" s="1572"/>
      <c r="AD203" s="1572"/>
      <c r="AE203" s="1572"/>
      <c r="AF203" s="1572"/>
      <c r="AG203" s="1572"/>
      <c r="AH203" s="1572"/>
    </row>
    <row r="204" spans="2:34" s="1628" customFormat="1">
      <c r="B204" s="1572"/>
      <c r="C204" s="1572"/>
      <c r="D204" s="1567"/>
      <c r="E204" s="1567"/>
      <c r="F204" s="1567"/>
      <c r="G204" s="1567"/>
      <c r="H204" s="1567"/>
      <c r="I204" s="1567"/>
      <c r="J204" s="1567"/>
      <c r="L204" s="1572"/>
      <c r="M204" s="1572"/>
      <c r="S204" s="1572"/>
      <c r="T204" s="1572"/>
      <c r="U204" s="1572"/>
      <c r="AA204" s="1572"/>
      <c r="AB204" s="1572"/>
      <c r="AC204" s="1572"/>
      <c r="AD204" s="1572"/>
      <c r="AE204" s="1572"/>
      <c r="AF204" s="1572"/>
      <c r="AG204" s="1572"/>
      <c r="AH204" s="1572"/>
    </row>
    <row r="205" spans="2:34" s="1628" customFormat="1">
      <c r="B205" s="1572"/>
      <c r="C205" s="1572"/>
      <c r="D205" s="1567"/>
      <c r="E205" s="1567"/>
      <c r="F205" s="1567"/>
      <c r="G205" s="1567"/>
      <c r="H205" s="1567"/>
      <c r="I205" s="1567"/>
      <c r="J205" s="1567"/>
      <c r="K205" s="1567"/>
      <c r="L205" s="1567"/>
      <c r="M205" s="1572"/>
      <c r="S205" s="1572"/>
      <c r="T205" s="1572"/>
      <c r="U205" s="1572"/>
      <c r="AA205" s="1572"/>
      <c r="AB205" s="1572"/>
      <c r="AC205" s="1572"/>
      <c r="AD205" s="1572"/>
      <c r="AE205" s="1572"/>
      <c r="AF205" s="1572"/>
      <c r="AG205" s="1572"/>
      <c r="AH205" s="1572"/>
    </row>
    <row r="206" spans="2:34" s="1628" customFormat="1">
      <c r="B206" s="1572"/>
      <c r="C206" s="1572"/>
      <c r="D206" s="1567"/>
      <c r="E206" s="1567"/>
      <c r="F206" s="1567"/>
      <c r="G206" s="1567"/>
      <c r="H206" s="1567"/>
      <c r="I206" s="1567"/>
      <c r="J206" s="1567"/>
      <c r="K206" s="1567"/>
      <c r="L206" s="1567"/>
      <c r="M206" s="1572"/>
      <c r="S206" s="1572"/>
      <c r="T206" s="1572"/>
      <c r="U206" s="1572"/>
      <c r="AA206" s="1572"/>
      <c r="AB206" s="1572"/>
      <c r="AC206" s="1572"/>
      <c r="AD206" s="1572"/>
      <c r="AE206" s="1572"/>
      <c r="AF206" s="1572"/>
      <c r="AG206" s="1572"/>
      <c r="AH206" s="1572"/>
    </row>
    <row r="207" spans="2:34" s="1628" customFormat="1">
      <c r="B207" s="1572"/>
      <c r="C207" s="1572"/>
      <c r="D207" s="1567"/>
      <c r="E207" s="1567"/>
      <c r="F207" s="1567"/>
      <c r="G207" s="1567"/>
      <c r="H207" s="1567"/>
      <c r="I207" s="1567"/>
      <c r="J207" s="1567"/>
      <c r="K207" s="1567"/>
      <c r="L207" s="1567"/>
      <c r="M207" s="1572"/>
      <c r="S207" s="1572"/>
      <c r="T207" s="1572"/>
      <c r="U207" s="1572"/>
      <c r="AA207" s="1572"/>
      <c r="AB207" s="1572"/>
      <c r="AC207" s="1572"/>
      <c r="AD207" s="1572"/>
      <c r="AE207" s="1572"/>
      <c r="AF207" s="1572"/>
      <c r="AG207" s="1572"/>
      <c r="AH207" s="1572"/>
    </row>
    <row r="208" spans="2:34" s="1628" customFormat="1">
      <c r="B208" s="1572"/>
      <c r="C208" s="1572"/>
      <c r="D208" s="1567"/>
      <c r="E208" s="1567"/>
      <c r="F208" s="1567"/>
      <c r="G208" s="1567"/>
      <c r="H208" s="1567"/>
      <c r="I208" s="1567"/>
      <c r="J208" s="1567"/>
      <c r="K208" s="1567"/>
      <c r="L208" s="1567"/>
      <c r="M208" s="1572"/>
      <c r="S208" s="1572"/>
      <c r="T208" s="1572"/>
      <c r="U208" s="1572"/>
      <c r="AA208" s="1572"/>
      <c r="AB208" s="1572"/>
      <c r="AC208" s="1572"/>
      <c r="AD208" s="1572"/>
      <c r="AE208" s="1572"/>
      <c r="AF208" s="1572"/>
      <c r="AG208" s="1572"/>
      <c r="AH208" s="1572"/>
    </row>
    <row r="209" spans="2:34" s="1628" customFormat="1">
      <c r="B209" s="1572"/>
      <c r="C209" s="1572"/>
      <c r="D209" s="1567"/>
      <c r="E209" s="1567"/>
      <c r="F209" s="1567"/>
      <c r="G209" s="1567"/>
      <c r="H209" s="1567"/>
      <c r="I209" s="1567"/>
      <c r="J209" s="1567"/>
      <c r="K209" s="1567"/>
      <c r="L209" s="1567"/>
      <c r="M209" s="1572"/>
      <c r="S209" s="1572"/>
      <c r="T209" s="1572"/>
      <c r="U209" s="1572"/>
      <c r="AA209" s="1572"/>
      <c r="AB209" s="1572"/>
      <c r="AC209" s="1572"/>
      <c r="AD209" s="1572"/>
      <c r="AE209" s="1572"/>
      <c r="AF209" s="1572"/>
      <c r="AG209" s="1572"/>
      <c r="AH209" s="1572"/>
    </row>
    <row r="210" spans="2:34" s="1628" customFormat="1">
      <c r="B210" s="1572"/>
      <c r="C210" s="1572"/>
      <c r="D210" s="1567"/>
      <c r="E210" s="1567"/>
      <c r="F210" s="1567"/>
      <c r="G210" s="1567"/>
      <c r="H210" s="1567"/>
      <c r="I210" s="1567"/>
      <c r="J210" s="1567"/>
      <c r="K210" s="1567"/>
      <c r="L210" s="1567"/>
      <c r="M210" s="1572"/>
      <c r="S210" s="1572"/>
      <c r="T210" s="1572"/>
      <c r="U210" s="1572"/>
      <c r="AA210" s="1572"/>
      <c r="AB210" s="1572"/>
      <c r="AC210" s="1572"/>
      <c r="AD210" s="1572"/>
      <c r="AE210" s="1572"/>
      <c r="AF210" s="1572"/>
      <c r="AG210" s="1572"/>
      <c r="AH210" s="1572"/>
    </row>
    <row r="211" spans="2:34" s="1628" customFormat="1">
      <c r="B211" s="1572"/>
      <c r="C211" s="1572"/>
      <c r="D211" s="1567"/>
      <c r="E211" s="1567"/>
      <c r="F211" s="1567"/>
      <c r="G211" s="1567"/>
      <c r="H211" s="1567"/>
      <c r="I211" s="1567"/>
      <c r="J211" s="1567"/>
      <c r="K211" s="1567"/>
      <c r="L211" s="1567"/>
      <c r="M211" s="1572"/>
      <c r="S211" s="1572"/>
      <c r="T211" s="1572"/>
      <c r="U211" s="1572"/>
      <c r="AA211" s="1572"/>
      <c r="AB211" s="1572"/>
      <c r="AC211" s="1572"/>
      <c r="AD211" s="1572"/>
      <c r="AE211" s="1572"/>
      <c r="AF211" s="1572"/>
      <c r="AG211" s="1572"/>
      <c r="AH211" s="1572"/>
    </row>
    <row r="212" spans="2:34" s="1628" customFormat="1">
      <c r="B212" s="1572"/>
      <c r="C212" s="1572"/>
      <c r="D212" s="1567"/>
      <c r="E212" s="1567"/>
      <c r="F212" s="1567"/>
      <c r="G212" s="1567"/>
      <c r="H212" s="1567"/>
      <c r="I212" s="1567"/>
      <c r="J212" s="1567"/>
      <c r="K212" s="1567"/>
      <c r="L212" s="1567"/>
      <c r="M212" s="1572"/>
      <c r="S212" s="1572"/>
      <c r="T212" s="1572"/>
      <c r="U212" s="1572"/>
      <c r="AA212" s="1572"/>
      <c r="AB212" s="1572"/>
      <c r="AC212" s="1572"/>
      <c r="AD212" s="1572"/>
      <c r="AE212" s="1572"/>
      <c r="AF212" s="1572"/>
      <c r="AG212" s="1572"/>
      <c r="AH212" s="1572"/>
    </row>
    <row r="213" spans="2:34" s="1628" customFormat="1">
      <c r="B213" s="1572"/>
      <c r="C213" s="1572"/>
      <c r="D213" s="1567"/>
      <c r="E213" s="1567"/>
      <c r="F213" s="1567"/>
      <c r="G213" s="1567"/>
      <c r="H213" s="1567"/>
      <c r="I213" s="1567"/>
      <c r="J213" s="1567"/>
      <c r="K213" s="1567"/>
      <c r="L213" s="1567"/>
      <c r="M213" s="1572"/>
      <c r="S213" s="1572"/>
      <c r="T213" s="1572"/>
      <c r="U213" s="1572"/>
      <c r="AA213" s="1572"/>
      <c r="AB213" s="1572"/>
      <c r="AC213" s="1572"/>
      <c r="AD213" s="1572"/>
      <c r="AE213" s="1572"/>
      <c r="AF213" s="1572"/>
      <c r="AG213" s="1572"/>
      <c r="AH213" s="1572"/>
    </row>
    <row r="214" spans="2:34" s="1628" customFormat="1">
      <c r="B214" s="1572"/>
      <c r="C214" s="1572"/>
      <c r="D214" s="1567"/>
      <c r="E214" s="1567"/>
      <c r="F214" s="1567"/>
      <c r="G214" s="1567"/>
      <c r="H214" s="1567"/>
      <c r="I214" s="1567"/>
      <c r="J214" s="1567"/>
      <c r="K214" s="1567"/>
      <c r="L214" s="1567"/>
      <c r="M214" s="1572"/>
      <c r="S214" s="1572"/>
      <c r="T214" s="1572"/>
      <c r="U214" s="1572"/>
      <c r="AA214" s="1572"/>
      <c r="AB214" s="1572"/>
      <c r="AC214" s="1572"/>
      <c r="AD214" s="1572"/>
      <c r="AE214" s="1572"/>
      <c r="AF214" s="1572"/>
      <c r="AG214" s="1572"/>
      <c r="AH214" s="1572"/>
    </row>
    <row r="215" spans="2:34" s="1628" customFormat="1">
      <c r="B215" s="1572"/>
      <c r="C215" s="1572"/>
      <c r="D215" s="1567"/>
      <c r="E215" s="1567"/>
      <c r="F215" s="1567"/>
      <c r="G215" s="1567"/>
      <c r="H215" s="1567"/>
      <c r="I215" s="1567"/>
      <c r="J215" s="1567"/>
      <c r="K215" s="1567"/>
      <c r="L215" s="1567"/>
      <c r="M215" s="1572"/>
      <c r="S215" s="1572"/>
      <c r="T215" s="1572"/>
      <c r="U215" s="1572"/>
      <c r="AA215" s="1572"/>
      <c r="AB215" s="1572"/>
      <c r="AC215" s="1572"/>
      <c r="AD215" s="1572"/>
      <c r="AE215" s="1572"/>
      <c r="AF215" s="1572"/>
      <c r="AG215" s="1572"/>
      <c r="AH215" s="1572"/>
    </row>
    <row r="216" spans="2:34" s="1628" customFormat="1">
      <c r="B216" s="1572"/>
      <c r="C216" s="1572"/>
      <c r="D216" s="1567"/>
      <c r="E216" s="1567"/>
      <c r="F216" s="1567"/>
      <c r="G216" s="1567"/>
      <c r="H216" s="1567"/>
      <c r="I216" s="1567"/>
      <c r="K216" s="1567"/>
      <c r="L216" s="1567"/>
      <c r="M216" s="1572"/>
      <c r="S216" s="1572"/>
      <c r="T216" s="1572"/>
      <c r="U216" s="1572"/>
      <c r="AA216" s="1572"/>
      <c r="AB216" s="1572"/>
      <c r="AC216" s="1572"/>
      <c r="AD216" s="1572"/>
      <c r="AE216" s="1572"/>
      <c r="AF216" s="1572"/>
      <c r="AG216" s="1572"/>
      <c r="AH216" s="1572"/>
    </row>
    <row r="217" spans="2:34" s="1628" customFormat="1">
      <c r="B217" s="1572"/>
      <c r="C217" s="1572"/>
      <c r="D217" s="1567"/>
      <c r="E217" s="1567"/>
      <c r="F217" s="1567"/>
      <c r="G217" s="1567"/>
      <c r="H217" s="1567"/>
      <c r="I217" s="1567"/>
      <c r="K217" s="1567"/>
      <c r="L217" s="1567"/>
      <c r="M217" s="1572"/>
      <c r="S217" s="1572"/>
      <c r="T217" s="1572"/>
      <c r="U217" s="1572"/>
      <c r="AA217" s="1572"/>
      <c r="AB217" s="1572"/>
      <c r="AC217" s="1572"/>
      <c r="AD217" s="1572"/>
      <c r="AE217" s="1572"/>
      <c r="AF217" s="1572"/>
      <c r="AG217" s="1572"/>
      <c r="AH217" s="1572"/>
    </row>
    <row r="218" spans="2:34" s="1628" customFormat="1">
      <c r="B218" s="1572"/>
      <c r="C218" s="1572"/>
      <c r="D218" s="1572"/>
      <c r="K218" s="1567"/>
      <c r="L218" s="1567"/>
      <c r="M218" s="1572"/>
      <c r="S218" s="1572"/>
      <c r="T218" s="1572"/>
      <c r="U218" s="1572"/>
      <c r="AA218" s="1572"/>
      <c r="AB218" s="1572"/>
      <c r="AC218" s="1572"/>
      <c r="AD218" s="1572"/>
      <c r="AE218" s="1572"/>
      <c r="AF218" s="1572"/>
      <c r="AG218" s="1572"/>
      <c r="AH218" s="1572"/>
    </row>
    <row r="219" spans="2:34" s="1628" customFormat="1">
      <c r="B219" s="1572"/>
      <c r="C219" s="1572"/>
      <c r="D219" s="1572"/>
      <c r="K219" s="1567"/>
      <c r="L219" s="1567"/>
      <c r="M219" s="1572"/>
      <c r="S219" s="1572"/>
      <c r="T219" s="1572"/>
      <c r="U219" s="1572"/>
      <c r="AA219" s="1572"/>
      <c r="AB219" s="1572"/>
      <c r="AC219" s="1572"/>
      <c r="AD219" s="1572"/>
      <c r="AE219" s="1572"/>
      <c r="AF219" s="1572"/>
      <c r="AG219" s="1572"/>
      <c r="AH219" s="1572"/>
    </row>
    <row r="220" spans="2:34" s="1628" customFormat="1">
      <c r="B220" s="1572"/>
      <c r="C220" s="1572"/>
      <c r="D220" s="1572"/>
      <c r="K220" s="1567"/>
      <c r="L220" s="1567"/>
      <c r="M220" s="1572"/>
      <c r="S220" s="1572"/>
      <c r="T220" s="1572"/>
      <c r="U220" s="1572"/>
      <c r="AA220" s="1572"/>
      <c r="AB220" s="1572"/>
      <c r="AC220" s="1572"/>
      <c r="AD220" s="1572"/>
      <c r="AE220" s="1572"/>
      <c r="AF220" s="1572"/>
      <c r="AG220" s="1572"/>
      <c r="AH220" s="1572"/>
    </row>
  </sheetData>
  <mergeCells count="133">
    <mergeCell ref="D88:F88"/>
    <mergeCell ref="D94:F94"/>
    <mergeCell ref="U94:W94"/>
    <mergeCell ref="D84:F84"/>
    <mergeCell ref="D85:F85"/>
    <mergeCell ref="M85:O85"/>
    <mergeCell ref="U85:W85"/>
    <mergeCell ref="D86:F86"/>
    <mergeCell ref="D87:F87"/>
    <mergeCell ref="M87:O87"/>
    <mergeCell ref="U87:W87"/>
    <mergeCell ref="D81:F81"/>
    <mergeCell ref="M81:O81"/>
    <mergeCell ref="U81:W81"/>
    <mergeCell ref="D82:F82"/>
    <mergeCell ref="D83:F83"/>
    <mergeCell ref="M83:O83"/>
    <mergeCell ref="U83:W83"/>
    <mergeCell ref="D78:F78"/>
    <mergeCell ref="D79:F79"/>
    <mergeCell ref="M79:O79"/>
    <mergeCell ref="U79:W79"/>
    <mergeCell ref="D80:F80"/>
    <mergeCell ref="I80:J80"/>
    <mergeCell ref="D75:F75"/>
    <mergeCell ref="M75:O75"/>
    <mergeCell ref="U75:W75"/>
    <mergeCell ref="D76:F76"/>
    <mergeCell ref="D77:F77"/>
    <mergeCell ref="M77:O77"/>
    <mergeCell ref="U77:W77"/>
    <mergeCell ref="D72:F72"/>
    <mergeCell ref="U72:U73"/>
    <mergeCell ref="D73:F73"/>
    <mergeCell ref="M73:O73"/>
    <mergeCell ref="D74:F74"/>
    <mergeCell ref="I74:J74"/>
    <mergeCell ref="U74:W74"/>
    <mergeCell ref="D69:F69"/>
    <mergeCell ref="M69:O69"/>
    <mergeCell ref="D70:F70"/>
    <mergeCell ref="U70:W70"/>
    <mergeCell ref="D71:F71"/>
    <mergeCell ref="M71:O71"/>
    <mergeCell ref="D66:F66"/>
    <mergeCell ref="U66:W66"/>
    <mergeCell ref="D67:F67"/>
    <mergeCell ref="M67:O67"/>
    <mergeCell ref="D68:F68"/>
    <mergeCell ref="I68:J68"/>
    <mergeCell ref="U68:W68"/>
    <mergeCell ref="D62:F62"/>
    <mergeCell ref="U62:W62"/>
    <mergeCell ref="D63:F63"/>
    <mergeCell ref="M63:O63"/>
    <mergeCell ref="U64:W64"/>
    <mergeCell ref="M65:O65"/>
    <mergeCell ref="D59:F59"/>
    <mergeCell ref="I59:J59"/>
    <mergeCell ref="M59:O59"/>
    <mergeCell ref="D60:F60"/>
    <mergeCell ref="U60:W60"/>
    <mergeCell ref="D61:F61"/>
    <mergeCell ref="I61:J61"/>
    <mergeCell ref="M61:O61"/>
    <mergeCell ref="D56:F56"/>
    <mergeCell ref="U56:W56"/>
    <mergeCell ref="D57:F57"/>
    <mergeCell ref="M57:O57"/>
    <mergeCell ref="D58:F58"/>
    <mergeCell ref="U58:W58"/>
    <mergeCell ref="D54:F54"/>
    <mergeCell ref="M54:O54"/>
    <mergeCell ref="U54:W54"/>
    <mergeCell ref="D55:F55"/>
    <mergeCell ref="I55:J55"/>
    <mergeCell ref="M55:O55"/>
    <mergeCell ref="D51:F51"/>
    <mergeCell ref="I51:J51"/>
    <mergeCell ref="M51:O51"/>
    <mergeCell ref="D52:F52"/>
    <mergeCell ref="U52:W52"/>
    <mergeCell ref="D53:F53"/>
    <mergeCell ref="I53:J53"/>
    <mergeCell ref="D49:F49"/>
    <mergeCell ref="I49:J49"/>
    <mergeCell ref="M49:O49"/>
    <mergeCell ref="U49:W49"/>
    <mergeCell ref="D50:F50"/>
    <mergeCell ref="U50:W50"/>
    <mergeCell ref="D46:F46"/>
    <mergeCell ref="D47:F47"/>
    <mergeCell ref="I47:J47"/>
    <mergeCell ref="M47:O47"/>
    <mergeCell ref="U47:V48"/>
    <mergeCell ref="D48:F48"/>
    <mergeCell ref="D42:F42"/>
    <mergeCell ref="U43:W43"/>
    <mergeCell ref="M44:O44"/>
    <mergeCell ref="D45:F45"/>
    <mergeCell ref="M45:O45"/>
    <mergeCell ref="U45:W45"/>
    <mergeCell ref="D38:F38"/>
    <mergeCell ref="D39:F39"/>
    <mergeCell ref="M39:O39"/>
    <mergeCell ref="U39:W39"/>
    <mergeCell ref="D40:F40"/>
    <mergeCell ref="D41:F41"/>
    <mergeCell ref="M41:O41"/>
    <mergeCell ref="U41:W41"/>
    <mergeCell ref="M35:O35"/>
    <mergeCell ref="U35:W35"/>
    <mergeCell ref="D36:F36"/>
    <mergeCell ref="D37:F37"/>
    <mergeCell ref="M37:O37"/>
    <mergeCell ref="U37:W37"/>
    <mergeCell ref="U27:W27"/>
    <mergeCell ref="M29:O29"/>
    <mergeCell ref="U29:W29"/>
    <mergeCell ref="M31:O31"/>
    <mergeCell ref="U31:W31"/>
    <mergeCell ref="M33:O33"/>
    <mergeCell ref="U33:W33"/>
    <mergeCell ref="D3:Z3"/>
    <mergeCell ref="D11:Z18"/>
    <mergeCell ref="D26:F26"/>
    <mergeCell ref="M26:O26"/>
    <mergeCell ref="U26:W26"/>
    <mergeCell ref="D27:F35"/>
    <mergeCell ref="G27:G35"/>
    <mergeCell ref="H27:H35"/>
    <mergeCell ref="I27:I35"/>
    <mergeCell ref="M27:O27"/>
  </mergeCells>
  <conditionalFormatting sqref="V44:W44">
    <cfRule type="cellIs" dxfId="395" priority="1" operator="lessThan">
      <formula>0</formula>
    </cfRule>
  </conditionalFormatting>
  <dataValidations count="1">
    <dataValidation type="list" allowBlank="1" showInputMessage="1" showErrorMessage="1" sqref="I27 I83 Z81 I41:J41 I42:I43 I46 I48 I50 I52 I54 I56 I58:J58 I60:J60 I62:J62 I67 I69 I71 I73 I75 I77 I79 I81 I85 Z85 I87 R27 R29 R31 R33 R35 R37 R39 R41 R45 R47 R49 R51 R55 R57 R59 R61 R63 R65 R67 R69 R71 R73 R75 R77 R79 R81 R83 R85 R87 Z27 Z29 Z31 Z33 Z35 Z37 Z39 Z45 Z43 Z41 Z50 Z52 Z54 Z56 Z58 Z60 Z62 Z70 Z66 Z64 Z68 Z75 Z77 Z79 Z87 Z83 I36:I40" xr:uid="{60D6191C-3D4C-4F0C-A2F6-AED040D10D36}"/>
  </dataValidations>
  <printOptions horizontalCentered="1" verticalCentered="1"/>
  <pageMargins left="0.25" right="0.25" top="0.75" bottom="0.75" header="0.3" footer="0.3"/>
  <pageSetup paperSize="8" scale="46" fitToHeight="2" orientation="landscape" r:id="rId1"/>
  <headerFooter>
    <oddFooter>&amp;L1TB.01.003.01 - AYC 
JULY'24 REPORT&amp;C&amp;A&amp;RPage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B1A0C7"/>
  </sheetPr>
  <dimension ref="A1:I40"/>
  <sheetViews>
    <sheetView view="pageBreakPreview" zoomScale="30" zoomScaleNormal="80" zoomScaleSheetLayoutView="30" workbookViewId="0">
      <selection activeCell="C43" sqref="C43"/>
    </sheetView>
  </sheetViews>
  <sheetFormatPr defaultColWidth="9" defaultRowHeight="63.75" customHeight="1"/>
  <cols>
    <col min="1" max="8" width="74.85546875" style="20" customWidth="1"/>
    <col min="9" max="9" width="117" style="20" customWidth="1"/>
    <col min="10" max="11" width="9" style="20"/>
    <col min="12" max="12" width="13" style="20" customWidth="1"/>
    <col min="13" max="13" width="9" style="20"/>
    <col min="14" max="14" width="13.42578125" style="20" bestFit="1" customWidth="1"/>
    <col min="15" max="16384" width="9" style="20"/>
  </cols>
  <sheetData>
    <row r="1" spans="1:9" ht="63.75" customHeight="1">
      <c r="A1" s="1077"/>
      <c r="B1" s="1078"/>
      <c r="C1" s="1078"/>
      <c r="D1" s="1078"/>
      <c r="E1" s="1078"/>
      <c r="F1" s="1078"/>
      <c r="G1" s="1078"/>
      <c r="H1" s="1078"/>
      <c r="I1" s="1079"/>
    </row>
    <row r="2" spans="1:9" ht="63.75" customHeight="1">
      <c r="A2" s="1080"/>
      <c r="I2" s="1081"/>
    </row>
    <row r="3" spans="1:9" ht="63.75" customHeight="1">
      <c r="A3" s="1080"/>
      <c r="I3" s="1081"/>
    </row>
    <row r="4" spans="1:9" ht="63.75" customHeight="1">
      <c r="A4" s="5410"/>
      <c r="B4" s="5411"/>
      <c r="C4" s="5411"/>
      <c r="D4" s="5411"/>
      <c r="E4" s="5411"/>
      <c r="F4" s="5411"/>
      <c r="G4" s="5411"/>
      <c r="H4" s="5411"/>
      <c r="I4" s="5412"/>
    </row>
    <row r="5" spans="1:9" ht="63.75" customHeight="1">
      <c r="A5" s="1080"/>
      <c r="I5" s="1081"/>
    </row>
    <row r="6" spans="1:9" ht="63.75" customHeight="1">
      <c r="A6" s="1080"/>
      <c r="I6" s="1081"/>
    </row>
    <row r="7" spans="1:9" ht="63.75" customHeight="1">
      <c r="A7" s="1080"/>
      <c r="I7" s="1081"/>
    </row>
    <row r="8" spans="1:9" ht="63.75" customHeight="1">
      <c r="A8" s="1080"/>
      <c r="I8" s="1081"/>
    </row>
    <row r="9" spans="1:9" ht="63.75" customHeight="1">
      <c r="A9" s="1080"/>
      <c r="I9" s="1081"/>
    </row>
    <row r="10" spans="1:9" ht="63.75" customHeight="1">
      <c r="A10" s="5413"/>
      <c r="B10" s="5405"/>
      <c r="C10" s="5405"/>
      <c r="D10" s="5405"/>
      <c r="E10" s="5405"/>
      <c r="F10" s="5405"/>
      <c r="G10" s="5405"/>
      <c r="H10" s="5405"/>
      <c r="I10" s="5406"/>
    </row>
    <row r="11" spans="1:9" ht="63.75" customHeight="1">
      <c r="A11" s="1082"/>
      <c r="B11" s="22"/>
      <c r="C11" s="22"/>
      <c r="D11" s="22"/>
      <c r="E11" s="22"/>
      <c r="F11" s="22"/>
      <c r="G11" s="22"/>
      <c r="H11" s="22"/>
      <c r="I11" s="1083"/>
    </row>
    <row r="12" spans="1:9" ht="63.75" customHeight="1">
      <c r="A12" s="1084"/>
      <c r="B12" s="22"/>
      <c r="C12" s="22"/>
      <c r="D12" s="22"/>
      <c r="E12" s="22"/>
      <c r="F12" s="22"/>
      <c r="G12" s="22"/>
      <c r="H12" s="22"/>
      <c r="I12" s="1083"/>
    </row>
    <row r="13" spans="1:9" ht="63.75" customHeight="1">
      <c r="A13" s="5413"/>
      <c r="B13" s="5405"/>
      <c r="C13" s="5405"/>
      <c r="D13" s="5405"/>
      <c r="E13" s="5405"/>
      <c r="F13" s="5405"/>
      <c r="G13" s="5405"/>
      <c r="H13" s="5405"/>
      <c r="I13" s="5406"/>
    </row>
    <row r="14" spans="1:9" ht="63.75" customHeight="1">
      <c r="A14" s="1082"/>
      <c r="B14" s="22"/>
      <c r="C14" s="22"/>
      <c r="D14" s="22"/>
      <c r="E14" s="22"/>
      <c r="F14" s="22"/>
      <c r="G14" s="22"/>
      <c r="H14" s="22"/>
      <c r="I14" s="1083"/>
    </row>
    <row r="15" spans="1:9" ht="63.75" customHeight="1">
      <c r="A15" s="1084"/>
      <c r="B15" s="22"/>
      <c r="C15" s="22"/>
      <c r="D15" s="22"/>
      <c r="E15" s="22"/>
      <c r="F15" s="22"/>
      <c r="G15" s="22"/>
      <c r="H15" s="22"/>
      <c r="I15" s="1083"/>
    </row>
    <row r="16" spans="1:9" ht="63.75" customHeight="1">
      <c r="A16" s="5404"/>
      <c r="B16" s="5405"/>
      <c r="C16" s="5405"/>
      <c r="D16" s="5405"/>
      <c r="E16" s="5405"/>
      <c r="F16" s="5405"/>
      <c r="G16" s="5405"/>
      <c r="H16" s="5405"/>
      <c r="I16" s="5406"/>
    </row>
    <row r="17" spans="1:9" ht="63.75" customHeight="1">
      <c r="A17" s="1084"/>
      <c r="B17" s="22"/>
      <c r="C17" s="22"/>
      <c r="D17" s="22"/>
      <c r="E17" s="22"/>
      <c r="F17" s="22"/>
      <c r="G17" s="22"/>
      <c r="H17" s="22"/>
      <c r="I17" s="1083"/>
    </row>
    <row r="18" spans="1:9" ht="63.75" customHeight="1">
      <c r="A18" s="1085"/>
      <c r="B18" s="1086"/>
      <c r="C18" s="1086"/>
      <c r="D18" s="1086"/>
      <c r="E18" s="1086"/>
      <c r="F18" s="1086"/>
      <c r="G18" s="1086"/>
      <c r="H18" s="1086"/>
      <c r="I18" s="1087"/>
    </row>
    <row r="19" spans="1:9" ht="63.75" customHeight="1">
      <c r="A19" s="5413"/>
      <c r="B19" s="5411"/>
      <c r="C19" s="5411"/>
      <c r="D19" s="5411"/>
      <c r="E19" s="5411"/>
      <c r="F19" s="5411"/>
      <c r="G19" s="5411"/>
      <c r="H19" s="5411"/>
      <c r="I19" s="5412"/>
    </row>
    <row r="20" spans="1:9" ht="63.75" customHeight="1">
      <c r="A20" s="1085"/>
      <c r="B20" s="1086"/>
      <c r="C20" s="1086"/>
      <c r="D20" s="1086"/>
      <c r="E20" s="1086"/>
      <c r="F20" s="1086"/>
      <c r="G20" s="1086"/>
      <c r="H20" s="1086"/>
      <c r="I20" s="1087"/>
    </row>
    <row r="21" spans="1:9" ht="63.75" customHeight="1">
      <c r="A21" s="1085"/>
      <c r="B21" s="1086"/>
      <c r="C21" s="1086"/>
      <c r="D21" s="1086"/>
      <c r="E21" s="1086"/>
      <c r="F21" s="1086"/>
      <c r="G21" s="1086"/>
      <c r="H21" s="1086"/>
      <c r="I21" s="1087"/>
    </row>
    <row r="22" spans="1:9" ht="63.75" customHeight="1">
      <c r="A22" s="5404"/>
      <c r="B22" s="5405"/>
      <c r="C22" s="5405"/>
      <c r="D22" s="5405"/>
      <c r="E22" s="5405"/>
      <c r="F22" s="5405"/>
      <c r="G22" s="5405"/>
      <c r="H22" s="5405"/>
      <c r="I22" s="5406"/>
    </row>
    <row r="23" spans="1:9" ht="63.75" customHeight="1">
      <c r="A23" s="1084"/>
      <c r="B23" s="22"/>
      <c r="C23" s="22"/>
      <c r="D23" s="22"/>
      <c r="E23" s="22"/>
      <c r="F23" s="22"/>
      <c r="G23" s="22"/>
      <c r="H23" s="22"/>
      <c r="I23" s="1083"/>
    </row>
    <row r="24" spans="1:9" ht="63.75" customHeight="1">
      <c r="A24" s="1084"/>
      <c r="B24" s="22"/>
      <c r="C24" s="22"/>
      <c r="D24" s="22"/>
      <c r="E24" s="22"/>
      <c r="F24" s="22"/>
      <c r="G24" s="22"/>
      <c r="H24" s="22"/>
      <c r="I24" s="1083"/>
    </row>
    <row r="25" spans="1:9" ht="63.75" customHeight="1">
      <c r="A25" s="1080"/>
      <c r="G25" s="20">
        <v>33</v>
      </c>
      <c r="I25" s="1081"/>
    </row>
    <row r="26" spans="1:9" ht="63.75" customHeight="1">
      <c r="A26" s="1080"/>
      <c r="G26" s="20">
        <v>35</v>
      </c>
      <c r="I26" s="1081"/>
    </row>
    <row r="27" spans="1:9" ht="63.75" customHeight="1">
      <c r="A27" s="1080"/>
      <c r="I27" s="1081"/>
    </row>
    <row r="28" spans="1:9" ht="63.75" customHeight="1">
      <c r="A28" s="1080"/>
      <c r="I28" s="1081"/>
    </row>
    <row r="29" spans="1:9" ht="63.75" customHeight="1">
      <c r="A29" s="1080"/>
      <c r="I29" s="1081"/>
    </row>
    <row r="30" spans="1:9" ht="63.75" customHeight="1">
      <c r="A30" s="1080"/>
      <c r="I30" s="1081"/>
    </row>
    <row r="31" spans="1:9" ht="63.75" customHeight="1">
      <c r="A31" s="1080"/>
      <c r="I31" s="1081"/>
    </row>
    <row r="32" spans="1:9" ht="63.75" customHeight="1">
      <c r="A32" s="5404"/>
      <c r="B32" s="5405"/>
      <c r="C32" s="5405"/>
      <c r="D32" s="5405"/>
      <c r="E32" s="5405"/>
      <c r="F32" s="5405"/>
      <c r="G32" s="5405"/>
      <c r="H32" s="5405"/>
      <c r="I32" s="5406"/>
    </row>
    <row r="33" spans="1:9" ht="63.75" customHeight="1">
      <c r="A33" s="5407"/>
      <c r="B33" s="5408"/>
      <c r="C33" s="5408"/>
      <c r="D33" s="5408"/>
      <c r="E33" s="5408"/>
      <c r="F33" s="5408"/>
      <c r="G33" s="5408"/>
      <c r="H33" s="5408"/>
      <c r="I33" s="5409"/>
    </row>
    <row r="34" spans="1:9" ht="63.75" customHeight="1">
      <c r="A34" s="1080"/>
      <c r="I34" s="1081"/>
    </row>
    <row r="35" spans="1:9" ht="63.75" customHeight="1">
      <c r="A35" s="1080"/>
      <c r="I35" s="1081"/>
    </row>
    <row r="36" spans="1:9" ht="63.75" customHeight="1" thickBot="1">
      <c r="A36" s="1088"/>
      <c r="B36" s="1089"/>
      <c r="C36" s="1089"/>
      <c r="D36" s="1089"/>
      <c r="E36" s="1089"/>
      <c r="F36" s="1089"/>
      <c r="G36" s="1089"/>
      <c r="H36" s="1089"/>
      <c r="I36" s="1090"/>
    </row>
    <row r="37" spans="1:9" ht="63.75" customHeight="1">
      <c r="A37" s="21"/>
      <c r="B37" s="22"/>
      <c r="C37" s="22"/>
      <c r="D37" s="22"/>
      <c r="E37" s="22"/>
      <c r="F37" s="22"/>
      <c r="G37" s="22"/>
      <c r="H37" s="22"/>
      <c r="I37" s="22"/>
    </row>
    <row r="38" spans="1:9" ht="63.75" customHeight="1">
      <c r="A38" s="21"/>
      <c r="B38" s="22"/>
      <c r="C38" s="22"/>
      <c r="D38" s="22"/>
      <c r="E38" s="22"/>
      <c r="F38" s="22"/>
      <c r="G38" s="22"/>
      <c r="H38" s="22"/>
      <c r="I38" s="22"/>
    </row>
    <row r="39" spans="1:9" ht="63.75" customHeight="1">
      <c r="A39" s="21"/>
      <c r="B39" s="22"/>
      <c r="C39" s="22"/>
      <c r="D39" s="22"/>
      <c r="E39" s="22"/>
      <c r="F39" s="22"/>
      <c r="G39" s="22"/>
      <c r="H39" s="4061">
        <v>45675</v>
      </c>
      <c r="I39" s="22"/>
    </row>
    <row r="40" spans="1:9" ht="63.75" customHeight="1">
      <c r="B40" s="22"/>
      <c r="C40" s="22"/>
      <c r="D40" s="22"/>
      <c r="E40" s="22"/>
      <c r="F40" s="22"/>
      <c r="G40" s="22"/>
      <c r="H40" s="22"/>
      <c r="I40" s="22"/>
    </row>
  </sheetData>
  <mergeCells count="8">
    <mergeCell ref="A32:I32"/>
    <mergeCell ref="A33:I33"/>
    <mergeCell ref="A4:I4"/>
    <mergeCell ref="A10:I10"/>
    <mergeCell ref="A13:I13"/>
    <mergeCell ref="A16:I16"/>
    <mergeCell ref="A19:I19"/>
    <mergeCell ref="A22:I22"/>
  </mergeCells>
  <phoneticPr fontId="347" type="noConversion"/>
  <printOptions horizontalCentered="1" verticalCentered="1"/>
  <pageMargins left="0" right="0" top="0" bottom="0.2" header="0" footer="0"/>
  <pageSetup paperSize="8" scale="31" fitToHeight="100"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B1A0C7"/>
  </sheetPr>
  <dimension ref="A1:J45"/>
  <sheetViews>
    <sheetView view="pageBreakPreview" topLeftCell="A3" zoomScale="70" zoomScaleNormal="100" zoomScaleSheetLayoutView="70" workbookViewId="0">
      <selection activeCell="C43" sqref="C43"/>
    </sheetView>
  </sheetViews>
  <sheetFormatPr defaultColWidth="8.85546875" defaultRowHeight="12.75"/>
  <cols>
    <col min="1" max="8" width="26" style="870" customWidth="1"/>
    <col min="9" max="16384" width="8.85546875" style="870"/>
  </cols>
  <sheetData>
    <row r="1" spans="1:9" ht="9.9499999999999993" customHeight="1"/>
    <row r="2" spans="1:9" ht="15.75">
      <c r="A2" s="869" t="str">
        <f>'Data Input'!A1&amp;" - "&amp;'Data Input'!B1</f>
        <v>PROGRAMME: - MARINA VILLAGE (PROGRAMME 1_TRIPLE BAY)</v>
      </c>
    </row>
    <row r="3" spans="1:9" ht="15.75">
      <c r="A3" s="869" t="str">
        <f>'Data Input'!A2&amp;" - "&amp;'Data Input'!B2</f>
        <v>PROGRAMME CODE: - 1TB01003</v>
      </c>
    </row>
    <row r="4" spans="1:9" ht="15.75">
      <c r="A4" s="869" t="str">
        <f>'Data Input'!A3&amp;" - "&amp;'Data Input'!B3</f>
        <v>ASSET NAME: - AMAALA YACHT CLUB</v>
      </c>
    </row>
    <row r="5" spans="1:9" ht="15.75">
      <c r="A5" s="869" t="str">
        <f>'Data Input'!A4&amp;" - "&amp;'Data Input'!B4</f>
        <v>ASSET CODE: - 1TB01003.01</v>
      </c>
    </row>
    <row r="6" spans="1:9" ht="15.75">
      <c r="A6" s="869" t="str">
        <f>'Data Input'!A7&amp;" - "&amp;'Data Input'!B7</f>
        <v>REPORT NO: - MONTHLY REPORT NO. 49</v>
      </c>
    </row>
    <row r="7" spans="1:9" ht="15.75">
      <c r="A7" s="869" t="str">
        <f>'Data Input'!A8&amp;" - "&amp;'Data Input'!B8</f>
        <v>REPORTING PERIOD: - OCTOBER 2026</v>
      </c>
    </row>
    <row r="8" spans="1:9" ht="8.25" customHeight="1">
      <c r="A8" s="993"/>
    </row>
    <row r="9" spans="1:9" ht="7.5" customHeight="1">
      <c r="A9" s="5416" t="s">
        <v>282</v>
      </c>
      <c r="B9" s="5417"/>
      <c r="C9" s="5417"/>
      <c r="D9" s="5417"/>
      <c r="E9" s="5417"/>
      <c r="F9" s="5417"/>
      <c r="G9" s="5417"/>
      <c r="H9" s="5418"/>
    </row>
    <row r="10" spans="1:9" ht="12.75" customHeight="1">
      <c r="A10" s="5419"/>
      <c r="B10" s="5420"/>
      <c r="C10" s="5420"/>
      <c r="D10" s="5420"/>
      <c r="E10" s="5420"/>
      <c r="F10" s="5420"/>
      <c r="G10" s="5420"/>
      <c r="H10" s="5421"/>
    </row>
    <row r="11" spans="1:9" ht="7.5" customHeight="1">
      <c r="A11" s="5422"/>
      <c r="B11" s="5423"/>
      <c r="C11" s="5423"/>
      <c r="D11" s="5423"/>
      <c r="E11" s="5423"/>
      <c r="F11" s="5423"/>
      <c r="G11" s="5423"/>
      <c r="H11" s="5424"/>
    </row>
    <row r="12" spans="1:9" ht="6.75" customHeight="1"/>
    <row r="13" spans="1:9" s="871" customFormat="1" ht="18.75" customHeight="1" thickBot="1">
      <c r="C13" s="994"/>
      <c r="F13" s="995"/>
      <c r="G13" s="5429" t="s">
        <v>283</v>
      </c>
      <c r="H13" s="5429"/>
    </row>
    <row r="14" spans="1:9" s="871" customFormat="1" ht="24.75" customHeight="1" thickBot="1">
      <c r="A14" s="996" t="str">
        <f>'Data Input'!A15&amp;" - "&amp;'Data Input'!B15</f>
        <v>EXECUTIVE SUMMARY  - EXECUTIVE SUMMARY DASHBOARD</v>
      </c>
      <c r="B14" s="997"/>
      <c r="C14" s="996"/>
      <c r="D14" s="997"/>
      <c r="E14" s="997"/>
      <c r="F14" s="998"/>
      <c r="G14" s="5414">
        <v>2</v>
      </c>
      <c r="H14" s="5415"/>
    </row>
    <row r="15" spans="1:9" s="871" customFormat="1" ht="24.75" customHeight="1" thickBot="1">
      <c r="A15" s="996" t="str">
        <f>'Data Input'!A16&amp;" - "&amp;'Data Input'!B16</f>
        <v>EXECUTIVE SUMMARY  - STAKEHOLDER EXECUTIVE REVIEW</v>
      </c>
      <c r="B15" s="997"/>
      <c r="C15" s="996"/>
      <c r="D15" s="997"/>
      <c r="E15" s="997"/>
      <c r="F15" s="998"/>
      <c r="G15" s="5414">
        <v>3</v>
      </c>
      <c r="H15" s="5415"/>
    </row>
    <row r="16" spans="1:9" s="871" customFormat="1" ht="24.75" customHeight="1" thickBot="1">
      <c r="A16" s="996" t="str">
        <f>'Data Input'!A17&amp;" - "&amp;'Data Input'!B17</f>
        <v>EXECUTIVE SUMMARY  - EARLY WARNINGS</v>
      </c>
      <c r="B16" s="997"/>
      <c r="C16" s="996"/>
      <c r="D16" s="997"/>
      <c r="E16" s="997"/>
      <c r="F16" s="998"/>
      <c r="G16" s="5414">
        <v>5</v>
      </c>
      <c r="H16" s="5415"/>
      <c r="I16" s="871" t="s">
        <v>5023</v>
      </c>
    </row>
    <row r="17" spans="1:10" s="871" customFormat="1" ht="24.75" customHeight="1" thickBot="1">
      <c r="A17" s="996" t="str">
        <f>'Data Input'!A18&amp;" - "&amp;'Data Input'!B18</f>
        <v>EXECUTIVE SUMMARY  - ACC</v>
      </c>
      <c r="B17" s="997"/>
      <c r="C17" s="996"/>
      <c r="D17" s="997"/>
      <c r="E17" s="997"/>
      <c r="F17" s="998"/>
      <c r="G17" s="5414">
        <v>8</v>
      </c>
      <c r="H17" s="5415"/>
      <c r="I17" s="871" t="s">
        <v>5024</v>
      </c>
    </row>
    <row r="18" spans="1:10" s="871" customFormat="1" ht="24.75" customHeight="1" thickBot="1">
      <c r="A18" s="996" t="s">
        <v>3982</v>
      </c>
      <c r="B18" s="997"/>
      <c r="C18" s="996"/>
      <c r="D18" s="997"/>
      <c r="E18" s="997"/>
      <c r="F18" s="998"/>
      <c r="G18" s="5414">
        <v>16</v>
      </c>
      <c r="H18" s="5415"/>
    </row>
    <row r="19" spans="1:10" s="871" customFormat="1" ht="24.75" customHeight="1" thickBot="1">
      <c r="A19" s="996" t="s">
        <v>3983</v>
      </c>
      <c r="B19" s="997"/>
      <c r="C19" s="996"/>
      <c r="D19" s="997"/>
      <c r="E19" s="997"/>
      <c r="F19" s="998"/>
      <c r="G19" s="5414">
        <v>17</v>
      </c>
      <c r="H19" s="5415"/>
    </row>
    <row r="20" spans="1:10" s="871" customFormat="1" ht="24.75" customHeight="1" thickBot="1">
      <c r="A20" s="996" t="str">
        <f>'Data Input'!A19&amp;" - "&amp;'Data Input'!B19</f>
        <v>SCHEDULE A - LEVEL 1 - EXECUTIVE SUMMARY</v>
      </c>
      <c r="B20" s="997"/>
      <c r="C20" s="996"/>
      <c r="D20" s="997"/>
      <c r="E20" s="997"/>
      <c r="F20" s="998"/>
      <c r="G20" s="5414">
        <v>18</v>
      </c>
      <c r="H20" s="5415"/>
    </row>
    <row r="21" spans="1:10" s="871" customFormat="1" ht="24.75" customHeight="1" thickBot="1">
      <c r="A21" s="996" t="str">
        <f>'Data Input'!A20&amp;" - "&amp;'Data Input'!B20</f>
        <v>SCHEDULE B - LEVEL 2 - DETAILED SUMMARY</v>
      </c>
      <c r="B21" s="997"/>
      <c r="C21" s="996"/>
      <c r="D21" s="999"/>
      <c r="E21" s="997"/>
      <c r="F21" s="1000"/>
      <c r="G21" s="5414">
        <v>19</v>
      </c>
      <c r="H21" s="5415"/>
      <c r="I21" s="871" t="s">
        <v>5025</v>
      </c>
    </row>
    <row r="22" spans="1:10" s="871" customFormat="1" ht="24.75" customHeight="1" thickBot="1">
      <c r="A22" s="996" t="str">
        <f>'Data Input'!A21&amp;" - "&amp;'Data Input'!B21</f>
        <v>SCHEDULE C - CHANGE MANAGEMENT TRACKER</v>
      </c>
      <c r="B22" s="997"/>
      <c r="C22" s="996"/>
      <c r="D22" s="997"/>
      <c r="E22" s="997"/>
      <c r="F22" s="1000"/>
      <c r="G22" s="5414">
        <v>23</v>
      </c>
      <c r="H22" s="5415"/>
      <c r="I22" s="871" t="s">
        <v>5026</v>
      </c>
    </row>
    <row r="23" spans="1:10" s="871" customFormat="1" ht="24.75" customHeight="1" thickBot="1">
      <c r="A23" s="996" t="str">
        <f>'Data Input'!A22&amp;" - "&amp;'Data Input'!B22</f>
        <v>SCHEDULE D - RISK AND OPPORTUNITIES</v>
      </c>
      <c r="B23" s="997"/>
      <c r="C23" s="996"/>
      <c r="D23" s="997"/>
      <c r="E23" s="997"/>
      <c r="F23" s="1000"/>
      <c r="G23" s="5414">
        <v>31</v>
      </c>
      <c r="H23" s="5415"/>
    </row>
    <row r="24" spans="1:10" s="871" customFormat="1" ht="24.75" customHeight="1" thickBot="1">
      <c r="A24" s="996" t="str">
        <f>'Data Input'!A23&amp;" - "&amp;'Data Input'!B23</f>
        <v>SCHEDULE E - CLAIMS AND DISPUTES</v>
      </c>
      <c r="B24" s="997"/>
      <c r="C24" s="996"/>
      <c r="D24" s="997"/>
      <c r="E24" s="997"/>
      <c r="F24" s="998"/>
      <c r="G24" s="5414">
        <v>32</v>
      </c>
      <c r="H24" s="5415"/>
    </row>
    <row r="25" spans="1:10" s="871" customFormat="1" ht="24.75" customHeight="1" thickBot="1">
      <c r="A25" s="996" t="str">
        <f>'Data Input'!A24&amp;" - "&amp;'Data Input'!B24</f>
        <v>SCHEDULE F - PROVISIONAL SUMS</v>
      </c>
      <c r="B25" s="997"/>
      <c r="C25" s="996"/>
      <c r="D25" s="997"/>
      <c r="E25" s="997"/>
      <c r="F25" s="998"/>
      <c r="G25" s="5414">
        <v>33</v>
      </c>
      <c r="H25" s="5415"/>
    </row>
    <row r="26" spans="1:10" s="871" customFormat="1" ht="24.75" customHeight="1" thickBot="1">
      <c r="A26" s="996" t="str">
        <f>'Data Input'!A25&amp;" - "&amp;'Data Input'!B25</f>
        <v>SCHEDULE G - BONDS AND INSURANCE TRACKING  LOG</v>
      </c>
      <c r="B26" s="997"/>
      <c r="C26" s="996"/>
      <c r="D26" s="997"/>
      <c r="E26" s="997"/>
      <c r="F26" s="997"/>
      <c r="G26" s="5414">
        <v>34</v>
      </c>
      <c r="H26" s="5415"/>
      <c r="I26" s="871" t="s">
        <v>5027</v>
      </c>
    </row>
    <row r="27" spans="1:10" s="871" customFormat="1" ht="24.75" customHeight="1" thickBot="1">
      <c r="A27" s="996" t="str">
        <f>'Data Input'!A26&amp;" - "&amp;'Data Input'!B26</f>
        <v>SCHEDULE H - INVOICE AND PAYMENT TRACKING LOG</v>
      </c>
      <c r="B27" s="997"/>
      <c r="C27" s="996"/>
      <c r="D27" s="997"/>
      <c r="E27" s="997"/>
      <c r="F27" s="997"/>
      <c r="G27" s="5414">
        <v>37</v>
      </c>
      <c r="H27" s="5415"/>
    </row>
    <row r="28" spans="1:10" ht="18.75" thickBot="1">
      <c r="A28" s="996" t="str">
        <f>'Data Input'!A27&amp;" - "&amp;'Data Input'!B27</f>
        <v>SCHEDULE I - CASH FLOW</v>
      </c>
      <c r="B28" s="997"/>
      <c r="C28" s="997"/>
      <c r="D28" s="997"/>
      <c r="E28" s="997"/>
      <c r="F28" s="997"/>
      <c r="G28" s="5414">
        <v>65</v>
      </c>
      <c r="H28" s="5415"/>
      <c r="I28" s="871"/>
      <c r="J28" s="871"/>
    </row>
    <row r="29" spans="1:10" ht="18.75" thickBot="1">
      <c r="A29" s="996" t="str">
        <f>'Data Input'!A28&amp;" - "&amp;'Data Input'!B28</f>
        <v>SCHEDULE J - BUDGET TRANSFER TRACKER</v>
      </c>
      <c r="B29" s="997"/>
      <c r="C29" s="997"/>
      <c r="D29" s="997"/>
      <c r="E29" s="997"/>
      <c r="F29" s="997"/>
      <c r="G29" s="5414">
        <v>66</v>
      </c>
      <c r="H29" s="5415"/>
      <c r="I29" s="871"/>
      <c r="J29" s="871"/>
    </row>
    <row r="30" spans="1:10" ht="18.75" thickBot="1">
      <c r="A30" s="996" t="str">
        <f>'Data Input'!A29&amp;" - "&amp;'Data Input'!B29</f>
        <v>SCHEDULE K - PROCUREMENT STATUS</v>
      </c>
      <c r="B30" s="997"/>
      <c r="C30" s="997"/>
      <c r="D30" s="997"/>
      <c r="E30" s="997"/>
      <c r="F30" s="997"/>
      <c r="G30" s="5414">
        <v>85</v>
      </c>
      <c r="H30" s="5415"/>
      <c r="I30" s="871"/>
      <c r="J30" s="871"/>
    </row>
    <row r="32" spans="1:10">
      <c r="A32" s="872" t="s">
        <v>49</v>
      </c>
    </row>
    <row r="33" spans="1:8">
      <c r="A33" s="870" t="str">
        <f>'Data Input'!A32&amp;" - "&amp;'Data Input'!C32</f>
        <v>Head of Commercial: - Paul Donaghy</v>
      </c>
    </row>
    <row r="34" spans="1:8">
      <c r="A34" s="870" t="str">
        <f>'Data Input'!A33&amp;" - "&amp;'Data Input'!C33</f>
        <v>Executive Commercial Director: - Shane Fairfield</v>
      </c>
    </row>
    <row r="35" spans="1:8">
      <c r="A35" s="870" t="str">
        <f>'Data Input'!A34&amp;" - "&amp;'Data Input'!C34</f>
        <v>Senior Commercial Director: - Michael Hansen</v>
      </c>
    </row>
    <row r="36" spans="1:8">
      <c r="A36" s="870" t="str">
        <f>'Data Input'!A35&amp;" - "&amp;'Data Input'!C35</f>
        <v>Associate Commercial Director: - Blake Lombard</v>
      </c>
    </row>
    <row r="37" spans="1:8">
      <c r="A37" s="870" t="str">
        <f>'Data Input'!A37&amp;" - "&amp;'Data Input'!C37</f>
        <v>Senior Project Director: - Christopher Burke</v>
      </c>
    </row>
    <row r="39" spans="1:8">
      <c r="A39" s="5425" t="s">
        <v>284</v>
      </c>
      <c r="B39" s="5425"/>
      <c r="D39" s="5425" t="s">
        <v>285</v>
      </c>
      <c r="E39" s="5425"/>
      <c r="G39" s="5425" t="s">
        <v>286</v>
      </c>
      <c r="H39" s="5425"/>
    </row>
    <row r="40" spans="1:8">
      <c r="A40" s="5425"/>
      <c r="B40" s="5425"/>
      <c r="D40" s="5425"/>
      <c r="E40" s="5425"/>
      <c r="G40" s="5425"/>
      <c r="H40" s="5425"/>
    </row>
    <row r="41" spans="1:8">
      <c r="A41" s="5427"/>
      <c r="B41" s="5427"/>
      <c r="D41" s="5427"/>
      <c r="E41" s="5427"/>
      <c r="G41" s="5427"/>
      <c r="H41" s="5427"/>
    </row>
    <row r="42" spans="1:8">
      <c r="A42" s="5427"/>
      <c r="B42" s="5427"/>
      <c r="D42" s="5427"/>
      <c r="E42" s="5427"/>
      <c r="G42" s="5427"/>
      <c r="H42" s="5427"/>
    </row>
    <row r="43" spans="1:8">
      <c r="A43" s="5427"/>
      <c r="B43" s="5427"/>
      <c r="D43" s="5427"/>
      <c r="E43" s="5427"/>
      <c r="G43" s="5427"/>
      <c r="H43" s="5427"/>
    </row>
    <row r="44" spans="1:8">
      <c r="A44" s="5426" t="str">
        <f>'Data Input'!A47&amp;" - "&amp;'Data Input'!C47</f>
        <v>Asst. Manager - Quantity Surveying: - Jose Chavenia</v>
      </c>
      <c r="B44" s="5426"/>
      <c r="D44" s="5428" t="str">
        <f>'Data Input'!A45&amp;" - "&amp;'Data Input'!C45</f>
        <v>Associate Commercial Director - Blake Lombard</v>
      </c>
      <c r="E44" s="5428"/>
      <c r="G44" s="5428" t="str">
        <f>'Data Input'!A34&amp;" - "&amp;'Data Input'!C34</f>
        <v>Senior Commercial Director: - Michael Hansen</v>
      </c>
      <c r="H44" s="5428"/>
    </row>
    <row r="45" spans="1:8">
      <c r="A45" s="5426"/>
      <c r="B45" s="5426"/>
      <c r="D45" s="5428"/>
      <c r="E45" s="5428"/>
      <c r="G45" s="5428"/>
      <c r="H45" s="5428"/>
    </row>
  </sheetData>
  <mergeCells count="28">
    <mergeCell ref="A9:H11"/>
    <mergeCell ref="A39:B40"/>
    <mergeCell ref="A44:B45"/>
    <mergeCell ref="A41:B43"/>
    <mergeCell ref="D39:E40"/>
    <mergeCell ref="D41:E43"/>
    <mergeCell ref="D44:E45"/>
    <mergeCell ref="G39:H40"/>
    <mergeCell ref="G41:H43"/>
    <mergeCell ref="G44:H45"/>
    <mergeCell ref="G13:H13"/>
    <mergeCell ref="G14:H14"/>
    <mergeCell ref="G20:H20"/>
    <mergeCell ref="G21:H21"/>
    <mergeCell ref="G22:H22"/>
    <mergeCell ref="G17:H17"/>
    <mergeCell ref="G15:H15"/>
    <mergeCell ref="G16:H16"/>
    <mergeCell ref="G28:H28"/>
    <mergeCell ref="G30:H30"/>
    <mergeCell ref="G23:H23"/>
    <mergeCell ref="G24:H24"/>
    <mergeCell ref="G25:H25"/>
    <mergeCell ref="G26:H26"/>
    <mergeCell ref="G27:H27"/>
    <mergeCell ref="G29:H29"/>
    <mergeCell ref="G18:H18"/>
    <mergeCell ref="G19:H19"/>
  </mergeCells>
  <phoneticPr fontId="347" type="noConversion"/>
  <printOptions horizontalCentered="1" verticalCentered="1"/>
  <pageMargins left="0.51" right="0" top="0.75" bottom="0.74803149606299202" header="0.31496062992126" footer="0.31496062992126"/>
  <pageSetup paperSize="8" scale="94" fitToHeight="4" orientation="landscape" useFirstPageNumber="1" r:id="rId1"/>
  <headerFooter>
    <oddHeader>&amp;C&amp;"Calibri,Bold"&amp;18MONTHLY REPORT - INDEX&amp;R&amp;G</oddHeader>
    <oddFooter>&amp;L1TB.01.003.01 - AYC 
MARCH'26 REPORT&amp;C&amp;A&amp;RPage &amp;P of &amp;N</oddFooter>
  </headerFooter>
  <legacyDrawingHF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E4B7C-5E77-4ACC-ACC2-5B3C35255F58}">
  <sheetPr codeName="Sheet5">
    <tabColor theme="7" tint="0.79998168889431442"/>
  </sheetPr>
  <dimension ref="B1:AO338"/>
  <sheetViews>
    <sheetView showGridLines="0" tabSelected="1" view="pageBreakPreview" topLeftCell="A29" zoomScale="60" zoomScaleNormal="80" workbookViewId="0">
      <selection activeCell="G208" sqref="G208"/>
    </sheetView>
  </sheetViews>
  <sheetFormatPr defaultColWidth="1.5703125" defaultRowHeight="12.75" outlineLevelRow="1"/>
  <cols>
    <col min="1" max="3" width="1.5703125" style="1745"/>
    <col min="4" max="4" width="85" style="1745" customWidth="1"/>
    <col min="5" max="9" width="31.42578125" style="1786" customWidth="1"/>
    <col min="10" max="11" width="1.5703125" style="1786"/>
    <col min="12" max="12" width="1.5703125" style="1745"/>
    <col min="13" max="13" width="62.85546875" style="1745" customWidth="1"/>
    <col min="14" max="18" width="28.42578125" style="1786" customWidth="1"/>
    <col min="19" max="19" width="1.5703125" style="1745"/>
    <col min="20" max="20" width="1" style="1745" customWidth="1"/>
    <col min="21" max="21" width="47.85546875" style="1745" customWidth="1"/>
    <col min="22" max="26" width="30.5703125" style="1786" customWidth="1"/>
    <col min="27" max="28" width="1.5703125" style="1745"/>
    <col min="29" max="31" width="3" style="1745" bestFit="1" customWidth="1"/>
    <col min="32" max="33" width="1.5703125" style="1745"/>
    <col min="34" max="34" width="24" style="1745" customWidth="1"/>
    <col min="35" max="16384" width="1.5703125" style="1745"/>
  </cols>
  <sheetData>
    <row r="1" spans="2:27" s="1740" customFormat="1"/>
    <row r="2" spans="2:27" ht="5.25" customHeight="1">
      <c r="B2" s="1741"/>
      <c r="C2" s="1741"/>
      <c r="D2" s="1741"/>
      <c r="E2" s="1742"/>
      <c r="F2" s="1742"/>
      <c r="G2" s="1742"/>
      <c r="H2" s="1742"/>
      <c r="I2" s="1742"/>
      <c r="J2" s="1742"/>
      <c r="K2" s="1742"/>
      <c r="L2" s="1743"/>
      <c r="M2" s="1743"/>
      <c r="N2" s="1744"/>
      <c r="O2" s="1744"/>
      <c r="P2" s="1744"/>
      <c r="Q2" s="1744"/>
      <c r="R2" s="1744"/>
      <c r="S2" s="1743"/>
      <c r="T2" s="1741"/>
      <c r="U2" s="1741"/>
      <c r="V2" s="1742"/>
      <c r="W2" s="1742"/>
      <c r="X2" s="1742"/>
      <c r="Y2" s="1742"/>
      <c r="Z2" s="1742"/>
    </row>
    <row r="3" spans="2:27" ht="24.75" customHeight="1" outlineLevel="1">
      <c r="B3" s="1741"/>
      <c r="C3" s="1746"/>
      <c r="D3" s="5449" t="s">
        <v>329</v>
      </c>
      <c r="E3" s="5449"/>
      <c r="F3" s="5449"/>
      <c r="G3" s="5449"/>
      <c r="H3" s="5449"/>
      <c r="I3" s="5449"/>
      <c r="J3" s="5449"/>
      <c r="K3" s="5449"/>
      <c r="L3" s="5449"/>
      <c r="M3" s="5449"/>
      <c r="N3" s="5449"/>
      <c r="O3" s="5449"/>
      <c r="P3" s="5449"/>
      <c r="Q3" s="5449"/>
      <c r="R3" s="5449"/>
      <c r="S3" s="5449"/>
      <c r="T3" s="5449"/>
      <c r="U3" s="5449"/>
      <c r="V3" s="5449"/>
      <c r="W3" s="5449"/>
      <c r="X3" s="5449"/>
      <c r="Y3" s="5449"/>
      <c r="Z3" s="5449"/>
      <c r="AA3" s="1747"/>
    </row>
    <row r="4" spans="2:27" ht="5.25" customHeight="1" outlineLevel="1">
      <c r="B4" s="1741"/>
      <c r="C4" s="1741"/>
      <c r="D4" s="1741"/>
      <c r="E4" s="1748"/>
      <c r="F4" s="1748"/>
      <c r="G4" s="1748"/>
      <c r="H4" s="1748"/>
      <c r="I4" s="1748"/>
      <c r="J4" s="1748"/>
      <c r="K4" s="1748"/>
      <c r="L4" s="1749"/>
      <c r="M4" s="1749"/>
      <c r="N4" s="1750"/>
      <c r="O4" s="1750"/>
      <c r="P4" s="1750"/>
      <c r="Q4" s="1750"/>
      <c r="R4" s="1750"/>
      <c r="S4" s="1749"/>
      <c r="T4" s="1741"/>
      <c r="U4" s="1741"/>
      <c r="V4" s="1748"/>
      <c r="W4" s="1748"/>
      <c r="X4" s="1748"/>
      <c r="Y4" s="1748"/>
      <c r="Z4" s="1748"/>
    </row>
    <row r="5" spans="2:27" outlineLevel="1">
      <c r="B5" s="1741"/>
      <c r="C5" s="1741"/>
      <c r="D5" s="1751"/>
      <c r="E5" s="1752"/>
      <c r="F5" s="1752"/>
      <c r="G5" s="1752"/>
      <c r="H5" s="1752"/>
      <c r="I5" s="1752"/>
      <c r="J5" s="1752"/>
      <c r="K5" s="1752"/>
      <c r="L5" s="1752"/>
      <c r="M5" s="1752"/>
      <c r="N5" s="1752"/>
      <c r="O5" s="1752"/>
      <c r="P5" s="1752"/>
      <c r="Q5" s="1752"/>
      <c r="R5" s="1752"/>
      <c r="S5" s="1752"/>
      <c r="T5" s="1752"/>
      <c r="U5" s="1752"/>
      <c r="V5" s="1752"/>
      <c r="W5" s="1752"/>
      <c r="X5" s="1752"/>
      <c r="Y5" s="1752"/>
      <c r="Z5" s="1752"/>
    </row>
    <row r="6" spans="2:27" ht="6.75" customHeight="1" outlineLevel="1">
      <c r="B6" s="1741"/>
      <c r="C6" s="1741"/>
      <c r="D6" s="1753"/>
      <c r="E6" s="1748"/>
      <c r="F6" s="1748"/>
      <c r="G6" s="1748"/>
      <c r="H6" s="1748"/>
      <c r="I6" s="1748"/>
      <c r="J6" s="1748"/>
      <c r="K6" s="1748"/>
      <c r="L6" s="1749"/>
      <c r="M6" s="1753"/>
      <c r="N6" s="1748"/>
      <c r="O6" s="1748"/>
      <c r="P6" s="1748"/>
      <c r="Q6" s="1748"/>
      <c r="R6" s="1748"/>
      <c r="T6" s="1741"/>
      <c r="U6" s="1753"/>
      <c r="V6" s="1748"/>
      <c r="W6" s="1748"/>
      <c r="X6" s="1748"/>
      <c r="Y6" s="1748"/>
      <c r="Z6" s="1748"/>
    </row>
    <row r="7" spans="2:27" ht="9.1999999999999993" customHeight="1" outlineLevel="1">
      <c r="B7" s="1741"/>
      <c r="C7" s="1741"/>
      <c r="D7" s="1754"/>
      <c r="E7" s="1755"/>
      <c r="F7" s="1755"/>
      <c r="G7" s="1755"/>
      <c r="H7" s="1755"/>
      <c r="I7" s="1755"/>
      <c r="J7" s="1755"/>
      <c r="K7" s="1755"/>
      <c r="L7" s="1756"/>
      <c r="M7" s="1757"/>
      <c r="N7" s="1758"/>
      <c r="O7" s="1758"/>
      <c r="P7" s="1758"/>
      <c r="Q7" s="1758"/>
      <c r="R7" s="1758"/>
      <c r="S7" s="1757"/>
      <c r="T7" s="1759"/>
      <c r="U7" s="1754"/>
      <c r="V7" s="1755"/>
      <c r="W7" s="1755"/>
      <c r="X7" s="1755"/>
      <c r="Y7" s="1755"/>
      <c r="Z7" s="1755"/>
    </row>
    <row r="8" spans="2:27" ht="9.1999999999999993" customHeight="1" outlineLevel="1">
      <c r="B8" s="1741"/>
      <c r="C8" s="1741"/>
      <c r="D8" s="1754"/>
      <c r="E8" s="1755"/>
      <c r="F8" s="1755"/>
      <c r="G8" s="1755"/>
      <c r="H8" s="1755"/>
      <c r="I8" s="1755"/>
      <c r="J8" s="1755"/>
      <c r="K8" s="1755"/>
      <c r="L8" s="1756"/>
      <c r="M8" s="1757"/>
      <c r="N8" s="1758"/>
      <c r="O8" s="1758"/>
      <c r="P8" s="1758"/>
      <c r="Q8" s="1758"/>
      <c r="R8" s="1758"/>
      <c r="S8" s="1757"/>
      <c r="T8" s="1759"/>
      <c r="U8" s="1754"/>
      <c r="V8" s="1755"/>
      <c r="W8" s="1755"/>
      <c r="X8" s="1755"/>
      <c r="Y8" s="1755"/>
      <c r="Z8" s="1755"/>
    </row>
    <row r="9" spans="2:27" ht="9.1999999999999993" customHeight="1" outlineLevel="1">
      <c r="B9" s="1741"/>
      <c r="C9" s="1741"/>
      <c r="D9" s="1754"/>
      <c r="E9" s="1755"/>
      <c r="F9" s="1755"/>
      <c r="G9" s="1755"/>
      <c r="H9" s="1755"/>
      <c r="I9" s="1755"/>
      <c r="J9" s="1755"/>
      <c r="K9" s="1755"/>
      <c r="L9" s="1756"/>
      <c r="M9" s="1757"/>
      <c r="N9" s="1758"/>
      <c r="O9" s="1758"/>
      <c r="P9" s="1758"/>
      <c r="Q9" s="1758"/>
      <c r="R9" s="1758"/>
      <c r="S9" s="1757"/>
      <c r="T9" s="1759"/>
      <c r="U9" s="1754"/>
      <c r="V9" s="1755"/>
      <c r="W9" s="1755"/>
      <c r="X9" s="1755"/>
      <c r="Y9" s="1755"/>
      <c r="Z9" s="1755"/>
    </row>
    <row r="10" spans="2:27" ht="9.1999999999999993" customHeight="1" outlineLevel="1">
      <c r="B10" s="1741"/>
      <c r="C10" s="1741"/>
      <c r="D10" s="1754"/>
      <c r="E10" s="1755"/>
      <c r="F10" s="1755"/>
      <c r="G10" s="1755"/>
      <c r="H10" s="1755"/>
      <c r="I10" s="1755"/>
      <c r="J10" s="1755"/>
      <c r="K10" s="1755"/>
      <c r="L10" s="1756"/>
      <c r="M10" s="1757"/>
      <c r="N10" s="1758"/>
      <c r="O10" s="1758"/>
      <c r="P10" s="1758"/>
      <c r="Q10" s="1758"/>
      <c r="R10" s="1758"/>
      <c r="S10" s="1757"/>
      <c r="T10" s="1759"/>
      <c r="U10" s="1754"/>
      <c r="V10" s="1755"/>
      <c r="W10" s="1755"/>
      <c r="X10" s="1755"/>
      <c r="Y10" s="1755"/>
      <c r="Z10" s="1755"/>
    </row>
    <row r="11" spans="2:27" ht="9.1999999999999993" customHeight="1" outlineLevel="1">
      <c r="B11" s="1741"/>
      <c r="C11" s="1741"/>
      <c r="D11" s="1754"/>
      <c r="E11" s="1755"/>
      <c r="F11" s="1755"/>
      <c r="G11" s="1755"/>
      <c r="H11" s="1755"/>
      <c r="I11" s="1755"/>
      <c r="J11" s="1755"/>
      <c r="K11" s="1755"/>
      <c r="L11" s="1756"/>
      <c r="M11" s="1757"/>
      <c r="N11" s="1758"/>
      <c r="O11" s="1758"/>
      <c r="P11" s="1758"/>
      <c r="Q11" s="1758"/>
      <c r="R11" s="1758"/>
      <c r="S11" s="1757"/>
      <c r="T11" s="1759"/>
      <c r="U11" s="1754"/>
      <c r="V11" s="1755"/>
      <c r="W11" s="1755"/>
      <c r="X11" s="1755"/>
      <c r="Y11" s="1755"/>
      <c r="Z11" s="1755"/>
    </row>
    <row r="12" spans="2:27" ht="9.1999999999999993" customHeight="1" outlineLevel="1">
      <c r="B12" s="1741"/>
      <c r="C12" s="1741"/>
      <c r="D12" s="1754"/>
      <c r="E12" s="1755"/>
      <c r="F12" s="1755"/>
      <c r="G12" s="1755"/>
      <c r="H12" s="1755"/>
      <c r="I12" s="1755"/>
      <c r="J12" s="1755"/>
      <c r="K12" s="1755"/>
      <c r="L12" s="1756"/>
      <c r="M12" s="1757"/>
      <c r="N12" s="1758"/>
      <c r="O12" s="1758"/>
      <c r="P12" s="1758"/>
      <c r="Q12" s="1758"/>
      <c r="R12" s="1758"/>
      <c r="S12" s="1757"/>
      <c r="T12" s="1759"/>
      <c r="U12" s="1754"/>
      <c r="V12" s="1755"/>
      <c r="W12" s="1755"/>
      <c r="X12" s="1755"/>
      <c r="Y12" s="1755"/>
      <c r="Z12" s="1755"/>
    </row>
    <row r="13" spans="2:27" ht="9.1999999999999993" customHeight="1" outlineLevel="1">
      <c r="B13" s="1741"/>
      <c r="C13" s="1741"/>
      <c r="D13" s="1754"/>
      <c r="E13" s="1755"/>
      <c r="F13" s="1755"/>
      <c r="G13" s="1755"/>
      <c r="H13" s="1755"/>
      <c r="I13" s="1755"/>
      <c r="J13" s="1755"/>
      <c r="K13" s="1755"/>
      <c r="L13" s="1756"/>
      <c r="M13" s="1757"/>
      <c r="N13" s="1758"/>
      <c r="O13" s="1758"/>
      <c r="P13" s="1758"/>
      <c r="Q13" s="1758"/>
      <c r="R13" s="1758"/>
      <c r="S13" s="1757"/>
      <c r="T13" s="1759"/>
      <c r="U13" s="1754"/>
      <c r="V13" s="1755"/>
      <c r="W13" s="1755"/>
      <c r="X13" s="1755"/>
      <c r="Y13" s="1755"/>
      <c r="Z13" s="1755"/>
    </row>
    <row r="14" spans="2:27" ht="9.1999999999999993" customHeight="1" outlineLevel="1">
      <c r="B14" s="1741"/>
      <c r="C14" s="1741"/>
      <c r="D14" s="1754"/>
      <c r="E14" s="1755"/>
      <c r="F14" s="1755"/>
      <c r="G14" s="1755"/>
      <c r="H14" s="1755"/>
      <c r="I14" s="1755"/>
      <c r="J14" s="1755"/>
      <c r="K14" s="1755"/>
      <c r="L14" s="1756"/>
      <c r="M14" s="1757"/>
      <c r="N14" s="1758"/>
      <c r="O14" s="1758"/>
      <c r="P14" s="1758"/>
      <c r="Q14" s="1758"/>
      <c r="R14" s="1758"/>
      <c r="S14" s="1757"/>
      <c r="T14" s="1759"/>
      <c r="U14" s="1754"/>
      <c r="V14" s="1755"/>
      <c r="W14" s="1755"/>
      <c r="X14" s="1755"/>
      <c r="Y14" s="1755"/>
      <c r="Z14" s="1755"/>
    </row>
    <row r="15" spans="2:27" ht="9.1999999999999993" customHeight="1" outlineLevel="1">
      <c r="D15" s="1754"/>
      <c r="E15" s="1755"/>
      <c r="F15" s="1755"/>
      <c r="G15" s="1755"/>
      <c r="H15" s="1755"/>
      <c r="I15" s="1755"/>
      <c r="J15" s="1755"/>
      <c r="K15" s="1755"/>
      <c r="L15" s="1757"/>
      <c r="M15" s="1757"/>
      <c r="N15" s="1758"/>
      <c r="O15" s="1758"/>
      <c r="P15" s="1758"/>
      <c r="Q15" s="1758"/>
      <c r="R15" s="1758"/>
      <c r="S15" s="1757"/>
      <c r="T15" s="1757"/>
      <c r="U15" s="1754"/>
      <c r="V15" s="1755"/>
      <c r="W15" s="1755"/>
      <c r="X15" s="1755"/>
      <c r="Y15" s="1755"/>
      <c r="Z15" s="1755"/>
    </row>
    <row r="16" spans="2:27" ht="9.1999999999999993" customHeight="1" outlineLevel="1">
      <c r="D16" s="1754"/>
      <c r="E16" s="1755"/>
      <c r="F16" s="1755"/>
      <c r="G16" s="1755"/>
      <c r="H16" s="1755"/>
      <c r="I16" s="1755"/>
      <c r="J16" s="1755"/>
      <c r="K16" s="1755"/>
      <c r="L16" s="1756"/>
      <c r="M16" s="1757"/>
      <c r="N16" s="1758"/>
      <c r="O16" s="1758"/>
      <c r="P16" s="1758"/>
      <c r="Q16" s="1758"/>
      <c r="R16" s="1758"/>
      <c r="S16" s="1757"/>
      <c r="T16" s="1757"/>
      <c r="U16" s="1754"/>
      <c r="V16" s="1755"/>
      <c r="W16" s="1755"/>
      <c r="X16" s="1755"/>
      <c r="Y16" s="1755"/>
      <c r="Z16" s="1755"/>
    </row>
    <row r="17" spans="2:34" ht="9.1999999999999993" customHeight="1" outlineLevel="1">
      <c r="D17" s="1754"/>
      <c r="E17" s="1755"/>
      <c r="F17" s="1755"/>
      <c r="G17" s="1755"/>
      <c r="H17" s="1755"/>
      <c r="I17" s="1755"/>
      <c r="J17" s="1755"/>
      <c r="K17" s="1755"/>
      <c r="L17" s="1757"/>
      <c r="M17" s="1757"/>
      <c r="N17" s="1758"/>
      <c r="O17" s="1758"/>
      <c r="P17" s="1758"/>
      <c r="Q17" s="1758"/>
      <c r="R17" s="1758"/>
      <c r="S17" s="1757"/>
      <c r="T17" s="1757"/>
      <c r="U17" s="1754"/>
      <c r="V17" s="1755"/>
      <c r="W17" s="1755"/>
      <c r="X17" s="1755"/>
      <c r="Y17" s="1755"/>
      <c r="Z17" s="1755"/>
    </row>
    <row r="18" spans="2:34" ht="9.1999999999999993" customHeight="1" outlineLevel="1">
      <c r="D18" s="1754"/>
      <c r="E18" s="1755"/>
      <c r="F18" s="1755"/>
      <c r="G18" s="1755"/>
      <c r="H18" s="1755"/>
      <c r="I18" s="1755"/>
      <c r="J18" s="1755"/>
      <c r="K18" s="1755"/>
      <c r="L18" s="1756"/>
      <c r="M18" s="1757"/>
      <c r="N18" s="1758"/>
      <c r="O18" s="1758"/>
      <c r="P18" s="1758"/>
      <c r="Q18" s="1758"/>
      <c r="R18" s="1758"/>
      <c r="S18" s="1757"/>
      <c r="T18" s="1757"/>
      <c r="U18" s="1754"/>
      <c r="V18" s="1755"/>
      <c r="W18" s="1755"/>
      <c r="X18" s="1755"/>
      <c r="Y18" s="1755"/>
      <c r="Z18" s="1755"/>
    </row>
    <row r="19" spans="2:34" ht="9.1999999999999993" customHeight="1" outlineLevel="1">
      <c r="D19" s="1754"/>
      <c r="E19" s="1755"/>
      <c r="F19" s="1755"/>
      <c r="G19" s="1755"/>
      <c r="H19" s="1755"/>
      <c r="I19" s="1755"/>
      <c r="J19" s="1755"/>
      <c r="K19" s="1755"/>
      <c r="L19" s="1756"/>
      <c r="M19" s="1757"/>
      <c r="N19" s="1758"/>
      <c r="O19" s="1758"/>
      <c r="P19" s="1758"/>
      <c r="Q19" s="1758"/>
      <c r="R19" s="1758"/>
      <c r="S19" s="1757"/>
      <c r="T19" s="1757"/>
      <c r="U19" s="1754"/>
      <c r="V19" s="1755"/>
      <c r="W19" s="1755"/>
      <c r="X19" s="1755"/>
      <c r="Y19" s="1755"/>
      <c r="Z19" s="1755"/>
    </row>
    <row r="20" spans="2:34" ht="9.1999999999999993" customHeight="1" outlineLevel="1">
      <c r="B20" s="1741"/>
      <c r="C20" s="1741"/>
      <c r="D20" s="1754"/>
      <c r="E20" s="1755"/>
      <c r="F20" s="1755"/>
      <c r="G20" s="1755"/>
      <c r="H20" s="1755"/>
      <c r="I20" s="1755"/>
      <c r="J20" s="1755"/>
      <c r="K20" s="1755"/>
      <c r="L20" s="1756"/>
      <c r="M20" s="1757"/>
      <c r="N20" s="1758"/>
      <c r="O20" s="1758"/>
      <c r="P20" s="1758"/>
      <c r="Q20" s="1758"/>
      <c r="R20" s="1758"/>
      <c r="S20" s="1757"/>
      <c r="T20" s="1759"/>
      <c r="U20" s="1754"/>
      <c r="V20" s="1755"/>
      <c r="W20" s="1755"/>
      <c r="X20" s="1755"/>
      <c r="Y20" s="1755"/>
      <c r="Z20" s="1755"/>
    </row>
    <row r="21" spans="2:34" ht="9.1999999999999993" customHeight="1" outlineLevel="1">
      <c r="B21" s="1741"/>
      <c r="C21" s="1741"/>
      <c r="D21" s="1754"/>
      <c r="E21" s="1755"/>
      <c r="F21" s="1755"/>
      <c r="G21" s="1755"/>
      <c r="H21" s="1755"/>
      <c r="I21" s="1755"/>
      <c r="J21" s="1755"/>
      <c r="K21" s="1755"/>
      <c r="L21" s="1756"/>
      <c r="M21" s="1757"/>
      <c r="N21" s="1758"/>
      <c r="O21" s="1758"/>
      <c r="P21" s="1758"/>
      <c r="Q21" s="1758"/>
      <c r="R21" s="1758"/>
      <c r="S21" s="1757"/>
      <c r="T21" s="1759"/>
      <c r="U21" s="1754"/>
      <c r="V21" s="1755"/>
      <c r="W21" s="1755"/>
      <c r="X21" s="1755"/>
      <c r="Y21" s="1755"/>
      <c r="Z21" s="1755"/>
    </row>
    <row r="22" spans="2:34" ht="9.1999999999999993" customHeight="1" outlineLevel="1">
      <c r="B22" s="1741"/>
      <c r="C22" s="1741"/>
      <c r="D22" s="1754"/>
      <c r="E22" s="1755"/>
      <c r="F22" s="1755"/>
      <c r="G22" s="1755"/>
      <c r="H22" s="1755"/>
      <c r="I22" s="1755"/>
      <c r="J22" s="1755"/>
      <c r="K22" s="1755"/>
      <c r="L22" s="1756"/>
      <c r="M22" s="1757"/>
      <c r="N22" s="1758"/>
      <c r="O22" s="1758"/>
      <c r="P22" s="1758"/>
      <c r="Q22" s="1758"/>
      <c r="R22" s="1758"/>
      <c r="S22" s="1757"/>
      <c r="T22" s="1759"/>
      <c r="U22" s="1754"/>
      <c r="V22" s="1755"/>
      <c r="W22" s="1755"/>
      <c r="X22" s="1755"/>
      <c r="Y22" s="1755"/>
      <c r="Z22" s="1755"/>
    </row>
    <row r="23" spans="2:34" ht="9.1999999999999993" customHeight="1" outlineLevel="1">
      <c r="B23" s="1741"/>
      <c r="C23" s="1741"/>
      <c r="D23" s="1754"/>
      <c r="E23" s="1755"/>
      <c r="F23" s="1755"/>
      <c r="G23" s="1755"/>
      <c r="H23" s="1755"/>
      <c r="I23" s="1755"/>
      <c r="J23" s="1755"/>
      <c r="K23" s="1755"/>
      <c r="L23" s="1756"/>
      <c r="M23" s="1757"/>
      <c r="N23" s="1758"/>
      <c r="O23" s="1758"/>
      <c r="P23" s="1758"/>
      <c r="Q23" s="1758"/>
      <c r="R23" s="1758"/>
      <c r="S23" s="1757"/>
      <c r="T23" s="1759"/>
      <c r="U23" s="1754"/>
      <c r="V23" s="1755"/>
      <c r="W23" s="1755"/>
      <c r="X23" s="1755"/>
      <c r="Y23" s="1755"/>
      <c r="Z23" s="1755"/>
    </row>
    <row r="24" spans="2:34" ht="8.25" customHeight="1" outlineLevel="1">
      <c r="B24" s="1741"/>
      <c r="C24" s="1741"/>
      <c r="D24" s="1753"/>
      <c r="E24" s="1748"/>
      <c r="F24" s="1748"/>
      <c r="G24" s="1748"/>
      <c r="H24" s="1748"/>
      <c r="I24" s="1748"/>
      <c r="J24" s="1748"/>
      <c r="K24" s="1748"/>
      <c r="L24" s="1749"/>
      <c r="M24" s="1753"/>
      <c r="N24" s="1748"/>
      <c r="O24" s="1748"/>
      <c r="P24" s="1748"/>
      <c r="Q24" s="1748"/>
      <c r="R24" s="1748"/>
      <c r="T24" s="1741"/>
      <c r="U24" s="1753"/>
      <c r="V24" s="1748"/>
      <c r="W24" s="1748"/>
      <c r="X24" s="1748"/>
      <c r="Y24" s="1748"/>
      <c r="Z24" s="1748"/>
    </row>
    <row r="25" spans="2:34" ht="18" customHeight="1">
      <c r="B25" s="1741"/>
      <c r="C25" s="1741"/>
      <c r="D25" s="5468" t="s">
        <v>289</v>
      </c>
      <c r="E25" s="5468"/>
      <c r="F25" s="5468"/>
      <c r="G25" s="5468"/>
      <c r="H25" s="5468"/>
      <c r="I25" s="5468"/>
      <c r="J25" s="5468"/>
      <c r="K25" s="1760"/>
      <c r="L25" s="1749"/>
      <c r="M25" s="5466" t="s">
        <v>290</v>
      </c>
      <c r="N25" s="5466"/>
      <c r="O25" s="5466"/>
      <c r="P25" s="5466"/>
      <c r="Q25" s="5466"/>
      <c r="R25" s="5466"/>
      <c r="S25" s="1760"/>
      <c r="U25" s="5450" t="s">
        <v>291</v>
      </c>
      <c r="V25" s="5450"/>
      <c r="W25" s="5450"/>
      <c r="X25" s="5450"/>
      <c r="Y25" s="5450"/>
      <c r="Z25" s="5450"/>
      <c r="AA25" s="1740"/>
    </row>
    <row r="26" spans="2:34">
      <c r="B26" s="1741"/>
      <c r="C26" s="1741"/>
      <c r="D26" s="5468"/>
      <c r="E26" s="5468"/>
      <c r="F26" s="5468"/>
      <c r="G26" s="5468"/>
      <c r="H26" s="5468"/>
      <c r="I26" s="5468"/>
      <c r="J26" s="5468"/>
      <c r="K26" s="1748"/>
      <c r="L26" s="1753"/>
      <c r="M26" s="5467"/>
      <c r="N26" s="5467"/>
      <c r="O26" s="5467"/>
      <c r="P26" s="5467"/>
      <c r="Q26" s="5467"/>
      <c r="R26" s="5467"/>
      <c r="U26" s="5451"/>
      <c r="V26" s="5451"/>
      <c r="W26" s="5451"/>
      <c r="X26" s="5451"/>
      <c r="Y26" s="5451"/>
      <c r="Z26" s="5451"/>
      <c r="AA26" s="1740"/>
      <c r="AB26" s="1740"/>
      <c r="AC26" s="1740"/>
      <c r="AD26" s="1740"/>
      <c r="AE26" s="1740"/>
      <c r="AF26" s="1740"/>
      <c r="AG26" s="1740"/>
      <c r="AH26" s="1740"/>
    </row>
    <row r="27" spans="2:34" ht="23.25" customHeight="1" thickBot="1">
      <c r="B27" s="1741"/>
      <c r="C27" s="1741"/>
      <c r="D27" s="1761"/>
      <c r="E27" s="5462" t="s">
        <v>6711</v>
      </c>
      <c r="F27" s="5463"/>
      <c r="G27" s="5462" t="s">
        <v>6633</v>
      </c>
      <c r="H27" s="5463"/>
      <c r="I27" s="1762" t="s">
        <v>330</v>
      </c>
      <c r="J27" s="1762"/>
      <c r="K27" s="1748"/>
      <c r="L27" s="1753"/>
      <c r="M27" s="1763" t="s">
        <v>331</v>
      </c>
      <c r="N27" s="1764" t="s">
        <v>332</v>
      </c>
      <c r="O27" s="1764" t="s">
        <v>333</v>
      </c>
      <c r="P27" s="1764" t="s">
        <v>334</v>
      </c>
      <c r="Q27" s="1765" t="s">
        <v>335</v>
      </c>
      <c r="R27" s="1766" t="s">
        <v>336</v>
      </c>
      <c r="U27" s="1767" t="s">
        <v>337</v>
      </c>
      <c r="V27" s="1768"/>
      <c r="W27" s="1768"/>
      <c r="X27" s="1768"/>
      <c r="Y27" s="1745"/>
      <c r="Z27" s="1745"/>
      <c r="AA27" s="1740"/>
      <c r="AB27" s="1740"/>
      <c r="AC27" s="1740"/>
      <c r="AD27" s="1740"/>
      <c r="AE27" s="1740"/>
      <c r="AF27" s="1740"/>
      <c r="AG27" s="1740"/>
      <c r="AH27" s="1740"/>
    </row>
    <row r="28" spans="2:34" ht="17.25" customHeight="1" thickBot="1">
      <c r="B28" s="1741"/>
      <c r="C28" s="1741"/>
      <c r="D28" s="1769" t="s">
        <v>338</v>
      </c>
      <c r="E28" s="5454">
        <f>'Schedule A'!I36</f>
        <v>583847550.85999978</v>
      </c>
      <c r="F28" s="5455"/>
      <c r="G28" s="5454">
        <v>584492905.5999999</v>
      </c>
      <c r="H28" s="5455"/>
      <c r="I28" s="5464">
        <f>E28-G28</f>
        <v>-645354.74000012875</v>
      </c>
      <c r="J28" s="5465"/>
      <c r="K28" s="1748"/>
      <c r="L28" s="1753"/>
      <c r="M28" s="1770" t="str">
        <f>D89</f>
        <v xml:space="preserve">Construction Works   </v>
      </c>
      <c r="N28" s="1771"/>
      <c r="O28" s="1771"/>
      <c r="P28" s="1771"/>
      <c r="Q28" s="1771"/>
      <c r="R28" s="1772"/>
      <c r="U28" s="1773"/>
      <c r="V28" s="1774" t="s">
        <v>339</v>
      </c>
      <c r="W28" s="1774" t="s">
        <v>340</v>
      </c>
      <c r="X28" s="1774" t="s">
        <v>341</v>
      </c>
      <c r="Y28" s="1745"/>
      <c r="Z28" s="1745"/>
      <c r="AA28" s="1740"/>
      <c r="AB28" s="1740"/>
      <c r="AC28" s="1740"/>
      <c r="AD28" s="1740"/>
      <c r="AE28" s="1740"/>
      <c r="AF28" s="1740"/>
      <c r="AG28" s="1740"/>
      <c r="AH28" s="1740"/>
    </row>
    <row r="29" spans="2:34" ht="17.25" customHeight="1">
      <c r="B29" s="1741"/>
      <c r="C29" s="1741"/>
      <c r="D29" s="1775"/>
      <c r="E29" s="1776"/>
      <c r="F29" s="1777"/>
      <c r="G29" s="1776"/>
      <c r="H29" s="1778"/>
      <c r="I29" s="1779"/>
      <c r="J29" s="1780"/>
      <c r="K29" s="1748"/>
      <c r="L29" s="1753"/>
      <c r="M29" s="1888" t="s">
        <v>342</v>
      </c>
      <c r="N29" s="1889">
        <v>5973808</v>
      </c>
      <c r="O29" s="1890">
        <f>'Schedule B'!H17</f>
        <v>5973808</v>
      </c>
      <c r="P29" s="1890">
        <f>O29-N29</f>
        <v>0</v>
      </c>
      <c r="Q29" s="1891">
        <f>'Schedule B'!H17</f>
        <v>5973808</v>
      </c>
      <c r="R29" s="1891">
        <f t="shared" ref="R29:R53" si="0">Q29-N29</f>
        <v>0</v>
      </c>
      <c r="U29" s="1781" t="s">
        <v>343</v>
      </c>
      <c r="V29" s="1785">
        <f>SUMIFS('Schedule C'!$AG$21:$AG$1240,'Schedule C'!$AF$21:$AF$1240,"ACTIVE",'Schedule C'!$AY$21:$AY$1240,"ACTIVE")</f>
        <v>33878350.355000019</v>
      </c>
      <c r="W29" s="1785">
        <v>33878350.355000019</v>
      </c>
      <c r="X29" s="1785">
        <f>V29-W29</f>
        <v>0</v>
      </c>
      <c r="AA29" s="1740"/>
      <c r="AB29" s="1740"/>
      <c r="AC29" s="1740"/>
      <c r="AD29" s="1740"/>
      <c r="AE29" s="1740"/>
      <c r="AF29" s="1740"/>
      <c r="AG29" s="1740"/>
      <c r="AH29" s="1740"/>
    </row>
    <row r="30" spans="2:34" ht="29.25" customHeight="1">
      <c r="B30" s="1741"/>
      <c r="C30" s="1741"/>
      <c r="D30" s="1787" t="s">
        <v>344</v>
      </c>
      <c r="E30" s="5452">
        <f>'Schedule B'!H29+'Schedule B'!H45+'Schedule B'!H73+'Schedule B'!H170+'Schedule B'!H223</f>
        <v>553452418.17999995</v>
      </c>
      <c r="F30" s="5453"/>
      <c r="G30" s="5456">
        <v>553452418.17999995</v>
      </c>
      <c r="H30" s="5469"/>
      <c r="I30" s="5460">
        <f>E30-G30</f>
        <v>0</v>
      </c>
      <c r="J30" s="5461"/>
      <c r="K30" s="1748"/>
      <c r="L30" s="1753"/>
      <c r="M30" s="1888" t="s">
        <v>345</v>
      </c>
      <c r="N30" s="1889">
        <v>555960.36</v>
      </c>
      <c r="O30" s="1890">
        <f>'Schedule B'!H18</f>
        <v>555960.36</v>
      </c>
      <c r="P30" s="1890">
        <f>O30-N30</f>
        <v>0</v>
      </c>
      <c r="Q30" s="1891">
        <f>'Schedule B'!H18</f>
        <v>555960.36</v>
      </c>
      <c r="R30" s="1891">
        <f t="shared" si="0"/>
        <v>0</v>
      </c>
      <c r="U30" s="1781" t="s">
        <v>346</v>
      </c>
      <c r="V30" s="1785">
        <f>SUMIFS('Schedule C'!$AZ$21:$AZ$1240,'Schedule C'!$AF$21:$AF$1240,"ACTIVE",'Schedule C'!$AY$21:$AY$1240,"ACTIVE")</f>
        <v>6873283.7749999911</v>
      </c>
      <c r="W30" s="1785">
        <v>6873283.7749999911</v>
      </c>
      <c r="X30" s="1788">
        <f>V30-W30</f>
        <v>0</v>
      </c>
      <c r="AA30" s="1740"/>
      <c r="AB30" s="1740"/>
      <c r="AC30" s="1740"/>
      <c r="AD30" s="1740"/>
      <c r="AE30" s="1740"/>
      <c r="AF30" s="1740"/>
      <c r="AG30" s="1740"/>
      <c r="AH30" s="1740"/>
    </row>
    <row r="31" spans="2:34" ht="17.25" customHeight="1">
      <c r="B31" s="1741"/>
      <c r="C31" s="1741"/>
      <c r="D31" s="1787"/>
      <c r="E31" s="2861"/>
      <c r="F31" s="2862"/>
      <c r="G31" s="2861"/>
      <c r="H31" s="2863"/>
      <c r="I31" s="2864"/>
      <c r="J31" s="2865"/>
      <c r="K31" s="1748"/>
      <c r="L31" s="1753"/>
      <c r="M31" s="1888" t="s">
        <v>347</v>
      </c>
      <c r="N31" s="1889">
        <v>10891204</v>
      </c>
      <c r="O31" s="1890">
        <f>'Schedule B'!H19</f>
        <v>10891204</v>
      </c>
      <c r="P31" s="1890">
        <f>O31-N31</f>
        <v>0</v>
      </c>
      <c r="Q31" s="1891">
        <f>'Schedule B'!H19</f>
        <v>10891204</v>
      </c>
      <c r="R31" s="1891">
        <f t="shared" si="0"/>
        <v>0</v>
      </c>
      <c r="U31" s="1789" t="s">
        <v>348</v>
      </c>
      <c r="V31" s="1790">
        <f>IFERROR(((V30-V29)/V30),0)</f>
        <v>-3.9289904889748368</v>
      </c>
      <c r="W31" s="1790">
        <v>-3.9289904889748368</v>
      </c>
      <c r="X31" s="1790">
        <f>IFERROR(((X30-X29)/X30),0)</f>
        <v>0</v>
      </c>
      <c r="AA31" s="1740"/>
      <c r="AB31" s="1740"/>
      <c r="AC31" s="1740"/>
      <c r="AD31" s="1740"/>
      <c r="AE31" s="1740"/>
      <c r="AF31" s="1740"/>
      <c r="AG31" s="1740"/>
      <c r="AH31" s="1740"/>
    </row>
    <row r="32" spans="2:34" ht="17.25" customHeight="1">
      <c r="B32" s="1741"/>
      <c r="C32" s="1741"/>
      <c r="D32" s="1787" t="s">
        <v>349</v>
      </c>
      <c r="E32" s="5452">
        <v>0</v>
      </c>
      <c r="F32" s="5453"/>
      <c r="G32" s="5456">
        <v>0</v>
      </c>
      <c r="H32" s="5457"/>
      <c r="I32" s="5460">
        <f>E32-G32</f>
        <v>0</v>
      </c>
      <c r="J32" s="5461"/>
      <c r="K32" s="1748"/>
      <c r="L32" s="1753"/>
      <c r="M32" s="1888" t="s">
        <v>350</v>
      </c>
      <c r="N32" s="1889">
        <v>93750</v>
      </c>
      <c r="O32" s="1890">
        <f>'Schedule B'!H20</f>
        <v>93750</v>
      </c>
      <c r="P32" s="1890">
        <f t="shared" ref="P32:P41" si="1">O32-N32</f>
        <v>0</v>
      </c>
      <c r="Q32" s="1891">
        <f>'Schedule B'!H20</f>
        <v>93750</v>
      </c>
      <c r="R32" s="1891">
        <f t="shared" si="0"/>
        <v>0</v>
      </c>
      <c r="U32" s="1781" t="s">
        <v>351</v>
      </c>
      <c r="V32" s="1791">
        <f>COUNTIF('Schedule C'!$AY$21:$AY$369,"ACTIVE")</f>
        <v>118</v>
      </c>
      <c r="W32" s="1792">
        <v>118</v>
      </c>
      <c r="X32" s="1792">
        <f>V32-W32</f>
        <v>0</v>
      </c>
      <c r="AA32" s="1740"/>
      <c r="AB32" s="1740"/>
      <c r="AC32" s="1740"/>
      <c r="AD32" s="1740"/>
      <c r="AE32" s="1740"/>
      <c r="AF32" s="1740"/>
      <c r="AG32" s="1740"/>
      <c r="AH32" s="1740"/>
    </row>
    <row r="33" spans="2:34" ht="17.25" customHeight="1">
      <c r="B33" s="1741"/>
      <c r="C33" s="1741"/>
      <c r="D33" s="1793"/>
      <c r="E33" s="2866"/>
      <c r="F33" s="2867"/>
      <c r="G33" s="2866"/>
      <c r="H33" s="2868"/>
      <c r="I33" s="2869"/>
      <c r="J33" s="2870"/>
      <c r="K33" s="1748"/>
      <c r="L33" s="1753"/>
      <c r="M33" s="1888" t="str">
        <f>'Schedule B'!A33&amp;" - "&amp;'Schedule B'!C33</f>
        <v>MS.003F02 - Khatib &amp; Alami 2230031</v>
      </c>
      <c r="N33" s="1889">
        <v>17975993</v>
      </c>
      <c r="O33" s="1890">
        <v>17975993</v>
      </c>
      <c r="P33" s="1890">
        <f t="shared" si="1"/>
        <v>0</v>
      </c>
      <c r="Q33" s="1891">
        <f>'Schedule B'!H33</f>
        <v>13059930</v>
      </c>
      <c r="R33" s="1891">
        <f t="shared" si="0"/>
        <v>-4916063</v>
      </c>
      <c r="U33" s="1781" t="s">
        <v>352</v>
      </c>
      <c r="V33" s="1791">
        <f ca="1">COUNTIFS('Schedule C'!$BA$21:$BA$369,"PENDING",'Schedule C'!$BF$21:$BF$369,"&lt;30")</f>
        <v>2</v>
      </c>
      <c r="W33" s="1792">
        <v>0</v>
      </c>
      <c r="X33" s="1792">
        <f ca="1">V33-W33</f>
        <v>2</v>
      </c>
      <c r="AA33" s="1740"/>
      <c r="AB33" s="1740"/>
      <c r="AC33" s="1740"/>
      <c r="AD33" s="1740"/>
      <c r="AE33" s="1740"/>
      <c r="AF33" s="1740"/>
      <c r="AG33" s="1740"/>
      <c r="AH33" s="1740"/>
    </row>
    <row r="34" spans="2:34" ht="29.25" customHeight="1">
      <c r="B34" s="1741"/>
      <c r="C34" s="1741"/>
      <c r="D34" s="1787" t="s">
        <v>353</v>
      </c>
      <c r="E34" s="5452">
        <f>+'Schedule B'!I240</f>
        <v>6820135.4799999911</v>
      </c>
      <c r="F34" s="5453"/>
      <c r="G34" s="5456">
        <v>6820135.4799999911</v>
      </c>
      <c r="H34" s="5457"/>
      <c r="I34" s="5460">
        <f>E34-G34</f>
        <v>0</v>
      </c>
      <c r="J34" s="5461"/>
      <c r="K34" s="1748"/>
      <c r="L34" s="1753"/>
      <c r="M34" s="1888" t="str">
        <f>'Schedule B'!A21&amp;" - "&amp;'Schedule B'!C21</f>
        <v>PS.003D05 - Langan International UK Limited 2230042</v>
      </c>
      <c r="N34" s="1889">
        <f>+'Schedule B'!H21</f>
        <v>172368.41999999998</v>
      </c>
      <c r="O34" s="1890">
        <f>+N34</f>
        <v>172368.41999999998</v>
      </c>
      <c r="P34" s="1890">
        <f t="shared" si="1"/>
        <v>0</v>
      </c>
      <c r="Q34" s="1891">
        <f>+'Schedule B'!H21</f>
        <v>172368.41999999998</v>
      </c>
      <c r="R34" s="1891">
        <f t="shared" si="0"/>
        <v>0</v>
      </c>
      <c r="U34" s="1781" t="s">
        <v>355</v>
      </c>
      <c r="V34" s="1791">
        <f ca="1">COUNTIFS('Schedule C'!$BA$21:$BA$369,"PENDING",'Schedule C'!$BF$21:$BF$369,"&lt;60",'Schedule C'!$BF$21:$BF$369,"&gt;=30")</f>
        <v>1</v>
      </c>
      <c r="W34" s="1794">
        <v>1</v>
      </c>
      <c r="X34" s="1792">
        <f ca="1">V34-W34</f>
        <v>0</v>
      </c>
      <c r="AA34" s="1740"/>
      <c r="AB34" s="1740"/>
      <c r="AC34" s="1740"/>
      <c r="AD34" s="1740"/>
      <c r="AE34" s="1740"/>
      <c r="AF34" s="1740"/>
      <c r="AG34" s="1740"/>
      <c r="AH34" s="1740"/>
    </row>
    <row r="35" spans="2:34" ht="26.45" customHeight="1">
      <c r="B35" s="1741"/>
      <c r="C35" s="1741"/>
      <c r="D35" s="1795"/>
      <c r="E35" s="2871"/>
      <c r="F35" s="2872"/>
      <c r="G35" s="2871"/>
      <c r="H35" s="2873"/>
      <c r="I35" s="2874"/>
      <c r="J35" s="2875"/>
      <c r="K35" s="1748"/>
      <c r="L35" s="1753"/>
      <c r="M35" s="1888" t="str">
        <f>'Schedule B'!A23&amp;" - "&amp;'Schedule B'!C23</f>
        <v>PS.003D06 - Ministry of Municipality and Rural Affairs (Tabuk)</v>
      </c>
      <c r="N35" s="1889">
        <f>+'Schedule B'!H23</f>
        <v>45677.599999999999</v>
      </c>
      <c r="O35" s="1890">
        <f>+N35</f>
        <v>45677.599999999999</v>
      </c>
      <c r="P35" s="1890">
        <f>O35-N35</f>
        <v>0</v>
      </c>
      <c r="Q35" s="1891">
        <f>+'Schedule B'!H23</f>
        <v>45677.599999999999</v>
      </c>
      <c r="R35" s="1891">
        <f t="shared" si="0"/>
        <v>0</v>
      </c>
      <c r="U35" s="1781" t="s">
        <v>357</v>
      </c>
      <c r="V35" s="1796">
        <f ca="1">COUNTIFS('Schedule C'!$BA$21:$BA$369,"PENDING",'Schedule C'!$BF$21:$BF$369,"&lt;90",'Schedule C'!$BF$21:$BF$369,"&gt;=60")</f>
        <v>4</v>
      </c>
      <c r="W35" s="1794">
        <v>4</v>
      </c>
      <c r="X35" s="1792">
        <f ca="1">V35-W35</f>
        <v>0</v>
      </c>
      <c r="AA35" s="1740"/>
      <c r="AB35" s="1740"/>
      <c r="AC35" s="1740"/>
      <c r="AD35" s="1740"/>
      <c r="AE35" s="1740"/>
      <c r="AF35" s="1740"/>
      <c r="AG35" s="1740"/>
      <c r="AH35" s="1740"/>
    </row>
    <row r="36" spans="2:34" ht="23.45" customHeight="1" thickBot="1">
      <c r="B36" s="1741"/>
      <c r="C36" s="1741"/>
      <c r="D36" s="1797" t="s">
        <v>358</v>
      </c>
      <c r="E36" s="5458">
        <f>E34+E30+E32</f>
        <v>560272553.65999997</v>
      </c>
      <c r="F36" s="5459"/>
      <c r="G36" s="5458">
        <f>G34+G30+G32</f>
        <v>560272553.65999997</v>
      </c>
      <c r="H36" s="5459"/>
      <c r="I36" s="2876">
        <f>I34+I30+I32</f>
        <v>0</v>
      </c>
      <c r="J36" s="2877"/>
      <c r="K36" s="1748"/>
      <c r="L36" s="1753"/>
      <c r="M36" s="1888" t="str">
        <f>'Schedule B'!A22&amp;" - "&amp;'Schedule B'!C22</f>
        <v>PS.003F01 - Zuhair Fayez and Partners 2230041</v>
      </c>
      <c r="N36" s="1889">
        <f>+'Schedule B'!H22</f>
        <v>106231.5</v>
      </c>
      <c r="O36" s="1890">
        <f>+N36</f>
        <v>106231.5</v>
      </c>
      <c r="P36" s="1890">
        <f t="shared" si="1"/>
        <v>0</v>
      </c>
      <c r="Q36" s="1891">
        <f>+O36</f>
        <v>106231.5</v>
      </c>
      <c r="R36" s="1891">
        <f t="shared" si="0"/>
        <v>0</v>
      </c>
      <c r="U36" s="1781" t="s">
        <v>360</v>
      </c>
      <c r="V36" s="1791">
        <f ca="1">COUNTIFS('Schedule C'!$BA$21:$BA$369,"PENDING",'Schedule C'!$BF$21:$BF$369,"&gt;=90")</f>
        <v>13</v>
      </c>
      <c r="W36" s="1794">
        <v>15</v>
      </c>
      <c r="X36" s="1792">
        <f ca="1">V36-W36</f>
        <v>-2</v>
      </c>
      <c r="AA36" s="1740"/>
      <c r="AB36" s="1740"/>
      <c r="AC36" s="1740"/>
      <c r="AD36" s="1740"/>
      <c r="AE36" s="1740"/>
      <c r="AF36" s="1740"/>
      <c r="AG36" s="1740"/>
      <c r="AH36" s="1740"/>
    </row>
    <row r="37" spans="2:34" ht="27" customHeight="1" thickTop="1">
      <c r="B37" s="1741"/>
      <c r="C37" s="1741"/>
      <c r="D37" s="1775"/>
      <c r="E37" s="2878"/>
      <c r="F37" s="2879"/>
      <c r="G37" s="2878"/>
      <c r="H37" s="2880"/>
      <c r="I37" s="2881"/>
      <c r="J37" s="2882"/>
      <c r="K37" s="1748"/>
      <c r="M37" s="1888" t="str">
        <f>'Schedule B'!A24&amp;" - "&amp;'Schedule B'!C24</f>
        <v>PS.003F04 - Jensen Hughes Saudi Arabia Co 2230180</v>
      </c>
      <c r="N37" s="1889">
        <f>+'Schedule B'!H24</f>
        <v>127291.9</v>
      </c>
      <c r="O37" s="1890">
        <f>+N37</f>
        <v>127291.9</v>
      </c>
      <c r="P37" s="1890">
        <f t="shared" si="1"/>
        <v>0</v>
      </c>
      <c r="Q37" s="1891">
        <f>+'Schedule B'!H24</f>
        <v>127291.9</v>
      </c>
      <c r="R37" s="1891">
        <f t="shared" si="0"/>
        <v>0</v>
      </c>
      <c r="U37" s="4267"/>
      <c r="V37" s="2811"/>
      <c r="X37" s="2811"/>
      <c r="AA37" s="1740"/>
      <c r="AB37" s="1740"/>
      <c r="AC37" s="1740"/>
      <c r="AD37" s="1740"/>
      <c r="AE37" s="1740"/>
      <c r="AF37" s="1740"/>
      <c r="AG37" s="1740"/>
      <c r="AH37" s="1740"/>
    </row>
    <row r="38" spans="2:34" ht="28.5" customHeight="1" thickBot="1">
      <c r="B38" s="1741"/>
      <c r="C38" s="1741"/>
      <c r="D38" s="1787" t="s">
        <v>363</v>
      </c>
      <c r="E38" s="5452">
        <f>'Schedule A'!K32+'Schedule A'!H32</f>
        <v>-16136787.469999999</v>
      </c>
      <c r="F38" s="5453"/>
      <c r="G38" s="5456">
        <v>-16136787.469999999</v>
      </c>
      <c r="H38" s="5457"/>
      <c r="I38" s="2883">
        <f>E38-G38</f>
        <v>0</v>
      </c>
      <c r="J38" s="2884"/>
      <c r="K38" s="1748"/>
      <c r="L38" s="1753"/>
      <c r="M38" s="1888" t="s">
        <v>4349</v>
      </c>
      <c r="N38" s="1889"/>
      <c r="O38" s="1890">
        <f>+'Schedule B'!F25</f>
        <v>38103.199999999997</v>
      </c>
      <c r="P38" s="1890">
        <f t="shared" si="1"/>
        <v>38103.199999999997</v>
      </c>
      <c r="Q38" s="1891">
        <v>38103.199999999997</v>
      </c>
      <c r="R38" s="1891">
        <f t="shared" si="0"/>
        <v>38103.199999999997</v>
      </c>
      <c r="U38" s="1798" t="s">
        <v>361</v>
      </c>
      <c r="V38" s="1799" t="s">
        <v>5432</v>
      </c>
      <c r="W38" s="1800">
        <v>2026</v>
      </c>
      <c r="X38" s="1799"/>
      <c r="Y38" s="1801" t="s">
        <v>362</v>
      </c>
      <c r="Z38" s="1801"/>
      <c r="AA38" s="1740"/>
      <c r="AB38" s="1740"/>
      <c r="AC38" s="1740"/>
      <c r="AD38" s="1740"/>
      <c r="AE38" s="1740"/>
      <c r="AF38" s="1740"/>
      <c r="AG38" s="1740"/>
      <c r="AH38" s="1740"/>
    </row>
    <row r="39" spans="2:34" ht="24.75" customHeight="1">
      <c r="C39" s="1741"/>
      <c r="D39" s="1793"/>
      <c r="E39" s="2866"/>
      <c r="F39" s="2867"/>
      <c r="G39" s="2866"/>
      <c r="H39" s="2868"/>
      <c r="I39" s="2869"/>
      <c r="J39" s="2870"/>
      <c r="M39" s="1888" t="s">
        <v>354</v>
      </c>
      <c r="N39" s="1889">
        <v>4500</v>
      </c>
      <c r="O39" s="1890">
        <f>'Schedule B'!H71</f>
        <v>23094.49</v>
      </c>
      <c r="P39" s="1890">
        <f t="shared" si="1"/>
        <v>18594.490000000002</v>
      </c>
      <c r="Q39" s="1891">
        <f>'Schedule B'!H71</f>
        <v>23094.49</v>
      </c>
      <c r="R39" s="1891">
        <f t="shared" si="0"/>
        <v>18594.490000000002</v>
      </c>
      <c r="U39" s="1802" t="s">
        <v>364</v>
      </c>
      <c r="V39" s="1803">
        <f>EOMONTH(W39,-1)</f>
        <v>46022</v>
      </c>
      <c r="W39" s="1804">
        <f>EOMONTH(X39,-1)</f>
        <v>46053</v>
      </c>
      <c r="X39" s="3256">
        <f>EOMONTH(Y39,-1)</f>
        <v>46081</v>
      </c>
      <c r="Y39" s="1805">
        <f>EOMONTH(DATEVALUE(V38&amp;W38),0)</f>
        <v>46112</v>
      </c>
      <c r="Z39" s="1806">
        <f>EOMONTH(Y39,1)</f>
        <v>46142</v>
      </c>
      <c r="AA39" s="1740"/>
      <c r="AB39" s="1740"/>
      <c r="AC39" s="1740"/>
      <c r="AD39" s="1740"/>
      <c r="AE39" s="1740"/>
      <c r="AF39" s="1740"/>
      <c r="AG39" s="1740"/>
      <c r="AH39" s="1740"/>
    </row>
    <row r="40" spans="2:34" ht="24" customHeight="1">
      <c r="B40" s="1741"/>
      <c r="C40" s="1741"/>
      <c r="D40" s="1787" t="s">
        <v>366</v>
      </c>
      <c r="E40" s="5452">
        <f>'Schedule A'!L32</f>
        <v>3585562.5</v>
      </c>
      <c r="F40" s="5453"/>
      <c r="G40" s="5456">
        <v>3801447.6900000004</v>
      </c>
      <c r="H40" s="5457"/>
      <c r="I40" s="2883">
        <f>E40-G40</f>
        <v>-215885.19000000041</v>
      </c>
      <c r="J40" s="2884"/>
      <c r="K40" s="1748"/>
      <c r="M40" s="1888" t="s">
        <v>356</v>
      </c>
      <c r="N40" s="1889">
        <v>3082688.7</v>
      </c>
      <c r="O40" s="1890">
        <f>2799717+282972</f>
        <v>3082689</v>
      </c>
      <c r="P40" s="1890">
        <f t="shared" si="1"/>
        <v>0.29999999981373549</v>
      </c>
      <c r="Q40" s="1891">
        <f>'Schedule B'!H69+'Schedule B'!H70</f>
        <v>3082689</v>
      </c>
      <c r="R40" s="1891">
        <f t="shared" si="0"/>
        <v>0.29999999981373549</v>
      </c>
      <c r="T40" s="1749"/>
      <c r="U40" s="1807" t="s">
        <v>365</v>
      </c>
      <c r="V40" s="1808">
        <f>+'Schedule I'!EI11</f>
        <v>0</v>
      </c>
      <c r="W40" s="1808">
        <f>+'Schedule I'!EL11</f>
        <v>0</v>
      </c>
      <c r="X40" s="4678">
        <f>+'Schedule I'!EO11</f>
        <v>0</v>
      </c>
      <c r="Y40" s="4679">
        <f>'Schedule I'!EP11</f>
        <v>0</v>
      </c>
      <c r="Z40" s="4679">
        <f>'Schedule I'!EQ11</f>
        <v>0</v>
      </c>
      <c r="AA40" s="1740"/>
      <c r="AB40" s="1740"/>
      <c r="AC40" s="1740"/>
      <c r="AD40" s="1740"/>
      <c r="AE40" s="1740"/>
      <c r="AF40" s="1740"/>
      <c r="AG40" s="1740"/>
      <c r="AH40" s="1740"/>
    </row>
    <row r="41" spans="2:34" ht="27.75" customHeight="1">
      <c r="B41" s="1741"/>
      <c r="C41" s="1741"/>
      <c r="D41" s="1787"/>
      <c r="E41" s="2866"/>
      <c r="F41" s="2867"/>
      <c r="G41" s="2866"/>
      <c r="H41" s="2868"/>
      <c r="I41" s="2869"/>
      <c r="J41" s="2870"/>
      <c r="K41" s="1748"/>
      <c r="L41" s="1753"/>
      <c r="M41" s="1888" t="s">
        <v>359</v>
      </c>
      <c r="N41" s="1889">
        <v>18698533.999999974</v>
      </c>
      <c r="O41" s="1890">
        <f>'Schedule K'!E13</f>
        <v>18698533.999999974</v>
      </c>
      <c r="P41" s="1890">
        <f t="shared" si="1"/>
        <v>0</v>
      </c>
      <c r="Q41" s="1891">
        <f>'Schedule B'!H77</f>
        <v>18698534</v>
      </c>
      <c r="R41" s="1891">
        <f t="shared" si="0"/>
        <v>0</v>
      </c>
      <c r="T41" s="1749"/>
      <c r="U41" s="1809" t="s">
        <v>367</v>
      </c>
      <c r="V41" s="1808">
        <f>+'Schedule I'!EI12</f>
        <v>0</v>
      </c>
      <c r="W41" s="1808">
        <f>+'Schedule I'!EL12</f>
        <v>0</v>
      </c>
      <c r="X41" s="4678">
        <f>+'Schedule I'!EO12</f>
        <v>0</v>
      </c>
      <c r="Y41" s="4680">
        <f>+'Schedule I'!EP12</f>
        <v>0</v>
      </c>
      <c r="Z41" s="4680">
        <f>+'Schedule I'!EQ12</f>
        <v>0</v>
      </c>
      <c r="AA41" s="1740"/>
      <c r="AB41" s="1740"/>
      <c r="AC41" s="1740"/>
      <c r="AD41" s="1740"/>
      <c r="AE41" s="1740"/>
      <c r="AF41" s="1740"/>
      <c r="AG41" s="1740"/>
      <c r="AH41" s="1740"/>
    </row>
    <row r="42" spans="2:34" ht="24" customHeight="1">
      <c r="C42" s="1741"/>
      <c r="D42" s="1787" t="s">
        <v>369</v>
      </c>
      <c r="E42" s="5452">
        <f>'Schedule A'!N32</f>
        <v>0</v>
      </c>
      <c r="F42" s="5453"/>
      <c r="G42" s="5456">
        <v>0</v>
      </c>
      <c r="H42" s="5457"/>
      <c r="I42" s="2883">
        <f>E42-G42</f>
        <v>0</v>
      </c>
      <c r="J42" s="2884"/>
      <c r="M42" s="1888" t="str">
        <f>'Schedule B'!A79&amp;" - "&amp;'Schedule B'!B79</f>
        <v xml:space="preserve">CN.003C03 - SAB - Civil and Arch Works, MEPD &amp; ICT/ELV </v>
      </c>
      <c r="N42" s="1889">
        <f>105487634.633009+59394214.4019838+4871026.39111685</f>
        <v>169752875.42610967</v>
      </c>
      <c r="O42" s="1890">
        <f>176445278+87209550+9846492</f>
        <v>273501320</v>
      </c>
      <c r="P42" s="1890">
        <f t="shared" ref="P42:P50" si="2">O42-N42</f>
        <v>103748444.57389033</v>
      </c>
      <c r="Q42" s="1891">
        <f>'Schedule B'!H79</f>
        <v>260955414.40000001</v>
      </c>
      <c r="R42" s="1891">
        <f t="shared" si="0"/>
        <v>91202538.973890334</v>
      </c>
      <c r="U42" s="1809" t="s">
        <v>368</v>
      </c>
      <c r="V42" s="1808">
        <f>+'Schedule I'!EI13</f>
        <v>0</v>
      </c>
      <c r="W42" s="1808">
        <f>+'Schedule I'!EL13</f>
        <v>0</v>
      </c>
      <c r="X42" s="4678">
        <f>+'Schedule I'!EO13</f>
        <v>0</v>
      </c>
      <c r="Y42" s="4680">
        <f>+'Schedule I'!EP13</f>
        <v>0</v>
      </c>
      <c r="Z42" s="4680">
        <f>+'Schedule I'!EQ13</f>
        <v>0</v>
      </c>
      <c r="AA42" s="1740"/>
      <c r="AB42" s="1740"/>
      <c r="AC42" s="1740"/>
      <c r="AD42" s="1740"/>
      <c r="AE42" s="1740"/>
      <c r="AF42" s="1740"/>
      <c r="AG42" s="1740"/>
      <c r="AH42" s="1740"/>
    </row>
    <row r="43" spans="2:34" ht="26.25" customHeight="1">
      <c r="C43" s="1741"/>
      <c r="D43" s="1795"/>
      <c r="E43" s="2871"/>
      <c r="F43" s="2872"/>
      <c r="G43" s="2871"/>
      <c r="H43" s="2873"/>
      <c r="I43" s="2885"/>
      <c r="J43" s="2875"/>
      <c r="K43" s="1748"/>
      <c r="M43" s="4168" t="s">
        <v>4114</v>
      </c>
      <c r="N43" s="4169">
        <v>0</v>
      </c>
      <c r="O43" s="4165">
        <v>0</v>
      </c>
      <c r="P43" s="4165">
        <f t="shared" si="2"/>
        <v>0</v>
      </c>
      <c r="Q43" s="4170">
        <f>+E94</f>
        <v>42594259.729999989</v>
      </c>
      <c r="R43" s="4170">
        <f t="shared" si="0"/>
        <v>42594259.729999989</v>
      </c>
      <c r="U43" s="1807" t="s">
        <v>151</v>
      </c>
      <c r="V43" s="1808">
        <f>+'Schedule I'!EI14</f>
        <v>0</v>
      </c>
      <c r="W43" s="1808">
        <f>+'Schedule I'!EL14</f>
        <v>0</v>
      </c>
      <c r="X43" s="4678">
        <f>+'Schedule I'!EO14</f>
        <v>0</v>
      </c>
      <c r="Y43" s="4680">
        <f>+'Schedule I'!EP14</f>
        <v>0</v>
      </c>
      <c r="Z43" s="4680">
        <f>+'Schedule I'!EQ14</f>
        <v>0</v>
      </c>
      <c r="AA43" s="1740"/>
      <c r="AB43" s="1740"/>
      <c r="AC43" s="1740"/>
      <c r="AD43" s="1740"/>
      <c r="AE43" s="1740"/>
      <c r="AF43" s="1740"/>
      <c r="AG43" s="1740"/>
      <c r="AH43" s="1810">
        <f>H68+I48</f>
        <v>-215885.18999999994</v>
      </c>
    </row>
    <row r="44" spans="2:34" ht="27" customHeight="1">
      <c r="B44" s="1741"/>
      <c r="C44" s="1741"/>
      <c r="D44" s="1795" t="s">
        <v>372</v>
      </c>
      <c r="E44" s="5452">
        <f>'Schedule A'!M32</f>
        <v>32891648.893043488</v>
      </c>
      <c r="F44" s="5453"/>
      <c r="G44" s="5456">
        <v>32891648.893043488</v>
      </c>
      <c r="H44" s="5457"/>
      <c r="I44" s="5460">
        <f>E44-G44</f>
        <v>0</v>
      </c>
      <c r="J44" s="5461"/>
      <c r="K44" s="1748"/>
      <c r="L44" s="1753"/>
      <c r="M44" s="1888" t="str">
        <f>'Schedule B'!A148&amp;" - "&amp;'Schedule B'!C148</f>
        <v>CN.003C21 - STO Façade Mock-up -(MWN) 2230075</v>
      </c>
      <c r="N44" s="1889">
        <v>0</v>
      </c>
      <c r="O44" s="1890">
        <v>0</v>
      </c>
      <c r="P44" s="1890">
        <f t="shared" si="2"/>
        <v>0</v>
      </c>
      <c r="Q44" s="1891">
        <f>+'Schedule B'!H148</f>
        <v>834298.55</v>
      </c>
      <c r="R44" s="1891">
        <f t="shared" si="0"/>
        <v>834298.55</v>
      </c>
      <c r="T44" s="1749"/>
      <c r="U44" s="1809" t="s">
        <v>371</v>
      </c>
      <c r="V44" s="1808">
        <f>+'Schedule I'!EI15</f>
        <v>0</v>
      </c>
      <c r="W44" s="1808">
        <f>+'Schedule I'!EL15</f>
        <v>0</v>
      </c>
      <c r="X44" s="4678">
        <f>+'Schedule I'!EO15</f>
        <v>0</v>
      </c>
      <c r="Y44" s="4680">
        <f>+'Schedule I'!EP15</f>
        <v>0</v>
      </c>
      <c r="Z44" s="4680">
        <f>+'Schedule I'!EQ15</f>
        <v>0</v>
      </c>
      <c r="AA44" s="1740"/>
      <c r="AB44" s="1740"/>
      <c r="AC44" s="1740"/>
      <c r="AD44" s="1740"/>
      <c r="AE44" s="1740"/>
      <c r="AF44" s="1740"/>
      <c r="AG44" s="1740"/>
      <c r="AH44" s="1740"/>
    </row>
    <row r="45" spans="2:34" ht="25.5" customHeight="1">
      <c r="C45" s="1741"/>
      <c r="D45" s="1795"/>
      <c r="E45" s="2886"/>
      <c r="F45" s="2887"/>
      <c r="G45" s="2886"/>
      <c r="H45" s="2888"/>
      <c r="I45" s="2889"/>
      <c r="J45" s="2890"/>
      <c r="K45" s="1748"/>
      <c r="M45" s="2148" t="str">
        <f>'Schedule B'!A149&amp;" - "&amp;'Schedule B'!C149</f>
        <v>CN.003F03 - Vertical Transportation (ESCCO) 2230178</v>
      </c>
      <c r="N45" s="1889">
        <v>2153850.9655184825</v>
      </c>
      <c r="O45" s="1890">
        <f>+'Schedule K'!F17</f>
        <v>2675472.9955184828</v>
      </c>
      <c r="P45" s="1890">
        <f t="shared" si="2"/>
        <v>521622.03000000026</v>
      </c>
      <c r="Q45" s="1891">
        <f>'Schedule B'!H149</f>
        <v>2675473</v>
      </c>
      <c r="R45" s="1891">
        <f t="shared" si="0"/>
        <v>521622.0344815175</v>
      </c>
      <c r="U45" s="1811" t="s">
        <v>373</v>
      </c>
      <c r="V45" s="1808">
        <f>+'Schedule I'!EI16</f>
        <v>0</v>
      </c>
      <c r="W45" s="1808">
        <f>+'Schedule I'!EL16</f>
        <v>0</v>
      </c>
      <c r="X45" s="4678">
        <f>+'Schedule I'!EO16</f>
        <v>0</v>
      </c>
      <c r="Y45" s="4680">
        <f>+'Schedule I'!EP16</f>
        <v>0</v>
      </c>
      <c r="Z45" s="4680">
        <f>+'Schedule I'!EQ16</f>
        <v>0</v>
      </c>
      <c r="AA45" s="1740"/>
      <c r="AB45" s="1740"/>
      <c r="AC45" s="1740"/>
      <c r="AD45" s="1740"/>
      <c r="AE45" s="1740"/>
      <c r="AF45" s="1740"/>
      <c r="AG45" s="1740"/>
      <c r="AH45" s="1740"/>
    </row>
    <row r="46" spans="2:34" ht="32.25" customHeight="1" thickBot="1">
      <c r="C46" s="1741"/>
      <c r="D46" s="1812" t="s">
        <v>375</v>
      </c>
      <c r="E46" s="5470">
        <f>E42+E40+E38+E44</f>
        <v>20340423.923043489</v>
      </c>
      <c r="F46" s="5471"/>
      <c r="G46" s="5470">
        <f>G42+G40+G38+G44</f>
        <v>20556309.113043491</v>
      </c>
      <c r="H46" s="5471"/>
      <c r="I46" s="5470">
        <f>I42+I40+I38+I44</f>
        <v>-215885.19000000041</v>
      </c>
      <c r="J46" s="5471"/>
      <c r="K46" s="1748"/>
      <c r="M46" s="2148" t="str">
        <f>'Schedule B'!A150&amp;" - "&amp;'Schedule B'!C150</f>
        <v>CN.003C08 - Kitchen &amp; Laundry Works (Al Raqtan) 2230205</v>
      </c>
      <c r="N46" s="1889">
        <f>+'Schedule K'!C21</f>
        <v>5907720</v>
      </c>
      <c r="O46" s="1890">
        <f>+'Schedule K'!E21</f>
        <v>4695209</v>
      </c>
      <c r="P46" s="1890">
        <f t="shared" si="2"/>
        <v>-1212511</v>
      </c>
      <c r="Q46" s="1891">
        <f>+'Schedule B'!H150</f>
        <v>4695209</v>
      </c>
      <c r="R46" s="1891">
        <f t="shared" si="0"/>
        <v>-1212511</v>
      </c>
      <c r="U46" s="1807" t="s">
        <v>374</v>
      </c>
      <c r="V46" s="1808">
        <f>+'Schedule I'!EI17</f>
        <v>0</v>
      </c>
      <c r="W46" s="1808">
        <f>+'Schedule I'!EL17</f>
        <v>0</v>
      </c>
      <c r="X46" s="4678">
        <f>+'Schedule I'!EO17</f>
        <v>0</v>
      </c>
      <c r="Y46" s="4680">
        <f>+'Schedule I'!EP17</f>
        <v>0</v>
      </c>
      <c r="Z46" s="4680">
        <f>+'Schedule I'!EQ17</f>
        <v>0</v>
      </c>
      <c r="AA46" s="1740"/>
      <c r="AB46" s="1740"/>
      <c r="AC46" s="1740"/>
      <c r="AD46" s="1740"/>
      <c r="AE46" s="1740"/>
      <c r="AF46" s="1740"/>
      <c r="AG46" s="1740"/>
      <c r="AH46" s="1740"/>
    </row>
    <row r="47" spans="2:34" ht="30" customHeight="1" thickTop="1">
      <c r="C47" s="1741"/>
      <c r="D47" s="1775"/>
      <c r="E47" s="2878"/>
      <c r="F47" s="2879"/>
      <c r="G47" s="2878"/>
      <c r="H47" s="2880"/>
      <c r="I47" s="2881"/>
      <c r="J47" s="2882"/>
      <c r="K47" s="1748"/>
      <c r="M47" s="1888" t="str">
        <f>'Schedule B'!A151&amp;" - "&amp;'Schedule B'!C151</f>
        <v>CN.003C09 - Fitout Works (DEPA)</v>
      </c>
      <c r="N47" s="1889">
        <v>27478729.261767656</v>
      </c>
      <c r="O47" s="1890">
        <f>+' Schedule J SS'!G86</f>
        <v>62092796</v>
      </c>
      <c r="P47" s="1890">
        <f t="shared" si="2"/>
        <v>34614066.738232344</v>
      </c>
      <c r="Q47" s="1891">
        <v>75969227</v>
      </c>
      <c r="R47" s="1891">
        <f t="shared" si="0"/>
        <v>48490497.738232344</v>
      </c>
      <c r="U47" s="1807" t="s">
        <v>376</v>
      </c>
      <c r="V47" s="1808">
        <f>+'Schedule I'!EI18</f>
        <v>5755976.9000000004</v>
      </c>
      <c r="W47" s="1808">
        <f>+'Schedule I'!EL18</f>
        <v>-2856041.1304347827</v>
      </c>
      <c r="X47" s="4678">
        <f>+'Schedule I'!EO18</f>
        <v>-3483605.7739130445</v>
      </c>
      <c r="Y47" s="4680">
        <f>+'Schedule I'!EP18</f>
        <v>0</v>
      </c>
      <c r="Z47" s="4680">
        <f>+'Schedule I'!EQ18</f>
        <v>1787346</v>
      </c>
      <c r="AA47" s="1740"/>
      <c r="AB47" s="1740"/>
      <c r="AC47" s="1740"/>
      <c r="AD47" s="1740"/>
      <c r="AE47" s="1740"/>
      <c r="AF47" s="1740"/>
      <c r="AG47" s="1740"/>
      <c r="AH47" s="1740"/>
    </row>
    <row r="48" spans="2:34" ht="25.5" customHeight="1">
      <c r="C48" s="1741"/>
      <c r="D48" s="1787" t="s">
        <v>377</v>
      </c>
      <c r="E48" s="5475">
        <f>'Schedule A'!O34</f>
        <v>0</v>
      </c>
      <c r="F48" s="5476"/>
      <c r="G48" s="5472">
        <v>0</v>
      </c>
      <c r="H48" s="5473"/>
      <c r="I48" s="5461">
        <f>E48-G48</f>
        <v>0</v>
      </c>
      <c r="J48" s="5474"/>
      <c r="K48" s="1748"/>
      <c r="M48" s="3320" t="str">
        <f>'Schedule B'!A152&amp;" - "&amp;'Schedule B'!C152</f>
        <v>CN.003C27 - Façade &amp; Glazing Works (Alutec)</v>
      </c>
      <c r="N48" s="1889">
        <v>0</v>
      </c>
      <c r="O48" s="1890">
        <v>0</v>
      </c>
      <c r="P48" s="1890">
        <f t="shared" si="2"/>
        <v>0</v>
      </c>
      <c r="Q48" s="1891">
        <f>'Schedule B'!F152</f>
        <v>29899670.550000001</v>
      </c>
      <c r="R48" s="1891">
        <f t="shared" si="0"/>
        <v>29899670.550000001</v>
      </c>
      <c r="U48" s="1807" t="s">
        <v>2025</v>
      </c>
      <c r="V48" s="1808">
        <f>+'Schedule I'!EI19</f>
        <v>0</v>
      </c>
      <c r="W48" s="1808">
        <f>+'Schedule I'!EL19</f>
        <v>0</v>
      </c>
      <c r="X48" s="4678">
        <f>+'Schedule I'!EO19</f>
        <v>0</v>
      </c>
      <c r="Y48" s="4680">
        <f>+'Schedule I'!EP19</f>
        <v>0</v>
      </c>
      <c r="Z48" s="4680">
        <f>+'Schedule I'!EQ19</f>
        <v>0</v>
      </c>
      <c r="AA48" s="1740"/>
      <c r="AB48" s="1740"/>
      <c r="AC48" s="1740"/>
      <c r="AD48" s="1740"/>
      <c r="AE48" s="1740"/>
      <c r="AF48" s="1740"/>
      <c r="AG48" s="1740"/>
      <c r="AH48" s="1740"/>
    </row>
    <row r="49" spans="3:34" ht="27.75" customHeight="1" thickBot="1">
      <c r="D49" s="3178"/>
      <c r="E49" s="2891"/>
      <c r="F49" s="2892"/>
      <c r="G49" s="2891"/>
      <c r="H49" s="2893"/>
      <c r="I49" s="2894"/>
      <c r="J49" s="2895"/>
      <c r="K49" s="1748"/>
      <c r="M49" s="2148" t="s">
        <v>2828</v>
      </c>
      <c r="N49" s="1889">
        <v>0</v>
      </c>
      <c r="O49" s="1890">
        <v>182184.38</v>
      </c>
      <c r="P49" s="1890">
        <f t="shared" si="2"/>
        <v>182184.38</v>
      </c>
      <c r="Q49" s="1891">
        <v>182184.38</v>
      </c>
      <c r="R49" s="1891">
        <f t="shared" si="0"/>
        <v>182184.38</v>
      </c>
      <c r="U49" s="1807" t="s">
        <v>2026</v>
      </c>
      <c r="V49" s="1808">
        <f>+'Schedule I'!EI20</f>
        <v>0</v>
      </c>
      <c r="W49" s="1808">
        <f>+'Schedule I'!EL20</f>
        <v>0</v>
      </c>
      <c r="X49" s="4681">
        <f>+'Schedule I'!EO20</f>
        <v>0</v>
      </c>
      <c r="Y49" s="4680">
        <f>+'Schedule I'!EP20</f>
        <v>0</v>
      </c>
      <c r="Z49" s="4680">
        <f>+'Schedule I'!EQ20</f>
        <v>0</v>
      </c>
      <c r="AA49" s="1740"/>
      <c r="AB49" s="1740"/>
      <c r="AC49" s="1740"/>
      <c r="AD49" s="1740"/>
      <c r="AE49" s="1740"/>
      <c r="AF49" s="1740"/>
      <c r="AG49" s="1740"/>
      <c r="AH49" s="1740"/>
    </row>
    <row r="50" spans="3:34" ht="28.5" customHeight="1">
      <c r="C50" s="1741"/>
      <c r="D50" s="5477" t="s">
        <v>379</v>
      </c>
      <c r="E50" s="5481">
        <f>E48+E46+E36</f>
        <v>580612977.58304346</v>
      </c>
      <c r="F50" s="5482"/>
      <c r="G50" s="5481">
        <f>G48+G46+G36</f>
        <v>580828862.77304351</v>
      </c>
      <c r="H50" s="5482"/>
      <c r="I50" s="5481">
        <f>I48+I46+I36</f>
        <v>-215885.19000000041</v>
      </c>
      <c r="J50" s="5482"/>
      <c r="K50" s="1748"/>
      <c r="M50" s="2148" t="s">
        <v>3696</v>
      </c>
      <c r="N50" s="1889">
        <v>0</v>
      </c>
      <c r="O50" s="1890">
        <v>54000</v>
      </c>
      <c r="P50" s="1890">
        <f t="shared" si="2"/>
        <v>54000</v>
      </c>
      <c r="Q50" s="1891">
        <v>54000</v>
      </c>
      <c r="R50" s="1891">
        <f t="shared" si="0"/>
        <v>54000</v>
      </c>
      <c r="U50" s="1807" t="s">
        <v>2104</v>
      </c>
      <c r="V50" s="1813">
        <f>+'Schedule I'!EI21</f>
        <v>0</v>
      </c>
      <c r="W50" s="1813">
        <f>+'Schedule I'!EL21</f>
        <v>0</v>
      </c>
      <c r="X50" s="4681">
        <f>+'Schedule I'!EO21</f>
        <v>0</v>
      </c>
      <c r="Y50" s="4680">
        <f>+'Schedule I'!EP21</f>
        <v>159337</v>
      </c>
      <c r="Z50" s="4680">
        <f>+'Schedule I'!EQ21</f>
        <v>0</v>
      </c>
      <c r="AA50" s="1740"/>
      <c r="AB50" s="1740"/>
      <c r="AC50" s="1740"/>
      <c r="AD50" s="1740"/>
      <c r="AE50" s="1740"/>
      <c r="AF50" s="1740"/>
      <c r="AG50" s="1740"/>
      <c r="AH50" s="1740"/>
    </row>
    <row r="51" spans="3:34" ht="30.75" customHeight="1" thickBot="1">
      <c r="C51" s="1741"/>
      <c r="D51" s="5478"/>
      <c r="E51" s="5483"/>
      <c r="F51" s="5484"/>
      <c r="G51" s="5483"/>
      <c r="H51" s="5484"/>
      <c r="I51" s="5483"/>
      <c r="J51" s="5484"/>
      <c r="K51" s="1748"/>
      <c r="M51" s="3320" t="s">
        <v>2811</v>
      </c>
      <c r="N51" s="1889">
        <v>0</v>
      </c>
      <c r="O51" s="1890">
        <v>1107465.8799999999</v>
      </c>
      <c r="P51" s="1890">
        <f t="shared" ref="P51:P64" si="3">O51-N51</f>
        <v>1107465.8799999999</v>
      </c>
      <c r="Q51" s="1891">
        <v>1107465.8799999999</v>
      </c>
      <c r="R51" s="1891">
        <f t="shared" si="0"/>
        <v>1107465.8799999999</v>
      </c>
      <c r="U51" s="1807" t="s">
        <v>2184</v>
      </c>
      <c r="V51" s="1813">
        <f>+'Schedule I'!EI22</f>
        <v>0</v>
      </c>
      <c r="W51" s="1813">
        <f>+'Schedule I'!EL22</f>
        <v>0</v>
      </c>
      <c r="X51" s="4681">
        <f>+'Schedule I'!EO22</f>
        <v>0</v>
      </c>
      <c r="Y51" s="4680">
        <f>+'Schedule I'!EP22</f>
        <v>334075.28000000003</v>
      </c>
      <c r="Z51" s="4680">
        <f>+'Schedule I'!EQ22</f>
        <v>52335.24</v>
      </c>
      <c r="AA51" s="1740"/>
      <c r="AB51" s="1740"/>
      <c r="AC51" s="1740"/>
      <c r="AD51" s="1740"/>
      <c r="AE51" s="1740"/>
      <c r="AF51" s="1740"/>
      <c r="AG51" s="1740"/>
      <c r="AH51" s="1810">
        <f>V29-V30</f>
        <v>27005066.580000028</v>
      </c>
    </row>
    <row r="52" spans="3:34" ht="26.25" customHeight="1" thickBot="1">
      <c r="D52" s="1821" t="s">
        <v>302</v>
      </c>
      <c r="E52" s="1822"/>
      <c r="F52" s="1822"/>
      <c r="G52" s="1822"/>
      <c r="H52" s="1822"/>
      <c r="I52" s="1822"/>
      <c r="K52" s="1748"/>
      <c r="M52" s="3320" t="s">
        <v>3141</v>
      </c>
      <c r="N52" s="1889">
        <v>0</v>
      </c>
      <c r="O52" s="1890">
        <v>2406499.9999999972</v>
      </c>
      <c r="P52" s="1890">
        <f t="shared" si="3"/>
        <v>2406499.9999999972</v>
      </c>
      <c r="Q52" s="1891">
        <v>2406499.9999999972</v>
      </c>
      <c r="R52" s="1891">
        <f t="shared" si="0"/>
        <v>2406499.9999999972</v>
      </c>
      <c r="U52" s="3191" t="s">
        <v>2017</v>
      </c>
      <c r="V52" s="3192">
        <f>+'Schedule I'!EI23</f>
        <v>0</v>
      </c>
      <c r="W52" s="3192">
        <f>+'Schedule I'!EL23</f>
        <v>0</v>
      </c>
      <c r="X52" s="4682">
        <f>+'Schedule I'!EO23</f>
        <v>0</v>
      </c>
      <c r="Y52" s="4680">
        <f>+'Schedule I'!EP23</f>
        <v>0</v>
      </c>
      <c r="Z52" s="4680">
        <f>+'Schedule I'!EQ23</f>
        <v>78720</v>
      </c>
      <c r="AA52" s="1740"/>
      <c r="AB52" s="1740"/>
      <c r="AC52" s="1740"/>
      <c r="AD52" s="1740"/>
      <c r="AE52" s="1740"/>
      <c r="AF52" s="1740"/>
      <c r="AG52" s="1740"/>
      <c r="AH52" s="1740"/>
    </row>
    <row r="53" spans="3:34" ht="26.45" customHeight="1">
      <c r="D53" s="2149" t="s">
        <v>292</v>
      </c>
      <c r="E53" s="4062"/>
      <c r="F53" s="4062"/>
      <c r="G53" s="4062"/>
      <c r="H53" s="4063" t="s">
        <v>382</v>
      </c>
      <c r="I53" s="1825"/>
      <c r="K53" s="1748"/>
      <c r="M53" s="1888" t="str">
        <f>'Schedule B'!A153&amp;" - "&amp;'Schedule B'!C153</f>
        <v>CN.003C31 - MAS - Wet Works</v>
      </c>
      <c r="N53" s="1889">
        <v>0</v>
      </c>
      <c r="O53" s="1890">
        <v>4004000</v>
      </c>
      <c r="P53" s="1890">
        <f t="shared" si="3"/>
        <v>4004000</v>
      </c>
      <c r="Q53" s="1891">
        <v>4004000</v>
      </c>
      <c r="R53" s="1891">
        <f t="shared" si="0"/>
        <v>4004000</v>
      </c>
      <c r="U53" s="3587" t="s">
        <v>2550</v>
      </c>
      <c r="V53" s="3588">
        <f>+'Schedule I'!EI24</f>
        <v>0</v>
      </c>
      <c r="W53" s="3589">
        <f>+'Schedule I'!EL24</f>
        <v>0</v>
      </c>
      <c r="X53" s="4683">
        <f>+'Schedule I'!EO24</f>
        <v>0</v>
      </c>
      <c r="Y53" s="4680">
        <f>+'Schedule I'!EP24</f>
        <v>1737945</v>
      </c>
      <c r="Z53" s="4680">
        <f>+'Schedule I'!EQ24</f>
        <v>3226545.62</v>
      </c>
      <c r="AA53" s="1740"/>
      <c r="AB53" s="1740"/>
      <c r="AC53" s="1740"/>
      <c r="AD53" s="1740"/>
      <c r="AE53" s="1740"/>
      <c r="AF53" s="1740"/>
      <c r="AG53" s="1740"/>
      <c r="AH53" s="1740"/>
    </row>
    <row r="54" spans="3:34" ht="27.75" customHeight="1" thickBot="1">
      <c r="C54" s="1741"/>
      <c r="D54" s="1826" t="s">
        <v>2103</v>
      </c>
      <c r="E54" s="1827"/>
      <c r="F54" s="1827"/>
      <c r="G54" s="1827"/>
      <c r="H54" s="5479">
        <f>+H124</f>
        <v>0</v>
      </c>
      <c r="I54" s="5480"/>
      <c r="K54" s="1748"/>
      <c r="M54" s="1888" t="str">
        <f>'Schedule B'!A154&amp;" - "&amp;'Schedule B'!C154</f>
        <v>CN.003C32 - MAS - Amphitheatre Works</v>
      </c>
      <c r="N54" s="1889">
        <v>0</v>
      </c>
      <c r="O54" s="1890">
        <v>1078892.27</v>
      </c>
      <c r="P54" s="1890">
        <f t="shared" ref="P54:P60" si="4">O54-N54</f>
        <v>1078892.27</v>
      </c>
      <c r="Q54" s="1891">
        <v>1078892.27</v>
      </c>
      <c r="R54" s="1891">
        <f t="shared" ref="R54:R60" si="5">Q54-N54</f>
        <v>1078892.27</v>
      </c>
      <c r="S54" s="1828"/>
      <c r="T54" s="1829"/>
      <c r="U54" s="3590" t="s">
        <v>2742</v>
      </c>
      <c r="V54" s="3591">
        <f>+'Schedule I'!EI25</f>
        <v>0</v>
      </c>
      <c r="W54" s="3591">
        <f>+'Schedule I'!EL25</f>
        <v>0</v>
      </c>
      <c r="X54" s="4684">
        <f>+'Schedule I'!EO25</f>
        <v>0</v>
      </c>
      <c r="Y54" s="4680">
        <f>+'Schedule I'!EP25</f>
        <v>0</v>
      </c>
      <c r="Z54" s="4680">
        <f>+'Schedule I'!EQ25</f>
        <v>49611.16</v>
      </c>
      <c r="AA54" s="1740"/>
      <c r="AB54" s="1740"/>
      <c r="AC54" s="1740"/>
      <c r="AD54" s="1740"/>
      <c r="AE54" s="1740"/>
      <c r="AF54" s="1740"/>
      <c r="AG54" s="1740"/>
      <c r="AH54" s="1740"/>
    </row>
    <row r="55" spans="3:34" ht="26.25" customHeight="1" thickTop="1">
      <c r="D55" s="5485"/>
      <c r="E55" s="5486"/>
      <c r="F55" s="5486"/>
      <c r="G55" s="5487"/>
      <c r="H55" s="5430"/>
      <c r="I55" s="5431"/>
      <c r="K55" s="1748"/>
      <c r="M55" s="1888" t="str">
        <f>'Schedule B'!A155&amp;" - "&amp;'Schedule B'!C155</f>
        <v>CN.003C34 - Al Fanar - MEP Labour Supply</v>
      </c>
      <c r="N55" s="1889">
        <v>0</v>
      </c>
      <c r="O55" s="1890">
        <v>23125000</v>
      </c>
      <c r="P55" s="1890">
        <f t="shared" si="4"/>
        <v>23125000</v>
      </c>
      <c r="Q55" s="3958">
        <v>23125000</v>
      </c>
      <c r="R55" s="1891">
        <f t="shared" si="5"/>
        <v>23125000</v>
      </c>
      <c r="S55" s="1829"/>
      <c r="T55" s="1829"/>
      <c r="U55" s="3590" t="s">
        <v>3163</v>
      </c>
      <c r="V55" s="3591">
        <f>+'Schedule I'!EI26</f>
        <v>0</v>
      </c>
      <c r="W55" s="3591">
        <f>+'Schedule I'!EL26</f>
        <v>0</v>
      </c>
      <c r="X55" s="4684">
        <f>+'Schedule I'!EO26</f>
        <v>0</v>
      </c>
      <c r="Y55" s="4680">
        <f>+'Schedule I'!EP26</f>
        <v>0</v>
      </c>
      <c r="Z55" s="4680">
        <f>+'Schedule I'!EQ26</f>
        <v>4331572.5</v>
      </c>
      <c r="AA55" s="1740"/>
      <c r="AB55" s="1740"/>
      <c r="AC55" s="1740"/>
      <c r="AD55" s="1740"/>
      <c r="AE55" s="1740"/>
      <c r="AF55" s="1740"/>
      <c r="AG55" s="1740"/>
      <c r="AH55" s="1740"/>
    </row>
    <row r="56" spans="3:34" ht="28.5" customHeight="1" thickBot="1">
      <c r="D56" s="3179" t="s">
        <v>392</v>
      </c>
      <c r="E56" s="3180"/>
      <c r="F56" s="3180"/>
      <c r="G56" s="3180"/>
      <c r="H56" s="5488">
        <f>H141</f>
        <v>0</v>
      </c>
      <c r="I56" s="5489"/>
      <c r="K56" s="1748"/>
      <c r="M56" s="1888" t="str">
        <f>'Schedule B'!A157&amp;" - "&amp;'Schedule B'!C157</f>
        <v>CN.003C34 - ARMETAL - Reflective ceiling</v>
      </c>
      <c r="N56" s="1889">
        <v>0</v>
      </c>
      <c r="O56" s="1890">
        <v>7129950</v>
      </c>
      <c r="P56" s="1890">
        <f t="shared" si="4"/>
        <v>7129950</v>
      </c>
      <c r="Q56" s="1891">
        <v>7129950</v>
      </c>
      <c r="R56" s="1891">
        <f t="shared" si="5"/>
        <v>7129950</v>
      </c>
      <c r="S56" s="1829"/>
      <c r="T56" s="1832"/>
      <c r="U56" s="4006" t="str">
        <f>+'Schedule I'!B27</f>
        <v>MAS Labour</v>
      </c>
      <c r="V56" s="4007">
        <f>+'Schedule I'!EI27</f>
        <v>0</v>
      </c>
      <c r="W56" s="4007">
        <f>+'Schedule I'!EL27</f>
        <v>0</v>
      </c>
      <c r="X56" s="4685">
        <f>+'Schedule I'!EO27</f>
        <v>0</v>
      </c>
      <c r="Y56" s="4680">
        <f>+'Schedule I'!EP27</f>
        <v>0</v>
      </c>
      <c r="Z56" s="4680">
        <f>+'Schedule I'!EQ27</f>
        <v>1016402.21</v>
      </c>
      <c r="AA56" s="1740"/>
      <c r="AB56" s="1740"/>
      <c r="AC56" s="1740"/>
      <c r="AD56" s="1740"/>
      <c r="AE56" s="1740"/>
      <c r="AF56" s="1740"/>
      <c r="AG56" s="1740"/>
      <c r="AH56" s="1740"/>
    </row>
    <row r="57" spans="3:34" ht="28.5" customHeight="1" thickTop="1">
      <c r="D57" s="5434"/>
      <c r="E57" s="5435"/>
      <c r="F57" s="5435"/>
      <c r="G57" s="5436"/>
      <c r="H57" s="5430"/>
      <c r="I57" s="5431"/>
      <c r="K57" s="1748"/>
      <c r="M57" s="1888" t="str">
        <f>'Schedule B'!A158&amp;" - "&amp;'Schedule B'!C158</f>
        <v>CN.003C34 - Al Rahji Takaful - Owner Controlled Insurance Program</v>
      </c>
      <c r="N57" s="1889">
        <v>0</v>
      </c>
      <c r="O57" s="1890">
        <f>+'Schedule B'!F158</f>
        <v>89047.06</v>
      </c>
      <c r="P57" s="1890">
        <f t="shared" si="4"/>
        <v>89047.06</v>
      </c>
      <c r="Q57" s="3958">
        <v>73970.78</v>
      </c>
      <c r="R57" s="1891">
        <f t="shared" si="5"/>
        <v>73970.78</v>
      </c>
      <c r="S57" s="1832"/>
      <c r="T57" s="1833"/>
      <c r="U57" s="3590" t="str">
        <f>+'Schedule I'!B28</f>
        <v>MAS Amphitheatre</v>
      </c>
      <c r="V57" s="3591">
        <f>+'Schedule I'!EI28</f>
        <v>0</v>
      </c>
      <c r="W57" s="3591">
        <f>+'Schedule I'!EL28</f>
        <v>0</v>
      </c>
      <c r="X57" s="4684">
        <f>+'Schedule I'!EO28</f>
        <v>0</v>
      </c>
      <c r="Y57" s="4680">
        <f>+'Schedule I'!EP28</f>
        <v>0</v>
      </c>
      <c r="Z57" s="4680">
        <f>+'Schedule I'!EQ28</f>
        <v>0</v>
      </c>
      <c r="AA57" s="1740"/>
      <c r="AB57" s="1740"/>
      <c r="AC57" s="1740"/>
      <c r="AD57" s="1740"/>
      <c r="AE57" s="1740"/>
      <c r="AF57" s="1740"/>
      <c r="AG57" s="1740"/>
      <c r="AH57" s="1740"/>
    </row>
    <row r="58" spans="3:34" ht="29.45" customHeight="1">
      <c r="D58" s="5434"/>
      <c r="E58" s="5435"/>
      <c r="F58" s="5435"/>
      <c r="G58" s="5436"/>
      <c r="H58" s="5490"/>
      <c r="I58" s="5491"/>
      <c r="K58" s="1748"/>
      <c r="M58" s="1888" t="str">
        <f>'Schedule B'!A160&amp;" - "&amp;'Schedule B'!C160</f>
        <v>CN.003C35 - HASSAN ALLAM - External Scaffoldings</v>
      </c>
      <c r="N58" s="1889">
        <v>0</v>
      </c>
      <c r="O58" s="1890">
        <v>3096124.9</v>
      </c>
      <c r="P58" s="1890">
        <f t="shared" si="4"/>
        <v>3096124.9</v>
      </c>
      <c r="Q58" s="3958">
        <v>3096124.9</v>
      </c>
      <c r="R58" s="1891">
        <f t="shared" si="5"/>
        <v>3096124.9</v>
      </c>
      <c r="S58" s="1833"/>
      <c r="T58" s="1833"/>
      <c r="U58" s="3590" t="str">
        <f>+'Schedule I'!B29</f>
        <v>Al Fanar Labour</v>
      </c>
      <c r="V58" s="3591">
        <f>+'Schedule I'!EI29</f>
        <v>0</v>
      </c>
      <c r="W58" s="3591">
        <f>+'Schedule I'!EL29</f>
        <v>0</v>
      </c>
      <c r="X58" s="4684">
        <f>+'Schedule I'!EO29</f>
        <v>0</v>
      </c>
      <c r="Y58" s="4680">
        <f>+'Schedule I'!EP29</f>
        <v>1972028</v>
      </c>
      <c r="Z58" s="4680">
        <f>+'Schedule I'!EQ29</f>
        <v>0</v>
      </c>
      <c r="AA58" s="1740"/>
      <c r="AB58" s="1740"/>
      <c r="AC58" s="1740"/>
      <c r="AD58" s="1740"/>
      <c r="AE58" s="1740"/>
      <c r="AF58" s="1740"/>
      <c r="AG58" s="1740"/>
      <c r="AH58" s="1740"/>
    </row>
    <row r="59" spans="3:34" ht="26.45" customHeight="1" thickBot="1">
      <c r="D59" s="1834" t="s">
        <v>395</v>
      </c>
      <c r="E59" s="1835"/>
      <c r="F59" s="1835"/>
      <c r="G59" s="1835"/>
      <c r="H59" s="5443">
        <f>H164</f>
        <v>-215885.18999999994</v>
      </c>
      <c r="I59" s="5444"/>
      <c r="J59" s="1748"/>
      <c r="K59" s="1748"/>
      <c r="M59" s="1888" t="s">
        <v>5236</v>
      </c>
      <c r="N59" s="1889">
        <v>0</v>
      </c>
      <c r="O59" s="1890">
        <v>133000</v>
      </c>
      <c r="P59" s="1890">
        <f t="shared" si="4"/>
        <v>133000</v>
      </c>
      <c r="Q59" s="3958">
        <v>133000</v>
      </c>
      <c r="R59" s="1891">
        <f t="shared" si="5"/>
        <v>133000</v>
      </c>
      <c r="S59" s="1833"/>
      <c r="T59" s="1833"/>
      <c r="U59" s="3590" t="str">
        <f>+'Schedule I'!B30</f>
        <v>CML</v>
      </c>
      <c r="V59" s="3591">
        <f>+'Schedule I'!EI30</f>
        <v>0</v>
      </c>
      <c r="W59" s="3591">
        <f>+'Schedule I'!EL30</f>
        <v>0</v>
      </c>
      <c r="X59" s="4684">
        <f>+'Schedule I'!EO30</f>
        <v>0</v>
      </c>
      <c r="Y59" s="4680">
        <f>+'Schedule I'!EP30</f>
        <v>241100</v>
      </c>
      <c r="Z59" s="4680">
        <f>+'Schedule I'!EQ30</f>
        <v>164253.85</v>
      </c>
      <c r="AA59" s="1740"/>
      <c r="AB59" s="1740"/>
      <c r="AC59" s="1740"/>
      <c r="AD59" s="1740"/>
      <c r="AE59" s="1740"/>
      <c r="AF59" s="1740"/>
      <c r="AG59" s="1740"/>
      <c r="AH59" s="1740"/>
    </row>
    <row r="60" spans="3:34" ht="27" customHeight="1" thickTop="1">
      <c r="D60" s="5434"/>
      <c r="E60" s="5435"/>
      <c r="F60" s="5435"/>
      <c r="G60" s="5436"/>
      <c r="H60" s="5430"/>
      <c r="I60" s="5431"/>
      <c r="J60" s="1748"/>
      <c r="K60" s="1748"/>
      <c r="M60" s="1888" t="s">
        <v>5237</v>
      </c>
      <c r="N60" s="1889">
        <v>0</v>
      </c>
      <c r="O60" s="1890">
        <v>799625.31</v>
      </c>
      <c r="P60" s="1890">
        <f t="shared" si="4"/>
        <v>799625.31</v>
      </c>
      <c r="Q60" s="3958">
        <v>799625.31</v>
      </c>
      <c r="R60" s="1891">
        <f t="shared" si="5"/>
        <v>799625.31</v>
      </c>
      <c r="S60" s="1833"/>
      <c r="T60" s="1833"/>
      <c r="U60" s="3590" t="str">
        <f>+'Schedule I'!B31</f>
        <v>EuroConsult</v>
      </c>
      <c r="V60" s="3591">
        <f>+'Schedule I'!EI31</f>
        <v>0</v>
      </c>
      <c r="W60" s="3591">
        <f>+'Schedule I'!EL31</f>
        <v>0</v>
      </c>
      <c r="X60" s="4684">
        <f>+'Schedule I'!EO31</f>
        <v>0</v>
      </c>
      <c r="Y60" s="4680">
        <f>+'Schedule I'!EP31</f>
        <v>15762.54</v>
      </c>
      <c r="Z60" s="4680">
        <f>+'Schedule I'!EQ31</f>
        <v>0</v>
      </c>
      <c r="AA60" s="1740"/>
      <c r="AB60" s="1740"/>
      <c r="AC60" s="1740"/>
      <c r="AD60" s="1740"/>
      <c r="AE60" s="1740"/>
      <c r="AF60" s="1740"/>
      <c r="AG60" s="1740"/>
      <c r="AH60" s="1740"/>
    </row>
    <row r="61" spans="3:34" ht="27" customHeight="1">
      <c r="D61" s="3216"/>
      <c r="E61" s="3217"/>
      <c r="F61" s="3217"/>
      <c r="G61" s="3217"/>
      <c r="H61" s="3181"/>
      <c r="I61" s="3182"/>
      <c r="J61" s="1748"/>
      <c r="K61" s="1748"/>
      <c r="M61" s="1852" t="str">
        <f>'Schedule B'!A207&amp;" - "&amp;'Schedule B'!C207</f>
        <v>FFEOSE.003F02 - Loose FF&amp;E Items (FOH)</v>
      </c>
      <c r="N61" s="1782">
        <v>12800000</v>
      </c>
      <c r="O61" s="1783">
        <f>+'Schedule K'!F22</f>
        <v>25558750</v>
      </c>
      <c r="P61" s="1783">
        <f t="shared" si="3"/>
        <v>12758750</v>
      </c>
      <c r="Q61" s="5505" t="s">
        <v>3142</v>
      </c>
      <c r="R61" s="1784">
        <f>IF(SUM(Q61)&lt;=0,0,-SUM(O61))</f>
        <v>0</v>
      </c>
      <c r="S61" s="1833"/>
      <c r="T61" s="1833"/>
      <c r="U61" s="3590" t="s">
        <v>4499</v>
      </c>
      <c r="V61" s="3591">
        <f>+'Schedule I'!EI32</f>
        <v>0</v>
      </c>
      <c r="W61" s="3591">
        <f>+'Schedule I'!EL32</f>
        <v>0</v>
      </c>
      <c r="X61" s="4684">
        <f>+'Schedule I'!EO32</f>
        <v>0</v>
      </c>
      <c r="Y61" s="4680">
        <f>+'Schedule I'!EP32</f>
        <v>0</v>
      </c>
      <c r="Z61" s="4680">
        <f>+'Schedule I'!EQ32</f>
        <v>0</v>
      </c>
      <c r="AA61" s="1740"/>
      <c r="AB61" s="1740"/>
      <c r="AC61" s="1740"/>
      <c r="AD61" s="1740"/>
      <c r="AE61" s="1740"/>
      <c r="AF61" s="1740"/>
      <c r="AG61" s="1740"/>
      <c r="AH61" s="1740"/>
    </row>
    <row r="62" spans="3:34" ht="43.5" customHeight="1" thickBot="1">
      <c r="D62" s="1838" t="s">
        <v>6692</v>
      </c>
      <c r="E62" s="1839"/>
      <c r="F62" s="1839"/>
      <c r="G62" s="1840"/>
      <c r="H62" s="5497">
        <f>H200</f>
        <v>0</v>
      </c>
      <c r="I62" s="5498"/>
      <c r="J62" s="1748"/>
      <c r="K62" s="1748"/>
      <c r="M62" s="1852" t="str">
        <f>'Schedule B'!A208&amp;" - "&amp;'Schedule B'!C208</f>
        <v>Included in FF&amp;E FOH - Loose FF&amp;E Items (BOH)</v>
      </c>
      <c r="N62" s="1782">
        <v>340000</v>
      </c>
      <c r="O62" s="1783">
        <f>+'Schedule K'!F23</f>
        <v>470000</v>
      </c>
      <c r="P62" s="1783">
        <f t="shared" si="3"/>
        <v>130000</v>
      </c>
      <c r="Q62" s="5506"/>
      <c r="R62" s="1784">
        <f>IF(SUM(Q62)&lt;=0,0,-SUM(O62))</f>
        <v>0</v>
      </c>
      <c r="S62" s="1833"/>
      <c r="T62" s="1833"/>
      <c r="U62" s="3590" t="s">
        <v>4500</v>
      </c>
      <c r="V62" s="3591">
        <f>+'Schedule I'!EI33</f>
        <v>0</v>
      </c>
      <c r="W62" s="3591">
        <f>+'Schedule I'!EL33</f>
        <v>0</v>
      </c>
      <c r="X62" s="4684">
        <f>+'Schedule I'!EO33</f>
        <v>0</v>
      </c>
      <c r="Y62" s="4680">
        <f>+'Schedule I'!EP33</f>
        <v>0</v>
      </c>
      <c r="Z62" s="4680">
        <f>+'Schedule I'!EQ33</f>
        <v>0</v>
      </c>
      <c r="AA62" s="1740"/>
      <c r="AB62" s="1740"/>
      <c r="AC62" s="1740"/>
      <c r="AD62" s="1740"/>
      <c r="AE62" s="1740"/>
      <c r="AF62" s="1740"/>
      <c r="AG62" s="1740"/>
      <c r="AH62" s="1740">
        <v>224</v>
      </c>
    </row>
    <row r="63" spans="3:34" ht="27" customHeight="1" thickTop="1">
      <c r="D63" s="5434"/>
      <c r="E63" s="5435"/>
      <c r="F63" s="5435"/>
      <c r="G63" s="5436"/>
      <c r="H63" s="5430"/>
      <c r="I63" s="5431"/>
      <c r="J63" s="1748"/>
      <c r="K63" s="1748"/>
      <c r="M63" s="1852" t="str">
        <f>'Schedule B'!A209&amp;" - "&amp;'Schedule B'!C209</f>
        <v>FFEOSE.003F02 - OS&amp;E Items</v>
      </c>
      <c r="N63" s="1782">
        <v>3543829</v>
      </c>
      <c r="O63" s="1783">
        <f>+'Schedule K'!F24</f>
        <v>8681174.5599999987</v>
      </c>
      <c r="P63" s="1783">
        <f t="shared" si="3"/>
        <v>5137345.5599999987</v>
      </c>
      <c r="Q63" s="5506"/>
      <c r="R63" s="1784">
        <f>IF(SUM(Q63)&lt;=0,0,-SUM(O63))</f>
        <v>0</v>
      </c>
      <c r="S63" s="1833"/>
      <c r="T63" s="1833"/>
      <c r="U63" s="3590" t="s">
        <v>4501</v>
      </c>
      <c r="V63" s="3591">
        <f>+'Schedule I'!EI34</f>
        <v>0</v>
      </c>
      <c r="W63" s="3591">
        <f>+'Schedule I'!EL34</f>
        <v>0</v>
      </c>
      <c r="X63" s="4684">
        <f>+'Schedule I'!EO34</f>
        <v>0</v>
      </c>
      <c r="Y63" s="4680">
        <f>+'Schedule I'!EP34</f>
        <v>0</v>
      </c>
      <c r="Z63" s="4680">
        <f>+'Schedule I'!EQ34</f>
        <v>0</v>
      </c>
      <c r="AA63" s="1740"/>
      <c r="AB63" s="1740"/>
      <c r="AC63" s="1740"/>
      <c r="AD63" s="1740"/>
      <c r="AE63" s="1740"/>
      <c r="AF63" s="1740"/>
      <c r="AG63" s="1740"/>
      <c r="AH63" s="1740">
        <v>8</v>
      </c>
    </row>
    <row r="64" spans="3:34" ht="27.95" customHeight="1" thickBot="1">
      <c r="D64" s="3216"/>
      <c r="E64" s="3217"/>
      <c r="F64" s="3217"/>
      <c r="G64" s="4245"/>
      <c r="H64" s="5430"/>
      <c r="I64" s="5431"/>
      <c r="J64" s="1748"/>
      <c r="K64" s="1748"/>
      <c r="M64" s="1852" t="str">
        <f>'Schedule B'!A210&amp;" - "&amp;'Schedule B'!C210</f>
        <v>Included in OS&amp;E - Art Works</v>
      </c>
      <c r="N64" s="1782">
        <v>2400000</v>
      </c>
      <c r="O64" s="1783">
        <f>+'Schedule K'!F25</f>
        <v>2874723</v>
      </c>
      <c r="P64" s="1783">
        <f t="shared" si="3"/>
        <v>474723</v>
      </c>
      <c r="Q64" s="5507"/>
      <c r="R64" s="1784">
        <f>IF(SUM(Q64)&lt;=0,0,-SUM(O64))</f>
        <v>0</v>
      </c>
      <c r="S64" s="1833"/>
      <c r="U64" s="1814" t="s">
        <v>339</v>
      </c>
      <c r="V64" s="1815">
        <f>SUM(V40:V63)</f>
        <v>5755976.9000000004</v>
      </c>
      <c r="W64" s="1815">
        <f>SUM(W40:W63)</f>
        <v>-2856041.1304347827</v>
      </c>
      <c r="X64" s="3512">
        <f>SUM(X40:X63)</f>
        <v>-3483605.7739130445</v>
      </c>
      <c r="Y64" s="1816">
        <f>SUM(Y40:Y63)</f>
        <v>4460247.82</v>
      </c>
      <c r="Z64" s="1817">
        <f>SUM(Z40:Z63)</f>
        <v>10706786.58</v>
      </c>
      <c r="AA64" s="1740"/>
      <c r="AB64" s="1740"/>
      <c r="AC64" s="1740"/>
      <c r="AD64" s="1740"/>
      <c r="AE64" s="1740"/>
      <c r="AF64" s="1740"/>
      <c r="AG64" s="1740"/>
      <c r="AH64" s="1740">
        <f>SUM(AH62:AH63)</f>
        <v>232</v>
      </c>
    </row>
    <row r="65" spans="4:41" ht="27.95" customHeight="1">
      <c r="D65" s="5434"/>
      <c r="E65" s="5435"/>
      <c r="F65" s="5435"/>
      <c r="G65" s="5436"/>
      <c r="H65" s="5430"/>
      <c r="I65" s="5431"/>
      <c r="J65" s="1748"/>
      <c r="K65" s="1748"/>
      <c r="M65" s="1888" t="s">
        <v>5238</v>
      </c>
      <c r="N65" s="1889">
        <v>0</v>
      </c>
      <c r="O65" s="1890">
        <f>+'Schedule B'!H212</f>
        <v>397876</v>
      </c>
      <c r="P65" s="1890">
        <f>O65-N65</f>
        <v>397876</v>
      </c>
      <c r="Q65" s="3958">
        <v>397876</v>
      </c>
      <c r="R65" s="1891">
        <f>Q65-N65</f>
        <v>397876</v>
      </c>
      <c r="S65" s="1833"/>
      <c r="U65" s="1856"/>
      <c r="V65" s="1860"/>
      <c r="W65" s="1860"/>
      <c r="X65" s="1860"/>
      <c r="Y65" s="1860"/>
      <c r="Z65" s="1860"/>
      <c r="AA65" s="1740"/>
      <c r="AB65" s="1740"/>
      <c r="AC65" s="1740"/>
      <c r="AD65" s="1740"/>
      <c r="AE65" s="1740"/>
      <c r="AF65" s="1740"/>
      <c r="AG65" s="1740"/>
      <c r="AH65" s="1740"/>
    </row>
    <row r="66" spans="4:41" ht="30" customHeight="1" thickBot="1">
      <c r="D66" s="3491" t="s">
        <v>2929</v>
      </c>
      <c r="E66" s="3492"/>
      <c r="F66" s="3492"/>
      <c r="G66" s="3493"/>
      <c r="H66" s="5499">
        <f>H232</f>
        <v>0</v>
      </c>
      <c r="I66" s="5500"/>
      <c r="J66" s="1748"/>
      <c r="K66" s="1748"/>
      <c r="M66" s="1888" t="s">
        <v>5243</v>
      </c>
      <c r="N66" s="1889">
        <v>0</v>
      </c>
      <c r="O66" s="1890">
        <v>353487.06</v>
      </c>
      <c r="P66" s="1890">
        <f>O66-N66</f>
        <v>353487.06</v>
      </c>
      <c r="Q66" s="3958">
        <v>353487.06</v>
      </c>
      <c r="R66" s="1891">
        <f>Q66-N66</f>
        <v>353487.06</v>
      </c>
      <c r="S66" s="1833"/>
      <c r="T66" s="1833"/>
      <c r="U66" s="2117" t="s">
        <v>378</v>
      </c>
      <c r="V66" s="1818"/>
      <c r="W66" s="1818"/>
      <c r="X66" s="1818"/>
      <c r="Y66" s="1745"/>
      <c r="Z66" s="1745"/>
      <c r="AA66" s="1740"/>
      <c r="AB66" s="1740"/>
      <c r="AC66" s="1740"/>
      <c r="AD66" s="1740"/>
      <c r="AE66" s="1740"/>
      <c r="AF66" s="1740"/>
      <c r="AG66" s="1740"/>
      <c r="AH66" s="1740"/>
    </row>
    <row r="67" spans="4:41" ht="27.95" customHeight="1" thickTop="1">
      <c r="D67" s="5485"/>
      <c r="E67" s="5486"/>
      <c r="F67" s="5486"/>
      <c r="G67" s="5487"/>
      <c r="H67" s="5430"/>
      <c r="I67" s="5431"/>
      <c r="J67" s="1748"/>
      <c r="K67" s="1748"/>
      <c r="M67" s="1888" t="s">
        <v>5244</v>
      </c>
      <c r="N67" s="1889">
        <v>0</v>
      </c>
      <c r="O67" s="1890">
        <v>115998.98000000001</v>
      </c>
      <c r="P67" s="1890">
        <f>O67-N67</f>
        <v>115998.98000000001</v>
      </c>
      <c r="Q67" s="3958">
        <v>115998.98000000001</v>
      </c>
      <c r="R67" s="1891">
        <f>Q67-N67</f>
        <v>115998.98000000001</v>
      </c>
      <c r="S67" s="3187"/>
      <c r="T67" s="3188"/>
      <c r="U67" s="1763"/>
      <c r="V67" s="1820" t="s">
        <v>339</v>
      </c>
      <c r="W67" s="1820" t="s">
        <v>340</v>
      </c>
      <c r="X67" s="1820" t="s">
        <v>341</v>
      </c>
      <c r="Y67" s="1745"/>
      <c r="Z67" s="1745"/>
      <c r="AA67" s="1833"/>
      <c r="AB67" s="1781" t="s">
        <v>393</v>
      </c>
      <c r="AC67" s="1796">
        <f ca="1">COUNTIFS('Schedule E'!BQ$13:BQ$42,"&lt;180",'Schedule E'!BQ$13:BQ$42,"&gt;=120")</f>
        <v>0</v>
      </c>
      <c r="AD67" s="1794">
        <v>1</v>
      </c>
      <c r="AE67" s="1792">
        <f ca="1">AC67-AD67</f>
        <v>-1</v>
      </c>
      <c r="AF67" s="1786"/>
      <c r="AG67" s="1786"/>
      <c r="AH67" s="1740"/>
      <c r="AI67" s="1740"/>
      <c r="AJ67" s="1740"/>
      <c r="AK67" s="1740"/>
      <c r="AL67" s="1740"/>
      <c r="AM67" s="1740"/>
      <c r="AN67" s="1740"/>
      <c r="AO67" s="1740"/>
    </row>
    <row r="68" spans="4:41" ht="24.75" customHeight="1" thickBot="1">
      <c r="D68" s="5494" t="s">
        <v>339</v>
      </c>
      <c r="E68" s="5495"/>
      <c r="F68" s="5495"/>
      <c r="G68" s="5496"/>
      <c r="H68" s="5503">
        <f>+H66+H62+H59+H56+H54</f>
        <v>-215885.18999999994</v>
      </c>
      <c r="I68" s="5504"/>
      <c r="J68" s="1748"/>
      <c r="K68" s="1748"/>
      <c r="M68" s="1888" t="s">
        <v>5351</v>
      </c>
      <c r="N68" s="1889">
        <v>0</v>
      </c>
      <c r="O68" s="4634">
        <v>16655</v>
      </c>
      <c r="P68" s="1890">
        <f t="shared" ref="P68:P71" si="6">O68-N68</f>
        <v>16655</v>
      </c>
      <c r="Q68" s="4635">
        <v>16655</v>
      </c>
      <c r="R68" s="1891">
        <f t="shared" ref="R68:R71" si="7">Q68-N68</f>
        <v>16655</v>
      </c>
      <c r="S68" s="3187"/>
      <c r="T68" s="1833"/>
      <c r="U68" s="1781" t="s">
        <v>380</v>
      </c>
      <c r="V68" s="2127">
        <f>'Schedule E'!AP14+'Schedule E'!AP15+'Schedule E'!AP16+'Schedule E'!AP17+'Schedule E'!AP18+'Schedule E'!AP32</f>
        <v>6747085.3268084787</v>
      </c>
      <c r="W68" s="2127">
        <v>6747085.3268084787</v>
      </c>
      <c r="X68" s="2127">
        <f>V68-W68</f>
        <v>0</v>
      </c>
      <c r="Y68" s="1745"/>
      <c r="Z68" s="1745"/>
      <c r="AA68" s="1740"/>
      <c r="AB68" s="1740"/>
      <c r="AC68" s="1740"/>
      <c r="AD68" s="1740"/>
      <c r="AE68" s="1740"/>
      <c r="AF68" s="1740"/>
      <c r="AG68" s="1740"/>
      <c r="AH68" s="1740"/>
    </row>
    <row r="69" spans="4:41" ht="26.25" customHeight="1">
      <c r="D69" s="5501" t="s">
        <v>305</v>
      </c>
      <c r="E69" s="5501"/>
      <c r="F69" s="5501"/>
      <c r="G69" s="5501"/>
      <c r="H69" s="5501"/>
      <c r="I69" s="5501"/>
      <c r="J69" s="1748"/>
      <c r="K69" s="1748"/>
      <c r="M69" s="1888" t="s">
        <v>5352</v>
      </c>
      <c r="N69" s="1889">
        <v>0</v>
      </c>
      <c r="O69" s="4634">
        <v>34719</v>
      </c>
      <c r="P69" s="1890">
        <f t="shared" si="6"/>
        <v>34719</v>
      </c>
      <c r="Q69" s="4635">
        <v>34719</v>
      </c>
      <c r="R69" s="1891">
        <f t="shared" si="7"/>
        <v>34719</v>
      </c>
      <c r="S69" s="1833"/>
      <c r="T69" s="1833"/>
      <c r="U69" s="1781" t="s">
        <v>381</v>
      </c>
      <c r="V69" s="2127">
        <v>0</v>
      </c>
      <c r="W69" s="2127">
        <v>0</v>
      </c>
      <c r="X69" s="2127">
        <v>0</v>
      </c>
      <c r="Y69" s="1745"/>
      <c r="Z69" s="1745"/>
      <c r="AA69" s="1740"/>
      <c r="AB69" s="1740"/>
      <c r="AC69" s="1740"/>
      <c r="AD69" s="1740"/>
      <c r="AE69" s="1740"/>
      <c r="AF69" s="1740"/>
      <c r="AG69" s="1740"/>
      <c r="AH69" s="1740"/>
    </row>
    <row r="70" spans="4:41" ht="31.5" customHeight="1">
      <c r="D70" s="5502"/>
      <c r="E70" s="5502"/>
      <c r="F70" s="5502"/>
      <c r="G70" s="5502"/>
      <c r="H70" s="5502"/>
      <c r="I70" s="5502"/>
      <c r="J70" s="1748"/>
      <c r="K70" s="1748"/>
      <c r="M70" s="1888" t="s">
        <v>5353</v>
      </c>
      <c r="N70" s="1889">
        <v>0</v>
      </c>
      <c r="O70" s="4634">
        <v>3633.9</v>
      </c>
      <c r="P70" s="1890">
        <f t="shared" si="6"/>
        <v>3633.9</v>
      </c>
      <c r="Q70" s="4635">
        <v>3633.9</v>
      </c>
      <c r="R70" s="1891">
        <f t="shared" si="7"/>
        <v>3633.9</v>
      </c>
      <c r="S70" s="1833"/>
      <c r="T70" s="1833"/>
      <c r="U70" s="1781" t="s">
        <v>388</v>
      </c>
      <c r="V70" s="4069">
        <f>+'Schedule E'!AB14+'Schedule E'!AB15+'Schedule E'!AB34+'Schedule E'!AB35+'Schedule E'!AB44</f>
        <v>668</v>
      </c>
      <c r="W70" s="4070">
        <v>668</v>
      </c>
      <c r="X70" s="1792">
        <f>V70-W70</f>
        <v>0</v>
      </c>
      <c r="Y70" s="1745"/>
      <c r="Z70" s="1745"/>
      <c r="AA70" s="1740"/>
      <c r="AB70" s="1740"/>
      <c r="AC70" s="1740"/>
      <c r="AD70" s="1740"/>
      <c r="AE70" s="1740"/>
      <c r="AF70" s="1740"/>
      <c r="AG70" s="1740"/>
      <c r="AH70" s="1740"/>
    </row>
    <row r="71" spans="4:41" ht="24" customHeight="1">
      <c r="D71" s="1763" t="s">
        <v>331</v>
      </c>
      <c r="E71" s="1764" t="s">
        <v>409</v>
      </c>
      <c r="F71" s="1764" t="s">
        <v>410</v>
      </c>
      <c r="G71" s="1764" t="s">
        <v>2557</v>
      </c>
      <c r="H71" s="1764" t="s">
        <v>411</v>
      </c>
      <c r="I71" s="1766" t="s">
        <v>412</v>
      </c>
      <c r="J71" s="1748"/>
      <c r="K71" s="1748"/>
      <c r="M71" s="1888" t="s">
        <v>5354</v>
      </c>
      <c r="N71" s="1889">
        <v>0</v>
      </c>
      <c r="O71" s="4634">
        <v>58307.19</v>
      </c>
      <c r="P71" s="1890">
        <f t="shared" si="6"/>
        <v>58307.19</v>
      </c>
      <c r="Q71" s="4635">
        <v>58307.19</v>
      </c>
      <c r="R71" s="1891">
        <f t="shared" si="7"/>
        <v>58307.19</v>
      </c>
      <c r="S71" s="1833"/>
      <c r="T71" s="1833"/>
      <c r="U71" s="1781" t="s">
        <v>389</v>
      </c>
      <c r="V71" s="4069">
        <f>+'Schedule E'!AD14+96+'Schedule E'!AD34+'Schedule E'!AD35+'Schedule E'!AD44</f>
        <v>378</v>
      </c>
      <c r="W71" s="4070">
        <v>378</v>
      </c>
      <c r="X71" s="1792">
        <f>V71-W71</f>
        <v>0</v>
      </c>
      <c r="AA71" s="1740"/>
      <c r="AB71" s="1740"/>
      <c r="AC71" s="1740"/>
      <c r="AD71" s="1740"/>
      <c r="AE71" s="1740"/>
      <c r="AF71" s="1740"/>
      <c r="AG71" s="1740"/>
      <c r="AH71" s="1740"/>
    </row>
    <row r="72" spans="4:41" ht="22.5" customHeight="1">
      <c r="D72" s="1770" t="str">
        <f>PROPER('Schedule B'!C15)</f>
        <v>Professional Services</v>
      </c>
      <c r="E72" s="1771">
        <f>SUM(E73:E82)</f>
        <v>25075830.099999998</v>
      </c>
      <c r="F72" s="1771">
        <f>SUM(F73:F82)</f>
        <v>24713374.870000001</v>
      </c>
      <c r="G72" s="1771">
        <f>SUM(G73:G82)</f>
        <v>24672062.579999998</v>
      </c>
      <c r="H72" s="1771">
        <f>SUM(H73:H82)</f>
        <v>403767.52000000229</v>
      </c>
      <c r="I72" s="1772">
        <f>+G72/E72</f>
        <v>0.98389813942789472</v>
      </c>
      <c r="J72" s="1760"/>
      <c r="K72" s="1748"/>
      <c r="M72" s="1888" t="s">
        <v>5426</v>
      </c>
      <c r="N72" s="1889">
        <v>0</v>
      </c>
      <c r="O72" s="4634">
        <v>57135</v>
      </c>
      <c r="P72" s="1890">
        <f t="shared" ref="P72" si="8">O72-N72</f>
        <v>57135</v>
      </c>
      <c r="Q72" s="4635">
        <v>57135</v>
      </c>
      <c r="R72" s="1891">
        <f t="shared" ref="R72" si="9">Q72-N72</f>
        <v>57135</v>
      </c>
      <c r="S72" s="1833"/>
      <c r="T72" s="1833"/>
      <c r="U72" s="1781" t="s">
        <v>390</v>
      </c>
      <c r="V72" s="1791">
        <f ca="1">COUNTIF('Schedule E'!BQ$13:BQ$47,"&lt;60")</f>
        <v>0</v>
      </c>
      <c r="W72" s="1792">
        <v>0</v>
      </c>
      <c r="X72" s="1792">
        <f ca="1">V72-W72</f>
        <v>0</v>
      </c>
      <c r="AA72" s="1740"/>
      <c r="AB72" s="1740"/>
      <c r="AC72" s="1740"/>
      <c r="AD72" s="1740"/>
      <c r="AE72" s="1740"/>
      <c r="AF72" s="1740"/>
      <c r="AG72" s="1740"/>
      <c r="AH72" s="1740"/>
    </row>
    <row r="73" spans="4:41">
      <c r="D73" s="1852" t="str">
        <f>'Schedule B'!A17&amp;" - "&amp;'Schedule B'!C17</f>
        <v>PS.003D01 -  Dewan Architects &amp; Engineers 2200445</v>
      </c>
      <c r="E73" s="1783">
        <f>'Schedule B'!K17</f>
        <v>9290526.0999999996</v>
      </c>
      <c r="F73" s="1783">
        <f>+'Schedule H DAE'!J69</f>
        <v>9068064.4999999981</v>
      </c>
      <c r="G73" s="1783">
        <f>+'Schedule B'!U17</f>
        <v>9026746.0999999978</v>
      </c>
      <c r="H73" s="1783">
        <f t="shared" ref="H73:H108" si="10">E73-G73</f>
        <v>263780.00000000186</v>
      </c>
      <c r="I73" s="1853">
        <f>+G73/E73</f>
        <v>0.97160763586897392</v>
      </c>
      <c r="J73" s="1740"/>
      <c r="K73" s="1740"/>
      <c r="M73" s="1371" t="s">
        <v>339</v>
      </c>
      <c r="N73" s="1372">
        <f>SUM(N29:N72)</f>
        <v>282105012.13339579</v>
      </c>
      <c r="O73" s="1372">
        <f t="shared" ref="O73:R73" si="11">SUM(O29:O72)</f>
        <v>482577752.95551842</v>
      </c>
      <c r="P73" s="1372">
        <f t="shared" si="11"/>
        <v>200472740.82212269</v>
      </c>
      <c r="Q73" s="1372">
        <f t="shared" si="11"/>
        <v>514720720.34999996</v>
      </c>
      <c r="R73" s="1372">
        <f t="shared" si="11"/>
        <v>251699537.2166042</v>
      </c>
      <c r="S73" s="1833"/>
      <c r="T73" s="1833"/>
      <c r="U73" s="1781" t="s">
        <v>391</v>
      </c>
      <c r="V73" s="1791">
        <f ca="1">COUNTIFS('Schedule E'!BQ$13:BQ$47,"&lt;120",'Schedule E'!BQ$13:BQ$47,"&gt;=60")</f>
        <v>0</v>
      </c>
      <c r="W73" s="1794">
        <v>0</v>
      </c>
      <c r="X73" s="1792">
        <f ca="1">V73-W73</f>
        <v>0</v>
      </c>
      <c r="AA73" s="1740"/>
      <c r="AB73" s="1740"/>
      <c r="AC73" s="1740"/>
      <c r="AD73" s="1740"/>
      <c r="AE73" s="1740"/>
      <c r="AF73" s="1740"/>
      <c r="AG73" s="1740"/>
      <c r="AH73" s="1740"/>
    </row>
    <row r="74" spans="4:41" ht="25.5" customHeight="1">
      <c r="D74" s="1852" t="str">
        <f>'Schedule B'!A18&amp;" - "&amp;'Schedule B'!C18</f>
        <v>PS.003D02 - HKS Architects Ltd - Design Competition Fees 2200010</v>
      </c>
      <c r="E74" s="1783">
        <f>'Schedule B'!K18</f>
        <v>555960.36</v>
      </c>
      <c r="F74" s="1783">
        <f>+'Schedule H HKS 1'!J37</f>
        <v>555960</v>
      </c>
      <c r="G74" s="1783">
        <f>+'Schedule B'!U18</f>
        <v>555960</v>
      </c>
      <c r="H74" s="1783">
        <f t="shared" si="10"/>
        <v>0.35999999998603016</v>
      </c>
      <c r="I74" s="1853">
        <f t="shared" ref="I74:I102" si="12">+G74/E74</f>
        <v>0.99999935247182015</v>
      </c>
      <c r="J74" s="1740"/>
      <c r="K74" s="1855"/>
      <c r="M74" s="2898"/>
      <c r="N74" s="1819"/>
      <c r="O74" s="1819"/>
      <c r="P74" s="2900"/>
      <c r="Q74" s="3185"/>
      <c r="R74" s="2900"/>
      <c r="S74" s="1833"/>
      <c r="T74" s="1833"/>
      <c r="U74" s="1781" t="s">
        <v>394</v>
      </c>
      <c r="V74" s="1791">
        <f ca="1">COUNTIF('Schedule E'!BQ$13:BQ$347,"&gt;=180")</f>
        <v>3</v>
      </c>
      <c r="W74" s="1794">
        <v>3</v>
      </c>
      <c r="X74" s="1792">
        <f ca="1">V74-W74</f>
        <v>0</v>
      </c>
      <c r="AA74" s="1740"/>
      <c r="AB74" s="1740"/>
      <c r="AC74" s="1740"/>
      <c r="AD74" s="1740"/>
      <c r="AE74" s="1740"/>
      <c r="AF74" s="1740"/>
      <c r="AG74" s="1740"/>
      <c r="AH74" s="1740"/>
    </row>
    <row r="75" spans="4:41" ht="24" customHeight="1">
      <c r="D75" s="1852" t="str">
        <f>'Schedule B'!A19&amp;" - "&amp;'Schedule B'!C19</f>
        <v>PS.003D03 - HKS Architects Ltd - Design Architect Fees 2200375</v>
      </c>
      <c r="E75" s="1783">
        <f>'Schedule B'!K19</f>
        <v>10801429</v>
      </c>
      <c r="F75" s="1783">
        <f>+'Schedule H HKS 2'!J37</f>
        <v>10801428.459999999</v>
      </c>
      <c r="G75" s="1783">
        <f>+'Schedule B'!U19</f>
        <v>10801428.459999999</v>
      </c>
      <c r="H75" s="1783">
        <f t="shared" si="10"/>
        <v>0.54000000096857548</v>
      </c>
      <c r="I75" s="1853">
        <f>+G75/E75</f>
        <v>0.99999995000661479</v>
      </c>
      <c r="J75" s="1740"/>
      <c r="M75" s="3320" t="str">
        <f>'Schedule B'!A156&amp;" - "&amp;'Schedule B'!C156</f>
        <v>CN.100C01 (MVW) - Hard and Soft Landscaping</v>
      </c>
      <c r="N75" s="1889">
        <v>13329115.5848633</v>
      </c>
      <c r="O75" s="1890">
        <f>+'Schedule K'!F28</f>
        <v>0</v>
      </c>
      <c r="P75" s="1890">
        <f>O75-N75</f>
        <v>-13329115.5848633</v>
      </c>
      <c r="Q75" s="1891">
        <v>19746260.640000001</v>
      </c>
      <c r="R75" s="1891">
        <f>Q75-N75</f>
        <v>6417145.0551367011</v>
      </c>
      <c r="S75" s="1833"/>
      <c r="U75" s="1856"/>
      <c r="V75" s="2811"/>
      <c r="X75" s="2811"/>
      <c r="AA75" s="1740"/>
      <c r="AB75" s="1740"/>
      <c r="AC75" s="1740"/>
      <c r="AD75" s="1740"/>
      <c r="AE75" s="1740"/>
      <c r="AF75" s="1740"/>
      <c r="AG75" s="1740"/>
      <c r="AH75" s="1740"/>
    </row>
    <row r="76" spans="4:41" ht="25.5" customHeight="1">
      <c r="D76" s="1852" t="str">
        <f>'Schedule B'!A20&amp;" - "&amp;'Schedule B'!C20</f>
        <v>PS.003D04 - Applied Technology and Management Inc (Dubai BR)s  2210167</v>
      </c>
      <c r="E76" s="1783">
        <f>'Schedule B'!K20</f>
        <v>93750</v>
      </c>
      <c r="F76" s="1783">
        <f>+'Schedule H ATM'!J37</f>
        <v>93750</v>
      </c>
      <c r="G76" s="1783">
        <f>+'Schedule B'!U20</f>
        <v>93750</v>
      </c>
      <c r="H76" s="1783">
        <f t="shared" si="10"/>
        <v>0</v>
      </c>
      <c r="I76" s="1853">
        <f t="shared" si="12"/>
        <v>1</v>
      </c>
      <c r="J76" s="1857"/>
      <c r="M76" s="3494"/>
      <c r="N76" s="3495"/>
      <c r="O76" s="3495"/>
      <c r="P76" s="3496"/>
      <c r="Q76" s="3497"/>
      <c r="R76" s="3496"/>
      <c r="S76" s="1833"/>
      <c r="U76" s="3369"/>
      <c r="V76" s="3370"/>
      <c r="W76" s="3371"/>
      <c r="X76" s="3370"/>
      <c r="Z76" s="3372"/>
      <c r="AA76" s="1740"/>
      <c r="AB76" s="1740"/>
      <c r="AC76" s="1740"/>
      <c r="AD76" s="1740"/>
      <c r="AE76" s="1740"/>
      <c r="AF76" s="1740"/>
      <c r="AG76" s="1740"/>
      <c r="AH76" s="1740"/>
    </row>
    <row r="77" spans="4:41" ht="21.75" customHeight="1">
      <c r="D77" s="1852" t="str">
        <f>'Schedule B'!A21&amp;" - "&amp;'Schedule B'!C21</f>
        <v>PS.003D05 - Langan International UK Limited 2230042</v>
      </c>
      <c r="E77" s="1783">
        <f>+'Schedule B'!K21</f>
        <v>170469.9</v>
      </c>
      <c r="F77" s="1783">
        <f>+'Schedule H LIU'!J37</f>
        <v>168421.05</v>
      </c>
      <c r="G77" s="1783">
        <f>+'Schedule B'!U21</f>
        <v>168421.05</v>
      </c>
      <c r="H77" s="1783">
        <f t="shared" si="10"/>
        <v>2048.8500000000058</v>
      </c>
      <c r="I77" s="1853">
        <f t="shared" si="12"/>
        <v>0.98798116265686786</v>
      </c>
      <c r="J77" s="1857"/>
      <c r="M77" s="5467" t="s">
        <v>301</v>
      </c>
      <c r="N77" s="5467"/>
      <c r="O77" s="5467"/>
      <c r="P77" s="5467"/>
      <c r="Q77" s="5467"/>
      <c r="R77" s="5467"/>
      <c r="S77" s="1833"/>
      <c r="U77" s="2858" t="s">
        <v>303</v>
      </c>
      <c r="V77" s="2858"/>
      <c r="W77" s="2858"/>
      <c r="X77" s="2858"/>
      <c r="Y77" s="2858"/>
      <c r="Z77" s="2858"/>
      <c r="AA77" s="1740"/>
      <c r="AB77" s="1740"/>
      <c r="AC77" s="1740"/>
      <c r="AD77" s="1740"/>
      <c r="AE77" s="1740"/>
      <c r="AF77" s="1740"/>
      <c r="AG77" s="1740"/>
      <c r="AH77" s="1740"/>
    </row>
    <row r="78" spans="4:41" ht="21.95" customHeight="1">
      <c r="D78" s="1852" t="str">
        <f>'Schedule B'!A22&amp;" - "&amp;'Schedule B'!C22</f>
        <v>PS.003F01 - Zuhair Fayez and Partners 2230041</v>
      </c>
      <c r="E78" s="1783">
        <f>+'Schedule B'!K22</f>
        <v>106231.5</v>
      </c>
      <c r="F78" s="1783">
        <f>+'Schedule H ZFP'!J37</f>
        <v>106231.5</v>
      </c>
      <c r="G78" s="1783">
        <f>+'Schedule B'!U22</f>
        <v>106231.5</v>
      </c>
      <c r="H78" s="1783">
        <f t="shared" si="10"/>
        <v>0</v>
      </c>
      <c r="I78" s="1853">
        <f t="shared" si="12"/>
        <v>1</v>
      </c>
      <c r="J78" s="1857"/>
      <c r="M78" s="5467"/>
      <c r="N78" s="5467"/>
      <c r="O78" s="5467"/>
      <c r="P78" s="5467"/>
      <c r="Q78" s="5467"/>
      <c r="R78" s="5467"/>
      <c r="U78" s="2859"/>
      <c r="V78" s="2859"/>
      <c r="W78" s="2859"/>
      <c r="X78" s="2859"/>
      <c r="Y78" s="2859"/>
      <c r="Z78" s="2859"/>
      <c r="AA78" s="1740"/>
      <c r="AB78" s="1740"/>
      <c r="AC78" s="1740"/>
      <c r="AD78" s="1740"/>
      <c r="AE78" s="1740"/>
    </row>
    <row r="79" spans="4:41">
      <c r="D79" s="1852" t="str">
        <f>'Schedule B'!A24&amp;" - "&amp;'Schedule B'!C24</f>
        <v>PS.003F04 - Jensen Hughes Saudi Arabia Co 2230180</v>
      </c>
      <c r="E79" s="1783">
        <f>+'Schedule B'!K24</f>
        <v>70591.899999999994</v>
      </c>
      <c r="F79" s="1783">
        <v>0</v>
      </c>
      <c r="G79" s="1783">
        <f>+'Schedule B'!U24</f>
        <v>0</v>
      </c>
      <c r="H79" s="1783">
        <f t="shared" si="10"/>
        <v>70591.899999999994</v>
      </c>
      <c r="I79" s="1853">
        <f t="shared" si="12"/>
        <v>0</v>
      </c>
      <c r="J79" s="1857"/>
      <c r="K79" s="1861"/>
      <c r="M79" s="1763" t="s">
        <v>331</v>
      </c>
      <c r="N79" s="1764" t="s">
        <v>383</v>
      </c>
      <c r="O79" s="1764" t="s">
        <v>384</v>
      </c>
      <c r="P79" s="1764" t="s">
        <v>385</v>
      </c>
      <c r="Q79" s="1765" t="s">
        <v>386</v>
      </c>
      <c r="R79" s="1766" t="s">
        <v>387</v>
      </c>
      <c r="U79" s="1763" t="s">
        <v>331</v>
      </c>
      <c r="V79" s="1764" t="s">
        <v>404</v>
      </c>
      <c r="W79" s="1764" t="s">
        <v>405</v>
      </c>
      <c r="X79" s="1765" t="s">
        <v>406</v>
      </c>
      <c r="Y79" s="1764" t="s">
        <v>407</v>
      </c>
      <c r="Z79" s="1848" t="s">
        <v>408</v>
      </c>
      <c r="AA79" s="1740"/>
      <c r="AB79" s="1740"/>
      <c r="AC79" s="1740"/>
      <c r="AD79" s="1740"/>
      <c r="AE79" s="1740"/>
    </row>
    <row r="80" spans="4:41" ht="26.25" customHeight="1">
      <c r="D80" s="1852" t="str">
        <f>+M38</f>
        <v>PS.003F10 - Langan-Prf Fees COO 30</v>
      </c>
      <c r="E80" s="1783">
        <f>+'Schedule B'!K25</f>
        <v>14303.199999999997</v>
      </c>
      <c r="F80" s="1783">
        <v>0</v>
      </c>
      <c r="G80" s="1783">
        <f>+'Schedule B'!U39</f>
        <v>0</v>
      </c>
      <c r="H80" s="1783">
        <f t="shared" si="10"/>
        <v>14303.199999999997</v>
      </c>
      <c r="I80" s="1853">
        <f t="shared" si="12"/>
        <v>0</v>
      </c>
      <c r="M80" s="1770" t="str">
        <f>D89</f>
        <v xml:space="preserve">Construction Works   </v>
      </c>
      <c r="N80" s="1771"/>
      <c r="O80" s="1771"/>
      <c r="P80" s="1771"/>
      <c r="Q80" s="1771"/>
      <c r="R80" s="1772"/>
      <c r="U80" s="1849" t="str">
        <f>D72</f>
        <v>Professional Services</v>
      </c>
      <c r="V80" s="1850"/>
      <c r="W80" s="1850"/>
      <c r="X80" s="1850"/>
      <c r="Y80" s="1850"/>
      <c r="Z80" s="1851"/>
      <c r="AA80" s="1740"/>
      <c r="AB80" s="1740"/>
      <c r="AC80" s="1740"/>
      <c r="AD80" s="1740"/>
      <c r="AE80" s="1740"/>
    </row>
    <row r="81" spans="2:31" ht="24.75" customHeight="1">
      <c r="D81" s="1852" t="str">
        <f>'Schedule B'!A23&amp;" - "&amp;'Schedule B'!C23</f>
        <v>PS.003D06 - Ministry of Municipality and Rural Affairs (Tabuk)</v>
      </c>
      <c r="E81" s="1783">
        <f>+'Schedule B'!K23</f>
        <v>45677.599999999999</v>
      </c>
      <c r="F81" s="1783">
        <v>45677.599999999999</v>
      </c>
      <c r="G81" s="1783">
        <f>+'Schedule B'!U23</f>
        <v>45677.599999999999</v>
      </c>
      <c r="H81" s="1783">
        <f t="shared" si="10"/>
        <v>0</v>
      </c>
      <c r="I81" s="1853">
        <f t="shared" ref="I81:I86" si="13">+G81/E81</f>
        <v>1</v>
      </c>
      <c r="M81" s="1852" t="s">
        <v>2018</v>
      </c>
      <c r="N81" s="1830">
        <v>1</v>
      </c>
      <c r="O81" s="1784">
        <f>'Schedule B'!H70</f>
        <v>282972</v>
      </c>
      <c r="P81" s="1831">
        <v>0</v>
      </c>
      <c r="Q81" s="1784">
        <v>0</v>
      </c>
      <c r="R81" s="1784">
        <f>O81-Q81</f>
        <v>282972</v>
      </c>
      <c r="U81" s="2812" t="str">
        <f>D73</f>
        <v>PS.003D01 -  Dewan Architects &amp; Engineers 2200445</v>
      </c>
      <c r="V81" s="3196"/>
      <c r="W81" s="3196"/>
      <c r="X81" s="3197"/>
      <c r="Y81" s="3197"/>
      <c r="Z81" s="3198"/>
      <c r="AA81" s="1740"/>
      <c r="AB81" s="1740"/>
      <c r="AC81" s="1740"/>
      <c r="AD81" s="1740"/>
    </row>
    <row r="82" spans="2:31" ht="29.25" customHeight="1">
      <c r="D82" s="1852" t="str">
        <f>'Schedule B'!A26&amp;" - "&amp;'Schedule B'!C26</f>
        <v>PS.003F08 - CML (Independent Commissioning Agent) COO 7</v>
      </c>
      <c r="E82" s="1783">
        <f>+'Schedule B'!K26</f>
        <v>3926890.54</v>
      </c>
      <c r="F82" s="1783">
        <f>+'Schedule H'!R39</f>
        <v>3873841.7600000007</v>
      </c>
      <c r="G82" s="1783">
        <f>+'Schedule H'!S39</f>
        <v>3873847.8700000006</v>
      </c>
      <c r="H82" s="1783">
        <f>E82-G82</f>
        <v>53042.66999999946</v>
      </c>
      <c r="I82" s="1853">
        <f t="shared" si="13"/>
        <v>0.98649245007985387</v>
      </c>
      <c r="K82" s="1861"/>
      <c r="M82" s="3186" t="s">
        <v>2549</v>
      </c>
      <c r="N82" s="1830">
        <v>1</v>
      </c>
      <c r="O82" s="1784">
        <v>3947.37</v>
      </c>
      <c r="P82" s="1831">
        <v>0</v>
      </c>
      <c r="Q82" s="1784">
        <v>0</v>
      </c>
      <c r="R82" s="1784">
        <f>O82-Q82</f>
        <v>3947.37</v>
      </c>
      <c r="U82" s="2813" t="str">
        <f>+D74</f>
        <v>PS.003D02 - HKS Architects Ltd - Design Competition Fees 2200010</v>
      </c>
      <c r="V82" s="3199" t="s">
        <v>417</v>
      </c>
      <c r="W82" s="3199" t="s">
        <v>417</v>
      </c>
      <c r="X82" s="3200"/>
      <c r="Y82" s="3200"/>
      <c r="Z82" s="3201"/>
    </row>
    <row r="83" spans="2:31" ht="23.25" customHeight="1">
      <c r="D83" s="1770" t="str">
        <f>PROPER('Schedule B'!C31)</f>
        <v>Management Supervision</v>
      </c>
      <c r="E83" s="1771">
        <f>SUM(E84:E86)</f>
        <v>14368091.380000001</v>
      </c>
      <c r="F83" s="1771">
        <f>SUM(F84:F86)</f>
        <v>14261136.640000001</v>
      </c>
      <c r="G83" s="1771">
        <f>SUM(G84:G86)</f>
        <v>14265377.640000001</v>
      </c>
      <c r="H83" s="1771">
        <f>SUM(H84:H86)</f>
        <v>102713.74</v>
      </c>
      <c r="I83" s="1772">
        <f t="shared" si="13"/>
        <v>0.99285126066618878</v>
      </c>
      <c r="M83" s="3187"/>
      <c r="N83" s="3188"/>
      <c r="O83" s="3189"/>
      <c r="P83" s="3190"/>
      <c r="Q83" s="3189"/>
      <c r="R83" s="3189"/>
      <c r="T83" s="1786"/>
      <c r="U83" s="2813" t="str">
        <f>+D76</f>
        <v>PS.003D04 - Applied Technology and Management Inc (Dubai BR)s  2210167</v>
      </c>
      <c r="V83" s="3199" t="s">
        <v>417</v>
      </c>
      <c r="W83" s="3199" t="s">
        <v>417</v>
      </c>
      <c r="X83" s="3202"/>
      <c r="Y83" s="3202"/>
      <c r="Z83" s="3203"/>
      <c r="AA83" s="1740"/>
      <c r="AB83" s="1740"/>
      <c r="AC83" s="1740"/>
      <c r="AD83" s="1740"/>
    </row>
    <row r="84" spans="2:31" ht="27" customHeight="1">
      <c r="B84" s="1741"/>
      <c r="D84" s="1852" t="str">
        <f>'Schedule B'!A33&amp;" - "&amp;'Schedule B'!C33</f>
        <v>MS.003F02 - Khatib &amp; Alami 2230031</v>
      </c>
      <c r="E84" s="1783">
        <f>+'Schedule B'!K33</f>
        <v>14131907</v>
      </c>
      <c r="F84" s="1783">
        <f>+'Schedule H KAA'!J41</f>
        <v>14078459</v>
      </c>
      <c r="G84" s="1783">
        <f>+'Schedule B'!U33</f>
        <v>14082700</v>
      </c>
      <c r="H84" s="1783">
        <f t="shared" si="10"/>
        <v>49207</v>
      </c>
      <c r="I84" s="1853">
        <f t="shared" si="13"/>
        <v>0.99651802124087008</v>
      </c>
      <c r="M84" s="3498" t="s">
        <v>2930</v>
      </c>
      <c r="N84" s="3499"/>
      <c r="O84" s="3499"/>
      <c r="P84" s="3499"/>
      <c r="Q84" s="3189"/>
      <c r="R84" s="3189"/>
      <c r="U84" s="2813" t="str">
        <f>+D77</f>
        <v>PS.003D05 - Langan International UK Limited 2230042</v>
      </c>
      <c r="V84" s="3199" t="s">
        <v>417</v>
      </c>
      <c r="W84" s="3199" t="s">
        <v>417</v>
      </c>
      <c r="X84" s="3200"/>
      <c r="Y84" s="3200"/>
      <c r="Z84" s="3199"/>
      <c r="AA84" s="1740"/>
      <c r="AB84" s="1740"/>
      <c r="AC84" s="1740"/>
      <c r="AD84" s="1740"/>
      <c r="AE84" s="1740"/>
    </row>
    <row r="85" spans="2:31" ht="35.450000000000003" customHeight="1">
      <c r="B85" s="1741"/>
      <c r="D85" s="1852" t="s">
        <v>2828</v>
      </c>
      <c r="E85" s="1783">
        <f>+'Schedule B'!K34</f>
        <v>182184.38</v>
      </c>
      <c r="F85" s="1783">
        <f>+'Schedule H'!R40</f>
        <v>128677.64</v>
      </c>
      <c r="G85" s="1783">
        <f>+'Schedule H'!S40</f>
        <v>128677.64</v>
      </c>
      <c r="H85" s="1783">
        <f>E85-G85</f>
        <v>53506.740000000005</v>
      </c>
      <c r="I85" s="1853">
        <f t="shared" si="13"/>
        <v>0.70630445925166574</v>
      </c>
      <c r="M85" s="1763"/>
      <c r="N85" s="1820" t="s">
        <v>339</v>
      </c>
      <c r="O85" s="1820" t="s">
        <v>340</v>
      </c>
      <c r="P85" s="1820" t="s">
        <v>397</v>
      </c>
      <c r="Q85" s="3189"/>
      <c r="R85" s="3189"/>
      <c r="S85" s="1786"/>
      <c r="U85" s="2814" t="str">
        <f>+D78</f>
        <v>PS.003F01 - Zuhair Fayez and Partners 2230041</v>
      </c>
      <c r="V85" s="3199" t="s">
        <v>417</v>
      </c>
      <c r="W85" s="3199" t="s">
        <v>417</v>
      </c>
      <c r="X85" s="3204"/>
      <c r="Y85" s="3204"/>
      <c r="Z85" s="3201"/>
      <c r="AA85" s="1740"/>
      <c r="AB85" s="1740"/>
      <c r="AC85" s="1740"/>
      <c r="AD85" s="1740"/>
      <c r="AE85" s="1740"/>
    </row>
    <row r="86" spans="2:31" ht="22.5">
      <c r="B86" s="1741"/>
      <c r="D86" s="1852" t="s">
        <v>3696</v>
      </c>
      <c r="E86" s="1783">
        <f>+'Schedule B'!H35</f>
        <v>54000</v>
      </c>
      <c r="F86" s="1783">
        <f>+'Schedule H'!R41</f>
        <v>54000</v>
      </c>
      <c r="G86" s="1783">
        <f>+'Schedule H'!S41</f>
        <v>54000</v>
      </c>
      <c r="H86" s="1783">
        <f>E86-G86</f>
        <v>0</v>
      </c>
      <c r="I86" s="1853">
        <f t="shared" si="13"/>
        <v>1</v>
      </c>
      <c r="M86" s="1763" t="s">
        <v>398</v>
      </c>
      <c r="N86" s="1836">
        <f>SUM(N87:N90)</f>
        <v>184</v>
      </c>
      <c r="O86" s="1836">
        <v>182</v>
      </c>
      <c r="P86" s="1836">
        <f>SUM(P87:P90)</f>
        <v>2</v>
      </c>
      <c r="U86" s="2814" t="str">
        <f>+D79</f>
        <v>PS.003F04 - Jensen Hughes Saudi Arabia Co 2230180</v>
      </c>
      <c r="V86" s="3196"/>
      <c r="W86" s="3196"/>
      <c r="X86" s="3204"/>
      <c r="Y86" s="3204"/>
      <c r="Z86" s="3201"/>
      <c r="AA86" s="1740"/>
      <c r="AB86" s="1740"/>
      <c r="AC86" s="1740"/>
      <c r="AD86" s="1740"/>
      <c r="AE86" s="1740"/>
    </row>
    <row r="87" spans="2:31" ht="22.5" customHeight="1">
      <c r="B87" s="1741"/>
      <c r="D87" s="1770" t="str">
        <f>PROPER('Schedule B'!C47)</f>
        <v>Commercial Management</v>
      </c>
      <c r="E87" s="1771">
        <f>SUM(E88)</f>
        <v>0</v>
      </c>
      <c r="F87" s="1771">
        <f>SUM(F88)</f>
        <v>0</v>
      </c>
      <c r="G87" s="1771">
        <f>SUM(G88)</f>
        <v>0</v>
      </c>
      <c r="H87" s="1771">
        <f>SUM(H88)</f>
        <v>0</v>
      </c>
      <c r="I87" s="1772"/>
      <c r="M87" s="1781" t="s">
        <v>399</v>
      </c>
      <c r="N87" s="1843">
        <f>'Schedule C'!AE7</f>
        <v>144</v>
      </c>
      <c r="O87" s="1843">
        <v>144</v>
      </c>
      <c r="P87" s="1843">
        <f>N87-O87</f>
        <v>0</v>
      </c>
      <c r="U87" s="2814" t="str">
        <f>+M38</f>
        <v>PS.003F10 - Langan-Prf Fees COO 30</v>
      </c>
      <c r="V87" s="3196"/>
      <c r="W87" s="3196"/>
      <c r="X87" s="3204"/>
      <c r="Y87" s="3204"/>
      <c r="Z87" s="3201"/>
      <c r="AA87" s="1740"/>
      <c r="AB87" s="1740"/>
      <c r="AC87" s="1740"/>
      <c r="AD87" s="1740"/>
      <c r="AE87" s="1740"/>
    </row>
    <row r="88" spans="2:31" ht="22.5">
      <c r="B88" s="1741"/>
      <c r="C88" s="1741"/>
      <c r="D88" s="1781" t="s">
        <v>421</v>
      </c>
      <c r="E88" s="1783">
        <v>0</v>
      </c>
      <c r="F88" s="1783">
        <v>0</v>
      </c>
      <c r="G88" s="1783">
        <v>0</v>
      </c>
      <c r="H88" s="1783">
        <f t="shared" si="10"/>
        <v>0</v>
      </c>
      <c r="I88" s="1853">
        <v>0</v>
      </c>
      <c r="M88" s="1844" t="s">
        <v>400</v>
      </c>
      <c r="N88" s="1845">
        <f>'Schedule C'!AE8</f>
        <v>24</v>
      </c>
      <c r="O88" s="1845">
        <v>22</v>
      </c>
      <c r="P88" s="1845">
        <f>N88-O88</f>
        <v>2</v>
      </c>
      <c r="U88" s="2814" t="s">
        <v>3141</v>
      </c>
      <c r="V88" s="3366"/>
      <c r="W88" s="3366"/>
      <c r="X88" s="3204"/>
      <c r="Y88" s="3204"/>
      <c r="Z88" s="3201"/>
      <c r="AA88" s="1740"/>
      <c r="AB88" s="1740"/>
      <c r="AC88" s="1740"/>
      <c r="AD88" s="1740"/>
      <c r="AE88" s="1740"/>
    </row>
    <row r="89" spans="2:31" ht="30" customHeight="1">
      <c r="B89" s="1741"/>
      <c r="C89" s="1741"/>
      <c r="D89" s="1770" t="str">
        <f>PROPER('Schedule B'!C65)</f>
        <v xml:space="preserve">Construction Works   </v>
      </c>
      <c r="E89" s="1771">
        <f>SUM(E90:E104)</f>
        <v>475028212.42000008</v>
      </c>
      <c r="F89" s="1771">
        <f>SUM(F90:F104)</f>
        <v>650023801.26369953</v>
      </c>
      <c r="G89" s="1771">
        <f>SUM(G90:G104)</f>
        <v>454057160.83149993</v>
      </c>
      <c r="H89" s="1771">
        <f>SUM(H90:H104)</f>
        <v>20971051.588499978</v>
      </c>
      <c r="I89" s="1772">
        <f>+G89/E89</f>
        <v>0.95585303979806902</v>
      </c>
      <c r="M89" s="1837" t="s">
        <v>401</v>
      </c>
      <c r="N89" s="1796">
        <f>'Schedule C'!AE6</f>
        <v>16</v>
      </c>
      <c r="O89" s="1796">
        <v>16</v>
      </c>
      <c r="P89" s="1796">
        <f>N89-O89</f>
        <v>0</v>
      </c>
      <c r="Q89" s="1828"/>
      <c r="R89" s="1828"/>
      <c r="U89" s="2817" t="str">
        <f>D83</f>
        <v>Management Supervision</v>
      </c>
      <c r="V89" s="3205"/>
      <c r="W89" s="3205"/>
      <c r="X89" s="3205"/>
      <c r="Y89" s="3205"/>
      <c r="Z89" s="3206"/>
      <c r="AA89" s="1740"/>
      <c r="AB89" s="1740"/>
      <c r="AC89" s="1740"/>
      <c r="AD89" s="1740"/>
      <c r="AE89" s="1740"/>
    </row>
    <row r="90" spans="2:31" ht="13.5" thickBot="1">
      <c r="B90" s="1741"/>
      <c r="C90" s="1741"/>
      <c r="D90" s="2810" t="str">
        <f>'Schedule B'!A71&amp;" - "&amp;'Schedule B'!C71</f>
        <v>CN.003C20 - Green Business Certification Inc.2220038</v>
      </c>
      <c r="E90" s="1783">
        <f>'Schedule B'!K71</f>
        <v>22585.010000000002</v>
      </c>
      <c r="F90" s="1783">
        <f>+'Schedule H GBC'!J37</f>
        <v>18000.112500000003</v>
      </c>
      <c r="G90" s="1783">
        <f>+'Schedule B'!U71</f>
        <v>18000.112500000003</v>
      </c>
      <c r="H90" s="1783">
        <f t="shared" si="10"/>
        <v>4584.8974999999991</v>
      </c>
      <c r="I90" s="1853">
        <f t="shared" si="12"/>
        <v>0.79699378038796531</v>
      </c>
      <c r="M90" s="1841" t="s">
        <v>402</v>
      </c>
      <c r="N90" s="1842">
        <f>'Schedule C'!AE9</f>
        <v>0</v>
      </c>
      <c r="O90" s="1842">
        <v>0</v>
      </c>
      <c r="P90" s="1842">
        <f>N90-O90</f>
        <v>0</v>
      </c>
      <c r="U90" s="2818" t="str">
        <f>D84</f>
        <v>MS.003F02 - Khatib &amp; Alami 2230031</v>
      </c>
      <c r="V90" s="3199">
        <v>44969</v>
      </c>
      <c r="W90" s="3199">
        <f>+W99</f>
        <v>45716</v>
      </c>
      <c r="X90" s="2819"/>
      <c r="Y90" s="2819"/>
      <c r="Z90" s="3199">
        <f>+Y90+W90</f>
        <v>45716</v>
      </c>
      <c r="AA90" s="1740"/>
      <c r="AB90" s="1740"/>
      <c r="AC90" s="1740"/>
      <c r="AD90" s="1740"/>
      <c r="AE90" s="1740"/>
    </row>
    <row r="91" spans="2:31">
      <c r="B91" s="1741"/>
      <c r="C91" s="1741"/>
      <c r="D91" s="2810" t="str">
        <f>'Schedule B'!A69&amp;" - "&amp;'Schedule B'!C69</f>
        <v>CN.003C13 - SOI TB Ground Improvement Works 2210224</v>
      </c>
      <c r="E91" s="1783">
        <f>'Schedule B'!K69+'Schedule B'!K70</f>
        <v>3082689</v>
      </c>
      <c r="F91" s="1783">
        <f>+'Schedule H SIC'!J40</f>
        <v>1748735.9379999996</v>
      </c>
      <c r="G91" s="1783">
        <f>+'Schedule B'!U69</f>
        <v>1748735.9379999996</v>
      </c>
      <c r="H91" s="1783">
        <f t="shared" si="10"/>
        <v>1333953.0620000004</v>
      </c>
      <c r="I91" s="1853">
        <f t="shared" si="12"/>
        <v>0.56727614689642702</v>
      </c>
      <c r="J91" s="1760"/>
      <c r="M91" s="3850"/>
      <c r="N91" s="3851"/>
      <c r="O91" s="3851"/>
      <c r="P91" s="3851"/>
      <c r="U91" s="2818" t="s">
        <v>2828</v>
      </c>
      <c r="V91" s="3196"/>
      <c r="W91" s="3196"/>
      <c r="X91" s="2819"/>
      <c r="Y91" s="2819"/>
      <c r="Z91" s="3199"/>
      <c r="AA91" s="1740"/>
      <c r="AB91" s="1740"/>
      <c r="AC91" s="1740"/>
      <c r="AD91" s="1740"/>
      <c r="AE91" s="1740"/>
    </row>
    <row r="92" spans="2:31" ht="40.5" customHeight="1">
      <c r="B92" s="1741"/>
      <c r="C92" s="1753"/>
      <c r="D92" s="2810" t="str">
        <f>'Schedule B'!A77&amp;" - "&amp;'Schedule B'!C77</f>
        <v>CN.003C13 - NSCC - Triple Bay Piling (AYC only) 2220032</v>
      </c>
      <c r="E92" s="1783">
        <f>'Schedule B'!K77</f>
        <v>16458381.51</v>
      </c>
      <c r="F92" s="1783">
        <f>+'Schedule H NSCC'!J114</f>
        <v>23335059.096000001</v>
      </c>
      <c r="G92" s="1783">
        <f>+'Schedule B'!U77</f>
        <v>16458381.540000003</v>
      </c>
      <c r="H92" s="1783">
        <f t="shared" si="10"/>
        <v>-3.0000003054738045E-2</v>
      </c>
      <c r="I92" s="1853">
        <f t="shared" si="12"/>
        <v>1.0000000018227797</v>
      </c>
      <c r="M92" s="1846" t="s">
        <v>403</v>
      </c>
      <c r="N92" s="1847"/>
      <c r="O92" s="1847"/>
      <c r="P92" s="3852"/>
      <c r="U92" s="2818" t="s">
        <v>3696</v>
      </c>
      <c r="V92" s="3196"/>
      <c r="W92" s="3196"/>
      <c r="X92" s="2819"/>
      <c r="Y92" s="2819"/>
      <c r="Z92" s="3199"/>
      <c r="AA92" s="1740"/>
      <c r="AB92" s="1740"/>
      <c r="AC92" s="1740"/>
      <c r="AD92" s="1740"/>
      <c r="AE92" s="1740"/>
    </row>
    <row r="93" spans="2:31" ht="31.5">
      <c r="B93" s="1741"/>
      <c r="C93" s="1753"/>
      <c r="D93" s="3581" t="str">
        <f>'Schedule B'!A79&amp;" - "&amp;'Schedule B'!C79</f>
        <v>CN.003C03 - Structural Concrete, Wet Trades, BOH Fit out, Pools and Water Features, Structural Steel, Glazing, Glass Balustrades, Aluminum Soffits, SFS and GRC, Render Façade, Roof Waterproofing, MEP, ICT/ELV  - (SAB) 2230023</v>
      </c>
      <c r="E93" s="1783">
        <f>+'Schedule B'!K79</f>
        <v>169939906.69999999</v>
      </c>
      <c r="F93" s="1783">
        <f>+'Schedule H SAB'!J33</f>
        <v>274254987.58512169</v>
      </c>
      <c r="G93" s="2975">
        <f>+'Schedule H SAB'!AD43</f>
        <v>170592084.65700001</v>
      </c>
      <c r="H93" s="1783">
        <f t="shared" si="10"/>
        <v>-652177.95700001717</v>
      </c>
      <c r="I93" s="1853">
        <f t="shared" si="12"/>
        <v>1.0038376975112226</v>
      </c>
      <c r="M93" s="1763"/>
      <c r="N93" s="1820" t="s">
        <v>339</v>
      </c>
      <c r="O93" s="1820" t="s">
        <v>340</v>
      </c>
      <c r="P93" s="3853" t="s">
        <v>397</v>
      </c>
      <c r="S93" s="1740"/>
      <c r="U93" s="2817" t="str">
        <f>D87</f>
        <v>Commercial Management</v>
      </c>
      <c r="V93" s="3205"/>
      <c r="W93" s="3205"/>
      <c r="X93" s="3205"/>
      <c r="Y93" s="3205"/>
      <c r="Z93" s="3206"/>
      <c r="AA93" s="1740"/>
      <c r="AB93" s="1740"/>
      <c r="AC93" s="1740"/>
      <c r="AD93" s="1740"/>
      <c r="AE93" s="1740"/>
    </row>
    <row r="94" spans="2:31">
      <c r="B94" s="1741"/>
      <c r="C94" s="1753"/>
      <c r="D94" s="4244" t="s">
        <v>4114</v>
      </c>
      <c r="E94" s="4165">
        <f>SUM('Schedule B'!F81:F145)</f>
        <v>42594259.729999989</v>
      </c>
      <c r="F94" s="4165">
        <f>+E94</f>
        <v>42594259.729999989</v>
      </c>
      <c r="G94" s="4166">
        <f>+F94</f>
        <v>42594259.729999989</v>
      </c>
      <c r="H94" s="4165">
        <f t="shared" si="10"/>
        <v>0</v>
      </c>
      <c r="I94" s="4167">
        <f t="shared" si="12"/>
        <v>1</v>
      </c>
      <c r="M94" s="1763" t="s">
        <v>413</v>
      </c>
      <c r="N94" s="1836">
        <f>SUM(N95:N98)</f>
        <v>166</v>
      </c>
      <c r="O94" s="1836">
        <v>164</v>
      </c>
      <c r="P94" s="3854">
        <f>SUM(P95:P98)</f>
        <v>2</v>
      </c>
      <c r="S94" s="1786"/>
      <c r="T94" s="1740"/>
      <c r="U94" s="2818" t="str">
        <f>D88</f>
        <v>No Awarded Contracts</v>
      </c>
      <c r="V94" s="3199"/>
      <c r="W94" s="3199"/>
      <c r="X94" s="2819"/>
      <c r="Y94" s="2819"/>
      <c r="Z94" s="3201"/>
      <c r="AA94" s="1740"/>
      <c r="AB94" s="1740"/>
      <c r="AC94" s="1740"/>
      <c r="AD94" s="1740"/>
      <c r="AE94" s="1740"/>
    </row>
    <row r="95" spans="2:31">
      <c r="B95" s="1741"/>
      <c r="C95" s="1753"/>
      <c r="D95" s="2810" t="str">
        <f>'Schedule B'!A148&amp;" - "&amp;'Schedule B'!C148</f>
        <v>CN.003C21 - STO Façade Mock-up -(MWN) 2230075</v>
      </c>
      <c r="E95" s="1783">
        <f>+'Schedule B'!K148</f>
        <v>819298.55</v>
      </c>
      <c r="F95" s="1783">
        <f>+'Schedule H Medtel'!J37</f>
        <v>819298.55</v>
      </c>
      <c r="G95" s="1783">
        <f>+'Schedule B'!U148</f>
        <v>819298.55</v>
      </c>
      <c r="H95" s="1783">
        <f t="shared" si="10"/>
        <v>0</v>
      </c>
      <c r="I95" s="1853">
        <f t="shared" si="12"/>
        <v>1</v>
      </c>
      <c r="M95" s="1781" t="s">
        <v>414</v>
      </c>
      <c r="N95" s="1843">
        <f>+'Schedule C'!AK7</f>
        <v>139</v>
      </c>
      <c r="O95" s="1843">
        <v>137</v>
      </c>
      <c r="P95" s="3855">
        <f>N95-O95</f>
        <v>2</v>
      </c>
      <c r="S95" s="1868"/>
      <c r="T95" s="1740"/>
      <c r="U95" s="2817" t="str">
        <f>D89</f>
        <v xml:space="preserve">Construction Works   </v>
      </c>
      <c r="V95" s="3205"/>
      <c r="W95" s="3205"/>
      <c r="X95" s="3205"/>
      <c r="Y95" s="3205"/>
      <c r="Z95" s="3206"/>
      <c r="AA95" s="1740"/>
      <c r="AB95" s="1740"/>
      <c r="AC95" s="1740"/>
      <c r="AD95" s="1740"/>
      <c r="AE95" s="1740"/>
    </row>
    <row r="96" spans="2:31" ht="22.5">
      <c r="B96" s="1741"/>
      <c r="C96" s="1753"/>
      <c r="D96" s="2810" t="str">
        <f>'Schedule B'!A152&amp;" - "&amp;'Schedule B'!C152</f>
        <v>CN.003C27 - Façade &amp; Glazing Works (Alutec)</v>
      </c>
      <c r="E96" s="1783">
        <f>+'Schedule B'!K152</f>
        <v>30474501.580000002</v>
      </c>
      <c r="F96" s="1783">
        <f>+'Schedule H ALUTEC'!J37</f>
        <v>48279532.904462859</v>
      </c>
      <c r="G96" s="1783">
        <f>+'Schedule H ALUTEC'!U37</f>
        <v>29131817.318000004</v>
      </c>
      <c r="H96" s="1783">
        <f t="shared" si="10"/>
        <v>1342684.2619999982</v>
      </c>
      <c r="I96" s="1853">
        <f t="shared" si="12"/>
        <v>0.95594073102474686</v>
      </c>
      <c r="L96" s="1753"/>
      <c r="M96" s="1781" t="s">
        <v>415</v>
      </c>
      <c r="N96" s="1843">
        <f>+'Schedule C'!AK8</f>
        <v>14</v>
      </c>
      <c r="O96" s="1843">
        <v>14</v>
      </c>
      <c r="P96" s="3855">
        <f>N96-O96</f>
        <v>0</v>
      </c>
      <c r="S96" s="1870"/>
      <c r="T96" s="1740"/>
      <c r="U96" s="2813" t="str">
        <f>$D$90</f>
        <v>CN.003C20 - Green Business Certification Inc.2220038</v>
      </c>
      <c r="V96" s="3199" t="s">
        <v>417</v>
      </c>
      <c r="W96" s="3199" t="s">
        <v>417</v>
      </c>
      <c r="X96" s="3199"/>
      <c r="Y96" s="3199"/>
      <c r="Z96" s="3199"/>
      <c r="AA96" s="1740"/>
      <c r="AB96" s="1740"/>
      <c r="AC96" s="1740"/>
      <c r="AD96" s="1740"/>
      <c r="AE96" s="1740"/>
    </row>
    <row r="97" spans="2:34" ht="22.5">
      <c r="B97" s="1741"/>
      <c r="C97" s="1753"/>
      <c r="D97" s="2810" t="str">
        <f>'Schedule B'!A149&amp;" - "&amp;'Schedule B'!C149</f>
        <v>CN.003F03 - Vertical Transportation (ESCCO) 2230178</v>
      </c>
      <c r="E97" s="1783">
        <f>+'Schedule B'!K149</f>
        <v>2773546</v>
      </c>
      <c r="F97" s="1783">
        <f>+'Schedule H ESCCO'!J37</f>
        <v>1990337.8239999998</v>
      </c>
      <c r="G97" s="1783">
        <f>+'Schedule B'!U149</f>
        <v>1982337.6639999999</v>
      </c>
      <c r="H97" s="1783">
        <f t="shared" si="10"/>
        <v>791208.33600000013</v>
      </c>
      <c r="I97" s="1853">
        <f t="shared" si="12"/>
        <v>0.71473040793266085</v>
      </c>
      <c r="K97" s="1745"/>
      <c r="L97" s="1753"/>
      <c r="M97" s="1844" t="s">
        <v>416</v>
      </c>
      <c r="N97" s="1845">
        <f>+'Schedule C'!AK9</f>
        <v>0</v>
      </c>
      <c r="O97" s="1845">
        <v>0</v>
      </c>
      <c r="P97" s="3855">
        <f>N97-O97</f>
        <v>0</v>
      </c>
      <c r="S97" s="1740"/>
      <c r="T97" s="1740"/>
      <c r="U97" s="2815" t="str">
        <f>+D91</f>
        <v>CN.003C13 - SOI TB Ground Improvement Works 2210224</v>
      </c>
      <c r="V97" s="3199">
        <v>44474</v>
      </c>
      <c r="W97" s="3199">
        <v>44557</v>
      </c>
      <c r="X97" s="3207">
        <v>30</v>
      </c>
      <c r="Y97" s="3207">
        <v>30</v>
      </c>
      <c r="Z97" s="3199">
        <f>+Y97+W97</f>
        <v>44587</v>
      </c>
      <c r="AA97" s="1740"/>
      <c r="AB97" s="1740"/>
      <c r="AC97" s="1740"/>
      <c r="AD97" s="1740"/>
      <c r="AE97" s="1740"/>
    </row>
    <row r="98" spans="2:34" ht="29.25" customHeight="1" thickBot="1">
      <c r="B98" s="1741"/>
      <c r="C98" s="1753"/>
      <c r="D98" s="2810" t="s">
        <v>2545</v>
      </c>
      <c r="E98" s="1783">
        <f>+'Schedule B'!K151</f>
        <v>80210582.25</v>
      </c>
      <c r="F98" s="1783">
        <f>+'Schedule H DEPA'!J39</f>
        <v>91261011.174999997</v>
      </c>
      <c r="G98" s="1783">
        <f>+'Schedule H DEPA'!U39</f>
        <v>65072967.466499999</v>
      </c>
      <c r="H98" s="1783">
        <f t="shared" si="10"/>
        <v>15137614.783500001</v>
      </c>
      <c r="I98" s="1853">
        <f t="shared" si="12"/>
        <v>0.81127658771608036</v>
      </c>
      <c r="K98" s="1745"/>
      <c r="L98" s="1753"/>
      <c r="M98" s="1841" t="s">
        <v>401</v>
      </c>
      <c r="N98" s="1842">
        <f>+'Schedule C'!AK6</f>
        <v>13</v>
      </c>
      <c r="O98" s="1842">
        <v>13</v>
      </c>
      <c r="P98" s="3856">
        <f>N98-O98</f>
        <v>0</v>
      </c>
      <c r="Q98" s="1828"/>
      <c r="R98" s="1828"/>
      <c r="S98" s="1740"/>
      <c r="T98" s="1740"/>
      <c r="U98" s="2815" t="str">
        <f>+D92</f>
        <v>CN.003C13 - NSCC - Triple Bay Piling (AYC only) 2220032</v>
      </c>
      <c r="V98" s="3199">
        <v>44644</v>
      </c>
      <c r="W98" s="3199">
        <v>45066</v>
      </c>
      <c r="X98" s="3207">
        <v>156</v>
      </c>
      <c r="Y98" s="3207">
        <v>96</v>
      </c>
      <c r="Z98" s="3201">
        <f>W98+Y98</f>
        <v>45162</v>
      </c>
      <c r="AA98" s="1740"/>
      <c r="AB98" s="1740"/>
      <c r="AC98" s="1740"/>
      <c r="AD98" s="1740"/>
      <c r="AE98" s="1740"/>
    </row>
    <row r="99" spans="2:34" ht="30" customHeight="1">
      <c r="B99" s="1741"/>
      <c r="C99" s="1753"/>
      <c r="D99" s="2810" t="str">
        <f>+M53</f>
        <v>CN.003C31 - MAS - Wet Works</v>
      </c>
      <c r="E99" s="1783">
        <f>+'Schedule B'!K153</f>
        <v>22360118</v>
      </c>
      <c r="F99" s="1783">
        <f>'Schedule H MAS (Wet Works)'!J36</f>
        <v>23384183.210000001</v>
      </c>
      <c r="G99" s="1783">
        <f>'Schedule H MAS (Wet Works)'!U36</f>
        <v>22345856.210000001</v>
      </c>
      <c r="H99" s="1783">
        <f t="shared" si="10"/>
        <v>14261.789999999106</v>
      </c>
      <c r="I99" s="1853">
        <f t="shared" si="12"/>
        <v>0.99936217733734678</v>
      </c>
      <c r="K99" s="1745"/>
      <c r="L99" s="1753"/>
      <c r="M99" s="3848"/>
      <c r="N99" s="3849"/>
      <c r="O99" s="3849"/>
      <c r="P99" s="3849"/>
      <c r="Q99" s="1828"/>
      <c r="R99" s="1828"/>
      <c r="S99" s="1740"/>
      <c r="T99" s="1740"/>
      <c r="U99" s="5514" t="str">
        <f>+D93</f>
        <v>CN.003C03 - Structural Concrete, Wet Trades, BOH Fit out, Pools and Water Features, Structural Steel, Glazing, Glass Balustrades, Aluminum Soffits, SFS and GRC, Render Façade, Roof Waterproofing, MEP, ICT/ELV  - (SAB) 2230023</v>
      </c>
      <c r="V99" s="5512">
        <v>44938</v>
      </c>
      <c r="W99" s="5512">
        <v>45716</v>
      </c>
      <c r="X99" s="5516"/>
      <c r="Y99" s="5516">
        <v>0</v>
      </c>
      <c r="Z99" s="5512">
        <f>+Y99+W99</f>
        <v>45716</v>
      </c>
      <c r="AA99" s="1740"/>
      <c r="AB99" s="1740"/>
      <c r="AC99" s="1740"/>
      <c r="AD99" s="1740"/>
      <c r="AE99" s="1740"/>
      <c r="AF99" s="1740"/>
      <c r="AG99" s="1740"/>
      <c r="AH99" s="1740"/>
    </row>
    <row r="100" spans="2:34" ht="28.5" customHeight="1">
      <c r="B100" s="1741"/>
      <c r="C100" s="1753"/>
      <c r="D100" s="2810" t="str">
        <f>+M54</f>
        <v>CN.003C32 - MAS - Amphitheatre Works</v>
      </c>
      <c r="E100" s="1783">
        <f>+'Schedule B'!K154</f>
        <v>1284550.3500000001</v>
      </c>
      <c r="F100" s="1783">
        <f>'Schedule H MAS (Amphitheatre)'!J37</f>
        <v>1395241.1840000001</v>
      </c>
      <c r="G100" s="1783">
        <f>'Schedule H MAS (Amphitheatre)'!U37</f>
        <v>1211278.835</v>
      </c>
      <c r="H100" s="1783">
        <f t="shared" si="10"/>
        <v>73271.51500000013</v>
      </c>
      <c r="I100" s="1853">
        <f t="shared" si="12"/>
        <v>0.94295940598980799</v>
      </c>
      <c r="K100" s="1745"/>
      <c r="L100" s="1753"/>
      <c r="M100" s="1856"/>
      <c r="N100" s="2811"/>
      <c r="O100" s="2811"/>
      <c r="P100" s="2811"/>
      <c r="Q100" s="1828"/>
      <c r="R100" s="1828"/>
      <c r="S100" s="1740"/>
      <c r="T100" s="1740"/>
      <c r="U100" s="5515"/>
      <c r="V100" s="5513"/>
      <c r="W100" s="5513"/>
      <c r="X100" s="5517"/>
      <c r="Y100" s="5517"/>
      <c r="Z100" s="5513"/>
      <c r="AA100" s="1740"/>
      <c r="AB100" s="1740"/>
      <c r="AC100" s="1740"/>
      <c r="AD100" s="1740"/>
      <c r="AE100" s="1740"/>
      <c r="AF100" s="1740"/>
      <c r="AG100" s="1740"/>
      <c r="AH100" s="1740"/>
    </row>
    <row r="101" spans="2:34" ht="39.75" customHeight="1">
      <c r="B101" s="1741"/>
      <c r="C101" s="1753"/>
      <c r="D101" s="2810" t="str">
        <f>M55</f>
        <v>CN.003C34 - Al Fanar - MEP Labour Supply</v>
      </c>
      <c r="E101" s="1783">
        <f>+'Schedule B'!K155</f>
        <v>94625593.229999989</v>
      </c>
      <c r="F101" s="1783">
        <f>+'Schedule H'!R38</f>
        <v>131213586.23411499</v>
      </c>
      <c r="G101" s="1783">
        <f>+'Schedule H'!S38</f>
        <v>92352575.089999989</v>
      </c>
      <c r="H101" s="1783">
        <f t="shared" si="10"/>
        <v>2273018.1400000006</v>
      </c>
      <c r="I101" s="1853">
        <f t="shared" si="12"/>
        <v>0.97597882282782489</v>
      </c>
      <c r="K101" s="1745"/>
      <c r="L101" s="1753"/>
      <c r="M101" s="3857" t="s">
        <v>337</v>
      </c>
      <c r="N101" s="1854"/>
      <c r="O101" s="1854"/>
      <c r="P101" s="3858"/>
      <c r="S101" s="1740"/>
      <c r="T101" s="1740"/>
      <c r="U101" s="2816" t="str">
        <f>+D97</f>
        <v>CN.003F03 - Vertical Transportation (ESCCO) 2230178</v>
      </c>
      <c r="V101" s="3199"/>
      <c r="W101" s="3199"/>
      <c r="X101" s="3208"/>
      <c r="Y101" s="3208"/>
      <c r="Z101" s="3199"/>
      <c r="AA101" s="1740"/>
      <c r="AB101" s="1740"/>
      <c r="AC101" s="1740"/>
      <c r="AD101" s="1740"/>
      <c r="AE101" s="1740"/>
      <c r="AF101" s="1740"/>
      <c r="AG101" s="1740"/>
      <c r="AH101" s="1740"/>
    </row>
    <row r="102" spans="2:34">
      <c r="B102" s="1741"/>
      <c r="C102" s="1753"/>
      <c r="D102" s="2810" t="str">
        <f>+M56</f>
        <v>CN.003C34 - ARMETAL - Reflective ceiling</v>
      </c>
      <c r="E102" s="1783">
        <f>+'Schedule B'!K157</f>
        <v>7197028.5499999998</v>
      </c>
      <c r="F102" s="1783">
        <f>+'Schedule H'!R43</f>
        <v>6633442.8204999994</v>
      </c>
      <c r="G102" s="1783">
        <f>+'Schedule H'!S43</f>
        <v>6633442.8204999994</v>
      </c>
      <c r="H102" s="1783">
        <f t="shared" si="10"/>
        <v>563585.72950000037</v>
      </c>
      <c r="I102" s="1853">
        <f t="shared" si="12"/>
        <v>0.92169188636885424</v>
      </c>
      <c r="K102" s="1745"/>
      <c r="L102" s="1753"/>
      <c r="M102" s="3859"/>
      <c r="N102" s="1820" t="s">
        <v>339</v>
      </c>
      <c r="O102" s="1820" t="s">
        <v>340</v>
      </c>
      <c r="P102" s="3860" t="s">
        <v>397</v>
      </c>
      <c r="S102" s="1740"/>
      <c r="T102" s="1740"/>
      <c r="U102" s="2816" t="str">
        <f>+D98</f>
        <v>CN.003C09 - Interior Fitout Works (DEPA)</v>
      </c>
      <c r="V102" s="3199">
        <v>45223</v>
      </c>
      <c r="W102" s="3199">
        <v>45639</v>
      </c>
      <c r="X102" s="3208"/>
      <c r="Y102" s="3208">
        <v>0</v>
      </c>
      <c r="Z102" s="3201">
        <f>W102+Y102</f>
        <v>45639</v>
      </c>
      <c r="AA102" s="1740"/>
      <c r="AB102" s="1740"/>
      <c r="AC102" s="1740"/>
      <c r="AD102" s="1740"/>
      <c r="AE102" s="1740"/>
      <c r="AF102" s="1740"/>
      <c r="AG102" s="1740"/>
      <c r="AH102" s="1740"/>
    </row>
    <row r="103" spans="2:34" ht="27" customHeight="1">
      <c r="B103" s="1741"/>
      <c r="C103" s="1753"/>
      <c r="D103" s="2810" t="str">
        <f>+M57</f>
        <v>CN.003C34 - Al Rahji Takaful - Owner Controlled Insurance Program</v>
      </c>
      <c r="E103" s="1783">
        <f>+'Schedule B'!K158</f>
        <v>89047.06</v>
      </c>
      <c r="F103" s="1783">
        <v>0</v>
      </c>
      <c r="G103" s="1783">
        <v>0</v>
      </c>
      <c r="H103" s="1783">
        <f>E103-G103</f>
        <v>89047.06</v>
      </c>
      <c r="I103" s="1853">
        <f>+G103/E103</f>
        <v>0</v>
      </c>
      <c r="K103" s="1745"/>
      <c r="L103" s="1753"/>
      <c r="M103" s="3859" t="s">
        <v>418</v>
      </c>
      <c r="N103" s="3847">
        <f>SUM(N104:N107)</f>
        <v>146</v>
      </c>
      <c r="O103" s="3847">
        <v>146</v>
      </c>
      <c r="P103" s="3861">
        <f>SUM(P104:P107)</f>
        <v>0</v>
      </c>
      <c r="S103" s="1740"/>
      <c r="T103" s="1740"/>
      <c r="U103" s="2814" t="str">
        <f>D96</f>
        <v>CN.003C27 - Façade &amp; Glazing Works (Alutec)</v>
      </c>
      <c r="V103" s="3199">
        <v>45656</v>
      </c>
      <c r="W103" s="3199">
        <v>45656</v>
      </c>
      <c r="X103" s="3208"/>
      <c r="Y103" s="3208"/>
      <c r="Z103" s="3201">
        <f>W103+Y103</f>
        <v>45656</v>
      </c>
      <c r="AA103" s="1740"/>
      <c r="AB103" s="1740"/>
      <c r="AC103" s="1740"/>
      <c r="AD103" s="1740"/>
      <c r="AE103" s="1740"/>
      <c r="AF103" s="1740"/>
      <c r="AG103" s="1740"/>
      <c r="AH103" s="1740"/>
    </row>
    <row r="104" spans="2:34">
      <c r="B104" s="1741"/>
      <c r="C104" s="1753"/>
      <c r="D104" s="4190" t="str">
        <f>+M58</f>
        <v>CN.003C35 - HASSAN ALLAM - External Scaffoldings</v>
      </c>
      <c r="E104" s="1783">
        <f>+'Schedule B'!K160</f>
        <v>3096124.9</v>
      </c>
      <c r="F104" s="1783">
        <f>+'Schedule H'!R42</f>
        <v>3096124.9000000004</v>
      </c>
      <c r="G104" s="1783">
        <f>+'Schedule H'!S42</f>
        <v>3096124.9000000004</v>
      </c>
      <c r="H104" s="1783">
        <f>E104-G104</f>
        <v>0</v>
      </c>
      <c r="I104" s="1853">
        <f>+G104/E104</f>
        <v>1.0000000000000002</v>
      </c>
      <c r="K104" s="1745"/>
      <c r="M104" s="3862" t="s">
        <v>419</v>
      </c>
      <c r="N104" s="1843">
        <f>'Schedule C'!AX7</f>
        <v>118</v>
      </c>
      <c r="O104" s="1843">
        <v>118</v>
      </c>
      <c r="P104" s="3863">
        <f>N104-O104</f>
        <v>0</v>
      </c>
      <c r="S104" s="1740"/>
      <c r="T104" s="1740"/>
      <c r="U104" s="2814" t="s">
        <v>3222</v>
      </c>
      <c r="V104" s="3199">
        <v>45581</v>
      </c>
      <c r="W104" s="3199">
        <f>+V104+60</f>
        <v>45641</v>
      </c>
      <c r="X104" s="3208"/>
      <c r="Y104" s="3208"/>
      <c r="Z104" s="3201">
        <f>+W104</f>
        <v>45641</v>
      </c>
      <c r="AA104" s="1740"/>
      <c r="AB104" s="1740"/>
      <c r="AC104" s="1740"/>
      <c r="AD104" s="1740"/>
      <c r="AE104" s="1740"/>
      <c r="AF104" s="1740"/>
      <c r="AG104" s="1740"/>
      <c r="AH104" s="1740"/>
    </row>
    <row r="105" spans="2:34" ht="27.75" customHeight="1">
      <c r="B105" s="1741"/>
      <c r="C105" s="1753"/>
      <c r="D105" s="1770" t="str">
        <f>PROPER('Schedule B'!C187)</f>
        <v>Client Cost</v>
      </c>
      <c r="E105" s="1771">
        <f>SUM(E106)</f>
        <v>0</v>
      </c>
      <c r="F105" s="1771">
        <f>SUM(F106)</f>
        <v>0</v>
      </c>
      <c r="G105" s="1771">
        <f>SUM(G106)</f>
        <v>0</v>
      </c>
      <c r="H105" s="1771">
        <f>SUM(H106)</f>
        <v>0</v>
      </c>
      <c r="I105" s="1772"/>
      <c r="K105" s="1745"/>
      <c r="M105" s="3864" t="s">
        <v>420</v>
      </c>
      <c r="N105" s="1843">
        <f>'Schedule C'!AX8</f>
        <v>20</v>
      </c>
      <c r="O105" s="1843">
        <v>20</v>
      </c>
      <c r="P105" s="3863">
        <f>N105-O105</f>
        <v>0</v>
      </c>
      <c r="Q105" s="1856"/>
      <c r="R105" s="1856"/>
      <c r="S105" s="1740"/>
      <c r="T105" s="1740"/>
      <c r="U105" s="2814" t="s">
        <v>3223</v>
      </c>
      <c r="V105" s="3606" t="s">
        <v>3224</v>
      </c>
      <c r="W105" s="3199"/>
      <c r="X105" s="3208"/>
      <c r="Y105" s="3208"/>
      <c r="Z105" s="3201"/>
      <c r="AA105" s="1740"/>
      <c r="AB105" s="1740"/>
      <c r="AC105" s="1740"/>
      <c r="AD105" s="1740"/>
      <c r="AE105" s="1740"/>
      <c r="AF105" s="1740"/>
      <c r="AG105" s="1740"/>
      <c r="AH105" s="1740"/>
    </row>
    <row r="106" spans="2:34">
      <c r="B106" s="1753"/>
      <c r="C106" s="1753"/>
      <c r="D106" s="1781" t="s">
        <v>421</v>
      </c>
      <c r="E106" s="1783">
        <v>0</v>
      </c>
      <c r="F106" s="1783">
        <v>0</v>
      </c>
      <c r="G106" s="1783">
        <v>0</v>
      </c>
      <c r="H106" s="1783">
        <f t="shared" si="10"/>
        <v>0</v>
      </c>
      <c r="I106" s="1853">
        <v>0</v>
      </c>
      <c r="M106" s="3865" t="s">
        <v>401</v>
      </c>
      <c r="N106" s="1845">
        <f>'Schedule C'!AX6</f>
        <v>8</v>
      </c>
      <c r="O106" s="1845">
        <v>8</v>
      </c>
      <c r="P106" s="3866">
        <f>N106-O106</f>
        <v>0</v>
      </c>
      <c r="Q106" s="1859"/>
      <c r="R106" s="1859"/>
      <c r="S106" s="1740"/>
      <c r="T106" s="1740"/>
      <c r="U106" s="2814" t="s">
        <v>3495</v>
      </c>
      <c r="V106" s="3199"/>
      <c r="W106" s="3199"/>
      <c r="X106" s="3208"/>
      <c r="Y106" s="3208"/>
      <c r="Z106" s="3201"/>
      <c r="AA106" s="1740"/>
      <c r="AB106" s="1740"/>
      <c r="AC106" s="1740"/>
      <c r="AD106" s="1740"/>
      <c r="AE106" s="1740"/>
      <c r="AF106" s="1740"/>
      <c r="AG106" s="1740"/>
      <c r="AH106" s="1740"/>
    </row>
    <row r="107" spans="2:34" ht="13.5" thickBot="1">
      <c r="C107" s="1753"/>
      <c r="D107" s="1770" t="str">
        <f>('Schedule B'!C202)</f>
        <v>FF&amp;E AND OS&amp;E</v>
      </c>
      <c r="E107" s="1771">
        <f>SUM(E108:E118)</f>
        <v>44435277.57</v>
      </c>
      <c r="F107" s="1771">
        <f t="shared" ref="F107:H107" si="14">SUM(F108:F118)</f>
        <v>31470987.904999994</v>
      </c>
      <c r="G107" s="1771">
        <f t="shared" si="14"/>
        <v>29205220.989999998</v>
      </c>
      <c r="H107" s="1771">
        <f t="shared" si="14"/>
        <v>15230056.580000008</v>
      </c>
      <c r="I107" s="1772"/>
      <c r="K107" s="1748"/>
      <c r="M107" s="3867" t="s">
        <v>422</v>
      </c>
      <c r="N107" s="3868">
        <f>'Schedule C'!AX9</f>
        <v>0</v>
      </c>
      <c r="O107" s="3868">
        <v>0</v>
      </c>
      <c r="P107" s="3869">
        <f>N107-O107</f>
        <v>0</v>
      </c>
      <c r="Q107" s="1760"/>
      <c r="R107" s="1760"/>
      <c r="S107" s="1740"/>
      <c r="T107" s="1740"/>
      <c r="U107" s="2814" t="str">
        <f>+M56</f>
        <v>CN.003C34 - ARMETAL - Reflective ceiling</v>
      </c>
      <c r="V107" s="3199"/>
      <c r="W107" s="3199"/>
      <c r="X107" s="3208"/>
      <c r="Y107" s="3208"/>
      <c r="Z107" s="3201"/>
    </row>
    <row r="108" spans="2:34" ht="21.75" customHeight="1">
      <c r="C108" s="1753"/>
      <c r="D108" s="3209" t="str">
        <f>'Schedule B'!A150&amp;" - "&amp;'Schedule B'!C150</f>
        <v>CN.003C08 - Kitchen &amp; Laundry Works (Al Raqtan) 2230205</v>
      </c>
      <c r="E108" s="1783">
        <f>+'Schedule B'!K150</f>
        <v>4705352</v>
      </c>
      <c r="F108" s="1783">
        <f>+'Schedule H RAQTAN'!J37</f>
        <v>6151689.084999999</v>
      </c>
      <c r="G108" s="1783">
        <f>+'Schedule H RAQTAN'!V37</f>
        <v>3837547.3000000003</v>
      </c>
      <c r="H108" s="1783">
        <f t="shared" si="10"/>
        <v>867804.69999999972</v>
      </c>
      <c r="I108" s="1853">
        <f>+G108/E108</f>
        <v>0.81557071606970111</v>
      </c>
      <c r="M108" s="3857" t="s">
        <v>337</v>
      </c>
      <c r="N108" s="1854"/>
      <c r="O108" s="1854"/>
      <c r="P108" s="3858"/>
      <c r="Q108" s="1860"/>
      <c r="R108" s="1860"/>
      <c r="S108" s="1740"/>
      <c r="T108" s="1740"/>
      <c r="U108" s="2814" t="str">
        <f>+M58</f>
        <v>CN.003C35 - HASSAN ALLAM - External Scaffoldings</v>
      </c>
      <c r="V108" s="3199"/>
      <c r="W108" s="3199"/>
      <c r="X108" s="3208"/>
      <c r="Y108" s="3208"/>
      <c r="Z108" s="3201"/>
    </row>
    <row r="109" spans="2:34">
      <c r="C109" s="1753"/>
      <c r="D109" s="2810" t="s">
        <v>2811</v>
      </c>
      <c r="E109" s="1783">
        <f>'Schedule B'!F204</f>
        <v>1107465.8799999999</v>
      </c>
      <c r="F109" s="5508">
        <f>+'Schedule H AREEN'!J37</f>
        <v>25319298.819999997</v>
      </c>
      <c r="G109" s="5508">
        <f>+'Schedule H AREEN'!U37</f>
        <v>25367673.689999998</v>
      </c>
      <c r="H109" s="5508">
        <f>+E109+E110-G109</f>
        <v>13324439.750000007</v>
      </c>
      <c r="I109" s="5510">
        <f>(G109)/(E109+E110)</f>
        <v>0.65562905291637108</v>
      </c>
      <c r="J109" s="1748"/>
      <c r="M109" s="3859"/>
      <c r="N109" s="1820" t="s">
        <v>339</v>
      </c>
      <c r="O109" s="1858" t="s">
        <v>423</v>
      </c>
      <c r="P109" s="3860" t="s">
        <v>424</v>
      </c>
      <c r="Q109" s="1860"/>
      <c r="R109" s="1860"/>
      <c r="S109" s="1740"/>
      <c r="T109" s="1740"/>
      <c r="U109" s="2817" t="str">
        <f>D107</f>
        <v>FF&amp;E AND OS&amp;E</v>
      </c>
      <c r="V109" s="2125"/>
      <c r="W109" s="2125"/>
      <c r="X109" s="2125"/>
      <c r="Y109" s="2125"/>
      <c r="Z109" s="2126"/>
    </row>
    <row r="110" spans="2:34" ht="22.5">
      <c r="C110" s="1753"/>
      <c r="D110" s="2810" t="s">
        <v>2963</v>
      </c>
      <c r="E110" s="1783">
        <f>+'Schedule B'!K207+'Schedule B'!K208+'Schedule B'!K209+'Schedule B'!K210</f>
        <v>37584647.560000002</v>
      </c>
      <c r="F110" s="5509"/>
      <c r="G110" s="5509"/>
      <c r="H110" s="5509"/>
      <c r="I110" s="5511"/>
      <c r="J110" s="1748"/>
      <c r="M110" s="5492" t="s">
        <v>425</v>
      </c>
      <c r="N110" s="5526">
        <f>SUM(N112:N115)</f>
        <v>138</v>
      </c>
      <c r="O110" s="5522"/>
      <c r="P110" s="5524"/>
      <c r="Q110" s="1745"/>
      <c r="R110" s="1745"/>
      <c r="S110" s="1740"/>
      <c r="T110" s="1740"/>
      <c r="U110" s="2813" t="str">
        <f>D108</f>
        <v>CN.003C08 - Kitchen &amp; Laundry Works (Al Raqtan) 2230205</v>
      </c>
      <c r="V110" s="3199">
        <v>45071</v>
      </c>
      <c r="W110" s="3199">
        <v>45646</v>
      </c>
      <c r="X110" s="3199"/>
      <c r="Y110" s="3199"/>
      <c r="Z110" s="3199">
        <f>+Y110+W110</f>
        <v>45646</v>
      </c>
    </row>
    <row r="111" spans="2:34" ht="22.5">
      <c r="C111" s="1753"/>
      <c r="D111" s="2810" t="s">
        <v>5238</v>
      </c>
      <c r="E111" s="1783">
        <v>397876</v>
      </c>
      <c r="F111" s="1783">
        <v>0</v>
      </c>
      <c r="G111" s="1783">
        <v>0</v>
      </c>
      <c r="H111" s="1783">
        <f t="shared" ref="H111:H117" si="15">E111-G111</f>
        <v>397876</v>
      </c>
      <c r="I111" s="1853">
        <f t="shared" ref="I111:I119" si="16">+G111/E111</f>
        <v>0</v>
      </c>
      <c r="J111" s="1748"/>
      <c r="M111" s="5493"/>
      <c r="N111" s="5527"/>
      <c r="O111" s="5523"/>
      <c r="P111" s="5525"/>
      <c r="S111" s="1740"/>
      <c r="T111" s="1740"/>
      <c r="U111" s="2813" t="s">
        <v>2811</v>
      </c>
      <c r="V111" s="3199">
        <v>45307</v>
      </c>
      <c r="W111" s="3199">
        <v>45673</v>
      </c>
      <c r="X111" s="3199"/>
      <c r="Y111" s="3199"/>
      <c r="Z111" s="3199">
        <f>+Y111+W111</f>
        <v>45673</v>
      </c>
    </row>
    <row r="112" spans="2:34" ht="18" customHeight="1">
      <c r="C112" s="1753"/>
      <c r="D112" s="2810" t="s">
        <v>5243</v>
      </c>
      <c r="E112" s="1783">
        <v>353487.06</v>
      </c>
      <c r="F112" s="1783">
        <v>0</v>
      </c>
      <c r="G112" s="1783">
        <v>0</v>
      </c>
      <c r="H112" s="1783">
        <f t="shared" si="15"/>
        <v>353487.06</v>
      </c>
      <c r="I112" s="1853">
        <f t="shared" si="16"/>
        <v>0</v>
      </c>
      <c r="J112" s="1748"/>
      <c r="M112" s="3862" t="s">
        <v>426</v>
      </c>
      <c r="N112" s="1843">
        <f>COUNTIFS('Schedule C'!BA$20:BA$369,"PENDING",'Schedule C'!AZ$20:AZ$369,"")</f>
        <v>15</v>
      </c>
      <c r="O112" s="2127">
        <f>SUMIFS('Schedule C'!$AS$20:$AS$83,'Schedule C'!$BA$20:$BA$83,"PENDING",'Schedule C'!$AZ$20:$AZ$83,"")</f>
        <v>0</v>
      </c>
      <c r="P112" s="3870">
        <f>SUMIFS('Schedule C'!$AG$20:$AG$83,'Schedule C'!$BA$20:$BA$83,"PENDING",'Schedule C'!$AZ$20:$AZ$83,"")</f>
        <v>0</v>
      </c>
      <c r="S112" s="1740"/>
      <c r="T112" s="1740"/>
      <c r="U112" s="2813" t="s">
        <v>5238</v>
      </c>
      <c r="V112" s="3199"/>
      <c r="W112" s="3199"/>
      <c r="X112" s="3199"/>
      <c r="Y112" s="3199"/>
      <c r="Z112" s="3199"/>
    </row>
    <row r="113" spans="2:26" ht="18" customHeight="1">
      <c r="C113" s="1753"/>
      <c r="D113" s="2810" t="s">
        <v>5244</v>
      </c>
      <c r="E113" s="1783">
        <v>115998.98000000001</v>
      </c>
      <c r="F113" s="1783">
        <v>0</v>
      </c>
      <c r="G113" s="1783">
        <v>0</v>
      </c>
      <c r="H113" s="1783">
        <f t="shared" si="15"/>
        <v>115998.98000000001</v>
      </c>
      <c r="I113" s="1853">
        <f t="shared" si="16"/>
        <v>0</v>
      </c>
      <c r="J113" s="1748"/>
      <c r="M113" s="5536" t="s">
        <v>427</v>
      </c>
      <c r="N113" s="5532">
        <f>COUNTIFS('Schedule C'!BA$20:BA$369,"PENDING",'Schedule C'!AZ$20:AZ$369,"&lt;&gt;")</f>
        <v>5</v>
      </c>
      <c r="O113" s="5534">
        <f>SUMIFS('Schedule C'!$AS$20:$AS$83,'Schedule C'!$BA$20:$BA$83,"PENDING",'Schedule C'!$AZ$20:$AZ$83,"&lt;&gt;")</f>
        <v>0</v>
      </c>
      <c r="P113" s="5528">
        <f>SUMIFS('Schedule C'!$AG$20:$AG$83,'Schedule C'!$BA$20:$BA$83,"PENDING",'Schedule C'!$AZ$20:$AZ$83,"&lt;&gt;")</f>
        <v>0</v>
      </c>
      <c r="S113" s="1740"/>
      <c r="T113" s="1740"/>
      <c r="U113" s="2813" t="s">
        <v>5243</v>
      </c>
      <c r="V113" s="3199"/>
      <c r="W113" s="3199"/>
      <c r="X113" s="3199"/>
      <c r="Y113" s="3199"/>
      <c r="Z113" s="3199"/>
    </row>
    <row r="114" spans="2:26" ht="18" customHeight="1">
      <c r="C114" s="1753"/>
      <c r="D114" s="2810" t="s">
        <v>5351</v>
      </c>
      <c r="E114" s="1783">
        <v>16655</v>
      </c>
      <c r="F114" s="1783">
        <v>0</v>
      </c>
      <c r="G114" s="1783">
        <v>0</v>
      </c>
      <c r="H114" s="1783">
        <f t="shared" si="15"/>
        <v>16655</v>
      </c>
      <c r="I114" s="1853">
        <f t="shared" si="16"/>
        <v>0</v>
      </c>
      <c r="J114" s="1748"/>
      <c r="M114" s="5537"/>
      <c r="N114" s="5533"/>
      <c r="O114" s="5535"/>
      <c r="P114" s="5529"/>
      <c r="S114" s="1740"/>
      <c r="T114" s="1740"/>
      <c r="U114" s="2813" t="s">
        <v>5244</v>
      </c>
      <c r="V114" s="3199"/>
      <c r="W114" s="3199"/>
      <c r="X114" s="3199"/>
      <c r="Y114" s="3199"/>
      <c r="Z114" s="3199"/>
    </row>
    <row r="115" spans="2:26" ht="18" customHeight="1">
      <c r="C115" s="1753"/>
      <c r="D115" s="2810" t="s">
        <v>5352</v>
      </c>
      <c r="E115" s="1783">
        <v>34719</v>
      </c>
      <c r="F115" s="1783">
        <v>0</v>
      </c>
      <c r="G115" s="1783">
        <v>0</v>
      </c>
      <c r="H115" s="1783">
        <f t="shared" si="15"/>
        <v>34719</v>
      </c>
      <c r="I115" s="1853">
        <f t="shared" si="16"/>
        <v>0</v>
      </c>
      <c r="J115" s="1748"/>
      <c r="M115" s="5538" t="s">
        <v>428</v>
      </c>
      <c r="N115" s="5518">
        <f>COUNTIF('Schedule C'!$BA$20:$BA$369,"APPROVED")</f>
        <v>118</v>
      </c>
      <c r="O115" s="5520">
        <f>SUMIF('Schedule C'!$BA20:$BA369,"APPROVED",'Schedule C'!$AS20:$AS369)</f>
        <v>3174007.1749999993</v>
      </c>
      <c r="P115" s="5530">
        <f>SUMIF('Schedule C'!$BA20:$BA369,"APPROVED",'Schedule C'!$AG20:$AG369)</f>
        <v>33878350.355000019</v>
      </c>
      <c r="S115" s="1740"/>
      <c r="T115" s="1740"/>
      <c r="U115" s="2813" t="s">
        <v>5351</v>
      </c>
      <c r="V115" s="3199"/>
      <c r="W115" s="3199"/>
      <c r="X115" s="3199"/>
      <c r="Y115" s="3199"/>
      <c r="Z115" s="3199"/>
    </row>
    <row r="116" spans="2:26" ht="18" customHeight="1" thickBot="1">
      <c r="C116" s="1753"/>
      <c r="D116" s="2810" t="s">
        <v>5353</v>
      </c>
      <c r="E116" s="1783">
        <v>3633.9</v>
      </c>
      <c r="F116" s="1783">
        <v>0</v>
      </c>
      <c r="G116" s="1783">
        <v>0</v>
      </c>
      <c r="H116" s="1783">
        <f t="shared" si="15"/>
        <v>3633.9</v>
      </c>
      <c r="I116" s="1853">
        <f t="shared" si="16"/>
        <v>0</v>
      </c>
      <c r="J116" s="1748"/>
      <c r="M116" s="5539"/>
      <c r="N116" s="5519"/>
      <c r="O116" s="5521"/>
      <c r="P116" s="5531"/>
      <c r="S116" s="1740"/>
      <c r="T116" s="1740"/>
      <c r="U116" s="2813" t="s">
        <v>5352</v>
      </c>
      <c r="V116" s="3199"/>
      <c r="W116" s="3199"/>
      <c r="X116" s="3199"/>
      <c r="Y116" s="3199"/>
      <c r="Z116" s="3199"/>
    </row>
    <row r="117" spans="2:26" ht="18" customHeight="1">
      <c r="C117" s="1753"/>
      <c r="D117" s="2810" t="s">
        <v>5354</v>
      </c>
      <c r="E117" s="1783">
        <v>58307.19</v>
      </c>
      <c r="F117" s="1783">
        <v>0</v>
      </c>
      <c r="G117" s="1783">
        <v>0</v>
      </c>
      <c r="H117" s="1783">
        <f t="shared" si="15"/>
        <v>58307.19</v>
      </c>
      <c r="I117" s="1853">
        <f t="shared" si="16"/>
        <v>0</v>
      </c>
      <c r="J117" s="1748"/>
      <c r="M117" s="3328"/>
      <c r="O117" s="3285"/>
      <c r="Q117" s="1740"/>
      <c r="R117" s="1740"/>
      <c r="S117" s="1740"/>
      <c r="U117" s="2813" t="s">
        <v>5353</v>
      </c>
      <c r="V117" s="3199"/>
      <c r="W117" s="3199"/>
      <c r="X117" s="3199"/>
      <c r="Y117" s="3199"/>
      <c r="Z117" s="3199"/>
    </row>
    <row r="118" spans="2:26" ht="27" customHeight="1">
      <c r="C118" s="1753"/>
      <c r="D118" s="2810" t="s">
        <v>5426</v>
      </c>
      <c r="E118" s="1783">
        <v>57135</v>
      </c>
      <c r="F118" s="1783">
        <v>0</v>
      </c>
      <c r="G118" s="1783">
        <v>0</v>
      </c>
      <c r="H118" s="1783">
        <f t="shared" ref="H118" si="17">E118-G118</f>
        <v>57135</v>
      </c>
      <c r="I118" s="1853">
        <f t="shared" ref="I118" si="18">+G118/E118</f>
        <v>0</v>
      </c>
      <c r="J118" s="1748"/>
      <c r="M118" s="3229"/>
      <c r="P118" s="3286"/>
      <c r="Q118" s="1865"/>
      <c r="R118" s="1865"/>
      <c r="S118" s="1740"/>
      <c r="U118" s="2813" t="s">
        <v>5354</v>
      </c>
      <c r="V118" s="3199"/>
      <c r="W118" s="3199"/>
      <c r="X118" s="3199"/>
      <c r="Y118" s="3199"/>
      <c r="Z118" s="3199"/>
    </row>
    <row r="119" spans="2:26" ht="17.25" customHeight="1">
      <c r="C119" s="1753"/>
      <c r="D119" s="1862" t="s">
        <v>339</v>
      </c>
      <c r="E119" s="1863">
        <f>E72+E83+E87+E89+E105+E107</f>
        <v>558907411.47000015</v>
      </c>
      <c r="F119" s="1863">
        <f>F72+F83+F87+F89+F105+F107</f>
        <v>720469300.67869949</v>
      </c>
      <c r="G119" s="1863">
        <f>G72+G83+G87+G89+G105+G107</f>
        <v>522199822.04149997</v>
      </c>
      <c r="H119" s="1863">
        <f>H72+H83+H87+H89+H105+H107</f>
        <v>36707589.428499989</v>
      </c>
      <c r="I119" s="1864">
        <f t="shared" si="16"/>
        <v>0.93432259319668998</v>
      </c>
      <c r="J119" s="1748"/>
      <c r="M119" s="3328"/>
      <c r="N119" s="2896"/>
      <c r="S119" s="1740"/>
      <c r="U119" s="2813" t="s">
        <v>5354</v>
      </c>
      <c r="V119" s="3199"/>
      <c r="W119" s="3199"/>
      <c r="X119" s="3199"/>
      <c r="Y119" s="3199"/>
      <c r="Z119" s="3199"/>
    </row>
    <row r="120" spans="2:26" ht="32.25" customHeight="1">
      <c r="C120" s="1753"/>
      <c r="D120" s="3328">
        <f>+G120-E120</f>
        <v>-213967.97500014305</v>
      </c>
      <c r="E120" s="2896">
        <f>+'Schedule A'!S36</f>
        <v>522413790.01650006</v>
      </c>
      <c r="F120" s="2896">
        <f>+D120-E119</f>
        <v>-559121379.44500029</v>
      </c>
      <c r="G120" s="3228">
        <f>+'Schedule H'!S45</f>
        <v>522199822.04149991</v>
      </c>
      <c r="H120" s="4239">
        <f>+G120-G119</f>
        <v>0</v>
      </c>
      <c r="I120" s="4240" t="s">
        <v>4350</v>
      </c>
      <c r="J120" s="1748"/>
      <c r="M120" s="3330"/>
      <c r="N120" s="3285">
        <f>+M120-G120</f>
        <v>-522199822.04149991</v>
      </c>
      <c r="Q120" s="1867"/>
      <c r="R120" s="1867"/>
      <c r="V120" s="1745"/>
      <c r="W120" s="1745"/>
      <c r="X120" s="1745"/>
      <c r="Y120" s="1745"/>
      <c r="Z120" s="1745"/>
    </row>
    <row r="121" spans="2:26" ht="33.950000000000003" customHeight="1" thickBot="1">
      <c r="C121" s="1753"/>
      <c r="D121" s="3368"/>
      <c r="E121" s="1859">
        <f>+E120-G119</f>
        <v>213967.97500008345</v>
      </c>
      <c r="F121" s="1865"/>
      <c r="G121" s="3871"/>
      <c r="H121" s="5479"/>
      <c r="I121" s="5480"/>
      <c r="J121" s="1748"/>
      <c r="M121" s="3526"/>
      <c r="V121" s="1745"/>
      <c r="W121" s="1745"/>
      <c r="X121" s="1745"/>
      <c r="Y121" s="1745"/>
      <c r="Z121" s="1745"/>
    </row>
    <row r="122" spans="2:26" ht="33.950000000000003" customHeight="1" thickTop="1" thickBot="1">
      <c r="C122" s="1753"/>
      <c r="D122" s="1821" t="s">
        <v>302</v>
      </c>
      <c r="E122" s="1822"/>
      <c r="F122" s="1822"/>
      <c r="G122" s="1865"/>
      <c r="H122" s="5479">
        <f>I50-H121</f>
        <v>-215885.19000000041</v>
      </c>
      <c r="I122" s="5480"/>
      <c r="J122" s="1748"/>
      <c r="M122" s="3530"/>
      <c r="N122" s="4181" t="s">
        <v>4194</v>
      </c>
      <c r="O122" s="1866"/>
      <c r="P122" s="3277"/>
      <c r="Q122" s="1810"/>
      <c r="R122" s="1740"/>
      <c r="V122" s="1745"/>
      <c r="W122" s="1745"/>
      <c r="X122" s="1745"/>
      <c r="Y122" s="1745"/>
      <c r="Z122" s="1745"/>
    </row>
    <row r="123" spans="2:26" ht="30" customHeight="1" thickTop="1">
      <c r="C123" s="1753"/>
      <c r="D123" s="2149" t="s">
        <v>292</v>
      </c>
      <c r="E123" s="1823"/>
      <c r="F123" s="1823"/>
      <c r="G123" s="1823"/>
      <c r="H123" s="1824" t="s">
        <v>382</v>
      </c>
      <c r="I123" s="1825"/>
      <c r="J123" s="1748"/>
      <c r="M123" s="3531"/>
      <c r="N123" s="3533"/>
      <c r="P123" s="3238"/>
      <c r="Q123" s="1810"/>
      <c r="R123" s="1740"/>
      <c r="V123" s="1745"/>
      <c r="W123" s="1745"/>
      <c r="X123" s="1745"/>
      <c r="Y123" s="1745"/>
      <c r="Z123" s="1745"/>
    </row>
    <row r="124" spans="2:26" ht="33" customHeight="1" thickBot="1">
      <c r="C124" s="1753"/>
      <c r="D124" s="1826" t="s">
        <v>2103</v>
      </c>
      <c r="E124" s="1827"/>
      <c r="F124" s="1827"/>
      <c r="G124" s="1827"/>
      <c r="H124" s="5479">
        <f>SUM(H125:I140)</f>
        <v>0</v>
      </c>
      <c r="I124" s="5480"/>
      <c r="J124" s="1748"/>
      <c r="M124" s="4355">
        <f>H124-I34</f>
        <v>0</v>
      </c>
      <c r="N124" s="4247" t="s">
        <v>4194</v>
      </c>
      <c r="P124" s="2896"/>
      <c r="Q124" s="1810"/>
      <c r="R124" s="1740"/>
      <c r="V124" s="1745"/>
      <c r="W124" s="1745"/>
      <c r="X124" s="1745"/>
      <c r="Y124" s="1745"/>
      <c r="Z124" s="1745"/>
    </row>
    <row r="125" spans="2:26" ht="33" customHeight="1" thickTop="1">
      <c r="C125" s="1753"/>
      <c r="D125" s="5437" t="str">
        <f>'Schedule C'!A16&amp;" - "&amp;'Schedule C'!A305&amp;" - "&amp;'Schedule C'!B305</f>
        <v>Item No. - 239 - Extension of Areen services - 31 May 2026</v>
      </c>
      <c r="E125" s="5438"/>
      <c r="F125" s="5438"/>
      <c r="G125" s="5439"/>
      <c r="H125" s="5543"/>
      <c r="I125" s="5544"/>
      <c r="J125" s="1748"/>
      <c r="M125" s="3531"/>
      <c r="N125" s="3533"/>
      <c r="P125" s="2896"/>
      <c r="Q125" s="1810"/>
      <c r="R125" s="1740"/>
    </row>
    <row r="126" spans="2:26" ht="33" customHeight="1">
      <c r="C126" s="1753"/>
      <c r="D126" s="5437"/>
      <c r="E126" s="5438"/>
      <c r="F126" s="5438"/>
      <c r="G126" s="5439"/>
      <c r="H126" s="5543"/>
      <c r="I126" s="5544"/>
      <c r="J126" s="1748"/>
      <c r="M126" s="3531"/>
      <c r="N126" s="3533"/>
      <c r="P126" s="2896"/>
      <c r="Q126" s="1810"/>
      <c r="R126" s="1740"/>
      <c r="U126" s="1869"/>
    </row>
    <row r="127" spans="2:26" ht="33" customHeight="1">
      <c r="B127" s="1745" t="s">
        <v>1481</v>
      </c>
      <c r="C127" s="1753"/>
      <c r="D127" s="5437"/>
      <c r="E127" s="5438"/>
      <c r="F127" s="5438"/>
      <c r="G127" s="5439"/>
      <c r="H127" s="5543"/>
      <c r="I127" s="5544"/>
      <c r="J127" s="1748"/>
      <c r="M127" s="3528"/>
      <c r="N127" s="3529"/>
      <c r="O127" s="2897"/>
      <c r="P127" s="2897"/>
      <c r="Q127" s="1810"/>
      <c r="R127" s="1740"/>
      <c r="U127" s="1869"/>
    </row>
    <row r="128" spans="2:26" ht="33" customHeight="1">
      <c r="B128" s="1745" t="s">
        <v>1481</v>
      </c>
      <c r="C128" s="1753"/>
      <c r="D128" s="5440"/>
      <c r="E128" s="5441"/>
      <c r="F128" s="5441"/>
      <c r="G128" s="5442"/>
      <c r="H128" s="5543"/>
      <c r="I128" s="5544"/>
      <c r="J128" s="1748"/>
      <c r="M128" s="3528"/>
      <c r="N128" s="3529"/>
      <c r="O128" s="2897"/>
      <c r="P128" s="2897"/>
      <c r="Q128" s="1740"/>
      <c r="R128" s="1740"/>
      <c r="U128" s="1869"/>
    </row>
    <row r="129" spans="2:21" ht="33" customHeight="1">
      <c r="B129" s="1745" t="s">
        <v>1481</v>
      </c>
      <c r="C129" s="1753"/>
      <c r="D129" s="5545"/>
      <c r="E129" s="5441"/>
      <c r="F129" s="5441"/>
      <c r="G129" s="5442"/>
      <c r="H129" s="5543"/>
      <c r="I129" s="5544"/>
      <c r="J129" s="1748"/>
      <c r="M129" s="3528"/>
      <c r="N129" s="3529"/>
      <c r="O129" s="2897"/>
      <c r="P129" s="2897"/>
      <c r="Q129" s="1740"/>
      <c r="R129" s="1740"/>
      <c r="U129" s="1869"/>
    </row>
    <row r="130" spans="2:21" ht="33" customHeight="1">
      <c r="B130" s="1745" t="s">
        <v>1481</v>
      </c>
      <c r="C130" s="1753"/>
      <c r="D130" s="5485"/>
      <c r="E130" s="5486"/>
      <c r="F130" s="5486"/>
      <c r="G130" s="5487"/>
      <c r="H130" s="5543"/>
      <c r="I130" s="5544"/>
      <c r="J130" s="1748"/>
      <c r="M130" s="3528"/>
      <c r="N130" s="2897"/>
      <c r="O130" s="2899"/>
      <c r="P130" s="2897"/>
      <c r="Q130" s="1740"/>
      <c r="R130" s="1740"/>
      <c r="U130" s="1869"/>
    </row>
    <row r="131" spans="2:21" ht="33" customHeight="1">
      <c r="C131" s="1753"/>
      <c r="D131" s="4585"/>
      <c r="E131" s="3597"/>
      <c r="F131" s="3597"/>
      <c r="G131" s="4928"/>
      <c r="H131" s="5546"/>
      <c r="I131" s="5547"/>
      <c r="J131" s="1748"/>
      <c r="M131" s="3528"/>
      <c r="N131" s="2897"/>
      <c r="O131" s="2899"/>
      <c r="P131" s="2897"/>
      <c r="Q131" s="1740"/>
      <c r="R131" s="1740"/>
      <c r="U131" s="1869"/>
    </row>
    <row r="132" spans="2:21" ht="33" customHeight="1">
      <c r="C132" s="1753"/>
      <c r="D132" s="3596"/>
      <c r="E132" s="3597"/>
      <c r="F132" s="3597"/>
      <c r="G132" s="4928"/>
      <c r="H132" s="5543"/>
      <c r="I132" s="5544"/>
      <c r="J132" s="1748"/>
      <c r="M132" s="3528"/>
      <c r="N132" s="2897"/>
      <c r="O132" s="2899"/>
      <c r="P132" s="2897"/>
      <c r="Q132" s="1740"/>
      <c r="R132" s="1740"/>
      <c r="U132" s="1869"/>
    </row>
    <row r="133" spans="2:21" ht="33" customHeight="1">
      <c r="C133" s="1753"/>
      <c r="D133" s="3596"/>
      <c r="E133" s="3597"/>
      <c r="F133" s="3597"/>
      <c r="G133" s="4928"/>
      <c r="H133" s="5543"/>
      <c r="I133" s="5544"/>
      <c r="J133" s="1748"/>
      <c r="M133" s="3528"/>
      <c r="N133" s="2897"/>
      <c r="O133" s="2899"/>
      <c r="P133" s="2897"/>
      <c r="Q133" s="1740"/>
      <c r="R133" s="1740"/>
      <c r="U133" s="1869"/>
    </row>
    <row r="134" spans="2:21" ht="33" customHeight="1">
      <c r="C134" s="1753"/>
      <c r="D134" s="4585"/>
      <c r="E134" s="3597"/>
      <c r="F134" s="3597"/>
      <c r="G134" s="4928"/>
      <c r="H134" s="5548"/>
      <c r="I134" s="5549"/>
      <c r="J134" s="1748"/>
      <c r="M134" s="3528"/>
      <c r="N134" s="2897"/>
      <c r="O134" s="2899"/>
      <c r="P134" s="2897"/>
      <c r="Q134" s="1740"/>
      <c r="R134" s="1740"/>
      <c r="U134" s="1869"/>
    </row>
    <row r="135" spans="2:21" ht="33" customHeight="1">
      <c r="C135" s="1753"/>
      <c r="D135" s="4585"/>
      <c r="E135" s="3597"/>
      <c r="F135" s="3597"/>
      <c r="G135" s="4928"/>
      <c r="H135" s="5548"/>
      <c r="I135" s="5549"/>
      <c r="J135" s="1748"/>
      <c r="M135" s="3528"/>
      <c r="N135" s="2897"/>
      <c r="O135" s="2899"/>
      <c r="P135" s="2897"/>
      <c r="Q135" s="1740"/>
      <c r="R135" s="1740"/>
      <c r="U135" s="1869"/>
    </row>
    <row r="136" spans="2:21" ht="33" customHeight="1">
      <c r="C136" s="1753"/>
      <c r="D136" s="3596"/>
      <c r="E136" s="3597"/>
      <c r="F136" s="3597"/>
      <c r="G136" s="4928"/>
      <c r="H136" s="4926"/>
      <c r="I136" s="4927"/>
      <c r="J136" s="1748"/>
      <c r="M136" s="3528"/>
      <c r="N136" s="2897"/>
      <c r="O136" s="2899"/>
      <c r="P136" s="2897"/>
      <c r="Q136" s="1740"/>
      <c r="R136" s="1740"/>
      <c r="U136" s="1869"/>
    </row>
    <row r="137" spans="2:21" ht="33" customHeight="1">
      <c r="C137" s="1753"/>
      <c r="D137" s="3596"/>
      <c r="E137" s="3597"/>
      <c r="F137" s="3597"/>
      <c r="G137" s="4928"/>
      <c r="H137" s="4926"/>
      <c r="I137" s="4927"/>
      <c r="J137" s="1748"/>
      <c r="M137" s="3528"/>
      <c r="N137" s="2897"/>
      <c r="O137" s="2899"/>
      <c r="P137" s="2897"/>
      <c r="Q137" s="1740"/>
      <c r="R137" s="1740"/>
      <c r="U137" s="1869"/>
    </row>
    <row r="138" spans="2:21" ht="33" customHeight="1">
      <c r="C138" s="1753"/>
      <c r="D138" s="3596"/>
      <c r="E138" s="3597"/>
      <c r="F138" s="3597"/>
      <c r="G138" s="4928"/>
      <c r="H138" s="4926"/>
      <c r="I138" s="4927"/>
      <c r="J138" s="1748"/>
      <c r="M138" s="3528"/>
      <c r="N138" s="2897"/>
      <c r="O138" s="2899"/>
      <c r="P138" s="2897"/>
      <c r="Q138" s="1740"/>
      <c r="R138" s="1740"/>
      <c r="U138" s="1869"/>
    </row>
    <row r="139" spans="2:21" ht="33" customHeight="1">
      <c r="B139" s="1745" t="s">
        <v>1481</v>
      </c>
      <c r="D139" s="5485"/>
      <c r="E139" s="5486"/>
      <c r="F139" s="5486"/>
      <c r="G139" s="5487"/>
      <c r="H139" s="5543"/>
      <c r="I139" s="5544"/>
      <c r="J139" s="1748"/>
      <c r="M139" s="3528"/>
      <c r="N139" s="1740"/>
      <c r="O139" s="1740"/>
      <c r="P139" s="2897"/>
      <c r="Q139" s="1810"/>
      <c r="R139" s="1740"/>
      <c r="U139" s="1869"/>
    </row>
    <row r="140" spans="2:21" ht="33" customHeight="1">
      <c r="D140" s="3596"/>
      <c r="E140" s="3597"/>
      <c r="F140" s="3597"/>
      <c r="G140" s="3597"/>
      <c r="H140" s="3181"/>
      <c r="I140" s="3182"/>
      <c r="J140" s="1748"/>
      <c r="M140" s="4246"/>
      <c r="N140" s="4247"/>
      <c r="O140" s="1740"/>
      <c r="P140" s="2897"/>
      <c r="Q140" s="1810"/>
      <c r="R140" s="1740"/>
      <c r="U140" s="1869"/>
    </row>
    <row r="141" spans="2:21" ht="33" customHeight="1" thickBot="1">
      <c r="D141" s="3179" t="s">
        <v>392</v>
      </c>
      <c r="E141" s="3180"/>
      <c r="F141" s="3180"/>
      <c r="G141" s="3180"/>
      <c r="H141" s="5488">
        <f>SUM(H142:I163)</f>
        <v>0</v>
      </c>
      <c r="I141" s="5489"/>
      <c r="J141" s="1748"/>
      <c r="M141" s="4356">
        <f>I38-H141</f>
        <v>0</v>
      </c>
      <c r="N141" s="4247" t="s">
        <v>4194</v>
      </c>
      <c r="O141" s="1740"/>
      <c r="P141" s="2897"/>
      <c r="Q141" s="1810"/>
      <c r="R141" s="1740"/>
      <c r="U141" s="1869"/>
    </row>
    <row r="142" spans="2:21" ht="33" customHeight="1" thickTop="1">
      <c r="D142" s="5540" t="str">
        <f>'Schedule C'!A16&amp;" - "&amp;'Schedule C'!A223&amp;" - "&amp;'Schedule C'!B223</f>
        <v>Item No. - 157 - Notice of Backcharge to SAB - Altenative Labour Support to Abu Dhabi Precast (IMAR &amp; Fibrex)</v>
      </c>
      <c r="E142" s="5541"/>
      <c r="F142" s="5541"/>
      <c r="G142" s="5542"/>
      <c r="H142" s="5432"/>
      <c r="I142" s="5433"/>
      <c r="J142" s="1748"/>
      <c r="M142" s="4150"/>
      <c r="N142" s="1740"/>
      <c r="O142" s="1740"/>
      <c r="P142" s="2897"/>
      <c r="Q142" s="1810"/>
      <c r="R142" s="1740"/>
      <c r="U142" s="1869"/>
    </row>
    <row r="143" spans="2:21" ht="33" customHeight="1">
      <c r="D143" s="5540"/>
      <c r="E143" s="5541"/>
      <c r="F143" s="5541"/>
      <c r="G143" s="5542"/>
      <c r="H143" s="5432"/>
      <c r="I143" s="5433"/>
      <c r="J143" s="1748"/>
      <c r="M143" s="4150"/>
      <c r="N143" s="1810"/>
      <c r="O143" s="1740"/>
      <c r="P143" s="2897"/>
      <c r="Q143" s="1810"/>
      <c r="R143" s="1740"/>
      <c r="U143" s="1869"/>
    </row>
    <row r="144" spans="2:21" ht="33" customHeight="1">
      <c r="D144" s="5437"/>
      <c r="E144" s="5438"/>
      <c r="F144" s="5438"/>
      <c r="G144" s="5439"/>
      <c r="H144" s="5432"/>
      <c r="I144" s="5433"/>
      <c r="J144" s="1748"/>
      <c r="M144" s="3527"/>
      <c r="N144" s="1740"/>
      <c r="O144" s="1740"/>
      <c r="P144" s="2897"/>
      <c r="Q144" s="1810"/>
      <c r="R144" s="1740"/>
      <c r="U144" s="1869"/>
    </row>
    <row r="145" spans="4:26" ht="34.5" customHeight="1">
      <c r="D145" s="5440"/>
      <c r="E145" s="5441"/>
      <c r="F145" s="5441"/>
      <c r="G145" s="5442"/>
      <c r="H145" s="5432"/>
      <c r="I145" s="5433"/>
      <c r="J145" s="1748"/>
      <c r="M145" s="3528"/>
      <c r="N145" s="1740"/>
      <c r="O145" s="1740"/>
      <c r="P145" s="2897"/>
      <c r="Q145" s="1810"/>
      <c r="R145" s="1740"/>
      <c r="U145" s="1869"/>
    </row>
    <row r="146" spans="4:26" ht="34.5" customHeight="1">
      <c r="D146" s="5545"/>
      <c r="E146" s="5441"/>
      <c r="F146" s="5441"/>
      <c r="G146" s="5442"/>
      <c r="H146" s="5432"/>
      <c r="I146" s="5433"/>
      <c r="J146" s="1748"/>
      <c r="M146" s="3528"/>
      <c r="N146" s="1740"/>
      <c r="O146" s="1740"/>
      <c r="P146" s="2897"/>
      <c r="Q146" s="1810"/>
      <c r="R146" s="1740"/>
      <c r="U146" s="1869"/>
    </row>
    <row r="147" spans="4:26" ht="34.5" customHeight="1">
      <c r="D147" s="5440"/>
      <c r="E147" s="5441"/>
      <c r="F147" s="5441"/>
      <c r="G147" s="5442"/>
      <c r="H147" s="5432"/>
      <c r="I147" s="5433"/>
      <c r="M147" s="4260"/>
      <c r="N147" s="3284"/>
      <c r="O147" s="1740"/>
      <c r="P147" s="1740"/>
      <c r="Q147" s="1740"/>
      <c r="R147" s="1740"/>
      <c r="U147" s="1869"/>
    </row>
    <row r="148" spans="4:26" ht="34.5" customHeight="1">
      <c r="D148" s="5434"/>
      <c r="E148" s="5435"/>
      <c r="F148" s="5435"/>
      <c r="G148" s="5436"/>
      <c r="H148" s="5432"/>
      <c r="I148" s="5433"/>
      <c r="M148" s="4150"/>
      <c r="N148" s="1810"/>
      <c r="O148" s="1740"/>
      <c r="P148" s="1740"/>
      <c r="Q148" s="1740"/>
      <c r="R148" s="1740"/>
    </row>
    <row r="149" spans="4:26" ht="34.5" customHeight="1">
      <c r="D149" s="5434"/>
      <c r="E149" s="5435"/>
      <c r="F149" s="5435"/>
      <c r="G149" s="5436"/>
      <c r="H149" s="5432"/>
      <c r="I149" s="5433"/>
      <c r="M149" s="3527"/>
      <c r="N149" s="1810"/>
      <c r="O149" s="1740"/>
      <c r="P149" s="1740"/>
      <c r="Q149" s="1740"/>
      <c r="R149" s="1740"/>
      <c r="V149" s="1745"/>
      <c r="W149" s="1745"/>
      <c r="X149" s="1745"/>
      <c r="Y149" s="1745"/>
      <c r="Z149" s="1745"/>
    </row>
    <row r="150" spans="4:26" ht="34.5" customHeight="1">
      <c r="D150" s="5434"/>
      <c r="E150" s="5435"/>
      <c r="F150" s="5435"/>
      <c r="G150" s="5436"/>
      <c r="H150" s="5432"/>
      <c r="I150" s="5433"/>
      <c r="M150" s="3527"/>
      <c r="N150" s="3284"/>
      <c r="O150" s="1740"/>
      <c r="P150" s="1740"/>
      <c r="Q150" s="1740"/>
      <c r="R150" s="1740"/>
      <c r="V150" s="1745"/>
      <c r="W150" s="1745"/>
      <c r="X150" s="1745"/>
      <c r="Y150" s="1745"/>
      <c r="Z150" s="1745"/>
    </row>
    <row r="151" spans="4:26" ht="34.5" customHeight="1">
      <c r="D151" s="5434"/>
      <c r="E151" s="5435"/>
      <c r="F151" s="5435"/>
      <c r="G151" s="5436"/>
      <c r="H151" s="5432"/>
      <c r="I151" s="5433"/>
      <c r="M151" s="3527" t="s">
        <v>6533</v>
      </c>
      <c r="N151" s="3284"/>
      <c r="O151" s="1740"/>
      <c r="P151" s="1740"/>
      <c r="Q151" s="1740"/>
      <c r="R151" s="1740"/>
      <c r="V151" s="1745"/>
      <c r="W151" s="1745"/>
      <c r="X151" s="1745"/>
      <c r="Y151" s="1745"/>
      <c r="Z151" s="1745"/>
    </row>
    <row r="152" spans="4:26" ht="34.5" customHeight="1">
      <c r="D152" s="5551"/>
      <c r="E152" s="5435"/>
      <c r="F152" s="5435"/>
      <c r="G152" s="5436"/>
      <c r="H152" s="5445"/>
      <c r="I152" s="5446"/>
      <c r="M152" s="3527"/>
      <c r="N152" s="3284"/>
      <c r="O152" s="1740"/>
      <c r="P152" s="1740"/>
      <c r="Q152" s="1740"/>
      <c r="R152" s="1740"/>
      <c r="V152" s="1745"/>
      <c r="W152" s="1745"/>
      <c r="X152" s="1745"/>
      <c r="Y152" s="1745"/>
      <c r="Z152" s="1745"/>
    </row>
    <row r="153" spans="4:26" ht="34.5" customHeight="1">
      <c r="D153" s="4934"/>
      <c r="E153" s="3217"/>
      <c r="F153" s="3217"/>
      <c r="G153" s="4245"/>
      <c r="H153" s="5445"/>
      <c r="I153" s="5446"/>
      <c r="M153" s="3527"/>
      <c r="N153" s="3284"/>
      <c r="O153" s="1740"/>
      <c r="P153" s="1740"/>
      <c r="Q153" s="1740"/>
      <c r="R153" s="1740"/>
      <c r="V153" s="1745"/>
      <c r="W153" s="1745"/>
      <c r="X153" s="1745"/>
      <c r="Y153" s="1745"/>
      <c r="Z153" s="1745"/>
    </row>
    <row r="154" spans="4:26" ht="34.5" customHeight="1">
      <c r="D154" s="4934"/>
      <c r="E154" s="3217"/>
      <c r="F154" s="3217"/>
      <c r="G154" s="4245"/>
      <c r="H154" s="5445"/>
      <c r="I154" s="5446"/>
      <c r="M154" s="3527"/>
      <c r="N154" s="3284"/>
      <c r="O154" s="1740"/>
      <c r="P154" s="1740"/>
      <c r="Q154" s="1740"/>
      <c r="R154" s="1740"/>
      <c r="V154" s="1745"/>
      <c r="W154" s="1745"/>
      <c r="X154" s="1745"/>
      <c r="Y154" s="1745"/>
      <c r="Z154" s="1745"/>
    </row>
    <row r="155" spans="4:26" ht="34.5" customHeight="1">
      <c r="D155" s="4934"/>
      <c r="E155" s="3217"/>
      <c r="F155" s="3217"/>
      <c r="G155" s="4245"/>
      <c r="H155" s="5445"/>
      <c r="I155" s="5446"/>
      <c r="M155" s="3527"/>
      <c r="N155" s="3284"/>
      <c r="O155" s="1740"/>
      <c r="P155" s="1740"/>
      <c r="Q155" s="1740"/>
      <c r="R155" s="1740"/>
      <c r="V155" s="1745"/>
      <c r="W155" s="1745"/>
      <c r="X155" s="1745"/>
      <c r="Y155" s="1745"/>
      <c r="Z155" s="1745"/>
    </row>
    <row r="156" spans="4:26" ht="34.5" customHeight="1">
      <c r="D156" s="3216"/>
      <c r="E156" s="3217"/>
      <c r="F156" s="3217"/>
      <c r="G156" s="4245"/>
      <c r="H156" s="5432"/>
      <c r="I156" s="5433"/>
      <c r="M156" s="3527"/>
      <c r="N156" s="3284"/>
      <c r="O156" s="1740"/>
      <c r="P156" s="1740"/>
      <c r="Q156" s="1740"/>
      <c r="R156" s="1740"/>
      <c r="V156" s="1745"/>
      <c r="W156" s="1745"/>
      <c r="X156" s="1745"/>
      <c r="Y156" s="1745"/>
      <c r="Z156" s="1745"/>
    </row>
    <row r="157" spans="4:26" ht="34.5" customHeight="1">
      <c r="D157" s="5434"/>
      <c r="E157" s="5435"/>
      <c r="F157" s="5435"/>
      <c r="G157" s="5436"/>
      <c r="H157" s="5432"/>
      <c r="I157" s="5433"/>
      <c r="M157" s="3527"/>
      <c r="N157" s="4263"/>
      <c r="O157" s="1740"/>
      <c r="P157" s="1740"/>
      <c r="Q157" s="1740"/>
      <c r="R157" s="1740"/>
      <c r="V157" s="1745"/>
      <c r="W157" s="1745"/>
      <c r="X157" s="1745"/>
      <c r="Y157" s="1745"/>
      <c r="Z157" s="1745"/>
    </row>
    <row r="158" spans="4:26" ht="34.5" customHeight="1">
      <c r="D158" s="3216"/>
      <c r="E158" s="3217"/>
      <c r="F158" s="3217"/>
      <c r="G158" s="3217"/>
      <c r="H158" s="5432"/>
      <c r="I158" s="5433"/>
      <c r="M158" s="3527"/>
      <c r="N158" s="4263"/>
      <c r="O158" s="1740"/>
      <c r="P158" s="1740"/>
      <c r="Q158" s="1740"/>
      <c r="R158" s="1740"/>
      <c r="V158" s="1745"/>
      <c r="W158" s="1745"/>
      <c r="X158" s="1745"/>
      <c r="Y158" s="1745"/>
      <c r="Z158" s="1745"/>
    </row>
    <row r="159" spans="4:26" ht="34.5" customHeight="1">
      <c r="D159" s="4934"/>
      <c r="E159" s="3217"/>
      <c r="F159" s="3217"/>
      <c r="G159" s="3217"/>
      <c r="H159" s="5447"/>
      <c r="I159" s="5448"/>
      <c r="M159" s="3527"/>
      <c r="N159" s="4263"/>
      <c r="O159" s="1740"/>
      <c r="P159" s="1740"/>
      <c r="Q159" s="1740"/>
      <c r="R159" s="1740"/>
      <c r="V159" s="1745"/>
      <c r="W159" s="1745"/>
      <c r="X159" s="1745"/>
      <c r="Y159" s="1745"/>
      <c r="Z159" s="1745"/>
    </row>
    <row r="160" spans="4:26" ht="34.5" customHeight="1">
      <c r="D160" s="4934"/>
      <c r="E160" s="3217"/>
      <c r="F160" s="3217"/>
      <c r="G160" s="3217"/>
      <c r="H160" s="5447"/>
      <c r="I160" s="5448"/>
      <c r="M160" s="3527"/>
      <c r="N160" s="4263"/>
      <c r="O160" s="1740"/>
      <c r="P160" s="1740"/>
      <c r="Q160" s="1740"/>
      <c r="R160" s="1740"/>
      <c r="V160" s="1745"/>
      <c r="W160" s="1745"/>
      <c r="X160" s="1745"/>
      <c r="Y160" s="1745"/>
      <c r="Z160" s="1745"/>
    </row>
    <row r="161" spans="4:27" ht="34.5" customHeight="1">
      <c r="D161" s="4934"/>
      <c r="E161" s="3217"/>
      <c r="F161" s="3217"/>
      <c r="G161" s="3217"/>
      <c r="H161" s="5447"/>
      <c r="I161" s="5448"/>
      <c r="M161" s="3527"/>
      <c r="N161" s="4263"/>
      <c r="O161" s="1740"/>
      <c r="P161" s="1740"/>
      <c r="Q161" s="1740"/>
      <c r="R161" s="1740"/>
      <c r="V161" s="1745"/>
      <c r="W161" s="1745"/>
      <c r="X161" s="1745"/>
      <c r="Y161" s="1745"/>
      <c r="Z161" s="1745"/>
    </row>
    <row r="162" spans="4:27" ht="34.5" customHeight="1">
      <c r="D162" s="3216"/>
      <c r="E162" s="3217"/>
      <c r="F162" s="3217"/>
      <c r="G162" s="3217"/>
      <c r="H162" s="5430"/>
      <c r="I162" s="5431"/>
      <c r="M162" s="3527"/>
      <c r="N162" s="3329"/>
      <c r="O162" s="1740"/>
      <c r="P162" s="1740"/>
      <c r="Q162" s="1740"/>
      <c r="R162" s="1740"/>
    </row>
    <row r="163" spans="4:27" ht="27.75" customHeight="1">
      <c r="D163" s="3216"/>
      <c r="E163" s="3217"/>
      <c r="F163" s="3217"/>
      <c r="G163" s="3217"/>
      <c r="H163" s="3181"/>
      <c r="I163" s="3182"/>
      <c r="M163" s="4246"/>
      <c r="N163" s="4247"/>
      <c r="O163" s="1740"/>
      <c r="P163" s="1740"/>
      <c r="Q163" s="1740"/>
      <c r="R163" s="1740"/>
    </row>
    <row r="164" spans="4:27" ht="27.75" customHeight="1" thickBot="1">
      <c r="D164" s="1834" t="s">
        <v>395</v>
      </c>
      <c r="E164" s="1835"/>
      <c r="F164" s="1835"/>
      <c r="G164" s="1835"/>
      <c r="H164" s="5443">
        <f>SUM(H165:I199)</f>
        <v>-215885.18999999994</v>
      </c>
      <c r="I164" s="5444"/>
      <c r="M164" s="4357">
        <f>I40-H164</f>
        <v>-4.6566128730773926E-10</v>
      </c>
      <c r="N164" s="4247" t="s">
        <v>4375</v>
      </c>
      <c r="O164" s="1740"/>
      <c r="P164" s="1740"/>
      <c r="Q164" s="1740"/>
      <c r="R164" s="1740"/>
    </row>
    <row r="165" spans="4:27" ht="27.75" customHeight="1" thickTop="1">
      <c r="D165" s="5552" t="str">
        <f>'Schedule C'!A16&amp;" - "&amp;'Schedule C'!A339&amp;" - "&amp;'Schedule C'!B339</f>
        <v>Item No. - 273 - Payment of SAB's Sub-Contractors through DEPA – GLSAN, Blue Wellness and BMC</v>
      </c>
      <c r="E165" s="5486"/>
      <c r="F165" s="5486"/>
      <c r="G165" s="5487"/>
      <c r="H165" s="5430">
        <f>'Schedule C'!Y339</f>
        <v>1196461.25</v>
      </c>
      <c r="I165" s="5431"/>
      <c r="M165" s="4150"/>
      <c r="N165" s="2899"/>
      <c r="O165" s="1740"/>
      <c r="P165" s="1740"/>
      <c r="Q165" s="1740"/>
      <c r="R165" s="1740"/>
    </row>
    <row r="166" spans="4:27" ht="27.75" customHeight="1">
      <c r="D166" s="5540" t="str">
        <f>'Schedule C'!A16&amp;" - "&amp;'Schedule C'!A340&amp;" - "&amp;'Schedule C'!B340</f>
        <v>Item No. - 274 - Back-charge to SAB – Payment of SAB's Sub-Contractors through DEPA and Nesma</v>
      </c>
      <c r="E166" s="5541"/>
      <c r="F166" s="5541"/>
      <c r="G166" s="5542"/>
      <c r="H166" s="5430">
        <f>'Schedule C'!Y340</f>
        <v>-1412346.44</v>
      </c>
      <c r="I166" s="5431"/>
      <c r="M166" s="2897"/>
      <c r="N166" s="2899"/>
      <c r="O166" s="1740"/>
      <c r="P166" s="1740"/>
      <c r="Q166" s="1740"/>
      <c r="R166" s="1740"/>
      <c r="S166" s="1740"/>
      <c r="AA166" s="1786"/>
    </row>
    <row r="167" spans="4:27" ht="36" customHeight="1">
      <c r="D167" s="5540"/>
      <c r="E167" s="5541"/>
      <c r="F167" s="5541"/>
      <c r="G167" s="5542"/>
      <c r="H167" s="5430"/>
      <c r="I167" s="5431"/>
      <c r="M167" s="3515"/>
      <c r="N167" s="1740"/>
      <c r="O167" s="1740"/>
      <c r="P167" s="1740"/>
      <c r="Q167" s="1740"/>
      <c r="R167" s="1740"/>
      <c r="S167" s="1740"/>
      <c r="V167" s="1745"/>
      <c r="AA167" s="1786"/>
    </row>
    <row r="168" spans="4:27" ht="27.75" customHeight="1">
      <c r="D168" s="5540"/>
      <c r="E168" s="5541"/>
      <c r="F168" s="5541"/>
      <c r="G168" s="5542"/>
      <c r="H168" s="5430"/>
      <c r="I168" s="5431"/>
      <c r="M168" s="3515"/>
      <c r="N168" s="1740"/>
      <c r="O168" s="1740"/>
      <c r="P168" s="1740"/>
      <c r="Q168" s="1740"/>
      <c r="R168" s="1740"/>
      <c r="S168" s="1740"/>
      <c r="V168" s="1745"/>
      <c r="AA168" s="1786"/>
    </row>
    <row r="169" spans="4:27" ht="29.25" customHeight="1">
      <c r="D169" s="5540"/>
      <c r="E169" s="5541"/>
      <c r="F169" s="5541"/>
      <c r="G169" s="5542"/>
      <c r="H169" s="5430"/>
      <c r="I169" s="5431"/>
      <c r="J169" s="3532"/>
      <c r="M169" s="3515"/>
      <c r="N169" s="1740"/>
      <c r="O169" s="1740"/>
      <c r="P169" s="1740"/>
      <c r="Q169" s="1740"/>
      <c r="R169" s="1740"/>
      <c r="S169" s="1740"/>
      <c r="V169" s="1745"/>
      <c r="AA169" s="1786"/>
    </row>
    <row r="170" spans="4:27" ht="25.5" customHeight="1">
      <c r="D170" s="5552"/>
      <c r="E170" s="5550"/>
      <c r="F170" s="5550"/>
      <c r="G170" s="5557"/>
      <c r="H170" s="5430"/>
      <c r="I170" s="5431"/>
      <c r="M170" s="3515"/>
      <c r="N170" s="1740"/>
      <c r="O170" s="1740"/>
      <c r="P170" s="1740"/>
      <c r="Q170" s="1740"/>
      <c r="R170" s="1740"/>
      <c r="S170" s="1740"/>
      <c r="V170" s="1745"/>
      <c r="AA170" s="1786"/>
    </row>
    <row r="171" spans="4:27" ht="25.5" customHeight="1">
      <c r="D171" s="4585"/>
      <c r="E171" s="4586"/>
      <c r="F171" s="4586"/>
      <c r="G171" s="4784"/>
      <c r="H171" s="5430"/>
      <c r="I171" s="5431"/>
      <c r="M171" s="3515"/>
      <c r="N171" s="1740"/>
      <c r="O171" s="1740"/>
      <c r="P171" s="1740"/>
      <c r="Q171" s="1740"/>
      <c r="R171" s="1740"/>
      <c r="S171" s="1740"/>
      <c r="V171" s="1745"/>
      <c r="AA171" s="1786"/>
    </row>
    <row r="172" spans="4:27" ht="25.5" customHeight="1">
      <c r="D172" s="4585"/>
      <c r="E172" s="4586"/>
      <c r="F172" s="4586"/>
      <c r="G172" s="4784"/>
      <c r="H172" s="5571"/>
      <c r="I172" s="5572"/>
      <c r="M172" s="3515"/>
      <c r="N172" s="1740"/>
      <c r="O172" s="1740"/>
      <c r="P172" s="1740"/>
      <c r="Q172" s="1740"/>
      <c r="R172" s="1740"/>
      <c r="S172" s="1740"/>
      <c r="V172" s="1745"/>
      <c r="AA172" s="1786"/>
    </row>
    <row r="173" spans="4:27" ht="25.5" customHeight="1">
      <c r="D173" s="4585"/>
      <c r="E173" s="4586"/>
      <c r="F173" s="4586"/>
      <c r="G173" s="4784"/>
      <c r="H173" s="5571"/>
      <c r="I173" s="5572"/>
      <c r="M173" s="3515"/>
      <c r="N173" s="1740"/>
      <c r="O173" s="1740"/>
      <c r="P173" s="1740"/>
      <c r="Q173" s="1740"/>
      <c r="R173" s="1740"/>
      <c r="S173" s="1740"/>
      <c r="V173" s="1745"/>
      <c r="AA173" s="1786"/>
    </row>
    <row r="174" spans="4:27" ht="25.5" customHeight="1">
      <c r="D174" s="4585"/>
      <c r="E174" s="4586"/>
      <c r="F174" s="4586"/>
      <c r="G174" s="4784"/>
      <c r="H174" s="5571"/>
      <c r="I174" s="5572"/>
      <c r="M174" s="3515"/>
      <c r="N174" s="1740"/>
      <c r="O174" s="1740"/>
      <c r="P174" s="1740"/>
      <c r="Q174" s="1740"/>
      <c r="R174" s="1740"/>
      <c r="S174" s="1740"/>
      <c r="V174" s="1745"/>
      <c r="AA174" s="1786"/>
    </row>
    <row r="175" spans="4:27" ht="25.5" customHeight="1">
      <c r="D175" s="4585"/>
      <c r="E175" s="4586"/>
      <c r="F175" s="4586"/>
      <c r="G175" s="4784"/>
      <c r="H175" s="5430"/>
      <c r="I175" s="5431"/>
      <c r="M175" s="3515"/>
      <c r="N175" s="1740"/>
      <c r="O175" s="1740"/>
      <c r="P175" s="1740"/>
      <c r="Q175" s="1740"/>
      <c r="R175" s="1740"/>
      <c r="S175" s="1740"/>
      <c r="V175" s="1745"/>
      <c r="AA175" s="1786"/>
    </row>
    <row r="176" spans="4:27" ht="25.5" customHeight="1">
      <c r="D176" s="4585"/>
      <c r="E176" s="4586"/>
      <c r="F176" s="4586"/>
      <c r="G176" s="4784"/>
      <c r="H176" s="5430"/>
      <c r="I176" s="5431"/>
      <c r="M176" s="3515"/>
      <c r="N176" s="1740"/>
      <c r="O176" s="1740"/>
      <c r="P176" s="1740"/>
      <c r="Q176" s="1740"/>
      <c r="R176" s="1740"/>
      <c r="S176" s="1740"/>
      <c r="V176" s="1745"/>
      <c r="AA176" s="1786"/>
    </row>
    <row r="177" spans="4:27" ht="25.5" customHeight="1">
      <c r="D177" s="4585"/>
      <c r="E177" s="4586"/>
      <c r="F177" s="4586"/>
      <c r="G177" s="4784"/>
      <c r="H177" s="5430"/>
      <c r="I177" s="5431"/>
      <c r="M177" s="3515"/>
      <c r="N177" s="1740"/>
      <c r="O177" s="1740"/>
      <c r="P177" s="1740"/>
      <c r="Q177" s="1740"/>
      <c r="R177" s="1740"/>
      <c r="S177" s="1740"/>
      <c r="V177" s="1745"/>
      <c r="AA177" s="1786"/>
    </row>
    <row r="178" spans="4:27" ht="25.5" customHeight="1">
      <c r="D178" s="4585"/>
      <c r="E178" s="4586"/>
      <c r="F178" s="4586"/>
      <c r="G178" s="4784"/>
      <c r="H178" s="5430"/>
      <c r="I178" s="5431"/>
      <c r="M178" s="3515"/>
      <c r="N178" s="1740"/>
      <c r="O178" s="1740"/>
      <c r="P178" s="1740"/>
      <c r="Q178" s="1740"/>
      <c r="R178" s="1740"/>
      <c r="S178" s="1740"/>
      <c r="V178" s="1745"/>
      <c r="AA178" s="1786"/>
    </row>
    <row r="179" spans="4:27" ht="25.5" customHeight="1">
      <c r="D179" s="4585"/>
      <c r="E179" s="4586"/>
      <c r="F179" s="4586"/>
      <c r="G179" s="4784"/>
      <c r="H179" s="5430"/>
      <c r="I179" s="5431"/>
      <c r="M179" s="3515"/>
      <c r="N179" s="1740"/>
      <c r="O179" s="1740"/>
      <c r="P179" s="1740"/>
      <c r="Q179" s="1740"/>
      <c r="R179" s="1740"/>
      <c r="S179" s="1740"/>
      <c r="V179" s="1745"/>
      <c r="AA179" s="1786"/>
    </row>
    <row r="180" spans="4:27" ht="27" customHeight="1">
      <c r="D180" s="5552"/>
      <c r="E180" s="5550"/>
      <c r="F180" s="5550"/>
      <c r="G180" s="5557"/>
      <c r="H180" s="5558"/>
      <c r="I180" s="5559"/>
      <c r="M180" s="3515"/>
      <c r="N180" s="3329"/>
      <c r="O180" s="1740"/>
      <c r="P180" s="1740"/>
      <c r="Q180" s="1740"/>
      <c r="R180" s="1740"/>
      <c r="S180" s="1740"/>
      <c r="V180" s="1745"/>
      <c r="AA180" s="1786"/>
    </row>
    <row r="181" spans="4:27" ht="27" customHeight="1">
      <c r="D181" s="4585"/>
      <c r="E181" s="4586"/>
      <c r="F181" s="4586"/>
      <c r="G181" s="4784"/>
      <c r="H181" s="5558"/>
      <c r="I181" s="5559"/>
      <c r="M181" s="3515"/>
      <c r="N181" s="3329"/>
      <c r="O181" s="1740"/>
      <c r="P181" s="1740"/>
      <c r="Q181" s="1740"/>
      <c r="R181" s="1740"/>
      <c r="S181" s="1740"/>
      <c r="V181" s="1745"/>
      <c r="AA181" s="1786"/>
    </row>
    <row r="182" spans="4:27" ht="27" customHeight="1">
      <c r="D182" s="4585"/>
      <c r="E182" s="4586"/>
      <c r="F182" s="4586"/>
      <c r="G182" s="4784"/>
      <c r="H182" s="5558"/>
      <c r="I182" s="5559"/>
      <c r="M182" s="3515"/>
      <c r="N182" s="3329"/>
      <c r="O182" s="1740"/>
      <c r="P182" s="1740"/>
      <c r="Q182" s="1740"/>
      <c r="R182" s="1740"/>
      <c r="S182" s="1740"/>
      <c r="V182" s="1745"/>
      <c r="AA182" s="1786"/>
    </row>
    <row r="183" spans="4:27" ht="27" customHeight="1">
      <c r="D183" s="4585"/>
      <c r="E183" s="4586"/>
      <c r="F183" s="4586"/>
      <c r="G183" s="4784"/>
      <c r="H183" s="5558"/>
      <c r="I183" s="5559"/>
      <c r="M183" s="3515"/>
      <c r="N183" s="3329"/>
      <c r="O183" s="1740"/>
      <c r="P183" s="1740"/>
      <c r="Q183" s="1740"/>
      <c r="R183" s="1740"/>
      <c r="S183" s="1740"/>
      <c r="V183" s="1745"/>
      <c r="AA183" s="1786"/>
    </row>
    <row r="184" spans="4:27" ht="27" customHeight="1">
      <c r="D184" s="4585"/>
      <c r="E184" s="4586"/>
      <c r="F184" s="4586"/>
      <c r="G184" s="4784"/>
      <c r="H184" s="5558"/>
      <c r="I184" s="5559"/>
      <c r="M184" s="3515"/>
      <c r="N184" s="3329"/>
      <c r="O184" s="1740"/>
      <c r="P184" s="1740"/>
      <c r="Q184" s="1740"/>
      <c r="R184" s="1740"/>
      <c r="S184" s="1740"/>
      <c r="V184" s="1745"/>
      <c r="AA184" s="1786"/>
    </row>
    <row r="185" spans="4:27" ht="27" customHeight="1">
      <c r="D185" s="4585"/>
      <c r="E185" s="4586"/>
      <c r="F185" s="4586"/>
      <c r="G185" s="4784"/>
      <c r="H185" s="5558"/>
      <c r="I185" s="5559"/>
      <c r="M185" s="3515"/>
      <c r="N185" s="3329"/>
      <c r="O185" s="1740"/>
      <c r="P185" s="1740"/>
      <c r="Q185" s="1740"/>
      <c r="R185" s="1740"/>
      <c r="S185" s="1740"/>
      <c r="V185" s="1745"/>
      <c r="AA185" s="1786"/>
    </row>
    <row r="186" spans="4:27" ht="27" customHeight="1">
      <c r="D186" s="4585"/>
      <c r="E186" s="4586"/>
      <c r="F186" s="4586"/>
      <c r="G186" s="4784"/>
      <c r="H186" s="5558"/>
      <c r="I186" s="5559"/>
      <c r="M186" s="3515"/>
      <c r="N186" s="3329"/>
      <c r="O186" s="1740"/>
      <c r="P186" s="1740"/>
      <c r="Q186" s="1740"/>
      <c r="R186" s="1740"/>
      <c r="S186" s="1740"/>
      <c r="V186" s="1745"/>
      <c r="AA186" s="1786"/>
    </row>
    <row r="187" spans="4:27" ht="27" customHeight="1">
      <c r="D187" s="4585"/>
      <c r="E187" s="4586"/>
      <c r="F187" s="4586"/>
      <c r="G187" s="4784"/>
      <c r="H187" s="5558"/>
      <c r="I187" s="5559"/>
      <c r="M187" s="3515"/>
      <c r="N187" s="3329"/>
      <c r="O187" s="1740"/>
      <c r="P187" s="1740"/>
      <c r="Q187" s="1740"/>
      <c r="R187" s="1740"/>
      <c r="S187" s="1740"/>
      <c r="V187" s="1745"/>
      <c r="AA187" s="1786"/>
    </row>
    <row r="188" spans="4:27" ht="27" customHeight="1">
      <c r="D188" s="4585"/>
      <c r="E188" s="4586"/>
      <c r="F188" s="4586"/>
      <c r="G188" s="4784"/>
      <c r="H188" s="5573"/>
      <c r="I188" s="5574"/>
      <c r="M188" s="3515"/>
      <c r="N188" s="3329"/>
      <c r="O188" s="1740"/>
      <c r="P188" s="1740"/>
      <c r="Q188" s="1740"/>
      <c r="R188" s="1740"/>
      <c r="S188" s="1740"/>
      <c r="V188" s="1745"/>
      <c r="AA188" s="1786"/>
    </row>
    <row r="189" spans="4:27" ht="27" customHeight="1">
      <c r="D189" s="4585"/>
      <c r="E189" s="4586"/>
      <c r="F189" s="4586"/>
      <c r="G189" s="4784"/>
      <c r="H189" s="5573"/>
      <c r="I189" s="5574"/>
      <c r="M189" s="3515"/>
      <c r="N189" s="3329"/>
      <c r="O189" s="1740"/>
      <c r="P189" s="1740"/>
      <c r="Q189" s="1740"/>
      <c r="R189" s="1740"/>
      <c r="S189" s="1740"/>
      <c r="V189" s="1745"/>
      <c r="AA189" s="1786"/>
    </row>
    <row r="190" spans="4:27" ht="27" customHeight="1">
      <c r="D190" s="4585"/>
      <c r="E190" s="4586"/>
      <c r="F190" s="4586"/>
      <c r="G190" s="4784"/>
      <c r="H190" s="5573"/>
      <c r="I190" s="5574"/>
      <c r="M190" s="3515"/>
      <c r="N190" s="3329"/>
      <c r="O190" s="1740"/>
      <c r="P190" s="1740"/>
      <c r="Q190" s="1740"/>
      <c r="R190" s="1740"/>
      <c r="S190" s="1740"/>
      <c r="V190" s="1745"/>
      <c r="AA190" s="1786"/>
    </row>
    <row r="191" spans="4:27" ht="27" customHeight="1">
      <c r="D191" s="4585"/>
      <c r="E191" s="4586"/>
      <c r="F191" s="4586"/>
      <c r="G191" s="4784"/>
      <c r="H191" s="5573"/>
      <c r="I191" s="5574"/>
      <c r="M191" s="3515"/>
      <c r="N191" s="3329"/>
      <c r="O191" s="1740"/>
      <c r="P191" s="1740"/>
      <c r="Q191" s="1740"/>
      <c r="R191" s="1740"/>
      <c r="S191" s="1740"/>
      <c r="V191" s="1745"/>
      <c r="AA191" s="1786"/>
    </row>
    <row r="192" spans="4:27" ht="27" customHeight="1">
      <c r="D192" s="4585"/>
      <c r="E192" s="4586"/>
      <c r="F192" s="4586"/>
      <c r="G192" s="4784"/>
      <c r="H192" s="4935"/>
      <c r="I192" s="4936"/>
      <c r="M192" s="3515"/>
      <c r="N192" s="3329"/>
      <c r="O192" s="1740"/>
      <c r="P192" s="1740"/>
      <c r="Q192" s="1740"/>
      <c r="R192" s="1740"/>
      <c r="S192" s="1740"/>
      <c r="V192" s="1745"/>
      <c r="AA192" s="1786"/>
    </row>
    <row r="193" spans="4:27" ht="27" customHeight="1">
      <c r="D193" s="4585"/>
      <c r="E193" s="4586"/>
      <c r="F193" s="4586"/>
      <c r="G193" s="4784"/>
      <c r="H193" s="4935"/>
      <c r="I193" s="4936"/>
      <c r="M193" s="3515"/>
      <c r="N193" s="3329"/>
      <c r="O193" s="1740"/>
      <c r="P193" s="1740"/>
      <c r="Q193" s="1740"/>
      <c r="R193" s="1740"/>
      <c r="S193" s="1740"/>
      <c r="V193" s="1745"/>
      <c r="AA193" s="1786"/>
    </row>
    <row r="194" spans="4:27" ht="27" customHeight="1">
      <c r="D194" s="4585"/>
      <c r="E194" s="4586"/>
      <c r="F194" s="4586"/>
      <c r="G194" s="4784"/>
      <c r="H194" s="4935"/>
      <c r="I194" s="4936"/>
      <c r="M194" s="3515"/>
      <c r="N194" s="3329"/>
      <c r="O194" s="1740"/>
      <c r="P194" s="1740"/>
      <c r="Q194" s="1740"/>
      <c r="R194" s="1740"/>
      <c r="S194" s="1740"/>
      <c r="V194" s="1745"/>
      <c r="AA194" s="1786"/>
    </row>
    <row r="195" spans="4:27" ht="27" customHeight="1">
      <c r="D195" s="4585"/>
      <c r="E195" s="4586"/>
      <c r="F195" s="4586"/>
      <c r="G195" s="4784"/>
      <c r="H195" s="4935"/>
      <c r="I195" s="4936"/>
      <c r="M195" s="3515"/>
      <c r="N195" s="3329"/>
      <c r="O195" s="1740"/>
      <c r="P195" s="1740"/>
      <c r="Q195" s="1740"/>
      <c r="R195" s="1740"/>
      <c r="S195" s="1740"/>
      <c r="V195" s="1745"/>
      <c r="AA195" s="1786"/>
    </row>
    <row r="196" spans="4:27" ht="27" customHeight="1">
      <c r="D196" s="4585"/>
      <c r="E196" s="4586"/>
      <c r="F196" s="4586"/>
      <c r="G196" s="4784"/>
      <c r="H196" s="4935"/>
      <c r="I196" s="4936"/>
      <c r="M196" s="3515"/>
      <c r="N196" s="3329"/>
      <c r="O196" s="1740"/>
      <c r="P196" s="1740"/>
      <c r="Q196" s="1740"/>
      <c r="R196" s="1740"/>
      <c r="S196" s="1740"/>
      <c r="V196" s="1745"/>
      <c r="AA196" s="1786"/>
    </row>
    <row r="197" spans="4:27" ht="27" customHeight="1">
      <c r="D197" s="4585"/>
      <c r="E197" s="4586"/>
      <c r="F197" s="4586"/>
      <c r="G197" s="4784"/>
      <c r="H197" s="4935"/>
      <c r="I197" s="4936"/>
      <c r="M197" s="3515"/>
      <c r="N197" s="3329"/>
      <c r="O197" s="1740"/>
      <c r="P197" s="1740"/>
      <c r="Q197" s="1740"/>
      <c r="R197" s="1740"/>
      <c r="S197" s="1740"/>
      <c r="V197" s="1745"/>
      <c r="AA197" s="1786"/>
    </row>
    <row r="198" spans="4:27" ht="27" customHeight="1">
      <c r="D198" s="4585"/>
      <c r="E198" s="4586"/>
      <c r="F198" s="4586"/>
      <c r="G198" s="4784"/>
      <c r="H198" s="4785"/>
      <c r="I198" s="4786"/>
      <c r="M198" s="3515"/>
      <c r="N198" s="3329"/>
      <c r="O198" s="1740"/>
      <c r="P198" s="1740"/>
      <c r="Q198" s="1740"/>
      <c r="R198" s="1740"/>
      <c r="S198" s="1740"/>
      <c r="V198" s="1745"/>
      <c r="AA198" s="1786"/>
    </row>
    <row r="199" spans="4:27" ht="27.75" customHeight="1">
      <c r="D199" s="5485"/>
      <c r="E199" s="5486"/>
      <c r="F199" s="5486"/>
      <c r="G199" s="5487"/>
      <c r="H199" s="5430"/>
      <c r="I199" s="5431"/>
      <c r="M199" s="4246"/>
      <c r="N199" s="4247"/>
      <c r="O199" s="2897"/>
      <c r="P199" s="1810"/>
      <c r="Q199" s="1740"/>
      <c r="R199" s="1740"/>
      <c r="S199" s="1740"/>
      <c r="V199" s="1745"/>
      <c r="AA199" s="1786"/>
    </row>
    <row r="200" spans="4:27" ht="37.5" customHeight="1" thickBot="1">
      <c r="D200" s="1838" t="s">
        <v>372</v>
      </c>
      <c r="E200" s="1839"/>
      <c r="F200" s="1839"/>
      <c r="G200" s="1840"/>
      <c r="H200" s="5497">
        <f>SUM(H201:I231)</f>
        <v>0</v>
      </c>
      <c r="I200" s="5498"/>
      <c r="M200" s="4356">
        <f>I44-H200</f>
        <v>0</v>
      </c>
      <c r="N200" s="4247" t="s">
        <v>4375</v>
      </c>
      <c r="O200" s="4182"/>
      <c r="P200" s="1810"/>
      <c r="Q200" s="1740"/>
      <c r="R200" s="1740"/>
      <c r="S200" s="1740"/>
      <c r="V200" s="1745"/>
      <c r="AA200" s="1786"/>
    </row>
    <row r="201" spans="4:27" ht="27.95" customHeight="1" thickTop="1">
      <c r="D201" s="5552" t="str">
        <f>'Schedule C'!A16&amp;" - "&amp;'Schedule C'!A239&amp;" - "&amp;'Schedule C'!B239</f>
        <v>Item No. - 173 - Replacement of External Doors - requested by the Operator (Cluster Manager - Back of House)</v>
      </c>
      <c r="E201" s="5486"/>
      <c r="F201" s="5486"/>
      <c r="G201" s="4380"/>
      <c r="H201" s="5555"/>
      <c r="I201" s="5556"/>
      <c r="M201" s="5022">
        <f>+H216+H217+H218</f>
        <v>0</v>
      </c>
      <c r="N201" s="5023" t="s">
        <v>3620</v>
      </c>
      <c r="O201" s="3284"/>
      <c r="P201" s="4182"/>
      <c r="Q201" s="1810"/>
      <c r="R201" s="1740"/>
      <c r="S201" s="1740"/>
      <c r="V201" s="1745"/>
      <c r="AA201" s="1786"/>
    </row>
    <row r="202" spans="4:27" ht="36.950000000000003" customHeight="1">
      <c r="D202" s="5485"/>
      <c r="E202" s="5486"/>
      <c r="F202" s="5486"/>
      <c r="G202" s="4380"/>
      <c r="H202" s="5555"/>
      <c r="I202" s="5556"/>
      <c r="M202" s="5024">
        <f>+M201+M200</f>
        <v>0</v>
      </c>
      <c r="N202" s="5025" t="s">
        <v>501</v>
      </c>
      <c r="O202" s="3284"/>
      <c r="P202" s="1740"/>
      <c r="Q202" s="3329">
        <v>15939.000000000002</v>
      </c>
      <c r="R202" s="2897">
        <f t="shared" ref="R202:R217" si="19">+H202-Q202</f>
        <v>-15939.000000000002</v>
      </c>
      <c r="S202" s="1740"/>
      <c r="V202" s="1745"/>
      <c r="AA202" s="1786"/>
    </row>
    <row r="203" spans="4:27" ht="27" customHeight="1">
      <c r="D203" s="5485"/>
      <c r="E203" s="5550"/>
      <c r="F203" s="5550"/>
      <c r="G203" s="4380"/>
      <c r="H203" s="5555"/>
      <c r="I203" s="5556"/>
      <c r="M203" s="3533"/>
      <c r="N203" s="4351"/>
      <c r="O203" s="3527"/>
      <c r="P203" s="1740"/>
      <c r="Q203" s="2897">
        <v>312470.43</v>
      </c>
      <c r="R203" s="2897">
        <f t="shared" si="19"/>
        <v>-312470.43</v>
      </c>
      <c r="S203" s="1740"/>
      <c r="V203" s="1745"/>
      <c r="AA203" s="1786"/>
    </row>
    <row r="204" spans="4:27" ht="27" customHeight="1">
      <c r="D204" s="5485"/>
      <c r="E204" s="5550"/>
      <c r="F204" s="5550"/>
      <c r="G204" s="4380"/>
      <c r="H204" s="5555"/>
      <c r="I204" s="5556"/>
      <c r="M204" s="3533"/>
      <c r="N204" s="4352"/>
      <c r="O204" s="1740"/>
      <c r="P204" s="1740"/>
      <c r="Q204" s="2897">
        <v>34680</v>
      </c>
      <c r="R204" s="2897">
        <f t="shared" si="19"/>
        <v>-34680</v>
      </c>
      <c r="S204" s="1740"/>
      <c r="V204" s="1745"/>
      <c r="AA204" s="1786"/>
    </row>
    <row r="205" spans="4:27" ht="27" customHeight="1">
      <c r="D205" s="5560"/>
      <c r="E205" s="5561"/>
      <c r="F205" s="5561"/>
      <c r="G205" s="4380"/>
      <c r="H205" s="5555"/>
      <c r="I205" s="5556"/>
      <c r="M205" s="3533"/>
      <c r="N205" s="4352"/>
      <c r="O205" s="1740"/>
      <c r="P205" s="1740"/>
      <c r="Q205" s="2897">
        <v>850370.6</v>
      </c>
      <c r="R205" s="2897">
        <f t="shared" si="19"/>
        <v>-850370.6</v>
      </c>
      <c r="S205" s="1740"/>
      <c r="V205" s="1745"/>
      <c r="AA205" s="1786"/>
    </row>
    <row r="206" spans="4:27" ht="27" customHeight="1">
      <c r="D206" s="5552"/>
      <c r="E206" s="5550"/>
      <c r="F206" s="5550"/>
      <c r="G206" s="4380"/>
      <c r="H206" s="5555"/>
      <c r="I206" s="5556"/>
      <c r="M206" s="3533"/>
      <c r="N206" s="4352"/>
      <c r="O206" s="1740"/>
      <c r="P206" s="1740"/>
      <c r="Q206" s="2897">
        <v>765844.02182499995</v>
      </c>
      <c r="R206" s="2897">
        <f t="shared" si="19"/>
        <v>-765844.02182499995</v>
      </c>
      <c r="S206" s="1740"/>
      <c r="V206" s="1745"/>
      <c r="AA206" s="1786"/>
    </row>
    <row r="207" spans="4:27" ht="22.5" customHeight="1">
      <c r="D207" s="5485"/>
      <c r="E207" s="5550"/>
      <c r="F207" s="5550"/>
      <c r="G207" s="4380"/>
      <c r="H207" s="5555"/>
      <c r="I207" s="5556"/>
      <c r="M207" s="4353"/>
      <c r="N207" s="4352"/>
      <c r="O207" s="1740"/>
      <c r="P207" s="1740"/>
      <c r="Q207" s="2897">
        <v>856801.79</v>
      </c>
      <c r="R207" s="2897">
        <f t="shared" si="19"/>
        <v>-856801.79</v>
      </c>
      <c r="S207" s="1740"/>
      <c r="V207" s="1745"/>
      <c r="AA207" s="1786"/>
    </row>
    <row r="208" spans="4:27" ht="24.75" customHeight="1">
      <c r="D208" s="5552"/>
      <c r="E208" s="5550"/>
      <c r="F208" s="5550"/>
      <c r="G208" s="4380"/>
      <c r="H208" s="5555"/>
      <c r="I208" s="5556"/>
      <c r="M208" s="3228"/>
      <c r="N208" s="4352"/>
      <c r="O208" s="1740"/>
      <c r="P208" s="1740"/>
      <c r="Q208" s="2897">
        <v>87285</v>
      </c>
      <c r="R208" s="2897">
        <f t="shared" si="19"/>
        <v>-87285</v>
      </c>
      <c r="S208" s="1740"/>
      <c r="V208" s="1745"/>
      <c r="AA208" s="1786"/>
    </row>
    <row r="209" spans="4:27" ht="25.5" customHeight="1">
      <c r="D209" s="5552"/>
      <c r="E209" s="5550"/>
      <c r="F209" s="5550"/>
      <c r="G209" s="4380"/>
      <c r="H209" s="5555"/>
      <c r="I209" s="5556"/>
      <c r="M209" s="1786"/>
      <c r="N209" s="4352"/>
      <c r="O209" s="1740"/>
      <c r="P209" s="1740"/>
      <c r="Q209" s="2897">
        <v>666280</v>
      </c>
      <c r="R209" s="2897">
        <f t="shared" si="19"/>
        <v>-666280</v>
      </c>
      <c r="S209" s="1740"/>
      <c r="V209" s="1745"/>
      <c r="AA209" s="1786"/>
    </row>
    <row r="210" spans="4:27" ht="25.5" customHeight="1">
      <c r="D210" s="5552"/>
      <c r="E210" s="5550"/>
      <c r="F210" s="5550"/>
      <c r="G210" s="4380"/>
      <c r="H210" s="5555"/>
      <c r="I210" s="5556"/>
      <c r="M210" s="1786"/>
      <c r="N210" s="1855"/>
      <c r="O210" s="1740"/>
      <c r="P210" s="1740"/>
      <c r="Q210" s="2897">
        <v>-1173602.3899999999</v>
      </c>
      <c r="R210" s="2897">
        <f t="shared" si="19"/>
        <v>1173602.3899999999</v>
      </c>
      <c r="S210" s="1740"/>
      <c r="V210" s="1745"/>
      <c r="AA210" s="1786"/>
    </row>
    <row r="211" spans="4:27" ht="25.5" customHeight="1">
      <c r="D211" s="5552"/>
      <c r="E211" s="5550"/>
      <c r="F211" s="5550"/>
      <c r="G211" s="4380"/>
      <c r="H211" s="5555"/>
      <c r="I211" s="5556"/>
      <c r="M211" s="1786"/>
      <c r="N211" s="1855"/>
      <c r="O211" s="1740"/>
      <c r="P211" s="1740"/>
      <c r="Q211" s="2897">
        <v>-581464.19999999995</v>
      </c>
      <c r="R211" s="2897">
        <f t="shared" si="19"/>
        <v>581464.19999999995</v>
      </c>
      <c r="S211" s="1740"/>
      <c r="V211" s="1745"/>
      <c r="AA211" s="1786"/>
    </row>
    <row r="212" spans="4:27" ht="51.75" customHeight="1">
      <c r="D212" s="5552"/>
      <c r="E212" s="5550"/>
      <c r="F212" s="5550"/>
      <c r="G212" s="4380"/>
      <c r="H212" s="5555"/>
      <c r="I212" s="5556"/>
      <c r="M212" s="1786"/>
      <c r="N212" s="1855"/>
      <c r="O212" s="1740"/>
      <c r="P212" s="1740"/>
      <c r="Q212" s="2897">
        <v>9510310.3700000029</v>
      </c>
      <c r="R212" s="2897">
        <f t="shared" si="19"/>
        <v>-9510310.3700000029</v>
      </c>
      <c r="S212" s="1740"/>
      <c r="V212" s="1745"/>
      <c r="AA212" s="1786"/>
    </row>
    <row r="213" spans="4:27" ht="25.5" customHeight="1">
      <c r="D213" s="5552"/>
      <c r="E213" s="5550"/>
      <c r="F213" s="5550"/>
      <c r="G213" s="4380"/>
      <c r="H213" s="5555"/>
      <c r="I213" s="5556"/>
      <c r="M213" s="1786"/>
      <c r="N213" s="1855"/>
      <c r="O213" s="1740"/>
      <c r="P213" s="1740"/>
      <c r="Q213" s="2897">
        <v>-9510310.3700000029</v>
      </c>
      <c r="R213" s="2897">
        <f t="shared" si="19"/>
        <v>9510310.3700000029</v>
      </c>
      <c r="S213" s="1740"/>
      <c r="V213" s="1745"/>
      <c r="AA213" s="1786"/>
    </row>
    <row r="214" spans="4:27" ht="25.5" customHeight="1">
      <c r="D214" s="5552"/>
      <c r="E214" s="5550"/>
      <c r="F214" s="5550"/>
      <c r="G214" s="4380"/>
      <c r="H214" s="5555"/>
      <c r="I214" s="5556"/>
      <c r="M214" s="1786"/>
      <c r="N214" s="1855"/>
      <c r="O214" s="1740"/>
      <c r="P214" s="1740"/>
      <c r="Q214" s="2897">
        <v>-7850127.9699999997</v>
      </c>
      <c r="R214" s="2897">
        <f t="shared" si="19"/>
        <v>7850127.9699999997</v>
      </c>
      <c r="S214" s="1740"/>
      <c r="V214" s="1745"/>
      <c r="AA214" s="1786"/>
    </row>
    <row r="215" spans="4:27" ht="25.5" customHeight="1">
      <c r="D215" s="5560"/>
      <c r="E215" s="5561"/>
      <c r="F215" s="5561"/>
      <c r="G215" s="4380"/>
      <c r="H215" s="5555"/>
      <c r="I215" s="5556"/>
      <c r="M215" s="1786"/>
      <c r="N215" s="1855"/>
      <c r="O215" s="1740"/>
      <c r="P215" s="1740"/>
      <c r="Q215" s="2897">
        <v>4045112.76</v>
      </c>
      <c r="R215" s="2897">
        <f t="shared" si="19"/>
        <v>-4045112.76</v>
      </c>
      <c r="S215" s="1740"/>
      <c r="V215" s="1745"/>
      <c r="AA215" s="1786"/>
    </row>
    <row r="216" spans="4:27">
      <c r="D216" s="5485"/>
      <c r="E216" s="5550"/>
      <c r="F216" s="5550"/>
      <c r="G216" s="4380"/>
      <c r="H216" s="5555"/>
      <c r="I216" s="5556"/>
      <c r="M216" s="1786"/>
      <c r="N216" s="1855"/>
      <c r="O216" s="1740"/>
      <c r="P216" s="1740"/>
      <c r="Q216" s="2897">
        <v>2232198</v>
      </c>
      <c r="R216" s="2897">
        <f t="shared" si="19"/>
        <v>-2232198</v>
      </c>
      <c r="S216" s="1740"/>
      <c r="V216" s="1745"/>
      <c r="AA216" s="1786"/>
    </row>
    <row r="217" spans="4:27">
      <c r="D217" s="5485"/>
      <c r="E217" s="5550"/>
      <c r="F217" s="5550"/>
      <c r="G217" s="4380"/>
      <c r="H217" s="5555"/>
      <c r="I217" s="5556"/>
      <c r="M217" s="1786"/>
      <c r="N217" s="1855"/>
      <c r="O217" s="1740"/>
      <c r="P217" s="1740"/>
      <c r="Q217" s="2897">
        <v>-478548</v>
      </c>
      <c r="R217" s="2897">
        <f t="shared" si="19"/>
        <v>478548</v>
      </c>
      <c r="S217" s="1740"/>
      <c r="V217" s="1745"/>
      <c r="AA217" s="1786"/>
    </row>
    <row r="218" spans="4:27">
      <c r="D218" s="5485"/>
      <c r="E218" s="5550"/>
      <c r="F218" s="5550"/>
      <c r="G218" s="4380"/>
      <c r="H218" s="5555"/>
      <c r="I218" s="5556"/>
      <c r="M218" s="1786"/>
      <c r="N218" s="1855"/>
      <c r="O218" s="1740"/>
      <c r="P218" s="1740"/>
      <c r="Q218" s="2897"/>
      <c r="R218" s="2897"/>
      <c r="S218" s="1740"/>
      <c r="V218" s="1745"/>
      <c r="AA218" s="1786"/>
    </row>
    <row r="219" spans="4:27" ht="21.75" customHeight="1">
      <c r="D219" s="5568"/>
      <c r="E219" s="5561"/>
      <c r="F219" s="5561"/>
      <c r="G219" s="4380"/>
      <c r="H219" s="5555"/>
      <c r="I219" s="5556"/>
      <c r="M219" s="1786"/>
      <c r="N219" s="1855"/>
      <c r="O219" s="1740"/>
      <c r="P219" s="1740"/>
      <c r="Q219" s="2897"/>
      <c r="R219" s="2897"/>
      <c r="S219" s="1740"/>
      <c r="V219" s="1745"/>
      <c r="AA219" s="1786"/>
    </row>
    <row r="220" spans="4:27">
      <c r="D220" s="5569"/>
      <c r="E220" s="5570"/>
      <c r="F220" s="5570"/>
      <c r="G220" s="4380"/>
      <c r="H220" s="5555"/>
      <c r="I220" s="5556"/>
      <c r="N220" s="1855"/>
      <c r="O220" s="1740"/>
      <c r="P220" s="1740"/>
      <c r="Q220" s="2897"/>
      <c r="R220" s="2897"/>
      <c r="S220" s="1740"/>
      <c r="V220" s="1745"/>
      <c r="AA220" s="1786"/>
    </row>
    <row r="221" spans="4:27">
      <c r="D221" s="5552"/>
      <c r="E221" s="5550"/>
      <c r="F221" s="5550"/>
      <c r="G221" s="4380"/>
      <c r="H221" s="5566"/>
      <c r="I221" s="5567"/>
      <c r="N221" s="3515"/>
      <c r="O221" s="1740"/>
      <c r="P221" s="1740"/>
      <c r="Q221" s="2897"/>
      <c r="R221" s="2897"/>
      <c r="S221" s="1740"/>
      <c r="V221" s="1745"/>
      <c r="AA221" s="1786"/>
    </row>
    <row r="222" spans="4:27">
      <c r="D222" s="5552"/>
      <c r="E222" s="5550"/>
      <c r="F222" s="5550"/>
      <c r="G222" s="4380"/>
      <c r="H222" s="5566"/>
      <c r="I222" s="5567"/>
      <c r="N222" s="3515"/>
      <c r="O222" s="1740"/>
      <c r="P222" s="1740"/>
      <c r="Q222" s="2897"/>
      <c r="R222" s="2897"/>
      <c r="S222" s="1740"/>
      <c r="V222" s="1745"/>
      <c r="AA222" s="1786"/>
    </row>
    <row r="223" spans="4:27">
      <c r="D223" s="5552"/>
      <c r="E223" s="5550"/>
      <c r="F223" s="5550"/>
      <c r="G223" s="4380"/>
      <c r="H223" s="5566"/>
      <c r="I223" s="5567"/>
      <c r="N223" s="3515"/>
      <c r="O223" s="1740"/>
      <c r="P223" s="1740"/>
      <c r="Q223" s="2897"/>
      <c r="R223" s="2897"/>
      <c r="S223" s="1740"/>
      <c r="V223" s="1745"/>
      <c r="AA223" s="1786"/>
    </row>
    <row r="224" spans="4:27" ht="39.950000000000003" customHeight="1">
      <c r="D224" s="5552"/>
      <c r="E224" s="5550"/>
      <c r="F224" s="5550"/>
      <c r="G224" s="4380"/>
      <c r="H224" s="5543"/>
      <c r="I224" s="5544"/>
      <c r="N224" s="3515"/>
      <c r="O224" s="1740"/>
      <c r="P224" s="1740"/>
      <c r="Q224" s="2897"/>
      <c r="R224" s="2897"/>
      <c r="S224" s="1740"/>
      <c r="V224" s="1745"/>
      <c r="AA224" s="1786"/>
    </row>
    <row r="225" spans="4:27" ht="39.950000000000003" customHeight="1">
      <c r="D225" s="5552"/>
      <c r="E225" s="5550"/>
      <c r="F225" s="5550"/>
      <c r="G225" s="4380"/>
      <c r="H225" s="5543"/>
      <c r="I225" s="5544"/>
      <c r="N225" s="3515"/>
      <c r="O225" s="1740"/>
      <c r="P225" s="1740"/>
      <c r="Q225" s="2897"/>
      <c r="R225" s="2897"/>
      <c r="S225" s="1740"/>
      <c r="V225" s="1745"/>
      <c r="AA225" s="1786"/>
    </row>
    <row r="226" spans="4:27" ht="39.950000000000003" customHeight="1">
      <c r="D226" s="4585"/>
      <c r="E226" s="4586"/>
      <c r="F226" s="4586"/>
      <c r="G226" s="4380"/>
      <c r="H226" s="5543"/>
      <c r="I226" s="5544"/>
      <c r="N226" s="3515"/>
      <c r="O226" s="1740"/>
      <c r="P226" s="1740"/>
      <c r="Q226" s="2897"/>
      <c r="R226" s="2897"/>
      <c r="S226" s="1740"/>
      <c r="V226" s="1740"/>
      <c r="AA226" s="1786"/>
    </row>
    <row r="227" spans="4:27" ht="39.950000000000003" customHeight="1">
      <c r="D227" s="5553"/>
      <c r="E227" s="5554"/>
      <c r="F227" s="5554"/>
      <c r="G227" s="4380"/>
      <c r="H227" s="5543"/>
      <c r="I227" s="5544"/>
      <c r="N227" s="3515"/>
      <c r="O227" s="1740"/>
      <c r="P227" s="1740"/>
      <c r="Q227" s="2897"/>
      <c r="R227" s="2897"/>
      <c r="S227" s="1740"/>
      <c r="V227" s="1745"/>
      <c r="AA227" s="1786"/>
    </row>
    <row r="228" spans="4:27">
      <c r="D228" s="4585"/>
      <c r="E228" s="4586"/>
      <c r="F228" s="4586"/>
      <c r="G228" s="4380"/>
      <c r="H228" s="5543"/>
      <c r="I228" s="5544"/>
      <c r="N228" s="3516"/>
      <c r="O228" s="1740"/>
      <c r="P228" s="1740"/>
      <c r="Q228" s="1740"/>
      <c r="R228" s="1740"/>
      <c r="S228" s="1740"/>
      <c r="V228" s="1745"/>
      <c r="AA228" s="1786"/>
    </row>
    <row r="229" spans="4:27">
      <c r="D229" s="4585"/>
      <c r="E229" s="4586"/>
      <c r="F229" s="4586"/>
      <c r="G229" s="4380"/>
      <c r="H229" s="5543"/>
      <c r="I229" s="5544"/>
      <c r="N229" s="3515"/>
      <c r="O229" s="3329"/>
      <c r="P229" s="1740"/>
      <c r="Q229" s="1740"/>
      <c r="R229" s="1740"/>
      <c r="S229" s="1740"/>
      <c r="V229" s="1745"/>
      <c r="AA229" s="1786"/>
    </row>
    <row r="230" spans="4:27">
      <c r="D230" s="5552"/>
      <c r="E230" s="5550"/>
      <c r="F230" s="5550"/>
      <c r="G230" s="4380"/>
      <c r="H230" s="3584"/>
      <c r="I230" s="3585"/>
      <c r="N230" s="3284"/>
      <c r="O230" s="1740"/>
      <c r="P230" s="1740"/>
      <c r="Q230" s="1740"/>
      <c r="R230" s="1740"/>
      <c r="S230" s="1740"/>
      <c r="V230" s="1745"/>
      <c r="AA230" s="1786"/>
    </row>
    <row r="231" spans="4:27">
      <c r="D231" s="5552"/>
      <c r="E231" s="5550"/>
      <c r="F231" s="5550"/>
      <c r="G231" s="4380"/>
      <c r="H231" s="3218"/>
      <c r="I231" s="3219"/>
      <c r="N231" s="4246">
        <f>H232-I48</f>
        <v>0</v>
      </c>
      <c r="O231" s="4247" t="s">
        <v>4375</v>
      </c>
      <c r="P231" s="1740"/>
      <c r="Q231" s="1740"/>
      <c r="R231" s="1740"/>
      <c r="S231" s="1740"/>
      <c r="V231" s="1745"/>
      <c r="AA231" s="1786"/>
    </row>
    <row r="232" spans="4:27" ht="13.5" thickBot="1">
      <c r="D232" s="1838" t="s">
        <v>2583</v>
      </c>
      <c r="E232" s="1839"/>
      <c r="F232" s="1839"/>
      <c r="G232" s="1840"/>
      <c r="H232" s="5497">
        <f>SUM(H233:I236)</f>
        <v>0</v>
      </c>
      <c r="I232" s="5498"/>
      <c r="N232" s="3284"/>
      <c r="O232" s="1740"/>
      <c r="P232" s="1740"/>
      <c r="Q232" s="1740"/>
      <c r="R232" s="1740"/>
      <c r="S232" s="1740"/>
      <c r="V232" s="1745"/>
      <c r="AA232" s="1786"/>
    </row>
    <row r="233" spans="4:27" ht="13.5" thickTop="1">
      <c r="D233" s="5434"/>
      <c r="E233" s="5435"/>
      <c r="F233" s="5435"/>
      <c r="G233" s="5436"/>
      <c r="H233" s="5564"/>
      <c r="I233" s="5565"/>
      <c r="N233" s="3284"/>
      <c r="O233" s="1740"/>
      <c r="P233" s="1740"/>
      <c r="Q233" s="1740"/>
      <c r="R233" s="1740"/>
      <c r="V233" s="1745"/>
    </row>
    <row r="234" spans="4:27">
      <c r="D234" s="5434"/>
      <c r="E234" s="5435"/>
      <c r="F234" s="5435"/>
      <c r="G234" s="5436"/>
      <c r="H234" s="5564"/>
      <c r="I234" s="5565"/>
      <c r="N234" s="3284"/>
      <c r="O234" s="1740"/>
      <c r="P234" s="1740"/>
      <c r="Q234" s="1740"/>
      <c r="R234" s="1740"/>
    </row>
    <row r="235" spans="4:27">
      <c r="D235" s="5434"/>
      <c r="E235" s="5435"/>
      <c r="F235" s="5435"/>
      <c r="G235" s="5436"/>
      <c r="H235" s="5564"/>
      <c r="I235" s="5565"/>
      <c r="M235" s="4627"/>
      <c r="N235" s="3284"/>
      <c r="O235" s="1740"/>
      <c r="P235" s="1740"/>
      <c r="Q235" s="1740"/>
      <c r="R235" s="1740"/>
    </row>
    <row r="236" spans="4:27">
      <c r="D236" s="5434"/>
      <c r="E236" s="5435"/>
      <c r="F236" s="5435"/>
      <c r="G236" s="5436"/>
      <c r="H236" s="3218"/>
      <c r="I236" s="3219"/>
      <c r="N236" s="3284"/>
      <c r="O236" s="1740"/>
      <c r="P236" s="1740"/>
      <c r="Q236" s="1740"/>
      <c r="R236" s="1740"/>
    </row>
    <row r="237" spans="4:27">
      <c r="I237" s="2896"/>
      <c r="N237" s="3284"/>
      <c r="O237" s="1740"/>
      <c r="P237" s="1740"/>
      <c r="Q237" s="1740"/>
      <c r="R237" s="1740"/>
    </row>
    <row r="238" spans="4:27">
      <c r="H238" s="5562">
        <f>+H232+H200+H164+H141+H124</f>
        <v>-215885.18999999994</v>
      </c>
      <c r="I238" s="5563"/>
      <c r="N238" s="1740"/>
      <c r="O238" s="1740"/>
      <c r="P238" s="1740"/>
      <c r="Q238" s="1740"/>
      <c r="R238" s="1740"/>
    </row>
    <row r="239" spans="4:27">
      <c r="H239" s="5562">
        <f>+I50-H238</f>
        <v>-4.6566128730773926E-10</v>
      </c>
      <c r="I239" s="5563"/>
      <c r="M239" s="4358"/>
      <c r="N239" s="1740"/>
      <c r="O239" s="1740"/>
      <c r="P239" s="1740"/>
      <c r="Q239" s="1740"/>
      <c r="R239" s="1740"/>
    </row>
    <row r="240" spans="4:27">
      <c r="I240" s="3373">
        <v>550000</v>
      </c>
      <c r="N240" s="1740"/>
      <c r="O240" s="1740"/>
      <c r="P240" s="1740"/>
      <c r="Q240" s="1740"/>
      <c r="R240" s="1740"/>
    </row>
    <row r="241" spans="6:18">
      <c r="H241" s="4628"/>
      <c r="I241" s="3373"/>
      <c r="M241" s="1740"/>
      <c r="N241" s="1740"/>
      <c r="O241" s="1740"/>
      <c r="P241" s="1740"/>
      <c r="Q241" s="1740"/>
      <c r="R241" s="1740"/>
    </row>
    <row r="242" spans="6:18">
      <c r="I242" s="3373"/>
      <c r="M242" s="1740"/>
      <c r="N242" s="1740"/>
      <c r="O242" s="1740"/>
      <c r="P242" s="1740"/>
      <c r="Q242" s="1740"/>
      <c r="R242" s="1740"/>
    </row>
    <row r="243" spans="6:18">
      <c r="I243" s="3373"/>
      <c r="M243" s="1740"/>
      <c r="N243" s="1740"/>
      <c r="O243" s="1740"/>
      <c r="P243" s="1740"/>
      <c r="Q243" s="1740"/>
      <c r="R243" s="1740"/>
    </row>
    <row r="244" spans="6:18">
      <c r="F244" s="1871"/>
      <c r="I244" s="3373"/>
      <c r="M244" s="1740"/>
      <c r="N244" s="1740"/>
      <c r="O244" s="1740"/>
      <c r="P244" s="1740"/>
      <c r="Q244" s="1740"/>
      <c r="R244" s="1740"/>
    </row>
    <row r="245" spans="6:18" ht="33.75" customHeight="1">
      <c r="F245" s="1871"/>
      <c r="I245" s="3373"/>
      <c r="M245" s="1740"/>
      <c r="N245" s="1740"/>
      <c r="O245" s="1740"/>
      <c r="P245" s="1740"/>
      <c r="Q245" s="1740"/>
      <c r="R245" s="1740"/>
    </row>
    <row r="246" spans="6:18">
      <c r="F246" s="1871"/>
      <c r="I246" s="3373"/>
      <c r="M246" s="1740"/>
      <c r="N246" s="1740"/>
      <c r="O246" s="1740"/>
      <c r="P246" s="1740"/>
      <c r="Q246" s="1740"/>
      <c r="R246" s="1740"/>
    </row>
    <row r="247" spans="6:18">
      <c r="F247" s="1871"/>
      <c r="I247" s="3373"/>
      <c r="M247" s="1740"/>
      <c r="N247" s="1740"/>
      <c r="O247" s="1740"/>
      <c r="P247" s="1740"/>
      <c r="Q247" s="1740"/>
      <c r="R247" s="1740"/>
    </row>
    <row r="248" spans="6:18">
      <c r="F248" s="1871"/>
      <c r="I248" s="3373"/>
      <c r="M248" s="1740"/>
      <c r="N248" s="1740"/>
      <c r="O248" s="1740"/>
      <c r="P248" s="1740"/>
      <c r="Q248" s="1740"/>
      <c r="R248" s="1740"/>
    </row>
    <row r="249" spans="6:18">
      <c r="I249" s="3373"/>
      <c r="M249" s="2897"/>
      <c r="N249" s="1740"/>
      <c r="O249" s="1740"/>
      <c r="P249" s="1740"/>
      <c r="Q249" s="1740"/>
      <c r="R249" s="1740"/>
    </row>
    <row r="250" spans="6:18">
      <c r="I250" s="2896"/>
      <c r="M250" s="1740"/>
      <c r="N250" s="1740"/>
      <c r="O250" s="1740"/>
      <c r="P250" s="1740"/>
      <c r="Q250" s="1740"/>
      <c r="R250" s="1740"/>
    </row>
    <row r="251" spans="6:18">
      <c r="I251" s="2896"/>
      <c r="M251" s="1740"/>
      <c r="N251" s="1740"/>
      <c r="O251" s="1740"/>
      <c r="P251" s="1740"/>
      <c r="Q251" s="1740"/>
      <c r="R251" s="1740"/>
    </row>
    <row r="252" spans="6:18">
      <c r="I252" s="2896"/>
      <c r="M252" s="1740"/>
      <c r="N252" s="1740"/>
      <c r="O252" s="1740"/>
      <c r="P252" s="1740"/>
      <c r="Q252" s="1740"/>
      <c r="R252" s="1740"/>
    </row>
    <row r="253" spans="6:18">
      <c r="H253" s="4353"/>
      <c r="I253" s="2896"/>
      <c r="M253" s="1740"/>
      <c r="N253" s="1740"/>
      <c r="O253" s="1740"/>
      <c r="P253" s="1740"/>
      <c r="Q253" s="1740"/>
      <c r="R253" s="1740"/>
    </row>
    <row r="254" spans="6:18">
      <c r="H254" s="4582"/>
      <c r="I254" s="2896"/>
      <c r="M254" s="1740"/>
      <c r="N254" s="1740"/>
      <c r="O254" s="1740"/>
      <c r="P254" s="1740"/>
      <c r="Q254" s="1740"/>
      <c r="R254" s="1740"/>
    </row>
    <row r="255" spans="6:18">
      <c r="I255" s="2896"/>
      <c r="M255" s="1740"/>
      <c r="N255" s="1740"/>
      <c r="O255" s="1740"/>
      <c r="P255" s="1740"/>
      <c r="Q255" s="1740"/>
      <c r="R255" s="1740"/>
    </row>
    <row r="256" spans="6:18">
      <c r="H256" s="3285"/>
      <c r="I256" s="2896"/>
      <c r="M256" s="1740"/>
      <c r="N256" s="1740"/>
      <c r="O256" s="1740"/>
      <c r="P256" s="1740"/>
      <c r="Q256" s="1740"/>
      <c r="R256" s="1740"/>
    </row>
    <row r="257" spans="2:34">
      <c r="H257" s="3285"/>
      <c r="I257" s="2896"/>
      <c r="M257" s="1740"/>
      <c r="N257" s="1740"/>
      <c r="O257" s="1740"/>
      <c r="P257" s="1740"/>
      <c r="Q257" s="1740"/>
      <c r="R257" s="1740"/>
    </row>
    <row r="258" spans="2:34">
      <c r="I258" s="2896"/>
      <c r="M258" s="1740"/>
      <c r="N258" s="1740"/>
      <c r="O258" s="1740"/>
      <c r="P258" s="1740"/>
      <c r="Q258" s="1740"/>
      <c r="R258" s="1740"/>
    </row>
    <row r="259" spans="2:34">
      <c r="I259" s="2896"/>
      <c r="M259" s="1740"/>
      <c r="N259" s="1740"/>
      <c r="O259" s="1740"/>
      <c r="P259" s="1740"/>
      <c r="Q259" s="1740"/>
      <c r="R259" s="1740"/>
    </row>
    <row r="260" spans="2:34">
      <c r="I260" s="2896"/>
      <c r="M260" s="1740"/>
      <c r="N260" s="1740"/>
      <c r="O260" s="1740"/>
      <c r="P260" s="1740"/>
      <c r="Q260" s="1740"/>
      <c r="R260" s="1740"/>
    </row>
    <row r="261" spans="2:34">
      <c r="I261" s="2896"/>
      <c r="M261" s="1740"/>
      <c r="N261" s="1740"/>
      <c r="O261" s="1740"/>
      <c r="P261" s="1740"/>
      <c r="Q261" s="1740"/>
      <c r="R261" s="1740"/>
    </row>
    <row r="262" spans="2:34" s="1786" customFormat="1">
      <c r="B262" s="1745"/>
      <c r="C262" s="1745"/>
      <c r="D262" s="1745"/>
      <c r="I262" s="2896"/>
      <c r="L262" s="1745"/>
      <c r="M262" s="1740"/>
      <c r="N262" s="1740"/>
      <c r="O262" s="1740"/>
      <c r="P262" s="1740"/>
      <c r="Q262" s="1740"/>
      <c r="R262" s="1740"/>
      <c r="S262" s="1745"/>
      <c r="T262" s="1745"/>
      <c r="U262" s="1745"/>
      <c r="AA262" s="1745"/>
      <c r="AB262" s="1745"/>
      <c r="AC262" s="1745"/>
      <c r="AD262" s="1745"/>
      <c r="AE262" s="1745"/>
      <c r="AF262" s="1745"/>
      <c r="AG262" s="1745"/>
      <c r="AH262" s="1745"/>
    </row>
    <row r="263" spans="2:34" s="1786" customFormat="1">
      <c r="B263" s="1745"/>
      <c r="C263" s="1745"/>
      <c r="D263" s="1745"/>
      <c r="I263" s="2896"/>
      <c r="L263" s="1745"/>
      <c r="M263" s="1740"/>
      <c r="N263" s="1740"/>
      <c r="O263" s="1740"/>
      <c r="P263" s="1740"/>
      <c r="Q263" s="1740"/>
      <c r="R263" s="1740"/>
      <c r="S263" s="1745"/>
      <c r="T263" s="1745"/>
      <c r="U263" s="1745"/>
      <c r="AA263" s="1745"/>
      <c r="AB263" s="1745"/>
      <c r="AC263" s="1745"/>
      <c r="AD263" s="1745"/>
      <c r="AE263" s="1745"/>
      <c r="AF263" s="1745"/>
      <c r="AG263" s="1745"/>
      <c r="AH263" s="1745"/>
    </row>
    <row r="264" spans="2:34" s="1786" customFormat="1">
      <c r="B264" s="1745"/>
      <c r="C264" s="1745"/>
      <c r="D264" s="1745"/>
      <c r="I264" s="2896"/>
      <c r="L264" s="1745"/>
      <c r="M264" s="1740"/>
      <c r="N264" s="1740"/>
      <c r="O264" s="1740"/>
      <c r="P264" s="1740"/>
      <c r="Q264" s="1740"/>
      <c r="R264" s="1740"/>
      <c r="S264" s="1745"/>
      <c r="T264" s="1745"/>
      <c r="U264" s="1745"/>
      <c r="AA264" s="1745"/>
      <c r="AB264" s="1745"/>
      <c r="AC264" s="1745"/>
      <c r="AD264" s="1745"/>
      <c r="AE264" s="1745"/>
      <c r="AF264" s="1745"/>
      <c r="AG264" s="1745"/>
      <c r="AH264" s="1745"/>
    </row>
    <row r="265" spans="2:34" s="1786" customFormat="1">
      <c r="B265" s="1745"/>
      <c r="C265" s="1745"/>
      <c r="D265" s="1745"/>
      <c r="I265" s="2896"/>
      <c r="L265" s="1745"/>
      <c r="M265" s="1740"/>
      <c r="N265" s="1740"/>
      <c r="O265" s="1740"/>
      <c r="P265" s="1740"/>
      <c r="Q265" s="1740"/>
      <c r="R265" s="1740"/>
      <c r="S265" s="1745"/>
      <c r="T265" s="1745"/>
      <c r="U265" s="1745"/>
      <c r="AA265" s="1745"/>
      <c r="AB265" s="1745"/>
      <c r="AC265" s="1745"/>
      <c r="AD265" s="1745"/>
      <c r="AE265" s="1745"/>
      <c r="AF265" s="1745"/>
      <c r="AG265" s="1745"/>
      <c r="AH265" s="1745"/>
    </row>
    <row r="266" spans="2:34" s="1786" customFormat="1">
      <c r="B266" s="1745"/>
      <c r="C266" s="1745"/>
      <c r="D266" s="1745"/>
      <c r="I266" s="2896"/>
      <c r="L266" s="1745"/>
      <c r="M266" s="1740"/>
      <c r="N266" s="1740"/>
      <c r="O266" s="1740"/>
      <c r="P266" s="1740"/>
      <c r="Q266" s="1740"/>
      <c r="R266" s="1740"/>
      <c r="S266" s="1745"/>
      <c r="T266" s="1745"/>
      <c r="U266" s="1745"/>
      <c r="AA266" s="1745"/>
      <c r="AB266" s="1745"/>
      <c r="AC266" s="1745"/>
      <c r="AD266" s="1745"/>
      <c r="AE266" s="1745"/>
      <c r="AF266" s="1745"/>
      <c r="AG266" s="1745"/>
      <c r="AH266" s="1745"/>
    </row>
    <row r="267" spans="2:34">
      <c r="I267" s="2896"/>
      <c r="M267" s="1740"/>
      <c r="N267" s="1740"/>
      <c r="O267" s="1740"/>
      <c r="P267" s="1740"/>
      <c r="Q267" s="1740"/>
      <c r="R267" s="1740"/>
    </row>
    <row r="268" spans="2:34" s="1786" customFormat="1">
      <c r="B268" s="1745"/>
      <c r="C268" s="1745"/>
      <c r="D268" s="1745"/>
      <c r="I268" s="2896"/>
      <c r="J268" s="1875"/>
      <c r="L268" s="1745"/>
      <c r="M268" s="1740"/>
      <c r="N268" s="1740"/>
      <c r="O268" s="1740"/>
      <c r="P268" s="1740"/>
      <c r="Q268" s="1740"/>
      <c r="R268" s="1740"/>
      <c r="S268" s="1745"/>
      <c r="T268" s="1745"/>
      <c r="U268" s="1745"/>
      <c r="AA268" s="1745"/>
      <c r="AB268" s="1745"/>
      <c r="AC268" s="1745"/>
      <c r="AD268" s="1745"/>
      <c r="AE268" s="1745"/>
      <c r="AF268" s="1745"/>
      <c r="AG268" s="1745"/>
      <c r="AH268" s="1745"/>
    </row>
    <row r="269" spans="2:34" s="1786" customFormat="1">
      <c r="B269" s="1745"/>
      <c r="C269" s="1745"/>
      <c r="D269" s="1745"/>
      <c r="I269" s="2896"/>
      <c r="L269" s="1745"/>
      <c r="M269" s="1740"/>
      <c r="N269" s="1740"/>
      <c r="O269" s="1740"/>
      <c r="P269" s="1740"/>
      <c r="Q269" s="1740"/>
      <c r="R269" s="1740"/>
      <c r="S269" s="1745"/>
      <c r="T269" s="1745"/>
      <c r="U269" s="1745"/>
      <c r="AA269" s="1745"/>
      <c r="AB269" s="1745"/>
      <c r="AC269" s="1745"/>
      <c r="AD269" s="1745"/>
      <c r="AE269" s="1745"/>
      <c r="AF269" s="1745"/>
      <c r="AG269" s="1745"/>
      <c r="AH269" s="1745"/>
    </row>
    <row r="270" spans="2:34" s="1786" customFormat="1">
      <c r="B270" s="1745"/>
      <c r="C270" s="1745"/>
      <c r="D270" s="1745"/>
      <c r="L270" s="1745"/>
      <c r="M270" s="1740"/>
      <c r="N270" s="1740"/>
      <c r="O270" s="1740"/>
      <c r="P270" s="1740"/>
      <c r="Q270" s="1740"/>
      <c r="R270" s="1740"/>
      <c r="S270" s="1745"/>
      <c r="T270" s="1745"/>
      <c r="U270" s="1745"/>
      <c r="AA270" s="1745"/>
      <c r="AB270" s="1745"/>
      <c r="AC270" s="1745"/>
      <c r="AD270" s="1745"/>
      <c r="AE270" s="1745"/>
      <c r="AF270" s="1745"/>
      <c r="AG270" s="1745"/>
      <c r="AH270" s="1745"/>
    </row>
    <row r="271" spans="2:34" s="1786" customFormat="1">
      <c r="B271" s="1745"/>
      <c r="C271" s="1745"/>
      <c r="D271" s="1745"/>
      <c r="L271" s="1745"/>
      <c r="M271" s="1740"/>
      <c r="N271" s="1740"/>
      <c r="O271" s="1740"/>
      <c r="P271" s="1740"/>
      <c r="Q271" s="1740"/>
      <c r="R271" s="1740"/>
      <c r="S271" s="1745"/>
      <c r="T271" s="1745"/>
      <c r="U271" s="1745"/>
      <c r="AA271" s="1745"/>
      <c r="AB271" s="1745"/>
      <c r="AC271" s="1745"/>
      <c r="AD271" s="1745"/>
      <c r="AE271" s="1745"/>
      <c r="AF271" s="1745"/>
      <c r="AG271" s="1745"/>
      <c r="AH271" s="1745"/>
    </row>
    <row r="272" spans="2:34">
      <c r="M272" s="1740"/>
      <c r="N272" s="1740"/>
      <c r="O272" s="1740"/>
      <c r="P272" s="1740"/>
      <c r="Q272" s="1740"/>
      <c r="R272" s="1740"/>
    </row>
    <row r="273" spans="2:34" s="1786" customFormat="1">
      <c r="B273" s="1745"/>
      <c r="C273" s="1745"/>
      <c r="D273" s="1745"/>
      <c r="L273" s="1740"/>
      <c r="M273" s="1740"/>
      <c r="N273" s="1740"/>
      <c r="O273" s="1740"/>
      <c r="P273" s="1740"/>
      <c r="Q273" s="1740"/>
      <c r="R273" s="1740"/>
      <c r="S273" s="1745"/>
      <c r="T273" s="1745"/>
      <c r="U273" s="1745"/>
      <c r="AA273" s="1745"/>
      <c r="AB273" s="1745"/>
      <c r="AC273" s="1745"/>
      <c r="AD273" s="1745"/>
      <c r="AE273" s="1745"/>
      <c r="AF273" s="1745"/>
      <c r="AG273" s="1745"/>
      <c r="AH273" s="1745"/>
    </row>
    <row r="274" spans="2:34" s="1786" customFormat="1">
      <c r="B274" s="1745"/>
      <c r="C274" s="1745"/>
      <c r="D274" s="1745"/>
      <c r="L274" s="1740"/>
      <c r="M274" s="1740"/>
      <c r="N274" s="1740"/>
      <c r="O274" s="1740"/>
      <c r="P274" s="1740"/>
      <c r="Q274" s="1740"/>
      <c r="R274" s="1740"/>
      <c r="S274" s="1745"/>
      <c r="T274" s="1745"/>
      <c r="U274" s="1745"/>
      <c r="AA274" s="1745"/>
      <c r="AB274" s="1745"/>
      <c r="AC274" s="1745"/>
      <c r="AD274" s="1745"/>
      <c r="AE274" s="1745"/>
      <c r="AF274" s="1745"/>
      <c r="AG274" s="1745"/>
      <c r="AH274" s="1745"/>
    </row>
    <row r="275" spans="2:34" s="1786" customFormat="1">
      <c r="B275" s="1745"/>
      <c r="C275" s="1745"/>
      <c r="D275" s="1745"/>
      <c r="L275" s="1740"/>
      <c r="M275" s="1740"/>
      <c r="N275" s="1740"/>
      <c r="O275" s="1740"/>
      <c r="P275" s="1740"/>
      <c r="Q275" s="1740"/>
      <c r="R275" s="1740"/>
      <c r="S275" s="1745"/>
      <c r="T275" s="1745"/>
      <c r="U275" s="1745"/>
      <c r="AA275" s="1745"/>
      <c r="AB275" s="1745"/>
      <c r="AC275" s="1745"/>
      <c r="AD275" s="1745"/>
      <c r="AE275" s="1745"/>
      <c r="AF275" s="1745"/>
      <c r="AG275" s="1745"/>
      <c r="AH275" s="1745"/>
    </row>
    <row r="276" spans="2:34" s="1786" customFormat="1">
      <c r="B276" s="1745"/>
      <c r="C276" s="1745"/>
      <c r="D276" s="1745"/>
      <c r="L276" s="1740"/>
      <c r="M276" s="1740"/>
      <c r="N276" s="1740"/>
      <c r="O276" s="1740"/>
      <c r="P276" s="1740"/>
      <c r="Q276" s="1740"/>
      <c r="R276" s="1740"/>
      <c r="S276" s="1745"/>
      <c r="T276" s="1745"/>
      <c r="U276" s="1745"/>
      <c r="AA276" s="1745"/>
      <c r="AB276" s="1745"/>
      <c r="AC276" s="1745"/>
      <c r="AD276" s="1745"/>
      <c r="AE276" s="1745"/>
      <c r="AF276" s="1745"/>
      <c r="AG276" s="1745"/>
      <c r="AH276" s="1745"/>
    </row>
    <row r="277" spans="2:34" s="1786" customFormat="1">
      <c r="B277" s="1745"/>
      <c r="C277" s="1745"/>
      <c r="D277" s="1745"/>
      <c r="K277" s="1740"/>
      <c r="L277" s="1740"/>
      <c r="M277" s="1740"/>
      <c r="N277" s="1740"/>
      <c r="O277" s="1740"/>
      <c r="P277" s="1740"/>
      <c r="Q277" s="1740"/>
      <c r="R277" s="1740"/>
      <c r="S277" s="1745"/>
      <c r="T277" s="1745"/>
      <c r="U277" s="1745"/>
      <c r="AA277" s="1745"/>
      <c r="AB277" s="1745"/>
      <c r="AC277" s="1745"/>
      <c r="AD277" s="1745"/>
      <c r="AE277" s="1745"/>
      <c r="AF277" s="1745"/>
      <c r="AG277" s="1745"/>
      <c r="AH277" s="1745"/>
    </row>
    <row r="278" spans="2:34" s="1786" customFormat="1">
      <c r="B278" s="1745"/>
      <c r="C278" s="1745"/>
      <c r="D278" s="1745"/>
      <c r="K278" s="1740"/>
      <c r="L278" s="1740"/>
      <c r="M278" s="1740"/>
      <c r="N278" s="1740"/>
      <c r="O278" s="1740"/>
      <c r="P278" s="1740"/>
      <c r="Q278" s="1740"/>
      <c r="R278" s="1740"/>
      <c r="S278" s="1745"/>
      <c r="T278" s="1745"/>
      <c r="U278" s="1745"/>
      <c r="AA278" s="1745"/>
      <c r="AB278" s="1745"/>
      <c r="AC278" s="1745"/>
      <c r="AD278" s="1745"/>
      <c r="AE278" s="1745"/>
      <c r="AF278" s="1745"/>
      <c r="AG278" s="1745"/>
      <c r="AH278" s="1745"/>
    </row>
    <row r="279" spans="2:34" s="1786" customFormat="1">
      <c r="B279" s="1745"/>
      <c r="C279" s="1745"/>
      <c r="D279" s="1745"/>
      <c r="J279" s="1740"/>
      <c r="K279" s="1740"/>
      <c r="L279" s="1740"/>
      <c r="M279" s="1740"/>
      <c r="N279" s="1740"/>
      <c r="O279" s="1740"/>
      <c r="P279" s="1740"/>
      <c r="S279" s="1745"/>
      <c r="T279" s="1745"/>
      <c r="U279" s="1745"/>
      <c r="AA279" s="1745"/>
      <c r="AB279" s="1745"/>
      <c r="AC279" s="1745"/>
      <c r="AD279" s="1745"/>
      <c r="AE279" s="1745"/>
      <c r="AF279" s="1745"/>
      <c r="AG279" s="1745"/>
      <c r="AH279" s="1745"/>
    </row>
    <row r="280" spans="2:34" s="1786" customFormat="1">
      <c r="B280" s="1745"/>
      <c r="C280" s="1745"/>
      <c r="D280" s="1745"/>
      <c r="J280" s="1740"/>
      <c r="K280" s="1740"/>
      <c r="L280" s="1740"/>
      <c r="M280" s="1753"/>
      <c r="N280" s="1740"/>
      <c r="O280" s="1740"/>
      <c r="P280" s="1740"/>
      <c r="S280" s="1745"/>
      <c r="T280" s="1745"/>
      <c r="U280" s="1745"/>
      <c r="AA280" s="1745"/>
      <c r="AB280" s="1745"/>
      <c r="AC280" s="1745"/>
      <c r="AD280" s="1745"/>
      <c r="AE280" s="1745"/>
      <c r="AF280" s="1745"/>
      <c r="AG280" s="1745"/>
      <c r="AH280" s="1745"/>
    </row>
    <row r="281" spans="2:34" s="1786" customFormat="1">
      <c r="B281" s="1745"/>
      <c r="C281" s="1745"/>
      <c r="D281" s="1745"/>
      <c r="J281" s="1740"/>
      <c r="K281" s="1740"/>
      <c r="L281" s="1740"/>
      <c r="M281" s="1745"/>
      <c r="S281" s="1745"/>
      <c r="T281" s="1745"/>
      <c r="U281" s="1745"/>
      <c r="AA281" s="1745"/>
      <c r="AB281" s="1745"/>
      <c r="AC281" s="1745"/>
      <c r="AD281" s="1745"/>
      <c r="AE281" s="1745"/>
      <c r="AF281" s="1745"/>
      <c r="AG281" s="1745"/>
      <c r="AH281" s="1745"/>
    </row>
    <row r="282" spans="2:34" s="1786" customFormat="1">
      <c r="B282" s="1745"/>
      <c r="C282" s="1745"/>
      <c r="D282" s="1745"/>
      <c r="J282" s="1740"/>
      <c r="K282" s="1740"/>
      <c r="L282" s="1740"/>
      <c r="M282" s="1745"/>
      <c r="S282" s="1745"/>
      <c r="T282" s="1745"/>
      <c r="U282" s="1745"/>
      <c r="AA282" s="1745"/>
      <c r="AB282" s="1745"/>
      <c r="AC282" s="1745"/>
      <c r="AD282" s="1745"/>
      <c r="AE282" s="1745"/>
      <c r="AF282" s="1745"/>
      <c r="AG282" s="1745"/>
      <c r="AH282" s="1745"/>
    </row>
    <row r="283" spans="2:34" s="1786" customFormat="1">
      <c r="B283" s="1745"/>
      <c r="C283" s="1745"/>
      <c r="D283" s="1745"/>
      <c r="J283" s="1740"/>
      <c r="K283" s="1740"/>
      <c r="L283" s="1740"/>
      <c r="M283" s="1745"/>
      <c r="S283" s="1745"/>
      <c r="T283" s="1745"/>
      <c r="U283" s="1745"/>
      <c r="AA283" s="1745"/>
      <c r="AB283" s="1745"/>
      <c r="AC283" s="1745"/>
      <c r="AD283" s="1745"/>
      <c r="AE283" s="1745"/>
      <c r="AF283" s="1745"/>
      <c r="AG283" s="1745"/>
      <c r="AH283" s="1745"/>
    </row>
    <row r="284" spans="2:34" s="1786" customFormat="1">
      <c r="B284" s="1745"/>
      <c r="C284" s="1745"/>
      <c r="D284" s="1745"/>
      <c r="J284" s="1740"/>
      <c r="K284" s="1740"/>
      <c r="L284" s="1740"/>
      <c r="M284" s="1745"/>
      <c r="S284" s="1745"/>
      <c r="T284" s="1745"/>
      <c r="U284" s="1745"/>
      <c r="AA284" s="1745"/>
      <c r="AB284" s="1745"/>
      <c r="AC284" s="1745"/>
      <c r="AD284" s="1745"/>
      <c r="AE284" s="1745"/>
      <c r="AF284" s="1745"/>
      <c r="AG284" s="1745"/>
      <c r="AH284" s="1745"/>
    </row>
    <row r="285" spans="2:34" s="1786" customFormat="1">
      <c r="B285" s="1745"/>
      <c r="C285" s="1745"/>
      <c r="D285" s="1745"/>
      <c r="J285" s="1740"/>
      <c r="K285" s="1740"/>
      <c r="L285" s="1740"/>
      <c r="M285" s="1745"/>
      <c r="S285" s="1745"/>
      <c r="T285" s="1745"/>
      <c r="U285" s="1745"/>
      <c r="AA285" s="1745"/>
      <c r="AB285" s="1745"/>
      <c r="AC285" s="1745"/>
      <c r="AD285" s="1745"/>
      <c r="AE285" s="1745"/>
      <c r="AF285" s="1745"/>
      <c r="AG285" s="1745"/>
      <c r="AH285" s="1745"/>
    </row>
    <row r="286" spans="2:34" s="1786" customFormat="1">
      <c r="B286" s="1745"/>
      <c r="C286" s="1745"/>
      <c r="D286" s="1745"/>
      <c r="J286" s="1740"/>
      <c r="K286" s="1740"/>
      <c r="L286" s="1740"/>
      <c r="M286" s="1745"/>
      <c r="S286" s="1745"/>
      <c r="T286" s="1745"/>
      <c r="U286" s="1745"/>
      <c r="AA286" s="1745"/>
      <c r="AB286" s="1745"/>
      <c r="AC286" s="1745"/>
      <c r="AD286" s="1745"/>
      <c r="AE286" s="1745"/>
      <c r="AF286" s="1745"/>
      <c r="AG286" s="1745"/>
      <c r="AH286" s="1745"/>
    </row>
    <row r="287" spans="2:34" s="1786" customFormat="1">
      <c r="B287" s="1745"/>
      <c r="C287" s="1745"/>
      <c r="D287" s="1745"/>
      <c r="J287" s="1740"/>
      <c r="K287" s="1740"/>
      <c r="L287" s="1740"/>
      <c r="M287" s="1745"/>
      <c r="S287" s="1745"/>
      <c r="T287" s="1745"/>
      <c r="U287" s="1745"/>
      <c r="AA287" s="1745"/>
      <c r="AB287" s="1745"/>
      <c r="AC287" s="1745"/>
      <c r="AD287" s="1745"/>
      <c r="AE287" s="1745"/>
      <c r="AF287" s="1745"/>
      <c r="AG287" s="1745"/>
      <c r="AH287" s="1745"/>
    </row>
    <row r="288" spans="2:34" s="1786" customFormat="1">
      <c r="B288" s="1745"/>
      <c r="C288" s="1745"/>
      <c r="D288" s="1745"/>
      <c r="J288" s="1740"/>
      <c r="K288" s="1740"/>
      <c r="L288" s="1740"/>
      <c r="M288" s="1745"/>
      <c r="S288" s="1745"/>
      <c r="T288" s="1745"/>
      <c r="U288" s="1745"/>
      <c r="AA288" s="1745"/>
      <c r="AB288" s="1745"/>
      <c r="AC288" s="1745"/>
      <c r="AD288" s="1745"/>
      <c r="AE288" s="1745"/>
      <c r="AF288" s="1745"/>
      <c r="AG288" s="1745"/>
      <c r="AH288" s="1745"/>
    </row>
    <row r="289" spans="2:34" s="1786" customFormat="1">
      <c r="B289" s="1745"/>
      <c r="C289" s="1745"/>
      <c r="D289" s="1745"/>
      <c r="J289" s="1740"/>
      <c r="K289" s="1740"/>
      <c r="L289" s="1745"/>
      <c r="M289" s="1745"/>
      <c r="S289" s="1745"/>
      <c r="T289" s="1745"/>
      <c r="U289" s="1745"/>
      <c r="AA289" s="1745"/>
      <c r="AB289" s="1745"/>
      <c r="AC289" s="1745"/>
      <c r="AD289" s="1745"/>
      <c r="AE289" s="1745"/>
      <c r="AF289" s="1745"/>
      <c r="AG289" s="1745"/>
      <c r="AH289" s="1745"/>
    </row>
    <row r="290" spans="2:34" s="1786" customFormat="1">
      <c r="B290" s="1745"/>
      <c r="C290" s="1745"/>
      <c r="D290" s="1745"/>
      <c r="J290" s="1740"/>
      <c r="K290" s="1740"/>
      <c r="L290" s="1745"/>
      <c r="M290" s="1745"/>
      <c r="S290" s="1745"/>
      <c r="T290" s="1745"/>
      <c r="U290" s="1745"/>
      <c r="AA290" s="1745"/>
      <c r="AB290" s="1745"/>
      <c r="AC290" s="1745"/>
      <c r="AD290" s="1745"/>
      <c r="AE290" s="1745"/>
      <c r="AF290" s="1745"/>
      <c r="AG290" s="1745"/>
      <c r="AH290" s="1745"/>
    </row>
    <row r="291" spans="2:34" s="1786" customFormat="1">
      <c r="B291" s="1745"/>
      <c r="C291" s="1745"/>
      <c r="D291" s="1745"/>
      <c r="J291" s="1740"/>
      <c r="K291" s="1740"/>
      <c r="L291" s="1745"/>
      <c r="M291" s="1745"/>
      <c r="S291" s="1745"/>
      <c r="T291" s="1745"/>
      <c r="U291" s="1745"/>
      <c r="AA291" s="1745"/>
      <c r="AB291" s="1745"/>
      <c r="AC291" s="1745"/>
      <c r="AD291" s="1745"/>
      <c r="AE291" s="1745"/>
      <c r="AF291" s="1745"/>
      <c r="AG291" s="1745"/>
      <c r="AH291" s="1745"/>
    </row>
    <row r="292" spans="2:34">
      <c r="J292" s="1740"/>
      <c r="K292" s="1740"/>
    </row>
    <row r="293" spans="2:34">
      <c r="J293" s="1740"/>
    </row>
    <row r="294" spans="2:34">
      <c r="J294" s="1740"/>
    </row>
    <row r="299" spans="2:34">
      <c r="M299" s="1740"/>
    </row>
    <row r="300" spans="2:34">
      <c r="M300" s="1740"/>
    </row>
    <row r="301" spans="2:34">
      <c r="M301" s="1740"/>
    </row>
    <row r="302" spans="2:34">
      <c r="M302" s="1740"/>
    </row>
    <row r="303" spans="2:34">
      <c r="M303" s="1740"/>
    </row>
    <row r="304" spans="2:34">
      <c r="D304" s="1872" t="s">
        <v>319</v>
      </c>
      <c r="F304" s="1873" t="s">
        <v>320</v>
      </c>
      <c r="H304" s="1740"/>
      <c r="M304" s="1740"/>
    </row>
    <row r="305" spans="4:13">
      <c r="D305" s="1872" t="s">
        <v>321</v>
      </c>
      <c r="F305" s="1873" t="s">
        <v>322</v>
      </c>
      <c r="M305" s="1740"/>
    </row>
    <row r="306" spans="4:13">
      <c r="D306" s="1872" t="s">
        <v>323</v>
      </c>
      <c r="F306" s="1873">
        <v>1</v>
      </c>
      <c r="M306" s="1740"/>
    </row>
    <row r="307" spans="4:13">
      <c r="D307" s="1873">
        <v>2</v>
      </c>
      <c r="M307" s="1740"/>
    </row>
    <row r="308" spans="4:13">
      <c r="M308" s="1740"/>
    </row>
    <row r="309" spans="4:13">
      <c r="D309" s="1873">
        <v>0</v>
      </c>
      <c r="E309" s="1740"/>
      <c r="F309" s="1740"/>
      <c r="G309" s="1740"/>
      <c r="H309" s="1740"/>
      <c r="I309" s="1740"/>
      <c r="M309" s="1740"/>
    </row>
    <row r="310" spans="4:13">
      <c r="D310" s="1740"/>
      <c r="E310" s="1740"/>
      <c r="F310" s="1740"/>
      <c r="G310" s="1740"/>
      <c r="H310" s="1740"/>
      <c r="I310" s="1740"/>
      <c r="M310" s="1740"/>
    </row>
    <row r="311" spans="4:13">
      <c r="D311" s="1740"/>
      <c r="E311" s="1740"/>
      <c r="F311" s="1740"/>
      <c r="G311" s="1740"/>
      <c r="H311" s="1740"/>
      <c r="I311" s="1740"/>
      <c r="M311" s="1740"/>
    </row>
    <row r="312" spans="4:13">
      <c r="D312" s="1781" t="s">
        <v>324</v>
      </c>
      <c r="E312" s="1874" t="e">
        <f>#REF!</f>
        <v>#REF!</v>
      </c>
      <c r="F312" s="1874" t="e">
        <f>#REF!</f>
        <v>#REF!</v>
      </c>
      <c r="G312" s="1874" t="e">
        <f>#REF!</f>
        <v>#REF!</v>
      </c>
      <c r="H312" s="1740"/>
      <c r="I312" s="1874" t="e">
        <f>IF($D$307=1,E312)+IF($D$307=2,F312)+IF($D$307=3,G312)+IF($D$307=4,H312)</f>
        <v>#REF!</v>
      </c>
      <c r="M312" s="1740"/>
    </row>
    <row r="313" spans="4:13">
      <c r="D313" s="1781" t="s">
        <v>325</v>
      </c>
      <c r="E313" s="1874" t="e">
        <f>#REF!</f>
        <v>#REF!</v>
      </c>
      <c r="F313" s="1874" t="e">
        <f>#REF!</f>
        <v>#REF!</v>
      </c>
      <c r="G313" s="1874" t="e">
        <f>#REF!</f>
        <v>#REF!</v>
      </c>
      <c r="H313" s="1876"/>
      <c r="I313" s="1874" t="e">
        <f>IF($D$307=1,E313)+IF($D$307=2,F313)+IF($D$307=3,G313)+IF($D$307=4,H313)</f>
        <v>#REF!</v>
      </c>
      <c r="M313" s="1740"/>
    </row>
    <row r="314" spans="4:13">
      <c r="M314" s="1740"/>
    </row>
    <row r="315" spans="4:13">
      <c r="D315" s="1740"/>
      <c r="E315" s="1740"/>
      <c r="F315" s="1740"/>
      <c r="G315" s="1740"/>
      <c r="H315" s="1740"/>
      <c r="I315" s="1740"/>
    </row>
    <row r="316" spans="4:13">
      <c r="D316" s="1781" t="s">
        <v>326</v>
      </c>
      <c r="E316" s="1874" t="e">
        <f>E312/#REF!</f>
        <v>#REF!</v>
      </c>
      <c r="F316" s="1874" t="e">
        <f>F312/#REF!</f>
        <v>#REF!</v>
      </c>
      <c r="G316" s="1874" t="e">
        <f>G312/#REF!</f>
        <v>#REF!</v>
      </c>
      <c r="H316" s="1740"/>
      <c r="I316" s="1874" t="e">
        <f>IF($D$307=1,E316)+IF($D$307=2,F316)+IF($D$307=3,G316)+IF($D$307=4,H316)</f>
        <v>#REF!</v>
      </c>
    </row>
    <row r="317" spans="4:13">
      <c r="D317" s="1781" t="s">
        <v>327</v>
      </c>
      <c r="E317" s="1874" t="e">
        <f>E313/#REF!</f>
        <v>#REF!</v>
      </c>
      <c r="F317" s="1874" t="e">
        <f>F313/#REF!</f>
        <v>#REF!</v>
      </c>
      <c r="G317" s="1874" t="e">
        <f>G313/#REF!</f>
        <v>#REF!</v>
      </c>
      <c r="H317" s="1876"/>
      <c r="I317" s="1874" t="e">
        <f>IF($D$307=1,E317)+IF($D$307=2,F317)+IF($D$307=3,G317)+IF($D$307=4,H317)</f>
        <v>#REF!</v>
      </c>
    </row>
    <row r="318" spans="4:13">
      <c r="D318" s="1781" t="s">
        <v>328</v>
      </c>
      <c r="E318" s="1877" t="e">
        <f>E317/E316</f>
        <v>#REF!</v>
      </c>
      <c r="F318" s="1877" t="e">
        <f>F317/F316</f>
        <v>#REF!</v>
      </c>
      <c r="G318" s="1877" t="e">
        <f>G317/G316</f>
        <v>#REF!</v>
      </c>
      <c r="H318" s="1876"/>
      <c r="I318" s="1878" t="e">
        <f>IF($D$307=1,E318)+IF($D$307=2,F318)+IF($D$307=3,G318)+IF($D$307=4,H318)</f>
        <v>#REF!</v>
      </c>
    </row>
    <row r="323" spans="4:9">
      <c r="D323" s="1740"/>
      <c r="E323" s="1740"/>
      <c r="F323" s="1740"/>
      <c r="G323" s="1740"/>
      <c r="H323" s="1740"/>
      <c r="I323" s="1740"/>
    </row>
    <row r="324" spans="4:9">
      <c r="D324" s="1740"/>
      <c r="E324" s="1740"/>
      <c r="F324" s="1740"/>
      <c r="G324" s="1740"/>
      <c r="H324" s="1740"/>
      <c r="I324" s="1740"/>
    </row>
    <row r="325" spans="4:9">
      <c r="D325" s="1740"/>
      <c r="E325" s="1740"/>
      <c r="F325" s="1740"/>
      <c r="G325" s="1740"/>
      <c r="H325" s="1740"/>
      <c r="I325" s="1740"/>
    </row>
    <row r="326" spans="4:9">
      <c r="D326" s="1740"/>
      <c r="E326" s="1740"/>
      <c r="F326" s="1740"/>
      <c r="G326" s="1740"/>
      <c r="H326" s="1740"/>
      <c r="I326" s="1740"/>
    </row>
    <row r="327" spans="4:9">
      <c r="D327" s="1740"/>
      <c r="E327" s="1740"/>
      <c r="F327" s="1740"/>
      <c r="G327" s="1740"/>
      <c r="H327" s="1740"/>
      <c r="I327" s="1740"/>
    </row>
    <row r="328" spans="4:9">
      <c r="D328" s="1740"/>
      <c r="E328" s="1740"/>
      <c r="F328" s="1740"/>
      <c r="G328" s="1740"/>
      <c r="H328" s="1740"/>
      <c r="I328" s="1740"/>
    </row>
    <row r="329" spans="4:9">
      <c r="D329" s="1740"/>
      <c r="E329" s="1740"/>
      <c r="F329" s="1740"/>
      <c r="G329" s="1740"/>
      <c r="H329" s="1740"/>
      <c r="I329" s="1740"/>
    </row>
    <row r="330" spans="4:9">
      <c r="D330" s="1740"/>
      <c r="E330" s="1740"/>
      <c r="F330" s="1740"/>
      <c r="G330" s="1740"/>
      <c r="H330" s="1740"/>
      <c r="I330" s="1740"/>
    </row>
    <row r="331" spans="4:9">
      <c r="D331" s="1740"/>
      <c r="E331" s="1740"/>
      <c r="F331" s="1740"/>
      <c r="G331" s="1740"/>
      <c r="H331" s="1740"/>
      <c r="I331" s="1740"/>
    </row>
    <row r="332" spans="4:9">
      <c r="D332" s="1740"/>
      <c r="E332" s="1740"/>
      <c r="F332" s="1740"/>
      <c r="G332" s="1740"/>
      <c r="H332" s="1740"/>
      <c r="I332" s="1740"/>
    </row>
    <row r="333" spans="4:9">
      <c r="D333" s="1740"/>
      <c r="E333" s="1740"/>
      <c r="F333" s="1740"/>
      <c r="G333" s="1740"/>
      <c r="H333" s="1740"/>
      <c r="I333" s="1740"/>
    </row>
    <row r="334" spans="4:9">
      <c r="D334" s="1740"/>
      <c r="E334" s="1740"/>
      <c r="F334" s="1740"/>
      <c r="G334" s="1740"/>
      <c r="H334" s="1740"/>
      <c r="I334" s="1740"/>
    </row>
    <row r="335" spans="4:9">
      <c r="D335" s="1740"/>
      <c r="E335" s="1740"/>
      <c r="F335" s="1740"/>
      <c r="G335" s="1740"/>
      <c r="H335" s="1740"/>
      <c r="I335" s="1740"/>
    </row>
    <row r="336" spans="4:9">
      <c r="D336" s="1740"/>
      <c r="E336" s="1740"/>
      <c r="F336" s="1740"/>
      <c r="G336" s="1740"/>
      <c r="H336" s="1740"/>
      <c r="I336" s="1740"/>
    </row>
    <row r="337" spans="4:9">
      <c r="D337" s="1740"/>
      <c r="E337" s="1740"/>
      <c r="F337" s="1740"/>
      <c r="G337" s="1740"/>
      <c r="H337" s="1740"/>
      <c r="I337" s="1740"/>
    </row>
    <row r="338" spans="4:9">
      <c r="D338" s="1740"/>
      <c r="E338" s="1740"/>
      <c r="F338" s="1740"/>
      <c r="G338" s="1740"/>
      <c r="H338" s="1740"/>
      <c r="I338" s="1740"/>
    </row>
  </sheetData>
  <mergeCells count="247">
    <mergeCell ref="H172:I172"/>
    <mergeCell ref="H173:I173"/>
    <mergeCell ref="H174:I174"/>
    <mergeCell ref="H175:I175"/>
    <mergeCell ref="H176:I176"/>
    <mergeCell ref="H177:I177"/>
    <mergeCell ref="H178:I178"/>
    <mergeCell ref="H221:I221"/>
    <mergeCell ref="D222:F222"/>
    <mergeCell ref="H179:I179"/>
    <mergeCell ref="H181:I181"/>
    <mergeCell ref="H182:I182"/>
    <mergeCell ref="H183:I183"/>
    <mergeCell ref="H184:I184"/>
    <mergeCell ref="H185:I185"/>
    <mergeCell ref="H186:I186"/>
    <mergeCell ref="H187:I187"/>
    <mergeCell ref="H188:I188"/>
    <mergeCell ref="H189:I189"/>
    <mergeCell ref="H190:I190"/>
    <mergeCell ref="H191:I191"/>
    <mergeCell ref="D223:F223"/>
    <mergeCell ref="D225:F225"/>
    <mergeCell ref="D230:F230"/>
    <mergeCell ref="D231:F231"/>
    <mergeCell ref="D206:F206"/>
    <mergeCell ref="D214:F214"/>
    <mergeCell ref="D215:F215"/>
    <mergeCell ref="D216:F216"/>
    <mergeCell ref="D217:F217"/>
    <mergeCell ref="D218:F218"/>
    <mergeCell ref="D219:F219"/>
    <mergeCell ref="D220:F220"/>
    <mergeCell ref="D221:F221"/>
    <mergeCell ref="D224:F224"/>
    <mergeCell ref="D213:F213"/>
    <mergeCell ref="H224:I224"/>
    <mergeCell ref="H214:I214"/>
    <mergeCell ref="H215:I215"/>
    <mergeCell ref="H206:I206"/>
    <mergeCell ref="H216:I216"/>
    <mergeCell ref="H217:I217"/>
    <mergeCell ref="H213:I213"/>
    <mergeCell ref="H212:I212"/>
    <mergeCell ref="D209:F209"/>
    <mergeCell ref="D210:F210"/>
    <mergeCell ref="H211:I211"/>
    <mergeCell ref="D212:F212"/>
    <mergeCell ref="H209:I209"/>
    <mergeCell ref="D211:F211"/>
    <mergeCell ref="H210:I210"/>
    <mergeCell ref="H208:I208"/>
    <mergeCell ref="H207:I207"/>
    <mergeCell ref="D208:F208"/>
    <mergeCell ref="H222:I222"/>
    <mergeCell ref="H223:I223"/>
    <mergeCell ref="H218:I218"/>
    <mergeCell ref="H219:I219"/>
    <mergeCell ref="D207:F207"/>
    <mergeCell ref="H220:I220"/>
    <mergeCell ref="H239:I239"/>
    <mergeCell ref="H232:I232"/>
    <mergeCell ref="D236:G236"/>
    <mergeCell ref="H238:I238"/>
    <mergeCell ref="H233:I233"/>
    <mergeCell ref="D235:G235"/>
    <mergeCell ref="H234:I234"/>
    <mergeCell ref="H235:I235"/>
    <mergeCell ref="D233:G233"/>
    <mergeCell ref="D234:G234"/>
    <mergeCell ref="H225:I225"/>
    <mergeCell ref="H226:I226"/>
    <mergeCell ref="H227:I227"/>
    <mergeCell ref="D227:F227"/>
    <mergeCell ref="H228:I228"/>
    <mergeCell ref="H229:I229"/>
    <mergeCell ref="D199:G199"/>
    <mergeCell ref="H205:I205"/>
    <mergeCell ref="D167:G167"/>
    <mergeCell ref="H202:I202"/>
    <mergeCell ref="H203:I203"/>
    <mergeCell ref="H199:I199"/>
    <mergeCell ref="D170:G170"/>
    <mergeCell ref="H170:I170"/>
    <mergeCell ref="H180:I180"/>
    <mergeCell ref="D180:G180"/>
    <mergeCell ref="H169:I169"/>
    <mergeCell ref="D202:F202"/>
    <mergeCell ref="D201:F201"/>
    <mergeCell ref="D205:F205"/>
    <mergeCell ref="H200:I200"/>
    <mergeCell ref="H201:I201"/>
    <mergeCell ref="D204:F204"/>
    <mergeCell ref="H204:I204"/>
    <mergeCell ref="D168:G168"/>
    <mergeCell ref="H168:I168"/>
    <mergeCell ref="D169:G169"/>
    <mergeCell ref="D203:F203"/>
    <mergeCell ref="H167:I167"/>
    <mergeCell ref="H171:I171"/>
    <mergeCell ref="H122:I122"/>
    <mergeCell ref="H121:I121"/>
    <mergeCell ref="D125:G125"/>
    <mergeCell ref="D143:G143"/>
    <mergeCell ref="D127:G127"/>
    <mergeCell ref="H166:I166"/>
    <mergeCell ref="D166:G166"/>
    <mergeCell ref="D152:G152"/>
    <mergeCell ref="H152:I152"/>
    <mergeCell ref="D157:G157"/>
    <mergeCell ref="D150:G150"/>
    <mergeCell ref="D165:G165"/>
    <mergeCell ref="D149:G149"/>
    <mergeCell ref="H144:I144"/>
    <mergeCell ref="H162:I162"/>
    <mergeCell ref="H145:I145"/>
    <mergeCell ref="D146:G146"/>
    <mergeCell ref="D147:G147"/>
    <mergeCell ref="M113:M114"/>
    <mergeCell ref="M115:M116"/>
    <mergeCell ref="D142:G142"/>
    <mergeCell ref="H143:I143"/>
    <mergeCell ref="D130:G130"/>
    <mergeCell ref="D126:G126"/>
    <mergeCell ref="H128:I128"/>
    <mergeCell ref="D128:G128"/>
    <mergeCell ref="H124:I124"/>
    <mergeCell ref="H125:I125"/>
    <mergeCell ref="D139:G139"/>
    <mergeCell ref="H139:I139"/>
    <mergeCell ref="H127:I127"/>
    <mergeCell ref="H126:I126"/>
    <mergeCell ref="H129:I129"/>
    <mergeCell ref="D129:G129"/>
    <mergeCell ref="H141:I141"/>
    <mergeCell ref="H130:I130"/>
    <mergeCell ref="H142:I142"/>
    <mergeCell ref="H131:I131"/>
    <mergeCell ref="H132:I132"/>
    <mergeCell ref="H133:I133"/>
    <mergeCell ref="H134:I134"/>
    <mergeCell ref="H135:I135"/>
    <mergeCell ref="Z99:Z100"/>
    <mergeCell ref="U99:U100"/>
    <mergeCell ref="V99:V100"/>
    <mergeCell ref="W99:W100"/>
    <mergeCell ref="X99:X100"/>
    <mergeCell ref="Y99:Y100"/>
    <mergeCell ref="N115:N116"/>
    <mergeCell ref="O115:O116"/>
    <mergeCell ref="O110:O111"/>
    <mergeCell ref="P110:P111"/>
    <mergeCell ref="N110:N111"/>
    <mergeCell ref="P113:P114"/>
    <mergeCell ref="P115:P116"/>
    <mergeCell ref="N113:N114"/>
    <mergeCell ref="O113:O114"/>
    <mergeCell ref="M110:M111"/>
    <mergeCell ref="D60:G60"/>
    <mergeCell ref="D68:G68"/>
    <mergeCell ref="H62:I62"/>
    <mergeCell ref="M77:R78"/>
    <mergeCell ref="H66:I66"/>
    <mergeCell ref="H67:I67"/>
    <mergeCell ref="D63:G63"/>
    <mergeCell ref="H63:I63"/>
    <mergeCell ref="H64:I64"/>
    <mergeCell ref="H60:I60"/>
    <mergeCell ref="D65:G65"/>
    <mergeCell ref="H65:I65"/>
    <mergeCell ref="D69:I70"/>
    <mergeCell ref="H68:I68"/>
    <mergeCell ref="D67:G67"/>
    <mergeCell ref="Q61:Q64"/>
    <mergeCell ref="G109:G110"/>
    <mergeCell ref="F109:F110"/>
    <mergeCell ref="H109:H110"/>
    <mergeCell ref="I109:I110"/>
    <mergeCell ref="D50:D51"/>
    <mergeCell ref="H54:I54"/>
    <mergeCell ref="E50:F51"/>
    <mergeCell ref="H57:I57"/>
    <mergeCell ref="H59:I59"/>
    <mergeCell ref="G50:H51"/>
    <mergeCell ref="I50:J51"/>
    <mergeCell ref="D55:G55"/>
    <mergeCell ref="H55:I55"/>
    <mergeCell ref="D57:G57"/>
    <mergeCell ref="H56:I56"/>
    <mergeCell ref="D58:G58"/>
    <mergeCell ref="H58:I58"/>
    <mergeCell ref="I46:J46"/>
    <mergeCell ref="E34:F34"/>
    <mergeCell ref="E30:F30"/>
    <mergeCell ref="E46:F46"/>
    <mergeCell ref="G46:H46"/>
    <mergeCell ref="G48:H48"/>
    <mergeCell ref="I48:J48"/>
    <mergeCell ref="E44:F44"/>
    <mergeCell ref="G44:H44"/>
    <mergeCell ref="I44:J44"/>
    <mergeCell ref="E48:F48"/>
    <mergeCell ref="D3:Z3"/>
    <mergeCell ref="U25:Z26"/>
    <mergeCell ref="E42:F42"/>
    <mergeCell ref="E28:F28"/>
    <mergeCell ref="G34:H34"/>
    <mergeCell ref="G36:H36"/>
    <mergeCell ref="G38:H38"/>
    <mergeCell ref="G40:H40"/>
    <mergeCell ref="E38:F38"/>
    <mergeCell ref="E40:F40"/>
    <mergeCell ref="E36:F36"/>
    <mergeCell ref="I30:J30"/>
    <mergeCell ref="I32:J32"/>
    <mergeCell ref="G32:H32"/>
    <mergeCell ref="E32:F32"/>
    <mergeCell ref="I34:J34"/>
    <mergeCell ref="G42:H42"/>
    <mergeCell ref="E27:F27"/>
    <mergeCell ref="I28:J28"/>
    <mergeCell ref="M25:R26"/>
    <mergeCell ref="D25:J26"/>
    <mergeCell ref="G27:H27"/>
    <mergeCell ref="G28:H28"/>
    <mergeCell ref="G30:H30"/>
    <mergeCell ref="H165:I165"/>
    <mergeCell ref="H149:I149"/>
    <mergeCell ref="H150:I150"/>
    <mergeCell ref="H157:I157"/>
    <mergeCell ref="D148:G148"/>
    <mergeCell ref="H148:I148"/>
    <mergeCell ref="H146:I146"/>
    <mergeCell ref="H147:I147"/>
    <mergeCell ref="D144:G144"/>
    <mergeCell ref="D145:G145"/>
    <mergeCell ref="D151:G151"/>
    <mergeCell ref="H151:I151"/>
    <mergeCell ref="H164:I164"/>
    <mergeCell ref="H153:I153"/>
    <mergeCell ref="H154:I154"/>
    <mergeCell ref="H155:I155"/>
    <mergeCell ref="H156:I156"/>
    <mergeCell ref="H158:I158"/>
    <mergeCell ref="H159:I159"/>
    <mergeCell ref="H160:I160"/>
    <mergeCell ref="H161:I161"/>
  </mergeCells>
  <phoneticPr fontId="347" type="noConversion"/>
  <conditionalFormatting sqref="J76:J79">
    <cfRule type="cellIs" dxfId="394" priority="6" operator="greaterThan">
      <formula>0</formula>
    </cfRule>
  </conditionalFormatting>
  <dataValidations count="2">
    <dataValidation type="list" allowBlank="1" showInputMessage="1" showErrorMessage="1" sqref="V38" xr:uid="{4E0965CE-EF4F-443E-8F00-C9669F708720}">
      <formula1>"JANUARY, FEBRUARY, MARCH, APRIL, MAY, JUNE, JULY, AUGUST, SEPTEMBER, OCTOBER, NOVEMBER, DECEMBER"</formula1>
    </dataValidation>
    <dataValidation type="list" allowBlank="1" showInputMessage="1" showErrorMessage="1" sqref="W38" xr:uid="{48647CFD-2D93-499F-ACF1-5D1FD0DF9AAE}">
      <formula1>"2022,2023,2024,2025,2026"</formula1>
    </dataValidation>
  </dataValidations>
  <printOptions horizontalCentered="1" verticalCentered="1"/>
  <pageMargins left="0.25" right="0.25" top="0.25" bottom="0.3" header="0.3" footer="0.2"/>
  <pageSetup paperSize="8" scale="30" fitToHeight="4" orientation="landscape" r:id="rId1"/>
  <headerFooter>
    <oddFooter>&amp;L1TB.01.003.01 - AYC 
MARCH'26 REPORT&amp;C&amp;A&amp;RPage &amp;P of &amp;N</oddFooter>
  </headerFooter>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A0623-EE8B-4492-BFC6-206266FBD97A}">
  <sheetPr codeName="Sheet29">
    <tabColor rgb="FFF36722"/>
    <pageSetUpPr fitToPage="1"/>
  </sheetPr>
  <dimension ref="A1:AG159"/>
  <sheetViews>
    <sheetView view="pageBreakPreview" zoomScale="38" zoomScaleNormal="85" workbookViewId="0">
      <pane ySplit="11" topLeftCell="A20" activePane="bottomLeft" state="frozen"/>
      <selection activeCell="C43" sqref="C43"/>
      <selection pane="bottomLeft" activeCell="C43" sqref="C43"/>
    </sheetView>
  </sheetViews>
  <sheetFormatPr defaultColWidth="9" defaultRowHeight="12.75" outlineLevelRow="1" outlineLevelCol="1"/>
  <cols>
    <col min="1" max="1" width="40" style="3388" customWidth="1"/>
    <col min="2" max="3" width="22.85546875" style="3394" bestFit="1" customWidth="1" outlineLevel="1"/>
    <col min="4" max="4" width="22.85546875" style="3394" bestFit="1" customWidth="1"/>
    <col min="5" max="5" width="22.85546875" style="3394" bestFit="1" customWidth="1" outlineLevel="1"/>
    <col min="6" max="6" width="21.42578125" style="3394" customWidth="1" outlineLevel="1"/>
    <col min="7" max="7" width="22.85546875" style="3394" bestFit="1" customWidth="1" outlineLevel="1"/>
    <col min="8" max="8" width="24.5703125" style="3394" customWidth="1" outlineLevel="1"/>
    <col min="9" max="9" width="19" style="3394" customWidth="1" outlineLevel="1"/>
    <col min="10" max="10" width="21.85546875" style="3394" bestFit="1" customWidth="1"/>
    <col min="11" max="11" width="19.85546875" style="3394" customWidth="1"/>
    <col min="12" max="12" width="22.85546875" style="3394" bestFit="1" customWidth="1"/>
    <col min="13" max="13" width="19.85546875" style="3394" bestFit="1" customWidth="1"/>
    <col min="14" max="14" width="21.85546875" style="3394" bestFit="1" customWidth="1"/>
    <col min="15" max="15" width="17.42578125" style="3394" customWidth="1"/>
    <col min="16" max="17" width="22.85546875" style="3394" bestFit="1" customWidth="1"/>
    <col min="18" max="18" width="23.42578125" style="3388" bestFit="1" customWidth="1"/>
    <col min="19" max="19" width="60" style="3388" customWidth="1"/>
    <col min="20" max="21" width="19" style="3388" hidden="1" customWidth="1"/>
    <col min="22" max="22" width="16.85546875" style="3388" hidden="1" customWidth="1"/>
    <col min="23" max="23" width="16" style="3388" hidden="1" customWidth="1"/>
    <col min="24" max="24" width="15" style="3388" hidden="1" customWidth="1"/>
    <col min="25" max="25" width="12" style="3388" hidden="1" customWidth="1"/>
    <col min="26" max="27" width="0" style="3388" hidden="1" customWidth="1"/>
    <col min="28" max="28" width="9" style="3388"/>
    <col min="29" max="29" width="21.85546875" style="3388" customWidth="1"/>
    <col min="30" max="30" width="12.42578125" style="3388" customWidth="1"/>
    <col min="31" max="31" width="19.85546875" style="3388" customWidth="1"/>
    <col min="32" max="32" width="20.5703125" style="3388" bestFit="1" customWidth="1"/>
    <col min="33" max="16384" width="9" style="3388"/>
  </cols>
  <sheetData>
    <row r="1" spans="1:25" ht="6" customHeight="1"/>
    <row r="2" spans="1:25" ht="15.75">
      <c r="A2" s="869" t="str">
        <f>'Data Input'!A1&amp;" - "&amp;'Data Input'!B1</f>
        <v>PROGRAMME: - MARINA VILLAGE (PROGRAMME 1_TRIPLE BAY)</v>
      </c>
    </row>
    <row r="3" spans="1:25" ht="15.75">
      <c r="A3" s="869" t="str">
        <f>'Data Input'!A2&amp;" - "&amp;'Data Input'!B2</f>
        <v>PROGRAMME CODE: - 1TB01003</v>
      </c>
    </row>
    <row r="4" spans="1:25" ht="15.75">
      <c r="A4" s="869" t="str">
        <f>'Data Input'!A3&amp;" - "&amp;'Data Input'!B3</f>
        <v>ASSET NAME: - AMAALA YACHT CLUB</v>
      </c>
    </row>
    <row r="5" spans="1:25" ht="15.75">
      <c r="A5" s="869" t="str">
        <f>'Data Input'!A4&amp;" - "&amp;'Data Input'!B4</f>
        <v>ASSET CODE: - 1TB01003.01</v>
      </c>
    </row>
    <row r="6" spans="1:25" ht="15.75">
      <c r="A6" s="869" t="str">
        <f>'Data Input'!A7&amp;" - "&amp;'Data Input'!B7</f>
        <v>REPORT NO: - MONTHLY REPORT NO. 49</v>
      </c>
    </row>
    <row r="7" spans="1:25" ht="15.75" customHeight="1">
      <c r="A7" s="869" t="str">
        <f>'Data Input'!A8&amp;" - "&amp;'Data Input'!B8</f>
        <v>REPORTING PERIOD: - OCTOBER 2026</v>
      </c>
    </row>
    <row r="8" spans="1:25" ht="6" customHeight="1" thickBot="1"/>
    <row r="9" spans="1:25" ht="24" customHeight="1" thickBot="1">
      <c r="A9" s="3397"/>
      <c r="B9" s="3398"/>
      <c r="C9" s="3398"/>
      <c r="D9" s="3398"/>
      <c r="E9" s="5575" t="s">
        <v>2891</v>
      </c>
      <c r="F9" s="5576"/>
      <c r="G9" s="5577"/>
      <c r="H9" s="5575" t="s">
        <v>2892</v>
      </c>
      <c r="I9" s="5577"/>
      <c r="J9" s="3398"/>
      <c r="K9" s="3398"/>
      <c r="L9" s="3398"/>
      <c r="M9" s="3398"/>
      <c r="N9" s="3398"/>
      <c r="O9" s="3398"/>
      <c r="P9" s="3398"/>
      <c r="Q9" s="5575" t="s">
        <v>2893</v>
      </c>
      <c r="R9" s="5577"/>
    </row>
    <row r="10" spans="1:25" s="3383" customFormat="1" ht="86.25" customHeight="1" thickBot="1">
      <c r="A10" s="5578"/>
      <c r="B10" s="3399" t="s">
        <v>2863</v>
      </c>
      <c r="C10" s="3399" t="s">
        <v>2864</v>
      </c>
      <c r="D10" s="3400" t="s">
        <v>2865</v>
      </c>
      <c r="E10" s="3399" t="s">
        <v>2866</v>
      </c>
      <c r="F10" s="3399" t="s">
        <v>3948</v>
      </c>
      <c r="G10" s="3399" t="s">
        <v>2867</v>
      </c>
      <c r="H10" s="3399" t="s">
        <v>2868</v>
      </c>
      <c r="I10" s="3399" t="s">
        <v>2869</v>
      </c>
      <c r="J10" s="3399" t="s">
        <v>2870</v>
      </c>
      <c r="K10" s="3399" t="s">
        <v>2871</v>
      </c>
      <c r="L10" s="3400" t="s">
        <v>2872</v>
      </c>
      <c r="M10" s="3399" t="s">
        <v>2873</v>
      </c>
      <c r="N10" s="3399" t="s">
        <v>2874</v>
      </c>
      <c r="O10" s="3399" t="s">
        <v>2904</v>
      </c>
      <c r="P10" s="3400" t="s">
        <v>2875</v>
      </c>
      <c r="Q10" s="3429" t="str">
        <f>'Schedule B'!X12</f>
        <v>SEPTEMBER 2026</v>
      </c>
      <c r="R10" s="3431" t="s">
        <v>334</v>
      </c>
      <c r="S10" s="3440" t="s">
        <v>2368</v>
      </c>
      <c r="U10" s="3382" t="s">
        <v>2876</v>
      </c>
      <c r="V10" s="3381" t="s">
        <v>334</v>
      </c>
      <c r="W10" s="3381" t="s">
        <v>2877</v>
      </c>
      <c r="X10" s="3382" t="s">
        <v>2878</v>
      </c>
      <c r="Y10" s="3382" t="s">
        <v>2879</v>
      </c>
    </row>
    <row r="11" spans="1:25" ht="24" customHeight="1" thickBot="1">
      <c r="A11" s="5579"/>
      <c r="B11" s="3401" t="s">
        <v>441</v>
      </c>
      <c r="C11" s="3401" t="s">
        <v>442</v>
      </c>
      <c r="D11" s="3401" t="s">
        <v>2894</v>
      </c>
      <c r="E11" s="3401" t="s">
        <v>444</v>
      </c>
      <c r="F11" s="3401" t="s">
        <v>2895</v>
      </c>
      <c r="G11" s="3401" t="s">
        <v>2896</v>
      </c>
      <c r="H11" s="3401" t="s">
        <v>447</v>
      </c>
      <c r="I11" s="3401" t="s">
        <v>448</v>
      </c>
      <c r="J11" s="3401" t="s">
        <v>2897</v>
      </c>
      <c r="K11" s="3401" t="s">
        <v>2898</v>
      </c>
      <c r="L11" s="3401" t="s">
        <v>2899</v>
      </c>
      <c r="M11" s="3401" t="s">
        <v>2905</v>
      </c>
      <c r="N11" s="3401" t="s">
        <v>2906</v>
      </c>
      <c r="O11" s="3401" t="s">
        <v>2900</v>
      </c>
      <c r="P11" s="3401" t="s">
        <v>2901</v>
      </c>
      <c r="Q11" s="3401" t="s">
        <v>2902</v>
      </c>
      <c r="R11" s="3432" t="s">
        <v>2903</v>
      </c>
      <c r="S11" s="3441"/>
    </row>
    <row r="12" spans="1:25" s="3386" customFormat="1" ht="54" customHeight="1">
      <c r="A12" s="3402"/>
      <c r="B12" s="3403"/>
      <c r="C12" s="3403"/>
      <c r="D12" s="3430" t="s">
        <v>2880</v>
      </c>
      <c r="E12" s="3403"/>
      <c r="F12" s="3403"/>
      <c r="G12" s="3396" t="s">
        <v>2881</v>
      </c>
      <c r="H12" s="3403"/>
      <c r="I12" s="3403"/>
      <c r="J12" s="3396" t="s">
        <v>2882</v>
      </c>
      <c r="K12" s="3403"/>
      <c r="L12" s="3424"/>
      <c r="M12" s="3403"/>
      <c r="N12" s="3403"/>
      <c r="O12" s="3403"/>
      <c r="P12" s="3427"/>
      <c r="Q12" s="3403"/>
      <c r="R12" s="3433"/>
      <c r="S12" s="3395"/>
      <c r="U12" s="3385"/>
      <c r="V12" s="3384"/>
      <c r="W12" s="3384"/>
      <c r="X12" s="3385"/>
      <c r="Y12" s="3385"/>
    </row>
    <row r="13" spans="1:25" ht="30" customHeight="1">
      <c r="A13" s="3404" t="s">
        <v>2883</v>
      </c>
      <c r="B13" s="3405">
        <f t="shared" ref="B13:R13" si="0">SUM(B14:B26)</f>
        <v>28761589.23</v>
      </c>
      <c r="C13" s="3405">
        <f t="shared" si="0"/>
        <v>-6705327.7299999995</v>
      </c>
      <c r="D13" s="3405">
        <f t="shared" si="0"/>
        <v>22056261.5</v>
      </c>
      <c r="E13" s="3405">
        <f t="shared" si="0"/>
        <v>22056261.5</v>
      </c>
      <c r="F13" s="3405">
        <f t="shared" si="0"/>
        <v>3171766.919999999</v>
      </c>
      <c r="G13" s="3405">
        <f t="shared" si="0"/>
        <v>25228028.419999998</v>
      </c>
      <c r="H13" s="3405">
        <f t="shared" si="0"/>
        <v>0</v>
      </c>
      <c r="I13" s="3405">
        <f t="shared" si="0"/>
        <v>101675.08</v>
      </c>
      <c r="J13" s="3405">
        <f t="shared" si="0"/>
        <v>25329703.5</v>
      </c>
      <c r="K13" s="3405">
        <f t="shared" si="0"/>
        <v>0</v>
      </c>
      <c r="L13" s="3405">
        <f t="shared" si="0"/>
        <v>25310505.18</v>
      </c>
      <c r="M13" s="3405">
        <f t="shared" si="0"/>
        <v>82398.51999999999</v>
      </c>
      <c r="N13" s="3405">
        <f t="shared" si="0"/>
        <v>101596.84000000122</v>
      </c>
      <c r="O13" s="3405">
        <f t="shared" si="0"/>
        <v>0</v>
      </c>
      <c r="P13" s="3405">
        <f t="shared" si="0"/>
        <v>25310505.18</v>
      </c>
      <c r="Q13" s="3405">
        <f t="shared" si="0"/>
        <v>25310505.18</v>
      </c>
      <c r="R13" s="3434">
        <f t="shared" si="0"/>
        <v>0</v>
      </c>
      <c r="S13" s="3500"/>
      <c r="U13" s="3387">
        <v>118356935.08</v>
      </c>
      <c r="V13" s="3387">
        <f>L13-U13</f>
        <v>-93046429.900000006</v>
      </c>
      <c r="W13" s="3387"/>
      <c r="X13" s="3387"/>
      <c r="Y13" s="3387"/>
    </row>
    <row r="14" spans="1:25" s="3389" customFormat="1" ht="28.5" customHeight="1" outlineLevel="1">
      <c r="A14" s="3442" t="str">
        <f>'Schedule B'!C17</f>
        <v xml:space="preserve"> Dewan Architects &amp; Engineers 2200445</v>
      </c>
      <c r="B14" s="3415">
        <f>'Schedule B'!E17</f>
        <v>5973808</v>
      </c>
      <c r="C14" s="3415">
        <f>'Schedule B'!F17</f>
        <v>0</v>
      </c>
      <c r="D14" s="3408">
        <f t="shared" ref="D14:D26" si="1">SUM(B14:C14)</f>
        <v>5973808</v>
      </c>
      <c r="E14" s="3415">
        <f>'Schedule B'!H17</f>
        <v>5973808</v>
      </c>
      <c r="F14" s="3415">
        <f>'Schedule B'!I17+'Schedule B'!J17</f>
        <v>3316718.0999999996</v>
      </c>
      <c r="G14" s="3415">
        <f>SUM(E14:F14)</f>
        <v>9290526.0999999996</v>
      </c>
      <c r="H14" s="3415"/>
      <c r="I14" s="3415">
        <f>'Schedule B'!M17</f>
        <v>0</v>
      </c>
      <c r="J14" s="3415">
        <f t="shared" ref="J14:J24" si="2">SUM(G14:I14)</f>
        <v>9290526.0999999996</v>
      </c>
      <c r="K14" s="3415">
        <f>'Schedule B'!N17+'Schedule B'!O17</f>
        <v>0</v>
      </c>
      <c r="L14" s="3408">
        <f>SUM(J14:K14)</f>
        <v>9290526.0999999996</v>
      </c>
      <c r="M14" s="3415">
        <f>IF(SUM(D14-J14)&lt;0,0,SUM(D14-J14))</f>
        <v>0</v>
      </c>
      <c r="N14" s="3415">
        <f>IF(SUM(D14-L14)&lt;0,0,SUM(D14-L14))</f>
        <v>0</v>
      </c>
      <c r="O14" s="3415"/>
      <c r="P14" s="3446">
        <f>L14+O14</f>
        <v>9290526.0999999996</v>
      </c>
      <c r="Q14" s="3415">
        <f>'Schedule B'!X17</f>
        <v>9290526.0999999996</v>
      </c>
      <c r="R14" s="3437">
        <f>P14-Q14</f>
        <v>0</v>
      </c>
      <c r="S14" s="3453"/>
      <c r="U14" s="3390"/>
      <c r="V14" s="3390"/>
      <c r="W14" s="3390"/>
      <c r="X14" s="3390"/>
      <c r="Y14" s="3390"/>
    </row>
    <row r="15" spans="1:25" s="3389" customFormat="1" ht="28.5" customHeight="1" outlineLevel="1">
      <c r="A15" s="3443" t="str">
        <f>'Schedule B'!C18</f>
        <v>HKS Architects Ltd - Design Competition Fees 2200010</v>
      </c>
      <c r="B15" s="3444">
        <f>'Schedule B'!E18</f>
        <v>555960.36</v>
      </c>
      <c r="C15" s="3444">
        <f>'Schedule B'!F18</f>
        <v>0</v>
      </c>
      <c r="D15" s="3409">
        <f t="shared" si="1"/>
        <v>555960.36</v>
      </c>
      <c r="E15" s="3444">
        <f>'Schedule B'!H18</f>
        <v>555960.36</v>
      </c>
      <c r="F15" s="3444">
        <f>'Schedule B'!I18+'Schedule B'!J18</f>
        <v>0</v>
      </c>
      <c r="G15" s="3444">
        <f t="shared" ref="G15:G22" si="3">SUM(E15:F15)</f>
        <v>555960.36</v>
      </c>
      <c r="H15" s="3444"/>
      <c r="I15" s="3444">
        <f>'Schedule B'!M18</f>
        <v>0</v>
      </c>
      <c r="J15" s="3444">
        <f t="shared" si="2"/>
        <v>555960.36</v>
      </c>
      <c r="K15" s="3444">
        <f>'Schedule B'!N18+'Schedule B'!O18</f>
        <v>0</v>
      </c>
      <c r="L15" s="3409">
        <f t="shared" ref="L15:L22" si="4">SUM(J15:K15)</f>
        <v>555960.36</v>
      </c>
      <c r="M15" s="3463">
        <f>IF(SUM(D15-J15)&lt;0,0,SUM(D15-J15))</f>
        <v>0</v>
      </c>
      <c r="N15" s="3444">
        <f>IF(SUM(D15-L15)&lt;0,0,SUM(D15-L15))</f>
        <v>0</v>
      </c>
      <c r="O15" s="3444"/>
      <c r="P15" s="3447">
        <f t="shared" ref="P15:P22" si="5">L15+O15</f>
        <v>555960.36</v>
      </c>
      <c r="Q15" s="3444">
        <f>'Schedule B'!X18</f>
        <v>555960.36</v>
      </c>
      <c r="R15" s="3445">
        <f t="shared" ref="R15:R22" si="6">P15-Q15</f>
        <v>0</v>
      </c>
      <c r="S15" s="3455" t="s">
        <v>2936</v>
      </c>
      <c r="U15" s="3390"/>
      <c r="V15" s="3390"/>
      <c r="W15" s="3390"/>
      <c r="X15" s="3390"/>
      <c r="Y15" s="3390"/>
    </row>
    <row r="16" spans="1:25" s="3389" customFormat="1" ht="28.5" customHeight="1" outlineLevel="1">
      <c r="A16" s="3443" t="str">
        <f>'Schedule B'!C19</f>
        <v>HKS Architects Ltd - Design Architect Fees 2200375</v>
      </c>
      <c r="B16" s="3444">
        <f>'Schedule B'!E19</f>
        <v>10891204</v>
      </c>
      <c r="C16" s="3444">
        <f>'Schedule B'!F19</f>
        <v>0</v>
      </c>
      <c r="D16" s="3409">
        <f t="shared" si="1"/>
        <v>10891204</v>
      </c>
      <c r="E16" s="3444">
        <f>'Schedule B'!H19</f>
        <v>10891204</v>
      </c>
      <c r="F16" s="3444">
        <f>'Schedule B'!I19+'Schedule B'!J19</f>
        <v>-89775</v>
      </c>
      <c r="G16" s="3444">
        <f t="shared" si="3"/>
        <v>10801429</v>
      </c>
      <c r="H16" s="3444"/>
      <c r="I16" s="3444">
        <f>'Schedule B'!M19</f>
        <v>0</v>
      </c>
      <c r="J16" s="3444">
        <f t="shared" si="2"/>
        <v>10801429</v>
      </c>
      <c r="K16" s="3444">
        <f>'Schedule B'!N19+'Schedule B'!O19</f>
        <v>0</v>
      </c>
      <c r="L16" s="3409">
        <f t="shared" si="4"/>
        <v>10801429</v>
      </c>
      <c r="M16" s="3463">
        <f>IF(SUM(D16-J16)&lt;0,0,SUM(D16-J16))*0</f>
        <v>0</v>
      </c>
      <c r="N16" s="3444">
        <f>IF(SUM(D16-L16)&lt;0,0,SUM(D16-L16))*0</f>
        <v>0</v>
      </c>
      <c r="O16" s="3444"/>
      <c r="P16" s="3447">
        <f t="shared" si="5"/>
        <v>10801429</v>
      </c>
      <c r="Q16" s="3444">
        <f>'Schedule B'!X19</f>
        <v>10801429</v>
      </c>
      <c r="R16" s="3445">
        <f t="shared" si="6"/>
        <v>0</v>
      </c>
      <c r="S16" s="3455" t="s">
        <v>2936</v>
      </c>
      <c r="U16" s="3390"/>
      <c r="V16" s="3390"/>
      <c r="W16" s="3390"/>
      <c r="X16" s="3390"/>
      <c r="Y16" s="3390"/>
    </row>
    <row r="17" spans="1:29" s="3389" customFormat="1" ht="28.5" customHeight="1" outlineLevel="1">
      <c r="A17" s="3443" t="str">
        <f>'Schedule B'!C20</f>
        <v>Applied Technology and Management Inc (Dubai BR)s  2210167</v>
      </c>
      <c r="B17" s="3444">
        <f>'Schedule B'!E20</f>
        <v>93750</v>
      </c>
      <c r="C17" s="3444">
        <f>'Schedule B'!F20</f>
        <v>0</v>
      </c>
      <c r="D17" s="3409">
        <f t="shared" si="1"/>
        <v>93750</v>
      </c>
      <c r="E17" s="3444">
        <f>'Schedule B'!H20</f>
        <v>93750</v>
      </c>
      <c r="F17" s="3444">
        <f>'Schedule B'!I20+'Schedule B'!J20</f>
        <v>0</v>
      </c>
      <c r="G17" s="3444">
        <f t="shared" si="3"/>
        <v>93750</v>
      </c>
      <c r="H17" s="3444"/>
      <c r="I17" s="3444">
        <f>'Schedule B'!M20</f>
        <v>0</v>
      </c>
      <c r="J17" s="3444">
        <f t="shared" si="2"/>
        <v>93750</v>
      </c>
      <c r="K17" s="3444">
        <f>'Schedule B'!N20+'Schedule B'!O20</f>
        <v>0</v>
      </c>
      <c r="L17" s="3409">
        <f t="shared" si="4"/>
        <v>93750</v>
      </c>
      <c r="M17" s="3463">
        <f t="shared" ref="M17:M24" si="7">IF(SUM(D17-J17)&lt;0,0,SUM(D17-J17))</f>
        <v>0</v>
      </c>
      <c r="N17" s="3444">
        <f t="shared" ref="N17:N24" si="8">IF(SUM(D17-L17)&lt;0,0,SUM(D17-L17))</f>
        <v>0</v>
      </c>
      <c r="O17" s="3444"/>
      <c r="P17" s="3447">
        <f t="shared" si="5"/>
        <v>93750</v>
      </c>
      <c r="Q17" s="3444">
        <f>'Schedule B'!X20</f>
        <v>93750</v>
      </c>
      <c r="R17" s="3445">
        <f t="shared" si="6"/>
        <v>0</v>
      </c>
      <c r="S17" s="3455" t="s">
        <v>2936</v>
      </c>
      <c r="U17" s="3390"/>
      <c r="V17" s="3390"/>
      <c r="W17" s="3390"/>
      <c r="X17" s="3390"/>
      <c r="Y17" s="3390"/>
    </row>
    <row r="18" spans="1:29" s="3389" customFormat="1" ht="21" customHeight="1" outlineLevel="1">
      <c r="A18" s="3443" t="str">
        <f>'Schedule B'!C21</f>
        <v>Langan International UK Limited 2230042</v>
      </c>
      <c r="B18" s="3444">
        <f>'Schedule B'!E21</f>
        <v>0</v>
      </c>
      <c r="C18" s="3444">
        <f>'Schedule B'!F21</f>
        <v>172368.41999999998</v>
      </c>
      <c r="D18" s="3409">
        <f t="shared" si="1"/>
        <v>172368.41999999998</v>
      </c>
      <c r="E18" s="3444">
        <f>'Schedule B'!H21</f>
        <v>172368.41999999998</v>
      </c>
      <c r="F18" s="3444">
        <f>'Schedule B'!I21+'Schedule B'!J21</f>
        <v>-1898.52</v>
      </c>
      <c r="G18" s="3444">
        <f t="shared" si="3"/>
        <v>170469.9</v>
      </c>
      <c r="H18" s="3444"/>
      <c r="I18" s="3444">
        <f>'Schedule B'!M21</f>
        <v>0</v>
      </c>
      <c r="J18" s="3444">
        <f t="shared" si="2"/>
        <v>170469.9</v>
      </c>
      <c r="K18" s="3444">
        <f>'Schedule B'!N21+'Schedule B'!O21</f>
        <v>0</v>
      </c>
      <c r="L18" s="3409">
        <f t="shared" si="4"/>
        <v>170469.9</v>
      </c>
      <c r="M18" s="3463">
        <f t="shared" si="7"/>
        <v>1898.5199999999895</v>
      </c>
      <c r="N18" s="3444">
        <f t="shared" si="8"/>
        <v>1898.5199999999895</v>
      </c>
      <c r="O18" s="3444"/>
      <c r="P18" s="3447">
        <f>L18+O18</f>
        <v>170469.9</v>
      </c>
      <c r="Q18" s="3444">
        <f>'Schedule B'!X21</f>
        <v>170469.9</v>
      </c>
      <c r="R18" s="3445">
        <f t="shared" si="6"/>
        <v>0</v>
      </c>
      <c r="S18" s="3455" t="s">
        <v>2936</v>
      </c>
      <c r="U18" s="3390"/>
      <c r="V18" s="3390"/>
      <c r="W18" s="3390"/>
      <c r="X18" s="3390"/>
      <c r="Y18" s="3390"/>
    </row>
    <row r="19" spans="1:29" s="3389" customFormat="1" ht="21" customHeight="1" outlineLevel="1">
      <c r="A19" s="3443" t="str">
        <f>'Schedule B'!C22</f>
        <v>Zuhair Fayez and Partners 2230041</v>
      </c>
      <c r="B19" s="3444">
        <f>'Schedule B'!E22</f>
        <v>0</v>
      </c>
      <c r="C19" s="3444">
        <f>'Schedule B'!F22</f>
        <v>106231.5</v>
      </c>
      <c r="D19" s="3409">
        <f t="shared" si="1"/>
        <v>106231.5</v>
      </c>
      <c r="E19" s="3444">
        <f>'Schedule B'!H22</f>
        <v>106231.5</v>
      </c>
      <c r="F19" s="3444">
        <f>'Schedule B'!I22+'Schedule B'!J22</f>
        <v>0</v>
      </c>
      <c r="G19" s="3444">
        <f t="shared" si="3"/>
        <v>106231.5</v>
      </c>
      <c r="H19" s="3444"/>
      <c r="I19" s="3444">
        <f>'Schedule B'!M22</f>
        <v>0</v>
      </c>
      <c r="J19" s="3444">
        <f t="shared" si="2"/>
        <v>106231.5</v>
      </c>
      <c r="K19" s="3444">
        <f>'Schedule B'!N22+'Schedule B'!O22</f>
        <v>0</v>
      </c>
      <c r="L19" s="3409">
        <f t="shared" si="4"/>
        <v>106231.5</v>
      </c>
      <c r="M19" s="3463">
        <f t="shared" si="7"/>
        <v>0</v>
      </c>
      <c r="N19" s="3444">
        <f t="shared" si="8"/>
        <v>0</v>
      </c>
      <c r="O19" s="3444"/>
      <c r="P19" s="3447">
        <f t="shared" si="5"/>
        <v>106231.5</v>
      </c>
      <c r="Q19" s="3444">
        <f>'Schedule B'!X22</f>
        <v>106231.5</v>
      </c>
      <c r="R19" s="3445">
        <f t="shared" si="6"/>
        <v>0</v>
      </c>
      <c r="S19" s="3455" t="s">
        <v>2936</v>
      </c>
      <c r="U19" s="3390"/>
      <c r="V19" s="3390"/>
      <c r="W19" s="3390"/>
      <c r="X19" s="3390"/>
      <c r="Y19" s="3390"/>
    </row>
    <row r="20" spans="1:29" s="3389" customFormat="1" ht="21" customHeight="1" outlineLevel="1">
      <c r="A20" s="3443" t="str">
        <f>'Schedule B'!C23</f>
        <v>Ministry of Municipality and Rural Affairs (Tabuk)</v>
      </c>
      <c r="B20" s="3444">
        <f>'Schedule B'!E23</f>
        <v>0</v>
      </c>
      <c r="C20" s="3444">
        <f>'Schedule B'!F23</f>
        <v>45677.599999999999</v>
      </c>
      <c r="D20" s="3409">
        <f t="shared" si="1"/>
        <v>45677.599999999999</v>
      </c>
      <c r="E20" s="3444">
        <f>'Schedule B'!H23</f>
        <v>45677.599999999999</v>
      </c>
      <c r="F20" s="3444">
        <f>'Schedule B'!I23+'Schedule B'!J23</f>
        <v>0</v>
      </c>
      <c r="G20" s="3444">
        <f t="shared" si="3"/>
        <v>45677.599999999999</v>
      </c>
      <c r="H20" s="3444"/>
      <c r="I20" s="3444">
        <f>'Schedule B'!M23</f>
        <v>0</v>
      </c>
      <c r="J20" s="3444">
        <f t="shared" si="2"/>
        <v>45677.599999999999</v>
      </c>
      <c r="K20" s="3444">
        <f>'Schedule B'!N23+'Schedule B'!O23</f>
        <v>0</v>
      </c>
      <c r="L20" s="3409">
        <f t="shared" si="4"/>
        <v>45677.599999999999</v>
      </c>
      <c r="M20" s="3463">
        <f t="shared" si="7"/>
        <v>0</v>
      </c>
      <c r="N20" s="3444">
        <f t="shared" si="8"/>
        <v>0</v>
      </c>
      <c r="O20" s="3444"/>
      <c r="P20" s="3447">
        <f t="shared" si="5"/>
        <v>45677.599999999999</v>
      </c>
      <c r="Q20" s="3444">
        <f>'Schedule B'!X23</f>
        <v>45677.599999999999</v>
      </c>
      <c r="R20" s="3445">
        <f t="shared" si="6"/>
        <v>0</v>
      </c>
      <c r="S20" s="3455" t="s">
        <v>2935</v>
      </c>
      <c r="U20" s="3390"/>
      <c r="V20" s="3390"/>
      <c r="W20" s="3390"/>
      <c r="X20" s="3390"/>
      <c r="Y20" s="3390"/>
    </row>
    <row r="21" spans="1:29" s="3389" customFormat="1" ht="21" customHeight="1" outlineLevel="1">
      <c r="A21" s="3443" t="str">
        <f>'Schedule B'!C24</f>
        <v>Jensen Hughes Saudi Arabia Co 2230180</v>
      </c>
      <c r="B21" s="3444">
        <f>'Schedule B'!E24</f>
        <v>0</v>
      </c>
      <c r="C21" s="3444">
        <f>'Schedule B'!F24</f>
        <v>127291.9</v>
      </c>
      <c r="D21" s="3409">
        <f t="shared" si="1"/>
        <v>127291.9</v>
      </c>
      <c r="E21" s="3444">
        <f>'Schedule B'!H24</f>
        <v>127291.9</v>
      </c>
      <c r="F21" s="3444">
        <f>'Schedule B'!I24+'Schedule B'!J24</f>
        <v>-56700</v>
      </c>
      <c r="G21" s="3444">
        <f t="shared" si="3"/>
        <v>70591.899999999994</v>
      </c>
      <c r="H21" s="3444"/>
      <c r="I21" s="3444">
        <f>'Schedule B'!M24</f>
        <v>0</v>
      </c>
      <c r="J21" s="3444">
        <f t="shared" si="2"/>
        <v>70591.899999999994</v>
      </c>
      <c r="K21" s="3444">
        <f>'Schedule B'!N24+'Schedule B'!O24</f>
        <v>0</v>
      </c>
      <c r="L21" s="3409">
        <f t="shared" si="4"/>
        <v>70591.899999999994</v>
      </c>
      <c r="M21" s="3463">
        <f t="shared" si="7"/>
        <v>56700</v>
      </c>
      <c r="N21" s="3444">
        <f t="shared" si="8"/>
        <v>56700</v>
      </c>
      <c r="O21" s="3444"/>
      <c r="P21" s="3447">
        <f t="shared" si="5"/>
        <v>70591.899999999994</v>
      </c>
      <c r="Q21" s="3444">
        <f>'Schedule B'!X24</f>
        <v>70591.899999999994</v>
      </c>
      <c r="R21" s="3445">
        <f t="shared" si="6"/>
        <v>0</v>
      </c>
      <c r="S21" s="3455"/>
      <c r="U21" s="3390"/>
      <c r="V21" s="3390"/>
      <c r="W21" s="3390"/>
      <c r="X21" s="3390"/>
      <c r="Y21" s="3390"/>
    </row>
    <row r="22" spans="1:29" s="3389" customFormat="1" ht="21" customHeight="1" outlineLevel="1">
      <c r="A22" s="3443" t="str">
        <f>'Schedule B'!C25</f>
        <v>Jensen Hughes Saudi Arabia Co 2250184</v>
      </c>
      <c r="B22" s="3444">
        <f>'Schedule B'!E25</f>
        <v>0</v>
      </c>
      <c r="C22" s="3444">
        <f>'Schedule B'!F25</f>
        <v>38103.199999999997</v>
      </c>
      <c r="D22" s="3409">
        <f t="shared" si="1"/>
        <v>38103.199999999997</v>
      </c>
      <c r="E22" s="3444">
        <f>'Schedule B'!H25</f>
        <v>38103.199999999997</v>
      </c>
      <c r="F22" s="3444">
        <f>'Schedule B'!I25+'Schedule B'!J25</f>
        <v>-23800</v>
      </c>
      <c r="G22" s="3444">
        <f t="shared" si="3"/>
        <v>14303.199999999997</v>
      </c>
      <c r="H22" s="3444"/>
      <c r="I22" s="3444"/>
      <c r="J22" s="3444">
        <f t="shared" si="2"/>
        <v>14303.199999999997</v>
      </c>
      <c r="K22" s="3444">
        <f>'Schedule B'!N25+'Schedule B'!O25</f>
        <v>0</v>
      </c>
      <c r="L22" s="3409">
        <f t="shared" si="4"/>
        <v>14303.199999999997</v>
      </c>
      <c r="M22" s="3463">
        <f t="shared" si="7"/>
        <v>23800</v>
      </c>
      <c r="N22" s="3444">
        <f t="shared" si="8"/>
        <v>23800</v>
      </c>
      <c r="O22" s="3444"/>
      <c r="P22" s="3447">
        <f t="shared" si="5"/>
        <v>14303.199999999997</v>
      </c>
      <c r="Q22" s="3444">
        <f>'Schedule B'!X25</f>
        <v>14303.199999999997</v>
      </c>
      <c r="R22" s="3445">
        <f t="shared" si="6"/>
        <v>0</v>
      </c>
      <c r="S22" s="3455"/>
      <c r="U22" s="3390"/>
      <c r="V22" s="3390"/>
      <c r="W22" s="3390"/>
      <c r="X22" s="3390"/>
      <c r="Y22" s="3390"/>
    </row>
    <row r="23" spans="1:29" s="3389" customFormat="1" ht="21" customHeight="1" outlineLevel="1">
      <c r="A23" s="3443" t="str">
        <f>'Schedule B'!C26</f>
        <v>CML (Independent Commissioning Agent) COO 7</v>
      </c>
      <c r="B23" s="3444">
        <f>'Schedule B'!E26</f>
        <v>0</v>
      </c>
      <c r="C23" s="3444">
        <f>'Schedule B'!F26</f>
        <v>2406500</v>
      </c>
      <c r="D23" s="3409">
        <f>SUM(B23:C23)</f>
        <v>2406500</v>
      </c>
      <c r="E23" s="3444">
        <f>'Schedule B'!H26</f>
        <v>2406500</v>
      </c>
      <c r="F23" s="3444">
        <f>'Schedule B'!I26+'Schedule B'!J26</f>
        <v>1520390.54</v>
      </c>
      <c r="G23" s="3444">
        <f>SUM(E23:F23)</f>
        <v>3926890.54</v>
      </c>
      <c r="H23" s="3444"/>
      <c r="I23" s="3444">
        <f>'Schedule B'!M26</f>
        <v>101675.08</v>
      </c>
      <c r="J23" s="3444">
        <f t="shared" si="2"/>
        <v>4028565.62</v>
      </c>
      <c r="K23" s="3444">
        <f>'Schedule B'!N26+'Schedule B'!O26</f>
        <v>0</v>
      </c>
      <c r="L23" s="3409">
        <f>SUM(J23:K23)</f>
        <v>4028565.62</v>
      </c>
      <c r="M23" s="3463">
        <f t="shared" si="7"/>
        <v>0</v>
      </c>
      <c r="N23" s="3444">
        <f t="shared" si="8"/>
        <v>0</v>
      </c>
      <c r="O23" s="3444"/>
      <c r="P23" s="3447">
        <f>L23+O23</f>
        <v>4028565.62</v>
      </c>
      <c r="Q23" s="3444">
        <f>'Schedule B'!X26</f>
        <v>4028565.62</v>
      </c>
      <c r="R23" s="3445">
        <f>P23-Q23</f>
        <v>0</v>
      </c>
      <c r="S23" s="3455"/>
      <c r="U23" s="3390"/>
      <c r="V23" s="3390"/>
      <c r="W23" s="3390"/>
      <c r="X23" s="3390"/>
      <c r="Y23" s="3390"/>
    </row>
    <row r="24" spans="1:29" s="3389" customFormat="1" ht="21" customHeight="1" outlineLevel="1">
      <c r="A24" s="3443" t="str">
        <f>'Schedule B'!C27</f>
        <v>GST - Sustainability Accreditation Services</v>
      </c>
      <c r="B24" s="3444">
        <f>'Schedule B'!E27</f>
        <v>0</v>
      </c>
      <c r="C24" s="3444">
        <f>'Schedule B'!F27</f>
        <v>133000</v>
      </c>
      <c r="D24" s="3409">
        <f>SUM(B24:C24)</f>
        <v>133000</v>
      </c>
      <c r="E24" s="3444">
        <f>'Schedule B'!H27</f>
        <v>133000</v>
      </c>
      <c r="F24" s="3444">
        <f>'Schedule B'!I27+'Schedule B'!J27</f>
        <v>0</v>
      </c>
      <c r="G24" s="3444">
        <f>SUM(E24:F24)</f>
        <v>133000</v>
      </c>
      <c r="H24" s="3444"/>
      <c r="I24" s="3444">
        <f>'Schedule B'!M27</f>
        <v>0</v>
      </c>
      <c r="J24" s="3444">
        <f t="shared" si="2"/>
        <v>133000</v>
      </c>
      <c r="K24" s="3444">
        <f>'Schedule B'!N27+'Schedule B'!O27</f>
        <v>0</v>
      </c>
      <c r="L24" s="3409">
        <f>SUM(J24:K24)</f>
        <v>133000</v>
      </c>
      <c r="M24" s="3463">
        <f t="shared" si="7"/>
        <v>0</v>
      </c>
      <c r="N24" s="3444">
        <f t="shared" si="8"/>
        <v>0</v>
      </c>
      <c r="O24" s="3444"/>
      <c r="P24" s="3447">
        <f>L24+O24</f>
        <v>133000</v>
      </c>
      <c r="Q24" s="3444">
        <f>'Schedule B'!X27</f>
        <v>133000</v>
      </c>
      <c r="R24" s="3445">
        <f>P24-Q24</f>
        <v>0</v>
      </c>
      <c r="S24" s="3455"/>
      <c r="U24" s="3390"/>
      <c r="V24" s="3390"/>
      <c r="W24" s="3390"/>
      <c r="X24" s="3390"/>
      <c r="Y24" s="3390"/>
    </row>
    <row r="25" spans="1:29" s="3389" customFormat="1" ht="7.5" customHeight="1" outlineLevel="1">
      <c r="A25" s="3443"/>
      <c r="B25" s="3444"/>
      <c r="C25" s="3444"/>
      <c r="D25" s="3409"/>
      <c r="E25" s="3444"/>
      <c r="F25" s="3444"/>
      <c r="G25" s="3444"/>
      <c r="H25" s="3444"/>
      <c r="I25" s="3444"/>
      <c r="J25" s="3444"/>
      <c r="K25" s="3444"/>
      <c r="L25" s="3409"/>
      <c r="M25" s="3463"/>
      <c r="N25" s="3444"/>
      <c r="O25" s="3444"/>
      <c r="P25" s="3447"/>
      <c r="Q25" s="3444"/>
      <c r="R25" s="3445"/>
      <c r="S25" s="3455"/>
      <c r="U25" s="3390"/>
      <c r="V25" s="3390"/>
      <c r="W25" s="3390"/>
      <c r="X25" s="3390"/>
      <c r="Y25" s="3390"/>
    </row>
    <row r="26" spans="1:29" s="3389" customFormat="1" ht="21" customHeight="1" outlineLevel="1">
      <c r="A26" s="3443" t="str">
        <f>'Schedule B'!C245</f>
        <v>Remaining budget - Professional Fees</v>
      </c>
      <c r="B26" s="3444">
        <f>'Schedule B'!E245</f>
        <v>11246866.870000001</v>
      </c>
      <c r="C26" s="3444">
        <f>'Schedule B'!F245</f>
        <v>-9734500.3499999996</v>
      </c>
      <c r="D26" s="3409">
        <f t="shared" si="1"/>
        <v>1512366.5200000014</v>
      </c>
      <c r="E26" s="3444">
        <f>'Schedule B'!H245</f>
        <v>1512366.5200000014</v>
      </c>
      <c r="F26" s="3444">
        <f>'Schedule B'!I245+'Schedule B'!J245</f>
        <v>-1493168.2000000002</v>
      </c>
      <c r="G26" s="3444">
        <f>SUM(E26:F26)</f>
        <v>19198.320000001229</v>
      </c>
      <c r="H26" s="4095">
        <f>'Schedule B'!K245*0</f>
        <v>0</v>
      </c>
      <c r="I26" s="3444">
        <f>'Schedule B'!M245</f>
        <v>0</v>
      </c>
      <c r="J26" s="3444">
        <f>SUM(G26:I26)</f>
        <v>19198.320000001229</v>
      </c>
      <c r="K26" s="3444">
        <f>'Schedule B'!N245+'Schedule B'!O245</f>
        <v>0</v>
      </c>
      <c r="L26" s="4098">
        <f>IF(SUM(J26:K26)&lt;0,0,SUM(J26:K26))*0</f>
        <v>0</v>
      </c>
      <c r="M26" s="3444">
        <f>IF(SUM(H26+I26)&lt;0,0,SUM(H26+I26))</f>
        <v>0</v>
      </c>
      <c r="N26" s="3444">
        <f>IF(SUM(J26+K26)&lt;0,0,SUM(J26+K26))</f>
        <v>19198.320000001229</v>
      </c>
      <c r="O26" s="3444"/>
      <c r="P26" s="3447">
        <f>L26+O26</f>
        <v>0</v>
      </c>
      <c r="Q26" s="3444">
        <f>'Schedule B'!X245*0</f>
        <v>0</v>
      </c>
      <c r="R26" s="3445">
        <f>P26-Q26</f>
        <v>0</v>
      </c>
      <c r="S26" s="3501"/>
      <c r="U26" s="3390"/>
      <c r="V26" s="3390"/>
      <c r="W26" s="3390"/>
      <c r="X26" s="3390"/>
      <c r="Y26" s="3390"/>
      <c r="AC26" s="3389">
        <f>IF(SUM(J26:K26)&lt;0,0,SUM(J26:K26))</f>
        <v>19198.320000001229</v>
      </c>
    </row>
    <row r="27" spans="1:29" ht="30" customHeight="1">
      <c r="A27" s="3404" t="s">
        <v>2508</v>
      </c>
      <c r="B27" s="3405">
        <f t="shared" ref="B27:R27" si="9">SUM(B28:B32)</f>
        <v>17975993.27</v>
      </c>
      <c r="C27" s="3405">
        <f t="shared" si="9"/>
        <v>-4937063.2699999977</v>
      </c>
      <c r="D27" s="3405">
        <f t="shared" si="9"/>
        <v>13038930.000000002</v>
      </c>
      <c r="E27" s="3405">
        <f t="shared" si="9"/>
        <v>13038930.000000002</v>
      </c>
      <c r="F27" s="3405">
        <f t="shared" si="9"/>
        <v>1329161.3799999999</v>
      </c>
      <c r="G27" s="3405">
        <f t="shared" si="9"/>
        <v>14368091.380000003</v>
      </c>
      <c r="H27" s="3405">
        <f t="shared" si="9"/>
        <v>0</v>
      </c>
      <c r="I27" s="3405">
        <f t="shared" si="9"/>
        <v>-53507</v>
      </c>
      <c r="J27" s="3405">
        <f t="shared" si="9"/>
        <v>14314584.380000003</v>
      </c>
      <c r="K27" s="3405">
        <f t="shared" si="9"/>
        <v>0</v>
      </c>
      <c r="L27" s="3405">
        <f t="shared" si="9"/>
        <v>14265377.380000001</v>
      </c>
      <c r="M27" s="3405">
        <f t="shared" si="9"/>
        <v>53507</v>
      </c>
      <c r="N27" s="3405">
        <f t="shared" si="9"/>
        <v>102714.00000000105</v>
      </c>
      <c r="O27" s="3405">
        <f t="shared" si="9"/>
        <v>0</v>
      </c>
      <c r="P27" s="3405">
        <f t="shared" si="9"/>
        <v>14265377.380000001</v>
      </c>
      <c r="Q27" s="3405">
        <f t="shared" si="9"/>
        <v>14265377.380000001</v>
      </c>
      <c r="R27" s="3405">
        <f t="shared" si="9"/>
        <v>0</v>
      </c>
      <c r="S27" s="3500"/>
      <c r="U27" s="3387"/>
      <c r="V27" s="3387"/>
      <c r="W27" s="3387"/>
      <c r="X27" s="3387"/>
      <c r="Y27" s="3387"/>
    </row>
    <row r="28" spans="1:29" s="3389" customFormat="1" ht="21" customHeight="1" outlineLevel="1">
      <c r="A28" s="3452" t="str">
        <f>'Schedule B'!C33</f>
        <v>Khatib &amp; Alami 2230031</v>
      </c>
      <c r="B28" s="3450">
        <f>'Schedule B'!E33</f>
        <v>0</v>
      </c>
      <c r="C28" s="3450">
        <f>'Schedule B'!F33</f>
        <v>13059930</v>
      </c>
      <c r="D28" s="3408">
        <f>SUM(B28:C28)</f>
        <v>13059930</v>
      </c>
      <c r="E28" s="3450">
        <f>'Schedule B'!H33</f>
        <v>13059930</v>
      </c>
      <c r="F28" s="3450">
        <f>'Schedule B'!I33+'Schedule B'!J33</f>
        <v>1071977</v>
      </c>
      <c r="G28" s="3450">
        <f>SUM(E28:F28)</f>
        <v>14131907</v>
      </c>
      <c r="H28" s="3450"/>
      <c r="I28" s="3450">
        <f>'Schedule B'!M33</f>
        <v>0</v>
      </c>
      <c r="J28" s="3450">
        <f>SUM(G28:I28)</f>
        <v>14131907</v>
      </c>
      <c r="K28" s="3450">
        <f>'Schedule B'!N33+'Schedule B'!O33</f>
        <v>-49207</v>
      </c>
      <c r="L28" s="3408">
        <f>SUM(J28:K28)</f>
        <v>14082700</v>
      </c>
      <c r="M28" s="3450">
        <f>IF(SUM(D28-J28)&lt;0,0,SUM(D28-J28))*0</f>
        <v>0</v>
      </c>
      <c r="N28" s="3450">
        <f>IF(SUM(D28-L28)&lt;0,0,SUM(D28-L28))*0</f>
        <v>0</v>
      </c>
      <c r="O28" s="3450"/>
      <c r="P28" s="3446">
        <f>L28+O28</f>
        <v>14082700</v>
      </c>
      <c r="Q28" s="3450">
        <f>'Schedule B'!X33</f>
        <v>14082700</v>
      </c>
      <c r="R28" s="3451">
        <f>P28-Q28</f>
        <v>0</v>
      </c>
      <c r="S28" s="3453"/>
      <c r="U28" s="3390"/>
      <c r="V28" s="3390"/>
      <c r="W28" s="3390"/>
      <c r="X28" s="3390"/>
      <c r="Y28" s="3390"/>
    </row>
    <row r="29" spans="1:29" s="3389" customFormat="1" ht="21" customHeight="1" outlineLevel="1">
      <c r="A29" s="3454" t="str">
        <f>'Schedule B'!C34</f>
        <v>Euro Consult (COO 6)</v>
      </c>
      <c r="B29" s="3411">
        <f>'Schedule B'!E34</f>
        <v>0</v>
      </c>
      <c r="C29" s="3411">
        <f>'Schedule B'!F34</f>
        <v>182184.38</v>
      </c>
      <c r="D29" s="3409">
        <f>SUM(B29:C29)</f>
        <v>182184.38</v>
      </c>
      <c r="E29" s="3411">
        <f>'Schedule B'!H34</f>
        <v>182184.38</v>
      </c>
      <c r="F29" s="3411">
        <f>'Schedule B'!I34+'Schedule B'!J34</f>
        <v>0</v>
      </c>
      <c r="G29" s="3411">
        <f>SUM(E29:F29)</f>
        <v>182184.38</v>
      </c>
      <c r="H29" s="3411"/>
      <c r="I29" s="3411">
        <f>'Schedule B'!M34</f>
        <v>-53507</v>
      </c>
      <c r="J29" s="3411">
        <f>SUM(G29:I29)</f>
        <v>128677.38</v>
      </c>
      <c r="K29" s="3411">
        <f>'Schedule B'!N34+'Schedule B'!O34</f>
        <v>0</v>
      </c>
      <c r="L29" s="3409">
        <f>SUM(J29:K29)</f>
        <v>128677.38</v>
      </c>
      <c r="M29" s="3411">
        <f>IF(SUM(D29-J29)&lt;0,0,SUM(D29-J29))</f>
        <v>53507</v>
      </c>
      <c r="N29" s="3411">
        <f>IF(SUM(D29-L29)&lt;0,0,SUM(D29-L29))</f>
        <v>53507</v>
      </c>
      <c r="O29" s="3411"/>
      <c r="P29" s="3447">
        <f>L29+O29</f>
        <v>128677.38</v>
      </c>
      <c r="Q29" s="3411">
        <f>'Schedule B'!X34</f>
        <v>128677.38</v>
      </c>
      <c r="R29" s="3435">
        <f>P29-Q29</f>
        <v>0</v>
      </c>
      <c r="S29" s="3455"/>
      <c r="U29" s="3390"/>
      <c r="V29" s="3390"/>
      <c r="W29" s="3390"/>
      <c r="X29" s="3390"/>
      <c r="Y29" s="3390"/>
    </row>
    <row r="30" spans="1:29" s="3389" customFormat="1" ht="21" customHeight="1" outlineLevel="1">
      <c r="A30" s="3454" t="str">
        <f>'Schedule B'!C35</f>
        <v>Euro Consult (COO 27)</v>
      </c>
      <c r="B30" s="3411">
        <f>'Schedule B'!E35</f>
        <v>0</v>
      </c>
      <c r="C30" s="3411">
        <f>'Schedule B'!F35</f>
        <v>54000</v>
      </c>
      <c r="D30" s="3409">
        <f>SUM(B30:C30)</f>
        <v>54000</v>
      </c>
      <c r="E30" s="3411">
        <f>'Schedule B'!H35</f>
        <v>54000</v>
      </c>
      <c r="F30" s="3411">
        <f>'Schedule B'!I35+'Schedule B'!J35</f>
        <v>0</v>
      </c>
      <c r="G30" s="3411">
        <f>SUM(E30:F30)</f>
        <v>54000</v>
      </c>
      <c r="H30" s="3411"/>
      <c r="I30" s="3411">
        <f>'Schedule B'!M35</f>
        <v>0</v>
      </c>
      <c r="J30" s="3411">
        <f>SUM(G30:I30)</f>
        <v>54000</v>
      </c>
      <c r="K30" s="3411"/>
      <c r="L30" s="3409">
        <f>SUM(J30:K30)</f>
        <v>54000</v>
      </c>
      <c r="M30" s="3411">
        <f>IF(SUM(D30-J30)&lt;0,0,SUM(D30-J30))</f>
        <v>0</v>
      </c>
      <c r="N30" s="3411">
        <f>IF(SUM(D30-L30)&lt;0,0,SUM(D30-L30))</f>
        <v>0</v>
      </c>
      <c r="O30" s="3411"/>
      <c r="P30" s="3447">
        <f>L30+O30</f>
        <v>54000</v>
      </c>
      <c r="Q30" s="3411">
        <f>'Schedule B'!X35</f>
        <v>54000</v>
      </c>
      <c r="R30" s="3435">
        <f>P30-Q30</f>
        <v>0</v>
      </c>
      <c r="S30" s="3455"/>
      <c r="U30" s="3390"/>
      <c r="V30" s="3390"/>
      <c r="W30" s="3390"/>
      <c r="X30" s="3390"/>
      <c r="Y30" s="3390"/>
    </row>
    <row r="31" spans="1:29" s="3389" customFormat="1" ht="9.75" customHeight="1" outlineLevel="1">
      <c r="A31" s="3454"/>
      <c r="B31" s="3411"/>
      <c r="C31" s="3411"/>
      <c r="D31" s="3409"/>
      <c r="E31" s="3411"/>
      <c r="F31" s="3411"/>
      <c r="G31" s="3411"/>
      <c r="H31" s="3411"/>
      <c r="I31" s="3411"/>
      <c r="J31" s="3411"/>
      <c r="K31" s="3411"/>
      <c r="L31" s="3447"/>
      <c r="M31" s="3411"/>
      <c r="N31" s="3411"/>
      <c r="O31" s="3411"/>
      <c r="P31" s="3447"/>
      <c r="Q31" s="3411"/>
      <c r="R31" s="3435"/>
      <c r="S31" s="3455"/>
      <c r="U31" s="3390"/>
      <c r="V31" s="3390"/>
      <c r="W31" s="3390"/>
      <c r="X31" s="3390"/>
      <c r="Y31" s="3390"/>
    </row>
    <row r="32" spans="1:29" s="3389" customFormat="1" ht="21" customHeight="1" outlineLevel="1">
      <c r="A32" s="3456" t="str">
        <f>'Schedule B'!C250</f>
        <v>Remaining budget - Management Supervision</v>
      </c>
      <c r="B32" s="3413">
        <f>'Schedule B'!E250</f>
        <v>17975993.27</v>
      </c>
      <c r="C32" s="3413">
        <f>'Schedule B'!F250</f>
        <v>-18233177.649999999</v>
      </c>
      <c r="D32" s="3457">
        <f>SUM(B32:C32)</f>
        <v>-257184.37999999896</v>
      </c>
      <c r="E32" s="3413">
        <f>'Schedule B'!H250</f>
        <v>-257184.37999999896</v>
      </c>
      <c r="F32" s="3413">
        <f>'Schedule B'!I250+'Schedule B'!J250</f>
        <v>257184.38</v>
      </c>
      <c r="G32" s="3463">
        <f>SUM(E32:F32)</f>
        <v>1.0477378964424133E-9</v>
      </c>
      <c r="H32" s="4096">
        <f>'Schedule B'!K250*0</f>
        <v>0</v>
      </c>
      <c r="I32" s="3413">
        <f>'Schedule B'!M250</f>
        <v>0</v>
      </c>
      <c r="J32" s="3413">
        <f>SUM(G32:I32)</f>
        <v>1.0477378964424133E-9</v>
      </c>
      <c r="K32" s="3413">
        <f>'Schedule B'!N250+'Schedule B'!O250</f>
        <v>49207</v>
      </c>
      <c r="L32" s="4098">
        <f>IF(SUM(J32:K32)&lt;0,0,SUM(J32:K32))*0</f>
        <v>0</v>
      </c>
      <c r="M32" s="3413">
        <f>IF(SUM(H32+I32)&lt;0,0,SUM(H32+I32))</f>
        <v>0</v>
      </c>
      <c r="N32" s="3413">
        <f>IF(SUM(J32+K32)&lt;0,0,SUM(J32+K32))</f>
        <v>49207.000000001048</v>
      </c>
      <c r="O32" s="3413"/>
      <c r="P32" s="3457">
        <f>L32+O32</f>
        <v>0</v>
      </c>
      <c r="Q32" s="3413">
        <f>'Schedule B'!X250*0</f>
        <v>0</v>
      </c>
      <c r="R32" s="3436">
        <f>P32-Q32</f>
        <v>0</v>
      </c>
      <c r="S32" s="3458"/>
      <c r="U32" s="3390"/>
      <c r="V32" s="3390"/>
      <c r="W32" s="3390"/>
      <c r="X32" s="3390"/>
      <c r="Y32" s="3390"/>
    </row>
    <row r="33" spans="1:25" ht="30" customHeight="1">
      <c r="A33" s="3404" t="s">
        <v>2884</v>
      </c>
      <c r="B33" s="3405">
        <f t="shared" ref="B33:R33" si="10">B34</f>
        <v>1198399.55</v>
      </c>
      <c r="C33" s="3405">
        <f t="shared" si="10"/>
        <v>-1198399.55</v>
      </c>
      <c r="D33" s="3405">
        <f t="shared" si="10"/>
        <v>0</v>
      </c>
      <c r="E33" s="3405">
        <f t="shared" si="10"/>
        <v>0</v>
      </c>
      <c r="F33" s="3405">
        <f>F34</f>
        <v>0</v>
      </c>
      <c r="G33" s="3405">
        <f t="shared" si="10"/>
        <v>0</v>
      </c>
      <c r="H33" s="3405">
        <f t="shared" si="10"/>
        <v>0</v>
      </c>
      <c r="I33" s="3405">
        <f t="shared" si="10"/>
        <v>0</v>
      </c>
      <c r="J33" s="3405">
        <f t="shared" si="10"/>
        <v>0</v>
      </c>
      <c r="K33" s="3405">
        <f t="shared" si="10"/>
        <v>0</v>
      </c>
      <c r="L33" s="3405">
        <f t="shared" si="10"/>
        <v>0</v>
      </c>
      <c r="M33" s="3405">
        <f t="shared" si="10"/>
        <v>0</v>
      </c>
      <c r="N33" s="3405">
        <f t="shared" si="10"/>
        <v>0</v>
      </c>
      <c r="O33" s="3405">
        <f t="shared" si="10"/>
        <v>0</v>
      </c>
      <c r="P33" s="3405">
        <f t="shared" si="10"/>
        <v>0</v>
      </c>
      <c r="Q33" s="3405">
        <f t="shared" si="10"/>
        <v>0</v>
      </c>
      <c r="R33" s="3405">
        <f t="shared" si="10"/>
        <v>0</v>
      </c>
      <c r="S33" s="3500"/>
      <c r="T33" s="3388">
        <v>210052126.03682801</v>
      </c>
      <c r="U33" s="3387"/>
      <c r="V33" s="3387"/>
      <c r="W33" s="3387"/>
      <c r="X33" s="3387"/>
      <c r="Y33" s="3387"/>
    </row>
    <row r="34" spans="1:25" s="3389" customFormat="1" ht="33" customHeight="1" outlineLevel="1">
      <c r="A34" s="3461" t="str">
        <f>'Schedule B'!C251</f>
        <v>Remaining budget - Commercial Management</v>
      </c>
      <c r="B34" s="3448">
        <f>'Schedule B'!E251</f>
        <v>1198399.55</v>
      </c>
      <c r="C34" s="3448">
        <f>'Schedule B'!F251</f>
        <v>-1198399.55</v>
      </c>
      <c r="D34" s="3407">
        <f>SUM(B34:C34)</f>
        <v>0</v>
      </c>
      <c r="E34" s="3448">
        <f>'Schedule B'!H251</f>
        <v>0</v>
      </c>
      <c r="F34" s="3448">
        <f>'Schedule B'!I251+'Schedule B'!J251</f>
        <v>0</v>
      </c>
      <c r="G34" s="3448">
        <f>SUM(E34:F34)</f>
        <v>0</v>
      </c>
      <c r="H34" s="3448"/>
      <c r="I34" s="3448">
        <f>'Schedule B'!M251</f>
        <v>0</v>
      </c>
      <c r="J34" s="3448">
        <f>SUM(G34:I34)</f>
        <v>0</v>
      </c>
      <c r="K34" s="3448">
        <f>'Schedule B'!N251+'Schedule B'!O251</f>
        <v>0</v>
      </c>
      <c r="L34" s="3425">
        <f>SUM(J34:K34)</f>
        <v>0</v>
      </c>
      <c r="M34" s="3448">
        <f>IF(SUM(G34+I34)&lt;0,0,SUM(G34+I34))</f>
        <v>0</v>
      </c>
      <c r="N34" s="3448">
        <f>IF(SUM(J34+K34)&lt;0,0,SUM(J34+K34))</f>
        <v>0</v>
      </c>
      <c r="O34" s="3448">
        <v>0</v>
      </c>
      <c r="P34" s="3428">
        <f>L34+O34</f>
        <v>0</v>
      </c>
      <c r="Q34" s="3448">
        <f>'Schedule B'!X251</f>
        <v>0</v>
      </c>
      <c r="R34" s="3449">
        <f>P34-Q34</f>
        <v>0</v>
      </c>
      <c r="S34" s="3391"/>
      <c r="U34" s="3390"/>
      <c r="V34" s="3390"/>
      <c r="W34" s="3390"/>
      <c r="X34" s="3390"/>
      <c r="Y34" s="3390"/>
    </row>
    <row r="35" spans="1:25" ht="30" customHeight="1">
      <c r="A35" s="3404" t="s">
        <v>2885</v>
      </c>
      <c r="B35" s="3406">
        <f t="shared" ref="B35:R35" si="11">SUM(B36:B130)</f>
        <v>243418954.19999999</v>
      </c>
      <c r="C35" s="3406">
        <f t="shared" si="11"/>
        <v>265160325.4899998</v>
      </c>
      <c r="D35" s="3406">
        <f t="shared" si="11"/>
        <v>508579279.68999982</v>
      </c>
      <c r="E35" s="3406">
        <f t="shared" si="11"/>
        <v>508579279.68999982</v>
      </c>
      <c r="F35" s="3406">
        <f t="shared" si="11"/>
        <v>-5794907.3000000324</v>
      </c>
      <c r="G35" s="3406">
        <f t="shared" si="11"/>
        <v>502784372.38999987</v>
      </c>
      <c r="H35" s="3406">
        <f t="shared" si="11"/>
        <v>0</v>
      </c>
      <c r="I35" s="3406">
        <f t="shared" si="11"/>
        <v>-164010</v>
      </c>
      <c r="J35" s="3406">
        <f t="shared" si="11"/>
        <v>502620362.38999981</v>
      </c>
      <c r="K35" s="3406">
        <f t="shared" si="11"/>
        <v>-1115864.700000003</v>
      </c>
      <c r="L35" s="3406">
        <f t="shared" si="11"/>
        <v>497864140.76304352</v>
      </c>
      <c r="M35" s="3406">
        <f t="shared" si="11"/>
        <v>18178901.139999997</v>
      </c>
      <c r="N35" s="3406">
        <f t="shared" si="11"/>
        <v>94389834.983912796</v>
      </c>
      <c r="O35" s="3406">
        <f t="shared" si="11"/>
        <v>0</v>
      </c>
      <c r="P35" s="3406">
        <f t="shared" si="11"/>
        <v>497864140.76304352</v>
      </c>
      <c r="Q35" s="3406">
        <f t="shared" si="11"/>
        <v>498080025.95304352</v>
      </c>
      <c r="R35" s="3406">
        <f t="shared" si="11"/>
        <v>-215885.18999999762</v>
      </c>
      <c r="S35" s="3500"/>
      <c r="T35" s="3388">
        <f>P35-D35</f>
        <v>-10715138.926956296</v>
      </c>
      <c r="U35" s="3387">
        <v>229543628</v>
      </c>
      <c r="V35" s="3387" t="e">
        <f>#REF!-U35</f>
        <v>#REF!</v>
      </c>
      <c r="W35" s="3387" t="e">
        <f>#REF!</f>
        <v>#REF!</v>
      </c>
      <c r="X35" s="3387" t="e">
        <f>V35-W35-Y35</f>
        <v>#REF!</v>
      </c>
      <c r="Y35" s="3387">
        <v>189345.67000007629</v>
      </c>
    </row>
    <row r="36" spans="1:25" s="3389" customFormat="1" ht="21" customHeight="1" outlineLevel="1">
      <c r="A36" s="3460" t="str">
        <f>'Schedule B'!C69</f>
        <v>SOI TB Ground Improvement Works 2210224</v>
      </c>
      <c r="B36" s="3410">
        <f>'Schedule B'!E69</f>
        <v>2799717</v>
      </c>
      <c r="C36" s="3411">
        <f>'Schedule B'!F69</f>
        <v>0</v>
      </c>
      <c r="D36" s="3409">
        <f t="shared" ref="D36:D41" si="12">B36+C36</f>
        <v>2799717</v>
      </c>
      <c r="E36" s="3412">
        <f>'Schedule B'!H69</f>
        <v>2799717</v>
      </c>
      <c r="F36" s="3412">
        <f>'Schedule B'!I69+'Schedule B'!J69</f>
        <v>0</v>
      </c>
      <c r="G36" s="3412">
        <f t="shared" ref="G36:G41" si="13">E36+F36</f>
        <v>2799717</v>
      </c>
      <c r="H36" s="3412"/>
      <c r="I36" s="3412">
        <f>'Schedule B'!M69</f>
        <v>0</v>
      </c>
      <c r="J36" s="3412">
        <f t="shared" ref="J36:J41" si="14">SUM(G36:I36)</f>
        <v>2799717</v>
      </c>
      <c r="K36" s="3412">
        <f>'Schedule B'!N69+'Schedule B'!O69</f>
        <v>-500000</v>
      </c>
      <c r="L36" s="3409">
        <f t="shared" ref="L36:L41" si="15">J36+K36</f>
        <v>2299717</v>
      </c>
      <c r="M36" s="3411">
        <f>IF(SUM(D36-J36)&lt;0,0,SUM(D36-J36))</f>
        <v>0</v>
      </c>
      <c r="N36" s="3411">
        <f>IF(SUM(D36-L36)&lt;0,0,SUM(D36-L36))</f>
        <v>500000</v>
      </c>
      <c r="O36" s="3411"/>
      <c r="P36" s="3447">
        <f t="shared" ref="P36:P41" si="16">L36+O36</f>
        <v>2299717</v>
      </c>
      <c r="Q36" s="3411">
        <f>'Schedule B'!X69</f>
        <v>2299717</v>
      </c>
      <c r="R36" s="3435">
        <f t="shared" ref="R36:R41" si="17">P36-Q36</f>
        <v>0</v>
      </c>
      <c r="S36" s="3455"/>
      <c r="T36" s="3389" t="e">
        <f>SUM(#REF!)</f>
        <v>#REF!</v>
      </c>
      <c r="U36" s="3390"/>
      <c r="V36" s="3390"/>
      <c r="W36" s="3390"/>
      <c r="X36" s="3390"/>
      <c r="Y36" s="3390"/>
    </row>
    <row r="37" spans="1:25" s="3389" customFormat="1" ht="33.75" outlineLevel="1">
      <c r="A37" s="3460" t="str">
        <f>'Schedule B'!C70</f>
        <v>SOI TB Ground Improvement Works 2210224 
PROVISIONAL SUMS</v>
      </c>
      <c r="B37" s="3410">
        <f>'Schedule B'!E70</f>
        <v>282972</v>
      </c>
      <c r="C37" s="3411">
        <f>'Schedule B'!F70</f>
        <v>0</v>
      </c>
      <c r="D37" s="3409">
        <f t="shared" si="12"/>
        <v>282972</v>
      </c>
      <c r="E37" s="3412">
        <f>'Schedule B'!H70</f>
        <v>282972</v>
      </c>
      <c r="F37" s="3412">
        <f>'Schedule B'!I70+'Schedule B'!J70</f>
        <v>0</v>
      </c>
      <c r="G37" s="3412">
        <f t="shared" si="13"/>
        <v>282972</v>
      </c>
      <c r="H37" s="3412"/>
      <c r="I37" s="3412">
        <f>'Schedule B'!M70</f>
        <v>0</v>
      </c>
      <c r="J37" s="3412">
        <f t="shared" si="14"/>
        <v>282972</v>
      </c>
      <c r="K37" s="3412">
        <f>'Schedule B'!N70+'Schedule B'!O70</f>
        <v>-282972</v>
      </c>
      <c r="L37" s="3409">
        <f t="shared" si="15"/>
        <v>0</v>
      </c>
      <c r="M37" s="3411">
        <f>IF(SUM(D37-J37)&lt;0,0,SUM(D37-J37))</f>
        <v>0</v>
      </c>
      <c r="N37" s="3411">
        <f>IF(SUM(D37-L37)&lt;0,0,SUM(D37-L37))</f>
        <v>282972</v>
      </c>
      <c r="O37" s="3411"/>
      <c r="P37" s="3447">
        <f t="shared" si="16"/>
        <v>0</v>
      </c>
      <c r="Q37" s="3411">
        <f>'Schedule B'!X70</f>
        <v>0</v>
      </c>
      <c r="R37" s="3435">
        <f t="shared" si="17"/>
        <v>0</v>
      </c>
      <c r="S37" s="3455"/>
      <c r="T37" s="3389" t="e">
        <f>SUM(#REF!)</f>
        <v>#REF!</v>
      </c>
      <c r="U37" s="3390"/>
      <c r="V37" s="3390"/>
      <c r="W37" s="3390"/>
      <c r="X37" s="3390"/>
      <c r="Y37" s="3390"/>
    </row>
    <row r="38" spans="1:25" s="3389" customFormat="1" ht="21" customHeight="1" outlineLevel="1">
      <c r="A38" s="3460" t="str">
        <f>'Schedule B'!C71</f>
        <v>Green Business Certification Inc.2220038</v>
      </c>
      <c r="B38" s="3410">
        <f>'Schedule B'!E71</f>
        <v>4500</v>
      </c>
      <c r="C38" s="3411">
        <f>'Schedule B'!F71</f>
        <v>18594.490000000002</v>
      </c>
      <c r="D38" s="3409">
        <f t="shared" si="12"/>
        <v>23094.49</v>
      </c>
      <c r="E38" s="3412">
        <f>'Schedule B'!H71</f>
        <v>23094.49</v>
      </c>
      <c r="F38" s="3412">
        <f>'Schedule B'!I71+'Schedule B'!J71</f>
        <v>-509.48</v>
      </c>
      <c r="G38" s="3412">
        <f t="shared" si="13"/>
        <v>22585.010000000002</v>
      </c>
      <c r="H38" s="3412"/>
      <c r="I38" s="3412">
        <f>'Schedule B'!M71</f>
        <v>0</v>
      </c>
      <c r="J38" s="3412">
        <f t="shared" si="14"/>
        <v>22585.010000000002</v>
      </c>
      <c r="K38" s="3412">
        <f>'Schedule B'!N71+'Schedule B'!O71</f>
        <v>0</v>
      </c>
      <c r="L38" s="3409">
        <f t="shared" si="15"/>
        <v>22585.010000000002</v>
      </c>
      <c r="M38" s="3411">
        <f>IF(SUM(D38-J38)&lt;0,0,SUM(D38-J38))</f>
        <v>509.47999999999956</v>
      </c>
      <c r="N38" s="3411">
        <f>IF(SUM(D38-L38)&lt;0,0,SUM(D38-L38))</f>
        <v>509.47999999999956</v>
      </c>
      <c r="O38" s="3411"/>
      <c r="P38" s="3447">
        <f t="shared" si="16"/>
        <v>22585.010000000002</v>
      </c>
      <c r="Q38" s="3411">
        <f>'Schedule B'!X71</f>
        <v>22585.010000000002</v>
      </c>
      <c r="R38" s="3435">
        <f t="shared" si="17"/>
        <v>0</v>
      </c>
      <c r="S38" s="3455"/>
      <c r="T38" s="3389" t="e">
        <f>SUM(#REF!)</f>
        <v>#REF!</v>
      </c>
      <c r="U38" s="3390"/>
      <c r="V38" s="3390"/>
      <c r="W38" s="3390"/>
      <c r="X38" s="3390"/>
      <c r="Y38" s="3390"/>
    </row>
    <row r="39" spans="1:25" s="3389" customFormat="1" ht="15" outlineLevel="1">
      <c r="A39" s="3460"/>
      <c r="B39" s="3410"/>
      <c r="C39" s="3411"/>
      <c r="D39" s="3409">
        <f t="shared" si="12"/>
        <v>0</v>
      </c>
      <c r="E39" s="3412"/>
      <c r="F39" s="3412"/>
      <c r="G39" s="3412">
        <f t="shared" si="13"/>
        <v>0</v>
      </c>
      <c r="H39" s="3412"/>
      <c r="I39" s="3412"/>
      <c r="J39" s="3412">
        <f t="shared" si="14"/>
        <v>0</v>
      </c>
      <c r="K39" s="3412"/>
      <c r="L39" s="3409">
        <f t="shared" si="15"/>
        <v>0</v>
      </c>
      <c r="M39" s="3411">
        <f>D39-J39</f>
        <v>0</v>
      </c>
      <c r="N39" s="3411">
        <f>D39-L39</f>
        <v>0</v>
      </c>
      <c r="O39" s="3411"/>
      <c r="P39" s="3447">
        <f t="shared" si="16"/>
        <v>0</v>
      </c>
      <c r="Q39" s="3411"/>
      <c r="R39" s="3435">
        <f t="shared" si="17"/>
        <v>0</v>
      </c>
      <c r="S39" s="3455"/>
      <c r="T39" s="3389" t="e">
        <f>SUM(#REF!)</f>
        <v>#REF!</v>
      </c>
      <c r="U39" s="3390"/>
      <c r="V39" s="3390"/>
      <c r="W39" s="3390"/>
      <c r="X39" s="3390"/>
      <c r="Y39" s="3390"/>
    </row>
    <row r="40" spans="1:25" s="3389" customFormat="1" ht="22.5" outlineLevel="1">
      <c r="A40" s="3460" t="str">
        <f>'Schedule B'!C77</f>
        <v>NSCC - Triple Bay Piling (AYC only) 2220032</v>
      </c>
      <c r="B40" s="3410">
        <f>'Schedule B'!E77</f>
        <v>18698534</v>
      </c>
      <c r="C40" s="3411">
        <f>'Schedule B'!F77</f>
        <v>0</v>
      </c>
      <c r="D40" s="3409">
        <f t="shared" si="12"/>
        <v>18698534</v>
      </c>
      <c r="E40" s="3412">
        <f>'Schedule B'!H77</f>
        <v>18698534</v>
      </c>
      <c r="F40" s="3412">
        <f>'Schedule B'!I77+'Schedule B'!J77</f>
        <v>-2240152.4900000002</v>
      </c>
      <c r="G40" s="3412">
        <f t="shared" si="13"/>
        <v>16458381.51</v>
      </c>
      <c r="H40" s="3412"/>
      <c r="I40" s="3412">
        <f>'Schedule B'!M77</f>
        <v>0</v>
      </c>
      <c r="J40" s="3412">
        <f t="shared" si="14"/>
        <v>16458381.51</v>
      </c>
      <c r="K40" s="3412">
        <f>'Schedule B'!N77+'Schedule B'!O77</f>
        <v>0</v>
      </c>
      <c r="L40" s="3409">
        <f t="shared" si="15"/>
        <v>16458381.51</v>
      </c>
      <c r="M40" s="3411">
        <f>IF(SUM(D40-J40)&lt;0,0,SUM(D40-J40))*0</f>
        <v>0</v>
      </c>
      <c r="N40" s="3411">
        <f>IF(SUM(D40-L40)&lt;0,0,SUM(D40-L40))*0</f>
        <v>0</v>
      </c>
      <c r="O40" s="3411"/>
      <c r="P40" s="3447">
        <f t="shared" si="16"/>
        <v>16458381.51</v>
      </c>
      <c r="Q40" s="3411">
        <f>'Schedule B'!X77</f>
        <v>16458381.51</v>
      </c>
      <c r="R40" s="3435">
        <f t="shared" si="17"/>
        <v>0</v>
      </c>
      <c r="S40" s="3455" t="s">
        <v>2936</v>
      </c>
      <c r="U40" s="3390"/>
      <c r="V40" s="3390"/>
      <c r="W40" s="3390"/>
      <c r="X40" s="3390"/>
      <c r="Y40" s="3390"/>
    </row>
    <row r="41" spans="1:25" s="3389" customFormat="1" ht="78.75" outlineLevel="1">
      <c r="A41" s="3460" t="str">
        <f>'Schedule B'!C79</f>
        <v>Structural Concrete, Wet Trades, BOH Fit out, Pools and Water Features, Structural Steel, Glazing, Glass Balustrades, Aluminum Soffits, SFS and GRC, Render Façade, Roof Waterproofing, MEP, ICT/ELV  - (SAB) 2230023</v>
      </c>
      <c r="B41" s="3410">
        <f>'Schedule B'!E79</f>
        <v>0</v>
      </c>
      <c r="C41" s="3411">
        <f>'Schedule B'!F79</f>
        <v>260955414.40000001</v>
      </c>
      <c r="D41" s="3409">
        <f t="shared" si="12"/>
        <v>260955414.40000001</v>
      </c>
      <c r="E41" s="3412">
        <f>'Schedule B'!H79</f>
        <v>260955414.40000001</v>
      </c>
      <c r="F41" s="3412">
        <f>'Schedule B'!I79+'Schedule B'!J79</f>
        <v>-91015507.700000003</v>
      </c>
      <c r="G41" s="3412">
        <f t="shared" si="13"/>
        <v>169939906.69999999</v>
      </c>
      <c r="H41" s="3412"/>
      <c r="I41" s="3412">
        <f>'Schedule B'!M79</f>
        <v>-19683045.699999999</v>
      </c>
      <c r="J41" s="3412">
        <f t="shared" si="14"/>
        <v>150256861</v>
      </c>
      <c r="K41" s="3412">
        <f>'Schedule B'!N79+'Schedule B'!O79</f>
        <v>20732556.823043488</v>
      </c>
      <c r="L41" s="3409">
        <f t="shared" si="15"/>
        <v>170989417.8230435</v>
      </c>
      <c r="M41" s="3411">
        <f>IF(SUM(D41-J41)&lt;0,0,SUM(D41-J41))*0</f>
        <v>0</v>
      </c>
      <c r="N41" s="3411">
        <f>IF(SUM(D41-L41)&lt;0,0,SUM(D41-L41))</f>
        <v>89965996.576956511</v>
      </c>
      <c r="O41" s="3411"/>
      <c r="P41" s="3447">
        <f t="shared" si="16"/>
        <v>170989417.8230435</v>
      </c>
      <c r="Q41" s="3411">
        <f>'Schedule B'!X79</f>
        <v>172401764.26304349</v>
      </c>
      <c r="R41" s="3435">
        <f t="shared" si="17"/>
        <v>-1412346.4399999976</v>
      </c>
      <c r="S41" s="3459"/>
      <c r="U41" s="3390"/>
      <c r="V41" s="3390"/>
      <c r="W41" s="3390"/>
      <c r="X41" s="3390"/>
      <c r="Y41" s="3390"/>
    </row>
    <row r="42" spans="1:25" s="3389" customFormat="1" ht="15" outlineLevel="1">
      <c r="A42" s="3460"/>
      <c r="B42" s="3410"/>
      <c r="C42" s="3411"/>
      <c r="D42" s="3409"/>
      <c r="E42" s="3412"/>
      <c r="F42" s="3412"/>
      <c r="G42" s="3412"/>
      <c r="H42" s="3412"/>
      <c r="I42" s="3412"/>
      <c r="J42" s="3412"/>
      <c r="K42" s="3412"/>
      <c r="L42" s="3409"/>
      <c r="M42" s="3411"/>
      <c r="N42" s="3411"/>
      <c r="O42" s="3411"/>
      <c r="P42" s="3447"/>
      <c r="Q42" s="3411"/>
      <c r="R42" s="3435"/>
      <c r="S42" s="3459"/>
      <c r="U42" s="3390"/>
      <c r="V42" s="3390"/>
      <c r="W42" s="3390"/>
      <c r="X42" s="3390"/>
      <c r="Y42" s="3390"/>
    </row>
    <row r="43" spans="1:25" s="3389" customFormat="1" ht="15" outlineLevel="1">
      <c r="A43" s="4198" t="s">
        <v>4109</v>
      </c>
      <c r="B43" s="3410"/>
      <c r="C43" s="3411"/>
      <c r="D43" s="3409"/>
      <c r="E43" s="3412"/>
      <c r="F43" s="3412"/>
      <c r="G43" s="3412"/>
      <c r="H43" s="3412"/>
      <c r="I43" s="3412"/>
      <c r="J43" s="3412"/>
      <c r="K43" s="3412"/>
      <c r="L43" s="3409"/>
      <c r="M43" s="3411"/>
      <c r="N43" s="3411"/>
      <c r="O43" s="3411"/>
      <c r="P43" s="3447"/>
      <c r="Q43" s="3411"/>
      <c r="R43" s="3435"/>
      <c r="S43" s="3459"/>
      <c r="U43" s="3390"/>
      <c r="V43" s="3390"/>
      <c r="W43" s="3390"/>
      <c r="X43" s="3390"/>
      <c r="Y43" s="3390"/>
    </row>
    <row r="44" spans="1:25" s="3389" customFormat="1" ht="22.5" outlineLevel="1">
      <c r="A44" s="3460" t="str">
        <f>'Schedule B'!C81</f>
        <v>Prelims - Mohammad Alharbi Medical Company</v>
      </c>
      <c r="B44" s="3410">
        <f>'Schedule B'!E81</f>
        <v>0</v>
      </c>
      <c r="C44" s="3411">
        <f>'Schedule B'!F81</f>
        <v>134895.4</v>
      </c>
      <c r="D44" s="3409">
        <f>B44+C44</f>
        <v>134895.4</v>
      </c>
      <c r="E44" s="3412">
        <f>'Schedule B'!H81</f>
        <v>134895.4</v>
      </c>
      <c r="F44" s="3412">
        <f>'Schedule B'!I81+'Schedule B'!J81</f>
        <v>0</v>
      </c>
      <c r="G44" s="3412">
        <f>E44+F44</f>
        <v>134895.4</v>
      </c>
      <c r="H44" s="3412"/>
      <c r="I44" s="3412">
        <f>'Schedule B'!M81</f>
        <v>0</v>
      </c>
      <c r="J44" s="3412">
        <f t="shared" ref="J44:J71" si="18">SUM(G44:I44)</f>
        <v>134895.4</v>
      </c>
      <c r="K44" s="3412">
        <f>'Schedule B'!N81+'Schedule B'!O81</f>
        <v>0</v>
      </c>
      <c r="L44" s="3409">
        <f>J44+K44</f>
        <v>134895.4</v>
      </c>
      <c r="M44" s="3411">
        <f t="shared" ref="M44:M71" si="19">IF(SUM(D44-J44)&lt;0,0,SUM(D44-J44))*0</f>
        <v>0</v>
      </c>
      <c r="N44" s="3411">
        <f t="shared" ref="N44:N71" si="20">IF(SUM(D44-L44)&lt;0,0,SUM(D44-L44))</f>
        <v>0</v>
      </c>
      <c r="O44" s="3411"/>
      <c r="P44" s="3447">
        <f>L44+O44</f>
        <v>134895.4</v>
      </c>
      <c r="Q44" s="3411">
        <f>'Schedule B'!X81</f>
        <v>134895.4</v>
      </c>
      <c r="R44" s="3435">
        <f>P44-Q44</f>
        <v>0</v>
      </c>
      <c r="S44" s="3459"/>
      <c r="U44" s="3390"/>
      <c r="V44" s="3390"/>
      <c r="W44" s="3390"/>
      <c r="X44" s="3390"/>
      <c r="Y44" s="3390"/>
    </row>
    <row r="45" spans="1:25" s="3389" customFormat="1" ht="15" outlineLevel="1">
      <c r="A45" s="3460" t="str">
        <f>'Schedule B'!C82</f>
        <v>Prelims - Al Anan Travels and Tours</v>
      </c>
      <c r="B45" s="3410">
        <f>'Schedule B'!E82</f>
        <v>0</v>
      </c>
      <c r="C45" s="3411">
        <f>'Schedule B'!F82</f>
        <v>103373.74</v>
      </c>
      <c r="D45" s="3409">
        <f t="shared" ref="D45:D59" si="21">B45+C45</f>
        <v>103373.74</v>
      </c>
      <c r="E45" s="3412">
        <f>'Schedule B'!H82</f>
        <v>103373.74</v>
      </c>
      <c r="F45" s="3412">
        <f>'Schedule B'!I82+'Schedule B'!J82</f>
        <v>0</v>
      </c>
      <c r="G45" s="3412">
        <f t="shared" ref="G45:G59" si="22">E45+F45</f>
        <v>103373.74</v>
      </c>
      <c r="H45" s="3412"/>
      <c r="I45" s="3412">
        <f>'Schedule B'!M82</f>
        <v>0</v>
      </c>
      <c r="J45" s="3412">
        <f t="shared" si="18"/>
        <v>103373.74</v>
      </c>
      <c r="K45" s="3412">
        <f>'Schedule B'!N82+'Schedule B'!O82</f>
        <v>0</v>
      </c>
      <c r="L45" s="3409">
        <f t="shared" ref="L45:L59" si="23">J45+K45</f>
        <v>103373.74</v>
      </c>
      <c r="M45" s="3411">
        <f t="shared" si="19"/>
        <v>0</v>
      </c>
      <c r="N45" s="3411">
        <f t="shared" si="20"/>
        <v>0</v>
      </c>
      <c r="O45" s="3411"/>
      <c r="P45" s="3447">
        <f t="shared" ref="P45:P59" si="24">L45+O45</f>
        <v>103373.74</v>
      </c>
      <c r="Q45" s="3411">
        <f>'Schedule B'!X82</f>
        <v>103373.74</v>
      </c>
      <c r="R45" s="3435">
        <f t="shared" ref="R45:R59" si="25">P45-Q45</f>
        <v>0</v>
      </c>
      <c r="S45" s="3459"/>
      <c r="U45" s="3390"/>
      <c r="V45" s="3390"/>
      <c r="W45" s="3390"/>
      <c r="X45" s="3390"/>
      <c r="Y45" s="3390"/>
    </row>
    <row r="46" spans="1:25" s="3389" customFormat="1" ht="15" outlineLevel="1">
      <c r="A46" s="3460" t="str">
        <f>'Schedule B'!C83</f>
        <v>Prelims - Al drees Petroleum</v>
      </c>
      <c r="B46" s="3410">
        <f>'Schedule B'!E83</f>
        <v>0</v>
      </c>
      <c r="C46" s="3411">
        <f>'Schedule B'!F83</f>
        <v>34782.61</v>
      </c>
      <c r="D46" s="3409">
        <f t="shared" si="21"/>
        <v>34782.61</v>
      </c>
      <c r="E46" s="3412">
        <f>'Schedule B'!H83</f>
        <v>34782.61</v>
      </c>
      <c r="F46" s="3412">
        <f>'Schedule B'!I83+'Schedule B'!J83</f>
        <v>0</v>
      </c>
      <c r="G46" s="3412">
        <f t="shared" si="22"/>
        <v>34782.61</v>
      </c>
      <c r="H46" s="3412"/>
      <c r="I46" s="3412">
        <f>'Schedule B'!M83</f>
        <v>0</v>
      </c>
      <c r="J46" s="3412">
        <f t="shared" si="18"/>
        <v>34782.61</v>
      </c>
      <c r="K46" s="3412">
        <f>'Schedule B'!N83+'Schedule B'!O83</f>
        <v>0</v>
      </c>
      <c r="L46" s="3409">
        <f t="shared" si="23"/>
        <v>34782.61</v>
      </c>
      <c r="M46" s="3411">
        <f t="shared" si="19"/>
        <v>0</v>
      </c>
      <c r="N46" s="3411">
        <f t="shared" si="20"/>
        <v>0</v>
      </c>
      <c r="O46" s="3411"/>
      <c r="P46" s="3447">
        <f t="shared" si="24"/>
        <v>34782.61</v>
      </c>
      <c r="Q46" s="3411">
        <f>'Schedule B'!X83</f>
        <v>34782.61</v>
      </c>
      <c r="R46" s="3435">
        <f t="shared" si="25"/>
        <v>0</v>
      </c>
      <c r="S46" s="3459"/>
      <c r="U46" s="3390"/>
      <c r="V46" s="3390"/>
      <c r="W46" s="3390"/>
      <c r="X46" s="3390"/>
      <c r="Y46" s="3390"/>
    </row>
    <row r="47" spans="1:25" s="3389" customFormat="1" ht="15" outlineLevel="1">
      <c r="A47" s="3460" t="str">
        <f>'Schedule B'!C84</f>
        <v>Prelims - Salim Hamed Cleaning</v>
      </c>
      <c r="B47" s="3410">
        <f>'Schedule B'!E84</f>
        <v>0</v>
      </c>
      <c r="C47" s="3411">
        <f>'Schedule B'!F84</f>
        <v>31306.1</v>
      </c>
      <c r="D47" s="3409">
        <f t="shared" si="21"/>
        <v>31306.1</v>
      </c>
      <c r="E47" s="3412">
        <f>'Schedule B'!H84</f>
        <v>31306.1</v>
      </c>
      <c r="F47" s="3412">
        <f>'Schedule B'!I84+'Schedule B'!J84</f>
        <v>0</v>
      </c>
      <c r="G47" s="3412">
        <f t="shared" si="22"/>
        <v>31306.1</v>
      </c>
      <c r="H47" s="3412"/>
      <c r="I47" s="3412">
        <f>'Schedule B'!M84</f>
        <v>0</v>
      </c>
      <c r="J47" s="3412">
        <f t="shared" si="18"/>
        <v>31306.1</v>
      </c>
      <c r="K47" s="3412">
        <f>'Schedule B'!N84+'Schedule B'!O84</f>
        <v>0</v>
      </c>
      <c r="L47" s="3409">
        <f t="shared" si="23"/>
        <v>31306.1</v>
      </c>
      <c r="M47" s="3411">
        <f t="shared" si="19"/>
        <v>0</v>
      </c>
      <c r="N47" s="3411">
        <f t="shared" si="20"/>
        <v>0</v>
      </c>
      <c r="O47" s="3411"/>
      <c r="P47" s="3447">
        <f t="shared" si="24"/>
        <v>31306.1</v>
      </c>
      <c r="Q47" s="3411">
        <f>'Schedule B'!X84</f>
        <v>31306.1</v>
      </c>
      <c r="R47" s="3435">
        <f t="shared" si="25"/>
        <v>0</v>
      </c>
      <c r="S47" s="3459"/>
      <c r="U47" s="3390"/>
      <c r="V47" s="3390"/>
      <c r="W47" s="3390"/>
      <c r="X47" s="3390"/>
      <c r="Y47" s="3390"/>
    </row>
    <row r="48" spans="1:25" s="3389" customFormat="1" ht="15" outlineLevel="1">
      <c r="A48" s="3460" t="str">
        <f>'Schedule B'!C85</f>
        <v>Prelims - Clean Coast for Contracting</v>
      </c>
      <c r="B48" s="3410">
        <f>'Schedule B'!E85</f>
        <v>0</v>
      </c>
      <c r="C48" s="3411">
        <f>'Schedule B'!F85</f>
        <v>252583.81</v>
      </c>
      <c r="D48" s="3409">
        <f t="shared" si="21"/>
        <v>252583.81</v>
      </c>
      <c r="E48" s="3412">
        <f>'Schedule B'!H85</f>
        <v>252583.81</v>
      </c>
      <c r="F48" s="3412">
        <f>'Schedule B'!I85+'Schedule B'!J85</f>
        <v>0</v>
      </c>
      <c r="G48" s="3412">
        <f t="shared" si="22"/>
        <v>252583.81</v>
      </c>
      <c r="H48" s="3412"/>
      <c r="I48" s="3412">
        <f>'Schedule B'!M85</f>
        <v>0</v>
      </c>
      <c r="J48" s="3412">
        <f t="shared" si="18"/>
        <v>252583.81</v>
      </c>
      <c r="K48" s="3412">
        <f>'Schedule B'!N85+'Schedule B'!O85</f>
        <v>0</v>
      </c>
      <c r="L48" s="3409">
        <f t="shared" si="23"/>
        <v>252583.81</v>
      </c>
      <c r="M48" s="3411">
        <f t="shared" si="19"/>
        <v>0</v>
      </c>
      <c r="N48" s="3411">
        <f t="shared" si="20"/>
        <v>0</v>
      </c>
      <c r="O48" s="3411"/>
      <c r="P48" s="3447">
        <f t="shared" si="24"/>
        <v>252583.81</v>
      </c>
      <c r="Q48" s="3411">
        <f>'Schedule B'!X85</f>
        <v>252583.81</v>
      </c>
      <c r="R48" s="3435">
        <f t="shared" si="25"/>
        <v>0</v>
      </c>
      <c r="S48" s="3459"/>
      <c r="U48" s="3390"/>
      <c r="V48" s="3390"/>
      <c r="W48" s="3390"/>
      <c r="X48" s="3390"/>
      <c r="Y48" s="3390"/>
    </row>
    <row r="49" spans="1:25" s="3389" customFormat="1" ht="15" outlineLevel="1">
      <c r="A49" s="3460" t="str">
        <f>'Schedule B'!C86</f>
        <v>Prelims - Sami General Contracting</v>
      </c>
      <c r="B49" s="3410">
        <f>'Schedule B'!E86</f>
        <v>0</v>
      </c>
      <c r="C49" s="3411">
        <f>'Schedule B'!F86</f>
        <v>273350</v>
      </c>
      <c r="D49" s="3409">
        <f t="shared" si="21"/>
        <v>273350</v>
      </c>
      <c r="E49" s="3412">
        <f>'Schedule B'!H86</f>
        <v>273350</v>
      </c>
      <c r="F49" s="3412">
        <f>'Schedule B'!I86+'Schedule B'!J86</f>
        <v>0</v>
      </c>
      <c r="G49" s="3412">
        <f t="shared" si="22"/>
        <v>273350</v>
      </c>
      <c r="H49" s="3412"/>
      <c r="I49" s="3412">
        <f>'Schedule B'!M86</f>
        <v>0</v>
      </c>
      <c r="J49" s="3412">
        <f t="shared" si="18"/>
        <v>273350</v>
      </c>
      <c r="K49" s="3412">
        <f>'Schedule B'!N86+'Schedule B'!O86</f>
        <v>0</v>
      </c>
      <c r="L49" s="3409">
        <f t="shared" si="23"/>
        <v>273350</v>
      </c>
      <c r="M49" s="3411">
        <f t="shared" si="19"/>
        <v>0</v>
      </c>
      <c r="N49" s="3411">
        <f t="shared" si="20"/>
        <v>0</v>
      </c>
      <c r="O49" s="3411"/>
      <c r="P49" s="3447">
        <f t="shared" si="24"/>
        <v>273350</v>
      </c>
      <c r="Q49" s="3411">
        <f>'Schedule B'!X86</f>
        <v>273350</v>
      </c>
      <c r="R49" s="3435">
        <f t="shared" si="25"/>
        <v>0</v>
      </c>
      <c r="S49" s="3459"/>
      <c r="U49" s="3390"/>
      <c r="V49" s="3390"/>
      <c r="W49" s="3390"/>
      <c r="X49" s="3390"/>
      <c r="Y49" s="3390"/>
    </row>
    <row r="50" spans="1:25" s="3389" customFormat="1" ht="22.5" outlineLevel="1">
      <c r="A50" s="3460" t="str">
        <f>'Schedule B'!C87</f>
        <v>Prelims - Eastern Horizons Foundation Transportation Comp</v>
      </c>
      <c r="B50" s="3410">
        <f>'Schedule B'!E87</f>
        <v>0</v>
      </c>
      <c r="C50" s="3411">
        <f>'Schedule B'!F87</f>
        <v>14349</v>
      </c>
      <c r="D50" s="3409">
        <f t="shared" si="21"/>
        <v>14349</v>
      </c>
      <c r="E50" s="3412">
        <f>'Schedule B'!H87</f>
        <v>14349</v>
      </c>
      <c r="F50" s="3412">
        <f>'Schedule B'!I87+'Schedule B'!J87</f>
        <v>0</v>
      </c>
      <c r="G50" s="3412">
        <f t="shared" si="22"/>
        <v>14349</v>
      </c>
      <c r="H50" s="3412"/>
      <c r="I50" s="3412">
        <f>'Schedule B'!M87</f>
        <v>0</v>
      </c>
      <c r="J50" s="3412">
        <f t="shared" si="18"/>
        <v>14349</v>
      </c>
      <c r="K50" s="3412">
        <f>'Schedule B'!N87+'Schedule B'!O87</f>
        <v>0</v>
      </c>
      <c r="L50" s="3409">
        <f t="shared" si="23"/>
        <v>14349</v>
      </c>
      <c r="M50" s="3411">
        <f t="shared" si="19"/>
        <v>0</v>
      </c>
      <c r="N50" s="3411">
        <f t="shared" si="20"/>
        <v>0</v>
      </c>
      <c r="O50" s="3411"/>
      <c r="P50" s="3447">
        <f t="shared" si="24"/>
        <v>14349</v>
      </c>
      <c r="Q50" s="3411">
        <f>'Schedule B'!X87</f>
        <v>14349</v>
      </c>
      <c r="R50" s="3435">
        <f t="shared" si="25"/>
        <v>0</v>
      </c>
      <c r="S50" s="3459"/>
      <c r="U50" s="3390"/>
      <c r="V50" s="3390"/>
      <c r="W50" s="3390"/>
      <c r="X50" s="3390"/>
      <c r="Y50" s="3390"/>
    </row>
    <row r="51" spans="1:25" s="3389" customFormat="1" ht="15" outlineLevel="1">
      <c r="A51" s="3460" t="str">
        <f>'Schedule B'!C88</f>
        <v>Prelims - Jak Generation Cont Co LLC</v>
      </c>
      <c r="B51" s="3410">
        <f>'Schedule B'!E88</f>
        <v>0</v>
      </c>
      <c r="C51" s="3411">
        <f>'Schedule B'!F88</f>
        <v>369751.44999999995</v>
      </c>
      <c r="D51" s="3409">
        <f t="shared" si="21"/>
        <v>369751.44999999995</v>
      </c>
      <c r="E51" s="3412">
        <f>'Schedule B'!H88</f>
        <v>369751.44999999995</v>
      </c>
      <c r="F51" s="3412">
        <f>'Schedule B'!I88+'Schedule B'!J88</f>
        <v>0</v>
      </c>
      <c r="G51" s="3412">
        <f t="shared" si="22"/>
        <v>369751.44999999995</v>
      </c>
      <c r="H51" s="3412"/>
      <c r="I51" s="3412">
        <f>'Schedule B'!M88</f>
        <v>0</v>
      </c>
      <c r="J51" s="3412">
        <f t="shared" si="18"/>
        <v>369751.44999999995</v>
      </c>
      <c r="K51" s="3412">
        <f>'Schedule B'!N88+'Schedule B'!O88</f>
        <v>0</v>
      </c>
      <c r="L51" s="3409">
        <f t="shared" si="23"/>
        <v>369751.44999999995</v>
      </c>
      <c r="M51" s="3411">
        <f t="shared" si="19"/>
        <v>0</v>
      </c>
      <c r="N51" s="3411">
        <f t="shared" si="20"/>
        <v>0</v>
      </c>
      <c r="O51" s="3411"/>
      <c r="P51" s="3447">
        <f t="shared" si="24"/>
        <v>369751.44999999995</v>
      </c>
      <c r="Q51" s="3411">
        <f>'Schedule B'!X88</f>
        <v>369751.44999999995</v>
      </c>
      <c r="R51" s="3435">
        <f t="shared" si="25"/>
        <v>0</v>
      </c>
      <c r="S51" s="3459"/>
      <c r="U51" s="3390"/>
      <c r="V51" s="3390"/>
      <c r="W51" s="3390"/>
      <c r="X51" s="3390"/>
      <c r="Y51" s="3390"/>
    </row>
    <row r="52" spans="1:25" s="3389" customFormat="1" ht="22.5" outlineLevel="1">
      <c r="A52" s="3460" t="str">
        <f>'Schedule B'!C89</f>
        <v>Prelims - Intelligent General Cont Co Equipment</v>
      </c>
      <c r="B52" s="3410">
        <f>'Schedule B'!E89</f>
        <v>0</v>
      </c>
      <c r="C52" s="3411">
        <f>'Schedule B'!F89</f>
        <v>758870.16999999993</v>
      </c>
      <c r="D52" s="3409">
        <f t="shared" si="21"/>
        <v>758870.16999999993</v>
      </c>
      <c r="E52" s="3412">
        <f>'Schedule B'!H89</f>
        <v>758870.16999999993</v>
      </c>
      <c r="F52" s="3412">
        <f>'Schedule B'!I89+'Schedule B'!J89</f>
        <v>0</v>
      </c>
      <c r="G52" s="3412">
        <f t="shared" si="22"/>
        <v>758870.16999999993</v>
      </c>
      <c r="H52" s="3412"/>
      <c r="I52" s="3412">
        <f>'Schedule B'!M89</f>
        <v>0</v>
      </c>
      <c r="J52" s="3412">
        <f t="shared" si="18"/>
        <v>758870.16999999993</v>
      </c>
      <c r="K52" s="3412">
        <f>'Schedule B'!N89+'Schedule B'!O89</f>
        <v>0</v>
      </c>
      <c r="L52" s="3409">
        <f t="shared" si="23"/>
        <v>758870.16999999993</v>
      </c>
      <c r="M52" s="3411">
        <f t="shared" si="19"/>
        <v>0</v>
      </c>
      <c r="N52" s="3411">
        <f t="shared" si="20"/>
        <v>0</v>
      </c>
      <c r="O52" s="3411"/>
      <c r="P52" s="3447">
        <f t="shared" si="24"/>
        <v>758870.16999999993</v>
      </c>
      <c r="Q52" s="3411">
        <f>'Schedule B'!X89</f>
        <v>758870.16999999993</v>
      </c>
      <c r="R52" s="3435">
        <f t="shared" si="25"/>
        <v>0</v>
      </c>
      <c r="S52" s="3459"/>
      <c r="U52" s="3390"/>
      <c r="V52" s="3390"/>
      <c r="W52" s="3390"/>
      <c r="X52" s="3390"/>
      <c r="Y52" s="3390"/>
    </row>
    <row r="53" spans="1:25" s="3389" customFormat="1" ht="15" outlineLevel="1">
      <c r="A53" s="3460" t="str">
        <f>'Schedule B'!C90</f>
        <v>Prelims - Al Rai Modern Water Factory</v>
      </c>
      <c r="B53" s="3410">
        <f>'Schedule B'!E90</f>
        <v>0</v>
      </c>
      <c r="C53" s="3411">
        <f>'Schedule B'!F90</f>
        <v>318320.5</v>
      </c>
      <c r="D53" s="3409">
        <f t="shared" si="21"/>
        <v>318320.5</v>
      </c>
      <c r="E53" s="3412">
        <f>'Schedule B'!H90</f>
        <v>318320.5</v>
      </c>
      <c r="F53" s="3412">
        <f>'Schedule B'!I90+'Schedule B'!J90</f>
        <v>0</v>
      </c>
      <c r="G53" s="3412">
        <f t="shared" si="22"/>
        <v>318320.5</v>
      </c>
      <c r="H53" s="3412"/>
      <c r="I53" s="3412">
        <f>'Schedule B'!M90</f>
        <v>0</v>
      </c>
      <c r="J53" s="3412">
        <f t="shared" si="18"/>
        <v>318320.5</v>
      </c>
      <c r="K53" s="3412">
        <f>'Schedule B'!N90+'Schedule B'!O90</f>
        <v>0</v>
      </c>
      <c r="L53" s="3409">
        <f t="shared" si="23"/>
        <v>318320.5</v>
      </c>
      <c r="M53" s="3411">
        <f t="shared" si="19"/>
        <v>0</v>
      </c>
      <c r="N53" s="3411">
        <f t="shared" si="20"/>
        <v>0</v>
      </c>
      <c r="O53" s="3411"/>
      <c r="P53" s="3447">
        <f t="shared" si="24"/>
        <v>318320.5</v>
      </c>
      <c r="Q53" s="3411">
        <f>'Schedule B'!X90</f>
        <v>318320.5</v>
      </c>
      <c r="R53" s="3435">
        <f t="shared" si="25"/>
        <v>0</v>
      </c>
      <c r="S53" s="3459"/>
      <c r="U53" s="3390"/>
      <c r="V53" s="3390"/>
      <c r="W53" s="3390"/>
      <c r="X53" s="3390"/>
      <c r="Y53" s="3390"/>
    </row>
    <row r="54" spans="1:25" s="3389" customFormat="1" ht="22.5" outlineLevel="1">
      <c r="A54" s="3460" t="str">
        <f>'Schedule B'!C91</f>
        <v>Prelims - NEXTWARE INTERNATIONAL SUPPLY</v>
      </c>
      <c r="B54" s="3410">
        <f>'Schedule B'!E91</f>
        <v>0</v>
      </c>
      <c r="C54" s="3411">
        <f>'Schedule B'!F91</f>
        <v>1845</v>
      </c>
      <c r="D54" s="3409">
        <f t="shared" si="21"/>
        <v>1845</v>
      </c>
      <c r="E54" s="3412">
        <f>'Schedule B'!H91</f>
        <v>1845</v>
      </c>
      <c r="F54" s="3412">
        <f>'Schedule B'!I91+'Schedule B'!J91</f>
        <v>0</v>
      </c>
      <c r="G54" s="3412">
        <f t="shared" si="22"/>
        <v>1845</v>
      </c>
      <c r="H54" s="3412"/>
      <c r="I54" s="3412">
        <f>'Schedule B'!M91</f>
        <v>0</v>
      </c>
      <c r="J54" s="3412">
        <f t="shared" si="18"/>
        <v>1845</v>
      </c>
      <c r="K54" s="3412">
        <f>'Schedule B'!N91+'Schedule B'!O91</f>
        <v>0</v>
      </c>
      <c r="L54" s="3409">
        <f t="shared" si="23"/>
        <v>1845</v>
      </c>
      <c r="M54" s="3411">
        <f t="shared" si="19"/>
        <v>0</v>
      </c>
      <c r="N54" s="3411">
        <f t="shared" si="20"/>
        <v>0</v>
      </c>
      <c r="O54" s="3411"/>
      <c r="P54" s="3447">
        <f t="shared" si="24"/>
        <v>1845</v>
      </c>
      <c r="Q54" s="3411">
        <f>'Schedule B'!X91</f>
        <v>1845</v>
      </c>
      <c r="R54" s="3435">
        <f t="shared" si="25"/>
        <v>0</v>
      </c>
      <c r="S54" s="3459"/>
      <c r="U54" s="3390"/>
      <c r="V54" s="3390"/>
      <c r="W54" s="3390"/>
      <c r="X54" s="3390"/>
      <c r="Y54" s="3390"/>
    </row>
    <row r="55" spans="1:25" s="3389" customFormat="1" ht="15" outlineLevel="1">
      <c r="A55" s="3460" t="str">
        <f>'Schedule B'!C92</f>
        <v xml:space="preserve">Prelims - Virtual Projects DMCC </v>
      </c>
      <c r="B55" s="3410">
        <f>'Schedule B'!E92</f>
        <v>0</v>
      </c>
      <c r="C55" s="3411">
        <f>'Schedule B'!F92</f>
        <v>51948.13</v>
      </c>
      <c r="D55" s="3409">
        <f t="shared" si="21"/>
        <v>51948.13</v>
      </c>
      <c r="E55" s="3412">
        <f>'Schedule B'!H92</f>
        <v>51948.13</v>
      </c>
      <c r="F55" s="3412">
        <f>'Schedule B'!I92+'Schedule B'!J92</f>
        <v>0</v>
      </c>
      <c r="G55" s="3412">
        <f t="shared" si="22"/>
        <v>51948.13</v>
      </c>
      <c r="H55" s="3412"/>
      <c r="I55" s="3412">
        <f>'Schedule B'!M92</f>
        <v>0</v>
      </c>
      <c r="J55" s="3412">
        <f t="shared" si="18"/>
        <v>51948.13</v>
      </c>
      <c r="K55" s="3412">
        <f>'Schedule B'!N92+'Schedule B'!O92</f>
        <v>0</v>
      </c>
      <c r="L55" s="3409">
        <f t="shared" si="23"/>
        <v>51948.13</v>
      </c>
      <c r="M55" s="3411">
        <f t="shared" si="19"/>
        <v>0</v>
      </c>
      <c r="N55" s="3411">
        <f t="shared" si="20"/>
        <v>0</v>
      </c>
      <c r="O55" s="3411"/>
      <c r="P55" s="3447">
        <f t="shared" si="24"/>
        <v>51948.13</v>
      </c>
      <c r="Q55" s="3411">
        <f>'Schedule B'!X92</f>
        <v>51948.13</v>
      </c>
      <c r="R55" s="3435">
        <f t="shared" si="25"/>
        <v>0</v>
      </c>
      <c r="S55" s="3459"/>
      <c r="U55" s="3390"/>
      <c r="V55" s="3390"/>
      <c r="W55" s="3390"/>
      <c r="X55" s="3390"/>
      <c r="Y55" s="3390"/>
    </row>
    <row r="56" spans="1:25" s="3389" customFormat="1" ht="15" outlineLevel="1">
      <c r="A56" s="3460" t="str">
        <f>'Schedule B'!C93</f>
        <v>Prelims - Raddad Al adinah</v>
      </c>
      <c r="B56" s="3410">
        <f>'Schedule B'!E93</f>
        <v>0</v>
      </c>
      <c r="C56" s="3411">
        <f>'Schedule B'!F93</f>
        <v>142131.60999999999</v>
      </c>
      <c r="D56" s="3409">
        <f t="shared" si="21"/>
        <v>142131.60999999999</v>
      </c>
      <c r="E56" s="3412">
        <f>'Schedule B'!H93</f>
        <v>142131.60999999999</v>
      </c>
      <c r="F56" s="3412">
        <f>'Schedule B'!I93+'Schedule B'!J93</f>
        <v>0</v>
      </c>
      <c r="G56" s="3412">
        <f t="shared" si="22"/>
        <v>142131.60999999999</v>
      </c>
      <c r="H56" s="3412"/>
      <c r="I56" s="3412">
        <f>'Schedule B'!M93</f>
        <v>0</v>
      </c>
      <c r="J56" s="3412">
        <f t="shared" si="18"/>
        <v>142131.60999999999</v>
      </c>
      <c r="K56" s="3412">
        <f>'Schedule B'!N93+'Schedule B'!O93</f>
        <v>0</v>
      </c>
      <c r="L56" s="3409">
        <f t="shared" si="23"/>
        <v>142131.60999999999</v>
      </c>
      <c r="M56" s="3411">
        <f t="shared" si="19"/>
        <v>0</v>
      </c>
      <c r="N56" s="3411">
        <f t="shared" si="20"/>
        <v>0</v>
      </c>
      <c r="O56" s="3411"/>
      <c r="P56" s="3447">
        <f t="shared" si="24"/>
        <v>142131.60999999999</v>
      </c>
      <c r="Q56" s="3411">
        <f>'Schedule B'!X93</f>
        <v>142131.60999999999</v>
      </c>
      <c r="R56" s="3435">
        <f t="shared" si="25"/>
        <v>0</v>
      </c>
      <c r="S56" s="3459"/>
      <c r="U56" s="3390"/>
      <c r="V56" s="3390"/>
      <c r="W56" s="3390"/>
      <c r="X56" s="3390"/>
      <c r="Y56" s="3390"/>
    </row>
    <row r="57" spans="1:25" s="3389" customFormat="1" ht="15" outlineLevel="1">
      <c r="A57" s="3460" t="str">
        <f>'Schedule B'!C94</f>
        <v>Prelims - Ahmed Bin Salem Bin Dagher</v>
      </c>
      <c r="B57" s="3410">
        <f>'Schedule B'!E94</f>
        <v>0</v>
      </c>
      <c r="C57" s="3411">
        <f>'Schedule B'!F94</f>
        <v>348199.81</v>
      </c>
      <c r="D57" s="3409">
        <f t="shared" si="21"/>
        <v>348199.81</v>
      </c>
      <c r="E57" s="3412">
        <f>'Schedule B'!H94</f>
        <v>348199.81</v>
      </c>
      <c r="F57" s="3412">
        <f>'Schedule B'!I94+'Schedule B'!J94</f>
        <v>0</v>
      </c>
      <c r="G57" s="3412">
        <f t="shared" si="22"/>
        <v>348199.81</v>
      </c>
      <c r="H57" s="3412"/>
      <c r="I57" s="3412">
        <f>'Schedule B'!M94</f>
        <v>0</v>
      </c>
      <c r="J57" s="3412">
        <f t="shared" si="18"/>
        <v>348199.81</v>
      </c>
      <c r="K57" s="3412">
        <f>'Schedule B'!N94+'Schedule B'!O94</f>
        <v>0</v>
      </c>
      <c r="L57" s="3409">
        <f t="shared" si="23"/>
        <v>348199.81</v>
      </c>
      <c r="M57" s="3411">
        <f t="shared" si="19"/>
        <v>0</v>
      </c>
      <c r="N57" s="3411">
        <f t="shared" si="20"/>
        <v>0</v>
      </c>
      <c r="O57" s="3411"/>
      <c r="P57" s="3447">
        <f t="shared" si="24"/>
        <v>348199.81</v>
      </c>
      <c r="Q57" s="3411">
        <f>'Schedule B'!X94</f>
        <v>348199.81</v>
      </c>
      <c r="R57" s="3435">
        <f t="shared" si="25"/>
        <v>0</v>
      </c>
      <c r="S57" s="3459"/>
      <c r="U57" s="3390"/>
      <c r="V57" s="3390"/>
      <c r="W57" s="3390"/>
      <c r="X57" s="3390"/>
      <c r="Y57" s="3390"/>
    </row>
    <row r="58" spans="1:25" s="3389" customFormat="1" ht="15" outlineLevel="1">
      <c r="A58" s="3460" t="str">
        <f>'Schedule B'!C95</f>
        <v>Prelims - Bahamdoon Trading</v>
      </c>
      <c r="B58" s="3410">
        <f>'Schedule B'!E95</f>
        <v>0</v>
      </c>
      <c r="C58" s="3411">
        <f>'Schedule B'!F95</f>
        <v>1535</v>
      </c>
      <c r="D58" s="3409">
        <f t="shared" si="21"/>
        <v>1535</v>
      </c>
      <c r="E58" s="3412">
        <f>'Schedule B'!H95</f>
        <v>1535</v>
      </c>
      <c r="F58" s="3412">
        <f>'Schedule B'!I95+'Schedule B'!J95</f>
        <v>0</v>
      </c>
      <c r="G58" s="3412">
        <f t="shared" si="22"/>
        <v>1535</v>
      </c>
      <c r="H58" s="3412"/>
      <c r="I58" s="3412">
        <f>'Schedule B'!M95</f>
        <v>0</v>
      </c>
      <c r="J58" s="3412">
        <f t="shared" si="18"/>
        <v>1535</v>
      </c>
      <c r="K58" s="3412">
        <f>'Schedule B'!N95+'Schedule B'!O95</f>
        <v>0</v>
      </c>
      <c r="L58" s="3409">
        <f t="shared" si="23"/>
        <v>1535</v>
      </c>
      <c r="M58" s="3411">
        <f t="shared" si="19"/>
        <v>0</v>
      </c>
      <c r="N58" s="3411">
        <f t="shared" si="20"/>
        <v>0</v>
      </c>
      <c r="O58" s="3411"/>
      <c r="P58" s="3447">
        <f t="shared" si="24"/>
        <v>1535</v>
      </c>
      <c r="Q58" s="3411">
        <f>'Schedule B'!X95</f>
        <v>1535</v>
      </c>
      <c r="R58" s="3435">
        <f t="shared" si="25"/>
        <v>0</v>
      </c>
      <c r="S58" s="3459"/>
      <c r="U58" s="3390"/>
      <c r="V58" s="3390"/>
      <c r="W58" s="3390"/>
      <c r="X58" s="3390"/>
      <c r="Y58" s="3390"/>
    </row>
    <row r="59" spans="1:25" s="3389" customFormat="1" ht="15" outlineLevel="1">
      <c r="A59" s="3460" t="str">
        <f>'Schedule B'!C96</f>
        <v>Prelims - Lumi Rentals</v>
      </c>
      <c r="B59" s="3410">
        <f>'Schedule B'!E96</f>
        <v>0</v>
      </c>
      <c r="C59" s="3411">
        <f>'Schedule B'!F96</f>
        <v>6142.43</v>
      </c>
      <c r="D59" s="3409">
        <f t="shared" si="21"/>
        <v>6142.43</v>
      </c>
      <c r="E59" s="3412">
        <f>'Schedule B'!H96</f>
        <v>6142.43</v>
      </c>
      <c r="F59" s="3412">
        <f>'Schedule B'!I96+'Schedule B'!J96</f>
        <v>0</v>
      </c>
      <c r="G59" s="3412">
        <f t="shared" si="22"/>
        <v>6142.43</v>
      </c>
      <c r="H59" s="3412"/>
      <c r="I59" s="3412">
        <f>'Schedule B'!M96</f>
        <v>0</v>
      </c>
      <c r="J59" s="3412">
        <f t="shared" si="18"/>
        <v>6142.43</v>
      </c>
      <c r="K59" s="3412">
        <f>'Schedule B'!N96+'Schedule B'!O96</f>
        <v>0</v>
      </c>
      <c r="L59" s="3409">
        <f t="shared" si="23"/>
        <v>6142.43</v>
      </c>
      <c r="M59" s="3411">
        <f t="shared" si="19"/>
        <v>0</v>
      </c>
      <c r="N59" s="3411">
        <f t="shared" si="20"/>
        <v>0</v>
      </c>
      <c r="O59" s="3411"/>
      <c r="P59" s="3447">
        <f t="shared" si="24"/>
        <v>6142.43</v>
      </c>
      <c r="Q59" s="3411">
        <f>'Schedule B'!X96</f>
        <v>6142.43</v>
      </c>
      <c r="R59" s="3435">
        <f t="shared" si="25"/>
        <v>0</v>
      </c>
      <c r="S59" s="3459"/>
      <c r="U59" s="3390"/>
      <c r="V59" s="3390"/>
      <c r="W59" s="3390"/>
      <c r="X59" s="3390"/>
      <c r="Y59" s="3390"/>
    </row>
    <row r="60" spans="1:25" s="3389" customFormat="1" ht="15" outlineLevel="1">
      <c r="A60" s="3460" t="str">
        <f>'Schedule B'!C97</f>
        <v>Prelims - Filter Expert Trading</v>
      </c>
      <c r="B60" s="3410">
        <f>'Schedule B'!E97</f>
        <v>0</v>
      </c>
      <c r="C60" s="3411">
        <f>'Schedule B'!F97</f>
        <v>8565</v>
      </c>
      <c r="D60" s="3409">
        <f t="shared" ref="D60:D66" si="26">B60+C60</f>
        <v>8565</v>
      </c>
      <c r="E60" s="3412">
        <f>'Schedule B'!H97</f>
        <v>8565</v>
      </c>
      <c r="F60" s="3412">
        <f>'Schedule B'!I97+'Schedule B'!J97</f>
        <v>0</v>
      </c>
      <c r="G60" s="3412">
        <f t="shared" ref="G60:G66" si="27">E60+F60</f>
        <v>8565</v>
      </c>
      <c r="H60" s="3412"/>
      <c r="I60" s="3412">
        <f>'Schedule B'!M97</f>
        <v>0</v>
      </c>
      <c r="J60" s="3412">
        <f t="shared" si="18"/>
        <v>8565</v>
      </c>
      <c r="K60" s="3412">
        <f>'Schedule B'!N97+'Schedule B'!O97</f>
        <v>0</v>
      </c>
      <c r="L60" s="3409">
        <f t="shared" ref="L60:L66" si="28">J60+K60</f>
        <v>8565</v>
      </c>
      <c r="M60" s="3411">
        <f t="shared" si="19"/>
        <v>0</v>
      </c>
      <c r="N60" s="3411">
        <f t="shared" si="20"/>
        <v>0</v>
      </c>
      <c r="O60" s="3411"/>
      <c r="P60" s="3447">
        <f t="shared" ref="P60:P66" si="29">L60+O60</f>
        <v>8565</v>
      </c>
      <c r="Q60" s="3411">
        <f>'Schedule B'!X97</f>
        <v>8565</v>
      </c>
      <c r="R60" s="3435">
        <f t="shared" ref="R60:R66" si="30">P60-Q60</f>
        <v>0</v>
      </c>
      <c r="S60" s="3459"/>
      <c r="U60" s="3390"/>
      <c r="V60" s="3390"/>
      <c r="W60" s="3390"/>
      <c r="X60" s="3390"/>
      <c r="Y60" s="3390"/>
    </row>
    <row r="61" spans="1:25" s="3389" customFormat="1" ht="15" outlineLevel="1">
      <c r="A61" s="3460" t="str">
        <f>'Schedule B'!C98</f>
        <v>Prelims - Abu Nayyan</v>
      </c>
      <c r="B61" s="3410">
        <f>'Schedule B'!E98</f>
        <v>0</v>
      </c>
      <c r="C61" s="3411">
        <f>'Schedule B'!F98</f>
        <v>17800</v>
      </c>
      <c r="D61" s="3409">
        <f t="shared" si="26"/>
        <v>17800</v>
      </c>
      <c r="E61" s="3412">
        <f>'Schedule B'!H98</f>
        <v>17800</v>
      </c>
      <c r="F61" s="3412">
        <f>'Schedule B'!I98+'Schedule B'!J98</f>
        <v>0</v>
      </c>
      <c r="G61" s="3412">
        <f t="shared" si="27"/>
        <v>17800</v>
      </c>
      <c r="H61" s="3412"/>
      <c r="I61" s="3412">
        <f>'Schedule B'!M98</f>
        <v>0</v>
      </c>
      <c r="J61" s="3412">
        <f t="shared" si="18"/>
        <v>17800</v>
      </c>
      <c r="K61" s="3412">
        <f>'Schedule B'!N98+'Schedule B'!O98</f>
        <v>0</v>
      </c>
      <c r="L61" s="3409">
        <f t="shared" si="28"/>
        <v>17800</v>
      </c>
      <c r="M61" s="3411">
        <f t="shared" si="19"/>
        <v>0</v>
      </c>
      <c r="N61" s="3411">
        <f t="shared" si="20"/>
        <v>0</v>
      </c>
      <c r="O61" s="3411"/>
      <c r="P61" s="3447">
        <f t="shared" si="29"/>
        <v>17800</v>
      </c>
      <c r="Q61" s="3411">
        <f>'Schedule B'!X98</f>
        <v>17800</v>
      </c>
      <c r="R61" s="3435">
        <f t="shared" si="30"/>
        <v>0</v>
      </c>
      <c r="S61" s="3459"/>
      <c r="U61" s="3390"/>
      <c r="V61" s="3390"/>
      <c r="W61" s="3390"/>
      <c r="X61" s="3390"/>
      <c r="Y61" s="3390"/>
    </row>
    <row r="62" spans="1:25" s="3389" customFormat="1" ht="22.5" outlineLevel="1">
      <c r="A62" s="3460" t="str">
        <f>'Schedule B'!C99</f>
        <v>Prelims - Ihsan Muhammed Thakir Idress Trading</v>
      </c>
      <c r="B62" s="3410">
        <f>'Schedule B'!E99</f>
        <v>0</v>
      </c>
      <c r="C62" s="3411">
        <f>'Schedule B'!F99</f>
        <v>99000</v>
      </c>
      <c r="D62" s="3409">
        <f t="shared" si="26"/>
        <v>99000</v>
      </c>
      <c r="E62" s="3412">
        <f>'Schedule B'!H99</f>
        <v>99000</v>
      </c>
      <c r="F62" s="3412">
        <f>'Schedule B'!I99+'Schedule B'!J99</f>
        <v>0</v>
      </c>
      <c r="G62" s="3412">
        <f t="shared" si="27"/>
        <v>99000</v>
      </c>
      <c r="H62" s="3412"/>
      <c r="I62" s="3412">
        <f>'Schedule B'!M99</f>
        <v>0</v>
      </c>
      <c r="J62" s="3412">
        <f t="shared" si="18"/>
        <v>99000</v>
      </c>
      <c r="K62" s="3412">
        <f>'Schedule B'!N99+'Schedule B'!O99</f>
        <v>0</v>
      </c>
      <c r="L62" s="3409">
        <f t="shared" si="28"/>
        <v>99000</v>
      </c>
      <c r="M62" s="3411">
        <f t="shared" si="19"/>
        <v>0</v>
      </c>
      <c r="N62" s="3411">
        <f t="shared" si="20"/>
        <v>0</v>
      </c>
      <c r="O62" s="3411"/>
      <c r="P62" s="3447">
        <f t="shared" si="29"/>
        <v>99000</v>
      </c>
      <c r="Q62" s="3411">
        <f>'Schedule B'!X99</f>
        <v>99000</v>
      </c>
      <c r="R62" s="3435">
        <f t="shared" si="30"/>
        <v>0</v>
      </c>
      <c r="S62" s="3459"/>
      <c r="U62" s="3390"/>
      <c r="V62" s="3390"/>
      <c r="W62" s="3390"/>
      <c r="X62" s="3390"/>
      <c r="Y62" s="3390"/>
    </row>
    <row r="63" spans="1:25" s="3389" customFormat="1" ht="22.5" outlineLevel="1">
      <c r="A63" s="3460" t="str">
        <f>'Schedule B'!C100</f>
        <v>Prelims - Ramzi Abbas Mohd. Sayed Est.</v>
      </c>
      <c r="B63" s="3410">
        <f>'Schedule B'!E100</f>
        <v>0</v>
      </c>
      <c r="C63" s="3411">
        <f>'Schedule B'!F100</f>
        <v>48767</v>
      </c>
      <c r="D63" s="3409">
        <f t="shared" si="26"/>
        <v>48767</v>
      </c>
      <c r="E63" s="3412">
        <f>'Schedule B'!H100</f>
        <v>48767</v>
      </c>
      <c r="F63" s="3412">
        <f>'Schedule B'!I100+'Schedule B'!J100</f>
        <v>0</v>
      </c>
      <c r="G63" s="3412">
        <f t="shared" si="27"/>
        <v>48767</v>
      </c>
      <c r="H63" s="3412"/>
      <c r="I63" s="3412">
        <f>'Schedule B'!M100</f>
        <v>0</v>
      </c>
      <c r="J63" s="3412">
        <f t="shared" si="18"/>
        <v>48767</v>
      </c>
      <c r="K63" s="3412">
        <f>'Schedule B'!N100+'Schedule B'!O100</f>
        <v>0</v>
      </c>
      <c r="L63" s="3409">
        <f t="shared" si="28"/>
        <v>48767</v>
      </c>
      <c r="M63" s="3411">
        <f t="shared" si="19"/>
        <v>0</v>
      </c>
      <c r="N63" s="3411">
        <f t="shared" si="20"/>
        <v>0</v>
      </c>
      <c r="O63" s="3411"/>
      <c r="P63" s="3447">
        <f t="shared" si="29"/>
        <v>48767</v>
      </c>
      <c r="Q63" s="3411">
        <f>'Schedule B'!X100</f>
        <v>48767</v>
      </c>
      <c r="R63" s="3435">
        <f t="shared" si="30"/>
        <v>0</v>
      </c>
      <c r="S63" s="3459"/>
      <c r="U63" s="3390"/>
      <c r="V63" s="3390"/>
      <c r="W63" s="3390"/>
      <c r="X63" s="3390"/>
      <c r="Y63" s="3390"/>
    </row>
    <row r="64" spans="1:25" s="3389" customFormat="1" ht="15" outlineLevel="1">
      <c r="A64" s="3460" t="str">
        <f>'Schedule B'!C101</f>
        <v>Prelims - Al Rayi Water</v>
      </c>
      <c r="B64" s="3410">
        <f>'Schedule B'!E101</f>
        <v>0</v>
      </c>
      <c r="C64" s="3411">
        <f>'Schedule B'!F101</f>
        <v>46655</v>
      </c>
      <c r="D64" s="3409">
        <f t="shared" si="26"/>
        <v>46655</v>
      </c>
      <c r="E64" s="3412">
        <f>'Schedule B'!H101</f>
        <v>46655</v>
      </c>
      <c r="F64" s="3412">
        <f>'Schedule B'!I101+'Schedule B'!J101</f>
        <v>0</v>
      </c>
      <c r="G64" s="3412">
        <f t="shared" si="27"/>
        <v>46655</v>
      </c>
      <c r="H64" s="3412"/>
      <c r="I64" s="3412">
        <f>'Schedule B'!M101</f>
        <v>0</v>
      </c>
      <c r="J64" s="3412">
        <f t="shared" si="18"/>
        <v>46655</v>
      </c>
      <c r="K64" s="3412">
        <f>'Schedule B'!N101+'Schedule B'!O101</f>
        <v>0</v>
      </c>
      <c r="L64" s="3409">
        <f t="shared" si="28"/>
        <v>46655</v>
      </c>
      <c r="M64" s="3411">
        <f t="shared" si="19"/>
        <v>0</v>
      </c>
      <c r="N64" s="3411">
        <f t="shared" si="20"/>
        <v>0</v>
      </c>
      <c r="O64" s="3411"/>
      <c r="P64" s="3447">
        <f t="shared" si="29"/>
        <v>46655</v>
      </c>
      <c r="Q64" s="3411">
        <f>'Schedule B'!X101</f>
        <v>46655</v>
      </c>
      <c r="R64" s="3435">
        <f t="shared" si="30"/>
        <v>0</v>
      </c>
      <c r="S64" s="3459"/>
      <c r="U64" s="3390"/>
      <c r="V64" s="3390"/>
      <c r="W64" s="3390"/>
      <c r="X64" s="3390"/>
      <c r="Y64" s="3390"/>
    </row>
    <row r="65" spans="1:25" s="3389" customFormat="1" ht="15" outlineLevel="1">
      <c r="A65" s="3460" t="str">
        <f>'Schedule B'!C102</f>
        <v>Prelims - GLSAN Contracting Company</v>
      </c>
      <c r="B65" s="3410">
        <f>'Schedule B'!E102</f>
        <v>0</v>
      </c>
      <c r="C65" s="3411">
        <f>'Schedule B'!F102</f>
        <v>8291108.1399999997</v>
      </c>
      <c r="D65" s="3409">
        <f t="shared" si="26"/>
        <v>8291108.1399999997</v>
      </c>
      <c r="E65" s="3412">
        <f>'Schedule B'!H102</f>
        <v>8291108.1399999997</v>
      </c>
      <c r="F65" s="3412">
        <f>'Schedule B'!I102+'Schedule B'!J102</f>
        <v>0</v>
      </c>
      <c r="G65" s="3412">
        <f t="shared" si="27"/>
        <v>8291108.1399999997</v>
      </c>
      <c r="H65" s="3412"/>
      <c r="I65" s="3412">
        <f>'Schedule B'!M102</f>
        <v>0</v>
      </c>
      <c r="J65" s="3412">
        <f t="shared" si="18"/>
        <v>8291108.1399999997</v>
      </c>
      <c r="K65" s="3412">
        <f>'Schedule B'!N102+'Schedule B'!O102</f>
        <v>0</v>
      </c>
      <c r="L65" s="3409">
        <f t="shared" si="28"/>
        <v>8291108.1399999997</v>
      </c>
      <c r="M65" s="3411">
        <f t="shared" si="19"/>
        <v>0</v>
      </c>
      <c r="N65" s="3411">
        <f t="shared" si="20"/>
        <v>0</v>
      </c>
      <c r="O65" s="3411"/>
      <c r="P65" s="3447">
        <f t="shared" si="29"/>
        <v>8291108.1399999997</v>
      </c>
      <c r="Q65" s="3411">
        <f>'Schedule B'!X102</f>
        <v>8291108.1399999997</v>
      </c>
      <c r="R65" s="3435">
        <f t="shared" si="30"/>
        <v>0</v>
      </c>
      <c r="S65" s="3459"/>
      <c r="U65" s="3390"/>
      <c r="V65" s="3390"/>
      <c r="W65" s="3390"/>
      <c r="X65" s="3390"/>
      <c r="Y65" s="3390"/>
    </row>
    <row r="66" spans="1:25" s="3389" customFormat="1" ht="22.5" outlineLevel="1">
      <c r="A66" s="4316" t="str">
        <f>'Schedule B'!C103</f>
        <v>Prelims - GLSAN Contracting Company (Red Sea)</v>
      </c>
      <c r="B66" s="4317">
        <f>'Schedule B'!E103</f>
        <v>0</v>
      </c>
      <c r="C66" s="4318">
        <f>'Schedule B'!F103</f>
        <v>0</v>
      </c>
      <c r="D66" s="3409">
        <f t="shared" si="26"/>
        <v>0</v>
      </c>
      <c r="E66" s="4318">
        <f>'Schedule B'!H103</f>
        <v>0</v>
      </c>
      <c r="F66" s="4318">
        <f>'Schedule B'!I103+'Schedule B'!J103</f>
        <v>0</v>
      </c>
      <c r="G66" s="4318">
        <f t="shared" si="27"/>
        <v>0</v>
      </c>
      <c r="H66" s="4318"/>
      <c r="I66" s="4318">
        <f>'Schedule B'!M103</f>
        <v>0</v>
      </c>
      <c r="J66" s="4318">
        <f t="shared" si="18"/>
        <v>0</v>
      </c>
      <c r="K66" s="4318">
        <f>'Schedule B'!N103+'Schedule B'!O103</f>
        <v>0</v>
      </c>
      <c r="L66" s="3409">
        <f t="shared" si="28"/>
        <v>0</v>
      </c>
      <c r="M66" s="4318">
        <f t="shared" si="19"/>
        <v>0</v>
      </c>
      <c r="N66" s="4318">
        <f t="shared" si="20"/>
        <v>0</v>
      </c>
      <c r="O66" s="4318"/>
      <c r="P66" s="4525">
        <f t="shared" si="29"/>
        <v>0</v>
      </c>
      <c r="Q66" s="4318">
        <f>'Schedule B'!X103</f>
        <v>0</v>
      </c>
      <c r="R66" s="4319">
        <f t="shared" si="30"/>
        <v>0</v>
      </c>
      <c r="S66" s="3459"/>
      <c r="U66" s="3390"/>
      <c r="V66" s="3390"/>
      <c r="W66" s="3390"/>
      <c r="X66" s="3390"/>
      <c r="Y66" s="3390"/>
    </row>
    <row r="67" spans="1:25" s="3389" customFormat="1" ht="15" outlineLevel="1">
      <c r="A67" s="3460" t="str">
        <f>'Schedule B'!C104</f>
        <v>Prelims - Masa Equipment Est</v>
      </c>
      <c r="B67" s="3410">
        <f>'Schedule B'!E104</f>
        <v>0</v>
      </c>
      <c r="C67" s="3411">
        <f>'Schedule B'!F104</f>
        <v>287000</v>
      </c>
      <c r="D67" s="3409">
        <f t="shared" ref="D67:D73" si="31">B67+C67</f>
        <v>287000</v>
      </c>
      <c r="E67" s="3412">
        <f>'Schedule B'!H104</f>
        <v>287000</v>
      </c>
      <c r="F67" s="3412">
        <f>'Schedule B'!I104+'Schedule B'!J104</f>
        <v>0</v>
      </c>
      <c r="G67" s="3412">
        <f t="shared" ref="G67:G73" si="32">E67+F67</f>
        <v>287000</v>
      </c>
      <c r="H67" s="3412"/>
      <c r="I67" s="3412">
        <f>'Schedule B'!M104</f>
        <v>0</v>
      </c>
      <c r="J67" s="3412">
        <f t="shared" si="18"/>
        <v>287000</v>
      </c>
      <c r="K67" s="3412">
        <f>'Schedule B'!N104+'Schedule B'!O104</f>
        <v>0</v>
      </c>
      <c r="L67" s="3409">
        <f t="shared" ref="L67:L73" si="33">J67+K67</f>
        <v>287000</v>
      </c>
      <c r="M67" s="3411">
        <f t="shared" si="19"/>
        <v>0</v>
      </c>
      <c r="N67" s="3411">
        <f t="shared" si="20"/>
        <v>0</v>
      </c>
      <c r="O67" s="3411"/>
      <c r="P67" s="3447">
        <f t="shared" ref="P67:P73" si="34">L67+O67</f>
        <v>287000</v>
      </c>
      <c r="Q67" s="3411">
        <f>'Schedule B'!X104</f>
        <v>287000</v>
      </c>
      <c r="R67" s="3435">
        <f t="shared" ref="R67:R73" si="35">P67-Q67</f>
        <v>0</v>
      </c>
      <c r="S67" s="3459"/>
      <c r="U67" s="3390"/>
      <c r="V67" s="3390"/>
      <c r="W67" s="3390"/>
      <c r="X67" s="3390"/>
      <c r="Y67" s="3390"/>
    </row>
    <row r="68" spans="1:25" s="3389" customFormat="1" ht="22.5" outlineLevel="1">
      <c r="A68" s="3460" t="str">
        <f>'Schedule B'!C105</f>
        <v>Prelims - Al Tala'a International Transportation Co</v>
      </c>
      <c r="B68" s="3410">
        <f>'Schedule B'!E105</f>
        <v>0</v>
      </c>
      <c r="C68" s="3411">
        <f>'Schedule B'!F105</f>
        <v>6608.7</v>
      </c>
      <c r="D68" s="3409">
        <f t="shared" si="31"/>
        <v>6608.7</v>
      </c>
      <c r="E68" s="3412">
        <f>'Schedule B'!H105</f>
        <v>6608.7</v>
      </c>
      <c r="F68" s="3412">
        <f>'Schedule B'!I105+'Schedule B'!J105</f>
        <v>0</v>
      </c>
      <c r="G68" s="3412">
        <f t="shared" si="32"/>
        <v>6608.7</v>
      </c>
      <c r="H68" s="3412"/>
      <c r="I68" s="3412">
        <f>'Schedule B'!M105</f>
        <v>0</v>
      </c>
      <c r="J68" s="3412">
        <f t="shared" si="18"/>
        <v>6608.7</v>
      </c>
      <c r="K68" s="3412">
        <f>'Schedule B'!N105+'Schedule B'!O105</f>
        <v>0</v>
      </c>
      <c r="L68" s="3409">
        <f t="shared" si="33"/>
        <v>6608.7</v>
      </c>
      <c r="M68" s="3411">
        <f t="shared" si="19"/>
        <v>0</v>
      </c>
      <c r="N68" s="3411">
        <f t="shared" si="20"/>
        <v>0</v>
      </c>
      <c r="O68" s="3411"/>
      <c r="P68" s="3447">
        <f t="shared" si="34"/>
        <v>6608.7</v>
      </c>
      <c r="Q68" s="3411">
        <f>'Schedule B'!X105</f>
        <v>6608.7</v>
      </c>
      <c r="R68" s="3435">
        <f t="shared" si="35"/>
        <v>0</v>
      </c>
      <c r="S68" s="3459"/>
      <c r="U68" s="3390"/>
      <c r="V68" s="3390"/>
      <c r="W68" s="3390"/>
      <c r="X68" s="3390"/>
      <c r="Y68" s="3390"/>
    </row>
    <row r="69" spans="1:25" s="3389" customFormat="1" ht="15" outlineLevel="1">
      <c r="A69" s="3460" t="str">
        <f>'Schedule B'!C106</f>
        <v>Prelims - Saudi Brokers</v>
      </c>
      <c r="B69" s="3410">
        <f>'Schedule B'!E106</f>
        <v>0</v>
      </c>
      <c r="C69" s="3411">
        <f>'Schedule B'!F106</f>
        <v>59606.12</v>
      </c>
      <c r="D69" s="3409">
        <f t="shared" si="31"/>
        <v>59606.12</v>
      </c>
      <c r="E69" s="3412">
        <f>'Schedule B'!H106</f>
        <v>59606.12</v>
      </c>
      <c r="F69" s="3412">
        <f>'Schedule B'!I106+'Schedule B'!J106</f>
        <v>0</v>
      </c>
      <c r="G69" s="3412">
        <f t="shared" si="32"/>
        <v>59606.12</v>
      </c>
      <c r="H69" s="3412"/>
      <c r="I69" s="3412">
        <f>'Schedule B'!M106</f>
        <v>0</v>
      </c>
      <c r="J69" s="3412">
        <f t="shared" si="18"/>
        <v>59606.12</v>
      </c>
      <c r="K69" s="3412">
        <f>'Schedule B'!N106+'Schedule B'!O106</f>
        <v>0</v>
      </c>
      <c r="L69" s="3409">
        <f t="shared" si="33"/>
        <v>59606.12</v>
      </c>
      <c r="M69" s="3411">
        <f t="shared" si="19"/>
        <v>0</v>
      </c>
      <c r="N69" s="3411">
        <f t="shared" si="20"/>
        <v>0</v>
      </c>
      <c r="O69" s="3411"/>
      <c r="P69" s="3447">
        <f t="shared" si="34"/>
        <v>59606.12</v>
      </c>
      <c r="Q69" s="3411">
        <f>'Schedule B'!X106</f>
        <v>59606.12</v>
      </c>
      <c r="R69" s="3435">
        <f t="shared" si="35"/>
        <v>0</v>
      </c>
      <c r="S69" s="3459"/>
      <c r="U69" s="3390"/>
      <c r="V69" s="3390"/>
      <c r="W69" s="3390"/>
      <c r="X69" s="3390"/>
      <c r="Y69" s="3390"/>
    </row>
    <row r="70" spans="1:25" s="3389" customFormat="1" ht="15" outlineLevel="1">
      <c r="A70" s="3460" t="str">
        <f>'Schedule B'!C107</f>
        <v>Prelims - Aknan Al Bena</v>
      </c>
      <c r="B70" s="3410">
        <f>'Schedule B'!E107</f>
        <v>0</v>
      </c>
      <c r="C70" s="3411">
        <f>'Schedule B'!F107</f>
        <v>75000</v>
      </c>
      <c r="D70" s="3409">
        <f t="shared" si="31"/>
        <v>75000</v>
      </c>
      <c r="E70" s="3412">
        <f>'Schedule B'!H107</f>
        <v>75000</v>
      </c>
      <c r="F70" s="3412">
        <f>'Schedule B'!I107+'Schedule B'!J107</f>
        <v>0</v>
      </c>
      <c r="G70" s="3412">
        <f t="shared" si="32"/>
        <v>75000</v>
      </c>
      <c r="H70" s="3412"/>
      <c r="I70" s="3412">
        <f>'Schedule B'!M107</f>
        <v>0</v>
      </c>
      <c r="J70" s="3412">
        <f t="shared" si="18"/>
        <v>75000</v>
      </c>
      <c r="K70" s="3412">
        <f>'Schedule B'!N107+'Schedule B'!O107</f>
        <v>0</v>
      </c>
      <c r="L70" s="3409">
        <f t="shared" si="33"/>
        <v>75000</v>
      </c>
      <c r="M70" s="3411">
        <f t="shared" si="19"/>
        <v>0</v>
      </c>
      <c r="N70" s="3411">
        <f t="shared" si="20"/>
        <v>0</v>
      </c>
      <c r="O70" s="3411"/>
      <c r="P70" s="3447">
        <f t="shared" si="34"/>
        <v>75000</v>
      </c>
      <c r="Q70" s="3411">
        <f>'Schedule B'!X107</f>
        <v>75000</v>
      </c>
      <c r="R70" s="3435">
        <f t="shared" si="35"/>
        <v>0</v>
      </c>
      <c r="S70" s="3459"/>
      <c r="U70" s="3390"/>
      <c r="V70" s="3390"/>
      <c r="W70" s="3390"/>
      <c r="X70" s="3390"/>
      <c r="Y70" s="3390"/>
    </row>
    <row r="71" spans="1:25" s="3389" customFormat="1" ht="15" outlineLevel="1">
      <c r="A71" s="3460" t="str">
        <f>'Schedule B'!C108</f>
        <v>Prelims - Emaar Suhali</v>
      </c>
      <c r="B71" s="3410">
        <f>'Schedule B'!E108</f>
        <v>0</v>
      </c>
      <c r="C71" s="3411">
        <f>'Schedule B'!F108</f>
        <v>90000</v>
      </c>
      <c r="D71" s="3409">
        <f t="shared" ref="D71" si="36">B71+C71</f>
        <v>90000</v>
      </c>
      <c r="E71" s="3412">
        <f>'Schedule B'!H108</f>
        <v>90000</v>
      </c>
      <c r="F71" s="3412">
        <f>'Schedule B'!I108+'Schedule B'!J108</f>
        <v>0</v>
      </c>
      <c r="G71" s="3412">
        <f t="shared" ref="G71" si="37">E71+F71</f>
        <v>90000</v>
      </c>
      <c r="H71" s="3412"/>
      <c r="I71" s="3412">
        <f>'Schedule B'!M108</f>
        <v>0</v>
      </c>
      <c r="J71" s="3412">
        <f t="shared" si="18"/>
        <v>90000</v>
      </c>
      <c r="K71" s="3412">
        <f>'Schedule B'!N108+'Schedule B'!O108</f>
        <v>0</v>
      </c>
      <c r="L71" s="3409">
        <f t="shared" ref="L71" si="38">J71+K71</f>
        <v>90000</v>
      </c>
      <c r="M71" s="3411">
        <f t="shared" si="19"/>
        <v>0</v>
      </c>
      <c r="N71" s="3411">
        <f t="shared" si="20"/>
        <v>0</v>
      </c>
      <c r="O71" s="3411"/>
      <c r="P71" s="3447">
        <f t="shared" ref="P71" si="39">L71+O71</f>
        <v>90000</v>
      </c>
      <c r="Q71" s="3411">
        <f>'Schedule B'!X108</f>
        <v>90000</v>
      </c>
      <c r="R71" s="3435">
        <f t="shared" ref="R71" si="40">P71-Q71</f>
        <v>0</v>
      </c>
      <c r="S71" s="3459"/>
      <c r="U71" s="3390"/>
      <c r="V71" s="3390"/>
      <c r="W71" s="3390"/>
      <c r="X71" s="3390"/>
      <c r="Y71" s="3390"/>
    </row>
    <row r="72" spans="1:25" s="3389" customFormat="1" ht="15" outlineLevel="1">
      <c r="A72" s="3460"/>
      <c r="B72" s="3410"/>
      <c r="C72" s="3411"/>
      <c r="D72" s="3409"/>
      <c r="E72" s="3412"/>
      <c r="F72" s="3412"/>
      <c r="G72" s="3412"/>
      <c r="H72" s="3412"/>
      <c r="I72" s="3412"/>
      <c r="J72" s="3412"/>
      <c r="K72" s="3412"/>
      <c r="L72" s="3409"/>
      <c r="M72" s="3411"/>
      <c r="N72" s="3411"/>
      <c r="O72" s="3411"/>
      <c r="P72" s="3447"/>
      <c r="Q72" s="3411"/>
      <c r="R72" s="3435"/>
      <c r="S72" s="3459"/>
      <c r="U72" s="3390"/>
      <c r="V72" s="3390"/>
      <c r="W72" s="3390"/>
      <c r="X72" s="3390"/>
      <c r="Y72" s="3390"/>
    </row>
    <row r="73" spans="1:25" s="3389" customFormat="1" ht="22.5" outlineLevel="1">
      <c r="A73" s="3460" t="str">
        <f>'Schedule B'!C110</f>
        <v>Direct Works - Madar Building material Co</v>
      </c>
      <c r="B73" s="3410">
        <f>'Schedule B'!E110</f>
        <v>0</v>
      </c>
      <c r="C73" s="3411">
        <f>'Schedule B'!F110</f>
        <v>14320</v>
      </c>
      <c r="D73" s="3409">
        <f t="shared" si="31"/>
        <v>14320</v>
      </c>
      <c r="E73" s="3412">
        <f>'Schedule B'!H110</f>
        <v>14320</v>
      </c>
      <c r="F73" s="3412">
        <f>'Schedule B'!I110+'Schedule B'!J110</f>
        <v>0</v>
      </c>
      <c r="G73" s="3412">
        <f t="shared" si="32"/>
        <v>14320</v>
      </c>
      <c r="H73" s="3412"/>
      <c r="I73" s="3412">
        <f>'Schedule B'!M110</f>
        <v>0</v>
      </c>
      <c r="J73" s="3412">
        <f t="shared" ref="J73:J107" si="41">SUM(G73:I73)</f>
        <v>14320</v>
      </c>
      <c r="K73" s="3412">
        <f>'Schedule B'!N110+'Schedule B'!O110</f>
        <v>0</v>
      </c>
      <c r="L73" s="3409">
        <f t="shared" si="33"/>
        <v>14320</v>
      </c>
      <c r="M73" s="3411">
        <f t="shared" ref="M73:M107" si="42">IF(SUM(D73-J73)&lt;0,0,SUM(D73-J73))*0</f>
        <v>0</v>
      </c>
      <c r="N73" s="3411">
        <f t="shared" ref="N73:N107" si="43">IF(SUM(D73-L73)&lt;0,0,SUM(D73-L73))</f>
        <v>0</v>
      </c>
      <c r="O73" s="3411"/>
      <c r="P73" s="3447">
        <f t="shared" si="34"/>
        <v>14320</v>
      </c>
      <c r="Q73" s="3411">
        <f>'Schedule B'!X110</f>
        <v>14320</v>
      </c>
      <c r="R73" s="3435">
        <f t="shared" si="35"/>
        <v>0</v>
      </c>
      <c r="S73" s="3459"/>
      <c r="U73" s="3390"/>
      <c r="V73" s="3390"/>
      <c r="W73" s="3390"/>
      <c r="X73" s="3390"/>
      <c r="Y73" s="3390"/>
    </row>
    <row r="74" spans="1:25" s="3389" customFormat="1" ht="22.5" outlineLevel="1">
      <c r="A74" s="3460" t="str">
        <f>'Schedule B'!C111</f>
        <v>Direct Works - Juffali Technical Equipment Company</v>
      </c>
      <c r="B74" s="3410">
        <f>'Schedule B'!E111</f>
        <v>0</v>
      </c>
      <c r="C74" s="3411">
        <f>'Schedule B'!F111</f>
        <v>12113.599999999999</v>
      </c>
      <c r="D74" s="3409">
        <f t="shared" ref="D74:D97" si="44">B74+C74</f>
        <v>12113.599999999999</v>
      </c>
      <c r="E74" s="3412">
        <f>'Schedule B'!H111</f>
        <v>12113.599999999999</v>
      </c>
      <c r="F74" s="3412">
        <f>'Schedule B'!I111+'Schedule B'!J111</f>
        <v>0</v>
      </c>
      <c r="G74" s="3412">
        <f t="shared" ref="G74:G97" si="45">E74+F74</f>
        <v>12113.599999999999</v>
      </c>
      <c r="H74" s="3412"/>
      <c r="I74" s="3412">
        <f>'Schedule B'!M111</f>
        <v>0</v>
      </c>
      <c r="J74" s="3412">
        <f t="shared" si="41"/>
        <v>12113.599999999999</v>
      </c>
      <c r="K74" s="3412">
        <f>'Schedule B'!N111+'Schedule B'!O111</f>
        <v>0</v>
      </c>
      <c r="L74" s="3409">
        <f t="shared" ref="L74:L103" si="46">J74+K74</f>
        <v>12113.599999999999</v>
      </c>
      <c r="M74" s="3411">
        <f t="shared" si="42"/>
        <v>0</v>
      </c>
      <c r="N74" s="3411">
        <f t="shared" si="43"/>
        <v>0</v>
      </c>
      <c r="O74" s="3411"/>
      <c r="P74" s="3447">
        <f t="shared" ref="P74:P103" si="47">L74+O74</f>
        <v>12113.599999999999</v>
      </c>
      <c r="Q74" s="3411">
        <f>'Schedule B'!X111</f>
        <v>12113.599999999999</v>
      </c>
      <c r="R74" s="3435">
        <f t="shared" ref="R74:R103" si="48">P74-Q74</f>
        <v>0</v>
      </c>
      <c r="S74" s="3459"/>
      <c r="U74" s="3390"/>
      <c r="V74" s="3390"/>
      <c r="W74" s="3390"/>
      <c r="X74" s="3390"/>
      <c r="Y74" s="3390"/>
    </row>
    <row r="75" spans="1:25" s="3389" customFormat="1" ht="15" outlineLevel="1">
      <c r="A75" s="3460" t="str">
        <f>'Schedule B'!C112</f>
        <v>Direct Works -  USG Middle East Ltd. Co</v>
      </c>
      <c r="B75" s="3410">
        <f>'Schedule B'!E112</f>
        <v>0</v>
      </c>
      <c r="C75" s="3411">
        <f>'Schedule B'!F112</f>
        <v>39954.82</v>
      </c>
      <c r="D75" s="3409">
        <f t="shared" si="44"/>
        <v>39954.82</v>
      </c>
      <c r="E75" s="3412">
        <f>'Schedule B'!H112</f>
        <v>39954.82</v>
      </c>
      <c r="F75" s="3412">
        <f>'Schedule B'!I112+'Schedule B'!J112</f>
        <v>0</v>
      </c>
      <c r="G75" s="3412">
        <f t="shared" si="45"/>
        <v>39954.82</v>
      </c>
      <c r="H75" s="3412"/>
      <c r="I75" s="3412">
        <f>'Schedule B'!M112</f>
        <v>0</v>
      </c>
      <c r="J75" s="3412">
        <f t="shared" si="41"/>
        <v>39954.82</v>
      </c>
      <c r="K75" s="3412">
        <f>'Schedule B'!N112+'Schedule B'!O112</f>
        <v>0</v>
      </c>
      <c r="L75" s="3409">
        <f t="shared" si="46"/>
        <v>39954.82</v>
      </c>
      <c r="M75" s="3411">
        <f t="shared" si="42"/>
        <v>0</v>
      </c>
      <c r="N75" s="3411">
        <f t="shared" si="43"/>
        <v>0</v>
      </c>
      <c r="O75" s="3411"/>
      <c r="P75" s="3447">
        <f t="shared" si="47"/>
        <v>39954.82</v>
      </c>
      <c r="Q75" s="3411">
        <f>'Schedule B'!X112</f>
        <v>39954.82</v>
      </c>
      <c r="R75" s="3435">
        <f t="shared" si="48"/>
        <v>0</v>
      </c>
      <c r="S75" s="3459"/>
      <c r="U75" s="3390"/>
      <c r="V75" s="3390"/>
      <c r="W75" s="3390"/>
      <c r="X75" s="3390"/>
      <c r="Y75" s="3390"/>
    </row>
    <row r="76" spans="1:25" s="3389" customFormat="1" ht="15" outlineLevel="1">
      <c r="A76" s="3460" t="str">
        <f>'Schedule B'!C113</f>
        <v>Direct Works - Abu Dhabi Precast</v>
      </c>
      <c r="B76" s="3410">
        <f>'Schedule B'!E113</f>
        <v>0</v>
      </c>
      <c r="C76" s="3411">
        <f>'Schedule B'!F113</f>
        <v>3619680.62</v>
      </c>
      <c r="D76" s="3409">
        <f t="shared" si="44"/>
        <v>3619680.62</v>
      </c>
      <c r="E76" s="3412">
        <f>'Schedule B'!H113</f>
        <v>3619680.62</v>
      </c>
      <c r="F76" s="3412">
        <f>'Schedule B'!I113+'Schedule B'!J113</f>
        <v>0</v>
      </c>
      <c r="G76" s="3412">
        <f t="shared" si="45"/>
        <v>3619680.62</v>
      </c>
      <c r="H76" s="3412"/>
      <c r="I76" s="3412">
        <f>'Schedule B'!M113</f>
        <v>0</v>
      </c>
      <c r="J76" s="3412">
        <f t="shared" si="41"/>
        <v>3619680.62</v>
      </c>
      <c r="K76" s="3412">
        <f>'Schedule B'!N113+'Schedule B'!O113</f>
        <v>0</v>
      </c>
      <c r="L76" s="3409">
        <f t="shared" si="46"/>
        <v>3619680.62</v>
      </c>
      <c r="M76" s="3411">
        <f t="shared" si="42"/>
        <v>0</v>
      </c>
      <c r="N76" s="3411">
        <f t="shared" si="43"/>
        <v>0</v>
      </c>
      <c r="O76" s="3411"/>
      <c r="P76" s="3447">
        <f t="shared" si="47"/>
        <v>3619680.62</v>
      </c>
      <c r="Q76" s="3411">
        <f>'Schedule B'!X113</f>
        <v>3619680.62</v>
      </c>
      <c r="R76" s="3435">
        <f t="shared" si="48"/>
        <v>0</v>
      </c>
      <c r="S76" s="3459"/>
      <c r="U76" s="3390"/>
      <c r="V76" s="3390"/>
      <c r="W76" s="3390"/>
      <c r="X76" s="3390"/>
      <c r="Y76" s="3390"/>
    </row>
    <row r="77" spans="1:25" s="3389" customFormat="1" ht="15" outlineLevel="1">
      <c r="A77" s="3460" t="str">
        <f>'Schedule B'!C114</f>
        <v>Direct Works - SAMIF</v>
      </c>
      <c r="B77" s="3410">
        <f>'Schedule B'!E114</f>
        <v>0</v>
      </c>
      <c r="C77" s="3411">
        <f>'Schedule B'!F114</f>
        <v>6340696.8999999994</v>
      </c>
      <c r="D77" s="3409">
        <f t="shared" si="44"/>
        <v>6340696.8999999994</v>
      </c>
      <c r="E77" s="3412">
        <f>'Schedule B'!H114</f>
        <v>6340696.8999999994</v>
      </c>
      <c r="F77" s="3412">
        <f>'Schedule B'!I114+'Schedule B'!J114</f>
        <v>0</v>
      </c>
      <c r="G77" s="3412">
        <f t="shared" si="45"/>
        <v>6340696.8999999994</v>
      </c>
      <c r="H77" s="3412"/>
      <c r="I77" s="3412">
        <f>'Schedule B'!M114</f>
        <v>0</v>
      </c>
      <c r="J77" s="3412">
        <f t="shared" si="41"/>
        <v>6340696.8999999994</v>
      </c>
      <c r="K77" s="3412">
        <f>'Schedule B'!N114+'Schedule B'!O114</f>
        <v>0</v>
      </c>
      <c r="L77" s="3409">
        <f t="shared" si="46"/>
        <v>6340696.8999999994</v>
      </c>
      <c r="M77" s="3411">
        <f t="shared" si="42"/>
        <v>0</v>
      </c>
      <c r="N77" s="3411">
        <f t="shared" si="43"/>
        <v>0</v>
      </c>
      <c r="O77" s="3411"/>
      <c r="P77" s="3447">
        <f t="shared" si="47"/>
        <v>6340696.8999999994</v>
      </c>
      <c r="Q77" s="3411">
        <f>'Schedule B'!X114</f>
        <v>6340696.8999999994</v>
      </c>
      <c r="R77" s="3435">
        <f t="shared" si="48"/>
        <v>0</v>
      </c>
      <c r="S77" s="3459"/>
      <c r="U77" s="3390"/>
      <c r="V77" s="3390"/>
      <c r="W77" s="3390"/>
      <c r="X77" s="3390"/>
      <c r="Y77" s="3390"/>
    </row>
    <row r="78" spans="1:25" s="3389" customFormat="1" ht="32.25" customHeight="1" outlineLevel="1">
      <c r="A78" s="3460" t="str">
        <f>'Schedule B'!C115</f>
        <v>Direct Works - SAUDI MANPOWER SOLUTIONS CO</v>
      </c>
      <c r="B78" s="3410">
        <f>'Schedule B'!E115</f>
        <v>0</v>
      </c>
      <c r="C78" s="3411">
        <f>'Schedule B'!F115</f>
        <v>377764.03</v>
      </c>
      <c r="D78" s="3409">
        <f t="shared" si="44"/>
        <v>377764.03</v>
      </c>
      <c r="E78" s="3412">
        <f>'Schedule B'!H115</f>
        <v>377764.03</v>
      </c>
      <c r="F78" s="3412">
        <f>'Schedule B'!I115+'Schedule B'!J115</f>
        <v>0</v>
      </c>
      <c r="G78" s="3412">
        <f t="shared" si="45"/>
        <v>377764.03</v>
      </c>
      <c r="H78" s="3412"/>
      <c r="I78" s="3412">
        <f>'Schedule B'!M115</f>
        <v>0</v>
      </c>
      <c r="J78" s="3412">
        <f t="shared" si="41"/>
        <v>377764.03</v>
      </c>
      <c r="K78" s="3412">
        <f>'Schedule B'!N115+'Schedule B'!O115</f>
        <v>0</v>
      </c>
      <c r="L78" s="3409">
        <f t="shared" si="46"/>
        <v>377764.03</v>
      </c>
      <c r="M78" s="3411">
        <f t="shared" si="42"/>
        <v>0</v>
      </c>
      <c r="N78" s="3411">
        <f t="shared" si="43"/>
        <v>0</v>
      </c>
      <c r="O78" s="3411"/>
      <c r="P78" s="3447">
        <f t="shared" si="47"/>
        <v>377764.03</v>
      </c>
      <c r="Q78" s="3411">
        <f>'Schedule B'!X115</f>
        <v>377764.03</v>
      </c>
      <c r="R78" s="3435">
        <f t="shared" si="48"/>
        <v>0</v>
      </c>
      <c r="S78" s="3459"/>
      <c r="U78" s="3390"/>
      <c r="V78" s="3390"/>
      <c r="W78" s="3390"/>
      <c r="X78" s="3390"/>
      <c r="Y78" s="3390"/>
    </row>
    <row r="79" spans="1:25" s="3389" customFormat="1" ht="15" outlineLevel="1">
      <c r="A79" s="3460" t="str">
        <f>'Schedule B'!C116</f>
        <v>Direct Works - Fosam Company LTD</v>
      </c>
      <c r="B79" s="3410">
        <f>'Schedule B'!E116</f>
        <v>0</v>
      </c>
      <c r="C79" s="3411">
        <f>'Schedule B'!F116</f>
        <v>40570</v>
      </c>
      <c r="D79" s="3409">
        <f t="shared" si="44"/>
        <v>40570</v>
      </c>
      <c r="E79" s="3412">
        <f>'Schedule B'!H116</f>
        <v>40570</v>
      </c>
      <c r="F79" s="3412">
        <f>'Schedule B'!I116+'Schedule B'!J116</f>
        <v>0</v>
      </c>
      <c r="G79" s="3412">
        <f t="shared" si="45"/>
        <v>40570</v>
      </c>
      <c r="H79" s="3412"/>
      <c r="I79" s="3412">
        <f>'Schedule B'!M116</f>
        <v>0</v>
      </c>
      <c r="J79" s="3412">
        <f t="shared" si="41"/>
        <v>40570</v>
      </c>
      <c r="K79" s="3412">
        <f>'Schedule B'!N116+'Schedule B'!O116</f>
        <v>0</v>
      </c>
      <c r="L79" s="3409">
        <f t="shared" si="46"/>
        <v>40570</v>
      </c>
      <c r="M79" s="3411">
        <f t="shared" si="42"/>
        <v>0</v>
      </c>
      <c r="N79" s="3411">
        <f t="shared" si="43"/>
        <v>0</v>
      </c>
      <c r="O79" s="3411"/>
      <c r="P79" s="3447">
        <f t="shared" si="47"/>
        <v>40570</v>
      </c>
      <c r="Q79" s="3411">
        <f>'Schedule B'!X116</f>
        <v>40570</v>
      </c>
      <c r="R79" s="3435">
        <f t="shared" si="48"/>
        <v>0</v>
      </c>
      <c r="S79" s="3459"/>
      <c r="U79" s="3390"/>
      <c r="V79" s="3390"/>
      <c r="W79" s="3390"/>
      <c r="X79" s="3390"/>
      <c r="Y79" s="3390"/>
    </row>
    <row r="80" spans="1:25" s="3389" customFormat="1" ht="15" outlineLevel="1">
      <c r="A80" s="3460" t="str">
        <f>'Schedule B'!C117</f>
        <v xml:space="preserve">Direct Works - Glow Arabia Trading </v>
      </c>
      <c r="B80" s="3410">
        <f>'Schedule B'!E117</f>
        <v>0</v>
      </c>
      <c r="C80" s="3411">
        <f>'Schedule B'!F117</f>
        <v>49460.5</v>
      </c>
      <c r="D80" s="3409">
        <f t="shared" si="44"/>
        <v>49460.5</v>
      </c>
      <c r="E80" s="3412">
        <f>'Schedule B'!H117</f>
        <v>49460.5</v>
      </c>
      <c r="F80" s="3412">
        <f>'Schedule B'!I117+'Schedule B'!J117</f>
        <v>0</v>
      </c>
      <c r="G80" s="3412">
        <f t="shared" si="45"/>
        <v>49460.5</v>
      </c>
      <c r="H80" s="3412"/>
      <c r="I80" s="3412">
        <f>'Schedule B'!M117</f>
        <v>0</v>
      </c>
      <c r="J80" s="3412">
        <f t="shared" si="41"/>
        <v>49460.5</v>
      </c>
      <c r="K80" s="3412">
        <f>'Schedule B'!N117+'Schedule B'!O117</f>
        <v>0</v>
      </c>
      <c r="L80" s="3409">
        <f t="shared" si="46"/>
        <v>49460.5</v>
      </c>
      <c r="M80" s="3411">
        <f t="shared" si="42"/>
        <v>0</v>
      </c>
      <c r="N80" s="3411">
        <f t="shared" si="43"/>
        <v>0</v>
      </c>
      <c r="O80" s="3411"/>
      <c r="P80" s="3447">
        <f t="shared" si="47"/>
        <v>49460.5</v>
      </c>
      <c r="Q80" s="3411">
        <f>'Schedule B'!X117</f>
        <v>49460.5</v>
      </c>
      <c r="R80" s="3435">
        <f t="shared" si="48"/>
        <v>0</v>
      </c>
      <c r="S80" s="3459"/>
      <c r="U80" s="3390"/>
      <c r="V80" s="3390"/>
      <c r="W80" s="3390"/>
      <c r="X80" s="3390"/>
      <c r="Y80" s="3390"/>
    </row>
    <row r="81" spans="1:25" s="3389" customFormat="1" ht="22.5" outlineLevel="1">
      <c r="A81" s="3460" t="str">
        <f>'Schedule B'!C118</f>
        <v>Direct Works - BROOQ ALAMAAN TRAD COMPANY</v>
      </c>
      <c r="B81" s="3410">
        <f>'Schedule B'!E118</f>
        <v>0</v>
      </c>
      <c r="C81" s="3411">
        <f>'Schedule B'!F118</f>
        <v>130305.72</v>
      </c>
      <c r="D81" s="3409">
        <f t="shared" si="44"/>
        <v>130305.72</v>
      </c>
      <c r="E81" s="3412">
        <f>'Schedule B'!H118</f>
        <v>130305.72</v>
      </c>
      <c r="F81" s="3412">
        <f>'Schedule B'!I118+'Schedule B'!J118</f>
        <v>0</v>
      </c>
      <c r="G81" s="3412">
        <f t="shared" si="45"/>
        <v>130305.72</v>
      </c>
      <c r="H81" s="3412"/>
      <c r="I81" s="3412">
        <f>'Schedule B'!M118</f>
        <v>0</v>
      </c>
      <c r="J81" s="3412">
        <f t="shared" si="41"/>
        <v>130305.72</v>
      </c>
      <c r="K81" s="3412">
        <f>'Schedule B'!N118+'Schedule B'!O118</f>
        <v>0</v>
      </c>
      <c r="L81" s="3409">
        <f t="shared" si="46"/>
        <v>130305.72</v>
      </c>
      <c r="M81" s="3411">
        <f t="shared" si="42"/>
        <v>0</v>
      </c>
      <c r="N81" s="3411">
        <f t="shared" si="43"/>
        <v>0</v>
      </c>
      <c r="O81" s="3411"/>
      <c r="P81" s="3447">
        <f t="shared" si="47"/>
        <v>130305.72</v>
      </c>
      <c r="Q81" s="3411">
        <f>'Schedule B'!X118</f>
        <v>130305.72</v>
      </c>
      <c r="R81" s="3435">
        <f t="shared" si="48"/>
        <v>0</v>
      </c>
      <c r="S81" s="3459"/>
      <c r="U81" s="3390"/>
      <c r="V81" s="3390"/>
      <c r="W81" s="3390"/>
      <c r="X81" s="3390"/>
      <c r="Y81" s="3390"/>
    </row>
    <row r="82" spans="1:25" s="3389" customFormat="1" ht="22.5" outlineLevel="1">
      <c r="A82" s="3460" t="str">
        <f>'Schedule B'!C119</f>
        <v>Direct Works - Abeer Munawer Al Shamari</v>
      </c>
      <c r="B82" s="3410">
        <f>'Schedule B'!E119</f>
        <v>0</v>
      </c>
      <c r="C82" s="3411">
        <f>'Schedule B'!F119</f>
        <v>1059365.93</v>
      </c>
      <c r="D82" s="3409">
        <f t="shared" si="44"/>
        <v>1059365.93</v>
      </c>
      <c r="E82" s="3412">
        <f>'Schedule B'!H119</f>
        <v>1059365.93</v>
      </c>
      <c r="F82" s="3412">
        <f>'Schedule B'!I119+'Schedule B'!J119</f>
        <v>0</v>
      </c>
      <c r="G82" s="3412">
        <f t="shared" si="45"/>
        <v>1059365.93</v>
      </c>
      <c r="H82" s="3412"/>
      <c r="I82" s="3412">
        <f>'Schedule B'!M119</f>
        <v>0</v>
      </c>
      <c r="J82" s="3412">
        <f t="shared" si="41"/>
        <v>1059365.93</v>
      </c>
      <c r="K82" s="3412">
        <f>'Schedule B'!N119+'Schedule B'!O119</f>
        <v>0</v>
      </c>
      <c r="L82" s="3409">
        <f t="shared" si="46"/>
        <v>1059365.93</v>
      </c>
      <c r="M82" s="3411">
        <f t="shared" si="42"/>
        <v>0</v>
      </c>
      <c r="N82" s="3411">
        <f t="shared" si="43"/>
        <v>0</v>
      </c>
      <c r="O82" s="3411"/>
      <c r="P82" s="3447">
        <f t="shared" si="47"/>
        <v>1059365.93</v>
      </c>
      <c r="Q82" s="3411">
        <f>'Schedule B'!X119</f>
        <v>1059365.93</v>
      </c>
      <c r="R82" s="3435">
        <f t="shared" si="48"/>
        <v>0</v>
      </c>
      <c r="S82" s="3459"/>
      <c r="U82" s="3390"/>
      <c r="V82" s="3390"/>
      <c r="W82" s="3390"/>
      <c r="X82" s="3390"/>
      <c r="Y82" s="3390"/>
    </row>
    <row r="83" spans="1:25" s="3389" customFormat="1" ht="22.5" outlineLevel="1">
      <c r="A83" s="3460" t="str">
        <f>'Schedule B'!C120</f>
        <v>Direct Works - Yaz Development Contracting</v>
      </c>
      <c r="B83" s="3410">
        <f>'Schedule B'!E120</f>
        <v>0</v>
      </c>
      <c r="C83" s="3411">
        <f>'Schedule B'!F120</f>
        <v>1036210</v>
      </c>
      <c r="D83" s="3409">
        <f t="shared" si="44"/>
        <v>1036210</v>
      </c>
      <c r="E83" s="3412">
        <f>'Schedule B'!H120</f>
        <v>1036210</v>
      </c>
      <c r="F83" s="3412">
        <f>'Schedule B'!I120+'Schedule B'!J120</f>
        <v>0</v>
      </c>
      <c r="G83" s="3412">
        <f t="shared" si="45"/>
        <v>1036210</v>
      </c>
      <c r="H83" s="3412"/>
      <c r="I83" s="3412">
        <f>'Schedule B'!M120</f>
        <v>0</v>
      </c>
      <c r="J83" s="3412">
        <f t="shared" si="41"/>
        <v>1036210</v>
      </c>
      <c r="K83" s="3412">
        <f>'Schedule B'!N120+'Schedule B'!O120</f>
        <v>0</v>
      </c>
      <c r="L83" s="3409">
        <f t="shared" si="46"/>
        <v>1036210</v>
      </c>
      <c r="M83" s="3411">
        <f t="shared" si="42"/>
        <v>0</v>
      </c>
      <c r="N83" s="3411">
        <f t="shared" si="43"/>
        <v>0</v>
      </c>
      <c r="O83" s="3411"/>
      <c r="P83" s="3447">
        <f t="shared" si="47"/>
        <v>1036210</v>
      </c>
      <c r="Q83" s="3411">
        <f>'Schedule B'!X120</f>
        <v>1036210</v>
      </c>
      <c r="R83" s="3435">
        <f t="shared" si="48"/>
        <v>0</v>
      </c>
      <c r="S83" s="3459"/>
      <c r="U83" s="3390"/>
      <c r="V83" s="3390"/>
      <c r="W83" s="3390"/>
      <c r="X83" s="3390"/>
      <c r="Y83" s="3390"/>
    </row>
    <row r="84" spans="1:25" s="3389" customFormat="1" ht="15" outlineLevel="1">
      <c r="A84" s="3460" t="str">
        <f>'Schedule B'!C121</f>
        <v>Direct Works - Naffco</v>
      </c>
      <c r="B84" s="3410">
        <f>'Schedule B'!E121</f>
        <v>0</v>
      </c>
      <c r="C84" s="3411">
        <f>'Schedule B'!F121</f>
        <v>936325.92999999993</v>
      </c>
      <c r="D84" s="3409">
        <f t="shared" si="44"/>
        <v>936325.92999999993</v>
      </c>
      <c r="E84" s="3412">
        <f>'Schedule B'!H121</f>
        <v>936325.92999999993</v>
      </c>
      <c r="F84" s="3412">
        <f>'Schedule B'!I121+'Schedule B'!J121</f>
        <v>0</v>
      </c>
      <c r="G84" s="3412">
        <f t="shared" si="45"/>
        <v>936325.92999999993</v>
      </c>
      <c r="H84" s="3412"/>
      <c r="I84" s="3412">
        <f>'Schedule B'!M121</f>
        <v>0</v>
      </c>
      <c r="J84" s="3412">
        <f t="shared" si="41"/>
        <v>936325.92999999993</v>
      </c>
      <c r="K84" s="3412">
        <f>'Schedule B'!N121+'Schedule B'!O121</f>
        <v>0</v>
      </c>
      <c r="L84" s="3409">
        <f t="shared" si="46"/>
        <v>936325.92999999993</v>
      </c>
      <c r="M84" s="3411">
        <f t="shared" si="42"/>
        <v>0</v>
      </c>
      <c r="N84" s="3411">
        <f t="shared" si="43"/>
        <v>0</v>
      </c>
      <c r="O84" s="3411"/>
      <c r="P84" s="3447">
        <f t="shared" si="47"/>
        <v>936325.92999999993</v>
      </c>
      <c r="Q84" s="3411">
        <f>'Schedule B'!X121</f>
        <v>936325.92999999993</v>
      </c>
      <c r="R84" s="3435">
        <f t="shared" si="48"/>
        <v>0</v>
      </c>
      <c r="S84" s="3459"/>
      <c r="U84" s="3390"/>
      <c r="V84" s="3390"/>
      <c r="W84" s="3390"/>
      <c r="X84" s="3390"/>
      <c r="Y84" s="3390"/>
    </row>
    <row r="85" spans="1:25" s="3389" customFormat="1" ht="15" outlineLevel="1">
      <c r="A85" s="3460" t="str">
        <f>'Schedule B'!C122</f>
        <v>Direct Works - GESR Alarab</v>
      </c>
      <c r="B85" s="3410">
        <f>'Schedule B'!E122</f>
        <v>0</v>
      </c>
      <c r="C85" s="3411">
        <f>'Schedule B'!F122</f>
        <v>2444255.5</v>
      </c>
      <c r="D85" s="3409">
        <f t="shared" si="44"/>
        <v>2444255.5</v>
      </c>
      <c r="E85" s="3412">
        <f>'Schedule B'!H122</f>
        <v>2444255.5</v>
      </c>
      <c r="F85" s="3412">
        <f>'Schedule B'!I122+'Schedule B'!J122</f>
        <v>0</v>
      </c>
      <c r="G85" s="3412">
        <f t="shared" si="45"/>
        <v>2444255.5</v>
      </c>
      <c r="H85" s="3412"/>
      <c r="I85" s="3412">
        <f>'Schedule B'!M122</f>
        <v>0</v>
      </c>
      <c r="J85" s="3412">
        <f t="shared" si="41"/>
        <v>2444255.5</v>
      </c>
      <c r="K85" s="3412">
        <f>'Schedule B'!N122+'Schedule B'!O122</f>
        <v>0</v>
      </c>
      <c r="L85" s="3409">
        <f t="shared" si="46"/>
        <v>2444255.5</v>
      </c>
      <c r="M85" s="3411">
        <f t="shared" si="42"/>
        <v>0</v>
      </c>
      <c r="N85" s="3411">
        <f t="shared" si="43"/>
        <v>0</v>
      </c>
      <c r="O85" s="3411"/>
      <c r="P85" s="3447">
        <f t="shared" si="47"/>
        <v>2444255.5</v>
      </c>
      <c r="Q85" s="3411">
        <f>'Schedule B'!X122</f>
        <v>2444255.5</v>
      </c>
      <c r="R85" s="3435">
        <f t="shared" si="48"/>
        <v>0</v>
      </c>
      <c r="S85" s="3459"/>
      <c r="U85" s="3390"/>
      <c r="V85" s="3390"/>
      <c r="W85" s="3390"/>
      <c r="X85" s="3390"/>
      <c r="Y85" s="3390"/>
    </row>
    <row r="86" spans="1:25" s="3389" customFormat="1" ht="27.75" customHeight="1" outlineLevel="1">
      <c r="A86" s="3460" t="str">
        <f>'Schedule B'!C123</f>
        <v>Direct Works - Jameel Mohamed Hussain Alqatafa Cont Est</v>
      </c>
      <c r="B86" s="3410">
        <f>'Schedule B'!E123</f>
        <v>0</v>
      </c>
      <c r="C86" s="3411">
        <f>'Schedule B'!F123</f>
        <v>127257.78</v>
      </c>
      <c r="D86" s="3409">
        <f t="shared" si="44"/>
        <v>127257.78</v>
      </c>
      <c r="E86" s="3412">
        <f>'Schedule B'!H123</f>
        <v>127257.78</v>
      </c>
      <c r="F86" s="3412">
        <f>'Schedule B'!I123+'Schedule B'!J123</f>
        <v>0</v>
      </c>
      <c r="G86" s="3412">
        <f t="shared" si="45"/>
        <v>127257.78</v>
      </c>
      <c r="H86" s="3412"/>
      <c r="I86" s="3412">
        <f>'Schedule B'!M123</f>
        <v>0</v>
      </c>
      <c r="J86" s="3412">
        <f t="shared" si="41"/>
        <v>127257.78</v>
      </c>
      <c r="K86" s="3412">
        <f>'Schedule B'!N123+'Schedule B'!O123</f>
        <v>0</v>
      </c>
      <c r="L86" s="3409">
        <f t="shared" si="46"/>
        <v>127257.78</v>
      </c>
      <c r="M86" s="3411">
        <f t="shared" si="42"/>
        <v>0</v>
      </c>
      <c r="N86" s="3411">
        <f t="shared" si="43"/>
        <v>0</v>
      </c>
      <c r="O86" s="3411"/>
      <c r="P86" s="3447">
        <f t="shared" si="47"/>
        <v>127257.78</v>
      </c>
      <c r="Q86" s="3411">
        <f>'Schedule B'!X123</f>
        <v>127257.78</v>
      </c>
      <c r="R86" s="3435">
        <f t="shared" si="48"/>
        <v>0</v>
      </c>
      <c r="S86" s="3459"/>
      <c r="U86" s="3390"/>
      <c r="V86" s="3390"/>
      <c r="W86" s="3390"/>
      <c r="X86" s="3390"/>
      <c r="Y86" s="3390"/>
    </row>
    <row r="87" spans="1:25" s="3389" customFormat="1" ht="15" outlineLevel="1">
      <c r="A87" s="3460" t="str">
        <f>'Schedule B'!C124</f>
        <v>Direct Works - MEDTEL</v>
      </c>
      <c r="B87" s="3410">
        <f>'Schedule B'!E124</f>
        <v>0</v>
      </c>
      <c r="C87" s="3411">
        <f>'Schedule B'!F124</f>
        <v>5913785.5800000001</v>
      </c>
      <c r="D87" s="3409">
        <f t="shared" si="44"/>
        <v>5913785.5800000001</v>
      </c>
      <c r="E87" s="3412">
        <f>'Schedule B'!H124</f>
        <v>5913785.5800000001</v>
      </c>
      <c r="F87" s="3412">
        <f>'Schedule B'!I124+'Schedule B'!J124</f>
        <v>0</v>
      </c>
      <c r="G87" s="3412">
        <f t="shared" si="45"/>
        <v>5913785.5800000001</v>
      </c>
      <c r="H87" s="3412"/>
      <c r="I87" s="3412">
        <f>'Schedule B'!M124</f>
        <v>0</v>
      </c>
      <c r="J87" s="3412">
        <f t="shared" si="41"/>
        <v>5913785.5800000001</v>
      </c>
      <c r="K87" s="3412">
        <f>'Schedule B'!N124+'Schedule B'!O124</f>
        <v>0</v>
      </c>
      <c r="L87" s="3409">
        <f t="shared" si="46"/>
        <v>5913785.5800000001</v>
      </c>
      <c r="M87" s="3411">
        <f t="shared" si="42"/>
        <v>0</v>
      </c>
      <c r="N87" s="3411">
        <f t="shared" si="43"/>
        <v>0</v>
      </c>
      <c r="O87" s="3411"/>
      <c r="P87" s="3447">
        <f t="shared" si="47"/>
        <v>5913785.5800000001</v>
      </c>
      <c r="Q87" s="3411">
        <f>'Schedule B'!X124</f>
        <v>5913785.5800000001</v>
      </c>
      <c r="R87" s="3435">
        <f t="shared" si="48"/>
        <v>0</v>
      </c>
      <c r="S87" s="3459"/>
      <c r="U87" s="3390"/>
      <c r="V87" s="3390"/>
      <c r="W87" s="3390"/>
      <c r="X87" s="3390"/>
      <c r="Y87" s="3390"/>
    </row>
    <row r="88" spans="1:25" s="3389" customFormat="1" ht="15" outlineLevel="1">
      <c r="A88" s="3460" t="str">
        <f>'Schedule B'!C125</f>
        <v xml:space="preserve">Direct Works - Noreom </v>
      </c>
      <c r="B88" s="3410">
        <f>'Schedule B'!E125</f>
        <v>0</v>
      </c>
      <c r="C88" s="3411">
        <f>'Schedule B'!F125</f>
        <v>100641.60000000001</v>
      </c>
      <c r="D88" s="3409">
        <f t="shared" si="44"/>
        <v>100641.60000000001</v>
      </c>
      <c r="E88" s="3412">
        <f>'Schedule B'!H125</f>
        <v>100641.60000000001</v>
      </c>
      <c r="F88" s="3412">
        <f>'Schedule B'!I125+'Schedule B'!J125</f>
        <v>0</v>
      </c>
      <c r="G88" s="3412">
        <f t="shared" si="45"/>
        <v>100641.60000000001</v>
      </c>
      <c r="H88" s="3412"/>
      <c r="I88" s="3412">
        <f>'Schedule B'!M125</f>
        <v>0</v>
      </c>
      <c r="J88" s="3412">
        <f t="shared" si="41"/>
        <v>100641.60000000001</v>
      </c>
      <c r="K88" s="3412">
        <f>'Schedule B'!N125+'Schedule B'!O125</f>
        <v>0</v>
      </c>
      <c r="L88" s="3409">
        <f t="shared" si="46"/>
        <v>100641.60000000001</v>
      </c>
      <c r="M88" s="3411">
        <f t="shared" si="42"/>
        <v>0</v>
      </c>
      <c r="N88" s="3411">
        <f t="shared" si="43"/>
        <v>0</v>
      </c>
      <c r="O88" s="3411"/>
      <c r="P88" s="3447">
        <f t="shared" si="47"/>
        <v>100641.60000000001</v>
      </c>
      <c r="Q88" s="3411">
        <f>'Schedule B'!X125</f>
        <v>100641.60000000001</v>
      </c>
      <c r="R88" s="3435">
        <f t="shared" si="48"/>
        <v>0</v>
      </c>
      <c r="S88" s="3459"/>
      <c r="U88" s="3390"/>
      <c r="V88" s="3390"/>
      <c r="W88" s="3390"/>
      <c r="X88" s="3390"/>
      <c r="Y88" s="3390"/>
    </row>
    <row r="89" spans="1:25" s="3389" customFormat="1" ht="15" outlineLevel="1">
      <c r="A89" s="3460" t="str">
        <f>'Schedule B'!C126</f>
        <v>Direct Works - Isam Kabani &amp; Partners</v>
      </c>
      <c r="B89" s="3410">
        <f>'Schedule B'!E126</f>
        <v>0</v>
      </c>
      <c r="C89" s="3411">
        <f>'Schedule B'!F126</f>
        <v>2267626.88</v>
      </c>
      <c r="D89" s="3409">
        <f t="shared" si="44"/>
        <v>2267626.88</v>
      </c>
      <c r="E89" s="3412">
        <f>'Schedule B'!H126</f>
        <v>2267626.88</v>
      </c>
      <c r="F89" s="3412">
        <f>'Schedule B'!I126+'Schedule B'!J126</f>
        <v>0</v>
      </c>
      <c r="G89" s="3412">
        <f t="shared" si="45"/>
        <v>2267626.88</v>
      </c>
      <c r="H89" s="3412"/>
      <c r="I89" s="3412">
        <f>'Schedule B'!M126</f>
        <v>0</v>
      </c>
      <c r="J89" s="3412">
        <f t="shared" si="41"/>
        <v>2267626.88</v>
      </c>
      <c r="K89" s="3412">
        <f>'Schedule B'!N126+'Schedule B'!O126</f>
        <v>0</v>
      </c>
      <c r="L89" s="3409">
        <f t="shared" si="46"/>
        <v>2267626.88</v>
      </c>
      <c r="M89" s="3411">
        <f t="shared" si="42"/>
        <v>0</v>
      </c>
      <c r="N89" s="3411">
        <f t="shared" si="43"/>
        <v>0</v>
      </c>
      <c r="O89" s="3411"/>
      <c r="P89" s="3447">
        <f t="shared" si="47"/>
        <v>2267626.88</v>
      </c>
      <c r="Q89" s="3411">
        <f>'Schedule B'!X126</f>
        <v>2267626.88</v>
      </c>
      <c r="R89" s="3435">
        <f t="shared" si="48"/>
        <v>0</v>
      </c>
      <c r="S89" s="3459"/>
      <c r="U89" s="3390"/>
      <c r="V89" s="3390"/>
      <c r="W89" s="3390"/>
      <c r="X89" s="3390"/>
      <c r="Y89" s="3390"/>
    </row>
    <row r="90" spans="1:25" s="3389" customFormat="1" ht="22.5" outlineLevel="1">
      <c r="A90" s="3460" t="str">
        <f>'Schedule B'!C127</f>
        <v>Direct Works - ARABIAN TESTING EVOLUTION COMPANY</v>
      </c>
      <c r="B90" s="3410">
        <f>'Schedule B'!E127</f>
        <v>0</v>
      </c>
      <c r="C90" s="3411">
        <f>'Schedule B'!F127</f>
        <v>425440</v>
      </c>
      <c r="D90" s="3409">
        <f t="shared" si="44"/>
        <v>425440</v>
      </c>
      <c r="E90" s="3412">
        <f>'Schedule B'!H127</f>
        <v>425440</v>
      </c>
      <c r="F90" s="3412">
        <f>'Schedule B'!I127+'Schedule B'!J127</f>
        <v>0</v>
      </c>
      <c r="G90" s="3412">
        <f t="shared" si="45"/>
        <v>425440</v>
      </c>
      <c r="H90" s="3412"/>
      <c r="I90" s="3412">
        <f>'Schedule B'!M127</f>
        <v>0</v>
      </c>
      <c r="J90" s="3412">
        <f t="shared" si="41"/>
        <v>425440</v>
      </c>
      <c r="K90" s="3412">
        <f>'Schedule B'!N127+'Schedule B'!O127</f>
        <v>0</v>
      </c>
      <c r="L90" s="3409">
        <f t="shared" si="46"/>
        <v>425440</v>
      </c>
      <c r="M90" s="3411">
        <f t="shared" si="42"/>
        <v>0</v>
      </c>
      <c r="N90" s="3411">
        <f t="shared" si="43"/>
        <v>0</v>
      </c>
      <c r="O90" s="3411"/>
      <c r="P90" s="3447">
        <f t="shared" si="47"/>
        <v>425440</v>
      </c>
      <c r="Q90" s="3411">
        <f>'Schedule B'!X127</f>
        <v>425440</v>
      </c>
      <c r="R90" s="3435">
        <f t="shared" si="48"/>
        <v>0</v>
      </c>
      <c r="S90" s="3459"/>
      <c r="U90" s="3390"/>
      <c r="V90" s="3390"/>
      <c r="W90" s="3390"/>
      <c r="X90" s="3390"/>
      <c r="Y90" s="3390"/>
    </row>
    <row r="91" spans="1:25" s="3389" customFormat="1" ht="15" outlineLevel="1">
      <c r="A91" s="3460" t="str">
        <f>'Schedule B'!C128</f>
        <v>Direct Works - Wood Expert</v>
      </c>
      <c r="B91" s="3410">
        <f>'Schedule B'!E128</f>
        <v>0</v>
      </c>
      <c r="C91" s="3411">
        <f>'Schedule B'!F128</f>
        <v>22475</v>
      </c>
      <c r="D91" s="3409">
        <f t="shared" si="44"/>
        <v>22475</v>
      </c>
      <c r="E91" s="3412">
        <f>'Schedule B'!H128</f>
        <v>22475</v>
      </c>
      <c r="F91" s="3412">
        <f>'Schedule B'!I128+'Schedule B'!J128</f>
        <v>0</v>
      </c>
      <c r="G91" s="3412">
        <f t="shared" si="45"/>
        <v>22475</v>
      </c>
      <c r="H91" s="3412"/>
      <c r="I91" s="3412">
        <f>'Schedule B'!M128</f>
        <v>0</v>
      </c>
      <c r="J91" s="3412">
        <f t="shared" si="41"/>
        <v>22475</v>
      </c>
      <c r="K91" s="3412">
        <f>'Schedule B'!N128+'Schedule B'!O128</f>
        <v>0</v>
      </c>
      <c r="L91" s="3409">
        <f t="shared" si="46"/>
        <v>22475</v>
      </c>
      <c r="M91" s="3411">
        <f t="shared" si="42"/>
        <v>0</v>
      </c>
      <c r="N91" s="3411">
        <f t="shared" si="43"/>
        <v>0</v>
      </c>
      <c r="O91" s="3411"/>
      <c r="P91" s="3447">
        <f t="shared" si="47"/>
        <v>22475</v>
      </c>
      <c r="Q91" s="3411">
        <f>'Schedule B'!X128</f>
        <v>22475</v>
      </c>
      <c r="R91" s="3435">
        <f t="shared" si="48"/>
        <v>0</v>
      </c>
      <c r="S91" s="3459"/>
      <c r="U91" s="3390"/>
      <c r="V91" s="3390"/>
      <c r="W91" s="3390"/>
      <c r="X91" s="3390"/>
      <c r="Y91" s="3390"/>
    </row>
    <row r="92" spans="1:25" s="3389" customFormat="1" ht="15" outlineLevel="1">
      <c r="A92" s="3460" t="str">
        <f>'Schedule B'!C129</f>
        <v>Direct Works - Energy &amp; Building Master</v>
      </c>
      <c r="B92" s="3410">
        <f>'Schedule B'!E129</f>
        <v>0</v>
      </c>
      <c r="C92" s="3411">
        <f>'Schedule B'!F129</f>
        <v>117720</v>
      </c>
      <c r="D92" s="3409">
        <f t="shared" si="44"/>
        <v>117720</v>
      </c>
      <c r="E92" s="3412">
        <f>'Schedule B'!H129</f>
        <v>117720</v>
      </c>
      <c r="F92" s="3412">
        <f>'Schedule B'!I129+'Schedule B'!J129</f>
        <v>0</v>
      </c>
      <c r="G92" s="3412">
        <f t="shared" si="45"/>
        <v>117720</v>
      </c>
      <c r="H92" s="3412"/>
      <c r="I92" s="3412">
        <f>'Schedule B'!M129</f>
        <v>0</v>
      </c>
      <c r="J92" s="3412">
        <f t="shared" si="41"/>
        <v>117720</v>
      </c>
      <c r="K92" s="3412">
        <f>'Schedule B'!N129+'Schedule B'!O129</f>
        <v>0</v>
      </c>
      <c r="L92" s="3409">
        <f t="shared" si="46"/>
        <v>117720</v>
      </c>
      <c r="M92" s="3411">
        <f t="shared" si="42"/>
        <v>0</v>
      </c>
      <c r="N92" s="3411">
        <f t="shared" si="43"/>
        <v>0</v>
      </c>
      <c r="O92" s="3411"/>
      <c r="P92" s="3447">
        <f t="shared" si="47"/>
        <v>117720</v>
      </c>
      <c r="Q92" s="3411">
        <f>'Schedule B'!X129</f>
        <v>117720</v>
      </c>
      <c r="R92" s="3435">
        <f t="shared" si="48"/>
        <v>0</v>
      </c>
      <c r="S92" s="3459"/>
      <c r="U92" s="3390"/>
      <c r="V92" s="3390"/>
      <c r="W92" s="3390"/>
      <c r="X92" s="3390"/>
      <c r="Y92" s="3390"/>
    </row>
    <row r="93" spans="1:25" s="3389" customFormat="1" ht="15" outlineLevel="1">
      <c r="A93" s="3460" t="str">
        <f>'Schedule B'!C130</f>
        <v>Direct Works - ACES</v>
      </c>
      <c r="B93" s="3410">
        <f>'Schedule B'!E130</f>
        <v>0</v>
      </c>
      <c r="C93" s="3411">
        <f>'Schedule B'!F130</f>
        <v>4401.3</v>
      </c>
      <c r="D93" s="3409">
        <f t="shared" si="44"/>
        <v>4401.3</v>
      </c>
      <c r="E93" s="3412">
        <f>'Schedule B'!H130</f>
        <v>4401.3</v>
      </c>
      <c r="F93" s="3412">
        <f>'Schedule B'!I130+'Schedule B'!J130</f>
        <v>0</v>
      </c>
      <c r="G93" s="3412">
        <f t="shared" si="45"/>
        <v>4401.3</v>
      </c>
      <c r="H93" s="3412"/>
      <c r="I93" s="3412">
        <f>'Schedule B'!M130</f>
        <v>0</v>
      </c>
      <c r="J93" s="3412">
        <f t="shared" si="41"/>
        <v>4401.3</v>
      </c>
      <c r="K93" s="3412">
        <f>'Schedule B'!N130+'Schedule B'!O130</f>
        <v>0</v>
      </c>
      <c r="L93" s="3409">
        <f t="shared" si="46"/>
        <v>4401.3</v>
      </c>
      <c r="M93" s="3411">
        <f t="shared" si="42"/>
        <v>0</v>
      </c>
      <c r="N93" s="3411">
        <f t="shared" si="43"/>
        <v>0</v>
      </c>
      <c r="O93" s="3411"/>
      <c r="P93" s="3447">
        <f t="shared" si="47"/>
        <v>4401.3</v>
      </c>
      <c r="Q93" s="3411">
        <f>'Schedule B'!X130</f>
        <v>4401.3</v>
      </c>
      <c r="R93" s="3435">
        <f t="shared" si="48"/>
        <v>0</v>
      </c>
      <c r="S93" s="3459"/>
      <c r="U93" s="3390"/>
      <c r="V93" s="3390"/>
      <c r="W93" s="3390"/>
      <c r="X93" s="3390"/>
      <c r="Y93" s="3390"/>
    </row>
    <row r="94" spans="1:25" s="3389" customFormat="1" ht="29.25" customHeight="1" outlineLevel="1">
      <c r="A94" s="3460" t="str">
        <f>'Schedule B'!C131</f>
        <v>Direct Works - International Company for Building Materials LTD</v>
      </c>
      <c r="B94" s="3410">
        <f>'Schedule B'!E131</f>
        <v>0</v>
      </c>
      <c r="C94" s="3411">
        <f>'Schedule B'!F131</f>
        <v>60486.9</v>
      </c>
      <c r="D94" s="3409">
        <f t="shared" si="44"/>
        <v>60486.9</v>
      </c>
      <c r="E94" s="3412">
        <f>'Schedule B'!H131</f>
        <v>60486.9</v>
      </c>
      <c r="F94" s="3412">
        <f>'Schedule B'!I131+'Schedule B'!J131</f>
        <v>0</v>
      </c>
      <c r="G94" s="3412">
        <f t="shared" si="45"/>
        <v>60486.9</v>
      </c>
      <c r="H94" s="3412"/>
      <c r="I94" s="3412">
        <f>'Schedule B'!M131</f>
        <v>0</v>
      </c>
      <c r="J94" s="3412">
        <f t="shared" si="41"/>
        <v>60486.9</v>
      </c>
      <c r="K94" s="3412">
        <f>'Schedule B'!N131+'Schedule B'!O131</f>
        <v>0</v>
      </c>
      <c r="L94" s="3409">
        <f t="shared" si="46"/>
        <v>60486.9</v>
      </c>
      <c r="M94" s="3411">
        <f t="shared" si="42"/>
        <v>0</v>
      </c>
      <c r="N94" s="3411">
        <f t="shared" si="43"/>
        <v>0</v>
      </c>
      <c r="O94" s="3411"/>
      <c r="P94" s="3447">
        <f t="shared" si="47"/>
        <v>60486.9</v>
      </c>
      <c r="Q94" s="3411">
        <f>'Schedule B'!X131</f>
        <v>60486.9</v>
      </c>
      <c r="R94" s="3435">
        <f t="shared" si="48"/>
        <v>0</v>
      </c>
      <c r="S94" s="3459"/>
      <c r="U94" s="3390"/>
      <c r="V94" s="3390"/>
      <c r="W94" s="3390"/>
      <c r="X94" s="3390"/>
      <c r="Y94" s="3390"/>
    </row>
    <row r="95" spans="1:25" s="3389" customFormat="1" ht="15" outlineLevel="1">
      <c r="A95" s="3460" t="str">
        <f>'Schedule B'!C132</f>
        <v>Direct Works - Al Hayat</v>
      </c>
      <c r="B95" s="3410">
        <f>'Schedule B'!E132</f>
        <v>0</v>
      </c>
      <c r="C95" s="3411">
        <f>'Schedule B'!F132</f>
        <v>846817.39</v>
      </c>
      <c r="D95" s="3409">
        <f t="shared" si="44"/>
        <v>846817.39</v>
      </c>
      <c r="E95" s="3412">
        <f>'Schedule B'!H132</f>
        <v>846817.39</v>
      </c>
      <c r="F95" s="3412">
        <f>'Schedule B'!I132+'Schedule B'!J132</f>
        <v>0</v>
      </c>
      <c r="G95" s="3412">
        <f t="shared" si="45"/>
        <v>846817.39</v>
      </c>
      <c r="H95" s="3412"/>
      <c r="I95" s="3412">
        <f>'Schedule B'!M132</f>
        <v>0</v>
      </c>
      <c r="J95" s="3412">
        <f t="shared" si="41"/>
        <v>846817.39</v>
      </c>
      <c r="K95" s="3412">
        <f>'Schedule B'!N132+'Schedule B'!O132</f>
        <v>0</v>
      </c>
      <c r="L95" s="3409">
        <f t="shared" si="46"/>
        <v>846817.39</v>
      </c>
      <c r="M95" s="3411">
        <f t="shared" si="42"/>
        <v>0</v>
      </c>
      <c r="N95" s="3411">
        <f t="shared" si="43"/>
        <v>0</v>
      </c>
      <c r="O95" s="3411"/>
      <c r="P95" s="3447">
        <f t="shared" si="47"/>
        <v>846817.39</v>
      </c>
      <c r="Q95" s="3411">
        <f>'Schedule B'!X132</f>
        <v>846817.39</v>
      </c>
      <c r="R95" s="3435">
        <f t="shared" si="48"/>
        <v>0</v>
      </c>
      <c r="S95" s="3459"/>
      <c r="U95" s="3390"/>
      <c r="V95" s="3390"/>
      <c r="W95" s="3390"/>
      <c r="X95" s="3390"/>
      <c r="Y95" s="3390"/>
    </row>
    <row r="96" spans="1:25" s="3389" customFormat="1" ht="15" outlineLevel="1">
      <c r="A96" s="3460" t="str">
        <f>'Schedule B'!C133</f>
        <v>Direct Works -Saint Gobain</v>
      </c>
      <c r="B96" s="3410">
        <f>'Schedule B'!E133</f>
        <v>0</v>
      </c>
      <c r="C96" s="3411">
        <f>'Schedule B'!F133</f>
        <v>122301.47</v>
      </c>
      <c r="D96" s="3409">
        <f t="shared" si="44"/>
        <v>122301.47</v>
      </c>
      <c r="E96" s="3412">
        <f>'Schedule B'!H133</f>
        <v>122301.47</v>
      </c>
      <c r="F96" s="3412">
        <f>'Schedule B'!I133+'Schedule B'!J133</f>
        <v>0</v>
      </c>
      <c r="G96" s="3412">
        <f t="shared" si="45"/>
        <v>122301.47</v>
      </c>
      <c r="H96" s="3412"/>
      <c r="I96" s="3412">
        <f>'Schedule B'!M133</f>
        <v>0</v>
      </c>
      <c r="J96" s="3412">
        <f t="shared" si="41"/>
        <v>122301.47</v>
      </c>
      <c r="K96" s="3412">
        <f>'Schedule B'!N133+'Schedule B'!O133</f>
        <v>0</v>
      </c>
      <c r="L96" s="3409">
        <f t="shared" si="46"/>
        <v>122301.47</v>
      </c>
      <c r="M96" s="3411">
        <f t="shared" si="42"/>
        <v>0</v>
      </c>
      <c r="N96" s="3411">
        <f t="shared" si="43"/>
        <v>0</v>
      </c>
      <c r="O96" s="3411"/>
      <c r="P96" s="3447">
        <f t="shared" si="47"/>
        <v>122301.47</v>
      </c>
      <c r="Q96" s="3411">
        <f>'Schedule B'!X133</f>
        <v>122301.47</v>
      </c>
      <c r="R96" s="3435">
        <f t="shared" si="48"/>
        <v>0</v>
      </c>
      <c r="S96" s="3459"/>
      <c r="U96" s="3390"/>
      <c r="V96" s="3390"/>
      <c r="W96" s="3390"/>
      <c r="X96" s="3390"/>
      <c r="Y96" s="3390"/>
    </row>
    <row r="97" spans="1:25" s="3389" customFormat="1" ht="15" outlineLevel="1">
      <c r="A97" s="3460" t="str">
        <f>'Schedule B'!C134</f>
        <v>Direct Works- AAMTAC Company LTD</v>
      </c>
      <c r="B97" s="3410">
        <f>'Schedule B'!E134</f>
        <v>0</v>
      </c>
      <c r="C97" s="3411">
        <f>'Schedule B'!F134</f>
        <v>22553</v>
      </c>
      <c r="D97" s="3409">
        <f t="shared" si="44"/>
        <v>22553</v>
      </c>
      <c r="E97" s="3412">
        <f>'Schedule B'!H134</f>
        <v>22553</v>
      </c>
      <c r="F97" s="3412">
        <f>'Schedule B'!I134+'Schedule B'!J134</f>
        <v>0</v>
      </c>
      <c r="G97" s="3412">
        <f t="shared" si="45"/>
        <v>22553</v>
      </c>
      <c r="H97" s="3412"/>
      <c r="I97" s="3412">
        <f>'Schedule B'!M134</f>
        <v>0</v>
      </c>
      <c r="J97" s="3412">
        <f t="shared" si="41"/>
        <v>22553</v>
      </c>
      <c r="K97" s="3412">
        <f>'Schedule B'!N134+'Schedule B'!O134</f>
        <v>0</v>
      </c>
      <c r="L97" s="3409">
        <f t="shared" si="46"/>
        <v>22553</v>
      </c>
      <c r="M97" s="3411">
        <f t="shared" si="42"/>
        <v>0</v>
      </c>
      <c r="N97" s="3411">
        <f t="shared" si="43"/>
        <v>0</v>
      </c>
      <c r="O97" s="3411"/>
      <c r="P97" s="3447">
        <f t="shared" si="47"/>
        <v>22553</v>
      </c>
      <c r="Q97" s="3411">
        <f>'Schedule B'!X134</f>
        <v>22553</v>
      </c>
      <c r="R97" s="3435">
        <f t="shared" si="48"/>
        <v>0</v>
      </c>
      <c r="S97" s="3459"/>
      <c r="U97" s="3390"/>
      <c r="V97" s="3390"/>
      <c r="W97" s="3390"/>
      <c r="X97" s="3390"/>
      <c r="Y97" s="3390"/>
    </row>
    <row r="98" spans="1:25" s="3389" customFormat="1" ht="15" outlineLevel="1">
      <c r="A98" s="3460" t="str">
        <f>'Schedule B'!C135</f>
        <v>Direct Works - DOSAR Al Najd</v>
      </c>
      <c r="B98" s="3410">
        <f>'Schedule B'!E135</f>
        <v>0</v>
      </c>
      <c r="C98" s="3411">
        <f>'Schedule B'!F135</f>
        <v>123937.39</v>
      </c>
      <c r="D98" s="3409">
        <f t="shared" ref="D98:D103" si="49">B98+C98</f>
        <v>123937.39</v>
      </c>
      <c r="E98" s="3412">
        <f>'Schedule B'!H135</f>
        <v>123937.39</v>
      </c>
      <c r="F98" s="3412">
        <f>'Schedule B'!I135+'Schedule B'!J135</f>
        <v>0</v>
      </c>
      <c r="G98" s="3412">
        <f t="shared" ref="G98:G103" si="50">E98+F98</f>
        <v>123937.39</v>
      </c>
      <c r="H98" s="3412"/>
      <c r="I98" s="3412">
        <f>'Schedule B'!M135</f>
        <v>0</v>
      </c>
      <c r="J98" s="3412">
        <f t="shared" si="41"/>
        <v>123937.39</v>
      </c>
      <c r="K98" s="3412">
        <f>'Schedule B'!N135+'Schedule B'!O135</f>
        <v>0</v>
      </c>
      <c r="L98" s="3409">
        <f t="shared" si="46"/>
        <v>123937.39</v>
      </c>
      <c r="M98" s="3411">
        <f t="shared" si="42"/>
        <v>0</v>
      </c>
      <c r="N98" s="3411">
        <f t="shared" si="43"/>
        <v>0</v>
      </c>
      <c r="O98" s="3411"/>
      <c r="P98" s="3447">
        <f t="shared" si="47"/>
        <v>123937.39</v>
      </c>
      <c r="Q98" s="3411">
        <f>'Schedule B'!X135</f>
        <v>123937.39</v>
      </c>
      <c r="R98" s="3435">
        <f t="shared" si="48"/>
        <v>0</v>
      </c>
      <c r="S98" s="3459"/>
      <c r="U98" s="3390"/>
      <c r="V98" s="3390"/>
      <c r="W98" s="3390"/>
      <c r="X98" s="3390"/>
      <c r="Y98" s="3390"/>
    </row>
    <row r="99" spans="1:25" s="3389" customFormat="1" ht="15" outlineLevel="1">
      <c r="A99" s="3460" t="str">
        <f>'Schedule B'!C136</f>
        <v>Direct Works - Alcatop</v>
      </c>
      <c r="B99" s="3410">
        <f>'Schedule B'!E136</f>
        <v>0</v>
      </c>
      <c r="C99" s="3411">
        <f>'Schedule B'!F136</f>
        <v>1139399.1100000001</v>
      </c>
      <c r="D99" s="3409">
        <f t="shared" si="49"/>
        <v>1139399.1100000001</v>
      </c>
      <c r="E99" s="3412">
        <f>'Schedule B'!H136</f>
        <v>1139399.1100000001</v>
      </c>
      <c r="F99" s="3412">
        <f>'Schedule B'!I136+'Schedule B'!J136</f>
        <v>0</v>
      </c>
      <c r="G99" s="3412">
        <f t="shared" si="50"/>
        <v>1139399.1100000001</v>
      </c>
      <c r="H99" s="3412"/>
      <c r="I99" s="3412">
        <f>'Schedule B'!M136</f>
        <v>0</v>
      </c>
      <c r="J99" s="3412">
        <f t="shared" si="41"/>
        <v>1139399.1100000001</v>
      </c>
      <c r="K99" s="3412">
        <f>'Schedule B'!N136+'Schedule B'!O136</f>
        <v>0</v>
      </c>
      <c r="L99" s="3409">
        <f t="shared" si="46"/>
        <v>1139399.1100000001</v>
      </c>
      <c r="M99" s="3411">
        <f t="shared" si="42"/>
        <v>0</v>
      </c>
      <c r="N99" s="3411">
        <f t="shared" si="43"/>
        <v>0</v>
      </c>
      <c r="O99" s="3411"/>
      <c r="P99" s="3447">
        <f t="shared" si="47"/>
        <v>1139399.1100000001</v>
      </c>
      <c r="Q99" s="3411">
        <f>'Schedule B'!X136</f>
        <v>1139399.1100000001</v>
      </c>
      <c r="R99" s="3435">
        <f t="shared" si="48"/>
        <v>0</v>
      </c>
      <c r="S99" s="3459"/>
      <c r="U99" s="3390"/>
      <c r="V99" s="3390"/>
      <c r="W99" s="3390"/>
      <c r="X99" s="3390"/>
      <c r="Y99" s="3390"/>
    </row>
    <row r="100" spans="1:25" s="3389" customFormat="1" ht="22.5" outlineLevel="1">
      <c r="A100" s="3460" t="str">
        <f>'Schedule B'!C137</f>
        <v>Direct Works - Saveto Saudi Vetonit Co Ltd</v>
      </c>
      <c r="B100" s="3410">
        <f>'Schedule B'!E137</f>
        <v>0</v>
      </c>
      <c r="C100" s="3411">
        <f>'Schedule B'!F137</f>
        <v>2730</v>
      </c>
      <c r="D100" s="3409">
        <f t="shared" si="49"/>
        <v>2730</v>
      </c>
      <c r="E100" s="3412">
        <f>'Schedule B'!H137</f>
        <v>2730</v>
      </c>
      <c r="F100" s="3412">
        <f>'Schedule B'!I137+'Schedule B'!J137</f>
        <v>0</v>
      </c>
      <c r="G100" s="3412">
        <f t="shared" si="50"/>
        <v>2730</v>
      </c>
      <c r="H100" s="3412"/>
      <c r="I100" s="3412">
        <f>'Schedule B'!M137</f>
        <v>0</v>
      </c>
      <c r="J100" s="3412">
        <f t="shared" si="41"/>
        <v>2730</v>
      </c>
      <c r="K100" s="3412">
        <f>'Schedule B'!N137+'Schedule B'!O137</f>
        <v>0</v>
      </c>
      <c r="L100" s="3409">
        <f t="shared" si="46"/>
        <v>2730</v>
      </c>
      <c r="M100" s="3411">
        <f t="shared" si="42"/>
        <v>0</v>
      </c>
      <c r="N100" s="3411">
        <f t="shared" si="43"/>
        <v>0</v>
      </c>
      <c r="O100" s="3411"/>
      <c r="P100" s="3447">
        <f t="shared" si="47"/>
        <v>2730</v>
      </c>
      <c r="Q100" s="3411">
        <f>'Schedule B'!X137</f>
        <v>2730</v>
      </c>
      <c r="R100" s="3435">
        <f t="shared" si="48"/>
        <v>0</v>
      </c>
      <c r="S100" s="3459"/>
      <c r="U100" s="3390"/>
      <c r="V100" s="3390"/>
      <c r="W100" s="3390"/>
      <c r="X100" s="3390"/>
      <c r="Y100" s="3390"/>
    </row>
    <row r="101" spans="1:25" s="3389" customFormat="1" ht="15" outlineLevel="1">
      <c r="A101" s="3460" t="str">
        <f>'Schedule B'!C138</f>
        <v>Direct Works - Top Construction Co Ltd</v>
      </c>
      <c r="B101" s="3410">
        <f>'Schedule B'!E138</f>
        <v>0</v>
      </c>
      <c r="C101" s="3411">
        <f>'Schedule B'!F138</f>
        <v>326341.06</v>
      </c>
      <c r="D101" s="3409">
        <f t="shared" si="49"/>
        <v>326341.06</v>
      </c>
      <c r="E101" s="3412">
        <f>'Schedule B'!H138</f>
        <v>326341.06</v>
      </c>
      <c r="F101" s="3412">
        <f>'Schedule B'!I138+'Schedule B'!J138</f>
        <v>0</v>
      </c>
      <c r="G101" s="3412">
        <f t="shared" si="50"/>
        <v>326341.06</v>
      </c>
      <c r="H101" s="3412"/>
      <c r="I101" s="3412">
        <f>'Schedule B'!M138</f>
        <v>0</v>
      </c>
      <c r="J101" s="3412">
        <f t="shared" si="41"/>
        <v>326341.06</v>
      </c>
      <c r="K101" s="3412">
        <f>'Schedule B'!N138+'Schedule B'!O138</f>
        <v>0</v>
      </c>
      <c r="L101" s="3409">
        <f t="shared" si="46"/>
        <v>326341.06</v>
      </c>
      <c r="M101" s="3411">
        <f t="shared" si="42"/>
        <v>0</v>
      </c>
      <c r="N101" s="3411">
        <f t="shared" si="43"/>
        <v>0</v>
      </c>
      <c r="O101" s="3411"/>
      <c r="P101" s="3447">
        <f t="shared" si="47"/>
        <v>326341.06</v>
      </c>
      <c r="Q101" s="3411">
        <f>'Schedule B'!X138</f>
        <v>326341.06</v>
      </c>
      <c r="R101" s="3435">
        <f t="shared" si="48"/>
        <v>0</v>
      </c>
      <c r="S101" s="3459"/>
      <c r="U101" s="3390"/>
      <c r="V101" s="3390"/>
      <c r="W101" s="3390"/>
      <c r="X101" s="3390"/>
      <c r="Y101" s="3390"/>
    </row>
    <row r="102" spans="1:25" s="3389" customFormat="1" ht="15" outlineLevel="1">
      <c r="A102" s="3460" t="str">
        <f>'Schedule B'!C139</f>
        <v xml:space="preserve">Direct Works - TBK Metal </v>
      </c>
      <c r="B102" s="3410">
        <f>'Schedule B'!E139</f>
        <v>0</v>
      </c>
      <c r="C102" s="3411">
        <f>'Schedule B'!F139</f>
        <v>200069</v>
      </c>
      <c r="D102" s="3409">
        <f t="shared" si="49"/>
        <v>200069</v>
      </c>
      <c r="E102" s="3412">
        <f>'Schedule B'!H139</f>
        <v>200069</v>
      </c>
      <c r="F102" s="3412">
        <f>'Schedule B'!I139+'Schedule B'!J139</f>
        <v>0</v>
      </c>
      <c r="G102" s="3412">
        <f t="shared" si="50"/>
        <v>200069</v>
      </c>
      <c r="H102" s="3412"/>
      <c r="I102" s="3412">
        <f>'Schedule B'!M139</f>
        <v>0</v>
      </c>
      <c r="J102" s="3412">
        <f t="shared" si="41"/>
        <v>200069</v>
      </c>
      <c r="K102" s="3412">
        <f>'Schedule B'!N139+'Schedule B'!O139</f>
        <v>0</v>
      </c>
      <c r="L102" s="3409">
        <f t="shared" si="46"/>
        <v>200069</v>
      </c>
      <c r="M102" s="3411">
        <f t="shared" si="42"/>
        <v>0</v>
      </c>
      <c r="N102" s="3411">
        <f t="shared" si="43"/>
        <v>0</v>
      </c>
      <c r="O102" s="3411"/>
      <c r="P102" s="3447">
        <f t="shared" si="47"/>
        <v>200069</v>
      </c>
      <c r="Q102" s="3411">
        <f>'Schedule B'!X139</f>
        <v>200069</v>
      </c>
      <c r="R102" s="3435">
        <f t="shared" si="48"/>
        <v>0</v>
      </c>
      <c r="S102" s="3459"/>
      <c r="U102" s="3390"/>
      <c r="V102" s="3390"/>
      <c r="W102" s="3390"/>
      <c r="X102" s="3390"/>
      <c r="Y102" s="3390"/>
    </row>
    <row r="103" spans="1:25" s="3389" customFormat="1" ht="15" outlineLevel="1">
      <c r="A103" s="3460" t="str">
        <f>'Schedule B'!C140</f>
        <v>Direct Works - Lakeshore</v>
      </c>
      <c r="B103" s="3410">
        <f>'Schedule B'!E140</f>
        <v>0</v>
      </c>
      <c r="C103" s="3411">
        <f>'Schedule B'!F140</f>
        <v>624120.15</v>
      </c>
      <c r="D103" s="3409">
        <f t="shared" si="49"/>
        <v>624120.15</v>
      </c>
      <c r="E103" s="3412">
        <f>'Schedule B'!H140</f>
        <v>624120.15</v>
      </c>
      <c r="F103" s="3412">
        <f>'Schedule B'!I140+'Schedule B'!J140</f>
        <v>0</v>
      </c>
      <c r="G103" s="3412">
        <f t="shared" si="50"/>
        <v>624120.15</v>
      </c>
      <c r="H103" s="3412"/>
      <c r="I103" s="3412">
        <f>'Schedule B'!M140</f>
        <v>0</v>
      </c>
      <c r="J103" s="3412">
        <f t="shared" si="41"/>
        <v>624120.15</v>
      </c>
      <c r="K103" s="3412">
        <f>'Schedule B'!N140+'Schedule B'!O140</f>
        <v>0</v>
      </c>
      <c r="L103" s="3409">
        <f t="shared" si="46"/>
        <v>624120.15</v>
      </c>
      <c r="M103" s="3411">
        <f t="shared" si="42"/>
        <v>0</v>
      </c>
      <c r="N103" s="3411">
        <f t="shared" si="43"/>
        <v>0</v>
      </c>
      <c r="O103" s="3411"/>
      <c r="P103" s="3447">
        <f t="shared" si="47"/>
        <v>624120.15</v>
      </c>
      <c r="Q103" s="3411">
        <f>'Schedule B'!X140</f>
        <v>624120.15</v>
      </c>
      <c r="R103" s="3435">
        <f t="shared" si="48"/>
        <v>0</v>
      </c>
      <c r="S103" s="3459"/>
      <c r="U103" s="3390"/>
      <c r="V103" s="3390"/>
      <c r="W103" s="3390"/>
      <c r="X103" s="3390"/>
      <c r="Y103" s="3390"/>
    </row>
    <row r="104" spans="1:25" s="3389" customFormat="1" ht="15" outlineLevel="1">
      <c r="A104" s="3460" t="str">
        <f>'Schedule B'!C141</f>
        <v>Direct Works - Fast Steps</v>
      </c>
      <c r="B104" s="3410">
        <f>'Schedule B'!E141</f>
        <v>0</v>
      </c>
      <c r="C104" s="3411">
        <f>'Schedule B'!F141</f>
        <v>22250</v>
      </c>
      <c r="D104" s="3409">
        <f>B104+C104</f>
        <v>22250</v>
      </c>
      <c r="E104" s="3412">
        <f>'Schedule B'!H141</f>
        <v>22250</v>
      </c>
      <c r="F104" s="3412">
        <f>'Schedule B'!I141+'Schedule B'!J141</f>
        <v>0</v>
      </c>
      <c r="G104" s="3412">
        <f>E104+F104</f>
        <v>22250</v>
      </c>
      <c r="H104" s="3412"/>
      <c r="I104" s="3412">
        <f>'Schedule B'!M141</f>
        <v>0</v>
      </c>
      <c r="J104" s="3412">
        <f t="shared" si="41"/>
        <v>22250</v>
      </c>
      <c r="K104" s="3412">
        <f>'Schedule B'!N141+'Schedule B'!O141</f>
        <v>0</v>
      </c>
      <c r="L104" s="3409">
        <f>J104+K104</f>
        <v>22250</v>
      </c>
      <c r="M104" s="3411">
        <f t="shared" si="42"/>
        <v>0</v>
      </c>
      <c r="N104" s="3411">
        <f t="shared" si="43"/>
        <v>0</v>
      </c>
      <c r="O104" s="3411"/>
      <c r="P104" s="3447">
        <f>L104+O104</f>
        <v>22250</v>
      </c>
      <c r="Q104" s="3411">
        <f>'Schedule B'!X141</f>
        <v>22250</v>
      </c>
      <c r="R104" s="3435">
        <f>P104-Q104</f>
        <v>0</v>
      </c>
      <c r="S104" s="3459"/>
      <c r="U104" s="3390"/>
      <c r="V104" s="3390"/>
      <c r="W104" s="3390"/>
      <c r="X104" s="3390"/>
      <c r="Y104" s="3390"/>
    </row>
    <row r="105" spans="1:25" s="3389" customFormat="1" ht="15" outlineLevel="1">
      <c r="A105" s="3460" t="str">
        <f>'Schedule B'!C142</f>
        <v>Direct Works - HRFA</v>
      </c>
      <c r="B105" s="3410">
        <f>'Schedule B'!E142</f>
        <v>0</v>
      </c>
      <c r="C105" s="3411">
        <f>'Schedule B'!F142</f>
        <v>196505.68</v>
      </c>
      <c r="D105" s="3409">
        <f>B105+C105</f>
        <v>196505.68</v>
      </c>
      <c r="E105" s="3412">
        <f>'Schedule B'!H142</f>
        <v>196505.68</v>
      </c>
      <c r="F105" s="3412">
        <f>'Schedule B'!I142+'Schedule B'!J142</f>
        <v>0</v>
      </c>
      <c r="G105" s="3412">
        <f>E105+F105</f>
        <v>196505.68</v>
      </c>
      <c r="H105" s="3412"/>
      <c r="I105" s="3412">
        <f>'Schedule B'!M142</f>
        <v>0</v>
      </c>
      <c r="J105" s="3412">
        <f t="shared" si="41"/>
        <v>196505.68</v>
      </c>
      <c r="K105" s="3412">
        <f>'Schedule B'!N142+'Schedule B'!O142</f>
        <v>0</v>
      </c>
      <c r="L105" s="3409">
        <f>J105+K105</f>
        <v>196505.68</v>
      </c>
      <c r="M105" s="3411">
        <f t="shared" si="42"/>
        <v>0</v>
      </c>
      <c r="N105" s="3411">
        <f t="shared" si="43"/>
        <v>0</v>
      </c>
      <c r="O105" s="3411"/>
      <c r="P105" s="3447">
        <f>L105+O105</f>
        <v>196505.68</v>
      </c>
      <c r="Q105" s="3411">
        <f>'Schedule B'!X142</f>
        <v>196505.68</v>
      </c>
      <c r="R105" s="3435">
        <f>P105-Q105</f>
        <v>0</v>
      </c>
      <c r="S105" s="3459"/>
      <c r="U105" s="3390"/>
      <c r="V105" s="3390"/>
      <c r="W105" s="3390"/>
      <c r="X105" s="3390"/>
      <c r="Y105" s="3390"/>
    </row>
    <row r="106" spans="1:25" s="3389" customFormat="1" ht="15" outlineLevel="1">
      <c r="A106" s="3460" t="str">
        <f>'Schedule B'!C143</f>
        <v>Direct Works - NESMA</v>
      </c>
      <c r="B106" s="3410">
        <f>'Schedule B'!E143</f>
        <v>0</v>
      </c>
      <c r="C106" s="3411">
        <f>'Schedule B'!F143</f>
        <v>1942966.8</v>
      </c>
      <c r="D106" s="3409">
        <f>B106+C106</f>
        <v>1942966.8</v>
      </c>
      <c r="E106" s="3412">
        <f>'Schedule B'!H143</f>
        <v>1942966.8</v>
      </c>
      <c r="F106" s="3412">
        <f>'Schedule B'!I143+'Schedule B'!J143</f>
        <v>0</v>
      </c>
      <c r="G106" s="3412">
        <f>E106+F106</f>
        <v>1942966.8</v>
      </c>
      <c r="H106" s="3412"/>
      <c r="I106" s="3412">
        <f>'Schedule B'!M143</f>
        <v>0</v>
      </c>
      <c r="J106" s="3412">
        <f t="shared" si="41"/>
        <v>1942966.8</v>
      </c>
      <c r="K106" s="3412">
        <f>'Schedule B'!N143+'Schedule B'!O143</f>
        <v>0</v>
      </c>
      <c r="L106" s="3409">
        <f>J106+K106</f>
        <v>1942966.8</v>
      </c>
      <c r="M106" s="3411">
        <f t="shared" si="42"/>
        <v>0</v>
      </c>
      <c r="N106" s="3411">
        <f t="shared" si="43"/>
        <v>0</v>
      </c>
      <c r="O106" s="3411"/>
      <c r="P106" s="3447">
        <f>L106+O106</f>
        <v>1942966.8</v>
      </c>
      <c r="Q106" s="3411">
        <f>'Schedule B'!X143</f>
        <v>1942966.8</v>
      </c>
      <c r="R106" s="3435">
        <f>P106-Q106</f>
        <v>0</v>
      </c>
      <c r="S106" s="3459"/>
      <c r="U106" s="3390"/>
      <c r="V106" s="3390"/>
      <c r="W106" s="3390"/>
      <c r="X106" s="3390"/>
      <c r="Y106" s="3390"/>
    </row>
    <row r="107" spans="1:25" s="3389" customFormat="1" ht="15" outlineLevel="1">
      <c r="A107" s="3460" t="str">
        <f>'Schedule B'!C144</f>
        <v>Direct Works - TANSEEQ</v>
      </c>
      <c r="B107" s="3410">
        <f>'Schedule B'!E144</f>
        <v>0</v>
      </c>
      <c r="C107" s="3411">
        <f>'Schedule B'!F144</f>
        <v>9915.3700000000008</v>
      </c>
      <c r="D107" s="3409">
        <f>B107+C107</f>
        <v>9915.3700000000008</v>
      </c>
      <c r="E107" s="3412">
        <f>'Schedule B'!H144</f>
        <v>9915.3700000000008</v>
      </c>
      <c r="F107" s="3412">
        <f>'Schedule B'!I144+'Schedule B'!J144</f>
        <v>0</v>
      </c>
      <c r="G107" s="3412">
        <f>E107+F107</f>
        <v>9915.3700000000008</v>
      </c>
      <c r="H107" s="3412"/>
      <c r="I107" s="3412">
        <f>'Schedule B'!M144</f>
        <v>0</v>
      </c>
      <c r="J107" s="3412">
        <f t="shared" si="41"/>
        <v>9915.3700000000008</v>
      </c>
      <c r="K107" s="3412">
        <f>'Schedule B'!N144+'Schedule B'!O144</f>
        <v>0</v>
      </c>
      <c r="L107" s="3409">
        <f>J107+K107</f>
        <v>9915.3700000000008</v>
      </c>
      <c r="M107" s="3411">
        <f t="shared" si="42"/>
        <v>0</v>
      </c>
      <c r="N107" s="3411">
        <f t="shared" si="43"/>
        <v>0</v>
      </c>
      <c r="O107" s="3411"/>
      <c r="P107" s="3447">
        <f>L107+O107</f>
        <v>9915.3700000000008</v>
      </c>
      <c r="Q107" s="3411">
        <f>'Schedule B'!X144</f>
        <v>9915.3700000000008</v>
      </c>
      <c r="R107" s="3435">
        <f>P107-Q107</f>
        <v>0</v>
      </c>
      <c r="S107" s="3459"/>
      <c r="U107" s="3390"/>
      <c r="V107" s="3390"/>
      <c r="W107" s="3390"/>
      <c r="X107" s="3390"/>
      <c r="Y107" s="3390"/>
    </row>
    <row r="108" spans="1:25" s="3389" customFormat="1" ht="15" outlineLevel="1">
      <c r="A108" s="3460"/>
      <c r="B108" s="3410"/>
      <c r="C108" s="3411"/>
      <c r="D108" s="3409"/>
      <c r="E108" s="3412"/>
      <c r="F108" s="3412"/>
      <c r="G108" s="3412"/>
      <c r="H108" s="3412"/>
      <c r="I108" s="3412"/>
      <c r="J108" s="3412"/>
      <c r="K108" s="3412"/>
      <c r="L108" s="3409"/>
      <c r="M108" s="3411"/>
      <c r="N108" s="3411"/>
      <c r="O108" s="3411"/>
      <c r="P108" s="3447"/>
      <c r="Q108" s="3411"/>
      <c r="R108" s="3435"/>
      <c r="S108" s="3459"/>
      <c r="U108" s="3390"/>
      <c r="V108" s="3390"/>
      <c r="W108" s="3390"/>
      <c r="X108" s="3390"/>
      <c r="Y108" s="3390"/>
    </row>
    <row r="109" spans="1:25" s="3389" customFormat="1" ht="15" outlineLevel="1">
      <c r="A109" s="4316" t="str">
        <f>'Schedule B'!C146</f>
        <v>Tamimi (SAB Accommodation Payment)</v>
      </c>
      <c r="B109" s="4317">
        <f>'Schedule B'!E146</f>
        <v>0</v>
      </c>
      <c r="C109" s="4318">
        <f>'Schedule B'!F146</f>
        <v>0</v>
      </c>
      <c r="D109" s="3409">
        <f>B109+C109</f>
        <v>0</v>
      </c>
      <c r="E109" s="4318">
        <f>'Schedule B'!H146</f>
        <v>0</v>
      </c>
      <c r="F109" s="4318">
        <f>'Schedule B'!I146+'Schedule B'!J146</f>
        <v>0</v>
      </c>
      <c r="G109" s="4318">
        <f>E109+F109</f>
        <v>0</v>
      </c>
      <c r="H109" s="4318"/>
      <c r="I109" s="4318">
        <f>'Schedule B'!M146</f>
        <v>0</v>
      </c>
      <c r="J109" s="4318">
        <f>SUM(G109:I109)</f>
        <v>0</v>
      </c>
      <c r="K109" s="4318">
        <f>'Schedule B'!N146+'Schedule B'!O146</f>
        <v>0</v>
      </c>
      <c r="L109" s="3409">
        <f>J109+K109</f>
        <v>0</v>
      </c>
      <c r="M109" s="4318">
        <f>IF(SUM(D109-J109)&lt;0,0,SUM(D109-J109))*0</f>
        <v>0</v>
      </c>
      <c r="N109" s="4318">
        <f>IF(SUM(D109-L109)&lt;0,0,SUM(D109-L109))</f>
        <v>0</v>
      </c>
      <c r="O109" s="4318"/>
      <c r="P109" s="3447">
        <f>L109+O109</f>
        <v>0</v>
      </c>
      <c r="Q109" s="4318">
        <f>'Schedule B'!X146</f>
        <v>0</v>
      </c>
      <c r="R109" s="4319">
        <f>P109-Q109</f>
        <v>0</v>
      </c>
      <c r="S109" s="3459"/>
      <c r="U109" s="3390"/>
      <c r="V109" s="3390"/>
      <c r="W109" s="3390"/>
      <c r="X109" s="3390"/>
      <c r="Y109" s="3390"/>
    </row>
    <row r="110" spans="1:25" s="3389" customFormat="1" ht="15" outlineLevel="1">
      <c r="A110" s="3460"/>
      <c r="B110" s="3410"/>
      <c r="C110" s="3411"/>
      <c r="D110" s="3409"/>
      <c r="E110" s="3412"/>
      <c r="F110" s="3412"/>
      <c r="G110" s="3412"/>
      <c r="H110" s="3412"/>
      <c r="I110" s="3412"/>
      <c r="J110" s="3412"/>
      <c r="K110" s="3412"/>
      <c r="L110" s="3409"/>
      <c r="M110" s="3411"/>
      <c r="N110" s="3411"/>
      <c r="O110" s="3411"/>
      <c r="P110" s="3447"/>
      <c r="Q110" s="3411"/>
      <c r="R110" s="3435"/>
      <c r="S110" s="3459"/>
      <c r="U110" s="3390"/>
      <c r="V110" s="3390"/>
      <c r="W110" s="3390"/>
      <c r="X110" s="3390"/>
      <c r="Y110" s="3390"/>
    </row>
    <row r="111" spans="1:25" s="3389" customFormat="1" ht="15" outlineLevel="1">
      <c r="A111" s="3460"/>
      <c r="B111" s="3410"/>
      <c r="C111" s="3411"/>
      <c r="D111" s="3409"/>
      <c r="E111" s="3412"/>
      <c r="F111" s="3412"/>
      <c r="G111" s="3412"/>
      <c r="H111" s="3412"/>
      <c r="I111" s="3412"/>
      <c r="J111" s="3412"/>
      <c r="K111" s="3412"/>
      <c r="L111" s="3409"/>
      <c r="M111" s="3411"/>
      <c r="N111" s="3411"/>
      <c r="O111" s="3411"/>
      <c r="P111" s="3447"/>
      <c r="Q111" s="3411"/>
      <c r="R111" s="3435"/>
      <c r="S111" s="3459"/>
      <c r="U111" s="3390"/>
      <c r="V111" s="3390"/>
      <c r="W111" s="3390"/>
      <c r="X111" s="3390"/>
      <c r="Y111" s="3390"/>
    </row>
    <row r="112" spans="1:25" s="3389" customFormat="1" ht="21" customHeight="1" outlineLevel="1">
      <c r="A112" s="3460" t="str">
        <f>'Schedule B'!C148</f>
        <v>STO Façade Mock-up -(MWN) 2230075</v>
      </c>
      <c r="B112" s="3410">
        <f>'Schedule B'!E148</f>
        <v>0</v>
      </c>
      <c r="C112" s="3411">
        <f>'Schedule B'!F148</f>
        <v>834298.55</v>
      </c>
      <c r="D112" s="3409">
        <f t="shared" ref="D112:D117" si="51">B112+C112</f>
        <v>834298.55</v>
      </c>
      <c r="E112" s="3412">
        <f>'Schedule B'!H148</f>
        <v>834298.55</v>
      </c>
      <c r="F112" s="3412">
        <f>'Schedule B'!I148+'Schedule B'!J148</f>
        <v>-15000</v>
      </c>
      <c r="G112" s="3412">
        <f t="shared" ref="G112:G117" si="52">E112+F112</f>
        <v>819298.55</v>
      </c>
      <c r="H112" s="3412"/>
      <c r="I112" s="3412">
        <f>'Schedule B'!M148</f>
        <v>0</v>
      </c>
      <c r="J112" s="3412">
        <f t="shared" ref="J112:J125" si="53">SUM(G112:I112)</f>
        <v>819298.55</v>
      </c>
      <c r="K112" s="3412">
        <f>'Schedule B'!N148+'Schedule B'!O148</f>
        <v>0</v>
      </c>
      <c r="L112" s="3409">
        <f>J112+K112</f>
        <v>819298.55</v>
      </c>
      <c r="M112" s="3411">
        <f>IF(SUM(D112-J112)&lt;0,0,SUM(D112-J112))*0</f>
        <v>0</v>
      </c>
      <c r="N112" s="3411">
        <f>IF(SUM(D112-L112)&lt;0,0,SUM(D112-L112))*0</f>
        <v>0</v>
      </c>
      <c r="O112" s="3411"/>
      <c r="P112" s="3447">
        <f t="shared" ref="P112:P117" si="54">L112+O112</f>
        <v>819298.55</v>
      </c>
      <c r="Q112" s="3411">
        <f>'Schedule B'!X148</f>
        <v>819298.55</v>
      </c>
      <c r="R112" s="3435">
        <f t="shared" ref="R112:R117" si="55">P112-Q112</f>
        <v>0</v>
      </c>
      <c r="S112" s="3455" t="s">
        <v>2936</v>
      </c>
      <c r="U112" s="3390"/>
      <c r="V112" s="3390"/>
      <c r="W112" s="3390"/>
      <c r="X112" s="3390"/>
      <c r="Y112" s="3390"/>
    </row>
    <row r="113" spans="1:33" s="3389" customFormat="1" ht="21" customHeight="1" outlineLevel="1">
      <c r="A113" s="3460" t="str">
        <f>'Schedule B'!C149</f>
        <v>Vertical Transportation (ESCCO) 2230178</v>
      </c>
      <c r="B113" s="3410">
        <f>'Schedule B'!E149</f>
        <v>0</v>
      </c>
      <c r="C113" s="3411">
        <f>'Schedule B'!F149</f>
        <v>2675473</v>
      </c>
      <c r="D113" s="3409">
        <f t="shared" si="51"/>
        <v>2675473</v>
      </c>
      <c r="E113" s="3412">
        <f>'Schedule B'!H149</f>
        <v>2675473</v>
      </c>
      <c r="F113" s="3412">
        <f>'Schedule B'!I149+'Schedule B'!J149</f>
        <v>98073</v>
      </c>
      <c r="G113" s="3412">
        <f t="shared" si="52"/>
        <v>2773546</v>
      </c>
      <c r="H113" s="3412"/>
      <c r="I113" s="3412">
        <f>'Schedule B'!M149</f>
        <v>765046.05</v>
      </c>
      <c r="J113" s="3412">
        <f t="shared" si="53"/>
        <v>3538592.05</v>
      </c>
      <c r="K113" s="3412">
        <f>'Schedule B'!N149+'Schedule B'!O149</f>
        <v>-215675</v>
      </c>
      <c r="L113" s="3409">
        <f>J113+K113</f>
        <v>3322917.05</v>
      </c>
      <c r="M113" s="3411">
        <f t="shared" ref="M113:M125" si="56">IF(SUM(D113-J113)&lt;0,0,SUM(D113-J113))</f>
        <v>0</v>
      </c>
      <c r="N113" s="3411">
        <f t="shared" ref="N113:N125" si="57">IF(SUM(D113-L113)&lt;0,0,SUM(D113-L113))</f>
        <v>0</v>
      </c>
      <c r="O113" s="3411"/>
      <c r="P113" s="3447">
        <f t="shared" si="54"/>
        <v>3322917.05</v>
      </c>
      <c r="Q113" s="3411">
        <f>'Schedule B'!X149</f>
        <v>3322917.05</v>
      </c>
      <c r="R113" s="3435">
        <f t="shared" si="55"/>
        <v>0</v>
      </c>
      <c r="S113" s="3455"/>
      <c r="U113" s="3390"/>
      <c r="V113" s="3390"/>
      <c r="W113" s="3390"/>
      <c r="X113" s="3390"/>
      <c r="Y113" s="3390"/>
    </row>
    <row r="114" spans="1:33" s="3389" customFormat="1" ht="21" customHeight="1" outlineLevel="1">
      <c r="A114" s="3460" t="str">
        <f>'Schedule B'!C150</f>
        <v>Kitchen &amp; Laundry Works (Al Raqtan) 2230205</v>
      </c>
      <c r="B114" s="3410">
        <f>'Schedule B'!E150</f>
        <v>0</v>
      </c>
      <c r="C114" s="3411">
        <f>'Schedule B'!F150</f>
        <v>4695209</v>
      </c>
      <c r="D114" s="3409">
        <f t="shared" si="51"/>
        <v>4695209</v>
      </c>
      <c r="E114" s="3412">
        <f>'Schedule B'!H150</f>
        <v>4695209</v>
      </c>
      <c r="F114" s="3412">
        <f>'Schedule B'!I150+'Schedule B'!J150</f>
        <v>10143</v>
      </c>
      <c r="G114" s="3412">
        <f t="shared" si="52"/>
        <v>4705352</v>
      </c>
      <c r="H114" s="3412"/>
      <c r="I114" s="3412">
        <f>'Schedule B'!M150</f>
        <v>0</v>
      </c>
      <c r="J114" s="3412">
        <f t="shared" si="53"/>
        <v>4705352</v>
      </c>
      <c r="K114" s="3412">
        <f>'Schedule B'!N150+'Schedule B'!O150</f>
        <v>1365246.4500000002</v>
      </c>
      <c r="L114" s="3409">
        <f>J114+K114</f>
        <v>6070598.4500000002</v>
      </c>
      <c r="M114" s="3411">
        <f t="shared" si="56"/>
        <v>0</v>
      </c>
      <c r="N114" s="3411">
        <f t="shared" si="57"/>
        <v>0</v>
      </c>
      <c r="O114" s="3411"/>
      <c r="P114" s="3447">
        <f t="shared" si="54"/>
        <v>6070598.4500000002</v>
      </c>
      <c r="Q114" s="3411">
        <f>'Schedule B'!X150</f>
        <v>6070598.4499999993</v>
      </c>
      <c r="R114" s="3435">
        <f t="shared" si="55"/>
        <v>0</v>
      </c>
      <c r="S114" s="3455"/>
      <c r="U114" s="3390" t="s">
        <v>2886</v>
      </c>
      <c r="V114" s="3390" t="s">
        <v>2887</v>
      </c>
      <c r="W114" s="3390" t="s">
        <v>2888</v>
      </c>
      <c r="X114" s="3390" t="s">
        <v>839</v>
      </c>
      <c r="Y114" s="3390"/>
    </row>
    <row r="115" spans="1:33" s="3389" customFormat="1" ht="21" customHeight="1" outlineLevel="1">
      <c r="A115" s="3460" t="str">
        <f>'Schedule B'!C151</f>
        <v>Fitout Works (DEPA)</v>
      </c>
      <c r="B115" s="3410">
        <f>'Schedule B'!E151</f>
        <v>0</v>
      </c>
      <c r="C115" s="3411">
        <f>'Schedule B'!F151</f>
        <v>75969227</v>
      </c>
      <c r="D115" s="3409">
        <f t="shared" si="51"/>
        <v>75969227</v>
      </c>
      <c r="E115" s="3412">
        <f>'Schedule B'!H151</f>
        <v>75969227</v>
      </c>
      <c r="F115" s="3412">
        <f>'Schedule B'!I151+'Schedule B'!J151</f>
        <v>4241355.25</v>
      </c>
      <c r="G115" s="3412">
        <f t="shared" si="52"/>
        <v>80210582.25</v>
      </c>
      <c r="H115" s="3412"/>
      <c r="I115" s="3412">
        <f>'Schedule B'!M151</f>
        <v>-842054.38000000012</v>
      </c>
      <c r="J115" s="3412">
        <f t="shared" si="53"/>
        <v>79368527.870000005</v>
      </c>
      <c r="K115" s="3412">
        <f>'Schedule B'!N151+'Schedule B'!O151</f>
        <v>12754372.42</v>
      </c>
      <c r="L115" s="3409">
        <f>J115+K115</f>
        <v>92122900.290000007</v>
      </c>
      <c r="M115" s="3411">
        <f t="shared" si="56"/>
        <v>0</v>
      </c>
      <c r="N115" s="3411">
        <f t="shared" si="57"/>
        <v>0</v>
      </c>
      <c r="O115" s="3412"/>
      <c r="P115" s="3447">
        <f t="shared" si="54"/>
        <v>92122900.290000007</v>
      </c>
      <c r="Q115" s="3411">
        <f>'Schedule B'!X151</f>
        <v>90926439.040000007</v>
      </c>
      <c r="R115" s="3435">
        <f t="shared" si="55"/>
        <v>1196461.25</v>
      </c>
      <c r="S115" s="3455"/>
      <c r="U115" s="3390"/>
      <c r="V115" s="3390"/>
      <c r="W115" s="3390"/>
      <c r="X115" s="3390"/>
      <c r="Y115" s="3390"/>
    </row>
    <row r="116" spans="1:33" s="3389" customFormat="1" ht="21" customHeight="1" outlineLevel="1">
      <c r="A116" s="3460" t="str">
        <f>'Schedule B'!C152</f>
        <v>Façade &amp; Glazing Works (Alutec)</v>
      </c>
      <c r="B116" s="3410">
        <f>'Schedule B'!E152</f>
        <v>0</v>
      </c>
      <c r="C116" s="3411">
        <f>'Schedule B'!F152</f>
        <v>29899670.550000001</v>
      </c>
      <c r="D116" s="3409">
        <f t="shared" si="51"/>
        <v>29899670.550000001</v>
      </c>
      <c r="E116" s="3412">
        <f>'Schedule B'!H152</f>
        <v>29899670.550000001</v>
      </c>
      <c r="F116" s="3412">
        <f>'Schedule B'!I152+'Schedule B'!J152</f>
        <v>574831.03</v>
      </c>
      <c r="G116" s="3412">
        <f t="shared" si="52"/>
        <v>30474501.580000002</v>
      </c>
      <c r="H116" s="3412"/>
      <c r="I116" s="3412">
        <f>'Schedule B'!M152</f>
        <v>-112821</v>
      </c>
      <c r="J116" s="3412">
        <f t="shared" si="53"/>
        <v>30361680.580000002</v>
      </c>
      <c r="K116" s="3412">
        <f>'Schedule B'!N152+'Schedule B'!O152</f>
        <v>491334</v>
      </c>
      <c r="L116" s="3409">
        <f>J116+K116</f>
        <v>30853014.580000002</v>
      </c>
      <c r="M116" s="3411">
        <f t="shared" si="56"/>
        <v>0</v>
      </c>
      <c r="N116" s="3411">
        <f t="shared" si="57"/>
        <v>0</v>
      </c>
      <c r="O116" s="3411"/>
      <c r="P116" s="3447">
        <f t="shared" si="54"/>
        <v>30853014.580000002</v>
      </c>
      <c r="Q116" s="3411">
        <f>'Schedule B'!X152</f>
        <v>30853014.580000002</v>
      </c>
      <c r="R116" s="3435">
        <f t="shared" si="55"/>
        <v>0</v>
      </c>
      <c r="S116" s="3455"/>
      <c r="U116" s="3390"/>
      <c r="V116" s="3390"/>
      <c r="W116" s="3390"/>
      <c r="X116" s="3390"/>
      <c r="Y116" s="3390"/>
    </row>
    <row r="117" spans="1:33" s="3389" customFormat="1" ht="30" outlineLevel="1">
      <c r="A117" s="3460" t="str">
        <f>'Schedule B'!C156</f>
        <v>Hard and Soft Landscaping</v>
      </c>
      <c r="B117" s="3410">
        <f>'Schedule B'!E156</f>
        <v>0</v>
      </c>
      <c r="C117" s="3411">
        <f>'Schedule B'!F156</f>
        <v>0</v>
      </c>
      <c r="D117" s="3409">
        <f t="shared" si="51"/>
        <v>0</v>
      </c>
      <c r="E117" s="3412">
        <f>'Schedule B'!H156</f>
        <v>0</v>
      </c>
      <c r="F117" s="3412">
        <f>'Schedule B'!I156+'Schedule B'!J156</f>
        <v>0</v>
      </c>
      <c r="G117" s="3412">
        <f t="shared" si="52"/>
        <v>0</v>
      </c>
      <c r="H117" s="3412"/>
      <c r="I117" s="3412">
        <f>'Schedule B'!M156</f>
        <v>0</v>
      </c>
      <c r="J117" s="3412">
        <f t="shared" si="53"/>
        <v>0</v>
      </c>
      <c r="K117" s="3412">
        <f>'Schedule B'!N156+'Schedule B'!O156</f>
        <v>0</v>
      </c>
      <c r="L117" s="3409">
        <f t="shared" ref="L117:L125" si="58">J117+K117</f>
        <v>0</v>
      </c>
      <c r="M117" s="3411">
        <f t="shared" si="56"/>
        <v>0</v>
      </c>
      <c r="N117" s="3411">
        <f t="shared" si="57"/>
        <v>0</v>
      </c>
      <c r="O117" s="3411"/>
      <c r="P117" s="3447">
        <f t="shared" si="54"/>
        <v>0</v>
      </c>
      <c r="Q117" s="3411">
        <f>'Schedule B'!X156</f>
        <v>0</v>
      </c>
      <c r="R117" s="3435">
        <f t="shared" si="55"/>
        <v>0</v>
      </c>
      <c r="S117" s="3459" t="s">
        <v>3229</v>
      </c>
      <c r="T117" s="3389" t="e">
        <f>SUM(#REF!)</f>
        <v>#REF!</v>
      </c>
      <c r="U117" s="3390"/>
      <c r="V117" s="3390"/>
      <c r="W117" s="3390"/>
      <c r="X117" s="3390"/>
      <c r="Y117" s="3390"/>
    </row>
    <row r="118" spans="1:33" s="3389" customFormat="1" ht="15" outlineLevel="1">
      <c r="A118" s="3460" t="str">
        <f>'Schedule B'!C153</f>
        <v>MAS - Wet Works</v>
      </c>
      <c r="B118" s="3410">
        <f>'Schedule B'!E153</f>
        <v>0</v>
      </c>
      <c r="C118" s="3411">
        <f>'Schedule B'!F153</f>
        <v>4004000</v>
      </c>
      <c r="D118" s="3409">
        <f t="shared" ref="D118:D125" si="59">B118+C118</f>
        <v>4004000</v>
      </c>
      <c r="E118" s="3412">
        <f>'Schedule B'!H153</f>
        <v>4004000</v>
      </c>
      <c r="F118" s="3412">
        <f>'Schedule B'!I153+'Schedule B'!J153</f>
        <v>18356118</v>
      </c>
      <c r="G118" s="3412">
        <f t="shared" ref="G118:G125" si="60">E118+F118</f>
        <v>22360118</v>
      </c>
      <c r="H118" s="3412"/>
      <c r="I118" s="3412">
        <f>'Schedule B'!M153</f>
        <v>160876.21</v>
      </c>
      <c r="J118" s="3412">
        <f t="shared" si="53"/>
        <v>22520994.210000001</v>
      </c>
      <c r="K118" s="3412">
        <f>'Schedule B'!N153+'Schedule B'!O153</f>
        <v>0</v>
      </c>
      <c r="L118" s="3409">
        <f t="shared" si="58"/>
        <v>22520994.210000001</v>
      </c>
      <c r="M118" s="3411">
        <f t="shared" si="56"/>
        <v>0</v>
      </c>
      <c r="N118" s="3411">
        <f t="shared" si="57"/>
        <v>0</v>
      </c>
      <c r="O118" s="3411"/>
      <c r="P118" s="3447">
        <f t="shared" ref="P118:P125" si="61">L118+O118</f>
        <v>22520994.210000001</v>
      </c>
      <c r="Q118" s="3411">
        <f>'Schedule B'!X153</f>
        <v>22520994.210000001</v>
      </c>
      <c r="R118" s="3435">
        <f t="shared" ref="R118:R125" si="62">P118-Q118</f>
        <v>0</v>
      </c>
      <c r="S118" s="3459"/>
      <c r="U118" s="3390"/>
      <c r="V118" s="3390"/>
      <c r="W118" s="3390"/>
      <c r="X118" s="3390"/>
      <c r="Y118" s="3390"/>
    </row>
    <row r="119" spans="1:33" s="3389" customFormat="1" ht="15" outlineLevel="1">
      <c r="A119" s="3460" t="str">
        <f>'Schedule B'!C154</f>
        <v>MAS - Amphitheatre Works</v>
      </c>
      <c r="B119" s="3410">
        <f>'Schedule B'!E154</f>
        <v>0</v>
      </c>
      <c r="C119" s="3411">
        <f>'Schedule B'!F154</f>
        <v>1078892.27</v>
      </c>
      <c r="D119" s="3409">
        <f t="shared" si="59"/>
        <v>1078892.27</v>
      </c>
      <c r="E119" s="3412">
        <f>'Schedule B'!H154</f>
        <v>1078892.27</v>
      </c>
      <c r="F119" s="3412">
        <f>'Schedule B'!I154+'Schedule B'!J154</f>
        <v>205658.08</v>
      </c>
      <c r="G119" s="3412">
        <f t="shared" si="60"/>
        <v>1284550.3500000001</v>
      </c>
      <c r="H119" s="3412"/>
      <c r="I119" s="3412">
        <f>'Schedule B'!M154</f>
        <v>0</v>
      </c>
      <c r="J119" s="3412">
        <f t="shared" si="53"/>
        <v>1284550.3500000001</v>
      </c>
      <c r="K119" s="3412">
        <f>'Schedule B'!N154+'Schedule B'!O154</f>
        <v>-9520</v>
      </c>
      <c r="L119" s="3409">
        <f t="shared" si="58"/>
        <v>1275030.3500000001</v>
      </c>
      <c r="M119" s="3411">
        <f t="shared" si="56"/>
        <v>0</v>
      </c>
      <c r="N119" s="3411">
        <f t="shared" si="57"/>
        <v>0</v>
      </c>
      <c r="O119" s="3411"/>
      <c r="P119" s="3447">
        <f t="shared" si="61"/>
        <v>1275030.3500000001</v>
      </c>
      <c r="Q119" s="3411">
        <f>'Schedule B'!X154</f>
        <v>1275030.3500000001</v>
      </c>
      <c r="R119" s="3435">
        <f t="shared" si="62"/>
        <v>0</v>
      </c>
      <c r="S119" s="3459"/>
      <c r="U119" s="3390"/>
      <c r="V119" s="3390"/>
      <c r="W119" s="3390"/>
      <c r="X119" s="3390"/>
      <c r="Y119" s="3390"/>
    </row>
    <row r="120" spans="1:33" s="3389" customFormat="1" ht="15" outlineLevel="1">
      <c r="A120" s="3460" t="str">
        <f>'Schedule B'!C155</f>
        <v>Al Fanar - MEP Labour Supply</v>
      </c>
      <c r="B120" s="3410">
        <f>'Schedule B'!E155</f>
        <v>0</v>
      </c>
      <c r="C120" s="3411">
        <f>'Schedule B'!F155</f>
        <v>23125000</v>
      </c>
      <c r="D120" s="3409">
        <f t="shared" si="59"/>
        <v>23125000</v>
      </c>
      <c r="E120" s="3412">
        <f>'Schedule B'!H155</f>
        <v>23125000</v>
      </c>
      <c r="F120" s="3412">
        <f>'Schedule B'!I155+'Schedule B'!J155</f>
        <v>71500593.229999989</v>
      </c>
      <c r="G120" s="3412">
        <f t="shared" si="60"/>
        <v>94625593.229999989</v>
      </c>
      <c r="H120" s="3412"/>
      <c r="I120" s="3412">
        <f>'Schedule B'!M155</f>
        <v>786453.46</v>
      </c>
      <c r="J120" s="3412">
        <f t="shared" si="53"/>
        <v>95412046.689999983</v>
      </c>
      <c r="K120" s="3412">
        <f>'Schedule B'!N155+'Schedule B'!O155</f>
        <v>128285</v>
      </c>
      <c r="L120" s="3409">
        <f t="shared" si="58"/>
        <v>95540331.689999983</v>
      </c>
      <c r="M120" s="3411">
        <f t="shared" si="56"/>
        <v>0</v>
      </c>
      <c r="N120" s="3411">
        <f t="shared" si="57"/>
        <v>0</v>
      </c>
      <c r="O120" s="3411"/>
      <c r="P120" s="3447">
        <f t="shared" si="61"/>
        <v>95540331.689999983</v>
      </c>
      <c r="Q120" s="3411">
        <f>'Schedule B'!X155</f>
        <v>95540331.689999983</v>
      </c>
      <c r="R120" s="3435">
        <f t="shared" si="62"/>
        <v>0</v>
      </c>
      <c r="S120" s="3459"/>
      <c r="U120" s="3390"/>
      <c r="V120" s="3390"/>
      <c r="W120" s="3390"/>
      <c r="X120" s="3390"/>
      <c r="Y120" s="3390"/>
    </row>
    <row r="121" spans="1:33" s="3389" customFormat="1" ht="15" outlineLevel="1">
      <c r="A121" s="3460" t="str">
        <f>'Schedule B'!C157</f>
        <v>ARMETAL - Reflective ceiling</v>
      </c>
      <c r="B121" s="3410">
        <f>'Schedule B'!E157</f>
        <v>0</v>
      </c>
      <c r="C121" s="3411">
        <f>'Schedule B'!F157</f>
        <v>7129950</v>
      </c>
      <c r="D121" s="3409">
        <f t="shared" si="59"/>
        <v>7129950</v>
      </c>
      <c r="E121" s="3412">
        <f>'Schedule B'!H157</f>
        <v>7129950</v>
      </c>
      <c r="F121" s="3412">
        <f>'Schedule B'!I157+'Schedule B'!J157</f>
        <v>67078.55</v>
      </c>
      <c r="G121" s="3412">
        <f t="shared" si="60"/>
        <v>7197028.5499999998</v>
      </c>
      <c r="H121" s="3412"/>
      <c r="I121" s="3412">
        <f>'Schedule B'!M157</f>
        <v>0</v>
      </c>
      <c r="J121" s="3412">
        <f t="shared" si="53"/>
        <v>7197028.5499999998</v>
      </c>
      <c r="K121" s="3412">
        <f>'Schedule B'!N157+'Schedule B'!O157</f>
        <v>0</v>
      </c>
      <c r="L121" s="3409">
        <f t="shared" si="58"/>
        <v>7197028.5499999998</v>
      </c>
      <c r="M121" s="3411">
        <f t="shared" si="56"/>
        <v>0</v>
      </c>
      <c r="N121" s="3411">
        <f t="shared" si="57"/>
        <v>0</v>
      </c>
      <c r="O121" s="3411"/>
      <c r="P121" s="3447">
        <f t="shared" si="61"/>
        <v>7197028.5499999998</v>
      </c>
      <c r="Q121" s="3411">
        <f>'Schedule B'!X157</f>
        <v>7197028.5499999998</v>
      </c>
      <c r="R121" s="3435">
        <f t="shared" si="62"/>
        <v>0</v>
      </c>
      <c r="S121" s="3459"/>
      <c r="U121" s="3390"/>
      <c r="V121" s="3390"/>
      <c r="W121" s="3390"/>
      <c r="X121" s="3390"/>
      <c r="Y121" s="3390"/>
    </row>
    <row r="122" spans="1:33" s="3389" customFormat="1" ht="27.75" customHeight="1" outlineLevel="1">
      <c r="A122" s="3460" t="str">
        <f>'Schedule B'!C158</f>
        <v>Al Rahji Takaful - Owner Controlled Insurance Program</v>
      </c>
      <c r="B122" s="3410">
        <f>'Schedule B'!E158</f>
        <v>0</v>
      </c>
      <c r="C122" s="3411">
        <f>'Schedule B'!F158</f>
        <v>89047.06</v>
      </c>
      <c r="D122" s="3409">
        <f t="shared" si="59"/>
        <v>89047.06</v>
      </c>
      <c r="E122" s="3412">
        <f>'Schedule B'!H158</f>
        <v>89047.06</v>
      </c>
      <c r="F122" s="3412">
        <f>'Schedule B'!I158+'Schedule B'!J158</f>
        <v>0</v>
      </c>
      <c r="G122" s="3412">
        <f t="shared" si="60"/>
        <v>89047.06</v>
      </c>
      <c r="H122" s="3412"/>
      <c r="I122" s="3412">
        <f>'Schedule B'!M158</f>
        <v>0</v>
      </c>
      <c r="J122" s="3412">
        <f t="shared" si="53"/>
        <v>89047.06</v>
      </c>
      <c r="K122" s="3412">
        <f>'Schedule B'!N158+'Schedule B'!O158</f>
        <v>0</v>
      </c>
      <c r="L122" s="3409">
        <f t="shared" si="58"/>
        <v>89047.06</v>
      </c>
      <c r="M122" s="3411">
        <f t="shared" si="56"/>
        <v>0</v>
      </c>
      <c r="N122" s="3411">
        <f t="shared" si="57"/>
        <v>0</v>
      </c>
      <c r="O122" s="3411"/>
      <c r="P122" s="3447">
        <f t="shared" si="61"/>
        <v>89047.06</v>
      </c>
      <c r="Q122" s="3411">
        <f>'Schedule B'!X158</f>
        <v>89047.06</v>
      </c>
      <c r="R122" s="3435">
        <f t="shared" si="62"/>
        <v>0</v>
      </c>
      <c r="S122" s="3459"/>
      <c r="U122" s="3390"/>
      <c r="V122" s="3390"/>
      <c r="W122" s="3390"/>
      <c r="X122" s="3390"/>
      <c r="Y122" s="3390"/>
    </row>
    <row r="123" spans="1:33" s="3389" customFormat="1" ht="15" outlineLevel="1">
      <c r="A123" s="3460" t="str">
        <f>'Schedule B'!C159</f>
        <v>ABU DHABI PRECAST - GRC Cladding</v>
      </c>
      <c r="B123" s="3410">
        <f>'Schedule B'!E159</f>
        <v>0</v>
      </c>
      <c r="C123" s="3411">
        <f>'Schedule B'!F159</f>
        <v>0</v>
      </c>
      <c r="D123" s="3409">
        <f t="shared" si="59"/>
        <v>0</v>
      </c>
      <c r="E123" s="3412">
        <f>'Schedule B'!H159</f>
        <v>0</v>
      </c>
      <c r="F123" s="3412">
        <f>'Schedule B'!I159+'Schedule B'!J159</f>
        <v>0</v>
      </c>
      <c r="G123" s="3412">
        <f t="shared" si="60"/>
        <v>0</v>
      </c>
      <c r="H123" s="3412"/>
      <c r="I123" s="3412">
        <f>'Schedule B'!M159</f>
        <v>0</v>
      </c>
      <c r="J123" s="3412">
        <f t="shared" si="53"/>
        <v>0</v>
      </c>
      <c r="K123" s="3412">
        <f>'Schedule B'!N159+'Schedule B'!O159</f>
        <v>0</v>
      </c>
      <c r="L123" s="3409">
        <f t="shared" si="58"/>
        <v>0</v>
      </c>
      <c r="M123" s="3411">
        <f t="shared" si="56"/>
        <v>0</v>
      </c>
      <c r="N123" s="3411">
        <f t="shared" si="57"/>
        <v>0</v>
      </c>
      <c r="O123" s="3411"/>
      <c r="P123" s="3447">
        <f t="shared" si="61"/>
        <v>0</v>
      </c>
      <c r="Q123" s="3411">
        <f>'Schedule B'!X159</f>
        <v>0</v>
      </c>
      <c r="R123" s="3435">
        <f t="shared" si="62"/>
        <v>0</v>
      </c>
      <c r="S123" s="3459" t="s">
        <v>4250</v>
      </c>
      <c r="U123" s="3390"/>
      <c r="V123" s="3390"/>
      <c r="W123" s="3390"/>
      <c r="X123" s="3390"/>
      <c r="Y123" s="3390"/>
    </row>
    <row r="124" spans="1:33" s="3389" customFormat="1" ht="15" outlineLevel="1">
      <c r="A124" s="3460" t="str">
        <f>'Schedule B'!C160</f>
        <v>HASSAN ALLAM - External Scaffoldings</v>
      </c>
      <c r="B124" s="3410">
        <f>'Schedule B'!E160</f>
        <v>0</v>
      </c>
      <c r="C124" s="3411">
        <f>'Schedule B'!F160</f>
        <v>3096124.9</v>
      </c>
      <c r="D124" s="3409">
        <f t="shared" si="59"/>
        <v>3096124.9</v>
      </c>
      <c r="E124" s="3412">
        <f>'Schedule B'!H160</f>
        <v>3096124.9</v>
      </c>
      <c r="F124" s="3412">
        <f>'Schedule B'!I160</f>
        <v>0</v>
      </c>
      <c r="G124" s="3412">
        <f t="shared" si="60"/>
        <v>3096124.9</v>
      </c>
      <c r="H124" s="3412"/>
      <c r="I124" s="3412">
        <f>'Schedule B'!M160</f>
        <v>0</v>
      </c>
      <c r="J124" s="3412">
        <f t="shared" si="53"/>
        <v>3096124.9</v>
      </c>
      <c r="K124" s="3412">
        <f>'Schedule B'!N160+'Schedule B'!O160</f>
        <v>0</v>
      </c>
      <c r="L124" s="3409">
        <f t="shared" si="58"/>
        <v>3096124.9</v>
      </c>
      <c r="M124" s="3411">
        <f t="shared" si="56"/>
        <v>0</v>
      </c>
      <c r="N124" s="3411">
        <f t="shared" si="57"/>
        <v>0</v>
      </c>
      <c r="O124" s="3411"/>
      <c r="P124" s="3447">
        <f t="shared" si="61"/>
        <v>3096124.9</v>
      </c>
      <c r="Q124" s="3411">
        <f>'Schedule B'!X160</f>
        <v>3096124.9</v>
      </c>
      <c r="R124" s="3435">
        <f t="shared" si="62"/>
        <v>0</v>
      </c>
      <c r="S124" s="3459"/>
      <c r="U124" s="3390"/>
      <c r="V124" s="3390"/>
      <c r="W124" s="3390"/>
      <c r="X124" s="3390"/>
      <c r="Y124" s="3390"/>
    </row>
    <row r="125" spans="1:33" s="3389" customFormat="1" ht="15" outlineLevel="1">
      <c r="A125" s="3460" t="str">
        <f>'Schedule B'!C161</f>
        <v>Enviro - Deep Cleaning</v>
      </c>
      <c r="B125" s="3410">
        <f>'Schedule B'!E161</f>
        <v>0</v>
      </c>
      <c r="C125" s="3411">
        <f>'Schedule B'!F161</f>
        <v>799625.31</v>
      </c>
      <c r="D125" s="3409">
        <f t="shared" si="59"/>
        <v>799625.31</v>
      </c>
      <c r="E125" s="3412">
        <f>'Schedule B'!H161</f>
        <v>799625.31</v>
      </c>
      <c r="F125" s="3412">
        <f>'Schedule B'!I161</f>
        <v>0</v>
      </c>
      <c r="G125" s="3412">
        <f t="shared" si="60"/>
        <v>799625.31</v>
      </c>
      <c r="H125" s="3412"/>
      <c r="I125" s="3412">
        <f>'Schedule B'!M161</f>
        <v>0</v>
      </c>
      <c r="J125" s="3412">
        <f t="shared" si="53"/>
        <v>799625.31</v>
      </c>
      <c r="K125" s="3412">
        <f>'Schedule B'!N161+'Schedule B'!O161</f>
        <v>0</v>
      </c>
      <c r="L125" s="3409">
        <f t="shared" si="58"/>
        <v>799625.31</v>
      </c>
      <c r="M125" s="3411">
        <f t="shared" si="56"/>
        <v>0</v>
      </c>
      <c r="N125" s="3411">
        <f t="shared" si="57"/>
        <v>0</v>
      </c>
      <c r="O125" s="3411"/>
      <c r="P125" s="3447">
        <f t="shared" si="61"/>
        <v>799625.31</v>
      </c>
      <c r="Q125" s="3411">
        <f>'Schedule B'!X161</f>
        <v>799625.31</v>
      </c>
      <c r="R125" s="3435">
        <f t="shared" si="62"/>
        <v>0</v>
      </c>
      <c r="S125" s="3459" t="s">
        <v>5168</v>
      </c>
      <c r="U125" s="3390"/>
      <c r="V125" s="3390"/>
      <c r="W125" s="3390"/>
      <c r="X125" s="3390"/>
      <c r="Y125" s="3390"/>
    </row>
    <row r="126" spans="1:33" s="3389" customFormat="1" ht="22.5" outlineLevel="1">
      <c r="A126" s="3460" t="str">
        <f>'Schedule B'!C162</f>
        <v>KTH - MEP Works Package - 2240072 - KORTEK</v>
      </c>
      <c r="B126" s="3410">
        <f>'Schedule B'!E162</f>
        <v>0</v>
      </c>
      <c r="C126" s="3411">
        <f>'Schedule B'!F162</f>
        <v>0</v>
      </c>
      <c r="D126" s="3409">
        <f t="shared" ref="D126" si="63">B126+C126</f>
        <v>0</v>
      </c>
      <c r="E126" s="3412">
        <f>'Schedule B'!H162</f>
        <v>0</v>
      </c>
      <c r="F126" s="3412">
        <f>'Schedule B'!I162</f>
        <v>0</v>
      </c>
      <c r="G126" s="3412">
        <f t="shared" ref="G126" si="64">E126+F126</f>
        <v>0</v>
      </c>
      <c r="H126" s="3412"/>
      <c r="I126" s="3412">
        <f>'Schedule B'!M162</f>
        <v>583143.69999999995</v>
      </c>
      <c r="J126" s="3412">
        <f t="shared" ref="J126" si="65">SUM(G126:I126)</f>
        <v>583143.69999999995</v>
      </c>
      <c r="K126" s="3412">
        <f>'Schedule B'!N162+'Schedule B'!O162</f>
        <v>367770</v>
      </c>
      <c r="L126" s="3409">
        <f t="shared" ref="L126" si="66">J126+K126</f>
        <v>950913.7</v>
      </c>
      <c r="M126" s="3411">
        <f t="shared" ref="M126" si="67">IF(SUM(D126-J126)&lt;0,0,SUM(D126-J126))</f>
        <v>0</v>
      </c>
      <c r="N126" s="3411">
        <f t="shared" ref="N126" si="68">IF(SUM(D126-L126)&lt;0,0,SUM(D126-L126))</f>
        <v>0</v>
      </c>
      <c r="O126" s="3411"/>
      <c r="P126" s="3447">
        <f t="shared" ref="P126" si="69">L126+O126</f>
        <v>950913.7</v>
      </c>
      <c r="Q126" s="3411">
        <f>'Schedule B'!X162</f>
        <v>950913.7</v>
      </c>
      <c r="R126" s="3435">
        <f t="shared" ref="R126" si="70">P126-Q126</f>
        <v>0</v>
      </c>
      <c r="S126" s="3459" t="s">
        <v>5168</v>
      </c>
      <c r="U126" s="3390"/>
      <c r="V126" s="3390"/>
      <c r="W126" s="3390"/>
      <c r="X126" s="3390"/>
      <c r="Y126" s="3390"/>
    </row>
    <row r="127" spans="1:33" s="3389" customFormat="1" ht="22.5" outlineLevel="1">
      <c r="A127" s="5026" t="str">
        <f>'Schedule B'!C163</f>
        <v>ALC - Alcatop Package - Fourseasons - Alcatop</v>
      </c>
      <c r="B127" s="5027">
        <f>'Schedule B'!E163</f>
        <v>0</v>
      </c>
      <c r="C127" s="5028">
        <f>'Schedule B'!F163</f>
        <v>0</v>
      </c>
      <c r="D127" s="5029">
        <f>B127+C127</f>
        <v>0</v>
      </c>
      <c r="E127" s="5028">
        <f>'Schedule B'!H163</f>
        <v>0</v>
      </c>
      <c r="F127" s="5028">
        <f>'Schedule B'!I163</f>
        <v>0</v>
      </c>
      <c r="G127" s="5028">
        <f>E127+F127</f>
        <v>0</v>
      </c>
      <c r="H127" s="5028"/>
      <c r="I127" s="5028">
        <f>'Schedule B'!M163</f>
        <v>0</v>
      </c>
      <c r="J127" s="5028">
        <f>SUM(G127:I127)</f>
        <v>0</v>
      </c>
      <c r="K127" s="5028">
        <f>'Schedule B'!N163+'Schedule B'!O163</f>
        <v>150000</v>
      </c>
      <c r="L127" s="5029">
        <f>J127+K127</f>
        <v>150000</v>
      </c>
      <c r="M127" s="5028">
        <f>IF(SUM(D127-J127)&lt;0,0,SUM(D127-J127))</f>
        <v>0</v>
      </c>
      <c r="N127" s="5028">
        <f>IF(SUM(D127-L127)&lt;0,0,SUM(D127-L127))</f>
        <v>0</v>
      </c>
      <c r="O127" s="5028"/>
      <c r="P127" s="5030">
        <f>L127+O127</f>
        <v>150000</v>
      </c>
      <c r="Q127" s="5028">
        <f>'Schedule B'!X163</f>
        <v>150000</v>
      </c>
      <c r="R127" s="5031">
        <f>P127-Q127</f>
        <v>0</v>
      </c>
      <c r="S127" s="5032" t="s">
        <v>5168</v>
      </c>
      <c r="T127" s="5033"/>
      <c r="U127" s="5034"/>
      <c r="V127" s="5034"/>
      <c r="W127" s="5034"/>
      <c r="X127" s="5034"/>
      <c r="Y127" s="5034"/>
      <c r="Z127" s="5033"/>
      <c r="AA127" s="5033"/>
      <c r="AB127" s="5033"/>
      <c r="AC127" s="5033"/>
      <c r="AD127" s="5033"/>
      <c r="AE127" s="5033"/>
      <c r="AF127" s="5033"/>
      <c r="AG127" s="5033"/>
    </row>
    <row r="128" spans="1:33" s="3389" customFormat="1" ht="22.5" outlineLevel="1">
      <c r="A128" s="5026" t="str">
        <f>'Schedule B'!C164</f>
        <v>Al Futtaim Pioneer Elevators - Al Futtaim Pioneer</v>
      </c>
      <c r="B128" s="5027">
        <f>'Schedule B'!E164</f>
        <v>0</v>
      </c>
      <c r="C128" s="5028">
        <f>'Schedule B'!F164</f>
        <v>691955</v>
      </c>
      <c r="D128" s="5029">
        <f>B128+C128</f>
        <v>691955</v>
      </c>
      <c r="E128" s="5028">
        <f>'Schedule B'!H164</f>
        <v>691955</v>
      </c>
      <c r="F128" s="5028">
        <f>'Schedule B'!I164</f>
        <v>0</v>
      </c>
      <c r="G128" s="5028">
        <f>E128+F128</f>
        <v>691955</v>
      </c>
      <c r="H128" s="5028"/>
      <c r="I128" s="5028">
        <f>'Schedule B'!M164</f>
        <v>0</v>
      </c>
      <c r="J128" s="5028">
        <f>SUM(G128:I128)</f>
        <v>691955</v>
      </c>
      <c r="K128" s="5028">
        <f>'Schedule B'!N164+'Schedule B'!O164</f>
        <v>0</v>
      </c>
      <c r="L128" s="5029">
        <f>J128+K128</f>
        <v>691955</v>
      </c>
      <c r="M128" s="5028">
        <f>IF(SUM(D128-J128)&lt;0,0,SUM(D128-J128))</f>
        <v>0</v>
      </c>
      <c r="N128" s="5028">
        <f>IF(SUM(D128-L128)&lt;0,0,SUM(D128-L128))</f>
        <v>0</v>
      </c>
      <c r="O128" s="5028"/>
      <c r="P128" s="5030">
        <f>L128+O128</f>
        <v>691955</v>
      </c>
      <c r="Q128" s="5028">
        <f>'Schedule B'!X164</f>
        <v>691955</v>
      </c>
      <c r="R128" s="5031">
        <f>P128-Q128</f>
        <v>0</v>
      </c>
      <c r="S128" s="5032" t="s">
        <v>5168</v>
      </c>
      <c r="T128" s="5033"/>
      <c r="U128" s="5034"/>
      <c r="V128" s="5034"/>
      <c r="W128" s="5034"/>
      <c r="X128" s="5034"/>
      <c r="Y128" s="5034"/>
      <c r="Z128" s="5033"/>
      <c r="AA128" s="5033"/>
      <c r="AB128" s="5033"/>
      <c r="AC128" s="5033"/>
      <c r="AD128" s="5033"/>
      <c r="AE128" s="5033"/>
      <c r="AF128" s="5033"/>
      <c r="AG128" s="5033"/>
    </row>
    <row r="129" spans="1:31" s="3389" customFormat="1" ht="9" customHeight="1" outlineLevel="1">
      <c r="A129" s="3460"/>
      <c r="B129" s="3410"/>
      <c r="C129" s="3411"/>
      <c r="D129" s="3409">
        <f>B129+C129</f>
        <v>0</v>
      </c>
      <c r="E129" s="3412"/>
      <c r="F129" s="3412"/>
      <c r="G129" s="3412">
        <f>E129+F129</f>
        <v>0</v>
      </c>
      <c r="H129" s="3412"/>
      <c r="I129" s="3412"/>
      <c r="J129" s="3412"/>
      <c r="K129" s="3412"/>
      <c r="L129" s="3409">
        <f>J129+K129</f>
        <v>0</v>
      </c>
      <c r="M129" s="3411">
        <f>D129-J129</f>
        <v>0</v>
      </c>
      <c r="N129" s="3411">
        <f>D129-L129</f>
        <v>0</v>
      </c>
      <c r="O129" s="3411"/>
      <c r="P129" s="3447">
        <f>L129+O129</f>
        <v>0</v>
      </c>
      <c r="Q129" s="3411"/>
      <c r="R129" s="3435">
        <f>P129-Q129</f>
        <v>0</v>
      </c>
      <c r="S129" s="3455"/>
      <c r="T129" s="3389" t="e">
        <f>SUM(#REF!)</f>
        <v>#REF!</v>
      </c>
      <c r="U129" s="3390"/>
      <c r="V129" s="3390"/>
      <c r="W129" s="3390"/>
      <c r="X129" s="3390"/>
      <c r="Y129" s="3390"/>
    </row>
    <row r="130" spans="1:31" s="3389" customFormat="1" ht="21" customHeight="1" outlineLevel="1">
      <c r="A130" s="3460" t="str">
        <f>'Schedule B'!C256</f>
        <v>Remaining budget - Construction Works</v>
      </c>
      <c r="B130" s="3410">
        <f>'Schedule B'!E256</f>
        <v>221633231.19999999</v>
      </c>
      <c r="C130" s="3411">
        <f>'Schedule B'!F256</f>
        <v>-192496415.77000019</v>
      </c>
      <c r="D130" s="3409">
        <f>B130+C130</f>
        <v>29136815.429999799</v>
      </c>
      <c r="E130" s="3412">
        <f>'Schedule B'!H256</f>
        <v>29136815.429999799</v>
      </c>
      <c r="F130" s="3412">
        <f>'Schedule B'!I256+'Schedule B'!J256</f>
        <v>-7577587.7700000191</v>
      </c>
      <c r="G130" s="3463">
        <f>SUM(E130:F130)</f>
        <v>21559227.65999978</v>
      </c>
      <c r="H130" s="4097">
        <f>'Schedule B'!K256*0</f>
        <v>0</v>
      </c>
      <c r="I130" s="3412">
        <f>'Schedule B'!M256</f>
        <v>18178391.659999996</v>
      </c>
      <c r="J130" s="3412">
        <f>SUM(G130:I130)</f>
        <v>39737619.319999777</v>
      </c>
      <c r="K130" s="3412">
        <f>('Schedule B'!N256+'Schedule B'!O256)</f>
        <v>-36097262.393043488</v>
      </c>
      <c r="L130" s="4098">
        <f>IF(SUM(J130:K130)&lt;0,0,SUM(J130:K130))*0</f>
        <v>0</v>
      </c>
      <c r="M130" s="3413">
        <f>IF(SUM(H130+I130)&lt;0,0,SUM(H130+I130))</f>
        <v>18178391.659999996</v>
      </c>
      <c r="N130" s="3411">
        <f>IF(SUM(J130+K130)&lt;0,0,SUM(J130+K130))</f>
        <v>3640356.9269562885</v>
      </c>
      <c r="O130" s="3411"/>
      <c r="P130" s="3447">
        <f>L130+O130</f>
        <v>0</v>
      </c>
      <c r="Q130" s="3411">
        <f>'Schedule B'!X256</f>
        <v>0</v>
      </c>
      <c r="R130" s="3435">
        <f>P130-Q130</f>
        <v>0</v>
      </c>
      <c r="S130" s="3501"/>
      <c r="T130" s="3389">
        <f>-K35</f>
        <v>1115864.700000003</v>
      </c>
      <c r="U130" s="3390"/>
      <c r="V130" s="3390"/>
      <c r="W130" s="3390"/>
      <c r="X130" s="3390"/>
      <c r="Y130" s="3390"/>
      <c r="AC130" s="3389">
        <f>SUM(G130-(J130+K130))</f>
        <v>17918870.733043492</v>
      </c>
      <c r="AE130" s="3389">
        <f>235150316-217358910.58</f>
        <v>17791405.419999987</v>
      </c>
    </row>
    <row r="131" spans="1:31" ht="30" customHeight="1">
      <c r="A131" s="3422" t="s">
        <v>2889</v>
      </c>
      <c r="B131" s="3423">
        <f t="shared" ref="B131:Q131" si="71">SUM(B132:B148)</f>
        <v>24991549</v>
      </c>
      <c r="C131" s="3423">
        <f t="shared" si="71"/>
        <v>15106816.84</v>
      </c>
      <c r="D131" s="3423">
        <f t="shared" si="71"/>
        <v>40098365.840000004</v>
      </c>
      <c r="E131" s="3423">
        <f t="shared" si="71"/>
        <v>40098365.840000004</v>
      </c>
      <c r="F131" s="3423">
        <f t="shared" si="71"/>
        <v>851779</v>
      </c>
      <c r="G131" s="3423">
        <f t="shared" si="71"/>
        <v>40950144.840000004</v>
      </c>
      <c r="H131" s="3423">
        <f t="shared" si="71"/>
        <v>0</v>
      </c>
      <c r="I131" s="3423">
        <f t="shared" si="71"/>
        <v>0</v>
      </c>
      <c r="J131" s="3423">
        <f t="shared" si="71"/>
        <v>40950144.840000004</v>
      </c>
      <c r="K131" s="3423">
        <f t="shared" si="71"/>
        <v>0</v>
      </c>
      <c r="L131" s="3423">
        <f t="shared" si="71"/>
        <v>41376165.729999997</v>
      </c>
      <c r="M131" s="3423">
        <f t="shared" si="71"/>
        <v>0</v>
      </c>
      <c r="N131" s="3423">
        <f t="shared" si="71"/>
        <v>0</v>
      </c>
      <c r="O131" s="3423">
        <f t="shared" si="71"/>
        <v>0</v>
      </c>
      <c r="P131" s="3423">
        <f t="shared" si="71"/>
        <v>41376165.729999997</v>
      </c>
      <c r="Q131" s="3423">
        <f t="shared" si="71"/>
        <v>41376165.729999997</v>
      </c>
      <c r="R131" s="3423">
        <f>SUM(R132:R148)</f>
        <v>0</v>
      </c>
      <c r="S131" s="3502"/>
      <c r="U131" s="3387"/>
      <c r="V131" s="3387"/>
      <c r="W131" s="3387">
        <v>128910137.11</v>
      </c>
      <c r="X131" s="3387"/>
      <c r="Y131" s="3387"/>
    </row>
    <row r="132" spans="1:31" ht="29.25" customHeight="1" outlineLevel="1">
      <c r="A132" s="3442" t="str">
        <f>'Schedule B'!C204</f>
        <v>FF&amp;E and OSE Procurement Agent (Areen Design Ltd)</v>
      </c>
      <c r="B132" s="3415">
        <f>'Schedule B'!E204</f>
        <v>0</v>
      </c>
      <c r="C132" s="3415">
        <f>'Schedule B'!F204</f>
        <v>1107465.8799999999</v>
      </c>
      <c r="D132" s="3408">
        <f>SUM(B132:C132)</f>
        <v>1107465.8799999999</v>
      </c>
      <c r="E132" s="3415">
        <f>'Schedule B'!H204</f>
        <v>1107465.8799999999</v>
      </c>
      <c r="F132" s="3415">
        <f>'Schedule B'!I204+'Schedule B'!J204</f>
        <v>851779</v>
      </c>
      <c r="G132" s="3415">
        <f t="shared" ref="G132:G137" si="72">SUM(E132:F132)</f>
        <v>1959244.88</v>
      </c>
      <c r="H132" s="3415"/>
      <c r="I132" s="3415">
        <f>'Schedule B'!M204</f>
        <v>0</v>
      </c>
      <c r="J132" s="3415">
        <f t="shared" ref="J132:J143" si="73">SUM(G132:I132)</f>
        <v>1959244.88</v>
      </c>
      <c r="K132" s="3415">
        <f>'Schedule B'!N204+'Schedule B'!O204</f>
        <v>0</v>
      </c>
      <c r="L132" s="3408">
        <f>SUM(J132:K132)</f>
        <v>1959244.88</v>
      </c>
      <c r="M132" s="3415">
        <f t="shared" ref="M132:M143" si="74">IF(SUM(D132-J132)&lt;0,0,SUM(D132-J132))</f>
        <v>0</v>
      </c>
      <c r="N132" s="3415">
        <f t="shared" ref="N132:N143" si="75">IF(SUM(D132-L132)&lt;0,0,SUM(D132-L132))</f>
        <v>0</v>
      </c>
      <c r="O132" s="3415"/>
      <c r="P132" s="3446">
        <f t="shared" ref="P132:P148" si="76">L132+O132</f>
        <v>1959244.88</v>
      </c>
      <c r="Q132" s="3415">
        <f>'Schedule B'!X204</f>
        <v>1959244.88</v>
      </c>
      <c r="R132" s="3437">
        <f t="shared" ref="R132:R148" si="77">P132-Q132</f>
        <v>0</v>
      </c>
      <c r="S132" s="3503"/>
      <c r="U132" s="3387"/>
      <c r="V132" s="3387"/>
      <c r="W132" s="3387"/>
      <c r="X132" s="3387"/>
      <c r="Y132" s="3387"/>
    </row>
    <row r="133" spans="1:31" ht="21.75" customHeight="1" outlineLevel="1">
      <c r="A133" s="3443" t="str">
        <f>'Schedule B'!C207</f>
        <v>Loose FF&amp;E Items (FOH)</v>
      </c>
      <c r="B133" s="3444">
        <f>'Schedule B'!E207</f>
        <v>0</v>
      </c>
      <c r="C133" s="3444">
        <f>'Schedule B'!F207</f>
        <v>22998647.559999999</v>
      </c>
      <c r="D133" s="3409">
        <f t="shared" ref="D133:D147" si="78">B133+C133</f>
        <v>22998647.559999999</v>
      </c>
      <c r="E133" s="3444">
        <f>'Schedule B'!H207</f>
        <v>22998647.559999999</v>
      </c>
      <c r="F133" s="3444">
        <f>'Schedule B'!I207+'Schedule B'!J207</f>
        <v>0</v>
      </c>
      <c r="G133" s="3444">
        <f t="shared" si="72"/>
        <v>22998647.559999999</v>
      </c>
      <c r="H133" s="3444"/>
      <c r="I133" s="3444">
        <f>'Schedule B'!M207</f>
        <v>0</v>
      </c>
      <c r="J133" s="3444">
        <f t="shared" si="73"/>
        <v>22998647.559999999</v>
      </c>
      <c r="K133" s="3444">
        <f>'Schedule B'!N207+'Schedule B'!O207</f>
        <v>0</v>
      </c>
      <c r="L133" s="3409">
        <f t="shared" ref="L133:L146" si="79">J133+K133</f>
        <v>22998647.559999999</v>
      </c>
      <c r="M133" s="3444">
        <f t="shared" si="74"/>
        <v>0</v>
      </c>
      <c r="N133" s="3444">
        <f t="shared" si="75"/>
        <v>0</v>
      </c>
      <c r="O133" s="3444"/>
      <c r="P133" s="3447">
        <f t="shared" si="76"/>
        <v>22998647.559999999</v>
      </c>
      <c r="Q133" s="3444">
        <f>'Schedule B'!X207</f>
        <v>22998647.559999999</v>
      </c>
      <c r="R133" s="3445">
        <f t="shared" si="77"/>
        <v>0</v>
      </c>
      <c r="S133" s="3504"/>
      <c r="U133" s="3387"/>
      <c r="V133" s="3387"/>
      <c r="W133" s="3387"/>
      <c r="X133" s="3387"/>
      <c r="Y133" s="3387"/>
    </row>
    <row r="134" spans="1:31" ht="21.75" customHeight="1" outlineLevel="1">
      <c r="A134" s="3443" t="str">
        <f>'Schedule B'!C208</f>
        <v>Loose FF&amp;E Items (BOH)</v>
      </c>
      <c r="B134" s="3444">
        <f>'Schedule B'!E208</f>
        <v>0</v>
      </c>
      <c r="C134" s="3444">
        <f>'Schedule B'!F208</f>
        <v>0</v>
      </c>
      <c r="D134" s="3409">
        <f t="shared" si="78"/>
        <v>0</v>
      </c>
      <c r="E134" s="3444">
        <v>0</v>
      </c>
      <c r="F134" s="3444">
        <f>'Schedule B'!I208+'Schedule B'!J208</f>
        <v>0</v>
      </c>
      <c r="G134" s="3444">
        <f t="shared" si="72"/>
        <v>0</v>
      </c>
      <c r="H134" s="3444">
        <f>'Schedule B'!H208</f>
        <v>0</v>
      </c>
      <c r="I134" s="3444">
        <f>'Schedule B'!M208</f>
        <v>0</v>
      </c>
      <c r="J134" s="3444">
        <f t="shared" si="73"/>
        <v>0</v>
      </c>
      <c r="K134" s="3444">
        <f>'Schedule B'!N208+'Schedule B'!O208</f>
        <v>0</v>
      </c>
      <c r="L134" s="3409">
        <f t="shared" si="79"/>
        <v>0</v>
      </c>
      <c r="M134" s="3444">
        <f t="shared" si="74"/>
        <v>0</v>
      </c>
      <c r="N134" s="3444">
        <f t="shared" si="75"/>
        <v>0</v>
      </c>
      <c r="O134" s="3444"/>
      <c r="P134" s="3447">
        <f t="shared" si="76"/>
        <v>0</v>
      </c>
      <c r="Q134" s="3444">
        <f>'Schedule B'!X208</f>
        <v>0</v>
      </c>
      <c r="R134" s="3445">
        <f t="shared" si="77"/>
        <v>0</v>
      </c>
      <c r="S134" s="3504"/>
      <c r="U134" s="3387"/>
      <c r="V134" s="3387"/>
      <c r="W134" s="3387"/>
      <c r="X134" s="3387"/>
      <c r="Y134" s="3387"/>
    </row>
    <row r="135" spans="1:31" ht="21.75" customHeight="1" outlineLevel="1">
      <c r="A135" s="3443" t="str">
        <f>'Schedule B'!C209</f>
        <v>OS&amp;E Items</v>
      </c>
      <c r="B135" s="3444">
        <f>'Schedule B'!E209</f>
        <v>0</v>
      </c>
      <c r="C135" s="3444">
        <f>'Schedule B'!F209</f>
        <v>14586000.000000004</v>
      </c>
      <c r="D135" s="3409">
        <f t="shared" si="78"/>
        <v>14586000.000000004</v>
      </c>
      <c r="E135" s="3444">
        <f>'Schedule B'!H209</f>
        <v>14586000.000000004</v>
      </c>
      <c r="F135" s="3444">
        <f>'Schedule B'!I209+'Schedule B'!J209</f>
        <v>0</v>
      </c>
      <c r="G135" s="3444">
        <f t="shared" si="72"/>
        <v>14586000.000000004</v>
      </c>
      <c r="H135" s="3444"/>
      <c r="I135" s="3444">
        <f>'Schedule B'!M209</f>
        <v>0</v>
      </c>
      <c r="J135" s="3444">
        <f t="shared" si="73"/>
        <v>14586000.000000004</v>
      </c>
      <c r="K135" s="3444">
        <f>'Schedule B'!N209+'Schedule B'!O209</f>
        <v>429156</v>
      </c>
      <c r="L135" s="3409">
        <f t="shared" si="79"/>
        <v>15015156.000000004</v>
      </c>
      <c r="M135" s="3444">
        <f t="shared" si="74"/>
        <v>0</v>
      </c>
      <c r="N135" s="3444">
        <f t="shared" si="75"/>
        <v>0</v>
      </c>
      <c r="O135" s="3444"/>
      <c r="P135" s="3447">
        <f t="shared" si="76"/>
        <v>15015156.000000004</v>
      </c>
      <c r="Q135" s="3444">
        <f>'Schedule B'!X209</f>
        <v>15015156.000000004</v>
      </c>
      <c r="R135" s="3445">
        <f t="shared" si="77"/>
        <v>0</v>
      </c>
      <c r="S135" s="3504"/>
      <c r="U135" s="3387"/>
      <c r="V135" s="3387"/>
      <c r="W135" s="3387"/>
      <c r="X135" s="3387"/>
      <c r="Y135" s="3387"/>
    </row>
    <row r="136" spans="1:31" ht="21.75" customHeight="1" outlineLevel="1">
      <c r="A136" s="3443" t="str">
        <f>'Schedule B'!C210</f>
        <v>Art Works</v>
      </c>
      <c r="B136" s="3444">
        <f>'Schedule B'!E210</f>
        <v>0</v>
      </c>
      <c r="C136" s="3444">
        <f>'Schedule B'!F210</f>
        <v>0</v>
      </c>
      <c r="D136" s="3409">
        <f t="shared" ref="D136:D141" si="80">B136+C136</f>
        <v>0</v>
      </c>
      <c r="E136" s="3444">
        <f>'Schedule B'!H210</f>
        <v>0</v>
      </c>
      <c r="F136" s="3444">
        <f>'Schedule B'!I210+'Schedule B'!J210</f>
        <v>0</v>
      </c>
      <c r="G136" s="3444">
        <f t="shared" si="72"/>
        <v>0</v>
      </c>
      <c r="H136" s="3444"/>
      <c r="I136" s="3444">
        <f>'Schedule B'!M210</f>
        <v>0</v>
      </c>
      <c r="J136" s="3444">
        <f t="shared" si="73"/>
        <v>0</v>
      </c>
      <c r="K136" s="3444">
        <f>'Schedule B'!N210+'Schedule B'!O210</f>
        <v>0</v>
      </c>
      <c r="L136" s="3409">
        <f t="shared" si="79"/>
        <v>0</v>
      </c>
      <c r="M136" s="3444">
        <f t="shared" si="74"/>
        <v>0</v>
      </c>
      <c r="N136" s="3444">
        <f t="shared" si="75"/>
        <v>0</v>
      </c>
      <c r="O136" s="3444"/>
      <c r="P136" s="3447">
        <f t="shared" ref="P136:P141" si="81">L136+O136</f>
        <v>0</v>
      </c>
      <c r="Q136" s="3444">
        <f>'Schedule B'!X210</f>
        <v>0</v>
      </c>
      <c r="R136" s="3445">
        <f t="shared" ref="R136:R141" si="82">P136-Q136</f>
        <v>0</v>
      </c>
      <c r="S136" s="3504"/>
      <c r="U136" s="3387"/>
      <c r="V136" s="3387"/>
      <c r="W136" s="3387"/>
      <c r="X136" s="3387"/>
      <c r="Y136" s="3387"/>
    </row>
    <row r="137" spans="1:31" ht="21.75" customHeight="1" outlineLevel="1">
      <c r="A137" s="3443" t="str">
        <f>'Schedule B'!C212</f>
        <v>Extraordinary Cart</v>
      </c>
      <c r="B137" s="3444">
        <f>'Schedule B'!E212</f>
        <v>0</v>
      </c>
      <c r="C137" s="3444">
        <f>'Schedule B'!F212</f>
        <v>397876</v>
      </c>
      <c r="D137" s="3409">
        <f t="shared" si="80"/>
        <v>397876</v>
      </c>
      <c r="E137" s="3444">
        <f>'Schedule B'!H212</f>
        <v>397876</v>
      </c>
      <c r="F137" s="3444">
        <f>'Schedule B'!I212+'Schedule B'!J212</f>
        <v>0</v>
      </c>
      <c r="G137" s="3444">
        <f t="shared" si="72"/>
        <v>397876</v>
      </c>
      <c r="H137" s="3444"/>
      <c r="I137" s="3444">
        <f>'Schedule B'!M212</f>
        <v>0</v>
      </c>
      <c r="J137" s="3444">
        <f t="shared" si="73"/>
        <v>397876</v>
      </c>
      <c r="K137" s="3444">
        <f>'Schedule B'!N212+'Schedule B'!O212</f>
        <v>0</v>
      </c>
      <c r="L137" s="3409">
        <f t="shared" si="79"/>
        <v>397876</v>
      </c>
      <c r="M137" s="3444">
        <f t="shared" si="74"/>
        <v>0</v>
      </c>
      <c r="N137" s="3444">
        <f t="shared" si="75"/>
        <v>0</v>
      </c>
      <c r="O137" s="3444"/>
      <c r="P137" s="3447">
        <f t="shared" si="81"/>
        <v>397876</v>
      </c>
      <c r="Q137" s="3444">
        <f>'Schedule B'!X212</f>
        <v>397876</v>
      </c>
      <c r="R137" s="3445">
        <f t="shared" si="82"/>
        <v>0</v>
      </c>
      <c r="S137" s="3504"/>
      <c r="U137" s="3387"/>
      <c r="V137" s="3387"/>
      <c r="W137" s="3387"/>
      <c r="X137" s="3387"/>
      <c r="Y137" s="3387"/>
    </row>
    <row r="138" spans="1:31" ht="21.75" customHeight="1" outlineLevel="1">
      <c r="A138" s="3443" t="str">
        <f>'Schedule B'!C213</f>
        <v>Saudico Electronic Systems</v>
      </c>
      <c r="B138" s="3444">
        <f>'Schedule B'!E213</f>
        <v>0</v>
      </c>
      <c r="C138" s="3444">
        <f>'Schedule B'!F213</f>
        <v>353487.06</v>
      </c>
      <c r="D138" s="3409">
        <f t="shared" si="80"/>
        <v>353487.06</v>
      </c>
      <c r="E138" s="3444">
        <f>'Schedule B'!H213</f>
        <v>353487.06</v>
      </c>
      <c r="F138" s="3444">
        <f>'Schedule B'!I213+'Schedule B'!J213</f>
        <v>0</v>
      </c>
      <c r="G138" s="3444">
        <f t="shared" ref="G138:G143" si="83">SUM(E138:F138)</f>
        <v>353487.06</v>
      </c>
      <c r="H138" s="3444"/>
      <c r="I138" s="3444">
        <f>'Schedule B'!M213</f>
        <v>0</v>
      </c>
      <c r="J138" s="3444">
        <f t="shared" si="73"/>
        <v>353487.06</v>
      </c>
      <c r="K138" s="3444">
        <f>'Schedule B'!N213+'Schedule B'!O213</f>
        <v>0</v>
      </c>
      <c r="L138" s="3409">
        <f t="shared" ref="L138:L143" si="84">J138+K138</f>
        <v>353487.06</v>
      </c>
      <c r="M138" s="3444">
        <f t="shared" si="74"/>
        <v>0</v>
      </c>
      <c r="N138" s="3444">
        <f t="shared" si="75"/>
        <v>0</v>
      </c>
      <c r="O138" s="3444"/>
      <c r="P138" s="3447">
        <f t="shared" si="81"/>
        <v>353487.06</v>
      </c>
      <c r="Q138" s="3444">
        <f>'Schedule B'!X213</f>
        <v>353487.06</v>
      </c>
      <c r="R138" s="3445">
        <f t="shared" si="82"/>
        <v>0</v>
      </c>
      <c r="S138" s="3504"/>
      <c r="U138" s="3387"/>
      <c r="V138" s="3387"/>
      <c r="W138" s="3387"/>
      <c r="X138" s="3387"/>
      <c r="Y138" s="3387"/>
    </row>
    <row r="139" spans="1:31" ht="21.75" customHeight="1" outlineLevel="1">
      <c r="A139" s="3443" t="str">
        <f>'Schedule B'!C214</f>
        <v xml:space="preserve">Birch Street </v>
      </c>
      <c r="B139" s="3444">
        <f>'Schedule B'!E214</f>
        <v>0</v>
      </c>
      <c r="C139" s="3444">
        <f>'Schedule B'!F214</f>
        <v>115998.98000000001</v>
      </c>
      <c r="D139" s="3409">
        <f t="shared" si="80"/>
        <v>115998.98000000001</v>
      </c>
      <c r="E139" s="3444">
        <f>'Schedule B'!H214</f>
        <v>115998.98000000001</v>
      </c>
      <c r="F139" s="3444">
        <f>'Schedule B'!I214+'Schedule B'!J214</f>
        <v>0</v>
      </c>
      <c r="G139" s="3444">
        <f t="shared" si="83"/>
        <v>115998.98000000001</v>
      </c>
      <c r="H139" s="3444"/>
      <c r="I139" s="3444">
        <f>'Schedule B'!M214</f>
        <v>0</v>
      </c>
      <c r="J139" s="3444">
        <f t="shared" si="73"/>
        <v>115998.98000000001</v>
      </c>
      <c r="K139" s="3444">
        <f>'Schedule B'!N214+'Schedule B'!O214</f>
        <v>0</v>
      </c>
      <c r="L139" s="3409">
        <f t="shared" si="84"/>
        <v>115998.98000000001</v>
      </c>
      <c r="M139" s="3444">
        <f t="shared" si="74"/>
        <v>0</v>
      </c>
      <c r="N139" s="3444">
        <f t="shared" si="75"/>
        <v>0</v>
      </c>
      <c r="O139" s="3444"/>
      <c r="P139" s="3447">
        <f t="shared" si="81"/>
        <v>115998.98000000001</v>
      </c>
      <c r="Q139" s="3444">
        <f>'Schedule B'!X214</f>
        <v>115998.98000000001</v>
      </c>
      <c r="R139" s="3445">
        <f t="shared" si="82"/>
        <v>0</v>
      </c>
      <c r="S139" s="3504"/>
      <c r="U139" s="3387"/>
      <c r="V139" s="3387"/>
      <c r="W139" s="3387"/>
      <c r="X139" s="3387"/>
      <c r="Y139" s="3387"/>
    </row>
    <row r="140" spans="1:31" ht="21.75" customHeight="1" outlineLevel="1">
      <c r="A140" s="3443" t="str">
        <f>'Schedule B'!C215</f>
        <v>AlFalak Electronic - HPE Servers</v>
      </c>
      <c r="B140" s="3444">
        <f>'Schedule B'!E215</f>
        <v>0</v>
      </c>
      <c r="C140" s="3444">
        <f>'Schedule B'!F215</f>
        <v>16655</v>
      </c>
      <c r="D140" s="3409">
        <f t="shared" si="80"/>
        <v>16655</v>
      </c>
      <c r="E140" s="3444">
        <f>'Schedule B'!H215</f>
        <v>16655</v>
      </c>
      <c r="F140" s="3444">
        <f>'Schedule B'!I215+'Schedule B'!J215</f>
        <v>0</v>
      </c>
      <c r="G140" s="3444">
        <f t="shared" si="83"/>
        <v>16655</v>
      </c>
      <c r="H140" s="3444"/>
      <c r="I140" s="3444">
        <f>'Schedule B'!M215</f>
        <v>0</v>
      </c>
      <c r="J140" s="3444">
        <f t="shared" si="73"/>
        <v>16655</v>
      </c>
      <c r="K140" s="3444">
        <f>'Schedule B'!N215+'Schedule B'!O215</f>
        <v>0</v>
      </c>
      <c r="L140" s="3409">
        <f t="shared" si="84"/>
        <v>16655</v>
      </c>
      <c r="M140" s="3444">
        <f t="shared" si="74"/>
        <v>0</v>
      </c>
      <c r="N140" s="3444">
        <f t="shared" si="75"/>
        <v>0</v>
      </c>
      <c r="O140" s="3444"/>
      <c r="P140" s="3447">
        <f t="shared" si="81"/>
        <v>16655</v>
      </c>
      <c r="Q140" s="3444">
        <f>'Schedule B'!X215</f>
        <v>16655</v>
      </c>
      <c r="R140" s="3445">
        <f t="shared" si="82"/>
        <v>0</v>
      </c>
      <c r="S140" s="3504"/>
      <c r="U140" s="3387"/>
      <c r="V140" s="3387"/>
      <c r="W140" s="3387"/>
      <c r="X140" s="3387"/>
      <c r="Y140" s="3387"/>
    </row>
    <row r="141" spans="1:31" ht="21.75" customHeight="1" outlineLevel="1">
      <c r="A141" s="3443" t="str">
        <f>'Schedule B'!C216</f>
        <v>Saudico Electronic Systems</v>
      </c>
      <c r="B141" s="3444">
        <f>'Schedule B'!E216</f>
        <v>0</v>
      </c>
      <c r="C141" s="3444">
        <f>'Schedule B'!F216</f>
        <v>34719</v>
      </c>
      <c r="D141" s="3409">
        <f t="shared" si="80"/>
        <v>34719</v>
      </c>
      <c r="E141" s="3444">
        <f>'Schedule B'!H216</f>
        <v>34719</v>
      </c>
      <c r="F141" s="3444">
        <f>'Schedule B'!I216+'Schedule B'!J216</f>
        <v>0</v>
      </c>
      <c r="G141" s="3444">
        <f t="shared" si="83"/>
        <v>34719</v>
      </c>
      <c r="H141" s="3444"/>
      <c r="I141" s="3444">
        <f>'Schedule B'!M216</f>
        <v>0</v>
      </c>
      <c r="J141" s="3444">
        <f t="shared" si="73"/>
        <v>34719</v>
      </c>
      <c r="K141" s="3444">
        <f>'Schedule B'!N216+'Schedule B'!O216</f>
        <v>0</v>
      </c>
      <c r="L141" s="3409">
        <f t="shared" si="84"/>
        <v>34719</v>
      </c>
      <c r="M141" s="3444">
        <f t="shared" si="74"/>
        <v>0</v>
      </c>
      <c r="N141" s="3444">
        <f t="shared" si="75"/>
        <v>0</v>
      </c>
      <c r="O141" s="3444"/>
      <c r="P141" s="3447">
        <f t="shared" si="81"/>
        <v>34719</v>
      </c>
      <c r="Q141" s="3444">
        <f>'Schedule B'!X216</f>
        <v>34719</v>
      </c>
      <c r="R141" s="3445">
        <f t="shared" si="82"/>
        <v>0</v>
      </c>
      <c r="S141" s="3504"/>
      <c r="U141" s="3387"/>
      <c r="V141" s="3387"/>
      <c r="W141" s="3387"/>
      <c r="X141" s="3387"/>
      <c r="Y141" s="3387"/>
    </row>
    <row r="142" spans="1:31" ht="21.75" customHeight="1" outlineLevel="1">
      <c r="A142" s="3443" t="str">
        <f>'Schedule B'!C217</f>
        <v>Sevenrooms Inc</v>
      </c>
      <c r="B142" s="3444">
        <f>'Schedule B'!E217</f>
        <v>0</v>
      </c>
      <c r="C142" s="3444">
        <f>'Schedule B'!F217</f>
        <v>32751.56</v>
      </c>
      <c r="D142" s="3409">
        <f t="shared" ref="D142" si="85">B142+C142</f>
        <v>32751.56</v>
      </c>
      <c r="E142" s="3444">
        <f>'Schedule B'!H217</f>
        <v>32751.56</v>
      </c>
      <c r="F142" s="3444">
        <f>'Schedule B'!I217+'Schedule B'!J217</f>
        <v>0</v>
      </c>
      <c r="G142" s="3444">
        <f t="shared" si="83"/>
        <v>32751.56</v>
      </c>
      <c r="H142" s="3444"/>
      <c r="I142" s="3444">
        <f>'Schedule B'!M217</f>
        <v>0</v>
      </c>
      <c r="J142" s="3444">
        <f t="shared" si="73"/>
        <v>32751.56</v>
      </c>
      <c r="K142" s="3444">
        <f>'Schedule B'!N217+'Schedule B'!O217</f>
        <v>0</v>
      </c>
      <c r="L142" s="3409">
        <f t="shared" si="84"/>
        <v>32751.56</v>
      </c>
      <c r="M142" s="3444">
        <f t="shared" si="74"/>
        <v>0</v>
      </c>
      <c r="N142" s="3444">
        <f t="shared" si="75"/>
        <v>0</v>
      </c>
      <c r="O142" s="3444"/>
      <c r="P142" s="3447">
        <f t="shared" ref="P142" si="86">L142+O142</f>
        <v>32751.56</v>
      </c>
      <c r="Q142" s="3444">
        <f>'Schedule B'!X217</f>
        <v>32751.56</v>
      </c>
      <c r="R142" s="3445">
        <f t="shared" ref="R142" si="87">P142-Q142</f>
        <v>0</v>
      </c>
      <c r="S142" s="3504"/>
      <c r="U142" s="3387"/>
      <c r="V142" s="3387"/>
      <c r="W142" s="3387"/>
      <c r="X142" s="3387"/>
      <c r="Y142" s="3387"/>
    </row>
    <row r="143" spans="1:31" ht="21.75" customHeight="1" outlineLevel="1">
      <c r="A143" s="3443" t="str">
        <f>'Schedule B'!C218</f>
        <v>Infor Saudi Arabia Limited</v>
      </c>
      <c r="B143" s="3444">
        <f>'Schedule B'!E218</f>
        <v>0</v>
      </c>
      <c r="C143" s="3444">
        <f>'Schedule B'!F218</f>
        <v>58307.19</v>
      </c>
      <c r="D143" s="3409">
        <f t="shared" ref="D143" si="88">B143+C143</f>
        <v>58307.19</v>
      </c>
      <c r="E143" s="3444">
        <f>'Schedule B'!H218</f>
        <v>58307.19</v>
      </c>
      <c r="F143" s="3444">
        <f>'Schedule B'!I218+'Schedule B'!J218</f>
        <v>0</v>
      </c>
      <c r="G143" s="3444">
        <f t="shared" si="83"/>
        <v>58307.19</v>
      </c>
      <c r="H143" s="3444"/>
      <c r="I143" s="3444">
        <f>'Schedule B'!M218</f>
        <v>0</v>
      </c>
      <c r="J143" s="3444">
        <f t="shared" si="73"/>
        <v>58307.19</v>
      </c>
      <c r="K143" s="3444">
        <f>'Schedule B'!N218+'Schedule B'!O218</f>
        <v>0</v>
      </c>
      <c r="L143" s="3409">
        <f t="shared" si="84"/>
        <v>58307.19</v>
      </c>
      <c r="M143" s="3444">
        <f t="shared" si="74"/>
        <v>0</v>
      </c>
      <c r="N143" s="3444">
        <f t="shared" si="75"/>
        <v>0</v>
      </c>
      <c r="O143" s="3444"/>
      <c r="P143" s="3447">
        <f t="shared" ref="P143" si="89">L143+O143</f>
        <v>58307.19</v>
      </c>
      <c r="Q143" s="3444">
        <f>'Schedule B'!X218</f>
        <v>58307.19</v>
      </c>
      <c r="R143" s="3445">
        <f t="shared" ref="R143" si="90">P143-Q143</f>
        <v>0</v>
      </c>
      <c r="S143" s="3504"/>
      <c r="U143" s="3387"/>
      <c r="V143" s="3387"/>
      <c r="W143" s="3387"/>
      <c r="X143" s="3387"/>
      <c r="Y143" s="3387"/>
    </row>
    <row r="144" spans="1:31" ht="21.75" customHeight="1" outlineLevel="1">
      <c r="A144" s="3443" t="str">
        <f>'Schedule B'!C219</f>
        <v>TRA - Zatca Integration with Reachware</v>
      </c>
      <c r="B144" s="3444">
        <f>'Schedule B'!E219</f>
        <v>0</v>
      </c>
      <c r="C144" s="3444">
        <f>'Schedule B'!F219</f>
        <v>57135</v>
      </c>
      <c r="D144" s="3409">
        <f t="shared" ref="D144" si="91">B144+C144</f>
        <v>57135</v>
      </c>
      <c r="E144" s="3444">
        <f>'Schedule B'!H219</f>
        <v>57135</v>
      </c>
      <c r="F144" s="3444">
        <f>'Schedule B'!I219+'Schedule B'!J219</f>
        <v>0</v>
      </c>
      <c r="G144" s="3444">
        <f t="shared" ref="G144" si="92">SUM(E144:F144)</f>
        <v>57135</v>
      </c>
      <c r="H144" s="3444"/>
      <c r="I144" s="3444">
        <f>'Schedule B'!M219</f>
        <v>0</v>
      </c>
      <c r="J144" s="3444">
        <f t="shared" ref="J144" si="93">SUM(G144:I144)</f>
        <v>57135</v>
      </c>
      <c r="K144" s="3444">
        <f>'Schedule B'!N219+'Schedule B'!O219</f>
        <v>0</v>
      </c>
      <c r="L144" s="3409">
        <f t="shared" ref="L144" si="94">J144+K144</f>
        <v>57135</v>
      </c>
      <c r="M144" s="3444">
        <f t="shared" ref="M144" si="95">IF(SUM(D144-J144)&lt;0,0,SUM(D144-J144))</f>
        <v>0</v>
      </c>
      <c r="N144" s="3444">
        <f t="shared" ref="N144" si="96">IF(SUM(D144-L144)&lt;0,0,SUM(D144-L144))</f>
        <v>0</v>
      </c>
      <c r="O144" s="3444"/>
      <c r="P144" s="3447">
        <f t="shared" ref="P144" si="97">L144+O144</f>
        <v>57135</v>
      </c>
      <c r="Q144" s="3444">
        <f>'Schedule B'!X219</f>
        <v>57135</v>
      </c>
      <c r="R144" s="3445">
        <f t="shared" ref="R144" si="98">P144-Q144</f>
        <v>0</v>
      </c>
      <c r="S144" s="3504"/>
      <c r="U144" s="3387"/>
      <c r="V144" s="3387"/>
      <c r="W144" s="3387"/>
      <c r="X144" s="3387"/>
      <c r="Y144" s="3387"/>
    </row>
    <row r="145" spans="1:33" ht="21.75" customHeight="1" outlineLevel="1">
      <c r="A145" s="3443" t="str">
        <f>'Schedule B'!C220</f>
        <v>PeopleVine Implementation</v>
      </c>
      <c r="B145" s="3444">
        <f>'Schedule B'!E220</f>
        <v>0</v>
      </c>
      <c r="C145" s="3444">
        <f>'Schedule B'!F220</f>
        <v>336187.5</v>
      </c>
      <c r="D145" s="3409">
        <f t="shared" ref="D145" si="99">B145+C145</f>
        <v>336187.5</v>
      </c>
      <c r="E145" s="3444">
        <f>'Schedule B'!H220</f>
        <v>336187.5</v>
      </c>
      <c r="F145" s="3444">
        <f>'Schedule B'!I220+'Schedule B'!J220</f>
        <v>0</v>
      </c>
      <c r="G145" s="3444">
        <f t="shared" ref="G145" si="100">SUM(E145:F145)</f>
        <v>336187.5</v>
      </c>
      <c r="H145" s="3444"/>
      <c r="I145" s="3444">
        <f>'Schedule B'!M220</f>
        <v>0</v>
      </c>
      <c r="J145" s="3444">
        <f t="shared" ref="J145" si="101">SUM(G145:I145)</f>
        <v>336187.5</v>
      </c>
      <c r="K145" s="3444">
        <f>'Schedule B'!N220+'Schedule B'!O220</f>
        <v>0</v>
      </c>
      <c r="L145" s="3409">
        <f t="shared" ref="L145" si="102">J145+K145</f>
        <v>336187.5</v>
      </c>
      <c r="M145" s="3444">
        <f t="shared" ref="M145" si="103">IF(SUM(D145-J145)&lt;0,0,SUM(D145-J145))</f>
        <v>0</v>
      </c>
      <c r="N145" s="3444">
        <f t="shared" ref="N145" si="104">IF(SUM(D145-L145)&lt;0,0,SUM(D145-L145))</f>
        <v>0</v>
      </c>
      <c r="O145" s="3444"/>
      <c r="P145" s="3447">
        <f t="shared" ref="P145" si="105">L145+O145</f>
        <v>336187.5</v>
      </c>
      <c r="Q145" s="3444">
        <f>'Schedule B'!X220</f>
        <v>336187.5</v>
      </c>
      <c r="R145" s="3445">
        <f t="shared" ref="R145" si="106">P145-Q145</f>
        <v>0</v>
      </c>
      <c r="S145" s="3504"/>
      <c r="U145" s="3387"/>
      <c r="V145" s="3387"/>
      <c r="W145" s="3387"/>
      <c r="X145" s="3387"/>
      <c r="Y145" s="3387"/>
    </row>
    <row r="146" spans="1:33" ht="9" customHeight="1" outlineLevel="1">
      <c r="A146" s="3443"/>
      <c r="B146" s="3444"/>
      <c r="C146" s="3444"/>
      <c r="D146" s="3409">
        <f t="shared" si="78"/>
        <v>0</v>
      </c>
      <c r="E146" s="3444"/>
      <c r="F146" s="3444"/>
      <c r="G146" s="3444"/>
      <c r="H146" s="3444"/>
      <c r="I146" s="3444"/>
      <c r="J146" s="3444"/>
      <c r="K146" s="3444"/>
      <c r="L146" s="3409">
        <f t="shared" si="79"/>
        <v>0</v>
      </c>
      <c r="M146" s="3444"/>
      <c r="N146" s="3444"/>
      <c r="O146" s="3444"/>
      <c r="P146" s="3447">
        <f t="shared" si="76"/>
        <v>0</v>
      </c>
      <c r="Q146" s="3444"/>
      <c r="R146" s="3445"/>
      <c r="S146" s="3504"/>
      <c r="U146" s="3387"/>
      <c r="V146" s="3387"/>
      <c r="W146" s="3387"/>
      <c r="X146" s="3387"/>
      <c r="Y146" s="3387"/>
    </row>
    <row r="147" spans="1:33" ht="21.75" customHeight="1" outlineLevel="1">
      <c r="A147" s="3462" t="str">
        <f>'Schedule B'!C261</f>
        <v>Remaining budget - FF&amp;E and OSE</v>
      </c>
      <c r="B147" s="3444">
        <f>'Schedule B'!E261</f>
        <v>24991549</v>
      </c>
      <c r="C147" s="3444">
        <f>'Schedule B'!F261</f>
        <v>-24988413.889999997</v>
      </c>
      <c r="D147" s="3409">
        <f t="shared" si="78"/>
        <v>3135.1100000031292</v>
      </c>
      <c r="E147" s="3444">
        <f>'Schedule B'!H261</f>
        <v>3135.1100000031292</v>
      </c>
      <c r="F147" s="3444">
        <f>'Schedule B'!I261+'Schedule B'!J261</f>
        <v>0</v>
      </c>
      <c r="G147" s="3444">
        <f>SUM(E147:F147)</f>
        <v>3135.1100000031292</v>
      </c>
      <c r="H147" s="4095">
        <f>'Schedule B'!K261*0</f>
        <v>0</v>
      </c>
      <c r="I147" s="3444">
        <f>'Schedule B'!M261</f>
        <v>0</v>
      </c>
      <c r="J147" s="3444">
        <f>SUM(G147:I147)</f>
        <v>3135.1100000031292</v>
      </c>
      <c r="K147" s="3444">
        <f>('Schedule B'!N261+'Schedule B'!O261)</f>
        <v>-429156</v>
      </c>
      <c r="L147" s="4098">
        <f>IF(SUM(J147:K147)&lt;0,0,SUM(J147:K147))</f>
        <v>0</v>
      </c>
      <c r="M147" s="3444">
        <f>IF(SUM(H147+I147)&lt;0,0,SUM(H147+I147))</f>
        <v>0</v>
      </c>
      <c r="N147" s="3444">
        <f>IF(SUM(J147+K147)&lt;0,0,SUM(J147+K147))</f>
        <v>0</v>
      </c>
      <c r="O147" s="3444"/>
      <c r="P147" s="3447">
        <f t="shared" si="76"/>
        <v>0</v>
      </c>
      <c r="Q147" s="3444">
        <f>'Schedule B'!X261</f>
        <v>0</v>
      </c>
      <c r="R147" s="3445">
        <f t="shared" si="77"/>
        <v>0</v>
      </c>
      <c r="S147" s="3504"/>
      <c r="U147" s="3387"/>
      <c r="V147" s="3387"/>
      <c r="W147" s="3387"/>
      <c r="X147" s="3387"/>
      <c r="Y147" s="3387"/>
    </row>
    <row r="148" spans="1:33" ht="4.5" customHeight="1" outlineLevel="1">
      <c r="A148" s="3416"/>
      <c r="B148" s="3417"/>
      <c r="C148" s="3417"/>
      <c r="D148" s="3414">
        <f>SUM(B148:C148)</f>
        <v>0</v>
      </c>
      <c r="E148" s="3417"/>
      <c r="F148" s="3417"/>
      <c r="G148" s="3417">
        <f>SUM(E148:F148)</f>
        <v>0</v>
      </c>
      <c r="H148" s="3417"/>
      <c r="I148" s="3417"/>
      <c r="J148" s="3417">
        <f>SUM(G148:I148)</f>
        <v>0</v>
      </c>
      <c r="K148" s="3417"/>
      <c r="L148" s="3426">
        <f>SUM(J148:K148)</f>
        <v>0</v>
      </c>
      <c r="M148" s="3417">
        <f>D148-J148</f>
        <v>0</v>
      </c>
      <c r="N148" s="3417">
        <f>D148-L148</f>
        <v>0</v>
      </c>
      <c r="O148" s="3417"/>
      <c r="P148" s="3457">
        <f t="shared" si="76"/>
        <v>0</v>
      </c>
      <c r="Q148" s="3417"/>
      <c r="R148" s="3438">
        <f t="shared" si="77"/>
        <v>0</v>
      </c>
      <c r="S148" s="3505"/>
      <c r="U148" s="3387"/>
      <c r="V148" s="3387"/>
      <c r="W148" s="3387"/>
      <c r="X148" s="3387"/>
      <c r="Y148" s="3387"/>
    </row>
    <row r="149" spans="1:33" s="3392" customFormat="1" ht="23.25" customHeight="1">
      <c r="A149" s="3418" t="s">
        <v>2890</v>
      </c>
      <c r="B149" s="3419">
        <f t="shared" ref="B149:R149" si="107">B131+B35+B33+B27+B13</f>
        <v>316346485.25</v>
      </c>
      <c r="C149" s="3419">
        <f t="shared" si="107"/>
        <v>267426351.77999982</v>
      </c>
      <c r="D149" s="3419">
        <f t="shared" si="107"/>
        <v>583772837.02999985</v>
      </c>
      <c r="E149" s="3419">
        <f t="shared" si="107"/>
        <v>583772837.02999985</v>
      </c>
      <c r="F149" s="3419">
        <f t="shared" si="107"/>
        <v>-442200.00000003353</v>
      </c>
      <c r="G149" s="3419">
        <f t="shared" si="107"/>
        <v>583330637.02999985</v>
      </c>
      <c r="H149" s="3419">
        <f t="shared" si="107"/>
        <v>0</v>
      </c>
      <c r="I149" s="3419">
        <f t="shared" si="107"/>
        <v>-115841.92</v>
      </c>
      <c r="J149" s="3419">
        <f t="shared" si="107"/>
        <v>583214795.10999978</v>
      </c>
      <c r="K149" s="3419">
        <f t="shared" si="107"/>
        <v>-1115864.700000003</v>
      </c>
      <c r="L149" s="3419">
        <f t="shared" si="107"/>
        <v>578816189.05304348</v>
      </c>
      <c r="M149" s="3419">
        <f t="shared" si="107"/>
        <v>18314806.659999996</v>
      </c>
      <c r="N149" s="3419">
        <f t="shared" si="107"/>
        <v>94594145.823912799</v>
      </c>
      <c r="O149" s="3419">
        <f t="shared" si="107"/>
        <v>0</v>
      </c>
      <c r="P149" s="3419">
        <f t="shared" si="107"/>
        <v>578816189.05304348</v>
      </c>
      <c r="Q149" s="3419">
        <f t="shared" si="107"/>
        <v>579032074.24304342</v>
      </c>
      <c r="R149" s="3439">
        <f t="shared" si="107"/>
        <v>-215885.18999999762</v>
      </c>
      <c r="S149" s="3506"/>
      <c r="T149" s="3392">
        <f>P35-D35</f>
        <v>-10715138.926956296</v>
      </c>
      <c r="U149" s="3393"/>
      <c r="V149" s="3393"/>
      <c r="W149" s="3393"/>
      <c r="X149" s="3393"/>
      <c r="Y149" s="3393"/>
      <c r="AC149" s="3392">
        <f>+'Level 01'!I33</f>
        <v>0</v>
      </c>
      <c r="AD149" s="3392">
        <f>+AC149+R149</f>
        <v>-215885.18999999762</v>
      </c>
      <c r="AE149" s="3392" t="s">
        <v>4671</v>
      </c>
      <c r="AF149" s="3392">
        <f>+'Schedule B'!Y268</f>
        <v>-215885.18999999762</v>
      </c>
      <c r="AG149" s="3392">
        <f>+AF149+AC149</f>
        <v>-215885.18999999762</v>
      </c>
    </row>
    <row r="150" spans="1:33" ht="9" customHeight="1">
      <c r="A150" s="3397"/>
      <c r="B150" s="3398"/>
      <c r="C150" s="3398"/>
      <c r="D150" s="3398"/>
      <c r="E150" s="3398"/>
      <c r="F150" s="3398"/>
      <c r="G150" s="3398"/>
      <c r="H150" s="3398"/>
      <c r="I150" s="3398"/>
      <c r="J150" s="3398"/>
      <c r="K150" s="3398"/>
      <c r="L150" s="3398"/>
      <c r="M150" s="3420"/>
      <c r="N150" s="3420"/>
      <c r="O150" s="3398"/>
      <c r="P150" s="3398"/>
      <c r="Q150" s="3398"/>
      <c r="R150" s="3397"/>
      <c r="S150" s="3507"/>
    </row>
    <row r="151" spans="1:33" s="3392" customFormat="1" ht="18.75" customHeight="1">
      <c r="A151" s="3418" t="s">
        <v>2948</v>
      </c>
      <c r="B151" s="3419"/>
      <c r="C151" s="3419"/>
      <c r="D151" s="3419"/>
      <c r="E151" s="3419"/>
      <c r="F151" s="3419"/>
      <c r="G151" s="3419"/>
      <c r="H151" s="3419"/>
      <c r="I151" s="3419"/>
      <c r="J151" s="3419"/>
      <c r="K151" s="3419"/>
      <c r="L151" s="3419"/>
      <c r="M151" s="3419"/>
      <c r="N151" s="3419"/>
      <c r="O151" s="3419"/>
      <c r="P151" s="3419">
        <f>P149-D149</f>
        <v>-4956647.9769563675</v>
      </c>
      <c r="Q151" s="3419"/>
      <c r="R151" s="3439"/>
      <c r="S151" s="3506"/>
      <c r="U151" s="3393"/>
      <c r="V151" s="3393"/>
      <c r="W151" s="3393"/>
      <c r="X151" s="3393"/>
      <c r="Y151" s="3393"/>
      <c r="AC151" s="3392">
        <f>-'Level 01'!H27</f>
        <v>3234573.2769563198</v>
      </c>
      <c r="AD151" s="4349">
        <f>+AC151+P151</f>
        <v>-1722074.7000000477</v>
      </c>
      <c r="AE151" s="3392" t="s">
        <v>4671</v>
      </c>
      <c r="AF151" s="3392">
        <f>+'Schedule B'!S268</f>
        <v>-3234573.2769563198</v>
      </c>
      <c r="AG151" s="3392">
        <f>+AF151+AC151</f>
        <v>0</v>
      </c>
    </row>
    <row r="152" spans="1:33" ht="15">
      <c r="A152" s="3397"/>
      <c r="B152" s="3398"/>
      <c r="C152" s="3398"/>
      <c r="D152" s="3398"/>
      <c r="E152" s="3398"/>
      <c r="F152" s="3398"/>
      <c r="G152" s="3398"/>
      <c r="H152" s="3398"/>
      <c r="I152" s="3398"/>
      <c r="J152" s="3398"/>
      <c r="K152" s="3398"/>
      <c r="L152" s="3398"/>
      <c r="M152" s="3420"/>
      <c r="N152" s="3420"/>
      <c r="O152" s="3398"/>
      <c r="P152" s="3398">
        <f>+'Schedule B'!S268</f>
        <v>-3234573.2769563198</v>
      </c>
      <c r="Q152" s="3398"/>
      <c r="R152" s="3397">
        <f>+Q149-P149</f>
        <v>215885.18999993801</v>
      </c>
      <c r="S152" s="4629">
        <f>+'Schedule B'!Y268</f>
        <v>-215885.18999999762</v>
      </c>
      <c r="T152" s="4630"/>
      <c r="U152" s="4630"/>
      <c r="V152" s="4630"/>
      <c r="W152" s="4630"/>
      <c r="X152" s="4630"/>
      <c r="Y152" s="4630"/>
      <c r="Z152" s="4630"/>
      <c r="AA152" s="4630"/>
      <c r="AB152" s="4630"/>
    </row>
    <row r="153" spans="1:33" ht="15">
      <c r="A153" s="3421"/>
      <c r="B153" s="3398"/>
      <c r="C153" s="3398"/>
      <c r="D153" s="3398"/>
      <c r="E153" s="3398"/>
      <c r="F153" s="3398"/>
      <c r="G153" s="3398">
        <f>+G149-E149</f>
        <v>-442200</v>
      </c>
      <c r="H153" s="3398"/>
      <c r="I153" s="3398"/>
      <c r="J153" s="3398"/>
      <c r="K153" s="3398"/>
      <c r="L153" s="3398">
        <f>+'Schedule B'!Q268-'Schedule B'!Q266</f>
        <v>580612977.58304346</v>
      </c>
      <c r="M153" s="3398"/>
      <c r="N153" s="3398"/>
      <c r="O153" s="3398"/>
      <c r="P153" s="3398">
        <f>+P152-P151</f>
        <v>1722074.7000000477</v>
      </c>
      <c r="Q153" s="3398"/>
      <c r="R153" s="3397"/>
      <c r="S153" s="4629">
        <f>+S152-R149</f>
        <v>0</v>
      </c>
      <c r="T153" s="4630"/>
      <c r="U153" s="4630"/>
      <c r="V153" s="4630"/>
      <c r="W153" s="4630"/>
      <c r="X153" s="4630"/>
      <c r="Y153" s="4630"/>
      <c r="Z153" s="4630"/>
      <c r="AA153" s="4630"/>
      <c r="AB153" s="4630" t="s">
        <v>3589</v>
      </c>
    </row>
    <row r="154" spans="1:33" ht="15">
      <c r="A154" s="3397"/>
      <c r="B154" s="3398"/>
      <c r="C154" s="3398"/>
      <c r="D154" s="3398"/>
      <c r="E154" s="3398"/>
      <c r="F154" s="3398"/>
      <c r="G154" s="3398">
        <f>+'Schedule B'!K268</f>
        <v>583847550.85999978</v>
      </c>
      <c r="H154" s="3398"/>
      <c r="I154" s="3398"/>
      <c r="J154" s="3398"/>
      <c r="K154" s="3398"/>
      <c r="L154" s="3398">
        <f>+L153-L149</f>
        <v>1796788.5299999714</v>
      </c>
      <c r="M154" s="3398"/>
      <c r="N154" s="3398"/>
      <c r="O154" s="3398"/>
      <c r="P154" s="3398">
        <v>347793.9</v>
      </c>
      <c r="Q154" s="3398"/>
      <c r="R154" s="3397">
        <f>+'Schedule B'!Y268</f>
        <v>-215885.18999999762</v>
      </c>
      <c r="S154" s="3508"/>
    </row>
    <row r="155" spans="1:33" ht="15">
      <c r="A155" s="3397"/>
      <c r="B155" s="3398"/>
      <c r="C155" s="3398"/>
      <c r="D155" s="3398"/>
      <c r="E155" s="3398"/>
      <c r="F155" s="3398"/>
      <c r="G155" s="3398">
        <f>+G154-G149</f>
        <v>516913.82999992371</v>
      </c>
      <c r="H155" s="3398"/>
      <c r="I155" s="3398"/>
      <c r="J155" s="3398"/>
      <c r="K155" s="3398"/>
      <c r="L155" s="3398"/>
      <c r="M155" s="3398"/>
      <c r="N155" s="3398"/>
      <c r="O155" s="3398"/>
      <c r="P155" s="3398">
        <v>569838.42000000004</v>
      </c>
      <c r="Q155" s="3398"/>
      <c r="R155" s="3397">
        <f>+R149-R154</f>
        <v>0</v>
      </c>
      <c r="S155" s="3508"/>
    </row>
    <row r="156" spans="1:33">
      <c r="P156" s="3394">
        <f>+P155+P154+P151</f>
        <v>-4039015.6569563672</v>
      </c>
      <c r="Q156" s="3394">
        <f>+'Additional Budget Sum (19Dec)'!I26</f>
        <v>101258508.08304346</v>
      </c>
      <c r="R156" s="3388">
        <f>+Q156-P156</f>
        <v>105297523.73999983</v>
      </c>
      <c r="S156" s="3508"/>
    </row>
    <row r="157" spans="1:33">
      <c r="K157" s="3394" t="e">
        <f>+K135+K115+K114+K41+K40+#REF!+K14</f>
        <v>#REF!</v>
      </c>
      <c r="P157" s="3394">
        <f>+'Schedule B'!Q268</f>
        <v>580612977.58304346</v>
      </c>
    </row>
    <row r="158" spans="1:33">
      <c r="K158" s="3394" t="e">
        <f>+#REF!</f>
        <v>#REF!</v>
      </c>
      <c r="P158" s="3394">
        <f>+P157-P149</f>
        <v>1796788.5299999714</v>
      </c>
    </row>
    <row r="159" spans="1:33">
      <c r="K159" s="3394" t="e">
        <f>+K158-K157</f>
        <v>#REF!</v>
      </c>
    </row>
  </sheetData>
  <dataConsolidate link="1"/>
  <mergeCells count="4">
    <mergeCell ref="E9:G9"/>
    <mergeCell ref="H9:I9"/>
    <mergeCell ref="Q9:R9"/>
    <mergeCell ref="A10:A11"/>
  </mergeCells>
  <pageMargins left="0.7" right="0.7" top="0.75" bottom="0.75" header="0.3" footer="0.3"/>
  <pageSetup paperSize="8" scale="46" fitToHeight="8" orientation="landscape" r:id="rId1"/>
  <headerFooter>
    <oddHeader>&amp;C&amp;"Calibri,Bold"&amp;18MONTHLY REPORT - STAKEHOLDER EXECUTIVE REVIEW (ERB)</oddHeader>
    <oddFooter>&amp;L1TB.01.003.01 - AYC 
MARCH'26 REPORT&amp;C&amp;A&amp;RPage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29BD3-21FF-2747-AB3E-605551DDC44D}">
  <sheetPr codeName="Sheet54">
    <tabColor rgb="FFFFDDDD"/>
    <pageSetUpPr fitToPage="1"/>
  </sheetPr>
  <dimension ref="A1:Y79"/>
  <sheetViews>
    <sheetView showGridLines="0" view="pageBreakPreview" zoomScaleNormal="100" zoomScaleSheetLayoutView="100" workbookViewId="0">
      <pane ySplit="6" topLeftCell="A7" activePane="bottomLeft" state="frozen"/>
      <selection activeCell="C43" sqref="C43"/>
      <selection pane="bottomLeft" activeCell="B33" sqref="B33:H33"/>
    </sheetView>
  </sheetViews>
  <sheetFormatPr defaultColWidth="11" defaultRowHeight="12.75"/>
  <cols>
    <col min="1" max="1" width="44" style="4009" customWidth="1"/>
    <col min="2" max="5" width="20.85546875" style="4035" customWidth="1"/>
    <col min="6" max="6" width="25.140625" style="4035" customWidth="1"/>
    <col min="7" max="7" width="20.85546875" style="4035" customWidth="1"/>
    <col min="8" max="8" width="19" style="4035" bestFit="1" customWidth="1"/>
    <col min="9" max="9" width="17.42578125" style="4034" customWidth="1"/>
    <col min="10" max="10" width="17.42578125" style="4010" customWidth="1"/>
    <col min="11" max="11" width="18" style="4010" customWidth="1"/>
    <col min="12" max="12" width="24.5703125" style="4010" customWidth="1"/>
    <col min="13" max="13" width="15.5703125" style="4010" customWidth="1"/>
    <col min="14" max="14" width="15.85546875" style="4010" customWidth="1"/>
    <col min="15" max="15" width="13.85546875" style="4010" customWidth="1"/>
    <col min="16" max="17" width="10" style="4010" customWidth="1"/>
    <col min="18" max="25" width="11" style="4010"/>
    <col min="26" max="16384" width="11" style="4009"/>
  </cols>
  <sheetData>
    <row r="1" spans="1:15" ht="50.25" customHeight="1">
      <c r="A1" s="4271" t="s">
        <v>4539</v>
      </c>
      <c r="B1" s="4272"/>
      <c r="C1" s="4272"/>
      <c r="J1" s="4237"/>
    </row>
    <row r="2" spans="1:15" ht="20.25" customHeight="1">
      <c r="A2" s="5588" t="str">
        <f>+'Data Input'!B8</f>
        <v>OCTOBER 2026</v>
      </c>
      <c r="B2" s="5588"/>
      <c r="C2" s="5588"/>
      <c r="D2" s="4008"/>
      <c r="E2" s="4008"/>
      <c r="F2" s="4008"/>
      <c r="G2" s="4008"/>
      <c r="H2" s="4008"/>
      <c r="I2" s="4009"/>
      <c r="K2" s="4237"/>
      <c r="L2" s="4237"/>
      <c r="M2" s="4237"/>
      <c r="N2" s="4237"/>
      <c r="O2" s="4262"/>
    </row>
    <row r="3" spans="1:15" ht="7.5" customHeight="1">
      <c r="A3" s="4270"/>
      <c r="B3" s="4270"/>
      <c r="C3" s="4270"/>
      <c r="D3" s="4010"/>
      <c r="E3" s="4010"/>
      <c r="F3" s="4010"/>
      <c r="G3" s="4010"/>
      <c r="H3" s="4010"/>
      <c r="I3" s="4009"/>
      <c r="K3" s="4237"/>
      <c r="L3" s="4237"/>
      <c r="M3" s="4237"/>
      <c r="N3" s="4237"/>
      <c r="O3" s="4262"/>
    </row>
    <row r="4" spans="1:15" ht="5.25" customHeight="1">
      <c r="A4" s="4010"/>
      <c r="B4" s="4011"/>
      <c r="C4" s="4011"/>
      <c r="D4" s="4011"/>
      <c r="E4" s="4011"/>
      <c r="F4" s="4011"/>
      <c r="G4" s="4011"/>
      <c r="H4" s="4012"/>
      <c r="I4" s="4013"/>
      <c r="K4" s="4237"/>
      <c r="L4" s="4237"/>
    </row>
    <row r="5" spans="1:15" ht="48" customHeight="1">
      <c r="A5" s="4014" t="s">
        <v>3640</v>
      </c>
      <c r="B5" s="4015" t="s">
        <v>2883</v>
      </c>
      <c r="C5" s="4015" t="s">
        <v>3643</v>
      </c>
      <c r="D5" s="4015" t="s">
        <v>2884</v>
      </c>
      <c r="E5" s="4015" t="s">
        <v>3647</v>
      </c>
      <c r="F5" s="4015" t="s">
        <v>3648</v>
      </c>
      <c r="G5" s="4015" t="s">
        <v>2889</v>
      </c>
      <c r="H5" s="4016" t="s">
        <v>3658</v>
      </c>
      <c r="I5" s="4017"/>
      <c r="J5" s="4018"/>
      <c r="K5" s="4237"/>
      <c r="L5" s="4237"/>
    </row>
    <row r="6" spans="1:15" s="4010" customFormat="1" ht="15">
      <c r="A6" s="4019"/>
      <c r="B6" s="4020" t="s">
        <v>434</v>
      </c>
      <c r="C6" s="4020" t="s">
        <v>434</v>
      </c>
      <c r="D6" s="4020" t="s">
        <v>434</v>
      </c>
      <c r="E6" s="4020" t="s">
        <v>434</v>
      </c>
      <c r="F6" s="4020" t="s">
        <v>434</v>
      </c>
      <c r="G6" s="4020" t="s">
        <v>434</v>
      </c>
      <c r="H6" s="4021" t="s">
        <v>434</v>
      </c>
      <c r="I6" s="4022">
        <f>+F27-F35</f>
        <v>-7993697.5569563508</v>
      </c>
      <c r="M6" s="4243"/>
    </row>
    <row r="7" spans="1:15" s="4010" customFormat="1" ht="15">
      <c r="A7" s="4019"/>
      <c r="B7" s="4020"/>
      <c r="C7" s="4020"/>
      <c r="D7" s="4020"/>
      <c r="E7" s="4020"/>
      <c r="F7" s="4020"/>
      <c r="G7" s="4020"/>
      <c r="H7" s="4021"/>
      <c r="I7" s="4022"/>
    </row>
    <row r="8" spans="1:15" ht="15">
      <c r="A8" s="4023" t="s">
        <v>3618</v>
      </c>
      <c r="B8" s="4085">
        <f>+'Level 02'!G19</f>
        <v>22056261.5</v>
      </c>
      <c r="C8" s="4085">
        <f>+'Level 02'!G24</f>
        <v>13038930.000000002</v>
      </c>
      <c r="D8" s="4086">
        <f>+'Level 02'!G27</f>
        <v>0</v>
      </c>
      <c r="E8" s="4086">
        <f>+'Level 02'!G31</f>
        <v>3105783.49</v>
      </c>
      <c r="F8" s="4086">
        <f>+'Level 02'!G125</f>
        <v>505488572.47999978</v>
      </c>
      <c r="G8" s="4086">
        <f>'Level 02'!G140</f>
        <v>40158003.390000001</v>
      </c>
      <c r="H8" s="4087">
        <f>SUM(B8:G8)</f>
        <v>583847550.85999978</v>
      </c>
      <c r="I8" s="4024">
        <f>+'Schedule B'!H268</f>
        <v>583847550.85999978</v>
      </c>
      <c r="J8" s="4197">
        <f>+I8-H8</f>
        <v>0</v>
      </c>
      <c r="K8" s="4183" t="s">
        <v>4249</v>
      </c>
    </row>
    <row r="9" spans="1:15" ht="15">
      <c r="A9" s="4025"/>
      <c r="B9" s="4086"/>
      <c r="C9" s="4086"/>
      <c r="D9" s="4086"/>
      <c r="E9" s="4086"/>
      <c r="F9" s="4086"/>
      <c r="G9" s="4086"/>
      <c r="H9" s="4087"/>
      <c r="I9" s="4024"/>
    </row>
    <row r="10" spans="1:15" ht="15">
      <c r="A10" s="4023" t="s">
        <v>3619</v>
      </c>
      <c r="B10" s="4086"/>
      <c r="C10" s="4086"/>
      <c r="D10" s="4086"/>
      <c r="E10" s="4086"/>
      <c r="F10" s="4086"/>
      <c r="G10" s="4086"/>
      <c r="H10" s="4087"/>
      <c r="I10" s="4024"/>
    </row>
    <row r="11" spans="1:15" ht="15">
      <c r="A11" s="4026" t="s">
        <v>3620</v>
      </c>
      <c r="B11" s="4086">
        <f>'Level 02'!H19</f>
        <v>20543894.98</v>
      </c>
      <c r="C11" s="4086">
        <f>'Level 02'!H24</f>
        <v>13296114.380000001</v>
      </c>
      <c r="D11" s="4086">
        <f>'Level 02'!H27</f>
        <v>0</v>
      </c>
      <c r="E11" s="4086">
        <f>'Level 02'!H31</f>
        <v>3105783.49</v>
      </c>
      <c r="F11" s="4086">
        <f>'Level 02'!H125</f>
        <v>476351757.04999995</v>
      </c>
      <c r="G11" s="4086">
        <f>'Level 02'!H140</f>
        <v>40154868.279999994</v>
      </c>
      <c r="H11" s="4087">
        <f>SUM(B11:G11)</f>
        <v>553452418.17999995</v>
      </c>
      <c r="I11" s="4024">
        <f>'Executive Summary'!E30</f>
        <v>553452418.17999995</v>
      </c>
      <c r="J11" s="4197">
        <f>+I11-H11</f>
        <v>0</v>
      </c>
      <c r="K11" s="4183" t="s">
        <v>4249</v>
      </c>
    </row>
    <row r="12" spans="1:15" ht="15">
      <c r="A12" s="4026" t="s">
        <v>3621</v>
      </c>
      <c r="B12" s="4086">
        <f>'Level 02'!I19</f>
        <v>4664935.1199999992</v>
      </c>
      <c r="C12" s="4086">
        <f>'Level 02'!I24</f>
        <v>1071977</v>
      </c>
      <c r="D12" s="4086">
        <f>'Level 02'!I27</f>
        <v>0</v>
      </c>
      <c r="E12" s="4086">
        <f>'Level 02'!I31</f>
        <v>-509.48</v>
      </c>
      <c r="F12" s="4086">
        <f>'Level 02'!I125</f>
        <v>231953.83999999164</v>
      </c>
      <c r="G12" s="4086">
        <f>'Level 02'!I140</f>
        <v>851779</v>
      </c>
      <c r="H12" s="4087">
        <f>SUM(B12:G12)</f>
        <v>6820135.4799999902</v>
      </c>
      <c r="I12" s="4024">
        <f>'Schedule A'!G32</f>
        <v>6820135.4799999911</v>
      </c>
      <c r="J12" s="4197">
        <f t="shared" ref="J12:J13" si="0">+I12-H12</f>
        <v>0</v>
      </c>
      <c r="K12" s="4183" t="s">
        <v>4249</v>
      </c>
    </row>
    <row r="13" spans="1:15" ht="15">
      <c r="A13" s="4026" t="s">
        <v>3623</v>
      </c>
      <c r="B13" s="4086">
        <f>+'Level 02'!J19</f>
        <v>0</v>
      </c>
      <c r="C13" s="4086">
        <f>+'Level 02'!J24</f>
        <v>0</v>
      </c>
      <c r="D13" s="4086">
        <f>+'Level 02'!J27</f>
        <v>0</v>
      </c>
      <c r="E13" s="4086">
        <f>+'Level 02'!J31</f>
        <v>0</v>
      </c>
      <c r="F13" s="4086">
        <f>+'Level 02'!J125</f>
        <v>1993436.11</v>
      </c>
      <c r="G13" s="4086">
        <f>+'Level 02'!J140</f>
        <v>0</v>
      </c>
      <c r="H13" s="4087">
        <f>SUM(B13:G13)</f>
        <v>1993436.11</v>
      </c>
      <c r="I13" s="4024">
        <f>'Schedule A'!H32</f>
        <v>1993436.11</v>
      </c>
      <c r="J13" s="4197">
        <f t="shared" si="0"/>
        <v>0</v>
      </c>
      <c r="K13" s="4183" t="s">
        <v>4249</v>
      </c>
    </row>
    <row r="14" spans="1:15" ht="15">
      <c r="A14" s="4026" t="s">
        <v>3980</v>
      </c>
      <c r="B14" s="4086">
        <f>'Schedule B'!Q245</f>
        <v>0</v>
      </c>
      <c r="C14" s="4086">
        <f>'Schedule B'!Q250</f>
        <v>0</v>
      </c>
      <c r="D14" s="4086">
        <f>'Schedule B'!Q251</f>
        <v>0</v>
      </c>
      <c r="E14" s="4086">
        <v>0</v>
      </c>
      <c r="F14" s="4086">
        <f>'Schedule B'!Q256</f>
        <v>0</v>
      </c>
      <c r="G14" s="4086">
        <f>'Schedule B'!Q261</f>
        <v>0</v>
      </c>
      <c r="H14" s="4087">
        <f>SUM(B14:G14)</f>
        <v>0</v>
      </c>
      <c r="I14" s="4024">
        <f>'Schedule A'!O34</f>
        <v>0</v>
      </c>
      <c r="J14" s="4197">
        <f t="shared" ref="J14" si="1">+I14-H14</f>
        <v>0</v>
      </c>
      <c r="K14" s="4183" t="s">
        <v>4249</v>
      </c>
    </row>
    <row r="15" spans="1:15" ht="15">
      <c r="A15" s="4025"/>
      <c r="B15" s="4086"/>
      <c r="C15" s="4086"/>
      <c r="D15" s="4086"/>
      <c r="E15" s="4086"/>
      <c r="F15" s="4086"/>
      <c r="G15" s="4086"/>
      <c r="H15" s="4087"/>
      <c r="I15" s="4024"/>
    </row>
    <row r="16" spans="1:15" ht="15">
      <c r="A16" s="4023" t="s">
        <v>3622</v>
      </c>
      <c r="B16" s="4086"/>
      <c r="C16" s="4086"/>
      <c r="D16" s="4086"/>
      <c r="E16" s="4086"/>
      <c r="F16" s="4086"/>
      <c r="G16" s="4086"/>
      <c r="H16" s="4087"/>
      <c r="I16" s="4024"/>
    </row>
    <row r="17" spans="1:13" ht="15">
      <c r="A17" s="4026" t="s">
        <v>4534</v>
      </c>
      <c r="B17" s="4086">
        <f>'Level 02'!M19</f>
        <v>101675.08</v>
      </c>
      <c r="C17" s="4086">
        <f>'Level 02'!M24</f>
        <v>-53507</v>
      </c>
      <c r="D17" s="4086">
        <f>'Level 02'!M27</f>
        <v>0</v>
      </c>
      <c r="E17" s="4085">
        <f>'Level 02'!M31</f>
        <v>0</v>
      </c>
      <c r="F17" s="4086">
        <f>'Level 02'!M125</f>
        <v>-18178391.659999996</v>
      </c>
      <c r="G17" s="4086">
        <f>'Level 02'!M140</f>
        <v>0</v>
      </c>
      <c r="H17" s="4269">
        <f>SUM(B17:G17)</f>
        <v>-18130223.579999998</v>
      </c>
      <c r="I17" s="4024">
        <f>'Schedule A'!K32</f>
        <v>-18130223.579999998</v>
      </c>
      <c r="J17" s="4197">
        <f t="shared" ref="J17" si="2">+I17-H17</f>
        <v>0</v>
      </c>
      <c r="K17" s="4183" t="s">
        <v>4249</v>
      </c>
      <c r="M17" s="4243"/>
    </row>
    <row r="18" spans="1:13" ht="15">
      <c r="A18" s="4026" t="s">
        <v>372</v>
      </c>
      <c r="B18" s="4086">
        <f>'Level 02'!P19</f>
        <v>0</v>
      </c>
      <c r="C18" s="4086">
        <f>'Level 02'!P24</f>
        <v>0</v>
      </c>
      <c r="D18" s="4086">
        <f>'Level 02'!P27</f>
        <v>0</v>
      </c>
      <c r="E18" s="4086">
        <f>'Level 02'!P31</f>
        <v>-782972</v>
      </c>
      <c r="F18" s="4086">
        <f>'Level 02'!P125</f>
        <v>33674620.893043488</v>
      </c>
      <c r="G18" s="4086">
        <f>+'Level 02'!P140</f>
        <v>0</v>
      </c>
      <c r="H18" s="4268">
        <f>SUM(B18:G18)</f>
        <v>32891648.893043488</v>
      </c>
      <c r="I18" s="4024">
        <f>'Schedule A'!M32</f>
        <v>32891648.893043488</v>
      </c>
      <c r="J18" s="4197">
        <f t="shared" ref="J18" si="3">+I18-H18</f>
        <v>0</v>
      </c>
      <c r="K18" s="4183" t="s">
        <v>4249</v>
      </c>
      <c r="M18" s="4243"/>
    </row>
    <row r="19" spans="1:13" ht="15">
      <c r="A19" s="4025"/>
      <c r="B19" s="4086"/>
      <c r="C19" s="4086"/>
      <c r="D19" s="4086"/>
      <c r="E19" s="4086"/>
      <c r="F19" s="4086"/>
      <c r="G19" s="4086"/>
      <c r="H19" s="4268"/>
      <c r="I19" s="4024"/>
    </row>
    <row r="20" spans="1:13" ht="15">
      <c r="A20" s="4023" t="s">
        <v>3624</v>
      </c>
      <c r="B20" s="4086"/>
      <c r="C20" s="4086"/>
      <c r="D20" s="4086"/>
      <c r="E20" s="4086"/>
      <c r="F20" s="4086"/>
      <c r="G20" s="4086"/>
      <c r="H20" s="4268"/>
      <c r="I20" s="4024"/>
    </row>
    <row r="21" spans="1:13" ht="15">
      <c r="A21" s="4026" t="s">
        <v>3625</v>
      </c>
      <c r="B21" s="4086">
        <f>'Level 02'!N19</f>
        <v>0</v>
      </c>
      <c r="C21" s="4086">
        <f>'Level 02'!N24</f>
        <v>-49207</v>
      </c>
      <c r="D21" s="4086">
        <f>'Level 02'!N27</f>
        <v>0</v>
      </c>
      <c r="E21" s="4086">
        <f>'Level 02'!N31</f>
        <v>0</v>
      </c>
      <c r="F21" s="4086">
        <f>'Level 02'!N125</f>
        <v>3205613.5</v>
      </c>
      <c r="G21" s="4086">
        <f>+'Level 02'!N140</f>
        <v>429156</v>
      </c>
      <c r="H21" s="4268">
        <f>SUM(B21:G21)</f>
        <v>3585562.5</v>
      </c>
      <c r="I21" s="4024">
        <f>'Schedule A'!L32</f>
        <v>3585562.5</v>
      </c>
      <c r="J21" s="4197">
        <f t="shared" ref="J21" si="4">+I21-H21</f>
        <v>0</v>
      </c>
      <c r="K21" s="4183" t="s">
        <v>4249</v>
      </c>
    </row>
    <row r="22" spans="1:13" ht="15">
      <c r="A22" s="4026" t="s">
        <v>3626</v>
      </c>
      <c r="B22" s="4086">
        <f>'Level 02'!O19</f>
        <v>0</v>
      </c>
      <c r="C22" s="4086">
        <f>'Level 02'!O24</f>
        <v>0</v>
      </c>
      <c r="D22" s="4086">
        <f>'Level 02'!O27</f>
        <v>0</v>
      </c>
      <c r="E22" s="4086">
        <f>'Level 02'!O31</f>
        <v>0</v>
      </c>
      <c r="F22" s="4086">
        <f>'Level 02'!O125</f>
        <v>0</v>
      </c>
      <c r="G22" s="4086">
        <f>'Level 02'!O140</f>
        <v>0</v>
      </c>
      <c r="H22" s="4087">
        <f>SUM(B22:G22)</f>
        <v>0</v>
      </c>
      <c r="I22" s="4024"/>
    </row>
    <row r="23" spans="1:13" s="4010" customFormat="1" ht="15">
      <c r="A23" s="4026" t="s">
        <v>3627</v>
      </c>
      <c r="B23" s="4086">
        <f>+'Level 02'!L19</f>
        <v>0</v>
      </c>
      <c r="C23" s="4086">
        <f>+'Level 02'!L24</f>
        <v>0</v>
      </c>
      <c r="D23" s="4086">
        <f>+'Level 02'!L27</f>
        <v>0</v>
      </c>
      <c r="E23" s="4086">
        <f>+'Level 02'!L31</f>
        <v>0</v>
      </c>
      <c r="F23" s="4086">
        <f>+'Level 02'!L125</f>
        <v>0</v>
      </c>
      <c r="G23" s="4086">
        <f>+'Level 02'!L140</f>
        <v>0</v>
      </c>
      <c r="H23" s="4087">
        <f>SUM(B23:G23)</f>
        <v>0</v>
      </c>
      <c r="I23" s="4024"/>
    </row>
    <row r="24" spans="1:13" ht="14.25">
      <c r="A24" s="4025"/>
      <c r="B24" s="4086"/>
      <c r="C24" s="4086"/>
      <c r="D24" s="4086"/>
      <c r="E24" s="4086"/>
      <c r="F24" s="4086"/>
      <c r="G24" s="4086"/>
      <c r="H24" s="4088"/>
      <c r="I24" s="4027"/>
      <c r="J24" s="4237"/>
    </row>
    <row r="25" spans="1:13" ht="36" customHeight="1" thickBot="1">
      <c r="A25" s="4028" t="s">
        <v>3628</v>
      </c>
      <c r="B25" s="4089">
        <f t="shared" ref="B25:H25" si="5">SUM(B10:B24)</f>
        <v>25310505.18</v>
      </c>
      <c r="C25" s="4089">
        <f t="shared" si="5"/>
        <v>14265377.380000001</v>
      </c>
      <c r="D25" s="4089">
        <f t="shared" si="5"/>
        <v>0</v>
      </c>
      <c r="E25" s="4089">
        <f t="shared" si="5"/>
        <v>2322302.0100000002</v>
      </c>
      <c r="F25" s="4089">
        <f t="shared" si="5"/>
        <v>497278989.73304343</v>
      </c>
      <c r="G25" s="4089">
        <f>SUM(G10:G24)</f>
        <v>41435803.279999994</v>
      </c>
      <c r="H25" s="4090">
        <f t="shared" si="5"/>
        <v>580612977.58304346</v>
      </c>
      <c r="I25" s="4029">
        <f>+'Schedule B'!Q268-'Schedule B'!Q266</f>
        <v>580612977.58304346</v>
      </c>
      <c r="J25" s="4186">
        <f>+H25-I25</f>
        <v>0</v>
      </c>
      <c r="K25" s="4187" t="s">
        <v>4242</v>
      </c>
      <c r="L25" s="4237"/>
      <c r="M25" s="4237"/>
    </row>
    <row r="26" spans="1:13" ht="15" thickTop="1">
      <c r="A26" s="4025"/>
      <c r="B26" s="4086"/>
      <c r="C26" s="4086"/>
      <c r="D26" s="4086"/>
      <c r="E26" s="4091"/>
      <c r="F26" s="4091"/>
      <c r="G26" s="4091"/>
      <c r="H26" s="4091"/>
      <c r="I26" s="4027"/>
    </row>
    <row r="27" spans="1:13" ht="21" customHeight="1" thickBot="1">
      <c r="A27" s="4028" t="s">
        <v>3629</v>
      </c>
      <c r="B27" s="4089">
        <f t="shared" ref="B27:G27" si="6">B25-B8</f>
        <v>3254243.6799999997</v>
      </c>
      <c r="C27" s="4089">
        <f>C25-C8</f>
        <v>1226447.379999999</v>
      </c>
      <c r="D27" s="4089">
        <f t="shared" si="6"/>
        <v>0</v>
      </c>
      <c r="E27" s="4089">
        <f t="shared" si="6"/>
        <v>-783481.48</v>
      </c>
      <c r="F27" s="4089">
        <f>F25-F8</f>
        <v>-8209582.7469563484</v>
      </c>
      <c r="G27" s="4089">
        <f t="shared" si="6"/>
        <v>1277799.8899999931</v>
      </c>
      <c r="H27" s="4092">
        <f>H25-H8</f>
        <v>-3234573.2769563198</v>
      </c>
      <c r="I27" s="4030">
        <f>+'Level 02'!R142</f>
        <v>-3234573.2769563217</v>
      </c>
      <c r="J27" s="4185">
        <f>+I27-H27</f>
        <v>0</v>
      </c>
      <c r="K27" s="4183" t="s">
        <v>4249</v>
      </c>
    </row>
    <row r="28" spans="1:13" s="4010" customFormat="1" ht="21.95" customHeight="1" thickTop="1" thickBot="1">
      <c r="A28" s="4534"/>
      <c r="B28" s="4535"/>
      <c r="C28" s="4535"/>
      <c r="D28" s="4535"/>
      <c r="E28" s="4535"/>
      <c r="F28" s="4535"/>
      <c r="G28" s="4535"/>
      <c r="H28" s="4535"/>
      <c r="I28" s="4031"/>
      <c r="J28" s="4238"/>
      <c r="K28" s="4183"/>
      <c r="M28" s="4243"/>
    </row>
    <row r="29" spans="1:13" s="4010" customFormat="1" ht="42" customHeight="1">
      <c r="A29" s="5589"/>
      <c r="B29" s="5585"/>
      <c r="C29" s="5585"/>
      <c r="D29" s="5585"/>
      <c r="E29" s="5585"/>
      <c r="F29" s="5592"/>
      <c r="G29" s="5595"/>
      <c r="H29" s="5582"/>
      <c r="I29" s="4033"/>
      <c r="J29" s="4284"/>
      <c r="K29" s="4285"/>
    </row>
    <row r="30" spans="1:13" s="4010" customFormat="1" ht="7.5" customHeight="1">
      <c r="A30" s="5590"/>
      <c r="B30" s="5586"/>
      <c r="C30" s="5586"/>
      <c r="D30" s="5586"/>
      <c r="E30" s="5586"/>
      <c r="F30" s="5593"/>
      <c r="G30" s="5596"/>
      <c r="H30" s="5583"/>
      <c r="I30" s="4033"/>
      <c r="J30" s="4284"/>
      <c r="K30" s="4285"/>
    </row>
    <row r="31" spans="1:13" s="4010" customFormat="1" ht="18.75" customHeight="1" thickBot="1">
      <c r="A31" s="5591"/>
      <c r="B31" s="5587"/>
      <c r="C31" s="5587"/>
      <c r="D31" s="5587"/>
      <c r="E31" s="5587"/>
      <c r="F31" s="5594"/>
      <c r="G31" s="5597"/>
      <c r="H31" s="5584"/>
      <c r="I31" s="4033"/>
      <c r="J31" s="4284"/>
      <c r="K31" s="4285"/>
    </row>
    <row r="32" spans="1:13" s="4010" customFormat="1">
      <c r="B32" s="4011"/>
      <c r="C32" s="4011"/>
      <c r="D32" s="4011"/>
      <c r="E32" s="4011"/>
      <c r="F32" s="4011"/>
      <c r="G32" s="4011"/>
      <c r="H32" s="4011"/>
      <c r="I32" s="4034"/>
    </row>
    <row r="33" spans="1:13" s="4010" customFormat="1" ht="24.75" customHeight="1" thickBot="1">
      <c r="A33" s="4028" t="s">
        <v>3630</v>
      </c>
      <c r="B33" s="4089">
        <v>25310505.18</v>
      </c>
      <c r="C33" s="4089">
        <v>14265377.380000001</v>
      </c>
      <c r="D33" s="4089">
        <v>0</v>
      </c>
      <c r="E33" s="4089">
        <v>2322302.0100000002</v>
      </c>
      <c r="F33" s="4089">
        <v>497494874.92304343</v>
      </c>
      <c r="G33" s="4089">
        <v>41435803.279999994</v>
      </c>
      <c r="H33" s="4092">
        <v>580828862.77304351</v>
      </c>
      <c r="I33" s="4029"/>
      <c r="L33" s="4237"/>
      <c r="M33" s="4237"/>
    </row>
    <row r="34" spans="1:13" s="4010" customFormat="1" ht="13.5" thickTop="1">
      <c r="B34" s="4093"/>
      <c r="C34" s="4093"/>
      <c r="D34" s="4093"/>
      <c r="E34" s="4093"/>
      <c r="F34" s="4093"/>
      <c r="G34" s="4093"/>
      <c r="H34" s="4093"/>
      <c r="I34" s="4034"/>
    </row>
    <row r="35" spans="1:13" s="4010" customFormat="1" ht="21" customHeight="1" thickBot="1">
      <c r="A35" s="4028" t="s">
        <v>3631</v>
      </c>
      <c r="B35" s="4089">
        <f t="shared" ref="B35:G35" si="7">B25-B33</f>
        <v>0</v>
      </c>
      <c r="C35" s="4089">
        <f t="shared" si="7"/>
        <v>0</v>
      </c>
      <c r="D35" s="4089">
        <f t="shared" si="7"/>
        <v>0</v>
      </c>
      <c r="E35" s="4089">
        <f t="shared" si="7"/>
        <v>0</v>
      </c>
      <c r="F35" s="4089">
        <f t="shared" si="7"/>
        <v>-215885.18999999762</v>
      </c>
      <c r="G35" s="4094">
        <f t="shared" si="7"/>
        <v>0</v>
      </c>
      <c r="H35" s="4092">
        <f>SUM(B35:G35)</f>
        <v>-215885.18999999762</v>
      </c>
      <c r="I35" s="4288"/>
      <c r="J35" s="4184"/>
      <c r="K35" s="4185"/>
      <c r="L35" s="4183"/>
    </row>
    <row r="36" spans="1:13" s="4010" customFormat="1" ht="14.25" thickTop="1" thickBot="1">
      <c r="B36" s="4011"/>
      <c r="C36" s="4011"/>
      <c r="D36" s="4011"/>
      <c r="E36" s="4011"/>
      <c r="F36" s="4011"/>
      <c r="G36" s="4287"/>
      <c r="H36" s="4011"/>
      <c r="I36" s="4034"/>
    </row>
    <row r="37" spans="1:13" s="4010" customFormat="1" ht="74.25" customHeight="1" thickBot="1">
      <c r="A37" s="4032" t="s">
        <v>3632</v>
      </c>
      <c r="B37" s="5580" t="s">
        <v>6705</v>
      </c>
      <c r="C37" s="5580"/>
      <c r="D37" s="5580"/>
      <c r="E37" s="5580"/>
      <c r="F37" s="5580"/>
      <c r="G37" s="5580"/>
      <c r="H37" s="5581"/>
      <c r="I37" s="4033"/>
      <c r="J37" s="4237"/>
    </row>
    <row r="38" spans="1:13" s="4010" customFormat="1">
      <c r="B38" s="4011"/>
      <c r="C38" s="4011"/>
      <c r="D38" s="4011"/>
      <c r="E38" s="4011"/>
      <c r="F38" s="4011"/>
      <c r="G38" s="4011"/>
      <c r="H38" s="4011"/>
      <c r="I38" s="4034"/>
    </row>
    <row r="39" spans="1:13" s="4010" customFormat="1">
      <c r="B39" s="4011"/>
      <c r="C39" s="4011"/>
      <c r="D39" s="4011"/>
      <c r="E39" s="4011"/>
      <c r="F39" s="4011"/>
      <c r="G39" s="4011"/>
      <c r="H39" s="4011"/>
      <c r="I39" s="4034"/>
    </row>
    <row r="40" spans="1:13" s="4010" customFormat="1">
      <c r="B40" s="4011"/>
      <c r="C40" s="4011"/>
      <c r="D40" s="4011"/>
      <c r="E40" s="4011"/>
      <c r="F40" s="4011"/>
      <c r="G40" s="4011"/>
      <c r="H40" s="4011"/>
      <c r="I40" s="4034"/>
    </row>
    <row r="41" spans="1:13" s="4010" customFormat="1">
      <c r="B41" s="4011"/>
      <c r="C41" s="4011"/>
      <c r="D41" s="4011"/>
      <c r="E41" s="4011"/>
      <c r="F41" s="4011"/>
      <c r="G41" s="4011"/>
      <c r="H41" s="4011"/>
      <c r="I41" s="4034"/>
    </row>
    <row r="42" spans="1:13">
      <c r="F42" s="4011"/>
    </row>
    <row r="43" spans="1:13">
      <c r="F43" s="4505"/>
    </row>
    <row r="48" spans="1:13">
      <c r="F48" s="4584"/>
    </row>
    <row r="51" spans="6:9" ht="13.5" thickBot="1"/>
    <row r="52" spans="6:9" ht="13.5" thickBot="1">
      <c r="F52" s="4539"/>
    </row>
    <row r="55" spans="6:9">
      <c r="I55" s="4632"/>
    </row>
    <row r="56" spans="6:9">
      <c r="I56" s="4632"/>
    </row>
    <row r="57" spans="6:9">
      <c r="I57" s="4631"/>
    </row>
    <row r="58" spans="6:9">
      <c r="I58" s="4632"/>
    </row>
    <row r="63" spans="6:9" ht="12.75" customHeight="1">
      <c r="H63" s="4633"/>
    </row>
    <row r="64" spans="6:9" ht="12.75" customHeight="1">
      <c r="H64" s="4633"/>
    </row>
    <row r="65" spans="6:8" ht="12.75" customHeight="1">
      <c r="H65" s="4633"/>
    </row>
    <row r="66" spans="6:8">
      <c r="H66" s="4633"/>
    </row>
    <row r="67" spans="6:8">
      <c r="H67" s="4633"/>
    </row>
    <row r="77" spans="6:8">
      <c r="F77" s="4677"/>
    </row>
    <row r="78" spans="6:8">
      <c r="F78" s="4677"/>
    </row>
    <row r="79" spans="6:8">
      <c r="F79" s="4677"/>
    </row>
  </sheetData>
  <mergeCells count="10">
    <mergeCell ref="A2:C2"/>
    <mergeCell ref="A29:A31"/>
    <mergeCell ref="F29:F31"/>
    <mergeCell ref="E29:E31"/>
    <mergeCell ref="G29:G31"/>
    <mergeCell ref="B37:H37"/>
    <mergeCell ref="H29:H31"/>
    <mergeCell ref="D29:D31"/>
    <mergeCell ref="C29:C31"/>
    <mergeCell ref="B29:B31"/>
  </mergeCells>
  <conditionalFormatting sqref="B27:H27">
    <cfRule type="cellIs" dxfId="393" priority="4" operator="equal">
      <formula>0</formula>
    </cfRule>
  </conditionalFormatting>
  <conditionalFormatting sqref="B35:H35">
    <cfRule type="cellIs" dxfId="392" priority="1" operator="equal">
      <formula>0</formula>
    </cfRule>
    <cfRule type="cellIs" dxfId="391" priority="2" operator="lessThan">
      <formula>0</formula>
    </cfRule>
    <cfRule type="cellIs" dxfId="390" priority="3" operator="greaterThan">
      <formula>0</formula>
    </cfRule>
  </conditionalFormatting>
  <conditionalFormatting sqref="B27:I27">
    <cfRule type="cellIs" dxfId="389" priority="5" operator="lessThan">
      <formula>0</formula>
    </cfRule>
    <cfRule type="cellIs" dxfId="388" priority="6" operator="greaterThan">
      <formula>0</formula>
    </cfRule>
  </conditionalFormatting>
  <pageMargins left="0.70866141732283472" right="0.70866141732283472" top="0.74803149606299213" bottom="0.74803149606299213" header="0.31496062992125984" footer="0.31496062992125984"/>
  <pageSetup paperSize="8" scale="76" fitToHeight="4" orientation="portrait" r:id="rId1"/>
  <headerFooter>
    <oddHeader>&amp;C&amp;"Amaala Sans,Bold"&amp;20COST REPORT EXECUTIVE SUMMARY - LEVEL 1</oddHeader>
    <oddFooter>&amp;L1TB.01.003.01 - AYC 
MARCH'26 REPORT&amp;C&amp;A&amp;RPage &amp;P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8DB6E-333F-41A5-8048-990AC8E60FE2}">
  <sheetPr>
    <tabColor rgb="FFF36722"/>
    <pageSetUpPr fitToPage="1"/>
  </sheetPr>
  <dimension ref="A1:F108"/>
  <sheetViews>
    <sheetView view="pageBreakPreview" topLeftCell="A70" zoomScale="70" zoomScaleNormal="80" zoomScaleSheetLayoutView="70" workbookViewId="0">
      <selection activeCell="D119" sqref="D119"/>
    </sheetView>
  </sheetViews>
  <sheetFormatPr defaultColWidth="9" defaultRowHeight="12.75"/>
  <cols>
    <col min="1" max="1" width="14" style="722" customWidth="1"/>
    <col min="2" max="2" width="36" style="3476" bestFit="1" customWidth="1"/>
    <col min="3" max="3" width="65" style="3476" customWidth="1"/>
    <col min="4" max="4" width="20" style="5198" bestFit="1" customWidth="1"/>
    <col min="5" max="5" width="30" style="2837" customWidth="1"/>
    <col min="6" max="6" width="60" style="3476" customWidth="1"/>
    <col min="7" max="7" width="32" customWidth="1"/>
    <col min="8" max="8" width="14" customWidth="1"/>
  </cols>
  <sheetData>
    <row r="1" spans="1:6">
      <c r="A1" s="1055"/>
    </row>
    <row r="2" spans="1:6">
      <c r="A2" s="3483" t="str">
        <f>'Data Input'!A1&amp;" - "&amp;'Data Input'!B1</f>
        <v>PROGRAMME: - MARINA VILLAGE (PROGRAMME 1_TRIPLE BAY)</v>
      </c>
      <c r="B2" s="3484"/>
      <c r="C2" s="3484"/>
      <c r="D2" s="5199"/>
      <c r="E2" s="5200"/>
      <c r="F2" s="3484"/>
    </row>
    <row r="3" spans="1:6">
      <c r="A3" s="3483" t="str">
        <f>'Data Input'!A2&amp;" - "&amp;'Data Input'!B2</f>
        <v>PROGRAMME CODE: - 1TB01003</v>
      </c>
      <c r="B3" s="3484"/>
      <c r="C3" s="3484"/>
      <c r="D3" s="5199"/>
      <c r="E3" s="5200"/>
      <c r="F3" s="3484"/>
    </row>
    <row r="4" spans="1:6">
      <c r="A4" s="3483" t="str">
        <f>'Data Input'!A3&amp;" - "&amp;'Data Input'!B3</f>
        <v>ASSET NAME: - AMAALA YACHT CLUB</v>
      </c>
      <c r="B4" s="3484"/>
      <c r="C4" s="3484"/>
      <c r="D4" s="5199"/>
      <c r="E4" s="5200"/>
      <c r="F4" s="3484"/>
    </row>
    <row r="5" spans="1:6">
      <c r="A5" s="3483" t="str">
        <f>'Data Input'!A6&amp;" - "&amp;'Data Input'!B6</f>
        <v>Location: - AL WAJH SAUDI ARABIA</v>
      </c>
      <c r="B5" s="3484"/>
      <c r="C5" s="3484"/>
      <c r="D5" s="5199"/>
      <c r="E5" s="5200"/>
      <c r="F5" s="3484"/>
    </row>
    <row r="6" spans="1:6">
      <c r="A6" s="3483" t="str">
        <f>'Data Input'!A7&amp;" - "&amp;'Data Input'!B7</f>
        <v>REPORT NO: - MONTHLY REPORT NO. 49</v>
      </c>
      <c r="B6" s="3484"/>
      <c r="C6" s="3484"/>
      <c r="D6" s="5199"/>
      <c r="E6" s="5200"/>
      <c r="F6" s="3484"/>
    </row>
    <row r="7" spans="1:6" ht="3.75" customHeight="1">
      <c r="A7" s="3483"/>
      <c r="B7" s="3484"/>
      <c r="C7" s="3484"/>
      <c r="D7" s="5199"/>
      <c r="E7" s="5200"/>
      <c r="F7" s="3484"/>
    </row>
    <row r="8" spans="1:6" ht="27.75" customHeight="1" thickBot="1">
      <c r="A8" s="5201" t="s">
        <v>1289</v>
      </c>
      <c r="B8" s="5201" t="s">
        <v>454</v>
      </c>
      <c r="C8" s="5201" t="s">
        <v>2912</v>
      </c>
      <c r="D8" s="5201" t="s">
        <v>2913</v>
      </c>
      <c r="E8" s="5201" t="s">
        <v>2914</v>
      </c>
      <c r="F8" s="5201" t="s">
        <v>1344</v>
      </c>
    </row>
    <row r="9" spans="1:6" ht="18" customHeight="1" thickBot="1">
      <c r="A9" s="4847"/>
      <c r="B9" s="4848" t="s">
        <v>473</v>
      </c>
      <c r="C9" s="4849"/>
      <c r="D9" s="5202" t="s">
        <v>663</v>
      </c>
      <c r="E9" s="4849"/>
      <c r="F9" s="4850"/>
    </row>
    <row r="10" spans="1:6" s="3489" customFormat="1" ht="13.5" customHeight="1" thickBot="1"/>
    <row r="11" spans="1:6" ht="18" customHeight="1" thickBot="1">
      <c r="A11" s="4847"/>
      <c r="B11" s="4848" t="s">
        <v>486</v>
      </c>
      <c r="C11" s="4849"/>
      <c r="D11" s="5202" t="s">
        <v>663</v>
      </c>
      <c r="E11" s="4849"/>
      <c r="F11" s="4850"/>
    </row>
    <row r="12" spans="1:6" s="3489" customFormat="1" ht="13.5" thickBot="1"/>
    <row r="13" spans="1:6" ht="18" customHeight="1" thickBot="1">
      <c r="A13" s="4847"/>
      <c r="B13" s="4848" t="s">
        <v>492</v>
      </c>
      <c r="C13" s="4849"/>
      <c r="D13" s="5202" t="s">
        <v>663</v>
      </c>
      <c r="E13" s="4849"/>
      <c r="F13" s="4850"/>
    </row>
    <row r="14" spans="1:6" s="3489" customFormat="1" ht="30" customHeight="1" thickBot="1"/>
    <row r="15" spans="1:6" ht="18" customHeight="1">
      <c r="A15" s="4851"/>
      <c r="B15" s="4852" t="s">
        <v>1869</v>
      </c>
      <c r="C15" s="4853"/>
      <c r="D15" s="5203">
        <f>D21+D59+D64+D70+D82+D88+D95+D100</f>
        <v>32891648.893043488</v>
      </c>
      <c r="E15" s="4853"/>
      <c r="F15" s="4854"/>
    </row>
    <row r="16" spans="1:6" s="3489" customFormat="1" ht="15" customHeight="1"/>
    <row r="17" spans="1:6" ht="15" customHeight="1">
      <c r="A17" s="4855"/>
      <c r="B17" s="4856" t="s">
        <v>6167</v>
      </c>
      <c r="C17" s="4857"/>
      <c r="D17" s="4857"/>
      <c r="E17" s="4857"/>
      <c r="F17" s="4858"/>
    </row>
    <row r="18" spans="1:6" ht="30" customHeight="1">
      <c r="A18" s="4859" t="str">
        <f>'Schedule C'!O166</f>
        <v>EW 058</v>
      </c>
      <c r="B18" s="4860" t="str">
        <f>'Schedule C'!M166</f>
        <v>SOI TB Ground Improvement Works</v>
      </c>
      <c r="C18" s="4861" t="str">
        <f>'Schedule C'!B166</f>
        <v>SIC Contract (Works not Done)</v>
      </c>
      <c r="D18" s="4869">
        <f>'Schedule C'!Q166</f>
        <v>-500000</v>
      </c>
      <c r="E18" s="4862" t="s">
        <v>4240</v>
      </c>
      <c r="F18" s="4863" t="str">
        <f>'Schedule C'!BD166</f>
        <v>This will be incorporated in the SIC Final Account. Awaiting confirmation from Prog 2 Commercial.</v>
      </c>
    </row>
    <row r="19" spans="1:6" ht="30" customHeight="1">
      <c r="A19" s="4859" t="str">
        <f>'Schedule C'!O167</f>
        <v>EW 059</v>
      </c>
      <c r="B19" s="4860" t="str">
        <f>'Schedule C'!M167</f>
        <v>SOI TB Ground Improvement Works (PS)</v>
      </c>
      <c r="C19" s="4861" t="str">
        <f>'Schedule C'!B167</f>
        <v>SIC Contract (PS - Not done)</v>
      </c>
      <c r="D19" s="4869">
        <f>'Schedule C'!Q167</f>
        <v>-282972</v>
      </c>
      <c r="E19" s="4862" t="s">
        <v>4240</v>
      </c>
      <c r="F19" s="4863" t="str">
        <f>'Schedule C'!BD167</f>
        <v>This will be incorporated in the SIC Final Account. Awaiting confirmation from Prog 2 Commercial.</v>
      </c>
    </row>
    <row r="20" spans="1:6" ht="18" customHeight="1"/>
    <row r="21" spans="1:6" ht="15" customHeight="1" thickBot="1">
      <c r="A21" s="5598" t="s">
        <v>6166</v>
      </c>
      <c r="B21" s="5599"/>
      <c r="C21" s="5599"/>
      <c r="D21" s="5204">
        <f>SUM(D18:D19)</f>
        <v>-782972</v>
      </c>
      <c r="E21" s="4864"/>
      <c r="F21" s="4865"/>
    </row>
    <row r="22" spans="1:6" ht="15" customHeight="1"/>
    <row r="23" spans="1:6" ht="15" customHeight="1">
      <c r="A23" s="4855"/>
      <c r="B23" s="4856" t="s">
        <v>6168</v>
      </c>
      <c r="C23" s="4857"/>
      <c r="D23" s="4857"/>
      <c r="E23" s="4857"/>
      <c r="F23" s="4858"/>
    </row>
    <row r="24" spans="1:6" ht="30" customHeight="1">
      <c r="A24" s="4859" t="str">
        <f>'Schedule C'!O67</f>
        <v>EW 15</v>
      </c>
      <c r="B24" s="5206" t="str">
        <f>'Schedule C'!M67</f>
        <v xml:space="preserve">SAB - Civil and Arch Works, MEPD &amp; ICT/ELV </v>
      </c>
      <c r="C24" s="4861" t="str">
        <f>'Schedule C'!B67</f>
        <v>Omission of Surveying Equipment from SAB Contract</v>
      </c>
      <c r="D24" s="4869">
        <f>'Schedule C'!Q67</f>
        <v>-7890</v>
      </c>
      <c r="E24" s="4862" t="s">
        <v>3258</v>
      </c>
      <c r="F24" s="4863" t="str">
        <f>'Schedule C'!BD67</f>
        <v>This will be dealt with in the final account reconciliation with SAB; therefore, there is no need to process a PVO/VO.</v>
      </c>
    </row>
    <row r="25" spans="1:6" ht="30" customHeight="1">
      <c r="A25" s="4859" t="str">
        <f>'Schedule C'!O69</f>
        <v>EW 17</v>
      </c>
      <c r="B25" s="5206" t="str">
        <f>'Schedule C'!M69</f>
        <v xml:space="preserve">SAB - Civil and Arch Works, MEPD &amp; ICT/ELV </v>
      </c>
      <c r="C25" s="4861" t="str">
        <f>'Schedule C'!B69</f>
        <v>Omission of food and welfare provision to AMAALA Staff from SAB Contract.</v>
      </c>
      <c r="D25" s="4869">
        <f>'Schedule C'!Q69</f>
        <v>-90000</v>
      </c>
      <c r="E25" s="4862" t="s">
        <v>3258</v>
      </c>
      <c r="F25" s="4863" t="str">
        <f>'Schedule C'!BD69</f>
        <v>This will be dealt with in the final account reconciliation with SAB; therefore, there is no need to process a PVO/VO.</v>
      </c>
    </row>
    <row r="26" spans="1:6" ht="30" customHeight="1">
      <c r="A26" s="4859" t="str">
        <f>'Schedule C'!O70</f>
        <v>EW 17</v>
      </c>
      <c r="B26" s="5206" t="str">
        <f>'Schedule C'!M70</f>
        <v xml:space="preserve">SAB - Civil and Arch Works, MEPD &amp; ICT/ELV </v>
      </c>
      <c r="C26" s="4861" t="str">
        <f>'Schedule C'!B70</f>
        <v xml:space="preserve">Cost saving to Site Office Monthly Running Cost due to late installation of the Office Establishment by SAB. </v>
      </c>
      <c r="D26" s="4869">
        <f>'Schedule C'!Q70</f>
        <v>-200000</v>
      </c>
      <c r="E26" s="4862" t="s">
        <v>3258</v>
      </c>
      <c r="F26" s="4863" t="str">
        <f>'Schedule C'!BD70</f>
        <v>This will be dealt with in the final account reconciliation with SAB; therefore, there is no need to process a PVO/VO.</v>
      </c>
    </row>
    <row r="27" spans="1:6" ht="30" customHeight="1">
      <c r="A27" s="4859" t="str">
        <f>'Schedule C'!O135</f>
        <v>EW 029</v>
      </c>
      <c r="B27" s="5206" t="str">
        <f>'Schedule C'!M135</f>
        <v xml:space="preserve">SAB - Civil and Arch Works, MEPD &amp; ICT/ELV </v>
      </c>
      <c r="C27" s="4861" t="str">
        <f>'Schedule C'!B135</f>
        <v>Cancellation of Amphitheatre Works issued to MAS - Process not followed</v>
      </c>
      <c r="D27" s="4869">
        <f>'Schedule C'!Q135</f>
        <v>-1108000</v>
      </c>
      <c r="E27" s="4862" t="s">
        <v>3136</v>
      </c>
      <c r="F27" s="4863" t="str">
        <f>'Schedule C'!BD135</f>
        <v>This will be dealt with in the final account reconciliation with SAB; therefore, there is no need to process a PVO/VO.</v>
      </c>
    </row>
    <row r="28" spans="1:6" ht="51">
      <c r="A28" s="4859" t="str">
        <f>'Schedule C'!O137</f>
        <v>EW 031</v>
      </c>
      <c r="B28" s="5206" t="str">
        <f>'Schedule C'!M137</f>
        <v xml:space="preserve">SAB - Civil and Arch Works, MEPD &amp; ICT/ELV </v>
      </c>
      <c r="C28" s="4861" t="str">
        <f>'Schedule C'!B137</f>
        <v>Recovery of Remaining Block work, Plaster work and Paint Work to be carried out by MAS - Process not followed</v>
      </c>
      <c r="D28" s="4869">
        <f>'Schedule C'!Q137</f>
        <v>-4004000</v>
      </c>
      <c r="E28" s="4862" t="s">
        <v>3136</v>
      </c>
      <c r="F28" s="4863" t="str">
        <f>'Schedule C'!BD137</f>
        <v xml:space="preserve">This EI was drafted and issued by delivery on the 15th September 2024, Processes were not followed.
No need for PVO/VO. This will be dealt with in the Final Account. 
</v>
      </c>
    </row>
    <row r="29" spans="1:6" ht="38.25">
      <c r="A29" s="4859" t="str">
        <f>'Schedule C'!O141</f>
        <v>EW 034</v>
      </c>
      <c r="B29" s="5206" t="str">
        <f>'Schedule C'!M141</f>
        <v xml:space="preserve">SAB - Civil and Arch Works, MEPD &amp; ICT/ELV </v>
      </c>
      <c r="C29" s="4861" t="str">
        <f>'Schedule C'!B141</f>
        <v>Deployment of Seven (7) Surveyors</v>
      </c>
      <c r="D29" s="4869">
        <f>'Schedule C'!Q141</f>
        <v>201600</v>
      </c>
      <c r="E29" s="4862" t="s">
        <v>4873</v>
      </c>
      <c r="F29" s="4863" t="str">
        <f>'Schedule C'!BD141</f>
        <v>SAB has not been notified of submitting a variation cost for this. This will be dealt with in the final account reconciliation with SAB; therefore, there is no need to process a PVO/VO.</v>
      </c>
    </row>
    <row r="30" spans="1:6" ht="38.25">
      <c r="A30" s="4859" t="str">
        <f>'Schedule C'!O144</f>
        <v>EW 037</v>
      </c>
      <c r="B30" s="5206" t="str">
        <f>'Schedule C'!M144</f>
        <v xml:space="preserve">SAB - Civil and Arch Works, MEPD &amp; ICT/ELV </v>
      </c>
      <c r="C30" s="4861" t="str">
        <f>'Schedule C'!B144</f>
        <v>Scaffolding works for Secondary Steel and Façade (Design)</v>
      </c>
      <c r="D30" s="4869">
        <f>'Schedule C'!Q144</f>
        <v>75000</v>
      </c>
      <c r="E30" s="4862" t="s">
        <v>4873</v>
      </c>
      <c r="F30" s="4863" t="str">
        <f>'Schedule C'!BD144</f>
        <v>SAB has not been notified of submitting a variation cost for this. This will be dealt with in the final account reconciliation with SAB; therefore, there is no need to process a PVO/VO.</v>
      </c>
    </row>
    <row r="31" spans="1:6" ht="30" customHeight="1">
      <c r="A31" s="4859" t="str">
        <f>'Schedule C'!O150</f>
        <v>EW 043</v>
      </c>
      <c r="B31" s="5206" t="str">
        <f>'Schedule C'!M150</f>
        <v xml:space="preserve">SAB - Civil and Arch Works, MEPD &amp; ICT/ELV </v>
      </c>
      <c r="C31" s="4861" t="str">
        <f>'Schedule C'!B150</f>
        <v>Column Dry Wall Cladding and Partitions (Blockworks Omission)</v>
      </c>
      <c r="D31" s="4869">
        <f>'Schedule C'!Q150</f>
        <v>-9180</v>
      </c>
      <c r="E31" s="4862" t="s">
        <v>3258</v>
      </c>
      <c r="F31" s="4863" t="str">
        <f>'Schedule C'!BD150</f>
        <v>This will be dealt with in the final account reconciliation with SAB; therefore, there is no need to process a PVO/VO.</v>
      </c>
    </row>
    <row r="32" spans="1:6" ht="30" customHeight="1">
      <c r="A32" s="4859" t="str">
        <f>'Schedule C'!O152</f>
        <v>EW 045</v>
      </c>
      <c r="B32" s="5206" t="str">
        <f>'Schedule C'!M152</f>
        <v xml:space="preserve">SAB - Civil and Arch Works, MEPD &amp; ICT/ELV </v>
      </c>
      <c r="C32" s="4861" t="str">
        <f>'Schedule C'!B152</f>
        <v>Replace the existing FOH electrical faceplates in designated areas of the Project with upgraded units meeting specifications. 
(Omission from SAB)</v>
      </c>
      <c r="D32" s="4869">
        <f>'Schedule C'!Q152</f>
        <v>-68541</v>
      </c>
      <c r="E32" s="4862" t="s">
        <v>3258</v>
      </c>
      <c r="F32" s="4863" t="str">
        <f>'Schedule C'!BD152</f>
        <v>This will be dealt with in the final account reconciliation with SAB; therefore, there is no need to process a PVO/VO.</v>
      </c>
    </row>
    <row r="33" spans="1:6" ht="30" customHeight="1">
      <c r="A33" s="4859" t="str">
        <f>'Schedule C'!O154</f>
        <v>EW 047</v>
      </c>
      <c r="B33" s="5206" t="str">
        <f>'Schedule C'!M154</f>
        <v xml:space="preserve">SAB - Civil and Arch Works, MEPD &amp; ICT/ELV </v>
      </c>
      <c r="C33" s="4861" t="str">
        <f>'Schedule C'!B154</f>
        <v>LPG Works (Omission from SAB)</v>
      </c>
      <c r="D33" s="4869">
        <f>'Schedule C'!Q154</f>
        <v>-582220</v>
      </c>
      <c r="E33" s="4862" t="s">
        <v>3258</v>
      </c>
      <c r="F33" s="4863" t="str">
        <f>'Schedule C'!BD154</f>
        <v>This will be dealt with in the final account reconciliation with SAB; therefore, there is no need to process a PVO/VO.</v>
      </c>
    </row>
    <row r="34" spans="1:6" ht="30" customHeight="1">
      <c r="A34" s="4859" t="str">
        <f>'Schedule C'!O157</f>
        <v>EW 050</v>
      </c>
      <c r="B34" s="5206" t="str">
        <f>'Schedule C'!M157</f>
        <v xml:space="preserve">SAB - Civil and Arch Works, MEPD &amp; ICT/ELV </v>
      </c>
      <c r="C34" s="4861" t="str">
        <f>'Schedule C'!B157</f>
        <v>Allowance for SAB (Grankraft) works on mockup (same as advance payment amount)</v>
      </c>
      <c r="D34" s="4869">
        <f>'Schedule C'!Q157</f>
        <v>852173.91304347827</v>
      </c>
      <c r="E34" s="4862" t="s">
        <v>3258</v>
      </c>
      <c r="F34" s="4863" t="str">
        <f>'Schedule C'!BD157</f>
        <v>Included in the approved RFA for Cost to Complete (Grankraft). This amount is being used to make direct payments to SAB's suppliers and subcontractors. This will be dealt with in the final account reconciliation with SAB; therefore, there is no need to process a PVO/VO.</v>
      </c>
    </row>
    <row r="35" spans="1:6" ht="30" customHeight="1">
      <c r="A35" s="4859" t="str">
        <f>'Schedule C'!O158</f>
        <v>EW 051</v>
      </c>
      <c r="B35" s="5206" t="str">
        <f>'Schedule C'!M158</f>
        <v xml:space="preserve">SAB - Civil and Arch Works, MEPD &amp; ICT/ELV </v>
      </c>
      <c r="C35" s="4861" t="str">
        <f>'Schedule C'!B158</f>
        <v>Additional Costs related to Aluminium Soffits &amp; Cladding - Alcatop</v>
      </c>
      <c r="D35" s="4869">
        <f>'Schedule C'!Q158</f>
        <v>1026091</v>
      </c>
      <c r="E35" s="4862" t="s">
        <v>3258</v>
      </c>
      <c r="F35" s="4863" t="str">
        <f>'Schedule C'!BD158</f>
        <v>Included in the approved RFA for Cost to Complete (Alcatop).  This amount is being used to make direct payments to SAB's suppliers and subcontractors. This will be dealt with in the final account reconciliation with SAB; therefore, there is no need to process a PVO/VO.</v>
      </c>
    </row>
    <row r="36" spans="1:6" ht="30" customHeight="1">
      <c r="A36" s="4859" t="str">
        <f>'Schedule C'!O159</f>
        <v>EW 052</v>
      </c>
      <c r="B36" s="5206" t="str">
        <f>'Schedule C'!M159</f>
        <v xml:space="preserve">SAB - Civil and Arch Works, MEPD &amp; ICT/ELV </v>
      </c>
      <c r="C36" s="4861" t="str">
        <f>'Schedule C'!B159</f>
        <v>Additional Costs related to Abu Dhabi Precast - GRC Cladding</v>
      </c>
      <c r="D36" s="4869">
        <f>'Schedule C'!Q159</f>
        <v>3761897</v>
      </c>
      <c r="E36" s="4862" t="s">
        <v>3258</v>
      </c>
      <c r="F36" s="4863" t="str">
        <f>'Schedule C'!BD159</f>
        <v>Included in the approved RFA for Cost to Complete (Abu Dhabi Precast).  This amount is being used to make direct payments to SAB's suppliers and subcontractors. This will be dealt with in the final account reconciliation with SAB; therefore, there is no need to process a PVO/VO.</v>
      </c>
    </row>
    <row r="37" spans="1:6" ht="30" customHeight="1">
      <c r="A37" s="4859" t="str">
        <f>'Schedule C'!O160</f>
        <v>EW 053</v>
      </c>
      <c r="B37" s="5206" t="str">
        <f>'Schedule C'!M160</f>
        <v xml:space="preserve">SAB - Civil and Arch Works, MEPD &amp; ICT/ELV </v>
      </c>
      <c r="C37" s="4861" t="str">
        <f>'Schedule C'!B160</f>
        <v>Additional Costs related to Structural Metal Work - SAMIF</v>
      </c>
      <c r="D37" s="4869">
        <f>'Schedule C'!Q160</f>
        <v>4647142</v>
      </c>
      <c r="E37" s="4862" t="s">
        <v>3258</v>
      </c>
      <c r="F37" s="4863" t="str">
        <f>'Schedule C'!BD160</f>
        <v>Included in the approved RFA for Cost to Complete (SAMIF).  This amount is being used to make direct payments to SAB's suppliers and subcontractors. This will be dealt with in the final account reconciliation with SAB; therefore, there is no need to process a PVO/VO.</v>
      </c>
    </row>
    <row r="38" spans="1:6" ht="30" customHeight="1">
      <c r="A38" s="4859" t="str">
        <f>'Schedule C'!O163</f>
        <v>EW 055</v>
      </c>
      <c r="B38" s="5206" t="str">
        <f>'Schedule C'!M163</f>
        <v xml:space="preserve">SAB - Civil and Arch Works, MEPD &amp; ICT/ELV </v>
      </c>
      <c r="C38" s="4861" t="str">
        <f>'Schedule C'!B163</f>
        <v>Dismantling and Reinstatement of Cold Rooms (Chiller 1, Chiller 2, and Chiller 3) including coordination - Backcharge</v>
      </c>
      <c r="D38" s="4869">
        <f>'Schedule C'!Q163</f>
        <v>-22250</v>
      </c>
      <c r="E38" s="4862" t="s">
        <v>3258</v>
      </c>
      <c r="F38" s="4863" t="str">
        <f>'Schedule C'!BD163</f>
        <v>This will be dealt with in the final account reconciliation with SAB; therefore, there is no need to process a PVO/VO.</v>
      </c>
    </row>
    <row r="39" spans="1:6" ht="30" customHeight="1">
      <c r="A39" s="4859" t="str">
        <f>'Schedule C'!O170</f>
        <v>EW 062</v>
      </c>
      <c r="B39" s="5206" t="str">
        <f>'Schedule C'!M170</f>
        <v xml:space="preserve">SAB - Civil and Arch Works, MEPD &amp; ICT/ELV </v>
      </c>
      <c r="C39" s="4861" t="str">
        <f>'Schedule C'!B170</f>
        <v>Omission of Limestone from SAB</v>
      </c>
      <c r="D39" s="4869">
        <f>'Schedule C'!Q170</f>
        <v>-133949.24</v>
      </c>
      <c r="E39" s="4862" t="s">
        <v>3136</v>
      </c>
      <c r="F39" s="4863" t="str">
        <f>'Schedule C'!BD170</f>
        <v>Included in the approved RFA for SAB Cost to Complete (Limestone). This will be dealt with in the final account reconciliation with SAB; therefore, there is no need to process a PVO/VO.</v>
      </c>
    </row>
    <row r="40" spans="1:6" ht="63.75">
      <c r="A40" s="4859" t="str">
        <f>'Schedule C'!O171</f>
        <v>EW 063</v>
      </c>
      <c r="B40" s="5206" t="str">
        <f>'Schedule C'!M171</f>
        <v xml:space="preserve">SAB - Civil and Arch Works, MEPD &amp; ICT/ELV </v>
      </c>
      <c r="C40" s="4861" t="str">
        <f>'Schedule C'!B171</f>
        <v>Cost to Complete (SAB Amount) - Including Contingencies</v>
      </c>
      <c r="D40" s="4869">
        <f>'Schedule C'!Q171</f>
        <v>53011624.830000006</v>
      </c>
      <c r="E40" s="4862" t="s">
        <v>3136</v>
      </c>
      <c r="F40" s="4863" t="str">
        <f>'Schedule C'!BD171</f>
        <v>Included in the approved RFA for SAB Cost to Complete (SAB Cost).  This amount is being used to make direct payments to SAB's suppliers and subcontractors. This will be dealt with in the final account reconciliation with SAB; therefore, there is no need to process a PVO/VO.</v>
      </c>
    </row>
    <row r="41" spans="1:6" ht="30" customHeight="1">
      <c r="A41" s="4859" t="str">
        <f>'Schedule C'!O174</f>
        <v>EW 065</v>
      </c>
      <c r="B41" s="5206" t="str">
        <f>'Schedule C'!M174</f>
        <v xml:space="preserve">SAB - Civil and Arch Works, MEPD &amp; ICT/ELV </v>
      </c>
      <c r="C41" s="4861" t="str">
        <f>'Schedule C'!B174</f>
        <v>Back-of-House Finishes (EI 006)_SAB</v>
      </c>
      <c r="D41" s="4869">
        <f>'Schedule C'!Q174</f>
        <v>-701856.29</v>
      </c>
      <c r="E41" s="4862" t="s">
        <v>4873</v>
      </c>
      <c r="F41" s="4863" t="str">
        <f>'Schedule C'!BD174</f>
        <v>This will be dealt with in the final account reconciliation with SAB; therefore, there is no need to process a PVO/VO.</v>
      </c>
    </row>
    <row r="42" spans="1:6" ht="30" customHeight="1">
      <c r="A42" s="4859" t="str">
        <f>'Schedule C'!O188</f>
        <v>EW 077</v>
      </c>
      <c r="B42" s="5206" t="str">
        <f>'Schedule C'!M188</f>
        <v xml:space="preserve">SAB - Civil and Arch Works, MEPD &amp; ICT/ELV </v>
      </c>
      <c r="C42" s="4861" t="str">
        <f>'Schedule C'!B188</f>
        <v>Omission of Interior Designer Selected Light Fittings (included in the FF&amp;E)</v>
      </c>
      <c r="D42" s="4869">
        <f>'Schedule C'!Q188</f>
        <v>-1173602.3899999999</v>
      </c>
      <c r="E42" s="4862" t="s">
        <v>3258</v>
      </c>
      <c r="F42" s="4863" t="str">
        <f>'Schedule C'!BD188</f>
        <v>This will be dealt with in the final account reconciliation with SAB; therefore, there is no need to process a PVO/VO.</v>
      </c>
    </row>
    <row r="43" spans="1:6" ht="30" customHeight="1">
      <c r="A43" s="4859" t="str">
        <f>'Schedule C'!O189</f>
        <v>EW 078</v>
      </c>
      <c r="B43" s="5206" t="str">
        <f>'Schedule C'!M189</f>
        <v xml:space="preserve">SAB - Civil and Arch Works, MEPD &amp; ICT/ELV </v>
      </c>
      <c r="C43" s="4861" t="str">
        <f>'Schedule C'!B189</f>
        <v>Omission of Swimming Pool Lights (supplied by Al Fanar)</v>
      </c>
      <c r="D43" s="4869">
        <f>'Schedule C'!Q189</f>
        <v>-581464.19999999995</v>
      </c>
      <c r="E43" s="4862" t="s">
        <v>3258</v>
      </c>
      <c r="F43" s="4863" t="str">
        <f>'Schedule C'!BD189</f>
        <v>This will be dealt with in the final account reconciliation with SAB; therefore, there is no need to process a PVO/VO.</v>
      </c>
    </row>
    <row r="44" spans="1:6" ht="30" customHeight="1">
      <c r="A44" s="4859" t="str">
        <f>'Schedule C'!O208</f>
        <v>EW 095</v>
      </c>
      <c r="B44" s="5206" t="str">
        <f>'Schedule C'!M208</f>
        <v xml:space="preserve">SAB - Civil and Arch Works, MEPD &amp; ICT/ELV </v>
      </c>
      <c r="C44" s="4861" t="str">
        <f>'Schedule C'!B208</f>
        <v>Omission of Accommodation Budget from SAB (Payment for Tamimi) - to be deducted from SAB Contract Adjustment EW 063.</v>
      </c>
      <c r="D44" s="4869">
        <f>'Schedule C'!Q208</f>
        <v>-10718725</v>
      </c>
      <c r="E44" s="4862" t="s">
        <v>3258</v>
      </c>
      <c r="F44" s="4863" t="str">
        <f>'Schedule C'!BD208</f>
        <v>This will be dealt with in the final account reconciliation with SAB; therefore, there is no need to process a PVO/VO.</v>
      </c>
    </row>
    <row r="45" spans="1:6" ht="30" customHeight="1">
      <c r="A45" s="4859" t="str">
        <f>'Schedule C'!O209</f>
        <v>EW 096</v>
      </c>
      <c r="B45" s="5206" t="str">
        <f>'Schedule C'!M209</f>
        <v xml:space="preserve">SAB - Civil and Arch Works, MEPD &amp; ICT/ELV </v>
      </c>
      <c r="C45" s="4861" t="str">
        <f>'Schedule C'!B209</f>
        <v>Overrun on SAB's Accommodation Budget (Payment for Tamimi) - to be deducted from SAB Contract Adjustment EW 063.</v>
      </c>
      <c r="D45" s="4869">
        <f>'Schedule C'!Q209</f>
        <v>-9279215.75</v>
      </c>
      <c r="E45" s="4862" t="s">
        <v>3258</v>
      </c>
      <c r="F45" s="4863" t="str">
        <f>'Schedule C'!BD209</f>
        <v>This will be dealt with in the final account reconciliation with SAB; therefore, there is no need to process a PVO/VO.</v>
      </c>
    </row>
    <row r="46" spans="1:6" ht="30" customHeight="1">
      <c r="A46" s="4859" t="str">
        <f>'Schedule C'!O212</f>
        <v>EW 100</v>
      </c>
      <c r="B46" s="5206" t="str">
        <f>'Schedule C'!M212</f>
        <v xml:space="preserve">SAB - Civil and Arch Works, MEPD &amp; ICT/ELV </v>
      </c>
      <c r="C46" s="4861" t="str">
        <f>'Schedule C'!B212</f>
        <v>Direct Payments to SAB's Subcontractors and Suppliers (August 2025).</v>
      </c>
      <c r="D46" s="4869">
        <f>'Schedule C'!Q212</f>
        <v>-5277917.79</v>
      </c>
      <c r="E46" s="4862" t="s">
        <v>5327</v>
      </c>
      <c r="F46" s="4863">
        <f>'Schedule C'!BD212</f>
        <v>0</v>
      </c>
    </row>
    <row r="47" spans="1:6" ht="30" customHeight="1">
      <c r="A47" s="4859" t="str">
        <f>'Schedule C'!O213</f>
        <v>EW 101</v>
      </c>
      <c r="B47" s="5206" t="str">
        <f>'Schedule C'!M213</f>
        <v xml:space="preserve">SAB - Civil and Arch Works, MEPD &amp; ICT/ELV </v>
      </c>
      <c r="C47" s="4861" t="str">
        <f>'Schedule C'!B213</f>
        <v>Direct Payments to SAB's Subcontractors and Suppliers (September 2025).</v>
      </c>
      <c r="D47" s="4869">
        <f>'Schedule C'!Q213</f>
        <v>-3192741.9</v>
      </c>
      <c r="E47" s="4862" t="s">
        <v>5327</v>
      </c>
      <c r="F47" s="4863">
        <f>'Schedule C'!BD213</f>
        <v>0</v>
      </c>
    </row>
    <row r="48" spans="1:6" ht="30" customHeight="1">
      <c r="A48" s="4859" t="str">
        <f>'Schedule C'!O214</f>
        <v>EW 102</v>
      </c>
      <c r="B48" s="5206" t="str">
        <f>'Schedule C'!M214</f>
        <v xml:space="preserve">SAB - Civil and Arch Works, MEPD &amp; ICT/ELV </v>
      </c>
      <c r="C48" s="4861" t="str">
        <f>'Schedule C'!B214</f>
        <v>Direct Payments to SAB's Subcontractors and Suppliers (October 2025).</v>
      </c>
      <c r="D48" s="4869">
        <f>'Schedule C'!Q214</f>
        <v>-3189139.8699999996</v>
      </c>
      <c r="E48" s="4862" t="s">
        <v>5327</v>
      </c>
      <c r="F48" s="4863" t="str">
        <f>'Schedule C'!BD214</f>
        <v>Direct Payment</v>
      </c>
    </row>
    <row r="49" spans="1:6" ht="30" customHeight="1">
      <c r="A49" s="4859" t="str">
        <f>'Schedule C'!O215</f>
        <v>EW 103</v>
      </c>
      <c r="B49" s="5206" t="str">
        <f>'Schedule C'!M215</f>
        <v xml:space="preserve">SAB - Civil and Arch Works, MEPD &amp; ICT/ELV </v>
      </c>
      <c r="C49" s="4861" t="str">
        <f>'Schedule C'!B215</f>
        <v>Direct Payments to SAB's Subcontractors and Suppliers (Nov and Dec 2025).</v>
      </c>
      <c r="D49" s="4869">
        <f>'Schedule C'!Q215</f>
        <v>-4203149.5999999996</v>
      </c>
      <c r="E49" s="4862"/>
      <c r="F49" s="4863">
        <f>'Schedule C'!BD215</f>
        <v>0</v>
      </c>
    </row>
    <row r="50" spans="1:6" ht="30" customHeight="1">
      <c r="A50" s="4859" t="str">
        <f>'Schedule C'!O225</f>
        <v>EW 112</v>
      </c>
      <c r="B50" s="5206" t="str">
        <f>'Schedule C'!M225</f>
        <v xml:space="preserve">SAB - Civil and Arch Works, MEPD &amp; ICT/ELV </v>
      </c>
      <c r="C50" s="4861" t="str">
        <f>'Schedule C'!B225</f>
        <v>Balance Works for ICT System (NESMA)</v>
      </c>
      <c r="D50" s="4869">
        <f>'Schedule C'!Q225</f>
        <v>2674938</v>
      </c>
      <c r="E50" s="4862" t="s">
        <v>4873</v>
      </c>
      <c r="F50" s="4863" t="str">
        <f>'Schedule C'!BD225</f>
        <v>This will be part of the direct payments negative PVO. Therefore, there is no need to process a separate PVO/VO for this item.</v>
      </c>
    </row>
    <row r="51" spans="1:6" ht="30" customHeight="1">
      <c r="A51" s="4859" t="str">
        <f>'Schedule C'!O227</f>
        <v>EW 114</v>
      </c>
      <c r="B51" s="5206" t="str">
        <f>'Schedule C'!M227</f>
        <v xml:space="preserve">SAB - Civil and Arch Works, MEPD &amp; ICT/ELV </v>
      </c>
      <c r="C51" s="4861" t="str">
        <f>'Schedule C'!B227</f>
        <v>Omission of Internal Windows (Kitchen Service Hatches) from SAB - Supply and install by RAQTAN</v>
      </c>
      <c r="D51" s="4869">
        <f>'Schedule C'!Q227</f>
        <v>-8078.16</v>
      </c>
      <c r="E51" s="4862" t="s">
        <v>3136</v>
      </c>
      <c r="F51" s="4863" t="str">
        <f>'Schedule C'!BD227</f>
        <v>This will be dealt with in the final account reconciliation with SAB; therefore, there is no need to process a PVO/VO.</v>
      </c>
    </row>
    <row r="52" spans="1:6" ht="30" customHeight="1">
      <c r="A52" s="4859" t="str">
        <f>'Schedule C'!O236</f>
        <v>EW 123</v>
      </c>
      <c r="B52" s="5206" t="str">
        <f>'Schedule C'!M236</f>
        <v xml:space="preserve">SAB - Civil and Arch Works, MEPD &amp; ICT/ELV </v>
      </c>
      <c r="C52" s="4861" t="str">
        <f>'Schedule C'!B236</f>
        <v>EI-18 : Amendment of Secondary Steel Structure vs Honeycomb Limestone Cladding</v>
      </c>
      <c r="D52" s="4869">
        <f>'Schedule C'!Q236</f>
        <v>54000</v>
      </c>
      <c r="E52" s="4862" t="s">
        <v>3258</v>
      </c>
      <c r="F52" s="4863" t="str">
        <f>'Schedule C'!BD236</f>
        <v>PVO to prepare</v>
      </c>
    </row>
    <row r="53" spans="1:6" ht="30" customHeight="1">
      <c r="A53" s="4859" t="str">
        <f>'Schedule C'!O254</f>
        <v>EW 137</v>
      </c>
      <c r="B53" s="5206" t="str">
        <f>'Schedule C'!M254</f>
        <v xml:space="preserve">SAB - Civil and Arch Works, MEPD &amp; ICT/ELV </v>
      </c>
      <c r="C53" s="4861" t="str">
        <f>'Schedule C'!B254</f>
        <v>Employer's Instruction No. 020 – Replacement of the Aluminium Ceiling Panels</v>
      </c>
      <c r="D53" s="4869">
        <f>'Schedule C'!Q254</f>
        <v>282122.46000000002</v>
      </c>
      <c r="E53" s="4862" t="s">
        <v>4873</v>
      </c>
      <c r="F53" s="4863" t="str">
        <f>'Schedule C'!BD254</f>
        <v>PVO to prepare</v>
      </c>
    </row>
    <row r="54" spans="1:6" ht="30" customHeight="1">
      <c r="A54" s="4859" t="str">
        <f>'Schedule C'!O257</f>
        <v>EW 139</v>
      </c>
      <c r="B54" s="5206" t="str">
        <f>'Schedule C'!M257</f>
        <v xml:space="preserve">SAB - Civil and Arch Works, MEPD &amp; ICT/ELV </v>
      </c>
      <c r="C54" s="4861" t="str">
        <f>'Schedule C'!B257</f>
        <v>Backcharge Notification: Marvel System for Ecology Unit provided by Raqtan on behalf of SAB</v>
      </c>
      <c r="D54" s="4869">
        <f>'Schedule C'!Q257</f>
        <v>-233351.85</v>
      </c>
      <c r="E54" s="4862" t="s">
        <v>4873</v>
      </c>
      <c r="F54" s="4863" t="str">
        <f>'Schedule C'!BD257</f>
        <v>PVO to prepare</v>
      </c>
    </row>
    <row r="55" spans="1:6" ht="30" hidden="1" customHeight="1">
      <c r="A55" s="4859" t="str">
        <f>'Schedule C'!O259</f>
        <v>EW 141</v>
      </c>
      <c r="B55" s="5206" t="str">
        <f>'Schedule C'!M259</f>
        <v xml:space="preserve">SAB - Civil and Arch Works, MEPD &amp; ICT/ELV </v>
      </c>
      <c r="C55" s="4861" t="str">
        <f>'Schedule C'!B259</f>
        <v>Employer’s Instruction No. 025 – Aluminum Cladding Panel Replacement at Various Locations (Discrepancy between the model and actual site conditions (construction tolerances).)</v>
      </c>
      <c r="D55" s="4869">
        <f>'Schedule C'!Q259</f>
        <v>269447.09999999998</v>
      </c>
      <c r="E55" s="4862" t="s">
        <v>6176</v>
      </c>
      <c r="F55" s="4863" t="str">
        <f>'Schedule C'!BD259</f>
        <v>PVO to prepare</v>
      </c>
    </row>
    <row r="56" spans="1:6" ht="30" customHeight="1">
      <c r="A56" s="4859" t="str">
        <f>'Schedule C'!O276</f>
        <v>EW 151</v>
      </c>
      <c r="B56" s="5206" t="str">
        <f>'Schedule C'!M276</f>
        <v xml:space="preserve">SAB - Civil and Arch Works, MEPD &amp; ICT/ELV </v>
      </c>
      <c r="C56" s="4861" t="str">
        <f>'Schedule C'!B276</f>
        <v>EVO No. 005 - Supply of Alutec Manpower to Install the External Glass Balustrade on Behalf of Alcatop (BC to Alcatop)</v>
      </c>
      <c r="D56" s="4869">
        <f>'Schedule C'!Q276</f>
        <v>-332640</v>
      </c>
      <c r="E56" s="4862" t="s">
        <v>4873</v>
      </c>
      <c r="F56" s="4863">
        <f>'Schedule C'!BD276</f>
        <v>0</v>
      </c>
    </row>
    <row r="57" spans="1:6" ht="30" customHeight="1">
      <c r="A57" s="4859" t="str">
        <f>'Schedule C'!O281</f>
        <v>EW 156</v>
      </c>
      <c r="B57" s="5206" t="str">
        <f>'Schedule C'!M281</f>
        <v xml:space="preserve">SAB - Civil and Arch Works, MEPD &amp; ICT/ELV </v>
      </c>
      <c r="C57" s="4861" t="str">
        <f>'Schedule C'!B281</f>
        <v>EVO 29 Rectification of damaged waterproofing at Water Features</v>
      </c>
      <c r="D57" s="4869">
        <f>'Schedule C'!Q281</f>
        <v>60000</v>
      </c>
      <c r="E57" s="4862"/>
      <c r="F57" s="4863" t="str">
        <f>'Schedule C'!BD281</f>
        <v>PVO to prepare</v>
      </c>
    </row>
    <row r="58" spans="1:6" ht="30" customHeight="1"/>
    <row r="59" spans="1:6" ht="15" customHeight="1" thickBot="1">
      <c r="A59" s="5598" t="s">
        <v>6166</v>
      </c>
      <c r="B59" s="5599"/>
      <c r="C59" s="5599"/>
      <c r="D59" s="5224">
        <f>SUM(D24:D57)</f>
        <v>21798123.263043489</v>
      </c>
      <c r="E59" s="4864"/>
      <c r="F59" s="4865"/>
    </row>
    <row r="60" spans="1:6" ht="30" customHeight="1"/>
    <row r="61" spans="1:6" ht="15" customHeight="1">
      <c r="A61" s="4855"/>
      <c r="B61" s="4856" t="s">
        <v>2237</v>
      </c>
      <c r="C61" s="4857"/>
      <c r="D61" s="4857"/>
      <c r="E61" s="4857"/>
      <c r="F61" s="4858"/>
    </row>
    <row r="62" spans="1:6" ht="30" customHeight="1">
      <c r="A62" s="4859" t="str">
        <f>'Schedule C'!O191</f>
        <v>EW 080</v>
      </c>
      <c r="B62" s="4860" t="str">
        <f>'Schedule C'!M191</f>
        <v>ESCCO - Vertical Transport</v>
      </c>
      <c r="C62" s="4861" t="str">
        <f>'Schedule C'!B191</f>
        <v>Clause 11.11 (Backcharging by Employer) - Supply of Electricians by Al Fanar for ESCCO’s Vertical Transportation Installations</v>
      </c>
      <c r="D62" s="4869">
        <f>'Schedule C'!Q191</f>
        <v>-15675</v>
      </c>
      <c r="E62" s="4862" t="s">
        <v>4882</v>
      </c>
      <c r="F62" s="4863" t="str">
        <f>'Schedule C'!BD191</f>
        <v>This will be dealt with in the final account reconciliation with RAQTAN; therefore, there is no need to process a PVO/VO.</v>
      </c>
    </row>
    <row r="63" spans="1:6" ht="30" hidden="1" customHeight="1"/>
    <row r="64" spans="1:6" ht="15" customHeight="1" thickBot="1">
      <c r="A64" s="5598" t="s">
        <v>6166</v>
      </c>
      <c r="B64" s="5599"/>
      <c r="C64" s="5599"/>
      <c r="D64" s="5224">
        <f>SUM(D62:D62)</f>
        <v>-15675</v>
      </c>
      <c r="E64" s="4864"/>
      <c r="F64" s="4865"/>
    </row>
    <row r="65" spans="1:6" ht="15" customHeight="1"/>
    <row r="66" spans="1:6" ht="15" customHeight="1">
      <c r="A66" s="4855"/>
      <c r="B66" s="4856" t="s">
        <v>6169</v>
      </c>
      <c r="C66" s="4857"/>
      <c r="D66" s="4857"/>
      <c r="E66" s="4857"/>
      <c r="F66" s="4858"/>
    </row>
    <row r="67" spans="1:6" ht="51">
      <c r="A67" s="4859" t="str">
        <f>'Schedule C'!O162</f>
        <v>EW 054</v>
      </c>
      <c r="B67" s="4860" t="str">
        <f>'Schedule C'!M162</f>
        <v>Special Kitchen</v>
      </c>
      <c r="C67" s="4861" t="str">
        <f>'Schedule C'!B162</f>
        <v>Dismantling and Reinstatement of Cold Rooms (Chiller 1, Chiller 2, and Chiller 3) including coordination</v>
      </c>
      <c r="D67" s="4869">
        <f>'Schedule C'!Q162</f>
        <v>22250</v>
      </c>
      <c r="E67" s="4862" t="s">
        <v>3258</v>
      </c>
      <c r="F67" s="4863" t="str">
        <f>'Schedule C'!BD162</f>
        <v>Works completed. RAQTAN has not been notified of submitting a variation cost for this. This will be dealt with in the final account reconciliation with RAQTAN; therefore, there is no need to process a PVO/VO.</v>
      </c>
    </row>
    <row r="68" spans="1:6" ht="30" customHeight="1">
      <c r="A68" s="4859" t="str">
        <f>'Schedule C'!O258</f>
        <v>EW 140</v>
      </c>
      <c r="B68" s="4860" t="str">
        <f>'Schedule C'!M258</f>
        <v>Special Kitchen</v>
      </c>
      <c r="C68" s="4861" t="str">
        <f>'Schedule C'!B258</f>
        <v>Marvel System for Ecology Unit provided by Raqtan on behalf of SAB</v>
      </c>
      <c r="D68" s="4869">
        <f>'Schedule C'!Q258</f>
        <v>233351.85</v>
      </c>
      <c r="E68" s="4862" t="s">
        <v>5328</v>
      </c>
      <c r="F68" s="4863" t="str">
        <f>'Schedule C'!BD258</f>
        <v>PVO to prepare</v>
      </c>
    </row>
    <row r="69" spans="1:6" ht="32.25" customHeight="1"/>
    <row r="70" spans="1:6" ht="15" customHeight="1" thickBot="1">
      <c r="A70" s="5598" t="s">
        <v>6166</v>
      </c>
      <c r="B70" s="5599"/>
      <c r="C70" s="5599"/>
      <c r="D70" s="5224">
        <f>SUM(D67:D68)</f>
        <v>255601.85</v>
      </c>
      <c r="E70" s="4864"/>
      <c r="F70" s="4865"/>
    </row>
    <row r="71" spans="1:6" ht="32.25" customHeight="1"/>
    <row r="72" spans="1:6" ht="15" customHeight="1">
      <c r="A72" s="4855"/>
      <c r="B72" s="4856" t="s">
        <v>3930</v>
      </c>
      <c r="C72" s="4857"/>
      <c r="D72" s="4857"/>
      <c r="E72" s="4857"/>
      <c r="F72" s="4858"/>
    </row>
    <row r="73" spans="1:6" ht="51">
      <c r="A73" s="4859" t="str">
        <f>'Schedule C'!O138</f>
        <v>EW 032</v>
      </c>
      <c r="B73" s="4860" t="str">
        <f>'Schedule C'!M138</f>
        <v>DEPA Interior Fitout</v>
      </c>
      <c r="C73" s="4861" t="str">
        <f>'Schedule C'!B138</f>
        <v>Alteration to finishes due to Façade Layout Changes - Process not Followed</v>
      </c>
      <c r="D73" s="4869">
        <f>'Schedule C'!Q138</f>
        <v>69000</v>
      </c>
      <c r="E73" s="4862" t="s">
        <v>6175</v>
      </c>
      <c r="F73" s="4863" t="str">
        <f>'Schedule C'!BD138</f>
        <v>Works completed. DEPA has not been notified of submitting a variation cost for this. This will be dealt with in the final account reconciliation with DEPA; therefore, there is no need to process a PVO/VO.</v>
      </c>
    </row>
    <row r="74" spans="1:6" ht="30" customHeight="1">
      <c r="A74" s="4859" t="str">
        <f>'Schedule C'!O168</f>
        <v>EW 060</v>
      </c>
      <c r="B74" s="4860" t="str">
        <f>'Schedule C'!M168</f>
        <v>DEPA Interior Fitout</v>
      </c>
      <c r="C74" s="4861" t="str">
        <f>'Schedule C'!B168</f>
        <v>DEPA EOT 01 Prolongation Cost (Estimated)</v>
      </c>
      <c r="D74" s="4869">
        <f>'Schedule C'!Q168</f>
        <v>8100000</v>
      </c>
      <c r="E74" s="4862" t="s">
        <v>4241</v>
      </c>
      <c r="F74" s="4863" t="str">
        <f>'Schedule C'!BD168</f>
        <v>DEPA to submit the actual cost upon agreement of the time imact for EOT 001.</v>
      </c>
    </row>
    <row r="75" spans="1:6" ht="30" customHeight="1">
      <c r="A75" s="4859" t="str">
        <f>'Schedule C'!O228</f>
        <v>EW 115</v>
      </c>
      <c r="B75" s="4860" t="str">
        <f>'Schedule C'!M228</f>
        <v>DEPA Interior Fitout</v>
      </c>
      <c r="C75" s="4861" t="str">
        <f>'Schedule C'!B228</f>
        <v>EI-17: Road Markings Paint Application</v>
      </c>
      <c r="D75" s="4869">
        <f>'Schedule C'!Q228</f>
        <v>8000</v>
      </c>
      <c r="E75" s="4862" t="s">
        <v>4873</v>
      </c>
      <c r="F75" s="4863">
        <f>'Schedule C'!BD228</f>
        <v>0</v>
      </c>
    </row>
    <row r="76" spans="1:6" ht="30" customHeight="1">
      <c r="A76" s="4859" t="str">
        <f>'Schedule C'!O234</f>
        <v>EW 121</v>
      </c>
      <c r="B76" s="4860" t="str">
        <f>'Schedule C'!M234</f>
        <v>DEPA Interior Fitout</v>
      </c>
      <c r="C76" s="4861" t="str">
        <f>'Schedule C'!B234</f>
        <v>EI-20: Rectification of the Damaged Ceilings Based on the Various Damage Reports</v>
      </c>
      <c r="D76" s="4869">
        <f>'Schedule C'!Q234</f>
        <v>100000</v>
      </c>
      <c r="E76" s="4862" t="s">
        <v>4873</v>
      </c>
      <c r="F76" s="4863">
        <f>'Schedule C'!BD234</f>
        <v>0</v>
      </c>
    </row>
    <row r="77" spans="1:6" ht="30" customHeight="1">
      <c r="A77" s="4859" t="str">
        <f>'Schedule C'!O240</f>
        <v>EW 127</v>
      </c>
      <c r="B77" s="4860" t="str">
        <f>'Schedule C'!M240</f>
        <v>DEPA Interior Fitout</v>
      </c>
      <c r="C77" s="4861" t="str">
        <f>'Schedule C'!B240</f>
        <v>Adjustment for DEPA PVO 008, PVO 015 and PVO 013 (expected DVOs to be agreed)</v>
      </c>
      <c r="D77" s="4869">
        <f>'Schedule C'!Q240</f>
        <v>1936178.33</v>
      </c>
      <c r="E77" s="4862" t="s">
        <v>5142</v>
      </c>
      <c r="F77" s="4863">
        <f>'Schedule C'!BD240</f>
        <v>0</v>
      </c>
    </row>
    <row r="78" spans="1:6" ht="30" customHeight="1">
      <c r="A78" s="4859" t="str">
        <f>'Schedule C'!O242</f>
        <v>EW 128</v>
      </c>
      <c r="B78" s="4860" t="str">
        <f>'Schedule C'!M242</f>
        <v>DEPA Interior Fitout</v>
      </c>
      <c r="C78" s="4861" t="str">
        <f>'Schedule C'!B242</f>
        <v>Allow for rectification of damaged ceiling and other finishes.</v>
      </c>
      <c r="D78" s="4869">
        <f>'Schedule C'!Q242</f>
        <v>900000</v>
      </c>
      <c r="E78" s="4862" t="s">
        <v>5141</v>
      </c>
      <c r="F78" s="4863" t="str">
        <f>'Schedule C'!BD242</f>
        <v>PVO to prepare</v>
      </c>
    </row>
    <row r="79" spans="1:6" ht="30" customHeight="1">
      <c r="A79" s="4859" t="str">
        <f>'Schedule C'!O266</f>
        <v>EW 144</v>
      </c>
      <c r="B79" s="4860" t="str">
        <f>'Schedule C'!M266</f>
        <v>DEPA Interior Fitout</v>
      </c>
      <c r="C79" s="4861" t="str">
        <f>'Schedule C'!B266</f>
        <v>Employer’s Instruction No. 030 – Changes in the Aluminum Panels Design (Accommodation of Actual Site Conditions: Adjustments are required to align with on-site realities resulting from changes within adjacent or interfacing work packages. • Aesthetic Enhancements: Revisions have been introduced to improve the visual outcome of the façade elements.)</v>
      </c>
      <c r="D79" s="4869">
        <f>'Schedule C'!Q266</f>
        <v>131987.45000000001</v>
      </c>
      <c r="E79" s="4862" t="s">
        <v>4873</v>
      </c>
      <c r="F79" s="4863" t="str">
        <f>'Schedule C'!BD266</f>
        <v>PVO to prepare.
This is SAB</v>
      </c>
    </row>
    <row r="80" spans="1:6" ht="30" customHeight="1">
      <c r="A80" s="4859" t="str">
        <f>'Schedule C'!O282</f>
        <v>EW 157</v>
      </c>
      <c r="B80" s="4860" t="str">
        <f>'Schedule C'!M282</f>
        <v>DEPA Interior Fitout</v>
      </c>
      <c r="C80" s="4861" t="str">
        <f>'Schedule C'!B282</f>
        <v>EVO 29 Rectification of damaged waterproofing at Water Features (BC)</v>
      </c>
      <c r="D80" s="4869">
        <f>'Schedule C'!Q282</f>
        <v>-60000</v>
      </c>
      <c r="E80" s="4862" t="s">
        <v>4882</v>
      </c>
      <c r="F80" s="4863" t="str">
        <f>'Schedule C'!BD282</f>
        <v>PVO to prepare</v>
      </c>
    </row>
    <row r="81" spans="1:6" ht="25.5" customHeight="1"/>
    <row r="82" spans="1:6" ht="15" customHeight="1" thickBot="1">
      <c r="A82" s="5598" t="s">
        <v>6166</v>
      </c>
      <c r="B82" s="5599"/>
      <c r="C82" s="5599"/>
      <c r="D82" s="5224">
        <f>SUM(D73:D80)</f>
        <v>11185165.779999999</v>
      </c>
      <c r="E82" s="4864"/>
      <c r="F82" s="4865"/>
    </row>
    <row r="83" spans="1:6" ht="30" customHeight="1"/>
    <row r="84" spans="1:6" ht="15" customHeight="1">
      <c r="A84" s="4855"/>
      <c r="B84" s="4856" t="s">
        <v>2726</v>
      </c>
      <c r="C84" s="4857"/>
      <c r="D84" s="4857"/>
      <c r="E84" s="4857"/>
      <c r="F84" s="4858"/>
    </row>
    <row r="85" spans="1:6" ht="30" customHeight="1">
      <c r="A85" s="4859" t="str">
        <f>'Schedule C'!O239</f>
        <v>EW 126</v>
      </c>
      <c r="B85" s="4860" t="str">
        <f>'Schedule C'!M239</f>
        <v>Façade &amp; Glazing Works</v>
      </c>
      <c r="C85" s="4861" t="str">
        <f>'Schedule C'!B239</f>
        <v>Replacement of External Doors - requested by the Operator (Cluster Manager - Back of House)</v>
      </c>
      <c r="D85" s="4869">
        <f>'Schedule C'!Q239</f>
        <v>0</v>
      </c>
      <c r="E85" s="4862" t="s">
        <v>4980</v>
      </c>
      <c r="F85" s="4863" t="str">
        <f>'Schedule C'!BD239</f>
        <v xml:space="preserve">No action has been taken in 5 months, hence cancelled </v>
      </c>
    </row>
    <row r="86" spans="1:6" ht="30" customHeight="1">
      <c r="A86" s="4859" t="str">
        <f>'Schedule C'!O275</f>
        <v>EW 150</v>
      </c>
      <c r="B86" s="4860" t="str">
        <f>'Schedule C'!M275</f>
        <v>Façade &amp; Glazing Works</v>
      </c>
      <c r="C86" s="4861" t="str">
        <f>'Schedule C'!B275</f>
        <v>EVO No. 005 - Supply of Alutec Manpower to Install the External Glass Balustrade on Behalf of Alcatop</v>
      </c>
      <c r="D86" s="4869">
        <f>'Schedule C'!Q275</f>
        <v>332640</v>
      </c>
      <c r="E86" s="4862" t="s">
        <v>5428</v>
      </c>
      <c r="F86" s="4863" t="str">
        <f>'Schedule C'!BD275</f>
        <v xml:space="preserve">Emergency Variation order was issued on the 18th Feb 2026. PVO, DVO to be processed </v>
      </c>
    </row>
    <row r="87" spans="1:6" ht="30" customHeight="1"/>
    <row r="88" spans="1:6" ht="15" customHeight="1" thickBot="1">
      <c r="A88" s="5598" t="s">
        <v>6166</v>
      </c>
      <c r="B88" s="5599"/>
      <c r="C88" s="5599"/>
      <c r="D88" s="5224">
        <f>SUM(D85:D86)</f>
        <v>332640</v>
      </c>
      <c r="E88" s="4864"/>
      <c r="F88" s="4865"/>
    </row>
    <row r="89" spans="1:6" s="3489" customFormat="1" ht="15" customHeight="1"/>
    <row r="90" spans="1:6" ht="15" customHeight="1">
      <c r="A90" s="4855"/>
      <c r="B90" s="4856" t="s">
        <v>3205</v>
      </c>
      <c r="C90" s="4857"/>
      <c r="D90" s="4857"/>
      <c r="E90" s="4857"/>
      <c r="F90" s="4858"/>
    </row>
    <row r="91" spans="1:6" ht="30" customHeight="1">
      <c r="A91" s="4859" t="str">
        <f>'Schedule C'!O184</f>
        <v>EW 073</v>
      </c>
      <c r="B91" s="4860" t="str">
        <f>'Schedule C'!M184</f>
        <v>Al Fanar - MEP Labour Supply</v>
      </c>
      <c r="C91" s="4861" t="str">
        <f>'Schedule C'!B184</f>
        <v>Employer’s Instruction for Variation – Panic Alarm System for ADA toilets</v>
      </c>
      <c r="D91" s="4869">
        <f>'Schedule C'!Q184</f>
        <v>87285</v>
      </c>
      <c r="E91" s="4862" t="s">
        <v>4873</v>
      </c>
      <c r="F91" s="4863" t="str">
        <f>'Schedule C'!BD184</f>
        <v>This will be included in the material supply DVO with Al Fanar; therefore, there is no need to process a PVO/VO.</v>
      </c>
    </row>
    <row r="92" spans="1:6" s="3489" customFormat="1" ht="30" customHeight="1">
      <c r="A92" s="4859" t="str">
        <f>'Schedule C'!O202</f>
        <v>EW 089</v>
      </c>
      <c r="B92" s="4860" t="str">
        <f>'Schedule C'!M202</f>
        <v>Al Fanar - MEP Labour Supply</v>
      </c>
      <c r="C92" s="4861" t="str">
        <f>'Schedule C'!B202</f>
        <v>Powder coating of wiring accessories (to suit ID requirements)</v>
      </c>
      <c r="D92" s="4869">
        <f>'Schedule C'!Q202</f>
        <v>20000</v>
      </c>
      <c r="E92" s="4862" t="s">
        <v>4873</v>
      </c>
      <c r="F92" s="4863" t="str">
        <f>'Schedule C'!BD202</f>
        <v>This will be included in the material supply DVO with Al Fanar; therefore, there is no need to process a PVO/VO.</v>
      </c>
    </row>
    <row r="93" spans="1:6" ht="30" customHeight="1">
      <c r="A93" s="4859" t="str">
        <f>'Schedule C'!O217</f>
        <v>EW 105</v>
      </c>
      <c r="B93" s="4860" t="str">
        <f>'Schedule C'!M217</f>
        <v>Al Fanar - MEP Labour Supply</v>
      </c>
      <c r="C93" s="4861" t="str">
        <f>'Schedule C'!B217</f>
        <v>EI 05: Powder coating of ID light fittings (to suit ID requirements)</v>
      </c>
      <c r="D93" s="4869">
        <f>'Schedule C'!Q217</f>
        <v>21000</v>
      </c>
      <c r="E93" s="4862" t="s">
        <v>4873</v>
      </c>
      <c r="F93" s="4863" t="str">
        <f>'Schedule C'!BD217</f>
        <v>This will be included in the material supply DVO with Al Fanar; therefore, there is no need to process a PVO/VO.</v>
      </c>
    </row>
    <row r="95" spans="1:6" ht="15" customHeight="1" thickBot="1">
      <c r="A95" s="5598" t="s">
        <v>6166</v>
      </c>
      <c r="B95" s="5599"/>
      <c r="C95" s="5599"/>
      <c r="D95" s="5224">
        <f>SUM(D91:D93)</f>
        <v>128285</v>
      </c>
      <c r="E95" s="4864"/>
      <c r="F95" s="4865"/>
    </row>
    <row r="97" spans="1:6" ht="15" customHeight="1">
      <c r="A97" s="4855"/>
      <c r="B97" s="4856" t="s">
        <v>6632</v>
      </c>
      <c r="C97" s="4857"/>
      <c r="D97" s="4857"/>
      <c r="E97" s="4857"/>
      <c r="F97" s="4858"/>
    </row>
    <row r="98" spans="1:6" ht="38.25">
      <c r="A98" s="4859" t="str">
        <f>'Schedule C'!O333</f>
        <v>EW 01 - MAS</v>
      </c>
      <c r="B98" s="4860" t="str">
        <f>'Schedule C'!M333</f>
        <v>MAS - Amphitheatre</v>
      </c>
      <c r="C98" s="4861" t="str">
        <f>'Schedule C'!B333</f>
        <v>Amphitheatre Construction Works - Final Account</v>
      </c>
      <c r="D98" s="4869">
        <f>'Schedule C'!Q333</f>
        <v>-9520</v>
      </c>
      <c r="E98" s="4862">
        <f>'Schedule C'!G333</f>
        <v>0</v>
      </c>
      <c r="F98" s="4863" t="str">
        <f>'Schedule C'!BD333</f>
        <v>P Donaghy: Please confirm if they owe us accommodation charges
P Donaghy: So is there outstanding accommodation on the other contract? Yes or No?</v>
      </c>
    </row>
    <row r="99" spans="1:6" ht="30" customHeight="1"/>
    <row r="100" spans="1:6" ht="15" customHeight="1" thickBot="1">
      <c r="A100" s="5598" t="s">
        <v>6166</v>
      </c>
      <c r="B100" s="5599"/>
      <c r="C100" s="5599"/>
      <c r="D100" s="5224">
        <f>SUM(D98:D98)</f>
        <v>-9520</v>
      </c>
      <c r="E100" s="4864"/>
      <c r="F100" s="4865"/>
    </row>
    <row r="101" spans="1:6" ht="30" customHeight="1" thickBot="1"/>
    <row r="102" spans="1:6" ht="18" customHeight="1" thickBot="1">
      <c r="A102" s="4847"/>
      <c r="B102" s="4848" t="s">
        <v>524</v>
      </c>
      <c r="C102" s="4849"/>
      <c r="D102" s="5202" t="s">
        <v>663</v>
      </c>
      <c r="E102" s="4849"/>
      <c r="F102" s="4850"/>
    </row>
    <row r="103" spans="1:6" ht="15" customHeight="1"/>
    <row r="105" spans="1:6" ht="21.95" customHeight="1" thickBot="1">
      <c r="A105" s="5600" t="s">
        <v>2915</v>
      </c>
      <c r="B105" s="5600"/>
      <c r="C105" s="5600"/>
      <c r="D105" s="4871">
        <f>D9+D11+D13+D15+D102</f>
        <v>32891648.893043488</v>
      </c>
      <c r="E105" s="4866"/>
      <c r="F105" s="4866"/>
    </row>
    <row r="107" spans="1:6">
      <c r="C107" s="4867" t="s">
        <v>6170</v>
      </c>
      <c r="D107" s="4870">
        <f>'Schedule A'!M32</f>
        <v>32891648.893043488</v>
      </c>
    </row>
    <row r="108" spans="1:6" ht="21.95" customHeight="1">
      <c r="C108" s="4868" t="s">
        <v>6171</v>
      </c>
      <c r="D108" s="5205">
        <f>D105-D107</f>
        <v>0</v>
      </c>
    </row>
  </sheetData>
  <autoFilter ref="A8:F92" xr:uid="{00000000-0009-0000-0000-000009000000}"/>
  <mergeCells count="9">
    <mergeCell ref="A95:C95"/>
    <mergeCell ref="A100:C100"/>
    <mergeCell ref="A105:C105"/>
    <mergeCell ref="A21:C21"/>
    <mergeCell ref="A59:C59"/>
    <mergeCell ref="A64:C64"/>
    <mergeCell ref="A70:C70"/>
    <mergeCell ref="A82:C82"/>
    <mergeCell ref="A88:C88"/>
  </mergeCells>
  <pageMargins left="0.4" right="0.4" top="0.6" bottom="0.6" header="0.3" footer="0.3"/>
  <pageSetup paperSize="8" scale="97" fitToHeight="0" orientation="landscape" r:id="rId1"/>
  <headerFooter>
    <oddHeader>&amp;C&amp;"Calibri,Bold"&amp;18 MONTHLY REPORT - EARLY WARNINGS</oddHeader>
    <oddFooter>&amp;L1TB.01.003.01 - AYC 
MARCH'26 REPORT&amp;C&amp;A&amp;RPage &amp;P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1B953-F92F-4FA0-A737-BA16BD825525}">
  <sheetPr codeName="Sheet31">
    <tabColor rgb="FFF36722"/>
    <pageSetUpPr fitToPage="1"/>
  </sheetPr>
  <dimension ref="A1:K60"/>
  <sheetViews>
    <sheetView view="pageBreakPreview" zoomScale="90" zoomScaleNormal="80" zoomScaleSheetLayoutView="90" workbookViewId="0">
      <selection sqref="A1:H1048576"/>
    </sheetView>
  </sheetViews>
  <sheetFormatPr defaultColWidth="9" defaultRowHeight="12.75"/>
  <cols>
    <col min="1" max="1" width="13" style="722" customWidth="1"/>
    <col min="2" max="2" width="42.5703125" style="3476" customWidth="1"/>
    <col min="3" max="3" width="60" style="3476" customWidth="1"/>
    <col min="4" max="4" width="20" style="3480" customWidth="1"/>
    <col min="5" max="5" width="19.85546875" style="3477" customWidth="1"/>
    <col min="6" max="6" width="60" style="3476" customWidth="1"/>
    <col min="10" max="10" width="17" customWidth="1"/>
  </cols>
  <sheetData>
    <row r="1" spans="1:6">
      <c r="A1" s="1055"/>
    </row>
    <row r="2" spans="1:6">
      <c r="A2" s="3483" t="str">
        <f>'Data Input'!A1&amp;" - "&amp;'Data Input'!B1</f>
        <v>PROGRAMME: - MARINA VILLAGE (PROGRAMME 1_TRIPLE BAY)</v>
      </c>
      <c r="B2" s="3484"/>
      <c r="C2" s="3484"/>
      <c r="D2" s="3485"/>
      <c r="E2" s="3486"/>
      <c r="F2" s="3484"/>
    </row>
    <row r="3" spans="1:6">
      <c r="A3" s="3483" t="str">
        <f>'Data Input'!A2&amp;" - "&amp;'Data Input'!B2</f>
        <v>PROGRAMME CODE: - 1TB01003</v>
      </c>
      <c r="B3" s="3484"/>
      <c r="C3" s="3484"/>
      <c r="D3" s="3485"/>
      <c r="E3" s="3486"/>
      <c r="F3" s="3484"/>
    </row>
    <row r="4" spans="1:6">
      <c r="A4" s="3483" t="str">
        <f>'Data Input'!A3&amp;" - "&amp;'Data Input'!B3</f>
        <v>ASSET NAME: - AMAALA YACHT CLUB</v>
      </c>
      <c r="B4" s="3484"/>
      <c r="C4" s="3484"/>
      <c r="D4" s="3485"/>
      <c r="E4" s="3486"/>
      <c r="F4" s="3484"/>
    </row>
    <row r="5" spans="1:6">
      <c r="A5" s="3483" t="str">
        <f>'Data Input'!A6&amp;" - "&amp;'Data Input'!B6</f>
        <v>Location: - AL WAJH SAUDI ARABIA</v>
      </c>
      <c r="B5" s="3484"/>
      <c r="C5" s="3484"/>
      <c r="D5" s="3485"/>
      <c r="E5" s="3486"/>
      <c r="F5" s="3484"/>
    </row>
    <row r="6" spans="1:6">
      <c r="A6" s="3483" t="str">
        <f>'Data Input'!A7&amp;" - "&amp;'Data Input'!B7</f>
        <v>REPORT NO: - MONTHLY REPORT NO. 49</v>
      </c>
      <c r="B6" s="3484"/>
      <c r="C6" s="3484"/>
      <c r="D6" s="3485"/>
      <c r="E6" s="3486"/>
      <c r="F6" s="3484"/>
    </row>
    <row r="7" spans="1:6" ht="3.75" customHeight="1">
      <c r="A7" s="3483"/>
      <c r="B7" s="3484"/>
      <c r="C7" s="3484"/>
      <c r="D7" s="3485"/>
      <c r="E7" s="3486"/>
      <c r="F7" s="3484"/>
    </row>
    <row r="8" spans="1:6" ht="27.75" customHeight="1">
      <c r="A8" s="3487" t="s">
        <v>1289</v>
      </c>
      <c r="B8" s="3487" t="s">
        <v>454</v>
      </c>
      <c r="C8" s="3487" t="s">
        <v>2912</v>
      </c>
      <c r="D8" s="3487" t="s">
        <v>2913</v>
      </c>
      <c r="E8" s="3487" t="s">
        <v>2914</v>
      </c>
      <c r="F8" s="3487" t="s">
        <v>1344</v>
      </c>
    </row>
    <row r="9" spans="1:6" ht="9.75" customHeight="1">
      <c r="A9" s="3473"/>
      <c r="B9" s="3478"/>
      <c r="C9" s="2780"/>
      <c r="D9" s="3479"/>
      <c r="E9" s="3474"/>
      <c r="F9" s="3475"/>
    </row>
    <row r="10" spans="1:6" s="3489" customFormat="1">
      <c r="A10" s="3509"/>
      <c r="B10" s="3509" t="s">
        <v>2883</v>
      </c>
      <c r="C10" s="3509"/>
      <c r="D10" s="3509">
        <v>0</v>
      </c>
      <c r="E10" s="3509"/>
      <c r="F10" s="3509"/>
    </row>
    <row r="11" spans="1:6" ht="8.25" customHeight="1">
      <c r="A11" s="3473"/>
      <c r="B11" s="3478"/>
      <c r="C11" s="2780"/>
      <c r="D11" s="3479"/>
      <c r="E11" s="3474"/>
      <c r="F11" s="3475"/>
    </row>
    <row r="12" spans="1:6" s="3489" customFormat="1">
      <c r="A12" s="3509"/>
      <c r="B12" s="3509" t="s">
        <v>2508</v>
      </c>
      <c r="C12" s="3509"/>
      <c r="D12" s="3509">
        <f>SUM(D13:D13)</f>
        <v>0</v>
      </c>
      <c r="E12" s="3509"/>
      <c r="F12" s="3509"/>
    </row>
    <row r="13" spans="1:6" ht="6.75" customHeight="1">
      <c r="A13" s="3473"/>
      <c r="B13" s="3478"/>
      <c r="C13" s="2780"/>
      <c r="D13" s="3479"/>
      <c r="E13" s="3474"/>
      <c r="F13" s="3475"/>
    </row>
    <row r="14" spans="1:6" s="3489" customFormat="1">
      <c r="A14" s="3509"/>
      <c r="B14" s="3509" t="s">
        <v>2884</v>
      </c>
      <c r="C14" s="3509"/>
      <c r="D14" s="3509">
        <f>SUM(D15:D15)</f>
        <v>0</v>
      </c>
      <c r="E14" s="3509"/>
      <c r="F14" s="3509"/>
    </row>
    <row r="15" spans="1:6" ht="8.25" customHeight="1">
      <c r="A15" s="3473"/>
      <c r="B15" s="3478"/>
      <c r="C15" s="2780"/>
      <c r="D15" s="3479"/>
      <c r="E15" s="3474"/>
      <c r="F15" s="3475"/>
    </row>
    <row r="16" spans="1:6" s="3489" customFormat="1">
      <c r="A16" s="3509"/>
      <c r="B16" s="3509" t="str">
        <f>+'Stakeholder Executive Review'!A35</f>
        <v>Construction</v>
      </c>
      <c r="C16" s="3509"/>
      <c r="D16" s="3509">
        <f>SUM(D18:D46)</f>
        <v>-22201579.41</v>
      </c>
      <c r="E16" s="3509"/>
      <c r="F16" s="3509"/>
    </row>
    <row r="17" spans="1:11" ht="8.25" customHeight="1">
      <c r="A17" s="3473"/>
      <c r="B17" s="3478"/>
      <c r="C17" s="2780"/>
      <c r="D17" s="3479"/>
      <c r="E17" s="3474"/>
      <c r="F17" s="3475"/>
    </row>
    <row r="18" spans="1:11" ht="25.5">
      <c r="A18" s="3473" t="s">
        <v>2917</v>
      </c>
      <c r="B18" s="3478" t="str">
        <f>+'Schedule C'!M90</f>
        <v xml:space="preserve">SAB - Civil and Arch Works, MEPD &amp; ICT/ELV </v>
      </c>
      <c r="C18" s="2780" t="str">
        <f>+'Schedule C'!B90</f>
        <v>AYC | Grand Stair Structure Backfill</v>
      </c>
      <c r="D18" s="3838">
        <f>+'Schedule C'!Y90</f>
        <v>166610</v>
      </c>
      <c r="E18" s="3482" t="s">
        <v>2926</v>
      </c>
      <c r="F18" s="3475" t="s">
        <v>3248</v>
      </c>
    </row>
    <row r="19" spans="1:11" ht="24.75" customHeight="1">
      <c r="A19" s="3473">
        <f>+'Schedule C'!R133</f>
        <v>48</v>
      </c>
      <c r="B19" s="3478" t="str">
        <f>+'Schedule C'!M133</f>
        <v xml:space="preserve">SAB - Civil and Arch Works, MEPD &amp; ICT/ELV </v>
      </c>
      <c r="C19" s="2780" t="str">
        <f>+'Schedule C'!B133</f>
        <v>Additional Primary side CHW Valve Arrangement, Flushing Bypass and BTU Meter</v>
      </c>
      <c r="D19" s="3838">
        <f>+'Schedule C'!AG133</f>
        <v>223236</v>
      </c>
      <c r="E19" s="3482"/>
      <c r="F19" s="3475"/>
      <c r="G19" t="s">
        <v>3339</v>
      </c>
      <c r="J19" s="652">
        <v>49699225.440000027</v>
      </c>
    </row>
    <row r="20" spans="1:11" ht="24.75" customHeight="1">
      <c r="A20" s="3473">
        <f>+'Schedule C'!R107</f>
        <v>39</v>
      </c>
      <c r="B20" s="3478" t="str">
        <f>+'Schedule C'!M107</f>
        <v xml:space="preserve">SAB - Civil and Arch Works, MEPD &amp; ICT/ELV </v>
      </c>
      <c r="C20" s="2780" t="str">
        <f>+'Schedule C'!B107</f>
        <v>Provision of New IBS Infra. Requirements for Indoor GSM</v>
      </c>
      <c r="D20" s="3838">
        <f>+'Schedule C'!AG107</f>
        <v>1017433</v>
      </c>
      <c r="E20" s="3482"/>
      <c r="F20" s="3475"/>
      <c r="G20" t="s">
        <v>3339</v>
      </c>
      <c r="J20" s="652"/>
    </row>
    <row r="21" spans="1:11" ht="26.25" customHeight="1">
      <c r="A21" s="3473" t="s">
        <v>2918</v>
      </c>
      <c r="B21" s="3478" t="str">
        <f>+'Schedule C'!M111</f>
        <v>Special Kitchen</v>
      </c>
      <c r="C21" s="2780" t="str">
        <f>+'Schedule C'!B111</f>
        <v>Relocation Marina Offices and Regeneration Kitchen (Kitchen)</v>
      </c>
      <c r="D21" s="3609">
        <f>+'Schedule C'!Y111</f>
        <v>1109644.6000000001</v>
      </c>
      <c r="E21" s="3482" t="s">
        <v>3257</v>
      </c>
      <c r="F21" s="3475" t="s">
        <v>2927</v>
      </c>
      <c r="J21" s="1367">
        <f>+D18+D19+D22+D25+D26+D30+D31+D32+D33+D34+D35+D39+D42+D44+D20</f>
        <v>-24440698.009999998</v>
      </c>
      <c r="K21" t="s">
        <v>1517</v>
      </c>
    </row>
    <row r="22" spans="1:11" ht="25.5" customHeight="1">
      <c r="A22" s="3473" t="s">
        <v>2918</v>
      </c>
      <c r="B22" s="3478" t="str">
        <f>+'Schedule C'!M112</f>
        <v xml:space="preserve">SAB - Civil and Arch Works, MEPD &amp; ICT/ELV </v>
      </c>
      <c r="C22" s="2780" t="str">
        <f>+'Schedule C'!B112</f>
        <v>Relocation Marina Offices and Regeneration Kitchen (Construction plus abortive Works)</v>
      </c>
      <c r="D22" s="3838">
        <f>+'Schedule C'!Y112</f>
        <v>2230142.9900000002</v>
      </c>
      <c r="E22" s="3482" t="s">
        <v>3257</v>
      </c>
      <c r="F22" s="3475" t="s">
        <v>2927</v>
      </c>
      <c r="J22" s="652">
        <f>+J19-J21</f>
        <v>74139923.450000018</v>
      </c>
    </row>
    <row r="23" spans="1:11" ht="25.5" customHeight="1">
      <c r="A23" s="3473" t="s">
        <v>2919</v>
      </c>
      <c r="B23" s="3478" t="str">
        <f>+'Schedule C'!M114</f>
        <v>DEPA Interior Fitout</v>
      </c>
      <c r="C23" s="2780" t="str">
        <f>+'Schedule C'!B114</f>
        <v>AYC Guest Lobby Staircase Geometry &amp; Finish Revisions (Construction)</v>
      </c>
      <c r="D23" s="3840">
        <f>+'Schedule C'!Y114</f>
        <v>0</v>
      </c>
      <c r="E23" s="3482" t="s">
        <v>3257</v>
      </c>
      <c r="F23" s="3475" t="s">
        <v>2927</v>
      </c>
    </row>
    <row r="24" spans="1:11" ht="25.5">
      <c r="A24" s="3473" t="s">
        <v>2920</v>
      </c>
      <c r="B24" s="3478" t="str">
        <f>+'Schedule C'!M118</f>
        <v>DEPA Interior Fitout</v>
      </c>
      <c r="C24" s="2780" t="str">
        <f>+'Schedule C'!B118</f>
        <v>Changes to Members Lobby and Guest Lobby Staircase Ballustrades</v>
      </c>
      <c r="D24" s="3840">
        <f>+'Schedule C'!Y118</f>
        <v>27201.54</v>
      </c>
      <c r="E24" s="3482" t="s">
        <v>3257</v>
      </c>
      <c r="F24" s="3475" t="s">
        <v>2927</v>
      </c>
    </row>
    <row r="25" spans="1:11" ht="25.5">
      <c r="A25" s="3473" t="s">
        <v>2921</v>
      </c>
      <c r="B25" s="3478" t="str">
        <f>+'Schedule C'!M120</f>
        <v xml:space="preserve">SAB - Civil and Arch Works, MEPD &amp; ICT/ELV </v>
      </c>
      <c r="C25" s="2780" t="str">
        <f>+'Schedule C'!B120</f>
        <v>Grand Stair Balustrade Revision to Avoid Fall Hazard (Construction)</v>
      </c>
      <c r="D25" s="3838">
        <f>+'Schedule C'!Y120</f>
        <v>180170</v>
      </c>
      <c r="E25" s="3482" t="s">
        <v>3257</v>
      </c>
      <c r="F25" s="3475" t="s">
        <v>2927</v>
      </c>
    </row>
    <row r="26" spans="1:11" ht="20.25" customHeight="1">
      <c r="A26" s="3473" t="s">
        <v>3243</v>
      </c>
      <c r="B26" s="3478" t="str">
        <f>+'Schedule C'!M140</f>
        <v xml:space="preserve">SAB - Civil and Arch Works, MEPD &amp; ICT/ELV </v>
      </c>
      <c r="C26" s="2780" t="str">
        <f>+'Schedule C'!B140</f>
        <v>MEP Manpower Supply to AYC Project on behalf of SAB.</v>
      </c>
      <c r="D26" s="3838">
        <f>+'Schedule C'!Y140</f>
        <v>-23125000</v>
      </c>
      <c r="E26" s="3482" t="s">
        <v>3244</v>
      </c>
      <c r="F26" s="3475" t="s">
        <v>3245</v>
      </c>
    </row>
    <row r="27" spans="1:11" ht="20.25" customHeight="1">
      <c r="A27" s="3473"/>
      <c r="B27" s="3478"/>
      <c r="C27" s="2780" t="s">
        <v>3340</v>
      </c>
      <c r="D27" s="3840">
        <v>-52635</v>
      </c>
      <c r="E27" s="3482"/>
      <c r="F27" s="3475"/>
    </row>
    <row r="28" spans="1:11" ht="20.25" customHeight="1">
      <c r="A28" s="3473"/>
      <c r="B28" s="3478"/>
      <c r="C28" s="2780" t="s">
        <v>3341</v>
      </c>
      <c r="D28" s="3840">
        <v>-198642.89</v>
      </c>
      <c r="E28" s="3482"/>
      <c r="F28" s="3475"/>
    </row>
    <row r="29" spans="1:11" ht="6.75" customHeight="1">
      <c r="A29" s="3473"/>
      <c r="B29" s="3478"/>
      <c r="C29" s="2780"/>
      <c r="D29" s="3479"/>
      <c r="E29" s="3474"/>
      <c r="F29" s="3475"/>
    </row>
    <row r="30" spans="1:11">
      <c r="A30" s="3473" t="s">
        <v>2923</v>
      </c>
      <c r="B30" s="3478" t="str">
        <f>+'Schedule C'!M67</f>
        <v xml:space="preserve">SAB - Civil and Arch Works, MEPD &amp; ICT/ELV </v>
      </c>
      <c r="C30" s="2780" t="str">
        <f>+'Schedule C'!B67</f>
        <v>Omission of Surveying Equipment from SAB Contract</v>
      </c>
      <c r="D30" s="3838">
        <f>+'Schedule C'!Q67</f>
        <v>-7890</v>
      </c>
      <c r="E30" s="2935" t="s">
        <v>3258</v>
      </c>
      <c r="F30" s="2780" t="s">
        <v>3249</v>
      </c>
    </row>
    <row r="31" spans="1:11" ht="25.5">
      <c r="A31" s="3473" t="s">
        <v>2924</v>
      </c>
      <c r="B31" s="3478" t="str">
        <f>+'Schedule C'!M69</f>
        <v xml:space="preserve">SAB - Civil and Arch Works, MEPD &amp; ICT/ELV </v>
      </c>
      <c r="C31" s="2780" t="str">
        <f>+'Schedule C'!B69</f>
        <v>Omission of food and welfare provision to AMAALA Staff from SAB Contract.</v>
      </c>
      <c r="D31" s="3838">
        <f>+'Schedule C'!Q69</f>
        <v>-90000</v>
      </c>
      <c r="E31" s="2935" t="s">
        <v>3258</v>
      </c>
      <c r="F31" s="2780" t="s">
        <v>3249</v>
      </c>
    </row>
    <row r="32" spans="1:11" ht="25.5">
      <c r="A32" s="3473" t="s">
        <v>2924</v>
      </c>
      <c r="B32" s="3478" t="str">
        <f>+'Schedule C'!M70</f>
        <v xml:space="preserve">SAB - Civil and Arch Works, MEPD &amp; ICT/ELV </v>
      </c>
      <c r="C32" s="2780" t="str">
        <f>+'Schedule C'!B70</f>
        <v xml:space="preserve">Cost saving to Site Office Monthly Running Cost due to late installation of the Office Establishment by SAB. </v>
      </c>
      <c r="D32" s="3838">
        <f>+'Schedule C'!Q70</f>
        <v>-200000</v>
      </c>
      <c r="E32" s="2935" t="s">
        <v>3258</v>
      </c>
      <c r="F32" s="2780" t="s">
        <v>3249</v>
      </c>
    </row>
    <row r="33" spans="1:6">
      <c r="A33" s="3473" t="s">
        <v>2925</v>
      </c>
      <c r="B33" s="3478" t="str">
        <f>+'Schedule C'!M128</f>
        <v xml:space="preserve">SAB - Civil and Arch Works, MEPD &amp; ICT/ELV </v>
      </c>
      <c r="C33" s="2780" t="str">
        <f>+'Schedule C'!B128</f>
        <v>Potential Contract Cost Adjustment</v>
      </c>
      <c r="D33" s="3838">
        <f>+'Schedule C'!Q128</f>
        <v>0</v>
      </c>
      <c r="E33" s="2935" t="s">
        <v>3258</v>
      </c>
      <c r="F33" s="2780" t="s">
        <v>3041</v>
      </c>
    </row>
    <row r="34" spans="1:6" ht="25.5">
      <c r="A34" s="3473" t="s">
        <v>3135</v>
      </c>
      <c r="B34" s="3478" t="str">
        <f>+'Schedule C'!M135</f>
        <v xml:space="preserve">SAB - Civil and Arch Works, MEPD &amp; ICT/ELV </v>
      </c>
      <c r="C34" s="2780" t="str">
        <f>+'Schedule C'!B135</f>
        <v>Cancellation of Amphitheatre Works issued to MAS - Process not followed</v>
      </c>
      <c r="D34" s="3838">
        <f>+'Schedule C'!Q135</f>
        <v>-1108000</v>
      </c>
      <c r="E34" s="3481" t="s">
        <v>3136</v>
      </c>
      <c r="F34" s="2780" t="s">
        <v>3137</v>
      </c>
    </row>
    <row r="35" spans="1:6" ht="25.5">
      <c r="A35" s="3473" t="s">
        <v>3138</v>
      </c>
      <c r="B35" s="3478" t="str">
        <f>+'Schedule C'!M137</f>
        <v xml:space="preserve">SAB - Civil and Arch Works, MEPD &amp; ICT/ELV </v>
      </c>
      <c r="C35" s="2780" t="str">
        <f>+'Schedule C'!B137</f>
        <v>Recovery of Remaining Block work, Plaster work and Paint Work to be carried out by MAS - Process not followed</v>
      </c>
      <c r="D35" s="3838">
        <f>+'Schedule C'!Q137</f>
        <v>-4004000</v>
      </c>
      <c r="E35" s="3481" t="s">
        <v>3136</v>
      </c>
      <c r="F35" s="2780" t="s">
        <v>3137</v>
      </c>
    </row>
    <row r="36" spans="1:6" ht="25.5">
      <c r="A36" s="3473" t="s">
        <v>3139</v>
      </c>
      <c r="B36" s="3478" t="str">
        <f>+'Schedule C'!M138</f>
        <v>DEPA Interior Fitout</v>
      </c>
      <c r="C36" s="2780" t="str">
        <f>+'Schedule C'!B138</f>
        <v>Alteration to finishes due to Façade Layout Changes - Process not Followed</v>
      </c>
      <c r="D36" s="3840">
        <f>+'Schedule C'!Q138</f>
        <v>69000</v>
      </c>
      <c r="E36" s="2935" t="s">
        <v>3260</v>
      </c>
      <c r="F36" s="2780" t="s">
        <v>3250</v>
      </c>
    </row>
    <row r="37" spans="1:6" ht="24.75" customHeight="1">
      <c r="A37" s="3473"/>
      <c r="B37" s="3478"/>
      <c r="C37" s="3841" t="s">
        <v>3342</v>
      </c>
      <c r="D37" s="3842">
        <f>+'Schedule B'!K154</f>
        <v>1284550.3500000001</v>
      </c>
      <c r="E37" s="2935"/>
      <c r="F37" s="2780" t="s">
        <v>3343</v>
      </c>
    </row>
    <row r="38" spans="1:6">
      <c r="A38" s="3473" t="s">
        <v>3140</v>
      </c>
      <c r="B38" s="3478" t="str">
        <f>+'Schedule C'!M139</f>
        <v>MAS - Amphitheatre</v>
      </c>
      <c r="C38" s="2780" t="str">
        <f>+'Schedule C'!B139</f>
        <v>Additional Porte Cochere Works to be carried out by MAS</v>
      </c>
      <c r="D38" s="3842">
        <f>+'Schedule C'!Q139</f>
        <v>0</v>
      </c>
      <c r="E38" s="2935" t="s">
        <v>3261</v>
      </c>
      <c r="F38" s="2780" t="s">
        <v>3251</v>
      </c>
    </row>
    <row r="39" spans="1:6">
      <c r="A39" s="3473" t="s">
        <v>3230</v>
      </c>
      <c r="B39" s="3478" t="str">
        <f>+'Schedule C'!M141</f>
        <v xml:space="preserve">SAB - Civil and Arch Works, MEPD &amp; ICT/ELV </v>
      </c>
      <c r="C39" s="2780" t="str">
        <f>+'Schedule C'!B141</f>
        <v>Deployment of Seven (7) Surveyors</v>
      </c>
      <c r="D39" s="3838">
        <f>+'Schedule C'!Q141</f>
        <v>201600</v>
      </c>
      <c r="E39" s="2935" t="s">
        <v>3262</v>
      </c>
      <c r="F39" s="2780" t="s">
        <v>3252</v>
      </c>
    </row>
    <row r="40" spans="1:6" ht="25.5">
      <c r="A40" s="3473" t="s">
        <v>3231</v>
      </c>
      <c r="B40" s="3478" t="str">
        <f>+'Schedule C'!M142</f>
        <v>DEPA Interior Fitout</v>
      </c>
      <c r="C40" s="2780" t="str">
        <f>+'Schedule C'!B142</f>
        <v>Employer’s instruction for ID Finishes on Vertical Transportation Fixture Elements</v>
      </c>
      <c r="D40" s="3840">
        <f>+'Schedule C'!Q142</f>
        <v>0</v>
      </c>
      <c r="E40" s="2935" t="s">
        <v>3263</v>
      </c>
      <c r="F40" s="2780" t="s">
        <v>3253</v>
      </c>
    </row>
    <row r="41" spans="1:6">
      <c r="A41" s="3473" t="s">
        <v>3239</v>
      </c>
      <c r="B41" s="3478" t="str">
        <f>+'Schedule C'!M143</f>
        <v>ESCCO - Vertical Transport</v>
      </c>
      <c r="C41" s="2780" t="str">
        <f>+'Schedule C'!B143</f>
        <v>AYC – Disassembly and Reassembly of electronic items from VT fixtures</v>
      </c>
      <c r="D41" s="3609">
        <f>+'Schedule C'!Q143</f>
        <v>0</v>
      </c>
      <c r="E41" s="2935" t="s">
        <v>3264</v>
      </c>
      <c r="F41" s="2780" t="s">
        <v>3254</v>
      </c>
    </row>
    <row r="42" spans="1:6">
      <c r="A42" s="3473" t="s">
        <v>3236</v>
      </c>
      <c r="B42" s="3478" t="str">
        <f>+'Schedule C'!M144</f>
        <v xml:space="preserve">SAB - Civil and Arch Works, MEPD &amp; ICT/ELV </v>
      </c>
      <c r="C42" s="2780" t="str">
        <f>+'Schedule C'!B144</f>
        <v>Scaffolding works for Secondary Steel and Façade (Design)</v>
      </c>
      <c r="D42" s="3838">
        <f>+'Schedule C'!Q144</f>
        <v>75000</v>
      </c>
      <c r="E42" s="2935" t="s">
        <v>3262</v>
      </c>
      <c r="F42" s="2780" t="s">
        <v>3252</v>
      </c>
    </row>
    <row r="43" spans="1:6">
      <c r="A43" s="3473" t="s">
        <v>3237</v>
      </c>
      <c r="B43" s="3478" t="str">
        <f>+'Schedule C'!M145</f>
        <v>ARMETAL - Reflective ceiling</v>
      </c>
      <c r="C43" s="2780" t="str">
        <f>+'Schedule C'!B145</f>
        <v>Reflective Ceiling (Award to Armetal)</v>
      </c>
      <c r="D43" s="3609">
        <f>+'Schedule C'!Q145</f>
        <v>0</v>
      </c>
      <c r="E43" s="2935" t="s">
        <v>3259</v>
      </c>
      <c r="F43" s="2780" t="s">
        <v>3256</v>
      </c>
    </row>
    <row r="44" spans="1:6">
      <c r="A44" s="3473" t="s">
        <v>3238</v>
      </c>
      <c r="B44" s="3478" t="str">
        <f>+'Schedule C'!M146</f>
        <v xml:space="preserve">SAB - Civil and Arch Works, MEPD &amp; ICT/ELV </v>
      </c>
      <c r="C44" s="2780" t="str">
        <f>+'Schedule C'!B146</f>
        <v>Reflective Ceiling (Omission from SAB)</v>
      </c>
      <c r="D44" s="3838">
        <f>+'Schedule C'!Q146</f>
        <v>0</v>
      </c>
      <c r="E44" s="2935" t="s">
        <v>3259</v>
      </c>
      <c r="F44" s="2780" t="s">
        <v>3255</v>
      </c>
    </row>
    <row r="45" spans="1:6" ht="25.5">
      <c r="A45" s="3473" t="s">
        <v>3246</v>
      </c>
      <c r="B45" s="3478" t="str">
        <f>+'Schedule C'!B147</f>
        <v>Al Fanar MEP Manpower Supply to AYC Project on behalf of SAB.</v>
      </c>
      <c r="C45" s="2780" t="str">
        <f>+'Schedule C'!B147</f>
        <v>Al Fanar MEP Manpower Supply to AYC Project on behalf of SAB.</v>
      </c>
      <c r="D45" s="3609">
        <f>+'Schedule C'!Q147</f>
        <v>0</v>
      </c>
      <c r="E45" s="3481" t="s">
        <v>3244</v>
      </c>
      <c r="F45" s="2780" t="s">
        <v>3247</v>
      </c>
    </row>
    <row r="46" spans="1:6" ht="7.5" customHeight="1">
      <c r="A46" s="3473"/>
      <c r="B46" s="3478"/>
      <c r="C46" s="2780"/>
      <c r="D46" s="3479"/>
      <c r="E46" s="3474"/>
      <c r="F46" s="3475"/>
    </row>
    <row r="47" spans="1:6" s="3489" customFormat="1" ht="15" customHeight="1">
      <c r="A47" s="3510"/>
      <c r="B47" s="3510" t="s">
        <v>2889</v>
      </c>
      <c r="C47" s="3510"/>
      <c r="D47" s="3510">
        <f>SUM(D48:D48)</f>
        <v>429156</v>
      </c>
      <c r="E47" s="3510"/>
      <c r="F47" s="3510"/>
    </row>
    <row r="48" spans="1:6" ht="25.5">
      <c r="A48" s="3473" t="s">
        <v>2922</v>
      </c>
      <c r="B48" s="3478" t="str">
        <f>+'Schedule C'!M125</f>
        <v>OS&amp;E Items</v>
      </c>
      <c r="C48" s="2780" t="str">
        <f>+'Schedule C'!B125</f>
        <v xml:space="preserve"> Addition of Accessories to Existing Artwork Proposal - Change Decision Pack_Artwork Package</v>
      </c>
      <c r="D48" s="3609">
        <f>+'Schedule C'!Y125</f>
        <v>429156</v>
      </c>
      <c r="E48" s="3474"/>
      <c r="F48" s="3475" t="s">
        <v>2928</v>
      </c>
    </row>
    <row r="49" spans="1:6" ht="6.75" customHeight="1">
      <c r="A49" s="3473"/>
      <c r="B49" s="3478"/>
      <c r="C49" s="2780"/>
      <c r="D49" s="3479"/>
      <c r="E49" s="3474"/>
      <c r="F49" s="3475"/>
    </row>
    <row r="50" spans="1:6" s="3489" customFormat="1" ht="21.75" customHeight="1">
      <c r="A50" s="5601" t="s">
        <v>2915</v>
      </c>
      <c r="B50" s="5602"/>
      <c r="C50" s="5603"/>
      <c r="D50" s="3488">
        <f>+D47+D16+D14+D12+D10</f>
        <v>-21772423.41</v>
      </c>
      <c r="E50" s="3488"/>
      <c r="F50" s="3488"/>
    </row>
    <row r="53" spans="1:6">
      <c r="D53" s="3480">
        <f>+'Schedule B'!N240</f>
        <v>3585562.5</v>
      </c>
      <c r="E53" s="3480">
        <f>+D18+D21+D22+D23+D24+D25+D48+D26</f>
        <v>-18982074.870000001</v>
      </c>
      <c r="F53" s="3610">
        <f>+E53-D53</f>
        <v>-22567637.370000001</v>
      </c>
    </row>
    <row r="54" spans="1:6">
      <c r="D54" s="3480">
        <f>+'Schedule B'!O240</f>
        <v>32891648.893043488</v>
      </c>
      <c r="E54" s="3480">
        <f>+D30+D31+D32+D33+D34+D35+D36+D38+D43+D44+D39+D40+D41+D42+D45</f>
        <v>-5064290</v>
      </c>
      <c r="F54" s="3610">
        <f>+E54-D54</f>
        <v>-37955938.893043488</v>
      </c>
    </row>
    <row r="55" spans="1:6">
      <c r="D55" s="3480">
        <f>+D54+D53</f>
        <v>36477211.393043488</v>
      </c>
    </row>
    <row r="56" spans="1:6">
      <c r="D56" s="3480">
        <f>+D55-D50</f>
        <v>58249634.803043485</v>
      </c>
    </row>
    <row r="58" spans="1:6">
      <c r="D58" s="3480">
        <f>+'Schedule B'!N240</f>
        <v>3585562.5</v>
      </c>
    </row>
    <row r="59" spans="1:6">
      <c r="D59" s="3480">
        <f>+'Schedule B'!O240</f>
        <v>32891648.893043488</v>
      </c>
    </row>
    <row r="60" spans="1:6">
      <c r="D60" s="3480">
        <f>+D59+D58</f>
        <v>36477211.393043488</v>
      </c>
    </row>
  </sheetData>
  <mergeCells count="1">
    <mergeCell ref="A50:C50"/>
  </mergeCells>
  <pageMargins left="0.7" right="0.7" top="0.75" bottom="0.75" header="0.3" footer="0.3"/>
  <pageSetup paperSize="8" scale="82" orientation="landscape" r:id="rId1"/>
  <headerFooter>
    <oddHeader>&amp;C&amp;"Calibri,Bold"&amp;18
MONTHLY REPORT - EARLY WARNINGS</oddHeader>
    <oddFooter>&amp;L1TB.01.003.01 - AYC 
NOVEMBER'24 REPORT&amp;C&amp;A&amp;RPage &amp;P of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90A19-57D2-4D23-9C20-D7CBE7F2E847}">
  <sheetPr codeName="Sheet32">
    <tabColor rgb="FFF36722"/>
  </sheetPr>
  <dimension ref="A1:E6"/>
  <sheetViews>
    <sheetView view="pageBreakPreview" zoomScale="60" zoomScaleNormal="70" workbookViewId="0">
      <selection activeCell="C43" sqref="C43"/>
    </sheetView>
  </sheetViews>
  <sheetFormatPr defaultColWidth="9" defaultRowHeight="12.75"/>
  <sheetData>
    <row r="1" spans="1:5">
      <c r="A1" s="3483"/>
      <c r="B1" s="3483"/>
      <c r="C1" s="3483"/>
      <c r="D1" s="3483"/>
      <c r="E1" s="3483"/>
    </row>
    <row r="2" spans="1:5">
      <c r="A2" s="3490" t="str">
        <f>'Data Input'!A1&amp;" - "&amp;'Data Input'!B1</f>
        <v>PROGRAMME: - MARINA VILLAGE (PROGRAMME 1_TRIPLE BAY)</v>
      </c>
    </row>
    <row r="3" spans="1:5">
      <c r="A3" s="3490" t="str">
        <f>'Data Input'!A2&amp;" - "&amp;'Data Input'!B2</f>
        <v>PROGRAMME CODE: - 1TB01003</v>
      </c>
    </row>
    <row r="4" spans="1:5">
      <c r="A4" s="3490" t="str">
        <f>'Data Input'!A5&amp;" - "&amp;'Data Input'!B5</f>
        <v>Client: - AMAALA</v>
      </c>
    </row>
    <row r="5" spans="1:5">
      <c r="A5" s="3490" t="str">
        <f>'Data Input'!A6&amp;" - "&amp;'Data Input'!B6</f>
        <v>Location: - AL WAJH SAUDI ARABIA</v>
      </c>
    </row>
    <row r="6" spans="1:5">
      <c r="A6" s="3490" t="str">
        <f>'Data Input'!A7&amp;" - "&amp;'Data Input'!B7</f>
        <v>REPORT NO: - MONTHLY REPORT NO. 49</v>
      </c>
    </row>
  </sheetData>
  <pageMargins left="0.7" right="0.7" top="0.75" bottom="0.75" header="0.3" footer="0.3"/>
  <pageSetup paperSize="8" scale="50" orientation="landscape" r:id="rId1"/>
  <headerFooter>
    <oddHeader>&amp;C&amp;"Calibri,Bold"&amp;18MONTHLY REPORT - ACC</oddHeader>
    <oddFooter>&amp;L1TB.01.003.01 - AYC 
MARCH'26 REPORT&amp;C&amp;A&amp;RPage &amp;P of &amp;N</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DA57E-F365-4478-BFB4-0ED8FBF002ED}">
  <sheetPr>
    <tabColor theme="4" tint="0.79998168889431442"/>
  </sheetPr>
  <dimension ref="B62:R205"/>
  <sheetViews>
    <sheetView topLeftCell="A61" workbookViewId="0">
      <selection activeCell="K73" sqref="K73"/>
    </sheetView>
  </sheetViews>
  <sheetFormatPr defaultColWidth="9" defaultRowHeight="12.75" outlineLevelRow="1"/>
  <cols>
    <col min="1" max="1" width="6.140625" customWidth="1"/>
    <col min="2" max="2" width="11.85546875" customWidth="1"/>
    <col min="3" max="3" width="69" customWidth="1"/>
    <col min="4" max="4" width="8.85546875" customWidth="1"/>
    <col min="5" max="5" width="10.42578125" bestFit="1" customWidth="1"/>
    <col min="6" max="6" width="11.42578125" bestFit="1" customWidth="1"/>
    <col min="7" max="7" width="13.5703125" style="652" bestFit="1" customWidth="1"/>
    <col min="8" max="8" width="14.85546875" customWidth="1"/>
    <col min="10" max="10" width="49.5703125" customWidth="1"/>
    <col min="11" max="11" width="17.42578125" customWidth="1"/>
    <col min="15" max="15" width="42.5703125" customWidth="1"/>
    <col min="16" max="16" width="16.5703125" customWidth="1"/>
    <col min="17" max="17" width="31.140625" customWidth="1"/>
    <col min="18" max="18" width="11.42578125" customWidth="1"/>
  </cols>
  <sheetData>
    <row r="62" spans="2:12" ht="13.5" thickBot="1">
      <c r="F62" s="3490" t="s">
        <v>5044</v>
      </c>
    </row>
    <row r="63" spans="2:12" ht="13.5" thickTop="1">
      <c r="B63" s="4437"/>
      <c r="C63" s="4438" t="s">
        <v>4981</v>
      </c>
      <c r="D63" s="4439"/>
      <c r="E63" s="4439"/>
      <c r="F63" s="4439"/>
      <c r="G63" s="4440"/>
      <c r="H63" s="4439"/>
      <c r="I63" s="4439"/>
      <c r="J63" s="4439"/>
      <c r="K63" s="4439"/>
      <c r="L63" s="4441"/>
    </row>
    <row r="64" spans="2:12">
      <c r="B64" s="4442"/>
      <c r="G64" s="4443"/>
      <c r="L64" s="4444"/>
    </row>
    <row r="65" spans="2:18">
      <c r="B65" s="4442"/>
      <c r="C65" t="s">
        <v>4959</v>
      </c>
      <c r="D65" s="4420">
        <v>14.56</v>
      </c>
      <c r="E65" s="4385">
        <v>14557384.220000001</v>
      </c>
      <c r="F65" s="4420">
        <f>+E65/1000000</f>
        <v>14.557384220000001</v>
      </c>
      <c r="G65" s="4443"/>
      <c r="K65" s="4385"/>
      <c r="L65" s="4444"/>
    </row>
    <row r="66" spans="2:18" ht="25.5">
      <c r="B66" s="4442"/>
      <c r="C66" t="s">
        <v>4956</v>
      </c>
      <c r="D66" s="4420">
        <v>2.67</v>
      </c>
      <c r="E66" s="4385">
        <v>2674938</v>
      </c>
      <c r="F66" s="4420">
        <f t="shared" ref="F66:F71" si="0">+E66/1000000</f>
        <v>2.674938</v>
      </c>
      <c r="G66" s="4443"/>
      <c r="J66" s="2854" t="s">
        <v>4958</v>
      </c>
      <c r="K66" s="4445">
        <v>8136064</v>
      </c>
      <c r="L66" s="4446">
        <f>+ROUND(K66/1000000,2)</f>
        <v>8.14</v>
      </c>
    </row>
    <row r="67" spans="2:18">
      <c r="B67" s="4442"/>
      <c r="C67" t="s">
        <v>4958</v>
      </c>
      <c r="D67" s="4420">
        <v>8.14</v>
      </c>
      <c r="E67" s="4385">
        <v>8136064</v>
      </c>
      <c r="F67" s="4420">
        <f t="shared" si="0"/>
        <v>8.1360639999999993</v>
      </c>
      <c r="G67" s="4443"/>
      <c r="J67" s="2854" t="s">
        <v>4962</v>
      </c>
      <c r="K67" s="4445">
        <v>4300000</v>
      </c>
      <c r="L67" s="4446">
        <f t="shared" ref="L67:L76" si="1">+ROUND(K67/1000000,2)</f>
        <v>4.3</v>
      </c>
      <c r="O67" s="4474" t="s">
        <v>5035</v>
      </c>
    </row>
    <row r="68" spans="2:18">
      <c r="B68" s="4442"/>
      <c r="C68" t="s">
        <v>4960</v>
      </c>
      <c r="D68" s="4420">
        <v>3.05</v>
      </c>
      <c r="E68">
        <v>3050936</v>
      </c>
      <c r="F68" s="4420">
        <f t="shared" si="0"/>
        <v>3.0509360000000001</v>
      </c>
      <c r="G68" s="4443"/>
      <c r="J68" s="2854" t="s">
        <v>4960</v>
      </c>
      <c r="K68" s="4445">
        <v>3050936</v>
      </c>
      <c r="L68" s="4446">
        <f t="shared" si="1"/>
        <v>3.05</v>
      </c>
      <c r="O68" s="4474" t="s">
        <v>5030</v>
      </c>
    </row>
    <row r="69" spans="2:18">
      <c r="B69" s="4442"/>
      <c r="C69" t="s">
        <v>4961</v>
      </c>
      <c r="D69" s="4420">
        <v>0.13</v>
      </c>
      <c r="E69">
        <v>133000</v>
      </c>
      <c r="F69" s="4420">
        <f t="shared" si="0"/>
        <v>0.13300000000000001</v>
      </c>
      <c r="G69" s="4443"/>
      <c r="J69" s="2854" t="s">
        <v>4961</v>
      </c>
      <c r="K69" s="4445">
        <v>133000</v>
      </c>
      <c r="L69" s="4446">
        <f t="shared" si="1"/>
        <v>0.13</v>
      </c>
      <c r="O69" t="s">
        <v>5031</v>
      </c>
      <c r="P69" s="1367">
        <f>+'Schedule H SAB'!AD33</f>
        <v>208249044.947</v>
      </c>
      <c r="Q69" s="652">
        <v>208249044.947</v>
      </c>
      <c r="R69" t="s">
        <v>5043</v>
      </c>
    </row>
    <row r="70" spans="2:18">
      <c r="B70" s="4442"/>
      <c r="C70" t="s">
        <v>4957</v>
      </c>
      <c r="D70" s="4420">
        <v>0.8</v>
      </c>
      <c r="E70">
        <v>799625.31</v>
      </c>
      <c r="F70" s="4420">
        <f t="shared" si="0"/>
        <v>0.79962531000000003</v>
      </c>
      <c r="G70" s="4443"/>
      <c r="J70" s="2854" t="s">
        <v>4957</v>
      </c>
      <c r="K70" s="4445">
        <v>799625.31</v>
      </c>
      <c r="L70" s="4446">
        <f t="shared" si="1"/>
        <v>0.8</v>
      </c>
      <c r="O70" s="1367" t="s">
        <v>5032</v>
      </c>
      <c r="P70" s="1367">
        <f>+'Schedule H SAB'!AD40+'Schedule H SAB'!AD41</f>
        <v>-37656960.289999999</v>
      </c>
    </row>
    <row r="71" spans="2:18">
      <c r="B71" s="4442"/>
      <c r="C71" t="s">
        <v>4962</v>
      </c>
      <c r="D71" s="4420">
        <v>4.3</v>
      </c>
      <c r="E71">
        <v>4300000</v>
      </c>
      <c r="F71" s="4420">
        <f t="shared" si="0"/>
        <v>4.3</v>
      </c>
      <c r="G71" s="4443"/>
      <c r="J71" s="2854" t="s">
        <v>4964</v>
      </c>
      <c r="K71" s="4445">
        <v>780000</v>
      </c>
      <c r="L71" s="4446">
        <f t="shared" si="1"/>
        <v>0.78</v>
      </c>
      <c r="P71" s="1367">
        <f>+P70+P69</f>
        <v>170592084.65700001</v>
      </c>
    </row>
    <row r="72" spans="2:18">
      <c r="B72" s="4442"/>
      <c r="C72" t="s">
        <v>4964</v>
      </c>
      <c r="D72" s="4420">
        <v>0.78</v>
      </c>
      <c r="G72" s="4443"/>
      <c r="J72" t="s">
        <v>4974</v>
      </c>
      <c r="K72" s="4445">
        <v>402710.72</v>
      </c>
      <c r="L72" s="4446">
        <f t="shared" si="1"/>
        <v>0.4</v>
      </c>
    </row>
    <row r="73" spans="2:18">
      <c r="B73" s="4442"/>
      <c r="D73" s="4420"/>
      <c r="G73" s="4443"/>
      <c r="J73" t="s">
        <v>4973</v>
      </c>
      <c r="K73" s="4445">
        <v>-8078.16</v>
      </c>
      <c r="L73" s="4446">
        <f t="shared" si="1"/>
        <v>-0.01</v>
      </c>
      <c r="O73" t="s">
        <v>5036</v>
      </c>
      <c r="P73" s="4385">
        <f>+'Schedule B'!Q79</f>
        <v>170989417.8230435</v>
      </c>
      <c r="Q73" s="652">
        <v>228362520.8830435</v>
      </c>
      <c r="R73" t="s">
        <v>5043</v>
      </c>
    </row>
    <row r="74" spans="2:18">
      <c r="B74" s="4442"/>
      <c r="D74" s="4447">
        <f>SUM(D65:D72)</f>
        <v>34.43</v>
      </c>
      <c r="G74" s="4443"/>
      <c r="J74" t="s">
        <v>4977</v>
      </c>
      <c r="K74" s="4445">
        <v>-402710.72</v>
      </c>
      <c r="L74" s="4446">
        <f t="shared" si="1"/>
        <v>-0.4</v>
      </c>
      <c r="O74" t="s">
        <v>5033</v>
      </c>
      <c r="P74" s="3020">
        <v>4790313.1478260886</v>
      </c>
      <c r="Q74" s="652">
        <v>4790313.1478260886</v>
      </c>
      <c r="R74" t="s">
        <v>5043</v>
      </c>
    </row>
    <row r="75" spans="2:18">
      <c r="B75" s="4442"/>
      <c r="D75" s="4420"/>
      <c r="G75" s="4443"/>
      <c r="J75" t="s">
        <v>4978</v>
      </c>
      <c r="K75" s="4445">
        <v>-1168628.1300000001</v>
      </c>
      <c r="L75" s="4446">
        <f t="shared" si="1"/>
        <v>-1.17</v>
      </c>
      <c r="O75" t="s">
        <v>5034</v>
      </c>
      <c r="P75" s="3020">
        <v>3198424.156521739</v>
      </c>
      <c r="Q75" s="652">
        <v>3198424.156521739</v>
      </c>
      <c r="R75" t="s">
        <v>5043</v>
      </c>
    </row>
    <row r="76" spans="2:18">
      <c r="B76" s="4442"/>
      <c r="D76" s="4420"/>
      <c r="G76" s="4443"/>
      <c r="J76" t="s">
        <v>4979</v>
      </c>
      <c r="K76" s="4445">
        <v>-52726</v>
      </c>
      <c r="L76" s="4446">
        <f t="shared" si="1"/>
        <v>-0.05</v>
      </c>
      <c r="P76" s="2834">
        <f>+P73-P74-P75</f>
        <v>163000680.51869568</v>
      </c>
    </row>
    <row r="77" spans="2:18">
      <c r="B77" s="4442"/>
      <c r="D77" s="4420"/>
      <c r="G77" s="4443"/>
      <c r="K77" s="1367">
        <f>SUM(K66:K76)</f>
        <v>15970193.020000001</v>
      </c>
      <c r="L77" s="4448">
        <f>SUM(L66:L76)</f>
        <v>15.970000000000002</v>
      </c>
      <c r="O77" s="3490" t="s">
        <v>5037</v>
      </c>
      <c r="P77" s="2834">
        <f>+P76-P69</f>
        <v>-45248364.428304315</v>
      </c>
    </row>
    <row r="78" spans="2:18">
      <c r="B78" s="4442"/>
      <c r="D78" s="4420"/>
      <c r="G78" s="4443"/>
      <c r="L78" s="4444"/>
      <c r="O78" t="s">
        <v>5038</v>
      </c>
    </row>
    <row r="79" spans="2:18">
      <c r="B79" s="4442"/>
      <c r="D79" s="4420"/>
      <c r="G79" s="4443"/>
      <c r="L79" s="4444"/>
    </row>
    <row r="80" spans="2:18">
      <c r="B80" s="4442"/>
      <c r="D80" s="4420"/>
      <c r="G80" s="4443"/>
      <c r="L80" s="4444"/>
    </row>
    <row r="81" spans="2:16">
      <c r="B81" s="4442"/>
      <c r="D81" s="4420"/>
      <c r="G81" s="4443"/>
      <c r="L81" s="4444"/>
      <c r="P81" s="652">
        <v>205264982.63</v>
      </c>
    </row>
    <row r="82" spans="2:16">
      <c r="B82" s="4442"/>
      <c r="D82" s="4420"/>
      <c r="G82" s="4443"/>
      <c r="L82" s="4444"/>
      <c r="P82" s="652">
        <v>222783157</v>
      </c>
    </row>
    <row r="83" spans="2:16">
      <c r="B83" s="4442"/>
      <c r="D83" s="4420"/>
      <c r="G83" s="4443"/>
      <c r="L83" s="4444"/>
      <c r="P83" s="652">
        <f>+P82/1.15</f>
        <v>193724484.34782609</v>
      </c>
    </row>
    <row r="84" spans="2:16">
      <c r="B84" s="4442"/>
      <c r="D84" s="4420"/>
      <c r="G84" s="4443"/>
      <c r="L84" s="4444"/>
      <c r="P84" s="2828">
        <f>+P82-P81</f>
        <v>17518174.370000005</v>
      </c>
    </row>
    <row r="85" spans="2:16">
      <c r="B85" s="4442"/>
      <c r="D85" s="4420"/>
      <c r="G85" s="4443"/>
      <c r="L85" s="4444"/>
    </row>
    <row r="86" spans="2:16">
      <c r="B86" s="4442"/>
      <c r="D86" s="4420"/>
      <c r="G86" s="4443"/>
      <c r="L86" s="4444"/>
    </row>
    <row r="87" spans="2:16">
      <c r="B87" s="4442"/>
      <c r="D87" s="4420"/>
      <c r="G87" s="4443"/>
      <c r="L87" s="4444"/>
      <c r="P87">
        <v>222783157.56999999</v>
      </c>
    </row>
    <row r="88" spans="2:16">
      <c r="B88" s="4442"/>
      <c r="D88" s="4420"/>
      <c r="G88" s="4443"/>
      <c r="L88" s="4444"/>
      <c r="P88">
        <v>14534122.58</v>
      </c>
    </row>
    <row r="89" spans="2:16">
      <c r="B89" s="4442"/>
      <c r="D89" s="4420"/>
      <c r="G89" s="4443"/>
      <c r="L89" s="4444"/>
      <c r="P89" s="652">
        <f>+P87-P88</f>
        <v>208249034.98999998</v>
      </c>
    </row>
    <row r="90" spans="2:16">
      <c r="B90" s="4442"/>
      <c r="D90" s="4420"/>
      <c r="G90" s="4443"/>
      <c r="L90" s="4444"/>
    </row>
    <row r="91" spans="2:16">
      <c r="B91" s="4442"/>
      <c r="C91" t="s">
        <v>2103</v>
      </c>
      <c r="D91" s="4420"/>
      <c r="G91" s="4445">
        <v>238213</v>
      </c>
      <c r="L91" s="4444"/>
    </row>
    <row r="92" spans="2:16" ht="25.5">
      <c r="B92" s="4442"/>
      <c r="C92" s="3490" t="s">
        <v>4967</v>
      </c>
      <c r="D92" s="4447"/>
      <c r="E92" s="3490"/>
      <c r="F92" s="3490"/>
      <c r="G92" s="4449">
        <v>10143</v>
      </c>
      <c r="H92" s="2122">
        <f>+G92+G101</f>
        <v>-5796</v>
      </c>
      <c r="J92" t="s">
        <v>4972</v>
      </c>
      <c r="K92" s="1367">
        <f>+H92+H93</f>
        <v>-52726</v>
      </c>
      <c r="L92" s="4444"/>
      <c r="O92" s="4475" t="s">
        <v>5039</v>
      </c>
      <c r="P92" s="652">
        <v>14557384.220000001</v>
      </c>
    </row>
    <row r="93" spans="2:16">
      <c r="B93" s="4442"/>
      <c r="C93" s="3490" t="s">
        <v>4968</v>
      </c>
      <c r="D93" s="4447"/>
      <c r="E93" s="3490"/>
      <c r="F93" s="3490"/>
      <c r="G93" s="4449">
        <v>228070</v>
      </c>
      <c r="H93" s="2122">
        <f>+G93+G102</f>
        <v>-46930</v>
      </c>
      <c r="L93" s="4444"/>
      <c r="P93" s="4476">
        <f>+P77-P92</f>
        <v>-59805748.648304313</v>
      </c>
    </row>
    <row r="94" spans="2:16">
      <c r="B94" s="4442"/>
      <c r="D94" s="4420"/>
      <c r="G94" s="4445"/>
      <c r="L94" s="4444"/>
      <c r="O94" s="4479" t="s">
        <v>5040</v>
      </c>
      <c r="P94" s="4479">
        <f>+P77</f>
        <v>-45248364.428304315</v>
      </c>
    </row>
    <row r="95" spans="2:16">
      <c r="B95" s="4442"/>
      <c r="D95" s="4420"/>
      <c r="G95" s="4445"/>
      <c r="L95" s="4444"/>
      <c r="O95" s="4477" t="s">
        <v>5041</v>
      </c>
      <c r="P95" s="4478">
        <v>-14557384.220000001</v>
      </c>
    </row>
    <row r="96" spans="2:16">
      <c r="B96" s="4442"/>
      <c r="D96" s="4420"/>
      <c r="G96" s="4445"/>
      <c r="L96" s="4444"/>
      <c r="O96" s="4480" t="s">
        <v>5042</v>
      </c>
      <c r="P96" s="4481">
        <f>+P95+P94</f>
        <v>-59805748.648304313</v>
      </c>
    </row>
    <row r="97" spans="2:12">
      <c r="B97" s="4442"/>
      <c r="D97" s="4420"/>
      <c r="G97" s="4445"/>
      <c r="L97" s="4444"/>
    </row>
    <row r="98" spans="2:12">
      <c r="B98" s="4442"/>
      <c r="D98" s="4420"/>
      <c r="G98" s="4445"/>
      <c r="L98" s="4444"/>
    </row>
    <row r="99" spans="2:12">
      <c r="B99" s="4442"/>
      <c r="D99" s="4420"/>
      <c r="G99" s="4445"/>
      <c r="L99" s="4444"/>
    </row>
    <row r="100" spans="2:12">
      <c r="B100" s="4442"/>
      <c r="C100" t="s">
        <v>392</v>
      </c>
      <c r="D100" s="4420"/>
      <c r="G100" s="4445">
        <v>-290939</v>
      </c>
      <c r="L100" s="4444"/>
    </row>
    <row r="101" spans="2:12">
      <c r="B101" s="4442"/>
      <c r="C101" s="3490" t="s">
        <v>4967</v>
      </c>
      <c r="D101" s="4447"/>
      <c r="E101" s="3490"/>
      <c r="F101" s="3490"/>
      <c r="G101" s="4449">
        <v>-15939</v>
      </c>
      <c r="H101" s="3490"/>
      <c r="L101" s="4444"/>
    </row>
    <row r="102" spans="2:12">
      <c r="B102" s="4442"/>
      <c r="C102" s="3490" t="s">
        <v>4968</v>
      </c>
      <c r="D102" s="4447"/>
      <c r="E102" s="3490"/>
      <c r="F102" s="3490"/>
      <c r="G102" s="4449">
        <v>-275000</v>
      </c>
      <c r="H102" s="3490"/>
      <c r="L102" s="4444"/>
    </row>
    <row r="103" spans="2:12">
      <c r="B103" s="4442"/>
      <c r="D103" s="4420"/>
      <c r="G103" s="4445"/>
      <c r="L103" s="4444"/>
    </row>
    <row r="104" spans="2:12">
      <c r="B104" s="4442"/>
      <c r="D104" s="4420"/>
      <c r="G104" s="4445"/>
      <c r="L104" s="4444"/>
    </row>
    <row r="105" spans="2:12">
      <c r="B105" s="4442"/>
      <c r="D105" s="4420"/>
      <c r="G105" s="4445"/>
      <c r="L105" s="4444"/>
    </row>
    <row r="106" spans="2:12">
      <c r="B106" s="4442"/>
      <c r="D106" s="4420"/>
      <c r="G106" s="4445"/>
      <c r="L106" s="4444"/>
    </row>
    <row r="107" spans="2:12">
      <c r="B107" s="4442"/>
      <c r="D107" s="4420"/>
      <c r="G107" s="4445"/>
      <c r="L107" s="4444"/>
    </row>
    <row r="108" spans="2:12">
      <c r="B108" s="4442"/>
      <c r="D108" s="4420"/>
      <c r="G108" s="4445"/>
      <c r="L108" s="4444"/>
    </row>
    <row r="109" spans="2:12">
      <c r="B109" s="4442"/>
      <c r="D109" s="4420"/>
      <c r="G109" s="4445"/>
      <c r="L109" s="4444"/>
    </row>
    <row r="110" spans="2:12">
      <c r="B110" s="4442"/>
      <c r="D110" s="4420"/>
      <c r="G110" s="4445"/>
      <c r="L110" s="4444"/>
    </row>
    <row r="111" spans="2:12">
      <c r="B111" s="4442"/>
      <c r="D111" s="4420"/>
      <c r="G111" s="4445"/>
      <c r="L111" s="4444"/>
    </row>
    <row r="112" spans="2:12">
      <c r="B112" s="4442"/>
      <c r="D112" s="4420"/>
      <c r="G112" s="4445"/>
      <c r="L112" s="4444"/>
    </row>
    <row r="113" spans="2:12">
      <c r="B113" s="4442"/>
      <c r="C113" t="s">
        <v>395</v>
      </c>
      <c r="D113" s="4420"/>
      <c r="G113" s="4445">
        <v>0</v>
      </c>
      <c r="L113" s="4444"/>
    </row>
    <row r="114" spans="2:12">
      <c r="B114" s="4442"/>
      <c r="D114" s="4420"/>
      <c r="G114" s="4445"/>
      <c r="L114" s="4444"/>
    </row>
    <row r="115" spans="2:12">
      <c r="B115" s="4442"/>
      <c r="D115" s="4420"/>
      <c r="G115" s="4445"/>
      <c r="L115" s="4444"/>
    </row>
    <row r="116" spans="2:12">
      <c r="B116" s="4442"/>
      <c r="D116" s="4420"/>
      <c r="G116" s="4445"/>
      <c r="L116" s="4444"/>
    </row>
    <row r="117" spans="2:12">
      <c r="B117" s="4442"/>
      <c r="D117" s="4420"/>
      <c r="G117" s="4445"/>
      <c r="L117" s="4444"/>
    </row>
    <row r="118" spans="2:12">
      <c r="B118" s="4442"/>
      <c r="D118" s="4420"/>
      <c r="G118" s="4445"/>
      <c r="L118" s="4444"/>
    </row>
    <row r="119" spans="2:12">
      <c r="B119" s="4442"/>
      <c r="D119" s="4420"/>
      <c r="G119" s="4445"/>
      <c r="L119" s="4444"/>
    </row>
    <row r="120" spans="2:12">
      <c r="B120" s="4442"/>
      <c r="D120" s="4420"/>
      <c r="G120" s="4445"/>
      <c r="L120" s="4444"/>
    </row>
    <row r="121" spans="2:12">
      <c r="B121" s="4442"/>
      <c r="D121" s="4420"/>
      <c r="G121" s="4445"/>
      <c r="L121" s="4444"/>
    </row>
    <row r="122" spans="2:12">
      <c r="B122" s="4442"/>
      <c r="C122" t="s">
        <v>372</v>
      </c>
      <c r="D122" s="4420"/>
      <c r="G122" s="4445">
        <v>16022919.02</v>
      </c>
      <c r="L122" s="4444"/>
    </row>
    <row r="123" spans="2:12">
      <c r="B123" s="4442"/>
      <c r="C123" t="s">
        <v>4905</v>
      </c>
      <c r="D123" s="4420"/>
      <c r="F123" t="s">
        <v>4806</v>
      </c>
      <c r="G123" s="4445">
        <v>-8078.16</v>
      </c>
      <c r="J123" t="s">
        <v>4973</v>
      </c>
      <c r="K123" s="1367">
        <f>+G123</f>
        <v>-8078.16</v>
      </c>
      <c r="L123" s="4444"/>
    </row>
    <row r="124" spans="2:12">
      <c r="B124" s="4442"/>
      <c r="C124" t="s">
        <v>4906</v>
      </c>
      <c r="D124" s="4420"/>
      <c r="F124" t="s">
        <v>4809</v>
      </c>
      <c r="G124" s="4445">
        <v>8000</v>
      </c>
      <c r="J124" t="s">
        <v>4974</v>
      </c>
      <c r="K124" s="1367">
        <f>+G124+G127+G128+G129+G130+G131+G133+G134</f>
        <v>402710.72</v>
      </c>
      <c r="L124" s="4444"/>
    </row>
    <row r="125" spans="2:12" ht="25.5">
      <c r="B125" s="4442"/>
      <c r="C125" t="s">
        <v>4969</v>
      </c>
      <c r="D125" s="4420"/>
      <c r="F125" t="s">
        <v>4810</v>
      </c>
      <c r="G125" s="4445">
        <v>8136064</v>
      </c>
      <c r="J125" s="2854" t="s">
        <v>4958</v>
      </c>
      <c r="K125" s="1367">
        <f>+G125</f>
        <v>8136064</v>
      </c>
      <c r="L125" s="4444"/>
    </row>
    <row r="126" spans="2:12">
      <c r="B126" s="4442"/>
      <c r="C126" t="s">
        <v>4908</v>
      </c>
      <c r="D126" s="4420"/>
      <c r="F126" t="s">
        <v>4811</v>
      </c>
      <c r="G126" s="4445">
        <v>3050936</v>
      </c>
      <c r="J126" t="s">
        <v>4960</v>
      </c>
      <c r="K126" s="1367">
        <f>+G126</f>
        <v>3050936</v>
      </c>
      <c r="L126" s="4444"/>
    </row>
    <row r="127" spans="2:12">
      <c r="B127" s="4442"/>
      <c r="C127" t="s">
        <v>4909</v>
      </c>
      <c r="D127" s="4420"/>
      <c r="F127" t="s">
        <v>4746</v>
      </c>
      <c r="G127" s="4445">
        <v>-204382</v>
      </c>
      <c r="L127" s="4444"/>
    </row>
    <row r="128" spans="2:12">
      <c r="B128" s="4442"/>
      <c r="C128" t="s">
        <v>4910</v>
      </c>
      <c r="D128" s="4420"/>
      <c r="F128" t="s">
        <v>4805</v>
      </c>
      <c r="G128" s="4445">
        <v>72092.72</v>
      </c>
      <c r="L128" s="4444"/>
    </row>
    <row r="129" spans="2:12">
      <c r="B129" s="4442"/>
      <c r="C129" t="s">
        <v>4911</v>
      </c>
      <c r="D129" s="4420"/>
      <c r="F129" t="s">
        <v>4857</v>
      </c>
      <c r="G129" s="4445">
        <v>232000</v>
      </c>
      <c r="L129" s="4444"/>
    </row>
    <row r="130" spans="2:12">
      <c r="B130" s="4442"/>
      <c r="C130" t="s">
        <v>4912</v>
      </c>
      <c r="D130" s="4420"/>
      <c r="F130" t="s">
        <v>4858</v>
      </c>
      <c r="G130" s="4445">
        <v>90000</v>
      </c>
      <c r="L130" s="4444"/>
    </row>
    <row r="131" spans="2:12">
      <c r="B131" s="4442"/>
      <c r="C131" t="s">
        <v>4913</v>
      </c>
      <c r="D131" s="4420"/>
      <c r="F131" t="s">
        <v>4859</v>
      </c>
      <c r="G131" s="4445">
        <v>100000</v>
      </c>
      <c r="L131" s="4444"/>
    </row>
    <row r="132" spans="2:12">
      <c r="B132" s="4442"/>
      <c r="C132" t="s">
        <v>4914</v>
      </c>
      <c r="D132" s="4420"/>
      <c r="F132" t="s">
        <v>4860</v>
      </c>
      <c r="G132" s="4445">
        <v>0</v>
      </c>
      <c r="L132" s="4444"/>
    </row>
    <row r="133" spans="2:12">
      <c r="B133" s="4442"/>
      <c r="C133" t="s">
        <v>4915</v>
      </c>
      <c r="D133" s="4420"/>
      <c r="F133" t="s">
        <v>4861</v>
      </c>
      <c r="G133" s="4445">
        <v>54000</v>
      </c>
      <c r="L133" s="4444"/>
    </row>
    <row r="134" spans="2:12">
      <c r="B134" s="4442"/>
      <c r="C134" t="s">
        <v>4916</v>
      </c>
      <c r="D134" s="4420"/>
      <c r="F134" t="s">
        <v>4862</v>
      </c>
      <c r="G134" s="4445">
        <v>51000</v>
      </c>
      <c r="L134" s="4444"/>
    </row>
    <row r="135" spans="2:12">
      <c r="B135" s="4442"/>
      <c r="D135" s="4420"/>
      <c r="G135" s="4445"/>
      <c r="L135" s="4444"/>
    </row>
    <row r="136" spans="2:12">
      <c r="B136" s="4442"/>
      <c r="C136" t="s">
        <v>4918</v>
      </c>
      <c r="D136" s="4420"/>
      <c r="F136" t="s">
        <v>4866</v>
      </c>
      <c r="G136" s="4445">
        <v>-402710.72</v>
      </c>
      <c r="J136" t="s">
        <v>4975</v>
      </c>
      <c r="K136" s="1367">
        <f>+G136</f>
        <v>-402710.72</v>
      </c>
      <c r="L136" s="4444"/>
    </row>
    <row r="137" spans="2:12">
      <c r="B137" s="4442"/>
      <c r="C137" t="s">
        <v>4932</v>
      </c>
      <c r="D137" s="4420"/>
      <c r="G137" s="4445">
        <v>133000</v>
      </c>
      <c r="J137" t="s">
        <v>4961</v>
      </c>
      <c r="K137" s="1367">
        <f>+G137</f>
        <v>133000</v>
      </c>
      <c r="L137" s="4444"/>
    </row>
    <row r="138" spans="2:12">
      <c r="B138" s="4442"/>
      <c r="C138" t="s">
        <v>4948</v>
      </c>
      <c r="D138" s="4420"/>
      <c r="G138" s="4445">
        <v>799625.31</v>
      </c>
      <c r="J138" t="s">
        <v>4957</v>
      </c>
      <c r="K138" s="1367">
        <f>+G138</f>
        <v>799625.31</v>
      </c>
      <c r="L138" s="4444"/>
    </row>
    <row r="139" spans="2:12">
      <c r="B139" s="4442"/>
      <c r="C139" t="s">
        <v>4953</v>
      </c>
      <c r="D139" s="4420"/>
      <c r="G139" s="4445">
        <v>-228070</v>
      </c>
      <c r="J139" t="s">
        <v>4976</v>
      </c>
      <c r="K139" s="1367">
        <f>+G139+G140+G141</f>
        <v>-1168628.1300000001</v>
      </c>
      <c r="L139" s="4444"/>
    </row>
    <row r="140" spans="2:12">
      <c r="B140" s="4442"/>
      <c r="C140" t="s">
        <v>4952</v>
      </c>
      <c r="D140" s="4420"/>
      <c r="G140" s="4445">
        <v>-677313.67</v>
      </c>
      <c r="L140" s="4444"/>
    </row>
    <row r="141" spans="2:12">
      <c r="B141" s="4442"/>
      <c r="C141" t="s">
        <v>4918</v>
      </c>
      <c r="D141" s="4420"/>
      <c r="F141" t="s">
        <v>4955</v>
      </c>
      <c r="G141" s="4445">
        <v>-263244.46000000002</v>
      </c>
      <c r="L141" s="4444"/>
    </row>
    <row r="142" spans="2:12">
      <c r="B142" s="4442"/>
      <c r="C142" t="s">
        <v>4970</v>
      </c>
      <c r="D142" s="4420"/>
      <c r="G142" s="4445">
        <v>4300000</v>
      </c>
      <c r="J142" t="s">
        <v>4962</v>
      </c>
      <c r="K142" s="1367">
        <f>+G142</f>
        <v>4300000</v>
      </c>
      <c r="L142" s="4444"/>
    </row>
    <row r="143" spans="2:12">
      <c r="B143" s="4442"/>
      <c r="C143" t="s">
        <v>4971</v>
      </c>
      <c r="D143" s="4420"/>
      <c r="G143" s="4445">
        <v>780000</v>
      </c>
      <c r="J143" t="s">
        <v>4964</v>
      </c>
      <c r="K143" s="1367">
        <f>+G143</f>
        <v>780000</v>
      </c>
      <c r="L143" s="4444"/>
    </row>
    <row r="144" spans="2:12">
      <c r="B144" s="4442"/>
      <c r="D144" s="4420"/>
      <c r="G144" s="4445"/>
      <c r="K144" s="2122">
        <f>SUM(K92:K143)</f>
        <v>15970193.02</v>
      </c>
      <c r="L144" s="4444"/>
    </row>
    <row r="145" spans="2:12">
      <c r="B145" s="4442"/>
      <c r="D145" s="4420"/>
      <c r="G145" s="4445"/>
      <c r="L145" s="4444"/>
    </row>
    <row r="146" spans="2:12">
      <c r="B146" s="4442"/>
      <c r="D146" s="4420"/>
      <c r="G146" s="4445"/>
      <c r="L146" s="4444"/>
    </row>
    <row r="147" spans="2:12">
      <c r="B147" s="4442"/>
      <c r="D147" s="4420"/>
      <c r="G147" s="4445"/>
      <c r="L147" s="4444"/>
    </row>
    <row r="148" spans="2:12">
      <c r="B148" s="4442"/>
      <c r="D148" s="4420"/>
      <c r="G148" s="4445"/>
      <c r="L148" s="4444"/>
    </row>
    <row r="149" spans="2:12">
      <c r="B149" s="4442"/>
      <c r="D149" s="4420"/>
      <c r="G149" s="4445"/>
      <c r="L149" s="4444"/>
    </row>
    <row r="150" spans="2:12">
      <c r="B150" s="4442"/>
      <c r="C150" t="s">
        <v>2583</v>
      </c>
      <c r="D150" s="4420"/>
      <c r="G150" s="4445">
        <v>0</v>
      </c>
      <c r="L150" s="4444"/>
    </row>
    <row r="151" spans="2:12">
      <c r="B151" s="4442"/>
      <c r="D151" s="4420"/>
      <c r="G151" s="4445"/>
      <c r="L151" s="4444"/>
    </row>
    <row r="152" spans="2:12">
      <c r="B152" s="4442"/>
      <c r="D152" s="4420"/>
      <c r="G152" s="4445"/>
      <c r="L152" s="4444"/>
    </row>
    <row r="153" spans="2:12">
      <c r="B153" s="4442"/>
      <c r="D153" s="4420"/>
      <c r="G153" s="4445"/>
      <c r="L153" s="4444"/>
    </row>
    <row r="154" spans="2:12">
      <c r="B154" s="4442"/>
      <c r="D154" s="4420"/>
      <c r="G154" s="4445"/>
      <c r="L154" s="4444"/>
    </row>
    <row r="155" spans="2:12">
      <c r="B155" s="4442"/>
      <c r="D155" s="4420"/>
      <c r="G155" s="4445"/>
      <c r="L155" s="4444"/>
    </row>
    <row r="156" spans="2:12">
      <c r="B156" s="4442"/>
      <c r="D156" s="4420"/>
      <c r="G156" s="4445">
        <v>15970193.02</v>
      </c>
      <c r="L156" s="4444"/>
    </row>
    <row r="157" spans="2:12" ht="13.5" thickBot="1">
      <c r="B157" s="4450"/>
      <c r="C157" s="4451"/>
      <c r="D157" s="4452"/>
      <c r="E157" s="4451"/>
      <c r="F157" s="4451"/>
      <c r="G157" s="4453"/>
      <c r="H157" s="4451"/>
      <c r="I157" s="4451"/>
      <c r="J157" s="4451"/>
      <c r="K157" s="4451"/>
      <c r="L157" s="4454"/>
    </row>
    <row r="158" spans="2:12" ht="13.5" hidden="1" outlineLevel="1" thickTop="1"/>
    <row r="159" spans="2:12" hidden="1" outlineLevel="1"/>
    <row r="160" spans="2:12" hidden="1" outlineLevel="1">
      <c r="B160">
        <v>13.28</v>
      </c>
      <c r="C160" t="s">
        <v>4899</v>
      </c>
    </row>
    <row r="161" spans="2:12" hidden="1" outlineLevel="1">
      <c r="B161">
        <v>1.28</v>
      </c>
      <c r="C161" t="s">
        <v>4900</v>
      </c>
    </row>
    <row r="162" spans="2:12" hidden="1" outlineLevel="1">
      <c r="B162">
        <v>1.02</v>
      </c>
      <c r="C162" t="s">
        <v>4901</v>
      </c>
    </row>
    <row r="163" spans="2:12" hidden="1" outlineLevel="1">
      <c r="B163">
        <v>2.67</v>
      </c>
      <c r="C163" t="s">
        <v>4902</v>
      </c>
    </row>
    <row r="164" spans="2:12" hidden="1" outlineLevel="1">
      <c r="B164" s="4420">
        <v>0.25</v>
      </c>
      <c r="C164" t="s">
        <v>4903</v>
      </c>
    </row>
    <row r="165" spans="2:12" hidden="1" outlineLevel="1">
      <c r="B165">
        <f>SUM(B160:B164)</f>
        <v>18.5</v>
      </c>
    </row>
    <row r="166" spans="2:12" hidden="1" outlineLevel="1">
      <c r="B166">
        <v>12.06</v>
      </c>
      <c r="F166" s="652">
        <f>+B164*1000000</f>
        <v>250000</v>
      </c>
    </row>
    <row r="167" spans="2:12" hidden="1" outlineLevel="1">
      <c r="B167">
        <v>30.511921839999999</v>
      </c>
    </row>
    <row r="168" spans="2:12" hidden="1" outlineLevel="1">
      <c r="F168" s="4423">
        <f>+G168/1000000</f>
        <v>-5.2726000000000002E-2</v>
      </c>
      <c r="G168" s="4424">
        <f>-5796-46930</f>
        <v>-52726</v>
      </c>
      <c r="H168" s="4425" t="s">
        <v>4904</v>
      </c>
    </row>
    <row r="169" spans="2:12" hidden="1" outlineLevel="1">
      <c r="B169">
        <v>-0.05</v>
      </c>
      <c r="C169" t="s">
        <v>4946</v>
      </c>
      <c r="F169" s="4425"/>
      <c r="G169" s="4424"/>
      <c r="H169" s="4425"/>
    </row>
    <row r="170" spans="2:12" hidden="1" outlineLevel="1">
      <c r="B170" s="4420">
        <v>0.3</v>
      </c>
      <c r="C170" t="s">
        <v>4919</v>
      </c>
      <c r="F170" s="4425"/>
      <c r="G170" s="4424"/>
      <c r="H170" s="4425"/>
    </row>
    <row r="171" spans="2:12" hidden="1" outlineLevel="1">
      <c r="B171" s="4420">
        <v>0.05</v>
      </c>
      <c r="C171" t="s">
        <v>4920</v>
      </c>
      <c r="F171" s="4425"/>
      <c r="G171" s="4424"/>
      <c r="H171" s="4425"/>
    </row>
    <row r="172" spans="2:12" hidden="1" outlineLevel="1">
      <c r="B172" s="4420">
        <v>0.05</v>
      </c>
      <c r="C172" t="s">
        <v>4921</v>
      </c>
      <c r="F172" s="4425"/>
      <c r="G172" s="4424"/>
      <c r="H172" s="4425"/>
    </row>
    <row r="173" spans="2:12" hidden="1" outlineLevel="1">
      <c r="B173" s="4420">
        <v>3.05</v>
      </c>
      <c r="C173" t="s">
        <v>4922</v>
      </c>
      <c r="F173" s="4423">
        <f t="shared" ref="F173:F186" si="2">+G173/1000000</f>
        <v>-8.0781599999999992E-3</v>
      </c>
      <c r="G173" s="4424">
        <v>-8078.16</v>
      </c>
      <c r="H173" s="4425" t="s">
        <v>4905</v>
      </c>
      <c r="K173" t="s">
        <v>4806</v>
      </c>
      <c r="L173">
        <v>-8078.16</v>
      </c>
    </row>
    <row r="174" spans="2:12" hidden="1" outlineLevel="1">
      <c r="B174" s="4420">
        <v>5.54</v>
      </c>
      <c r="C174" t="s">
        <v>4923</v>
      </c>
      <c r="F174" s="4425">
        <f t="shared" si="2"/>
        <v>8.0000000000000002E-3</v>
      </c>
      <c r="G174" s="4424">
        <v>8000</v>
      </c>
      <c r="H174" s="4425" t="s">
        <v>4906</v>
      </c>
      <c r="K174" t="s">
        <v>4809</v>
      </c>
      <c r="L174">
        <v>8000</v>
      </c>
    </row>
    <row r="175" spans="2:12" hidden="1" outlineLevel="1">
      <c r="B175" s="4420">
        <v>3.49</v>
      </c>
      <c r="C175" t="s">
        <v>4924</v>
      </c>
      <c r="F175" s="4425">
        <f t="shared" si="2"/>
        <v>5.5360636300000001</v>
      </c>
      <c r="G175" s="4424">
        <v>5536063.6299999999</v>
      </c>
      <c r="H175" s="4425" t="s">
        <v>4907</v>
      </c>
      <c r="K175" t="s">
        <v>4810</v>
      </c>
      <c r="L175">
        <v>5536063.6299999999</v>
      </c>
    </row>
    <row r="176" spans="2:12" hidden="1" outlineLevel="1">
      <c r="B176" s="4420">
        <v>-0.4</v>
      </c>
      <c r="C176" t="s">
        <v>4925</v>
      </c>
      <c r="F176" s="4425">
        <f t="shared" si="2"/>
        <v>3.0509360000000001</v>
      </c>
      <c r="G176" s="4424">
        <v>3050936</v>
      </c>
      <c r="H176" s="4425" t="s">
        <v>4908</v>
      </c>
      <c r="K176" t="s">
        <v>4811</v>
      </c>
      <c r="L176">
        <v>3050936</v>
      </c>
    </row>
    <row r="177" spans="2:12" hidden="1" outlineLevel="1">
      <c r="B177" s="4420">
        <v>-0.01</v>
      </c>
      <c r="C177" t="s">
        <v>4926</v>
      </c>
      <c r="F177" s="4425">
        <f t="shared" si="2"/>
        <v>-0.20438200000000001</v>
      </c>
      <c r="G177" s="4424">
        <v>-204382</v>
      </c>
      <c r="H177" s="4425" t="s">
        <v>4909</v>
      </c>
      <c r="K177" t="s">
        <v>4746</v>
      </c>
      <c r="L177">
        <v>-204382</v>
      </c>
    </row>
    <row r="178" spans="2:12" hidden="1" outlineLevel="1">
      <c r="B178" s="4420"/>
      <c r="F178" s="4425">
        <f t="shared" si="2"/>
        <v>7.2092719999999999E-2</v>
      </c>
      <c r="G178" s="4424">
        <v>72092.72</v>
      </c>
      <c r="H178" s="4425" t="s">
        <v>4910</v>
      </c>
      <c r="K178" t="s">
        <v>4805</v>
      </c>
      <c r="L178">
        <v>72092.72</v>
      </c>
    </row>
    <row r="179" spans="2:12" hidden="1" outlineLevel="1">
      <c r="B179">
        <f>SUM(B169:B178)</f>
        <v>12.02</v>
      </c>
      <c r="F179" s="4425">
        <f t="shared" si="2"/>
        <v>0.23200000000000001</v>
      </c>
      <c r="G179" s="4424">
        <v>232000</v>
      </c>
      <c r="H179" s="4425" t="s">
        <v>4911</v>
      </c>
      <c r="K179" t="s">
        <v>4857</v>
      </c>
      <c r="L179">
        <v>232000</v>
      </c>
    </row>
    <row r="180" spans="2:12" hidden="1" outlineLevel="1">
      <c r="B180" s="4420">
        <f>B165+B179</f>
        <v>30.52</v>
      </c>
      <c r="F180" s="4425">
        <f t="shared" si="2"/>
        <v>0.09</v>
      </c>
      <c r="G180" s="4424">
        <v>90000</v>
      </c>
      <c r="H180" s="4425" t="s">
        <v>4912</v>
      </c>
      <c r="K180" t="s">
        <v>4858</v>
      </c>
      <c r="L180">
        <v>90000</v>
      </c>
    </row>
    <row r="181" spans="2:12" hidden="1" outlineLevel="1">
      <c r="B181" s="4420">
        <f>B180-B169</f>
        <v>30.57</v>
      </c>
      <c r="F181" s="4425">
        <f t="shared" si="2"/>
        <v>0.1</v>
      </c>
      <c r="G181" s="4424">
        <v>100000</v>
      </c>
      <c r="H181" s="4425" t="s">
        <v>4913</v>
      </c>
      <c r="K181" t="s">
        <v>4859</v>
      </c>
      <c r="L181">
        <v>100000</v>
      </c>
    </row>
    <row r="182" spans="2:12" hidden="1" outlineLevel="1">
      <c r="B182">
        <v>30.61</v>
      </c>
      <c r="F182" s="4425">
        <f t="shared" si="2"/>
        <v>0</v>
      </c>
      <c r="G182" s="4424">
        <v>0</v>
      </c>
      <c r="H182" s="4425" t="s">
        <v>4914</v>
      </c>
      <c r="K182" t="s">
        <v>4860</v>
      </c>
      <c r="L182">
        <v>0</v>
      </c>
    </row>
    <row r="183" spans="2:12" hidden="1" outlineLevel="1">
      <c r="B183" s="4420">
        <f>B182-B181</f>
        <v>3.9999999999999147E-2</v>
      </c>
      <c r="F183" s="4425">
        <f t="shared" si="2"/>
        <v>5.3999999999999999E-2</v>
      </c>
      <c r="G183" s="4424">
        <v>54000</v>
      </c>
      <c r="H183" s="4425" t="s">
        <v>4915</v>
      </c>
      <c r="K183" t="s">
        <v>4861</v>
      </c>
      <c r="L183">
        <v>54000</v>
      </c>
    </row>
    <row r="184" spans="2:12" hidden="1" outlineLevel="1">
      <c r="F184" s="4425">
        <f t="shared" si="2"/>
        <v>5.0999999999999997E-2</v>
      </c>
      <c r="G184" s="4424">
        <v>51000</v>
      </c>
      <c r="H184" s="4425" t="s">
        <v>4916</v>
      </c>
      <c r="K184" t="s">
        <v>4862</v>
      </c>
      <c r="L184">
        <v>51000</v>
      </c>
    </row>
    <row r="185" spans="2:12" hidden="1" outlineLevel="1">
      <c r="F185" s="4425">
        <f t="shared" si="2"/>
        <v>3.4928252200000003</v>
      </c>
      <c r="G185" s="4424">
        <v>3492825.22</v>
      </c>
      <c r="H185" s="4425" t="s">
        <v>4917</v>
      </c>
      <c r="K185" t="s">
        <v>4863</v>
      </c>
      <c r="L185">
        <v>3492825.22</v>
      </c>
    </row>
    <row r="186" spans="2:12" hidden="1" outlineLevel="1">
      <c r="F186" s="4425">
        <f t="shared" si="2"/>
        <v>-0.40271071999999997</v>
      </c>
      <c r="G186" s="4424">
        <v>-402710.72</v>
      </c>
      <c r="H186" s="4425" t="s">
        <v>4918</v>
      </c>
      <c r="K186" t="s">
        <v>4866</v>
      </c>
      <c r="L186">
        <v>-402710.72</v>
      </c>
    </row>
    <row r="187" spans="2:12" hidden="1" outlineLevel="1"/>
    <row r="188" spans="2:12" hidden="1" outlineLevel="1">
      <c r="G188" s="652">
        <f>+G174+G177+G178+G179+G180+G181</f>
        <v>297710.71999999997</v>
      </c>
    </row>
    <row r="189" spans="2:12" hidden="1" outlineLevel="1">
      <c r="F189">
        <f>SUM(F173:F188)</f>
        <v>12.071746689999999</v>
      </c>
      <c r="G189" s="652">
        <f>+G188+G184+G183</f>
        <v>402710.72</v>
      </c>
    </row>
    <row r="190" spans="2:12" hidden="1" outlineLevel="1"/>
    <row r="191" spans="2:12" hidden="1" outlineLevel="1">
      <c r="B191">
        <v>14.56</v>
      </c>
      <c r="C191" t="s">
        <v>4934</v>
      </c>
      <c r="G191" s="652">
        <f>SUM(G173:G186)</f>
        <v>12071746.689999999</v>
      </c>
    </row>
    <row r="192" spans="2:12" hidden="1" outlineLevel="1">
      <c r="B192">
        <v>1.02</v>
      </c>
      <c r="C192" t="s">
        <v>4935</v>
      </c>
      <c r="G192" s="652">
        <f>+G191+G168</f>
        <v>12019020.689999999</v>
      </c>
    </row>
    <row r="193" spans="2:4" hidden="1" outlineLevel="1">
      <c r="B193">
        <v>2.67</v>
      </c>
      <c r="C193" t="s">
        <v>4936</v>
      </c>
    </row>
    <row r="194" spans="2:4" hidden="1" outlineLevel="1">
      <c r="B194">
        <v>0.28999999999999998</v>
      </c>
      <c r="C194" t="s">
        <v>4937</v>
      </c>
    </row>
    <row r="195" spans="2:4" hidden="1" outlineLevel="1">
      <c r="B195">
        <v>0.3</v>
      </c>
      <c r="C195" s="4425" t="s">
        <v>4938</v>
      </c>
      <c r="D195" s="4425"/>
    </row>
    <row r="196" spans="2:4" hidden="1" outlineLevel="1">
      <c r="B196">
        <v>0.05</v>
      </c>
      <c r="C196" s="4425" t="s">
        <v>4939</v>
      </c>
      <c r="D196" s="4425"/>
    </row>
    <row r="197" spans="2:4" hidden="1" outlineLevel="1">
      <c r="B197">
        <v>0.05</v>
      </c>
      <c r="C197" s="4425" t="s">
        <v>4940</v>
      </c>
      <c r="D197" s="4425"/>
    </row>
    <row r="198" spans="2:4" hidden="1" outlineLevel="1">
      <c r="B198">
        <v>3.05</v>
      </c>
      <c r="C198" s="4425" t="s">
        <v>4941</v>
      </c>
      <c r="D198" s="4425"/>
    </row>
    <row r="199" spans="2:4" hidden="1" outlineLevel="1">
      <c r="B199">
        <v>5.54</v>
      </c>
      <c r="C199" s="4425" t="s">
        <v>4942</v>
      </c>
      <c r="D199" s="4425"/>
    </row>
    <row r="200" spans="2:4" hidden="1" outlineLevel="1">
      <c r="B200">
        <v>3.49</v>
      </c>
      <c r="C200" s="4425" t="s">
        <v>4943</v>
      </c>
      <c r="D200" s="4425"/>
    </row>
    <row r="201" spans="2:4" hidden="1" outlineLevel="1">
      <c r="B201">
        <v>-0.4</v>
      </c>
      <c r="C201" s="4425" t="s">
        <v>4944</v>
      </c>
      <c r="D201" s="4425"/>
    </row>
    <row r="202" spans="2:4" hidden="1" outlineLevel="1">
      <c r="B202">
        <v>-0.01</v>
      </c>
      <c r="C202" s="4425" t="s">
        <v>4945</v>
      </c>
      <c r="D202" s="4425"/>
    </row>
    <row r="203" spans="2:4" hidden="1" outlineLevel="1">
      <c r="B203">
        <f>SUM(B191:B202)</f>
        <v>30.610000000000003</v>
      </c>
    </row>
    <row r="204" spans="2:4" hidden="1" outlineLevel="1">
      <c r="B204">
        <f>B182-B203</f>
        <v>0</v>
      </c>
    </row>
    <row r="205" spans="2:4" ht="13.5" collapsed="1" thickTop="1"/>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8C3E2-0791-47BD-B86A-4868749739A1}">
  <sheetPr>
    <tabColor theme="4" tint="0.79998168889431442"/>
  </sheetPr>
  <dimension ref="A1:P66"/>
  <sheetViews>
    <sheetView topLeftCell="D3" workbookViewId="0">
      <selection activeCell="M5" sqref="M5"/>
    </sheetView>
  </sheetViews>
  <sheetFormatPr defaultColWidth="9" defaultRowHeight="12.75"/>
  <cols>
    <col min="1" max="1" width="13.5703125" bestFit="1" customWidth="1"/>
    <col min="2" max="2" width="15.140625" customWidth="1"/>
    <col min="3" max="3" width="54.5703125" customWidth="1"/>
    <col min="4" max="4" width="21.85546875" customWidth="1"/>
    <col min="5" max="5" width="14" customWidth="1"/>
    <col min="6" max="6" width="9" bestFit="1" customWidth="1"/>
    <col min="7" max="7" width="13.5703125" customWidth="1"/>
    <col min="8" max="8" width="9" bestFit="1" customWidth="1"/>
    <col min="9" max="9" width="10.5703125" bestFit="1" customWidth="1"/>
    <col min="13" max="13" width="90" customWidth="1"/>
    <col min="14" max="14" width="17.5703125" style="652" customWidth="1"/>
    <col min="15" max="15" width="16" style="652" customWidth="1"/>
    <col min="16" max="16" width="15.140625" style="652" customWidth="1"/>
  </cols>
  <sheetData>
    <row r="1" spans="1:16" ht="19.5" hidden="1">
      <c r="A1" s="4470" t="s">
        <v>4999</v>
      </c>
      <c r="D1" s="4456"/>
    </row>
    <row r="2" spans="1:16" hidden="1">
      <c r="A2" s="652">
        <f>75660633.83-(13737620)-(760869.57+612731.57)-4055764.55-(1655399.8-569838*0)-822640.54-519230.25-(158817.97)-(104000)+666280-(21000)-(115000)-(50000)</f>
        <v>53713839.580000006</v>
      </c>
      <c r="D2" s="4456"/>
    </row>
    <row r="3" spans="1:16">
      <c r="D3" s="4456"/>
    </row>
    <row r="4" spans="1:16">
      <c r="B4" s="4457" t="s">
        <v>3258</v>
      </c>
      <c r="C4" s="4458" t="s">
        <v>3605</v>
      </c>
      <c r="D4" s="4459">
        <v>75723856.829999998</v>
      </c>
      <c r="M4" s="4506"/>
      <c r="N4" s="4507"/>
      <c r="O4" s="4507"/>
      <c r="P4" s="4507"/>
    </row>
    <row r="5" spans="1:16">
      <c r="B5" s="652"/>
      <c r="D5" s="4460"/>
      <c r="M5" s="4510" t="s">
        <v>5135</v>
      </c>
      <c r="N5" s="4507"/>
      <c r="O5" s="4507"/>
      <c r="P5" s="4507"/>
    </row>
    <row r="6" spans="1:16">
      <c r="B6" s="4461">
        <v>45566</v>
      </c>
      <c r="C6" t="s">
        <v>5000</v>
      </c>
      <c r="D6" s="4456">
        <v>0</v>
      </c>
      <c r="M6" s="4506" t="s">
        <v>3200</v>
      </c>
      <c r="N6" s="4507">
        <v>684836.5</v>
      </c>
      <c r="O6" s="4507">
        <f>+N6-'Schedule C'!AG142</f>
        <v>313961.5</v>
      </c>
      <c r="P6" s="4507">
        <f>+N6-O6</f>
        <v>370875</v>
      </c>
    </row>
    <row r="7" spans="1:16">
      <c r="B7" s="4461">
        <v>45597</v>
      </c>
      <c r="C7" t="s">
        <v>5000</v>
      </c>
      <c r="D7" s="4456">
        <v>0</v>
      </c>
      <c r="M7" s="4506" t="s">
        <v>3682</v>
      </c>
      <c r="N7" s="4507">
        <v>3351000</v>
      </c>
      <c r="O7" s="4507">
        <f>+'Schedule C'!AG172</f>
        <v>2521135.52</v>
      </c>
      <c r="P7" s="4507">
        <f>+N7-O7</f>
        <v>829864.48</v>
      </c>
    </row>
    <row r="8" spans="1:16">
      <c r="B8" s="4461">
        <v>45627</v>
      </c>
      <c r="C8" t="s">
        <v>5001</v>
      </c>
      <c r="D8" s="4456">
        <v>0</v>
      </c>
      <c r="M8" s="4506" t="s">
        <v>3992</v>
      </c>
      <c r="N8" s="4507"/>
      <c r="O8" s="4507"/>
      <c r="P8" s="4507">
        <f>+N8-O8</f>
        <v>0</v>
      </c>
    </row>
    <row r="9" spans="1:16">
      <c r="B9" s="4461">
        <v>45658</v>
      </c>
      <c r="C9" t="s">
        <v>3610</v>
      </c>
      <c r="D9" s="4460">
        <v>-63223</v>
      </c>
      <c r="M9" s="4506" t="s">
        <v>3996</v>
      </c>
      <c r="N9" s="4507">
        <v>1585809.45</v>
      </c>
      <c r="O9" s="4507">
        <f>+'Schedule C'!AG181</f>
        <v>850370.6</v>
      </c>
      <c r="P9" s="4507">
        <f>+N9-O9</f>
        <v>735438.85</v>
      </c>
    </row>
    <row r="10" spans="1:16">
      <c r="B10" s="4461">
        <v>45689</v>
      </c>
      <c r="C10" t="s">
        <v>5002</v>
      </c>
      <c r="D10" s="4456">
        <v>-13737620</v>
      </c>
      <c r="M10" s="4506" t="s">
        <v>3998</v>
      </c>
      <c r="N10" s="4507"/>
      <c r="O10" s="4507"/>
      <c r="P10" s="4507"/>
    </row>
    <row r="11" spans="1:16">
      <c r="B11" s="4461">
        <v>45689</v>
      </c>
      <c r="C11" t="s">
        <v>5003</v>
      </c>
      <c r="D11" s="4456">
        <v>-760869.57</v>
      </c>
      <c r="E11" s="1367" t="s">
        <v>5004</v>
      </c>
      <c r="I11" t="s">
        <v>5005</v>
      </c>
      <c r="M11" s="4506" t="s">
        <v>4283</v>
      </c>
      <c r="N11" s="4507"/>
      <c r="O11" s="4507"/>
      <c r="P11" s="4507"/>
    </row>
    <row r="12" spans="1:16">
      <c r="B12" s="4461">
        <v>45689</v>
      </c>
      <c r="C12" s="4462" t="s">
        <v>5006</v>
      </c>
      <c r="D12" s="4456">
        <v>-612731.56999999995</v>
      </c>
      <c r="M12" s="4508" t="s">
        <v>339</v>
      </c>
      <c r="N12" s="4509"/>
      <c r="O12" s="4509"/>
      <c r="P12" s="4509">
        <f>SUM(P6:P11)</f>
        <v>1936178.33</v>
      </c>
    </row>
    <row r="13" spans="1:16">
      <c r="B13" s="4461">
        <v>45719</v>
      </c>
      <c r="C13" t="s">
        <v>5000</v>
      </c>
      <c r="D13" s="4456"/>
      <c r="M13" s="4506"/>
      <c r="N13" s="4507"/>
      <c r="O13" s="4507"/>
      <c r="P13" s="4507"/>
    </row>
    <row r="14" spans="1:16">
      <c r="B14" s="4461">
        <v>45750</v>
      </c>
      <c r="C14" t="s">
        <v>5000</v>
      </c>
      <c r="D14" s="4456"/>
      <c r="M14" s="4506"/>
      <c r="N14" s="4507"/>
      <c r="O14" s="4507"/>
      <c r="P14" s="4507"/>
    </row>
    <row r="15" spans="1:16">
      <c r="B15" s="4463">
        <v>45778</v>
      </c>
      <c r="C15" s="4464" t="s">
        <v>5007</v>
      </c>
      <c r="D15" s="4465">
        <v>-4055764.55</v>
      </c>
      <c r="M15" s="4506"/>
      <c r="N15" s="4507"/>
      <c r="O15" s="4507"/>
      <c r="P15" s="4507"/>
    </row>
    <row r="16" spans="1:16">
      <c r="B16" s="4461">
        <v>45811</v>
      </c>
      <c r="C16" t="s">
        <v>5000</v>
      </c>
      <c r="D16" s="4456"/>
      <c r="E16" s="4471" t="s">
        <v>5008</v>
      </c>
      <c r="M16" s="4506"/>
      <c r="N16" s="4507"/>
      <c r="O16" s="4507"/>
      <c r="P16" s="4507"/>
    </row>
    <row r="17" spans="2:10">
      <c r="B17" s="4461">
        <v>45841</v>
      </c>
      <c r="C17" t="s">
        <v>5009</v>
      </c>
      <c r="D17" s="4456">
        <v>-1655399.8</v>
      </c>
      <c r="E17" s="4471" t="s">
        <v>5008</v>
      </c>
      <c r="J17">
        <f>-(1655399.8-569838*0)-822640.54-519230.25-(158817.97)</f>
        <v>-3156088.56</v>
      </c>
    </row>
    <row r="18" spans="2:10">
      <c r="B18" s="4461">
        <v>45841</v>
      </c>
      <c r="C18" t="s">
        <v>5010</v>
      </c>
      <c r="D18" s="4456">
        <v>-822640.54</v>
      </c>
    </row>
    <row r="19" spans="2:10">
      <c r="B19" s="4461">
        <v>45841</v>
      </c>
      <c r="C19" t="s">
        <v>5011</v>
      </c>
      <c r="D19" s="4456">
        <v>-519230.25</v>
      </c>
      <c r="G19">
        <v>-158817.97</v>
      </c>
    </row>
    <row r="20" spans="2:10" ht="38.25">
      <c r="B20" s="4466">
        <v>45841</v>
      </c>
      <c r="C20" s="4464" t="s">
        <v>5012</v>
      </c>
      <c r="D20" s="4465">
        <v>-158817.97</v>
      </c>
      <c r="G20" s="652">
        <v>106917.56000000007</v>
      </c>
      <c r="I20" s="652">
        <v>0</v>
      </c>
      <c r="J20">
        <v>0</v>
      </c>
    </row>
    <row r="21" spans="2:10">
      <c r="B21" s="4461">
        <v>45872</v>
      </c>
      <c r="C21" t="s">
        <v>5013</v>
      </c>
      <c r="D21" s="4456">
        <v>-104000</v>
      </c>
      <c r="G21" s="2832">
        <f>+G20+G19</f>
        <v>-51900.409999999931</v>
      </c>
      <c r="I21" s="652">
        <v>0</v>
      </c>
      <c r="J21">
        <v>0</v>
      </c>
    </row>
    <row r="22" spans="2:10">
      <c r="C22" t="s">
        <v>5014</v>
      </c>
      <c r="D22" s="4456">
        <v>-21000</v>
      </c>
      <c r="I22" s="2828">
        <f>+I21+I20+G19</f>
        <v>-158817.97</v>
      </c>
    </row>
    <row r="23" spans="2:10">
      <c r="C23" t="s">
        <v>5015</v>
      </c>
      <c r="D23" s="4456">
        <v>-115000</v>
      </c>
      <c r="I23" s="2828"/>
    </row>
    <row r="24" spans="2:10">
      <c r="C24" t="s">
        <v>5016</v>
      </c>
      <c r="D24" s="4456">
        <v>-50000</v>
      </c>
      <c r="I24" s="2828"/>
    </row>
    <row r="25" spans="2:10">
      <c r="C25" s="4462" t="s">
        <v>5006</v>
      </c>
      <c r="D25" s="4456">
        <v>666280</v>
      </c>
      <c r="I25" s="2828"/>
    </row>
    <row r="26" spans="2:10">
      <c r="B26" s="4461">
        <v>45925</v>
      </c>
      <c r="C26" t="s">
        <v>5000</v>
      </c>
      <c r="D26" s="4467"/>
      <c r="I26" s="2828"/>
    </row>
    <row r="27" spans="2:10">
      <c r="B27" s="4461">
        <v>45933</v>
      </c>
      <c r="C27" s="4468" t="s">
        <v>4906</v>
      </c>
      <c r="D27" s="4467">
        <v>-8000</v>
      </c>
      <c r="I27" s="2828"/>
      <c r="J27">
        <v>8000</v>
      </c>
    </row>
    <row r="28" spans="2:10" ht="25.5">
      <c r="C28" s="4468" t="s">
        <v>4909</v>
      </c>
      <c r="D28" s="4467">
        <v>204382</v>
      </c>
      <c r="I28" s="2828"/>
    </row>
    <row r="29" spans="2:10" ht="25.5">
      <c r="C29" s="4468" t="s">
        <v>4910</v>
      </c>
      <c r="D29" s="4467">
        <v>-72092.72</v>
      </c>
      <c r="I29" s="2828"/>
    </row>
    <row r="30" spans="2:10" ht="25.5">
      <c r="C30" s="4468" t="s">
        <v>4911</v>
      </c>
      <c r="D30" s="4467">
        <v>-232000</v>
      </c>
      <c r="I30" s="2828"/>
    </row>
    <row r="31" spans="2:10" ht="25.5">
      <c r="C31" s="4468" t="s">
        <v>4912</v>
      </c>
      <c r="D31" s="4467">
        <v>-90000</v>
      </c>
      <c r="E31" s="1367"/>
      <c r="I31" s="2828"/>
    </row>
    <row r="32" spans="2:10" ht="25.5">
      <c r="C32" s="2854" t="s">
        <v>4913</v>
      </c>
      <c r="D32" s="4467">
        <v>-100000</v>
      </c>
      <c r="I32" s="2828"/>
    </row>
    <row r="33" spans="2:9">
      <c r="C33" s="2854" t="s">
        <v>4914</v>
      </c>
      <c r="D33" s="4467">
        <v>0</v>
      </c>
      <c r="I33" s="2828"/>
    </row>
    <row r="34" spans="2:9" ht="25.5">
      <c r="C34" s="2854" t="s">
        <v>4915</v>
      </c>
      <c r="D34" s="4467">
        <v>-54000</v>
      </c>
      <c r="I34" s="2828"/>
    </row>
    <row r="35" spans="2:9" ht="25.5">
      <c r="C35" s="2854" t="s">
        <v>4916</v>
      </c>
      <c r="D35" s="4467">
        <v>-51000</v>
      </c>
      <c r="E35" s="1367">
        <f>SUM(D27:D35)</f>
        <v>-402710.72</v>
      </c>
      <c r="I35" s="2828"/>
    </row>
    <row r="36" spans="2:9">
      <c r="C36" s="2854" t="s">
        <v>4432</v>
      </c>
      <c r="D36" s="4467">
        <v>-228070</v>
      </c>
      <c r="E36" s="1367"/>
      <c r="I36" s="2828"/>
    </row>
    <row r="37" spans="2:9">
      <c r="C37" s="2854" t="s">
        <v>4219</v>
      </c>
      <c r="D37" s="4467">
        <v>-677313.67</v>
      </c>
      <c r="E37" s="1367"/>
      <c r="I37" s="2828"/>
    </row>
    <row r="38" spans="2:9">
      <c r="C38" s="2854" t="s">
        <v>5017</v>
      </c>
      <c r="D38" s="4467">
        <v>-263244.46000000002</v>
      </c>
      <c r="E38" s="1367"/>
      <c r="I38" s="2828"/>
    </row>
    <row r="39" spans="2:9">
      <c r="B39" s="3018">
        <v>45986</v>
      </c>
      <c r="C39" s="2854" t="s">
        <v>5070</v>
      </c>
      <c r="D39" s="4467">
        <v>-10000</v>
      </c>
      <c r="E39" s="1367"/>
      <c r="I39" s="2828"/>
    </row>
    <row r="40" spans="2:9" ht="34.5" customHeight="1">
      <c r="C40" s="2854" t="s">
        <v>5089</v>
      </c>
      <c r="D40" s="4456">
        <v>838114.1</v>
      </c>
      <c r="I40" s="2828"/>
    </row>
    <row r="41" spans="2:9" ht="25.5">
      <c r="C41" s="2854" t="s">
        <v>5091</v>
      </c>
      <c r="D41" s="4456">
        <v>41010</v>
      </c>
    </row>
    <row r="42" spans="2:9">
      <c r="C42" s="4472" t="s">
        <v>1886</v>
      </c>
      <c r="D42" s="4473">
        <f>SUM(D4:D41)</f>
        <v>53011624.830000006</v>
      </c>
      <c r="G42" s="652">
        <v>0</v>
      </c>
      <c r="H42">
        <v>0</v>
      </c>
    </row>
    <row r="43" spans="2:9">
      <c r="D43" s="4456">
        <f>+D42-A2</f>
        <v>-702214.75</v>
      </c>
      <c r="G43" s="652">
        <v>0</v>
      </c>
      <c r="H43">
        <v>0</v>
      </c>
    </row>
    <row r="44" spans="2:9">
      <c r="D44" s="4456"/>
      <c r="G44" s="2832">
        <f>SUM(G42:G43)</f>
        <v>0</v>
      </c>
    </row>
    <row r="45" spans="2:9">
      <c r="D45" s="4456"/>
    </row>
    <row r="46" spans="2:9">
      <c r="D46" s="4456"/>
      <c r="G46" s="652">
        <v>-569838.42000000004</v>
      </c>
    </row>
    <row r="47" spans="2:9">
      <c r="D47" s="4456">
        <f>+D25+D12</f>
        <v>53548.430000000051</v>
      </c>
      <c r="G47">
        <v>1655399.8</v>
      </c>
    </row>
    <row r="48" spans="2:9">
      <c r="D48" s="4456"/>
      <c r="G48" s="2828">
        <f>+G47+G46</f>
        <v>1085561.3799999999</v>
      </c>
    </row>
    <row r="49" spans="3:7">
      <c r="C49" s="3490" t="s">
        <v>4112</v>
      </c>
      <c r="D49" s="4456"/>
    </row>
    <row r="50" spans="3:7">
      <c r="C50" t="s">
        <v>5018</v>
      </c>
      <c r="D50" s="4456">
        <v>-8870230.2699999996</v>
      </c>
    </row>
    <row r="51" spans="3:7">
      <c r="C51" t="s">
        <v>5019</v>
      </c>
      <c r="D51" s="4456">
        <v>-7235632.79</v>
      </c>
    </row>
    <row r="52" spans="3:7">
      <c r="C52" t="s">
        <v>5020</v>
      </c>
      <c r="D52" s="4456">
        <v>-8703634.5599999968</v>
      </c>
    </row>
    <row r="53" spans="3:7">
      <c r="D53" s="4469">
        <f>SUM(D50:D52)</f>
        <v>-24809497.619999997</v>
      </c>
    </row>
    <row r="54" spans="3:7">
      <c r="D54" s="4456">
        <f>+D53+D42</f>
        <v>28202127.210000008</v>
      </c>
    </row>
    <row r="55" spans="3:7">
      <c r="C55" t="s">
        <v>5021</v>
      </c>
      <c r="D55" s="4456">
        <v>0</v>
      </c>
    </row>
    <row r="56" spans="3:7">
      <c r="D56" s="4456">
        <f>+D55+D54</f>
        <v>28202127.210000008</v>
      </c>
      <c r="G56" s="1513">
        <v>45441</v>
      </c>
    </row>
    <row r="57" spans="3:7">
      <c r="D57" s="4456"/>
      <c r="G57" s="1513">
        <v>45475</v>
      </c>
    </row>
    <row r="58" spans="3:7">
      <c r="D58" s="4456"/>
      <c r="G58" s="652">
        <f>+G57-G56</f>
        <v>34</v>
      </c>
    </row>
    <row r="59" spans="3:7">
      <c r="D59" s="4456">
        <v>0.28999999999999998</v>
      </c>
    </row>
    <row r="60" spans="3:7">
      <c r="D60" s="4456">
        <v>0.25</v>
      </c>
    </row>
    <row r="61" spans="3:7">
      <c r="D61" s="4456"/>
    </row>
    <row r="62" spans="3:7">
      <c r="D62" s="4456"/>
    </row>
    <row r="63" spans="3:7">
      <c r="D63" s="4456"/>
    </row>
    <row r="64" spans="3:7">
      <c r="D64" s="4456"/>
    </row>
    <row r="65" spans="4:4">
      <c r="D65" s="4456"/>
    </row>
    <row r="66" spans="4:4">
      <c r="D66" s="4456"/>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84B01-7B2B-4A45-8A1A-CE00954E59E0}">
  <sheetPr codeName="Sheet55">
    <tabColor rgb="FFFFDDDD"/>
    <pageSetUpPr fitToPage="1"/>
  </sheetPr>
  <dimension ref="A1:AW158"/>
  <sheetViews>
    <sheetView view="pageBreakPreview" zoomScale="80" zoomScaleNormal="90" zoomScaleSheetLayoutView="80" workbookViewId="0">
      <pane ySplit="6" topLeftCell="A121" activePane="bottomLeft" state="frozen"/>
      <selection activeCell="C43" sqref="C43"/>
      <selection pane="bottomLeft" activeCell="A123" sqref="A123:XFD123"/>
    </sheetView>
  </sheetViews>
  <sheetFormatPr defaultColWidth="10.42578125" defaultRowHeight="14.25" outlineLevelRow="1" outlineLevelCol="1"/>
  <cols>
    <col min="1" max="1" width="19" style="4038" customWidth="1"/>
    <col min="2" max="2" width="35.42578125" style="4038" bestFit="1" customWidth="1"/>
    <col min="3" max="3" width="27" style="4038" customWidth="1"/>
    <col min="4" max="4" width="67.5703125" style="4038" customWidth="1"/>
    <col min="5" max="5" width="22" style="4080" customWidth="1" outlineLevel="1"/>
    <col min="6" max="6" width="21.85546875" style="4080" customWidth="1" outlineLevel="1"/>
    <col min="7" max="7" width="19.85546875" style="4080" customWidth="1"/>
    <col min="8" max="8" width="18.85546875" style="4080" bestFit="1" customWidth="1"/>
    <col min="9" max="9" width="18.5703125" style="4080" bestFit="1" customWidth="1"/>
    <col min="10" max="10" width="18.42578125" style="4080" customWidth="1"/>
    <col min="11" max="11" width="18.85546875" style="4080" bestFit="1" customWidth="1"/>
    <col min="12" max="12" width="18.85546875" style="4080" customWidth="1"/>
    <col min="13" max="13" width="16" style="4080" bestFit="1" customWidth="1"/>
    <col min="14" max="14" width="18.5703125" style="4080" bestFit="1" customWidth="1"/>
    <col min="15" max="15" width="19" style="4080" bestFit="1" customWidth="1"/>
    <col min="16" max="17" width="18.85546875" style="4080" bestFit="1" customWidth="1"/>
    <col min="18" max="18" width="18" style="4080" bestFit="1" customWidth="1"/>
    <col min="19" max="19" width="18" style="4039" customWidth="1"/>
    <col min="20" max="20" width="15" style="4038" bestFit="1" customWidth="1"/>
    <col min="21" max="16384" width="10.42578125" style="4038"/>
  </cols>
  <sheetData>
    <row r="1" spans="1:20" ht="15">
      <c r="A1" s="4241" t="s">
        <v>4365</v>
      </c>
    </row>
    <row r="2" spans="1:20" ht="15">
      <c r="A2" s="4241" t="s">
        <v>4366</v>
      </c>
    </row>
    <row r="3" spans="1:20" ht="15">
      <c r="A3" s="4241" t="s">
        <v>4367</v>
      </c>
    </row>
    <row r="4" spans="1:20" ht="15">
      <c r="A4" s="4242" t="str">
        <f>+Current_date</f>
        <v>OCTOBER 2026</v>
      </c>
    </row>
    <row r="5" spans="1:20" ht="7.5" customHeight="1" thickBot="1">
      <c r="A5" s="4242"/>
    </row>
    <row r="6" spans="1:20" s="4037" customFormat="1" ht="47.25" customHeight="1">
      <c r="A6" s="4191" t="s">
        <v>1949</v>
      </c>
      <c r="B6" s="4192" t="s">
        <v>578</v>
      </c>
      <c r="C6" s="4192" t="s">
        <v>3633</v>
      </c>
      <c r="D6" s="4099" t="s">
        <v>3634</v>
      </c>
      <c r="E6" s="4100" t="s">
        <v>3635</v>
      </c>
      <c r="F6" s="4100" t="s">
        <v>2864</v>
      </c>
      <c r="G6" s="4101" t="s">
        <v>3636</v>
      </c>
      <c r="H6" s="4101" t="s">
        <v>881</v>
      </c>
      <c r="I6" s="4101" t="s">
        <v>3621</v>
      </c>
      <c r="J6" s="4102" t="s">
        <v>3941</v>
      </c>
      <c r="K6" s="4101" t="s">
        <v>3637</v>
      </c>
      <c r="L6" s="4101" t="s">
        <v>5348</v>
      </c>
      <c r="M6" s="4101" t="s">
        <v>3638</v>
      </c>
      <c r="N6" s="4101" t="s">
        <v>3625</v>
      </c>
      <c r="O6" s="4101" t="s">
        <v>3626</v>
      </c>
      <c r="P6" s="4101" t="s">
        <v>372</v>
      </c>
      <c r="Q6" s="4101" t="s">
        <v>3337</v>
      </c>
      <c r="R6" s="4103" t="s">
        <v>334</v>
      </c>
      <c r="S6" s="4036"/>
    </row>
    <row r="7" spans="1:20" ht="24.95" customHeight="1" outlineLevel="1">
      <c r="A7" s="4193" t="s">
        <v>3641</v>
      </c>
      <c r="B7" s="4104" t="str">
        <f t="shared" ref="B7:B16" si="0">B$19</f>
        <v>Professional Services</v>
      </c>
      <c r="C7" s="4105" t="s">
        <v>2883</v>
      </c>
      <c r="D7" s="4106" t="str">
        <f>'Schedule B'!C17</f>
        <v xml:space="preserve"> Dewan Architects &amp; Engineers 2200445</v>
      </c>
      <c r="E7" s="4107">
        <f>'Schedule B'!E17</f>
        <v>5973808</v>
      </c>
      <c r="F7" s="4108">
        <f>'Schedule B'!F17</f>
        <v>0</v>
      </c>
      <c r="G7" s="4107">
        <f>F7+E7</f>
        <v>5973808</v>
      </c>
      <c r="H7" s="4107">
        <f>'Schedule B'!H17</f>
        <v>5973808</v>
      </c>
      <c r="I7" s="4107">
        <f>'Schedule B'!I17</f>
        <v>3316718.0999999996</v>
      </c>
      <c r="J7" s="4124">
        <f>+'Schedule B'!J17</f>
        <v>0</v>
      </c>
      <c r="K7" s="4107">
        <f>SUM(H7:J7)</f>
        <v>9290526.0999999996</v>
      </c>
      <c r="L7" s="4107"/>
      <c r="M7" s="4108">
        <f>'Schedule B'!M17</f>
        <v>0</v>
      </c>
      <c r="N7" s="4108">
        <f>'Schedule B'!N17</f>
        <v>0</v>
      </c>
      <c r="O7" s="4108"/>
      <c r="P7" s="4108">
        <f>'Schedule B'!O17</f>
        <v>0</v>
      </c>
      <c r="Q7" s="4107">
        <f t="shared" ref="Q7:Q17" si="1">SUM(K7:P7)</f>
        <v>9290526.0999999996</v>
      </c>
      <c r="R7" s="4109">
        <f t="shared" ref="R7:R18" si="2">Q7-G7</f>
        <v>3316718.0999999996</v>
      </c>
      <c r="S7" s="4110"/>
      <c r="T7" s="4111"/>
    </row>
    <row r="8" spans="1:20" ht="24.95" customHeight="1" outlineLevel="1">
      <c r="A8" s="4193" t="s">
        <v>3642</v>
      </c>
      <c r="B8" s="4104" t="str">
        <f t="shared" si="0"/>
        <v>Professional Services</v>
      </c>
      <c r="C8" s="4105" t="s">
        <v>2883</v>
      </c>
      <c r="D8" s="4106" t="str">
        <f>'Schedule B'!C18</f>
        <v>HKS Architects Ltd - Design Competition Fees 2200010</v>
      </c>
      <c r="E8" s="4107">
        <f>'Schedule B'!E18</f>
        <v>555960.36</v>
      </c>
      <c r="F8" s="4108">
        <f>'Schedule B'!F18</f>
        <v>0</v>
      </c>
      <c r="G8" s="4107">
        <f t="shared" ref="G8:G16" si="3">F8+E8</f>
        <v>555960.36</v>
      </c>
      <c r="H8" s="4107">
        <f>'Schedule B'!H18</f>
        <v>555960.36</v>
      </c>
      <c r="I8" s="4107">
        <f>'Schedule B'!I18</f>
        <v>0</v>
      </c>
      <c r="J8" s="4124">
        <f>+'Schedule B'!J18</f>
        <v>0</v>
      </c>
      <c r="K8" s="4107">
        <f t="shared" ref="K8:K16" si="4">SUM(H8:J8)</f>
        <v>555960.36</v>
      </c>
      <c r="L8" s="4107"/>
      <c r="M8" s="4108">
        <f>'Schedule B'!M18</f>
        <v>0</v>
      </c>
      <c r="N8" s="4108">
        <f>'Schedule B'!N18</f>
        <v>0</v>
      </c>
      <c r="O8" s="4108"/>
      <c r="P8" s="4108">
        <f>'Schedule B'!O18</f>
        <v>0</v>
      </c>
      <c r="Q8" s="4107">
        <f t="shared" si="1"/>
        <v>555960.36</v>
      </c>
      <c r="R8" s="4109">
        <f t="shared" si="2"/>
        <v>0</v>
      </c>
    </row>
    <row r="9" spans="1:20" ht="24.95" customHeight="1" outlineLevel="1">
      <c r="A9" s="4193" t="s">
        <v>3642</v>
      </c>
      <c r="B9" s="4104" t="str">
        <f t="shared" si="0"/>
        <v>Professional Services</v>
      </c>
      <c r="C9" s="4105" t="s">
        <v>2883</v>
      </c>
      <c r="D9" s="4106" t="str">
        <f>'Schedule B'!C19</f>
        <v>HKS Architects Ltd - Design Architect Fees 2200375</v>
      </c>
      <c r="E9" s="4107">
        <f>'Schedule B'!E19</f>
        <v>10891204</v>
      </c>
      <c r="F9" s="4108">
        <f>'Schedule B'!F19</f>
        <v>0</v>
      </c>
      <c r="G9" s="4107">
        <f t="shared" si="3"/>
        <v>10891204</v>
      </c>
      <c r="H9" s="4107">
        <f>'Schedule B'!H19</f>
        <v>10891204</v>
      </c>
      <c r="I9" s="4107">
        <f>'Schedule B'!I19</f>
        <v>-89775</v>
      </c>
      <c r="J9" s="4124">
        <f>+'Schedule B'!J19</f>
        <v>0</v>
      </c>
      <c r="K9" s="4107">
        <f t="shared" si="4"/>
        <v>10801429</v>
      </c>
      <c r="L9" s="4107"/>
      <c r="M9" s="4108">
        <f>'Schedule B'!M19</f>
        <v>0</v>
      </c>
      <c r="N9" s="4108">
        <f>'Schedule B'!N19</f>
        <v>0</v>
      </c>
      <c r="O9" s="4108"/>
      <c r="P9" s="4108">
        <f>'Schedule B'!O19</f>
        <v>0</v>
      </c>
      <c r="Q9" s="4107">
        <f t="shared" si="1"/>
        <v>10801429</v>
      </c>
      <c r="R9" s="4109">
        <f t="shared" si="2"/>
        <v>-89775</v>
      </c>
    </row>
    <row r="10" spans="1:20" ht="24.95" customHeight="1" outlineLevel="1">
      <c r="A10" s="4193" t="s">
        <v>3642</v>
      </c>
      <c r="B10" s="4104" t="str">
        <f t="shared" si="0"/>
        <v>Professional Services</v>
      </c>
      <c r="C10" s="4105" t="s">
        <v>2883</v>
      </c>
      <c r="D10" s="4106" t="str">
        <f>'Schedule B'!C20</f>
        <v>Applied Technology and Management Inc (Dubai BR)s  2210167</v>
      </c>
      <c r="E10" s="4107">
        <f>'Schedule B'!E20</f>
        <v>93750</v>
      </c>
      <c r="F10" s="4108">
        <f>'Schedule B'!F20</f>
        <v>0</v>
      </c>
      <c r="G10" s="4107">
        <f t="shared" si="3"/>
        <v>93750</v>
      </c>
      <c r="H10" s="4107">
        <f>'Schedule B'!H20</f>
        <v>93750</v>
      </c>
      <c r="I10" s="4107">
        <f>'Schedule B'!I20</f>
        <v>0</v>
      </c>
      <c r="J10" s="4124">
        <f>+'Schedule B'!J20</f>
        <v>0</v>
      </c>
      <c r="K10" s="4107">
        <f t="shared" si="4"/>
        <v>93750</v>
      </c>
      <c r="L10" s="4107"/>
      <c r="M10" s="4108">
        <f>'Schedule B'!M20</f>
        <v>0</v>
      </c>
      <c r="N10" s="4108">
        <f>'Schedule B'!N20</f>
        <v>0</v>
      </c>
      <c r="O10" s="4108"/>
      <c r="P10" s="4108">
        <f>'Schedule B'!O20</f>
        <v>0</v>
      </c>
      <c r="Q10" s="4107">
        <f t="shared" si="1"/>
        <v>93750</v>
      </c>
      <c r="R10" s="4109">
        <f t="shared" si="2"/>
        <v>0</v>
      </c>
    </row>
    <row r="11" spans="1:20" ht="24.95" customHeight="1" outlineLevel="1">
      <c r="A11" s="4193" t="s">
        <v>3642</v>
      </c>
      <c r="B11" s="4104" t="str">
        <f t="shared" si="0"/>
        <v>Professional Services</v>
      </c>
      <c r="C11" s="4105" t="s">
        <v>2883</v>
      </c>
      <c r="D11" s="4106" t="str">
        <f>'Schedule B'!C21</f>
        <v>Langan International UK Limited 2230042</v>
      </c>
      <c r="E11" s="4107">
        <f>'Schedule B'!E21</f>
        <v>0</v>
      </c>
      <c r="F11" s="4108">
        <f>'Schedule B'!F21</f>
        <v>172368.41999999998</v>
      </c>
      <c r="G11" s="4107">
        <f t="shared" si="3"/>
        <v>172368.41999999998</v>
      </c>
      <c r="H11" s="4107">
        <f>'Schedule B'!H21</f>
        <v>172368.41999999998</v>
      </c>
      <c r="I11" s="4107">
        <f>'Schedule B'!I21</f>
        <v>-1898.52</v>
      </c>
      <c r="J11" s="4124">
        <f>+'Schedule B'!J21</f>
        <v>0</v>
      </c>
      <c r="K11" s="4107">
        <f t="shared" si="4"/>
        <v>170469.9</v>
      </c>
      <c r="L11" s="4107"/>
      <c r="M11" s="4108">
        <f>'Schedule B'!M21</f>
        <v>0</v>
      </c>
      <c r="N11" s="4108">
        <f>'Schedule B'!N21</f>
        <v>0</v>
      </c>
      <c r="O11" s="4108"/>
      <c r="P11" s="4108">
        <f>'Schedule B'!O21</f>
        <v>0</v>
      </c>
      <c r="Q11" s="4107">
        <f t="shared" si="1"/>
        <v>170469.9</v>
      </c>
      <c r="R11" s="4109">
        <f t="shared" si="2"/>
        <v>-1898.5199999999895</v>
      </c>
    </row>
    <row r="12" spans="1:20" s="4113" customFormat="1" ht="24.95" customHeight="1" outlineLevel="1">
      <c r="A12" s="4193" t="s">
        <v>3642</v>
      </c>
      <c r="B12" s="4104" t="str">
        <f t="shared" si="0"/>
        <v>Professional Services</v>
      </c>
      <c r="C12" s="4105" t="s">
        <v>2883</v>
      </c>
      <c r="D12" s="4106" t="str">
        <f>'Schedule B'!C22</f>
        <v>Zuhair Fayez and Partners 2230041</v>
      </c>
      <c r="E12" s="4107">
        <f>'Schedule B'!E22</f>
        <v>0</v>
      </c>
      <c r="F12" s="4108">
        <f>'Schedule B'!F22</f>
        <v>106231.5</v>
      </c>
      <c r="G12" s="4107">
        <f t="shared" si="3"/>
        <v>106231.5</v>
      </c>
      <c r="H12" s="4107">
        <f>'Schedule B'!H22</f>
        <v>106231.5</v>
      </c>
      <c r="I12" s="4107">
        <f>'Schedule B'!I22</f>
        <v>0</v>
      </c>
      <c r="J12" s="4124">
        <f>+'Schedule B'!J22</f>
        <v>0</v>
      </c>
      <c r="K12" s="4107">
        <f t="shared" si="4"/>
        <v>106231.5</v>
      </c>
      <c r="L12" s="4107"/>
      <c r="M12" s="4108">
        <f>'Schedule B'!M22</f>
        <v>0</v>
      </c>
      <c r="N12" s="4108">
        <f>'Schedule B'!N22</f>
        <v>0</v>
      </c>
      <c r="O12" s="4108"/>
      <c r="P12" s="4108">
        <f>'Schedule B'!O22</f>
        <v>0</v>
      </c>
      <c r="Q12" s="4107">
        <f t="shared" si="1"/>
        <v>106231.5</v>
      </c>
      <c r="R12" s="4109">
        <f t="shared" si="2"/>
        <v>0</v>
      </c>
      <c r="S12" s="4112"/>
    </row>
    <row r="13" spans="1:20" ht="24.95" customHeight="1" outlineLevel="1">
      <c r="A13" s="4193" t="s">
        <v>3642</v>
      </c>
      <c r="B13" s="4104" t="str">
        <f t="shared" si="0"/>
        <v>Professional Services</v>
      </c>
      <c r="C13" s="4105" t="s">
        <v>2883</v>
      </c>
      <c r="D13" s="4106" t="str">
        <f>'Schedule B'!C23</f>
        <v>Ministry of Municipality and Rural Affairs (Tabuk)</v>
      </c>
      <c r="E13" s="4107">
        <f>'Schedule B'!E23</f>
        <v>0</v>
      </c>
      <c r="F13" s="4108">
        <f>'Schedule B'!F23</f>
        <v>45677.599999999999</v>
      </c>
      <c r="G13" s="4107">
        <f t="shared" si="3"/>
        <v>45677.599999999999</v>
      </c>
      <c r="H13" s="4107">
        <f>'Schedule B'!H23</f>
        <v>45677.599999999999</v>
      </c>
      <c r="I13" s="4107">
        <f>'Schedule B'!I23</f>
        <v>0</v>
      </c>
      <c r="J13" s="4124">
        <f>+'Schedule B'!J23</f>
        <v>0</v>
      </c>
      <c r="K13" s="4107">
        <f t="shared" si="4"/>
        <v>45677.599999999999</v>
      </c>
      <c r="L13" s="4107"/>
      <c r="M13" s="4108">
        <f>'Schedule B'!M23</f>
        <v>0</v>
      </c>
      <c r="N13" s="4108">
        <f>'Schedule B'!N23</f>
        <v>0</v>
      </c>
      <c r="O13" s="4108"/>
      <c r="P13" s="4108">
        <f>'Schedule B'!O23</f>
        <v>0</v>
      </c>
      <c r="Q13" s="4107">
        <f t="shared" si="1"/>
        <v>45677.599999999999</v>
      </c>
      <c r="R13" s="4109">
        <f t="shared" si="2"/>
        <v>0</v>
      </c>
    </row>
    <row r="14" spans="1:20" ht="24.95" customHeight="1" outlineLevel="1">
      <c r="A14" s="4193" t="s">
        <v>3642</v>
      </c>
      <c r="B14" s="4104" t="str">
        <f t="shared" si="0"/>
        <v>Professional Services</v>
      </c>
      <c r="C14" s="4105" t="s">
        <v>2883</v>
      </c>
      <c r="D14" s="4106" t="str">
        <f>'Schedule B'!C24</f>
        <v>Jensen Hughes Saudi Arabia Co 2230180</v>
      </c>
      <c r="E14" s="4107">
        <f>'Schedule B'!E24</f>
        <v>0</v>
      </c>
      <c r="F14" s="4108">
        <f>'Schedule B'!F24</f>
        <v>127291.9</v>
      </c>
      <c r="G14" s="4107">
        <f t="shared" si="3"/>
        <v>127291.9</v>
      </c>
      <c r="H14" s="4107">
        <f>'Schedule B'!H24</f>
        <v>127291.9</v>
      </c>
      <c r="I14" s="4107">
        <f>'Schedule B'!I24</f>
        <v>-56700</v>
      </c>
      <c r="J14" s="4124">
        <f>+'Schedule B'!J24</f>
        <v>0</v>
      </c>
      <c r="K14" s="4107">
        <f t="shared" si="4"/>
        <v>70591.899999999994</v>
      </c>
      <c r="L14" s="4107"/>
      <c r="M14" s="4108">
        <f>'Schedule B'!M24</f>
        <v>0</v>
      </c>
      <c r="N14" s="4108">
        <f>'Schedule B'!N24</f>
        <v>0</v>
      </c>
      <c r="O14" s="4108"/>
      <c r="P14" s="4108">
        <f>'Schedule B'!O24</f>
        <v>0</v>
      </c>
      <c r="Q14" s="4107">
        <f t="shared" si="1"/>
        <v>70591.899999999994</v>
      </c>
      <c r="R14" s="4109">
        <f t="shared" si="2"/>
        <v>-56700</v>
      </c>
    </row>
    <row r="15" spans="1:20" ht="24.95" customHeight="1" outlineLevel="1">
      <c r="A15" s="4193" t="s">
        <v>3642</v>
      </c>
      <c r="B15" s="4104" t="str">
        <f t="shared" si="0"/>
        <v>Professional Services</v>
      </c>
      <c r="C15" s="4105" t="s">
        <v>2883</v>
      </c>
      <c r="D15" s="4106" t="str">
        <f>'Schedule B'!C25</f>
        <v>Jensen Hughes Saudi Arabia Co 2250184</v>
      </c>
      <c r="E15" s="4107">
        <f>'Schedule B'!E25</f>
        <v>0</v>
      </c>
      <c r="F15" s="4108">
        <f>'Schedule B'!F25</f>
        <v>38103.199999999997</v>
      </c>
      <c r="G15" s="4107">
        <f t="shared" si="3"/>
        <v>38103.199999999997</v>
      </c>
      <c r="H15" s="4107">
        <f>'Schedule B'!H25</f>
        <v>38103.199999999997</v>
      </c>
      <c r="I15" s="4107">
        <f>'Schedule B'!I25</f>
        <v>-23800</v>
      </c>
      <c r="J15" s="4124">
        <f>+'Schedule B'!J25</f>
        <v>0</v>
      </c>
      <c r="K15" s="4107">
        <f t="shared" si="4"/>
        <v>14303.199999999997</v>
      </c>
      <c r="L15" s="4107"/>
      <c r="M15" s="4108">
        <f>'Schedule B'!M25</f>
        <v>0</v>
      </c>
      <c r="N15" s="4108">
        <f>'Schedule B'!N25</f>
        <v>0</v>
      </c>
      <c r="O15" s="4108"/>
      <c r="P15" s="4108">
        <f>'Schedule B'!O25</f>
        <v>0</v>
      </c>
      <c r="Q15" s="4107">
        <f t="shared" si="1"/>
        <v>14303.199999999997</v>
      </c>
      <c r="R15" s="4109">
        <f t="shared" si="2"/>
        <v>-23800</v>
      </c>
    </row>
    <row r="16" spans="1:20" ht="24.95" customHeight="1" outlineLevel="1">
      <c r="A16" s="4193" t="s">
        <v>3642</v>
      </c>
      <c r="B16" s="4104" t="str">
        <f t="shared" si="0"/>
        <v>Professional Services</v>
      </c>
      <c r="C16" s="4105" t="s">
        <v>2883</v>
      </c>
      <c r="D16" s="4106" t="str">
        <f>'Schedule B'!C26</f>
        <v>CML (Independent Commissioning Agent) COO 7</v>
      </c>
      <c r="E16" s="4107">
        <f>'Schedule B'!E26</f>
        <v>0</v>
      </c>
      <c r="F16" s="4108">
        <f>'Schedule B'!F26</f>
        <v>2406500</v>
      </c>
      <c r="G16" s="4107">
        <f t="shared" si="3"/>
        <v>2406500</v>
      </c>
      <c r="H16" s="4107">
        <f>'Schedule B'!H26</f>
        <v>2406500</v>
      </c>
      <c r="I16" s="4107">
        <f>'Schedule B'!I26</f>
        <v>1520390.54</v>
      </c>
      <c r="J16" s="4124">
        <f>+'Schedule B'!J26</f>
        <v>0</v>
      </c>
      <c r="K16" s="4107">
        <f t="shared" si="4"/>
        <v>3926890.54</v>
      </c>
      <c r="L16" s="4107"/>
      <c r="M16" s="4108">
        <f>'Schedule B'!M26</f>
        <v>101675.08</v>
      </c>
      <c r="N16" s="4108">
        <f>'Schedule B'!N26</f>
        <v>0</v>
      </c>
      <c r="O16" s="4108"/>
      <c r="P16" s="4108">
        <f>'Schedule B'!O26</f>
        <v>0</v>
      </c>
      <c r="Q16" s="4107">
        <f t="shared" si="1"/>
        <v>4028565.62</v>
      </c>
      <c r="R16" s="4109">
        <f t="shared" si="2"/>
        <v>1622065.62</v>
      </c>
    </row>
    <row r="17" spans="1:49" ht="24.95" customHeight="1" outlineLevel="1">
      <c r="A17" s="4193" t="s">
        <v>3642</v>
      </c>
      <c r="B17" s="4104" t="str">
        <f>B$19</f>
        <v>Professional Services</v>
      </c>
      <c r="C17" s="4105" t="s">
        <v>2883</v>
      </c>
      <c r="D17" s="4106" t="str">
        <f>'Schedule B'!C27</f>
        <v>GST - Sustainability Accreditation Services</v>
      </c>
      <c r="E17" s="4107">
        <f>'Schedule B'!E27</f>
        <v>0</v>
      </c>
      <c r="F17" s="4108">
        <f>'Schedule B'!F27</f>
        <v>133000</v>
      </c>
      <c r="G17" s="4107">
        <f>F17+E17</f>
        <v>133000</v>
      </c>
      <c r="H17" s="4107">
        <f>'Schedule B'!H27</f>
        <v>133000</v>
      </c>
      <c r="I17" s="4107">
        <f>'Schedule B'!I27</f>
        <v>0</v>
      </c>
      <c r="J17" s="4124">
        <f>+'Schedule B'!J27</f>
        <v>0</v>
      </c>
      <c r="K17" s="4107">
        <f>SUM(H17:J17)</f>
        <v>133000</v>
      </c>
      <c r="L17" s="4107"/>
      <c r="M17" s="4108">
        <f>'Schedule B'!M27</f>
        <v>0</v>
      </c>
      <c r="N17" s="4108">
        <f>'Schedule B'!N27</f>
        <v>0</v>
      </c>
      <c r="O17" s="4108"/>
      <c r="P17" s="4108">
        <f>'Schedule B'!O27</f>
        <v>0</v>
      </c>
      <c r="Q17" s="4107">
        <f t="shared" si="1"/>
        <v>133000</v>
      </c>
      <c r="R17" s="4109">
        <f t="shared" si="2"/>
        <v>0</v>
      </c>
    </row>
    <row r="18" spans="1:49" ht="24.95" customHeight="1" outlineLevel="1">
      <c r="A18" s="4900" t="s">
        <v>3642</v>
      </c>
      <c r="B18" s="4901" t="str">
        <f>B$19</f>
        <v>Professional Services</v>
      </c>
      <c r="C18" s="4895" t="s">
        <v>2883</v>
      </c>
      <c r="D18" s="4896" t="str">
        <f>'Schedule B'!C245</f>
        <v>Remaining budget - Professional Fees</v>
      </c>
      <c r="E18" s="4897">
        <f>'Schedule B'!E245</f>
        <v>11246866.870000001</v>
      </c>
      <c r="F18" s="4898">
        <f>'Schedule B'!F245</f>
        <v>-9734500.3499999996</v>
      </c>
      <c r="G18" s="4897">
        <f>F18+E18</f>
        <v>1512366.5200000014</v>
      </c>
      <c r="H18" s="4897">
        <f>'Schedule B'!H245*0</f>
        <v>0</v>
      </c>
      <c r="I18" s="4897">
        <f>'Schedule B'!I245*0</f>
        <v>0</v>
      </c>
      <c r="J18" s="4897"/>
      <c r="K18" s="4897">
        <f>SUM(H18:J18)</f>
        <v>0</v>
      </c>
      <c r="L18" s="4897"/>
      <c r="M18" s="4898">
        <f>'Schedule B'!M245</f>
        <v>0</v>
      </c>
      <c r="N18" s="4898"/>
      <c r="O18" s="4898"/>
      <c r="P18" s="4898">
        <f>'Schedule B'!O245*0</f>
        <v>0</v>
      </c>
      <c r="Q18" s="4897">
        <f>SUM(K18:P18)*0</f>
        <v>0</v>
      </c>
      <c r="R18" s="4899">
        <f t="shared" si="2"/>
        <v>-1512366.5200000014</v>
      </c>
    </row>
    <row r="19" spans="1:49" s="4043" customFormat="1" ht="35.25" customHeight="1">
      <c r="A19" s="4128" t="s">
        <v>3639</v>
      </c>
      <c r="B19" s="4143" t="str">
        <f>'Level 01'!B5</f>
        <v>Professional Services</v>
      </c>
      <c r="C19" s="4142"/>
      <c r="D19" s="4128" t="s">
        <v>3644</v>
      </c>
      <c r="E19" s="4129">
        <f t="shared" ref="E19:K19" si="5">SUM(E7:E18)</f>
        <v>28761589.23</v>
      </c>
      <c r="F19" s="4129">
        <f t="shared" si="5"/>
        <v>-6705327.7299999995</v>
      </c>
      <c r="G19" s="4129">
        <f t="shared" si="5"/>
        <v>22056261.5</v>
      </c>
      <c r="H19" s="4129">
        <f t="shared" si="5"/>
        <v>20543894.98</v>
      </c>
      <c r="I19" s="4129">
        <f t="shared" si="5"/>
        <v>4664935.1199999992</v>
      </c>
      <c r="J19" s="4129">
        <f t="shared" si="5"/>
        <v>0</v>
      </c>
      <c r="K19" s="4129">
        <f t="shared" si="5"/>
        <v>25208830.099999998</v>
      </c>
      <c r="L19" s="4129">
        <v>0</v>
      </c>
      <c r="M19" s="4129">
        <f t="shared" ref="M19:R19" si="6">SUM(M7:M18)</f>
        <v>101675.08</v>
      </c>
      <c r="N19" s="4129">
        <f t="shared" si="6"/>
        <v>0</v>
      </c>
      <c r="O19" s="4129">
        <f t="shared" si="6"/>
        <v>0</v>
      </c>
      <c r="P19" s="4129">
        <f t="shared" si="6"/>
        <v>0</v>
      </c>
      <c r="Q19" s="4129">
        <f t="shared" si="6"/>
        <v>25310505.18</v>
      </c>
      <c r="R19" s="4130">
        <f t="shared" si="6"/>
        <v>3254243.6799999978</v>
      </c>
      <c r="S19" s="4084"/>
      <c r="T19" s="4042"/>
      <c r="U19" s="4042"/>
      <c r="V19" s="4042"/>
      <c r="W19" s="4042"/>
      <c r="X19" s="4042"/>
      <c r="Y19" s="4042"/>
      <c r="Z19" s="4042"/>
      <c r="AA19" s="4042"/>
      <c r="AB19" s="4042"/>
      <c r="AC19" s="4042"/>
      <c r="AD19" s="4042"/>
      <c r="AE19" s="4042"/>
      <c r="AF19" s="4042"/>
      <c r="AG19" s="4042"/>
      <c r="AH19" s="4042"/>
      <c r="AI19" s="4042"/>
      <c r="AJ19" s="4042"/>
      <c r="AK19" s="4042"/>
      <c r="AL19" s="4042"/>
      <c r="AM19" s="4042"/>
      <c r="AN19" s="4042"/>
      <c r="AO19" s="4042"/>
      <c r="AP19" s="4042"/>
      <c r="AQ19" s="4042"/>
      <c r="AR19" s="4042"/>
      <c r="AS19" s="4042"/>
      <c r="AT19" s="4042"/>
      <c r="AU19" s="4042"/>
      <c r="AV19" s="4042"/>
      <c r="AW19" s="4042"/>
    </row>
    <row r="20" spans="1:49" s="4113" customFormat="1" ht="24.95" customHeight="1" outlineLevel="1">
      <c r="A20" s="4193" t="s">
        <v>3642</v>
      </c>
      <c r="B20" s="4114" t="str">
        <f>$B$24</f>
        <v>Management supervision</v>
      </c>
      <c r="C20" s="4115" t="s">
        <v>3645</v>
      </c>
      <c r="D20" s="4116" t="str">
        <f>'Schedule B'!A33&amp;" - "&amp;'Schedule B'!C33</f>
        <v>MS.003F02 - Khatib &amp; Alami 2230031</v>
      </c>
      <c r="E20" s="4117">
        <f>'Schedule B'!E33</f>
        <v>0</v>
      </c>
      <c r="F20" s="4248">
        <f>'Schedule B'!F33</f>
        <v>13059930</v>
      </c>
      <c r="G20" s="4249">
        <f>F20+E20</f>
        <v>13059930</v>
      </c>
      <c r="H20" s="4249">
        <f>'Schedule B'!H33</f>
        <v>13059930</v>
      </c>
      <c r="I20" s="4117">
        <f>'Schedule B'!I33</f>
        <v>1071977</v>
      </c>
      <c r="J20" s="4124">
        <f>+'Schedule B'!J33</f>
        <v>0</v>
      </c>
      <c r="K20" s="4117">
        <f>SUM(H20:J20)</f>
        <v>14131907</v>
      </c>
      <c r="L20" s="4117"/>
      <c r="M20" s="4118">
        <f>'Schedule B'!M33</f>
        <v>0</v>
      </c>
      <c r="N20" s="4118">
        <f>'Schedule B'!N33</f>
        <v>-49207</v>
      </c>
      <c r="O20" s="4118"/>
      <c r="P20" s="4118">
        <f>'Schedule B'!O33</f>
        <v>0</v>
      </c>
      <c r="Q20" s="4117">
        <f>SUM(K20:P20)</f>
        <v>14082700</v>
      </c>
      <c r="R20" s="4119">
        <f>Q20-G20</f>
        <v>1022770</v>
      </c>
      <c r="S20" s="4112"/>
    </row>
    <row r="21" spans="1:49" s="4113" customFormat="1" ht="24.95" customHeight="1" outlineLevel="1">
      <c r="A21" s="4193" t="s">
        <v>3642</v>
      </c>
      <c r="B21" s="4114" t="str">
        <f>$B$24</f>
        <v>Management supervision</v>
      </c>
      <c r="C21" s="4115" t="s">
        <v>3645</v>
      </c>
      <c r="D21" s="4116" t="str">
        <f>'Schedule B'!A34&amp;" - "&amp;'Schedule B'!C34</f>
        <v>PS.003F07  - Euro Consult (COO 6)</v>
      </c>
      <c r="E21" s="4117">
        <f>'Schedule B'!E34</f>
        <v>0</v>
      </c>
      <c r="F21" s="4248">
        <f>'Schedule B'!F34</f>
        <v>182184.38</v>
      </c>
      <c r="G21" s="4249">
        <f t="shared" ref="G21:G22" si="7">F21+E21</f>
        <v>182184.38</v>
      </c>
      <c r="H21" s="4249">
        <f>'Schedule B'!H34</f>
        <v>182184.38</v>
      </c>
      <c r="I21" s="4117">
        <f>'Schedule B'!I34</f>
        <v>0</v>
      </c>
      <c r="J21" s="4124">
        <f>+'Schedule B'!J34</f>
        <v>0</v>
      </c>
      <c r="K21" s="4117">
        <f t="shared" ref="K21:K22" si="8">SUM(H21:J21)</f>
        <v>182184.38</v>
      </c>
      <c r="L21" s="4117"/>
      <c r="M21" s="4118">
        <f>'Schedule B'!M34</f>
        <v>-53507</v>
      </c>
      <c r="N21" s="4118">
        <f>'Schedule B'!N34</f>
        <v>0</v>
      </c>
      <c r="O21" s="4118"/>
      <c r="P21" s="4118">
        <f>'Schedule B'!O34</f>
        <v>0</v>
      </c>
      <c r="Q21" s="4117">
        <f t="shared" ref="Q21:Q22" si="9">SUM(K21:P21)</f>
        <v>128677.38</v>
      </c>
      <c r="R21" s="4119">
        <f t="shared" ref="R21:R22" si="10">Q21-G21</f>
        <v>-53507</v>
      </c>
      <c r="S21" s="4112"/>
    </row>
    <row r="22" spans="1:49" s="4113" customFormat="1" ht="24.95" customHeight="1" outlineLevel="1">
      <c r="A22" s="4193" t="s">
        <v>3642</v>
      </c>
      <c r="B22" s="4114" t="str">
        <f>$B$24</f>
        <v>Management supervision</v>
      </c>
      <c r="C22" s="4115" t="s">
        <v>3645</v>
      </c>
      <c r="D22" s="4116" t="str">
        <f>'Schedule B'!A35&amp;" - "&amp;'Schedule B'!C35</f>
        <v>PS.003F09 - Euro Consult (COO 27)</v>
      </c>
      <c r="E22" s="4117">
        <f>'Schedule B'!E35</f>
        <v>0</v>
      </c>
      <c r="F22" s="4248">
        <f>'Schedule B'!F35</f>
        <v>54000</v>
      </c>
      <c r="G22" s="4249">
        <f t="shared" si="7"/>
        <v>54000</v>
      </c>
      <c r="H22" s="4249">
        <f>'Schedule B'!H35</f>
        <v>54000</v>
      </c>
      <c r="I22" s="4117">
        <f>'Schedule B'!I35</f>
        <v>0</v>
      </c>
      <c r="J22" s="4124">
        <f>+'Schedule B'!J35</f>
        <v>0</v>
      </c>
      <c r="K22" s="4117">
        <f t="shared" si="8"/>
        <v>54000</v>
      </c>
      <c r="L22" s="4117"/>
      <c r="M22" s="4118">
        <f>'Schedule B'!M35</f>
        <v>0</v>
      </c>
      <c r="N22" s="4118">
        <f>'Schedule B'!N35</f>
        <v>0</v>
      </c>
      <c r="O22" s="4118"/>
      <c r="P22" s="4118">
        <f>'Schedule B'!O35</f>
        <v>0</v>
      </c>
      <c r="Q22" s="4117">
        <f t="shared" si="9"/>
        <v>54000</v>
      </c>
      <c r="R22" s="4119">
        <f t="shared" si="10"/>
        <v>0</v>
      </c>
      <c r="S22" s="4112"/>
    </row>
    <row r="23" spans="1:49" s="4113" customFormat="1" ht="24.95" customHeight="1" outlineLevel="1">
      <c r="A23" s="4900" t="s">
        <v>3642</v>
      </c>
      <c r="B23" s="4910" t="str">
        <f>$B$24</f>
        <v>Management supervision</v>
      </c>
      <c r="C23" s="4903" t="s">
        <v>3645</v>
      </c>
      <c r="D23" s="4904" t="str">
        <f>'Schedule B'!C250</f>
        <v>Remaining budget - Management Supervision</v>
      </c>
      <c r="E23" s="4905">
        <f>'Schedule B'!E250</f>
        <v>17975993.27</v>
      </c>
      <c r="F23" s="4906">
        <f>'Schedule B'!F250</f>
        <v>-18233177.649999999</v>
      </c>
      <c r="G23" s="4907">
        <f>F23+E23</f>
        <v>-257184.37999999896</v>
      </c>
      <c r="H23" s="4907">
        <f>'Schedule B'!H250*0</f>
        <v>0</v>
      </c>
      <c r="I23" s="4905">
        <f>'Schedule B'!I250*0</f>
        <v>0</v>
      </c>
      <c r="J23" s="4905">
        <f>+'Schedule B'!J250*0</f>
        <v>0</v>
      </c>
      <c r="K23" s="4905">
        <f>'Schedule B'!K250</f>
        <v>1.0477378964424133E-9</v>
      </c>
      <c r="L23" s="4905"/>
      <c r="M23" s="4908">
        <f>'Schedule B'!M250</f>
        <v>0</v>
      </c>
      <c r="N23" s="4908">
        <f>'Schedule B'!N250*0</f>
        <v>0</v>
      </c>
      <c r="O23" s="4908"/>
      <c r="P23" s="4908">
        <f>'Schedule B'!O250*0</f>
        <v>0</v>
      </c>
      <c r="Q23" s="4905">
        <f>'Schedule B'!Q250</f>
        <v>0</v>
      </c>
      <c r="R23" s="4909">
        <f>Q23-G23</f>
        <v>257184.37999999896</v>
      </c>
      <c r="S23" s="4112"/>
    </row>
    <row r="24" spans="1:49" s="4043" customFormat="1" ht="35.25" customHeight="1">
      <c r="A24" s="4128" t="s">
        <v>3639</v>
      </c>
      <c r="B24" s="4143" t="str">
        <f>'Level 01'!C5</f>
        <v>Management supervision</v>
      </c>
      <c r="C24" s="4142"/>
      <c r="D24" s="4128" t="s">
        <v>3653</v>
      </c>
      <c r="E24" s="4129">
        <f t="shared" ref="E24:K24" si="11">SUM(E20:E23)</f>
        <v>17975993.27</v>
      </c>
      <c r="F24" s="4129">
        <f t="shared" si="11"/>
        <v>-4937063.2699999977</v>
      </c>
      <c r="G24" s="4129">
        <f t="shared" si="11"/>
        <v>13038930.000000002</v>
      </c>
      <c r="H24" s="4129">
        <f t="shared" si="11"/>
        <v>13296114.380000001</v>
      </c>
      <c r="I24" s="4129">
        <f t="shared" si="11"/>
        <v>1071977</v>
      </c>
      <c r="J24" s="4129">
        <f t="shared" si="11"/>
        <v>0</v>
      </c>
      <c r="K24" s="4129">
        <f t="shared" si="11"/>
        <v>14368091.380000003</v>
      </c>
      <c r="L24" s="4129">
        <v>0</v>
      </c>
      <c r="M24" s="4129">
        <f t="shared" ref="M24:R24" si="12">SUM(M20:M23)</f>
        <v>-53507</v>
      </c>
      <c r="N24" s="4129">
        <f t="shared" si="12"/>
        <v>-49207</v>
      </c>
      <c r="O24" s="4129">
        <f t="shared" si="12"/>
        <v>0</v>
      </c>
      <c r="P24" s="4129">
        <f t="shared" si="12"/>
        <v>0</v>
      </c>
      <c r="Q24" s="4129">
        <f t="shared" si="12"/>
        <v>14265377.380000001</v>
      </c>
      <c r="R24" s="4130">
        <f t="shared" si="12"/>
        <v>1226447.379999999</v>
      </c>
      <c r="S24" s="4041"/>
      <c r="T24" s="4042"/>
      <c r="U24" s="4042"/>
      <c r="V24" s="4042"/>
      <c r="W24" s="4042"/>
      <c r="X24" s="4042"/>
      <c r="Y24" s="4042"/>
      <c r="Z24" s="4042"/>
      <c r="AA24" s="4042"/>
      <c r="AB24" s="4042"/>
      <c r="AC24" s="4042"/>
      <c r="AD24" s="4042"/>
      <c r="AE24" s="4042"/>
      <c r="AF24" s="4042"/>
      <c r="AG24" s="4042"/>
      <c r="AH24" s="4042"/>
      <c r="AI24" s="4042"/>
      <c r="AJ24" s="4042"/>
      <c r="AK24" s="4042"/>
      <c r="AL24" s="4042"/>
      <c r="AM24" s="4042"/>
      <c r="AN24" s="4042"/>
      <c r="AO24" s="4042"/>
      <c r="AP24" s="4042"/>
      <c r="AQ24" s="4042"/>
      <c r="AR24" s="4042"/>
      <c r="AS24" s="4042"/>
      <c r="AT24" s="4042"/>
      <c r="AU24" s="4042"/>
      <c r="AV24" s="4042"/>
      <c r="AW24" s="4042"/>
    </row>
    <row r="25" spans="1:49" ht="24.95" customHeight="1" outlineLevel="1">
      <c r="A25" s="4193" t="s">
        <v>3642</v>
      </c>
      <c r="B25" s="4104" t="s">
        <v>2884</v>
      </c>
      <c r="C25" s="4105" t="s">
        <v>2884</v>
      </c>
      <c r="D25" s="4120" t="s">
        <v>3646</v>
      </c>
      <c r="E25" s="4107"/>
      <c r="F25" s="4108"/>
      <c r="G25" s="4107">
        <f>F25+E25</f>
        <v>0</v>
      </c>
      <c r="H25" s="4107"/>
      <c r="I25" s="4107"/>
      <c r="J25" s="4107"/>
      <c r="K25" s="4107">
        <f>SUM(H25:I25)</f>
        <v>0</v>
      </c>
      <c r="L25" s="4107"/>
      <c r="M25" s="4108"/>
      <c r="N25" s="4108"/>
      <c r="O25" s="4108"/>
      <c r="P25" s="4108"/>
      <c r="Q25" s="4107">
        <f>SUM(K25:P25)</f>
        <v>0</v>
      </c>
      <c r="R25" s="4109">
        <f>Q25-G25</f>
        <v>0</v>
      </c>
    </row>
    <row r="26" spans="1:49" ht="24.95" customHeight="1" outlineLevel="1">
      <c r="A26" s="4900" t="s">
        <v>3642</v>
      </c>
      <c r="B26" s="4901" t="s">
        <v>2884</v>
      </c>
      <c r="C26" s="4895" t="s">
        <v>2884</v>
      </c>
      <c r="D26" s="4896" t="str">
        <f>'Schedule B'!C251</f>
        <v>Remaining budget - Commercial Management</v>
      </c>
      <c r="E26" s="4897">
        <f>'Schedule B'!E251</f>
        <v>1198399.55</v>
      </c>
      <c r="F26" s="4898">
        <f>'Schedule B'!F251</f>
        <v>-1198399.55</v>
      </c>
      <c r="G26" s="4897">
        <f>F26+E26</f>
        <v>0</v>
      </c>
      <c r="H26" s="4897">
        <f>'Schedule B'!H251*0</f>
        <v>0</v>
      </c>
      <c r="I26" s="4897">
        <f>'Schedule B'!I251</f>
        <v>0</v>
      </c>
      <c r="J26" s="4897"/>
      <c r="K26" s="4897">
        <f>SUM(H26:I26)</f>
        <v>0</v>
      </c>
      <c r="L26" s="4897"/>
      <c r="M26" s="4898">
        <f>'Schedule B'!M251</f>
        <v>0</v>
      </c>
      <c r="N26" s="4898"/>
      <c r="O26" s="4898"/>
      <c r="P26" s="4898">
        <f>'Schedule B'!O251</f>
        <v>0</v>
      </c>
      <c r="Q26" s="4897">
        <f>'Schedule B'!Q251</f>
        <v>0</v>
      </c>
      <c r="R26" s="4899">
        <f>Q26-G26</f>
        <v>0</v>
      </c>
    </row>
    <row r="27" spans="1:49" s="4043" customFormat="1" ht="35.25" customHeight="1">
      <c r="A27" s="4128" t="s">
        <v>3639</v>
      </c>
      <c r="B27" s="4143" t="str">
        <f>'Level 01'!D5</f>
        <v>Commercial Management</v>
      </c>
      <c r="C27" s="4142"/>
      <c r="D27" s="4128" t="s">
        <v>3654</v>
      </c>
      <c r="E27" s="4129">
        <f>SUM(E25:E26)</f>
        <v>1198399.55</v>
      </c>
      <c r="F27" s="4129">
        <f t="shared" ref="F27:R27" si="13">SUM(F25:F26)</f>
        <v>-1198399.55</v>
      </c>
      <c r="G27" s="4129">
        <f t="shared" si="13"/>
        <v>0</v>
      </c>
      <c r="H27" s="4129">
        <f t="shared" si="13"/>
        <v>0</v>
      </c>
      <c r="I27" s="4129">
        <f t="shared" si="13"/>
        <v>0</v>
      </c>
      <c r="J27" s="4129">
        <f t="shared" si="13"/>
        <v>0</v>
      </c>
      <c r="K27" s="4129">
        <f t="shared" si="13"/>
        <v>0</v>
      </c>
      <c r="L27" s="4129">
        <v>0</v>
      </c>
      <c r="M27" s="4129">
        <f t="shared" si="13"/>
        <v>0</v>
      </c>
      <c r="N27" s="4129">
        <f t="shared" si="13"/>
        <v>0</v>
      </c>
      <c r="O27" s="4129">
        <f t="shared" si="13"/>
        <v>0</v>
      </c>
      <c r="P27" s="4129">
        <f t="shared" si="13"/>
        <v>0</v>
      </c>
      <c r="Q27" s="4129">
        <f t="shared" si="13"/>
        <v>0</v>
      </c>
      <c r="R27" s="4130">
        <f t="shared" si="13"/>
        <v>0</v>
      </c>
      <c r="S27" s="4041"/>
      <c r="T27" s="4042"/>
      <c r="U27" s="4042"/>
      <c r="V27" s="4042"/>
      <c r="W27" s="4042"/>
      <c r="X27" s="4042"/>
      <c r="Y27" s="4042"/>
      <c r="Z27" s="4042"/>
      <c r="AA27" s="4042"/>
      <c r="AB27" s="4042"/>
      <c r="AC27" s="4042"/>
      <c r="AD27" s="4042"/>
      <c r="AE27" s="4042"/>
      <c r="AF27" s="4042"/>
      <c r="AG27" s="4042"/>
      <c r="AH27" s="4042"/>
      <c r="AI27" s="4042"/>
      <c r="AJ27" s="4042"/>
      <c r="AK27" s="4042"/>
      <c r="AL27" s="4042"/>
      <c r="AM27" s="4042"/>
      <c r="AN27" s="4042"/>
      <c r="AO27" s="4042"/>
      <c r="AP27" s="4042"/>
      <c r="AQ27" s="4042"/>
      <c r="AR27" s="4042"/>
      <c r="AS27" s="4042"/>
      <c r="AT27" s="4042"/>
      <c r="AU27" s="4042"/>
      <c r="AV27" s="4042"/>
      <c r="AW27" s="4042"/>
    </row>
    <row r="28" spans="1:49" ht="24.95" customHeight="1" outlineLevel="1">
      <c r="A28" s="4193" t="s">
        <v>3642</v>
      </c>
      <c r="B28" s="4104" t="str">
        <f>$B$31</f>
        <v>Early Works Constructions</v>
      </c>
      <c r="C28" s="4105" t="s">
        <v>3649</v>
      </c>
      <c r="D28" s="4106" t="str">
        <f>'Schedule B'!C69</f>
        <v>SOI TB Ground Improvement Works 2210224</v>
      </c>
      <c r="E28" s="4107">
        <f>'Schedule B'!E69</f>
        <v>2799717</v>
      </c>
      <c r="F28" s="4108">
        <f>'Schedule B'!F69</f>
        <v>0</v>
      </c>
      <c r="G28" s="4107">
        <f>F28+E28</f>
        <v>2799717</v>
      </c>
      <c r="H28" s="4107">
        <f>'Schedule B'!H69</f>
        <v>2799717</v>
      </c>
      <c r="I28" s="4107">
        <f>'Schedule B'!I69</f>
        <v>0</v>
      </c>
      <c r="J28" s="4124">
        <f>+'Schedule B'!J69</f>
        <v>0</v>
      </c>
      <c r="K28" s="4107">
        <f>SUM(H28:I28)</f>
        <v>2799717</v>
      </c>
      <c r="L28" s="4107"/>
      <c r="M28" s="4108">
        <f>'Schedule B'!M69</f>
        <v>0</v>
      </c>
      <c r="N28" s="4108">
        <f>'Schedule B'!N69</f>
        <v>0</v>
      </c>
      <c r="O28" s="4108"/>
      <c r="P28" s="4121">
        <f>'Schedule B'!O69</f>
        <v>-500000</v>
      </c>
      <c r="Q28" s="4107">
        <f>SUM(K28:P28)</f>
        <v>2299717</v>
      </c>
      <c r="R28" s="4122">
        <f>Q28-G28</f>
        <v>-500000</v>
      </c>
    </row>
    <row r="29" spans="1:49" ht="24.95" customHeight="1" outlineLevel="1">
      <c r="A29" s="4193" t="s">
        <v>3642</v>
      </c>
      <c r="B29" s="4104" t="str">
        <f>$B$31</f>
        <v>Early Works Constructions</v>
      </c>
      <c r="C29" s="4105" t="s">
        <v>3649</v>
      </c>
      <c r="D29" s="4106" t="str">
        <f>'Schedule B'!C70</f>
        <v>SOI TB Ground Improvement Works 2210224 
PROVISIONAL SUMS</v>
      </c>
      <c r="E29" s="4107">
        <f>'Schedule B'!E70</f>
        <v>282972</v>
      </c>
      <c r="F29" s="4108">
        <f>'Schedule B'!F70</f>
        <v>0</v>
      </c>
      <c r="G29" s="4107">
        <f>F29+E29</f>
        <v>282972</v>
      </c>
      <c r="H29" s="4107">
        <f>'Schedule B'!H70</f>
        <v>282972</v>
      </c>
      <c r="I29" s="4107">
        <f>'Schedule B'!I70</f>
        <v>0</v>
      </c>
      <c r="J29" s="4124">
        <f>+'Schedule B'!J70</f>
        <v>0</v>
      </c>
      <c r="K29" s="4107">
        <f>SUM(H29:I29)</f>
        <v>282972</v>
      </c>
      <c r="L29" s="4107"/>
      <c r="M29" s="4108">
        <f>'Schedule B'!M70</f>
        <v>0</v>
      </c>
      <c r="N29" s="4108">
        <f>'Schedule B'!N70</f>
        <v>0</v>
      </c>
      <c r="O29" s="4108"/>
      <c r="P29" s="4121">
        <f>'Schedule B'!O70</f>
        <v>-282972</v>
      </c>
      <c r="Q29" s="4107">
        <f>SUM(K29:P29)</f>
        <v>0</v>
      </c>
      <c r="R29" s="4122">
        <f>Q29-G29</f>
        <v>-282972</v>
      </c>
    </row>
    <row r="30" spans="1:49" s="4127" customFormat="1" ht="24.95" customHeight="1" outlineLevel="1">
      <c r="A30" s="4194" t="s">
        <v>3642</v>
      </c>
      <c r="B30" s="4104" t="str">
        <f>$B$125</f>
        <v>Construction Works</v>
      </c>
      <c r="C30" s="4105" t="s">
        <v>3648</v>
      </c>
      <c r="D30" s="4123" t="str">
        <f>'Schedule B'!C71</f>
        <v>Green Business Certification Inc.2220038</v>
      </c>
      <c r="E30" s="4124">
        <f>'Schedule B'!E71</f>
        <v>4500</v>
      </c>
      <c r="F30" s="4124">
        <f>'Schedule B'!F71</f>
        <v>18594.490000000002</v>
      </c>
      <c r="G30" s="4108">
        <f>F30+E30</f>
        <v>23094.49</v>
      </c>
      <c r="H30" s="4124">
        <f>'Schedule B'!H71</f>
        <v>23094.49</v>
      </c>
      <c r="I30" s="4124">
        <f>'Schedule B'!I71</f>
        <v>-509.48</v>
      </c>
      <c r="J30" s="4124">
        <f>+'Schedule B'!J71</f>
        <v>0</v>
      </c>
      <c r="K30" s="4125">
        <f>SUM(H30:J30)</f>
        <v>22585.010000000002</v>
      </c>
      <c r="L30" s="4125"/>
      <c r="M30" s="4124">
        <f>'Schedule B'!M71</f>
        <v>0</v>
      </c>
      <c r="N30" s="4124">
        <f>'Schedule B'!N71</f>
        <v>0</v>
      </c>
      <c r="O30" s="4124"/>
      <c r="P30" s="4124">
        <f>'Schedule B'!O71</f>
        <v>0</v>
      </c>
      <c r="Q30" s="4108">
        <f>SUM(K30:P30)</f>
        <v>22585.010000000002</v>
      </c>
      <c r="R30" s="4109">
        <f>Q30-G30</f>
        <v>-509.47999999999956</v>
      </c>
      <c r="S30" s="4126"/>
    </row>
    <row r="31" spans="1:49" s="4043" customFormat="1" ht="35.25" customHeight="1">
      <c r="A31" s="4128" t="s">
        <v>3639</v>
      </c>
      <c r="B31" s="4143" t="str">
        <f>'Level 01'!E5</f>
        <v>Early Works Constructions</v>
      </c>
      <c r="C31" s="4142"/>
      <c r="D31" s="4128" t="s">
        <v>3655</v>
      </c>
      <c r="E31" s="4129">
        <f>SUM(E28:E30)</f>
        <v>3087189</v>
      </c>
      <c r="F31" s="4129">
        <f t="shared" ref="F31:R31" si="14">SUM(F28:F30)</f>
        <v>18594.490000000002</v>
      </c>
      <c r="G31" s="4129">
        <f t="shared" si="14"/>
        <v>3105783.49</v>
      </c>
      <c r="H31" s="4129">
        <f t="shared" si="14"/>
        <v>3105783.49</v>
      </c>
      <c r="I31" s="4129">
        <f t="shared" si="14"/>
        <v>-509.48</v>
      </c>
      <c r="J31" s="4129">
        <f t="shared" si="14"/>
        <v>0</v>
      </c>
      <c r="K31" s="4129">
        <f t="shared" si="14"/>
        <v>3105274.01</v>
      </c>
      <c r="L31" s="4129">
        <f t="shared" si="14"/>
        <v>0</v>
      </c>
      <c r="M31" s="4129">
        <f t="shared" si="14"/>
        <v>0</v>
      </c>
      <c r="N31" s="4129">
        <f t="shared" si="14"/>
        <v>0</v>
      </c>
      <c r="O31" s="4129">
        <f t="shared" si="14"/>
        <v>0</v>
      </c>
      <c r="P31" s="4129">
        <f t="shared" si="14"/>
        <v>-782972</v>
      </c>
      <c r="Q31" s="4129">
        <f t="shared" si="14"/>
        <v>2322302.0099999998</v>
      </c>
      <c r="R31" s="4129">
        <f t="shared" si="14"/>
        <v>-783481.48</v>
      </c>
      <c r="S31" s="4041"/>
      <c r="T31" s="4042"/>
      <c r="U31" s="4042"/>
      <c r="V31" s="4042"/>
      <c r="W31" s="4042"/>
      <c r="X31" s="4042"/>
      <c r="Y31" s="4042"/>
      <c r="Z31" s="4042"/>
      <c r="AA31" s="4042"/>
      <c r="AB31" s="4042"/>
      <c r="AC31" s="4042"/>
      <c r="AD31" s="4042"/>
      <c r="AE31" s="4042"/>
      <c r="AF31" s="4042"/>
      <c r="AG31" s="4042"/>
      <c r="AH31" s="4042"/>
      <c r="AI31" s="4042"/>
      <c r="AJ31" s="4042"/>
      <c r="AK31" s="4042"/>
      <c r="AL31" s="4042"/>
      <c r="AM31" s="4042"/>
      <c r="AN31" s="4042"/>
      <c r="AO31" s="4042"/>
      <c r="AP31" s="4042"/>
      <c r="AQ31" s="4042"/>
      <c r="AR31" s="4042"/>
      <c r="AS31" s="4042"/>
      <c r="AT31" s="4042"/>
      <c r="AU31" s="4042"/>
      <c r="AV31" s="4042"/>
      <c r="AW31" s="4042"/>
    </row>
    <row r="32" spans="1:49" ht="24.95" customHeight="1" outlineLevel="1">
      <c r="A32" s="4193" t="s">
        <v>3642</v>
      </c>
      <c r="B32" s="4104" t="str">
        <f>$B$125</f>
        <v>Construction Works</v>
      </c>
      <c r="C32" s="4105" t="s">
        <v>3648</v>
      </c>
      <c r="D32" s="4106" t="str">
        <f>'Schedule B'!C77</f>
        <v>NSCC - Triple Bay Piling (AYC only) 2220032</v>
      </c>
      <c r="E32" s="4107">
        <f>'Schedule B'!E77</f>
        <v>18698534</v>
      </c>
      <c r="F32" s="4108">
        <f>'Schedule B'!F77</f>
        <v>0</v>
      </c>
      <c r="G32" s="4107">
        <f>F32+E32</f>
        <v>18698534</v>
      </c>
      <c r="H32" s="4107">
        <f>'Schedule B'!H77</f>
        <v>18698534</v>
      </c>
      <c r="I32" s="4107">
        <f>'Schedule B'!I77</f>
        <v>-2240152.4900000002</v>
      </c>
      <c r="J32" s="4124">
        <f>+'Schedule B'!J77</f>
        <v>0</v>
      </c>
      <c r="K32" s="4125">
        <f>SUM(H32:J32)</f>
        <v>16458381.51</v>
      </c>
      <c r="L32" s="4125"/>
      <c r="M32" s="4108">
        <f>'Schedule B'!M77</f>
        <v>0</v>
      </c>
      <c r="N32" s="4108">
        <f>'Schedule B'!N77</f>
        <v>0</v>
      </c>
      <c r="O32" s="4108"/>
      <c r="P32" s="4108">
        <f>'Schedule B'!O77</f>
        <v>0</v>
      </c>
      <c r="Q32" s="4107">
        <f>SUM(K32:P32)</f>
        <v>16458381.51</v>
      </c>
      <c r="R32" s="4122">
        <f>Q32-G32</f>
        <v>-2240152.4900000002</v>
      </c>
    </row>
    <row r="33" spans="1:19" ht="24.95" customHeight="1" outlineLevel="1">
      <c r="A33" s="4193" t="s">
        <v>3642</v>
      </c>
      <c r="B33" s="4104" t="str">
        <f>$B$125</f>
        <v>Construction Works</v>
      </c>
      <c r="C33" s="4105" t="s">
        <v>3648</v>
      </c>
      <c r="D33" s="4106" t="s">
        <v>3650</v>
      </c>
      <c r="E33" s="4107">
        <f>'Schedule B'!E79</f>
        <v>0</v>
      </c>
      <c r="F33" s="4108">
        <f>'Schedule B'!F79</f>
        <v>260955414.40000001</v>
      </c>
      <c r="G33" s="4107">
        <f>F33+E33</f>
        <v>260955414.40000001</v>
      </c>
      <c r="H33" s="4107">
        <f>'Schedule B'!H79</f>
        <v>260955414.40000001</v>
      </c>
      <c r="I33" s="4107">
        <f>'Schedule B'!I79</f>
        <v>-91015507.700000003</v>
      </c>
      <c r="J33" s="4125">
        <f>+'Schedule B'!J79</f>
        <v>0</v>
      </c>
      <c r="K33" s="4125">
        <f>SUM(H33:J33)</f>
        <v>169939906.69999999</v>
      </c>
      <c r="L33" s="4125"/>
      <c r="M33" s="4121">
        <f>'Schedule B'!M79</f>
        <v>-19683045.699999999</v>
      </c>
      <c r="N33" s="4108">
        <f>'Schedule B'!N79</f>
        <v>-1065566.44</v>
      </c>
      <c r="O33" s="4108"/>
      <c r="P33" s="4121">
        <f>'Schedule B'!O79</f>
        <v>21798123.263043489</v>
      </c>
      <c r="Q33" s="4107">
        <f>SUM(K33:P33)</f>
        <v>170989417.8230435</v>
      </c>
      <c r="R33" s="4109">
        <f>Q33-G33</f>
        <v>-89965996.576956511</v>
      </c>
    </row>
    <row r="34" spans="1:19" ht="8.25" customHeight="1" outlineLevel="1">
      <c r="A34" s="4193"/>
      <c r="B34" s="4104"/>
      <c r="C34" s="4105"/>
      <c r="D34" s="4106"/>
      <c r="E34" s="4107"/>
      <c r="F34" s="4108"/>
      <c r="G34" s="4107"/>
      <c r="H34" s="4107"/>
      <c r="I34" s="4107"/>
      <c r="J34" s="4125"/>
      <c r="K34" s="4125"/>
      <c r="L34" s="4125"/>
      <c r="M34" s="4121"/>
      <c r="N34" s="4108"/>
      <c r="O34" s="4108"/>
      <c r="P34" s="4121"/>
      <c r="Q34" s="4107"/>
      <c r="R34" s="4109"/>
    </row>
    <row r="35" spans="1:19" s="4164" customFormat="1" ht="24.95" customHeight="1" outlineLevel="1">
      <c r="A35" s="4195" t="s">
        <v>3642</v>
      </c>
      <c r="B35" s="4155" t="str">
        <f t="shared" ref="B35:B62" si="15">$B$125</f>
        <v>Construction Works</v>
      </c>
      <c r="C35" s="4156" t="s">
        <v>4112</v>
      </c>
      <c r="D35" s="4157" t="str">
        <f>+'Schedule B'!C81</f>
        <v>Prelims - Mohammad Alharbi Medical Company</v>
      </c>
      <c r="E35" s="4158">
        <f>'Schedule B'!E81</f>
        <v>0</v>
      </c>
      <c r="F35" s="4159">
        <f>'Schedule B'!F81</f>
        <v>134895.4</v>
      </c>
      <c r="G35" s="4158">
        <f t="shared" ref="G35:G61" si="16">F35+E35</f>
        <v>134895.4</v>
      </c>
      <c r="H35" s="4158">
        <f>'Schedule B'!H81</f>
        <v>134895.4</v>
      </c>
      <c r="I35" s="4158">
        <f>'Schedule B'!I81</f>
        <v>0</v>
      </c>
      <c r="J35" s="4160">
        <v>0</v>
      </c>
      <c r="K35" s="4160">
        <f t="shared" ref="K35:K48" si="17">SUM(H35:J35)</f>
        <v>134895.4</v>
      </c>
      <c r="L35" s="4160"/>
      <c r="M35" s="4161">
        <f>'Schedule B'!M81</f>
        <v>0</v>
      </c>
      <c r="N35" s="4159">
        <f>'Schedule B'!N81</f>
        <v>0</v>
      </c>
      <c r="O35" s="4159"/>
      <c r="P35" s="4161">
        <f>'Schedule B'!O81</f>
        <v>0</v>
      </c>
      <c r="Q35" s="4158">
        <f t="shared" ref="Q35:Q62" si="18">SUM(K35:P35)</f>
        <v>134895.4</v>
      </c>
      <c r="R35" s="4162">
        <f t="shared" ref="R35:R62" si="19">Q35-G35</f>
        <v>0</v>
      </c>
      <c r="S35" s="4163"/>
    </row>
    <row r="36" spans="1:19" s="4164" customFormat="1" ht="24.95" customHeight="1" outlineLevel="1">
      <c r="A36" s="4195" t="s">
        <v>3642</v>
      </c>
      <c r="B36" s="4155" t="str">
        <f t="shared" si="15"/>
        <v>Construction Works</v>
      </c>
      <c r="C36" s="4156" t="s">
        <v>4112</v>
      </c>
      <c r="D36" s="4157" t="str">
        <f>+'Schedule B'!C82</f>
        <v>Prelims - Al Anan Travels and Tours</v>
      </c>
      <c r="E36" s="4158">
        <f>'Schedule B'!E82</f>
        <v>0</v>
      </c>
      <c r="F36" s="4159">
        <f>'Schedule B'!F82</f>
        <v>103373.74</v>
      </c>
      <c r="G36" s="4158">
        <f t="shared" si="16"/>
        <v>103373.74</v>
      </c>
      <c r="H36" s="4158">
        <f>'Schedule B'!H82</f>
        <v>103373.74</v>
      </c>
      <c r="I36" s="4158">
        <f>'Schedule B'!I82</f>
        <v>0</v>
      </c>
      <c r="J36" s="4160">
        <v>0</v>
      </c>
      <c r="K36" s="4160">
        <f t="shared" si="17"/>
        <v>103373.74</v>
      </c>
      <c r="L36" s="4160"/>
      <c r="M36" s="4161">
        <f>'Schedule B'!M82</f>
        <v>0</v>
      </c>
      <c r="N36" s="4159">
        <f>'Schedule B'!N82</f>
        <v>0</v>
      </c>
      <c r="O36" s="4159"/>
      <c r="P36" s="4161">
        <f>'Schedule B'!O82</f>
        <v>0</v>
      </c>
      <c r="Q36" s="4158">
        <f t="shared" si="18"/>
        <v>103373.74</v>
      </c>
      <c r="R36" s="4162">
        <f t="shared" si="19"/>
        <v>0</v>
      </c>
      <c r="S36" s="4163"/>
    </row>
    <row r="37" spans="1:19" s="4164" customFormat="1" ht="24.95" customHeight="1" outlineLevel="1">
      <c r="A37" s="4195" t="s">
        <v>3642</v>
      </c>
      <c r="B37" s="4155" t="str">
        <f t="shared" si="15"/>
        <v>Construction Works</v>
      </c>
      <c r="C37" s="4156" t="s">
        <v>4112</v>
      </c>
      <c r="D37" s="4157" t="str">
        <f>+'Schedule B'!C83</f>
        <v>Prelims - Al drees Petroleum</v>
      </c>
      <c r="E37" s="4158">
        <f>'Schedule B'!E83</f>
        <v>0</v>
      </c>
      <c r="F37" s="4159">
        <f>'Schedule B'!F83</f>
        <v>34782.61</v>
      </c>
      <c r="G37" s="4158">
        <f t="shared" si="16"/>
        <v>34782.61</v>
      </c>
      <c r="H37" s="4158">
        <f>'Schedule B'!H83</f>
        <v>34782.61</v>
      </c>
      <c r="I37" s="4158">
        <f>'Schedule B'!I83</f>
        <v>0</v>
      </c>
      <c r="J37" s="4160">
        <v>0</v>
      </c>
      <c r="K37" s="4160">
        <f t="shared" si="17"/>
        <v>34782.61</v>
      </c>
      <c r="L37" s="4160"/>
      <c r="M37" s="4161">
        <f>'Schedule B'!M83</f>
        <v>0</v>
      </c>
      <c r="N37" s="4159">
        <f>'Schedule B'!N83</f>
        <v>0</v>
      </c>
      <c r="O37" s="4159"/>
      <c r="P37" s="4161">
        <f>'Schedule B'!O83</f>
        <v>0</v>
      </c>
      <c r="Q37" s="4158">
        <f t="shared" si="18"/>
        <v>34782.61</v>
      </c>
      <c r="R37" s="4162">
        <f t="shared" si="19"/>
        <v>0</v>
      </c>
      <c r="S37" s="4163"/>
    </row>
    <row r="38" spans="1:19" s="4164" customFormat="1" ht="24.95" customHeight="1" outlineLevel="1">
      <c r="A38" s="4195" t="s">
        <v>3642</v>
      </c>
      <c r="B38" s="4155" t="str">
        <f t="shared" si="15"/>
        <v>Construction Works</v>
      </c>
      <c r="C38" s="4156" t="s">
        <v>4112</v>
      </c>
      <c r="D38" s="4157" t="str">
        <f>+'Schedule B'!C84</f>
        <v>Prelims - Salim Hamed Cleaning</v>
      </c>
      <c r="E38" s="4158">
        <f>'Schedule B'!E84</f>
        <v>0</v>
      </c>
      <c r="F38" s="4159">
        <f>'Schedule B'!F84</f>
        <v>31306.1</v>
      </c>
      <c r="G38" s="4158">
        <f t="shared" si="16"/>
        <v>31306.1</v>
      </c>
      <c r="H38" s="4158">
        <f>'Schedule B'!H84</f>
        <v>31306.1</v>
      </c>
      <c r="I38" s="4158">
        <f>'Schedule B'!I84</f>
        <v>0</v>
      </c>
      <c r="J38" s="4160">
        <v>0</v>
      </c>
      <c r="K38" s="4160">
        <f t="shared" si="17"/>
        <v>31306.1</v>
      </c>
      <c r="L38" s="4160"/>
      <c r="M38" s="4161">
        <f>'Schedule B'!M84</f>
        <v>0</v>
      </c>
      <c r="N38" s="4159">
        <f>'Schedule B'!N84</f>
        <v>0</v>
      </c>
      <c r="O38" s="4159"/>
      <c r="P38" s="4161">
        <f>'Schedule B'!O84</f>
        <v>0</v>
      </c>
      <c r="Q38" s="4158">
        <f t="shared" si="18"/>
        <v>31306.1</v>
      </c>
      <c r="R38" s="4162">
        <f t="shared" si="19"/>
        <v>0</v>
      </c>
      <c r="S38" s="4163"/>
    </row>
    <row r="39" spans="1:19" s="4164" customFormat="1" ht="24.95" customHeight="1" outlineLevel="1">
      <c r="A39" s="4195" t="s">
        <v>3642</v>
      </c>
      <c r="B39" s="4155" t="str">
        <f t="shared" si="15"/>
        <v>Construction Works</v>
      </c>
      <c r="C39" s="4156" t="s">
        <v>4112</v>
      </c>
      <c r="D39" s="4157" t="str">
        <f>+'Schedule B'!C85</f>
        <v>Prelims - Clean Coast for Contracting</v>
      </c>
      <c r="E39" s="4158">
        <f>'Schedule B'!E85</f>
        <v>0</v>
      </c>
      <c r="F39" s="4159">
        <f>'Schedule B'!F85</f>
        <v>252583.81</v>
      </c>
      <c r="G39" s="4158">
        <f t="shared" si="16"/>
        <v>252583.81</v>
      </c>
      <c r="H39" s="4158">
        <f>'Schedule B'!H85</f>
        <v>252583.81</v>
      </c>
      <c r="I39" s="4158">
        <f>'Schedule B'!I85</f>
        <v>0</v>
      </c>
      <c r="J39" s="4160">
        <v>0</v>
      </c>
      <c r="K39" s="4160">
        <f t="shared" si="17"/>
        <v>252583.81</v>
      </c>
      <c r="L39" s="4160"/>
      <c r="M39" s="4161">
        <f>'Schedule B'!M85</f>
        <v>0</v>
      </c>
      <c r="N39" s="4159">
        <f>'Schedule B'!N85</f>
        <v>0</v>
      </c>
      <c r="O39" s="4159"/>
      <c r="P39" s="4161">
        <f>'Schedule B'!O85</f>
        <v>0</v>
      </c>
      <c r="Q39" s="4158">
        <f t="shared" si="18"/>
        <v>252583.81</v>
      </c>
      <c r="R39" s="4162">
        <f t="shared" si="19"/>
        <v>0</v>
      </c>
      <c r="S39" s="4163"/>
    </row>
    <row r="40" spans="1:19" s="4164" customFormat="1" ht="24.95" customHeight="1" outlineLevel="1">
      <c r="A40" s="4195" t="s">
        <v>3642</v>
      </c>
      <c r="B40" s="4155" t="str">
        <f t="shared" si="15"/>
        <v>Construction Works</v>
      </c>
      <c r="C40" s="4156" t="s">
        <v>4112</v>
      </c>
      <c r="D40" s="4157" t="str">
        <f>+'Schedule B'!C86</f>
        <v>Prelims - Sami General Contracting</v>
      </c>
      <c r="E40" s="4158">
        <f>'Schedule B'!E86</f>
        <v>0</v>
      </c>
      <c r="F40" s="4159">
        <f>'Schedule B'!F86</f>
        <v>273350</v>
      </c>
      <c r="G40" s="4158">
        <f t="shared" si="16"/>
        <v>273350</v>
      </c>
      <c r="H40" s="4158">
        <f>'Schedule B'!H86</f>
        <v>273350</v>
      </c>
      <c r="I40" s="4158">
        <f>'Schedule B'!I86</f>
        <v>0</v>
      </c>
      <c r="J40" s="4160">
        <v>0</v>
      </c>
      <c r="K40" s="4160">
        <f t="shared" si="17"/>
        <v>273350</v>
      </c>
      <c r="L40" s="4160"/>
      <c r="M40" s="4161">
        <f>'Schedule B'!M86</f>
        <v>0</v>
      </c>
      <c r="N40" s="4159">
        <f>'Schedule B'!N86</f>
        <v>0</v>
      </c>
      <c r="O40" s="4159"/>
      <c r="P40" s="4161">
        <f>'Schedule B'!O86</f>
        <v>0</v>
      </c>
      <c r="Q40" s="4158">
        <f t="shared" si="18"/>
        <v>273350</v>
      </c>
      <c r="R40" s="4162">
        <f t="shared" si="19"/>
        <v>0</v>
      </c>
      <c r="S40" s="4163"/>
    </row>
    <row r="41" spans="1:19" s="4164" customFormat="1" ht="24.95" customHeight="1" outlineLevel="1">
      <c r="A41" s="4195" t="s">
        <v>3642</v>
      </c>
      <c r="B41" s="4155" t="str">
        <f t="shared" si="15"/>
        <v>Construction Works</v>
      </c>
      <c r="C41" s="4156" t="s">
        <v>4112</v>
      </c>
      <c r="D41" s="4157" t="str">
        <f>+'Schedule B'!C87</f>
        <v>Prelims - Eastern Horizons Foundation Transportation Comp</v>
      </c>
      <c r="E41" s="4158">
        <f>'Schedule B'!E87</f>
        <v>0</v>
      </c>
      <c r="F41" s="4159">
        <f>'Schedule B'!F87</f>
        <v>14349</v>
      </c>
      <c r="G41" s="4158">
        <f t="shared" si="16"/>
        <v>14349</v>
      </c>
      <c r="H41" s="4158">
        <f>'Schedule B'!H87</f>
        <v>14349</v>
      </c>
      <c r="I41" s="4158">
        <f>'Schedule B'!I87</f>
        <v>0</v>
      </c>
      <c r="J41" s="4160">
        <v>0</v>
      </c>
      <c r="K41" s="4160">
        <f t="shared" si="17"/>
        <v>14349</v>
      </c>
      <c r="L41" s="4160"/>
      <c r="M41" s="4161">
        <f>'Schedule B'!M87</f>
        <v>0</v>
      </c>
      <c r="N41" s="4159">
        <f>'Schedule B'!N87</f>
        <v>0</v>
      </c>
      <c r="O41" s="4159"/>
      <c r="P41" s="4161">
        <f>'Schedule B'!O87</f>
        <v>0</v>
      </c>
      <c r="Q41" s="4158">
        <f t="shared" si="18"/>
        <v>14349</v>
      </c>
      <c r="R41" s="4162">
        <f t="shared" si="19"/>
        <v>0</v>
      </c>
      <c r="S41" s="4163"/>
    </row>
    <row r="42" spans="1:19" s="4164" customFormat="1" ht="24.95" customHeight="1" outlineLevel="1">
      <c r="A42" s="4195" t="s">
        <v>3642</v>
      </c>
      <c r="B42" s="4155" t="str">
        <f t="shared" si="15"/>
        <v>Construction Works</v>
      </c>
      <c r="C42" s="4156" t="s">
        <v>4112</v>
      </c>
      <c r="D42" s="4157" t="str">
        <f>+'Schedule B'!C88</f>
        <v>Prelims - Jak Generation Cont Co LLC</v>
      </c>
      <c r="E42" s="4158">
        <f>'Schedule B'!E88</f>
        <v>0</v>
      </c>
      <c r="F42" s="4159">
        <f>'Schedule B'!F88</f>
        <v>369751.44999999995</v>
      </c>
      <c r="G42" s="4158">
        <f t="shared" si="16"/>
        <v>369751.44999999995</v>
      </c>
      <c r="H42" s="4158">
        <f>'Schedule B'!H88</f>
        <v>369751.44999999995</v>
      </c>
      <c r="I42" s="4158">
        <f>'Schedule B'!I88</f>
        <v>0</v>
      </c>
      <c r="J42" s="4160">
        <v>0</v>
      </c>
      <c r="K42" s="4160">
        <f t="shared" si="17"/>
        <v>369751.44999999995</v>
      </c>
      <c r="L42" s="4160"/>
      <c r="M42" s="4161">
        <f>'Schedule B'!M88</f>
        <v>0</v>
      </c>
      <c r="N42" s="4159">
        <f>'Schedule B'!N88</f>
        <v>0</v>
      </c>
      <c r="O42" s="4159"/>
      <c r="P42" s="4161">
        <f>'Schedule B'!O88</f>
        <v>0</v>
      </c>
      <c r="Q42" s="4158">
        <f t="shared" si="18"/>
        <v>369751.44999999995</v>
      </c>
      <c r="R42" s="4162">
        <f t="shared" si="19"/>
        <v>0</v>
      </c>
      <c r="S42" s="4163"/>
    </row>
    <row r="43" spans="1:19" s="4164" customFormat="1" ht="24.95" customHeight="1" outlineLevel="1">
      <c r="A43" s="4195" t="s">
        <v>3642</v>
      </c>
      <c r="B43" s="4155" t="str">
        <f t="shared" si="15"/>
        <v>Construction Works</v>
      </c>
      <c r="C43" s="4156" t="s">
        <v>4112</v>
      </c>
      <c r="D43" s="4157" t="str">
        <f>+'Schedule B'!C89</f>
        <v>Prelims - Intelligent General Cont Co Equipment</v>
      </c>
      <c r="E43" s="4158">
        <f>'Schedule B'!E89</f>
        <v>0</v>
      </c>
      <c r="F43" s="4159">
        <f>'Schedule B'!F89</f>
        <v>758870.16999999993</v>
      </c>
      <c r="G43" s="4158">
        <f t="shared" si="16"/>
        <v>758870.16999999993</v>
      </c>
      <c r="H43" s="4158">
        <f>'Schedule B'!H89</f>
        <v>758870.16999999993</v>
      </c>
      <c r="I43" s="4158">
        <f>'Schedule B'!I89</f>
        <v>0</v>
      </c>
      <c r="J43" s="4160">
        <v>0</v>
      </c>
      <c r="K43" s="4160">
        <f t="shared" si="17"/>
        <v>758870.16999999993</v>
      </c>
      <c r="L43" s="4160"/>
      <c r="M43" s="4161">
        <f>'Schedule B'!M89</f>
        <v>0</v>
      </c>
      <c r="N43" s="4159">
        <f>'Schedule B'!N89</f>
        <v>0</v>
      </c>
      <c r="O43" s="4159"/>
      <c r="P43" s="4161">
        <f>'Schedule B'!O89</f>
        <v>0</v>
      </c>
      <c r="Q43" s="4158">
        <f t="shared" si="18"/>
        <v>758870.16999999993</v>
      </c>
      <c r="R43" s="4162">
        <f t="shared" si="19"/>
        <v>0</v>
      </c>
      <c r="S43" s="4163"/>
    </row>
    <row r="44" spans="1:19" s="4164" customFormat="1" ht="24.95" customHeight="1" outlineLevel="1">
      <c r="A44" s="4195" t="s">
        <v>3642</v>
      </c>
      <c r="B44" s="4155" t="str">
        <f t="shared" si="15"/>
        <v>Construction Works</v>
      </c>
      <c r="C44" s="4156" t="s">
        <v>4112</v>
      </c>
      <c r="D44" s="4157" t="str">
        <f>+'Schedule B'!C90</f>
        <v>Prelims - Al Rai Modern Water Factory</v>
      </c>
      <c r="E44" s="4158">
        <f>'Schedule B'!E90</f>
        <v>0</v>
      </c>
      <c r="F44" s="4159">
        <f>'Schedule B'!F90</f>
        <v>318320.5</v>
      </c>
      <c r="G44" s="4158">
        <f t="shared" si="16"/>
        <v>318320.5</v>
      </c>
      <c r="H44" s="4158">
        <f>'Schedule B'!H90</f>
        <v>318320.5</v>
      </c>
      <c r="I44" s="4158">
        <f>'Schedule B'!I90</f>
        <v>0</v>
      </c>
      <c r="J44" s="4160">
        <v>0</v>
      </c>
      <c r="K44" s="4160">
        <f t="shared" si="17"/>
        <v>318320.5</v>
      </c>
      <c r="L44" s="4160"/>
      <c r="M44" s="4161">
        <f>'Schedule B'!M90</f>
        <v>0</v>
      </c>
      <c r="N44" s="4159">
        <f>'Schedule B'!N90</f>
        <v>0</v>
      </c>
      <c r="O44" s="4159"/>
      <c r="P44" s="4161">
        <f>'Schedule B'!O90</f>
        <v>0</v>
      </c>
      <c r="Q44" s="4158">
        <f t="shared" si="18"/>
        <v>318320.5</v>
      </c>
      <c r="R44" s="4162">
        <f t="shared" si="19"/>
        <v>0</v>
      </c>
      <c r="S44" s="4163"/>
    </row>
    <row r="45" spans="1:19" s="4164" customFormat="1" ht="24.95" customHeight="1" outlineLevel="1">
      <c r="A45" s="4195" t="s">
        <v>3642</v>
      </c>
      <c r="B45" s="4155" t="str">
        <f t="shared" si="15"/>
        <v>Construction Works</v>
      </c>
      <c r="C45" s="4156" t="s">
        <v>4112</v>
      </c>
      <c r="D45" s="4157" t="str">
        <f>+'Schedule B'!C91</f>
        <v>Prelims - NEXTWARE INTERNATIONAL SUPPLY</v>
      </c>
      <c r="E45" s="4158">
        <f>'Schedule B'!E91</f>
        <v>0</v>
      </c>
      <c r="F45" s="4159">
        <f>'Schedule B'!F91</f>
        <v>1845</v>
      </c>
      <c r="G45" s="4158">
        <f t="shared" si="16"/>
        <v>1845</v>
      </c>
      <c r="H45" s="4158">
        <f>'Schedule B'!H91</f>
        <v>1845</v>
      </c>
      <c r="I45" s="4158">
        <f>'Schedule B'!I91</f>
        <v>0</v>
      </c>
      <c r="J45" s="4160">
        <v>0</v>
      </c>
      <c r="K45" s="4160">
        <f t="shared" si="17"/>
        <v>1845</v>
      </c>
      <c r="L45" s="4160"/>
      <c r="M45" s="4161">
        <f>'Schedule B'!M91</f>
        <v>0</v>
      </c>
      <c r="N45" s="4159">
        <f>'Schedule B'!N91</f>
        <v>0</v>
      </c>
      <c r="O45" s="4159"/>
      <c r="P45" s="4161">
        <f>'Schedule B'!O91</f>
        <v>0</v>
      </c>
      <c r="Q45" s="4158">
        <f t="shared" si="18"/>
        <v>1845</v>
      </c>
      <c r="R45" s="4162">
        <f t="shared" si="19"/>
        <v>0</v>
      </c>
      <c r="S45" s="4163"/>
    </row>
    <row r="46" spans="1:19" s="4164" customFormat="1" ht="24.95" customHeight="1" outlineLevel="1">
      <c r="A46" s="4195" t="s">
        <v>3642</v>
      </c>
      <c r="B46" s="4155" t="str">
        <f t="shared" si="15"/>
        <v>Construction Works</v>
      </c>
      <c r="C46" s="4156" t="s">
        <v>4112</v>
      </c>
      <c r="D46" s="4157" t="str">
        <f>+'Schedule B'!C92</f>
        <v xml:space="preserve">Prelims - Virtual Projects DMCC </v>
      </c>
      <c r="E46" s="4158">
        <f>'Schedule B'!E92</f>
        <v>0</v>
      </c>
      <c r="F46" s="4159">
        <f>'Schedule B'!F92</f>
        <v>51948.13</v>
      </c>
      <c r="G46" s="4158">
        <f t="shared" si="16"/>
        <v>51948.13</v>
      </c>
      <c r="H46" s="4158">
        <f>'Schedule B'!H92</f>
        <v>51948.13</v>
      </c>
      <c r="I46" s="4158">
        <f>'Schedule B'!I92</f>
        <v>0</v>
      </c>
      <c r="J46" s="4160">
        <v>0</v>
      </c>
      <c r="K46" s="4160">
        <f t="shared" si="17"/>
        <v>51948.13</v>
      </c>
      <c r="L46" s="4160"/>
      <c r="M46" s="4161">
        <f>'Schedule B'!M92</f>
        <v>0</v>
      </c>
      <c r="N46" s="4159">
        <f>'Schedule B'!N92</f>
        <v>0</v>
      </c>
      <c r="O46" s="4159"/>
      <c r="P46" s="4161">
        <f>'Schedule B'!O92</f>
        <v>0</v>
      </c>
      <c r="Q46" s="4158">
        <f t="shared" si="18"/>
        <v>51948.13</v>
      </c>
      <c r="R46" s="4162">
        <f t="shared" si="19"/>
        <v>0</v>
      </c>
      <c r="S46" s="4163"/>
    </row>
    <row r="47" spans="1:19" s="4164" customFormat="1" ht="24.95" customHeight="1" outlineLevel="1">
      <c r="A47" s="4195" t="s">
        <v>3642</v>
      </c>
      <c r="B47" s="4155" t="str">
        <f t="shared" si="15"/>
        <v>Construction Works</v>
      </c>
      <c r="C47" s="4156" t="s">
        <v>4112</v>
      </c>
      <c r="D47" s="4157" t="str">
        <f>+'Schedule B'!C93</f>
        <v>Prelims - Raddad Al adinah</v>
      </c>
      <c r="E47" s="4158">
        <f>'Schedule B'!E93</f>
        <v>0</v>
      </c>
      <c r="F47" s="4159">
        <f>'Schedule B'!F93</f>
        <v>142131.60999999999</v>
      </c>
      <c r="G47" s="4158">
        <f t="shared" si="16"/>
        <v>142131.60999999999</v>
      </c>
      <c r="H47" s="4158">
        <f>'Schedule B'!H93</f>
        <v>142131.60999999999</v>
      </c>
      <c r="I47" s="4158">
        <f>'Schedule B'!I93</f>
        <v>0</v>
      </c>
      <c r="J47" s="4160">
        <v>0</v>
      </c>
      <c r="K47" s="4160">
        <f t="shared" si="17"/>
        <v>142131.60999999999</v>
      </c>
      <c r="L47" s="4160"/>
      <c r="M47" s="4161">
        <f>'Schedule B'!M93</f>
        <v>0</v>
      </c>
      <c r="N47" s="4159">
        <f>'Schedule B'!N93</f>
        <v>0</v>
      </c>
      <c r="O47" s="4159"/>
      <c r="P47" s="4161">
        <f>'Schedule B'!O93</f>
        <v>0</v>
      </c>
      <c r="Q47" s="4158">
        <f t="shared" si="18"/>
        <v>142131.60999999999</v>
      </c>
      <c r="R47" s="4162">
        <f t="shared" si="19"/>
        <v>0</v>
      </c>
      <c r="S47" s="4163"/>
    </row>
    <row r="48" spans="1:19" s="4164" customFormat="1" ht="24.95" customHeight="1" outlineLevel="1">
      <c r="A48" s="4195" t="s">
        <v>3642</v>
      </c>
      <c r="B48" s="4155" t="str">
        <f t="shared" si="15"/>
        <v>Construction Works</v>
      </c>
      <c r="C48" s="4156" t="s">
        <v>4112</v>
      </c>
      <c r="D48" s="4157" t="str">
        <f>+'Schedule B'!C94</f>
        <v>Prelims - Ahmed Bin Salem Bin Dagher</v>
      </c>
      <c r="E48" s="4158">
        <f>'Schedule B'!E94</f>
        <v>0</v>
      </c>
      <c r="F48" s="4159">
        <f>'Schedule B'!F94</f>
        <v>348199.81</v>
      </c>
      <c r="G48" s="4158">
        <f t="shared" si="16"/>
        <v>348199.81</v>
      </c>
      <c r="H48" s="4158">
        <f>'Schedule B'!H94</f>
        <v>348199.81</v>
      </c>
      <c r="I48" s="4158">
        <f>'Schedule B'!I94</f>
        <v>0</v>
      </c>
      <c r="J48" s="4160">
        <v>0</v>
      </c>
      <c r="K48" s="4160">
        <f t="shared" si="17"/>
        <v>348199.81</v>
      </c>
      <c r="L48" s="4160"/>
      <c r="M48" s="4161">
        <f>'Schedule B'!M94</f>
        <v>0</v>
      </c>
      <c r="N48" s="4159">
        <f>'Schedule B'!N94</f>
        <v>0</v>
      </c>
      <c r="O48" s="4159"/>
      <c r="P48" s="4161">
        <f>'Schedule B'!O94</f>
        <v>0</v>
      </c>
      <c r="Q48" s="4158">
        <f t="shared" si="18"/>
        <v>348199.81</v>
      </c>
      <c r="R48" s="4162">
        <f t="shared" si="19"/>
        <v>0</v>
      </c>
      <c r="S48" s="4163"/>
    </row>
    <row r="49" spans="1:19" s="4164" customFormat="1" ht="24.95" customHeight="1" outlineLevel="1">
      <c r="A49" s="4195" t="s">
        <v>3642</v>
      </c>
      <c r="B49" s="4155" t="str">
        <f t="shared" si="15"/>
        <v>Construction Works</v>
      </c>
      <c r="C49" s="4156" t="s">
        <v>4112</v>
      </c>
      <c r="D49" s="4157" t="str">
        <f>+'Schedule B'!C95</f>
        <v>Prelims - Bahamdoon Trading</v>
      </c>
      <c r="E49" s="4158">
        <f>'Schedule B'!E95</f>
        <v>0</v>
      </c>
      <c r="F49" s="4159">
        <f>'Schedule B'!F95</f>
        <v>1535</v>
      </c>
      <c r="G49" s="4158">
        <f t="shared" si="16"/>
        <v>1535</v>
      </c>
      <c r="H49" s="4158">
        <f>'Schedule B'!H95</f>
        <v>1535</v>
      </c>
      <c r="I49" s="4158">
        <f>'Schedule B'!I95</f>
        <v>0</v>
      </c>
      <c r="J49" s="4160">
        <v>0</v>
      </c>
      <c r="K49" s="4160">
        <f t="shared" ref="K49:K61" si="20">SUM(H49:J49)</f>
        <v>1535</v>
      </c>
      <c r="L49" s="4160"/>
      <c r="M49" s="4161">
        <f>'Schedule B'!M95</f>
        <v>0</v>
      </c>
      <c r="N49" s="4159">
        <f>'Schedule B'!N95</f>
        <v>0</v>
      </c>
      <c r="O49" s="4159"/>
      <c r="P49" s="4161">
        <f>'Schedule B'!O95</f>
        <v>0</v>
      </c>
      <c r="Q49" s="4158">
        <f t="shared" si="18"/>
        <v>1535</v>
      </c>
      <c r="R49" s="4162">
        <f t="shared" si="19"/>
        <v>0</v>
      </c>
      <c r="S49" s="4163"/>
    </row>
    <row r="50" spans="1:19" s="4164" customFormat="1" ht="24.95" customHeight="1" outlineLevel="1">
      <c r="A50" s="4195" t="s">
        <v>3642</v>
      </c>
      <c r="B50" s="4155" t="str">
        <f t="shared" si="15"/>
        <v>Construction Works</v>
      </c>
      <c r="C50" s="4156" t="s">
        <v>4112</v>
      </c>
      <c r="D50" s="4157" t="str">
        <f>+'Schedule B'!C96</f>
        <v>Prelims - Lumi Rentals</v>
      </c>
      <c r="E50" s="4158">
        <f>'Schedule B'!E96</f>
        <v>0</v>
      </c>
      <c r="F50" s="4159">
        <f>'Schedule B'!F96</f>
        <v>6142.43</v>
      </c>
      <c r="G50" s="4158">
        <f t="shared" si="16"/>
        <v>6142.43</v>
      </c>
      <c r="H50" s="4158">
        <f>'Schedule B'!H96</f>
        <v>6142.43</v>
      </c>
      <c r="I50" s="4158">
        <f>'Schedule B'!I96</f>
        <v>0</v>
      </c>
      <c r="J50" s="4160">
        <v>0</v>
      </c>
      <c r="K50" s="4160">
        <f t="shared" si="20"/>
        <v>6142.43</v>
      </c>
      <c r="L50" s="4160"/>
      <c r="M50" s="4161">
        <f>'Schedule B'!M96</f>
        <v>0</v>
      </c>
      <c r="N50" s="4159">
        <f>'Schedule B'!N96</f>
        <v>0</v>
      </c>
      <c r="O50" s="4159"/>
      <c r="P50" s="4161">
        <f>'Schedule B'!O96</f>
        <v>0</v>
      </c>
      <c r="Q50" s="4158">
        <f t="shared" si="18"/>
        <v>6142.43</v>
      </c>
      <c r="R50" s="4162">
        <f t="shared" si="19"/>
        <v>0</v>
      </c>
      <c r="S50" s="4163"/>
    </row>
    <row r="51" spans="1:19" s="4164" customFormat="1" ht="24.95" customHeight="1" outlineLevel="1">
      <c r="A51" s="4195" t="s">
        <v>3642</v>
      </c>
      <c r="B51" s="4155" t="str">
        <f t="shared" si="15"/>
        <v>Construction Works</v>
      </c>
      <c r="C51" s="4156" t="s">
        <v>4112</v>
      </c>
      <c r="D51" s="4157" t="str">
        <f>+'Schedule B'!C97</f>
        <v>Prelims - Filter Expert Trading</v>
      </c>
      <c r="E51" s="4158">
        <f>'Schedule B'!E97</f>
        <v>0</v>
      </c>
      <c r="F51" s="4159">
        <f>'Schedule B'!F97</f>
        <v>8565</v>
      </c>
      <c r="G51" s="4158">
        <f t="shared" si="16"/>
        <v>8565</v>
      </c>
      <c r="H51" s="4158">
        <f>'Schedule B'!H97</f>
        <v>8565</v>
      </c>
      <c r="I51" s="4158">
        <f>'Schedule B'!I97</f>
        <v>0</v>
      </c>
      <c r="J51" s="4160">
        <v>0</v>
      </c>
      <c r="K51" s="4160">
        <f t="shared" si="20"/>
        <v>8565</v>
      </c>
      <c r="L51" s="4160"/>
      <c r="M51" s="4161">
        <f>'Schedule B'!M97</f>
        <v>0</v>
      </c>
      <c r="N51" s="4159">
        <f>'Schedule B'!N97</f>
        <v>0</v>
      </c>
      <c r="O51" s="4159"/>
      <c r="P51" s="4161">
        <f>'Schedule B'!O97</f>
        <v>0</v>
      </c>
      <c r="Q51" s="4158">
        <f t="shared" si="18"/>
        <v>8565</v>
      </c>
      <c r="R51" s="4162">
        <f t="shared" si="19"/>
        <v>0</v>
      </c>
      <c r="S51" s="4163"/>
    </row>
    <row r="52" spans="1:19" s="4164" customFormat="1" ht="24.95" customHeight="1" outlineLevel="1">
      <c r="A52" s="4195" t="s">
        <v>3642</v>
      </c>
      <c r="B52" s="4155" t="str">
        <f t="shared" si="15"/>
        <v>Construction Works</v>
      </c>
      <c r="C52" s="4156" t="s">
        <v>4112</v>
      </c>
      <c r="D52" s="4157" t="str">
        <f>+'Schedule B'!C98</f>
        <v>Prelims - Abu Nayyan</v>
      </c>
      <c r="E52" s="4158">
        <f>'Schedule B'!E98</f>
        <v>0</v>
      </c>
      <c r="F52" s="4159">
        <f>'Schedule B'!F98</f>
        <v>17800</v>
      </c>
      <c r="G52" s="4158">
        <f t="shared" si="16"/>
        <v>17800</v>
      </c>
      <c r="H52" s="4158">
        <f>'Schedule B'!H98</f>
        <v>17800</v>
      </c>
      <c r="I52" s="4158">
        <f>'Schedule B'!I98</f>
        <v>0</v>
      </c>
      <c r="J52" s="4160">
        <v>0</v>
      </c>
      <c r="K52" s="4160">
        <f t="shared" si="20"/>
        <v>17800</v>
      </c>
      <c r="L52" s="4160"/>
      <c r="M52" s="4161">
        <f>'Schedule B'!M98</f>
        <v>0</v>
      </c>
      <c r="N52" s="4159">
        <f>'Schedule B'!N98</f>
        <v>0</v>
      </c>
      <c r="O52" s="4159"/>
      <c r="P52" s="4161">
        <f>'Schedule B'!O98</f>
        <v>0</v>
      </c>
      <c r="Q52" s="4158">
        <f t="shared" si="18"/>
        <v>17800</v>
      </c>
      <c r="R52" s="4162">
        <f t="shared" si="19"/>
        <v>0</v>
      </c>
      <c r="S52" s="4163"/>
    </row>
    <row r="53" spans="1:19" s="4164" customFormat="1" ht="24.95" customHeight="1" outlineLevel="1">
      <c r="A53" s="4195" t="s">
        <v>3642</v>
      </c>
      <c r="B53" s="4155" t="str">
        <f t="shared" si="15"/>
        <v>Construction Works</v>
      </c>
      <c r="C53" s="4156" t="s">
        <v>4112</v>
      </c>
      <c r="D53" s="4157" t="str">
        <f>+'Schedule B'!C99</f>
        <v>Prelims - Ihsan Muhammed Thakir Idress Trading</v>
      </c>
      <c r="E53" s="4158">
        <f>'Schedule B'!E99</f>
        <v>0</v>
      </c>
      <c r="F53" s="4159">
        <f>'Schedule B'!F99</f>
        <v>99000</v>
      </c>
      <c r="G53" s="4158">
        <f t="shared" si="16"/>
        <v>99000</v>
      </c>
      <c r="H53" s="4158">
        <f>'Schedule B'!H99</f>
        <v>99000</v>
      </c>
      <c r="I53" s="4158">
        <f>'Schedule B'!I99</f>
        <v>0</v>
      </c>
      <c r="J53" s="4160">
        <v>0</v>
      </c>
      <c r="K53" s="4160">
        <f t="shared" si="20"/>
        <v>99000</v>
      </c>
      <c r="L53" s="4160"/>
      <c r="M53" s="4161">
        <f>'Schedule B'!M99</f>
        <v>0</v>
      </c>
      <c r="N53" s="4159">
        <f>'Schedule B'!N99</f>
        <v>0</v>
      </c>
      <c r="O53" s="4159"/>
      <c r="P53" s="4161">
        <f>'Schedule B'!O99</f>
        <v>0</v>
      </c>
      <c r="Q53" s="4158">
        <f t="shared" si="18"/>
        <v>99000</v>
      </c>
      <c r="R53" s="4162">
        <f t="shared" si="19"/>
        <v>0</v>
      </c>
      <c r="S53" s="4163"/>
    </row>
    <row r="54" spans="1:19" s="4164" customFormat="1" ht="24.95" customHeight="1" outlineLevel="1">
      <c r="A54" s="4195" t="s">
        <v>3642</v>
      </c>
      <c r="B54" s="4155" t="str">
        <f t="shared" si="15"/>
        <v>Construction Works</v>
      </c>
      <c r="C54" s="4156" t="s">
        <v>4112</v>
      </c>
      <c r="D54" s="4157" t="str">
        <f>+'Schedule B'!C100</f>
        <v>Prelims - Ramzi Abbas Mohd. Sayed Est.</v>
      </c>
      <c r="E54" s="4158">
        <f>'Schedule B'!E100</f>
        <v>0</v>
      </c>
      <c r="F54" s="4159">
        <f>'Schedule B'!F100</f>
        <v>48767</v>
      </c>
      <c r="G54" s="4158">
        <f t="shared" si="16"/>
        <v>48767</v>
      </c>
      <c r="H54" s="4158">
        <f>'Schedule B'!H100</f>
        <v>48767</v>
      </c>
      <c r="I54" s="4158">
        <f>'Schedule B'!I100</f>
        <v>0</v>
      </c>
      <c r="J54" s="4160">
        <v>0</v>
      </c>
      <c r="K54" s="4160">
        <f t="shared" si="20"/>
        <v>48767</v>
      </c>
      <c r="L54" s="4160"/>
      <c r="M54" s="4161">
        <f>'Schedule B'!M100</f>
        <v>0</v>
      </c>
      <c r="N54" s="4159">
        <f>'Schedule B'!N100</f>
        <v>0</v>
      </c>
      <c r="O54" s="4159"/>
      <c r="P54" s="4161">
        <f>'Schedule B'!O100</f>
        <v>0</v>
      </c>
      <c r="Q54" s="4158">
        <f t="shared" si="18"/>
        <v>48767</v>
      </c>
      <c r="R54" s="4162">
        <f t="shared" si="19"/>
        <v>0</v>
      </c>
      <c r="S54" s="4163"/>
    </row>
    <row r="55" spans="1:19" s="4164" customFormat="1" ht="24.95" customHeight="1" outlineLevel="1">
      <c r="A55" s="4195" t="s">
        <v>3642</v>
      </c>
      <c r="B55" s="4155" t="str">
        <f t="shared" si="15"/>
        <v>Construction Works</v>
      </c>
      <c r="C55" s="4156" t="s">
        <v>4112</v>
      </c>
      <c r="D55" s="4157" t="str">
        <f>+'Schedule B'!C101</f>
        <v>Prelims - Al Rayi Water</v>
      </c>
      <c r="E55" s="4158">
        <f>'Schedule B'!E101</f>
        <v>0</v>
      </c>
      <c r="F55" s="4159">
        <f>'Schedule B'!F101</f>
        <v>46655</v>
      </c>
      <c r="G55" s="4158">
        <f t="shared" si="16"/>
        <v>46655</v>
      </c>
      <c r="H55" s="4158">
        <f>'Schedule B'!H101</f>
        <v>46655</v>
      </c>
      <c r="I55" s="4158">
        <f>'Schedule B'!I101</f>
        <v>0</v>
      </c>
      <c r="J55" s="4160">
        <v>0</v>
      </c>
      <c r="K55" s="4160">
        <f t="shared" si="20"/>
        <v>46655</v>
      </c>
      <c r="L55" s="4160"/>
      <c r="M55" s="4161">
        <f>'Schedule B'!M101</f>
        <v>0</v>
      </c>
      <c r="N55" s="4159">
        <f>'Schedule B'!N101</f>
        <v>0</v>
      </c>
      <c r="O55" s="4159"/>
      <c r="P55" s="4161">
        <f>'Schedule B'!O101</f>
        <v>0</v>
      </c>
      <c r="Q55" s="4158">
        <f t="shared" si="18"/>
        <v>46655</v>
      </c>
      <c r="R55" s="4162">
        <f t="shared" si="19"/>
        <v>0</v>
      </c>
      <c r="S55" s="4163"/>
    </row>
    <row r="56" spans="1:19" s="4164" customFormat="1" ht="24.95" customHeight="1" outlineLevel="1">
      <c r="A56" s="4195" t="s">
        <v>3642</v>
      </c>
      <c r="B56" s="4155" t="str">
        <f t="shared" si="15"/>
        <v>Construction Works</v>
      </c>
      <c r="C56" s="4156" t="s">
        <v>4112</v>
      </c>
      <c r="D56" s="4157" t="str">
        <f>+'Schedule B'!C102</f>
        <v>Prelims - GLSAN Contracting Company</v>
      </c>
      <c r="E56" s="4158">
        <f>'Schedule B'!E102</f>
        <v>0</v>
      </c>
      <c r="F56" s="4159">
        <f>'Schedule B'!F102</f>
        <v>8291108.1399999997</v>
      </c>
      <c r="G56" s="4158">
        <f t="shared" si="16"/>
        <v>8291108.1399999997</v>
      </c>
      <c r="H56" s="4158">
        <f>'Schedule B'!H102</f>
        <v>8291108.1399999997</v>
      </c>
      <c r="I56" s="4158">
        <f>'Schedule B'!I102</f>
        <v>0</v>
      </c>
      <c r="J56" s="4160">
        <v>0</v>
      </c>
      <c r="K56" s="4160">
        <f t="shared" si="20"/>
        <v>8291108.1399999997</v>
      </c>
      <c r="L56" s="4160"/>
      <c r="M56" s="4161">
        <f>'Schedule B'!M102</f>
        <v>0</v>
      </c>
      <c r="N56" s="4159">
        <f>'Schedule B'!N102</f>
        <v>0</v>
      </c>
      <c r="O56" s="4159"/>
      <c r="P56" s="4161">
        <f>'Schedule B'!O102</f>
        <v>0</v>
      </c>
      <c r="Q56" s="4158">
        <f t="shared" si="18"/>
        <v>8291108.1399999997</v>
      </c>
      <c r="R56" s="4162">
        <f t="shared" si="19"/>
        <v>0</v>
      </c>
      <c r="S56" s="4163"/>
    </row>
    <row r="57" spans="1:19" s="4164" customFormat="1" ht="24.95" customHeight="1" outlineLevel="1">
      <c r="A57" s="4518" t="s">
        <v>3642</v>
      </c>
      <c r="B57" s="4519" t="str">
        <f t="shared" si="15"/>
        <v>Construction Works</v>
      </c>
      <c r="C57" s="4520" t="s">
        <v>4112</v>
      </c>
      <c r="D57" s="4521" t="str">
        <f>+'Schedule B'!C103</f>
        <v>Prelims - GLSAN Contracting Company (Red Sea)</v>
      </c>
      <c r="E57" s="4522">
        <f>'Schedule B'!E103</f>
        <v>0</v>
      </c>
      <c r="F57" s="4523">
        <f>'Schedule B'!F103</f>
        <v>0</v>
      </c>
      <c r="G57" s="4522">
        <f>F57+E57</f>
        <v>0</v>
      </c>
      <c r="H57" s="4522">
        <f>'Schedule B'!H103</f>
        <v>0</v>
      </c>
      <c r="I57" s="4522">
        <f>'Schedule B'!I103</f>
        <v>0</v>
      </c>
      <c r="J57" s="4522">
        <v>0</v>
      </c>
      <c r="K57" s="4522">
        <f>SUM(H57:J57)</f>
        <v>0</v>
      </c>
      <c r="L57" s="4522"/>
      <c r="M57" s="4523">
        <f>'Schedule B'!M103</f>
        <v>0</v>
      </c>
      <c r="N57" s="4523">
        <f>'Schedule B'!N103</f>
        <v>0</v>
      </c>
      <c r="O57" s="4523"/>
      <c r="P57" s="4523">
        <f>'Schedule B'!O103</f>
        <v>0</v>
      </c>
      <c r="Q57" s="4522">
        <f t="shared" si="18"/>
        <v>0</v>
      </c>
      <c r="R57" s="4524">
        <f t="shared" si="19"/>
        <v>0</v>
      </c>
      <c r="S57" s="4163"/>
    </row>
    <row r="58" spans="1:19" s="4164" customFormat="1" ht="24.95" customHeight="1" outlineLevel="1">
      <c r="A58" s="4195" t="s">
        <v>3642</v>
      </c>
      <c r="B58" s="4155" t="str">
        <f t="shared" si="15"/>
        <v>Construction Works</v>
      </c>
      <c r="C58" s="4156" t="s">
        <v>4112</v>
      </c>
      <c r="D58" s="4157" t="str">
        <f>+'Schedule B'!C104</f>
        <v>Prelims - Masa Equipment Est</v>
      </c>
      <c r="E58" s="4158">
        <f>'Schedule B'!E104</f>
        <v>0</v>
      </c>
      <c r="F58" s="4159">
        <f>'Schedule B'!F104</f>
        <v>287000</v>
      </c>
      <c r="G58" s="4158">
        <f t="shared" si="16"/>
        <v>287000</v>
      </c>
      <c r="H58" s="4158">
        <f>'Schedule B'!H104</f>
        <v>287000</v>
      </c>
      <c r="I58" s="4158">
        <f>'Schedule B'!I104</f>
        <v>0</v>
      </c>
      <c r="J58" s="4160">
        <v>0</v>
      </c>
      <c r="K58" s="4160">
        <f t="shared" si="20"/>
        <v>287000</v>
      </c>
      <c r="L58" s="4160"/>
      <c r="M58" s="4161">
        <f>'Schedule B'!M104</f>
        <v>0</v>
      </c>
      <c r="N58" s="4159">
        <f>'Schedule B'!N104</f>
        <v>0</v>
      </c>
      <c r="O58" s="4159"/>
      <c r="P58" s="4161">
        <f>'Schedule B'!O104</f>
        <v>0</v>
      </c>
      <c r="Q58" s="4158">
        <f t="shared" si="18"/>
        <v>287000</v>
      </c>
      <c r="R58" s="4162">
        <f t="shared" si="19"/>
        <v>0</v>
      </c>
      <c r="S58" s="4163"/>
    </row>
    <row r="59" spans="1:19" s="4164" customFormat="1" ht="24.95" customHeight="1" outlineLevel="1">
      <c r="A59" s="4195" t="s">
        <v>3642</v>
      </c>
      <c r="B59" s="4155" t="str">
        <f t="shared" si="15"/>
        <v>Construction Works</v>
      </c>
      <c r="C59" s="4156" t="s">
        <v>4112</v>
      </c>
      <c r="D59" s="4157" t="str">
        <f>+'Schedule B'!C105</f>
        <v>Prelims - Al Tala'a International Transportation Co</v>
      </c>
      <c r="E59" s="4158">
        <f>'Schedule B'!E105</f>
        <v>0</v>
      </c>
      <c r="F59" s="4159">
        <f>'Schedule B'!F105</f>
        <v>6608.7</v>
      </c>
      <c r="G59" s="4158">
        <f t="shared" si="16"/>
        <v>6608.7</v>
      </c>
      <c r="H59" s="4158">
        <f>'Schedule B'!H105</f>
        <v>6608.7</v>
      </c>
      <c r="I59" s="4158">
        <f>'Schedule B'!I105</f>
        <v>0</v>
      </c>
      <c r="J59" s="4160">
        <v>0</v>
      </c>
      <c r="K59" s="4160">
        <f t="shared" si="20"/>
        <v>6608.7</v>
      </c>
      <c r="L59" s="4160"/>
      <c r="M59" s="4161">
        <f>'Schedule B'!M105</f>
        <v>0</v>
      </c>
      <c r="N59" s="4159">
        <f>'Schedule B'!N105</f>
        <v>0</v>
      </c>
      <c r="O59" s="4159"/>
      <c r="P59" s="4161">
        <f>'Schedule B'!O105</f>
        <v>0</v>
      </c>
      <c r="Q59" s="4158">
        <f t="shared" si="18"/>
        <v>6608.7</v>
      </c>
      <c r="R59" s="4162">
        <f t="shared" si="19"/>
        <v>0</v>
      </c>
      <c r="S59" s="4163"/>
    </row>
    <row r="60" spans="1:19" s="4164" customFormat="1" ht="24.95" customHeight="1" outlineLevel="1">
      <c r="A60" s="4195" t="s">
        <v>3642</v>
      </c>
      <c r="B60" s="4155" t="str">
        <f t="shared" si="15"/>
        <v>Construction Works</v>
      </c>
      <c r="C60" s="4156" t="s">
        <v>4112</v>
      </c>
      <c r="D60" s="4157" t="str">
        <f>+'Schedule B'!C106</f>
        <v>Prelims - Saudi Brokers</v>
      </c>
      <c r="E60" s="4158">
        <f>'Schedule B'!E106</f>
        <v>0</v>
      </c>
      <c r="F60" s="4159">
        <f>'Schedule B'!F106</f>
        <v>59606.12</v>
      </c>
      <c r="G60" s="4158">
        <f t="shared" si="16"/>
        <v>59606.12</v>
      </c>
      <c r="H60" s="4158">
        <f>'Schedule B'!H106</f>
        <v>59606.12</v>
      </c>
      <c r="I60" s="4158">
        <f>'Schedule B'!I106</f>
        <v>0</v>
      </c>
      <c r="J60" s="4160">
        <v>0</v>
      </c>
      <c r="K60" s="4160">
        <f t="shared" si="20"/>
        <v>59606.12</v>
      </c>
      <c r="L60" s="4160"/>
      <c r="M60" s="4161">
        <f>'Schedule B'!M106</f>
        <v>0</v>
      </c>
      <c r="N60" s="4159">
        <f>'Schedule B'!N106</f>
        <v>0</v>
      </c>
      <c r="O60" s="4159"/>
      <c r="P60" s="4161">
        <f>'Schedule B'!O106</f>
        <v>0</v>
      </c>
      <c r="Q60" s="4158">
        <f t="shared" si="18"/>
        <v>59606.12</v>
      </c>
      <c r="R60" s="4162">
        <f t="shared" si="19"/>
        <v>0</v>
      </c>
      <c r="S60" s="4163"/>
    </row>
    <row r="61" spans="1:19" s="4164" customFormat="1" ht="24.95" customHeight="1" outlineLevel="1">
      <c r="A61" s="4195" t="s">
        <v>3642</v>
      </c>
      <c r="B61" s="4155" t="str">
        <f t="shared" si="15"/>
        <v>Construction Works</v>
      </c>
      <c r="C61" s="4156" t="s">
        <v>4112</v>
      </c>
      <c r="D61" s="4157" t="str">
        <f>+'Schedule B'!C107</f>
        <v>Prelims - Aknan Al Bena</v>
      </c>
      <c r="E61" s="4158">
        <f>'Schedule B'!E107</f>
        <v>0</v>
      </c>
      <c r="F61" s="4159">
        <f>'Schedule B'!F107</f>
        <v>75000</v>
      </c>
      <c r="G61" s="4158">
        <f t="shared" si="16"/>
        <v>75000</v>
      </c>
      <c r="H61" s="4158">
        <f>'Schedule B'!H107</f>
        <v>75000</v>
      </c>
      <c r="I61" s="4158">
        <f>'Schedule B'!I107</f>
        <v>0</v>
      </c>
      <c r="J61" s="4160">
        <v>0</v>
      </c>
      <c r="K61" s="4160">
        <f t="shared" si="20"/>
        <v>75000</v>
      </c>
      <c r="L61" s="4160"/>
      <c r="M61" s="4161">
        <f>'Schedule B'!M107</f>
        <v>0</v>
      </c>
      <c r="N61" s="4159">
        <f>'Schedule B'!N107</f>
        <v>0</v>
      </c>
      <c r="O61" s="4159"/>
      <c r="P61" s="4161">
        <f>'Schedule B'!O107</f>
        <v>0</v>
      </c>
      <c r="Q61" s="4158">
        <f t="shared" si="18"/>
        <v>75000</v>
      </c>
      <c r="R61" s="4162">
        <f t="shared" si="19"/>
        <v>0</v>
      </c>
      <c r="S61" s="4163"/>
    </row>
    <row r="62" spans="1:19" s="4164" customFormat="1" ht="24.95" customHeight="1" outlineLevel="1">
      <c r="A62" s="4195" t="s">
        <v>3642</v>
      </c>
      <c r="B62" s="4155" t="str">
        <f t="shared" si="15"/>
        <v>Construction Works</v>
      </c>
      <c r="C62" s="4156" t="s">
        <v>4112</v>
      </c>
      <c r="D62" s="4157" t="str">
        <f>+'Schedule B'!C108</f>
        <v>Prelims - Emaar Suhali</v>
      </c>
      <c r="E62" s="4158">
        <f>'Schedule B'!E108</f>
        <v>0</v>
      </c>
      <c r="F62" s="4159">
        <f>'Schedule B'!F108</f>
        <v>90000</v>
      </c>
      <c r="G62" s="4158">
        <f t="shared" ref="G62" si="21">F62+E62</f>
        <v>90000</v>
      </c>
      <c r="H62" s="4158">
        <f>'Schedule B'!H108</f>
        <v>90000</v>
      </c>
      <c r="I62" s="4158">
        <f>'Schedule B'!I108</f>
        <v>0</v>
      </c>
      <c r="J62" s="4160">
        <v>0</v>
      </c>
      <c r="K62" s="4160">
        <f t="shared" ref="K62" si="22">SUM(H62:J62)</f>
        <v>90000</v>
      </c>
      <c r="L62" s="4160"/>
      <c r="M62" s="4161">
        <f>'Schedule B'!M108</f>
        <v>0</v>
      </c>
      <c r="N62" s="4159">
        <f>'Schedule B'!N108</f>
        <v>0</v>
      </c>
      <c r="O62" s="4159"/>
      <c r="P62" s="4161">
        <f>'Schedule B'!O108</f>
        <v>0</v>
      </c>
      <c r="Q62" s="4158">
        <f t="shared" si="18"/>
        <v>90000</v>
      </c>
      <c r="R62" s="4162">
        <f t="shared" si="19"/>
        <v>0</v>
      </c>
      <c r="S62" s="4163"/>
    </row>
    <row r="63" spans="1:19" s="4164" customFormat="1" ht="6.75" customHeight="1" outlineLevel="1">
      <c r="A63" s="4195"/>
      <c r="B63" s="4155"/>
      <c r="C63" s="4156"/>
      <c r="D63" s="4157"/>
      <c r="E63" s="4158"/>
      <c r="F63" s="4159"/>
      <c r="G63" s="4158"/>
      <c r="H63" s="4158"/>
      <c r="I63" s="4158"/>
      <c r="J63" s="4160"/>
      <c r="K63" s="4160"/>
      <c r="L63" s="4160"/>
      <c r="M63" s="4161"/>
      <c r="N63" s="4159"/>
      <c r="O63" s="4159"/>
      <c r="P63" s="4161"/>
      <c r="Q63" s="4158"/>
      <c r="R63" s="4162"/>
      <c r="S63" s="4163"/>
    </row>
    <row r="64" spans="1:19" s="4164" customFormat="1" ht="24.95" customHeight="1" outlineLevel="1">
      <c r="A64" s="4195" t="s">
        <v>3642</v>
      </c>
      <c r="B64" s="4155" t="str">
        <f t="shared" ref="B64:B98" si="23">$B$125</f>
        <v>Construction Works</v>
      </c>
      <c r="C64" s="4156" t="s">
        <v>4112</v>
      </c>
      <c r="D64" s="4157" t="str">
        <f>+'Schedule B'!C110</f>
        <v>Direct Works - Madar Building material Co</v>
      </c>
      <c r="E64" s="4158">
        <f>'Schedule B'!E110</f>
        <v>0</v>
      </c>
      <c r="F64" s="4159">
        <f>'Schedule B'!F110</f>
        <v>14320</v>
      </c>
      <c r="G64" s="4158">
        <f>F64+E64</f>
        <v>14320</v>
      </c>
      <c r="H64" s="4158">
        <f>'Schedule B'!H110</f>
        <v>14320</v>
      </c>
      <c r="I64" s="4158">
        <f>'Schedule B'!I110</f>
        <v>0</v>
      </c>
      <c r="J64" s="4160">
        <v>0</v>
      </c>
      <c r="K64" s="4160">
        <f>SUM(H64:J64)</f>
        <v>14320</v>
      </c>
      <c r="L64" s="4160"/>
      <c r="M64" s="4161">
        <f>'Schedule B'!M110</f>
        <v>0</v>
      </c>
      <c r="N64" s="4159">
        <f>'Schedule B'!N110</f>
        <v>0</v>
      </c>
      <c r="O64" s="4159"/>
      <c r="P64" s="4161">
        <f>'Schedule B'!O110</f>
        <v>0</v>
      </c>
      <c r="Q64" s="4158">
        <f t="shared" ref="Q64:Q98" si="24">SUM(K64:P64)</f>
        <v>14320</v>
      </c>
      <c r="R64" s="4162">
        <f t="shared" ref="R64:R98" si="25">Q64-G64</f>
        <v>0</v>
      </c>
      <c r="S64" s="4163"/>
    </row>
    <row r="65" spans="1:19" s="4164" customFormat="1" ht="24.95" customHeight="1" outlineLevel="1">
      <c r="A65" s="4195" t="s">
        <v>3642</v>
      </c>
      <c r="B65" s="4155" t="str">
        <f t="shared" si="23"/>
        <v>Construction Works</v>
      </c>
      <c r="C65" s="4156" t="s">
        <v>4112</v>
      </c>
      <c r="D65" s="4157" t="str">
        <f>+'Schedule B'!C111</f>
        <v>Direct Works - Juffali Technical Equipment Company</v>
      </c>
      <c r="E65" s="4158">
        <f>'Schedule B'!E111</f>
        <v>0</v>
      </c>
      <c r="F65" s="4159">
        <f>'Schedule B'!F111</f>
        <v>12113.599999999999</v>
      </c>
      <c r="G65" s="4158">
        <f t="shared" ref="G65:G77" si="26">F65+E65</f>
        <v>12113.599999999999</v>
      </c>
      <c r="H65" s="4158">
        <f>'Schedule B'!H111</f>
        <v>12113.599999999999</v>
      </c>
      <c r="I65" s="4158">
        <f>'Schedule B'!I111</f>
        <v>0</v>
      </c>
      <c r="J65" s="4160">
        <v>0</v>
      </c>
      <c r="K65" s="4160">
        <f t="shared" ref="K65:K77" si="27">SUM(H65:J65)</f>
        <v>12113.599999999999</v>
      </c>
      <c r="L65" s="4160"/>
      <c r="M65" s="4161">
        <f>'Schedule B'!M111</f>
        <v>0</v>
      </c>
      <c r="N65" s="4159">
        <f>'Schedule B'!N111</f>
        <v>0</v>
      </c>
      <c r="O65" s="4159"/>
      <c r="P65" s="4161">
        <f>'Schedule B'!O111</f>
        <v>0</v>
      </c>
      <c r="Q65" s="4158">
        <f t="shared" si="24"/>
        <v>12113.599999999999</v>
      </c>
      <c r="R65" s="4162">
        <f t="shared" si="25"/>
        <v>0</v>
      </c>
      <c r="S65" s="4163"/>
    </row>
    <row r="66" spans="1:19" s="4164" customFormat="1" ht="24.95" customHeight="1" outlineLevel="1">
      <c r="A66" s="4195" t="s">
        <v>3642</v>
      </c>
      <c r="B66" s="4155" t="str">
        <f t="shared" si="23"/>
        <v>Construction Works</v>
      </c>
      <c r="C66" s="4156" t="s">
        <v>4112</v>
      </c>
      <c r="D66" s="4157" t="str">
        <f>+'Schedule B'!C112</f>
        <v>Direct Works -  USG Middle East Ltd. Co</v>
      </c>
      <c r="E66" s="4158">
        <f>'Schedule B'!E112</f>
        <v>0</v>
      </c>
      <c r="F66" s="4159">
        <f>'Schedule B'!F112</f>
        <v>39954.82</v>
      </c>
      <c r="G66" s="4158">
        <f t="shared" si="26"/>
        <v>39954.82</v>
      </c>
      <c r="H66" s="4158">
        <f>'Schedule B'!H112</f>
        <v>39954.82</v>
      </c>
      <c r="I66" s="4158">
        <f>'Schedule B'!I112</f>
        <v>0</v>
      </c>
      <c r="J66" s="4160">
        <v>0</v>
      </c>
      <c r="K66" s="4160">
        <f t="shared" si="27"/>
        <v>39954.82</v>
      </c>
      <c r="L66" s="4160"/>
      <c r="M66" s="4161">
        <f>'Schedule B'!M112</f>
        <v>0</v>
      </c>
      <c r="N66" s="4159">
        <f>'Schedule B'!N112</f>
        <v>0</v>
      </c>
      <c r="O66" s="4159"/>
      <c r="P66" s="4161">
        <f>'Schedule B'!O112</f>
        <v>0</v>
      </c>
      <c r="Q66" s="4158">
        <f t="shared" si="24"/>
        <v>39954.82</v>
      </c>
      <c r="R66" s="4162">
        <f t="shared" si="25"/>
        <v>0</v>
      </c>
      <c r="S66" s="4163"/>
    </row>
    <row r="67" spans="1:19" s="4164" customFormat="1" ht="24.95" customHeight="1" outlineLevel="1">
      <c r="A67" s="4195" t="s">
        <v>3642</v>
      </c>
      <c r="B67" s="4155" t="str">
        <f t="shared" si="23"/>
        <v>Construction Works</v>
      </c>
      <c r="C67" s="4156" t="s">
        <v>4112</v>
      </c>
      <c r="D67" s="4157" t="str">
        <f>+'Schedule B'!C113</f>
        <v>Direct Works - Abu Dhabi Precast</v>
      </c>
      <c r="E67" s="4158">
        <f>'Schedule B'!E113</f>
        <v>0</v>
      </c>
      <c r="F67" s="4159">
        <f>'Schedule B'!F113</f>
        <v>3619680.62</v>
      </c>
      <c r="G67" s="4158">
        <f t="shared" si="26"/>
        <v>3619680.62</v>
      </c>
      <c r="H67" s="4158">
        <f>'Schedule B'!H113</f>
        <v>3619680.62</v>
      </c>
      <c r="I67" s="4158">
        <f>'Schedule B'!I113</f>
        <v>0</v>
      </c>
      <c r="J67" s="4160">
        <v>0</v>
      </c>
      <c r="K67" s="4160">
        <f t="shared" si="27"/>
        <v>3619680.62</v>
      </c>
      <c r="L67" s="4160"/>
      <c r="M67" s="4161">
        <f>'Schedule B'!M113</f>
        <v>0</v>
      </c>
      <c r="N67" s="4159">
        <f>'Schedule B'!N113</f>
        <v>0</v>
      </c>
      <c r="O67" s="4159"/>
      <c r="P67" s="4161">
        <f>'Schedule B'!O113</f>
        <v>0</v>
      </c>
      <c r="Q67" s="4158">
        <f t="shared" si="24"/>
        <v>3619680.62</v>
      </c>
      <c r="R67" s="4162">
        <f t="shared" si="25"/>
        <v>0</v>
      </c>
      <c r="S67" s="4163"/>
    </row>
    <row r="68" spans="1:19" s="4164" customFormat="1" ht="24.95" customHeight="1" outlineLevel="1">
      <c r="A68" s="4195" t="s">
        <v>3642</v>
      </c>
      <c r="B68" s="4155" t="str">
        <f t="shared" si="23"/>
        <v>Construction Works</v>
      </c>
      <c r="C68" s="4156" t="s">
        <v>4112</v>
      </c>
      <c r="D68" s="4157" t="str">
        <f>+'Schedule B'!C114</f>
        <v>Direct Works - SAMIF</v>
      </c>
      <c r="E68" s="4158">
        <f>'Schedule B'!E114</f>
        <v>0</v>
      </c>
      <c r="F68" s="4159">
        <f>'Schedule B'!F114</f>
        <v>6340696.8999999994</v>
      </c>
      <c r="G68" s="4158">
        <f t="shared" si="26"/>
        <v>6340696.8999999994</v>
      </c>
      <c r="H68" s="4158">
        <f>'Schedule B'!H114</f>
        <v>6340696.8999999994</v>
      </c>
      <c r="I68" s="4158">
        <f>'Schedule B'!I114</f>
        <v>0</v>
      </c>
      <c r="J68" s="4160">
        <v>0</v>
      </c>
      <c r="K68" s="4160">
        <f t="shared" si="27"/>
        <v>6340696.8999999994</v>
      </c>
      <c r="L68" s="4160"/>
      <c r="M68" s="4161">
        <f>'Schedule B'!M114</f>
        <v>0</v>
      </c>
      <c r="N68" s="4159">
        <f>'Schedule B'!N114</f>
        <v>0</v>
      </c>
      <c r="O68" s="4159"/>
      <c r="P68" s="4161">
        <f>'Schedule B'!O114</f>
        <v>0</v>
      </c>
      <c r="Q68" s="4158">
        <f t="shared" si="24"/>
        <v>6340696.8999999994</v>
      </c>
      <c r="R68" s="4162">
        <f t="shared" si="25"/>
        <v>0</v>
      </c>
      <c r="S68" s="4163"/>
    </row>
    <row r="69" spans="1:19" s="4164" customFormat="1" ht="24.95" customHeight="1" outlineLevel="1">
      <c r="A69" s="4195" t="s">
        <v>3642</v>
      </c>
      <c r="B69" s="4155" t="str">
        <f t="shared" si="23"/>
        <v>Construction Works</v>
      </c>
      <c r="C69" s="4156" t="s">
        <v>4112</v>
      </c>
      <c r="D69" s="4157" t="str">
        <f>+'Schedule B'!C115</f>
        <v>Direct Works - SAUDI MANPOWER SOLUTIONS CO</v>
      </c>
      <c r="E69" s="4158">
        <f>'Schedule B'!E115</f>
        <v>0</v>
      </c>
      <c r="F69" s="4159">
        <f>'Schedule B'!F115</f>
        <v>377764.03</v>
      </c>
      <c r="G69" s="4158">
        <f t="shared" si="26"/>
        <v>377764.03</v>
      </c>
      <c r="H69" s="4158">
        <f>'Schedule B'!H115</f>
        <v>377764.03</v>
      </c>
      <c r="I69" s="4158">
        <f>'Schedule B'!I115</f>
        <v>0</v>
      </c>
      <c r="J69" s="4160">
        <v>0</v>
      </c>
      <c r="K69" s="4160">
        <f t="shared" si="27"/>
        <v>377764.03</v>
      </c>
      <c r="L69" s="4160"/>
      <c r="M69" s="4161">
        <f>'Schedule B'!M115</f>
        <v>0</v>
      </c>
      <c r="N69" s="4159">
        <f>'Schedule B'!N115</f>
        <v>0</v>
      </c>
      <c r="O69" s="4159"/>
      <c r="P69" s="4161">
        <f>'Schedule B'!O115</f>
        <v>0</v>
      </c>
      <c r="Q69" s="4158">
        <f t="shared" si="24"/>
        <v>377764.03</v>
      </c>
      <c r="R69" s="4162">
        <f t="shared" si="25"/>
        <v>0</v>
      </c>
      <c r="S69" s="4163"/>
    </row>
    <row r="70" spans="1:19" s="4164" customFormat="1" ht="24.95" customHeight="1" outlineLevel="1">
      <c r="A70" s="4195" t="s">
        <v>3642</v>
      </c>
      <c r="B70" s="4155" t="str">
        <f t="shared" si="23"/>
        <v>Construction Works</v>
      </c>
      <c r="C70" s="4156" t="s">
        <v>4112</v>
      </c>
      <c r="D70" s="4157" t="str">
        <f>+'Schedule B'!C116</f>
        <v>Direct Works - Fosam Company LTD</v>
      </c>
      <c r="E70" s="4158">
        <f>'Schedule B'!E116</f>
        <v>0</v>
      </c>
      <c r="F70" s="4159">
        <f>'Schedule B'!F116</f>
        <v>40570</v>
      </c>
      <c r="G70" s="4158">
        <f t="shared" si="26"/>
        <v>40570</v>
      </c>
      <c r="H70" s="4158">
        <f>'Schedule B'!H116</f>
        <v>40570</v>
      </c>
      <c r="I70" s="4158">
        <f>'Schedule B'!I116</f>
        <v>0</v>
      </c>
      <c r="J70" s="4160">
        <v>0</v>
      </c>
      <c r="K70" s="4160">
        <f t="shared" si="27"/>
        <v>40570</v>
      </c>
      <c r="L70" s="4160"/>
      <c r="M70" s="4161">
        <f>'Schedule B'!M116</f>
        <v>0</v>
      </c>
      <c r="N70" s="4159">
        <f>'Schedule B'!N116</f>
        <v>0</v>
      </c>
      <c r="O70" s="4159"/>
      <c r="P70" s="4161">
        <f>'Schedule B'!O116</f>
        <v>0</v>
      </c>
      <c r="Q70" s="4158">
        <f t="shared" si="24"/>
        <v>40570</v>
      </c>
      <c r="R70" s="4162">
        <f t="shared" si="25"/>
        <v>0</v>
      </c>
      <c r="S70" s="4163"/>
    </row>
    <row r="71" spans="1:19" s="4164" customFormat="1" ht="24.95" customHeight="1" outlineLevel="1">
      <c r="A71" s="4195" t="s">
        <v>3642</v>
      </c>
      <c r="B71" s="4155" t="str">
        <f t="shared" si="23"/>
        <v>Construction Works</v>
      </c>
      <c r="C71" s="4156" t="s">
        <v>4112</v>
      </c>
      <c r="D71" s="4157" t="str">
        <f>+'Schedule B'!C117</f>
        <v xml:space="preserve">Direct Works - Glow Arabia Trading </v>
      </c>
      <c r="E71" s="4158">
        <f>'Schedule B'!E117</f>
        <v>0</v>
      </c>
      <c r="F71" s="4159">
        <f>'Schedule B'!F117</f>
        <v>49460.5</v>
      </c>
      <c r="G71" s="4158">
        <f t="shared" si="26"/>
        <v>49460.5</v>
      </c>
      <c r="H71" s="4158">
        <f>'Schedule B'!H117</f>
        <v>49460.5</v>
      </c>
      <c r="I71" s="4158">
        <f>'Schedule B'!I117</f>
        <v>0</v>
      </c>
      <c r="J71" s="4160">
        <v>0</v>
      </c>
      <c r="K71" s="4160">
        <f t="shared" si="27"/>
        <v>49460.5</v>
      </c>
      <c r="L71" s="4160"/>
      <c r="M71" s="4161">
        <f>'Schedule B'!M117</f>
        <v>0</v>
      </c>
      <c r="N71" s="4159">
        <f>'Schedule B'!N117</f>
        <v>0</v>
      </c>
      <c r="O71" s="4159"/>
      <c r="P71" s="4161">
        <f>'Schedule B'!O117</f>
        <v>0</v>
      </c>
      <c r="Q71" s="4158">
        <f t="shared" si="24"/>
        <v>49460.5</v>
      </c>
      <c r="R71" s="4162">
        <f t="shared" si="25"/>
        <v>0</v>
      </c>
      <c r="S71" s="4163"/>
    </row>
    <row r="72" spans="1:19" s="4164" customFormat="1" ht="24.95" customHeight="1" outlineLevel="1">
      <c r="A72" s="4195" t="s">
        <v>3642</v>
      </c>
      <c r="B72" s="4155" t="str">
        <f t="shared" si="23"/>
        <v>Construction Works</v>
      </c>
      <c r="C72" s="4156" t="s">
        <v>4112</v>
      </c>
      <c r="D72" s="4157" t="str">
        <f>+'Schedule B'!C118</f>
        <v>Direct Works - BROOQ ALAMAAN TRAD COMPANY</v>
      </c>
      <c r="E72" s="4158">
        <f>'Schedule B'!E118</f>
        <v>0</v>
      </c>
      <c r="F72" s="4159">
        <f>'Schedule B'!F118</f>
        <v>130305.72</v>
      </c>
      <c r="G72" s="4158">
        <f t="shared" si="26"/>
        <v>130305.72</v>
      </c>
      <c r="H72" s="4158">
        <f>'Schedule B'!H118</f>
        <v>130305.72</v>
      </c>
      <c r="I72" s="4158">
        <f>'Schedule B'!I118</f>
        <v>0</v>
      </c>
      <c r="J72" s="4160">
        <v>0</v>
      </c>
      <c r="K72" s="4160">
        <f t="shared" si="27"/>
        <v>130305.72</v>
      </c>
      <c r="L72" s="4160"/>
      <c r="M72" s="4161">
        <f>'Schedule B'!M118</f>
        <v>0</v>
      </c>
      <c r="N72" s="4159">
        <f>'Schedule B'!N118</f>
        <v>0</v>
      </c>
      <c r="O72" s="4159"/>
      <c r="P72" s="4161">
        <f>'Schedule B'!O118</f>
        <v>0</v>
      </c>
      <c r="Q72" s="4158">
        <f t="shared" si="24"/>
        <v>130305.72</v>
      </c>
      <c r="R72" s="4162">
        <f t="shared" si="25"/>
        <v>0</v>
      </c>
      <c r="S72" s="4163"/>
    </row>
    <row r="73" spans="1:19" s="4164" customFormat="1" ht="24.95" customHeight="1" outlineLevel="1">
      <c r="A73" s="4195" t="s">
        <v>3642</v>
      </c>
      <c r="B73" s="4155" t="str">
        <f t="shared" si="23"/>
        <v>Construction Works</v>
      </c>
      <c r="C73" s="4156" t="s">
        <v>4112</v>
      </c>
      <c r="D73" s="4157" t="str">
        <f>+'Schedule B'!C119</f>
        <v>Direct Works - Abeer Munawer Al Shamari</v>
      </c>
      <c r="E73" s="4158">
        <f>'Schedule B'!E119</f>
        <v>0</v>
      </c>
      <c r="F73" s="4159">
        <f>'Schedule B'!F119</f>
        <v>1059365.93</v>
      </c>
      <c r="G73" s="4158">
        <f t="shared" si="26"/>
        <v>1059365.93</v>
      </c>
      <c r="H73" s="4158">
        <f>'Schedule B'!H119</f>
        <v>1059365.93</v>
      </c>
      <c r="I73" s="4158">
        <f>'Schedule B'!I119</f>
        <v>0</v>
      </c>
      <c r="J73" s="4160">
        <v>0</v>
      </c>
      <c r="K73" s="4160">
        <f t="shared" si="27"/>
        <v>1059365.93</v>
      </c>
      <c r="L73" s="4160"/>
      <c r="M73" s="4161">
        <f>'Schedule B'!M119</f>
        <v>0</v>
      </c>
      <c r="N73" s="4159">
        <f>'Schedule B'!N119</f>
        <v>0</v>
      </c>
      <c r="O73" s="4159"/>
      <c r="P73" s="4161">
        <f>'Schedule B'!O119</f>
        <v>0</v>
      </c>
      <c r="Q73" s="4158">
        <f t="shared" si="24"/>
        <v>1059365.93</v>
      </c>
      <c r="R73" s="4162">
        <f t="shared" si="25"/>
        <v>0</v>
      </c>
      <c r="S73" s="4163"/>
    </row>
    <row r="74" spans="1:19" s="4164" customFormat="1" ht="24.95" customHeight="1" outlineLevel="1">
      <c r="A74" s="4195" t="s">
        <v>3642</v>
      </c>
      <c r="B74" s="4155" t="str">
        <f t="shared" si="23"/>
        <v>Construction Works</v>
      </c>
      <c r="C74" s="4156" t="s">
        <v>4112</v>
      </c>
      <c r="D74" s="4157" t="str">
        <f>+'Schedule B'!C120</f>
        <v>Direct Works - Yaz Development Contracting</v>
      </c>
      <c r="E74" s="4158">
        <f>'Schedule B'!E120</f>
        <v>0</v>
      </c>
      <c r="F74" s="4159">
        <f>'Schedule B'!F120</f>
        <v>1036210</v>
      </c>
      <c r="G74" s="4158">
        <f t="shared" si="26"/>
        <v>1036210</v>
      </c>
      <c r="H74" s="4158">
        <f>'Schedule B'!H120</f>
        <v>1036210</v>
      </c>
      <c r="I74" s="4158">
        <f>'Schedule B'!I120</f>
        <v>0</v>
      </c>
      <c r="J74" s="4160">
        <v>0</v>
      </c>
      <c r="K74" s="4160">
        <f t="shared" si="27"/>
        <v>1036210</v>
      </c>
      <c r="L74" s="4160"/>
      <c r="M74" s="4161">
        <f>'Schedule B'!M120</f>
        <v>0</v>
      </c>
      <c r="N74" s="4159">
        <f>'Schedule B'!N120</f>
        <v>0</v>
      </c>
      <c r="O74" s="4159"/>
      <c r="P74" s="4161">
        <f>'Schedule B'!O120</f>
        <v>0</v>
      </c>
      <c r="Q74" s="4158">
        <f t="shared" si="24"/>
        <v>1036210</v>
      </c>
      <c r="R74" s="4162">
        <f t="shared" si="25"/>
        <v>0</v>
      </c>
      <c r="S74" s="4163"/>
    </row>
    <row r="75" spans="1:19" s="4164" customFormat="1" ht="24.95" customHeight="1" outlineLevel="1">
      <c r="A75" s="4195" t="s">
        <v>3642</v>
      </c>
      <c r="B75" s="4155" t="str">
        <f t="shared" si="23"/>
        <v>Construction Works</v>
      </c>
      <c r="C75" s="4156" t="s">
        <v>4112</v>
      </c>
      <c r="D75" s="4157" t="str">
        <f>+'Schedule B'!C121</f>
        <v>Direct Works - Naffco</v>
      </c>
      <c r="E75" s="4158">
        <f>'Schedule B'!E121</f>
        <v>0</v>
      </c>
      <c r="F75" s="4159">
        <f>'Schedule B'!F121</f>
        <v>936325.92999999993</v>
      </c>
      <c r="G75" s="4158">
        <f t="shared" si="26"/>
        <v>936325.92999999993</v>
      </c>
      <c r="H75" s="4158">
        <f>'Schedule B'!H121</f>
        <v>936325.92999999993</v>
      </c>
      <c r="I75" s="4158">
        <f>'Schedule B'!I121</f>
        <v>0</v>
      </c>
      <c r="J75" s="4160">
        <v>0</v>
      </c>
      <c r="K75" s="4160">
        <f t="shared" si="27"/>
        <v>936325.92999999993</v>
      </c>
      <c r="L75" s="4160"/>
      <c r="M75" s="4161">
        <f>'Schedule B'!M121</f>
        <v>0</v>
      </c>
      <c r="N75" s="4159">
        <f>'Schedule B'!N121</f>
        <v>0</v>
      </c>
      <c r="O75" s="4159"/>
      <c r="P75" s="4161">
        <f>'Schedule B'!O121</f>
        <v>0</v>
      </c>
      <c r="Q75" s="4158">
        <f t="shared" si="24"/>
        <v>936325.92999999993</v>
      </c>
      <c r="R75" s="4162">
        <f t="shared" si="25"/>
        <v>0</v>
      </c>
      <c r="S75" s="4163"/>
    </row>
    <row r="76" spans="1:19" s="4164" customFormat="1" ht="24.95" customHeight="1" outlineLevel="1">
      <c r="A76" s="4195" t="s">
        <v>3642</v>
      </c>
      <c r="B76" s="4155" t="str">
        <f t="shared" si="23"/>
        <v>Construction Works</v>
      </c>
      <c r="C76" s="4156" t="s">
        <v>4112</v>
      </c>
      <c r="D76" s="4157" t="str">
        <f>+'Schedule B'!C122</f>
        <v>Direct Works - GESR Alarab</v>
      </c>
      <c r="E76" s="4158">
        <f>'Schedule B'!E122</f>
        <v>0</v>
      </c>
      <c r="F76" s="4159">
        <f>'Schedule B'!F122</f>
        <v>2444255.5</v>
      </c>
      <c r="G76" s="4158">
        <f t="shared" si="26"/>
        <v>2444255.5</v>
      </c>
      <c r="H76" s="4158">
        <f>'Schedule B'!H122</f>
        <v>2444255.5</v>
      </c>
      <c r="I76" s="4158">
        <f>'Schedule B'!I122</f>
        <v>0</v>
      </c>
      <c r="J76" s="4160">
        <v>0</v>
      </c>
      <c r="K76" s="4160">
        <f t="shared" si="27"/>
        <v>2444255.5</v>
      </c>
      <c r="L76" s="4160"/>
      <c r="M76" s="4161">
        <f>'Schedule B'!M122</f>
        <v>0</v>
      </c>
      <c r="N76" s="4159">
        <f>'Schedule B'!N122</f>
        <v>0</v>
      </c>
      <c r="O76" s="4159"/>
      <c r="P76" s="4161">
        <f>'Schedule B'!O122</f>
        <v>0</v>
      </c>
      <c r="Q76" s="4158">
        <f t="shared" si="24"/>
        <v>2444255.5</v>
      </c>
      <c r="R76" s="4162">
        <f t="shared" si="25"/>
        <v>0</v>
      </c>
      <c r="S76" s="4163"/>
    </row>
    <row r="77" spans="1:19" s="4164" customFormat="1" ht="24.95" customHeight="1" outlineLevel="1">
      <c r="A77" s="4195" t="s">
        <v>3642</v>
      </c>
      <c r="B77" s="4155" t="str">
        <f t="shared" si="23"/>
        <v>Construction Works</v>
      </c>
      <c r="C77" s="4156" t="s">
        <v>4112</v>
      </c>
      <c r="D77" s="4157" t="str">
        <f>+'Schedule B'!C123</f>
        <v>Direct Works - Jameel Mohamed Hussain Alqatafa Cont Est</v>
      </c>
      <c r="E77" s="4158">
        <f>'Schedule B'!E123</f>
        <v>0</v>
      </c>
      <c r="F77" s="4159">
        <f>'Schedule B'!F123</f>
        <v>127257.78</v>
      </c>
      <c r="G77" s="4158">
        <f t="shared" si="26"/>
        <v>127257.78</v>
      </c>
      <c r="H77" s="4158">
        <f>'Schedule B'!H123</f>
        <v>127257.78</v>
      </c>
      <c r="I77" s="4158">
        <f>'Schedule B'!I123</f>
        <v>0</v>
      </c>
      <c r="J77" s="4160">
        <v>0</v>
      </c>
      <c r="K77" s="4160">
        <f t="shared" si="27"/>
        <v>127257.78</v>
      </c>
      <c r="L77" s="4160"/>
      <c r="M77" s="4161">
        <f>'Schedule B'!M123</f>
        <v>0</v>
      </c>
      <c r="N77" s="4159">
        <f>'Schedule B'!N123</f>
        <v>0</v>
      </c>
      <c r="O77" s="4159"/>
      <c r="P77" s="4161">
        <f>'Schedule B'!O123</f>
        <v>0</v>
      </c>
      <c r="Q77" s="4158">
        <f t="shared" si="24"/>
        <v>127257.78</v>
      </c>
      <c r="R77" s="4162">
        <f t="shared" si="25"/>
        <v>0</v>
      </c>
      <c r="S77" s="4163"/>
    </row>
    <row r="78" spans="1:19" s="4164" customFormat="1" ht="24.95" customHeight="1" outlineLevel="1">
      <c r="A78" s="4195" t="s">
        <v>3642</v>
      </c>
      <c r="B78" s="4155" t="str">
        <f t="shared" si="23"/>
        <v>Construction Works</v>
      </c>
      <c r="C78" s="4156" t="s">
        <v>4112</v>
      </c>
      <c r="D78" s="4157" t="str">
        <f>+'Schedule B'!C124</f>
        <v>Direct Works - MEDTEL</v>
      </c>
      <c r="E78" s="4158">
        <f>'Schedule B'!E124</f>
        <v>0</v>
      </c>
      <c r="F78" s="4159">
        <f>'Schedule B'!F124</f>
        <v>5913785.5800000001</v>
      </c>
      <c r="G78" s="4158">
        <f t="shared" ref="G78:G94" si="28">F78+E78</f>
        <v>5913785.5800000001</v>
      </c>
      <c r="H78" s="4158">
        <f>'Schedule B'!H124</f>
        <v>5913785.5800000001</v>
      </c>
      <c r="I78" s="4158">
        <f>'Schedule B'!I124</f>
        <v>0</v>
      </c>
      <c r="J78" s="4160">
        <v>0</v>
      </c>
      <c r="K78" s="4160">
        <f t="shared" ref="K78:K94" si="29">SUM(H78:J78)</f>
        <v>5913785.5800000001</v>
      </c>
      <c r="L78" s="4160"/>
      <c r="M78" s="4161">
        <f>'Schedule B'!M124</f>
        <v>0</v>
      </c>
      <c r="N78" s="4159">
        <f>'Schedule B'!N124</f>
        <v>0</v>
      </c>
      <c r="O78" s="4159"/>
      <c r="P78" s="4161">
        <f>'Schedule B'!O124</f>
        <v>0</v>
      </c>
      <c r="Q78" s="4158">
        <f t="shared" si="24"/>
        <v>5913785.5800000001</v>
      </c>
      <c r="R78" s="4162">
        <f t="shared" si="25"/>
        <v>0</v>
      </c>
      <c r="S78" s="4163"/>
    </row>
    <row r="79" spans="1:19" s="4164" customFormat="1" ht="24.95" customHeight="1" outlineLevel="1">
      <c r="A79" s="4195" t="s">
        <v>3642</v>
      </c>
      <c r="B79" s="4155" t="str">
        <f t="shared" si="23"/>
        <v>Construction Works</v>
      </c>
      <c r="C79" s="4156" t="s">
        <v>4112</v>
      </c>
      <c r="D79" s="4157" t="str">
        <f>+'Schedule B'!C125</f>
        <v xml:space="preserve">Direct Works - Noreom </v>
      </c>
      <c r="E79" s="4158">
        <f>'Schedule B'!E125</f>
        <v>0</v>
      </c>
      <c r="F79" s="4159">
        <f>'Schedule B'!F125</f>
        <v>100641.60000000001</v>
      </c>
      <c r="G79" s="4158">
        <f t="shared" si="28"/>
        <v>100641.60000000001</v>
      </c>
      <c r="H79" s="4158">
        <f>'Schedule B'!H125</f>
        <v>100641.60000000001</v>
      </c>
      <c r="I79" s="4158">
        <f>'Schedule B'!I125</f>
        <v>0</v>
      </c>
      <c r="J79" s="4160">
        <v>0</v>
      </c>
      <c r="K79" s="4160">
        <f t="shared" si="29"/>
        <v>100641.60000000001</v>
      </c>
      <c r="L79" s="4160"/>
      <c r="M79" s="4161">
        <f>'Schedule B'!M125</f>
        <v>0</v>
      </c>
      <c r="N79" s="4159">
        <f>'Schedule B'!N125</f>
        <v>0</v>
      </c>
      <c r="O79" s="4159"/>
      <c r="P79" s="4161">
        <f>'Schedule B'!O125</f>
        <v>0</v>
      </c>
      <c r="Q79" s="4158">
        <f t="shared" si="24"/>
        <v>100641.60000000001</v>
      </c>
      <c r="R79" s="4162">
        <f t="shared" si="25"/>
        <v>0</v>
      </c>
      <c r="S79" s="4163"/>
    </row>
    <row r="80" spans="1:19" s="4164" customFormat="1" ht="24.95" customHeight="1" outlineLevel="1">
      <c r="A80" s="4195" t="s">
        <v>3642</v>
      </c>
      <c r="B80" s="4155" t="str">
        <f t="shared" si="23"/>
        <v>Construction Works</v>
      </c>
      <c r="C80" s="4156" t="s">
        <v>4112</v>
      </c>
      <c r="D80" s="4157" t="str">
        <f>+'Schedule B'!C126</f>
        <v>Direct Works - Isam Kabani &amp; Partners</v>
      </c>
      <c r="E80" s="4158">
        <f>'Schedule B'!E126</f>
        <v>0</v>
      </c>
      <c r="F80" s="4159">
        <f>'Schedule B'!F126</f>
        <v>2267626.88</v>
      </c>
      <c r="G80" s="4158">
        <f t="shared" si="28"/>
        <v>2267626.88</v>
      </c>
      <c r="H80" s="4158">
        <f>'Schedule B'!H126</f>
        <v>2267626.88</v>
      </c>
      <c r="I80" s="4158">
        <f>'Schedule B'!I126</f>
        <v>0</v>
      </c>
      <c r="J80" s="4160">
        <v>0</v>
      </c>
      <c r="K80" s="4160">
        <f t="shared" si="29"/>
        <v>2267626.88</v>
      </c>
      <c r="L80" s="4160"/>
      <c r="M80" s="4161">
        <f>'Schedule B'!M126</f>
        <v>0</v>
      </c>
      <c r="N80" s="4159">
        <f>'Schedule B'!N126</f>
        <v>0</v>
      </c>
      <c r="O80" s="4159"/>
      <c r="P80" s="4161">
        <f>'Schedule B'!O126</f>
        <v>0</v>
      </c>
      <c r="Q80" s="4158">
        <f t="shared" si="24"/>
        <v>2267626.88</v>
      </c>
      <c r="R80" s="4162">
        <f t="shared" si="25"/>
        <v>0</v>
      </c>
      <c r="S80" s="4163"/>
    </row>
    <row r="81" spans="1:19" s="4164" customFormat="1" ht="24.95" customHeight="1" outlineLevel="1">
      <c r="A81" s="4195" t="s">
        <v>3642</v>
      </c>
      <c r="B81" s="4155" t="str">
        <f t="shared" si="23"/>
        <v>Construction Works</v>
      </c>
      <c r="C81" s="4156" t="s">
        <v>4112</v>
      </c>
      <c r="D81" s="4157" t="str">
        <f>+'Schedule B'!C127</f>
        <v>Direct Works - ARABIAN TESTING EVOLUTION COMPANY</v>
      </c>
      <c r="E81" s="4158">
        <f>'Schedule B'!E127</f>
        <v>0</v>
      </c>
      <c r="F81" s="4159">
        <f>'Schedule B'!F127</f>
        <v>425440</v>
      </c>
      <c r="G81" s="4158">
        <f t="shared" si="28"/>
        <v>425440</v>
      </c>
      <c r="H81" s="4158">
        <f>'Schedule B'!H127</f>
        <v>425440</v>
      </c>
      <c r="I81" s="4158">
        <f>'Schedule B'!I127</f>
        <v>0</v>
      </c>
      <c r="J81" s="4160">
        <v>0</v>
      </c>
      <c r="K81" s="4160">
        <f t="shared" si="29"/>
        <v>425440</v>
      </c>
      <c r="L81" s="4160"/>
      <c r="M81" s="4161">
        <f>'Schedule B'!M127</f>
        <v>0</v>
      </c>
      <c r="N81" s="4159">
        <f>'Schedule B'!N127</f>
        <v>0</v>
      </c>
      <c r="O81" s="4159"/>
      <c r="P81" s="4161">
        <f>'Schedule B'!O127</f>
        <v>0</v>
      </c>
      <c r="Q81" s="4158">
        <f t="shared" si="24"/>
        <v>425440</v>
      </c>
      <c r="R81" s="4162">
        <f t="shared" si="25"/>
        <v>0</v>
      </c>
      <c r="S81" s="4163"/>
    </row>
    <row r="82" spans="1:19" s="4164" customFormat="1" ht="24.95" customHeight="1" outlineLevel="1">
      <c r="A82" s="4195" t="s">
        <v>3642</v>
      </c>
      <c r="B82" s="4155" t="str">
        <f t="shared" si="23"/>
        <v>Construction Works</v>
      </c>
      <c r="C82" s="4156" t="s">
        <v>4112</v>
      </c>
      <c r="D82" s="4157" t="str">
        <f>+'Schedule B'!C128</f>
        <v>Direct Works - Wood Expert</v>
      </c>
      <c r="E82" s="4158">
        <f>'Schedule B'!E128</f>
        <v>0</v>
      </c>
      <c r="F82" s="4159">
        <f>'Schedule B'!F128</f>
        <v>22475</v>
      </c>
      <c r="G82" s="4158">
        <f t="shared" si="28"/>
        <v>22475</v>
      </c>
      <c r="H82" s="4158">
        <f>'Schedule B'!H128</f>
        <v>22475</v>
      </c>
      <c r="I82" s="4158">
        <f>'Schedule B'!I128</f>
        <v>0</v>
      </c>
      <c r="J82" s="4160">
        <v>0</v>
      </c>
      <c r="K82" s="4160">
        <f t="shared" si="29"/>
        <v>22475</v>
      </c>
      <c r="L82" s="4160"/>
      <c r="M82" s="4161">
        <f>'Schedule B'!M128</f>
        <v>0</v>
      </c>
      <c r="N82" s="4159">
        <f>'Schedule B'!N128</f>
        <v>0</v>
      </c>
      <c r="O82" s="4159"/>
      <c r="P82" s="4161">
        <f>'Schedule B'!O128</f>
        <v>0</v>
      </c>
      <c r="Q82" s="4158">
        <f t="shared" si="24"/>
        <v>22475</v>
      </c>
      <c r="R82" s="4162">
        <f t="shared" si="25"/>
        <v>0</v>
      </c>
      <c r="S82" s="4163"/>
    </row>
    <row r="83" spans="1:19" s="4164" customFormat="1" ht="24.95" customHeight="1" outlineLevel="1">
      <c r="A83" s="4195" t="s">
        <v>3642</v>
      </c>
      <c r="B83" s="4155" t="str">
        <f t="shared" si="23"/>
        <v>Construction Works</v>
      </c>
      <c r="C83" s="4156" t="s">
        <v>4112</v>
      </c>
      <c r="D83" s="4157" t="str">
        <f>+'Schedule B'!C129</f>
        <v>Direct Works - Energy &amp; Building Master</v>
      </c>
      <c r="E83" s="4158">
        <f>'Schedule B'!E129</f>
        <v>0</v>
      </c>
      <c r="F83" s="4159">
        <f>'Schedule B'!F129</f>
        <v>117720</v>
      </c>
      <c r="G83" s="4158">
        <f t="shared" si="28"/>
        <v>117720</v>
      </c>
      <c r="H83" s="4158">
        <f>'Schedule B'!H129</f>
        <v>117720</v>
      </c>
      <c r="I83" s="4158">
        <f>'Schedule B'!I129</f>
        <v>0</v>
      </c>
      <c r="J83" s="4160">
        <v>0</v>
      </c>
      <c r="K83" s="4160">
        <f t="shared" si="29"/>
        <v>117720</v>
      </c>
      <c r="L83" s="4160"/>
      <c r="M83" s="4161">
        <f>'Schedule B'!M129</f>
        <v>0</v>
      </c>
      <c r="N83" s="4159">
        <f>'Schedule B'!N129</f>
        <v>0</v>
      </c>
      <c r="O83" s="4159"/>
      <c r="P83" s="4161">
        <f>'Schedule B'!O129</f>
        <v>0</v>
      </c>
      <c r="Q83" s="4158">
        <f t="shared" si="24"/>
        <v>117720</v>
      </c>
      <c r="R83" s="4162">
        <f t="shared" si="25"/>
        <v>0</v>
      </c>
      <c r="S83" s="4163"/>
    </row>
    <row r="84" spans="1:19" s="4164" customFormat="1" ht="24.95" customHeight="1" outlineLevel="1">
      <c r="A84" s="4195" t="s">
        <v>3642</v>
      </c>
      <c r="B84" s="4155" t="str">
        <f t="shared" si="23"/>
        <v>Construction Works</v>
      </c>
      <c r="C84" s="4156" t="s">
        <v>4112</v>
      </c>
      <c r="D84" s="4157" t="str">
        <f>+'Schedule B'!C130</f>
        <v>Direct Works - ACES</v>
      </c>
      <c r="E84" s="4158">
        <f>'Schedule B'!E130</f>
        <v>0</v>
      </c>
      <c r="F84" s="4159">
        <f>'Schedule B'!F130</f>
        <v>4401.3</v>
      </c>
      <c r="G84" s="4158">
        <f t="shared" si="28"/>
        <v>4401.3</v>
      </c>
      <c r="H84" s="4158">
        <f>'Schedule B'!H130</f>
        <v>4401.3</v>
      </c>
      <c r="I84" s="4158">
        <f>'Schedule B'!I130</f>
        <v>0</v>
      </c>
      <c r="J84" s="4160">
        <v>0</v>
      </c>
      <c r="K84" s="4160">
        <f t="shared" si="29"/>
        <v>4401.3</v>
      </c>
      <c r="L84" s="4160"/>
      <c r="M84" s="4161">
        <f>'Schedule B'!M130</f>
        <v>0</v>
      </c>
      <c r="N84" s="4159">
        <f>'Schedule B'!N130</f>
        <v>0</v>
      </c>
      <c r="O84" s="4159"/>
      <c r="P84" s="4161">
        <f>'Schedule B'!O130</f>
        <v>0</v>
      </c>
      <c r="Q84" s="4158">
        <f t="shared" si="24"/>
        <v>4401.3</v>
      </c>
      <c r="R84" s="4162">
        <f t="shared" si="25"/>
        <v>0</v>
      </c>
      <c r="S84" s="4163"/>
    </row>
    <row r="85" spans="1:19" s="4164" customFormat="1" ht="24.95" customHeight="1" outlineLevel="1">
      <c r="A85" s="4195" t="s">
        <v>3642</v>
      </c>
      <c r="B85" s="4155" t="str">
        <f t="shared" si="23"/>
        <v>Construction Works</v>
      </c>
      <c r="C85" s="4156" t="s">
        <v>4112</v>
      </c>
      <c r="D85" s="4157" t="str">
        <f>+'Schedule B'!C131</f>
        <v>Direct Works - International Company for Building Materials LTD</v>
      </c>
      <c r="E85" s="4158">
        <f>'Schedule B'!E131</f>
        <v>0</v>
      </c>
      <c r="F85" s="4159">
        <f>'Schedule B'!F131</f>
        <v>60486.9</v>
      </c>
      <c r="G85" s="4158">
        <f t="shared" si="28"/>
        <v>60486.9</v>
      </c>
      <c r="H85" s="4158">
        <f>'Schedule B'!H131</f>
        <v>60486.9</v>
      </c>
      <c r="I85" s="4158">
        <f>'Schedule B'!I131</f>
        <v>0</v>
      </c>
      <c r="J85" s="4160">
        <v>0</v>
      </c>
      <c r="K85" s="4160">
        <f t="shared" si="29"/>
        <v>60486.9</v>
      </c>
      <c r="L85" s="4160"/>
      <c r="M85" s="4161">
        <f>'Schedule B'!M131</f>
        <v>0</v>
      </c>
      <c r="N85" s="4159">
        <f>'Schedule B'!N131</f>
        <v>0</v>
      </c>
      <c r="O85" s="4159"/>
      <c r="P85" s="4161">
        <f>'Schedule B'!O131</f>
        <v>0</v>
      </c>
      <c r="Q85" s="4158">
        <f t="shared" si="24"/>
        <v>60486.9</v>
      </c>
      <c r="R85" s="4162">
        <f t="shared" si="25"/>
        <v>0</v>
      </c>
      <c r="S85" s="4163"/>
    </row>
    <row r="86" spans="1:19" s="4164" customFormat="1" ht="24.95" customHeight="1" outlineLevel="1">
      <c r="A86" s="4195" t="s">
        <v>3642</v>
      </c>
      <c r="B86" s="4155" t="str">
        <f t="shared" si="23"/>
        <v>Construction Works</v>
      </c>
      <c r="C86" s="4156" t="s">
        <v>4112</v>
      </c>
      <c r="D86" s="4157" t="str">
        <f>+'Schedule B'!C132</f>
        <v>Direct Works - Al Hayat</v>
      </c>
      <c r="E86" s="4158">
        <f>'Schedule B'!E132</f>
        <v>0</v>
      </c>
      <c r="F86" s="4159">
        <f>'Schedule B'!F132</f>
        <v>846817.39</v>
      </c>
      <c r="G86" s="4158">
        <f t="shared" si="28"/>
        <v>846817.39</v>
      </c>
      <c r="H86" s="4158">
        <f>'Schedule B'!H132</f>
        <v>846817.39</v>
      </c>
      <c r="I86" s="4158">
        <f>'Schedule B'!I132</f>
        <v>0</v>
      </c>
      <c r="J86" s="4160">
        <v>0</v>
      </c>
      <c r="K86" s="4160">
        <f t="shared" si="29"/>
        <v>846817.39</v>
      </c>
      <c r="L86" s="4160"/>
      <c r="M86" s="4161">
        <f>'Schedule B'!M132</f>
        <v>0</v>
      </c>
      <c r="N86" s="4159">
        <f>'Schedule B'!N132</f>
        <v>0</v>
      </c>
      <c r="O86" s="4159"/>
      <c r="P86" s="4161">
        <f>'Schedule B'!O132</f>
        <v>0</v>
      </c>
      <c r="Q86" s="4158">
        <f t="shared" si="24"/>
        <v>846817.39</v>
      </c>
      <c r="R86" s="4162">
        <f t="shared" si="25"/>
        <v>0</v>
      </c>
      <c r="S86" s="4163"/>
    </row>
    <row r="87" spans="1:19" s="4164" customFormat="1" ht="24.95" customHeight="1" outlineLevel="1">
      <c r="A87" s="4195" t="s">
        <v>3642</v>
      </c>
      <c r="B87" s="4155" t="str">
        <f t="shared" si="23"/>
        <v>Construction Works</v>
      </c>
      <c r="C87" s="4156" t="s">
        <v>4112</v>
      </c>
      <c r="D87" s="4157" t="str">
        <f>+'Schedule B'!C133</f>
        <v>Direct Works -Saint Gobain</v>
      </c>
      <c r="E87" s="4158">
        <f>'Schedule B'!E133</f>
        <v>0</v>
      </c>
      <c r="F87" s="4159">
        <f>'Schedule B'!F133</f>
        <v>122301.47</v>
      </c>
      <c r="G87" s="4158">
        <f t="shared" si="28"/>
        <v>122301.47</v>
      </c>
      <c r="H87" s="4158">
        <f>'Schedule B'!H133</f>
        <v>122301.47</v>
      </c>
      <c r="I87" s="4158">
        <f>'Schedule B'!I133</f>
        <v>0</v>
      </c>
      <c r="J87" s="4160">
        <v>0</v>
      </c>
      <c r="K87" s="4160">
        <f t="shared" si="29"/>
        <v>122301.47</v>
      </c>
      <c r="L87" s="4160"/>
      <c r="M87" s="4161">
        <f>'Schedule B'!M133</f>
        <v>0</v>
      </c>
      <c r="N87" s="4159">
        <f>'Schedule B'!N133</f>
        <v>0</v>
      </c>
      <c r="O87" s="4159"/>
      <c r="P87" s="4161">
        <f>'Schedule B'!O133</f>
        <v>0</v>
      </c>
      <c r="Q87" s="4158">
        <f t="shared" si="24"/>
        <v>122301.47</v>
      </c>
      <c r="R87" s="4162">
        <f t="shared" si="25"/>
        <v>0</v>
      </c>
      <c r="S87" s="4163"/>
    </row>
    <row r="88" spans="1:19" s="4164" customFormat="1" ht="24.95" customHeight="1" outlineLevel="1">
      <c r="A88" s="4195" t="s">
        <v>3642</v>
      </c>
      <c r="B88" s="4155" t="str">
        <f t="shared" si="23"/>
        <v>Construction Works</v>
      </c>
      <c r="C88" s="4156" t="s">
        <v>4112</v>
      </c>
      <c r="D88" s="4157" t="str">
        <f>+'Schedule B'!C134</f>
        <v>Direct Works- AAMTAC Company LTD</v>
      </c>
      <c r="E88" s="4158">
        <f>'Schedule B'!E134</f>
        <v>0</v>
      </c>
      <c r="F88" s="4159">
        <f>'Schedule B'!F134</f>
        <v>22553</v>
      </c>
      <c r="G88" s="4158">
        <f t="shared" si="28"/>
        <v>22553</v>
      </c>
      <c r="H88" s="4158">
        <f>'Schedule B'!H134</f>
        <v>22553</v>
      </c>
      <c r="I88" s="4158">
        <f>'Schedule B'!I134</f>
        <v>0</v>
      </c>
      <c r="J88" s="4160">
        <v>0</v>
      </c>
      <c r="K88" s="4160">
        <f t="shared" si="29"/>
        <v>22553</v>
      </c>
      <c r="L88" s="4160"/>
      <c r="M88" s="4161">
        <f>'Schedule B'!M134</f>
        <v>0</v>
      </c>
      <c r="N88" s="4159">
        <f>'Schedule B'!N134</f>
        <v>0</v>
      </c>
      <c r="O88" s="4159"/>
      <c r="P88" s="4161">
        <f>'Schedule B'!O134</f>
        <v>0</v>
      </c>
      <c r="Q88" s="4158">
        <f t="shared" si="24"/>
        <v>22553</v>
      </c>
      <c r="R88" s="4162">
        <f t="shared" si="25"/>
        <v>0</v>
      </c>
      <c r="S88" s="4163"/>
    </row>
    <row r="89" spans="1:19" s="4164" customFormat="1" ht="24.95" customHeight="1" outlineLevel="1">
      <c r="A89" s="4195" t="s">
        <v>3642</v>
      </c>
      <c r="B89" s="4155" t="str">
        <f t="shared" si="23"/>
        <v>Construction Works</v>
      </c>
      <c r="C89" s="4156" t="s">
        <v>4112</v>
      </c>
      <c r="D89" s="4157" t="str">
        <f>+'Schedule B'!C135</f>
        <v>Direct Works - DOSAR Al Najd</v>
      </c>
      <c r="E89" s="4158">
        <f>'Schedule B'!E135</f>
        <v>0</v>
      </c>
      <c r="F89" s="4159">
        <f>'Schedule B'!F135</f>
        <v>123937.39</v>
      </c>
      <c r="G89" s="4158">
        <f t="shared" si="28"/>
        <v>123937.39</v>
      </c>
      <c r="H89" s="4158">
        <f>'Schedule B'!H135</f>
        <v>123937.39</v>
      </c>
      <c r="I89" s="4158">
        <f>'Schedule B'!I135</f>
        <v>0</v>
      </c>
      <c r="J89" s="4160">
        <v>0</v>
      </c>
      <c r="K89" s="4160">
        <f t="shared" si="29"/>
        <v>123937.39</v>
      </c>
      <c r="L89" s="4160"/>
      <c r="M89" s="4161">
        <f>'Schedule B'!M135</f>
        <v>0</v>
      </c>
      <c r="N89" s="4159">
        <f>'Schedule B'!N135</f>
        <v>0</v>
      </c>
      <c r="O89" s="4159"/>
      <c r="P89" s="4161">
        <f>'Schedule B'!O135</f>
        <v>0</v>
      </c>
      <c r="Q89" s="4158">
        <f t="shared" si="24"/>
        <v>123937.39</v>
      </c>
      <c r="R89" s="4162">
        <f t="shared" si="25"/>
        <v>0</v>
      </c>
      <c r="S89" s="4163"/>
    </row>
    <row r="90" spans="1:19" s="4164" customFormat="1" ht="24.95" customHeight="1" outlineLevel="1">
      <c r="A90" s="4195" t="s">
        <v>3642</v>
      </c>
      <c r="B90" s="4155" t="str">
        <f t="shared" si="23"/>
        <v>Construction Works</v>
      </c>
      <c r="C90" s="4156" t="s">
        <v>4112</v>
      </c>
      <c r="D90" s="4157" t="str">
        <f>+'Schedule B'!C136</f>
        <v>Direct Works - Alcatop</v>
      </c>
      <c r="E90" s="4158">
        <f>'Schedule B'!E136</f>
        <v>0</v>
      </c>
      <c r="F90" s="4159">
        <f>'Schedule B'!F136</f>
        <v>1139399.1100000001</v>
      </c>
      <c r="G90" s="4158">
        <f t="shared" si="28"/>
        <v>1139399.1100000001</v>
      </c>
      <c r="H90" s="4158">
        <f>'Schedule B'!H136</f>
        <v>1139399.1100000001</v>
      </c>
      <c r="I90" s="4158">
        <f>'Schedule B'!I136</f>
        <v>0</v>
      </c>
      <c r="J90" s="4160">
        <v>0</v>
      </c>
      <c r="K90" s="4160">
        <f t="shared" si="29"/>
        <v>1139399.1100000001</v>
      </c>
      <c r="L90" s="4160"/>
      <c r="M90" s="4161">
        <f>'Schedule B'!M136</f>
        <v>0</v>
      </c>
      <c r="N90" s="4159">
        <f>'Schedule B'!N136</f>
        <v>0</v>
      </c>
      <c r="O90" s="4159"/>
      <c r="P90" s="4161">
        <f>'Schedule B'!O136</f>
        <v>0</v>
      </c>
      <c r="Q90" s="4158">
        <f t="shared" si="24"/>
        <v>1139399.1100000001</v>
      </c>
      <c r="R90" s="4162">
        <f t="shared" si="25"/>
        <v>0</v>
      </c>
      <c r="S90" s="4163"/>
    </row>
    <row r="91" spans="1:19" s="4164" customFormat="1" ht="24.95" customHeight="1" outlineLevel="1">
      <c r="A91" s="4195" t="s">
        <v>3642</v>
      </c>
      <c r="B91" s="4155" t="str">
        <f t="shared" si="23"/>
        <v>Construction Works</v>
      </c>
      <c r="C91" s="4156" t="s">
        <v>4112</v>
      </c>
      <c r="D91" s="4157" t="str">
        <f>+'Schedule B'!C137</f>
        <v>Direct Works - Saveto Saudi Vetonit Co Ltd</v>
      </c>
      <c r="E91" s="4158">
        <f>'Schedule B'!E137</f>
        <v>0</v>
      </c>
      <c r="F91" s="4159">
        <f>'Schedule B'!F137</f>
        <v>2730</v>
      </c>
      <c r="G91" s="4158">
        <f t="shared" si="28"/>
        <v>2730</v>
      </c>
      <c r="H91" s="4158">
        <f>'Schedule B'!H137</f>
        <v>2730</v>
      </c>
      <c r="I91" s="4158">
        <f>'Schedule B'!I137</f>
        <v>0</v>
      </c>
      <c r="J91" s="4160">
        <v>0</v>
      </c>
      <c r="K91" s="4160">
        <f t="shared" si="29"/>
        <v>2730</v>
      </c>
      <c r="L91" s="4160"/>
      <c r="M91" s="4161">
        <f>'Schedule B'!M137</f>
        <v>0</v>
      </c>
      <c r="N91" s="4159">
        <f>'Schedule B'!N137</f>
        <v>0</v>
      </c>
      <c r="O91" s="4159"/>
      <c r="P91" s="4161">
        <f>'Schedule B'!O137</f>
        <v>0</v>
      </c>
      <c r="Q91" s="4158">
        <f t="shared" si="24"/>
        <v>2730</v>
      </c>
      <c r="R91" s="4162">
        <f t="shared" si="25"/>
        <v>0</v>
      </c>
      <c r="S91" s="4163"/>
    </row>
    <row r="92" spans="1:19" s="4164" customFormat="1" ht="24.95" customHeight="1" outlineLevel="1">
      <c r="A92" s="4195" t="s">
        <v>3642</v>
      </c>
      <c r="B92" s="4155" t="str">
        <f t="shared" si="23"/>
        <v>Construction Works</v>
      </c>
      <c r="C92" s="4156" t="s">
        <v>4112</v>
      </c>
      <c r="D92" s="4157" t="str">
        <f>+'Schedule B'!C138</f>
        <v>Direct Works - Top Construction Co Ltd</v>
      </c>
      <c r="E92" s="4158">
        <f>'Schedule B'!E138</f>
        <v>0</v>
      </c>
      <c r="F92" s="4159">
        <f>'Schedule B'!F138</f>
        <v>326341.06</v>
      </c>
      <c r="G92" s="4158">
        <f t="shared" si="28"/>
        <v>326341.06</v>
      </c>
      <c r="H92" s="4158">
        <f>'Schedule B'!H138</f>
        <v>326341.06</v>
      </c>
      <c r="I92" s="4158">
        <f>'Schedule B'!I138</f>
        <v>0</v>
      </c>
      <c r="J92" s="4160">
        <v>0</v>
      </c>
      <c r="K92" s="4160">
        <f t="shared" si="29"/>
        <v>326341.06</v>
      </c>
      <c r="L92" s="4160"/>
      <c r="M92" s="4161">
        <f>'Schedule B'!M138</f>
        <v>0</v>
      </c>
      <c r="N92" s="4159">
        <f>'Schedule B'!N138</f>
        <v>0</v>
      </c>
      <c r="O92" s="4159"/>
      <c r="P92" s="4161">
        <f>'Schedule B'!O138</f>
        <v>0</v>
      </c>
      <c r="Q92" s="4158">
        <f t="shared" si="24"/>
        <v>326341.06</v>
      </c>
      <c r="R92" s="4162">
        <f t="shared" si="25"/>
        <v>0</v>
      </c>
      <c r="S92" s="4163"/>
    </row>
    <row r="93" spans="1:19" s="4164" customFormat="1" ht="24.95" customHeight="1" outlineLevel="1">
      <c r="A93" s="4195" t="s">
        <v>3642</v>
      </c>
      <c r="B93" s="4155" t="str">
        <f t="shared" si="23"/>
        <v>Construction Works</v>
      </c>
      <c r="C93" s="4156" t="s">
        <v>4112</v>
      </c>
      <c r="D93" s="4157" t="str">
        <f>+'Schedule B'!C139</f>
        <v xml:space="preserve">Direct Works - TBK Metal </v>
      </c>
      <c r="E93" s="4158">
        <f>'Schedule B'!E139</f>
        <v>0</v>
      </c>
      <c r="F93" s="4159">
        <f>'Schedule B'!F139</f>
        <v>200069</v>
      </c>
      <c r="G93" s="4158">
        <f t="shared" si="28"/>
        <v>200069</v>
      </c>
      <c r="H93" s="4158">
        <f>'Schedule B'!H139</f>
        <v>200069</v>
      </c>
      <c r="I93" s="4158">
        <f>'Schedule B'!I139</f>
        <v>0</v>
      </c>
      <c r="J93" s="4160">
        <v>0</v>
      </c>
      <c r="K93" s="4160">
        <f t="shared" si="29"/>
        <v>200069</v>
      </c>
      <c r="L93" s="4160"/>
      <c r="M93" s="4161">
        <f>'Schedule B'!M139</f>
        <v>0</v>
      </c>
      <c r="N93" s="4159">
        <f>'Schedule B'!N139</f>
        <v>0</v>
      </c>
      <c r="O93" s="4159"/>
      <c r="P93" s="4161">
        <f>'Schedule B'!O139</f>
        <v>0</v>
      </c>
      <c r="Q93" s="4158">
        <f t="shared" si="24"/>
        <v>200069</v>
      </c>
      <c r="R93" s="4162">
        <f t="shared" si="25"/>
        <v>0</v>
      </c>
      <c r="S93" s="4163"/>
    </row>
    <row r="94" spans="1:19" s="4164" customFormat="1" ht="24.95" customHeight="1" outlineLevel="1">
      <c r="A94" s="4195" t="s">
        <v>3642</v>
      </c>
      <c r="B94" s="4155" t="str">
        <f t="shared" si="23"/>
        <v>Construction Works</v>
      </c>
      <c r="C94" s="4156" t="s">
        <v>4112</v>
      </c>
      <c r="D94" s="4157" t="str">
        <f>+'Schedule B'!C140</f>
        <v>Direct Works - Lakeshore</v>
      </c>
      <c r="E94" s="4158">
        <f>'Schedule B'!E140</f>
        <v>0</v>
      </c>
      <c r="F94" s="4159">
        <f>'Schedule B'!F140</f>
        <v>624120.15</v>
      </c>
      <c r="G94" s="4158">
        <f t="shared" si="28"/>
        <v>624120.15</v>
      </c>
      <c r="H94" s="4158">
        <f>'Schedule B'!H140</f>
        <v>624120.15</v>
      </c>
      <c r="I94" s="4158">
        <f>'Schedule B'!I140</f>
        <v>0</v>
      </c>
      <c r="J94" s="4160">
        <v>0</v>
      </c>
      <c r="K94" s="4160">
        <f t="shared" si="29"/>
        <v>624120.15</v>
      </c>
      <c r="L94" s="4160"/>
      <c r="M94" s="4161">
        <f>'Schedule B'!M140</f>
        <v>0</v>
      </c>
      <c r="N94" s="4159">
        <f>'Schedule B'!N140</f>
        <v>0</v>
      </c>
      <c r="O94" s="4159"/>
      <c r="P94" s="4161">
        <f>'Schedule B'!O140</f>
        <v>0</v>
      </c>
      <c r="Q94" s="4158">
        <f t="shared" si="24"/>
        <v>624120.15</v>
      </c>
      <c r="R94" s="4162">
        <f t="shared" si="25"/>
        <v>0</v>
      </c>
      <c r="S94" s="4163"/>
    </row>
    <row r="95" spans="1:19" s="4164" customFormat="1" ht="24.95" customHeight="1" outlineLevel="1">
      <c r="A95" s="4195" t="s">
        <v>3642</v>
      </c>
      <c r="B95" s="4155" t="str">
        <f t="shared" si="23"/>
        <v>Construction Works</v>
      </c>
      <c r="C95" s="4156" t="s">
        <v>4112</v>
      </c>
      <c r="D95" s="4157" t="str">
        <f>+'Schedule B'!C141</f>
        <v>Direct Works - Fast Steps</v>
      </c>
      <c r="E95" s="4158">
        <f>'Schedule B'!E141</f>
        <v>0</v>
      </c>
      <c r="F95" s="4159">
        <f>'Schedule B'!F141</f>
        <v>22250</v>
      </c>
      <c r="G95" s="4158">
        <f>F95+E95</f>
        <v>22250</v>
      </c>
      <c r="H95" s="4158">
        <f>'Schedule B'!H141</f>
        <v>22250</v>
      </c>
      <c r="I95" s="4158">
        <f>'Schedule B'!I141</f>
        <v>0</v>
      </c>
      <c r="J95" s="4160">
        <v>0</v>
      </c>
      <c r="K95" s="4160">
        <f>SUM(H95:J95)</f>
        <v>22250</v>
      </c>
      <c r="L95" s="4160"/>
      <c r="M95" s="4161">
        <f>'Schedule B'!M141</f>
        <v>0</v>
      </c>
      <c r="N95" s="4159">
        <f>'Schedule B'!N141</f>
        <v>0</v>
      </c>
      <c r="O95" s="4159"/>
      <c r="P95" s="4161">
        <f>'Schedule B'!O141</f>
        <v>0</v>
      </c>
      <c r="Q95" s="4158">
        <f t="shared" si="24"/>
        <v>22250</v>
      </c>
      <c r="R95" s="4162">
        <f t="shared" si="25"/>
        <v>0</v>
      </c>
      <c r="S95" s="4163"/>
    </row>
    <row r="96" spans="1:19" s="4164" customFormat="1" ht="24.95" customHeight="1" outlineLevel="1">
      <c r="A96" s="4195" t="s">
        <v>3642</v>
      </c>
      <c r="B96" s="4155" t="str">
        <f t="shared" si="23"/>
        <v>Construction Works</v>
      </c>
      <c r="C96" s="4156" t="s">
        <v>4112</v>
      </c>
      <c r="D96" s="4157" t="str">
        <f>+'Schedule B'!C142</f>
        <v>Direct Works - HRFA</v>
      </c>
      <c r="E96" s="4158">
        <f>'Schedule B'!E142</f>
        <v>0</v>
      </c>
      <c r="F96" s="4159">
        <f>'Schedule B'!F142</f>
        <v>196505.68</v>
      </c>
      <c r="G96" s="4158">
        <f>F96+E96</f>
        <v>196505.68</v>
      </c>
      <c r="H96" s="4158">
        <f>'Schedule B'!H142</f>
        <v>196505.68</v>
      </c>
      <c r="I96" s="4158">
        <f>'Schedule B'!I142</f>
        <v>0</v>
      </c>
      <c r="J96" s="4160">
        <v>0</v>
      </c>
      <c r="K96" s="4160">
        <f>SUM(H96:J96)</f>
        <v>196505.68</v>
      </c>
      <c r="L96" s="4160"/>
      <c r="M96" s="4161">
        <f>'Schedule B'!M142</f>
        <v>0</v>
      </c>
      <c r="N96" s="4159">
        <f>'Schedule B'!N142</f>
        <v>0</v>
      </c>
      <c r="O96" s="4159"/>
      <c r="P96" s="4161">
        <f>'Schedule B'!O142</f>
        <v>0</v>
      </c>
      <c r="Q96" s="4158">
        <f t="shared" si="24"/>
        <v>196505.68</v>
      </c>
      <c r="R96" s="4162">
        <f t="shared" si="25"/>
        <v>0</v>
      </c>
      <c r="S96" s="4163"/>
    </row>
    <row r="97" spans="1:19" s="4164" customFormat="1" ht="24.95" customHeight="1" outlineLevel="1">
      <c r="A97" s="4195" t="s">
        <v>3642</v>
      </c>
      <c r="B97" s="4155" t="str">
        <f t="shared" si="23"/>
        <v>Construction Works</v>
      </c>
      <c r="C97" s="4156" t="s">
        <v>4112</v>
      </c>
      <c r="D97" s="4157" t="str">
        <f>+'Schedule B'!C143</f>
        <v>Direct Works - NESMA</v>
      </c>
      <c r="E97" s="4158">
        <f>'Schedule B'!E143</f>
        <v>0</v>
      </c>
      <c r="F97" s="4159">
        <f>'Schedule B'!F143</f>
        <v>1942966.8</v>
      </c>
      <c r="G97" s="4158">
        <f>F97+E97</f>
        <v>1942966.8</v>
      </c>
      <c r="H97" s="4158">
        <f>'Schedule B'!H143</f>
        <v>1942966.8</v>
      </c>
      <c r="I97" s="4158">
        <f>'Schedule B'!I143</f>
        <v>0</v>
      </c>
      <c r="J97" s="4160">
        <v>0</v>
      </c>
      <c r="K97" s="4160">
        <f>SUM(H97:J97)</f>
        <v>1942966.8</v>
      </c>
      <c r="L97" s="4160"/>
      <c r="M97" s="4161">
        <f>'Schedule B'!M143</f>
        <v>0</v>
      </c>
      <c r="N97" s="4159">
        <f>'Schedule B'!N143</f>
        <v>0</v>
      </c>
      <c r="O97" s="4159"/>
      <c r="P97" s="4161">
        <f>'Schedule B'!O143</f>
        <v>0</v>
      </c>
      <c r="Q97" s="4158">
        <f t="shared" si="24"/>
        <v>1942966.8</v>
      </c>
      <c r="R97" s="4162">
        <f t="shared" si="25"/>
        <v>0</v>
      </c>
      <c r="S97" s="4163"/>
    </row>
    <row r="98" spans="1:19" s="4164" customFormat="1" ht="24.95" customHeight="1" outlineLevel="1">
      <c r="A98" s="4195" t="s">
        <v>3642</v>
      </c>
      <c r="B98" s="4155" t="str">
        <f t="shared" si="23"/>
        <v>Construction Works</v>
      </c>
      <c r="C98" s="4156" t="s">
        <v>4112</v>
      </c>
      <c r="D98" s="4157" t="str">
        <f>+'Schedule B'!C144</f>
        <v>Direct Works - TANSEEQ</v>
      </c>
      <c r="E98" s="4158">
        <f>'Schedule B'!E144</f>
        <v>0</v>
      </c>
      <c r="F98" s="4159">
        <f>'Schedule B'!F144</f>
        <v>9915.3700000000008</v>
      </c>
      <c r="G98" s="4158">
        <f>F98+E98</f>
        <v>9915.3700000000008</v>
      </c>
      <c r="H98" s="4158">
        <f>'Schedule B'!H144</f>
        <v>9915.3700000000008</v>
      </c>
      <c r="I98" s="4158">
        <f>'Schedule B'!I144</f>
        <v>0</v>
      </c>
      <c r="J98" s="4160">
        <v>0</v>
      </c>
      <c r="K98" s="4160">
        <f>SUM(H98:J98)</f>
        <v>9915.3700000000008</v>
      </c>
      <c r="L98" s="4160"/>
      <c r="M98" s="4161">
        <f>'Schedule B'!M144</f>
        <v>0</v>
      </c>
      <c r="N98" s="4159">
        <f>'Schedule B'!N144</f>
        <v>0</v>
      </c>
      <c r="O98" s="4159"/>
      <c r="P98" s="4161">
        <f>'Schedule B'!O144</f>
        <v>0</v>
      </c>
      <c r="Q98" s="4158">
        <f t="shared" si="24"/>
        <v>9915.3700000000008</v>
      </c>
      <c r="R98" s="4162">
        <f t="shared" si="25"/>
        <v>0</v>
      </c>
      <c r="S98" s="4163"/>
    </row>
    <row r="99" spans="1:19" ht="8.25" customHeight="1" outlineLevel="1">
      <c r="A99" s="4193"/>
      <c r="B99" s="4104"/>
      <c r="C99" s="4105"/>
      <c r="D99" s="4106"/>
      <c r="E99" s="4107"/>
      <c r="F99" s="4108"/>
      <c r="G99" s="4107"/>
      <c r="H99" s="4107"/>
      <c r="I99" s="4107"/>
      <c r="J99" s="4125"/>
      <c r="K99" s="4125"/>
      <c r="L99" s="4125"/>
      <c r="M99" s="4121"/>
      <c r="N99" s="4108"/>
      <c r="O99" s="4108"/>
      <c r="P99" s="4121"/>
      <c r="Q99" s="4107"/>
      <c r="R99" s="4109"/>
    </row>
    <row r="100" spans="1:19" ht="8.25" customHeight="1" outlineLevel="1">
      <c r="A100" s="4193"/>
      <c r="B100" s="4104"/>
      <c r="C100" s="4105"/>
      <c r="D100" s="4106"/>
      <c r="E100" s="4107"/>
      <c r="F100" s="4108"/>
      <c r="G100" s="4107"/>
      <c r="H100" s="4107"/>
      <c r="I100" s="4107"/>
      <c r="J100" s="4125"/>
      <c r="K100" s="4125"/>
      <c r="L100" s="4125"/>
      <c r="M100" s="4121"/>
      <c r="N100" s="4108"/>
      <c r="O100" s="4108"/>
      <c r="P100" s="4121"/>
      <c r="Q100" s="4107"/>
      <c r="R100" s="4109"/>
    </row>
    <row r="101" spans="1:19" ht="20.25" customHeight="1" outlineLevel="1">
      <c r="A101" s="4309" t="s">
        <v>3642</v>
      </c>
      <c r="B101" s="4310" t="str">
        <f>$B$125</f>
        <v>Construction Works</v>
      </c>
      <c r="C101" s="4311" t="s">
        <v>4112</v>
      </c>
      <c r="D101" s="4312" t="str">
        <f>+'Schedule B'!C146</f>
        <v>Tamimi (SAB Accommodation Payment)</v>
      </c>
      <c r="E101" s="4313">
        <f>'Schedule B'!E146</f>
        <v>0</v>
      </c>
      <c r="F101" s="4314">
        <f>'Schedule B'!F146</f>
        <v>0</v>
      </c>
      <c r="G101" s="4313">
        <f>F101+E101</f>
        <v>0</v>
      </c>
      <c r="H101" s="4313">
        <f>'Schedule B'!H146</f>
        <v>0</v>
      </c>
      <c r="I101" s="4313">
        <f>'Schedule B'!I146</f>
        <v>0</v>
      </c>
      <c r="J101" s="4313">
        <v>0</v>
      </c>
      <c r="K101" s="4313">
        <f>SUM(H101:J101)</f>
        <v>0</v>
      </c>
      <c r="L101" s="4313"/>
      <c r="M101" s="4314">
        <f>'Schedule B'!M146</f>
        <v>0</v>
      </c>
      <c r="N101" s="4314">
        <f>'Schedule B'!N146</f>
        <v>0</v>
      </c>
      <c r="O101" s="4314"/>
      <c r="P101" s="4314">
        <f>'Schedule B'!O146</f>
        <v>0</v>
      </c>
      <c r="Q101" s="4313">
        <f>SUM(K101:P101)</f>
        <v>0</v>
      </c>
      <c r="R101" s="4315">
        <f>Q101-G101</f>
        <v>0</v>
      </c>
    </row>
    <row r="102" spans="1:19" ht="8.25" customHeight="1" outlineLevel="1">
      <c r="A102" s="4193"/>
      <c r="B102" s="4104"/>
      <c r="C102" s="4105"/>
      <c r="D102" s="4106"/>
      <c r="E102" s="4107"/>
      <c r="F102" s="4108"/>
      <c r="G102" s="4107"/>
      <c r="H102" s="4107"/>
      <c r="I102" s="4107"/>
      <c r="J102" s="4125"/>
      <c r="K102" s="4125"/>
      <c r="L102" s="4125"/>
      <c r="M102" s="4121"/>
      <c r="N102" s="4108"/>
      <c r="O102" s="4108"/>
      <c r="P102" s="4121"/>
      <c r="Q102" s="4107"/>
      <c r="R102" s="4109"/>
    </row>
    <row r="103" spans="1:19" ht="24.95" customHeight="1" outlineLevel="1">
      <c r="A103" s="4193" t="s">
        <v>3642</v>
      </c>
      <c r="B103" s="4104" t="str">
        <f t="shared" ref="B103:B124" si="30">$B$125</f>
        <v>Construction Works</v>
      </c>
      <c r="C103" s="4105" t="s">
        <v>3648</v>
      </c>
      <c r="D103" s="4106" t="str">
        <f>'Schedule B'!C148</f>
        <v>STO Façade Mock-up -(MWN) 2230075</v>
      </c>
      <c r="E103" s="4107">
        <f>'Schedule B'!E148</f>
        <v>0</v>
      </c>
      <c r="F103" s="4108">
        <f>'Schedule B'!F148</f>
        <v>834298.55</v>
      </c>
      <c r="G103" s="4107">
        <f t="shared" ref="G103:G124" si="31">F103+E103</f>
        <v>834298.55</v>
      </c>
      <c r="H103" s="4107">
        <f>'Schedule B'!H148</f>
        <v>834298.55</v>
      </c>
      <c r="I103" s="4107">
        <f>'Schedule B'!I148</f>
        <v>-15000</v>
      </c>
      <c r="J103" s="4124">
        <f>+'Schedule B'!J148</f>
        <v>0</v>
      </c>
      <c r="K103" s="4125">
        <f t="shared" ref="K103:K114" si="32">SUM(H103:J103)</f>
        <v>819298.55</v>
      </c>
      <c r="L103" s="4125"/>
      <c r="M103" s="4121">
        <f>'Schedule B'!M148</f>
        <v>0</v>
      </c>
      <c r="N103" s="4108">
        <f>'Schedule B'!N148</f>
        <v>0</v>
      </c>
      <c r="O103" s="4108"/>
      <c r="P103" s="4121">
        <f>'Schedule B'!O148</f>
        <v>0</v>
      </c>
      <c r="Q103" s="4107">
        <f t="shared" ref="Q103:Q117" si="33">SUM(K103:P103)</f>
        <v>819298.55</v>
      </c>
      <c r="R103" s="4122">
        <f t="shared" ref="R103:R124" si="34">Q103-G103</f>
        <v>-15000</v>
      </c>
    </row>
    <row r="104" spans="1:19" ht="24.95" customHeight="1" outlineLevel="1">
      <c r="A104" s="4193" t="s">
        <v>3642</v>
      </c>
      <c r="B104" s="4104" t="str">
        <f t="shared" si="30"/>
        <v>Construction Works</v>
      </c>
      <c r="C104" s="4105" t="s">
        <v>3648</v>
      </c>
      <c r="D104" s="4106" t="str">
        <f>'Schedule B'!C149</f>
        <v>Vertical Transportation (ESCCO) 2230178</v>
      </c>
      <c r="E104" s="4107">
        <f>'Schedule B'!E149</f>
        <v>0</v>
      </c>
      <c r="F104" s="4108">
        <f>'Schedule B'!F149</f>
        <v>2675473</v>
      </c>
      <c r="G104" s="4107">
        <f t="shared" si="31"/>
        <v>2675473</v>
      </c>
      <c r="H104" s="4107">
        <f>'Schedule B'!H149</f>
        <v>2675473</v>
      </c>
      <c r="I104" s="4107">
        <f>'Schedule B'!I149</f>
        <v>98073</v>
      </c>
      <c r="J104" s="4124">
        <f>+'Schedule B'!J149</f>
        <v>0</v>
      </c>
      <c r="K104" s="4125">
        <f t="shared" si="32"/>
        <v>2773546</v>
      </c>
      <c r="L104" s="4125"/>
      <c r="M104" s="4121">
        <f>'Schedule B'!M149</f>
        <v>765046.05</v>
      </c>
      <c r="N104" s="4108">
        <f>'Schedule B'!N149</f>
        <v>-200000</v>
      </c>
      <c r="O104" s="4108"/>
      <c r="P104" s="4121">
        <f>'Schedule B'!O149</f>
        <v>-15675</v>
      </c>
      <c r="Q104" s="4107">
        <f t="shared" si="33"/>
        <v>3322917.05</v>
      </c>
      <c r="R104" s="4109">
        <f t="shared" si="34"/>
        <v>647444.04999999981</v>
      </c>
    </row>
    <row r="105" spans="1:19" ht="24.95" customHeight="1" outlineLevel="1">
      <c r="A105" s="4193" t="s">
        <v>3642</v>
      </c>
      <c r="B105" s="4104" t="str">
        <f t="shared" si="30"/>
        <v>Construction Works</v>
      </c>
      <c r="C105" s="4105" t="s">
        <v>3648</v>
      </c>
      <c r="D105" s="4106" t="str">
        <f>'Schedule B'!C150</f>
        <v>Kitchen &amp; Laundry Works (Al Raqtan) 2230205</v>
      </c>
      <c r="E105" s="4107">
        <f>'Schedule B'!E150</f>
        <v>0</v>
      </c>
      <c r="F105" s="4108">
        <f>'Schedule B'!F150</f>
        <v>4695209</v>
      </c>
      <c r="G105" s="4107">
        <f t="shared" si="31"/>
        <v>4695209</v>
      </c>
      <c r="H105" s="4107">
        <f>'Schedule B'!H150</f>
        <v>4695209</v>
      </c>
      <c r="I105" s="4107">
        <f>'Schedule B'!I150</f>
        <v>10143</v>
      </c>
      <c r="J105" s="4124">
        <f>+'Schedule B'!J150</f>
        <v>0</v>
      </c>
      <c r="K105" s="4125">
        <f t="shared" si="32"/>
        <v>4705352</v>
      </c>
      <c r="L105" s="4125"/>
      <c r="M105" s="4121">
        <f>'Schedule B'!M150</f>
        <v>0</v>
      </c>
      <c r="N105" s="4108">
        <f>'Schedule B'!N150</f>
        <v>1109644.6000000001</v>
      </c>
      <c r="O105" s="4108"/>
      <c r="P105" s="4121">
        <f>'Schedule B'!O150</f>
        <v>255601.85</v>
      </c>
      <c r="Q105" s="4107">
        <f t="shared" si="33"/>
        <v>6070598.4499999993</v>
      </c>
      <c r="R105" s="4109">
        <f t="shared" si="34"/>
        <v>1375389.4499999993</v>
      </c>
    </row>
    <row r="106" spans="1:19" ht="24.95" customHeight="1" outlineLevel="1">
      <c r="A106" s="4193" t="s">
        <v>3642</v>
      </c>
      <c r="B106" s="4104" t="str">
        <f t="shared" si="30"/>
        <v>Construction Works</v>
      </c>
      <c r="C106" s="4105" t="s">
        <v>3648</v>
      </c>
      <c r="D106" s="4106" t="str">
        <f>'Schedule B'!C151</f>
        <v>Fitout Works (DEPA)</v>
      </c>
      <c r="E106" s="4107">
        <f>'Schedule B'!E151</f>
        <v>0</v>
      </c>
      <c r="F106" s="4108">
        <f>'Schedule B'!F151</f>
        <v>75969227</v>
      </c>
      <c r="G106" s="4107">
        <f t="shared" si="31"/>
        <v>75969227</v>
      </c>
      <c r="H106" s="4107">
        <f>'Schedule B'!H151</f>
        <v>75969227</v>
      </c>
      <c r="I106" s="4107">
        <f>'Schedule B'!I151</f>
        <v>2312919.1399999997</v>
      </c>
      <c r="J106" s="4125">
        <f>+'Schedule B'!J151</f>
        <v>1928436.11</v>
      </c>
      <c r="K106" s="4125">
        <f t="shared" si="32"/>
        <v>80210582.25</v>
      </c>
      <c r="L106" s="4125"/>
      <c r="M106" s="4121">
        <f>'Schedule B'!M151</f>
        <v>-842054.38000000012</v>
      </c>
      <c r="N106" s="4108">
        <f>'Schedule B'!N151</f>
        <v>1569206.6400000001</v>
      </c>
      <c r="O106" s="4108"/>
      <c r="P106" s="4121">
        <f>'Schedule B'!O151</f>
        <v>11185165.779999999</v>
      </c>
      <c r="Q106" s="4107">
        <f t="shared" si="33"/>
        <v>92122900.290000007</v>
      </c>
      <c r="R106" s="4109">
        <f t="shared" si="34"/>
        <v>16153673.290000007</v>
      </c>
    </row>
    <row r="107" spans="1:19" ht="24.95" customHeight="1" outlineLevel="1">
      <c r="A107" s="4193" t="s">
        <v>3642</v>
      </c>
      <c r="B107" s="4104" t="str">
        <f t="shared" si="30"/>
        <v>Construction Works</v>
      </c>
      <c r="C107" s="4105" t="s">
        <v>3648</v>
      </c>
      <c r="D107" s="4106" t="str">
        <f>'Schedule B'!C152</f>
        <v>Façade &amp; Glazing Works (Alutec)</v>
      </c>
      <c r="E107" s="4107">
        <f>'Schedule B'!E152</f>
        <v>0</v>
      </c>
      <c r="F107" s="4108">
        <f>'Schedule B'!F152</f>
        <v>29899670.550000001</v>
      </c>
      <c r="G107" s="4107">
        <f t="shared" si="31"/>
        <v>29899670.550000001</v>
      </c>
      <c r="H107" s="4107">
        <f>'Schedule B'!H152</f>
        <v>29899670.550000001</v>
      </c>
      <c r="I107" s="4107">
        <f>'Schedule B'!I152</f>
        <v>574831.03</v>
      </c>
      <c r="J107" s="4125">
        <f>+'Schedule B'!J152</f>
        <v>0</v>
      </c>
      <c r="K107" s="4125">
        <f t="shared" si="32"/>
        <v>30474501.580000002</v>
      </c>
      <c r="L107" s="4125"/>
      <c r="M107" s="4121">
        <f>'Schedule B'!M152</f>
        <v>-112821</v>
      </c>
      <c r="N107" s="4108">
        <f>'Schedule B'!N152</f>
        <v>158694</v>
      </c>
      <c r="O107" s="4108"/>
      <c r="P107" s="4121">
        <f>'Schedule B'!O152</f>
        <v>332640</v>
      </c>
      <c r="Q107" s="4107">
        <f t="shared" si="33"/>
        <v>30853014.580000002</v>
      </c>
      <c r="R107" s="4109">
        <f t="shared" si="34"/>
        <v>953344.03000000119</v>
      </c>
    </row>
    <row r="108" spans="1:19" ht="24.95" customHeight="1" outlineLevel="1">
      <c r="A108" s="4193" t="s">
        <v>3642</v>
      </c>
      <c r="B108" s="4104" t="str">
        <f t="shared" si="30"/>
        <v>Construction Works</v>
      </c>
      <c r="C108" s="4105" t="s">
        <v>3648</v>
      </c>
      <c r="D108" s="4106" t="str">
        <f>'Schedule B'!C153</f>
        <v>MAS - Wet Works</v>
      </c>
      <c r="E108" s="4107">
        <f>'Schedule B'!E153</f>
        <v>0</v>
      </c>
      <c r="F108" s="4108">
        <f>'Schedule B'!F153</f>
        <v>4004000</v>
      </c>
      <c r="G108" s="4107">
        <f t="shared" si="31"/>
        <v>4004000</v>
      </c>
      <c r="H108" s="4107">
        <f>'Schedule B'!H153</f>
        <v>4004000</v>
      </c>
      <c r="I108" s="4107">
        <f>'Schedule B'!I153</f>
        <v>18356118</v>
      </c>
      <c r="J108" s="4125">
        <f>+'Schedule B'!J153</f>
        <v>0</v>
      </c>
      <c r="K108" s="4125">
        <f t="shared" si="32"/>
        <v>22360118</v>
      </c>
      <c r="L108" s="4125"/>
      <c r="M108" s="4121">
        <f>'Schedule B'!M153</f>
        <v>160876.21</v>
      </c>
      <c r="N108" s="4108">
        <f>'Schedule B'!N153</f>
        <v>0</v>
      </c>
      <c r="O108" s="4108"/>
      <c r="P108" s="4121">
        <f>'Schedule B'!O153</f>
        <v>0</v>
      </c>
      <c r="Q108" s="4107">
        <f t="shared" si="33"/>
        <v>22520994.210000001</v>
      </c>
      <c r="R108" s="4109">
        <f t="shared" si="34"/>
        <v>18516994.210000001</v>
      </c>
    </row>
    <row r="109" spans="1:19" ht="24.95" customHeight="1" outlineLevel="1">
      <c r="A109" s="4193" t="s">
        <v>3642</v>
      </c>
      <c r="B109" s="4104" t="str">
        <f t="shared" si="30"/>
        <v>Construction Works</v>
      </c>
      <c r="C109" s="4105" t="s">
        <v>3648</v>
      </c>
      <c r="D109" s="4106" t="str">
        <f>'Schedule B'!C154</f>
        <v>MAS - Amphitheatre Works</v>
      </c>
      <c r="E109" s="4107">
        <f>'Schedule B'!E154</f>
        <v>0</v>
      </c>
      <c r="F109" s="4108">
        <f>'Schedule B'!F154</f>
        <v>1078892.27</v>
      </c>
      <c r="G109" s="4107">
        <f t="shared" si="31"/>
        <v>1078892.27</v>
      </c>
      <c r="H109" s="4107">
        <f>'Schedule B'!H154</f>
        <v>1078892.27</v>
      </c>
      <c r="I109" s="4107">
        <f>'Schedule B'!I154</f>
        <v>205658.08</v>
      </c>
      <c r="J109" s="4125">
        <f>+'Schedule B'!J154</f>
        <v>0</v>
      </c>
      <c r="K109" s="4125">
        <f t="shared" si="32"/>
        <v>1284550.3500000001</v>
      </c>
      <c r="L109" s="4125"/>
      <c r="M109" s="4121">
        <f>'Schedule B'!M154</f>
        <v>0</v>
      </c>
      <c r="N109" s="4108">
        <f>'Schedule B'!N154</f>
        <v>0</v>
      </c>
      <c r="O109" s="4108"/>
      <c r="P109" s="4121">
        <f>'Schedule B'!O154</f>
        <v>-9520</v>
      </c>
      <c r="Q109" s="4107">
        <f t="shared" si="33"/>
        <v>1275030.3500000001</v>
      </c>
      <c r="R109" s="4109">
        <f t="shared" si="34"/>
        <v>196138.08000000007</v>
      </c>
    </row>
    <row r="110" spans="1:19" ht="24.95" customHeight="1" outlineLevel="1">
      <c r="A110" s="4193" t="s">
        <v>3642</v>
      </c>
      <c r="B110" s="4104" t="str">
        <f t="shared" si="30"/>
        <v>Construction Works</v>
      </c>
      <c r="C110" s="4105" t="s">
        <v>3648</v>
      </c>
      <c r="D110" s="4106" t="str">
        <f>'Schedule B'!C155</f>
        <v>Al Fanar - MEP Labour Supply</v>
      </c>
      <c r="E110" s="4107">
        <f>'Schedule B'!E155</f>
        <v>0</v>
      </c>
      <c r="F110" s="4108">
        <f>'Schedule B'!F155</f>
        <v>23125000</v>
      </c>
      <c r="G110" s="4107">
        <f t="shared" si="31"/>
        <v>23125000</v>
      </c>
      <c r="H110" s="4107">
        <f>'Schedule B'!H155</f>
        <v>23125000</v>
      </c>
      <c r="I110" s="4107">
        <f>'Schedule B'!I155</f>
        <v>71435593.229999989</v>
      </c>
      <c r="J110" s="4125">
        <f>+'Schedule B'!J155</f>
        <v>65000</v>
      </c>
      <c r="K110" s="4125">
        <f>SUM(H110:J110)</f>
        <v>94625593.229999989</v>
      </c>
      <c r="L110" s="4125"/>
      <c r="M110" s="4121">
        <f>'Schedule B'!M155</f>
        <v>786453.46</v>
      </c>
      <c r="N110" s="4108">
        <f>'Schedule B'!N155</f>
        <v>0</v>
      </c>
      <c r="O110" s="4108"/>
      <c r="P110" s="4121">
        <f>'Schedule B'!O155</f>
        <v>128285</v>
      </c>
      <c r="Q110" s="4107">
        <f t="shared" si="33"/>
        <v>95540331.689999983</v>
      </c>
      <c r="R110" s="4109">
        <f t="shared" si="34"/>
        <v>72415331.689999983</v>
      </c>
    </row>
    <row r="111" spans="1:19" ht="24.95" customHeight="1" outlineLevel="1">
      <c r="A111" s="4193" t="s">
        <v>3642</v>
      </c>
      <c r="B111" s="4104" t="str">
        <f t="shared" si="30"/>
        <v>Construction Works</v>
      </c>
      <c r="C111" s="4105" t="s">
        <v>3648</v>
      </c>
      <c r="D111" s="4106" t="str">
        <f>'Schedule B'!C156</f>
        <v>Hard and Soft Landscaping</v>
      </c>
      <c r="E111" s="4107">
        <f>'Schedule B'!E156</f>
        <v>0</v>
      </c>
      <c r="F111" s="4108">
        <f>'Schedule B'!F156</f>
        <v>0</v>
      </c>
      <c r="G111" s="4107">
        <f t="shared" si="31"/>
        <v>0</v>
      </c>
      <c r="H111" s="4107">
        <f>'Schedule B'!H156</f>
        <v>0</v>
      </c>
      <c r="I111" s="4107">
        <f>'Schedule B'!I156</f>
        <v>0</v>
      </c>
      <c r="J111" s="4125">
        <f>+'Schedule B'!J156</f>
        <v>0</v>
      </c>
      <c r="K111" s="4125">
        <f t="shared" ref="K111:K116" si="35">SUM(H111:I111)</f>
        <v>0</v>
      </c>
      <c r="L111" s="4125"/>
      <c r="M111" s="4108">
        <f>'Schedule B'!M156</f>
        <v>0</v>
      </c>
      <c r="N111" s="4108">
        <f>'Schedule B'!N156</f>
        <v>0</v>
      </c>
      <c r="O111" s="4108"/>
      <c r="P111" s="4108">
        <f>'Schedule B'!O156</f>
        <v>0</v>
      </c>
      <c r="Q111" s="4107">
        <f t="shared" si="33"/>
        <v>0</v>
      </c>
      <c r="R111" s="4109">
        <f t="shared" si="34"/>
        <v>0</v>
      </c>
    </row>
    <row r="112" spans="1:19" ht="24.95" customHeight="1" outlineLevel="1">
      <c r="A112" s="4193" t="s">
        <v>3642</v>
      </c>
      <c r="B112" s="4104" t="str">
        <f t="shared" si="30"/>
        <v>Construction Works</v>
      </c>
      <c r="C112" s="4105" t="s">
        <v>3648</v>
      </c>
      <c r="D112" s="4106" t="str">
        <f>'Schedule B'!C157</f>
        <v>ARMETAL - Reflective ceiling</v>
      </c>
      <c r="E112" s="4107">
        <f>'Schedule B'!E157</f>
        <v>0</v>
      </c>
      <c r="F112" s="4108">
        <f>'Schedule B'!F157</f>
        <v>7129950</v>
      </c>
      <c r="G112" s="4107">
        <f t="shared" si="31"/>
        <v>7129950</v>
      </c>
      <c r="H112" s="4107">
        <f>'Schedule B'!H157</f>
        <v>7129950</v>
      </c>
      <c r="I112" s="4107">
        <f>'Schedule B'!I157</f>
        <v>67078.55</v>
      </c>
      <c r="J112" s="4125">
        <f>+'Schedule B'!J157</f>
        <v>0</v>
      </c>
      <c r="K112" s="4125">
        <f t="shared" si="32"/>
        <v>7197028.5499999998</v>
      </c>
      <c r="L112" s="4125"/>
      <c r="M112" s="4108">
        <f>'Schedule B'!M157</f>
        <v>0</v>
      </c>
      <c r="N112" s="4108">
        <f>'Schedule B'!N157</f>
        <v>0</v>
      </c>
      <c r="O112" s="4108"/>
      <c r="P112" s="4108">
        <f>'Schedule B'!O157</f>
        <v>0</v>
      </c>
      <c r="Q112" s="4107">
        <f t="shared" si="33"/>
        <v>7197028.5499999998</v>
      </c>
      <c r="R112" s="4109">
        <f t="shared" si="34"/>
        <v>67078.549999999814</v>
      </c>
    </row>
    <row r="113" spans="1:49" ht="24.95" customHeight="1" outlineLevel="1">
      <c r="A113" s="4193" t="s">
        <v>3642</v>
      </c>
      <c r="B113" s="4104" t="str">
        <f t="shared" si="30"/>
        <v>Construction Works</v>
      </c>
      <c r="C113" s="4105" t="s">
        <v>3648</v>
      </c>
      <c r="D113" s="4106" t="str">
        <f>'Schedule B'!C158</f>
        <v>Al Rahji Takaful - Owner Controlled Insurance Program</v>
      </c>
      <c r="E113" s="4107">
        <f>'Schedule B'!E158</f>
        <v>0</v>
      </c>
      <c r="F113" s="4108">
        <f>'Schedule B'!F158</f>
        <v>89047.06</v>
      </c>
      <c r="G113" s="4107">
        <f t="shared" si="31"/>
        <v>89047.06</v>
      </c>
      <c r="H113" s="4107">
        <f>'Schedule B'!H158</f>
        <v>89047.06</v>
      </c>
      <c r="I113" s="4107">
        <f>'Schedule B'!I158</f>
        <v>0</v>
      </c>
      <c r="J113" s="4125">
        <f>+'Schedule B'!J158</f>
        <v>0</v>
      </c>
      <c r="K113" s="4125">
        <f t="shared" si="32"/>
        <v>89047.06</v>
      </c>
      <c r="L113" s="4125"/>
      <c r="M113" s="4108">
        <f>'Schedule B'!M158</f>
        <v>0</v>
      </c>
      <c r="N113" s="4108">
        <f>'Schedule B'!N158</f>
        <v>0</v>
      </c>
      <c r="O113" s="4108"/>
      <c r="P113" s="4108">
        <f>'Schedule B'!O158</f>
        <v>0</v>
      </c>
      <c r="Q113" s="4107">
        <f t="shared" si="33"/>
        <v>89047.06</v>
      </c>
      <c r="R113" s="4109">
        <f t="shared" si="34"/>
        <v>0</v>
      </c>
    </row>
    <row r="114" spans="1:49" ht="24.95" customHeight="1" outlineLevel="1">
      <c r="A114" s="4193" t="s">
        <v>3642</v>
      </c>
      <c r="B114" s="4104" t="str">
        <f t="shared" si="30"/>
        <v>Construction Works</v>
      </c>
      <c r="C114" s="4105" t="s">
        <v>3648</v>
      </c>
      <c r="D114" s="4106" t="str">
        <f>'Schedule B'!C159</f>
        <v>ABU DHABI PRECAST - GRC Cladding</v>
      </c>
      <c r="E114" s="4107">
        <f>'Schedule B'!E159</f>
        <v>0</v>
      </c>
      <c r="F114" s="4108">
        <f>'Schedule B'!F159</f>
        <v>0</v>
      </c>
      <c r="G114" s="4107">
        <f t="shared" si="31"/>
        <v>0</v>
      </c>
      <c r="H114" s="4107">
        <f>'Schedule B'!H159</f>
        <v>0</v>
      </c>
      <c r="I114" s="4107">
        <f>'Schedule B'!I159</f>
        <v>0</v>
      </c>
      <c r="J114" s="4125">
        <f>+'Schedule B'!J159</f>
        <v>0</v>
      </c>
      <c r="K114" s="4125">
        <f t="shared" si="32"/>
        <v>0</v>
      </c>
      <c r="L114" s="4125"/>
      <c r="M114" s="4108">
        <f>'Schedule B'!M159</f>
        <v>0</v>
      </c>
      <c r="N114" s="4108">
        <f>'Schedule B'!N159</f>
        <v>0</v>
      </c>
      <c r="O114" s="4108"/>
      <c r="P114" s="4108">
        <f>'Schedule B'!O159</f>
        <v>0</v>
      </c>
      <c r="Q114" s="4107">
        <f t="shared" si="33"/>
        <v>0</v>
      </c>
      <c r="R114" s="4109">
        <f t="shared" si="34"/>
        <v>0</v>
      </c>
    </row>
    <row r="115" spans="1:49" ht="24.95" customHeight="1" outlineLevel="1">
      <c r="A115" s="4193" t="s">
        <v>3642</v>
      </c>
      <c r="B115" s="4104" t="str">
        <f t="shared" si="30"/>
        <v>Construction Works</v>
      </c>
      <c r="C115" s="4105" t="s">
        <v>3648</v>
      </c>
      <c r="D115" s="4106" t="str">
        <f>'Schedule B'!C160</f>
        <v>HASSAN ALLAM - External Scaffoldings</v>
      </c>
      <c r="E115" s="4107">
        <f>'Schedule B'!E159</f>
        <v>0</v>
      </c>
      <c r="F115" s="4108">
        <f>'Schedule B'!F160</f>
        <v>3096124.9</v>
      </c>
      <c r="G115" s="4107">
        <f t="shared" si="31"/>
        <v>3096124.9</v>
      </c>
      <c r="H115" s="4107">
        <f>'Schedule B'!H160</f>
        <v>3096124.9</v>
      </c>
      <c r="I115" s="4107">
        <f>'Schedule B'!I160</f>
        <v>0</v>
      </c>
      <c r="J115" s="4125">
        <f>+'Schedule B'!J160</f>
        <v>0</v>
      </c>
      <c r="K115" s="4125">
        <f t="shared" si="35"/>
        <v>3096124.9</v>
      </c>
      <c r="L115" s="4125"/>
      <c r="M115" s="4108">
        <f>'Schedule B'!M160</f>
        <v>0</v>
      </c>
      <c r="N115" s="4108">
        <f>'Schedule B'!N160</f>
        <v>0</v>
      </c>
      <c r="O115" s="4108"/>
      <c r="P115" s="4108">
        <f>'Schedule B'!O160*0</f>
        <v>0</v>
      </c>
      <c r="Q115" s="4107">
        <f t="shared" si="33"/>
        <v>3096124.9</v>
      </c>
      <c r="R115" s="4109">
        <f t="shared" si="34"/>
        <v>0</v>
      </c>
    </row>
    <row r="116" spans="1:49" ht="24.95" customHeight="1" outlineLevel="1">
      <c r="A116" s="4193" t="s">
        <v>3642</v>
      </c>
      <c r="B116" s="4104" t="str">
        <f t="shared" si="30"/>
        <v>Construction Works</v>
      </c>
      <c r="C116" s="4105" t="s">
        <v>3648</v>
      </c>
      <c r="D116" s="4106" t="str">
        <f>'Schedule B'!C161</f>
        <v>Enviro - Deep Cleaning</v>
      </c>
      <c r="E116" s="4107">
        <f>'Schedule B'!E160</f>
        <v>0</v>
      </c>
      <c r="F116" s="4108">
        <f>'Schedule B'!F161</f>
        <v>799625.31</v>
      </c>
      <c r="G116" s="4107">
        <f t="shared" si="31"/>
        <v>799625.31</v>
      </c>
      <c r="H116" s="4107">
        <f>'Schedule B'!H161</f>
        <v>799625.31</v>
      </c>
      <c r="I116" s="4107">
        <f>'Schedule B'!I161</f>
        <v>0</v>
      </c>
      <c r="J116" s="4125">
        <f>+'Schedule B'!J161</f>
        <v>0</v>
      </c>
      <c r="K116" s="4125">
        <f t="shared" si="35"/>
        <v>799625.31</v>
      </c>
      <c r="L116" s="4125"/>
      <c r="M116" s="4108">
        <f>'Schedule B'!M161</f>
        <v>0</v>
      </c>
      <c r="N116" s="4108">
        <f>'Schedule B'!N161</f>
        <v>0</v>
      </c>
      <c r="O116" s="4108"/>
      <c r="P116" s="4108">
        <f>'Schedule B'!O161*0</f>
        <v>0</v>
      </c>
      <c r="Q116" s="4107">
        <f t="shared" si="33"/>
        <v>799625.31</v>
      </c>
      <c r="R116" s="4109">
        <f t="shared" si="34"/>
        <v>0</v>
      </c>
    </row>
    <row r="117" spans="1:49" ht="24.95" customHeight="1" outlineLevel="1">
      <c r="A117" s="4193" t="s">
        <v>3642</v>
      </c>
      <c r="B117" s="4104" t="str">
        <f t="shared" si="30"/>
        <v>Construction Works</v>
      </c>
      <c r="C117" s="4105" t="s">
        <v>3648</v>
      </c>
      <c r="D117" s="4106" t="str">
        <f>'Schedule B'!C162</f>
        <v>KTH - MEP Works Package - 2240072 - KORTEK</v>
      </c>
      <c r="E117" s="4107">
        <f>'Schedule B'!E161</f>
        <v>0</v>
      </c>
      <c r="F117" s="4108">
        <f>'Schedule B'!F162</f>
        <v>0</v>
      </c>
      <c r="G117" s="4107">
        <f t="shared" ref="G117:G122" si="36">F117+E117</f>
        <v>0</v>
      </c>
      <c r="H117" s="4107">
        <f>'Schedule B'!H162</f>
        <v>0</v>
      </c>
      <c r="I117" s="4107">
        <f>'Schedule B'!I162</f>
        <v>0</v>
      </c>
      <c r="J117" s="4125">
        <f>+'Schedule B'!J162</f>
        <v>0</v>
      </c>
      <c r="K117" s="4125">
        <f t="shared" ref="K117:K122" si="37">SUM(H117:I117)</f>
        <v>0</v>
      </c>
      <c r="L117" s="4125"/>
      <c r="M117" s="4108">
        <f>'Schedule B'!M162</f>
        <v>583143.69999999995</v>
      </c>
      <c r="N117" s="4108">
        <f>'Schedule B'!N162</f>
        <v>367770</v>
      </c>
      <c r="O117" s="4108"/>
      <c r="P117" s="4108">
        <f>'Schedule B'!O162*0</f>
        <v>0</v>
      </c>
      <c r="Q117" s="4107">
        <f t="shared" si="33"/>
        <v>950913.7</v>
      </c>
      <c r="R117" s="4109">
        <f t="shared" si="34"/>
        <v>950913.7</v>
      </c>
    </row>
    <row r="118" spans="1:49" ht="24.95" customHeight="1" outlineLevel="1">
      <c r="A118" s="4193" t="s">
        <v>3642</v>
      </c>
      <c r="B118" s="4104" t="str">
        <f t="shared" si="30"/>
        <v>Construction Works</v>
      </c>
      <c r="C118" s="4105" t="s">
        <v>3648</v>
      </c>
      <c r="D118" s="4106" t="str">
        <f>'Schedule B'!C163</f>
        <v>ALC - Alcatop Package - Fourseasons - Alcatop</v>
      </c>
      <c r="E118" s="4107">
        <f>'Schedule B'!E162</f>
        <v>0</v>
      </c>
      <c r="F118" s="4108">
        <f>'Schedule B'!F163</f>
        <v>0</v>
      </c>
      <c r="G118" s="4107">
        <f t="shared" si="36"/>
        <v>0</v>
      </c>
      <c r="H118" s="4107">
        <f>'Schedule B'!H163</f>
        <v>0</v>
      </c>
      <c r="I118" s="4107">
        <f>'Schedule B'!I163</f>
        <v>0</v>
      </c>
      <c r="J118" s="4125">
        <f>+'Schedule B'!J163</f>
        <v>0</v>
      </c>
      <c r="K118" s="4125">
        <f t="shared" si="37"/>
        <v>0</v>
      </c>
      <c r="L118" s="4125"/>
      <c r="M118" s="4108">
        <f>'Schedule B'!M163</f>
        <v>0</v>
      </c>
      <c r="N118" s="4108">
        <f>'Schedule B'!N163</f>
        <v>150000</v>
      </c>
      <c r="O118" s="4108"/>
      <c r="P118" s="4108">
        <f>'Schedule B'!O163*0</f>
        <v>0</v>
      </c>
      <c r="Q118" s="4107">
        <f t="shared" ref="Q118" si="38">SUM(K118:P118)</f>
        <v>150000</v>
      </c>
      <c r="R118" s="4109">
        <f t="shared" ref="R118" si="39">Q118-G118</f>
        <v>150000</v>
      </c>
    </row>
    <row r="119" spans="1:49" ht="24.95" customHeight="1" outlineLevel="1">
      <c r="A119" s="4193" t="s">
        <v>3642</v>
      </c>
      <c r="B119" s="4104" t="str">
        <f t="shared" si="30"/>
        <v>Construction Works</v>
      </c>
      <c r="C119" s="4105" t="s">
        <v>3648</v>
      </c>
      <c r="D119" s="4106" t="str">
        <f>'Schedule B'!C164</f>
        <v>Al Futtaim Pioneer Elevators - Al Futtaim Pioneer</v>
      </c>
      <c r="E119" s="4107">
        <f>'Schedule B'!E163</f>
        <v>0</v>
      </c>
      <c r="F119" s="4108">
        <f>'Schedule B'!F164</f>
        <v>691955</v>
      </c>
      <c r="G119" s="4107">
        <f t="shared" si="36"/>
        <v>691955</v>
      </c>
      <c r="H119" s="4107">
        <f>'Schedule B'!H164</f>
        <v>691955</v>
      </c>
      <c r="I119" s="4107">
        <f>'Schedule B'!I164</f>
        <v>0</v>
      </c>
      <c r="J119" s="4125">
        <f>+'Schedule B'!J164</f>
        <v>0</v>
      </c>
      <c r="K119" s="4125">
        <f t="shared" si="37"/>
        <v>691955</v>
      </c>
      <c r="L119" s="4125"/>
      <c r="M119" s="4108">
        <f>'Schedule B'!M164</f>
        <v>0</v>
      </c>
      <c r="N119" s="4108">
        <f>'Schedule B'!N164</f>
        <v>0</v>
      </c>
      <c r="O119" s="4108"/>
      <c r="P119" s="4108">
        <f>'Schedule B'!O164*0</f>
        <v>0</v>
      </c>
      <c r="Q119" s="4107">
        <f t="shared" ref="Q119" si="40">SUM(K119:P119)</f>
        <v>691955</v>
      </c>
      <c r="R119" s="4109">
        <f t="shared" ref="R119" si="41">Q119-G119</f>
        <v>0</v>
      </c>
    </row>
    <row r="120" spans="1:49" ht="24.95" customHeight="1" outlineLevel="1">
      <c r="A120" s="4193" t="s">
        <v>3642</v>
      </c>
      <c r="B120" s="4104" t="str">
        <f t="shared" si="30"/>
        <v>Construction Works</v>
      </c>
      <c r="C120" s="4105" t="s">
        <v>3648</v>
      </c>
      <c r="D120" s="4106" t="str">
        <f>'Schedule B'!C165</f>
        <v>Shandong Tiejun Electric Power Engineering Co. LTD. Branch - 2230277</v>
      </c>
      <c r="E120" s="4107">
        <f>'Schedule B'!E165</f>
        <v>0</v>
      </c>
      <c r="F120" s="4108">
        <f>'Schedule B'!F165</f>
        <v>0</v>
      </c>
      <c r="G120" s="4107">
        <f t="shared" si="36"/>
        <v>0</v>
      </c>
      <c r="H120" s="4107">
        <f>'Schedule B'!H165</f>
        <v>0</v>
      </c>
      <c r="I120" s="4107">
        <f>'Schedule B'!I165</f>
        <v>0</v>
      </c>
      <c r="J120" s="4125">
        <f>+'Schedule B'!J165</f>
        <v>0</v>
      </c>
      <c r="K120" s="4125">
        <f t="shared" si="37"/>
        <v>0</v>
      </c>
      <c r="L120" s="4125"/>
      <c r="M120" s="4108">
        <f>'Schedule B'!M165</f>
        <v>0</v>
      </c>
      <c r="N120" s="4108">
        <f>'Schedule B'!N165</f>
        <v>1079464.7</v>
      </c>
      <c r="O120" s="4108"/>
      <c r="P120" s="4108">
        <f>'Schedule B'!O165*0</f>
        <v>0</v>
      </c>
      <c r="Q120" s="4107">
        <f t="shared" ref="Q120" si="42">SUM(K120:P120)</f>
        <v>1079464.7</v>
      </c>
      <c r="R120" s="4109">
        <f t="shared" ref="R120" si="43">Q120-G120</f>
        <v>1079464.7</v>
      </c>
    </row>
    <row r="121" spans="1:49" ht="24.95" customHeight="1" outlineLevel="1">
      <c r="A121" s="4193" t="s">
        <v>3642</v>
      </c>
      <c r="B121" s="4104" t="str">
        <f t="shared" si="30"/>
        <v>Construction Works</v>
      </c>
      <c r="C121" s="4105" t="s">
        <v>3648</v>
      </c>
      <c r="D121" s="4106" t="str">
        <f>'Schedule B'!C166</f>
        <v>IMAR Overseas Saudi Arabia Co. W.L.L. - IMAR MH3</v>
      </c>
      <c r="E121" s="4107">
        <f>'Schedule B'!E166</f>
        <v>0</v>
      </c>
      <c r="F121" s="4108">
        <f>'Schedule B'!F166</f>
        <v>0</v>
      </c>
      <c r="G121" s="4107">
        <f t="shared" si="36"/>
        <v>0</v>
      </c>
      <c r="H121" s="4107">
        <f>'Schedule B'!H166</f>
        <v>0</v>
      </c>
      <c r="I121" s="4107">
        <f>'Schedule B'!I166</f>
        <v>442200</v>
      </c>
      <c r="J121" s="4125">
        <f>+'Schedule B'!J166</f>
        <v>0</v>
      </c>
      <c r="K121" s="4125">
        <f t="shared" si="37"/>
        <v>442200</v>
      </c>
      <c r="L121" s="4125"/>
      <c r="M121" s="4108">
        <f>'Schedule B'!M166</f>
        <v>0</v>
      </c>
      <c r="N121" s="4108">
        <f>'Schedule B'!N166</f>
        <v>36400</v>
      </c>
      <c r="O121" s="4108"/>
      <c r="P121" s="4108">
        <f>'Schedule B'!O166*0</f>
        <v>0</v>
      </c>
      <c r="Q121" s="4107">
        <f t="shared" ref="Q121" si="44">SUM(K121:P121)</f>
        <v>478600</v>
      </c>
      <c r="R121" s="4109">
        <f t="shared" ref="R121" si="45">Q121-G121</f>
        <v>478600</v>
      </c>
    </row>
    <row r="122" spans="1:49" ht="24.95" customHeight="1" outlineLevel="1">
      <c r="A122" s="4193" t="s">
        <v>3642</v>
      </c>
      <c r="B122" s="4104" t="str">
        <f t="shared" si="30"/>
        <v>Construction Works</v>
      </c>
      <c r="C122" s="4105" t="s">
        <v>3648</v>
      </c>
      <c r="D122" s="4106" t="str">
        <f>'Schedule B'!C167</f>
        <v>Fibrex LLC - FIBREX LLC</v>
      </c>
      <c r="E122" s="4107">
        <f>'Schedule B'!E167</f>
        <v>0</v>
      </c>
      <c r="F122" s="4108">
        <f>'Schedule B'!F167</f>
        <v>0</v>
      </c>
      <c r="G122" s="4107">
        <f t="shared" si="36"/>
        <v>0</v>
      </c>
      <c r="H122" s="4107">
        <f>'Schedule B'!H167</f>
        <v>0</v>
      </c>
      <c r="I122" s="4107">
        <f>'Schedule B'!I167</f>
        <v>0</v>
      </c>
      <c r="J122" s="4125">
        <f>+'Schedule B'!J167</f>
        <v>0</v>
      </c>
      <c r="K122" s="4125">
        <f t="shared" si="37"/>
        <v>0</v>
      </c>
      <c r="L122" s="4125"/>
      <c r="M122" s="4108">
        <f>'Schedule B'!M167</f>
        <v>164010</v>
      </c>
      <c r="N122" s="4108">
        <f>'Schedule B'!N167</f>
        <v>0</v>
      </c>
      <c r="O122" s="4108"/>
      <c r="P122" s="4108">
        <f>'Schedule B'!O167*0</f>
        <v>0</v>
      </c>
      <c r="Q122" s="4107">
        <f t="shared" ref="Q122" si="46">SUM(K122:P122)</f>
        <v>164010</v>
      </c>
      <c r="R122" s="4109">
        <f t="shared" ref="R122" si="47">Q122-G122</f>
        <v>164010</v>
      </c>
    </row>
    <row r="123" spans="1:49" ht="24.95" customHeight="1" outlineLevel="1">
      <c r="A123" s="4193" t="s">
        <v>3642</v>
      </c>
      <c r="B123" s="4104" t="str">
        <f t="shared" si="30"/>
        <v>Construction Works</v>
      </c>
      <c r="C123" s="4105" t="s">
        <v>3648</v>
      </c>
      <c r="D123" s="4106" t="str">
        <f>'Schedule B'!C168</f>
        <v>RJT- OCIP Insurance Premium - Declaration 11 - OCIP Insurance</v>
      </c>
      <c r="E123" s="4107">
        <f>'Schedule B'!E168</f>
        <v>0</v>
      </c>
      <c r="F123" s="4108">
        <f>'Schedule B'!F168</f>
        <v>15076.28</v>
      </c>
      <c r="G123" s="4107">
        <f t="shared" ref="G123" si="48">F123+E123</f>
        <v>15076.28</v>
      </c>
      <c r="H123" s="4107">
        <f>'Schedule B'!H168</f>
        <v>15076.28</v>
      </c>
      <c r="I123" s="4107">
        <f>'Schedule B'!I168</f>
        <v>0</v>
      </c>
      <c r="J123" s="4125">
        <f>+'Schedule B'!J168</f>
        <v>0</v>
      </c>
      <c r="K123" s="4125">
        <f t="shared" ref="K123" si="49">SUM(H123:I123)</f>
        <v>15076.28</v>
      </c>
      <c r="L123" s="4125"/>
      <c r="M123" s="4108">
        <f>'Schedule B'!M168</f>
        <v>0</v>
      </c>
      <c r="N123" s="4108">
        <f>'Schedule B'!N168</f>
        <v>0</v>
      </c>
      <c r="O123" s="4108"/>
      <c r="P123" s="4108">
        <f>'Schedule B'!O168*0</f>
        <v>0</v>
      </c>
      <c r="Q123" s="4107">
        <f t="shared" ref="Q123" si="50">SUM(K123:P123)</f>
        <v>15076.28</v>
      </c>
      <c r="R123" s="4109">
        <f t="shared" ref="R123" si="51">Q123-G123</f>
        <v>0</v>
      </c>
    </row>
    <row r="124" spans="1:49" ht="24.95" customHeight="1" outlineLevel="1">
      <c r="A124" s="4900" t="s">
        <v>3642</v>
      </c>
      <c r="B124" s="4901" t="str">
        <f t="shared" si="30"/>
        <v>Construction Works</v>
      </c>
      <c r="C124" s="4895" t="s">
        <v>3648</v>
      </c>
      <c r="D124" s="4896" t="str">
        <f>'Schedule B'!C256</f>
        <v>Remaining budget - Construction Works</v>
      </c>
      <c r="E124" s="4897">
        <f>'Schedule B'!E256</f>
        <v>221633231.19999999</v>
      </c>
      <c r="F124" s="4898">
        <f>'Schedule B'!F256</f>
        <v>-192496415.77000019</v>
      </c>
      <c r="G124" s="4897">
        <f t="shared" si="31"/>
        <v>29136815.429999799</v>
      </c>
      <c r="H124" s="4897">
        <f>'Schedule B'!H256*0</f>
        <v>0</v>
      </c>
      <c r="I124" s="4897">
        <f>'Schedule B'!I256*0</f>
        <v>0</v>
      </c>
      <c r="J124" s="4897">
        <f>+'Schedule B'!J258*0</f>
        <v>0</v>
      </c>
      <c r="K124" s="4897">
        <f>SUM(H124:J124)</f>
        <v>0</v>
      </c>
      <c r="L124" s="4897"/>
      <c r="M124" s="4898">
        <f>'Schedule B'!M256*0</f>
        <v>0</v>
      </c>
      <c r="N124" s="4898"/>
      <c r="O124" s="4898"/>
      <c r="P124" s="4897">
        <f>'Schedule B'!O256*0</f>
        <v>0</v>
      </c>
      <c r="Q124" s="4897">
        <f>SUM(K124:P124)*0</f>
        <v>0</v>
      </c>
      <c r="R124" s="4902">
        <f t="shared" si="34"/>
        <v>-29136815.429999799</v>
      </c>
      <c r="S124" s="4171"/>
    </row>
    <row r="125" spans="1:49" s="4043" customFormat="1" ht="35.25" customHeight="1">
      <c r="A125" s="4128" t="s">
        <v>3639</v>
      </c>
      <c r="B125" s="4143" t="str">
        <f>'Level 01'!F5</f>
        <v>Construction Works</v>
      </c>
      <c r="C125" s="4142"/>
      <c r="D125" s="4128" t="s">
        <v>3656</v>
      </c>
      <c r="E125" s="4129">
        <f t="shared" ref="E125:G125" si="52">SUM(E32:E124)</f>
        <v>240331765.19999999</v>
      </c>
      <c r="F125" s="4129">
        <f t="shared" si="52"/>
        <v>265156807.27999976</v>
      </c>
      <c r="G125" s="4129">
        <f t="shared" si="52"/>
        <v>505488572.47999978</v>
      </c>
      <c r="H125" s="4129">
        <f>SUM(H32:H124)</f>
        <v>476351757.04999995</v>
      </c>
      <c r="I125" s="4129">
        <f t="shared" ref="I125:R125" si="53">SUM(I32:I124)</f>
        <v>231953.83999999164</v>
      </c>
      <c r="J125" s="4129">
        <f t="shared" si="53"/>
        <v>1993436.11</v>
      </c>
      <c r="K125" s="4129">
        <f t="shared" si="53"/>
        <v>478577146.99999994</v>
      </c>
      <c r="L125" s="4129">
        <f t="shared" si="53"/>
        <v>0</v>
      </c>
      <c r="M125" s="4129">
        <f t="shared" si="53"/>
        <v>-18178391.659999996</v>
      </c>
      <c r="N125" s="4129">
        <f>SUM(N32:N124)</f>
        <v>3205613.5</v>
      </c>
      <c r="O125" s="4129">
        <f t="shared" si="53"/>
        <v>0</v>
      </c>
      <c r="P125" s="4129">
        <f t="shared" si="53"/>
        <v>33674620.893043488</v>
      </c>
      <c r="Q125" s="4129">
        <f>SUM(Q32:Q124)</f>
        <v>497278989.73304349</v>
      </c>
      <c r="R125" s="4129">
        <f t="shared" si="53"/>
        <v>-8209582.7469563149</v>
      </c>
      <c r="S125" s="4041"/>
      <c r="T125" s="4042"/>
      <c r="U125" s="4042"/>
      <c r="V125" s="4042"/>
      <c r="W125" s="4042"/>
      <c r="X125" s="4042"/>
      <c r="Y125" s="4042"/>
      <c r="Z125" s="4042"/>
      <c r="AA125" s="4042"/>
      <c r="AB125" s="4042"/>
      <c r="AC125" s="4042"/>
      <c r="AD125" s="4042"/>
      <c r="AE125" s="4042"/>
      <c r="AF125" s="4042"/>
      <c r="AG125" s="4042"/>
      <c r="AH125" s="4042"/>
      <c r="AI125" s="4042"/>
      <c r="AJ125" s="4042"/>
      <c r="AK125" s="4042"/>
      <c r="AL125" s="4042"/>
      <c r="AM125" s="4042"/>
      <c r="AN125" s="4042"/>
      <c r="AO125" s="4042"/>
      <c r="AP125" s="4042"/>
      <c r="AQ125" s="4042"/>
      <c r="AR125" s="4042"/>
      <c r="AS125" s="4042"/>
      <c r="AT125" s="4042"/>
      <c r="AU125" s="4042"/>
      <c r="AV125" s="4042"/>
      <c r="AW125" s="4042"/>
    </row>
    <row r="126" spans="1:49" ht="24.95" customHeight="1" outlineLevel="1">
      <c r="A126" s="4193" t="s">
        <v>3642</v>
      </c>
      <c r="B126" s="4104" t="str">
        <f t="shared" ref="B126:B139" si="54">$B$140</f>
        <v>FF&amp;E</v>
      </c>
      <c r="C126" s="4105" t="s">
        <v>2889</v>
      </c>
      <c r="D126" s="4120" t="str">
        <f>'Schedule B'!C204</f>
        <v>FF&amp;E and OSE Procurement Agent (Areen Design Ltd)</v>
      </c>
      <c r="E126" s="4107">
        <f>'Schedule B'!E204</f>
        <v>0</v>
      </c>
      <c r="F126" s="4108">
        <f>'Schedule B'!F204</f>
        <v>1107465.8799999999</v>
      </c>
      <c r="G126" s="4107">
        <f t="shared" ref="G126:G139" si="55">F126+E126</f>
        <v>1107465.8799999999</v>
      </c>
      <c r="H126" s="4107">
        <f>'Schedule B'!H204</f>
        <v>1107465.8799999999</v>
      </c>
      <c r="I126" s="4107">
        <f>'Schedule B'!I204</f>
        <v>851779</v>
      </c>
      <c r="J126" s="4125">
        <f>+'Schedule B'!J204</f>
        <v>0</v>
      </c>
      <c r="K126" s="4125">
        <f t="shared" ref="K126:K132" si="56">SUM(H126:J126)</f>
        <v>1959244.88</v>
      </c>
      <c r="L126" s="4125"/>
      <c r="M126" s="4108">
        <f>'Schedule B'!M204</f>
        <v>0</v>
      </c>
      <c r="N126" s="4108">
        <f>'Schedule B'!N204</f>
        <v>0</v>
      </c>
      <c r="O126" s="4108"/>
      <c r="P126" s="4108">
        <f>'Schedule B'!O204</f>
        <v>0</v>
      </c>
      <c r="Q126" s="4107">
        <f t="shared" ref="Q126:Q135" si="57">SUM(K126:P126)</f>
        <v>1959244.88</v>
      </c>
      <c r="R126" s="4109">
        <f t="shared" ref="R126:R139" si="58">Q126-G126</f>
        <v>851779</v>
      </c>
    </row>
    <row r="127" spans="1:49" ht="24.95" customHeight="1" outlineLevel="1">
      <c r="A127" s="4193" t="s">
        <v>3642</v>
      </c>
      <c r="B127" s="4104" t="str">
        <f t="shared" si="54"/>
        <v>FF&amp;E</v>
      </c>
      <c r="C127" s="4105" t="s">
        <v>2889</v>
      </c>
      <c r="D127" s="4106" t="s">
        <v>3651</v>
      </c>
      <c r="E127" s="4107">
        <f>'Schedule B'!E207</f>
        <v>0</v>
      </c>
      <c r="F127" s="4108">
        <f>'Schedule B'!F207</f>
        <v>22998647.559999999</v>
      </c>
      <c r="G127" s="4107">
        <f t="shared" si="55"/>
        <v>22998647.559999999</v>
      </c>
      <c r="H127" s="4107">
        <f>'Schedule B'!H207</f>
        <v>22998647.559999999</v>
      </c>
      <c r="I127" s="4107">
        <f>'Schedule B'!I207</f>
        <v>0</v>
      </c>
      <c r="J127" s="4125">
        <f>+'Schedule B'!J207</f>
        <v>0</v>
      </c>
      <c r="K127" s="4125">
        <f t="shared" si="56"/>
        <v>22998647.559999999</v>
      </c>
      <c r="L127" s="4125"/>
      <c r="M127" s="4108">
        <f>'Schedule B'!M207</f>
        <v>0</v>
      </c>
      <c r="N127" s="4108">
        <f>'Schedule B'!N207</f>
        <v>0</v>
      </c>
      <c r="O127" s="4108"/>
      <c r="P127" s="4108">
        <f>'Schedule B'!O207</f>
        <v>0</v>
      </c>
      <c r="Q127" s="4107">
        <f t="shared" si="57"/>
        <v>22998647.559999999</v>
      </c>
      <c r="R127" s="4109">
        <f t="shared" si="58"/>
        <v>0</v>
      </c>
    </row>
    <row r="128" spans="1:49" ht="24.95" customHeight="1" outlineLevel="1">
      <c r="A128" s="4193" t="s">
        <v>3642</v>
      </c>
      <c r="B128" s="4104" t="str">
        <f t="shared" si="54"/>
        <v>FF&amp;E</v>
      </c>
      <c r="C128" s="4105" t="s">
        <v>2889</v>
      </c>
      <c r="D128" s="4120" t="s">
        <v>3652</v>
      </c>
      <c r="E128" s="4107">
        <f>'Schedule B'!E209</f>
        <v>0</v>
      </c>
      <c r="F128" s="4108">
        <f>'Schedule B'!F209</f>
        <v>14586000.000000004</v>
      </c>
      <c r="G128" s="4107">
        <f t="shared" si="55"/>
        <v>14586000.000000004</v>
      </c>
      <c r="H128" s="4107">
        <f>'Schedule B'!H209</f>
        <v>14586000.000000004</v>
      </c>
      <c r="I128" s="4107">
        <f>'Schedule B'!I209</f>
        <v>0</v>
      </c>
      <c r="J128" s="4125">
        <f>+'Schedule B'!J209</f>
        <v>0</v>
      </c>
      <c r="K128" s="4125">
        <f t="shared" si="56"/>
        <v>14586000.000000004</v>
      </c>
      <c r="L128" s="4125"/>
      <c r="M128" s="4108">
        <f>'Schedule B'!M209</f>
        <v>0</v>
      </c>
      <c r="N128" s="4108">
        <f>'Schedule B'!N209</f>
        <v>429156</v>
      </c>
      <c r="O128" s="4108"/>
      <c r="P128" s="4108">
        <f>'Schedule B'!O209</f>
        <v>0</v>
      </c>
      <c r="Q128" s="4107">
        <f t="shared" si="57"/>
        <v>15015156.000000004</v>
      </c>
      <c r="R128" s="4109">
        <f t="shared" si="58"/>
        <v>429156</v>
      </c>
    </row>
    <row r="129" spans="1:49" ht="24.95" customHeight="1" outlineLevel="1">
      <c r="A129" s="4193" t="s">
        <v>3642</v>
      </c>
      <c r="B129" s="4104" t="str">
        <f t="shared" si="54"/>
        <v>FF&amp;E</v>
      </c>
      <c r="C129" s="4105" t="s">
        <v>2889</v>
      </c>
      <c r="D129" s="4120" t="str">
        <f>+'Schedule B'!C212</f>
        <v>Extraordinary Cart</v>
      </c>
      <c r="E129" s="4107">
        <f>'Schedule B'!E212</f>
        <v>0</v>
      </c>
      <c r="F129" s="4108">
        <f>'Schedule B'!F212</f>
        <v>397876</v>
      </c>
      <c r="G129" s="4107">
        <f t="shared" si="55"/>
        <v>397876</v>
      </c>
      <c r="H129" s="4107">
        <f>'Schedule B'!H212</f>
        <v>397876</v>
      </c>
      <c r="I129" s="4107">
        <f>'Schedule B'!I212</f>
        <v>0</v>
      </c>
      <c r="J129" s="4125">
        <f>+'Schedule B'!J212</f>
        <v>0</v>
      </c>
      <c r="K129" s="4125">
        <f t="shared" si="56"/>
        <v>397876</v>
      </c>
      <c r="L129" s="4125"/>
      <c r="M129" s="4108">
        <f>'Schedule B'!M212</f>
        <v>0</v>
      </c>
      <c r="N129" s="4108">
        <f>'Schedule B'!N212</f>
        <v>0</v>
      </c>
      <c r="O129" s="4108"/>
      <c r="P129" s="4108">
        <f>'Schedule B'!O212</f>
        <v>0</v>
      </c>
      <c r="Q129" s="4107">
        <f t="shared" si="57"/>
        <v>397876</v>
      </c>
      <c r="R129" s="4109">
        <f t="shared" si="58"/>
        <v>0</v>
      </c>
    </row>
    <row r="130" spans="1:49" ht="24.95" customHeight="1" outlineLevel="1">
      <c r="A130" s="4193" t="s">
        <v>3642</v>
      </c>
      <c r="B130" s="4104" t="str">
        <f t="shared" si="54"/>
        <v>FF&amp;E</v>
      </c>
      <c r="C130" s="4105" t="s">
        <v>2889</v>
      </c>
      <c r="D130" s="4120" t="str">
        <f>+'Schedule B'!C213</f>
        <v>Saudico Electronic Systems</v>
      </c>
      <c r="E130" s="4107">
        <f>'Schedule B'!E213</f>
        <v>0</v>
      </c>
      <c r="F130" s="4108">
        <f>'Schedule B'!F213</f>
        <v>353487.06</v>
      </c>
      <c r="G130" s="4107">
        <f t="shared" si="55"/>
        <v>353487.06</v>
      </c>
      <c r="H130" s="4107">
        <f>'Schedule B'!H213</f>
        <v>353487.06</v>
      </c>
      <c r="I130" s="4107">
        <f>'Schedule B'!I213</f>
        <v>0</v>
      </c>
      <c r="J130" s="4125">
        <f>+'Schedule B'!J213</f>
        <v>0</v>
      </c>
      <c r="K130" s="4125">
        <f t="shared" si="56"/>
        <v>353487.06</v>
      </c>
      <c r="L130" s="4125"/>
      <c r="M130" s="4108">
        <f>'Schedule B'!M213</f>
        <v>0</v>
      </c>
      <c r="N130" s="4108">
        <f>'Schedule B'!N213</f>
        <v>0</v>
      </c>
      <c r="O130" s="4108"/>
      <c r="P130" s="4108">
        <f>'Schedule B'!O213</f>
        <v>0</v>
      </c>
      <c r="Q130" s="4107">
        <f t="shared" si="57"/>
        <v>353487.06</v>
      </c>
      <c r="R130" s="4109">
        <f t="shared" si="58"/>
        <v>0</v>
      </c>
    </row>
    <row r="131" spans="1:49" ht="24.95" customHeight="1" outlineLevel="1">
      <c r="A131" s="4193" t="s">
        <v>3642</v>
      </c>
      <c r="B131" s="4104" t="str">
        <f t="shared" si="54"/>
        <v>FF&amp;E</v>
      </c>
      <c r="C131" s="4105" t="s">
        <v>2889</v>
      </c>
      <c r="D131" s="4120" t="str">
        <f>+'Schedule B'!C214</f>
        <v xml:space="preserve">Birch Street </v>
      </c>
      <c r="E131" s="4107">
        <f>'Schedule B'!E214</f>
        <v>0</v>
      </c>
      <c r="F131" s="4108">
        <f>'Schedule B'!F214</f>
        <v>115998.98000000001</v>
      </c>
      <c r="G131" s="4107">
        <f t="shared" si="55"/>
        <v>115998.98000000001</v>
      </c>
      <c r="H131" s="4107">
        <f>'Schedule B'!H214</f>
        <v>115998.98000000001</v>
      </c>
      <c r="I131" s="4107">
        <f>'Schedule B'!I214</f>
        <v>0</v>
      </c>
      <c r="J131" s="4125">
        <f>+'Schedule B'!J214</f>
        <v>0</v>
      </c>
      <c r="K131" s="4125">
        <f t="shared" si="56"/>
        <v>115998.98000000001</v>
      </c>
      <c r="L131" s="4125"/>
      <c r="M131" s="4108">
        <f>'Schedule B'!M214</f>
        <v>0</v>
      </c>
      <c r="N131" s="4108">
        <f>'Schedule B'!N214</f>
        <v>0</v>
      </c>
      <c r="O131" s="4108"/>
      <c r="P131" s="4108">
        <f>'Schedule B'!O214</f>
        <v>0</v>
      </c>
      <c r="Q131" s="4107">
        <f t="shared" si="57"/>
        <v>115998.98000000001</v>
      </c>
      <c r="R131" s="4109">
        <f t="shared" si="58"/>
        <v>0</v>
      </c>
    </row>
    <row r="132" spans="1:49" ht="24.95" customHeight="1" outlineLevel="1">
      <c r="A132" s="4193" t="s">
        <v>3642</v>
      </c>
      <c r="B132" s="4104" t="str">
        <f t="shared" si="54"/>
        <v>FF&amp;E</v>
      </c>
      <c r="C132" s="4105" t="s">
        <v>2889</v>
      </c>
      <c r="D132" s="4120" t="str">
        <f>+'Schedule B'!C215</f>
        <v>AlFalak Electronic - HPE Servers</v>
      </c>
      <c r="E132" s="4107">
        <f>'Schedule B'!E215</f>
        <v>0</v>
      </c>
      <c r="F132" s="4108">
        <f>'Schedule B'!F215</f>
        <v>16655</v>
      </c>
      <c r="G132" s="4107">
        <f t="shared" ref="G132:G137" si="59">F132+E132</f>
        <v>16655</v>
      </c>
      <c r="H132" s="4107">
        <f>'Schedule B'!H215</f>
        <v>16655</v>
      </c>
      <c r="I132" s="4107">
        <f>'Schedule B'!I215</f>
        <v>0</v>
      </c>
      <c r="J132" s="4125">
        <f>+'Schedule B'!J215</f>
        <v>0</v>
      </c>
      <c r="K132" s="4125">
        <f t="shared" si="56"/>
        <v>16655</v>
      </c>
      <c r="L132" s="4125"/>
      <c r="M132" s="4108">
        <f>'Schedule B'!M215</f>
        <v>0</v>
      </c>
      <c r="N132" s="4108">
        <f>'Schedule B'!N215</f>
        <v>0</v>
      </c>
      <c r="O132" s="4108"/>
      <c r="P132" s="4108">
        <f>'Schedule B'!O215</f>
        <v>0</v>
      </c>
      <c r="Q132" s="4107">
        <f t="shared" si="57"/>
        <v>16655</v>
      </c>
      <c r="R132" s="4109">
        <f t="shared" si="58"/>
        <v>0</v>
      </c>
    </row>
    <row r="133" spans="1:49" ht="24.95" customHeight="1" outlineLevel="1">
      <c r="A133" s="4193" t="s">
        <v>3642</v>
      </c>
      <c r="B133" s="4104" t="str">
        <f t="shared" si="54"/>
        <v>FF&amp;E</v>
      </c>
      <c r="C133" s="4105" t="s">
        <v>2889</v>
      </c>
      <c r="D133" s="4120" t="str">
        <f>+'Schedule B'!C216</f>
        <v>Saudico Electronic Systems</v>
      </c>
      <c r="E133" s="4107">
        <f>'Schedule B'!E216</f>
        <v>0</v>
      </c>
      <c r="F133" s="4108">
        <f>'Schedule B'!F216</f>
        <v>34719</v>
      </c>
      <c r="G133" s="4107">
        <f t="shared" si="59"/>
        <v>34719</v>
      </c>
      <c r="H133" s="4107">
        <f>'Schedule B'!H216</f>
        <v>34719</v>
      </c>
      <c r="I133" s="4107">
        <f>'Schedule B'!I216</f>
        <v>0</v>
      </c>
      <c r="J133" s="4125">
        <f>+'Schedule B'!J216</f>
        <v>0</v>
      </c>
      <c r="K133" s="4125">
        <f t="shared" ref="K133" si="60">SUM(H133:J133)</f>
        <v>34719</v>
      </c>
      <c r="L133" s="4125"/>
      <c r="M133" s="4108">
        <f>'Schedule B'!M216</f>
        <v>0</v>
      </c>
      <c r="N133" s="4108">
        <f>'Schedule B'!N216</f>
        <v>0</v>
      </c>
      <c r="O133" s="4108"/>
      <c r="P133" s="4108">
        <f>'Schedule B'!O216</f>
        <v>0</v>
      </c>
      <c r="Q133" s="4107">
        <f t="shared" si="57"/>
        <v>34719</v>
      </c>
      <c r="R133" s="4109">
        <f t="shared" si="58"/>
        <v>0</v>
      </c>
    </row>
    <row r="134" spans="1:49" ht="24.95" customHeight="1" outlineLevel="1">
      <c r="A134" s="4193" t="s">
        <v>3642</v>
      </c>
      <c r="B134" s="4104" t="str">
        <f t="shared" si="54"/>
        <v>FF&amp;E</v>
      </c>
      <c r="C134" s="4105" t="s">
        <v>2889</v>
      </c>
      <c r="D134" s="4120" t="str">
        <f>+'Schedule B'!C217</f>
        <v>Sevenrooms Inc</v>
      </c>
      <c r="E134" s="4107">
        <f>'Schedule B'!E217</f>
        <v>0</v>
      </c>
      <c r="F134" s="4108">
        <f>'Schedule B'!F217</f>
        <v>32751.56</v>
      </c>
      <c r="G134" s="4107">
        <f t="shared" si="59"/>
        <v>32751.56</v>
      </c>
      <c r="H134" s="4107">
        <f>'Schedule B'!H217</f>
        <v>32751.56</v>
      </c>
      <c r="I134" s="4107">
        <f>'Schedule B'!I217</f>
        <v>0</v>
      </c>
      <c r="J134" s="4125">
        <f>+'Schedule B'!J217</f>
        <v>0</v>
      </c>
      <c r="K134" s="4125">
        <f t="shared" ref="K134" si="61">SUM(H134:J134)</f>
        <v>32751.56</v>
      </c>
      <c r="L134" s="4125"/>
      <c r="M134" s="4108">
        <f>'Schedule B'!M217</f>
        <v>0</v>
      </c>
      <c r="N134" s="4108">
        <f>'Schedule B'!N217</f>
        <v>0</v>
      </c>
      <c r="O134" s="4108"/>
      <c r="P134" s="4108">
        <f>'Schedule B'!O217</f>
        <v>0</v>
      </c>
      <c r="Q134" s="4107">
        <f t="shared" si="57"/>
        <v>32751.56</v>
      </c>
      <c r="R134" s="4109">
        <f t="shared" si="58"/>
        <v>0</v>
      </c>
    </row>
    <row r="135" spans="1:49" ht="24.95" customHeight="1" outlineLevel="1">
      <c r="A135" s="4193" t="s">
        <v>3642</v>
      </c>
      <c r="B135" s="4104" t="str">
        <f t="shared" si="54"/>
        <v>FF&amp;E</v>
      </c>
      <c r="C135" s="4105" t="s">
        <v>2889</v>
      </c>
      <c r="D135" s="4120" t="str">
        <f>+'Schedule B'!C218</f>
        <v>Infor Saudi Arabia Limited</v>
      </c>
      <c r="E135" s="4107">
        <f>'Schedule B'!E218</f>
        <v>0</v>
      </c>
      <c r="F135" s="4108">
        <f>'Schedule B'!F218</f>
        <v>58307.19</v>
      </c>
      <c r="G135" s="4107">
        <f t="shared" si="59"/>
        <v>58307.19</v>
      </c>
      <c r="H135" s="4107">
        <f>'Schedule B'!H218</f>
        <v>58307.19</v>
      </c>
      <c r="I135" s="4107">
        <f>'Schedule B'!I218</f>
        <v>0</v>
      </c>
      <c r="J135" s="4125">
        <f>+'Schedule B'!J218</f>
        <v>0</v>
      </c>
      <c r="K135" s="4125">
        <f t="shared" ref="K135" si="62">SUM(H135:J135)</f>
        <v>58307.19</v>
      </c>
      <c r="L135" s="4125"/>
      <c r="M135" s="4108">
        <f>'Schedule B'!M218</f>
        <v>0</v>
      </c>
      <c r="N135" s="4108">
        <f>'Schedule B'!N218</f>
        <v>0</v>
      </c>
      <c r="O135" s="4108"/>
      <c r="P135" s="4108">
        <f>'Schedule B'!O218</f>
        <v>0</v>
      </c>
      <c r="Q135" s="4107">
        <f t="shared" si="57"/>
        <v>58307.19</v>
      </c>
      <c r="R135" s="4109">
        <f t="shared" si="58"/>
        <v>0</v>
      </c>
    </row>
    <row r="136" spans="1:49" ht="24.95" customHeight="1" outlineLevel="1">
      <c r="A136" s="4193" t="s">
        <v>3642</v>
      </c>
      <c r="B136" s="4104" t="str">
        <f t="shared" si="54"/>
        <v>FF&amp;E</v>
      </c>
      <c r="C136" s="4105" t="s">
        <v>2889</v>
      </c>
      <c r="D136" s="4120" t="str">
        <f>+'Schedule B'!C219</f>
        <v>TRA - Zatca Integration with Reachware</v>
      </c>
      <c r="E136" s="4107">
        <f>'Schedule B'!E219</f>
        <v>0</v>
      </c>
      <c r="F136" s="4108">
        <f>'Schedule B'!F219</f>
        <v>57135</v>
      </c>
      <c r="G136" s="4107">
        <f t="shared" si="59"/>
        <v>57135</v>
      </c>
      <c r="H136" s="4107">
        <f>'Schedule B'!H219</f>
        <v>57135</v>
      </c>
      <c r="I136" s="4107">
        <f>'Schedule B'!I219</f>
        <v>0</v>
      </c>
      <c r="J136" s="4125">
        <f>+'Schedule B'!J219</f>
        <v>0</v>
      </c>
      <c r="K136" s="4125">
        <f t="shared" ref="K136" si="63">SUM(H136:J136)</f>
        <v>57135</v>
      </c>
      <c r="L136" s="4125"/>
      <c r="M136" s="4108">
        <f>'Schedule B'!M219</f>
        <v>0</v>
      </c>
      <c r="N136" s="4108">
        <f>'Schedule B'!N219</f>
        <v>0</v>
      </c>
      <c r="O136" s="4108"/>
      <c r="P136" s="4108">
        <f>'Schedule B'!O219</f>
        <v>0</v>
      </c>
      <c r="Q136" s="4107">
        <f t="shared" ref="Q136" si="64">SUM(K136:P136)</f>
        <v>57135</v>
      </c>
      <c r="R136" s="4109">
        <f t="shared" ref="R136" si="65">Q136-G136</f>
        <v>0</v>
      </c>
    </row>
    <row r="137" spans="1:49" ht="24.95" customHeight="1" outlineLevel="1">
      <c r="A137" s="4193" t="s">
        <v>3642</v>
      </c>
      <c r="B137" s="4104" t="str">
        <f t="shared" si="54"/>
        <v>FF&amp;E</v>
      </c>
      <c r="C137" s="4105" t="s">
        <v>2889</v>
      </c>
      <c r="D137" s="4120" t="str">
        <f>+'Schedule B'!C220</f>
        <v>PeopleVine Implementation</v>
      </c>
      <c r="E137" s="4107">
        <f>'Schedule B'!E220</f>
        <v>0</v>
      </c>
      <c r="F137" s="4108">
        <f>'Schedule B'!F220</f>
        <v>336187.5</v>
      </c>
      <c r="G137" s="4107">
        <f t="shared" si="59"/>
        <v>336187.5</v>
      </c>
      <c r="H137" s="4107">
        <f>'Schedule B'!H220</f>
        <v>336187.5</v>
      </c>
      <c r="I137" s="4107">
        <f>'Schedule B'!I220</f>
        <v>0</v>
      </c>
      <c r="J137" s="4125">
        <f>+'Schedule B'!J220</f>
        <v>0</v>
      </c>
      <c r="K137" s="4125">
        <f t="shared" ref="K137" si="66">SUM(H137:J137)</f>
        <v>336187.5</v>
      </c>
      <c r="L137" s="4125"/>
      <c r="M137" s="4108">
        <f>'Schedule B'!M220</f>
        <v>0</v>
      </c>
      <c r="N137" s="4108">
        <f>'Schedule B'!N220</f>
        <v>0</v>
      </c>
      <c r="O137" s="4108"/>
      <c r="P137" s="4108">
        <f>'Schedule B'!O220</f>
        <v>0</v>
      </c>
      <c r="Q137" s="4107">
        <f t="shared" ref="Q137" si="67">SUM(K137:P137)</f>
        <v>336187.5</v>
      </c>
      <c r="R137" s="4109">
        <f t="shared" ref="R137" si="68">Q137-G137</f>
        <v>0</v>
      </c>
    </row>
    <row r="138" spans="1:49" ht="24.95" customHeight="1" outlineLevel="1">
      <c r="A138" s="4193" t="s">
        <v>3642</v>
      </c>
      <c r="B138" s="4104" t="str">
        <f t="shared" si="54"/>
        <v>FF&amp;E</v>
      </c>
      <c r="C138" s="4105" t="s">
        <v>2889</v>
      </c>
      <c r="D138" s="4120" t="str">
        <f>+'Schedule B'!C221</f>
        <v>Samtiah Arabis Ltd - Operation systems</v>
      </c>
      <c r="E138" s="4107">
        <f>'Schedule B'!E221</f>
        <v>0</v>
      </c>
      <c r="F138" s="4108">
        <f>'Schedule B'!F221</f>
        <v>59637.55</v>
      </c>
      <c r="G138" s="4107">
        <f t="shared" ref="G138" si="69">F138+E138</f>
        <v>59637.55</v>
      </c>
      <c r="H138" s="4107">
        <f>'Schedule B'!H221</f>
        <v>59637.55</v>
      </c>
      <c r="I138" s="4107">
        <f>'Schedule B'!I221</f>
        <v>0</v>
      </c>
      <c r="J138" s="4125">
        <f>+'Schedule B'!J221</f>
        <v>0</v>
      </c>
      <c r="K138" s="4125">
        <f t="shared" ref="K138" si="70">SUM(H138:J138)</f>
        <v>59637.55</v>
      </c>
      <c r="L138" s="4125"/>
      <c r="M138" s="4108">
        <f>'Schedule B'!M221</f>
        <v>0</v>
      </c>
      <c r="N138" s="4108">
        <f>'Schedule B'!N221</f>
        <v>0</v>
      </c>
      <c r="O138" s="4108"/>
      <c r="P138" s="4108">
        <f>'Schedule B'!O221</f>
        <v>0</v>
      </c>
      <c r="Q138" s="4107">
        <f t="shared" ref="Q138" si="71">SUM(K138:P138)</f>
        <v>59637.55</v>
      </c>
      <c r="R138" s="4109">
        <f t="shared" ref="R138" si="72">Q138-G138</f>
        <v>0</v>
      </c>
    </row>
    <row r="139" spans="1:49" ht="24.95" customHeight="1" outlineLevel="1">
      <c r="A139" s="4900" t="s">
        <v>3642</v>
      </c>
      <c r="B139" s="4901" t="str">
        <f t="shared" si="54"/>
        <v>FF&amp;E</v>
      </c>
      <c r="C139" s="4895" t="s">
        <v>2889</v>
      </c>
      <c r="D139" s="4896" t="str">
        <f>'Schedule B'!C261</f>
        <v>Remaining budget - FF&amp;E and OSE</v>
      </c>
      <c r="E139" s="4897">
        <f>'Schedule B'!E261</f>
        <v>24991549</v>
      </c>
      <c r="F139" s="4898">
        <f>'Schedule B'!F261</f>
        <v>-24988413.889999997</v>
      </c>
      <c r="G139" s="4897">
        <f t="shared" si="55"/>
        <v>3135.1100000031292</v>
      </c>
      <c r="H139" s="4897">
        <f>'Schedule B'!H261*0</f>
        <v>0</v>
      </c>
      <c r="I139" s="4897">
        <f>'Schedule B'!I261*0</f>
        <v>0</v>
      </c>
      <c r="J139" s="4897"/>
      <c r="K139" s="4897">
        <f>SUM(H139:J139)</f>
        <v>0</v>
      </c>
      <c r="L139" s="4897"/>
      <c r="M139" s="4898">
        <f>'Schedule B'!M261*0</f>
        <v>0</v>
      </c>
      <c r="N139" s="4898">
        <f>'Schedule B'!N261*0</f>
        <v>0</v>
      </c>
      <c r="O139" s="4898"/>
      <c r="P139" s="4898">
        <f>'Schedule B'!O261*0</f>
        <v>0</v>
      </c>
      <c r="Q139" s="4897">
        <f>SUM(K139:P139)*0</f>
        <v>0</v>
      </c>
      <c r="R139" s="4899">
        <f t="shared" si="58"/>
        <v>-3135.1100000031292</v>
      </c>
    </row>
    <row r="140" spans="1:49" s="4043" customFormat="1" ht="35.25" customHeight="1" thickBot="1">
      <c r="A140" s="4128" t="s">
        <v>3639</v>
      </c>
      <c r="B140" s="4143" t="str">
        <f>'Level 01'!G5</f>
        <v>FF&amp;E</v>
      </c>
      <c r="C140" s="4142"/>
      <c r="D140" s="4131" t="s">
        <v>3657</v>
      </c>
      <c r="E140" s="4132">
        <f t="shared" ref="E140:K140" si="73">SUM(E126:E139)</f>
        <v>24991549</v>
      </c>
      <c r="F140" s="4132">
        <f t="shared" si="73"/>
        <v>15166454.389999997</v>
      </c>
      <c r="G140" s="4132">
        <f t="shared" si="73"/>
        <v>40158003.390000001</v>
      </c>
      <c r="H140" s="4132">
        <f t="shared" si="73"/>
        <v>40154868.279999994</v>
      </c>
      <c r="I140" s="4132">
        <f t="shared" si="73"/>
        <v>851779</v>
      </c>
      <c r="J140" s="4132">
        <f t="shared" si="73"/>
        <v>0</v>
      </c>
      <c r="K140" s="4132">
        <f t="shared" si="73"/>
        <v>41006647.279999994</v>
      </c>
      <c r="L140" s="4132">
        <v>0</v>
      </c>
      <c r="M140" s="4132">
        <f t="shared" ref="M140:R140" si="74">SUM(M126:M139)</f>
        <v>0</v>
      </c>
      <c r="N140" s="4132">
        <f t="shared" si="74"/>
        <v>429156</v>
      </c>
      <c r="O140" s="4132">
        <f t="shared" si="74"/>
        <v>0</v>
      </c>
      <c r="P140" s="4132">
        <f t="shared" si="74"/>
        <v>0</v>
      </c>
      <c r="Q140" s="4132">
        <f t="shared" si="74"/>
        <v>41435803.279999994</v>
      </c>
      <c r="R140" s="4133">
        <f t="shared" si="74"/>
        <v>1277799.8899999969</v>
      </c>
      <c r="S140" s="4084"/>
      <c r="T140" s="4042"/>
      <c r="U140" s="4042"/>
      <c r="V140" s="4042"/>
      <c r="W140" s="4042"/>
      <c r="X140" s="4042"/>
      <c r="Y140" s="4042"/>
      <c r="Z140" s="4042"/>
      <c r="AA140" s="4042"/>
      <c r="AB140" s="4042"/>
      <c r="AC140" s="4042"/>
      <c r="AD140" s="4042"/>
      <c r="AE140" s="4042"/>
      <c r="AF140" s="4042"/>
      <c r="AG140" s="4042"/>
      <c r="AH140" s="4042"/>
      <c r="AI140" s="4042"/>
      <c r="AJ140" s="4042"/>
      <c r="AK140" s="4042"/>
      <c r="AL140" s="4042"/>
      <c r="AM140" s="4042"/>
      <c r="AN140" s="4042"/>
      <c r="AO140" s="4042"/>
      <c r="AP140" s="4042"/>
      <c r="AQ140" s="4042"/>
      <c r="AR140" s="4042"/>
      <c r="AS140" s="4042"/>
      <c r="AT140" s="4042"/>
      <c r="AU140" s="4042"/>
      <c r="AV140" s="4042"/>
      <c r="AW140" s="4042"/>
    </row>
    <row r="141" spans="1:49" ht="12.95" customHeight="1" outlineLevel="1" thickBot="1">
      <c r="A141" s="4196"/>
      <c r="B141" s="4144"/>
      <c r="C141" s="4145"/>
      <c r="D141" s="4134"/>
      <c r="E141" s="4135"/>
      <c r="F141" s="4136"/>
      <c r="G141" s="4135"/>
      <c r="H141" s="4135"/>
      <c r="I141" s="4135"/>
      <c r="J141" s="4135"/>
      <c r="K141" s="4137"/>
      <c r="L141" s="4137"/>
      <c r="M141" s="4136"/>
      <c r="N141" s="4136"/>
      <c r="O141" s="4136"/>
      <c r="P141" s="4136"/>
      <c r="Q141" s="4136"/>
      <c r="R141" s="4138"/>
    </row>
    <row r="142" spans="1:49" s="4043" customFormat="1" ht="35.25" customHeight="1" thickBot="1">
      <c r="A142" s="4139"/>
      <c r="B142" s="4146"/>
      <c r="C142" s="4147"/>
      <c r="D142" s="4139" t="s">
        <v>3981</v>
      </c>
      <c r="E142" s="4140">
        <f t="shared" ref="E142:K142" si="75">E140+E125+E31+E27+E24+E19</f>
        <v>316346485.25</v>
      </c>
      <c r="F142" s="4140">
        <f t="shared" si="75"/>
        <v>267501065.60999981</v>
      </c>
      <c r="G142" s="4140">
        <f t="shared" si="75"/>
        <v>583847550.85999978</v>
      </c>
      <c r="H142" s="4140">
        <f t="shared" si="75"/>
        <v>553452418.17999995</v>
      </c>
      <c r="I142" s="4140">
        <f t="shared" si="75"/>
        <v>6820135.4799999911</v>
      </c>
      <c r="J142" s="4140">
        <f t="shared" si="75"/>
        <v>1993436.11</v>
      </c>
      <c r="K142" s="4140">
        <f t="shared" si="75"/>
        <v>562265989.76999998</v>
      </c>
      <c r="L142" s="4140">
        <v>0</v>
      </c>
      <c r="M142" s="4140">
        <f t="shared" ref="M142:R142" si="76">M140+M125+M31+M27+M24+M19</f>
        <v>-18130223.579999998</v>
      </c>
      <c r="N142" s="4140">
        <f t="shared" si="76"/>
        <v>3585562.5</v>
      </c>
      <c r="O142" s="4140">
        <f t="shared" si="76"/>
        <v>0</v>
      </c>
      <c r="P142" s="4140">
        <f t="shared" si="76"/>
        <v>32891648.893043488</v>
      </c>
      <c r="Q142" s="4140">
        <f t="shared" si="76"/>
        <v>580612977.58304346</v>
      </c>
      <c r="R142" s="4141">
        <f t="shared" si="76"/>
        <v>-3234573.2769563217</v>
      </c>
      <c r="S142" s="4084"/>
      <c r="T142" s="4189"/>
      <c r="U142" s="4042"/>
      <c r="V142" s="4042"/>
      <c r="W142" s="4042"/>
      <c r="X142" s="4042"/>
      <c r="Y142" s="4042"/>
      <c r="Z142" s="4042"/>
      <c r="AA142" s="4042"/>
      <c r="AB142" s="4042"/>
      <c r="AC142" s="4042"/>
      <c r="AD142" s="4042"/>
      <c r="AE142" s="4042"/>
      <c r="AF142" s="4042"/>
      <c r="AG142" s="4042"/>
      <c r="AH142" s="4042"/>
      <c r="AI142" s="4042"/>
      <c r="AJ142" s="4042"/>
      <c r="AK142" s="4042"/>
      <c r="AL142" s="4042"/>
      <c r="AM142" s="4042"/>
      <c r="AN142" s="4042"/>
      <c r="AO142" s="4042"/>
      <c r="AP142" s="4042"/>
      <c r="AQ142" s="4042"/>
      <c r="AR142" s="4042"/>
      <c r="AS142" s="4042"/>
      <c r="AT142" s="4042"/>
      <c r="AU142" s="4042"/>
      <c r="AV142" s="4042"/>
      <c r="AW142" s="4042"/>
    </row>
    <row r="143" spans="1:49">
      <c r="S143" s="4171"/>
    </row>
    <row r="144" spans="1:49" ht="15">
      <c r="P144" s="4188"/>
      <c r="Q144" s="4188"/>
    </row>
    <row r="145" spans="4:18" ht="15">
      <c r="E145" s="4080">
        <f>'Schedule B'!E268</f>
        <v>316346485.25</v>
      </c>
      <c r="F145" s="4080">
        <f>'Schedule B'!F268</f>
        <v>267501065.60999978</v>
      </c>
      <c r="G145" s="4080">
        <f>'Schedule B'!H268</f>
        <v>583847550.85999978</v>
      </c>
      <c r="H145" s="4080">
        <f>'Schedule B'!H29+'Schedule B'!H45+'Schedule B'!H73+'Schedule B'!H170+'Schedule B'!H223</f>
        <v>553452418.17999995</v>
      </c>
      <c r="I145" s="4080">
        <f>'Schedule B'!I240</f>
        <v>6820135.4799999911</v>
      </c>
      <c r="J145" s="4080">
        <f>'Schedule B'!J240</f>
        <v>1993436.11</v>
      </c>
      <c r="K145" s="4080">
        <f>'Schedule B'!K240</f>
        <v>562265989.76999998</v>
      </c>
      <c r="M145" s="4080">
        <f>'Schedule B'!M240</f>
        <v>-18130223.579999998</v>
      </c>
      <c r="N145" s="4080">
        <f>'Schedule B'!N240</f>
        <v>3585562.5</v>
      </c>
      <c r="P145" s="4188">
        <f>'Schedule B'!O240</f>
        <v>32891648.893043488</v>
      </c>
      <c r="Q145" s="4080">
        <f>'Schedule B'!Q240</f>
        <v>580612977.58304346</v>
      </c>
      <c r="R145" s="4109">
        <f t="shared" ref="R145" si="77">Q145-G145</f>
        <v>-3234573.2769563198</v>
      </c>
    </row>
    <row r="146" spans="4:18" ht="15">
      <c r="P146" s="4188"/>
    </row>
    <row r="147" spans="4:18" ht="15">
      <c r="D147" s="4911" t="s">
        <v>6202</v>
      </c>
      <c r="E147" s="4080">
        <f>E142-E145</f>
        <v>0</v>
      </c>
      <c r="F147" s="4080">
        <f t="shared" ref="F147:R147" si="78">F142-F145</f>
        <v>0</v>
      </c>
      <c r="G147" s="4080">
        <f t="shared" si="78"/>
        <v>0</v>
      </c>
      <c r="H147" s="4080">
        <f t="shared" si="78"/>
        <v>0</v>
      </c>
      <c r="I147" s="4080">
        <f t="shared" si="78"/>
        <v>0</v>
      </c>
      <c r="J147" s="4080">
        <f t="shared" si="78"/>
        <v>0</v>
      </c>
      <c r="K147" s="4080">
        <f t="shared" si="78"/>
        <v>0</v>
      </c>
      <c r="L147" s="4080">
        <f t="shared" si="78"/>
        <v>0</v>
      </c>
      <c r="M147" s="4080">
        <f t="shared" si="78"/>
        <v>0</v>
      </c>
      <c r="N147" s="4080">
        <f t="shared" si="78"/>
        <v>0</v>
      </c>
      <c r="O147" s="4080">
        <f t="shared" si="78"/>
        <v>0</v>
      </c>
      <c r="P147" s="4080">
        <f t="shared" si="78"/>
        <v>0</v>
      </c>
      <c r="Q147" s="4080">
        <f t="shared" si="78"/>
        <v>0</v>
      </c>
      <c r="R147" s="4080">
        <f t="shared" si="78"/>
        <v>0</v>
      </c>
    </row>
    <row r="148" spans="4:18" ht="15">
      <c r="P148" s="4188"/>
      <c r="Q148" s="4231"/>
    </row>
    <row r="149" spans="4:18" ht="15">
      <c r="P149" s="4188"/>
    </row>
    <row r="150" spans="4:18" ht="15">
      <c r="P150" s="4188"/>
    </row>
    <row r="151" spans="4:18" ht="15">
      <c r="J151" s="4583"/>
      <c r="K151" s="4583"/>
      <c r="L151" s="4583"/>
      <c r="P151" s="4188"/>
    </row>
    <row r="152" spans="4:18" ht="15">
      <c r="J152" s="4583"/>
      <c r="K152" s="4583"/>
      <c r="L152" s="4583"/>
      <c r="P152" s="4188"/>
    </row>
    <row r="153" spans="4:18" ht="15">
      <c r="J153" s="4583"/>
      <c r="K153" s="4583"/>
      <c r="L153" s="4583"/>
      <c r="P153" s="4188"/>
    </row>
    <row r="154" spans="4:18" ht="15">
      <c r="J154" s="4583"/>
      <c r="K154" s="4583"/>
      <c r="L154" s="4583"/>
      <c r="P154" s="4188"/>
    </row>
    <row r="155" spans="4:18" ht="15">
      <c r="J155" s="4583"/>
      <c r="K155" s="4583"/>
      <c r="L155" s="4583"/>
      <c r="P155" s="4188"/>
    </row>
    <row r="156" spans="4:18">
      <c r="E156" s="4081"/>
      <c r="F156" s="4081"/>
      <c r="G156" s="4081"/>
      <c r="H156" s="4081"/>
      <c r="I156" s="4081"/>
      <c r="J156" s="4081"/>
      <c r="K156" s="4081"/>
      <c r="L156" s="4081"/>
      <c r="M156" s="4081"/>
      <c r="N156" s="4081"/>
      <c r="O156" s="4081"/>
      <c r="P156" s="4081"/>
      <c r="Q156" s="4081"/>
      <c r="R156" s="4081"/>
    </row>
    <row r="158" spans="4:18">
      <c r="D158" s="4040"/>
      <c r="E158" s="4082"/>
      <c r="F158" s="4082"/>
      <c r="G158" s="4082"/>
      <c r="H158" s="4082"/>
      <c r="I158" s="4082"/>
      <c r="J158" s="4082"/>
      <c r="K158" s="4082"/>
      <c r="L158" s="4082"/>
      <c r="M158" s="4082"/>
      <c r="N158" s="4082"/>
      <c r="O158" s="4082"/>
      <c r="P158" s="4082"/>
      <c r="Q158" s="4082"/>
      <c r="R158" s="4082"/>
    </row>
  </sheetData>
  <autoFilter ref="A6:R140" xr:uid="{2FDCC0F4-5983-4388-AFA7-569AB232B870}"/>
  <printOptions horizontalCentered="1"/>
  <pageMargins left="0.70866141732283472" right="0.70866141732283472" top="0.51181102362204722" bottom="0.51181102362204722" header="0.31496062992125984" footer="0.31496062992125984"/>
  <pageSetup paperSize="8" scale="50" fitToHeight="14" orientation="landscape" r:id="rId1"/>
  <headerFooter>
    <oddHeader>&amp;C&amp;"Amaala Sans,Bold"&amp;20COST REPORT EXECUTIVE SUMMARY - LEVEL 2</oddHeader>
    <oddFooter>&amp;L1TB.01.003.01 - AYC 
MARCH'26 REPORT&amp;C&amp;A&amp;RPage &amp;P of &amp;N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4AC0B-5CAE-4CCA-99B0-D4526F9A450F}">
  <sheetPr>
    <pageSetUpPr fitToPage="1"/>
  </sheetPr>
  <dimension ref="A1:M76"/>
  <sheetViews>
    <sheetView showGridLines="0" view="pageBreakPreview" topLeftCell="C1" zoomScaleNormal="100" zoomScaleSheetLayoutView="100" workbookViewId="0">
      <pane ySplit="12" topLeftCell="A41" activePane="bottomLeft" state="frozen"/>
      <selection activeCell="C43" sqref="C43"/>
      <selection pane="bottomLeft" activeCell="H49" sqref="H49"/>
    </sheetView>
  </sheetViews>
  <sheetFormatPr defaultColWidth="9.140625" defaultRowHeight="15"/>
  <cols>
    <col min="1" max="1" width="6" style="5040" customWidth="1"/>
    <col min="2" max="2" width="13" style="5040" customWidth="1"/>
    <col min="3" max="3" width="55.28515625" style="5040" customWidth="1"/>
    <col min="4" max="4" width="34.140625" style="5040" customWidth="1"/>
    <col min="5" max="5" width="12" style="5040" customWidth="1"/>
    <col min="6" max="7" width="16" style="5040" customWidth="1"/>
    <col min="8" max="8" width="17" style="5040" customWidth="1"/>
    <col min="9" max="9" width="22" style="5040" customWidth="1"/>
    <col min="10" max="10" width="14" style="5040" customWidth="1"/>
    <col min="11" max="11" width="12" style="5040" customWidth="1"/>
    <col min="12" max="12" width="11" style="5040" customWidth="1"/>
    <col min="13" max="13" width="38" style="5040" customWidth="1"/>
    <col min="14" max="16384" width="9.140625" style="5040"/>
  </cols>
  <sheetData>
    <row r="1" spans="1:13" ht="18.75">
      <c r="A1" s="5079" t="str">
        <f>'Data Input'!A1&amp;" - "&amp;'Data Input'!B1</f>
        <v>PROGRAMME: - MARINA VILLAGE (PROGRAMME 1_TRIPLE BAY)</v>
      </c>
    </row>
    <row r="2" spans="1:13">
      <c r="A2" s="5078" t="str">
        <f>'Data Input'!A2&amp;" - "&amp;'Data Input'!B2</f>
        <v>PROGRAMME CODE: - 1TB01003</v>
      </c>
    </row>
    <row r="3" spans="1:13">
      <c r="A3" s="5078" t="str">
        <f>'Data Input'!A3&amp;" - "&amp;'Data Input'!B3</f>
        <v>ASSET NAME: - AMAALA YACHT CLUB</v>
      </c>
    </row>
    <row r="4" spans="1:13">
      <c r="A4" s="5078" t="str">
        <f>'Data Input'!A4&amp;" - "&amp;'Data Input'!B4</f>
        <v>ASSET CODE: - 1TB01003.01</v>
      </c>
    </row>
    <row r="5" spans="1:13">
      <c r="A5" s="5078" t="str">
        <f>'Data Input'!A7&amp;" - "&amp;'Data Input'!B7</f>
        <v>REPORT NO: - MONTHLY REPORT NO. 49</v>
      </c>
    </row>
    <row r="6" spans="1:13">
      <c r="A6" s="5078" t="str">
        <f>'Data Input'!A8&amp;" - "&amp;'Data Input'!B8</f>
        <v>REPORTING PERIOD: - OCTOBER 2026</v>
      </c>
    </row>
    <row r="7" spans="1:13" ht="6" customHeight="1"/>
    <row r="8" spans="1:13" ht="15.95" customHeight="1">
      <c r="A8" s="5612" t="s">
        <v>1489</v>
      </c>
      <c r="B8" s="5605"/>
      <c r="C8" s="5607"/>
      <c r="D8" s="5608" t="s">
        <v>190</v>
      </c>
      <c r="E8" s="5605"/>
      <c r="F8" s="5607"/>
      <c r="G8" s="5610" t="s">
        <v>6392</v>
      </c>
      <c r="H8" s="5605"/>
      <c r="I8" s="5607"/>
      <c r="J8" s="5613" t="s">
        <v>6325</v>
      </c>
      <c r="K8" s="5605"/>
      <c r="L8" s="5605"/>
      <c r="M8" s="5607"/>
    </row>
    <row r="9" spans="1:13" ht="12" customHeight="1">
      <c r="A9" s="5614">
        <f>COUNTIF(L13:L57,"Open")</f>
        <v>17</v>
      </c>
      <c r="B9" s="5605"/>
      <c r="C9" s="5607"/>
      <c r="D9" s="5614">
        <f>COUNTIF(L13:L57,"Closed")</f>
        <v>18</v>
      </c>
      <c r="E9" s="5605"/>
      <c r="F9" s="5607"/>
      <c r="G9" s="5614">
        <f>COUNTIF(L13:L57,"Not Required")</f>
        <v>10</v>
      </c>
      <c r="H9" s="5605"/>
      <c r="I9" s="5607"/>
      <c r="J9" s="5614">
        <f>COUNTA(L13:L57)</f>
        <v>45</v>
      </c>
      <c r="K9" s="5605"/>
      <c r="L9" s="5605"/>
      <c r="M9" s="5607"/>
    </row>
    <row r="10" spans="1:13" ht="15.95" customHeight="1">
      <c r="A10" s="5612" t="s">
        <v>6326</v>
      </c>
      <c r="B10" s="5605"/>
      <c r="C10" s="5607"/>
      <c r="D10" s="5608" t="s">
        <v>6327</v>
      </c>
      <c r="E10" s="5605"/>
      <c r="F10" s="5607"/>
      <c r="G10" s="5610" t="s">
        <v>6391</v>
      </c>
      <c r="H10" s="5605"/>
      <c r="I10" s="5607"/>
      <c r="J10" s="5613" t="s">
        <v>6328</v>
      </c>
      <c r="K10" s="5605"/>
      <c r="L10" s="5605"/>
      <c r="M10" s="5607"/>
    </row>
    <row r="11" spans="1:13" ht="20.100000000000001" customHeight="1" thickBot="1">
      <c r="A11" s="5606">
        <f>SUMIF(L13:L57,"Open",H13:H57)</f>
        <v>497616623.11304349</v>
      </c>
      <c r="B11" s="5605"/>
      <c r="C11" s="5607"/>
      <c r="D11" s="5606">
        <f>SUMIF(L13:L57,"Closed",H13:H57)</f>
        <v>36070673.900000006</v>
      </c>
      <c r="E11" s="5605"/>
      <c r="F11" s="5607"/>
      <c r="G11" s="5606">
        <f>SUMIF(L13:L57,"Not Required",H13:H57)</f>
        <v>1448794.89</v>
      </c>
      <c r="H11" s="5605"/>
      <c r="I11" s="5607"/>
      <c r="J11" s="5606">
        <f>SUM(H13:H57)</f>
        <v>535136091.90304351</v>
      </c>
      <c r="K11" s="5605"/>
      <c r="L11" s="5605"/>
      <c r="M11" s="5607"/>
    </row>
    <row r="12" spans="1:13" ht="49.5" customHeight="1" thickBot="1">
      <c r="A12" s="5077" t="s">
        <v>6329</v>
      </c>
      <c r="B12" s="5077" t="s">
        <v>6330</v>
      </c>
      <c r="C12" s="5077" t="s">
        <v>6331</v>
      </c>
      <c r="D12" s="5077" t="s">
        <v>581</v>
      </c>
      <c r="E12" s="5077" t="s">
        <v>6332</v>
      </c>
      <c r="F12" s="5077" t="s">
        <v>6333</v>
      </c>
      <c r="G12" s="5077" t="s">
        <v>6334</v>
      </c>
      <c r="H12" s="5077" t="s">
        <v>6335</v>
      </c>
      <c r="I12" s="5077" t="s">
        <v>6336</v>
      </c>
      <c r="J12" s="5077" t="s">
        <v>6337</v>
      </c>
      <c r="K12" s="5077" t="s">
        <v>6338</v>
      </c>
      <c r="L12" s="5077" t="s">
        <v>159</v>
      </c>
      <c r="M12" s="5077" t="s">
        <v>2368</v>
      </c>
    </row>
    <row r="13" spans="1:13" ht="22.5" customHeight="1">
      <c r="A13" s="5069">
        <v>1</v>
      </c>
      <c r="B13" s="5071" t="s">
        <v>474</v>
      </c>
      <c r="C13" s="5067" t="str">
        <f>IFERROR(IF(INDEX(DATA!$H$3:$H$296,MATCH(B13,DATA!$K$3:$K$296,0))=0,INDEX(DATA!$E$3:$E$296,MATCH(B13,DATA!$K$3:$K$296,0)),INDEX(DATA!$H$3:$H$296,MATCH(B13,DATA!$K$3:$K$296,0))),"–")</f>
        <v>Triple Bay Hijaz Yacht Club - Lead Consultant Services</v>
      </c>
      <c r="D13" s="5067" t="str">
        <f>IFERROR(INDEX(DATA!$E$3:$E$296,MATCH(B13,DATA!$K$3:$K$296,0)),"–")</f>
        <v>Dewan Architects &amp; Engineers</v>
      </c>
      <c r="E13" s="5069" t="str">
        <f>IFERROR(INDEX(DATA!$G$3:$G$296,MATCH(B13,DATA!$K$3:$K$296,0)),"")</f>
        <v>Consultant</v>
      </c>
      <c r="F13" s="5070">
        <f>'Schedule B'!K17</f>
        <v>9290526.0999999996</v>
      </c>
      <c r="G13" s="5070">
        <f t="shared" ref="G13:G57" si="0">H13-F13</f>
        <v>0</v>
      </c>
      <c r="H13" s="5070">
        <f>'Schedule B'!Q17</f>
        <v>9290526.0999999996</v>
      </c>
      <c r="I13" s="5067" t="s">
        <v>62</v>
      </c>
      <c r="J13" s="5081">
        <v>46233</v>
      </c>
      <c r="K13" s="5069">
        <f ca="1">IF(L13="Closed","-",J13-TODAY())</f>
        <v>-66</v>
      </c>
      <c r="L13" s="5068" t="s">
        <v>2007</v>
      </c>
      <c r="M13" s="5067" t="s">
        <v>6339</v>
      </c>
    </row>
    <row r="14" spans="1:13">
      <c r="A14" s="5074">
        <v>2</v>
      </c>
      <c r="B14" s="5076" t="s">
        <v>476</v>
      </c>
      <c r="C14" s="5072" t="str">
        <f>IFERROR(IF(INDEX(DATA!$H$3:$H$296,MATCH(B14,DATA!$K$3:$K$296,0))=0,INDEX(DATA!$E$3:$E$296,MATCH(B14,DATA!$K$3:$K$296,0)),INDEX(DATA!$H$3:$H$296,MATCH(B14,DATA!$K$3:$K$296,0))),"–")</f>
        <v>Design Competition</v>
      </c>
      <c r="D14" s="5072" t="str">
        <f>IFERROR(INDEX(DATA!$E$3:$E$296,MATCH(B14,DATA!$K$3:$K$296,0)),"–")</f>
        <v>HKS Architects Limited</v>
      </c>
      <c r="E14" s="5074" t="str">
        <f>IFERROR(INDEX(DATA!$G$3:$G$296,MATCH(B14,DATA!$K$3:$K$296,0)),"")</f>
        <v>Consultant</v>
      </c>
      <c r="F14" s="5075">
        <f>'Schedule B'!K18</f>
        <v>555960.36</v>
      </c>
      <c r="G14" s="5075">
        <f t="shared" si="0"/>
        <v>0</v>
      </c>
      <c r="H14" s="5075">
        <f>'Schedule B'!Q18</f>
        <v>555960.36</v>
      </c>
      <c r="I14" s="5072" t="s">
        <v>56</v>
      </c>
      <c r="J14" s="5082" t="s">
        <v>805</v>
      </c>
      <c r="K14" s="5074" t="s">
        <v>3524</v>
      </c>
      <c r="L14" s="5073" t="s">
        <v>1277</v>
      </c>
      <c r="M14" s="5072" t="s">
        <v>6340</v>
      </c>
    </row>
    <row r="15" spans="1:13" ht="25.5">
      <c r="A15" s="5074">
        <v>3</v>
      </c>
      <c r="B15" s="5076" t="s">
        <v>477</v>
      </c>
      <c r="C15" s="5072" t="str">
        <f>IFERROR(IF(INDEX(DATA!$H$3:$H$296,MATCH(B15,DATA!$K$3:$K$296,0))=0,INDEX(DATA!$E$3:$E$296,MATCH(B15,DATA!$K$3:$K$296,0)),INDEX(DATA!$H$3:$H$296,MATCH(B15,DATA!$K$3:$K$296,0))),"–")</f>
        <v>Triple Bay Marine Yacht Club - Design Architect Consultancy Services</v>
      </c>
      <c r="D15" s="5072" t="str">
        <f>IFERROR(INDEX(DATA!$E$3:$E$296,MATCH(B15,DATA!$K$3:$K$296,0)),"–")</f>
        <v>HKS Architects Limited</v>
      </c>
      <c r="E15" s="5074" t="str">
        <f>IFERROR(INDEX(DATA!$G$3:$G$296,MATCH(B15,DATA!$K$3:$K$296,0)),"")</f>
        <v>Consultant</v>
      </c>
      <c r="F15" s="5075">
        <f>'Schedule B'!K19</f>
        <v>10801429</v>
      </c>
      <c r="G15" s="5075">
        <f t="shared" si="0"/>
        <v>0</v>
      </c>
      <c r="H15" s="5075">
        <f>'Schedule B'!Q19</f>
        <v>10801429</v>
      </c>
      <c r="I15" s="5072" t="s">
        <v>56</v>
      </c>
      <c r="J15" s="5082" t="s">
        <v>805</v>
      </c>
      <c r="K15" s="5074" t="s">
        <v>3524</v>
      </c>
      <c r="L15" s="5073" t="s">
        <v>1277</v>
      </c>
      <c r="M15" s="5072" t="s">
        <v>6340</v>
      </c>
    </row>
    <row r="16" spans="1:13" ht="25.5">
      <c r="A16" s="5074">
        <v>4</v>
      </c>
      <c r="B16" s="5076" t="s">
        <v>479</v>
      </c>
      <c r="C16" s="5072" t="str">
        <f>IFERROR(IF(INDEX(DATA!$H$3:$H$296,MATCH(B16,DATA!$K$3:$K$296,0))=0,INDEX(DATA!$E$3:$E$296,MATCH(B16,DATA!$K$3:$K$296,0)),INDEX(DATA!$H$3:$H$296,MATCH(B16,DATA!$K$3:$K$296,0))),"–")</f>
        <v>Rapid Peer Review of AMAALA Existing Design of Yachting and Marina Facilities</v>
      </c>
      <c r="D16" s="5072" t="str">
        <f>IFERROR(INDEX(DATA!$E$3:$E$296,MATCH(B16,DATA!$K$3:$K$296,0)),"–")</f>
        <v>Applied Technology and Management Inc (Dubai BR)</v>
      </c>
      <c r="E16" s="5074" t="str">
        <f>IFERROR(INDEX(DATA!$G$3:$G$296,MATCH(B16,DATA!$K$3:$K$296,0)),"")</f>
        <v>Consultant</v>
      </c>
      <c r="F16" s="5075">
        <f>'Schedule B'!K20</f>
        <v>93750</v>
      </c>
      <c r="G16" s="5075">
        <f t="shared" si="0"/>
        <v>0</v>
      </c>
      <c r="H16" s="5075">
        <f>'Schedule B'!Q20</f>
        <v>93750</v>
      </c>
      <c r="I16" s="5072" t="s">
        <v>56</v>
      </c>
      <c r="J16" s="5082" t="s">
        <v>805</v>
      </c>
      <c r="K16" s="5074" t="s">
        <v>3524</v>
      </c>
      <c r="L16" s="5073" t="s">
        <v>1277</v>
      </c>
      <c r="M16" s="5072" t="s">
        <v>6340</v>
      </c>
    </row>
    <row r="17" spans="1:13">
      <c r="A17" s="5074">
        <v>5</v>
      </c>
      <c r="B17" s="5076" t="s">
        <v>481</v>
      </c>
      <c r="C17" s="5072" t="str">
        <f>IFERROR(IF(INDEX(DATA!$H$3:$H$296,MATCH(B17,DATA!$K$3:$K$296,0))=0,INDEX(DATA!$E$3:$E$296,MATCH(B17,DATA!$K$3:$K$296,0)),INDEX(DATA!$H$3:$H$296,MATCH(B17,DATA!$K$3:$K$296,0))),"–")</f>
        <v>Geotechnical Consultancy Services (Yacht Club) - Peer Review</v>
      </c>
      <c r="D17" s="5072" t="str">
        <f>IFERROR(INDEX(DATA!$E$3:$E$296,MATCH(B17,DATA!$K$3:$K$296,0)),"–")</f>
        <v>LANGAN International UK, LTD</v>
      </c>
      <c r="E17" s="5074" t="str">
        <f>IFERROR(INDEX(DATA!$G$3:$G$296,MATCH(B17,DATA!$K$3:$K$296,0)),"")</f>
        <v>Consultant</v>
      </c>
      <c r="F17" s="5075">
        <f>'Schedule B'!K21</f>
        <v>170469.9</v>
      </c>
      <c r="G17" s="5075">
        <f t="shared" si="0"/>
        <v>0</v>
      </c>
      <c r="H17" s="5075">
        <f>'Schedule B'!Q21</f>
        <v>170469.9</v>
      </c>
      <c r="I17" s="5072" t="s">
        <v>56</v>
      </c>
      <c r="J17" s="5082" t="s">
        <v>805</v>
      </c>
      <c r="K17" s="5074" t="s">
        <v>3524</v>
      </c>
      <c r="L17" s="5073" t="s">
        <v>1277</v>
      </c>
      <c r="M17" s="5072" t="s">
        <v>6340</v>
      </c>
    </row>
    <row r="18" spans="1:13" ht="25.5">
      <c r="A18" s="5074">
        <v>6</v>
      </c>
      <c r="B18" s="5076" t="s">
        <v>482</v>
      </c>
      <c r="C18" s="5072" t="str">
        <f>IFERROR(IF(INDEX(DATA!$H$3:$H$296,MATCH(B18,DATA!$K$3:$K$296,0))=0,INDEX(DATA!$E$3:$E$296,MATCH(B18,DATA!$K$3:$K$296,0)),INDEX(DATA!$H$3:$H$296,MATCH(B18,DATA!$K$3:$K$296,0))),"–")</f>
        <v>Third Party Authority for Multidisciplinary Review &amp; Certification Endorsement (Call off Order No: 004)</v>
      </c>
      <c r="D18" s="5072" t="str">
        <f>IFERROR(INDEX(DATA!$E$3:$E$296,MATCH(B18,DATA!$K$3:$K$296,0)),"–")</f>
        <v>Zuhair Fayez Partnership Consultants (ZFP)</v>
      </c>
      <c r="E18" s="5074" t="str">
        <f>IFERROR(INDEX(DATA!$G$3:$G$296,MATCH(B18,DATA!$K$3:$K$296,0)),"")</f>
        <v>Consultant</v>
      </c>
      <c r="F18" s="5075">
        <f>'Schedule B'!K22</f>
        <v>106231.5</v>
      </c>
      <c r="G18" s="5075">
        <f t="shared" si="0"/>
        <v>0</v>
      </c>
      <c r="H18" s="5075">
        <f>'Schedule B'!Q22</f>
        <v>106231.5</v>
      </c>
      <c r="I18" s="5072" t="s">
        <v>56</v>
      </c>
      <c r="J18" s="5082" t="s">
        <v>805</v>
      </c>
      <c r="K18" s="5074" t="s">
        <v>3524</v>
      </c>
      <c r="L18" s="5073" t="s">
        <v>1277</v>
      </c>
      <c r="M18" s="5072" t="s">
        <v>6340</v>
      </c>
    </row>
    <row r="19" spans="1:13" ht="25.5">
      <c r="A19" s="5064">
        <v>7</v>
      </c>
      <c r="B19" s="5066" t="s">
        <v>2172</v>
      </c>
      <c r="C19" s="5062" t="str">
        <f>IFERROR(IF(INDEX(DATA!$H$3:$H$296,MATCH(B19,DATA!$K$3:$K$296,0))=0,INDEX(DATA!$E$3:$E$296,MATCH(B19,DATA!$K$3:$K$296,0)),INDEX(DATA!$H$3:$H$296,MATCH(B19,DATA!$K$3:$K$296,0))),"–")</f>
        <v>Permit Fees</v>
      </c>
      <c r="D19" s="5062" t="str">
        <f>IFERROR(INDEX(DATA!$E$3:$E$296,MATCH(B19,DATA!$K$3:$K$296,0)),"–")</f>
        <v>Ministry of Municipality and Rural Affairs</v>
      </c>
      <c r="E19" s="5064" t="str">
        <f>IFERROR(INDEX(DATA!$G$3:$G$296,MATCH(B19,DATA!$K$3:$K$296,0)),"")</f>
        <v>Direct Actuals</v>
      </c>
      <c r="F19" s="5065">
        <f>'Schedule B'!K23</f>
        <v>45677.599999999999</v>
      </c>
      <c r="G19" s="5065">
        <f t="shared" si="0"/>
        <v>0</v>
      </c>
      <c r="H19" s="5065">
        <f>'Schedule B'!Q23</f>
        <v>45677.599999999999</v>
      </c>
      <c r="I19" s="5062" t="s">
        <v>6341</v>
      </c>
      <c r="J19" s="5083" t="s">
        <v>370</v>
      </c>
      <c r="K19" s="5064" t="s">
        <v>3524</v>
      </c>
      <c r="L19" s="5063" t="s">
        <v>6374</v>
      </c>
      <c r="M19" s="5062" t="s">
        <v>6350</v>
      </c>
    </row>
    <row r="20" spans="1:13" ht="25.5">
      <c r="A20" s="5093">
        <v>8</v>
      </c>
      <c r="B20" s="5094" t="s">
        <v>483</v>
      </c>
      <c r="C20" s="5095" t="str">
        <f>IFERROR(IF(INDEX(DATA!$H$3:$H$296,MATCH(B20,DATA!$K$3:$K$296,0))=0,INDEX(DATA!$E$3:$E$296,MATCH(B20,DATA!$K$3:$K$296,0)),INDEX(DATA!$H$3:$H$296,MATCH(B20,DATA!$K$3:$K$296,0))),"–")</f>
        <v>Third-Party Authority for Fire and Life Safety Review &amp; Certification Endorsement (Call off Order No: 007)</v>
      </c>
      <c r="D20" s="5095" t="str">
        <f>IFERROR(INDEX(DATA!$E$3:$E$296,MATCH(B20,DATA!$K$3:$K$296,0)),"–")</f>
        <v>Jensen Hughes Saudi Arabia, LLC</v>
      </c>
      <c r="E20" s="5093" t="str">
        <f>IFERROR(INDEX(DATA!$G$3:$G$296,MATCH(B20,DATA!$K$3:$K$296,0)),"")</f>
        <v>Consultant</v>
      </c>
      <c r="F20" s="5096">
        <f>'Schedule B'!K24</f>
        <v>70591.899999999994</v>
      </c>
      <c r="G20" s="5096">
        <f t="shared" si="0"/>
        <v>0</v>
      </c>
      <c r="H20" s="5096">
        <f>'Schedule B'!Q24</f>
        <v>70591.899999999994</v>
      </c>
      <c r="I20" s="5095" t="s">
        <v>6406</v>
      </c>
      <c r="J20" s="5097" t="s">
        <v>805</v>
      </c>
      <c r="K20" s="5093" t="str">
        <f t="shared" ref="K20:K26" ca="1" si="1">IF(L20="Closed","-",J20-TODAY())</f>
        <v>-</v>
      </c>
      <c r="L20" s="5073" t="s">
        <v>1277</v>
      </c>
      <c r="M20" s="5072" t="s">
        <v>6340</v>
      </c>
    </row>
    <row r="21" spans="1:13" ht="25.5">
      <c r="A21" s="5093">
        <v>9</v>
      </c>
      <c r="B21" s="5094" t="s">
        <v>6342</v>
      </c>
      <c r="C21" s="5095" t="str">
        <f>IFERROR(IF(INDEX(DATA!$H$3:$H$296,MATCH(B21,DATA!$K$3:$K$296,0))=0,INDEX(DATA!$E$3:$E$296,MATCH(B21,DATA!$K$3:$K$296,0)),INDEX(DATA!$H$3:$H$296,MATCH(B21,DATA!$K$3:$K$296,0))),"–")</f>
        <v>Statutory Compliance Consultancy Services (Call Off Order No:  006) -AMAALA Yacht Club</v>
      </c>
      <c r="D21" s="5095" t="str">
        <f>IFERROR(INDEX(DATA!$E$3:$E$296,MATCH(B21,DATA!$K$3:$K$296,0)),"–")</f>
        <v>Euro Consult For Engineering Consultancy</v>
      </c>
      <c r="E21" s="5093" t="str">
        <f>IFERROR(INDEX(DATA!$G$3:$G$296,MATCH(B21,DATA!$K$3:$K$296,0)),"")</f>
        <v>Consultant</v>
      </c>
      <c r="F21" s="5096">
        <f>'Schedule B'!K34</f>
        <v>182184.38</v>
      </c>
      <c r="G21" s="5096">
        <f t="shared" si="0"/>
        <v>-53507</v>
      </c>
      <c r="H21" s="5096">
        <f>'Schedule B'!Q34</f>
        <v>128677.38</v>
      </c>
      <c r="I21" s="5095" t="s">
        <v>6406</v>
      </c>
      <c r="J21" s="5097">
        <v>46210</v>
      </c>
      <c r="K21" s="5093" t="str">
        <f t="shared" ca="1" si="1"/>
        <v>-</v>
      </c>
      <c r="L21" s="5073" t="s">
        <v>1277</v>
      </c>
      <c r="M21" s="5072" t="s">
        <v>6642</v>
      </c>
    </row>
    <row r="22" spans="1:13" ht="25.5">
      <c r="A22" s="5069">
        <v>10</v>
      </c>
      <c r="B22" s="5071" t="s">
        <v>3037</v>
      </c>
      <c r="C22" s="5067" t="str">
        <f>IFERROR(IF(INDEX(DATA!$H$3:$H$296,MATCH(B22,DATA!$K$3:$K$296,0))=0,INDEX(DATA!$E$3:$E$296,MATCH(B22,DATA!$K$3:$K$296,0)),INDEX(DATA!$H$3:$H$296,MATCH(B22,DATA!$K$3:$K$296,0))),"–")</f>
        <v>Independent Commissioning Agent Services (ICA) (Call off Order No: 007) - AMAALA Yacht Club</v>
      </c>
      <c r="D22" s="5067" t="str">
        <f>IFERROR(INDEX(DATA!$E$3:$E$296,MATCH(B22,DATA!$K$3:$K$296,0)),"–")</f>
        <v>CML International Saudi LLC</v>
      </c>
      <c r="E22" s="5069" t="str">
        <f>IFERROR(INDEX(DATA!$G$3:$G$296,MATCH(B22,DATA!$K$3:$K$296,0)),"")</f>
        <v>Consultant</v>
      </c>
      <c r="F22" s="5070">
        <f>'Schedule B'!K26</f>
        <v>3926890.54</v>
      </c>
      <c r="G22" s="5070">
        <f t="shared" si="0"/>
        <v>101675.08000000007</v>
      </c>
      <c r="H22" s="5070">
        <f>'Schedule B'!Q26</f>
        <v>4028565.62</v>
      </c>
      <c r="I22" s="5067" t="s">
        <v>62</v>
      </c>
      <c r="J22" s="5081">
        <v>46264</v>
      </c>
      <c r="K22" s="5069">
        <f t="shared" ca="1" si="1"/>
        <v>-35</v>
      </c>
      <c r="L22" s="5068" t="s">
        <v>2007</v>
      </c>
      <c r="M22" s="5067" t="s">
        <v>6339</v>
      </c>
    </row>
    <row r="23" spans="1:13" ht="25.5">
      <c r="A23" s="5093">
        <v>11</v>
      </c>
      <c r="B23" s="5094" t="s">
        <v>4815</v>
      </c>
      <c r="C23" s="5095" t="str">
        <f>IFERROR(IF(INDEX(DATA!$H$3:$H$296,MATCH(B23,DATA!$K$3:$K$296,0))=0,INDEX(DATA!$E$3:$E$296,MATCH(B23,DATA!$K$3:$K$296,0)),INDEX(DATA!$H$3:$H$296,MATCH(B23,DATA!$K$3:$K$296,0))),"–")</f>
        <v>Statutory Compliance Consultancy Services (Call Off Order No:  027)</v>
      </c>
      <c r="D23" s="5095" t="str">
        <f>IFERROR(INDEX(DATA!$E$3:$E$296,MATCH(B23,DATA!$K$3:$K$296,0)),"–")</f>
        <v>Euro Consult For Engineering Consultancy</v>
      </c>
      <c r="E23" s="5093" t="str">
        <f>IFERROR(INDEX(DATA!$G$3:$G$296,MATCH(B23,DATA!$K$3:$K$296,0)),"")</f>
        <v>Consultant</v>
      </c>
      <c r="F23" s="5096">
        <f>'Schedule B'!K35</f>
        <v>54000</v>
      </c>
      <c r="G23" s="5096">
        <f t="shared" si="0"/>
        <v>0</v>
      </c>
      <c r="H23" s="5096">
        <f>'Schedule B'!Q35</f>
        <v>54000</v>
      </c>
      <c r="I23" s="5095" t="s">
        <v>6406</v>
      </c>
      <c r="J23" s="5097" t="s">
        <v>805</v>
      </c>
      <c r="K23" s="5093" t="str">
        <f t="shared" ca="1" si="1"/>
        <v>-</v>
      </c>
      <c r="L23" s="5073" t="s">
        <v>1277</v>
      </c>
      <c r="M23" s="5072" t="s">
        <v>6340</v>
      </c>
    </row>
    <row r="24" spans="1:13" ht="25.5">
      <c r="A24" s="5093">
        <v>12</v>
      </c>
      <c r="B24" s="5094" t="s">
        <v>4290</v>
      </c>
      <c r="C24" s="5095" t="str">
        <f>IFERROR(IF(INDEX(DATA!$H$3:$H$296,MATCH(B24,DATA!$K$3:$K$296,0))=0,INDEX(DATA!$E$3:$E$296,MATCH(B24,DATA!$K$3:$K$296,0)),INDEX(DATA!$H$3:$H$296,MATCH(B24,DATA!$K$3:$K$296,0))),"–")</f>
        <v>Third-Party Authority for Fire and Life Safety Review &amp; Certification Endorsement (Call off Order No: 031)</v>
      </c>
      <c r="D24" s="5095" t="str">
        <f>IFERROR(INDEX(DATA!$E$3:$E$296,MATCH(B24,DATA!$K$3:$K$296,0)),"–")</f>
        <v>Jensen Hughes Saudi Arabia, LLC</v>
      </c>
      <c r="E24" s="5093" t="str">
        <f>IFERROR(INDEX(DATA!$G$3:$G$296,MATCH(B24,DATA!$K$3:$K$296,0)),"")</f>
        <v>Consultant</v>
      </c>
      <c r="F24" s="5096">
        <f>'Schedule B'!K25</f>
        <v>14303.199999999997</v>
      </c>
      <c r="G24" s="5096">
        <f t="shared" si="0"/>
        <v>0</v>
      </c>
      <c r="H24" s="5096">
        <f>'Schedule B'!Q25</f>
        <v>14303.199999999997</v>
      </c>
      <c r="I24" s="5095" t="s">
        <v>6406</v>
      </c>
      <c r="J24" s="5097" t="s">
        <v>805</v>
      </c>
      <c r="K24" s="5093" t="str">
        <f t="shared" ca="1" si="1"/>
        <v>-</v>
      </c>
      <c r="L24" s="5073" t="s">
        <v>1277</v>
      </c>
      <c r="M24" s="5072" t="s">
        <v>6340</v>
      </c>
    </row>
    <row r="25" spans="1:13">
      <c r="A25" s="5069">
        <v>13</v>
      </c>
      <c r="B25" s="5071" t="s">
        <v>4927</v>
      </c>
      <c r="C25" s="5067" t="str">
        <f>IFERROR(IF(INDEX(DATA!$H$3:$H$296,MATCH(B25,DATA!$K$3:$K$296,0))=0,INDEX(DATA!$E$3:$E$296,MATCH(B25,DATA!$K$3:$K$296,0)),INDEX(DATA!$H$3:$H$296,MATCH(B25,DATA!$K$3:$K$296,0))),"–")</f>
        <v>LEED Performance Testing (BECx &amp; IAQ) (Call off Order No: 024)</v>
      </c>
      <c r="D25" s="5067" t="str">
        <f>IFERROR(INDEX(DATA!$E$3:$E$296,MATCH(B25,DATA!$K$3:$K$296,0)),"–")</f>
        <v>GST Building Energy Efficiency Services</v>
      </c>
      <c r="E25" s="5069" t="str">
        <f>IFERROR(INDEX(DATA!$G$3:$G$296,MATCH(B25,DATA!$K$3:$K$296,0)),"")</f>
        <v>Consultant</v>
      </c>
      <c r="F25" s="5070">
        <f>'Schedule B'!K27</f>
        <v>133000</v>
      </c>
      <c r="G25" s="5070">
        <f t="shared" si="0"/>
        <v>0</v>
      </c>
      <c r="H25" s="5070">
        <f>'Schedule B'!Q27</f>
        <v>133000</v>
      </c>
      <c r="I25" s="5067" t="s">
        <v>6421</v>
      </c>
      <c r="J25" s="5081">
        <v>46325</v>
      </c>
      <c r="K25" s="5069">
        <f t="shared" ca="1" si="1"/>
        <v>26</v>
      </c>
      <c r="L25" s="5068" t="s">
        <v>2007</v>
      </c>
      <c r="M25" s="5067" t="s">
        <v>6339</v>
      </c>
    </row>
    <row r="26" spans="1:13" ht="25.5">
      <c r="A26" s="5069">
        <v>14</v>
      </c>
      <c r="B26" s="5071" t="s">
        <v>487</v>
      </c>
      <c r="C26" s="5067" t="str">
        <f>IFERROR(IF(INDEX(DATA!$H$3:$H$296,MATCH(B26,DATA!$K$3:$K$296,0))=0,INDEX(DATA!$E$3:$E$296,MATCH(B26,DATA!$K$3:$K$296,0)),INDEX(DATA!$H$3:$H$296,MATCH(B26,DATA!$K$3:$K$296,0))),"–")</f>
        <v>Construction Supervision Services - AMAALA Yacht Club (Call off Order No: 003)</v>
      </c>
      <c r="D26" s="5067" t="str">
        <f>IFERROR(INDEX(DATA!$E$3:$E$296,MATCH(B26,DATA!$K$3:$K$296,0)),"–")</f>
        <v>Saudi Consolidated Engineering Company - Khatib &amp; Alami</v>
      </c>
      <c r="E26" s="5069" t="str">
        <f>IFERROR(INDEX(DATA!$G$3:$G$296,MATCH(B26,DATA!$K$3:$K$296,0)),"")</f>
        <v>Consultant</v>
      </c>
      <c r="F26" s="5070">
        <f>'Schedule B'!K33</f>
        <v>14131907</v>
      </c>
      <c r="G26" s="5070">
        <f t="shared" si="0"/>
        <v>-49207</v>
      </c>
      <c r="H26" s="5070">
        <f>'Schedule B'!Q33</f>
        <v>14082700</v>
      </c>
      <c r="I26" s="5067" t="s">
        <v>62</v>
      </c>
      <c r="J26" s="5081">
        <v>46325</v>
      </c>
      <c r="K26" s="5069">
        <f t="shared" ca="1" si="1"/>
        <v>26</v>
      </c>
      <c r="L26" s="5068" t="s">
        <v>2007</v>
      </c>
      <c r="M26" s="5067" t="s">
        <v>6376</v>
      </c>
    </row>
    <row r="27" spans="1:13">
      <c r="A27" s="5093">
        <v>15</v>
      </c>
      <c r="B27" s="5094" t="s">
        <v>504</v>
      </c>
      <c r="C27" s="5095" t="str">
        <f>IFERROR(IF(INDEX(DATA!$H$3:$H$296,MATCH(B27,DATA!$K$3:$K$296,0))=0,INDEX(DATA!$E$3:$E$296,MATCH(B27,DATA!$K$3:$K$296,0)),INDEX(DATA!$H$3:$H$296,MATCH(B27,DATA!$K$3:$K$296,0))),"–")</f>
        <v>Triple Bay Wide Ground Improvement</v>
      </c>
      <c r="D27" s="5095" t="str">
        <f>IFERROR(INDEX(DATA!$E$3:$E$296,MATCH(B27,DATA!$K$3:$K$296,0)),"–")</f>
        <v>Soil Improvement Contracting</v>
      </c>
      <c r="E27" s="5093" t="str">
        <f>IFERROR(INDEX(DATA!$G$3:$G$296,MATCH(B27,DATA!$K$3:$K$296,0)),"")</f>
        <v>Contractor</v>
      </c>
      <c r="F27" s="5096">
        <f>'Schedule B'!K69</f>
        <v>2799717</v>
      </c>
      <c r="G27" s="5096">
        <f t="shared" si="0"/>
        <v>-500000</v>
      </c>
      <c r="H27" s="5096">
        <f>'Schedule B'!Q69</f>
        <v>2299717</v>
      </c>
      <c r="I27" s="5095" t="s">
        <v>6343</v>
      </c>
      <c r="J27" s="5082" t="s">
        <v>805</v>
      </c>
      <c r="K27" s="5093" t="s">
        <v>3524</v>
      </c>
      <c r="L27" s="5073" t="s">
        <v>1277</v>
      </c>
      <c r="M27" s="5072" t="s">
        <v>6340</v>
      </c>
    </row>
    <row r="28" spans="1:13" ht="25.5">
      <c r="A28" s="5074">
        <v>16</v>
      </c>
      <c r="B28" s="5076" t="s">
        <v>6344</v>
      </c>
      <c r="C28" s="5072" t="str">
        <f>IFERROR(IF(INDEX(DATA!$H$3:$H$296,MATCH(B28,DATA!$K$3:$K$296,0))=0,INDEX(DATA!$E$3:$E$296,MATCH(B28,DATA!$K$3:$K$296,0)),INDEX(DATA!$H$3:$H$296,MATCH(B28,DATA!$K$3:$K$296,0))),"–")</f>
        <v>Triple Bay Piling - Beach, RSMLI, Yacht Club and Marina Village Precinct (Hotel 1 and 2)</v>
      </c>
      <c r="D28" s="5072" t="str">
        <f>IFERROR(INDEX(DATA!$E$3:$E$296,MATCH(B28,DATA!$K$3:$K$296,0)),"–")</f>
        <v>NSCC International Saudi Contracting</v>
      </c>
      <c r="E28" s="5074" t="str">
        <f>IFERROR(INDEX(DATA!$G$3:$G$296,MATCH(B28,DATA!$K$3:$K$296,0)),"")</f>
        <v>Contractor</v>
      </c>
      <c r="F28" s="5075">
        <f>'Schedule B'!K77</f>
        <v>16458381.51</v>
      </c>
      <c r="G28" s="5075">
        <f t="shared" si="0"/>
        <v>0</v>
      </c>
      <c r="H28" s="5075">
        <f>'Schedule B'!Q77</f>
        <v>16458381.51</v>
      </c>
      <c r="I28" s="5072" t="s">
        <v>56</v>
      </c>
      <c r="J28" s="5082" t="s">
        <v>805</v>
      </c>
      <c r="K28" s="5074" t="s">
        <v>3524</v>
      </c>
      <c r="L28" s="5073" t="s">
        <v>1277</v>
      </c>
      <c r="M28" s="5072" t="s">
        <v>6340</v>
      </c>
    </row>
    <row r="29" spans="1:13" ht="25.5">
      <c r="A29" s="5093">
        <v>17</v>
      </c>
      <c r="B29" s="5094" t="s">
        <v>502</v>
      </c>
      <c r="C29" s="5095" t="str">
        <f>IFERROR(IF(INDEX(DATA!$H$3:$H$296,MATCH(B29,DATA!$K$3:$K$296,0))=0,INDEX(DATA!$E$3:$E$296,MATCH(B29,DATA!$K$3:$K$296,0)),INDEX(DATA!$H$3:$H$296,MATCH(B29,DATA!$K$3:$K$296,0))),"–")</f>
        <v>Sustainability Accreditation, third party technical reviews and verification of LEED-registered AMAALA Projects</v>
      </c>
      <c r="D29" s="5095" t="str">
        <f>IFERROR(INDEX(DATA!$E$3:$E$296,MATCH(B29,DATA!$K$3:$K$296,0)),"–")</f>
        <v>Green Business Certification Inc</v>
      </c>
      <c r="E29" s="5093" t="str">
        <f>IFERROR(INDEX(DATA!$G$3:$G$296,MATCH(B29,DATA!$K$3:$K$296,0)),"")</f>
        <v>Direct Actuals</v>
      </c>
      <c r="F29" s="5096">
        <f>'Schedule B'!K71</f>
        <v>22585.010000000002</v>
      </c>
      <c r="G29" s="5096">
        <f t="shared" si="0"/>
        <v>0</v>
      </c>
      <c r="H29" s="5096">
        <f>'Schedule B'!Q71</f>
        <v>22585.010000000002</v>
      </c>
      <c r="I29" s="5095" t="s">
        <v>6406</v>
      </c>
      <c r="J29" s="5097">
        <v>46210</v>
      </c>
      <c r="K29" s="5093" t="s">
        <v>3524</v>
      </c>
      <c r="L29" s="5073" t="s">
        <v>1277</v>
      </c>
      <c r="M29" s="5095" t="s">
        <v>6410</v>
      </c>
    </row>
    <row r="30" spans="1:13" ht="38.25">
      <c r="A30" s="5069">
        <v>18</v>
      </c>
      <c r="B30" s="5071" t="s">
        <v>512</v>
      </c>
      <c r="C30" s="5067" t="str">
        <f>IFERROR(IF(INDEX(DATA!$H$3:$H$296,MATCH(B30,DATA!$K$3:$K$296,0))=0,INDEX(DATA!$E$3:$E$296,MATCH(B30,DATA!$K$3:$K$296,0)),INDEX(DATA!$H$3:$H$296,MATCH(B30,DATA!$K$3:$K$296,0))),"–")</f>
        <v>Construction Contract - Site Enabling, Civil Works, Structural Concrete, Structural Steel, BOH Finishes, Building Envelope, MEP Including Tertiary Infrastructure &amp; ICT/ELV</v>
      </c>
      <c r="D30" s="5067" t="str">
        <f>IFERROR(INDEX(DATA!$E$3:$E$296,MATCH(B30,DATA!$K$3:$K$296,0)),"–")</f>
        <v>Saudi Arabian Baytur Construction Company</v>
      </c>
      <c r="E30" s="5069" t="str">
        <f>IFERROR(INDEX(DATA!$G$3:$G$296,MATCH(B30,DATA!$K$3:$K$296,0)),"")</f>
        <v>Contractor</v>
      </c>
      <c r="F30" s="5070">
        <f>'Schedule B'!K79</f>
        <v>169939906.69999999</v>
      </c>
      <c r="G30" s="5070">
        <f t="shared" si="0"/>
        <v>1049511.1230435073</v>
      </c>
      <c r="H30" s="5070">
        <f>'Schedule B'!Q79</f>
        <v>170989417.8230435</v>
      </c>
      <c r="I30" s="5067" t="s">
        <v>62</v>
      </c>
      <c r="J30" s="5081">
        <v>46386</v>
      </c>
      <c r="K30" s="5069">
        <f ca="1">IF(L30="Closed","-",J30-TODAY())</f>
        <v>87</v>
      </c>
      <c r="L30" s="5068" t="s">
        <v>2007</v>
      </c>
      <c r="M30" s="5067" t="s">
        <v>6368</v>
      </c>
    </row>
    <row r="31" spans="1:13">
      <c r="A31" s="5074">
        <v>19</v>
      </c>
      <c r="B31" s="5076" t="s">
        <v>513</v>
      </c>
      <c r="C31" s="5072" t="str">
        <f>IFERROR(IF(INDEX(DATA!$H$3:$H$296,MATCH(B31,DATA!$K$3:$K$296,0))=0,INDEX(DATA!$E$3:$E$296,MATCH(B31,DATA!$K$3:$K$296,0)),INDEX(DATA!$H$3:$H$296,MATCH(B31,DATA!$K$3:$K$296,0))),"–")</f>
        <v>Sto Façade Mock-Up</v>
      </c>
      <c r="D31" s="5072" t="str">
        <f>IFERROR(INDEX(DATA!$E$3:$E$296,MATCH(B31,DATA!$K$3:$K$296,0)),"–")</f>
        <v>Medtel - W.N</v>
      </c>
      <c r="E31" s="5074" t="str">
        <f>IFERROR(INDEX(DATA!$G$3:$G$296,MATCH(B31,DATA!$K$3:$K$296,0)),"")</f>
        <v>Contractor</v>
      </c>
      <c r="F31" s="5075">
        <f>'Schedule B'!K148</f>
        <v>819298.55</v>
      </c>
      <c r="G31" s="5075">
        <f t="shared" si="0"/>
        <v>0</v>
      </c>
      <c r="H31" s="5075">
        <f>'Schedule B'!Q148</f>
        <v>819298.55</v>
      </c>
      <c r="I31" s="5072" t="s">
        <v>56</v>
      </c>
      <c r="J31" s="5082" t="s">
        <v>805</v>
      </c>
      <c r="K31" s="5074" t="s">
        <v>3524</v>
      </c>
      <c r="L31" s="5073" t="s">
        <v>1277</v>
      </c>
      <c r="M31" s="5072" t="s">
        <v>6340</v>
      </c>
    </row>
    <row r="32" spans="1:13" ht="25.5">
      <c r="A32" s="5069">
        <v>20</v>
      </c>
      <c r="B32" s="5071" t="s">
        <v>514</v>
      </c>
      <c r="C32" s="5067" t="str">
        <f>IFERROR(IF(INDEX(DATA!$H$3:$H$296,MATCH(B32,DATA!$K$3:$K$296,0))=0,INDEX(DATA!$E$3:$E$296,MATCH(B32,DATA!$K$3:$K$296,0)),INDEX(DATA!$H$3:$H$296,MATCH(B32,DATA!$K$3:$K$296,0))),"–")</f>
        <v>Supply and Installation of the Vertical Transportation System Works (Call Off Order No.001)</v>
      </c>
      <c r="D32" s="5067" t="str">
        <f>IFERROR(INDEX(DATA!$E$3:$E$296,MATCH(B32,DATA!$K$3:$K$296,0)),"–")</f>
        <v>Elevator Systems Contracting Company (ESCCO)</v>
      </c>
      <c r="E32" s="5069" t="str">
        <f>IFERROR(INDEX(DATA!$G$3:$G$296,MATCH(B32,DATA!$K$3:$K$296,0)),"")</f>
        <v>Contractor</v>
      </c>
      <c r="F32" s="5070">
        <f>'Schedule B'!K149</f>
        <v>2773546</v>
      </c>
      <c r="G32" s="5070">
        <f t="shared" si="0"/>
        <v>549371.04999999981</v>
      </c>
      <c r="H32" s="5070">
        <f>'Schedule B'!Q149</f>
        <v>3322917.05</v>
      </c>
      <c r="I32" s="5067" t="s">
        <v>56</v>
      </c>
      <c r="J32" s="5081">
        <v>46325</v>
      </c>
      <c r="K32" s="5069">
        <f t="shared" ref="K32:K39" ca="1" si="2">IF(L32="Closed","-",J32-TODAY())</f>
        <v>26</v>
      </c>
      <c r="L32" s="5068" t="s">
        <v>2007</v>
      </c>
      <c r="M32" s="5067" t="s">
        <v>6377</v>
      </c>
    </row>
    <row r="33" spans="1:13" ht="38.25">
      <c r="A33" s="5069">
        <v>21</v>
      </c>
      <c r="B33" s="5071" t="s">
        <v>2001</v>
      </c>
      <c r="C33" s="5067" t="str">
        <f>IFERROR(IF(INDEX(DATA!$H$3:$H$296,MATCH(B33,DATA!$K$3:$K$296,0))=0,INDEX(DATA!$E$3:$E$296,MATCH(B33,DATA!$K$3:$K$296,0)),INDEX(DATA!$H$3:$H$296,MATCH(B33,DATA!$K$3:$K$296,0))),"–")</f>
        <v>Kitchen &amp; Laundry Works</v>
      </c>
      <c r="D33" s="5067" t="str">
        <f>IFERROR(INDEX(DATA!$E$3:$E$296,MATCH(B33,DATA!$K$3:$K$296,0)),"–")</f>
        <v>Abdulaziz Al Raqtan and Partners Company for Trading and Industry Company</v>
      </c>
      <c r="E33" s="5069" t="str">
        <f>IFERROR(INDEX(DATA!$G$3:$G$296,MATCH(B33,DATA!$K$3:$K$296,0)),"")</f>
        <v>Contractor</v>
      </c>
      <c r="F33" s="5070">
        <f>'Schedule B'!K150</f>
        <v>4705352</v>
      </c>
      <c r="G33" s="5070">
        <f t="shared" si="0"/>
        <v>1365246.4499999993</v>
      </c>
      <c r="H33" s="5070">
        <f>'Schedule B'!Q150</f>
        <v>6070598.4499999993</v>
      </c>
      <c r="I33" s="5067" t="s">
        <v>56</v>
      </c>
      <c r="J33" s="5081">
        <v>46264</v>
      </c>
      <c r="K33" s="5069">
        <f t="shared" ca="1" si="2"/>
        <v>-35</v>
      </c>
      <c r="L33" s="5068" t="s">
        <v>2007</v>
      </c>
      <c r="M33" s="5067" t="s">
        <v>6369</v>
      </c>
    </row>
    <row r="34" spans="1:13" ht="25.5">
      <c r="A34" s="5069">
        <v>22</v>
      </c>
      <c r="B34" s="5071" t="s">
        <v>2539</v>
      </c>
      <c r="C34" s="5067" t="str">
        <f>IFERROR(IF(INDEX(DATA!$H$3:$H$296,MATCH(B34,DATA!$K$3:$K$296,0))=0,INDEX(DATA!$E$3:$E$296,MATCH(B34,DATA!$K$3:$K$296,0)),INDEX(DATA!$H$3:$H$296,MATCH(B34,DATA!$K$3:$K$296,0))),"–")</f>
        <v>Fit-out works for Amaala Yacht Club</v>
      </c>
      <c r="D34" s="5067" t="str">
        <f>IFERROR(INDEX(DATA!$E$3:$E$296,MATCH(B34,DATA!$K$3:$K$296,0)),"–")</f>
        <v>DEPA Saudi Arabia for Contracting and Interior Decoration Co. Ltd</v>
      </c>
      <c r="E34" s="5069" t="str">
        <f>IFERROR(INDEX(DATA!$G$3:$G$296,MATCH(B34,DATA!$K$3:$K$296,0)),"")</f>
        <v>Contractor</v>
      </c>
      <c r="F34" s="5070">
        <f>'Schedule B'!K151</f>
        <v>80210582.25</v>
      </c>
      <c r="G34" s="5070">
        <f t="shared" si="0"/>
        <v>11912318.040000007</v>
      </c>
      <c r="H34" s="5070">
        <f>'Schedule B'!Q151</f>
        <v>92122900.290000007</v>
      </c>
      <c r="I34" s="5067" t="s">
        <v>62</v>
      </c>
      <c r="J34" s="5081">
        <v>46417</v>
      </c>
      <c r="K34" s="5069">
        <f t="shared" ca="1" si="2"/>
        <v>118</v>
      </c>
      <c r="L34" s="5068" t="s">
        <v>2007</v>
      </c>
      <c r="M34" s="5067" t="s">
        <v>6370</v>
      </c>
    </row>
    <row r="35" spans="1:13" ht="25.5">
      <c r="A35" s="5069">
        <v>23</v>
      </c>
      <c r="B35" s="5071" t="s">
        <v>2718</v>
      </c>
      <c r="C35" s="5067" t="str">
        <f>IFERROR(IF(INDEX(DATA!$H$3:$H$296,MATCH(B35,DATA!$K$3:$K$296,0))=0,INDEX(DATA!$E$3:$E$296,MATCH(B35,DATA!$K$3:$K$296,0)),INDEX(DATA!$H$3:$H$296,MATCH(B35,DATA!$K$3:$K$296,0))),"–")</f>
        <v>Aluminium &amp; Glazing Works for the AMAALA Yacht Club</v>
      </c>
      <c r="D35" s="5067" t="str">
        <f>IFERROR(INDEX(DATA!$E$3:$E$296,MATCH(B35,DATA!$K$3:$K$296,0)),"–")</f>
        <v>Aluminium Technology Auxiliary Industries (Alutec) WLL</v>
      </c>
      <c r="E35" s="5069" t="str">
        <f>IFERROR(INDEX(DATA!$G$3:$G$296,MATCH(B35,DATA!$K$3:$K$296,0)),"")</f>
        <v>Contractor</v>
      </c>
      <c r="F35" s="5070">
        <f>'Schedule B'!K152</f>
        <v>30474501.580000002</v>
      </c>
      <c r="G35" s="5070">
        <f t="shared" si="0"/>
        <v>378513</v>
      </c>
      <c r="H35" s="5070">
        <f>'Schedule B'!Q152</f>
        <v>30853014.580000002</v>
      </c>
      <c r="I35" s="5067" t="s">
        <v>56</v>
      </c>
      <c r="J35" s="5081">
        <v>46295</v>
      </c>
      <c r="K35" s="5069">
        <f t="shared" ca="1" si="2"/>
        <v>-4</v>
      </c>
      <c r="L35" s="5068" t="s">
        <v>2007</v>
      </c>
      <c r="M35" s="5067" t="s">
        <v>6371</v>
      </c>
    </row>
    <row r="36" spans="1:13" ht="25.5">
      <c r="A36" s="5069">
        <v>24</v>
      </c>
      <c r="B36" s="5071" t="s">
        <v>3203</v>
      </c>
      <c r="C36" s="5067" t="str">
        <f>IFERROR(IF(INDEX(DATA!$H$3:$H$296,MATCH(B36,DATA!$K$3:$K$296,0))=0,INDEX(DATA!$E$3:$E$296,MATCH(B36,DATA!$K$3:$K$296,0)),INDEX(DATA!$H$3:$H$296,MATCH(B36,DATA!$K$3:$K$296,0))),"–")</f>
        <v>Provision of construction manpower</v>
      </c>
      <c r="D36" s="5067" t="str">
        <f>IFERROR(INDEX(DATA!$E$3:$E$296,MATCH(B36,DATA!$K$3:$K$296,0)),"–")</f>
        <v>MAS Engineering &amp; Construction Company LTD</v>
      </c>
      <c r="E36" s="5069" t="str">
        <f>IFERROR(INDEX(DATA!$G$3:$G$296,MATCH(B36,DATA!$K$3:$K$296,0)),"")</f>
        <v>Contractor</v>
      </c>
      <c r="F36" s="5070">
        <f>'Schedule B'!K153</f>
        <v>22360118</v>
      </c>
      <c r="G36" s="5070">
        <f t="shared" si="0"/>
        <v>160876.21000000089</v>
      </c>
      <c r="H36" s="5070">
        <f>'Schedule B'!Q153</f>
        <v>22520994.210000001</v>
      </c>
      <c r="I36" s="5067" t="s">
        <v>6345</v>
      </c>
      <c r="J36" s="5081">
        <v>46325</v>
      </c>
      <c r="K36" s="5069">
        <f t="shared" ca="1" si="2"/>
        <v>26</v>
      </c>
      <c r="L36" s="5068" t="s">
        <v>2007</v>
      </c>
      <c r="M36" s="5067" t="s">
        <v>6372</v>
      </c>
    </row>
    <row r="37" spans="1:13" ht="25.5">
      <c r="A37" s="5176">
        <v>25</v>
      </c>
      <c r="B37" s="5177" t="s">
        <v>3210</v>
      </c>
      <c r="C37" s="5175" t="str">
        <f>IFERROR(IF(INDEX(DATA!$H$3:$H$296,MATCH(B37,DATA!$K$3:$K$296,0))=0,INDEX(DATA!$E$3:$E$296,MATCH(B37,DATA!$K$3:$K$296,0)),INDEX(DATA!$H$3:$H$296,MATCH(B37,DATA!$K$3:$K$296,0))),"–")</f>
        <v>Ampitheatre Concrete Works</v>
      </c>
      <c r="D37" s="5175" t="str">
        <f>IFERROR(INDEX(DATA!$E$3:$E$296,MATCH(B37,DATA!$K$3:$K$296,0)),"–")</f>
        <v>MAS Engineering &amp; Construction Company LTD</v>
      </c>
      <c r="E37" s="5176" t="str">
        <f>IFERROR(INDEX(DATA!$G$3:$G$296,MATCH(B37,DATA!$K$3:$K$296,0)),"")</f>
        <v>Contractor</v>
      </c>
      <c r="F37" s="5178">
        <f>'Schedule B'!K154</f>
        <v>1284550.3500000001</v>
      </c>
      <c r="G37" s="5178">
        <f t="shared" si="0"/>
        <v>-9520</v>
      </c>
      <c r="H37" s="5178">
        <f>'Schedule B'!Q154</f>
        <v>1275030.3500000001</v>
      </c>
      <c r="I37" s="5175" t="s">
        <v>6345</v>
      </c>
      <c r="J37" s="5179">
        <v>46218</v>
      </c>
      <c r="K37" s="5176" t="str">
        <f t="shared" ca="1" si="2"/>
        <v>-</v>
      </c>
      <c r="L37" s="5073" t="s">
        <v>1277</v>
      </c>
      <c r="M37" s="5175" t="s">
        <v>6566</v>
      </c>
    </row>
    <row r="38" spans="1:13">
      <c r="A38" s="5069">
        <v>26</v>
      </c>
      <c r="B38" s="5071" t="s">
        <v>3384</v>
      </c>
      <c r="C38" s="5067" t="str">
        <f>IFERROR(IF(INDEX(DATA!$H$3:$H$296,MATCH(B38,DATA!$K$3:$K$296,0))=0,INDEX(DATA!$E$3:$E$296,MATCH(B38,DATA!$K$3:$K$296,0)),INDEX(DATA!$H$3:$H$296,MATCH(B38,DATA!$K$3:$K$296,0))),"–")</f>
        <v>Construction Manpower Services</v>
      </c>
      <c r="D38" s="5067" t="str">
        <f>IFERROR(INDEX(DATA!$E$3:$E$296,MATCH(B38,DATA!$K$3:$K$296,0)),"–")</f>
        <v>Alfanar Company</v>
      </c>
      <c r="E38" s="5069" t="str">
        <f>IFERROR(INDEX(DATA!$G$3:$G$296,MATCH(B38,DATA!$K$3:$K$296,0)),"")</f>
        <v>Contractor</v>
      </c>
      <c r="F38" s="5070">
        <f>'Schedule B'!K155</f>
        <v>94625593.229999989</v>
      </c>
      <c r="G38" s="5070">
        <f t="shared" si="0"/>
        <v>914738.45999999344</v>
      </c>
      <c r="H38" s="5070">
        <f>'Schedule B'!Q155</f>
        <v>95540331.689999983</v>
      </c>
      <c r="I38" s="5067" t="s">
        <v>6345</v>
      </c>
      <c r="J38" s="5081">
        <v>46325</v>
      </c>
      <c r="K38" s="5069">
        <f t="shared" ca="1" si="2"/>
        <v>26</v>
      </c>
      <c r="L38" s="5068" t="s">
        <v>2007</v>
      </c>
      <c r="M38" s="5067" t="s">
        <v>6339</v>
      </c>
    </row>
    <row r="39" spans="1:13">
      <c r="A39" s="5069">
        <v>27</v>
      </c>
      <c r="B39" s="5071" t="s">
        <v>6346</v>
      </c>
      <c r="C39" s="5067" t="str">
        <f>IFERROR(IF(INDEX(DATA!$H$3:$H$296,MATCH(B39,DATA!$K$3:$K$296,0))=0,INDEX(DATA!$E$3:$E$296,MATCH(B39,DATA!$K$3:$K$296,0)),INDEX(DATA!$H$3:$H$296,MATCH(B39,DATA!$K$3:$K$296,0))),"–")</f>
        <v>Stainless Steel Reflecting Ceiling Works</v>
      </c>
      <c r="D39" s="5067" t="str">
        <f>IFERROR(INDEX(DATA!$E$3:$E$296,MATCH(B39,DATA!$K$3:$K$296,0)),"–")</f>
        <v>Armetal Metal Industries Co. Ltd</v>
      </c>
      <c r="E39" s="5069" t="str">
        <f>IFERROR(INDEX(DATA!$G$3:$G$296,MATCH(B39,DATA!$K$3:$K$296,0)),"")</f>
        <v>Contractor</v>
      </c>
      <c r="F39" s="5070">
        <f>'Schedule B'!K157</f>
        <v>7197028.5499999998</v>
      </c>
      <c r="G39" s="5070">
        <f t="shared" si="0"/>
        <v>0</v>
      </c>
      <c r="H39" s="5070">
        <f>'Schedule B'!Q157</f>
        <v>7197028.5499999998</v>
      </c>
      <c r="I39" s="5067" t="s">
        <v>6345</v>
      </c>
      <c r="J39" s="5081">
        <v>46233</v>
      </c>
      <c r="K39" s="5069">
        <f t="shared" ca="1" si="2"/>
        <v>-66</v>
      </c>
      <c r="L39" s="5068" t="s">
        <v>2007</v>
      </c>
      <c r="M39" s="5067" t="s">
        <v>6339</v>
      </c>
    </row>
    <row r="40" spans="1:13" ht="25.5">
      <c r="A40" s="5074">
        <v>28</v>
      </c>
      <c r="B40" s="5076" t="s">
        <v>6347</v>
      </c>
      <c r="C40" s="5072" t="str">
        <f>IFERROR(IF(INDEX(DATA!$H$3:$H$296,MATCH(B40,DATA!$K$3:$K$296,0))=0,INDEX(DATA!$E$3:$E$296,MATCH(B40,DATA!$K$3:$K$296,0)),INDEX(DATA!$H$3:$H$296,MATCH(B40,DATA!$K$3:$K$296,0))),"–")</f>
        <v>OCIP Insurance Premium (P0123­CAR­TCRO­00076041/E16)</v>
      </c>
      <c r="D40" s="5072" t="str">
        <f>IFERROR(INDEX(DATA!$E$3:$E$296,MATCH(B40,DATA!$K$3:$K$296,0)),"–")</f>
        <v>Al Rajhi Company For Cooperative Insurance</v>
      </c>
      <c r="E40" s="5074" t="str">
        <f>IFERROR(INDEX(DATA!$G$3:$G$296,MATCH(B40,DATA!$K$3:$K$296,0)),"")</f>
        <v>Contractor</v>
      </c>
      <c r="F40" s="5075">
        <f>'Schedule B'!K158</f>
        <v>89047.06</v>
      </c>
      <c r="G40" s="5075">
        <f t="shared" si="0"/>
        <v>0</v>
      </c>
      <c r="H40" s="5075">
        <f>'Schedule B'!Q158</f>
        <v>89047.06</v>
      </c>
      <c r="I40" s="5072" t="s">
        <v>370</v>
      </c>
      <c r="J40" s="5082" t="s">
        <v>805</v>
      </c>
      <c r="K40" s="5074" t="s">
        <v>3524</v>
      </c>
      <c r="L40" s="5073" t="s">
        <v>1277</v>
      </c>
      <c r="M40" s="5175" t="s">
        <v>6350</v>
      </c>
    </row>
    <row r="41" spans="1:13" ht="38.25">
      <c r="A41" s="5074">
        <v>29</v>
      </c>
      <c r="B41" s="5076" t="s">
        <v>3939</v>
      </c>
      <c r="C41" s="5072" t="str">
        <f>IFERROR(IF(INDEX(DATA!$H$3:$H$296,MATCH(B41,DATA!$K$3:$K$296,0))=0,INDEX(DATA!$E$3:$E$296,MATCH(B41,DATA!$K$3:$K$296,0)),INDEX(DATA!$H$3:$H$296,MATCH(B41,DATA!$K$3:$K$296,0))),"–")</f>
        <v>Amaala Triple Bay – Marina Hotel 3 - Building Envelope GRC Works Package_CONTRACT CANCELLED_CONTRACT VALUE AED 7,640,027.22 (SAR 7,850,127.97)</v>
      </c>
      <c r="D41" s="5072" t="str">
        <f>IFERROR(INDEX(DATA!$E$3:$E$296,MATCH(B41,DATA!$K$3:$K$296,0)),"–")</f>
        <v>Abu Dhabi Precast LLC</v>
      </c>
      <c r="E41" s="5074" t="str">
        <f>IFERROR(INDEX(DATA!$G$3:$G$296,MATCH(B41,DATA!$K$3:$K$296,0)),"")</f>
        <v>Contractor</v>
      </c>
      <c r="F41" s="5075">
        <f>'Schedule B'!K159</f>
        <v>0</v>
      </c>
      <c r="G41" s="5075">
        <f t="shared" si="0"/>
        <v>0</v>
      </c>
      <c r="H41" s="5075">
        <f>'Schedule B'!Q159</f>
        <v>0</v>
      </c>
      <c r="I41" s="5072" t="s">
        <v>56</v>
      </c>
      <c r="J41" s="5082" t="s">
        <v>370</v>
      </c>
      <c r="K41" s="5074" t="s">
        <v>3524</v>
      </c>
      <c r="L41" s="5073" t="s">
        <v>1277</v>
      </c>
      <c r="M41" s="5072" t="s">
        <v>6367</v>
      </c>
    </row>
    <row r="42" spans="1:13" ht="25.5">
      <c r="A42" s="5176">
        <v>30</v>
      </c>
      <c r="B42" s="5177" t="s">
        <v>6349</v>
      </c>
      <c r="C42" s="5175" t="str">
        <f>IFERROR(IF(INDEX(DATA!$H$3:$H$296,MATCH(B42,DATA!$K$3:$K$296,0))=0,INDEX(DATA!$E$3:$E$296,MATCH(B42,DATA!$K$3:$K$296,0)),INDEX(DATA!$H$3:$H$296,MATCH(B42,DATA!$K$3:$K$296,0))),"–")</f>
        <v>Scaffolding Services</v>
      </c>
      <c r="D42" s="5175" t="str">
        <f>IFERROR(INDEX(DATA!$E$3:$E$296,MATCH(B42,DATA!$K$3:$K$296,0)),"–")</f>
        <v>Hassan Allam Construction Saudi Limited</v>
      </c>
      <c r="E42" s="5176" t="str">
        <f>IFERROR(INDEX(DATA!$G$3:$G$296,MATCH(B42,DATA!$K$3:$K$296,0)),"")</f>
        <v>Contractor</v>
      </c>
      <c r="F42" s="5178">
        <f>'Schedule B'!K160</f>
        <v>3096124.9</v>
      </c>
      <c r="G42" s="5178">
        <f t="shared" si="0"/>
        <v>0</v>
      </c>
      <c r="H42" s="5178">
        <f>'Schedule B'!Q160</f>
        <v>3096124.9</v>
      </c>
      <c r="I42" s="5175" t="s">
        <v>6345</v>
      </c>
      <c r="J42" s="5179">
        <v>46111</v>
      </c>
      <c r="K42" s="5180" t="str">
        <f ca="1">IF(L42="Closed","-",J42-TODAY())</f>
        <v>-</v>
      </c>
      <c r="L42" s="5073" t="s">
        <v>1277</v>
      </c>
      <c r="M42" s="5175" t="s">
        <v>6340</v>
      </c>
    </row>
    <row r="43" spans="1:13" ht="25.5">
      <c r="A43" s="5074">
        <v>31</v>
      </c>
      <c r="B43" s="5076" t="s">
        <v>6639</v>
      </c>
      <c r="C43" s="5072" t="str">
        <f>IFERROR(IF(INDEX(DATA!$H$3:$H$302,MATCH(B43,DATA!$K$3:$K$302,0))=0,INDEX(DATA!$E$3:$E$302,MATCH(B43,DATA!$K$3:$K$302,0)),INDEX(DATA!$H$3:$H$302,MATCH(B43,DATA!$K$3:$K$302,0))),"–")</f>
        <v>RJT- OCIP Insurance Premium - Declaration 11</v>
      </c>
      <c r="D43" s="5072" t="str">
        <f>IFERROR(INDEX(DATA!$E$3:$E$302,MATCH(B43,DATA!$K$3:$K$302,0)),"–")</f>
        <v>RJT- OCIP Insurance Premium - Declaration 11</v>
      </c>
      <c r="E43" s="5074" t="str">
        <f>IFERROR(INDEX(DATA!$G$3:$G$302,MATCH(B43,DATA!$K$3:$K$302,0)),"")</f>
        <v>Contractor</v>
      </c>
      <c r="F43" s="5075">
        <f>'Schedule B'!K168</f>
        <v>15076.28</v>
      </c>
      <c r="G43" s="5075">
        <f t="shared" si="0"/>
        <v>0</v>
      </c>
      <c r="H43" s="5075">
        <f>'Schedule B'!Q168</f>
        <v>15076.28</v>
      </c>
      <c r="I43" s="5072" t="s">
        <v>370</v>
      </c>
      <c r="J43" s="5082" t="s">
        <v>805</v>
      </c>
      <c r="K43" s="5074" t="s">
        <v>3524</v>
      </c>
      <c r="L43" s="5073" t="s">
        <v>1277</v>
      </c>
      <c r="M43" s="5072" t="s">
        <v>6348</v>
      </c>
    </row>
    <row r="44" spans="1:13" ht="25.5">
      <c r="A44" s="5069">
        <v>32</v>
      </c>
      <c r="B44" s="5071" t="s">
        <v>5343</v>
      </c>
      <c r="C44" s="5067" t="str">
        <f>IFERROR(IF(INDEX(DATA!$H$3:$H$296,MATCH(B44,DATA!$K$3:$K$296,0))=0,INDEX(DATA!$E$3:$E$296,MATCH(B44,DATA!$K$3:$K$296,0)),INDEX(DATA!$H$3:$H$296,MATCH(B44,DATA!$K$3:$K$296,0))),"–")</f>
        <v>Deep Cleaning Services (Call off Order No: 005)</v>
      </c>
      <c r="D44" s="5067" t="str">
        <f>IFERROR(INDEX(DATA!$E$3:$E$296,MATCH(B44,DATA!$K$3:$K$296,0)),"–")</f>
        <v>Tabuk Investment and Tourism Company (Enviro Facility Management)</v>
      </c>
      <c r="E44" s="5069" t="str">
        <f>IFERROR(INDEX(DATA!$G$3:$G$296,MATCH(B44,DATA!$K$3:$K$296,0)),"")</f>
        <v>Contractor</v>
      </c>
      <c r="F44" s="5070">
        <f>'Schedule B'!K161</f>
        <v>799625.31</v>
      </c>
      <c r="G44" s="5070">
        <f t="shared" si="0"/>
        <v>0</v>
      </c>
      <c r="H44" s="5070">
        <f>'Schedule B'!Q161</f>
        <v>799625.31</v>
      </c>
      <c r="I44" s="5067" t="s">
        <v>62</v>
      </c>
      <c r="J44" s="5081">
        <v>46233</v>
      </c>
      <c r="K44" s="5069">
        <f ca="1">IF(L44="Closed","-",J44-TODAY())</f>
        <v>-66</v>
      </c>
      <c r="L44" s="5068" t="s">
        <v>2007</v>
      </c>
      <c r="M44" s="5067" t="s">
        <v>6339</v>
      </c>
    </row>
    <row r="45" spans="1:13">
      <c r="A45" s="5069">
        <v>33</v>
      </c>
      <c r="B45" s="5071" t="s">
        <v>2808</v>
      </c>
      <c r="C45" s="5067" t="str">
        <f>IFERROR(IF(INDEX(DATA!$H$3:$H$296,MATCH(B45,DATA!$K$3:$K$296,0))=0,INDEX(DATA!$E$3:$E$296,MATCH(B45,DATA!$K$3:$K$296,0)),INDEX(DATA!$H$3:$H$296,MATCH(B45,DATA!$K$3:$K$296,0))),"–")</f>
        <v>FF&amp;E Procurement Services</v>
      </c>
      <c r="D45" s="5067" t="str">
        <f>IFERROR(INDEX(DATA!$E$3:$E$296,MATCH(B45,DATA!$K$3:$K$296,0)),"–")</f>
        <v>Areen Design Limited</v>
      </c>
      <c r="E45" s="5069" t="str">
        <f>IFERROR(INDEX(DATA!$G$3:$G$296,MATCH(B45,DATA!$K$3:$K$296,0)),"")</f>
        <v>Consultant</v>
      </c>
      <c r="F45" s="5070">
        <f>'Schedule B'!K204</f>
        <v>1959244.88</v>
      </c>
      <c r="G45" s="5070">
        <f t="shared" si="0"/>
        <v>0</v>
      </c>
      <c r="H45" s="5070">
        <f>'Schedule B'!Q204</f>
        <v>1959244.88</v>
      </c>
      <c r="I45" s="5067" t="s">
        <v>6378</v>
      </c>
      <c r="J45" s="5081">
        <v>46295</v>
      </c>
      <c r="K45" s="5069">
        <f ca="1">IF(L45="Closed","-",J45-TODAY())</f>
        <v>-4</v>
      </c>
      <c r="L45" s="5068" t="s">
        <v>2007</v>
      </c>
      <c r="M45" s="5067" t="s">
        <v>6379</v>
      </c>
    </row>
    <row r="46" spans="1:13" ht="25.5">
      <c r="A46" s="5064">
        <v>34</v>
      </c>
      <c r="B46" s="5066" t="s">
        <v>5240</v>
      </c>
      <c r="C46" s="5062" t="str">
        <f>IFERROR(IF(INDEX(DATA!$H$3:$H$296,MATCH(B46,DATA!$K$3:$K$296,0))=0,INDEX(DATA!$E$3:$E$296,MATCH(B46,DATA!$K$3:$K$296,0)),INDEX(DATA!$H$3:$H$296,MATCH(B46,DATA!$K$3:$K$296,0))),"–")</f>
        <v>Supply and Delivery Of Buggies</v>
      </c>
      <c r="D46" s="5062" t="str">
        <f>IFERROR(INDEX(DATA!$E$3:$E$296,MATCH(B46,DATA!$K$3:$K$296,0)),"–")</f>
        <v>Extraordinary Cart</v>
      </c>
      <c r="E46" s="5064" t="str">
        <f>IFERROR(INDEX(DATA!$G$3:$G$296,MATCH(B46,DATA!$K$3:$K$296,0)),"")</f>
        <v>Contractor</v>
      </c>
      <c r="F46" s="5065">
        <f>'Schedule B'!K212</f>
        <v>397876</v>
      </c>
      <c r="G46" s="5065">
        <f t="shared" si="0"/>
        <v>0</v>
      </c>
      <c r="H46" s="5065">
        <f>'Schedule B'!Q212</f>
        <v>397876</v>
      </c>
      <c r="I46" s="5062" t="s">
        <v>6345</v>
      </c>
      <c r="J46" s="5083" t="s">
        <v>805</v>
      </c>
      <c r="K46" s="5064" t="s">
        <v>3524</v>
      </c>
      <c r="L46" s="5063" t="s">
        <v>6374</v>
      </c>
      <c r="M46" s="5062" t="s">
        <v>6350</v>
      </c>
    </row>
    <row r="47" spans="1:13" ht="25.5">
      <c r="A47" s="5064">
        <v>35</v>
      </c>
      <c r="B47" s="5066" t="s">
        <v>5241</v>
      </c>
      <c r="C47" s="5062" t="str">
        <f>IFERROR(IF(INDEX(DATA!$H$3:$H$296,MATCH(B47,DATA!$K$3:$K$296,0))=0,INDEX(DATA!$E$3:$E$296,MATCH(B47,DATA!$K$3:$K$296,0)),INDEX(DATA!$H$3:$H$296,MATCH(B47,DATA!$K$3:$K$296,0))),"–")</f>
        <v>Supply, Installation Of Oracle Hospitality Simphony Cloud POS Solutions for Yacht Club</v>
      </c>
      <c r="D47" s="5062" t="str">
        <f>IFERROR(INDEX(DATA!$E$3:$E$296,MATCH(B47,DATA!$K$3:$K$296,0)),"–")</f>
        <v>SaudiCo Electronic Systems</v>
      </c>
      <c r="E47" s="5064" t="str">
        <f>IFERROR(INDEX(DATA!$G$3:$G$296,MATCH(B47,DATA!$K$3:$K$296,0)),"")</f>
        <v>Consultant</v>
      </c>
      <c r="F47" s="5065">
        <f>'Schedule B'!K213</f>
        <v>353487.06</v>
      </c>
      <c r="G47" s="5065">
        <f t="shared" si="0"/>
        <v>0</v>
      </c>
      <c r="H47" s="5065">
        <f>'Schedule B'!Q213</f>
        <v>353487.06</v>
      </c>
      <c r="I47" s="5062" t="s">
        <v>6345</v>
      </c>
      <c r="J47" s="5083" t="s">
        <v>805</v>
      </c>
      <c r="K47" s="5064" t="s">
        <v>3524</v>
      </c>
      <c r="L47" s="5063" t="s">
        <v>6374</v>
      </c>
      <c r="M47" s="5062" t="s">
        <v>6350</v>
      </c>
    </row>
    <row r="48" spans="1:13" ht="25.5">
      <c r="A48" s="5064">
        <v>36</v>
      </c>
      <c r="B48" s="5066" t="s">
        <v>5242</v>
      </c>
      <c r="C48" s="5062" t="str">
        <f>IFERROR(IF(INDEX(DATA!$H$3:$H$296,MATCH(B48,DATA!$K$3:$K$296,0))=0,INDEX(DATA!$E$3:$E$296,MATCH(B48,DATA!$K$3:$K$296,0)),INDEX(DATA!$H$3:$H$296,MATCH(B48,DATA!$K$3:$K$296,0))),"–")</f>
        <v>Procurement, Inventory, &amp; Receipt Management System for Yacht Club</v>
      </c>
      <c r="D48" s="5062" t="str">
        <f>IFERROR(INDEX(DATA!$E$3:$E$296,MATCH(B48,DATA!$K$3:$K$296,0)),"–")</f>
        <v>Birchstreet Systems, LLC</v>
      </c>
      <c r="E48" s="5064" t="str">
        <f>IFERROR(INDEX(DATA!$G$3:$G$296,MATCH(B48,DATA!$K$3:$K$296,0)),"")</f>
        <v>Consultant</v>
      </c>
      <c r="F48" s="5065">
        <f>'Schedule B'!K214</f>
        <v>115998.98000000001</v>
      </c>
      <c r="G48" s="5065">
        <f t="shared" si="0"/>
        <v>0</v>
      </c>
      <c r="H48" s="5065">
        <f>'Schedule B'!Q214</f>
        <v>115998.98000000001</v>
      </c>
      <c r="I48" s="5062" t="s">
        <v>6345</v>
      </c>
      <c r="J48" s="5083" t="s">
        <v>805</v>
      </c>
      <c r="K48" s="5064" t="s">
        <v>3524</v>
      </c>
      <c r="L48" s="5063" t="s">
        <v>6374</v>
      </c>
      <c r="M48" s="5062" t="s">
        <v>6350</v>
      </c>
    </row>
    <row r="49" spans="1:13" ht="25.5">
      <c r="A49" s="5064">
        <v>37</v>
      </c>
      <c r="B49" s="5066" t="s">
        <v>5248</v>
      </c>
      <c r="C49" s="5062" t="str">
        <f>IFERROR(IF(INDEX(DATA!$H$3:$H$296,MATCH(B49,DATA!$K$3:$K$296,0))=0,INDEX(DATA!$E$3:$E$296,MATCH(B49,DATA!$K$3:$K$296,0)),INDEX(DATA!$H$3:$H$296,MATCH(B49,DATA!$K$3:$K$296,0))),"–")</f>
        <v>Providing HPE Servers</v>
      </c>
      <c r="D49" s="5062" t="str">
        <f>IFERROR(INDEX(DATA!$E$3:$E$296,MATCH(B49,DATA!$K$3:$K$296,0)),"–")</f>
        <v>Al Falak Electronic Equipment &amp; Supplies Co</v>
      </c>
      <c r="E49" s="5064" t="str">
        <f>IFERROR(INDEX(DATA!$G$3:$G$296,MATCH(B49,DATA!$K$3:$K$296,0)),"")</f>
        <v>Consultant</v>
      </c>
      <c r="F49" s="5065">
        <f>'Schedule B'!K215</f>
        <v>16655</v>
      </c>
      <c r="G49" s="5065">
        <f t="shared" si="0"/>
        <v>0</v>
      </c>
      <c r="H49" s="5065">
        <f>'Schedule B'!Q215</f>
        <v>16655</v>
      </c>
      <c r="I49" s="5062" t="s">
        <v>6345</v>
      </c>
      <c r="J49" s="5083" t="s">
        <v>805</v>
      </c>
      <c r="K49" s="5064" t="s">
        <v>3524</v>
      </c>
      <c r="L49" s="5063" t="s">
        <v>6374</v>
      </c>
      <c r="M49" s="5062" t="s">
        <v>6350</v>
      </c>
    </row>
    <row r="50" spans="1:13" ht="25.5">
      <c r="A50" s="5069">
        <v>38</v>
      </c>
      <c r="B50" s="5071" t="s">
        <v>6641</v>
      </c>
      <c r="C50" s="5085" t="str">
        <f>'Schedule B'!B164</f>
        <v>Al Futtaim Pioneer Elevators - Al Futtaim Pioneer</v>
      </c>
      <c r="D50" s="5085" t="str">
        <f>'Schedule B'!C164</f>
        <v>Al Futtaim Pioneer Elevators - Al Futtaim Pioneer</v>
      </c>
      <c r="E50" s="5069" t="str">
        <f>IFERROR(INDEX(DATA!$G$3:$G$296,MATCH(B50,DATA!$K$3:$K$296,0)),"")</f>
        <v>Contractor</v>
      </c>
      <c r="F50" s="5070">
        <f>'Schedule B'!K164</f>
        <v>691955</v>
      </c>
      <c r="G50" s="5070">
        <f t="shared" si="0"/>
        <v>0</v>
      </c>
      <c r="H50" s="5070">
        <f>'Schedule B'!Q164</f>
        <v>691955</v>
      </c>
      <c r="I50" s="5067" t="s">
        <v>6345</v>
      </c>
      <c r="J50" s="5081">
        <v>46295</v>
      </c>
      <c r="K50" s="5069">
        <f ca="1">IF(L50="Closed","-",J50-TODAY())</f>
        <v>-4</v>
      </c>
      <c r="L50" s="5068" t="s">
        <v>2007</v>
      </c>
      <c r="M50" s="5067" t="s">
        <v>6354</v>
      </c>
    </row>
    <row r="51" spans="1:13">
      <c r="A51" s="5069">
        <v>39</v>
      </c>
      <c r="B51" s="5071" t="s">
        <v>2909</v>
      </c>
      <c r="C51" s="5067" t="s">
        <v>525</v>
      </c>
      <c r="D51" s="5085" t="str">
        <f>'Schedule B'!C207</f>
        <v>Loose FF&amp;E Items (FOH)</v>
      </c>
      <c r="E51" s="5069" t="str">
        <f>IFERROR(INDEX(DATA!$G$3:$G$296,MATCH(B53,DATA!$K$3:$K$296,0)),"")</f>
        <v>Consultant</v>
      </c>
      <c r="F51" s="5070">
        <f>'Schedule B'!K207</f>
        <v>22998647.559999999</v>
      </c>
      <c r="G51" s="5070">
        <f t="shared" si="0"/>
        <v>0</v>
      </c>
      <c r="H51" s="5070">
        <f>'Schedule B'!Q207</f>
        <v>22998647.559999999</v>
      </c>
      <c r="I51" s="5067" t="s">
        <v>6378</v>
      </c>
      <c r="J51" s="5081">
        <v>46295</v>
      </c>
      <c r="K51" s="5069">
        <f ca="1">IF(L51="Closed","-",J51-TODAY())</f>
        <v>-4</v>
      </c>
      <c r="L51" s="5068" t="s">
        <v>2007</v>
      </c>
      <c r="M51" s="5067" t="s">
        <v>6375</v>
      </c>
    </row>
    <row r="52" spans="1:13">
      <c r="A52" s="5069">
        <v>40</v>
      </c>
      <c r="B52" s="5071" t="s">
        <v>2909</v>
      </c>
      <c r="C52" s="5067" t="s">
        <v>197</v>
      </c>
      <c r="D52" s="5085" t="str">
        <f>'Schedule B'!C209</f>
        <v>OS&amp;E Items</v>
      </c>
      <c r="E52" s="5069" t="str">
        <f>IFERROR(INDEX(DATA!$G$3:$G$296,MATCH(B54,DATA!$K$3:$K$296,0)),"")</f>
        <v>Consultant</v>
      </c>
      <c r="F52" s="5070">
        <f>'Schedule B'!K209</f>
        <v>14586000.000000004</v>
      </c>
      <c r="G52" s="5070">
        <f t="shared" si="0"/>
        <v>429156</v>
      </c>
      <c r="H52" s="5070">
        <f>'Schedule B'!Q209</f>
        <v>15015156.000000004</v>
      </c>
      <c r="I52" s="5067" t="s">
        <v>6378</v>
      </c>
      <c r="J52" s="5081">
        <v>46295</v>
      </c>
      <c r="K52" s="5069">
        <f ca="1">IF(L52="Closed","-",J52-TODAY())</f>
        <v>-4</v>
      </c>
      <c r="L52" s="5068" t="s">
        <v>2007</v>
      </c>
      <c r="M52" s="5067" t="s">
        <v>6375</v>
      </c>
    </row>
    <row r="53" spans="1:13" ht="25.5">
      <c r="A53" s="5064">
        <v>41</v>
      </c>
      <c r="B53" s="5066" t="s">
        <v>5284</v>
      </c>
      <c r="C53" s="5062" t="str">
        <f>IFERROR(IF(INDEX(DATA!$H$3:$H$296,MATCH(B55,DATA!$K$3:$K$296,0))=0,INDEX(DATA!$E$3:$E$296,MATCH(B55,DATA!$K$3:$K$296,0)),INDEX(DATA!$H$3:$H$296,MATCH(B55,DATA!$K$3:$K$296,0))),"–")</f>
        <v>Supply,Setup and Implementation Of Infor Financial Software (SunSystems)</v>
      </c>
      <c r="D53" s="5062" t="str">
        <f>IFERROR(INDEX(DATA!$E$3:$E$296,MATCH(B55,DATA!$K$3:$K$296,0)),"–")</f>
        <v>Infor (Saudi Arabia Limited)</v>
      </c>
      <c r="E53" s="5064" t="str">
        <f>IFERROR(INDEX(DATA!$G$3:$G$296,MATCH(B55,DATA!$K$3:$K$296,0)),"")</f>
        <v>Consultant</v>
      </c>
      <c r="F53" s="5065">
        <f>'Schedule B'!K216</f>
        <v>34719</v>
      </c>
      <c r="G53" s="5065">
        <f t="shared" si="0"/>
        <v>0</v>
      </c>
      <c r="H53" s="5065">
        <f>'Schedule B'!Q216</f>
        <v>34719</v>
      </c>
      <c r="I53" s="5062" t="s">
        <v>6345</v>
      </c>
      <c r="J53" s="5083" t="s">
        <v>805</v>
      </c>
      <c r="K53" s="5064" t="s">
        <v>3524</v>
      </c>
      <c r="L53" s="5063" t="s">
        <v>6374</v>
      </c>
      <c r="M53" s="5062" t="s">
        <v>6373</v>
      </c>
    </row>
    <row r="54" spans="1:13" ht="25.5">
      <c r="A54" s="5064">
        <v>42</v>
      </c>
      <c r="B54" s="5066" t="s">
        <v>5336</v>
      </c>
      <c r="C54" s="5080" t="str">
        <f>'Schedule B'!B217</f>
        <v>Sevenrooms Inc</v>
      </c>
      <c r="D54" s="5080" t="str">
        <f>'Schedule B'!C217</f>
        <v>Sevenrooms Inc</v>
      </c>
      <c r="E54" s="5064" t="str">
        <f>IFERROR(INDEX(DATA!$G$3:$G$296,MATCH(B56,DATA!$K$3:$K$296,0)),"")</f>
        <v/>
      </c>
      <c r="F54" s="5065">
        <f>'Schedule B'!K217</f>
        <v>32751.56</v>
      </c>
      <c r="G54" s="5065">
        <f t="shared" si="0"/>
        <v>0</v>
      </c>
      <c r="H54" s="5065">
        <f>'Schedule B'!Q217</f>
        <v>32751.56</v>
      </c>
      <c r="I54" s="5062" t="s">
        <v>6345</v>
      </c>
      <c r="J54" s="5083" t="s">
        <v>805</v>
      </c>
      <c r="K54" s="5064" t="s">
        <v>3524</v>
      </c>
      <c r="L54" s="5063" t="s">
        <v>6374</v>
      </c>
      <c r="M54" s="5062" t="s">
        <v>6373</v>
      </c>
    </row>
    <row r="55" spans="1:13" ht="25.5">
      <c r="A55" s="5064">
        <v>43</v>
      </c>
      <c r="B55" s="5066" t="s">
        <v>5338</v>
      </c>
      <c r="C55" s="5080" t="str">
        <f>'Schedule B'!B218</f>
        <v>Infor Co</v>
      </c>
      <c r="D55" s="5080" t="str">
        <f>'Schedule B'!C218</f>
        <v>Infor Saudi Arabia Limited</v>
      </c>
      <c r="E55" s="5064" t="str">
        <f>IFERROR(INDEX(DATA!$G$3:$G$296,MATCH(B57,DATA!$K$3:$K$296,0)),"")</f>
        <v/>
      </c>
      <c r="F55" s="5065">
        <f>'Schedule B'!K218</f>
        <v>58307.19</v>
      </c>
      <c r="G55" s="5065">
        <f t="shared" si="0"/>
        <v>0</v>
      </c>
      <c r="H55" s="5065">
        <f>'Schedule B'!Q218</f>
        <v>58307.19</v>
      </c>
      <c r="I55" s="5062" t="s">
        <v>6345</v>
      </c>
      <c r="J55" s="5083" t="s">
        <v>805</v>
      </c>
      <c r="K55" s="5064" t="s">
        <v>3524</v>
      </c>
      <c r="L55" s="5063" t="s">
        <v>6374</v>
      </c>
      <c r="M55" s="5062" t="s">
        <v>6373</v>
      </c>
    </row>
    <row r="56" spans="1:13" ht="25.5">
      <c r="A56" s="5064">
        <v>44</v>
      </c>
      <c r="B56" s="5066" t="s">
        <v>5422</v>
      </c>
      <c r="C56" s="5080" t="str">
        <f>'Schedule B'!B219</f>
        <v>Reachware Integration</v>
      </c>
      <c r="D56" s="5080" t="str">
        <f>'Schedule B'!C219</f>
        <v>TRA - Zatca Integration with Reachware</v>
      </c>
      <c r="E56" s="5064" t="str">
        <f>IFERROR(INDEX(DATA!$G$3:$G$296,MATCH(B58,DATA!$K$3:$K$296,0)),"")</f>
        <v/>
      </c>
      <c r="F56" s="5065">
        <f>'Schedule B'!K219</f>
        <v>57135</v>
      </c>
      <c r="G56" s="5065">
        <f t="shared" si="0"/>
        <v>0</v>
      </c>
      <c r="H56" s="5065">
        <f>'Schedule B'!Q219</f>
        <v>57135</v>
      </c>
      <c r="I56" s="5062" t="s">
        <v>6345</v>
      </c>
      <c r="J56" s="5083" t="s">
        <v>805</v>
      </c>
      <c r="K56" s="5064" t="s">
        <v>3524</v>
      </c>
      <c r="L56" s="5063" t="s">
        <v>6374</v>
      </c>
      <c r="M56" s="5062" t="s">
        <v>6373</v>
      </c>
    </row>
    <row r="57" spans="1:13" ht="26.25" thickBot="1">
      <c r="A57" s="5064">
        <v>45</v>
      </c>
      <c r="B57" s="5066" t="s">
        <v>6298</v>
      </c>
      <c r="C57" s="5080" t="str">
        <f>'Schedule B'!B220</f>
        <v>PeopleVine Implementation</v>
      </c>
      <c r="D57" s="5080" t="str">
        <f>'Schedule B'!C220</f>
        <v>PeopleVine Implementation</v>
      </c>
      <c r="E57" s="5064" t="str">
        <f>IFERROR(INDEX(DATA!$G$3:$G$296,MATCH(B59,DATA!$K$3:$K$296,0)),"")</f>
        <v/>
      </c>
      <c r="F57" s="5065">
        <f>'Schedule B'!K220</f>
        <v>336187.5</v>
      </c>
      <c r="G57" s="5065">
        <f t="shared" si="0"/>
        <v>0</v>
      </c>
      <c r="H57" s="5065">
        <f>'Schedule B'!Q220</f>
        <v>336187.5</v>
      </c>
      <c r="I57" s="5062" t="s">
        <v>6345</v>
      </c>
      <c r="J57" s="5083" t="s">
        <v>805</v>
      </c>
      <c r="K57" s="5064" t="s">
        <v>3524</v>
      </c>
      <c r="L57" s="5063" t="s">
        <v>6374</v>
      </c>
      <c r="M57" s="5062" t="s">
        <v>6373</v>
      </c>
    </row>
    <row r="58" spans="1:13" ht="15.75" thickBot="1">
      <c r="A58" s="5041"/>
      <c r="B58" s="5041"/>
      <c r="C58" s="5043" t="s">
        <v>6355</v>
      </c>
      <c r="D58" s="5041"/>
      <c r="E58" s="5041"/>
      <c r="F58" s="5061">
        <f>SUM(F13:F57)</f>
        <v>518886920.48999995</v>
      </c>
      <c r="G58" s="5061">
        <f>SUM(G13:G57)</f>
        <v>16249171.413043506</v>
      </c>
      <c r="H58" s="5061">
        <f>SUM(H13:H57)</f>
        <v>535136091.90304351</v>
      </c>
      <c r="I58" s="5041"/>
      <c r="J58" s="5041"/>
      <c r="K58" s="5041"/>
      <c r="L58" s="5041"/>
      <c r="M58" s="5041"/>
    </row>
    <row r="60" spans="1:13" ht="18" customHeight="1">
      <c r="A60" s="5609" t="s">
        <v>6390</v>
      </c>
      <c r="B60" s="5605"/>
      <c r="C60" s="5605"/>
      <c r="D60" s="5605"/>
      <c r="E60" s="5605"/>
      <c r="F60" s="5605"/>
      <c r="G60" s="5605"/>
      <c r="H60" s="5605"/>
      <c r="I60" s="5605"/>
      <c r="J60" s="5605"/>
      <c r="K60" s="5605"/>
      <c r="L60" s="5605"/>
      <c r="M60" s="5605"/>
    </row>
    <row r="61" spans="1:13">
      <c r="A61" s="5611" t="s">
        <v>6389</v>
      </c>
      <c r="B61" s="5605"/>
      <c r="C61" s="5605"/>
      <c r="D61" s="5605"/>
      <c r="E61" s="5605"/>
      <c r="F61" s="5605"/>
      <c r="G61" s="5605"/>
      <c r="H61" s="5605"/>
      <c r="I61" s="5605"/>
      <c r="J61" s="5605"/>
      <c r="K61" s="5605"/>
      <c r="L61" s="5605"/>
      <c r="M61" s="5605"/>
    </row>
    <row r="62" spans="1:13" ht="24">
      <c r="A62" s="5058">
        <v>1</v>
      </c>
      <c r="B62" s="5060" t="s">
        <v>6351</v>
      </c>
      <c r="C62" s="5086" t="str">
        <f>'Schedule B'!B162</f>
        <v>KTH - MEP Works Package - 2240072 - KORTEK</v>
      </c>
      <c r="D62" s="5086" t="str">
        <f>'Schedule B'!C162</f>
        <v>KTH - MEP Works Package - 2240072 - KORTEK</v>
      </c>
      <c r="E62" s="5058" t="str">
        <f>IFERROR(INDEX(DATA!$G$3:$G$296,MATCH(B50,DATA!$K$3:$K$296,0)),"")</f>
        <v>Contractor</v>
      </c>
      <c r="F62" s="5059">
        <f>'Schedule B'!K162</f>
        <v>0</v>
      </c>
      <c r="G62" s="5059">
        <f>H62-F62</f>
        <v>950913.7</v>
      </c>
      <c r="H62" s="5059">
        <f>'Schedule B'!Q162</f>
        <v>950913.7</v>
      </c>
      <c r="I62" s="5056" t="s">
        <v>6381</v>
      </c>
      <c r="J62" s="5058" t="s">
        <v>370</v>
      </c>
      <c r="K62" s="5058" t="s">
        <v>3524</v>
      </c>
      <c r="L62" s="5057" t="s">
        <v>6361</v>
      </c>
      <c r="M62" s="5056" t="s">
        <v>6380</v>
      </c>
    </row>
    <row r="63" spans="1:13" ht="24">
      <c r="A63" s="5058">
        <v>2</v>
      </c>
      <c r="B63" s="5060" t="s">
        <v>6352</v>
      </c>
      <c r="C63" s="5086" t="str">
        <f>'Schedule B'!B163</f>
        <v>ALC - Alcatop Package - Fourseasons</v>
      </c>
      <c r="D63" s="5086" t="str">
        <f>'Schedule B'!C163</f>
        <v>ALC - Alcatop Package - Fourseasons - Alcatop</v>
      </c>
      <c r="E63" s="5058" t="str">
        <f>IFERROR(INDEX(DATA!$G$3:$G$296,MATCH(B51,DATA!$K$3:$K$296,0)),"")</f>
        <v/>
      </c>
      <c r="F63" s="5059">
        <f>'Schedule B'!K163</f>
        <v>0</v>
      </c>
      <c r="G63" s="5059">
        <f>H63-F63</f>
        <v>150000</v>
      </c>
      <c r="H63" s="5059">
        <f>'Schedule B'!Q163</f>
        <v>150000</v>
      </c>
      <c r="I63" s="5056" t="s">
        <v>6382</v>
      </c>
      <c r="J63" s="5058" t="s">
        <v>370</v>
      </c>
      <c r="K63" s="5058" t="s">
        <v>3524</v>
      </c>
      <c r="L63" s="5057" t="s">
        <v>6361</v>
      </c>
      <c r="M63" s="5056" t="s">
        <v>6353</v>
      </c>
    </row>
    <row r="64" spans="1:13">
      <c r="A64" s="5050"/>
      <c r="B64" s="5050"/>
      <c r="C64" s="5052" t="s">
        <v>6388</v>
      </c>
      <c r="D64" s="5050"/>
      <c r="E64" s="5050"/>
      <c r="F64" s="5051">
        <f>SUM(F62:F63)</f>
        <v>0</v>
      </c>
      <c r="G64" s="5051">
        <f>SUM(G62:G63)</f>
        <v>1100913.7</v>
      </c>
      <c r="H64" s="5051">
        <f>SUM(H62:H63)</f>
        <v>1100913.7</v>
      </c>
      <c r="I64" s="5050"/>
      <c r="J64" s="5050"/>
      <c r="K64" s="5050"/>
      <c r="L64" s="5050"/>
      <c r="M64" s="5050"/>
    </row>
    <row r="66" spans="1:13" ht="18" customHeight="1">
      <c r="A66" s="5609" t="s">
        <v>6356</v>
      </c>
      <c r="B66" s="5605"/>
      <c r="C66" s="5605"/>
      <c r="D66" s="5605"/>
      <c r="E66" s="5605"/>
      <c r="F66" s="5605"/>
      <c r="G66" s="5605"/>
      <c r="H66" s="5605"/>
      <c r="I66" s="5605"/>
      <c r="J66" s="5605"/>
      <c r="K66" s="5605"/>
      <c r="L66" s="5605"/>
      <c r="M66" s="5605"/>
    </row>
    <row r="67" spans="1:13">
      <c r="A67" s="5611" t="s">
        <v>6387</v>
      </c>
      <c r="B67" s="5605"/>
      <c r="C67" s="5605"/>
      <c r="D67" s="5605"/>
      <c r="E67" s="5605"/>
      <c r="F67" s="5605"/>
      <c r="G67" s="5605"/>
      <c r="H67" s="5605"/>
      <c r="I67" s="5605"/>
      <c r="J67" s="5605"/>
      <c r="K67" s="5605"/>
      <c r="L67" s="5605"/>
      <c r="M67" s="5605"/>
    </row>
    <row r="68" spans="1:13" ht="36">
      <c r="A68" s="5055">
        <v>1</v>
      </c>
      <c r="B68" s="5046" t="s">
        <v>512</v>
      </c>
      <c r="C68" s="5053" t="s">
        <v>6357</v>
      </c>
      <c r="D68" s="5046" t="s">
        <v>6358</v>
      </c>
      <c r="E68" s="5055" t="s">
        <v>6359</v>
      </c>
      <c r="F68" s="5045">
        <f>SUM('Schedule B'!K80:K145)</f>
        <v>42594259.729999989</v>
      </c>
      <c r="G68" s="5045">
        <f>H68-F68</f>
        <v>0</v>
      </c>
      <c r="H68" s="5045">
        <f>SUM('Schedule B'!Q80:Q145)</f>
        <v>42594259.729999989</v>
      </c>
      <c r="I68" s="5046" t="s">
        <v>6360</v>
      </c>
      <c r="J68" s="5055" t="s">
        <v>805</v>
      </c>
      <c r="K68" s="5055" t="s">
        <v>3524</v>
      </c>
      <c r="L68" s="5054" t="s">
        <v>6361</v>
      </c>
      <c r="M68" s="5053" t="s">
        <v>6362</v>
      </c>
    </row>
    <row r="69" spans="1:13">
      <c r="A69" s="5050"/>
      <c r="B69" s="5050"/>
      <c r="C69" s="5052" t="s">
        <v>6363</v>
      </c>
      <c r="D69" s="5050"/>
      <c r="E69" s="5050"/>
      <c r="F69" s="5051">
        <f>SUM(F68:F68)</f>
        <v>42594259.729999989</v>
      </c>
      <c r="G69" s="5051">
        <f>SUM(G68:G68)</f>
        <v>0</v>
      </c>
      <c r="H69" s="5051">
        <f>SUM(H68:H68)</f>
        <v>42594259.729999989</v>
      </c>
      <c r="I69" s="5050"/>
      <c r="J69" s="5050"/>
      <c r="K69" s="5050"/>
      <c r="L69" s="5050"/>
      <c r="M69" s="5050"/>
    </row>
    <row r="70" spans="1:13">
      <c r="C70" s="5604" t="s">
        <v>6386</v>
      </c>
      <c r="D70" s="5605"/>
      <c r="E70" s="5605"/>
      <c r="F70" s="5605"/>
      <c r="G70" s="5605"/>
      <c r="H70" s="5605"/>
      <c r="I70" s="5605"/>
      <c r="J70" s="5605"/>
      <c r="K70" s="5605"/>
      <c r="L70" s="5605"/>
      <c r="M70" s="5605"/>
    </row>
    <row r="72" spans="1:13">
      <c r="A72" s="5047"/>
      <c r="B72" s="5047"/>
      <c r="C72" s="5049" t="s">
        <v>6385</v>
      </c>
      <c r="D72" s="5047"/>
      <c r="E72" s="5047"/>
      <c r="F72" s="5048">
        <f>F58</f>
        <v>518886920.48999995</v>
      </c>
      <c r="G72" s="5048">
        <f>G58</f>
        <v>16249171.413043506</v>
      </c>
      <c r="H72" s="5048">
        <f>H58</f>
        <v>535136091.90304351</v>
      </c>
      <c r="I72" s="5047"/>
      <c r="J72" s="5047"/>
      <c r="K72" s="5047"/>
      <c r="L72" s="5047"/>
      <c r="M72" s="5047"/>
    </row>
    <row r="73" spans="1:13">
      <c r="A73" s="5044"/>
      <c r="B73" s="5044"/>
      <c r="C73" s="5046" t="s">
        <v>6384</v>
      </c>
      <c r="D73" s="5044"/>
      <c r="E73" s="5044"/>
      <c r="F73" s="5045">
        <f>F64</f>
        <v>0</v>
      </c>
      <c r="G73" s="5045">
        <f>G64</f>
        <v>1100913.7</v>
      </c>
      <c r="H73" s="5045">
        <f>H64</f>
        <v>1100913.7</v>
      </c>
      <c r="I73" s="5044"/>
      <c r="J73" s="5044"/>
      <c r="K73" s="5044"/>
      <c r="L73" s="5044"/>
      <c r="M73" s="5044"/>
    </row>
    <row r="74" spans="1:13">
      <c r="A74" s="5044"/>
      <c r="B74" s="5044"/>
      <c r="C74" s="5046" t="s">
        <v>6383</v>
      </c>
      <c r="D74" s="5044"/>
      <c r="E74" s="5044"/>
      <c r="F74" s="5045">
        <f>F69</f>
        <v>42594259.729999989</v>
      </c>
      <c r="G74" s="5045">
        <f>G69</f>
        <v>0</v>
      </c>
      <c r="H74" s="5045">
        <f>H69</f>
        <v>42594259.729999989</v>
      </c>
      <c r="I74" s="5044"/>
      <c r="J74" s="5044"/>
      <c r="K74" s="5044"/>
      <c r="L74" s="5044"/>
      <c r="M74" s="5044"/>
    </row>
    <row r="75" spans="1:13" ht="24" thickBot="1">
      <c r="A75" s="5044"/>
      <c r="B75" s="5044"/>
      <c r="C75" s="5046" t="s">
        <v>6364</v>
      </c>
      <c r="D75" s="5044"/>
      <c r="E75" s="5044"/>
      <c r="F75" s="5045">
        <f>'Schedule B'!K266</f>
        <v>21581561.089999784</v>
      </c>
      <c r="G75" s="5045">
        <f>H75-F75</f>
        <v>-21581561.089999784</v>
      </c>
      <c r="H75" s="5045">
        <f>'Schedule B'!Q266</f>
        <v>0</v>
      </c>
      <c r="I75" s="5044"/>
      <c r="J75" s="5044"/>
      <c r="K75" s="5044"/>
      <c r="L75" s="5044"/>
      <c r="M75" s="5084" t="s">
        <v>6365</v>
      </c>
    </row>
    <row r="76" spans="1:13" ht="15.75" thickBot="1">
      <c r="A76" s="5041"/>
      <c r="B76" s="5041"/>
      <c r="C76" s="5043" t="s">
        <v>6366</v>
      </c>
      <c r="D76" s="5041"/>
      <c r="E76" s="5041"/>
      <c r="F76" s="5042">
        <f>F72+F73+F74+F75</f>
        <v>583062741.3099997</v>
      </c>
      <c r="G76" s="5042">
        <f>G72+G73+G74+G75</f>
        <v>-4231475.9769562781</v>
      </c>
      <c r="H76" s="5042">
        <f>H72+H73+H74+H75</f>
        <v>578831265.33304346</v>
      </c>
      <c r="I76" s="5041"/>
      <c r="J76" s="5041"/>
      <c r="K76" s="5041"/>
      <c r="L76" s="5041"/>
      <c r="M76" s="5041"/>
    </row>
  </sheetData>
  <autoFilter ref="A12:M58" xr:uid="{00000000-0009-0000-0000-000000000000}"/>
  <mergeCells count="21">
    <mergeCell ref="A9:C9"/>
    <mergeCell ref="G9:I9"/>
    <mergeCell ref="G8:I8"/>
    <mergeCell ref="A8:C8"/>
    <mergeCell ref="J8:M8"/>
    <mergeCell ref="D9:F9"/>
    <mergeCell ref="D8:F8"/>
    <mergeCell ref="J9:M9"/>
    <mergeCell ref="C70:M70"/>
    <mergeCell ref="G11:I11"/>
    <mergeCell ref="D10:F10"/>
    <mergeCell ref="A66:M66"/>
    <mergeCell ref="A11:C11"/>
    <mergeCell ref="J11:M11"/>
    <mergeCell ref="D11:F11"/>
    <mergeCell ref="G10:I10"/>
    <mergeCell ref="A67:M67"/>
    <mergeCell ref="A60:M60"/>
    <mergeCell ref="A61:M61"/>
    <mergeCell ref="A10:C10"/>
    <mergeCell ref="J10:M10"/>
  </mergeCells>
  <dataValidations count="1">
    <dataValidation type="list" allowBlank="1" sqref="I13:I57" xr:uid="{00000000-0002-0000-0000-000000000000}">
      <formula1>"Arnold Meiring,Azam Shaikh,Blake Lombard,Fayez Aldosari,Jose Chavenia,Mike H,Nikesh Chintawar / Majid Alharbi,Litha Socala / Elton Garadhi,TBC"</formula1>
    </dataValidation>
  </dataValidations>
  <pageMargins left="0.7" right="0.7" top="0.75" bottom="0.75" header="0.5" footer="0.5"/>
  <pageSetup paperSize="8" scale="81" fitToHeight="0" orientation="landscape" r:id="rId1"/>
  <rowBreaks count="2" manualBreakCount="2">
    <brk id="32" max="12" man="1"/>
    <brk id="59" max="12"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tabColor rgb="FF92D050"/>
    <pageSetUpPr fitToPage="1"/>
  </sheetPr>
  <dimension ref="A1:AC170"/>
  <sheetViews>
    <sheetView view="pageBreakPreview" zoomScale="50" zoomScaleSheetLayoutView="50" workbookViewId="0">
      <pane ySplit="12" topLeftCell="A22" activePane="bottomLeft" state="frozen"/>
      <selection activeCell="C43" sqref="C43"/>
      <selection pane="bottomLeft" activeCell="A42" sqref="A42:W42"/>
    </sheetView>
  </sheetViews>
  <sheetFormatPr defaultColWidth="9" defaultRowHeight="14.25" outlineLevelRow="1" outlineLevelCol="1"/>
  <cols>
    <col min="1" max="1" width="30" style="899" customWidth="1"/>
    <col min="2" max="2" width="59" style="896" customWidth="1"/>
    <col min="3" max="4" width="21.85546875" style="943" customWidth="1" outlineLevel="1"/>
    <col min="5" max="5" width="1.5703125" style="876" customWidth="1"/>
    <col min="6" max="6" width="23" style="943" customWidth="1"/>
    <col min="7" max="7" width="21.85546875" style="943" customWidth="1"/>
    <col min="8" max="8" width="20.85546875" style="943" customWidth="1"/>
    <col min="9" max="9" width="21.85546875" style="947" customWidth="1"/>
    <col min="10" max="10" width="1.5703125" style="876" customWidth="1"/>
    <col min="11" max="11" width="21.42578125" style="947" customWidth="1"/>
    <col min="12" max="15" width="21.85546875" style="876" customWidth="1"/>
    <col min="16" max="16" width="1.5703125" style="876" customWidth="1"/>
    <col min="17" max="17" width="21.85546875" style="876" customWidth="1"/>
    <col min="18" max="18" width="1.5703125" style="876" customWidth="1"/>
    <col min="19" max="19" width="21.85546875" style="876" customWidth="1"/>
    <col min="20" max="20" width="23.85546875" style="876" customWidth="1"/>
    <col min="21" max="21" width="1.5703125" style="876" customWidth="1"/>
    <col min="22" max="22" width="21.85546875" style="876" customWidth="1"/>
    <col min="23" max="23" width="23.85546875" style="876" customWidth="1"/>
    <col min="24" max="24" width="22" style="914" customWidth="1"/>
    <col min="25" max="25" width="18" style="915" customWidth="1"/>
    <col min="26" max="26" width="18.5703125" style="876" bestFit="1" customWidth="1"/>
    <col min="27" max="27" width="27.85546875" style="876" customWidth="1"/>
    <col min="28" max="28" width="16.5703125" style="876" bestFit="1" customWidth="1"/>
    <col min="29" max="29" width="15.42578125" style="876" bestFit="1" customWidth="1"/>
    <col min="30" max="30" width="9" style="876"/>
    <col min="31" max="31" width="12" style="876" bestFit="1" customWidth="1"/>
    <col min="32" max="32" width="15.42578125" style="876" bestFit="1" customWidth="1"/>
    <col min="33" max="16384" width="9" style="876"/>
  </cols>
  <sheetData>
    <row r="1" spans="1:29" s="879" customFormat="1" ht="15.75">
      <c r="A1" s="875"/>
      <c r="B1" s="869"/>
      <c r="C1" s="869"/>
      <c r="D1" s="869"/>
      <c r="E1" s="876"/>
      <c r="F1" s="877"/>
      <c r="G1" s="877"/>
      <c r="H1" s="877"/>
      <c r="I1" s="878"/>
      <c r="J1" s="876"/>
      <c r="K1" s="878"/>
      <c r="M1" s="880"/>
      <c r="N1" s="880"/>
      <c r="O1" s="880"/>
      <c r="P1" s="876"/>
      <c r="Q1" s="880"/>
      <c r="R1" s="876"/>
      <c r="S1" s="880"/>
      <c r="T1" s="869"/>
      <c r="U1" s="876"/>
      <c r="V1" s="880"/>
      <c r="W1" s="869"/>
      <c r="X1" s="881"/>
      <c r="Y1" s="882"/>
    </row>
    <row r="2" spans="1:29" s="879" customFormat="1" ht="17.25" customHeight="1">
      <c r="A2" s="869" t="str">
        <f>'Data Input'!A1&amp;" - "&amp;'Data Input'!B1</f>
        <v>PROGRAMME: - MARINA VILLAGE (PROGRAMME 1_TRIPLE BAY)</v>
      </c>
      <c r="B2" s="869"/>
      <c r="C2" s="869"/>
      <c r="D2" s="869"/>
      <c r="E2" s="876"/>
      <c r="F2" s="877"/>
      <c r="G2" s="877"/>
      <c r="H2" s="877"/>
      <c r="I2" s="878"/>
      <c r="J2" s="876"/>
      <c r="K2" s="878"/>
      <c r="M2" s="880"/>
      <c r="N2" s="880"/>
      <c r="O2" s="880"/>
      <c r="P2" s="876"/>
      <c r="Q2" s="880"/>
      <c r="R2" s="876"/>
      <c r="S2" s="880"/>
      <c r="T2" s="869"/>
      <c r="U2" s="876"/>
      <c r="V2" s="880"/>
      <c r="W2" s="869"/>
      <c r="X2" s="881"/>
      <c r="Y2" s="882"/>
    </row>
    <row r="3" spans="1:29" s="879" customFormat="1" ht="17.25" customHeight="1">
      <c r="A3" s="869" t="str">
        <f>'Data Input'!A2&amp;" - "&amp;'Data Input'!B2</f>
        <v>PROGRAMME CODE: - 1TB01003</v>
      </c>
      <c r="B3" s="869"/>
      <c r="C3" s="869"/>
      <c r="D3" s="869"/>
      <c r="E3" s="876"/>
      <c r="F3" s="877"/>
      <c r="G3" s="877"/>
      <c r="H3" s="877"/>
      <c r="I3" s="878"/>
      <c r="J3" s="876"/>
      <c r="K3" s="878"/>
      <c r="M3" s="880"/>
      <c r="N3" s="880"/>
      <c r="O3" s="880"/>
      <c r="P3" s="876"/>
      <c r="Q3" s="880"/>
      <c r="R3" s="876"/>
      <c r="S3" s="880"/>
      <c r="T3" s="869"/>
      <c r="U3" s="876"/>
      <c r="V3" s="880"/>
      <c r="W3" s="869"/>
      <c r="X3" s="881"/>
      <c r="Y3" s="882"/>
    </row>
    <row r="4" spans="1:29" s="879" customFormat="1" ht="17.25" customHeight="1">
      <c r="A4" s="869" t="str">
        <f>'Data Input'!A3&amp;" - "&amp;'Data Input'!B3</f>
        <v>ASSET NAME: - AMAALA YACHT CLUB</v>
      </c>
      <c r="B4" s="883"/>
      <c r="C4" s="884"/>
      <c r="D4" s="884"/>
      <c r="E4" s="876"/>
      <c r="F4" s="885"/>
      <c r="G4" s="885"/>
      <c r="H4" s="885"/>
      <c r="I4" s="885"/>
      <c r="J4" s="876"/>
      <c r="K4" s="885"/>
      <c r="L4" s="885"/>
      <c r="M4" s="885"/>
      <c r="N4" s="880"/>
      <c r="O4" s="880"/>
      <c r="P4" s="876"/>
      <c r="Q4" s="880"/>
      <c r="R4" s="876"/>
      <c r="S4" s="880"/>
      <c r="T4" s="886"/>
      <c r="U4" s="876"/>
      <c r="V4" s="880"/>
      <c r="W4" s="886"/>
      <c r="X4" s="887"/>
      <c r="Y4" s="888"/>
    </row>
    <row r="5" spans="1:29" s="893" customFormat="1" ht="17.25" customHeight="1">
      <c r="A5" s="869" t="str">
        <f>'Data Input'!A4&amp;" - "&amp;'Data Input'!B4</f>
        <v>ASSET CODE: - 1TB01003.01</v>
      </c>
      <c r="B5" s="889"/>
      <c r="C5" s="890"/>
      <c r="D5" s="890"/>
      <c r="E5" s="876"/>
      <c r="F5" s="890"/>
      <c r="G5" s="890"/>
      <c r="H5" s="890"/>
      <c r="I5" s="890"/>
      <c r="J5" s="876"/>
      <c r="K5" s="890"/>
      <c r="L5" s="890"/>
      <c r="M5" s="890"/>
      <c r="N5" s="880"/>
      <c r="O5" s="880"/>
      <c r="P5" s="876"/>
      <c r="Q5" s="880"/>
      <c r="R5" s="876"/>
      <c r="S5" s="880"/>
      <c r="T5" s="886"/>
      <c r="U5" s="1029"/>
      <c r="V5" s="1029"/>
      <c r="W5" s="1029"/>
      <c r="X5" s="891"/>
      <c r="Y5" s="892" t="s">
        <v>429</v>
      </c>
    </row>
    <row r="6" spans="1:29" s="893" customFormat="1" ht="17.25" customHeight="1">
      <c r="A6" s="869" t="str">
        <f>'Data Input'!A7&amp;" - "&amp;'Data Input'!B7</f>
        <v>REPORT NO: - MONTHLY REPORT NO. 49</v>
      </c>
      <c r="B6" s="889"/>
      <c r="E6" s="879"/>
      <c r="J6" s="879"/>
      <c r="P6" s="879"/>
      <c r="R6" s="879"/>
      <c r="U6" s="879"/>
      <c r="X6" s="891"/>
      <c r="Y6" s="892"/>
    </row>
    <row r="7" spans="1:29" s="893" customFormat="1" ht="17.25" customHeight="1">
      <c r="A7" s="869" t="str">
        <f>'Data Input'!A8&amp;" - "&amp;'Data Input'!B8</f>
        <v>REPORTING PERIOD: - OCTOBER 2026</v>
      </c>
      <c r="B7" s="889"/>
      <c r="C7" s="894"/>
      <c r="D7" s="894"/>
      <c r="E7" s="894"/>
      <c r="F7" s="894"/>
      <c r="G7" s="3594"/>
      <c r="H7" s="3594"/>
      <c r="I7" s="894"/>
      <c r="J7" s="894"/>
      <c r="K7" s="894"/>
      <c r="L7" s="894"/>
      <c r="M7" s="894"/>
      <c r="N7" s="894"/>
      <c r="O7" s="894"/>
      <c r="P7" s="894"/>
      <c r="Q7" s="894"/>
      <c r="R7" s="894"/>
      <c r="S7" s="894"/>
      <c r="T7" s="894"/>
      <c r="U7" s="894"/>
      <c r="V7" s="894"/>
      <c r="W7" s="894"/>
      <c r="X7" s="891"/>
      <c r="Y7" s="892"/>
    </row>
    <row r="8" spans="1:29" s="893" customFormat="1" ht="20.25" customHeight="1" thickBot="1">
      <c r="B8" s="889"/>
      <c r="C8" s="894"/>
      <c r="D8" s="894"/>
      <c r="E8" s="894"/>
      <c r="F8" s="894"/>
      <c r="G8" s="894"/>
      <c r="H8" s="894"/>
      <c r="I8" s="894"/>
      <c r="J8" s="894"/>
      <c r="K8" s="894"/>
      <c r="L8" s="894"/>
      <c r="M8" s="894"/>
      <c r="N8" s="894"/>
      <c r="O8" s="894"/>
      <c r="P8" s="894"/>
      <c r="Q8" s="894"/>
      <c r="R8" s="894"/>
      <c r="S8" s="894"/>
      <c r="T8" s="894"/>
      <c r="U8" s="894"/>
      <c r="V8" s="894"/>
      <c r="W8" s="894"/>
      <c r="X8" s="891"/>
      <c r="Y8" s="892"/>
    </row>
    <row r="9" spans="1:29" s="895" customFormat="1" ht="18">
      <c r="B9" s="896"/>
      <c r="C9" s="897"/>
      <c r="D9" s="897"/>
      <c r="E9" s="893"/>
      <c r="F9" s="5622" t="s">
        <v>430</v>
      </c>
      <c r="G9" s="5623"/>
      <c r="H9" s="5624"/>
      <c r="I9" s="890"/>
      <c r="J9" s="893"/>
      <c r="K9" s="5622" t="s">
        <v>431</v>
      </c>
      <c r="L9" s="5623"/>
      <c r="M9" s="5623"/>
      <c r="N9" s="5624"/>
      <c r="O9" s="890"/>
      <c r="P9" s="893"/>
      <c r="Q9" s="890"/>
      <c r="R9" s="893"/>
      <c r="S9" s="890"/>
      <c r="T9" s="890"/>
      <c r="U9" s="893"/>
      <c r="V9" s="5625" t="s">
        <v>330</v>
      </c>
      <c r="W9" s="5626"/>
      <c r="X9" s="891" t="s">
        <v>432</v>
      </c>
      <c r="Y9" s="898" t="s">
        <v>433</v>
      </c>
      <c r="Z9" s="890"/>
      <c r="AA9" s="890"/>
    </row>
    <row r="10" spans="1:29" s="893" customFormat="1" ht="15.75" customHeight="1">
      <c r="A10" s="899"/>
      <c r="B10" s="900"/>
      <c r="C10" s="2457" t="str">
        <f>'Schedule B'!E11</f>
        <v>A</v>
      </c>
      <c r="D10" s="2457" t="str">
        <f>'Schedule B'!F11</f>
        <v>B</v>
      </c>
      <c r="E10" s="895"/>
      <c r="F10" s="2457" t="str">
        <f>'Schedule B'!H11</f>
        <v>C</v>
      </c>
      <c r="G10" s="2457" t="str">
        <f>'Schedule B'!I11</f>
        <v>D.1</v>
      </c>
      <c r="H10" s="2457"/>
      <c r="I10" s="2457" t="str">
        <f>'Schedule B'!K11</f>
        <v>E = (C+D)</v>
      </c>
      <c r="J10" s="895"/>
      <c r="K10" s="2457" t="str">
        <f>'Schedule B'!M11</f>
        <v>F</v>
      </c>
      <c r="L10" s="2457" t="str">
        <f>'Schedule B'!N11</f>
        <v>G</v>
      </c>
      <c r="M10" s="2457" t="str">
        <f>'Schedule B'!O11</f>
        <v>H</v>
      </c>
      <c r="N10" s="2457" t="str">
        <f>'Schedule B'!P11</f>
        <v>I</v>
      </c>
      <c r="O10" s="2457" t="str">
        <f>'Schedule B'!Q11</f>
        <v>J = (Sum E to I)</v>
      </c>
      <c r="P10" s="895"/>
      <c r="Q10" s="2457" t="str">
        <f>'Schedule B'!S11</f>
        <v>(J-C)</v>
      </c>
      <c r="R10" s="895"/>
      <c r="S10" s="2457" t="str">
        <f>'Schedule B'!U11</f>
        <v>K</v>
      </c>
      <c r="T10" s="2457" t="str">
        <f>'Schedule B'!V11</f>
        <v>L = (J- K)</v>
      </c>
      <c r="U10" s="895"/>
      <c r="V10" s="2458" t="str">
        <f>'Schedule B'!X11</f>
        <v>M</v>
      </c>
      <c r="W10" s="2458" t="str">
        <f>'Schedule B'!Y11</f>
        <v>N = (J-M)</v>
      </c>
      <c r="X10" s="901"/>
      <c r="Y10" s="902"/>
    </row>
    <row r="11" spans="1:29" s="893" customFormat="1" ht="81.75" customHeight="1">
      <c r="A11" s="5631" t="str">
        <f>'Schedule B'!A12</f>
        <v xml:space="preserve"> CODE</v>
      </c>
      <c r="B11" s="5633" t="str">
        <f>'Schedule B'!C12</f>
        <v>NAME</v>
      </c>
      <c r="C11" s="2459" t="str">
        <f>'Schedule B'!E12</f>
        <v>APPROVED BASELINE BUDGET</v>
      </c>
      <c r="D11" s="2459" t="str">
        <f>'Schedule B'!F12</f>
        <v>BUDGET TRANSFERS</v>
      </c>
      <c r="F11" s="2459" t="str">
        <f>'Schedule B'!H12</f>
        <v>AWARDED CONTRACTS / BUDGET</v>
      </c>
      <c r="G11" s="2459" t="str">
        <f>'Schedule B'!I12</f>
        <v>DETERMINED VARIATION ORDERS (DVO)</v>
      </c>
      <c r="H11" s="2459" t="str">
        <f>'Schedule B'!J12</f>
        <v>COMMITTED PVO (CPVO)</v>
      </c>
      <c r="I11" s="2459" t="str">
        <f>'Schedule B'!K12</f>
        <v>COMMITTED COSTS</v>
      </c>
      <c r="K11" s="2459" t="str">
        <f>'Schedule B'!M12</f>
        <v>POTENTIAL VARIATION ORDERS (PVO)</v>
      </c>
      <c r="L11" s="2459" t="str">
        <f>'Schedule B'!N12</f>
        <v xml:space="preserve">REQUEST FOR CHANGE (RFC) </v>
      </c>
      <c r="M11" s="2459" t="str">
        <f>'Schedule B'!O12</f>
        <v>EARLY WARNING</v>
      </c>
      <c r="N11" s="2459" t="str">
        <f>'Schedule B'!P12</f>
        <v>CLAIMS</v>
      </c>
      <c r="O11" s="2459" t="str">
        <f>'Schedule B'!Q12</f>
        <v xml:space="preserve">ANTICIPATED FINAL ACCOUNT
</v>
      </c>
      <c r="Q11" s="2459" t="str">
        <f>'Schedule B'!S12</f>
        <v>VARIANCE TO LATEST BUDGET</v>
      </c>
      <c r="S11" s="2459" t="str">
        <f>'Schedule B'!U12</f>
        <v>CERTIFIED TO DATE</v>
      </c>
      <c r="T11" s="2459" t="str">
        <f>'Schedule B'!V12</f>
        <v>WORKS TO COMPLETE</v>
      </c>
      <c r="V11" s="1508" t="str">
        <f>'Schedule B'!X12</f>
        <v>SEPTEMBER 2026</v>
      </c>
      <c r="W11" s="1509" t="s">
        <v>364</v>
      </c>
      <c r="X11" s="903" t="e">
        <f>#REF!</f>
        <v>#REF!</v>
      </c>
      <c r="Y11" s="904" t="e">
        <f>#REF!</f>
        <v>#REF!</v>
      </c>
      <c r="AA11" s="893">
        <v>1066798</v>
      </c>
      <c r="AB11" s="893">
        <f>Z32-AA11</f>
        <v>-4301371.2769562006</v>
      </c>
    </row>
    <row r="12" spans="1:29" s="893" customFormat="1" ht="15">
      <c r="A12" s="5632"/>
      <c r="B12" s="5634"/>
      <c r="C12" s="2460" t="s">
        <v>434</v>
      </c>
      <c r="D12" s="2460" t="s">
        <v>434</v>
      </c>
      <c r="F12" s="2460" t="s">
        <v>434</v>
      </c>
      <c r="G12" s="2460" t="s">
        <v>434</v>
      </c>
      <c r="H12" s="2460" t="s">
        <v>434</v>
      </c>
      <c r="I12" s="2460" t="s">
        <v>434</v>
      </c>
      <c r="K12" s="2460" t="s">
        <v>434</v>
      </c>
      <c r="L12" s="2460" t="s">
        <v>434</v>
      </c>
      <c r="M12" s="2460" t="s">
        <v>434</v>
      </c>
      <c r="N12" s="2460" t="s">
        <v>434</v>
      </c>
      <c r="O12" s="2460" t="s">
        <v>434</v>
      </c>
      <c r="Q12" s="2460" t="s">
        <v>434</v>
      </c>
      <c r="S12" s="2460" t="s">
        <v>434</v>
      </c>
      <c r="T12" s="2460" t="s">
        <v>434</v>
      </c>
      <c r="V12" s="2461" t="s">
        <v>434</v>
      </c>
      <c r="W12" s="2461" t="s">
        <v>434</v>
      </c>
      <c r="X12" s="903">
        <f>+W36</f>
        <v>-215885.18999999762</v>
      </c>
      <c r="Y12" s="904"/>
    </row>
    <row r="13" spans="1:29" ht="60" customHeight="1">
      <c r="A13" s="2462" t="str">
        <f>'Schedule B'!A15</f>
        <v>PS</v>
      </c>
      <c r="B13" s="2463" t="str">
        <f>'Schedule B'!C15</f>
        <v>PROFESSIONAL SERVICES</v>
      </c>
      <c r="C13" s="2464">
        <f>'Schedule B'!E29</f>
        <v>17514722.359999999</v>
      </c>
      <c r="D13" s="2464">
        <f>'Schedule B'!F29</f>
        <v>3029172.62</v>
      </c>
      <c r="E13" s="893"/>
      <c r="F13" s="2464">
        <f>'Schedule B'!H29</f>
        <v>20543894.98</v>
      </c>
      <c r="G13" s="2464">
        <f>'Schedule B'!I29</f>
        <v>4664935.1199999992</v>
      </c>
      <c r="H13" s="2464">
        <f>'Schedule B'!J29</f>
        <v>0</v>
      </c>
      <c r="I13" s="2464">
        <f>F13+G13+H13</f>
        <v>25208830.100000001</v>
      </c>
      <c r="J13" s="893"/>
      <c r="K13" s="2464">
        <f>'Schedule B'!M29</f>
        <v>101675.08</v>
      </c>
      <c r="L13" s="2464">
        <f>'Schedule B'!N29</f>
        <v>0</v>
      </c>
      <c r="M13" s="2464">
        <f>'Schedule B'!O29</f>
        <v>0</v>
      </c>
      <c r="N13" s="2464">
        <f>'Schedule B'!P29</f>
        <v>0</v>
      </c>
      <c r="O13" s="2464">
        <f>SUM(I13:N13)</f>
        <v>25310505.18</v>
      </c>
      <c r="P13" s="893"/>
      <c r="Q13" s="2464">
        <f>O13-F13</f>
        <v>4766610.1999999993</v>
      </c>
      <c r="R13" s="893"/>
      <c r="S13" s="2464">
        <f>'Schedule B'!U29</f>
        <v>24735312.579999998</v>
      </c>
      <c r="T13" s="2464">
        <f>O13-S13</f>
        <v>575192.60000000149</v>
      </c>
      <c r="U13" s="893"/>
      <c r="V13" s="2465">
        <f>'Schedule B'!X29</f>
        <v>25310505.18</v>
      </c>
      <c r="W13" s="2465">
        <f>'Schedule B'!Y29</f>
        <v>0</v>
      </c>
      <c r="X13" s="905">
        <f>S13/F13</f>
        <v>1.2040225382811025</v>
      </c>
      <c r="Y13" s="906">
        <f>V13-Q13</f>
        <v>20543894.98</v>
      </c>
      <c r="Z13" s="907">
        <f>V13-O13</f>
        <v>0</v>
      </c>
      <c r="AB13" s="908"/>
      <c r="AC13" s="908"/>
    </row>
    <row r="14" spans="1:29" ht="12" hidden="1" customHeight="1" outlineLevel="1">
      <c r="A14" s="2466"/>
      <c r="B14" s="2467"/>
      <c r="C14" s="2468"/>
      <c r="D14" s="2468"/>
      <c r="F14" s="2468"/>
      <c r="G14" s="2468"/>
      <c r="H14" s="2468"/>
      <c r="I14" s="2468"/>
      <c r="K14" s="2468"/>
      <c r="L14" s="2468"/>
      <c r="M14" s="2468"/>
      <c r="N14" s="2468"/>
      <c r="O14" s="2468"/>
      <c r="Q14" s="2468"/>
      <c r="S14" s="2468"/>
      <c r="T14" s="2468"/>
      <c r="V14" s="2469"/>
      <c r="W14" s="2469"/>
      <c r="X14" s="909"/>
      <c r="Y14" s="910"/>
      <c r="Z14" s="907"/>
      <c r="AB14" s="908"/>
      <c r="AC14" s="908"/>
    </row>
    <row r="15" spans="1:29" ht="60" customHeight="1" collapsed="1">
      <c r="A15" s="2462" t="str">
        <f>'Schedule B'!A31</f>
        <v>MS</v>
      </c>
      <c r="B15" s="2463" t="str">
        <f>'Schedule B'!C31</f>
        <v>MANAGEMENT SUPERVISION</v>
      </c>
      <c r="C15" s="2464">
        <f>'Schedule B'!E45</f>
        <v>0</v>
      </c>
      <c r="D15" s="2464">
        <f>'Schedule B'!F45</f>
        <v>13296114.380000001</v>
      </c>
      <c r="F15" s="2464">
        <f>'Schedule B'!H45</f>
        <v>13296114.380000001</v>
      </c>
      <c r="G15" s="2464">
        <f>'Schedule B'!I45</f>
        <v>1071977</v>
      </c>
      <c r="H15" s="2464">
        <f>+'Schedule B'!J45</f>
        <v>0</v>
      </c>
      <c r="I15" s="2464">
        <f>F15+G15+H15</f>
        <v>14368091.380000001</v>
      </c>
      <c r="K15" s="2464">
        <f>'Schedule B'!M45</f>
        <v>-53507</v>
      </c>
      <c r="L15" s="2464">
        <f>'Schedule B'!N45</f>
        <v>-49207</v>
      </c>
      <c r="M15" s="2464">
        <f>'Schedule B'!O45</f>
        <v>0</v>
      </c>
      <c r="N15" s="2464">
        <f>'Schedule B'!P45</f>
        <v>0</v>
      </c>
      <c r="O15" s="2464">
        <f>SUM(I15:N15)</f>
        <v>14265377.380000001</v>
      </c>
      <c r="Q15" s="2464">
        <f>O15-F15</f>
        <v>969263</v>
      </c>
      <c r="S15" s="2464">
        <f>'Schedule B'!U45</f>
        <v>14265377.640000001</v>
      </c>
      <c r="T15" s="2464">
        <f>O15-S15</f>
        <v>-0.25999999977648258</v>
      </c>
      <c r="V15" s="2465">
        <f>'Schedule B'!X45</f>
        <v>14265377.380000001</v>
      </c>
      <c r="W15" s="2465">
        <f>'Schedule B'!Y45</f>
        <v>0</v>
      </c>
      <c r="X15" s="905">
        <f>S15/F15</f>
        <v>1.0728982341982529</v>
      </c>
      <c r="Y15" s="906"/>
      <c r="Z15" s="907">
        <f>V15-O15</f>
        <v>0</v>
      </c>
      <c r="AB15" s="908"/>
      <c r="AC15" s="908"/>
    </row>
    <row r="16" spans="1:29" ht="12" hidden="1" customHeight="1" outlineLevel="1">
      <c r="A16" s="2466"/>
      <c r="B16" s="2467"/>
      <c r="C16" s="2468"/>
      <c r="D16" s="2468"/>
      <c r="F16" s="2468"/>
      <c r="G16" s="2468"/>
      <c r="H16" s="2468"/>
      <c r="I16" s="2468">
        <f>F16+G16+H16</f>
        <v>0</v>
      </c>
      <c r="K16" s="2468"/>
      <c r="L16" s="2468"/>
      <c r="M16" s="2468"/>
      <c r="N16" s="2468"/>
      <c r="O16" s="2468"/>
      <c r="Q16" s="2468"/>
      <c r="S16" s="2468"/>
      <c r="T16" s="2468"/>
      <c r="V16" s="2469"/>
      <c r="W16" s="2469"/>
      <c r="X16" s="909"/>
      <c r="Y16" s="910"/>
      <c r="Z16" s="907"/>
      <c r="AB16" s="908"/>
      <c r="AC16" s="908"/>
    </row>
    <row r="17" spans="1:29" ht="60" customHeight="1" collapsed="1">
      <c r="A17" s="2462" t="str">
        <f>'Schedule B'!A47</f>
        <v>CM</v>
      </c>
      <c r="B17" s="2463" t="str">
        <f>'Schedule B'!C47</f>
        <v>COMMERCIAL MANAGEMENT</v>
      </c>
      <c r="C17" s="2464">
        <f>'Schedule B'!E63</f>
        <v>0</v>
      </c>
      <c r="D17" s="2464">
        <f>'Schedule B'!F63</f>
        <v>0</v>
      </c>
      <c r="F17" s="2464">
        <f>'Schedule B'!H63</f>
        <v>0</v>
      </c>
      <c r="G17" s="2464">
        <f>'Schedule B'!I63</f>
        <v>0</v>
      </c>
      <c r="H17" s="2464">
        <f>'Schedule B'!J63</f>
        <v>0</v>
      </c>
      <c r="I17" s="2464">
        <f>F17+G17+H17</f>
        <v>0</v>
      </c>
      <c r="K17" s="2464">
        <f>'Schedule B'!M63</f>
        <v>0</v>
      </c>
      <c r="L17" s="2464">
        <f>'Schedule B'!N63</f>
        <v>0</v>
      </c>
      <c r="M17" s="2464">
        <f>'Schedule B'!O63</f>
        <v>0</v>
      </c>
      <c r="N17" s="2464">
        <f>'Schedule B'!P63</f>
        <v>0</v>
      </c>
      <c r="O17" s="2464">
        <f>SUM(I17:N17)</f>
        <v>0</v>
      </c>
      <c r="Q17" s="2464">
        <f>O17-F17</f>
        <v>0</v>
      </c>
      <c r="S17" s="2464">
        <f>'Schedule B'!U63</f>
        <v>0</v>
      </c>
      <c r="T17" s="2464">
        <f>O17-S17</f>
        <v>0</v>
      </c>
      <c r="V17" s="2465">
        <f>'Schedule B'!X63</f>
        <v>0</v>
      </c>
      <c r="W17" s="2465">
        <f>'Schedule B'!Y63</f>
        <v>0</v>
      </c>
      <c r="X17" s="905" t="e">
        <f>S17/F17</f>
        <v>#DIV/0!</v>
      </c>
      <c r="Y17" s="906"/>
      <c r="Z17" s="907">
        <f>V17-O17</f>
        <v>0</v>
      </c>
      <c r="AB17" s="908"/>
      <c r="AC17" s="908"/>
    </row>
    <row r="18" spans="1:29" ht="12" hidden="1" customHeight="1" outlineLevel="1">
      <c r="A18" s="2466"/>
      <c r="B18" s="2467"/>
      <c r="C18" s="2468"/>
      <c r="D18" s="2468"/>
      <c r="F18" s="2468"/>
      <c r="G18" s="2468"/>
      <c r="H18" s="2468"/>
      <c r="I18" s="2468">
        <f>F18+G18+H18</f>
        <v>0</v>
      </c>
      <c r="K18" s="2468"/>
      <c r="L18" s="2468"/>
      <c r="M18" s="2468"/>
      <c r="N18" s="2468"/>
      <c r="O18" s="2468"/>
      <c r="Q18" s="2468"/>
      <c r="S18" s="2468"/>
      <c r="T18" s="2468"/>
      <c r="V18" s="2469"/>
      <c r="W18" s="2469"/>
      <c r="X18" s="909"/>
      <c r="Y18" s="910"/>
      <c r="Z18" s="907"/>
      <c r="AB18" s="908"/>
      <c r="AC18" s="908"/>
    </row>
    <row r="19" spans="1:29" ht="60" customHeight="1" collapsed="1">
      <c r="A19" s="2462" t="str">
        <f>'Schedule B'!A65</f>
        <v>CN</v>
      </c>
      <c r="B19" s="2463" t="str">
        <f>'Schedule B'!C65</f>
        <v xml:space="preserve">CONSTRUCTION WORKS   </v>
      </c>
      <c r="C19" s="2464">
        <f>'Schedule B'!E183</f>
        <v>21785723</v>
      </c>
      <c r="D19" s="2464">
        <f>'Schedule B'!F183</f>
        <v>457671817.53999996</v>
      </c>
      <c r="F19" s="2464">
        <f>'Schedule B'!H183</f>
        <v>479457540.53999996</v>
      </c>
      <c r="G19" s="2464">
        <f>'Schedule B'!I183</f>
        <v>231444.35999999163</v>
      </c>
      <c r="H19" s="2464">
        <f>'Schedule B'!J183</f>
        <v>1993436.11</v>
      </c>
      <c r="I19" s="2464">
        <f>F19+G19+H19</f>
        <v>481682421.00999999</v>
      </c>
      <c r="K19" s="2464">
        <f>'Schedule B'!M183</f>
        <v>-18178391.659999996</v>
      </c>
      <c r="L19" s="2464">
        <f>'Schedule B'!N183</f>
        <v>3205613.5</v>
      </c>
      <c r="M19" s="2464">
        <f>'Schedule B'!O183</f>
        <v>32891648.893043488</v>
      </c>
      <c r="N19" s="2464">
        <f>'Schedule B'!P183</f>
        <v>0</v>
      </c>
      <c r="O19" s="2464">
        <f>SUM(I19:N19)</f>
        <v>499601291.74304354</v>
      </c>
      <c r="Q19" s="2464">
        <f>O19-F19</f>
        <v>20143751.20304358</v>
      </c>
      <c r="S19" s="2464">
        <f>'Schedule B'!U183</f>
        <v>457894708.13150001</v>
      </c>
      <c r="T19" s="2464">
        <f>O19-S19</f>
        <v>41706583.611543536</v>
      </c>
      <c r="V19" s="2465">
        <f>'Schedule B'!X183</f>
        <v>499817176.93304348</v>
      </c>
      <c r="W19" s="2465">
        <f>'Schedule B'!Y183</f>
        <v>-215885.18999999762</v>
      </c>
      <c r="X19" s="905">
        <f>S19/F19</f>
        <v>0.95502660697709685</v>
      </c>
      <c r="Y19" s="906">
        <f>+V19-O19</f>
        <v>215885.18999993801</v>
      </c>
      <c r="Z19" s="907">
        <f>V19-O19</f>
        <v>215885.18999993801</v>
      </c>
      <c r="AB19" s="908"/>
      <c r="AC19" s="908"/>
    </row>
    <row r="20" spans="1:29" s="3310" customFormat="1" ht="27" hidden="1" customHeight="1" outlineLevel="1">
      <c r="A20" s="3307"/>
      <c r="B20" s="3308"/>
      <c r="C20" s="3309"/>
      <c r="D20" s="3309"/>
      <c r="F20" s="3309"/>
      <c r="G20" s="3309"/>
      <c r="H20" s="3309"/>
      <c r="I20" s="3309"/>
      <c r="K20" s="3309"/>
      <c r="L20" s="3309"/>
      <c r="M20" s="3309"/>
      <c r="N20" s="3309"/>
      <c r="O20" s="3309"/>
      <c r="Q20" s="3309"/>
      <c r="S20" s="3309"/>
      <c r="T20" s="3309"/>
      <c r="V20" s="3311"/>
      <c r="W20" s="3311"/>
      <c r="X20" s="3312"/>
      <c r="Y20" s="3313"/>
      <c r="Z20" s="3237"/>
      <c r="AB20" s="3314"/>
      <c r="AC20" s="3314"/>
    </row>
    <row r="21" spans="1:29" s="3310" customFormat="1" ht="27" hidden="1" customHeight="1" outlineLevel="1">
      <c r="A21" s="3307"/>
      <c r="B21" s="3308"/>
      <c r="C21" s="3309"/>
      <c r="D21" s="3309"/>
      <c r="F21" s="3309"/>
      <c r="G21" s="3309"/>
      <c r="H21" s="3309"/>
      <c r="I21" s="3309"/>
      <c r="K21" s="3309"/>
      <c r="L21" s="3309"/>
      <c r="M21" s="3309"/>
      <c r="N21" s="3309"/>
      <c r="O21" s="3309"/>
      <c r="Q21" s="3309"/>
      <c r="S21" s="3309"/>
      <c r="T21" s="3309"/>
      <c r="V21" s="3311"/>
      <c r="W21" s="3311"/>
      <c r="X21" s="3312"/>
      <c r="Y21" s="3313"/>
      <c r="Z21" s="3237"/>
      <c r="AB21" s="3314"/>
      <c r="AC21" s="3314"/>
    </row>
    <row r="22" spans="1:29" ht="60" customHeight="1" collapsed="1">
      <c r="A22" s="2470"/>
      <c r="B22" s="2471" t="str">
        <f>'Schedule B'!C185</f>
        <v>TOTAL (PS+MS+CM+CN)</v>
      </c>
      <c r="C22" s="2472">
        <f t="shared" ref="C22:T22" si="0">SUM(C13:C19)</f>
        <v>39300445.359999999</v>
      </c>
      <c r="D22" s="2472">
        <f t="shared" si="0"/>
        <v>473997104.53999996</v>
      </c>
      <c r="F22" s="2472">
        <f t="shared" si="0"/>
        <v>513297549.89999998</v>
      </c>
      <c r="G22" s="2472">
        <f t="shared" si="0"/>
        <v>5968356.4799999911</v>
      </c>
      <c r="H22" s="2472">
        <f t="shared" si="0"/>
        <v>1993436.11</v>
      </c>
      <c r="I22" s="2472">
        <f>SUM(I13:I19)</f>
        <v>521259342.49000001</v>
      </c>
      <c r="K22" s="2472">
        <f t="shared" si="0"/>
        <v>-18130223.579999998</v>
      </c>
      <c r="L22" s="2472">
        <f t="shared" si="0"/>
        <v>3156406.5</v>
      </c>
      <c r="M22" s="2472">
        <f>SUM(M13:M19)</f>
        <v>32891648.893043488</v>
      </c>
      <c r="N22" s="2472">
        <f t="shared" si="0"/>
        <v>0</v>
      </c>
      <c r="O22" s="2472">
        <f t="shared" si="0"/>
        <v>539177174.3030436</v>
      </c>
      <c r="Q22" s="2472">
        <f t="shared" si="0"/>
        <v>25879624.403043579</v>
      </c>
      <c r="S22" s="2472">
        <f t="shared" si="0"/>
        <v>496895398.35150003</v>
      </c>
      <c r="T22" s="2472">
        <f t="shared" si="0"/>
        <v>42281775.95154354</v>
      </c>
      <c r="V22" s="2473">
        <f>V19+V17+V15+V13</f>
        <v>539393059.49304342</v>
      </c>
      <c r="W22" s="2473">
        <f>W19+W17+W15+W13</f>
        <v>-215885.18999999762</v>
      </c>
      <c r="X22" s="909"/>
      <c r="Y22" s="910"/>
      <c r="Z22" s="907"/>
      <c r="AB22" s="908"/>
      <c r="AC22" s="908"/>
    </row>
    <row r="23" spans="1:29" ht="12" hidden="1" customHeight="1" outlineLevel="1">
      <c r="A23" s="2466"/>
      <c r="B23" s="2467"/>
      <c r="C23" s="2468"/>
      <c r="D23" s="2468"/>
      <c r="F23" s="2468"/>
      <c r="G23" s="2468"/>
      <c r="H23" s="2468"/>
      <c r="I23" s="2468"/>
      <c r="K23" s="2468"/>
      <c r="L23" s="2468"/>
      <c r="M23" s="2468"/>
      <c r="N23" s="2468"/>
      <c r="O23" s="2468"/>
      <c r="Q23" s="2468"/>
      <c r="S23" s="2468"/>
      <c r="T23" s="2468"/>
      <c r="V23" s="2469"/>
      <c r="W23" s="2469"/>
      <c r="X23" s="909"/>
      <c r="Y23" s="910"/>
      <c r="Z23" s="907"/>
      <c r="AB23" s="908"/>
      <c r="AC23" s="908"/>
    </row>
    <row r="24" spans="1:29" ht="60" customHeight="1" collapsed="1">
      <c r="A24" s="2474" t="str">
        <f>'Schedule B'!A187</f>
        <v>CC</v>
      </c>
      <c r="B24" s="2475" t="str">
        <f>'Schedule B'!C187</f>
        <v>CLIENT COST</v>
      </c>
      <c r="C24" s="2476">
        <f>'Schedule B'!E200</f>
        <v>0</v>
      </c>
      <c r="D24" s="2476">
        <f>'Schedule B'!F200</f>
        <v>0</v>
      </c>
      <c r="F24" s="2476">
        <f>'Schedule B'!H200</f>
        <v>0</v>
      </c>
      <c r="G24" s="2476">
        <f>'Schedule B'!I200</f>
        <v>0</v>
      </c>
      <c r="H24" s="2476">
        <f>'Schedule B'!J200</f>
        <v>0</v>
      </c>
      <c r="I24" s="2476">
        <f>F24+G24</f>
        <v>0</v>
      </c>
      <c r="K24" s="2476">
        <f>'Schedule B'!M200</f>
        <v>0</v>
      </c>
      <c r="L24" s="2476">
        <f>'Schedule B'!N200</f>
        <v>0</v>
      </c>
      <c r="M24" s="2476">
        <f>'Schedule B'!O200</f>
        <v>0</v>
      </c>
      <c r="N24" s="2476">
        <f>'Schedule B'!P200</f>
        <v>0</v>
      </c>
      <c r="O24" s="2476">
        <f>SUM(I24:N24)</f>
        <v>0</v>
      </c>
      <c r="Q24" s="2476">
        <f>O24-F24</f>
        <v>0</v>
      </c>
      <c r="S24" s="2476">
        <f>'Schedule B'!U200</f>
        <v>0</v>
      </c>
      <c r="T24" s="2476">
        <f>O24-S24</f>
        <v>0</v>
      </c>
      <c r="V24" s="2473">
        <f>'Schedule B'!X200</f>
        <v>0</v>
      </c>
      <c r="W24" s="2473">
        <f>'Schedule B'!Y200</f>
        <v>0</v>
      </c>
      <c r="X24" s="905" t="e">
        <f>S24/F24</f>
        <v>#DIV/0!</v>
      </c>
      <c r="Y24" s="906"/>
      <c r="Z24" s="907"/>
      <c r="AB24" s="908"/>
      <c r="AC24" s="908"/>
    </row>
    <row r="25" spans="1:29" ht="12" hidden="1" customHeight="1" outlineLevel="1">
      <c r="A25" s="2466"/>
      <c r="B25" s="2467"/>
      <c r="C25" s="2468"/>
      <c r="D25" s="2468"/>
      <c r="F25" s="2468"/>
      <c r="G25" s="2468"/>
      <c r="H25" s="2468"/>
      <c r="I25" s="2468"/>
      <c r="K25" s="2468"/>
      <c r="L25" s="2468"/>
      <c r="M25" s="2468"/>
      <c r="N25" s="2468"/>
      <c r="O25" s="2468"/>
      <c r="Q25" s="2468"/>
      <c r="S25" s="2468"/>
      <c r="T25" s="2468"/>
      <c r="V25" s="2469"/>
      <c r="W25" s="2469"/>
      <c r="X25" s="909"/>
      <c r="Y25" s="910"/>
      <c r="Z25" s="907"/>
      <c r="AB25" s="908"/>
      <c r="AC25" s="908"/>
    </row>
    <row r="26" spans="1:29" ht="60" customHeight="1" collapsed="1">
      <c r="A26" s="2474" t="str">
        <f>'Schedule B'!A202</f>
        <v>FF&amp;E &amp; OS&amp;E</v>
      </c>
      <c r="B26" s="2475" t="str">
        <f>'Schedule B'!C202</f>
        <v>FF&amp;E AND OS&amp;E</v>
      </c>
      <c r="C26" s="2476">
        <f>'Schedule B'!E236</f>
        <v>0</v>
      </c>
      <c r="D26" s="2476">
        <f>'Schedule B'!F236</f>
        <v>40154868.279999994</v>
      </c>
      <c r="F26" s="2476">
        <f>'Schedule B'!H236</f>
        <v>40154868.279999994</v>
      </c>
      <c r="G26" s="2476">
        <f>'Schedule B'!I236</f>
        <v>851779</v>
      </c>
      <c r="H26" s="2476">
        <f>'Schedule B'!J236</f>
        <v>0</v>
      </c>
      <c r="I26" s="2476">
        <f>F26+G26</f>
        <v>41006647.279999994</v>
      </c>
      <c r="K26" s="2476">
        <f>'Schedule B'!M236</f>
        <v>0</v>
      </c>
      <c r="L26" s="2476">
        <f>'Schedule B'!N236</f>
        <v>429156</v>
      </c>
      <c r="M26" s="2476">
        <f>'Schedule B'!O236</f>
        <v>0</v>
      </c>
      <c r="N26" s="2476">
        <f>'Schedule B'!P236</f>
        <v>0</v>
      </c>
      <c r="O26" s="2476">
        <f>SUM(I26:N26)</f>
        <v>41435803.279999994</v>
      </c>
      <c r="Q26" s="2476">
        <f>O26-F26</f>
        <v>1280935</v>
      </c>
      <c r="S26" s="2476">
        <f>'Schedule B'!U236</f>
        <v>25518391.664999999</v>
      </c>
      <c r="T26" s="2476">
        <f>O26-S26</f>
        <v>15917411.614999995</v>
      </c>
      <c r="V26" s="2473">
        <f>'Schedule B'!X236</f>
        <v>41435803.279999994</v>
      </c>
      <c r="W26" s="2473">
        <f>'Schedule B'!Y236</f>
        <v>0</v>
      </c>
      <c r="X26" s="905">
        <f>S26/F26</f>
        <v>0.63549932444206247</v>
      </c>
      <c r="Y26" s="906">
        <f>+W36</f>
        <v>-215885.18999999762</v>
      </c>
      <c r="Z26" s="907"/>
      <c r="AB26" s="908"/>
      <c r="AC26" s="908"/>
    </row>
    <row r="27" spans="1:29" ht="12" hidden="1" customHeight="1" outlineLevel="1">
      <c r="A27" s="2466"/>
      <c r="B27" s="2467"/>
      <c r="C27" s="2468"/>
      <c r="D27" s="2468"/>
      <c r="F27" s="2468"/>
      <c r="G27" s="2468"/>
      <c r="H27" s="2468"/>
      <c r="I27" s="2468"/>
      <c r="K27" s="2468"/>
      <c r="L27" s="2468"/>
      <c r="M27" s="2468"/>
      <c r="N27" s="2468"/>
      <c r="O27" s="2468"/>
      <c r="Q27" s="2468"/>
      <c r="S27" s="2468"/>
      <c r="T27" s="2468"/>
      <c r="V27" s="2469"/>
      <c r="W27" s="2469"/>
      <c r="X27" s="909"/>
      <c r="Y27" s="910"/>
      <c r="Z27" s="907"/>
      <c r="AB27" s="908"/>
      <c r="AC27" s="908"/>
    </row>
    <row r="28" spans="1:29" ht="60" customHeight="1" collapsed="1">
      <c r="A28" s="2477"/>
      <c r="B28" s="2478" t="str">
        <f>'Schedule B'!C238</f>
        <v>TOTAL (CC+FF&amp;E &amp; OS&amp;E)</v>
      </c>
      <c r="C28" s="2479">
        <f t="shared" ref="C28:T28" si="1">C26+C24</f>
        <v>0</v>
      </c>
      <c r="D28" s="2479">
        <f t="shared" si="1"/>
        <v>40154868.279999994</v>
      </c>
      <c r="F28" s="2479">
        <f t="shared" si="1"/>
        <v>40154868.279999994</v>
      </c>
      <c r="G28" s="2479">
        <f t="shared" si="1"/>
        <v>851779</v>
      </c>
      <c r="H28" s="2479">
        <f t="shared" si="1"/>
        <v>0</v>
      </c>
      <c r="I28" s="2479">
        <f t="shared" si="1"/>
        <v>41006647.279999994</v>
      </c>
      <c r="K28" s="2479">
        <f t="shared" si="1"/>
        <v>0</v>
      </c>
      <c r="L28" s="2479">
        <f t="shared" si="1"/>
        <v>429156</v>
      </c>
      <c r="M28" s="2479">
        <f>M26+M24</f>
        <v>0</v>
      </c>
      <c r="N28" s="2479">
        <f t="shared" si="1"/>
        <v>0</v>
      </c>
      <c r="O28" s="2479">
        <f t="shared" si="1"/>
        <v>41435803.279999994</v>
      </c>
      <c r="Q28" s="2479">
        <f t="shared" si="1"/>
        <v>1280935</v>
      </c>
      <c r="S28" s="2479">
        <f t="shared" si="1"/>
        <v>25518391.664999999</v>
      </c>
      <c r="T28" s="2479">
        <f t="shared" si="1"/>
        <v>15917411.614999995</v>
      </c>
      <c r="V28" s="2473">
        <f>V26+V24</f>
        <v>41435803.279999994</v>
      </c>
      <c r="W28" s="2473">
        <f>W26+W24</f>
        <v>0</v>
      </c>
      <c r="X28" s="909"/>
      <c r="Y28" s="910">
        <f>+O36-V36</f>
        <v>-215885.1899998188</v>
      </c>
      <c r="Z28" s="907"/>
      <c r="AB28" s="908"/>
      <c r="AC28" s="908"/>
    </row>
    <row r="29" spans="1:29" ht="12" hidden="1" customHeight="1" outlineLevel="1">
      <c r="A29" s="2466"/>
      <c r="B29" s="2467"/>
      <c r="C29" s="2468"/>
      <c r="D29" s="2468"/>
      <c r="F29" s="2468"/>
      <c r="G29" s="2468"/>
      <c r="H29" s="2468"/>
      <c r="I29" s="2468"/>
      <c r="K29" s="2468"/>
      <c r="L29" s="2468"/>
      <c r="M29" s="2468"/>
      <c r="N29" s="2468"/>
      <c r="O29" s="2468"/>
      <c r="Q29" s="2468"/>
      <c r="S29" s="2468"/>
      <c r="T29" s="2468"/>
      <c r="V29" s="2469"/>
      <c r="W29" s="2469"/>
      <c r="X29" s="909"/>
      <c r="Y29" s="910"/>
      <c r="Z29" s="907"/>
      <c r="AB29" s="908"/>
      <c r="AC29" s="908"/>
    </row>
    <row r="30" spans="1:29" ht="33" hidden="1" customHeight="1" outlineLevel="1">
      <c r="A30" s="2480"/>
      <c r="B30" s="2481"/>
      <c r="C30" s="2468"/>
      <c r="D30" s="2468"/>
      <c r="F30" s="2468"/>
      <c r="G30" s="2468"/>
      <c r="H30" s="2468"/>
      <c r="I30" s="2482"/>
      <c r="K30" s="2468"/>
      <c r="L30" s="2468"/>
      <c r="M30" s="2468"/>
      <c r="N30" s="2468"/>
      <c r="O30" s="2482"/>
      <c r="Q30" s="2482"/>
      <c r="S30" s="2468"/>
      <c r="T30" s="2482"/>
      <c r="V30" s="2483"/>
      <c r="W30" s="2469"/>
      <c r="X30" s="905" t="e">
        <f>S30/F30</f>
        <v>#DIV/0!</v>
      </c>
      <c r="Y30" s="906"/>
      <c r="Z30" s="907"/>
      <c r="AB30" s="908"/>
      <c r="AC30" s="908"/>
    </row>
    <row r="31" spans="1:29" ht="12" customHeight="1" collapsed="1">
      <c r="A31" s="2466"/>
      <c r="B31" s="2467"/>
      <c r="C31" s="2468"/>
      <c r="D31" s="2468"/>
      <c r="F31" s="2468"/>
      <c r="G31" s="2468"/>
      <c r="H31" s="2468"/>
      <c r="I31" s="2468"/>
      <c r="K31" s="2468"/>
      <c r="L31" s="2468"/>
      <c r="M31" s="2468"/>
      <c r="N31" s="2468"/>
      <c r="O31" s="2468"/>
      <c r="Q31" s="2468"/>
      <c r="S31" s="2468"/>
      <c r="T31" s="2468"/>
      <c r="V31" s="2469"/>
      <c r="W31" s="2469"/>
      <c r="X31" s="909"/>
      <c r="Y31" s="910"/>
      <c r="Z31" s="907"/>
      <c r="AB31" s="908"/>
      <c r="AC31" s="908"/>
    </row>
    <row r="32" spans="1:29" ht="60" customHeight="1">
      <c r="A32" s="2484" t="str">
        <f>'Schedule B'!A240</f>
        <v>1TB01031.01</v>
      </c>
      <c r="B32" s="2485" t="str">
        <f>'Schedule B'!C240</f>
        <v>GRAND TOTAL ASSET COSTS (EXCL BUDGET HOLD)</v>
      </c>
      <c r="C32" s="2486">
        <f t="shared" ref="C32:S32" si="2">C28+C22</f>
        <v>39300445.359999999</v>
      </c>
      <c r="D32" s="2486">
        <f t="shared" si="2"/>
        <v>514151972.81999993</v>
      </c>
      <c r="F32" s="2486">
        <f t="shared" si="2"/>
        <v>553452418.17999995</v>
      </c>
      <c r="G32" s="2486">
        <f>G28+G22</f>
        <v>6820135.4799999911</v>
      </c>
      <c r="H32" s="2486">
        <f>H28+H22</f>
        <v>1993436.11</v>
      </c>
      <c r="I32" s="2486">
        <f>F32+G32+H32</f>
        <v>562265989.76999998</v>
      </c>
      <c r="K32" s="2486">
        <f t="shared" si="2"/>
        <v>-18130223.579999998</v>
      </c>
      <c r="L32" s="2486">
        <f t="shared" si="2"/>
        <v>3585562.5</v>
      </c>
      <c r="M32" s="2486">
        <f>M28+M22</f>
        <v>32891648.893043488</v>
      </c>
      <c r="N32" s="2486">
        <f t="shared" si="2"/>
        <v>0</v>
      </c>
      <c r="O32" s="2486">
        <f t="shared" si="2"/>
        <v>580612977.58304358</v>
      </c>
      <c r="Q32" s="2486">
        <f t="shared" si="2"/>
        <v>27160559.403043579</v>
      </c>
      <c r="S32" s="2486">
        <f t="shared" si="2"/>
        <v>522413790.01650006</v>
      </c>
      <c r="T32" s="2486">
        <f>T28+T22</f>
        <v>58199187.566543534</v>
      </c>
      <c r="V32" s="2486">
        <f>V28+V22</f>
        <v>580828862.77304339</v>
      </c>
      <c r="W32" s="2486">
        <f>W28+W22</f>
        <v>-215885.18999999762</v>
      </c>
      <c r="X32" s="909">
        <f>V36-O36</f>
        <v>215885.1899998188</v>
      </c>
      <c r="Y32" s="910"/>
      <c r="Z32" s="907">
        <f>O36-I36</f>
        <v>-3234573.2769562006</v>
      </c>
      <c r="AA32" s="876">
        <v>9826662</v>
      </c>
      <c r="AB32" s="908">
        <f>Z32-AA32</f>
        <v>-13061235.276956201</v>
      </c>
      <c r="AC32" s="908"/>
    </row>
    <row r="33" spans="1:29" ht="12.75" hidden="1" customHeight="1" outlineLevel="1">
      <c r="A33" s="2466"/>
      <c r="B33" s="2467"/>
      <c r="C33" s="2468"/>
      <c r="D33" s="2468"/>
      <c r="F33" s="2468"/>
      <c r="G33" s="2482"/>
      <c r="H33" s="2482"/>
      <c r="I33" s="2468"/>
      <c r="K33" s="2468"/>
      <c r="L33" s="2468"/>
      <c r="M33" s="2468"/>
      <c r="N33" s="2468"/>
      <c r="O33" s="2468"/>
      <c r="Q33" s="2468"/>
      <c r="S33" s="2468"/>
      <c r="T33" s="2468"/>
      <c r="V33" s="2469"/>
      <c r="W33" s="2469"/>
      <c r="X33" s="909"/>
      <c r="Y33" s="906"/>
      <c r="Z33" s="907"/>
      <c r="AB33" s="908"/>
      <c r="AC33" s="908"/>
    </row>
    <row r="34" spans="1:29" ht="60" customHeight="1" collapsed="1">
      <c r="A34" s="2487">
        <f>'Schedule B'!A242</f>
        <v>98</v>
      </c>
      <c r="B34" s="2488" t="str">
        <f>'Schedule B'!C242</f>
        <v>BUDGET HOLD</v>
      </c>
      <c r="C34" s="2489">
        <f>'Schedule B'!E266</f>
        <v>277046039.88999999</v>
      </c>
      <c r="D34" s="2489">
        <f>'Schedule B'!F266</f>
        <v>-246650907.21000016</v>
      </c>
      <c r="E34" s="1036"/>
      <c r="F34" s="2489">
        <f>'Schedule B'!H266</f>
        <v>30395132.679999802</v>
      </c>
      <c r="G34" s="2489">
        <f>'Schedule B'!I266</f>
        <v>6830634.639999981</v>
      </c>
      <c r="H34" s="2489">
        <f>'Schedule B'!J266</f>
        <v>-15644206.23</v>
      </c>
      <c r="I34" s="2489">
        <f>F34+G34+H34</f>
        <v>21581561.089999784</v>
      </c>
      <c r="J34" s="1036"/>
      <c r="K34" s="2489">
        <f>'Schedule B'!M266</f>
        <v>18178391.659999996</v>
      </c>
      <c r="L34" s="2489">
        <f>'Schedule B'!N266</f>
        <v>-3585562.5</v>
      </c>
      <c r="M34" s="2489">
        <f>'Schedule B'!O266</f>
        <v>-32891648.893043488</v>
      </c>
      <c r="N34" s="2489">
        <f>'Schedule B'!P266</f>
        <v>0</v>
      </c>
      <c r="O34" s="2489">
        <f>'Schedule B'!Q266</f>
        <v>0</v>
      </c>
      <c r="P34" s="1036"/>
      <c r="Q34" s="2489">
        <f>O34-F34</f>
        <v>-30395132.679999802</v>
      </c>
      <c r="R34" s="1036"/>
      <c r="S34" s="2489">
        <f>'Schedule B'!U266</f>
        <v>0</v>
      </c>
      <c r="T34" s="2489">
        <f>O34-S34</f>
        <v>0</v>
      </c>
      <c r="U34" s="1036"/>
      <c r="V34" s="2473">
        <f>'Schedule B'!X266</f>
        <v>0</v>
      </c>
      <c r="W34" s="2473">
        <f>'Schedule B'!Y266</f>
        <v>0</v>
      </c>
      <c r="X34" s="905">
        <f>S34/F34</f>
        <v>0</v>
      </c>
      <c r="Y34" s="906">
        <f>+O36-I36</f>
        <v>-3234573.2769562006</v>
      </c>
      <c r="Z34" s="907"/>
      <c r="AB34" s="908"/>
      <c r="AC34" s="908"/>
    </row>
    <row r="35" spans="1:29" ht="12" hidden="1" customHeight="1" outlineLevel="1">
      <c r="A35" s="2466"/>
      <c r="B35" s="2467"/>
      <c r="C35" s="2468"/>
      <c r="D35" s="2468"/>
      <c r="F35" s="2468"/>
      <c r="G35" s="2468"/>
      <c r="H35" s="2468"/>
      <c r="I35" s="2468"/>
      <c r="K35" s="2468"/>
      <c r="L35" s="2468"/>
      <c r="M35" s="2468"/>
      <c r="N35" s="2468"/>
      <c r="O35" s="2468"/>
      <c r="Q35" s="2468"/>
      <c r="S35" s="2468"/>
      <c r="T35" s="2468"/>
      <c r="V35" s="2469"/>
      <c r="W35" s="2469"/>
      <c r="X35" s="909"/>
      <c r="Y35" s="910"/>
      <c r="Z35" s="907"/>
      <c r="AB35" s="908"/>
      <c r="AC35" s="908"/>
    </row>
    <row r="36" spans="1:29" ht="60" customHeight="1" collapsed="1">
      <c r="A36" s="2484" t="str">
        <f>'Schedule B'!A268</f>
        <v>1TB01031.01</v>
      </c>
      <c r="B36" s="2485" t="str">
        <f>'Schedule B'!C268</f>
        <v>GRAND TOTAL ASSET COSTS (INCL BUDGET HOLD)</v>
      </c>
      <c r="C36" s="2486">
        <f>C34+C32</f>
        <v>316346485.25</v>
      </c>
      <c r="D36" s="2486">
        <f>D34+D32</f>
        <v>267501065.60999978</v>
      </c>
      <c r="F36" s="2486">
        <f>F34+F32</f>
        <v>583847550.85999978</v>
      </c>
      <c r="G36" s="2486">
        <f>G34+G32</f>
        <v>13650770.119999971</v>
      </c>
      <c r="H36" s="2486">
        <f>H34+H32</f>
        <v>-13650770.120000001</v>
      </c>
      <c r="I36" s="2486">
        <f>I34+I32</f>
        <v>583847550.85999978</v>
      </c>
      <c r="K36" s="2486">
        <f t="shared" ref="K36:O36" si="3">K34+K32</f>
        <v>48168.079999998212</v>
      </c>
      <c r="L36" s="2486">
        <f t="shared" si="3"/>
        <v>0</v>
      </c>
      <c r="M36" s="2486">
        <f t="shared" si="3"/>
        <v>0</v>
      </c>
      <c r="N36" s="2486">
        <f t="shared" si="3"/>
        <v>0</v>
      </c>
      <c r="O36" s="2486">
        <f t="shared" si="3"/>
        <v>580612977.58304358</v>
      </c>
      <c r="Q36" s="2486">
        <f>Q34+Q32</f>
        <v>-3234573.276956223</v>
      </c>
      <c r="S36" s="2486">
        <f>S34+S32</f>
        <v>522413790.01650006</v>
      </c>
      <c r="T36" s="2486">
        <f>T34+T32</f>
        <v>58199187.566543534</v>
      </c>
      <c r="V36" s="2486">
        <f>V34+V32</f>
        <v>580828862.77304339</v>
      </c>
      <c r="W36" s="2486">
        <f>W34+W32</f>
        <v>-215885.18999999762</v>
      </c>
      <c r="X36" s="3184">
        <v>-5.7741999626159701E-8</v>
      </c>
      <c r="Y36" s="910">
        <v>7193270</v>
      </c>
      <c r="Z36" s="3237">
        <f>+W36-Q36</f>
        <v>3018688.0869562253</v>
      </c>
      <c r="AA36" s="876">
        <v>29277634</v>
      </c>
      <c r="AB36" s="908"/>
      <c r="AC36" s="908"/>
    </row>
    <row r="37" spans="1:29">
      <c r="A37" s="2490"/>
      <c r="B37" s="2491"/>
      <c r="C37" s="911"/>
      <c r="D37" s="911"/>
      <c r="F37" s="911"/>
      <c r="G37" s="911"/>
      <c r="H37" s="911"/>
      <c r="I37" s="912"/>
      <c r="K37" s="912"/>
      <c r="L37" s="911"/>
      <c r="M37" s="911"/>
      <c r="N37" s="911"/>
      <c r="O37" s="911"/>
      <c r="Q37" s="911"/>
      <c r="S37" s="911"/>
      <c r="T37" s="913"/>
      <c r="V37" s="911"/>
      <c r="W37" s="913"/>
      <c r="X37" s="914">
        <f>+O36-I36</f>
        <v>-3234573.2769562006</v>
      </c>
      <c r="Z37" s="3236">
        <f>+Z36+Q36</f>
        <v>-215885.18999999762</v>
      </c>
    </row>
    <row r="38" spans="1:29" ht="27.75" customHeight="1">
      <c r="A38" s="916" t="s">
        <v>435</v>
      </c>
      <c r="B38" s="917"/>
      <c r="C38" s="917"/>
      <c r="D38" s="917"/>
      <c r="E38" s="918"/>
      <c r="F38" s="4079"/>
      <c r="G38" s="917"/>
      <c r="H38" s="917"/>
      <c r="I38" s="917"/>
      <c r="J38" s="918"/>
      <c r="K38" s="917"/>
      <c r="L38" s="917"/>
      <c r="M38" s="917"/>
      <c r="N38" s="917"/>
      <c r="O38" s="4079"/>
      <c r="P38" s="918"/>
      <c r="Q38" s="4079"/>
      <c r="R38" s="918"/>
      <c r="S38" s="4079"/>
      <c r="T38" s="919"/>
      <c r="U38" s="918"/>
      <c r="V38" s="917"/>
      <c r="W38" s="919"/>
      <c r="X38" s="920">
        <v>7193270</v>
      </c>
      <c r="Y38" s="921">
        <f>+V36-I36</f>
        <v>-3018688.0869563818</v>
      </c>
      <c r="Z38" s="876">
        <f>+Q36-O34</f>
        <v>-3234573.276956223</v>
      </c>
    </row>
    <row r="39" spans="1:29" s="879" customFormat="1" ht="18" customHeight="1">
      <c r="A39" s="922"/>
      <c r="B39" s="923"/>
      <c r="C39" s="923"/>
      <c r="D39" s="923"/>
      <c r="E39" s="928"/>
      <c r="F39" s="923"/>
      <c r="G39" s="923"/>
      <c r="H39" s="923"/>
      <c r="I39" s="923"/>
      <c r="J39" s="928"/>
      <c r="K39" s="923"/>
      <c r="L39" s="923"/>
      <c r="M39" s="923"/>
      <c r="N39" s="923"/>
      <c r="O39" s="923"/>
      <c r="P39" s="928"/>
      <c r="Q39" s="923"/>
      <c r="R39" s="928"/>
      <c r="S39" s="923"/>
      <c r="T39" s="923"/>
      <c r="U39" s="928"/>
      <c r="V39" s="923"/>
      <c r="W39" s="923"/>
      <c r="X39" s="881">
        <f>+X37-X38</f>
        <v>-10427843.276956201</v>
      </c>
      <c r="Y39" s="882">
        <f>+O36-I36</f>
        <v>-3234573.2769562006</v>
      </c>
      <c r="Z39" s="879">
        <v>794838</v>
      </c>
      <c r="AA39" s="879">
        <v>59832671.430000126</v>
      </c>
    </row>
    <row r="40" spans="1:29" s="879" customFormat="1" ht="85.5" customHeight="1">
      <c r="A40" s="5630" t="s">
        <v>6706</v>
      </c>
      <c r="B40" s="5630"/>
      <c r="C40" s="5630"/>
      <c r="D40" s="5630"/>
      <c r="E40" s="5630"/>
      <c r="F40" s="5630"/>
      <c r="G40" s="5630"/>
      <c r="H40" s="5630"/>
      <c r="I40" s="5630"/>
      <c r="J40" s="5630"/>
      <c r="K40" s="5630"/>
      <c r="L40" s="5630"/>
      <c r="M40" s="5630"/>
      <c r="N40" s="5630"/>
      <c r="O40" s="5630"/>
      <c r="P40" s="5630"/>
      <c r="Q40" s="5630"/>
      <c r="R40" s="5630"/>
      <c r="S40" s="5630"/>
      <c r="T40" s="5630"/>
      <c r="U40" s="5630"/>
      <c r="V40" s="5630"/>
      <c r="W40" s="5630"/>
      <c r="X40" s="881" t="e">
        <f>#REF!</f>
        <v>#REF!</v>
      </c>
      <c r="Y40" s="882" t="e">
        <f>X40-#REF!</f>
        <v>#REF!</v>
      </c>
      <c r="Z40" s="879">
        <v>7193270</v>
      </c>
    </row>
    <row r="41" spans="1:29" s="879" customFormat="1" ht="62.25" customHeight="1">
      <c r="A41" s="5621" t="s">
        <v>6707</v>
      </c>
      <c r="B41" s="5621"/>
      <c r="C41" s="5621"/>
      <c r="D41" s="5621"/>
      <c r="E41" s="5621"/>
      <c r="F41" s="5621"/>
      <c r="G41" s="5621"/>
      <c r="H41" s="5621"/>
      <c r="I41" s="5621"/>
      <c r="J41" s="5621"/>
      <c r="K41" s="5621"/>
      <c r="L41" s="5621"/>
      <c r="M41" s="5621"/>
      <c r="N41" s="5621"/>
      <c r="O41" s="5621"/>
      <c r="P41" s="5621"/>
      <c r="Q41" s="5621"/>
      <c r="R41" s="5621"/>
      <c r="S41" s="5621"/>
      <c r="T41" s="5621"/>
      <c r="U41" s="5621"/>
      <c r="V41" s="5621"/>
      <c r="W41" s="5621"/>
      <c r="X41" s="881">
        <f>+X37-O34</f>
        <v>-3234573.2769562006</v>
      </c>
      <c r="Y41" s="882">
        <f>+Y39-Y38</f>
        <v>-215885.1899998188</v>
      </c>
      <c r="Z41" s="879">
        <f>+O36-I36</f>
        <v>-3234573.2769562006</v>
      </c>
    </row>
    <row r="42" spans="1:29" s="879" customFormat="1" ht="15.75">
      <c r="A42" s="5621"/>
      <c r="B42" s="5621"/>
      <c r="C42" s="5621"/>
      <c r="D42" s="5621"/>
      <c r="E42" s="5621"/>
      <c r="F42" s="5621"/>
      <c r="G42" s="5621"/>
      <c r="H42" s="5621"/>
      <c r="I42" s="5621"/>
      <c r="J42" s="5621"/>
      <c r="K42" s="5621"/>
      <c r="L42" s="5621"/>
      <c r="M42" s="5621"/>
      <c r="N42" s="5621"/>
      <c r="O42" s="5621"/>
      <c r="P42" s="5621"/>
      <c r="Q42" s="5621"/>
      <c r="R42" s="5621"/>
      <c r="S42" s="5621"/>
      <c r="T42" s="5621"/>
      <c r="U42" s="5621"/>
      <c r="V42" s="5621"/>
      <c r="W42" s="5621"/>
      <c r="X42" s="881">
        <f>+X38-O35</f>
        <v>7193270</v>
      </c>
      <c r="Y42" s="882" t="e">
        <f>+Y40-Y39</f>
        <v>#REF!</v>
      </c>
      <c r="Z42" s="879">
        <f>+O37-I37</f>
        <v>0</v>
      </c>
    </row>
    <row r="43" spans="1:29" s="879" customFormat="1" ht="15.75">
      <c r="A43" s="4540"/>
      <c r="B43" s="4540"/>
      <c r="C43" s="4540"/>
      <c r="D43" s="4540"/>
      <c r="E43" s="4540"/>
      <c r="F43" s="4540"/>
      <c r="G43" s="4540"/>
      <c r="H43" s="4540"/>
      <c r="I43" s="4540"/>
      <c r="J43" s="4540"/>
      <c r="K43" s="4540"/>
      <c r="L43" s="4540"/>
      <c r="M43" s="4637"/>
      <c r="N43" s="4540"/>
      <c r="O43" s="4540"/>
      <c r="P43" s="4540"/>
      <c r="Q43" s="4540"/>
      <c r="R43" s="4540"/>
      <c r="S43" s="4540"/>
      <c r="T43" s="4540"/>
      <c r="U43" s="4540"/>
      <c r="V43" s="4540"/>
      <c r="W43" s="4540"/>
      <c r="X43" s="881">
        <f>584004655-583076810</f>
        <v>927845</v>
      </c>
      <c r="Y43" s="882"/>
    </row>
    <row r="44" spans="1:29" s="879" customFormat="1" ht="15.75">
      <c r="A44" s="5621"/>
      <c r="B44" s="5621"/>
      <c r="C44" s="5621"/>
      <c r="D44" s="5621"/>
      <c r="E44" s="5621"/>
      <c r="F44" s="5621"/>
      <c r="G44" s="5621"/>
      <c r="H44" s="5621"/>
      <c r="I44" s="5621"/>
      <c r="J44" s="5621"/>
      <c r="K44" s="5621"/>
      <c r="L44" s="5621"/>
      <c r="M44" s="5621"/>
      <c r="N44" s="5621"/>
      <c r="O44" s="5621"/>
      <c r="P44" s="5621"/>
      <c r="Q44" s="5621"/>
      <c r="R44" s="5621"/>
      <c r="S44" s="5621"/>
      <c r="T44" s="5621"/>
      <c r="U44" s="5621"/>
      <c r="V44" s="5621"/>
      <c r="W44" s="5621"/>
      <c r="X44" s="881"/>
      <c r="Y44" s="882">
        <f>37069723+33784899</f>
        <v>70854622</v>
      </c>
    </row>
    <row r="45" spans="1:29" s="879" customFormat="1" ht="15.75">
      <c r="A45" s="869"/>
      <c r="B45" s="875"/>
      <c r="C45" s="875"/>
      <c r="D45" s="875"/>
      <c r="E45" s="876"/>
      <c r="F45" s="875"/>
      <c r="G45" s="875"/>
      <c r="H45" s="875"/>
      <c r="I45" s="875"/>
      <c r="J45" s="876"/>
      <c r="K45" s="875"/>
      <c r="L45" s="875"/>
      <c r="M45" s="875"/>
      <c r="N45" s="875"/>
      <c r="O45" s="875"/>
      <c r="P45" s="876"/>
      <c r="Q45" s="875"/>
      <c r="R45" s="876"/>
      <c r="S45" s="875"/>
      <c r="T45" s="875"/>
      <c r="U45" s="876"/>
      <c r="V45" s="875"/>
      <c r="W45" s="875"/>
      <c r="X45" s="881"/>
      <c r="Y45" s="882"/>
    </row>
    <row r="46" spans="1:29" s="879" customFormat="1" ht="15.75">
      <c r="A46" s="5630"/>
      <c r="B46" s="5630"/>
      <c r="C46" s="5630"/>
      <c r="D46" s="5630"/>
      <c r="E46" s="5630"/>
      <c r="F46" s="5630"/>
      <c r="G46" s="5630"/>
      <c r="H46" s="5630"/>
      <c r="I46" s="5630"/>
      <c r="J46" s="5630"/>
      <c r="K46" s="5630"/>
      <c r="L46" s="5630"/>
      <c r="M46" s="5630"/>
      <c r="N46" s="5630"/>
      <c r="O46" s="5630"/>
      <c r="P46" s="5630"/>
      <c r="Q46" s="5630"/>
      <c r="R46" s="5630"/>
      <c r="S46" s="5630"/>
      <c r="T46" s="5630"/>
      <c r="U46" s="5630"/>
      <c r="V46" s="5630"/>
      <c r="W46" s="5630"/>
      <c r="X46" s="881"/>
      <c r="Y46" s="882"/>
    </row>
    <row r="47" spans="1:29" s="879" customFormat="1" ht="15.75">
      <c r="A47" s="925"/>
      <c r="B47" s="926"/>
      <c r="C47" s="926"/>
      <c r="D47" s="926"/>
      <c r="E47" s="1001"/>
      <c r="F47" s="926"/>
      <c r="G47" s="926"/>
      <c r="H47" s="926"/>
      <c r="I47" s="926"/>
      <c r="J47" s="1001"/>
      <c r="K47" s="926"/>
      <c r="L47" s="926"/>
      <c r="M47" s="926"/>
      <c r="N47" s="926"/>
      <c r="O47" s="926"/>
      <c r="P47" s="1001"/>
      <c r="Q47" s="926"/>
      <c r="R47" s="1001"/>
      <c r="S47" s="926"/>
      <c r="T47" s="926"/>
      <c r="U47" s="1001"/>
      <c r="V47" s="926"/>
      <c r="W47" s="926"/>
      <c r="X47" s="881"/>
      <c r="Y47" s="882"/>
    </row>
    <row r="48" spans="1:29" s="879" customFormat="1" ht="18" customHeight="1">
      <c r="A48" s="927"/>
      <c r="B48" s="927"/>
      <c r="C48" s="927"/>
      <c r="D48" s="927"/>
      <c r="E48" s="928"/>
      <c r="F48" s="927"/>
      <c r="G48" s="927"/>
      <c r="H48" s="927"/>
      <c r="I48" s="927"/>
      <c r="J48" s="928"/>
      <c r="K48" s="927"/>
      <c r="L48" s="927"/>
      <c r="M48" s="927"/>
      <c r="N48" s="927"/>
      <c r="O48" s="927"/>
      <c r="P48" s="928"/>
      <c r="Q48" s="927"/>
      <c r="R48" s="928"/>
      <c r="S48" s="927"/>
      <c r="T48" s="927"/>
      <c r="U48" s="928"/>
      <c r="V48" s="927"/>
      <c r="W48" s="927"/>
      <c r="X48" s="881"/>
      <c r="Y48" s="882"/>
    </row>
    <row r="49" spans="1:25" s="879" customFormat="1" ht="18" customHeight="1" outlineLevel="1">
      <c r="A49" s="5641" t="s">
        <v>436</v>
      </c>
      <c r="B49" s="5642"/>
      <c r="C49" s="5643"/>
      <c r="D49" s="929"/>
      <c r="E49" s="876"/>
      <c r="F49" s="5635" t="s">
        <v>437</v>
      </c>
      <c r="G49" s="5636"/>
      <c r="H49" s="5636"/>
      <c r="I49" s="5636"/>
      <c r="J49" s="5636"/>
      <c r="K49" s="5637"/>
      <c r="L49" s="930"/>
      <c r="M49" s="930"/>
      <c r="N49" s="5635" t="s">
        <v>438</v>
      </c>
      <c r="O49" s="5636"/>
      <c r="P49" s="5636"/>
      <c r="Q49" s="5636"/>
      <c r="R49" s="5636"/>
      <c r="S49" s="5636"/>
      <c r="T49" s="5637"/>
      <c r="U49" s="1030"/>
      <c r="V49" s="1030"/>
      <c r="W49" s="1030"/>
      <c r="X49" s="881">
        <v>18429499</v>
      </c>
      <c r="Y49" s="882"/>
    </row>
    <row r="50" spans="1:25" s="933" customFormat="1" ht="33" customHeight="1" outlineLevel="1">
      <c r="A50" s="5647"/>
      <c r="B50" s="5648"/>
      <c r="C50" s="5649"/>
      <c r="D50" s="934"/>
      <c r="E50" s="876"/>
      <c r="F50" s="5618"/>
      <c r="G50" s="5619"/>
      <c r="H50" s="5619"/>
      <c r="I50" s="5619"/>
      <c r="J50" s="5619"/>
      <c r="K50" s="5620"/>
      <c r="L50" s="935"/>
      <c r="M50" s="935"/>
      <c r="N50" s="5638"/>
      <c r="O50" s="5639"/>
      <c r="P50" s="5639"/>
      <c r="Q50" s="5639"/>
      <c r="R50" s="5639"/>
      <c r="S50" s="5639"/>
      <c r="T50" s="5640"/>
      <c r="U50" s="1032"/>
      <c r="V50" s="1032"/>
      <c r="W50" s="1032">
        <f>Q32-F34</f>
        <v>-3234573.276956223</v>
      </c>
      <c r="X50" s="931">
        <f>+Q36-X49</f>
        <v>-21664072.276956223</v>
      </c>
      <c r="Y50" s="932"/>
    </row>
    <row r="51" spans="1:25" s="871" customFormat="1" ht="65.25" customHeight="1" outlineLevel="1">
      <c r="A51" s="5644" t="str">
        <f>'Data Input'!A45&amp;" - "&amp;'Data Input'!C35</f>
        <v>Associate Commercial Director - Blake Lombard</v>
      </c>
      <c r="B51" s="5645"/>
      <c r="C51" s="5646"/>
      <c r="D51" s="929"/>
      <c r="E51" s="876"/>
      <c r="F51" s="5615" t="str">
        <f>'Data Input'!A34&amp;" - "&amp;'Data Input'!C34</f>
        <v>Senior Commercial Director: - Michael Hansen</v>
      </c>
      <c r="G51" s="5616"/>
      <c r="H51" s="5616"/>
      <c r="I51" s="5616"/>
      <c r="J51" s="5616"/>
      <c r="K51" s="5617"/>
      <c r="L51" s="938"/>
      <c r="M51" s="938"/>
      <c r="N51" s="5627" t="str">
        <f>'Data Input'!A33&amp;" - "&amp;'Data Input'!C33</f>
        <v>Executive Commercial Director: - Shane Fairfield</v>
      </c>
      <c r="O51" s="5628"/>
      <c r="P51" s="5628"/>
      <c r="Q51" s="5628"/>
      <c r="R51" s="5628"/>
      <c r="S51" s="5628"/>
      <c r="T51" s="5629"/>
      <c r="U51" s="1031"/>
      <c r="V51" s="1031"/>
      <c r="W51" s="1879">
        <v>89611679.779999971</v>
      </c>
      <c r="X51" s="936"/>
      <c r="Y51" s="937" t="e">
        <f>#REF!/#REF!</f>
        <v>#REF!</v>
      </c>
    </row>
    <row r="52" spans="1:25" s="933" customFormat="1" ht="33" customHeight="1" outlineLevel="1">
      <c r="A52" s="939"/>
      <c r="B52" s="926"/>
      <c r="C52" s="926"/>
      <c r="D52" s="926"/>
      <c r="E52" s="876"/>
      <c r="F52" s="926"/>
      <c r="G52" s="926"/>
      <c r="H52" s="926"/>
      <c r="I52" s="926"/>
      <c r="J52" s="876"/>
      <c r="K52" s="926"/>
      <c r="L52" s="926">
        <f>+L26+L19+L13</f>
        <v>3634769.5</v>
      </c>
      <c r="M52" s="926"/>
      <c r="N52" s="926"/>
      <c r="O52" s="926"/>
      <c r="P52" s="876"/>
      <c r="Q52" s="926"/>
      <c r="R52" s="876"/>
      <c r="S52" s="926"/>
      <c r="T52" s="940"/>
      <c r="U52" s="876"/>
      <c r="V52" s="926"/>
      <c r="W52" s="940"/>
      <c r="X52" s="931"/>
      <c r="Y52" s="932"/>
    </row>
    <row r="53" spans="1:25" s="879" customFormat="1" ht="18" customHeight="1">
      <c r="A53" s="941"/>
      <c r="E53" s="876"/>
      <c r="J53" s="876"/>
      <c r="P53" s="876"/>
      <c r="R53" s="876"/>
      <c r="U53" s="876"/>
      <c r="X53" s="881"/>
      <c r="Y53" s="882"/>
    </row>
    <row r="54" spans="1:25" s="879" customFormat="1" ht="18" customHeight="1">
      <c r="A54" s="941"/>
      <c r="E54" s="876"/>
      <c r="J54" s="876"/>
      <c r="P54" s="876"/>
      <c r="R54" s="876"/>
      <c r="U54" s="876"/>
      <c r="X54" s="881"/>
      <c r="Y54" s="882"/>
    </row>
    <row r="55" spans="1:25" s="879" customFormat="1" ht="18" customHeight="1">
      <c r="A55" s="899"/>
      <c r="B55" s="942" t="s">
        <v>439</v>
      </c>
      <c r="C55" s="943" t="e">
        <f>#REF!</f>
        <v>#REF!</v>
      </c>
      <c r="D55" s="943"/>
      <c r="E55" s="876"/>
      <c r="F55" s="943" t="e">
        <f>#REF!</f>
        <v>#REF!</v>
      </c>
      <c r="G55" s="943" t="e">
        <f>#REF!</f>
        <v>#REF!</v>
      </c>
      <c r="H55" s="943"/>
      <c r="I55" s="943" t="e">
        <f>#REF!</f>
        <v>#REF!</v>
      </c>
      <c r="J55" s="876"/>
      <c r="K55" s="943"/>
      <c r="L55" s="943" t="e">
        <f>#REF!</f>
        <v>#REF!</v>
      </c>
      <c r="M55" s="943" t="e">
        <f>#REF!</f>
        <v>#REF!</v>
      </c>
      <c r="N55" s="943" t="e">
        <f>#REF!</f>
        <v>#REF!</v>
      </c>
      <c r="O55" s="943" t="e">
        <f>#REF!</f>
        <v>#REF!</v>
      </c>
      <c r="P55" s="876"/>
      <c r="Q55" s="943" t="e">
        <f>#REF!</f>
        <v>#REF!</v>
      </c>
      <c r="R55" s="876"/>
      <c r="S55" s="943" t="e">
        <f>#REF!</f>
        <v>#REF!</v>
      </c>
      <c r="T55" s="943" t="e">
        <f>#REF!</f>
        <v>#REF!</v>
      </c>
      <c r="U55" s="876"/>
      <c r="V55" s="943" t="e">
        <f>#REF!</f>
        <v>#REF!</v>
      </c>
      <c r="W55" s="943" t="e">
        <f>#REF!</f>
        <v>#REF!</v>
      </c>
      <c r="X55" s="881"/>
      <c r="Y55" s="882"/>
    </row>
    <row r="56" spans="1:25">
      <c r="B56" s="2492" t="s">
        <v>440</v>
      </c>
      <c r="C56" s="944" t="e">
        <f>C55-#REF!</f>
        <v>#REF!</v>
      </c>
      <c r="D56" s="944"/>
      <c r="F56" s="944" t="e">
        <f>F55-#REF!</f>
        <v>#REF!</v>
      </c>
      <c r="G56" s="944" t="e">
        <f>G55-#REF!</f>
        <v>#REF!</v>
      </c>
      <c r="H56" s="944"/>
      <c r="I56" s="944" t="e">
        <f>I55-#REF!</f>
        <v>#REF!</v>
      </c>
      <c r="K56" s="944"/>
      <c r="L56" s="944" t="e">
        <f>L55-#REF!</f>
        <v>#REF!</v>
      </c>
      <c r="M56" s="944" t="e">
        <f>M55-#REF!</f>
        <v>#REF!</v>
      </c>
      <c r="N56" s="944" t="e">
        <f>N55-#REF!</f>
        <v>#REF!</v>
      </c>
      <c r="O56" s="944" t="e">
        <f>O55-#REF!</f>
        <v>#REF!</v>
      </c>
      <c r="Q56" s="944" t="e">
        <f>Q55-#REF!</f>
        <v>#REF!</v>
      </c>
      <c r="S56" s="944" t="e">
        <f>S55-#REF!</f>
        <v>#REF!</v>
      </c>
      <c r="T56" s="944" t="e">
        <f>T55-#REF!</f>
        <v>#REF!</v>
      </c>
      <c r="V56" s="944" t="e">
        <f>V55-#REF!</f>
        <v>#REF!</v>
      </c>
      <c r="W56" s="944" t="e">
        <f>W55-#REF!</f>
        <v>#REF!</v>
      </c>
      <c r="X56" s="915"/>
    </row>
    <row r="57" spans="1:25" ht="15.75">
      <c r="A57" s="941"/>
      <c r="B57" s="879"/>
      <c r="C57" s="879"/>
      <c r="D57" s="879"/>
      <c r="F57" s="879"/>
      <c r="G57" s="879"/>
      <c r="H57" s="879"/>
      <c r="I57" s="879"/>
      <c r="K57" s="879"/>
      <c r="L57" s="879"/>
      <c r="M57" s="879"/>
      <c r="N57" s="879"/>
      <c r="O57" s="879"/>
      <c r="Q57" s="879"/>
      <c r="S57" s="879"/>
      <c r="T57" s="879"/>
      <c r="V57" s="879"/>
      <c r="W57" s="879"/>
      <c r="X57" s="915"/>
    </row>
    <row r="58" spans="1:25" ht="15.75">
      <c r="A58" s="941"/>
      <c r="B58" s="879"/>
      <c r="C58" s="879"/>
      <c r="D58" s="879"/>
      <c r="F58" s="879"/>
      <c r="G58" s="879"/>
      <c r="H58" s="879"/>
      <c r="I58" s="879"/>
      <c r="K58" s="879"/>
      <c r="L58" s="879">
        <f>+L32+M32</f>
        <v>36477211.393043488</v>
      </c>
      <c r="M58" s="879"/>
      <c r="N58" s="879"/>
      <c r="O58" s="879"/>
      <c r="Q58" s="879"/>
      <c r="S58" s="879"/>
      <c r="T58" s="879"/>
      <c r="V58" s="879"/>
      <c r="W58" s="879"/>
    </row>
    <row r="59" spans="1:25">
      <c r="A59" s="945"/>
      <c r="C59" s="946"/>
      <c r="D59" s="946"/>
      <c r="F59" s="946"/>
      <c r="G59" s="946"/>
      <c r="H59" s="946"/>
      <c r="I59" s="876">
        <v>28761589.23</v>
      </c>
    </row>
    <row r="60" spans="1:25">
      <c r="A60" s="945"/>
      <c r="C60" s="946"/>
      <c r="D60" s="946"/>
      <c r="F60" s="946"/>
      <c r="G60" s="946"/>
      <c r="H60" s="946"/>
      <c r="I60" s="876">
        <v>-20274456</v>
      </c>
      <c r="M60" s="876">
        <f>Q22-F32</f>
        <v>-527572793.77695638</v>
      </c>
    </row>
    <row r="61" spans="1:25">
      <c r="A61" s="945"/>
      <c r="C61" s="946"/>
      <c r="D61" s="946"/>
      <c r="F61" s="946"/>
      <c r="G61" s="946"/>
      <c r="H61" s="946"/>
      <c r="I61" s="876">
        <f>+I60+I59</f>
        <v>8487133.2300000004</v>
      </c>
    </row>
    <row r="62" spans="1:25">
      <c r="A62" s="945"/>
      <c r="C62" s="946"/>
      <c r="D62" s="946"/>
      <c r="F62" s="946"/>
      <c r="G62" s="946"/>
      <c r="H62" s="946"/>
    </row>
    <row r="63" spans="1:25">
      <c r="A63" s="945"/>
      <c r="C63" s="946"/>
      <c r="D63" s="946"/>
      <c r="E63" s="908"/>
      <c r="F63" s="946"/>
      <c r="G63" s="946"/>
      <c r="H63" s="946"/>
      <c r="J63" s="908"/>
      <c r="P63" s="908"/>
      <c r="R63" s="908"/>
      <c r="U63" s="908"/>
    </row>
    <row r="64" spans="1:25">
      <c r="A64" s="945"/>
      <c r="C64" s="946"/>
      <c r="D64" s="946"/>
      <c r="F64" s="946"/>
      <c r="G64" s="946"/>
      <c r="H64" s="946"/>
      <c r="I64" s="876">
        <v>17975993.27</v>
      </c>
      <c r="M64" s="876">
        <f>O36-O34</f>
        <v>580612977.58304358</v>
      </c>
      <c r="Q64" s="876">
        <f>104270066</f>
        <v>104270066</v>
      </c>
    </row>
    <row r="65" spans="1:17">
      <c r="A65" s="945"/>
      <c r="C65" s="946"/>
      <c r="D65" s="946"/>
      <c r="F65" s="946"/>
      <c r="G65" s="946"/>
      <c r="H65" s="946"/>
      <c r="I65" s="876">
        <v>-13059930</v>
      </c>
      <c r="Q65" s="876">
        <f>Q64+Q36</f>
        <v>101035492.72304377</v>
      </c>
    </row>
    <row r="66" spans="1:17">
      <c r="I66" s="876">
        <f>+I65+I64</f>
        <v>4916063.2699999996</v>
      </c>
      <c r="Q66" s="876">
        <f>Q64+Q36-O34</f>
        <v>101035492.72304377</v>
      </c>
    </row>
    <row r="68" spans="1:17">
      <c r="I68" s="876">
        <v>1198399.55</v>
      </c>
    </row>
    <row r="69" spans="1:17">
      <c r="I69" s="876">
        <f>+I68+I66+I61</f>
        <v>14601596.050000001</v>
      </c>
    </row>
    <row r="71" spans="1:17">
      <c r="I71" s="876">
        <v>37902585</v>
      </c>
    </row>
    <row r="72" spans="1:17" ht="15.75">
      <c r="A72" s="924" t="s">
        <v>2109</v>
      </c>
    </row>
    <row r="73" spans="1:17">
      <c r="I73" s="876">
        <v>93913586.150000006</v>
      </c>
    </row>
    <row r="74" spans="1:17">
      <c r="I74" s="876">
        <v>38306169</v>
      </c>
    </row>
    <row r="75" spans="1:17">
      <c r="I75" s="876">
        <f>+I74+I73</f>
        <v>132219755.15000001</v>
      </c>
    </row>
    <row r="78" spans="1:17">
      <c r="I78" s="876">
        <v>93913586.150000006</v>
      </c>
    </row>
    <row r="79" spans="1:17">
      <c r="I79" s="876">
        <v>38306169</v>
      </c>
    </row>
    <row r="80" spans="1:17">
      <c r="I80" s="876">
        <f>+I79+I78</f>
        <v>132219755.15000001</v>
      </c>
    </row>
    <row r="83" spans="1:23" ht="48.75" customHeight="1">
      <c r="A83" s="5621" t="s">
        <v>5429</v>
      </c>
      <c r="B83" s="5621"/>
      <c r="C83" s="5621"/>
      <c r="D83" s="5621"/>
      <c r="E83" s="5621"/>
      <c r="F83" s="5621"/>
      <c r="G83" s="5621"/>
      <c r="H83" s="5621"/>
      <c r="I83" s="5621"/>
      <c r="J83" s="5621"/>
      <c r="K83" s="5621"/>
      <c r="L83" s="5621"/>
      <c r="M83" s="5621"/>
      <c r="N83" s="5621"/>
      <c r="O83" s="5621"/>
      <c r="P83" s="5621"/>
      <c r="Q83" s="5621"/>
      <c r="R83" s="5621"/>
      <c r="S83" s="5621"/>
      <c r="T83" s="5621"/>
      <c r="U83" s="5621"/>
      <c r="V83" s="5621"/>
      <c r="W83" s="5621"/>
    </row>
    <row r="105" spans="5:21">
      <c r="E105" s="908"/>
      <c r="J105" s="908"/>
      <c r="P105" s="908"/>
      <c r="R105" s="908"/>
      <c r="U105" s="908"/>
    </row>
    <row r="142" spans="5:21">
      <c r="E142" s="908"/>
      <c r="J142" s="908"/>
      <c r="P142" s="908"/>
      <c r="R142" s="908"/>
      <c r="U142" s="908"/>
    </row>
    <row r="144" spans="5:21">
      <c r="E144" s="908"/>
      <c r="J144" s="908"/>
      <c r="P144" s="908"/>
      <c r="R144" s="908"/>
      <c r="U144" s="908"/>
    </row>
    <row r="167" spans="5:21">
      <c r="E167" s="908"/>
      <c r="J167" s="908"/>
      <c r="P167" s="908"/>
      <c r="R167" s="908"/>
      <c r="U167" s="908"/>
    </row>
    <row r="170" spans="5:21">
      <c r="E170" s="948"/>
      <c r="J170" s="948"/>
      <c r="P170" s="948"/>
      <c r="R170" s="948"/>
      <c r="U170" s="948"/>
    </row>
  </sheetData>
  <sheetProtection selectLockedCells="1" selectUnlockedCells="1"/>
  <mergeCells count="20">
    <mergeCell ref="K9:N9"/>
    <mergeCell ref="V9:W9"/>
    <mergeCell ref="F9:H9"/>
    <mergeCell ref="A83:W83"/>
    <mergeCell ref="N51:T51"/>
    <mergeCell ref="A40:W40"/>
    <mergeCell ref="A46:W46"/>
    <mergeCell ref="A11:A12"/>
    <mergeCell ref="B11:B12"/>
    <mergeCell ref="N49:T49"/>
    <mergeCell ref="N50:T50"/>
    <mergeCell ref="A49:C49"/>
    <mergeCell ref="A51:C51"/>
    <mergeCell ref="A50:C50"/>
    <mergeCell ref="F49:K49"/>
    <mergeCell ref="F51:K51"/>
    <mergeCell ref="F50:K50"/>
    <mergeCell ref="A44:W44"/>
    <mergeCell ref="A41:W41"/>
    <mergeCell ref="A42:W42"/>
  </mergeCells>
  <printOptions horizontalCentered="1"/>
  <pageMargins left="0.25" right="0.25" top="0.75" bottom="0.75" header="0.3" footer="0.3"/>
  <pageSetup paperSize="8" scale="49" fitToHeight="2" orientation="landscape" r:id="rId1"/>
  <headerFooter>
    <oddHeader>&amp;C&amp;"Calibri,Bold"&amp;18MONTHLY REPORT - LEVEL 1 - EXECUTIVE SUMMARY&amp;R&amp;G</oddHeader>
    <oddFooter>&amp;L1TB.01.003.01 - AYC 
MARCH'26 REPORT&amp;C&amp;A&amp;RPage &amp;P of &amp;N</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tabColor rgb="FF92D050"/>
  </sheetPr>
  <dimension ref="A2:AJ291"/>
  <sheetViews>
    <sheetView view="pageBreakPreview" zoomScale="60" zoomScaleNormal="60" workbookViewId="0">
      <pane ySplit="14" topLeftCell="A210" activePane="bottomLeft" state="frozen"/>
      <selection activeCell="C43" sqref="C43"/>
      <selection pane="bottomLeft" activeCell="X15" sqref="X15:X268"/>
    </sheetView>
  </sheetViews>
  <sheetFormatPr defaultColWidth="9" defaultRowHeight="15" outlineLevelRow="2" outlineLevelCol="1"/>
  <cols>
    <col min="1" max="1" width="29" style="162" customWidth="1"/>
    <col min="2" max="2" width="48" style="162" customWidth="1" outlineLevel="1"/>
    <col min="3" max="3" width="63.5703125" style="161" customWidth="1"/>
    <col min="4" max="4" width="25.85546875" style="161" hidden="1" customWidth="1" outlineLevel="1"/>
    <col min="5" max="5" width="24" style="193" customWidth="1" collapsed="1"/>
    <col min="6" max="6" width="26.42578125" style="3009" bestFit="1" customWidth="1"/>
    <col min="7" max="7" width="1.5703125" style="164" customWidth="1"/>
    <col min="8" max="8" width="24" style="193" customWidth="1"/>
    <col min="9" max="10" width="21.85546875" style="165" customWidth="1"/>
    <col min="11" max="11" width="23.42578125" style="165" customWidth="1"/>
    <col min="12" max="12" width="1.5703125" style="164" customWidth="1"/>
    <col min="13" max="16" width="21.85546875" style="165" customWidth="1"/>
    <col min="17" max="17" width="21.5703125" style="165" customWidth="1"/>
    <col min="18" max="18" width="2" style="164" customWidth="1"/>
    <col min="19" max="19" width="21.5703125" style="165" customWidth="1"/>
    <col min="20" max="20" width="1.5703125" style="164" customWidth="1"/>
    <col min="21" max="21" width="21.5703125" style="165" customWidth="1"/>
    <col min="22" max="22" width="21.5703125" style="200" customWidth="1"/>
    <col min="23" max="23" width="1.5703125" style="164" customWidth="1"/>
    <col min="24" max="24" width="21.5703125" style="165" customWidth="1"/>
    <col min="25" max="25" width="21.5703125" style="200" customWidth="1"/>
    <col min="26" max="26" width="22.85546875" style="198" customWidth="1"/>
    <col min="27" max="27" width="24.42578125" style="199" customWidth="1"/>
    <col min="28" max="28" width="23.42578125" style="164" customWidth="1"/>
    <col min="29" max="29" width="22.42578125" style="640" customWidth="1"/>
    <col min="30" max="30" width="27" style="640" customWidth="1"/>
    <col min="31" max="31" width="30" style="164" customWidth="1"/>
    <col min="32" max="32" width="32.85546875" style="164" customWidth="1"/>
    <col min="33" max="33" width="37" style="164" customWidth="1"/>
    <col min="34" max="34" width="31" style="164" customWidth="1"/>
    <col min="35" max="35" width="26" style="164" customWidth="1"/>
    <col min="36" max="36" width="23.85546875" style="164" customWidth="1"/>
    <col min="37" max="16384" width="9" style="164"/>
  </cols>
  <sheetData>
    <row r="2" spans="1:31" ht="17.25" customHeight="1">
      <c r="A2" s="157" t="str">
        <f>'Data Input'!A1&amp;" - "&amp;'Data Input'!B1</f>
        <v>PROGRAMME: - MARINA VILLAGE (PROGRAMME 1_TRIPLE BAY)</v>
      </c>
      <c r="B2" s="157"/>
      <c r="C2" s="157"/>
      <c r="E2" s="2493"/>
      <c r="F2" s="2977"/>
      <c r="H2" s="2493"/>
      <c r="AC2" s="2494"/>
      <c r="AD2" s="2494"/>
    </row>
    <row r="3" spans="1:31" ht="17.25" customHeight="1">
      <c r="A3" s="157" t="str">
        <f>'Data Input'!A2&amp;" - "&amp;'Data Input'!B2</f>
        <v>PROGRAMME CODE: - 1TB01003</v>
      </c>
      <c r="B3" s="157"/>
      <c r="C3" s="157"/>
      <c r="E3" s="2493"/>
      <c r="F3" s="2977"/>
      <c r="H3" s="2493"/>
      <c r="I3" s="3340"/>
      <c r="J3" s="3340"/>
      <c r="K3" s="3340"/>
      <c r="M3" s="3317"/>
      <c r="AC3" s="2494"/>
      <c r="AD3" s="2494"/>
    </row>
    <row r="4" spans="1:31" ht="17.25" customHeight="1">
      <c r="A4" s="157" t="str">
        <f>'Data Input'!A3&amp;" - "&amp;'Data Input'!B3</f>
        <v>ASSET NAME: - AMAALA YACHT CLUB</v>
      </c>
      <c r="B4" s="23"/>
      <c r="C4" s="23"/>
      <c r="E4" s="2493"/>
      <c r="F4" s="2977"/>
      <c r="H4" s="2493"/>
      <c r="I4" s="3340"/>
      <c r="J4" s="3340"/>
      <c r="K4" s="3340"/>
      <c r="M4" s="3319"/>
      <c r="N4" s="785"/>
      <c r="O4" s="785"/>
      <c r="P4" s="785"/>
      <c r="U4" s="785"/>
      <c r="X4" s="785"/>
      <c r="AC4" s="2494"/>
      <c r="AD4" s="2494"/>
    </row>
    <row r="5" spans="1:31" ht="17.25" customHeight="1" thickBot="1">
      <c r="A5" s="157" t="str">
        <f>'Data Input'!A4&amp;" - "&amp;'Data Input'!B4</f>
        <v>ASSET CODE: - 1TB01003.01</v>
      </c>
      <c r="B5" s="24"/>
      <c r="C5" s="24"/>
      <c r="E5" s="2493"/>
      <c r="F5" s="2977"/>
      <c r="H5" s="2493"/>
      <c r="I5" s="3340"/>
      <c r="J5" s="3340"/>
      <c r="K5" s="3341"/>
      <c r="M5" s="3317"/>
      <c r="N5" s="3317"/>
      <c r="AC5" s="2494"/>
      <c r="AD5" s="2494"/>
    </row>
    <row r="6" spans="1:31" s="156" customFormat="1" ht="17.25" customHeight="1" thickBot="1">
      <c r="A6" s="157" t="str">
        <f>'Data Input'!A7&amp;" - "&amp;'Data Input'!B7</f>
        <v>REPORT NO: - MONTHLY REPORT NO. 49</v>
      </c>
      <c r="B6" s="24"/>
      <c r="C6" s="24"/>
      <c r="D6" s="155"/>
      <c r="E6" s="788"/>
      <c r="F6" s="2978"/>
      <c r="G6" s="788"/>
      <c r="H6" s="3342"/>
      <c r="I6" s="3343"/>
      <c r="J6" s="3343"/>
      <c r="K6" s="2098"/>
      <c r="L6" s="788"/>
      <c r="M6" s="3318"/>
      <c r="N6" s="788"/>
      <c r="O6" s="788"/>
      <c r="P6" s="788"/>
      <c r="Q6" s="788"/>
      <c r="R6" s="2098"/>
      <c r="S6" s="788"/>
      <c r="T6" s="788"/>
      <c r="U6" s="788"/>
      <c r="V6" s="788"/>
      <c r="W6" s="788"/>
      <c r="X6" s="788"/>
      <c r="Y6" s="788"/>
      <c r="Z6" s="173"/>
      <c r="AA6" s="174"/>
      <c r="AC6" s="641"/>
      <c r="AD6" s="641"/>
    </row>
    <row r="7" spans="1:31" s="156" customFormat="1" ht="17.25" customHeight="1" thickBot="1">
      <c r="A7" s="157" t="str">
        <f>'Data Input'!A8&amp;" - "&amp;'Data Input'!B8</f>
        <v>REPORTING PERIOD: - OCTOBER 2026</v>
      </c>
      <c r="B7" s="24"/>
      <c r="C7" s="24"/>
      <c r="D7" s="155"/>
      <c r="E7" s="788"/>
      <c r="F7" s="2978"/>
      <c r="G7" s="788"/>
      <c r="H7" s="788"/>
      <c r="I7" s="788"/>
      <c r="J7" s="788"/>
      <c r="K7" s="788"/>
      <c r="L7" s="788"/>
      <c r="M7" s="3318"/>
      <c r="N7" s="788"/>
      <c r="O7" s="788"/>
      <c r="P7" s="788"/>
      <c r="Q7" s="788"/>
      <c r="R7" s="2098"/>
      <c r="S7" s="788"/>
      <c r="T7" s="788"/>
      <c r="U7" s="788"/>
      <c r="V7" s="788"/>
      <c r="W7" s="788"/>
      <c r="X7" s="788"/>
      <c r="Y7" s="788"/>
      <c r="Z7" s="173"/>
      <c r="AA7" s="174"/>
      <c r="AC7" s="641"/>
      <c r="AD7" s="641"/>
    </row>
    <row r="8" spans="1:31" s="156" customFormat="1" ht="17.25">
      <c r="A8" s="154"/>
      <c r="B8" s="154"/>
      <c r="C8" s="155"/>
      <c r="D8" s="155"/>
      <c r="F8" s="2979"/>
      <c r="Z8" s="173"/>
      <c r="AA8" s="174"/>
      <c r="AC8" s="641"/>
      <c r="AD8" s="641"/>
    </row>
    <row r="9" spans="1:31" s="159" customFormat="1" ht="13.5" customHeight="1" thickBot="1">
      <c r="A9" s="158"/>
      <c r="B9" s="4579"/>
      <c r="C9" s="3518"/>
      <c r="D9" s="24"/>
      <c r="F9" s="2980"/>
      <c r="Z9" s="175"/>
      <c r="AA9" s="2495" t="s">
        <v>433</v>
      </c>
      <c r="AC9" s="642"/>
      <c r="AD9" s="642"/>
    </row>
    <row r="10" spans="1:31" s="160" customFormat="1" ht="18.75">
      <c r="A10" s="3544"/>
      <c r="B10" s="4580">
        <f>79753656.45-K151</f>
        <v>-456925.79999999702</v>
      </c>
      <c r="C10" s="3569"/>
      <c r="D10" s="161"/>
      <c r="E10" s="787"/>
      <c r="F10" s="2981"/>
      <c r="H10" s="5622" t="s">
        <v>430</v>
      </c>
      <c r="I10" s="5623"/>
      <c r="J10" s="5624"/>
      <c r="K10" s="166"/>
      <c r="M10" s="5622" t="s">
        <v>431</v>
      </c>
      <c r="N10" s="5623"/>
      <c r="O10" s="5623"/>
      <c r="P10" s="5624"/>
      <c r="Q10" s="166"/>
      <c r="S10" s="166"/>
      <c r="U10" s="166"/>
      <c r="V10" s="166"/>
      <c r="X10" s="5625" t="s">
        <v>330</v>
      </c>
      <c r="Y10" s="5626"/>
      <c r="Z10" s="28"/>
      <c r="AA10" s="27"/>
      <c r="AB10" s="25"/>
      <c r="AC10" s="643"/>
      <c r="AD10" s="649"/>
    </row>
    <row r="11" spans="1:31" s="159" customFormat="1" ht="15.75" customHeight="1" thickBot="1">
      <c r="A11" s="162"/>
      <c r="B11" s="4581">
        <f>-K79+205264982.63</f>
        <v>35325075.930000007</v>
      </c>
      <c r="C11" s="3519"/>
      <c r="D11" s="26"/>
      <c r="E11" s="2496" t="s">
        <v>441</v>
      </c>
      <c r="F11" s="2982" t="s">
        <v>442</v>
      </c>
      <c r="H11" s="2496" t="s">
        <v>443</v>
      </c>
      <c r="I11" s="2496" t="s">
        <v>3942</v>
      </c>
      <c r="J11" s="2496" t="s">
        <v>3943</v>
      </c>
      <c r="K11" s="2496" t="s">
        <v>445</v>
      </c>
      <c r="M11" s="2496" t="s">
        <v>446</v>
      </c>
      <c r="N11" s="2496" t="s">
        <v>447</v>
      </c>
      <c r="O11" s="2496" t="s">
        <v>448</v>
      </c>
      <c r="P11" s="2496" t="s">
        <v>449</v>
      </c>
      <c r="Q11" s="2496" t="s">
        <v>2203</v>
      </c>
      <c r="S11" s="2496" t="s">
        <v>2204</v>
      </c>
      <c r="U11" s="2496" t="s">
        <v>450</v>
      </c>
      <c r="V11" s="2496" t="s">
        <v>2205</v>
      </c>
      <c r="X11" s="2497" t="s">
        <v>451</v>
      </c>
      <c r="Y11" s="2497" t="s">
        <v>452</v>
      </c>
      <c r="Z11" s="175"/>
      <c r="AA11" s="176"/>
      <c r="AC11" s="644"/>
      <c r="AD11" s="644"/>
    </row>
    <row r="12" spans="1:31" s="159" customFormat="1" ht="60.75" customHeight="1" thickBot="1">
      <c r="A12" s="5653" t="s">
        <v>453</v>
      </c>
      <c r="B12" s="789" t="s">
        <v>454</v>
      </c>
      <c r="C12" s="5655" t="s">
        <v>455</v>
      </c>
      <c r="D12" s="627" t="s">
        <v>456</v>
      </c>
      <c r="E12" s="2498" t="s">
        <v>457</v>
      </c>
      <c r="F12" s="2983" t="s">
        <v>458</v>
      </c>
      <c r="H12" s="2498" t="s">
        <v>459</v>
      </c>
      <c r="I12" s="2498" t="s">
        <v>337</v>
      </c>
      <c r="J12" s="2498" t="s">
        <v>3944</v>
      </c>
      <c r="K12" s="2498" t="s">
        <v>460</v>
      </c>
      <c r="M12" s="2498" t="s">
        <v>461</v>
      </c>
      <c r="N12" s="2498" t="s">
        <v>462</v>
      </c>
      <c r="O12" s="2498" t="s">
        <v>463</v>
      </c>
      <c r="P12" s="2498" t="s">
        <v>464</v>
      </c>
      <c r="Q12" s="2498" t="s">
        <v>465</v>
      </c>
      <c r="S12" s="2498" t="s">
        <v>466</v>
      </c>
      <c r="U12" s="2498" t="s">
        <v>467</v>
      </c>
      <c r="V12" s="2498" t="s">
        <v>468</v>
      </c>
      <c r="X12" s="1941" t="s">
        <v>6634</v>
      </c>
      <c r="Y12" s="1509" t="s">
        <v>364</v>
      </c>
      <c r="Z12" s="175"/>
      <c r="AA12" s="176"/>
      <c r="AC12" s="645" t="s">
        <v>469</v>
      </c>
      <c r="AD12" s="645" t="s">
        <v>470</v>
      </c>
      <c r="AE12" s="635" t="s">
        <v>471</v>
      </c>
    </row>
    <row r="13" spans="1:31" s="159" customFormat="1" ht="15.75">
      <c r="A13" s="5654"/>
      <c r="B13" s="790"/>
      <c r="C13" s="5656"/>
      <c r="D13" s="772"/>
      <c r="E13" s="786" t="s">
        <v>434</v>
      </c>
      <c r="F13" s="2984" t="s">
        <v>434</v>
      </c>
      <c r="H13" s="786" t="s">
        <v>434</v>
      </c>
      <c r="I13" s="786" t="s">
        <v>434</v>
      </c>
      <c r="J13" s="786" t="s">
        <v>434</v>
      </c>
      <c r="K13" s="786" t="s">
        <v>434</v>
      </c>
      <c r="M13" s="786" t="s">
        <v>434</v>
      </c>
      <c r="N13" s="786" t="s">
        <v>434</v>
      </c>
      <c r="O13" s="786" t="s">
        <v>434</v>
      </c>
      <c r="P13" s="786" t="s">
        <v>434</v>
      </c>
      <c r="Q13" s="786" t="s">
        <v>434</v>
      </c>
      <c r="S13" s="786" t="s">
        <v>434</v>
      </c>
      <c r="U13" s="786" t="s">
        <v>434</v>
      </c>
      <c r="V13" s="786" t="s">
        <v>434</v>
      </c>
      <c r="X13" s="1035" t="s">
        <v>434</v>
      </c>
      <c r="Y13" s="1035" t="s">
        <v>434</v>
      </c>
      <c r="Z13" s="175"/>
      <c r="AA13" s="176"/>
      <c r="AC13" s="646"/>
      <c r="AD13" s="650"/>
      <c r="AE13" s="630"/>
    </row>
    <row r="14" spans="1:31" ht="19.5" customHeight="1" thickBot="1">
      <c r="A14" s="778"/>
      <c r="B14" s="778"/>
      <c r="C14" s="779"/>
      <c r="D14" s="779"/>
      <c r="E14" s="780"/>
      <c r="F14" s="2985"/>
      <c r="H14" s="780"/>
      <c r="I14" s="780"/>
      <c r="J14" s="780"/>
      <c r="K14" s="780"/>
      <c r="M14" s="780"/>
      <c r="N14" s="780"/>
      <c r="O14" s="780"/>
      <c r="P14" s="780"/>
      <c r="Q14" s="780"/>
      <c r="S14" s="780"/>
      <c r="U14" s="780"/>
      <c r="V14" s="780"/>
      <c r="X14" s="780"/>
      <c r="Y14" s="780"/>
      <c r="Z14" s="181"/>
      <c r="AA14" s="182"/>
      <c r="AC14" s="2499"/>
      <c r="AD14" s="2500"/>
      <c r="AE14" s="2145"/>
    </row>
    <row r="15" spans="1:31" s="167" customFormat="1" ht="33" customHeight="1" thickTop="1">
      <c r="A15" s="773" t="s">
        <v>472</v>
      </c>
      <c r="B15" s="773"/>
      <c r="C15" s="774" t="s">
        <v>473</v>
      </c>
      <c r="D15" s="774"/>
      <c r="E15" s="775"/>
      <c r="F15" s="2986"/>
      <c r="G15" s="164"/>
      <c r="H15" s="775"/>
      <c r="I15" s="775"/>
      <c r="J15" s="775"/>
      <c r="K15" s="775"/>
      <c r="L15" s="164"/>
      <c r="M15" s="775"/>
      <c r="N15" s="775"/>
      <c r="O15" s="775"/>
      <c r="P15" s="775"/>
      <c r="Q15" s="775"/>
      <c r="R15" s="164"/>
      <c r="S15" s="775"/>
      <c r="T15" s="164"/>
      <c r="U15" s="775"/>
      <c r="V15" s="775"/>
      <c r="W15" s="164"/>
      <c r="X15" s="1076"/>
      <c r="Y15" s="1076"/>
      <c r="Z15" s="181">
        <f t="shared" ref="Z15:Z25" si="0">H15-Q15</f>
        <v>0</v>
      </c>
      <c r="AA15" s="182">
        <f t="shared" ref="AA15:AA25" si="1">(Q15-H15)+Z15</f>
        <v>0</v>
      </c>
      <c r="AC15" s="2501"/>
      <c r="AD15" s="2502"/>
      <c r="AE15" s="637"/>
    </row>
    <row r="16" spans="1:31" ht="17.25" customHeight="1" thickBot="1">
      <c r="A16" s="2139"/>
      <c r="B16" s="2503"/>
      <c r="C16" s="2504"/>
      <c r="D16" s="2504"/>
      <c r="E16" s="2143"/>
      <c r="F16" s="2532"/>
      <c r="H16" s="2144"/>
      <c r="I16" s="3513"/>
      <c r="J16" s="3513"/>
      <c r="K16" s="2506"/>
      <c r="M16" s="2144"/>
      <c r="N16" s="2144"/>
      <c r="O16" s="2505"/>
      <c r="P16" s="2505"/>
      <c r="Q16" s="2506"/>
      <c r="S16" s="2506"/>
      <c r="U16" s="2506"/>
      <c r="V16" s="2506"/>
      <c r="X16" s="2506"/>
      <c r="Y16" s="2506"/>
      <c r="Z16" s="181">
        <f t="shared" si="0"/>
        <v>0</v>
      </c>
      <c r="AA16" s="182">
        <f t="shared" si="1"/>
        <v>0</v>
      </c>
      <c r="AC16" s="2507"/>
      <c r="AD16" s="2508"/>
      <c r="AE16" s="634"/>
    </row>
    <row r="17" spans="1:36" s="167" customFormat="1" ht="33" customHeight="1" outlineLevel="1" thickBot="1">
      <c r="A17" s="2509" t="s">
        <v>474</v>
      </c>
      <c r="B17" s="2510" t="s">
        <v>85</v>
      </c>
      <c r="C17" s="2141" t="s">
        <v>475</v>
      </c>
      <c r="D17" s="2141"/>
      <c r="E17" s="2143">
        <v>5973808</v>
      </c>
      <c r="F17" s="2532"/>
      <c r="G17" s="164"/>
      <c r="H17" s="2144">
        <f t="shared" ref="H17:H24" si="2">E17+F17</f>
        <v>5973808</v>
      </c>
      <c r="I17" s="2144">
        <f>SUMIFS('Schedule C'!$AZ$21:$AZ$500,'Schedule C'!$M$21:$M$500,'Schedule B'!$B17,'Schedule C'!$AY$21:$AY$500,"ACTIVE",'Schedule C'!$AF$21:$AF$500,"ACTIVE",'Schedule C'!$X$21:$X$500,"ACTIVE")</f>
        <v>3316718.0999999996</v>
      </c>
      <c r="J17" s="2144"/>
      <c r="K17" s="2144">
        <f>SUM(H17:J17)</f>
        <v>9290526.0999999996</v>
      </c>
      <c r="L17" s="164"/>
      <c r="M17" s="2144">
        <f>SUMIFS('Schedule C'!$AG$21:$AG$500,'Schedule C'!$M$21:$M$500,'Schedule B'!$B17,'Schedule C'!$AY$21:$AY$500,"NOT ACTIVE",'Schedule C'!$AF$21:$AF$500,"ACTIVE",'Schedule C'!$X$21:$X$500,"ACTIVE")</f>
        <v>0</v>
      </c>
      <c r="N17" s="2144">
        <f>SUMIFS('Schedule C'!$Y$21:$Y$500,'Schedule C'!$M$21:$M$500,'Schedule B'!$B17,'Schedule C'!$AY$21:$AY$500,"NOT ACTIVE",'Schedule C'!$AF$21:$AF$500,"NOT ACTIVE",'Schedule C'!$X$21:$X$500,"ACTIVE")</f>
        <v>0</v>
      </c>
      <c r="O17" s="2144">
        <f>SUMIF('Schedule C'!$M$21:$M$500,'Schedule B'!B17,'Schedule C'!$Q$21:$Q$500)</f>
        <v>0</v>
      </c>
      <c r="P17" s="2144">
        <v>0</v>
      </c>
      <c r="Q17" s="2144">
        <f t="shared" ref="Q17:Q27" si="3">SUM(K17:P17)</f>
        <v>9290526.0999999996</v>
      </c>
      <c r="R17" s="164"/>
      <c r="S17" s="2144">
        <f t="shared" ref="S17:S27" si="4">Q17-H17</f>
        <v>3316718.0999999996</v>
      </c>
      <c r="T17" s="164"/>
      <c r="U17" s="2144">
        <f>+'Schedule H DAE'!R69</f>
        <v>9026746.0999999978</v>
      </c>
      <c r="V17" s="2144">
        <f t="shared" ref="V17:V24" si="5">Q17-U17</f>
        <v>263780.00000000186</v>
      </c>
      <c r="W17" s="164"/>
      <c r="X17" s="2144">
        <v>9290526.0999999996</v>
      </c>
      <c r="Y17" s="2144">
        <f>Q17-X17</f>
        <v>0</v>
      </c>
      <c r="Z17" s="181">
        <f t="shared" si="0"/>
        <v>-3316718.0999999996</v>
      </c>
      <c r="AA17" s="182">
        <f t="shared" si="1"/>
        <v>0</v>
      </c>
      <c r="AC17" s="2511" t="e">
        <f>SUM(#REF!)+SUM(#REF!)</f>
        <v>#REF!</v>
      </c>
      <c r="AD17" s="2512" t="e">
        <f>SUM(#REF!)</f>
        <v>#REF!</v>
      </c>
      <c r="AE17" s="633" t="e">
        <f>SUM(#REF!)+SUM(#REF!)</f>
        <v>#REF!</v>
      </c>
    </row>
    <row r="18" spans="1:36" s="167" customFormat="1" ht="33" customHeight="1" outlineLevel="1" thickBot="1">
      <c r="A18" s="2509" t="s">
        <v>476</v>
      </c>
      <c r="B18" s="2510" t="s">
        <v>97</v>
      </c>
      <c r="C18" s="2141" t="s">
        <v>2759</v>
      </c>
      <c r="D18" s="2141"/>
      <c r="E18" s="2143">
        <v>555960.36</v>
      </c>
      <c r="F18" s="2532"/>
      <c r="G18" s="164"/>
      <c r="H18" s="2144">
        <f t="shared" si="2"/>
        <v>555960.36</v>
      </c>
      <c r="I18" s="2144">
        <f>SUMIFS('Schedule C'!$AZ$21:$AZ$500,'Schedule C'!$M$21:$M$500,'Schedule B'!$B18,'Schedule C'!$AY$21:$AY$500,"ACTIVE",'Schedule C'!$AF$21:$AF$500,"ACTIVE",'Schedule C'!$X$21:$X$500,"ACTIVE")</f>
        <v>0</v>
      </c>
      <c r="J18" s="2144"/>
      <c r="K18" s="2144">
        <f t="shared" ref="K18:K26" si="6">SUM(H18:J18)</f>
        <v>555960.36</v>
      </c>
      <c r="L18" s="164"/>
      <c r="M18" s="2144">
        <f>SUMIFS('Schedule C'!$AG$21:$AG$500,'Schedule C'!$M$21:$M$500,'Schedule B'!$B18,'Schedule C'!$AY$21:$AY$500,"NOT ACTIVE",'Schedule C'!$AF$21:$AF$500,"ACTIVE",'Schedule C'!$X$21:$X$500,"ACTIVE")</f>
        <v>0</v>
      </c>
      <c r="N18" s="2144">
        <f>SUMIFS('Schedule C'!$Y$21:$Y$500,'Schedule C'!$M$21:$M$500,'Schedule B'!$B18,'Schedule C'!$AY$21:$AY$500,"NOT ACTIVE",'Schedule C'!$AF$21:$AF$500,"NOT ACTIVE",'Schedule C'!$X$21:$X$500,"ACTIVE")</f>
        <v>0</v>
      </c>
      <c r="O18" s="2144">
        <f>SUMIF('Schedule C'!$M$21:$M$500,'Schedule B'!B18,'Schedule C'!$Q$21:$Q$500)</f>
        <v>0</v>
      </c>
      <c r="P18" s="2144">
        <v>0</v>
      </c>
      <c r="Q18" s="2144">
        <f t="shared" si="3"/>
        <v>555960.36</v>
      </c>
      <c r="R18" s="164"/>
      <c r="S18" s="2144">
        <f t="shared" si="4"/>
        <v>0</v>
      </c>
      <c r="T18" s="164"/>
      <c r="U18" s="2144">
        <f>+'Schedule H HKS 1'!R37</f>
        <v>555960</v>
      </c>
      <c r="V18" s="2144">
        <f t="shared" si="5"/>
        <v>0.35999999998603016</v>
      </c>
      <c r="W18" s="164"/>
      <c r="X18" s="2144">
        <v>555960.36</v>
      </c>
      <c r="Y18" s="2144">
        <f t="shared" ref="Y18:Y24" si="7">Q18-X18</f>
        <v>0</v>
      </c>
      <c r="Z18" s="181">
        <f t="shared" si="0"/>
        <v>0</v>
      </c>
      <c r="AA18" s="182">
        <f t="shared" si="1"/>
        <v>0</v>
      </c>
      <c r="AC18" s="2511" t="e">
        <f>SUM(#REF!)+SUM(#REF!)</f>
        <v>#REF!</v>
      </c>
      <c r="AD18" s="2512" t="e">
        <f>SUM(#REF!)</f>
        <v>#REF!</v>
      </c>
      <c r="AE18" s="633" t="e">
        <f>SUM(#REF!)+SUM(#REF!)</f>
        <v>#REF!</v>
      </c>
    </row>
    <row r="19" spans="1:36" ht="35.25" customHeight="1" outlineLevel="1">
      <c r="A19" s="2509" t="s">
        <v>477</v>
      </c>
      <c r="B19" s="2510" t="s">
        <v>107</v>
      </c>
      <c r="C19" s="2141" t="s">
        <v>478</v>
      </c>
      <c r="D19" s="2141"/>
      <c r="E19" s="2143">
        <v>10891204</v>
      </c>
      <c r="F19" s="2532"/>
      <c r="H19" s="2144">
        <f t="shared" si="2"/>
        <v>10891204</v>
      </c>
      <c r="I19" s="2144">
        <f>SUMIFS('Schedule C'!$AZ$21:$AZ$500,'Schedule C'!$M$21:$M$500,'Schedule B'!$B19,'Schedule C'!$AY$21:$AY$500,"ACTIVE",'Schedule C'!$AF$21:$AF$500,"ACTIVE",'Schedule C'!$X$21:$X$500,"ACTIVE")</f>
        <v>-89775</v>
      </c>
      <c r="J19" s="2144"/>
      <c r="K19" s="2144">
        <f t="shared" si="6"/>
        <v>10801429</v>
      </c>
      <c r="M19" s="2144">
        <f>SUMIFS('Schedule C'!$AG$21:$AG$500,'Schedule C'!$M$21:$M$500,'Schedule B'!$B19,'Schedule C'!$AY$21:$AY$500,"NOT ACTIVE",'Schedule C'!$AF$21:$AF$500,"ACTIVE",'Schedule C'!$X$21:$X$500,"ACTIVE")</f>
        <v>0</v>
      </c>
      <c r="N19" s="2144">
        <f>SUMIFS('Schedule C'!$Y$21:$Y$500,'Schedule C'!$M$21:$M$500,'Schedule B'!$B19,'Schedule C'!$AY$21:$AY$500,"NOT ACTIVE",'Schedule C'!$AF$21:$AF$500,"NOT ACTIVE",'Schedule C'!$X$21:$X$500,"ACTIVE")</f>
        <v>0</v>
      </c>
      <c r="O19" s="2144">
        <f>SUMIF('Schedule C'!$M$21:$M$500,'Schedule B'!B19,'Schedule C'!$Q$21:$Q$500)</f>
        <v>0</v>
      </c>
      <c r="P19" s="2144">
        <v>0</v>
      </c>
      <c r="Q19" s="2144">
        <f t="shared" si="3"/>
        <v>10801429</v>
      </c>
      <c r="S19" s="2144">
        <f t="shared" si="4"/>
        <v>-89775</v>
      </c>
      <c r="U19" s="2144">
        <f>+'Schedule H HKS 2'!R37</f>
        <v>10801428.459999999</v>
      </c>
      <c r="V19" s="2144">
        <f t="shared" si="5"/>
        <v>0.54000000096857548</v>
      </c>
      <c r="X19" s="2144">
        <v>10801429</v>
      </c>
      <c r="Y19" s="2144">
        <f t="shared" si="7"/>
        <v>0</v>
      </c>
      <c r="Z19" s="181">
        <f t="shared" si="0"/>
        <v>89775</v>
      </c>
      <c r="AA19" s="182">
        <f t="shared" si="1"/>
        <v>0</v>
      </c>
      <c r="AC19" s="2499"/>
      <c r="AD19" s="2500"/>
      <c r="AE19" s="2145"/>
      <c r="AF19" s="629" t="e">
        <f>SUMIF(#REF!,'Schedule B'!C19,#REF!)</f>
        <v>#REF!</v>
      </c>
      <c r="AG19" s="539"/>
      <c r="AH19" s="539" t="e">
        <f>AF19-#REF!</f>
        <v>#REF!</v>
      </c>
      <c r="AI19" s="539" t="e">
        <f t="shared" ref="AI19:AI24" si="8">AF19-Q19</f>
        <v>#REF!</v>
      </c>
      <c r="AJ19" s="539" t="e">
        <f t="shared" ref="AJ19:AJ24" si="9">N19-AH19</f>
        <v>#REF!</v>
      </c>
    </row>
    <row r="20" spans="1:36" ht="34.5" customHeight="1" outlineLevel="1">
      <c r="A20" s="2509" t="s">
        <v>479</v>
      </c>
      <c r="B20" s="2510" t="s">
        <v>114</v>
      </c>
      <c r="C20" s="2141" t="s">
        <v>480</v>
      </c>
      <c r="D20" s="2141"/>
      <c r="E20" s="2143">
        <v>93750</v>
      </c>
      <c r="F20" s="2996"/>
      <c r="H20" s="2144">
        <f t="shared" si="2"/>
        <v>93750</v>
      </c>
      <c r="I20" s="2144">
        <f>SUMIFS('Schedule C'!$AZ$21:$AZ$500,'Schedule C'!$M$21:$M$500,'Schedule B'!$B20,'Schedule C'!$AY$21:$AY$500,"ACTIVE",'Schedule C'!$AF$21:$AF$500,"ACTIVE",'Schedule C'!$X$21:$X$500,"ACTIVE")</f>
        <v>0</v>
      </c>
      <c r="J20" s="2144"/>
      <c r="K20" s="2144">
        <f t="shared" si="6"/>
        <v>93750</v>
      </c>
      <c r="M20" s="2144">
        <f>SUMIFS('Schedule C'!$AG$21:$AG$500,'Schedule C'!$M$21:$M$500,'Schedule B'!$B20,'Schedule C'!$AY$21:$AY$500,"NOT ACTIVE",'Schedule C'!$AF$21:$AF$500,"ACTIVE",'Schedule C'!$X$21:$X$500,"ACTIVE")</f>
        <v>0</v>
      </c>
      <c r="N20" s="2144">
        <f>SUMIFS('Schedule C'!$Y$21:$Y$500,'Schedule C'!$M$21:$M$500,'Schedule B'!$B20,'Schedule C'!$AY$21:$AY$500,"NOT ACTIVE",'Schedule C'!$AF$21:$AF$500,"NOT ACTIVE",'Schedule C'!$X$21:$X$500,"ACTIVE")</f>
        <v>0</v>
      </c>
      <c r="O20" s="2144">
        <f>SUMIF('Schedule C'!$M$21:$M$500,'Schedule B'!B20,'Schedule C'!$Q$21:$Q$500)</f>
        <v>0</v>
      </c>
      <c r="P20" s="2144">
        <v>0</v>
      </c>
      <c r="Q20" s="2144">
        <f t="shared" si="3"/>
        <v>93750</v>
      </c>
      <c r="S20" s="2144">
        <f t="shared" si="4"/>
        <v>0</v>
      </c>
      <c r="U20" s="2144">
        <f>+'Schedule H ATM'!R37</f>
        <v>93750</v>
      </c>
      <c r="V20" s="2144">
        <f t="shared" si="5"/>
        <v>0</v>
      </c>
      <c r="X20" s="2144">
        <v>93750</v>
      </c>
      <c r="Y20" s="2144">
        <f t="shared" si="7"/>
        <v>0</v>
      </c>
      <c r="Z20" s="181">
        <f t="shared" si="0"/>
        <v>0</v>
      </c>
      <c r="AA20" s="182">
        <f t="shared" si="1"/>
        <v>0</v>
      </c>
      <c r="AC20" s="2499"/>
      <c r="AD20" s="2500"/>
      <c r="AE20" s="2145"/>
      <c r="AF20" s="629" t="e">
        <f>SUMIF(#REF!,'Schedule B'!C20,#REF!)</f>
        <v>#REF!</v>
      </c>
      <c r="AG20" s="539"/>
      <c r="AH20" s="539" t="e">
        <f>AF20-#REF!</f>
        <v>#REF!</v>
      </c>
      <c r="AI20" s="539" t="e">
        <f t="shared" si="8"/>
        <v>#REF!</v>
      </c>
      <c r="AJ20" s="539" t="e">
        <f t="shared" si="9"/>
        <v>#REF!</v>
      </c>
    </row>
    <row r="21" spans="1:36" ht="34.5" customHeight="1" outlineLevel="1">
      <c r="A21" s="2509" t="s">
        <v>481</v>
      </c>
      <c r="B21" s="2510" t="s">
        <v>128</v>
      </c>
      <c r="C21" s="2142" t="s">
        <v>2259</v>
      </c>
      <c r="D21" s="2141"/>
      <c r="E21" s="2143">
        <v>0</v>
      </c>
      <c r="F21" s="2996">
        <f>+'Schedule J'!I58+'Schedule J'!I59</f>
        <v>172368.41999999998</v>
      </c>
      <c r="H21" s="2144">
        <f t="shared" si="2"/>
        <v>172368.41999999998</v>
      </c>
      <c r="I21" s="2144">
        <f>SUMIFS('Schedule C'!$AZ$21:$AZ$500,'Schedule C'!$M$21:$M$500,'Schedule B'!$B21,'Schedule C'!$AY$21:$AY$500,"ACTIVE",'Schedule C'!$AF$21:$AF$500,"ACTIVE",'Schedule C'!$X$21:$X$500,"ACTIVE")</f>
        <v>-1898.52</v>
      </c>
      <c r="J21" s="2144"/>
      <c r="K21" s="2144">
        <f t="shared" si="6"/>
        <v>170469.9</v>
      </c>
      <c r="M21" s="2144">
        <f>SUMIFS('Schedule C'!$AG$21:$AG$500,'Schedule C'!$M$21:$M$500,'Schedule B'!$B21,'Schedule C'!$AY$21:$AY$500,"NOT ACTIVE",'Schedule C'!$AF$21:$AF$500,"ACTIVE",'Schedule C'!$X$21:$X$500,"ACTIVE")</f>
        <v>0</v>
      </c>
      <c r="N21" s="2144">
        <f>SUMIFS('Schedule C'!$Y$21:$Y$500,'Schedule C'!$M$21:$M$500,'Schedule B'!$B21,'Schedule C'!$AY$21:$AY$500,"NOT ACTIVE",'Schedule C'!$AF$21:$AF$500,"NOT ACTIVE",'Schedule C'!$X$21:$X$500,"ACTIVE")</f>
        <v>0</v>
      </c>
      <c r="O21" s="2144">
        <f>SUMIF('Schedule C'!$M$21:$M$500,'Schedule B'!B21,'Schedule C'!$Q$21:$Q$500)</f>
        <v>0</v>
      </c>
      <c r="P21" s="2144">
        <v>0</v>
      </c>
      <c r="Q21" s="2144">
        <f t="shared" si="3"/>
        <v>170469.9</v>
      </c>
      <c r="S21" s="2144">
        <f t="shared" si="4"/>
        <v>-1898.5199999999895</v>
      </c>
      <c r="U21" s="2144">
        <f>+'Schedule H LIU'!R37</f>
        <v>168421.05</v>
      </c>
      <c r="V21" s="2144">
        <f t="shared" si="5"/>
        <v>2048.8500000000058</v>
      </c>
      <c r="X21" s="2144">
        <v>170469.9</v>
      </c>
      <c r="Y21" s="2144">
        <f t="shared" si="7"/>
        <v>0</v>
      </c>
      <c r="Z21" s="181">
        <f t="shared" si="0"/>
        <v>1898.5199999999895</v>
      </c>
      <c r="AA21" s="182">
        <f t="shared" si="1"/>
        <v>0</v>
      </c>
      <c r="AC21" s="2499"/>
      <c r="AD21" s="2500"/>
      <c r="AE21" s="2145"/>
      <c r="AF21" s="629"/>
      <c r="AG21" s="539"/>
      <c r="AH21" s="539"/>
      <c r="AI21" s="539"/>
      <c r="AJ21" s="539"/>
    </row>
    <row r="22" spans="1:36" ht="26.25" customHeight="1" outlineLevel="1">
      <c r="A22" s="2509" t="s">
        <v>482</v>
      </c>
      <c r="B22" s="2140" t="s">
        <v>134</v>
      </c>
      <c r="C22" s="2141" t="s">
        <v>2260</v>
      </c>
      <c r="D22" s="2141"/>
      <c r="E22" s="2143">
        <v>0</v>
      </c>
      <c r="F22" s="2996">
        <f>+'Schedule J'!I68</f>
        <v>106231.5</v>
      </c>
      <c r="H22" s="2144">
        <f t="shared" si="2"/>
        <v>106231.5</v>
      </c>
      <c r="I22" s="2144">
        <f>SUMIFS('Schedule C'!$AZ$21:$AZ$500,'Schedule C'!$M$21:$M$500,'Schedule B'!$B22,'Schedule C'!$AY$21:$AY$500,"ACTIVE",'Schedule C'!$AF$21:$AF$500,"ACTIVE",'Schedule C'!$X$21:$X$500,"ACTIVE")</f>
        <v>0</v>
      </c>
      <c r="J22" s="2144"/>
      <c r="K22" s="2144">
        <f t="shared" si="6"/>
        <v>106231.5</v>
      </c>
      <c r="M22" s="2144">
        <f>SUMIFS('Schedule C'!$AG$21:$AG$500,'Schedule C'!$M$21:$M$500,'Schedule B'!$B22,'Schedule C'!$AY$21:$AY$500,"NOT ACTIVE",'Schedule C'!$AF$21:$AF$500,"ACTIVE",'Schedule C'!$X$21:$X$500,"ACTIVE")</f>
        <v>0</v>
      </c>
      <c r="N22" s="2144">
        <f>SUMIFS('Schedule C'!$Y$21:$Y$500,'Schedule C'!$M$21:$M$500,'Schedule B'!$B22,'Schedule C'!$AY$21:$AY$500,"NOT ACTIVE",'Schedule C'!$AF$21:$AF$500,"NOT ACTIVE",'Schedule C'!$X$21:$X$500,"ACTIVE")</f>
        <v>0</v>
      </c>
      <c r="O22" s="2144">
        <f>SUMIF('Schedule C'!$M$21:$M$500,'Schedule B'!B22,'Schedule C'!$Q$21:$Q$500)</f>
        <v>0</v>
      </c>
      <c r="P22" s="2144">
        <v>0</v>
      </c>
      <c r="Q22" s="2144">
        <f t="shared" si="3"/>
        <v>106231.5</v>
      </c>
      <c r="S22" s="2144">
        <f t="shared" si="4"/>
        <v>0</v>
      </c>
      <c r="U22" s="2144">
        <f>+'Schedule H ZFP'!R37</f>
        <v>106231.5</v>
      </c>
      <c r="V22" s="2144">
        <f t="shared" si="5"/>
        <v>0</v>
      </c>
      <c r="X22" s="2144">
        <v>106231.5</v>
      </c>
      <c r="Y22" s="2144">
        <f t="shared" si="7"/>
        <v>0</v>
      </c>
      <c r="Z22" s="181">
        <f t="shared" si="0"/>
        <v>0</v>
      </c>
      <c r="AA22" s="182">
        <f t="shared" si="1"/>
        <v>0</v>
      </c>
      <c r="AC22" s="2499"/>
      <c r="AD22" s="2500"/>
      <c r="AE22" s="2145"/>
      <c r="AF22" s="629" t="e">
        <f>SUMIF(#REF!,'Schedule B'!C22,#REF!)</f>
        <v>#REF!</v>
      </c>
      <c r="AG22" s="539"/>
      <c r="AH22" s="539" t="e">
        <f>AF22-#REF!</f>
        <v>#REF!</v>
      </c>
      <c r="AI22" s="539" t="e">
        <f t="shared" si="8"/>
        <v>#REF!</v>
      </c>
      <c r="AJ22" s="539" t="e">
        <f t="shared" si="9"/>
        <v>#REF!</v>
      </c>
    </row>
    <row r="23" spans="1:36" ht="24" customHeight="1" outlineLevel="1">
      <c r="A23" s="2509" t="s">
        <v>2172</v>
      </c>
      <c r="B23" s="2510" t="s">
        <v>2173</v>
      </c>
      <c r="C23" s="2142" t="s">
        <v>2174</v>
      </c>
      <c r="D23" s="2142"/>
      <c r="E23" s="2143">
        <v>0</v>
      </c>
      <c r="F23" s="2996">
        <f>+'Schedule J'!I72</f>
        <v>45677.599999999999</v>
      </c>
      <c r="H23" s="2144">
        <f>E23+F23</f>
        <v>45677.599999999999</v>
      </c>
      <c r="I23" s="2144">
        <f>SUMIFS('Schedule C'!$AZ$21:$AZ$500,'Schedule C'!$M$21:$M$500,'Schedule B'!$B23,'Schedule C'!$AY$21:$AY$500,"ACTIVE",'Schedule C'!$AF$21:$AF$500,"ACTIVE",'Schedule C'!$X$21:$X$500,"ACTIVE")</f>
        <v>0</v>
      </c>
      <c r="J23" s="2144"/>
      <c r="K23" s="2144">
        <f t="shared" si="6"/>
        <v>45677.599999999999</v>
      </c>
      <c r="M23" s="2144">
        <f>SUMIFS('Schedule C'!$AG$21:$AG$500,'Schedule C'!$M$21:$M$500,'Schedule B'!$B23,'Schedule C'!$AY$21:$AY$500,"NOT ACTIVE",'Schedule C'!$AF$21:$AF$500,"ACTIVE",'Schedule C'!$X$21:$X$500,"ACTIVE")</f>
        <v>0</v>
      </c>
      <c r="N23" s="2144">
        <f>SUMIFS('Schedule C'!$Y$21:$Y$500,'Schedule C'!$M$21:$M$500,'Schedule B'!$B23,'Schedule C'!$AY$21:$AY$500,"NOT ACTIVE",'Schedule C'!$AF$21:$AF$500,"NOT ACTIVE",'Schedule C'!$X$21:$X$500,"ACTIVE")</f>
        <v>0</v>
      </c>
      <c r="O23" s="2144">
        <f>SUMIF('Schedule C'!$M$21:$M$500,'Schedule B'!B23,'Schedule C'!$Q$21:$Q$500)</f>
        <v>0</v>
      </c>
      <c r="P23" s="2144">
        <v>0</v>
      </c>
      <c r="Q23" s="2144">
        <f t="shared" si="3"/>
        <v>45677.599999999999</v>
      </c>
      <c r="S23" s="2144">
        <f t="shared" si="4"/>
        <v>0</v>
      </c>
      <c r="U23" s="2144">
        <v>45677.599999999999</v>
      </c>
      <c r="V23" s="2144">
        <f t="shared" si="5"/>
        <v>0</v>
      </c>
      <c r="X23" s="2144">
        <v>45677.599999999999</v>
      </c>
      <c r="Y23" s="2144">
        <f>Q23-X23</f>
        <v>0</v>
      </c>
      <c r="Z23" s="181">
        <f t="shared" si="0"/>
        <v>0</v>
      </c>
      <c r="AA23" s="182">
        <f t="shared" si="1"/>
        <v>0</v>
      </c>
      <c r="AC23" s="2499"/>
      <c r="AD23" s="2500"/>
      <c r="AE23" s="2145"/>
      <c r="AF23" s="629" t="e">
        <f>SUMIF(#REF!,'Schedule B'!C23,#REF!)</f>
        <v>#REF!</v>
      </c>
      <c r="AG23" s="539"/>
      <c r="AH23" s="539" t="e">
        <f>AF23-#REF!</f>
        <v>#REF!</v>
      </c>
      <c r="AI23" s="539" t="e">
        <f>AF23-Q23</f>
        <v>#REF!</v>
      </c>
      <c r="AJ23" s="539" t="e">
        <f>N23-AH23</f>
        <v>#REF!</v>
      </c>
    </row>
    <row r="24" spans="1:36" ht="24" customHeight="1" outlineLevel="1">
      <c r="A24" s="2509" t="s">
        <v>483</v>
      </c>
      <c r="B24" s="2510" t="s">
        <v>2003</v>
      </c>
      <c r="C24" s="2142" t="s">
        <v>2261</v>
      </c>
      <c r="D24" s="2142"/>
      <c r="E24" s="2143">
        <v>0</v>
      </c>
      <c r="F24" s="2996">
        <f>+'Schedule J'!I73</f>
        <v>127291.9</v>
      </c>
      <c r="H24" s="2144">
        <f t="shared" si="2"/>
        <v>127291.9</v>
      </c>
      <c r="I24" s="2144">
        <f>SUMIFS('Schedule C'!$AZ$21:$AZ$500,'Schedule C'!$M$21:$M$500,'Schedule B'!$B24,'Schedule C'!$AY$21:$AY$500,"ACTIVE",'Schedule C'!$AF$21:$AF$500,"ACTIVE",'Schedule C'!$X$21:$X$500,"ACTIVE")</f>
        <v>-56700</v>
      </c>
      <c r="J24" s="2144"/>
      <c r="K24" s="2144">
        <f t="shared" si="6"/>
        <v>70591.899999999994</v>
      </c>
      <c r="M24" s="2144">
        <f>SUMIFS('Schedule C'!$AG$21:$AG$500,'Schedule C'!$M$21:$M$500,'Schedule B'!$B24,'Schedule C'!$AY$21:$AY$500,"NOT ACTIVE",'Schedule C'!$AF$21:$AF$500,"ACTIVE",'Schedule C'!$X$21:$X$500,"ACTIVE")</f>
        <v>0</v>
      </c>
      <c r="N24" s="2144">
        <f>SUMIFS('Schedule C'!$Y$21:$Y$500,'Schedule C'!$M$21:$M$500,'Schedule B'!$B24,'Schedule C'!$AY$21:$AY$500,"NOT ACTIVE",'Schedule C'!$AF$21:$AF$500,"NOT ACTIVE",'Schedule C'!$X$21:$X$500,"ACTIVE")</f>
        <v>0</v>
      </c>
      <c r="O24" s="2144">
        <f>SUMIF('Schedule C'!$M$21:$M$500,'Schedule B'!B24,'Schedule C'!$Q$21:$Q$500)</f>
        <v>0</v>
      </c>
      <c r="P24" s="2144">
        <v>0</v>
      </c>
      <c r="Q24" s="2144">
        <f t="shared" si="3"/>
        <v>70591.899999999994</v>
      </c>
      <c r="S24" s="2144">
        <f t="shared" si="4"/>
        <v>-56700</v>
      </c>
      <c r="U24" s="2144">
        <v>0</v>
      </c>
      <c r="V24" s="2144">
        <f t="shared" si="5"/>
        <v>70591.899999999994</v>
      </c>
      <c r="X24" s="2144">
        <v>70591.899999999994</v>
      </c>
      <c r="Y24" s="2144">
        <f t="shared" si="7"/>
        <v>0</v>
      </c>
      <c r="Z24" s="181">
        <f t="shared" si="0"/>
        <v>56700</v>
      </c>
      <c r="AA24" s="182">
        <f t="shared" si="1"/>
        <v>0</v>
      </c>
      <c r="AC24" s="2499"/>
      <c r="AD24" s="2500"/>
      <c r="AE24" s="2145"/>
      <c r="AF24" s="629" t="e">
        <f>SUMIF(#REF!,'Schedule B'!C24,#REF!)</f>
        <v>#REF!</v>
      </c>
      <c r="AG24" s="539"/>
      <c r="AH24" s="539" t="e">
        <f>AF24-#REF!</f>
        <v>#REF!</v>
      </c>
      <c r="AI24" s="539" t="e">
        <f t="shared" si="8"/>
        <v>#REF!</v>
      </c>
      <c r="AJ24" s="539" t="e">
        <f t="shared" si="9"/>
        <v>#REF!</v>
      </c>
    </row>
    <row r="25" spans="1:36" ht="24" customHeight="1" outlineLevel="1">
      <c r="A25" s="4232" t="s">
        <v>4290</v>
      </c>
      <c r="B25" s="4234" t="s">
        <v>5134</v>
      </c>
      <c r="C25" s="4233" t="s">
        <v>4291</v>
      </c>
      <c r="D25" s="2142"/>
      <c r="E25" s="2143">
        <v>0</v>
      </c>
      <c r="F25" s="2996">
        <f>+'Schedule J'!I272</f>
        <v>38103.199999999997</v>
      </c>
      <c r="H25" s="2144">
        <f>E25+F25</f>
        <v>38103.199999999997</v>
      </c>
      <c r="I25" s="2144">
        <f>SUMIFS('Schedule C'!$AZ$21:$AZ$500,'Schedule C'!$M$21:$M$500,'Schedule B'!$B25,'Schedule C'!$AY$21:$AY$500,"ACTIVE",'Schedule C'!$AF$21:$AF$500,"ACTIVE",'Schedule C'!$X$21:$X$500,"ACTIVE")</f>
        <v>-23800</v>
      </c>
      <c r="J25" s="2144"/>
      <c r="K25" s="2144">
        <f t="shared" si="6"/>
        <v>14303.199999999997</v>
      </c>
      <c r="M25" s="2144">
        <f>SUMIFS('Schedule C'!$AG$21:$AG$500,'Schedule C'!$M$21:$M$500,'Schedule B'!$B25,'Schedule C'!$AY$21:$AY$500,"NOT ACTIVE",'Schedule C'!$AF$21:$AF$500,"ACTIVE",'Schedule C'!$X$21:$X$500,"ACTIVE")</f>
        <v>0</v>
      </c>
      <c r="N25" s="2144">
        <f>SUMIFS('Schedule C'!$Y$21:$Y$500,'Schedule C'!$M$21:$M$500,'Schedule B'!$B25,'Schedule C'!$AY$21:$AY$500,"NOT ACTIVE",'Schedule C'!$AF$21:$AF$500,"NOT ACTIVE",'Schedule C'!$X$21:$X$500,"ACTIVE")</f>
        <v>0</v>
      </c>
      <c r="O25" s="2144">
        <f>SUMIF('Schedule C'!$M$21:$M$500,'Schedule B'!B25,'Schedule C'!$Q$21:$Q$500)</f>
        <v>0</v>
      </c>
      <c r="P25" s="2144">
        <v>0</v>
      </c>
      <c r="Q25" s="2144">
        <f t="shared" si="3"/>
        <v>14303.199999999997</v>
      </c>
      <c r="S25" s="2144">
        <f t="shared" si="4"/>
        <v>-23800</v>
      </c>
      <c r="U25" s="2144">
        <v>0</v>
      </c>
      <c r="V25" s="2144">
        <f>Q25-U25</f>
        <v>14303.199999999997</v>
      </c>
      <c r="X25" s="2144">
        <v>14303.199999999997</v>
      </c>
      <c r="Y25" s="2144">
        <f>Q25-X25</f>
        <v>0</v>
      </c>
      <c r="Z25" s="181">
        <f t="shared" si="0"/>
        <v>23800</v>
      </c>
      <c r="AA25" s="182">
        <f t="shared" si="1"/>
        <v>0</v>
      </c>
      <c r="AC25" s="2499"/>
      <c r="AD25" s="2500"/>
      <c r="AE25" s="2145"/>
      <c r="AF25" s="629" t="e">
        <f>SUMIF(#REF!,'Schedule B'!C25,#REF!)</f>
        <v>#REF!</v>
      </c>
      <c r="AG25" s="539"/>
      <c r="AH25" s="539" t="e">
        <f>AF25-#REF!</f>
        <v>#REF!</v>
      </c>
      <c r="AI25" s="539" t="e">
        <f>AF25-Q25</f>
        <v>#REF!</v>
      </c>
      <c r="AJ25" s="539" t="e">
        <f>N25-AH25</f>
        <v>#REF!</v>
      </c>
    </row>
    <row r="26" spans="1:36" ht="24" customHeight="1" outlineLevel="1">
      <c r="A26" s="2509" t="s">
        <v>3037</v>
      </c>
      <c r="B26" s="2510" t="s">
        <v>2964</v>
      </c>
      <c r="C26" s="2142" t="s">
        <v>3038</v>
      </c>
      <c r="D26" s="2142"/>
      <c r="E26" s="2143">
        <v>0</v>
      </c>
      <c r="F26" s="2996">
        <f>+'Schedule J'!I128+'Schedule J'!I129</f>
        <v>2406500</v>
      </c>
      <c r="H26" s="2144">
        <f>E26+F26</f>
        <v>2406500</v>
      </c>
      <c r="I26" s="2144">
        <f>SUMIFS('Schedule C'!$AZ$21:$AZ$500,'Schedule C'!$M$21:$M$500,'Schedule B'!$B26,'Schedule C'!$AY$21:$AY$500,"ACTIVE",'Schedule C'!$AF$21:$AF$500,"ACTIVE",'Schedule C'!$X$21:$X$500,"ACTIVE")</f>
        <v>1520390.54</v>
      </c>
      <c r="J26" s="2144"/>
      <c r="K26" s="2144">
        <f t="shared" si="6"/>
        <v>3926890.54</v>
      </c>
      <c r="M26" s="2144">
        <f>SUMIFS('Schedule C'!$AG$21:$AG$500,'Schedule C'!$M$21:$M$500,'Schedule B'!$B26,'Schedule C'!$AY$21:$AY$500,"NOT ACTIVE",'Schedule C'!$AF$21:$AF$500,"ACTIVE",'Schedule C'!$X$21:$X$500,"ACTIVE")</f>
        <v>101675.08</v>
      </c>
      <c r="N26" s="2144">
        <f>SUMIFS('Schedule C'!$Y$21:$Y$500,'Schedule C'!$M$21:$M$500,'Schedule B'!$B26,'Schedule C'!$AY$21:$AY$500,"NOT ACTIVE",'Schedule C'!$AF$21:$AF$500,"NOT ACTIVE",'Schedule C'!$X$21:$X$500,"ACTIVE")</f>
        <v>0</v>
      </c>
      <c r="O26" s="2144">
        <f>SUMIF('Schedule C'!$M$21:$M$500,'Schedule B'!B26,'Schedule C'!$Q$21:$Q$500)</f>
        <v>0</v>
      </c>
      <c r="P26" s="2144">
        <v>0</v>
      </c>
      <c r="Q26" s="2144">
        <f t="shared" si="3"/>
        <v>4028565.62</v>
      </c>
      <c r="S26" s="2144">
        <f t="shared" si="4"/>
        <v>1622065.62</v>
      </c>
      <c r="U26" s="2144">
        <f>+'Schedule H CML'!R38</f>
        <v>3873847.8700000006</v>
      </c>
      <c r="V26" s="2144">
        <f>Q26-U26</f>
        <v>154717.74999999953</v>
      </c>
      <c r="X26" s="2144">
        <v>4028565.62</v>
      </c>
      <c r="Y26" s="2144">
        <f>Q26-X26</f>
        <v>0</v>
      </c>
      <c r="Z26" s="181"/>
      <c r="AA26" s="182"/>
      <c r="AC26" s="2515"/>
      <c r="AD26" s="2516"/>
      <c r="AE26" s="631"/>
    </row>
    <row r="27" spans="1:36" ht="24" customHeight="1" outlineLevel="1">
      <c r="A27" s="4421" t="s">
        <v>4927</v>
      </c>
      <c r="B27" s="4234" t="s">
        <v>4928</v>
      </c>
      <c r="C27" s="4422" t="s">
        <v>4930</v>
      </c>
      <c r="D27" s="2142"/>
      <c r="E27" s="2143">
        <v>0</v>
      </c>
      <c r="F27" s="2996">
        <f>+'Schedule J'!I422</f>
        <v>133000</v>
      </c>
      <c r="H27" s="2144">
        <f>E27+F27</f>
        <v>133000</v>
      </c>
      <c r="I27" s="2144">
        <f>SUMIFS('Schedule C'!$AZ$21:$AZ$500,'Schedule C'!$M$21:$M$500,'Schedule B'!$B27,'Schedule C'!$AY$21:$AY$500,"ACTIVE",'Schedule C'!$AF$21:$AF$500,"ACTIVE",'Schedule C'!$X$21:$X$500,"ACTIVE")</f>
        <v>0</v>
      </c>
      <c r="J27" s="2144"/>
      <c r="K27" s="2144">
        <f>SUM(H27:J27)</f>
        <v>133000</v>
      </c>
      <c r="M27" s="2144">
        <f>SUMIFS('Schedule C'!$AG$21:$AG$500,'Schedule C'!$M$21:$M$500,'Schedule B'!$B27,'Schedule C'!$AY$21:$AY$500,"NOT ACTIVE",'Schedule C'!$AF$21:$AF$500,"ACTIVE",'Schedule C'!$X$21:$X$500,"ACTIVE")</f>
        <v>0</v>
      </c>
      <c r="N27" s="2144">
        <f>SUMIFS('Schedule C'!$Y$21:$Y$500,'Schedule C'!$M$21:$M$500,'Schedule B'!$B27,'Schedule C'!$AY$21:$AY$500,"NOT ACTIVE",'Schedule C'!$AF$21:$AF$500,"NOT ACTIVE",'Schedule C'!$X$21:$X$500,"ACTIVE")</f>
        <v>0</v>
      </c>
      <c r="O27" s="2144">
        <f>SUMIF('Schedule C'!$M$21:$M$500,'Schedule B'!B27,'Schedule C'!$Q$21:$Q$500)</f>
        <v>0</v>
      </c>
      <c r="P27" s="2144">
        <v>0</v>
      </c>
      <c r="Q27" s="2144">
        <f t="shared" si="3"/>
        <v>133000</v>
      </c>
      <c r="S27" s="2144">
        <f t="shared" si="4"/>
        <v>0</v>
      </c>
      <c r="U27" s="2144">
        <f>'Schedule H GST'!AC37</f>
        <v>63250</v>
      </c>
      <c r="V27" s="2144">
        <f>Q27-U27</f>
        <v>69750</v>
      </c>
      <c r="X27" s="2144">
        <v>133000</v>
      </c>
      <c r="Y27" s="2144">
        <f>Q27-X27</f>
        <v>0</v>
      </c>
      <c r="Z27" s="181">
        <f t="shared" ref="Z27:Z35" si="10">H27-Q27</f>
        <v>0</v>
      </c>
      <c r="AA27" s="182">
        <f>(Q27-H27)+Z27</f>
        <v>0</v>
      </c>
      <c r="AC27" s="2499"/>
      <c r="AD27" s="2500"/>
      <c r="AE27" s="2145"/>
      <c r="AF27" s="629" t="e">
        <f>SUMIF(#REF!,'Schedule B'!C27,#REF!)</f>
        <v>#REF!</v>
      </c>
      <c r="AG27" s="539"/>
      <c r="AH27" s="539" t="e">
        <f>AF27-#REF!</f>
        <v>#REF!</v>
      </c>
      <c r="AI27" s="539" t="e">
        <f>AF27-Q27</f>
        <v>#REF!</v>
      </c>
      <c r="AJ27" s="539" t="e">
        <f>N27-AH27</f>
        <v>#REF!</v>
      </c>
    </row>
    <row r="28" spans="1:36" ht="24" customHeight="1" outlineLevel="1" thickBot="1">
      <c r="A28" s="2513"/>
      <c r="B28" s="2513"/>
      <c r="C28" s="2514"/>
      <c r="D28" s="2514"/>
      <c r="E28" s="2143"/>
      <c r="F28" s="2532"/>
      <c r="H28" s="2144"/>
      <c r="I28" s="2505"/>
      <c r="J28" s="2505"/>
      <c r="K28" s="2144"/>
      <c r="M28" s="2505"/>
      <c r="N28" s="2505"/>
      <c r="O28" s="2505"/>
      <c r="P28" s="2505"/>
      <c r="Q28" s="2144"/>
      <c r="S28" s="2144"/>
      <c r="U28" s="2144"/>
      <c r="V28" s="2506"/>
      <c r="X28" s="2144"/>
      <c r="Y28" s="2506"/>
      <c r="Z28" s="181">
        <f t="shared" si="10"/>
        <v>0</v>
      </c>
      <c r="AA28" s="182">
        <f>(Q28-H28)+Z28</f>
        <v>0</v>
      </c>
      <c r="AC28" s="2515"/>
      <c r="AD28" s="2516"/>
      <c r="AE28" s="631"/>
      <c r="AI28" s="164">
        <v>102</v>
      </c>
    </row>
    <row r="29" spans="1:36" s="167" customFormat="1" ht="33" customHeight="1" thickBot="1">
      <c r="A29" s="2517" t="s">
        <v>472</v>
      </c>
      <c r="B29" s="2518"/>
      <c r="C29" s="2519" t="s">
        <v>484</v>
      </c>
      <c r="D29" s="2519"/>
      <c r="E29" s="2520">
        <f>SUM(E16:E28)</f>
        <v>17514722.359999999</v>
      </c>
      <c r="F29" s="2987">
        <f>SUM(F16:F28)</f>
        <v>3029172.62</v>
      </c>
      <c r="G29" s="164"/>
      <c r="H29" s="2520">
        <f>SUM(H16:H28)</f>
        <v>20543894.98</v>
      </c>
      <c r="I29" s="2520">
        <f>SUM(I16:I28)</f>
        <v>4664935.1199999992</v>
      </c>
      <c r="J29" s="2520">
        <f>SUM(J16:J28)</f>
        <v>0</v>
      </c>
      <c r="K29" s="2520">
        <f>SUM(K16:K28)</f>
        <v>25208830.099999998</v>
      </c>
      <c r="L29" s="164"/>
      <c r="M29" s="2520">
        <f t="shared" ref="M29:Q29" si="11">SUM(M16:M28)</f>
        <v>101675.08</v>
      </c>
      <c r="N29" s="2520">
        <f t="shared" si="11"/>
        <v>0</v>
      </c>
      <c r="O29" s="2520">
        <f t="shared" si="11"/>
        <v>0</v>
      </c>
      <c r="P29" s="2520">
        <f t="shared" si="11"/>
        <v>0</v>
      </c>
      <c r="Q29" s="2520">
        <f t="shared" si="11"/>
        <v>25310505.18</v>
      </c>
      <c r="R29" s="164"/>
      <c r="S29" s="2520">
        <f>SUM(S16:S28)</f>
        <v>4766610.1999999993</v>
      </c>
      <c r="T29" s="164"/>
      <c r="U29" s="2520">
        <f>SUM(U16:U28)</f>
        <v>24735312.579999998</v>
      </c>
      <c r="V29" s="2520">
        <f>SUM(V16:V28)</f>
        <v>575192.60000000242</v>
      </c>
      <c r="W29" s="164"/>
      <c r="X29" s="2521">
        <v>25310505.18</v>
      </c>
      <c r="Y29" s="2521">
        <f>SUM(Y16:Y28)</f>
        <v>0</v>
      </c>
      <c r="Z29" s="181">
        <f t="shared" si="10"/>
        <v>-4766610.1999999993</v>
      </c>
      <c r="AA29" s="182">
        <f>Q29-X29</f>
        <v>0</v>
      </c>
      <c r="AC29" s="647" t="e">
        <f>#REF!+AC17</f>
        <v>#REF!</v>
      </c>
      <c r="AD29" s="651" t="e">
        <f>#REF!+AD17</f>
        <v>#REF!</v>
      </c>
      <c r="AE29" s="636" t="e">
        <f>#REF!+AE17</f>
        <v>#REF!</v>
      </c>
    </row>
    <row r="30" spans="1:36" ht="19.5" customHeight="1" thickTop="1">
      <c r="A30" s="184"/>
      <c r="B30" s="184"/>
      <c r="C30" s="185"/>
      <c r="D30" s="185"/>
      <c r="E30" s="781"/>
      <c r="F30" s="2988"/>
      <c r="H30" s="186"/>
      <c r="I30" s="187"/>
      <c r="J30" s="187"/>
      <c r="K30" s="186"/>
      <c r="M30" s="187"/>
      <c r="N30" s="187"/>
      <c r="O30" s="187"/>
      <c r="P30" s="187"/>
      <c r="Q30" s="186"/>
      <c r="S30" s="186"/>
      <c r="U30" s="186"/>
      <c r="V30" s="186"/>
      <c r="X30" s="186"/>
      <c r="Y30" s="186"/>
      <c r="Z30" s="181">
        <f t="shared" si="10"/>
        <v>0</v>
      </c>
      <c r="AA30" s="182">
        <f t="shared" ref="AA30:AA35" si="12">(Q30-H30)+Z30</f>
        <v>0</v>
      </c>
      <c r="AC30" s="2499"/>
      <c r="AD30" s="2500"/>
      <c r="AE30" s="2145"/>
    </row>
    <row r="31" spans="1:36" s="167" customFormat="1" ht="33" customHeight="1" thickBot="1">
      <c r="A31" s="2517" t="s">
        <v>485</v>
      </c>
      <c r="B31" s="2517"/>
      <c r="C31" s="2522" t="s">
        <v>486</v>
      </c>
      <c r="D31" s="2522"/>
      <c r="E31" s="2523"/>
      <c r="F31" s="2989"/>
      <c r="G31" s="164"/>
      <c r="H31" s="2523"/>
      <c r="I31" s="2523"/>
      <c r="J31" s="2523"/>
      <c r="K31" s="2523"/>
      <c r="L31" s="164"/>
      <c r="M31" s="2523"/>
      <c r="N31" s="2523"/>
      <c r="O31" s="2523"/>
      <c r="P31" s="2523"/>
      <c r="Q31" s="2523"/>
      <c r="R31" s="164"/>
      <c r="S31" s="2523"/>
      <c r="T31" s="164"/>
      <c r="U31" s="2523"/>
      <c r="V31" s="2523"/>
      <c r="W31" s="164"/>
      <c r="X31" s="2521"/>
      <c r="Y31" s="2521"/>
      <c r="Z31" s="181">
        <f t="shared" si="10"/>
        <v>0</v>
      </c>
      <c r="AA31" s="182">
        <f t="shared" si="12"/>
        <v>0</v>
      </c>
      <c r="AC31" s="2524"/>
      <c r="AD31" s="2525"/>
      <c r="AE31" s="2526"/>
    </row>
    <row r="32" spans="1:36" ht="17.25" customHeight="1" thickTop="1">
      <c r="A32" s="2139"/>
      <c r="B32" s="2503"/>
      <c r="C32" s="2504"/>
      <c r="D32" s="2504"/>
      <c r="E32" s="2143"/>
      <c r="F32" s="2532"/>
      <c r="H32" s="2144"/>
      <c r="I32" s="2505"/>
      <c r="J32" s="2505"/>
      <c r="K32" s="2506"/>
      <c r="M32" s="2144"/>
      <c r="N32" s="2144"/>
      <c r="O32" s="2505"/>
      <c r="P32" s="2505"/>
      <c r="Q32" s="2506"/>
      <c r="S32" s="2506"/>
      <c r="U32" s="2506"/>
      <c r="V32" s="2506"/>
      <c r="X32" s="2506"/>
      <c r="Y32" s="2506"/>
      <c r="Z32" s="181">
        <f t="shared" si="10"/>
        <v>0</v>
      </c>
      <c r="AA32" s="182">
        <f t="shared" si="12"/>
        <v>0</v>
      </c>
      <c r="AC32" s="2499"/>
      <c r="AD32" s="2500"/>
      <c r="AE32" s="2145"/>
    </row>
    <row r="33" spans="1:36" ht="26.25" customHeight="1">
      <c r="A33" s="2509" t="s">
        <v>487</v>
      </c>
      <c r="B33" s="2140" t="s">
        <v>139</v>
      </c>
      <c r="C33" s="2141" t="s">
        <v>2262</v>
      </c>
      <c r="D33" s="2141"/>
      <c r="E33" s="2143"/>
      <c r="F33" s="2996">
        <f>+'Schedule J'!I66+'Schedule J'!I67</f>
        <v>13059930</v>
      </c>
      <c r="H33" s="2144">
        <f>E33+F33</f>
        <v>13059930</v>
      </c>
      <c r="I33" s="2144">
        <f>SUMIFS('Schedule C'!$AZ$21:$AZ$500,'Schedule C'!$M$21:$M$500,'Schedule B'!$B33,'Schedule C'!$AY$21:$AY$500,"ACTIVE",'Schedule C'!$AF$21:$AF$500,"ACTIVE",'Schedule C'!$X$21:$X$500,"ACTIVE")</f>
        <v>1071977</v>
      </c>
      <c r="J33" s="2144"/>
      <c r="K33" s="2144">
        <f>SUM(H33:J33)</f>
        <v>14131907</v>
      </c>
      <c r="M33" s="2144">
        <f>SUMIFS('Schedule C'!$AG$21:$AG$500,'Schedule C'!$M$21:$M$500,'Schedule B'!$B33,'Schedule C'!$AY$21:$AY$500,"NOT ACTIVE",'Schedule C'!$AF$21:$AF$500,"ACTIVE",'Schedule C'!$X$21:$X$500,"ACTIVE")</f>
        <v>0</v>
      </c>
      <c r="N33" s="2144">
        <f>SUMIFS('Schedule C'!$Y$21:$Y$500,'Schedule C'!$M$21:$M$500,'Schedule B'!$B33,'Schedule C'!$AY$21:$AY$500,"NOT ACTIVE",'Schedule C'!$AF$21:$AF$500,"NOT ACTIVE",'Schedule C'!$X$21:$X$500,"ACTIVE")</f>
        <v>-49207</v>
      </c>
      <c r="O33" s="2144">
        <f>SUMIF('Schedule C'!$M$21:$M$500,'Schedule B'!B33,'Schedule C'!$Q$21:$Q$500)</f>
        <v>0</v>
      </c>
      <c r="P33" s="2144">
        <v>0</v>
      </c>
      <c r="Q33" s="2144">
        <f>SUM(K33:P33)</f>
        <v>14082700</v>
      </c>
      <c r="S33" s="2144">
        <f>Q33-H33</f>
        <v>1022770</v>
      </c>
      <c r="U33" s="2144">
        <f>+'Schedule H KAA'!R41</f>
        <v>14082700</v>
      </c>
      <c r="V33" s="2144">
        <f>Q33-U33</f>
        <v>0</v>
      </c>
      <c r="X33" s="2144">
        <v>14082700</v>
      </c>
      <c r="Y33" s="2144">
        <f>Q33-X33</f>
        <v>0</v>
      </c>
      <c r="Z33" s="181">
        <f t="shared" si="10"/>
        <v>-1022770</v>
      </c>
      <c r="AA33" s="182">
        <f t="shared" si="12"/>
        <v>0</v>
      </c>
      <c r="AC33" s="2499"/>
      <c r="AD33" s="2500"/>
      <c r="AE33" s="2145"/>
      <c r="AF33" s="629" t="e">
        <f>SUMIF(#REF!,'Schedule B'!C33,#REF!)</f>
        <v>#REF!</v>
      </c>
      <c r="AG33" s="539"/>
      <c r="AH33" s="539" t="e">
        <f>AF33-#REF!</f>
        <v>#REF!</v>
      </c>
      <c r="AI33" s="539" t="e">
        <f>AF33-Q33</f>
        <v>#REF!</v>
      </c>
      <c r="AJ33" s="539" t="e">
        <f>N33-AH33</f>
        <v>#REF!</v>
      </c>
    </row>
    <row r="34" spans="1:36" ht="26.25" customHeight="1">
      <c r="A34" s="4390" t="s">
        <v>4814</v>
      </c>
      <c r="B34" s="2140" t="s">
        <v>2815</v>
      </c>
      <c r="C34" s="2141" t="s">
        <v>2816</v>
      </c>
      <c r="D34" s="2141"/>
      <c r="E34" s="2143"/>
      <c r="F34" s="2996">
        <f>+'Schedule J'!I122</f>
        <v>182184.38</v>
      </c>
      <c r="H34" s="2144">
        <f>E34+F34</f>
        <v>182184.38</v>
      </c>
      <c r="I34" s="2144">
        <f>SUMIFS('Schedule C'!$AZ$21:$AZ$500,'Schedule C'!$M$21:$M$500,'Schedule B'!$B34,'Schedule C'!$AY$21:$AY$500,"ACTIVE",'Schedule C'!$AF$21:$AF$500,"ACTIVE",'Schedule C'!$X$21:$X$500,"ACTIVE")</f>
        <v>0</v>
      </c>
      <c r="J34" s="2144"/>
      <c r="K34" s="2144">
        <f>SUM(H34:J34)</f>
        <v>182184.38</v>
      </c>
      <c r="M34" s="2144">
        <f>SUMIFS('Schedule C'!$AG$21:$AG$500,'Schedule C'!$M$21:$M$500,'Schedule B'!$B34,'Schedule C'!$AY$21:$AY$500,"NOT ACTIVE",'Schedule C'!$AF$21:$AF$500,"ACTIVE",'Schedule C'!$X$21:$X$500,"ACTIVE")</f>
        <v>-53507</v>
      </c>
      <c r="N34" s="2144">
        <f>SUMIFS('Schedule C'!$Y$21:$Y$500,'Schedule C'!$M$21:$M$500,'Schedule B'!$B34,'Schedule C'!$AY$21:$AY$500,"NOT ACTIVE",'Schedule C'!$AF$21:$AF$500,"NOT ACTIVE",'Schedule C'!$X$21:$X$500,"ACTIVE")</f>
        <v>0</v>
      </c>
      <c r="O34" s="2144">
        <f>SUMIF('Schedule C'!$M$21:$M$500,'Schedule B'!B34,'Schedule C'!$Q$21:$Q$500)</f>
        <v>0</v>
      </c>
      <c r="P34" s="2144">
        <v>0</v>
      </c>
      <c r="Q34" s="2144">
        <f>SUM(K34:P34)</f>
        <v>128677.38</v>
      </c>
      <c r="S34" s="2144">
        <f>Q34-H34</f>
        <v>-53507</v>
      </c>
      <c r="U34" s="2144">
        <f>+'Schedule H'!S40</f>
        <v>128677.64</v>
      </c>
      <c r="V34" s="2144">
        <f>Q34-U34</f>
        <v>-0.25999999999476131</v>
      </c>
      <c r="X34" s="2144">
        <v>128677.38</v>
      </c>
      <c r="Y34" s="2144">
        <f>Q34-X34</f>
        <v>0</v>
      </c>
      <c r="Z34" s="181">
        <f t="shared" si="10"/>
        <v>53507</v>
      </c>
      <c r="AA34" s="182">
        <f t="shared" si="12"/>
        <v>0</v>
      </c>
      <c r="AC34" s="2499"/>
      <c r="AD34" s="2500"/>
      <c r="AE34" s="2145"/>
      <c r="AF34" s="629" t="e">
        <f>SUMIF(#REF!,'Schedule B'!C34,#REF!)</f>
        <v>#REF!</v>
      </c>
      <c r="AG34" s="539"/>
      <c r="AH34" s="539" t="e">
        <f>AF34-#REF!</f>
        <v>#REF!</v>
      </c>
      <c r="AI34" s="539" t="e">
        <f>AF34-Q34</f>
        <v>#REF!</v>
      </c>
      <c r="AJ34" s="539" t="e">
        <f>N34-AH34</f>
        <v>#REF!</v>
      </c>
    </row>
    <row r="35" spans="1:36" ht="26.25" customHeight="1">
      <c r="A35" s="4390" t="s">
        <v>4815</v>
      </c>
      <c r="B35" s="2140" t="s">
        <v>3691</v>
      </c>
      <c r="C35" s="4067" t="s">
        <v>3692</v>
      </c>
      <c r="D35" s="2141"/>
      <c r="E35" s="2143"/>
      <c r="F35" s="2996">
        <f>+'Schedule J'!I161</f>
        <v>54000</v>
      </c>
      <c r="H35" s="2144">
        <f>E35+F35</f>
        <v>54000</v>
      </c>
      <c r="I35" s="2144">
        <f>SUMIFS('Schedule C'!$AZ$21:$AZ$500,'Schedule C'!$M$21:$M$500,'Schedule B'!$B35,'Schedule C'!$AY$21:$AY$500,"ACTIVE",'Schedule C'!$AF$21:$AF$500,"ACTIVE",'Schedule C'!$X$21:$X$500,"ACTIVE")</f>
        <v>0</v>
      </c>
      <c r="J35" s="2144"/>
      <c r="K35" s="2144">
        <f>SUM(H35:J35)</f>
        <v>54000</v>
      </c>
      <c r="M35" s="2144">
        <f>SUMIFS('Schedule C'!$AG$21:$AG$500,'Schedule C'!$M$21:$M$500,'Schedule B'!$B35,'Schedule C'!$AY$21:$AY$500,"NOT ACTIVE",'Schedule C'!$AF$21:$AF$500,"ACTIVE",'Schedule C'!$X$21:$X$500,"ACTIVE")</f>
        <v>0</v>
      </c>
      <c r="N35" s="2144">
        <f>SUMIFS('Schedule C'!$Y$21:$Y$500,'Schedule C'!$M$21:$M$500,'Schedule B'!$B35,'Schedule C'!$AY$21:$AY$500,"NOT ACTIVE",'Schedule C'!$AF$21:$AF$500,"NOT ACTIVE",'Schedule C'!$X$21:$X$500,"ACTIVE")</f>
        <v>0</v>
      </c>
      <c r="O35" s="2144">
        <f>SUMIF('Schedule C'!$M$21:$M$500,'Schedule B'!B35,'Schedule C'!$Q$21:$Q$500)</f>
        <v>0</v>
      </c>
      <c r="P35" s="2144">
        <v>0</v>
      </c>
      <c r="Q35" s="2144">
        <f>SUM(K35:P35)</f>
        <v>54000</v>
      </c>
      <c r="S35" s="2144">
        <f>Q35-H35</f>
        <v>0</v>
      </c>
      <c r="U35" s="2144">
        <f>+'Schedule H EURO CO027'!U37</f>
        <v>54000</v>
      </c>
      <c r="V35" s="2144">
        <f>Q35-U35</f>
        <v>0</v>
      </c>
      <c r="X35" s="2144">
        <v>54000</v>
      </c>
      <c r="Y35" s="2144">
        <f>Q35-X35</f>
        <v>0</v>
      </c>
      <c r="Z35" s="181">
        <f t="shared" si="10"/>
        <v>0</v>
      </c>
      <c r="AA35" s="182">
        <f t="shared" si="12"/>
        <v>0</v>
      </c>
      <c r="AC35" s="2499"/>
      <c r="AD35" s="2500"/>
      <c r="AE35" s="2145"/>
      <c r="AF35" s="629" t="e">
        <f>SUMIF(#REF!,'Schedule B'!C35,#REF!)</f>
        <v>#REF!</v>
      </c>
      <c r="AG35" s="539"/>
      <c r="AH35" s="539" t="e">
        <f>AF35-#REF!</f>
        <v>#REF!</v>
      </c>
      <c r="AI35" s="539" t="e">
        <f>AF35-Q35</f>
        <v>#REF!</v>
      </c>
      <c r="AJ35" s="539" t="e">
        <f>N35-AH35</f>
        <v>#REF!</v>
      </c>
    </row>
    <row r="36" spans="1:36" ht="12.75" customHeight="1">
      <c r="A36" s="2139"/>
      <c r="B36" s="2139"/>
      <c r="C36" s="2142"/>
      <c r="D36" s="2142"/>
      <c r="E36" s="2143"/>
      <c r="F36" s="2532"/>
      <c r="H36" s="2144"/>
      <c r="I36" s="2144"/>
      <c r="J36" s="2144"/>
      <c r="K36" s="2144"/>
      <c r="M36" s="2144"/>
      <c r="N36" s="2144"/>
      <c r="O36" s="2144"/>
      <c r="P36" s="2144"/>
      <c r="Q36" s="2144"/>
      <c r="S36" s="2144"/>
      <c r="U36" s="2144"/>
      <c r="V36" s="2144"/>
      <c r="X36" s="2144"/>
      <c r="Y36" s="2144"/>
      <c r="Z36" s="181"/>
      <c r="AA36" s="182"/>
      <c r="AC36" s="2499"/>
      <c r="AD36" s="2500"/>
      <c r="AE36" s="2145"/>
      <c r="AF36" s="629"/>
      <c r="AG36" s="539"/>
      <c r="AH36" s="539"/>
      <c r="AI36" s="539"/>
      <c r="AJ36" s="539"/>
    </row>
    <row r="37" spans="1:36" ht="24" hidden="1" customHeight="1" outlineLevel="1">
      <c r="A37" s="2527"/>
      <c r="B37" s="2527"/>
      <c r="C37" s="2528" t="s">
        <v>489</v>
      </c>
      <c r="D37" s="2529"/>
      <c r="E37" s="2530">
        <f>SUM(E32:E36)</f>
        <v>0</v>
      </c>
      <c r="F37" s="2990">
        <f>SUM(F32:F36)</f>
        <v>13296114.380000001</v>
      </c>
      <c r="G37" s="784"/>
      <c r="H37" s="2531">
        <f>SUM(H32:H36)</f>
        <v>13296114.380000001</v>
      </c>
      <c r="I37" s="2531">
        <f>SUM(I32:I36)</f>
        <v>1071977</v>
      </c>
      <c r="J37" s="2531"/>
      <c r="K37" s="2531">
        <f>SUM(K32:K36)</f>
        <v>14368091.380000001</v>
      </c>
      <c r="L37" s="784"/>
      <c r="M37" s="2531">
        <f t="shared" ref="M37:Q37" si="13">SUM(M32:M36)</f>
        <v>-53507</v>
      </c>
      <c r="N37" s="2531">
        <f t="shared" si="13"/>
        <v>-49207</v>
      </c>
      <c r="O37" s="2531">
        <f t="shared" si="13"/>
        <v>0</v>
      </c>
      <c r="P37" s="2531">
        <f t="shared" si="13"/>
        <v>0</v>
      </c>
      <c r="Q37" s="2531">
        <f t="shared" si="13"/>
        <v>14265377.380000001</v>
      </c>
      <c r="S37" s="2531">
        <f>SUM(S32:S36)</f>
        <v>969263</v>
      </c>
      <c r="T37" s="784"/>
      <c r="U37" s="2531">
        <f>SUM(U32:U36)</f>
        <v>14265377.640000001</v>
      </c>
      <c r="V37" s="2531">
        <f>SUM(V32:V36)</f>
        <v>-0.25999999999476131</v>
      </c>
      <c r="W37" s="784"/>
      <c r="X37" s="2531">
        <v>14265377.380000001</v>
      </c>
      <c r="Y37" s="2531">
        <f>SUM(Y32:Y36)</f>
        <v>0</v>
      </c>
      <c r="Z37" s="181"/>
      <c r="AA37" s="182"/>
      <c r="AC37" s="2499"/>
      <c r="AD37" s="2500"/>
      <c r="AE37" s="2145"/>
      <c r="AF37" s="629"/>
      <c r="AG37" s="539"/>
      <c r="AH37" s="539"/>
      <c r="AI37" s="539"/>
      <c r="AJ37" s="539"/>
    </row>
    <row r="38" spans="1:36" ht="12.75" hidden="1" customHeight="1" outlineLevel="1" thickBot="1">
      <c r="A38" s="2139"/>
      <c r="B38" s="2139"/>
      <c r="C38" s="2142"/>
      <c r="D38" s="2142"/>
      <c r="E38" s="2143"/>
      <c r="F38" s="2532"/>
      <c r="H38" s="2144"/>
      <c r="I38" s="2144"/>
      <c r="J38" s="2144"/>
      <c r="K38" s="2144"/>
      <c r="M38" s="2144"/>
      <c r="N38" s="2144"/>
      <c r="O38" s="2144"/>
      <c r="P38" s="2144"/>
      <c r="Q38" s="2144"/>
      <c r="S38" s="2144"/>
      <c r="U38" s="2144"/>
      <c r="V38" s="2144"/>
      <c r="X38" s="2144"/>
      <c r="Y38" s="2144"/>
      <c r="Z38" s="181"/>
      <c r="AA38" s="182"/>
      <c r="AC38" s="2499"/>
      <c r="AD38" s="2500"/>
      <c r="AE38" s="2145"/>
      <c r="AF38" s="629"/>
      <c r="AG38" s="539"/>
      <c r="AH38" s="539"/>
      <c r="AI38" s="539"/>
      <c r="AJ38" s="539"/>
    </row>
    <row r="39" spans="1:36" ht="34.5" hidden="1" customHeight="1" outlineLevel="1" thickBot="1">
      <c r="A39" s="2139"/>
      <c r="B39" s="2139"/>
      <c r="C39" s="2142"/>
      <c r="D39" s="2141"/>
      <c r="E39" s="2143"/>
      <c r="F39" s="2532"/>
      <c r="H39" s="2144"/>
      <c r="I39" s="2144">
        <f>SUMIFS('Schedule C'!$AZ$21:$AZ$102,'Schedule C'!$M$21:$M$102,'Schedule B'!$B39,'Schedule C'!$AY$21:$AY$102,"ACTIVE",'Schedule C'!$AF$21:$AF$102,"ACTIVE",'Schedule C'!$X$21:$X$102,"ACTIVE")</f>
        <v>0</v>
      </c>
      <c r="J39" s="2144"/>
      <c r="K39" s="2144">
        <f>SUM(H39:I39)</f>
        <v>0</v>
      </c>
      <c r="M39" s="2144">
        <f>SUMIFS('Schedule C'!$AG$21:$AG$102,'Schedule C'!$M$21:$M$102,'Schedule B'!$B39,'Schedule C'!$AY$21:$AY$102,"NOT ACTIVE",'Schedule C'!$AF$21:$AF$102,"ACTIVE",'Schedule C'!$X$21:$X$102,"ACTIVE")</f>
        <v>0</v>
      </c>
      <c r="N39" s="2144">
        <f>SUMIFS('Schedule C'!$Y$21:$Y$102,'Schedule C'!$M$21:$M$102,'Schedule B'!$B39,'Schedule C'!$AY$21:$AY$102,"NOT ACTIVE",'Schedule C'!$AF$21:$AF$102,"NOT ACTIVE",'Schedule C'!$X$21:$X$102,"ACTIVE")</f>
        <v>0</v>
      </c>
      <c r="O39" s="2144">
        <f>SUMIF('Schedule C'!$M$21:$M$102,'Schedule B'!B39,'Schedule C'!$Q$21:$Q$102)</f>
        <v>0</v>
      </c>
      <c r="P39" s="2144">
        <v>0</v>
      </c>
      <c r="Q39" s="2144">
        <f>SUM(K39:P39)</f>
        <v>0</v>
      </c>
      <c r="S39" s="2144">
        <f>Q39-H39</f>
        <v>0</v>
      </c>
      <c r="U39" s="2144"/>
      <c r="V39" s="2144">
        <f>Q39-U39</f>
        <v>0</v>
      </c>
      <c r="X39" s="2144">
        <v>0</v>
      </c>
      <c r="Y39" s="2144">
        <f>Q39-X39</f>
        <v>0</v>
      </c>
      <c r="Z39" s="181">
        <f>H39-Q39</f>
        <v>0</v>
      </c>
      <c r="AA39" s="182">
        <f>(Q39-H39)+Z39</f>
        <v>0</v>
      </c>
      <c r="AC39" s="2499"/>
      <c r="AD39" s="2500"/>
      <c r="AE39" s="2145"/>
      <c r="AF39" s="629" t="e">
        <f>SUMIF(#REF!,'Schedule B'!C39,#REF!)</f>
        <v>#REF!</v>
      </c>
      <c r="AG39" s="539"/>
      <c r="AH39" s="539" t="e">
        <f>AF39-#REF!</f>
        <v>#REF!</v>
      </c>
      <c r="AI39" s="539" t="e">
        <f>AF39-Q39</f>
        <v>#REF!</v>
      </c>
      <c r="AJ39" s="539" t="e">
        <f>N39-AH39</f>
        <v>#REF!</v>
      </c>
    </row>
    <row r="40" spans="1:36" ht="24" hidden="1" customHeight="1" outlineLevel="1" thickBot="1">
      <c r="A40" s="2139"/>
      <c r="B40" s="2139"/>
      <c r="C40" s="2533"/>
      <c r="D40" s="2142"/>
      <c r="E40" s="2143"/>
      <c r="F40" s="2532"/>
      <c r="H40" s="2144"/>
      <c r="I40" s="2144"/>
      <c r="J40" s="2144"/>
      <c r="K40" s="2144"/>
      <c r="M40" s="2144"/>
      <c r="N40" s="2144"/>
      <c r="O40" s="2144"/>
      <c r="P40" s="2144"/>
      <c r="Q40" s="2144"/>
      <c r="S40" s="2144"/>
      <c r="U40" s="2144"/>
      <c r="V40" s="2144"/>
      <c r="X40" s="2144"/>
      <c r="Y40" s="2144"/>
      <c r="Z40" s="181">
        <f>H40-Q40</f>
        <v>0</v>
      </c>
      <c r="AA40" s="182">
        <f>(Q40-H40)+Z40</f>
        <v>0</v>
      </c>
      <c r="AC40" s="2499"/>
      <c r="AD40" s="2500"/>
      <c r="AE40" s="2145"/>
      <c r="AF40" s="629" t="e">
        <f>SUMIF(#REF!,'Schedule B'!C40,#REF!)</f>
        <v>#REF!</v>
      </c>
      <c r="AG40" s="539"/>
      <c r="AH40" s="539" t="e">
        <f>AF40-#REF!</f>
        <v>#REF!</v>
      </c>
      <c r="AI40" s="539" t="e">
        <f>AF40-Q40</f>
        <v>#REF!</v>
      </c>
      <c r="AJ40" s="539" t="e">
        <f>N40-AH40</f>
        <v>#REF!</v>
      </c>
    </row>
    <row r="41" spans="1:36" ht="24" hidden="1" customHeight="1" outlineLevel="1" thickBot="1">
      <c r="A41" s="2139"/>
      <c r="B41" s="2139"/>
      <c r="C41" s="2142"/>
      <c r="D41" s="2142"/>
      <c r="E41" s="2143"/>
      <c r="F41" s="2532"/>
      <c r="H41" s="2144"/>
      <c r="I41" s="2144">
        <f>SUMIFS('Schedule C'!$AZ$21:$AZ$102,'Schedule C'!$M$21:$M$102,'Schedule B'!$B41,'Schedule C'!$AY$21:$AY$102,"ACTIVE",'Schedule C'!$AF$21:$AF$102,"ACTIVE",'Schedule C'!$X$21:$X$102,"ACTIVE")</f>
        <v>0</v>
      </c>
      <c r="J41" s="2144"/>
      <c r="K41" s="2144">
        <f>SUM(H41:I41)</f>
        <v>0</v>
      </c>
      <c r="M41" s="2144">
        <f>SUMIFS('Schedule C'!$AG$21:$AG$102,'Schedule C'!$M$21:$M$102,'Schedule B'!$B41,'Schedule C'!$AY$21:$AY$102,"NOT ACTIVE",'Schedule C'!$AF$21:$AF$102,"ACTIVE",'Schedule C'!$X$21:$X$102,"ACTIVE")</f>
        <v>0</v>
      </c>
      <c r="N41" s="2144">
        <f>SUMIFS('Schedule C'!$Y$21:$Y$102,'Schedule C'!$M$21:$M$102,'Schedule B'!$B41,'Schedule C'!$AY$21:$AY$102,"NOT ACTIVE",'Schedule C'!$AF$21:$AF$102,"NOT ACTIVE",'Schedule C'!$X$21:$X$102,"ACTIVE")</f>
        <v>0</v>
      </c>
      <c r="O41" s="2144">
        <f>SUMIF('Schedule C'!$M$21:$M$102,'Schedule B'!B41,'Schedule C'!$Q$21:$Q$102)</f>
        <v>0</v>
      </c>
      <c r="P41" s="2144">
        <v>0</v>
      </c>
      <c r="Q41" s="2144">
        <f>SUM(K41:P41)</f>
        <v>0</v>
      </c>
      <c r="S41" s="2144">
        <f>Q41-H41</f>
        <v>0</v>
      </c>
      <c r="U41" s="2144"/>
      <c r="V41" s="2144">
        <f>Q41-U41</f>
        <v>0</v>
      </c>
      <c r="X41" s="2144">
        <v>0</v>
      </c>
      <c r="Y41" s="2144">
        <f>Q41-X41</f>
        <v>0</v>
      </c>
      <c r="Z41" s="181">
        <f>H41-Q41</f>
        <v>0</v>
      </c>
      <c r="AA41" s="182">
        <f>(Q41-H41)+Z41</f>
        <v>0</v>
      </c>
      <c r="AC41" s="2499"/>
      <c r="AD41" s="2500"/>
      <c r="AE41" s="2145"/>
      <c r="AF41" s="629" t="e">
        <f>SUMIF(#REF!,'Schedule B'!C41,#REF!)</f>
        <v>#REF!</v>
      </c>
      <c r="AG41" s="539"/>
      <c r="AH41" s="539" t="e">
        <f>AF41-#REF!</f>
        <v>#REF!</v>
      </c>
      <c r="AI41" s="539" t="e">
        <f>AF41-Q41</f>
        <v>#REF!</v>
      </c>
      <c r="AJ41" s="539" t="e">
        <f>N41-AH41</f>
        <v>#REF!</v>
      </c>
    </row>
    <row r="42" spans="1:36" ht="12.75" hidden="1" customHeight="1" outlineLevel="1" thickBot="1">
      <c r="A42" s="2139"/>
      <c r="B42" s="2139"/>
      <c r="C42" s="2142"/>
      <c r="D42" s="2142"/>
      <c r="E42" s="2143"/>
      <c r="F42" s="2532"/>
      <c r="H42" s="2144"/>
      <c r="I42" s="2144"/>
      <c r="J42" s="2144"/>
      <c r="K42" s="2144"/>
      <c r="M42" s="2144"/>
      <c r="N42" s="2144"/>
      <c r="O42" s="2144"/>
      <c r="P42" s="2144"/>
      <c r="Q42" s="2144"/>
      <c r="S42" s="2144"/>
      <c r="U42" s="2144"/>
      <c r="V42" s="2144"/>
      <c r="X42" s="2144"/>
      <c r="Y42" s="2144"/>
      <c r="Z42" s="181"/>
      <c r="AA42" s="182"/>
      <c r="AC42" s="2499"/>
      <c r="AD42" s="2500"/>
      <c r="AE42" s="2145"/>
      <c r="AF42" s="629"/>
      <c r="AG42" s="539"/>
      <c r="AH42" s="539"/>
      <c r="AI42" s="539"/>
      <c r="AJ42" s="539"/>
    </row>
    <row r="43" spans="1:36" ht="24" hidden="1" customHeight="1" outlineLevel="1" thickBot="1">
      <c r="A43" s="2527"/>
      <c r="B43" s="2527"/>
      <c r="C43" s="2528" t="s">
        <v>489</v>
      </c>
      <c r="D43" s="2529"/>
      <c r="E43" s="2530">
        <f>SUM(E38:E42)</f>
        <v>0</v>
      </c>
      <c r="F43" s="2990">
        <f>SUM(F38:F42)</f>
        <v>0</v>
      </c>
      <c r="G43" s="784"/>
      <c r="H43" s="2531">
        <f>SUM(H38:H42)</f>
        <v>0</v>
      </c>
      <c r="I43" s="2531">
        <f>SUM(I38:I42)</f>
        <v>0</v>
      </c>
      <c r="J43" s="2531"/>
      <c r="K43" s="2531">
        <f>SUM(K38:K42)</f>
        <v>0</v>
      </c>
      <c r="L43" s="784"/>
      <c r="M43" s="2531">
        <f t="shared" ref="M43:Q43" si="14">SUM(M38:M42)</f>
        <v>0</v>
      </c>
      <c r="N43" s="2531">
        <f t="shared" si="14"/>
        <v>0</v>
      </c>
      <c r="O43" s="2531">
        <f t="shared" si="14"/>
        <v>0</v>
      </c>
      <c r="P43" s="2531">
        <f t="shared" si="14"/>
        <v>0</v>
      </c>
      <c r="Q43" s="2531">
        <f t="shared" si="14"/>
        <v>0</v>
      </c>
      <c r="S43" s="2531">
        <f>SUM(S38:S42)</f>
        <v>0</v>
      </c>
      <c r="T43" s="784"/>
      <c r="U43" s="2531">
        <f>SUM(U38:U42)</f>
        <v>0</v>
      </c>
      <c r="V43" s="2531">
        <f>SUM(V38:V42)</f>
        <v>0</v>
      </c>
      <c r="W43" s="784"/>
      <c r="X43" s="2531">
        <v>0</v>
      </c>
      <c r="Y43" s="2531">
        <f>SUM(Y38:Y42)</f>
        <v>0</v>
      </c>
      <c r="Z43" s="181"/>
      <c r="AA43" s="182"/>
      <c r="AC43" s="2499"/>
      <c r="AD43" s="2500"/>
      <c r="AE43" s="2145"/>
      <c r="AF43" s="629"/>
      <c r="AG43" s="539"/>
      <c r="AH43" s="539"/>
      <c r="AI43" s="539"/>
      <c r="AJ43" s="539"/>
    </row>
    <row r="44" spans="1:36" ht="15" hidden="1" customHeight="1" outlineLevel="1" thickBot="1">
      <c r="A44" s="2513"/>
      <c r="B44" s="2513"/>
      <c r="C44" s="2514"/>
      <c r="D44" s="2514"/>
      <c r="E44" s="2143"/>
      <c r="F44" s="2532"/>
      <c r="H44" s="2144"/>
      <c r="I44" s="2505"/>
      <c r="J44" s="2505"/>
      <c r="K44" s="2144"/>
      <c r="M44" s="2505"/>
      <c r="N44" s="2505"/>
      <c r="O44" s="2505"/>
      <c r="P44" s="2505"/>
      <c r="Q44" s="2144"/>
      <c r="S44" s="2144"/>
      <c r="U44" s="2144"/>
      <c r="V44" s="2506"/>
      <c r="X44" s="2144"/>
      <c r="Y44" s="2506"/>
      <c r="Z44" s="181">
        <f>H44-Q44</f>
        <v>0</v>
      </c>
      <c r="AA44" s="182">
        <f>(Q44-H44)+Z44</f>
        <v>0</v>
      </c>
      <c r="AC44" s="2499"/>
      <c r="AD44" s="2500"/>
      <c r="AE44" s="2145"/>
      <c r="AI44" s="164">
        <v>102</v>
      </c>
    </row>
    <row r="45" spans="1:36" s="167" customFormat="1" ht="33" customHeight="1" collapsed="1" thickBot="1">
      <c r="A45" s="2534" t="s">
        <v>485</v>
      </c>
      <c r="B45" s="2518"/>
      <c r="C45" s="2519" t="s">
        <v>490</v>
      </c>
      <c r="D45" s="2519"/>
      <c r="E45" s="2520">
        <f>E43+E37</f>
        <v>0</v>
      </c>
      <c r="F45" s="2987">
        <f>F43+F37</f>
        <v>13296114.380000001</v>
      </c>
      <c r="G45" s="164"/>
      <c r="H45" s="2520">
        <f>H43+H37</f>
        <v>13296114.380000001</v>
      </c>
      <c r="I45" s="2520">
        <f>I43+I37</f>
        <v>1071977</v>
      </c>
      <c r="J45" s="2520">
        <f>SUM(J33:J36)</f>
        <v>0</v>
      </c>
      <c r="K45" s="2520">
        <f>K43+K37</f>
        <v>14368091.380000001</v>
      </c>
      <c r="L45" s="164"/>
      <c r="M45" s="2520">
        <f t="shared" ref="M45:Q45" si="15">M43+M37</f>
        <v>-53507</v>
      </c>
      <c r="N45" s="2520">
        <f t="shared" si="15"/>
        <v>-49207</v>
      </c>
      <c r="O45" s="2520">
        <f t="shared" si="15"/>
        <v>0</v>
      </c>
      <c r="P45" s="2520">
        <f t="shared" si="15"/>
        <v>0</v>
      </c>
      <c r="Q45" s="2520">
        <f t="shared" si="15"/>
        <v>14265377.380000001</v>
      </c>
      <c r="R45" s="164"/>
      <c r="S45" s="2520">
        <f>S43+S37</f>
        <v>969263</v>
      </c>
      <c r="T45" s="164"/>
      <c r="U45" s="2520">
        <f>U43+U37</f>
        <v>14265377.640000001</v>
      </c>
      <c r="V45" s="2520">
        <f>V43+V37</f>
        <v>-0.25999999999476131</v>
      </c>
      <c r="W45" s="164"/>
      <c r="X45" s="2521">
        <v>14265377.380000001</v>
      </c>
      <c r="Y45" s="2521">
        <f>Y43+Y37</f>
        <v>0</v>
      </c>
      <c r="Z45" s="181">
        <f>H45-Q45</f>
        <v>-969263</v>
      </c>
      <c r="AA45" s="182">
        <f>(Q45-H45)+Z45</f>
        <v>0</v>
      </c>
      <c r="AC45" s="2524"/>
      <c r="AD45" s="2525"/>
      <c r="AE45" s="2526"/>
    </row>
    <row r="46" spans="1:36" ht="15.75" customHeight="1" thickTop="1">
      <c r="A46" s="179"/>
      <c r="B46" s="179"/>
      <c r="C46" s="183"/>
      <c r="D46" s="183"/>
      <c r="E46" s="780"/>
      <c r="F46" s="2985"/>
      <c r="H46" s="180"/>
      <c r="I46" s="180"/>
      <c r="J46" s="180"/>
      <c r="K46" s="180"/>
      <c r="M46" s="180"/>
      <c r="N46" s="180"/>
      <c r="O46" s="180"/>
      <c r="P46" s="180"/>
      <c r="Q46" s="180"/>
      <c r="S46" s="180"/>
      <c r="U46" s="180"/>
      <c r="V46" s="180"/>
      <c r="X46" s="180"/>
      <c r="Y46" s="180"/>
      <c r="Z46" s="181"/>
      <c r="AA46" s="182"/>
      <c r="AC46" s="2499"/>
      <c r="AD46" s="2500"/>
      <c r="AE46" s="2145"/>
    </row>
    <row r="47" spans="1:36" s="167" customFormat="1" ht="33" customHeight="1" thickBot="1">
      <c r="A47" s="2517" t="s">
        <v>491</v>
      </c>
      <c r="B47" s="2517"/>
      <c r="C47" s="2522" t="s">
        <v>492</v>
      </c>
      <c r="D47" s="2522"/>
      <c r="E47" s="2523"/>
      <c r="F47" s="2989"/>
      <c r="G47" s="164"/>
      <c r="H47" s="2523"/>
      <c r="I47" s="2523"/>
      <c r="J47" s="2523"/>
      <c r="K47" s="2523"/>
      <c r="L47" s="164"/>
      <c r="M47" s="2523"/>
      <c r="N47" s="2523"/>
      <c r="O47" s="2523"/>
      <c r="P47" s="2523"/>
      <c r="Q47" s="2523"/>
      <c r="R47" s="164"/>
      <c r="S47" s="2523"/>
      <c r="T47" s="164"/>
      <c r="U47" s="2523"/>
      <c r="V47" s="2523"/>
      <c r="W47" s="164"/>
      <c r="X47" s="2521"/>
      <c r="Y47" s="2521"/>
      <c r="Z47" s="181">
        <f>H47-Q47</f>
        <v>0</v>
      </c>
      <c r="AA47" s="182">
        <f>(Q47-H47)+Z47</f>
        <v>0</v>
      </c>
      <c r="AC47" s="2524"/>
      <c r="AD47" s="2525"/>
      <c r="AE47" s="2526"/>
    </row>
    <row r="48" spans="1:36" ht="17.25" hidden="1" customHeight="1" outlineLevel="1" thickBot="1">
      <c r="A48" s="2139"/>
      <c r="B48" s="2503"/>
      <c r="C48" s="2504"/>
      <c r="D48" s="2504"/>
      <c r="E48" s="2143"/>
      <c r="F48" s="2532"/>
      <c r="H48" s="2144"/>
      <c r="I48" s="2505"/>
      <c r="J48" s="2505"/>
      <c r="K48" s="2506"/>
      <c r="M48" s="2144"/>
      <c r="N48" s="2144"/>
      <c r="O48" s="2505"/>
      <c r="P48" s="2505"/>
      <c r="Q48" s="2506"/>
      <c r="S48" s="2506"/>
      <c r="U48" s="2506"/>
      <c r="V48" s="2506"/>
      <c r="X48" s="2506"/>
      <c r="Y48" s="2506"/>
      <c r="Z48" s="181">
        <f>H48-Q48</f>
        <v>0</v>
      </c>
      <c r="AA48" s="182">
        <f>(Q48-H48)+Z48</f>
        <v>0</v>
      </c>
      <c r="AC48" s="2499"/>
      <c r="AD48" s="2500"/>
      <c r="AE48" s="2145"/>
    </row>
    <row r="49" spans="1:36" ht="33" hidden="1" customHeight="1" outlineLevel="1" thickTop="1">
      <c r="A49" s="2535"/>
      <c r="B49" s="2535"/>
      <c r="C49" s="2536"/>
      <c r="D49" s="2536"/>
      <c r="E49" s="2537"/>
      <c r="F49" s="2991"/>
      <c r="H49" s="2538"/>
      <c r="I49" s="2538"/>
      <c r="J49" s="2538"/>
      <c r="K49" s="2538"/>
      <c r="M49" s="2538"/>
      <c r="N49" s="2538"/>
      <c r="O49" s="2538"/>
      <c r="P49" s="2538"/>
      <c r="Q49" s="2538"/>
      <c r="S49" s="2538"/>
      <c r="U49" s="2538"/>
      <c r="V49" s="2538"/>
      <c r="X49" s="2538"/>
      <c r="Y49" s="2538"/>
      <c r="Z49" s="181">
        <f>H49-Q49</f>
        <v>0</v>
      </c>
      <c r="AA49" s="182">
        <f>(Q49-H49)+Z49</f>
        <v>0</v>
      </c>
      <c r="AC49" s="2539"/>
      <c r="AD49" s="2540"/>
      <c r="AE49" s="2145"/>
    </row>
    <row r="50" spans="1:36" ht="34.5" hidden="1" customHeight="1" outlineLevel="1" thickTop="1">
      <c r="A50" s="2139"/>
      <c r="B50" s="2139"/>
      <c r="C50" s="2142"/>
      <c r="D50" s="2141"/>
      <c r="E50" s="2143"/>
      <c r="F50" s="2532"/>
      <c r="H50" s="2144"/>
      <c r="I50" s="2144">
        <f>SUMIFS('Schedule C'!$AZ$21:$AZ$102,'Schedule C'!$M$21:$M$102,'Schedule B'!$B50,'Schedule C'!$AY$21:$AY$102,"ACTIVE",'Schedule C'!$AF$21:$AF$102,"ACTIVE",'Schedule C'!$X$21:$X$102,"ACTIVE")</f>
        <v>0</v>
      </c>
      <c r="J50" s="2144"/>
      <c r="K50" s="2144">
        <f>SUM(H50:I50)</f>
        <v>0</v>
      </c>
      <c r="M50" s="2144">
        <f>SUMIFS('Schedule C'!$AG$21:$AG$102,'Schedule C'!$M$21:$M$102,'Schedule B'!$B50,'Schedule C'!$AY$21:$AY$102,"NOT ACTIVE",'Schedule C'!$AF$21:$AF$102,"ACTIVE",'Schedule C'!$X$21:$X$102,"ACTIVE")</f>
        <v>0</v>
      </c>
      <c r="N50" s="2144">
        <f>SUMIFS('Schedule C'!$Y$21:$Y$102,'Schedule C'!$M$21:$M$102,'Schedule B'!$B50,'Schedule C'!$AY$21:$AY$102,"NOT ACTIVE",'Schedule C'!$AF$21:$AF$102,"NOT ACTIVE",'Schedule C'!$X$21:$X$102,"ACTIVE")</f>
        <v>0</v>
      </c>
      <c r="O50" s="2144">
        <f>SUMIF('Schedule C'!$M$21:$M$102,'Schedule B'!B50,'Schedule C'!$Q$21:$Q$102)</f>
        <v>0</v>
      </c>
      <c r="P50" s="2144">
        <v>0</v>
      </c>
      <c r="Q50" s="2144">
        <f>SUM(K50:P50)</f>
        <v>0</v>
      </c>
      <c r="S50" s="2144">
        <f>Q50-H50</f>
        <v>0</v>
      </c>
      <c r="U50" s="2144"/>
      <c r="V50" s="2144">
        <f>Q50-U50</f>
        <v>0</v>
      </c>
      <c r="X50" s="2144">
        <v>0</v>
      </c>
      <c r="Y50" s="2144">
        <f>Q50-X50</f>
        <v>0</v>
      </c>
      <c r="Z50" s="181">
        <f>H50-Q50</f>
        <v>0</v>
      </c>
      <c r="AA50" s="182">
        <f>(Q50-H50)+Z50</f>
        <v>0</v>
      </c>
      <c r="AC50" s="2499"/>
      <c r="AD50" s="2500"/>
      <c r="AE50" s="2145"/>
      <c r="AF50" s="629" t="e">
        <f>SUMIF(#REF!,'Schedule B'!C50,#REF!)</f>
        <v>#REF!</v>
      </c>
      <c r="AG50" s="539"/>
      <c r="AH50" s="539" t="e">
        <f>AF50-#REF!</f>
        <v>#REF!</v>
      </c>
      <c r="AI50" s="539" t="e">
        <f>AF50-Q50</f>
        <v>#REF!</v>
      </c>
      <c r="AJ50" s="539" t="e">
        <f>N50-AH50</f>
        <v>#REF!</v>
      </c>
    </row>
    <row r="51" spans="1:36" ht="12.75" hidden="1" customHeight="1" outlineLevel="1" thickTop="1">
      <c r="A51" s="2139"/>
      <c r="B51" s="2139"/>
      <c r="C51" s="2142"/>
      <c r="D51" s="2142"/>
      <c r="E51" s="2143"/>
      <c r="F51" s="2532"/>
      <c r="H51" s="2144"/>
      <c r="I51" s="2144"/>
      <c r="J51" s="2144"/>
      <c r="K51" s="2144"/>
      <c r="M51" s="2144"/>
      <c r="N51" s="2144"/>
      <c r="O51" s="2144"/>
      <c r="P51" s="2144"/>
      <c r="Q51" s="2144"/>
      <c r="S51" s="2144"/>
      <c r="U51" s="2144"/>
      <c r="V51" s="2144"/>
      <c r="X51" s="2144"/>
      <c r="Y51" s="2144"/>
      <c r="Z51" s="181"/>
      <c r="AA51" s="182"/>
      <c r="AC51" s="2499"/>
      <c r="AD51" s="2500"/>
      <c r="AE51" s="2145"/>
      <c r="AF51" s="629"/>
      <c r="AG51" s="539"/>
      <c r="AH51" s="539"/>
      <c r="AI51" s="539"/>
      <c r="AJ51" s="539"/>
    </row>
    <row r="52" spans="1:36" ht="24" hidden="1" customHeight="1" outlineLevel="1" thickTop="1">
      <c r="A52" s="2527"/>
      <c r="B52" s="2527"/>
      <c r="C52" s="2528" t="s">
        <v>489</v>
      </c>
      <c r="D52" s="2529"/>
      <c r="E52" s="2530">
        <f t="shared" ref="E52:V52" si="16">SUM(E48:E51)</f>
        <v>0</v>
      </c>
      <c r="F52" s="2990">
        <f t="shared" si="16"/>
        <v>0</v>
      </c>
      <c r="H52" s="2531">
        <f t="shared" si="16"/>
        <v>0</v>
      </c>
      <c r="I52" s="2531">
        <f t="shared" si="16"/>
        <v>0</v>
      </c>
      <c r="J52" s="2531"/>
      <c r="K52" s="2531">
        <f t="shared" si="16"/>
        <v>0</v>
      </c>
      <c r="M52" s="2531">
        <f t="shared" si="16"/>
        <v>0</v>
      </c>
      <c r="N52" s="2531">
        <f t="shared" si="16"/>
        <v>0</v>
      </c>
      <c r="O52" s="2531">
        <f>SUM(O48:O51)</f>
        <v>0</v>
      </c>
      <c r="P52" s="2531">
        <f t="shared" si="16"/>
        <v>0</v>
      </c>
      <c r="Q52" s="2531">
        <f t="shared" si="16"/>
        <v>0</v>
      </c>
      <c r="S52" s="2531">
        <f t="shared" si="16"/>
        <v>0</v>
      </c>
      <c r="U52" s="2531">
        <f t="shared" si="16"/>
        <v>0</v>
      </c>
      <c r="V52" s="2531">
        <f t="shared" si="16"/>
        <v>0</v>
      </c>
      <c r="X52" s="2531">
        <v>0</v>
      </c>
      <c r="Y52" s="2531">
        <f>SUM(Y48:Y51)</f>
        <v>0</v>
      </c>
      <c r="Z52" s="181"/>
      <c r="AA52" s="182"/>
      <c r="AC52" s="2499"/>
      <c r="AD52" s="2500"/>
      <c r="AE52" s="2145"/>
      <c r="AF52" s="629"/>
      <c r="AG52" s="539"/>
      <c r="AH52" s="539"/>
      <c r="AI52" s="539"/>
      <c r="AJ52" s="539"/>
    </row>
    <row r="53" spans="1:36" ht="12.75" hidden="1" customHeight="1" outlineLevel="1" thickTop="1">
      <c r="A53" s="2139"/>
      <c r="B53" s="2139"/>
      <c r="C53" s="2142"/>
      <c r="D53" s="2142"/>
      <c r="E53" s="2143"/>
      <c r="F53" s="2532"/>
      <c r="H53" s="2144"/>
      <c r="I53" s="2144"/>
      <c r="J53" s="2144"/>
      <c r="K53" s="2144"/>
      <c r="M53" s="2144"/>
      <c r="N53" s="2144"/>
      <c r="O53" s="2144"/>
      <c r="P53" s="2144"/>
      <c r="Q53" s="2144"/>
      <c r="S53" s="2144"/>
      <c r="U53" s="2144"/>
      <c r="V53" s="2144"/>
      <c r="X53" s="2144"/>
      <c r="Y53" s="2144"/>
      <c r="Z53" s="181"/>
      <c r="AA53" s="182"/>
      <c r="AC53" s="2499"/>
      <c r="AD53" s="2500"/>
      <c r="AE53" s="2145"/>
      <c r="AF53" s="629"/>
      <c r="AG53" s="539"/>
      <c r="AH53" s="539"/>
      <c r="AI53" s="539"/>
      <c r="AJ53" s="539"/>
    </row>
    <row r="54" spans="1:36" ht="34.5" hidden="1" customHeight="1" outlineLevel="1" thickTop="1">
      <c r="A54" s="2139"/>
      <c r="B54" s="2139"/>
      <c r="C54" s="2142"/>
      <c r="D54" s="2141"/>
      <c r="E54" s="2143"/>
      <c r="F54" s="2532"/>
      <c r="H54" s="2144"/>
      <c r="I54" s="2144">
        <f>SUMIFS('Schedule C'!$AZ$21:$AZ$102,'Schedule C'!$M$21:$M$102,'Schedule B'!$B54,'Schedule C'!$AY$21:$AY$102,"ACTIVE",'Schedule C'!$AF$21:$AF$102,"ACTIVE",'Schedule C'!$X$21:$X$102,"ACTIVE")</f>
        <v>0</v>
      </c>
      <c r="J54" s="2144"/>
      <c r="K54" s="2144">
        <f>SUM(H54:I54)</f>
        <v>0</v>
      </c>
      <c r="M54" s="2144">
        <f>SUMIFS('Schedule C'!$AG$21:$AG$102,'Schedule C'!$M$21:$M$102,'Schedule B'!$B54,'Schedule C'!$AY$21:$AY$102,"NOT ACTIVE",'Schedule C'!$AF$21:$AF$102,"ACTIVE",'Schedule C'!$X$21:$X$102,"ACTIVE")</f>
        <v>0</v>
      </c>
      <c r="N54" s="2144">
        <f>SUMIFS('Schedule C'!$Y$21:$Y$102,'Schedule C'!$M$21:$M$102,'Schedule B'!$B54,'Schedule C'!$AY$21:$AY$102,"NOT ACTIVE",'Schedule C'!$AF$21:$AF$102,"NOT ACTIVE",'Schedule C'!$X$21:$X$102,"ACTIVE")</f>
        <v>0</v>
      </c>
      <c r="O54" s="2144">
        <f>SUMIF('Schedule C'!$M$21:$M$102,'Schedule B'!B54,'Schedule C'!$Q$21:$Q$102)</f>
        <v>0</v>
      </c>
      <c r="P54" s="2144">
        <v>0</v>
      </c>
      <c r="Q54" s="2144">
        <f>SUM(K54:P54)</f>
        <v>0</v>
      </c>
      <c r="S54" s="2144">
        <f>Q54-H54</f>
        <v>0</v>
      </c>
      <c r="U54" s="2144"/>
      <c r="V54" s="2144">
        <f>Q54-U54</f>
        <v>0</v>
      </c>
      <c r="X54" s="2144">
        <v>0</v>
      </c>
      <c r="Y54" s="2144">
        <f>Q54-X54</f>
        <v>0</v>
      </c>
      <c r="Z54" s="181">
        <f>H54-Q54</f>
        <v>0</v>
      </c>
      <c r="AA54" s="182">
        <f>(Q54-H54)+Z54</f>
        <v>0</v>
      </c>
      <c r="AC54" s="2499"/>
      <c r="AD54" s="2500"/>
      <c r="AE54" s="2145"/>
      <c r="AF54" s="629" t="e">
        <f>SUMIF(#REF!,'Schedule B'!C54,#REF!)</f>
        <v>#REF!</v>
      </c>
      <c r="AG54" s="539"/>
      <c r="AH54" s="539" t="e">
        <f>AF54-#REF!</f>
        <v>#REF!</v>
      </c>
      <c r="AI54" s="539" t="e">
        <f>AF54-Q54</f>
        <v>#REF!</v>
      </c>
      <c r="AJ54" s="539" t="e">
        <f>N54-AH54</f>
        <v>#REF!</v>
      </c>
    </row>
    <row r="55" spans="1:36" ht="24" hidden="1" customHeight="1" outlineLevel="1" thickTop="1">
      <c r="A55" s="2139"/>
      <c r="B55" s="2139"/>
      <c r="C55" s="2533"/>
      <c r="D55" s="2142"/>
      <c r="E55" s="2143"/>
      <c r="F55" s="2532"/>
      <c r="H55" s="2144"/>
      <c r="I55" s="2144"/>
      <c r="J55" s="2144"/>
      <c r="K55" s="2144"/>
      <c r="M55" s="2144"/>
      <c r="N55" s="2144"/>
      <c r="O55" s="2144"/>
      <c r="P55" s="2144"/>
      <c r="Q55" s="2144"/>
      <c r="S55" s="2144"/>
      <c r="U55" s="2144"/>
      <c r="V55" s="2144"/>
      <c r="X55" s="2144"/>
      <c r="Y55" s="2144"/>
      <c r="Z55" s="181">
        <f>H55-Q55</f>
        <v>0</v>
      </c>
      <c r="AA55" s="182">
        <f>(Q55-H55)+Z55</f>
        <v>0</v>
      </c>
      <c r="AC55" s="2499"/>
      <c r="AD55" s="2500"/>
      <c r="AE55" s="2145"/>
      <c r="AF55" s="629" t="e">
        <f>SUMIF(#REF!,'Schedule B'!C55,#REF!)</f>
        <v>#REF!</v>
      </c>
      <c r="AG55" s="539"/>
      <c r="AH55" s="539" t="e">
        <f>AF55-#REF!</f>
        <v>#REF!</v>
      </c>
      <c r="AI55" s="539" t="e">
        <f>AF55-Q55</f>
        <v>#REF!</v>
      </c>
      <c r="AJ55" s="539" t="e">
        <f>N55-AH55</f>
        <v>#REF!</v>
      </c>
    </row>
    <row r="56" spans="1:36" ht="24" hidden="1" customHeight="1" outlineLevel="1" thickTop="1">
      <c r="A56" s="2139"/>
      <c r="B56" s="2139"/>
      <c r="C56" s="2142"/>
      <c r="D56" s="2142"/>
      <c r="E56" s="2143"/>
      <c r="F56" s="2532"/>
      <c r="H56" s="2144"/>
      <c r="I56" s="2144">
        <f>SUMIFS('Schedule C'!$AZ$21:$AZ$102,'Schedule C'!$M$21:$M$102,'Schedule B'!$B56,'Schedule C'!$AY$21:$AY$102,"ACTIVE",'Schedule C'!$AF$21:$AF$102,"ACTIVE",'Schedule C'!$X$21:$X$102,"ACTIVE")</f>
        <v>0</v>
      </c>
      <c r="J56" s="2144"/>
      <c r="K56" s="2144">
        <f>SUM(H56:I56)</f>
        <v>0</v>
      </c>
      <c r="M56" s="2144">
        <f>SUMIFS('Schedule C'!$AG$21:$AG$102,'Schedule C'!$M$21:$M$102,'Schedule B'!$B56,'Schedule C'!$AY$21:$AY$102,"NOT ACTIVE",'Schedule C'!$AF$21:$AF$102,"ACTIVE",'Schedule C'!$X$21:$X$102,"ACTIVE")</f>
        <v>0</v>
      </c>
      <c r="N56" s="2144">
        <f>SUMIFS('Schedule C'!$Y$21:$Y$102,'Schedule C'!$M$21:$M$102,'Schedule B'!$B56,'Schedule C'!$AY$21:$AY$102,"NOT ACTIVE",'Schedule C'!$AF$21:$AF$102,"NOT ACTIVE",'Schedule C'!$X$21:$X$102,"ACTIVE")</f>
        <v>0</v>
      </c>
      <c r="O56" s="2144">
        <f>SUMIF('Schedule C'!$M$21:$M$102,'Schedule B'!B56,'Schedule C'!$Q$21:$Q$102)</f>
        <v>0</v>
      </c>
      <c r="P56" s="2144">
        <v>0</v>
      </c>
      <c r="Q56" s="2144">
        <f>SUM(K56:P56)</f>
        <v>0</v>
      </c>
      <c r="S56" s="2144">
        <f>Q56-H56</f>
        <v>0</v>
      </c>
      <c r="U56" s="2144"/>
      <c r="V56" s="2144">
        <f>Q56-U56</f>
        <v>0</v>
      </c>
      <c r="X56" s="2144">
        <v>0</v>
      </c>
      <c r="Y56" s="2144">
        <f>Q56-X56</f>
        <v>0</v>
      </c>
      <c r="Z56" s="181">
        <f>H56-Q56</f>
        <v>0</v>
      </c>
      <c r="AA56" s="182">
        <f>(Q56-H56)+Z56</f>
        <v>0</v>
      </c>
      <c r="AC56" s="2499"/>
      <c r="AD56" s="2500"/>
      <c r="AE56" s="2145"/>
      <c r="AF56" s="629" t="e">
        <f>SUMIF(#REF!,'Schedule B'!C56,#REF!)</f>
        <v>#REF!</v>
      </c>
      <c r="AG56" s="539"/>
      <c r="AH56" s="539" t="e">
        <f>AF56-#REF!</f>
        <v>#REF!</v>
      </c>
      <c r="AI56" s="539" t="e">
        <f>AF56-Q56</f>
        <v>#REF!</v>
      </c>
      <c r="AJ56" s="539" t="e">
        <f>N56-AH56</f>
        <v>#REF!</v>
      </c>
    </row>
    <row r="57" spans="1:36" ht="12.75" hidden="1" customHeight="1" outlineLevel="1" thickTop="1">
      <c r="A57" s="2139"/>
      <c r="B57" s="2139"/>
      <c r="C57" s="2142"/>
      <c r="D57" s="2142"/>
      <c r="E57" s="2143"/>
      <c r="F57" s="2532"/>
      <c r="H57" s="2144"/>
      <c r="I57" s="2144"/>
      <c r="J57" s="2144"/>
      <c r="K57" s="2144"/>
      <c r="M57" s="2144"/>
      <c r="N57" s="2144"/>
      <c r="O57" s="2144"/>
      <c r="P57" s="2144"/>
      <c r="Q57" s="2144"/>
      <c r="S57" s="2144"/>
      <c r="U57" s="2144"/>
      <c r="V57" s="2144"/>
      <c r="X57" s="2144"/>
      <c r="Y57" s="2144"/>
      <c r="Z57" s="181"/>
      <c r="AA57" s="182"/>
      <c r="AC57" s="2499"/>
      <c r="AD57" s="2500"/>
      <c r="AE57" s="2145"/>
      <c r="AF57" s="629"/>
      <c r="AG57" s="539"/>
      <c r="AH57" s="539"/>
      <c r="AI57" s="539"/>
      <c r="AJ57" s="539"/>
    </row>
    <row r="58" spans="1:36" ht="24" hidden="1" customHeight="1" outlineLevel="1" thickTop="1">
      <c r="A58" s="2527"/>
      <c r="B58" s="2527"/>
      <c r="C58" s="2528" t="s">
        <v>489</v>
      </c>
      <c r="D58" s="2529"/>
      <c r="E58" s="2530">
        <f t="shared" ref="E58:V58" si="17">SUM(E53:E57)</f>
        <v>0</v>
      </c>
      <c r="F58" s="2990">
        <f t="shared" si="17"/>
        <v>0</v>
      </c>
      <c r="H58" s="2531">
        <f t="shared" si="17"/>
        <v>0</v>
      </c>
      <c r="I58" s="2531">
        <f t="shared" si="17"/>
        <v>0</v>
      </c>
      <c r="J58" s="2531"/>
      <c r="K58" s="2531">
        <f t="shared" si="17"/>
        <v>0</v>
      </c>
      <c r="M58" s="2531">
        <f t="shared" si="17"/>
        <v>0</v>
      </c>
      <c r="N58" s="2531">
        <f t="shared" si="17"/>
        <v>0</v>
      </c>
      <c r="O58" s="2531">
        <f>SUM(O53:O57)</f>
        <v>0</v>
      </c>
      <c r="P58" s="2531">
        <f t="shared" si="17"/>
        <v>0</v>
      </c>
      <c r="Q58" s="2531">
        <f t="shared" si="17"/>
        <v>0</v>
      </c>
      <c r="S58" s="2531">
        <f t="shared" si="17"/>
        <v>0</v>
      </c>
      <c r="U58" s="2531">
        <f t="shared" si="17"/>
        <v>0</v>
      </c>
      <c r="V58" s="2531">
        <f t="shared" si="17"/>
        <v>0</v>
      </c>
      <c r="X58" s="2531">
        <v>0</v>
      </c>
      <c r="Y58" s="2531">
        <f>SUM(Y53:Y57)</f>
        <v>0</v>
      </c>
      <c r="Z58" s="181"/>
      <c r="AA58" s="182"/>
      <c r="AC58" s="2499"/>
      <c r="AD58" s="2500"/>
      <c r="AE58" s="2145"/>
      <c r="AF58" s="629"/>
      <c r="AG58" s="539"/>
      <c r="AH58" s="539"/>
      <c r="AI58" s="539"/>
      <c r="AJ58" s="539"/>
    </row>
    <row r="59" spans="1:36" ht="34.5" hidden="1" customHeight="1" outlineLevel="1" thickTop="1">
      <c r="A59" s="2139"/>
      <c r="B59" s="2139"/>
      <c r="C59" s="2142"/>
      <c r="D59" s="2141"/>
      <c r="E59" s="2143"/>
      <c r="F59" s="2532"/>
      <c r="H59" s="2144"/>
      <c r="I59" s="2144">
        <f>SUMIFS('Schedule C'!$AZ$21:$AZ$102,'Schedule C'!$M$21:$M$102,'Schedule B'!$B59,'Schedule C'!$AY$21:$AY$102,"ACTIVE",'Schedule C'!$AF$21:$AF$102,"ACTIVE",'Schedule C'!$X$21:$X$102,"ACTIVE")</f>
        <v>0</v>
      </c>
      <c r="J59" s="2144"/>
      <c r="K59" s="2144">
        <f>SUM(H59:I59)</f>
        <v>0</v>
      </c>
      <c r="M59" s="2144">
        <f>SUMIFS('Schedule C'!$AG$21:$AG$102,'Schedule C'!$M$21:$M$102,'Schedule B'!$B59,'Schedule C'!$AY$21:$AY$102,"NOT ACTIVE",'Schedule C'!$AF$21:$AF$102,"ACTIVE",'Schedule C'!$X$21:$X$102,"ACTIVE")</f>
        <v>0</v>
      </c>
      <c r="N59" s="2144">
        <f>SUMIFS('Schedule C'!$Y$21:$Y$102,'Schedule C'!$M$21:$M$102,'Schedule B'!$B59,'Schedule C'!$AY$21:$AY$102,"NOT ACTIVE",'Schedule C'!$AF$21:$AF$102,"NOT ACTIVE",'Schedule C'!$X$21:$X$102,"ACTIVE")</f>
        <v>0</v>
      </c>
      <c r="O59" s="2144">
        <f>SUMIF('Schedule C'!$M$21:$M$102,'Schedule B'!B59,'Schedule C'!$Q$21:$Q$102)</f>
        <v>0</v>
      </c>
      <c r="P59" s="2144">
        <v>0</v>
      </c>
      <c r="Q59" s="2144">
        <f>SUM(K59:P59)</f>
        <v>0</v>
      </c>
      <c r="S59" s="2144">
        <f>Q59-H59</f>
        <v>0</v>
      </c>
      <c r="U59" s="2144"/>
      <c r="V59" s="2144">
        <f>Q59-U59</f>
        <v>0</v>
      </c>
      <c r="X59" s="2144">
        <v>0</v>
      </c>
      <c r="Y59" s="2144">
        <f>Q59-X59</f>
        <v>0</v>
      </c>
      <c r="Z59" s="181">
        <f>H59-Q59</f>
        <v>0</v>
      </c>
      <c r="AA59" s="182">
        <f>(Q59-H59)+Z59</f>
        <v>0</v>
      </c>
      <c r="AC59" s="2499"/>
      <c r="AD59" s="2500"/>
      <c r="AE59" s="2145"/>
      <c r="AF59" s="629" t="e">
        <f>SUMIF(#REF!,'Schedule B'!C59,#REF!)</f>
        <v>#REF!</v>
      </c>
      <c r="AG59" s="539"/>
      <c r="AH59" s="539" t="e">
        <f>AF59-#REF!</f>
        <v>#REF!</v>
      </c>
      <c r="AI59" s="539" t="e">
        <f>AF59-Q59</f>
        <v>#REF!</v>
      </c>
      <c r="AJ59" s="539" t="e">
        <f>N59-AH59</f>
        <v>#REF!</v>
      </c>
    </row>
    <row r="60" spans="1:36" ht="33" hidden="1" customHeight="1" outlineLevel="1" thickTop="1">
      <c r="A60" s="2139"/>
      <c r="B60" s="2139"/>
      <c r="C60" s="2533"/>
      <c r="D60" s="2142"/>
      <c r="E60" s="2143"/>
      <c r="F60" s="2532"/>
      <c r="H60" s="2144"/>
      <c r="I60" s="2144"/>
      <c r="J60" s="2144"/>
      <c r="K60" s="2144"/>
      <c r="M60" s="2144"/>
      <c r="N60" s="2144"/>
      <c r="O60" s="2144"/>
      <c r="P60" s="2144"/>
      <c r="Q60" s="2144"/>
      <c r="S60" s="2144"/>
      <c r="U60" s="2144"/>
      <c r="V60" s="2144"/>
      <c r="X60" s="2144"/>
      <c r="Y60" s="2144"/>
      <c r="Z60" s="181">
        <f>H60-Q60</f>
        <v>0</v>
      </c>
      <c r="AA60" s="182">
        <f>(Q60-H60)+Z60</f>
        <v>0</v>
      </c>
      <c r="AC60" s="2499"/>
      <c r="AD60" s="2500"/>
      <c r="AE60" s="2145"/>
      <c r="AF60" s="629" t="e">
        <f>SUMIF(#REF!,'Schedule B'!C60,#REF!)</f>
        <v>#REF!</v>
      </c>
      <c r="AG60" s="539"/>
      <c r="AH60" s="539" t="e">
        <f>AF60-#REF!</f>
        <v>#REF!</v>
      </c>
      <c r="AI60" s="539" t="e">
        <f>AF60-Q60</f>
        <v>#REF!</v>
      </c>
      <c r="AJ60" s="539" t="e">
        <f>N60-AH60</f>
        <v>#REF!</v>
      </c>
    </row>
    <row r="61" spans="1:36" ht="33" hidden="1" customHeight="1" outlineLevel="1" thickTop="1">
      <c r="A61" s="2139"/>
      <c r="B61" s="2139"/>
      <c r="C61" s="2142"/>
      <c r="D61" s="2142"/>
      <c r="E61" s="2143"/>
      <c r="F61" s="2532"/>
      <c r="H61" s="2144"/>
      <c r="I61" s="2144">
        <f>SUMIFS('Schedule C'!$AZ$21:$AZ$102,'Schedule C'!$M$21:$M$102,'Schedule B'!$B61,'Schedule C'!$AY$21:$AY$102,"ACTIVE",'Schedule C'!$AF$21:$AF$102,"ACTIVE",'Schedule C'!$X$21:$X$102,"ACTIVE")</f>
        <v>0</v>
      </c>
      <c r="J61" s="2144"/>
      <c r="K61" s="2144">
        <f>SUM(H61:I61)</f>
        <v>0</v>
      </c>
      <c r="M61" s="2144">
        <f>SUMIFS('Schedule C'!$AG$21:$AG$102,'Schedule C'!$M$21:$M$102,'Schedule B'!$B61,'Schedule C'!$AY$21:$AY$102,"NOT ACTIVE",'Schedule C'!$AF$21:$AF$102,"ACTIVE",'Schedule C'!$X$21:$X$102,"ACTIVE")</f>
        <v>0</v>
      </c>
      <c r="N61" s="2144">
        <f>SUMIFS('Schedule C'!$Y$21:$Y$102,'Schedule C'!$M$21:$M$102,'Schedule B'!$B61,'Schedule C'!$AY$21:$AY$102,"NOT ACTIVE",'Schedule C'!$AF$21:$AF$102,"NOT ACTIVE",'Schedule C'!$X$21:$X$102,"ACTIVE")</f>
        <v>0</v>
      </c>
      <c r="O61" s="2144">
        <f>SUMIF('Schedule C'!$M$21:$M$102,'Schedule B'!B61,'Schedule C'!$Q$21:$Q$102)</f>
        <v>0</v>
      </c>
      <c r="P61" s="2144">
        <v>0</v>
      </c>
      <c r="Q61" s="2144">
        <f>SUM(K61:P61)</f>
        <v>0</v>
      </c>
      <c r="S61" s="2144">
        <f>Q61-H61</f>
        <v>0</v>
      </c>
      <c r="U61" s="2144"/>
      <c r="V61" s="2144">
        <f>Q61-U61</f>
        <v>0</v>
      </c>
      <c r="X61" s="2144">
        <v>0</v>
      </c>
      <c r="Y61" s="2144">
        <f>Q61-X61</f>
        <v>0</v>
      </c>
      <c r="Z61" s="181">
        <f>H61-Q61</f>
        <v>0</v>
      </c>
      <c r="AA61" s="182">
        <f>(Q61-H61)+Z61</f>
        <v>0</v>
      </c>
      <c r="AC61" s="2499"/>
      <c r="AD61" s="2500"/>
      <c r="AE61" s="2145"/>
      <c r="AF61" s="629" t="e">
        <f>SUMIF(#REF!,'Schedule B'!C61,#REF!)</f>
        <v>#REF!</v>
      </c>
      <c r="AG61" s="539"/>
      <c r="AH61" s="539" t="e">
        <f>AF61-#REF!</f>
        <v>#REF!</v>
      </c>
      <c r="AI61" s="539" t="e">
        <f>AF61-Q61</f>
        <v>#REF!</v>
      </c>
      <c r="AJ61" s="539" t="e">
        <f>N61-AH61</f>
        <v>#REF!</v>
      </c>
    </row>
    <row r="62" spans="1:36" ht="15" customHeight="1" collapsed="1" thickTop="1">
      <c r="A62" s="2513"/>
      <c r="B62" s="2513"/>
      <c r="C62" s="2514"/>
      <c r="D62" s="2514"/>
      <c r="E62" s="2143"/>
      <c r="F62" s="2532"/>
      <c r="H62" s="2144"/>
      <c r="I62" s="2505"/>
      <c r="J62" s="2505"/>
      <c r="K62" s="2144"/>
      <c r="M62" s="2505"/>
      <c r="N62" s="2505"/>
      <c r="O62" s="2505"/>
      <c r="P62" s="2505"/>
      <c r="Q62" s="2144"/>
      <c r="S62" s="2144"/>
      <c r="U62" s="2144"/>
      <c r="V62" s="2506"/>
      <c r="X62" s="2144"/>
      <c r="Y62" s="2506"/>
      <c r="Z62" s="181">
        <f>H62-Q62</f>
        <v>0</v>
      </c>
      <c r="AA62" s="182">
        <f>(Q62-H62)+Z62</f>
        <v>0</v>
      </c>
      <c r="AC62" s="2499"/>
      <c r="AD62" s="2500"/>
      <c r="AE62" s="2145"/>
      <c r="AI62" s="164">
        <v>102</v>
      </c>
    </row>
    <row r="63" spans="1:36" s="167" customFormat="1" ht="33" customHeight="1" thickBot="1">
      <c r="A63" s="2534" t="s">
        <v>491</v>
      </c>
      <c r="B63" s="2518"/>
      <c r="C63" s="2519" t="s">
        <v>493</v>
      </c>
      <c r="D63" s="2519"/>
      <c r="E63" s="2520">
        <f>E58+E52</f>
        <v>0</v>
      </c>
      <c r="F63" s="2987">
        <f>F58+F52</f>
        <v>0</v>
      </c>
      <c r="G63" s="164"/>
      <c r="H63" s="2520">
        <f>H58+H52</f>
        <v>0</v>
      </c>
      <c r="I63" s="2520">
        <f>I58+I52</f>
        <v>0</v>
      </c>
      <c r="J63" s="2520">
        <f>J58+J52</f>
        <v>0</v>
      </c>
      <c r="K63" s="2520">
        <f>K58+K52</f>
        <v>0</v>
      </c>
      <c r="L63" s="164"/>
      <c r="M63" s="2520">
        <f t="shared" ref="M63:Q63" si="18">M58+M52</f>
        <v>0</v>
      </c>
      <c r="N63" s="2520">
        <f t="shared" si="18"/>
        <v>0</v>
      </c>
      <c r="O63" s="2520">
        <f t="shared" si="18"/>
        <v>0</v>
      </c>
      <c r="P63" s="2520">
        <f t="shared" si="18"/>
        <v>0</v>
      </c>
      <c r="Q63" s="2520">
        <f t="shared" si="18"/>
        <v>0</v>
      </c>
      <c r="R63" s="164"/>
      <c r="S63" s="2520">
        <f>S58+S52</f>
        <v>0</v>
      </c>
      <c r="T63" s="164"/>
      <c r="U63" s="2520">
        <f>U58+U52</f>
        <v>0</v>
      </c>
      <c r="V63" s="2520">
        <f>V58+V52</f>
        <v>0</v>
      </c>
      <c r="W63" s="164"/>
      <c r="X63" s="2521">
        <v>0</v>
      </c>
      <c r="Y63" s="2521">
        <f>Y58+Y52</f>
        <v>0</v>
      </c>
      <c r="Z63" s="181">
        <f>H63-Q63</f>
        <v>0</v>
      </c>
      <c r="AA63" s="182">
        <f>(Q63-H63)+Z63</f>
        <v>0</v>
      </c>
      <c r="AC63" s="2524"/>
      <c r="AD63" s="2525"/>
      <c r="AE63" s="2526"/>
    </row>
    <row r="64" spans="1:36" ht="16.5" customHeight="1" thickTop="1" thickBot="1">
      <c r="A64" s="179"/>
      <c r="B64" s="179"/>
      <c r="C64" s="183"/>
      <c r="D64" s="183"/>
      <c r="E64" s="780"/>
      <c r="F64" s="2985"/>
      <c r="H64" s="180"/>
      <c r="I64" s="180"/>
      <c r="J64" s="180"/>
      <c r="K64" s="180"/>
      <c r="M64" s="180"/>
      <c r="N64" s="180"/>
      <c r="O64" s="180"/>
      <c r="P64" s="180"/>
      <c r="Q64" s="180"/>
      <c r="S64" s="180"/>
      <c r="U64" s="180"/>
      <c r="V64" s="180"/>
      <c r="X64" s="180"/>
      <c r="Y64" s="180"/>
      <c r="Z64" s="181"/>
      <c r="AA64" s="182"/>
      <c r="AC64" s="2499"/>
      <c r="AD64" s="2500"/>
      <c r="AE64" s="2145"/>
    </row>
    <row r="65" spans="1:36" s="168" customFormat="1" ht="33" customHeight="1" thickTop="1" thickBot="1">
      <c r="A65" s="773" t="s">
        <v>494</v>
      </c>
      <c r="B65" s="773"/>
      <c r="C65" s="776" t="s">
        <v>495</v>
      </c>
      <c r="D65" s="776"/>
      <c r="E65" s="777"/>
      <c r="F65" s="2992"/>
      <c r="G65" s="783"/>
      <c r="H65" s="777"/>
      <c r="I65" s="777"/>
      <c r="J65" s="777"/>
      <c r="K65" s="777"/>
      <c r="L65" s="783"/>
      <c r="M65" s="777"/>
      <c r="N65" s="777"/>
      <c r="O65" s="777"/>
      <c r="P65" s="777"/>
      <c r="Q65" s="777"/>
      <c r="R65" s="164"/>
      <c r="S65" s="777"/>
      <c r="T65" s="783"/>
      <c r="U65" s="777"/>
      <c r="V65" s="777"/>
      <c r="W65" s="783"/>
      <c r="X65" s="2521"/>
      <c r="Y65" s="2521"/>
      <c r="Z65" s="181"/>
      <c r="AA65" s="182"/>
      <c r="AC65" s="2541"/>
      <c r="AD65" s="2542"/>
      <c r="AE65" s="2543"/>
    </row>
    <row r="66" spans="1:36" ht="19.5" customHeight="1" outlineLevel="1" thickTop="1">
      <c r="A66" s="179"/>
      <c r="B66" s="179"/>
      <c r="C66" s="183"/>
      <c r="D66" s="183"/>
      <c r="E66" s="780"/>
      <c r="F66" s="2985"/>
      <c r="H66" s="180"/>
      <c r="I66" s="180"/>
      <c r="J66" s="180"/>
      <c r="K66" s="180"/>
      <c r="M66" s="180"/>
      <c r="N66" s="180"/>
      <c r="O66" s="180"/>
      <c r="P66" s="180"/>
      <c r="Q66" s="180"/>
      <c r="S66" s="180"/>
      <c r="U66" s="180"/>
      <c r="V66" s="180"/>
      <c r="X66" s="180"/>
      <c r="Y66" s="180"/>
      <c r="Z66" s="181"/>
      <c r="AA66" s="182"/>
      <c r="AC66" s="2499"/>
      <c r="AD66" s="2500"/>
      <c r="AE66" s="2145"/>
    </row>
    <row r="67" spans="1:36" s="167" customFormat="1" ht="33" customHeight="1" outlineLevel="1">
      <c r="A67" s="2544" t="s">
        <v>496</v>
      </c>
      <c r="B67" s="2544"/>
      <c r="C67" s="2545" t="s">
        <v>497</v>
      </c>
      <c r="D67" s="2545"/>
      <c r="E67" s="2546"/>
      <c r="F67" s="2993"/>
      <c r="G67" s="164"/>
      <c r="H67" s="2546"/>
      <c r="I67" s="2546"/>
      <c r="J67" s="2546"/>
      <c r="K67" s="2546"/>
      <c r="L67" s="164"/>
      <c r="M67" s="2546"/>
      <c r="N67" s="2546"/>
      <c r="O67" s="2546"/>
      <c r="P67" s="2546"/>
      <c r="Q67" s="2546"/>
      <c r="R67" s="164"/>
      <c r="S67" s="2546"/>
      <c r="T67" s="164"/>
      <c r="U67" s="2546"/>
      <c r="V67" s="2546"/>
      <c r="W67" s="164"/>
      <c r="X67" s="2546"/>
      <c r="Y67" s="2546"/>
      <c r="Z67" s="177"/>
      <c r="AA67" s="178"/>
      <c r="AC67" s="2524"/>
      <c r="AD67" s="2525"/>
      <c r="AE67" s="2526"/>
    </row>
    <row r="68" spans="1:36" ht="25.5" customHeight="1" outlineLevel="2">
      <c r="A68" s="2139"/>
      <c r="B68" s="2139"/>
      <c r="C68" s="2142"/>
      <c r="D68" s="2142"/>
      <c r="E68" s="2143"/>
      <c r="F68" s="2532"/>
      <c r="H68" s="2144"/>
      <c r="I68" s="2144"/>
      <c r="J68" s="2144"/>
      <c r="K68" s="2144"/>
      <c r="M68" s="2144"/>
      <c r="N68" s="2144"/>
      <c r="O68" s="2144"/>
      <c r="P68" s="2144"/>
      <c r="Q68" s="2144"/>
      <c r="S68" s="2144"/>
      <c r="U68" s="2144"/>
      <c r="V68" s="2144"/>
      <c r="X68" s="2144"/>
      <c r="Y68" s="2144"/>
      <c r="Z68" s="181">
        <f t="shared" ref="Z68:Z74" si="19">H68-Q68</f>
        <v>0</v>
      </c>
      <c r="AA68" s="182">
        <f t="shared" ref="AA68:AA74" si="20">(Q68-H68)+Z68</f>
        <v>0</v>
      </c>
      <c r="AC68" s="2499"/>
      <c r="AD68" s="2500"/>
      <c r="AE68" s="2145"/>
      <c r="AF68" s="628" t="s">
        <v>498</v>
      </c>
      <c r="AG68" s="538" t="s">
        <v>499</v>
      </c>
      <c r="AH68" s="538" t="s">
        <v>500</v>
      </c>
      <c r="AI68" s="538" t="s">
        <v>501</v>
      </c>
      <c r="AJ68" s="538" t="s">
        <v>501</v>
      </c>
    </row>
    <row r="69" spans="1:36" ht="36.75" customHeight="1" outlineLevel="2">
      <c r="A69" s="2139" t="s">
        <v>504</v>
      </c>
      <c r="B69" s="2510" t="s">
        <v>143</v>
      </c>
      <c r="C69" s="2141" t="s">
        <v>505</v>
      </c>
      <c r="D69" s="2142"/>
      <c r="E69" s="2143">
        <v>2799717</v>
      </c>
      <c r="F69" s="2532"/>
      <c r="H69" s="2144">
        <f>E69+F69</f>
        <v>2799717</v>
      </c>
      <c r="I69" s="2144">
        <f>SUMIFS('Schedule C'!$AZ$21:$AZ$500,'Schedule C'!$M$21:$M$500,'Schedule B'!$B69,'Schedule C'!$AY$21:$AY$500,"ACTIVE",'Schedule C'!$AF$21:$AF$500,"ACTIVE",'Schedule C'!$X$21:$X$500,"ACTIVE")</f>
        <v>0</v>
      </c>
      <c r="J69" s="2144"/>
      <c r="K69" s="2144">
        <f>SUM(H69:J69)</f>
        <v>2799717</v>
      </c>
      <c r="M69" s="2144">
        <f>SUMIFS('Schedule C'!$AG$21:$AG$500,'Schedule C'!$M$21:$M$500,'Schedule B'!$B69,'Schedule C'!$AY$21:$AY$500,"NOT ACTIVE",'Schedule C'!$AF$21:$AF$500,"ACTIVE",'Schedule C'!$X$21:$X$500,"ACTIVE")</f>
        <v>0</v>
      </c>
      <c r="N69" s="2144">
        <f>SUMIFS('Schedule C'!$Y$21:$Y$500,'Schedule C'!$M$21:$M$500,'Schedule B'!$B69,'Schedule C'!$AY$21:$AY$500,"NOT ACTIVE",'Schedule C'!$AF$21:$AF$500,"NOT ACTIVE",'Schedule C'!$X$21:$X$500,"ACTIVE")</f>
        <v>0</v>
      </c>
      <c r="O69" s="2144">
        <f>SUMIF('Schedule C'!$M$21:$M$500,'Schedule B'!B69,'Schedule C'!$Q$21:$Q$500)</f>
        <v>-500000</v>
      </c>
      <c r="P69" s="2144">
        <v>0</v>
      </c>
      <c r="Q69" s="2144">
        <f>SUM(K69:P69)</f>
        <v>2299717</v>
      </c>
      <c r="S69" s="2144">
        <f>Q69-H69</f>
        <v>-500000</v>
      </c>
      <c r="U69" s="2144">
        <f>+'Schedule H SIC'!U40</f>
        <v>1748735.9379999996</v>
      </c>
      <c r="V69" s="2144">
        <f>Q69-U69</f>
        <v>550981.06200000038</v>
      </c>
      <c r="X69" s="2144">
        <v>2299717</v>
      </c>
      <c r="Y69" s="2144">
        <f>Q69-X69</f>
        <v>0</v>
      </c>
      <c r="Z69" s="181">
        <f t="shared" si="19"/>
        <v>500000</v>
      </c>
      <c r="AA69" s="182">
        <f t="shared" si="20"/>
        <v>0</v>
      </c>
      <c r="AC69" s="2499"/>
      <c r="AD69" s="2500"/>
      <c r="AE69" s="2145"/>
      <c r="AF69" s="629" t="e">
        <f>SUMIF(#REF!,'Schedule B'!C69,#REF!)</f>
        <v>#REF!</v>
      </c>
      <c r="AG69" s="539"/>
      <c r="AH69" s="539" t="e">
        <f>AF69-#REF!</f>
        <v>#REF!</v>
      </c>
      <c r="AI69" s="539" t="e">
        <f>AF69-Q69</f>
        <v>#REF!</v>
      </c>
      <c r="AJ69" s="539" t="e">
        <f>N69-AH69</f>
        <v>#REF!</v>
      </c>
    </row>
    <row r="70" spans="1:36" ht="36.75" customHeight="1" outlineLevel="2">
      <c r="A70" s="2139" t="s">
        <v>504</v>
      </c>
      <c r="B70" s="2510" t="s">
        <v>3593</v>
      </c>
      <c r="C70" s="2141" t="s">
        <v>506</v>
      </c>
      <c r="D70" s="2142"/>
      <c r="E70" s="2143">
        <v>282972</v>
      </c>
      <c r="F70" s="2532"/>
      <c r="H70" s="2144">
        <f>E70+F70</f>
        <v>282972</v>
      </c>
      <c r="I70" s="2144">
        <f>SUMIFS('Schedule C'!$AZ$21:$AZ$500,'Schedule C'!$M$21:$M$500,'Schedule B'!$B70,'Schedule C'!$AY$21:$AY$500,"ACTIVE",'Schedule C'!$AF$21:$AF$500,"ACTIVE",'Schedule C'!$X$21:$X$500,"ACTIVE")</f>
        <v>0</v>
      </c>
      <c r="J70" s="2144"/>
      <c r="K70" s="2144">
        <f>SUM(H70:J70)</f>
        <v>282972</v>
      </c>
      <c r="M70" s="2144">
        <f>SUMIFS('Schedule C'!$AG$21:$AG$500,'Schedule C'!$M$21:$M$500,'Schedule B'!$B70,'Schedule C'!$AY$21:$AY$500,"NOT ACTIVE",'Schedule C'!$AF$21:$AF$500,"ACTIVE",'Schedule C'!$X$21:$X$500,"ACTIVE")</f>
        <v>0</v>
      </c>
      <c r="N70" s="2144">
        <f>SUMIFS('Schedule C'!$Y$21:$Y$500,'Schedule C'!$M$21:$M$500,'Schedule B'!$B70,'Schedule C'!$AY$21:$AY$500,"NOT ACTIVE",'Schedule C'!$AF$21:$AF$500,"NOT ACTIVE",'Schedule C'!$X$21:$X$500,"ACTIVE")</f>
        <v>0</v>
      </c>
      <c r="O70" s="2144">
        <f>SUMIF('Schedule C'!$M$21:$M$500,'Schedule B'!B70,'Schedule C'!$Q$21:$Q$500)</f>
        <v>-282972</v>
      </c>
      <c r="P70" s="2144">
        <v>0</v>
      </c>
      <c r="Q70" s="2144">
        <f>SUM(K70:P70)</f>
        <v>0</v>
      </c>
      <c r="S70" s="2144">
        <f>Q70-H70</f>
        <v>-282972</v>
      </c>
      <c r="U70" s="2144">
        <v>0</v>
      </c>
      <c r="V70" s="2144">
        <f>Q70-U70</f>
        <v>0</v>
      </c>
      <c r="X70" s="2144">
        <v>0</v>
      </c>
      <c r="Y70" s="2144">
        <f>Q70-X70</f>
        <v>0</v>
      </c>
      <c r="Z70" s="181">
        <f t="shared" si="19"/>
        <v>282972</v>
      </c>
      <c r="AA70" s="182">
        <f t="shared" si="20"/>
        <v>0</v>
      </c>
      <c r="AC70" s="2499"/>
      <c r="AD70" s="2500"/>
      <c r="AE70" s="2145"/>
      <c r="AF70" s="629" t="e">
        <f>SUMIF(#REF!,'Schedule B'!C70,#REF!)</f>
        <v>#REF!</v>
      </c>
      <c r="AG70" s="539"/>
      <c r="AH70" s="539" t="e">
        <f>AF70-#REF!</f>
        <v>#REF!</v>
      </c>
      <c r="AI70" s="539" t="e">
        <f>AF70-Q70</f>
        <v>#REF!</v>
      </c>
      <c r="AJ70" s="539" t="e">
        <f>N70-AH70</f>
        <v>#REF!</v>
      </c>
    </row>
    <row r="71" spans="1:36" ht="36.75" customHeight="1" outlineLevel="2">
      <c r="A71" s="2139" t="s">
        <v>502</v>
      </c>
      <c r="B71" s="2510" t="s">
        <v>151</v>
      </c>
      <c r="C71" s="2141" t="s">
        <v>503</v>
      </c>
      <c r="D71" s="2142"/>
      <c r="E71" s="2143">
        <v>4500</v>
      </c>
      <c r="F71" s="2532">
        <f>+' Schedule J SS'!G97+' Schedule J SS'!G101+' Schedule J SS'!F130</f>
        <v>18594.490000000002</v>
      </c>
      <c r="H71" s="2144">
        <f>E71+F71</f>
        <v>23094.49</v>
      </c>
      <c r="I71" s="2144">
        <f>SUMIFS('Schedule C'!$AZ$21:$AZ$500,'Schedule C'!$M$21:$M$500,'Schedule B'!$B71,'Schedule C'!$AY$21:$AY$500,"ACTIVE",'Schedule C'!$AF$21:$AF$500,"ACTIVE",'Schedule C'!$X$21:$X$500,"ACTIVE")</f>
        <v>-509.48</v>
      </c>
      <c r="J71" s="2144"/>
      <c r="K71" s="2144">
        <f>SUM(H71:J71)</f>
        <v>22585.010000000002</v>
      </c>
      <c r="M71" s="2144">
        <f>SUMIFS('Schedule C'!$AG$21:$AG$500,'Schedule C'!$M$21:$M$500,'Schedule B'!$B71,'Schedule C'!$AY$21:$AY$500,"NOT ACTIVE",'Schedule C'!$AF$21:$AF$500,"ACTIVE",'Schedule C'!$X$21:$X$500,"ACTIVE")</f>
        <v>0</v>
      </c>
      <c r="N71" s="2144">
        <f>SUMIFS('Schedule C'!$Y$21:$Y$500,'Schedule C'!$M$21:$M$500,'Schedule B'!$B71,'Schedule C'!$AY$21:$AY$500,"NOT ACTIVE",'Schedule C'!$AF$21:$AF$500,"NOT ACTIVE",'Schedule C'!$X$21:$X$500,"ACTIVE")</f>
        <v>0</v>
      </c>
      <c r="O71" s="2144">
        <f>SUMIF('Schedule C'!$M$21:$M$500,'Schedule B'!B71,'Schedule C'!$Q$21:$Q$500)</f>
        <v>0</v>
      </c>
      <c r="P71" s="2144">
        <v>0</v>
      </c>
      <c r="Q71" s="2144">
        <f>SUM(K71:P71)</f>
        <v>22585.010000000002</v>
      </c>
      <c r="S71" s="2144">
        <f>Q71-H71</f>
        <v>-509.47999999999956</v>
      </c>
      <c r="U71" s="2144">
        <f>+'Schedule H GBC'!R37</f>
        <v>18000.112500000003</v>
      </c>
      <c r="V71" s="2144">
        <f>Q71-U71</f>
        <v>4584.8974999999991</v>
      </c>
      <c r="X71" s="2144">
        <v>22585.010000000002</v>
      </c>
      <c r="Y71" s="2144">
        <f>Q71-X71</f>
        <v>0</v>
      </c>
      <c r="Z71" s="181">
        <f t="shared" si="19"/>
        <v>509.47999999999956</v>
      </c>
      <c r="AA71" s="182">
        <f t="shared" si="20"/>
        <v>0</v>
      </c>
      <c r="AC71" s="2499"/>
      <c r="AD71" s="2500"/>
      <c r="AE71" s="2145"/>
      <c r="AF71" s="629" t="e">
        <f>SUMIF(#REF!,'Schedule B'!C71,#REF!)</f>
        <v>#REF!</v>
      </c>
      <c r="AG71" s="539"/>
      <c r="AH71" s="539" t="e">
        <f>AF71-#REF!</f>
        <v>#REF!</v>
      </c>
      <c r="AI71" s="539" t="e">
        <f>AF71-Q71</f>
        <v>#REF!</v>
      </c>
      <c r="AJ71" s="539" t="e">
        <f>N71-AH71</f>
        <v>#REF!</v>
      </c>
    </row>
    <row r="72" spans="1:36" ht="25.5" customHeight="1" outlineLevel="1">
      <c r="A72" s="2139"/>
      <c r="B72" s="2139"/>
      <c r="C72" s="2142"/>
      <c r="D72" s="2142"/>
      <c r="E72" s="2143"/>
      <c r="F72" s="2532"/>
      <c r="H72" s="2144"/>
      <c r="I72" s="2144"/>
      <c r="J72" s="2144"/>
      <c r="K72" s="2144"/>
      <c r="M72" s="2144"/>
      <c r="N72" s="2144"/>
      <c r="O72" s="2144"/>
      <c r="P72" s="2144"/>
      <c r="Q72" s="2144"/>
      <c r="S72" s="2144"/>
      <c r="U72" s="2144"/>
      <c r="V72" s="2144"/>
      <c r="X72" s="2144"/>
      <c r="Y72" s="2144"/>
      <c r="Z72" s="181">
        <f t="shared" si="19"/>
        <v>0</v>
      </c>
      <c r="AA72" s="182">
        <f t="shared" si="20"/>
        <v>0</v>
      </c>
      <c r="AC72" s="2499"/>
      <c r="AD72" s="2500"/>
      <c r="AE72" s="2145"/>
      <c r="AF72" s="629" t="e">
        <f>SUMIF(#REF!,'Schedule B'!C72,#REF!)</f>
        <v>#REF!</v>
      </c>
      <c r="AG72" s="539"/>
      <c r="AH72" s="539" t="e">
        <f>AF72-#REF!</f>
        <v>#REF!</v>
      </c>
      <c r="AI72" s="539" t="e">
        <f>AF72-Q72</f>
        <v>#REF!</v>
      </c>
      <c r="AJ72" s="539" t="e">
        <f>N72-AH72</f>
        <v>#REF!</v>
      </c>
    </row>
    <row r="73" spans="1:36" s="167" customFormat="1" ht="33" customHeight="1" outlineLevel="1" thickBot="1">
      <c r="A73" s="2547" t="s">
        <v>496</v>
      </c>
      <c r="B73" s="2547"/>
      <c r="C73" s="2548" t="s">
        <v>507</v>
      </c>
      <c r="D73" s="2548"/>
      <c r="E73" s="2549">
        <f>SUM(E68:E72)</f>
        <v>3087189</v>
      </c>
      <c r="F73" s="2994">
        <f>SUM(F68:F72)</f>
        <v>18594.490000000002</v>
      </c>
      <c r="G73" s="164"/>
      <c r="H73" s="2549">
        <f>SUM(H68:H72)</f>
        <v>3105783.49</v>
      </c>
      <c r="I73" s="2549">
        <f>SUM(I68:I72)</f>
        <v>-509.48</v>
      </c>
      <c r="J73" s="2549"/>
      <c r="K73" s="2549">
        <f>SUM(K68:K72)</f>
        <v>3105274.01</v>
      </c>
      <c r="L73" s="164"/>
      <c r="M73" s="2549">
        <f t="shared" ref="M73:Q73" si="21">SUM(M68:M72)</f>
        <v>0</v>
      </c>
      <c r="N73" s="2549">
        <f t="shared" si="21"/>
        <v>0</v>
      </c>
      <c r="O73" s="2549">
        <f t="shared" si="21"/>
        <v>-782972</v>
      </c>
      <c r="P73" s="2549">
        <f t="shared" si="21"/>
        <v>0</v>
      </c>
      <c r="Q73" s="2549">
        <f t="shared" si="21"/>
        <v>2322302.0099999998</v>
      </c>
      <c r="R73" s="164"/>
      <c r="S73" s="2549">
        <f>SUM(S68:S72)</f>
        <v>-783481.48</v>
      </c>
      <c r="T73" s="164"/>
      <c r="U73" s="2549">
        <f>SUM(U68:U72)</f>
        <v>1766736.0504999997</v>
      </c>
      <c r="V73" s="2549">
        <f>SUM(V68:V72)</f>
        <v>555565.95950000035</v>
      </c>
      <c r="W73" s="164"/>
      <c r="X73" s="2549">
        <v>2322302.0099999998</v>
      </c>
      <c r="Y73" s="2549">
        <f>SUM(Y68:Y72)</f>
        <v>0</v>
      </c>
      <c r="Z73" s="181">
        <f t="shared" si="19"/>
        <v>783481.48000000045</v>
      </c>
      <c r="AA73" s="182">
        <f t="shared" si="20"/>
        <v>0</v>
      </c>
      <c r="AC73" s="2524"/>
      <c r="AD73" s="2525"/>
      <c r="AE73" s="2526"/>
    </row>
    <row r="74" spans="1:36" ht="25.5" customHeight="1" outlineLevel="1" thickTop="1">
      <c r="A74" s="2139"/>
      <c r="B74" s="2139"/>
      <c r="C74" s="2142"/>
      <c r="D74" s="2142"/>
      <c r="E74" s="2144"/>
      <c r="F74" s="2995"/>
      <c r="H74" s="2144"/>
      <c r="I74" s="2144"/>
      <c r="J74" s="2144"/>
      <c r="K74" s="2144"/>
      <c r="M74" s="2144"/>
      <c r="N74" s="2144"/>
      <c r="O74" s="2144"/>
      <c r="P74" s="2144"/>
      <c r="Q74" s="2144"/>
      <c r="S74" s="2144"/>
      <c r="U74" s="2144"/>
      <c r="V74" s="2144"/>
      <c r="X74" s="2144"/>
      <c r="Y74" s="2144"/>
      <c r="Z74" s="181">
        <f t="shared" si="19"/>
        <v>0</v>
      </c>
      <c r="AA74" s="182">
        <f t="shared" si="20"/>
        <v>0</v>
      </c>
      <c r="AC74" s="2499"/>
      <c r="AD74" s="2500"/>
      <c r="AE74" s="2145"/>
      <c r="AF74" s="629" t="e">
        <f>SUMIF(#REF!,'Schedule B'!C74,#REF!)</f>
        <v>#REF!</v>
      </c>
      <c r="AG74" s="539"/>
      <c r="AH74" s="539" t="e">
        <f>AF74-#REF!</f>
        <v>#REF!</v>
      </c>
      <c r="AI74" s="539" t="e">
        <f>AF74-Q74</f>
        <v>#REF!</v>
      </c>
      <c r="AJ74" s="539" t="e">
        <f>N74-AH74</f>
        <v>#REF!</v>
      </c>
    </row>
    <row r="75" spans="1:36" s="167" customFormat="1" ht="33" customHeight="1" outlineLevel="1">
      <c r="A75" s="2544" t="s">
        <v>508</v>
      </c>
      <c r="B75" s="2544"/>
      <c r="C75" s="2545" t="s">
        <v>509</v>
      </c>
      <c r="D75" s="2545"/>
      <c r="E75" s="2546"/>
      <c r="F75" s="2993"/>
      <c r="G75" s="164"/>
      <c r="H75" s="2546"/>
      <c r="I75" s="2546"/>
      <c r="J75" s="2546"/>
      <c r="K75" s="2546"/>
      <c r="L75" s="164"/>
      <c r="M75" s="2546"/>
      <c r="N75" s="2546"/>
      <c r="O75" s="2546"/>
      <c r="P75" s="2546"/>
      <c r="Q75" s="2546"/>
      <c r="R75" s="164"/>
      <c r="S75" s="2546"/>
      <c r="T75" s="164"/>
      <c r="U75" s="2546"/>
      <c r="V75" s="2546"/>
      <c r="W75" s="164"/>
      <c r="X75" s="2546"/>
      <c r="Y75" s="2546"/>
      <c r="Z75" s="177"/>
      <c r="AA75" s="178"/>
      <c r="AC75" s="2524"/>
      <c r="AD75" s="2525"/>
      <c r="AE75" s="2526"/>
    </row>
    <row r="76" spans="1:36" ht="24" customHeight="1" outlineLevel="2">
      <c r="A76" s="2139"/>
      <c r="B76" s="2139"/>
      <c r="C76" s="2533" t="s">
        <v>510</v>
      </c>
      <c r="D76" s="2142"/>
      <c r="E76" s="2143"/>
      <c r="F76" s="2532"/>
      <c r="H76" s="2144"/>
      <c r="I76" s="2144"/>
      <c r="J76" s="2144"/>
      <c r="K76" s="3514"/>
      <c r="M76" s="2144"/>
      <c r="N76" s="2144"/>
      <c r="O76" s="2144"/>
      <c r="P76" s="2144"/>
      <c r="Q76" s="2144"/>
      <c r="S76" s="2144"/>
      <c r="U76" s="2144"/>
      <c r="V76" s="2144"/>
      <c r="X76" s="2144"/>
      <c r="Y76" s="2144"/>
      <c r="Z76" s="181">
        <f>H76-Q76</f>
        <v>0</v>
      </c>
      <c r="AA76" s="182">
        <f>(Q76-H76)+Z76</f>
        <v>0</v>
      </c>
      <c r="AC76" s="2499"/>
      <c r="AD76" s="2500"/>
      <c r="AE76" s="2145"/>
      <c r="AF76" s="629" t="e">
        <f>SUMIF(#REF!,'Schedule B'!C76,#REF!)</f>
        <v>#REF!</v>
      </c>
      <c r="AG76" s="539"/>
      <c r="AH76" s="539" t="e">
        <f>AF76-#REF!</f>
        <v>#REF!</v>
      </c>
      <c r="AI76" s="539" t="e">
        <f>AF76-Q76</f>
        <v>#REF!</v>
      </c>
      <c r="AJ76" s="539" t="e">
        <f>N76-AH76</f>
        <v>#REF!</v>
      </c>
    </row>
    <row r="77" spans="1:36" ht="31.5" customHeight="1" outlineLevel="2">
      <c r="A77" s="2139" t="s">
        <v>504</v>
      </c>
      <c r="B77" s="2510" t="s">
        <v>147</v>
      </c>
      <c r="C77" s="2142" t="s">
        <v>511</v>
      </c>
      <c r="D77" s="2142"/>
      <c r="E77" s="2143">
        <f>18698534</f>
        <v>18698534</v>
      </c>
      <c r="F77" s="2532">
        <v>0</v>
      </c>
      <c r="H77" s="2144">
        <f>E77+F77</f>
        <v>18698534</v>
      </c>
      <c r="I77" s="2144">
        <f>SUMIFS('Schedule C'!$AZ$21:$AZ$500,'Schedule C'!$M$21:$M$500,'Schedule B'!$B77,'Schedule C'!$AY$21:$AY$500,"ACTIVE",'Schedule C'!$AF$21:$AF$500,"ACTIVE",'Schedule C'!$X$21:$X$500,"ACTIVE")</f>
        <v>-2240152.4900000002</v>
      </c>
      <c r="J77" s="2144"/>
      <c r="K77" s="2144">
        <f>SUM(H77:J77)</f>
        <v>16458381.51</v>
      </c>
      <c r="M77" s="2144">
        <f>SUMIFS('Schedule C'!$AG$21:$AG$500,'Schedule C'!$M$21:$M$500,'Schedule B'!$B77,'Schedule C'!$AY$21:$AY$500,"NOT ACTIVE",'Schedule C'!$AF$21:$AF$500,"ACTIVE",'Schedule C'!$X$21:$X$500,"ACTIVE")</f>
        <v>0</v>
      </c>
      <c r="N77" s="2144">
        <f>SUMIFS('Schedule C'!$Y$21:$Y$500,'Schedule C'!$M$21:$M$500,'Schedule B'!$B77,'Schedule C'!$AY$21:$AY$500,"NOT ACTIVE",'Schedule C'!$AF$21:$AF$500,"NOT ACTIVE",'Schedule C'!$X$21:$X$500,"ACTIVE")</f>
        <v>0</v>
      </c>
      <c r="O77" s="2144">
        <f>SUMIF('Schedule C'!$M$21:$M$500,'Schedule B'!B77,'Schedule C'!$Q$21:$Q$500)</f>
        <v>0</v>
      </c>
      <c r="P77" s="2144">
        <v>0</v>
      </c>
      <c r="Q77" s="2144">
        <f>SUM(K77:P77)</f>
        <v>16458381.51</v>
      </c>
      <c r="S77" s="2144">
        <f>Q77-H77</f>
        <v>-2240152.4900000002</v>
      </c>
      <c r="U77" s="2144">
        <f>+'Schedule H NSCC'!U114</f>
        <v>16458381.540000003</v>
      </c>
      <c r="V77" s="2144">
        <f>Q77-U77</f>
        <v>-3.0000003054738045E-2</v>
      </c>
      <c r="X77" s="2144">
        <v>16458381.51</v>
      </c>
      <c r="Y77" s="2144">
        <f>Q77-X77</f>
        <v>0</v>
      </c>
      <c r="Z77" s="181">
        <f>H77-Q77</f>
        <v>2240152.4900000002</v>
      </c>
      <c r="AA77" s="182">
        <f>(Q77-H77)+Z77</f>
        <v>0</v>
      </c>
      <c r="AC77" s="2499"/>
      <c r="AD77" s="2500"/>
      <c r="AE77" s="2145"/>
      <c r="AF77" s="629" t="e">
        <f>SUMIF(#REF!,'Schedule B'!C77,#REF!)</f>
        <v>#REF!</v>
      </c>
      <c r="AG77" s="539" t="e">
        <f>#REF!-#REF!</f>
        <v>#REF!</v>
      </c>
      <c r="AH77" s="539">
        <f>N77</f>
        <v>0</v>
      </c>
      <c r="AI77" s="539" t="e">
        <f>Q77-AG77</f>
        <v>#REF!</v>
      </c>
      <c r="AJ77" s="539">
        <f>N77-AH77</f>
        <v>0</v>
      </c>
    </row>
    <row r="78" spans="1:36" ht="15.75" outlineLevel="2">
      <c r="A78" s="2139"/>
      <c r="B78" s="2510"/>
      <c r="C78" s="2142"/>
      <c r="D78" s="2142"/>
      <c r="E78" s="2143"/>
      <c r="F78" s="2532"/>
      <c r="H78" s="2144"/>
      <c r="I78" s="2144">
        <f>SUMIFS('Schedule C'!$AZ$21:$AZ$500,'Schedule C'!$M$21:$M$500,'Schedule B'!$B78,'Schedule C'!$AY$21:$AY$500,"ACTIVE",'Schedule C'!$AF$21:$AF$500,"ACTIVE",'Schedule C'!$X$21:$X$500,"ACTIVE")</f>
        <v>0</v>
      </c>
      <c r="J78" s="2144"/>
      <c r="K78" s="2144"/>
      <c r="M78" s="2144"/>
      <c r="N78" s="2144"/>
      <c r="O78" s="2144"/>
      <c r="P78" s="2144"/>
      <c r="Q78" s="2144"/>
      <c r="S78" s="2144"/>
      <c r="U78" s="2144"/>
      <c r="V78" s="2144"/>
      <c r="X78" s="2144"/>
      <c r="Y78" s="2144"/>
      <c r="Z78" s="181"/>
      <c r="AA78" s="182"/>
      <c r="AC78" s="2499"/>
      <c r="AD78" s="2500"/>
      <c r="AE78" s="2145"/>
      <c r="AF78" s="629"/>
      <c r="AG78" s="539"/>
      <c r="AH78" s="539"/>
      <c r="AI78" s="539"/>
      <c r="AJ78" s="539"/>
    </row>
    <row r="79" spans="1:36" ht="84" customHeight="1" outlineLevel="2">
      <c r="A79" s="2139" t="s">
        <v>512</v>
      </c>
      <c r="B79" s="2140" t="s">
        <v>2269</v>
      </c>
      <c r="C79" s="4361" t="s">
        <v>2256</v>
      </c>
      <c r="D79" s="2142"/>
      <c r="E79" s="2143">
        <f>(111367894-E73+60966837+5000000)*0</f>
        <v>0</v>
      </c>
      <c r="F79" s="2996">
        <f>+'Schedule J'!I62+'Schedule J'!I60+'Schedule J'!I61+'Schedule J'!I64+'Schedule J'!I63</f>
        <v>260955414.40000001</v>
      </c>
      <c r="H79" s="2144">
        <f>E79+F79</f>
        <v>260955414.40000001</v>
      </c>
      <c r="I79" s="2144">
        <f>SUMIFS('Schedule C'!$AZ$21:$AZ$500,'Schedule C'!$M$21:$M$500,'Schedule B'!$B79,'Schedule C'!$AY$21:$AY$500,"ACTIVE",'Schedule C'!$AF$21:$AF$500,"ACTIVE",'Schedule C'!$X$21:$X$500,"ACTIVE")</f>
        <v>-91015507.700000003</v>
      </c>
      <c r="J79" s="2144"/>
      <c r="K79" s="2144">
        <f>SUM(H79:J79)</f>
        <v>169939906.69999999</v>
      </c>
      <c r="M79" s="2144">
        <f>SUMIFS('Schedule C'!$AG$21:$AG$500,'Schedule C'!$M$21:$M$500,'Schedule B'!$B79,'Schedule C'!$AY$21:$AY$500,"NOT ACTIVE",'Schedule C'!$AF$21:$AF$500,"ACTIVE",'Schedule C'!$X$21:$X$500,"ACTIVE")</f>
        <v>-19683045.699999999</v>
      </c>
      <c r="N79" s="2144">
        <f>SUMIFS('Schedule C'!$Y$21:$Y$500,'Schedule C'!$M$21:$M$500,'Schedule B'!$B79,'Schedule C'!$AY$21:$AY$500,"NOT ACTIVE",'Schedule C'!$AF$21:$AF$500,"NOT ACTIVE",'Schedule C'!$X$21:$X$500,"ACTIVE")</f>
        <v>-1065566.44</v>
      </c>
      <c r="O79" s="2144">
        <f>SUMIF('Schedule C'!$M$21:$M$500,'Schedule B'!B79,'Schedule C'!$Q$21:$Q$500)</f>
        <v>21798123.263043489</v>
      </c>
      <c r="P79" s="2144">
        <v>0</v>
      </c>
      <c r="Q79" s="2144">
        <f>SUM(K79:P79)</f>
        <v>170989417.8230435</v>
      </c>
      <c r="S79" s="2144">
        <f>Q79-H79</f>
        <v>-89965996.576956511</v>
      </c>
      <c r="U79" s="2144">
        <f>+'Schedule H'!S28</f>
        <v>170592084.65700001</v>
      </c>
      <c r="V79" s="2144">
        <f>Q79-U79</f>
        <v>397333.16604349017</v>
      </c>
      <c r="X79" s="2144">
        <v>172401764.26304349</v>
      </c>
      <c r="Y79" s="2144">
        <f>Q79-X79</f>
        <v>-1412346.4399999976</v>
      </c>
      <c r="Z79" s="181">
        <f>H79-Q79</f>
        <v>89965996.576956511</v>
      </c>
      <c r="AA79" s="182">
        <f>(Q79-H79)+Z79</f>
        <v>0</v>
      </c>
      <c r="AC79" s="2499">
        <v>189323001.68000007</v>
      </c>
      <c r="AD79" s="2500">
        <f>AC79-K79</f>
        <v>19383094.980000079</v>
      </c>
      <c r="AE79" s="2145"/>
      <c r="AF79" s="629" t="e">
        <f>SUMIF(#REF!,'Schedule B'!C79,#REF!)</f>
        <v>#REF!</v>
      </c>
      <c r="AG79" s="539" t="e">
        <f>#REF!-#REF!</f>
        <v>#REF!</v>
      </c>
      <c r="AH79" s="539">
        <f>N79</f>
        <v>-1065566.44</v>
      </c>
      <c r="AI79" s="539" t="e">
        <f>Q79-AG79</f>
        <v>#REF!</v>
      </c>
      <c r="AJ79" s="539">
        <f>N79-AH79</f>
        <v>0</v>
      </c>
    </row>
    <row r="80" spans="1:36" ht="15.75" outlineLevel="2">
      <c r="A80" s="2139"/>
      <c r="B80" s="2140"/>
      <c r="C80" s="4154" t="s">
        <v>4109</v>
      </c>
      <c r="D80" s="2142"/>
      <c r="E80" s="2143"/>
      <c r="F80" s="2996"/>
      <c r="H80" s="2144"/>
      <c r="I80" s="2144">
        <f>SUMIFS('Schedule C'!$AZ$21:$AZ$500,'Schedule C'!$M$21:$M$500,'Schedule B'!$B80,'Schedule C'!$AY$21:$AY$500,"ACTIVE",'Schedule C'!$AF$21:$AF$500,"ACTIVE",'Schedule C'!$X$21:$X$500,"ACTIVE")</f>
        <v>0</v>
      </c>
      <c r="J80" s="2144"/>
      <c r="K80" s="2144"/>
      <c r="M80" s="2144"/>
      <c r="N80" s="2144"/>
      <c r="O80" s="2144"/>
      <c r="P80" s="2144"/>
      <c r="Q80" s="2144"/>
      <c r="S80" s="2144"/>
      <c r="U80" s="2144"/>
      <c r="V80" s="2144"/>
      <c r="X80" s="2144"/>
      <c r="Y80" s="2144"/>
      <c r="Z80" s="181"/>
      <c r="AA80" s="182"/>
      <c r="AC80" s="2499"/>
      <c r="AD80" s="2500"/>
      <c r="AE80" s="2145"/>
      <c r="AF80" s="629"/>
      <c r="AG80" s="539"/>
      <c r="AH80" s="539"/>
      <c r="AI80" s="539"/>
      <c r="AJ80" s="539"/>
    </row>
    <row r="81" spans="1:36" ht="15.75" outlineLevel="2">
      <c r="A81" s="4151" t="s">
        <v>4110</v>
      </c>
      <c r="B81" s="2140" t="s">
        <v>4075</v>
      </c>
      <c r="C81" s="2141" t="s">
        <v>4075</v>
      </c>
      <c r="D81" s="2142"/>
      <c r="E81" s="2143">
        <v>0</v>
      </c>
      <c r="F81" s="2996">
        <f>+'Schedule J'!I187+'Schedule J'!I248+'Schedule J'!I296+'Schedule J'!I375+'Schedule J'!I387+'Schedule J'!I441+'Schedule J'!I483+'Schedule J'!I503+'Schedule J'!I534</f>
        <v>134895.4</v>
      </c>
      <c r="H81" s="2144">
        <f t="shared" ref="H81:H146" si="22">E81+F81</f>
        <v>134895.4</v>
      </c>
      <c r="I81" s="2144">
        <f>SUMIFS('Schedule C'!$AZ$21:$AZ$500,'Schedule C'!$M$21:$M$500,'Schedule B'!$B81,'Schedule C'!$AY$21:$AY$500,"ACTIVE",'Schedule C'!$AF$21:$AF$500,"ACTIVE",'Schedule C'!$X$21:$X$500,"ACTIVE")</f>
        <v>0</v>
      </c>
      <c r="J81" s="2144"/>
      <c r="K81" s="2144">
        <f>SUM(H81:J81)</f>
        <v>134895.4</v>
      </c>
      <c r="M81" s="2144">
        <f>SUMIFS('Schedule C'!$AG$21:$AG$500,'Schedule C'!$M$21:$M$500,'Schedule B'!$B81,'Schedule C'!$AY$21:$AY$500,"NOT ACTIVE",'Schedule C'!$AF$21:$AF$500,"ACTIVE",'Schedule C'!$X$21:$X$500,"ACTIVE")</f>
        <v>0</v>
      </c>
      <c r="N81" s="2144">
        <f>SUMIFS('Schedule C'!$Y$21:$Y$500,'Schedule C'!$M$21:$M$500,'Schedule B'!$B81,'Schedule C'!$AY$21:$AY$500,"NOT ACTIVE",'Schedule C'!$AF$21:$AF$500,"NOT ACTIVE",'Schedule C'!$X$21:$X$500,"ACTIVE")</f>
        <v>0</v>
      </c>
      <c r="O81" s="2144">
        <f>SUMIF('Schedule C'!$M$21:$M$500,'Schedule B'!B81,'Schedule C'!$Q$21:$Q$500)</f>
        <v>0</v>
      </c>
      <c r="P81" s="2144">
        <v>0</v>
      </c>
      <c r="Q81" s="2144">
        <f t="shared" ref="Q81:Q108" si="23">SUM(K81:P81)</f>
        <v>134895.4</v>
      </c>
      <c r="S81" s="2144">
        <f t="shared" ref="S81:S108" si="24">Q81-H81</f>
        <v>0</v>
      </c>
      <c r="U81" s="2144">
        <f>+Q81</f>
        <v>134895.4</v>
      </c>
      <c r="V81" s="2144">
        <f t="shared" ref="V81:V146" si="25">Q81-U81</f>
        <v>0</v>
      </c>
      <c r="X81" s="2144">
        <v>134895.4</v>
      </c>
      <c r="Y81" s="2144">
        <f>Q81-X81</f>
        <v>0</v>
      </c>
      <c r="Z81" s="181">
        <f t="shared" ref="Z81:Z94" si="26">H81-Q81</f>
        <v>0</v>
      </c>
      <c r="AA81" s="182">
        <f t="shared" ref="AA81:AA94" si="27">(Q81-H81)+Z81</f>
        <v>0</v>
      </c>
      <c r="AC81" s="2499">
        <v>189323001.68000007</v>
      </c>
      <c r="AD81" s="2500">
        <f t="shared" ref="AD81:AD94" si="28">AC81-K81</f>
        <v>189188106.28000006</v>
      </c>
      <c r="AE81" s="2145"/>
      <c r="AF81" s="629" t="e">
        <f>SUMIF(#REF!,'Schedule B'!C81,#REF!)</f>
        <v>#REF!</v>
      </c>
      <c r="AG81" s="539" t="e">
        <f>#REF!-#REF!</f>
        <v>#REF!</v>
      </c>
      <c r="AH81" s="539">
        <f t="shared" ref="AH81:AH145" si="29">N81</f>
        <v>0</v>
      </c>
      <c r="AI81" s="539" t="e">
        <f t="shared" ref="AI81:AI145" si="30">Q81-AG81</f>
        <v>#REF!</v>
      </c>
      <c r="AJ81" s="539">
        <f t="shared" ref="AJ81:AJ145" si="31">N81-AH81</f>
        <v>0</v>
      </c>
    </row>
    <row r="82" spans="1:36" ht="15.75" outlineLevel="2">
      <c r="A82" s="4151" t="s">
        <v>4110</v>
      </c>
      <c r="B82" s="2140" t="s">
        <v>4079</v>
      </c>
      <c r="C82" s="2141" t="s">
        <v>4079</v>
      </c>
      <c r="D82" s="2142"/>
      <c r="E82" s="2143">
        <v>0</v>
      </c>
      <c r="F82" s="2996">
        <f>+'Schedule J'!I188+'Schedule J'!I304+'Schedule J'!I346+'Schedule J'!I347</f>
        <v>103373.74</v>
      </c>
      <c r="H82" s="2144">
        <f t="shared" si="22"/>
        <v>103373.74</v>
      </c>
      <c r="I82" s="2144">
        <f>SUMIFS('Schedule C'!$AZ$21:$AZ$500,'Schedule C'!$M$21:$M$500,'Schedule B'!$B82,'Schedule C'!$AY$21:$AY$500,"ACTIVE",'Schedule C'!$AF$21:$AF$500,"ACTIVE",'Schedule C'!$X$21:$X$500,"ACTIVE")</f>
        <v>0</v>
      </c>
      <c r="J82" s="2144"/>
      <c r="K82" s="2144">
        <f t="shared" ref="K82:K146" si="32">SUM(H82:J82)</f>
        <v>103373.74</v>
      </c>
      <c r="M82" s="2144">
        <f>SUMIFS('Schedule C'!$AG$21:$AG$500,'Schedule C'!$M$21:$M$500,'Schedule B'!$B82,'Schedule C'!$AY$21:$AY$500,"NOT ACTIVE",'Schedule C'!$AF$21:$AF$500,"ACTIVE",'Schedule C'!$X$21:$X$500,"ACTIVE")</f>
        <v>0</v>
      </c>
      <c r="N82" s="2144">
        <f>SUMIFS('Schedule C'!$Y$21:$Y$500,'Schedule C'!$M$21:$M$500,'Schedule B'!$B82,'Schedule C'!$AY$21:$AY$500,"NOT ACTIVE",'Schedule C'!$AF$21:$AF$500,"NOT ACTIVE",'Schedule C'!$X$21:$X$500,"ACTIVE")</f>
        <v>0</v>
      </c>
      <c r="O82" s="2144">
        <f>SUMIF('Schedule C'!$M$21:$M$500,'Schedule B'!B82,'Schedule C'!$Q$21:$Q$500)</f>
        <v>0</v>
      </c>
      <c r="P82" s="2144">
        <v>0</v>
      </c>
      <c r="Q82" s="2144">
        <f t="shared" si="23"/>
        <v>103373.74</v>
      </c>
      <c r="S82" s="2144">
        <f t="shared" si="24"/>
        <v>0</v>
      </c>
      <c r="U82" s="2144">
        <f t="shared" ref="U82:U107" si="33">+Q82</f>
        <v>103373.74</v>
      </c>
      <c r="V82" s="2144">
        <f t="shared" si="25"/>
        <v>0</v>
      </c>
      <c r="X82" s="2144">
        <v>103373.74</v>
      </c>
      <c r="Y82" s="2144">
        <f t="shared" ref="Y82:Y146" si="34">Q82-X82</f>
        <v>0</v>
      </c>
      <c r="Z82" s="181">
        <f t="shared" si="26"/>
        <v>0</v>
      </c>
      <c r="AA82" s="182">
        <f t="shared" si="27"/>
        <v>0</v>
      </c>
      <c r="AC82" s="2499">
        <v>189323001.68000007</v>
      </c>
      <c r="AD82" s="2500">
        <f t="shared" si="28"/>
        <v>189219627.94000006</v>
      </c>
      <c r="AE82" s="2145"/>
      <c r="AF82" s="629" t="e">
        <f>SUMIF(#REF!,'Schedule B'!C82,#REF!)</f>
        <v>#REF!</v>
      </c>
      <c r="AG82" s="539" t="e">
        <f>#REF!-#REF!</f>
        <v>#REF!</v>
      </c>
      <c r="AH82" s="539">
        <f t="shared" si="29"/>
        <v>0</v>
      </c>
      <c r="AI82" s="539" t="e">
        <f t="shared" si="30"/>
        <v>#REF!</v>
      </c>
      <c r="AJ82" s="539">
        <f t="shared" si="31"/>
        <v>0</v>
      </c>
    </row>
    <row r="83" spans="1:36" ht="15.75" outlineLevel="2">
      <c r="A83" s="4151" t="s">
        <v>4110</v>
      </c>
      <c r="B83" s="2140" t="s">
        <v>4078</v>
      </c>
      <c r="C83" s="2141" t="s">
        <v>4078</v>
      </c>
      <c r="D83" s="2142"/>
      <c r="E83" s="2143">
        <v>0</v>
      </c>
      <c r="F83" s="2996">
        <f>+'Schedule J'!I189+'Schedule J'!I250+'Schedule J'!I314</f>
        <v>34782.61</v>
      </c>
      <c r="H83" s="2144">
        <f t="shared" si="22"/>
        <v>34782.61</v>
      </c>
      <c r="I83" s="2144">
        <f>SUMIFS('Schedule C'!$AZ$21:$AZ$500,'Schedule C'!$M$21:$M$500,'Schedule B'!$B83,'Schedule C'!$AY$21:$AY$500,"ACTIVE",'Schedule C'!$AF$21:$AF$500,"ACTIVE",'Schedule C'!$X$21:$X$500,"ACTIVE")</f>
        <v>0</v>
      </c>
      <c r="J83" s="2144"/>
      <c r="K83" s="2144">
        <f t="shared" si="32"/>
        <v>34782.61</v>
      </c>
      <c r="M83" s="2144">
        <f>SUMIFS('Schedule C'!$AG$21:$AG$500,'Schedule C'!$M$21:$M$500,'Schedule B'!$B83,'Schedule C'!$AY$21:$AY$500,"NOT ACTIVE",'Schedule C'!$AF$21:$AF$500,"ACTIVE",'Schedule C'!$X$21:$X$500,"ACTIVE")</f>
        <v>0</v>
      </c>
      <c r="N83" s="2144">
        <f>SUMIFS('Schedule C'!$Y$21:$Y$500,'Schedule C'!$M$21:$M$500,'Schedule B'!$B83,'Schedule C'!$AY$21:$AY$500,"NOT ACTIVE",'Schedule C'!$AF$21:$AF$500,"NOT ACTIVE",'Schedule C'!$X$21:$X$500,"ACTIVE")</f>
        <v>0</v>
      </c>
      <c r="O83" s="2144">
        <f>SUMIF('Schedule C'!$M$21:$M$500,'Schedule B'!B83,'Schedule C'!$Q$21:$Q$500)</f>
        <v>0</v>
      </c>
      <c r="P83" s="2144">
        <v>0</v>
      </c>
      <c r="Q83" s="2144">
        <f t="shared" si="23"/>
        <v>34782.61</v>
      </c>
      <c r="S83" s="2144">
        <f t="shared" si="24"/>
        <v>0</v>
      </c>
      <c r="U83" s="2144">
        <f t="shared" si="33"/>
        <v>34782.61</v>
      </c>
      <c r="V83" s="2144">
        <f t="shared" si="25"/>
        <v>0</v>
      </c>
      <c r="X83" s="2144">
        <v>34782.61</v>
      </c>
      <c r="Y83" s="2144">
        <f t="shared" si="34"/>
        <v>0</v>
      </c>
      <c r="Z83" s="181">
        <f t="shared" si="26"/>
        <v>0</v>
      </c>
      <c r="AA83" s="182">
        <f t="shared" si="27"/>
        <v>0</v>
      </c>
      <c r="AC83" s="2499">
        <v>189323001.68000007</v>
      </c>
      <c r="AD83" s="2500">
        <f t="shared" si="28"/>
        <v>189288219.07000005</v>
      </c>
      <c r="AE83" s="2145"/>
      <c r="AF83" s="629" t="e">
        <f>SUMIF(#REF!,'Schedule B'!C83,#REF!)</f>
        <v>#REF!</v>
      </c>
      <c r="AG83" s="539" t="e">
        <f>#REF!-#REF!</f>
        <v>#REF!</v>
      </c>
      <c r="AH83" s="539">
        <f t="shared" si="29"/>
        <v>0</v>
      </c>
      <c r="AI83" s="539" t="e">
        <f t="shared" si="30"/>
        <v>#REF!</v>
      </c>
      <c r="AJ83" s="539">
        <f t="shared" si="31"/>
        <v>0</v>
      </c>
    </row>
    <row r="84" spans="1:36" ht="15.75" outlineLevel="2">
      <c r="A84" s="4151" t="s">
        <v>4110</v>
      </c>
      <c r="B84" s="2140" t="s">
        <v>4077</v>
      </c>
      <c r="C84" s="2141" t="s">
        <v>4077</v>
      </c>
      <c r="D84" s="2142"/>
      <c r="E84" s="2143">
        <v>0</v>
      </c>
      <c r="F84" s="2996">
        <f>+'Schedule J'!I190+'Schedule J'!I345+'Schedule J'!I374+'Schedule J'!I440+'Schedule J'!I482</f>
        <v>31306.1</v>
      </c>
      <c r="H84" s="2144">
        <f t="shared" si="22"/>
        <v>31306.1</v>
      </c>
      <c r="I84" s="2144">
        <f>SUMIFS('Schedule C'!$AZ$21:$AZ$500,'Schedule C'!$M$21:$M$500,'Schedule B'!$B84,'Schedule C'!$AY$21:$AY$500,"ACTIVE",'Schedule C'!$AF$21:$AF$500,"ACTIVE",'Schedule C'!$X$21:$X$500,"ACTIVE")</f>
        <v>0</v>
      </c>
      <c r="J84" s="2144"/>
      <c r="K84" s="2144">
        <f t="shared" si="32"/>
        <v>31306.1</v>
      </c>
      <c r="M84" s="2144">
        <f>SUMIFS('Schedule C'!$AG$21:$AG$500,'Schedule C'!$M$21:$M$500,'Schedule B'!$B84,'Schedule C'!$AY$21:$AY$500,"NOT ACTIVE",'Schedule C'!$AF$21:$AF$500,"ACTIVE",'Schedule C'!$X$21:$X$500,"ACTIVE")</f>
        <v>0</v>
      </c>
      <c r="N84" s="2144">
        <f>SUMIFS('Schedule C'!$Y$21:$Y$500,'Schedule C'!$M$21:$M$500,'Schedule B'!$B84,'Schedule C'!$AY$21:$AY$500,"NOT ACTIVE",'Schedule C'!$AF$21:$AF$500,"NOT ACTIVE",'Schedule C'!$X$21:$X$500,"ACTIVE")</f>
        <v>0</v>
      </c>
      <c r="O84" s="2144">
        <f>SUMIF('Schedule C'!$M$21:$M$500,'Schedule B'!B84,'Schedule C'!$Q$21:$Q$500)</f>
        <v>0</v>
      </c>
      <c r="P84" s="2144">
        <v>0</v>
      </c>
      <c r="Q84" s="2144">
        <f t="shared" si="23"/>
        <v>31306.1</v>
      </c>
      <c r="S84" s="2144">
        <f t="shared" si="24"/>
        <v>0</v>
      </c>
      <c r="U84" s="2144">
        <f t="shared" si="33"/>
        <v>31306.1</v>
      </c>
      <c r="V84" s="2144">
        <f t="shared" si="25"/>
        <v>0</v>
      </c>
      <c r="X84" s="2144">
        <v>31306.1</v>
      </c>
      <c r="Y84" s="2144">
        <f t="shared" si="34"/>
        <v>0</v>
      </c>
      <c r="Z84" s="181">
        <f t="shared" si="26"/>
        <v>0</v>
      </c>
      <c r="AA84" s="182">
        <f t="shared" si="27"/>
        <v>0</v>
      </c>
      <c r="AC84" s="2499">
        <v>189323001.68000007</v>
      </c>
      <c r="AD84" s="2500">
        <f t="shared" si="28"/>
        <v>189291695.58000007</v>
      </c>
      <c r="AE84" s="2145"/>
      <c r="AF84" s="629" t="e">
        <f>SUMIF(#REF!,'Schedule B'!C84,#REF!)</f>
        <v>#REF!</v>
      </c>
      <c r="AG84" s="539" t="e">
        <f>#REF!-#REF!</f>
        <v>#REF!</v>
      </c>
      <c r="AH84" s="539">
        <f t="shared" si="29"/>
        <v>0</v>
      </c>
      <c r="AI84" s="539" t="e">
        <f t="shared" si="30"/>
        <v>#REF!</v>
      </c>
      <c r="AJ84" s="539">
        <f t="shared" si="31"/>
        <v>0</v>
      </c>
    </row>
    <row r="85" spans="1:36" ht="15.75" outlineLevel="2">
      <c r="A85" s="4151" t="s">
        <v>4110</v>
      </c>
      <c r="B85" s="2140" t="s">
        <v>4076</v>
      </c>
      <c r="C85" s="2141" t="s">
        <v>4076</v>
      </c>
      <c r="D85" s="2142"/>
      <c r="E85" s="2143">
        <v>0</v>
      </c>
      <c r="F85" s="2996">
        <f>+'Schedule J'!I191+'Schedule J'!I251+'Schedule J'!I295+'Schedule J'!I344+'Schedule J'!I382+'Schedule J'!I388+'Schedule J'!I540</f>
        <v>252583.81</v>
      </c>
      <c r="H85" s="2144">
        <f t="shared" si="22"/>
        <v>252583.81</v>
      </c>
      <c r="I85" s="2144">
        <f>SUMIFS('Schedule C'!$AZ$21:$AZ$500,'Schedule C'!$M$21:$M$500,'Schedule B'!$B85,'Schedule C'!$AY$21:$AY$500,"ACTIVE",'Schedule C'!$AF$21:$AF$500,"ACTIVE",'Schedule C'!$X$21:$X$500,"ACTIVE")</f>
        <v>0</v>
      </c>
      <c r="J85" s="2144"/>
      <c r="K85" s="2144">
        <f t="shared" si="32"/>
        <v>252583.81</v>
      </c>
      <c r="M85" s="2144">
        <f>SUMIFS('Schedule C'!$AG$21:$AG$500,'Schedule C'!$M$21:$M$500,'Schedule B'!$B85,'Schedule C'!$AY$21:$AY$500,"NOT ACTIVE",'Schedule C'!$AF$21:$AF$500,"ACTIVE",'Schedule C'!$X$21:$X$500,"ACTIVE")</f>
        <v>0</v>
      </c>
      <c r="N85" s="2144">
        <f>SUMIFS('Schedule C'!$Y$21:$Y$500,'Schedule C'!$M$21:$M$500,'Schedule B'!$B85,'Schedule C'!$AY$21:$AY$500,"NOT ACTIVE",'Schedule C'!$AF$21:$AF$500,"NOT ACTIVE",'Schedule C'!$X$21:$X$500,"ACTIVE")</f>
        <v>0</v>
      </c>
      <c r="O85" s="2144">
        <f>SUMIF('Schedule C'!$M$21:$M$500,'Schedule B'!B85,'Schedule C'!$Q$21:$Q$500)</f>
        <v>0</v>
      </c>
      <c r="P85" s="2144">
        <v>0</v>
      </c>
      <c r="Q85" s="2144">
        <f t="shared" si="23"/>
        <v>252583.81</v>
      </c>
      <c r="S85" s="2144">
        <f t="shared" si="24"/>
        <v>0</v>
      </c>
      <c r="U85" s="2144">
        <f t="shared" si="33"/>
        <v>252583.81</v>
      </c>
      <c r="V85" s="2144">
        <f t="shared" si="25"/>
        <v>0</v>
      </c>
      <c r="X85" s="2144">
        <v>252583.81</v>
      </c>
      <c r="Y85" s="2144">
        <f t="shared" si="34"/>
        <v>0</v>
      </c>
      <c r="Z85" s="181">
        <f t="shared" si="26"/>
        <v>0</v>
      </c>
      <c r="AA85" s="182">
        <f t="shared" si="27"/>
        <v>0</v>
      </c>
      <c r="AC85" s="2499">
        <v>189323001.68000007</v>
      </c>
      <c r="AD85" s="2500">
        <f t="shared" si="28"/>
        <v>189070417.87000006</v>
      </c>
      <c r="AE85" s="2145"/>
      <c r="AF85" s="629" t="e">
        <f>SUMIF(#REF!,'Schedule B'!C85,#REF!)</f>
        <v>#REF!</v>
      </c>
      <c r="AG85" s="539" t="e">
        <f>#REF!-#REF!</f>
        <v>#REF!</v>
      </c>
      <c r="AH85" s="539">
        <f t="shared" si="29"/>
        <v>0</v>
      </c>
      <c r="AI85" s="539" t="e">
        <f t="shared" si="30"/>
        <v>#REF!</v>
      </c>
      <c r="AJ85" s="539">
        <f t="shared" si="31"/>
        <v>0</v>
      </c>
    </row>
    <row r="86" spans="1:36" ht="15.75" outlineLevel="2">
      <c r="A86" s="4151" t="s">
        <v>4110</v>
      </c>
      <c r="B86" s="2140" t="s">
        <v>4094</v>
      </c>
      <c r="C86" s="2141" t="s">
        <v>4094</v>
      </c>
      <c r="D86" s="2142"/>
      <c r="E86" s="2143">
        <v>0</v>
      </c>
      <c r="F86" s="2996">
        <f>+'Schedule J'!I192+'Schedule J'!I252+'Schedule J'!I294+'Schedule J'!I343+'Schedule J'!I397+'Schedule J'!I408+'Schedule J'!I438+'Schedule J'!I480+'Schedule J'!I501+'Schedule J'!I532</f>
        <v>273350</v>
      </c>
      <c r="H86" s="2144">
        <f t="shared" si="22"/>
        <v>273350</v>
      </c>
      <c r="I86" s="2144">
        <f>SUMIFS('Schedule C'!$AZ$21:$AZ$500,'Schedule C'!$M$21:$M$500,'Schedule B'!$B86,'Schedule C'!$AY$21:$AY$500,"ACTIVE",'Schedule C'!$AF$21:$AF$500,"ACTIVE",'Schedule C'!$X$21:$X$500,"ACTIVE")</f>
        <v>0</v>
      </c>
      <c r="J86" s="2144"/>
      <c r="K86" s="2144">
        <f t="shared" si="32"/>
        <v>273350</v>
      </c>
      <c r="M86" s="2144">
        <f>SUMIFS('Schedule C'!$AG$21:$AG$500,'Schedule C'!$M$21:$M$500,'Schedule B'!$B86,'Schedule C'!$AY$21:$AY$500,"NOT ACTIVE",'Schedule C'!$AF$21:$AF$500,"ACTIVE",'Schedule C'!$X$21:$X$500,"ACTIVE")</f>
        <v>0</v>
      </c>
      <c r="N86" s="2144">
        <f>SUMIFS('Schedule C'!$Y$21:$Y$500,'Schedule C'!$M$21:$M$500,'Schedule B'!$B86,'Schedule C'!$AY$21:$AY$500,"NOT ACTIVE",'Schedule C'!$AF$21:$AF$500,"NOT ACTIVE",'Schedule C'!$X$21:$X$500,"ACTIVE")</f>
        <v>0</v>
      </c>
      <c r="O86" s="2144">
        <f>SUMIF('Schedule C'!$M$21:$M$500,'Schedule B'!B86,'Schedule C'!$Q$21:$Q$500)</f>
        <v>0</v>
      </c>
      <c r="P86" s="2144">
        <v>0</v>
      </c>
      <c r="Q86" s="2144">
        <f t="shared" si="23"/>
        <v>273350</v>
      </c>
      <c r="S86" s="2144">
        <f t="shared" si="24"/>
        <v>0</v>
      </c>
      <c r="U86" s="2144">
        <f t="shared" si="33"/>
        <v>273350</v>
      </c>
      <c r="V86" s="2144">
        <f t="shared" si="25"/>
        <v>0</v>
      </c>
      <c r="X86" s="2144">
        <v>273350</v>
      </c>
      <c r="Y86" s="2144">
        <f t="shared" si="34"/>
        <v>0</v>
      </c>
      <c r="Z86" s="181">
        <f t="shared" si="26"/>
        <v>0</v>
      </c>
      <c r="AA86" s="182">
        <f t="shared" si="27"/>
        <v>0</v>
      </c>
      <c r="AC86" s="2499">
        <v>189323001.68000007</v>
      </c>
      <c r="AD86" s="2500">
        <f t="shared" si="28"/>
        <v>189049651.68000007</v>
      </c>
      <c r="AE86" s="2145"/>
      <c r="AF86" s="629" t="e">
        <f>SUMIF(#REF!,'Schedule B'!C86,#REF!)</f>
        <v>#REF!</v>
      </c>
      <c r="AG86" s="539" t="e">
        <f>#REF!-#REF!</f>
        <v>#REF!</v>
      </c>
      <c r="AH86" s="539">
        <f t="shared" si="29"/>
        <v>0</v>
      </c>
      <c r="AI86" s="539" t="e">
        <f t="shared" si="30"/>
        <v>#REF!</v>
      </c>
      <c r="AJ86" s="539">
        <f t="shared" si="31"/>
        <v>0</v>
      </c>
    </row>
    <row r="87" spans="1:36" ht="31.5" outlineLevel="2">
      <c r="A87" s="4151" t="s">
        <v>4110</v>
      </c>
      <c r="B87" s="2140" t="s">
        <v>4095</v>
      </c>
      <c r="C87" s="2141" t="s">
        <v>4095</v>
      </c>
      <c r="D87" s="2142"/>
      <c r="E87" s="2143">
        <v>0</v>
      </c>
      <c r="F87" s="2996">
        <f>+'Schedule J'!I193</f>
        <v>14349</v>
      </c>
      <c r="H87" s="2144">
        <f t="shared" si="22"/>
        <v>14349</v>
      </c>
      <c r="I87" s="2144">
        <f>SUMIFS('Schedule C'!$AZ$21:$AZ$500,'Schedule C'!$M$21:$M$500,'Schedule B'!$B87,'Schedule C'!$AY$21:$AY$500,"ACTIVE",'Schedule C'!$AF$21:$AF$500,"ACTIVE",'Schedule C'!$X$21:$X$500,"ACTIVE")</f>
        <v>0</v>
      </c>
      <c r="J87" s="2144"/>
      <c r="K87" s="2144">
        <f t="shared" si="32"/>
        <v>14349</v>
      </c>
      <c r="M87" s="2144">
        <f>SUMIFS('Schedule C'!$AG$21:$AG$500,'Schedule C'!$M$21:$M$500,'Schedule B'!$B87,'Schedule C'!$AY$21:$AY$500,"NOT ACTIVE",'Schedule C'!$AF$21:$AF$500,"ACTIVE",'Schedule C'!$X$21:$X$500,"ACTIVE")</f>
        <v>0</v>
      </c>
      <c r="N87" s="2144">
        <f>SUMIFS('Schedule C'!$Y$21:$Y$500,'Schedule C'!$M$21:$M$500,'Schedule B'!$B87,'Schedule C'!$AY$21:$AY$500,"NOT ACTIVE",'Schedule C'!$AF$21:$AF$500,"NOT ACTIVE",'Schedule C'!$X$21:$X$500,"ACTIVE")</f>
        <v>0</v>
      </c>
      <c r="O87" s="2144">
        <f>SUMIF('Schedule C'!$M$21:$M$500,'Schedule B'!B87,'Schedule C'!$Q$21:$Q$500)</f>
        <v>0</v>
      </c>
      <c r="P87" s="2144">
        <v>0</v>
      </c>
      <c r="Q87" s="2144">
        <f t="shared" si="23"/>
        <v>14349</v>
      </c>
      <c r="S87" s="2144">
        <f t="shared" si="24"/>
        <v>0</v>
      </c>
      <c r="U87" s="2144">
        <f t="shared" si="33"/>
        <v>14349</v>
      </c>
      <c r="V87" s="2144">
        <f t="shared" si="25"/>
        <v>0</v>
      </c>
      <c r="X87" s="2144">
        <v>14349</v>
      </c>
      <c r="Y87" s="2144">
        <f t="shared" si="34"/>
        <v>0</v>
      </c>
      <c r="Z87" s="181">
        <f t="shared" si="26"/>
        <v>0</v>
      </c>
      <c r="AA87" s="182">
        <f t="shared" si="27"/>
        <v>0</v>
      </c>
      <c r="AC87" s="2499">
        <v>189323001.68000007</v>
      </c>
      <c r="AD87" s="2500">
        <f t="shared" si="28"/>
        <v>189308652.68000007</v>
      </c>
      <c r="AE87" s="2145"/>
      <c r="AF87" s="629" t="e">
        <f>SUMIF(#REF!,'Schedule B'!C87,#REF!)</f>
        <v>#REF!</v>
      </c>
      <c r="AG87" s="539" t="e">
        <f>#REF!-#REF!</f>
        <v>#REF!</v>
      </c>
      <c r="AH87" s="539">
        <f t="shared" si="29"/>
        <v>0</v>
      </c>
      <c r="AI87" s="539" t="e">
        <f t="shared" si="30"/>
        <v>#REF!</v>
      </c>
      <c r="AJ87" s="539">
        <f t="shared" si="31"/>
        <v>0</v>
      </c>
    </row>
    <row r="88" spans="1:36" ht="15.75" outlineLevel="2">
      <c r="A88" s="4151" t="s">
        <v>4110</v>
      </c>
      <c r="B88" s="2140" t="s">
        <v>4096</v>
      </c>
      <c r="C88" s="2141" t="s">
        <v>4096</v>
      </c>
      <c r="D88" s="2142"/>
      <c r="E88" s="2143">
        <v>0</v>
      </c>
      <c r="F88" s="2996">
        <f>+'Schedule J'!I194+'Schedule J'!I253+'Schedule J'!I293+'Schedule J'!I342+'Schedule J'!I371+'Schedule J'!I393+'Schedule J'!I437+'Schedule J'!I479+'Schedule J'!I500+'Schedule J'!I531</f>
        <v>369751.44999999995</v>
      </c>
      <c r="H88" s="2144">
        <f t="shared" si="22"/>
        <v>369751.44999999995</v>
      </c>
      <c r="I88" s="2144">
        <f>SUMIFS('Schedule C'!$AZ$21:$AZ$500,'Schedule C'!$M$21:$M$500,'Schedule B'!$B88,'Schedule C'!$AY$21:$AY$500,"ACTIVE",'Schedule C'!$AF$21:$AF$500,"ACTIVE",'Schedule C'!$X$21:$X$500,"ACTIVE")</f>
        <v>0</v>
      </c>
      <c r="J88" s="2144"/>
      <c r="K88" s="2144">
        <f t="shared" si="32"/>
        <v>369751.44999999995</v>
      </c>
      <c r="M88" s="2144">
        <f>SUMIFS('Schedule C'!$AG$21:$AG$500,'Schedule C'!$M$21:$M$500,'Schedule B'!$B88,'Schedule C'!$AY$21:$AY$500,"NOT ACTIVE",'Schedule C'!$AF$21:$AF$500,"ACTIVE",'Schedule C'!$X$21:$X$500,"ACTIVE")</f>
        <v>0</v>
      </c>
      <c r="N88" s="2144">
        <f>SUMIFS('Schedule C'!$Y$21:$Y$500,'Schedule C'!$M$21:$M$500,'Schedule B'!$B88,'Schedule C'!$AY$21:$AY$500,"NOT ACTIVE",'Schedule C'!$AF$21:$AF$500,"NOT ACTIVE",'Schedule C'!$X$21:$X$500,"ACTIVE")</f>
        <v>0</v>
      </c>
      <c r="O88" s="2144">
        <f>SUMIF('Schedule C'!$M$21:$M$500,'Schedule B'!B88,'Schedule C'!$Q$21:$Q$500)</f>
        <v>0</v>
      </c>
      <c r="P88" s="2144">
        <v>0</v>
      </c>
      <c r="Q88" s="2144">
        <f t="shared" si="23"/>
        <v>369751.44999999995</v>
      </c>
      <c r="S88" s="2144">
        <f t="shared" si="24"/>
        <v>0</v>
      </c>
      <c r="U88" s="2144">
        <f t="shared" si="33"/>
        <v>369751.44999999995</v>
      </c>
      <c r="V88" s="2144">
        <f t="shared" si="25"/>
        <v>0</v>
      </c>
      <c r="X88" s="2144">
        <v>369751.44999999995</v>
      </c>
      <c r="Y88" s="2144">
        <f t="shared" si="34"/>
        <v>0</v>
      </c>
      <c r="Z88" s="181">
        <f t="shared" si="26"/>
        <v>0</v>
      </c>
      <c r="AA88" s="182">
        <f t="shared" si="27"/>
        <v>0</v>
      </c>
      <c r="AC88" s="2499">
        <v>189323001.68000007</v>
      </c>
      <c r="AD88" s="2500">
        <f t="shared" si="28"/>
        <v>188953250.23000008</v>
      </c>
      <c r="AE88" s="2145"/>
      <c r="AF88" s="629" t="e">
        <f>SUMIF(#REF!,'Schedule B'!C88,#REF!)</f>
        <v>#REF!</v>
      </c>
      <c r="AG88" s="539" t="e">
        <f>#REF!-#REF!</f>
        <v>#REF!</v>
      </c>
      <c r="AH88" s="539">
        <f t="shared" si="29"/>
        <v>0</v>
      </c>
      <c r="AI88" s="539" t="e">
        <f t="shared" si="30"/>
        <v>#REF!</v>
      </c>
      <c r="AJ88" s="539">
        <f t="shared" si="31"/>
        <v>0</v>
      </c>
    </row>
    <row r="89" spans="1:36" ht="15.75" outlineLevel="2">
      <c r="A89" s="4151" t="s">
        <v>4110</v>
      </c>
      <c r="B89" s="2140" t="s">
        <v>4080</v>
      </c>
      <c r="C89" s="2141" t="s">
        <v>4080</v>
      </c>
      <c r="D89" s="2142"/>
      <c r="E89" s="2143">
        <v>0</v>
      </c>
      <c r="F89" s="2996">
        <f>+'Schedule J'!I195+'Schedule J'!I254+'Schedule J'!I309+'Schedule J'!I341+'Schedule J'!I381+'Schedule J'!I405+'Schedule J'!I436+'Schedule J'!I478+'Schedule J'!I499+'Schedule J'!I530+'Schedule J'!I605</f>
        <v>758870.16999999993</v>
      </c>
      <c r="H89" s="2144">
        <f t="shared" si="22"/>
        <v>758870.16999999993</v>
      </c>
      <c r="I89" s="2144">
        <f>SUMIFS('Schedule C'!$AZ$21:$AZ$500,'Schedule C'!$M$21:$M$500,'Schedule B'!$B89,'Schedule C'!$AY$21:$AY$500,"ACTIVE",'Schedule C'!$AF$21:$AF$500,"ACTIVE",'Schedule C'!$X$21:$X$500,"ACTIVE")</f>
        <v>0</v>
      </c>
      <c r="J89" s="2144"/>
      <c r="K89" s="2144">
        <f t="shared" si="32"/>
        <v>758870.16999999993</v>
      </c>
      <c r="M89" s="2144">
        <f>SUMIFS('Schedule C'!$AG$21:$AG$500,'Schedule C'!$M$21:$M$500,'Schedule B'!$B89,'Schedule C'!$AY$21:$AY$500,"NOT ACTIVE",'Schedule C'!$AF$21:$AF$500,"ACTIVE",'Schedule C'!$X$21:$X$500,"ACTIVE")</f>
        <v>0</v>
      </c>
      <c r="N89" s="2144">
        <f>SUMIFS('Schedule C'!$Y$21:$Y$500,'Schedule C'!$M$21:$M$500,'Schedule B'!$B89,'Schedule C'!$AY$21:$AY$500,"NOT ACTIVE",'Schedule C'!$AF$21:$AF$500,"NOT ACTIVE",'Schedule C'!$X$21:$X$500,"ACTIVE")</f>
        <v>0</v>
      </c>
      <c r="O89" s="2144">
        <f>SUMIF('Schedule C'!$M$21:$M$500,'Schedule B'!B89,'Schedule C'!$Q$21:$Q$500)</f>
        <v>0</v>
      </c>
      <c r="P89" s="2144">
        <v>0</v>
      </c>
      <c r="Q89" s="2144">
        <f t="shared" si="23"/>
        <v>758870.16999999993</v>
      </c>
      <c r="S89" s="2144">
        <f t="shared" si="24"/>
        <v>0</v>
      </c>
      <c r="U89" s="2144">
        <f t="shared" si="33"/>
        <v>758870.16999999993</v>
      </c>
      <c r="V89" s="2144">
        <f t="shared" si="25"/>
        <v>0</v>
      </c>
      <c r="X89" s="2144">
        <v>758870.16999999993</v>
      </c>
      <c r="Y89" s="2144">
        <f t="shared" si="34"/>
        <v>0</v>
      </c>
      <c r="Z89" s="181">
        <f t="shared" si="26"/>
        <v>0</v>
      </c>
      <c r="AA89" s="182">
        <f t="shared" si="27"/>
        <v>0</v>
      </c>
      <c r="AC89" s="2499">
        <v>189323001.68000007</v>
      </c>
      <c r="AD89" s="2500">
        <f t="shared" si="28"/>
        <v>188564131.51000008</v>
      </c>
      <c r="AE89" s="2145"/>
      <c r="AF89" s="629" t="e">
        <f>SUMIF(#REF!,'Schedule B'!C89,#REF!)</f>
        <v>#REF!</v>
      </c>
      <c r="AG89" s="539" t="e">
        <f>#REF!-#REF!</f>
        <v>#REF!</v>
      </c>
      <c r="AH89" s="539">
        <f t="shared" si="29"/>
        <v>0</v>
      </c>
      <c r="AI89" s="539" t="e">
        <f t="shared" si="30"/>
        <v>#REF!</v>
      </c>
      <c r="AJ89" s="539">
        <f t="shared" si="31"/>
        <v>0</v>
      </c>
    </row>
    <row r="90" spans="1:36" ht="15.75" outlineLevel="2">
      <c r="A90" s="4151" t="s">
        <v>4110</v>
      </c>
      <c r="B90" s="2140" t="s">
        <v>4081</v>
      </c>
      <c r="C90" s="2141" t="s">
        <v>4081</v>
      </c>
      <c r="D90" s="2142"/>
      <c r="E90" s="2143">
        <v>0</v>
      </c>
      <c r="F90" s="2996">
        <f>+'Schedule J'!I196+'Schedule J'!I340+'Schedule J'!I385+'Schedule J'!I409+'Schedule J'!I435+'Schedule J'!I477+'Schedule J'!I498+'Schedule J'!I529</f>
        <v>318320.5</v>
      </c>
      <c r="H90" s="2144">
        <f t="shared" si="22"/>
        <v>318320.5</v>
      </c>
      <c r="I90" s="2144">
        <f>SUMIFS('Schedule C'!$AZ$21:$AZ$500,'Schedule C'!$M$21:$M$500,'Schedule B'!$B90,'Schedule C'!$AY$21:$AY$500,"ACTIVE",'Schedule C'!$AF$21:$AF$500,"ACTIVE",'Schedule C'!$X$21:$X$500,"ACTIVE")</f>
        <v>0</v>
      </c>
      <c r="J90" s="2144"/>
      <c r="K90" s="2144">
        <f t="shared" si="32"/>
        <v>318320.5</v>
      </c>
      <c r="M90" s="2144">
        <f>SUMIFS('Schedule C'!$AG$21:$AG$500,'Schedule C'!$M$21:$M$500,'Schedule B'!$B90,'Schedule C'!$AY$21:$AY$500,"NOT ACTIVE",'Schedule C'!$AF$21:$AF$500,"ACTIVE",'Schedule C'!$X$21:$X$500,"ACTIVE")</f>
        <v>0</v>
      </c>
      <c r="N90" s="2144">
        <f>SUMIFS('Schedule C'!$Y$21:$Y$500,'Schedule C'!$M$21:$M$500,'Schedule B'!$B90,'Schedule C'!$AY$21:$AY$500,"NOT ACTIVE",'Schedule C'!$AF$21:$AF$500,"NOT ACTIVE",'Schedule C'!$X$21:$X$500,"ACTIVE")</f>
        <v>0</v>
      </c>
      <c r="O90" s="2144">
        <f>SUMIF('Schedule C'!$M$21:$M$500,'Schedule B'!B90,'Schedule C'!$Q$21:$Q$500)</f>
        <v>0</v>
      </c>
      <c r="P90" s="2144">
        <v>0</v>
      </c>
      <c r="Q90" s="2144">
        <f t="shared" si="23"/>
        <v>318320.5</v>
      </c>
      <c r="S90" s="2144">
        <f t="shared" si="24"/>
        <v>0</v>
      </c>
      <c r="U90" s="2144">
        <f t="shared" si="33"/>
        <v>318320.5</v>
      </c>
      <c r="V90" s="2144">
        <f t="shared" si="25"/>
        <v>0</v>
      </c>
      <c r="X90" s="2144">
        <v>318320.5</v>
      </c>
      <c r="Y90" s="2144">
        <f t="shared" si="34"/>
        <v>0</v>
      </c>
      <c r="Z90" s="181">
        <f t="shared" si="26"/>
        <v>0</v>
      </c>
      <c r="AA90" s="182">
        <f t="shared" si="27"/>
        <v>0</v>
      </c>
      <c r="AC90" s="2499">
        <v>189323001.68000007</v>
      </c>
      <c r="AD90" s="2500">
        <f t="shared" si="28"/>
        <v>189004681.18000007</v>
      </c>
      <c r="AE90" s="2145"/>
      <c r="AF90" s="629" t="e">
        <f>SUMIF(#REF!,'Schedule B'!C90,#REF!)</f>
        <v>#REF!</v>
      </c>
      <c r="AG90" s="539" t="e">
        <f>#REF!-#REF!</f>
        <v>#REF!</v>
      </c>
      <c r="AH90" s="539">
        <f t="shared" si="29"/>
        <v>0</v>
      </c>
      <c r="AI90" s="539" t="e">
        <f t="shared" si="30"/>
        <v>#REF!</v>
      </c>
      <c r="AJ90" s="539">
        <f t="shared" si="31"/>
        <v>0</v>
      </c>
    </row>
    <row r="91" spans="1:36" ht="15.75" outlineLevel="2">
      <c r="A91" s="4151" t="s">
        <v>4110</v>
      </c>
      <c r="B91" s="2140" t="s">
        <v>4101</v>
      </c>
      <c r="C91" s="2141" t="s">
        <v>4101</v>
      </c>
      <c r="D91" s="2142"/>
      <c r="E91" s="2143">
        <v>0</v>
      </c>
      <c r="F91" s="2996">
        <f>+'Schedule J'!I208</f>
        <v>1845</v>
      </c>
      <c r="H91" s="2144">
        <f t="shared" si="22"/>
        <v>1845</v>
      </c>
      <c r="I91" s="2144">
        <f>SUMIFS('Schedule C'!$AZ$21:$AZ$500,'Schedule C'!$M$21:$M$500,'Schedule B'!$B91,'Schedule C'!$AY$21:$AY$500,"ACTIVE",'Schedule C'!$AF$21:$AF$500,"ACTIVE",'Schedule C'!$X$21:$X$500,"ACTIVE")</f>
        <v>0</v>
      </c>
      <c r="J91" s="2144"/>
      <c r="K91" s="2144">
        <f t="shared" si="32"/>
        <v>1845</v>
      </c>
      <c r="M91" s="2144">
        <f>SUMIFS('Schedule C'!$AG$21:$AG$500,'Schedule C'!$M$21:$M$500,'Schedule B'!$B91,'Schedule C'!$AY$21:$AY$500,"NOT ACTIVE",'Schedule C'!$AF$21:$AF$500,"ACTIVE",'Schedule C'!$X$21:$X$500,"ACTIVE")</f>
        <v>0</v>
      </c>
      <c r="N91" s="2144">
        <f>SUMIFS('Schedule C'!$Y$21:$Y$500,'Schedule C'!$M$21:$M$500,'Schedule B'!$B91,'Schedule C'!$AY$21:$AY$500,"NOT ACTIVE",'Schedule C'!$AF$21:$AF$500,"NOT ACTIVE",'Schedule C'!$X$21:$X$500,"ACTIVE")</f>
        <v>0</v>
      </c>
      <c r="O91" s="2144">
        <f>SUMIF('Schedule C'!$M$21:$M$500,'Schedule B'!B91,'Schedule C'!$Q$21:$Q$500)</f>
        <v>0</v>
      </c>
      <c r="P91" s="2144">
        <v>0</v>
      </c>
      <c r="Q91" s="2144">
        <f t="shared" si="23"/>
        <v>1845</v>
      </c>
      <c r="S91" s="2144">
        <f t="shared" si="24"/>
        <v>0</v>
      </c>
      <c r="U91" s="2144">
        <f t="shared" si="33"/>
        <v>1845</v>
      </c>
      <c r="V91" s="2144">
        <f t="shared" si="25"/>
        <v>0</v>
      </c>
      <c r="X91" s="2144">
        <v>1845</v>
      </c>
      <c r="Y91" s="2144">
        <f t="shared" si="34"/>
        <v>0</v>
      </c>
      <c r="Z91" s="181">
        <f t="shared" si="26"/>
        <v>0</v>
      </c>
      <c r="AA91" s="182">
        <f t="shared" si="27"/>
        <v>0</v>
      </c>
      <c r="AC91" s="2499">
        <v>189323001.68000007</v>
      </c>
      <c r="AD91" s="2500">
        <f t="shared" si="28"/>
        <v>189321156.68000007</v>
      </c>
      <c r="AE91" s="2145"/>
      <c r="AF91" s="629" t="e">
        <f>SUMIF(#REF!,'Schedule B'!C91,#REF!)</f>
        <v>#REF!</v>
      </c>
      <c r="AG91" s="539" t="e">
        <f>#REF!-#REF!</f>
        <v>#REF!</v>
      </c>
      <c r="AH91" s="539">
        <f t="shared" si="29"/>
        <v>0</v>
      </c>
      <c r="AI91" s="539" t="e">
        <f t="shared" si="30"/>
        <v>#REF!</v>
      </c>
      <c r="AJ91" s="539">
        <f t="shared" si="31"/>
        <v>0</v>
      </c>
    </row>
    <row r="92" spans="1:36" ht="15.75" outlineLevel="2">
      <c r="A92" s="4151" t="s">
        <v>4110</v>
      </c>
      <c r="B92" s="2140" t="s">
        <v>4088</v>
      </c>
      <c r="C92" s="2141" t="s">
        <v>4088</v>
      </c>
      <c r="D92" s="2142"/>
      <c r="E92" s="2143">
        <v>0</v>
      </c>
      <c r="F92" s="2996">
        <f>+'Schedule J'!I215</f>
        <v>51948.13</v>
      </c>
      <c r="H92" s="2144">
        <f t="shared" si="22"/>
        <v>51948.13</v>
      </c>
      <c r="I92" s="2144">
        <f>SUMIFS('Schedule C'!$AZ$21:$AZ$500,'Schedule C'!$M$21:$M$500,'Schedule B'!$B92,'Schedule C'!$AY$21:$AY$500,"ACTIVE",'Schedule C'!$AF$21:$AF$500,"ACTIVE",'Schedule C'!$X$21:$X$500,"ACTIVE")</f>
        <v>0</v>
      </c>
      <c r="J92" s="2144"/>
      <c r="K92" s="2144">
        <f t="shared" si="32"/>
        <v>51948.13</v>
      </c>
      <c r="M92" s="2144">
        <f>SUMIFS('Schedule C'!$AG$21:$AG$500,'Schedule C'!$M$21:$M$500,'Schedule B'!$B92,'Schedule C'!$AY$21:$AY$500,"NOT ACTIVE",'Schedule C'!$AF$21:$AF$500,"ACTIVE",'Schedule C'!$X$21:$X$500,"ACTIVE")</f>
        <v>0</v>
      </c>
      <c r="N92" s="2144">
        <f>SUMIFS('Schedule C'!$Y$21:$Y$500,'Schedule C'!$M$21:$M$500,'Schedule B'!$B92,'Schedule C'!$AY$21:$AY$500,"NOT ACTIVE",'Schedule C'!$AF$21:$AF$500,"NOT ACTIVE",'Schedule C'!$X$21:$X$500,"ACTIVE")</f>
        <v>0</v>
      </c>
      <c r="O92" s="2144">
        <f>SUMIF('Schedule C'!$M$21:$M$500,'Schedule B'!B92,'Schedule C'!$Q$21:$Q$500)</f>
        <v>0</v>
      </c>
      <c r="P92" s="2144">
        <v>0</v>
      </c>
      <c r="Q92" s="2144">
        <f t="shared" si="23"/>
        <v>51948.13</v>
      </c>
      <c r="S92" s="2144">
        <f t="shared" si="24"/>
        <v>0</v>
      </c>
      <c r="U92" s="2144">
        <f t="shared" si="33"/>
        <v>51948.13</v>
      </c>
      <c r="V92" s="2144">
        <f t="shared" si="25"/>
        <v>0</v>
      </c>
      <c r="X92" s="2144">
        <v>51948.13</v>
      </c>
      <c r="Y92" s="2144">
        <f t="shared" si="34"/>
        <v>0</v>
      </c>
      <c r="Z92" s="181">
        <f t="shared" si="26"/>
        <v>0</v>
      </c>
      <c r="AA92" s="182">
        <f t="shared" si="27"/>
        <v>0</v>
      </c>
      <c r="AC92" s="2499">
        <v>189323001.68000007</v>
      </c>
      <c r="AD92" s="2500">
        <f t="shared" si="28"/>
        <v>189271053.55000007</v>
      </c>
      <c r="AE92" s="2145"/>
      <c r="AF92" s="629" t="e">
        <f>SUMIF(#REF!,'Schedule B'!C92,#REF!)</f>
        <v>#REF!</v>
      </c>
      <c r="AG92" s="539" t="e">
        <f>#REF!-#REF!</f>
        <v>#REF!</v>
      </c>
      <c r="AH92" s="539">
        <f t="shared" si="29"/>
        <v>0</v>
      </c>
      <c r="AI92" s="539" t="e">
        <f t="shared" si="30"/>
        <v>#REF!</v>
      </c>
      <c r="AJ92" s="539">
        <f t="shared" si="31"/>
        <v>0</v>
      </c>
    </row>
    <row r="93" spans="1:36" ht="15.75" outlineLevel="2">
      <c r="A93" s="4151" t="s">
        <v>4110</v>
      </c>
      <c r="B93" s="2140" t="s">
        <v>4107</v>
      </c>
      <c r="C93" s="2141" t="s">
        <v>4107</v>
      </c>
      <c r="D93" s="2142"/>
      <c r="E93" s="2143">
        <v>0</v>
      </c>
      <c r="F93" s="2996">
        <f>+'Schedule J'!I217</f>
        <v>142131.60999999999</v>
      </c>
      <c r="H93" s="2144">
        <f t="shared" si="22"/>
        <v>142131.60999999999</v>
      </c>
      <c r="I93" s="2144">
        <f>SUMIFS('Schedule C'!$AZ$21:$AZ$500,'Schedule C'!$M$21:$M$500,'Schedule B'!$B93,'Schedule C'!$AY$21:$AY$500,"ACTIVE",'Schedule C'!$AF$21:$AF$500,"ACTIVE",'Schedule C'!$X$21:$X$500,"ACTIVE")</f>
        <v>0</v>
      </c>
      <c r="J93" s="2144"/>
      <c r="K93" s="2144">
        <f t="shared" si="32"/>
        <v>142131.60999999999</v>
      </c>
      <c r="M93" s="2144">
        <f>SUMIFS('Schedule C'!$AG$21:$AG$500,'Schedule C'!$M$21:$M$500,'Schedule B'!$B93,'Schedule C'!$AY$21:$AY$500,"NOT ACTIVE",'Schedule C'!$AF$21:$AF$500,"ACTIVE",'Schedule C'!$X$21:$X$500,"ACTIVE")</f>
        <v>0</v>
      </c>
      <c r="N93" s="2144">
        <f>SUMIFS('Schedule C'!$Y$21:$Y$500,'Schedule C'!$M$21:$M$500,'Schedule B'!$B93,'Schedule C'!$AY$21:$AY$500,"NOT ACTIVE",'Schedule C'!$AF$21:$AF$500,"NOT ACTIVE",'Schedule C'!$X$21:$X$500,"ACTIVE")</f>
        <v>0</v>
      </c>
      <c r="O93" s="2144">
        <f>SUMIF('Schedule C'!$M$21:$M$500,'Schedule B'!B93,'Schedule C'!$Q$21:$Q$500)</f>
        <v>0</v>
      </c>
      <c r="P93" s="2144">
        <v>0</v>
      </c>
      <c r="Q93" s="2144">
        <f t="shared" si="23"/>
        <v>142131.60999999999</v>
      </c>
      <c r="S93" s="2144">
        <f t="shared" si="24"/>
        <v>0</v>
      </c>
      <c r="U93" s="2144">
        <f t="shared" si="33"/>
        <v>142131.60999999999</v>
      </c>
      <c r="V93" s="2144">
        <f t="shared" si="25"/>
        <v>0</v>
      </c>
      <c r="X93" s="2144">
        <v>142131.60999999999</v>
      </c>
      <c r="Y93" s="2144">
        <f t="shared" si="34"/>
        <v>0</v>
      </c>
      <c r="Z93" s="181">
        <f t="shared" si="26"/>
        <v>0</v>
      </c>
      <c r="AA93" s="182">
        <f t="shared" si="27"/>
        <v>0</v>
      </c>
      <c r="AC93" s="2499">
        <v>189323001.68000007</v>
      </c>
      <c r="AD93" s="2500">
        <f t="shared" si="28"/>
        <v>189180870.07000005</v>
      </c>
      <c r="AE93" s="2145"/>
      <c r="AF93" s="629" t="e">
        <f>SUMIF(#REF!,'Schedule B'!C93,#REF!)</f>
        <v>#REF!</v>
      </c>
      <c r="AG93" s="539" t="e">
        <f>#REF!-#REF!</f>
        <v>#REF!</v>
      </c>
      <c r="AH93" s="539">
        <f t="shared" si="29"/>
        <v>0</v>
      </c>
      <c r="AI93" s="539" t="e">
        <f t="shared" si="30"/>
        <v>#REF!</v>
      </c>
      <c r="AJ93" s="539">
        <f t="shared" si="31"/>
        <v>0</v>
      </c>
    </row>
    <row r="94" spans="1:36" ht="15.75" outlineLevel="2">
      <c r="A94" s="4151" t="s">
        <v>4110</v>
      </c>
      <c r="B94" s="2140" t="s">
        <v>4092</v>
      </c>
      <c r="C94" s="2141" t="s">
        <v>4092</v>
      </c>
      <c r="D94" s="2142"/>
      <c r="E94" s="2143">
        <v>0</v>
      </c>
      <c r="F94" s="2996">
        <f>+'Schedule J'!I221+'Schedule J'!I270+'Schedule J'!I439+'Schedule J'!I481+'Schedule J'!I502+'Schedule J'!I533</f>
        <v>348199.81</v>
      </c>
      <c r="H94" s="2144">
        <f t="shared" si="22"/>
        <v>348199.81</v>
      </c>
      <c r="I94" s="2144">
        <f>SUMIFS('Schedule C'!$AZ$21:$AZ$500,'Schedule C'!$M$21:$M$500,'Schedule B'!$B94,'Schedule C'!$AY$21:$AY$500,"ACTIVE",'Schedule C'!$AF$21:$AF$500,"ACTIVE",'Schedule C'!$X$21:$X$500,"ACTIVE")</f>
        <v>0</v>
      </c>
      <c r="J94" s="2144"/>
      <c r="K94" s="2144">
        <f t="shared" si="32"/>
        <v>348199.81</v>
      </c>
      <c r="M94" s="2144">
        <f>SUMIFS('Schedule C'!$AG$21:$AG$500,'Schedule C'!$M$21:$M$500,'Schedule B'!$B94,'Schedule C'!$AY$21:$AY$500,"NOT ACTIVE",'Schedule C'!$AF$21:$AF$500,"ACTIVE",'Schedule C'!$X$21:$X$500,"ACTIVE")</f>
        <v>0</v>
      </c>
      <c r="N94" s="2144">
        <f>SUMIFS('Schedule C'!$Y$21:$Y$500,'Schedule C'!$M$21:$M$500,'Schedule B'!$B94,'Schedule C'!$AY$21:$AY$500,"NOT ACTIVE",'Schedule C'!$AF$21:$AF$500,"NOT ACTIVE",'Schedule C'!$X$21:$X$500,"ACTIVE")</f>
        <v>0</v>
      </c>
      <c r="O94" s="2144">
        <f>SUMIF('Schedule C'!$M$21:$M$500,'Schedule B'!B94,'Schedule C'!$Q$21:$Q$500)</f>
        <v>0</v>
      </c>
      <c r="P94" s="2144">
        <v>0</v>
      </c>
      <c r="Q94" s="2144">
        <f t="shared" si="23"/>
        <v>348199.81</v>
      </c>
      <c r="S94" s="2144">
        <f t="shared" si="24"/>
        <v>0</v>
      </c>
      <c r="U94" s="2144">
        <f t="shared" si="33"/>
        <v>348199.81</v>
      </c>
      <c r="V94" s="2144">
        <f t="shared" si="25"/>
        <v>0</v>
      </c>
      <c r="X94" s="2144">
        <v>348199.81</v>
      </c>
      <c r="Y94" s="2144">
        <f t="shared" si="34"/>
        <v>0</v>
      </c>
      <c r="Z94" s="181">
        <f t="shared" si="26"/>
        <v>0</v>
      </c>
      <c r="AA94" s="182">
        <f t="shared" si="27"/>
        <v>0</v>
      </c>
      <c r="AC94" s="2499">
        <v>189323001.68000007</v>
      </c>
      <c r="AD94" s="2500">
        <f t="shared" si="28"/>
        <v>188974801.87000006</v>
      </c>
      <c r="AE94" s="2145"/>
      <c r="AF94" s="629" t="e">
        <f>SUMIF(#REF!,'Schedule B'!C94,#REF!)</f>
        <v>#REF!</v>
      </c>
      <c r="AG94" s="539" t="e">
        <f>#REF!-#REF!</f>
        <v>#REF!</v>
      </c>
      <c r="AH94" s="539">
        <f t="shared" si="29"/>
        <v>0</v>
      </c>
      <c r="AI94" s="539" t="e">
        <f t="shared" si="30"/>
        <v>#REF!</v>
      </c>
      <c r="AJ94" s="539">
        <f t="shared" si="31"/>
        <v>0</v>
      </c>
    </row>
    <row r="95" spans="1:36" ht="15.75" outlineLevel="2">
      <c r="A95" s="4151" t="s">
        <v>4110</v>
      </c>
      <c r="B95" s="2140" t="s">
        <v>4198</v>
      </c>
      <c r="C95" s="2141" t="s">
        <v>4198</v>
      </c>
      <c r="D95" s="2142"/>
      <c r="E95" s="2143">
        <v>0</v>
      </c>
      <c r="F95" s="2996">
        <f>+'Schedule J'!I226</f>
        <v>1535</v>
      </c>
      <c r="H95" s="2144">
        <f t="shared" ref="H95:H100" si="35">E95+F95</f>
        <v>1535</v>
      </c>
      <c r="I95" s="2144">
        <f>SUMIFS('Schedule C'!$AZ$21:$AZ$500,'Schedule C'!$M$21:$M$500,'Schedule B'!$B95,'Schedule C'!$AY$21:$AY$500,"ACTIVE",'Schedule C'!$AF$21:$AF$500,"ACTIVE",'Schedule C'!$X$21:$X$500,"ACTIVE")</f>
        <v>0</v>
      </c>
      <c r="J95" s="2144"/>
      <c r="K95" s="2144">
        <f t="shared" ref="K95:K100" si="36">SUM(H95:J95)</f>
        <v>1535</v>
      </c>
      <c r="M95" s="2144">
        <f>SUMIFS('Schedule C'!$AG$21:$AG$500,'Schedule C'!$M$21:$M$500,'Schedule B'!$B95,'Schedule C'!$AY$21:$AY$500,"NOT ACTIVE",'Schedule C'!$AF$21:$AF$500,"ACTIVE",'Schedule C'!$X$21:$X$500,"ACTIVE")</f>
        <v>0</v>
      </c>
      <c r="N95" s="2144">
        <f>SUMIFS('Schedule C'!$Y$21:$Y$500,'Schedule C'!$M$21:$M$500,'Schedule B'!$B95,'Schedule C'!$AY$21:$AY$500,"NOT ACTIVE",'Schedule C'!$AF$21:$AF$500,"NOT ACTIVE",'Schedule C'!$X$21:$X$500,"ACTIVE")</f>
        <v>0</v>
      </c>
      <c r="O95" s="2144">
        <f>SUMIF('Schedule C'!$M$21:$M$500,'Schedule B'!B95,'Schedule C'!$Q$21:$Q$500)</f>
        <v>0</v>
      </c>
      <c r="P95" s="2144">
        <v>0</v>
      </c>
      <c r="Q95" s="2144">
        <f t="shared" si="23"/>
        <v>1535</v>
      </c>
      <c r="S95" s="2144">
        <f t="shared" si="24"/>
        <v>0</v>
      </c>
      <c r="U95" s="2144">
        <f t="shared" si="33"/>
        <v>1535</v>
      </c>
      <c r="V95" s="2144">
        <f t="shared" ref="V95:V100" si="37">Q95-U95</f>
        <v>0</v>
      </c>
      <c r="X95" s="2144">
        <v>1535</v>
      </c>
      <c r="Y95" s="2144">
        <f t="shared" ref="Y95:Y100" si="38">Q95-X95</f>
        <v>0</v>
      </c>
      <c r="Z95" s="181"/>
      <c r="AA95" s="182"/>
      <c r="AC95" s="2499"/>
      <c r="AD95" s="2500"/>
      <c r="AE95" s="2145"/>
      <c r="AF95" s="629"/>
      <c r="AG95" s="539"/>
      <c r="AH95" s="539"/>
      <c r="AI95" s="539"/>
      <c r="AJ95" s="539"/>
    </row>
    <row r="96" spans="1:36" ht="15.75" outlineLevel="2">
      <c r="A96" s="4151" t="s">
        <v>4110</v>
      </c>
      <c r="B96" s="2140" t="s">
        <v>4197</v>
      </c>
      <c r="C96" s="2141" t="s">
        <v>4197</v>
      </c>
      <c r="D96" s="2142"/>
      <c r="E96" s="2143">
        <v>0</v>
      </c>
      <c r="F96" s="2996">
        <f>+'Schedule J'!I228</f>
        <v>6142.43</v>
      </c>
      <c r="H96" s="2144">
        <f t="shared" si="35"/>
        <v>6142.43</v>
      </c>
      <c r="I96" s="2144">
        <f>SUMIFS('Schedule C'!$AZ$21:$AZ$500,'Schedule C'!$M$21:$M$500,'Schedule B'!$B96,'Schedule C'!$AY$21:$AY$500,"ACTIVE",'Schedule C'!$AF$21:$AF$500,"ACTIVE",'Schedule C'!$X$21:$X$500,"ACTIVE")</f>
        <v>0</v>
      </c>
      <c r="J96" s="2144"/>
      <c r="K96" s="2144">
        <f t="shared" si="36"/>
        <v>6142.43</v>
      </c>
      <c r="M96" s="2144">
        <f>SUMIFS('Schedule C'!$AG$21:$AG$500,'Schedule C'!$M$21:$M$500,'Schedule B'!$B96,'Schedule C'!$AY$21:$AY$500,"NOT ACTIVE",'Schedule C'!$AF$21:$AF$500,"ACTIVE",'Schedule C'!$X$21:$X$500,"ACTIVE")</f>
        <v>0</v>
      </c>
      <c r="N96" s="2144">
        <f>SUMIFS('Schedule C'!$Y$21:$Y$500,'Schedule C'!$M$21:$M$500,'Schedule B'!$B96,'Schedule C'!$AY$21:$AY$500,"NOT ACTIVE",'Schedule C'!$AF$21:$AF$500,"NOT ACTIVE",'Schedule C'!$X$21:$X$500,"ACTIVE")</f>
        <v>0</v>
      </c>
      <c r="O96" s="2144">
        <f>SUMIF('Schedule C'!$M$21:$M$500,'Schedule B'!B96,'Schedule C'!$Q$21:$Q$500)</f>
        <v>0</v>
      </c>
      <c r="P96" s="2144">
        <v>0</v>
      </c>
      <c r="Q96" s="2144">
        <f t="shared" si="23"/>
        <v>6142.43</v>
      </c>
      <c r="S96" s="2144">
        <f t="shared" si="24"/>
        <v>0</v>
      </c>
      <c r="U96" s="2144">
        <f t="shared" si="33"/>
        <v>6142.43</v>
      </c>
      <c r="V96" s="2144">
        <f t="shared" si="37"/>
        <v>0</v>
      </c>
      <c r="X96" s="2144">
        <v>6142.43</v>
      </c>
      <c r="Y96" s="2144">
        <f t="shared" si="38"/>
        <v>0</v>
      </c>
      <c r="Z96" s="181"/>
      <c r="AA96" s="182"/>
      <c r="AC96" s="2499"/>
      <c r="AD96" s="2500"/>
      <c r="AE96" s="2145"/>
      <c r="AF96" s="629"/>
      <c r="AG96" s="539"/>
      <c r="AH96" s="539"/>
      <c r="AI96" s="539"/>
      <c r="AJ96" s="539"/>
    </row>
    <row r="97" spans="1:36" ht="15.75" outlineLevel="2">
      <c r="A97" s="4151" t="s">
        <v>4110</v>
      </c>
      <c r="B97" s="2140" t="s">
        <v>4201</v>
      </c>
      <c r="C97" s="2141" t="s">
        <v>4201</v>
      </c>
      <c r="D97" s="2142"/>
      <c r="E97" s="2143">
        <v>0</v>
      </c>
      <c r="F97" s="2996">
        <f>+'Schedule J'!I231</f>
        <v>8565</v>
      </c>
      <c r="H97" s="2144">
        <f t="shared" si="35"/>
        <v>8565</v>
      </c>
      <c r="I97" s="2144">
        <f>SUMIFS('Schedule C'!$AZ$21:$AZ$500,'Schedule C'!$M$21:$M$500,'Schedule B'!$B97,'Schedule C'!$AY$21:$AY$500,"ACTIVE",'Schedule C'!$AF$21:$AF$500,"ACTIVE",'Schedule C'!$X$21:$X$500,"ACTIVE")</f>
        <v>0</v>
      </c>
      <c r="J97" s="2144"/>
      <c r="K97" s="2144">
        <f t="shared" si="36"/>
        <v>8565</v>
      </c>
      <c r="M97" s="2144">
        <f>SUMIFS('Schedule C'!$AG$21:$AG$500,'Schedule C'!$M$21:$M$500,'Schedule B'!$B97,'Schedule C'!$AY$21:$AY$500,"NOT ACTIVE",'Schedule C'!$AF$21:$AF$500,"ACTIVE",'Schedule C'!$X$21:$X$500,"ACTIVE")</f>
        <v>0</v>
      </c>
      <c r="N97" s="2144">
        <f>SUMIFS('Schedule C'!$Y$21:$Y$500,'Schedule C'!$M$21:$M$500,'Schedule B'!$B97,'Schedule C'!$AY$21:$AY$500,"NOT ACTIVE",'Schedule C'!$AF$21:$AF$500,"NOT ACTIVE",'Schedule C'!$X$21:$X$500,"ACTIVE")</f>
        <v>0</v>
      </c>
      <c r="O97" s="2144">
        <f>SUMIF('Schedule C'!$M$21:$M$500,'Schedule B'!B97,'Schedule C'!$Q$21:$Q$500)</f>
        <v>0</v>
      </c>
      <c r="P97" s="2144">
        <v>0</v>
      </c>
      <c r="Q97" s="2144">
        <f t="shared" si="23"/>
        <v>8565</v>
      </c>
      <c r="S97" s="2144">
        <f t="shared" si="24"/>
        <v>0</v>
      </c>
      <c r="U97" s="2144">
        <f t="shared" si="33"/>
        <v>8565</v>
      </c>
      <c r="V97" s="2144">
        <f t="shared" si="37"/>
        <v>0</v>
      </c>
      <c r="X97" s="2144">
        <v>8565</v>
      </c>
      <c r="Y97" s="2144">
        <f t="shared" si="38"/>
        <v>0</v>
      </c>
      <c r="Z97" s="181"/>
      <c r="AA97" s="182"/>
      <c r="AC97" s="2499"/>
      <c r="AD97" s="2500"/>
      <c r="AE97" s="2145"/>
      <c r="AF97" s="629"/>
      <c r="AG97" s="539"/>
      <c r="AH97" s="539"/>
      <c r="AI97" s="539"/>
      <c r="AJ97" s="539"/>
    </row>
    <row r="98" spans="1:36" ht="15.75" outlineLevel="2">
      <c r="A98" s="4151" t="s">
        <v>4110</v>
      </c>
      <c r="B98" s="2140" t="s">
        <v>4202</v>
      </c>
      <c r="C98" s="2141" t="s">
        <v>4202</v>
      </c>
      <c r="D98" s="2142"/>
      <c r="E98" s="2143">
        <v>0</v>
      </c>
      <c r="F98" s="2996">
        <f>+'Schedule J'!I232</f>
        <v>17800</v>
      </c>
      <c r="H98" s="2144">
        <f t="shared" si="35"/>
        <v>17800</v>
      </c>
      <c r="I98" s="2144">
        <f>SUMIFS('Schedule C'!$AZ$21:$AZ$500,'Schedule C'!$M$21:$M$500,'Schedule B'!$B98,'Schedule C'!$AY$21:$AY$500,"ACTIVE",'Schedule C'!$AF$21:$AF$500,"ACTIVE",'Schedule C'!$X$21:$X$500,"ACTIVE")</f>
        <v>0</v>
      </c>
      <c r="J98" s="2144"/>
      <c r="K98" s="2144">
        <f t="shared" si="36"/>
        <v>17800</v>
      </c>
      <c r="M98" s="2144">
        <f>SUMIFS('Schedule C'!$AG$21:$AG$500,'Schedule C'!$M$21:$M$500,'Schedule B'!$B98,'Schedule C'!$AY$21:$AY$500,"NOT ACTIVE",'Schedule C'!$AF$21:$AF$500,"ACTIVE",'Schedule C'!$X$21:$X$500,"ACTIVE")</f>
        <v>0</v>
      </c>
      <c r="N98" s="2144">
        <f>SUMIFS('Schedule C'!$Y$21:$Y$500,'Schedule C'!$M$21:$M$500,'Schedule B'!$B98,'Schedule C'!$AY$21:$AY$500,"NOT ACTIVE",'Schedule C'!$AF$21:$AF$500,"NOT ACTIVE",'Schedule C'!$X$21:$X$500,"ACTIVE")</f>
        <v>0</v>
      </c>
      <c r="O98" s="2144">
        <f>SUMIF('Schedule C'!$M$21:$M$500,'Schedule B'!B98,'Schedule C'!$Q$21:$Q$500)</f>
        <v>0</v>
      </c>
      <c r="P98" s="2144">
        <v>0</v>
      </c>
      <c r="Q98" s="2144">
        <f t="shared" si="23"/>
        <v>17800</v>
      </c>
      <c r="S98" s="2144">
        <f t="shared" si="24"/>
        <v>0</v>
      </c>
      <c r="U98" s="2144">
        <f t="shared" si="33"/>
        <v>17800</v>
      </c>
      <c r="V98" s="2144">
        <f t="shared" si="37"/>
        <v>0</v>
      </c>
      <c r="X98" s="2144">
        <v>17800</v>
      </c>
      <c r="Y98" s="2144">
        <f t="shared" si="38"/>
        <v>0</v>
      </c>
      <c r="Z98" s="181"/>
      <c r="AA98" s="182"/>
      <c r="AC98" s="2499"/>
      <c r="AD98" s="2500"/>
      <c r="AE98" s="2145"/>
      <c r="AF98" s="629"/>
      <c r="AG98" s="539"/>
      <c r="AH98" s="539"/>
      <c r="AI98" s="539"/>
      <c r="AJ98" s="539"/>
    </row>
    <row r="99" spans="1:36" ht="31.5" outlineLevel="2">
      <c r="A99" s="4151" t="s">
        <v>4110</v>
      </c>
      <c r="B99" s="2140" t="s">
        <v>4204</v>
      </c>
      <c r="C99" s="2141" t="s">
        <v>4204</v>
      </c>
      <c r="D99" s="2142"/>
      <c r="E99" s="2143">
        <v>0</v>
      </c>
      <c r="F99" s="2996">
        <f>+'Schedule J'!I245+'Schedule J'!I351+'Schedule J'!I389+'Schedule J'!I400+'Schedule J'!I486+'Schedule J'!I537</f>
        <v>99000</v>
      </c>
      <c r="H99" s="2144">
        <f t="shared" si="35"/>
        <v>99000</v>
      </c>
      <c r="I99" s="2144">
        <f>SUMIFS('Schedule C'!$AZ$21:$AZ$500,'Schedule C'!$M$21:$M$500,'Schedule B'!$B99,'Schedule C'!$AY$21:$AY$500,"ACTIVE",'Schedule C'!$AF$21:$AF$500,"ACTIVE",'Schedule C'!$X$21:$X$500,"ACTIVE")</f>
        <v>0</v>
      </c>
      <c r="J99" s="2144"/>
      <c r="K99" s="2144">
        <f t="shared" si="36"/>
        <v>99000</v>
      </c>
      <c r="M99" s="2144">
        <f>SUMIFS('Schedule C'!$AG$21:$AG$500,'Schedule C'!$M$21:$M$500,'Schedule B'!$B99,'Schedule C'!$AY$21:$AY$500,"NOT ACTIVE",'Schedule C'!$AF$21:$AF$500,"ACTIVE",'Schedule C'!$X$21:$X$500,"ACTIVE")</f>
        <v>0</v>
      </c>
      <c r="N99" s="2144">
        <f>SUMIFS('Schedule C'!$Y$21:$Y$500,'Schedule C'!$M$21:$M$500,'Schedule B'!$B99,'Schedule C'!$AY$21:$AY$500,"NOT ACTIVE",'Schedule C'!$AF$21:$AF$500,"NOT ACTIVE",'Schedule C'!$X$21:$X$500,"ACTIVE")</f>
        <v>0</v>
      </c>
      <c r="O99" s="2144">
        <f>SUMIF('Schedule C'!$M$21:$M$500,'Schedule B'!B99,'Schedule C'!$Q$21:$Q$500)</f>
        <v>0</v>
      </c>
      <c r="P99" s="2144">
        <v>0</v>
      </c>
      <c r="Q99" s="2144">
        <f t="shared" si="23"/>
        <v>99000</v>
      </c>
      <c r="S99" s="2144">
        <f t="shared" si="24"/>
        <v>0</v>
      </c>
      <c r="U99" s="2144">
        <f t="shared" si="33"/>
        <v>99000</v>
      </c>
      <c r="V99" s="2144">
        <f t="shared" si="37"/>
        <v>0</v>
      </c>
      <c r="X99" s="2144">
        <v>99000</v>
      </c>
      <c r="Y99" s="2144">
        <f t="shared" si="38"/>
        <v>0</v>
      </c>
      <c r="Z99" s="181"/>
      <c r="AA99" s="182"/>
      <c r="AC99" s="2499"/>
      <c r="AD99" s="2500"/>
      <c r="AE99" s="2145"/>
      <c r="AF99" s="629"/>
      <c r="AG99" s="539"/>
      <c r="AH99" s="539"/>
      <c r="AI99" s="539"/>
      <c r="AJ99" s="539"/>
    </row>
    <row r="100" spans="1:36" ht="15.75" outlineLevel="2">
      <c r="A100" s="4151" t="s">
        <v>4110</v>
      </c>
      <c r="B100" s="2140" t="s">
        <v>4205</v>
      </c>
      <c r="C100" s="2141" t="s">
        <v>4205</v>
      </c>
      <c r="D100" s="2142"/>
      <c r="E100" s="2143">
        <v>0</v>
      </c>
      <c r="F100" s="2996">
        <f>+'Schedule J'!I246</f>
        <v>48767</v>
      </c>
      <c r="H100" s="2144">
        <f t="shared" si="35"/>
        <v>48767</v>
      </c>
      <c r="I100" s="2144">
        <f>SUMIFS('Schedule C'!$AZ$21:$AZ$500,'Schedule C'!$M$21:$M$500,'Schedule B'!$B100,'Schedule C'!$AY$21:$AY$500,"ACTIVE",'Schedule C'!$AF$21:$AF$500,"ACTIVE",'Schedule C'!$X$21:$X$500,"ACTIVE")</f>
        <v>0</v>
      </c>
      <c r="J100" s="2144"/>
      <c r="K100" s="2144">
        <f t="shared" si="36"/>
        <v>48767</v>
      </c>
      <c r="M100" s="2144">
        <f>SUMIFS('Schedule C'!$AG$21:$AG$500,'Schedule C'!$M$21:$M$500,'Schedule B'!$B100,'Schedule C'!$AY$21:$AY$500,"NOT ACTIVE",'Schedule C'!$AF$21:$AF$500,"ACTIVE",'Schedule C'!$X$21:$X$500,"ACTIVE")</f>
        <v>0</v>
      </c>
      <c r="N100" s="2144">
        <f>SUMIFS('Schedule C'!$Y$21:$Y$500,'Schedule C'!$M$21:$M$500,'Schedule B'!$B100,'Schedule C'!$AY$21:$AY$500,"NOT ACTIVE",'Schedule C'!$AF$21:$AF$500,"NOT ACTIVE",'Schedule C'!$X$21:$X$500,"ACTIVE")</f>
        <v>0</v>
      </c>
      <c r="O100" s="2144">
        <f>SUMIF('Schedule C'!$M$21:$M$500,'Schedule B'!B100,'Schedule C'!$Q$21:$Q$500)</f>
        <v>0</v>
      </c>
      <c r="P100" s="2144">
        <v>0</v>
      </c>
      <c r="Q100" s="2144">
        <f t="shared" si="23"/>
        <v>48767</v>
      </c>
      <c r="S100" s="2144">
        <f t="shared" si="24"/>
        <v>0</v>
      </c>
      <c r="U100" s="2144">
        <f t="shared" si="33"/>
        <v>48767</v>
      </c>
      <c r="V100" s="2144">
        <f t="shared" si="37"/>
        <v>0</v>
      </c>
      <c r="X100" s="2144">
        <v>48767</v>
      </c>
      <c r="Y100" s="2144">
        <f t="shared" si="38"/>
        <v>0</v>
      </c>
      <c r="Z100" s="181"/>
      <c r="AA100" s="182"/>
      <c r="AC100" s="2499"/>
      <c r="AD100" s="2500"/>
      <c r="AE100" s="2145"/>
      <c r="AF100" s="629"/>
      <c r="AG100" s="539"/>
      <c r="AH100" s="539"/>
      <c r="AI100" s="539"/>
      <c r="AJ100" s="539"/>
    </row>
    <row r="101" spans="1:36" ht="15.75" outlineLevel="2">
      <c r="A101" s="4151" t="s">
        <v>4110</v>
      </c>
      <c r="B101" s="2140" t="s">
        <v>4193</v>
      </c>
      <c r="C101" s="2141" t="s">
        <v>4193</v>
      </c>
      <c r="D101" s="2142"/>
      <c r="E101" s="2143">
        <v>0</v>
      </c>
      <c r="F101" s="2996">
        <f>+'Schedule J'!I255+'Schedule J'!I292</f>
        <v>46655</v>
      </c>
      <c r="H101" s="2144">
        <f>E101+F101</f>
        <v>46655</v>
      </c>
      <c r="I101" s="2144">
        <f>SUMIFS('Schedule C'!$AZ$21:$AZ$500,'Schedule C'!$M$21:$M$500,'Schedule B'!$B101,'Schedule C'!$AY$21:$AY$500,"ACTIVE",'Schedule C'!$AF$21:$AF$500,"ACTIVE",'Schedule C'!$X$21:$X$500,"ACTIVE")</f>
        <v>0</v>
      </c>
      <c r="J101" s="2144"/>
      <c r="K101" s="2144">
        <f>SUM(H101:J101)</f>
        <v>46655</v>
      </c>
      <c r="M101" s="2144">
        <f>SUMIFS('Schedule C'!$AG$21:$AG$500,'Schedule C'!$M$21:$M$500,'Schedule B'!$B101,'Schedule C'!$AY$21:$AY$500,"NOT ACTIVE",'Schedule C'!$AF$21:$AF$500,"ACTIVE",'Schedule C'!$X$21:$X$500,"ACTIVE")</f>
        <v>0</v>
      </c>
      <c r="N101" s="2144">
        <f>SUMIFS('Schedule C'!$Y$21:$Y$500,'Schedule C'!$M$21:$M$500,'Schedule B'!$B101,'Schedule C'!$AY$21:$AY$500,"NOT ACTIVE",'Schedule C'!$AF$21:$AF$500,"NOT ACTIVE",'Schedule C'!$X$21:$X$500,"ACTIVE")</f>
        <v>0</v>
      </c>
      <c r="O101" s="2144">
        <f>SUMIF('Schedule C'!$M$21:$M$500,'Schedule B'!B101,'Schedule C'!$Q$21:$Q$500)</f>
        <v>0</v>
      </c>
      <c r="P101" s="2144">
        <v>0</v>
      </c>
      <c r="Q101" s="2144">
        <f t="shared" si="23"/>
        <v>46655</v>
      </c>
      <c r="S101" s="2144">
        <f t="shared" si="24"/>
        <v>0</v>
      </c>
      <c r="U101" s="2144">
        <f t="shared" si="33"/>
        <v>46655</v>
      </c>
      <c r="V101" s="2144">
        <f>Q101-U101</f>
        <v>0</v>
      </c>
      <c r="X101" s="2144">
        <v>46655</v>
      </c>
      <c r="Y101" s="2144">
        <f>Q101-X101</f>
        <v>0</v>
      </c>
      <c r="Z101" s="181"/>
      <c r="AA101" s="182"/>
      <c r="AC101" s="2499"/>
      <c r="AD101" s="2500"/>
      <c r="AE101" s="2145"/>
      <c r="AF101" s="629"/>
      <c r="AG101" s="539"/>
      <c r="AH101" s="539"/>
      <c r="AI101" s="539"/>
      <c r="AJ101" s="539"/>
    </row>
    <row r="102" spans="1:36" ht="15.75" outlineLevel="2">
      <c r="A102" s="4151" t="s">
        <v>4110</v>
      </c>
      <c r="B102" s="2140" t="s">
        <v>4215</v>
      </c>
      <c r="C102" s="2141" t="s">
        <v>4215</v>
      </c>
      <c r="D102" s="2142"/>
      <c r="E102" s="2143">
        <v>0</v>
      </c>
      <c r="F102" s="2996">
        <f>+'Schedule J'!I259+'Schedule J'!I269+'Schedule J'!I281+'Schedule J'!I297+'Schedule J'!I310+'Schedule J'!I336+'Schedule J'!I349+'Schedule J'!I350+'Schedule J'!I360+'Schedule J'!I376+'Schedule J'!I386+'Schedule J'!I391+'Schedule J'!I398+'Schedule J'!I401+'Schedule J'!I406+'Schedule J'!I442+'Schedule J'!I443+'Schedule J'!I472+'Schedule J'!I484+'Schedule J'!I485+'Schedule J'!I493+'Schedule J'!I504+'Schedule J'!I505+'Schedule J'!I525+'Schedule J'!I536+'Schedule J'!I604+'Schedule J'!I606</f>
        <v>8291108.1399999997</v>
      </c>
      <c r="H102" s="2144">
        <f>E102+F102</f>
        <v>8291108.1399999997</v>
      </c>
      <c r="I102" s="2144">
        <f>SUMIFS('Schedule C'!$AZ$21:$AZ$500,'Schedule C'!$M$21:$M$500,'Schedule B'!$B102,'Schedule C'!$AY$21:$AY$500,"ACTIVE",'Schedule C'!$AF$21:$AF$500,"ACTIVE",'Schedule C'!$X$21:$X$500,"ACTIVE")</f>
        <v>0</v>
      </c>
      <c r="J102" s="2144"/>
      <c r="K102" s="2144">
        <f>SUM(H102:J102)</f>
        <v>8291108.1399999997</v>
      </c>
      <c r="M102" s="2144">
        <f>SUMIFS('Schedule C'!$AG$21:$AG$500,'Schedule C'!$M$21:$M$500,'Schedule B'!$B102,'Schedule C'!$AY$21:$AY$500,"NOT ACTIVE",'Schedule C'!$AF$21:$AF$500,"ACTIVE",'Schedule C'!$X$21:$X$500,"ACTIVE")</f>
        <v>0</v>
      </c>
      <c r="N102" s="2144">
        <f>SUMIFS('Schedule C'!$Y$21:$Y$500,'Schedule C'!$M$21:$M$500,'Schedule B'!$B102,'Schedule C'!$AY$21:$AY$500,"NOT ACTIVE",'Schedule C'!$AF$21:$AF$500,"NOT ACTIVE",'Schedule C'!$X$21:$X$500,"ACTIVE")</f>
        <v>0</v>
      </c>
      <c r="O102" s="2144">
        <f>SUMIF('Schedule C'!$M$21:$M$500,'Schedule B'!B102,'Schedule C'!$Q$21:$Q$500)</f>
        <v>0</v>
      </c>
      <c r="P102" s="2144">
        <v>0</v>
      </c>
      <c r="Q102" s="2144">
        <f t="shared" si="23"/>
        <v>8291108.1399999997</v>
      </c>
      <c r="S102" s="2144">
        <f t="shared" si="24"/>
        <v>0</v>
      </c>
      <c r="U102" s="2144">
        <f t="shared" si="33"/>
        <v>8291108.1399999997</v>
      </c>
      <c r="V102" s="2144">
        <f>Q102-U102</f>
        <v>0</v>
      </c>
      <c r="X102" s="2144">
        <v>8291108.1399999997</v>
      </c>
      <c r="Y102" s="2144">
        <f>Q102-X102</f>
        <v>0</v>
      </c>
      <c r="Z102" s="181"/>
      <c r="AA102" s="182"/>
      <c r="AC102" s="2499"/>
      <c r="AD102" s="2500"/>
      <c r="AE102" s="2145"/>
      <c r="AF102" s="629"/>
      <c r="AG102" s="539"/>
      <c r="AH102" s="539"/>
      <c r="AI102" s="539"/>
      <c r="AJ102" s="539"/>
    </row>
    <row r="103" spans="1:36" ht="39" customHeight="1" outlineLevel="2">
      <c r="A103" s="4515" t="s">
        <v>4110</v>
      </c>
      <c r="B103" s="4516" t="s">
        <v>5183</v>
      </c>
      <c r="C103" s="4517" t="s">
        <v>5183</v>
      </c>
      <c r="D103" s="4320"/>
      <c r="E103" s="4321">
        <v>0</v>
      </c>
      <c r="F103" s="4322">
        <v>0</v>
      </c>
      <c r="G103" s="4323"/>
      <c r="H103" s="4321">
        <f>E103+F103</f>
        <v>0</v>
      </c>
      <c r="I103" s="4321">
        <f>SUMIFS('Schedule C'!$AZ$21:$AZ$500,'Schedule C'!$M$21:$M$500,'Schedule B'!$B103,'Schedule C'!$AY$21:$AY$500,"ACTIVE",'Schedule C'!$AF$21:$AF$500,"ACTIVE",'Schedule C'!$X$21:$X$500,"ACTIVE")</f>
        <v>0</v>
      </c>
      <c r="J103" s="4321"/>
      <c r="K103" s="4321">
        <f>SUM(H103:J103)</f>
        <v>0</v>
      </c>
      <c r="L103" s="4323"/>
      <c r="M103" s="4321">
        <f>SUMIFS('Schedule C'!$AG$21:$AG$500,'Schedule C'!$M$21:$M$500,'Schedule B'!$B103,'Schedule C'!$AY$21:$AY$500,"NOT ACTIVE",'Schedule C'!$AF$21:$AF$500,"ACTIVE",'Schedule C'!$X$21:$X$500,"ACTIVE")</f>
        <v>0</v>
      </c>
      <c r="N103" s="4321">
        <f>SUMIFS('Schedule C'!$Y$21:$Y$500,'Schedule C'!$M$21:$M$500,'Schedule B'!$B103,'Schedule C'!$AY$21:$AY$500,"NOT ACTIVE",'Schedule C'!$AF$21:$AF$500,"NOT ACTIVE",'Schedule C'!$X$21:$X$500,"ACTIVE")</f>
        <v>0</v>
      </c>
      <c r="O103" s="4321">
        <f>SUMIF('Schedule C'!$M$21:$M$500,'Schedule B'!B103,'Schedule C'!$Q$21:$Q$500)</f>
        <v>0</v>
      </c>
      <c r="P103" s="4321">
        <v>0</v>
      </c>
      <c r="Q103" s="4321">
        <f t="shared" si="23"/>
        <v>0</v>
      </c>
      <c r="R103" s="4323"/>
      <c r="S103" s="4321">
        <f t="shared" si="24"/>
        <v>0</v>
      </c>
      <c r="T103" s="4323"/>
      <c r="U103" s="4321">
        <f>+Q103</f>
        <v>0</v>
      </c>
      <c r="V103" s="4321">
        <f>Q103-U103</f>
        <v>0</v>
      </c>
      <c r="W103" s="4323"/>
      <c r="X103" s="4321">
        <v>0</v>
      </c>
      <c r="Y103" s="4321">
        <f>Q103-X103</f>
        <v>0</v>
      </c>
      <c r="Z103" s="181"/>
      <c r="AA103" s="182"/>
      <c r="AC103" s="2499"/>
      <c r="AD103" s="2500"/>
      <c r="AE103" s="2145"/>
      <c r="AF103" s="629"/>
      <c r="AG103" s="539"/>
      <c r="AH103" s="539"/>
      <c r="AI103" s="539"/>
      <c r="AJ103" s="539"/>
    </row>
    <row r="104" spans="1:36" ht="15.75" outlineLevel="2">
      <c r="A104" s="4151" t="s">
        <v>4110</v>
      </c>
      <c r="B104" s="2140" t="s">
        <v>4464</v>
      </c>
      <c r="C104" s="2141" t="s">
        <v>4464</v>
      </c>
      <c r="D104" s="2142"/>
      <c r="E104" s="2143">
        <v>0</v>
      </c>
      <c r="F104" s="2996">
        <f>+'Schedule J'!I288+'Schedule J'!I370+'Schedule J'!I497</f>
        <v>287000</v>
      </c>
      <c r="H104" s="2144">
        <f t="shared" si="22"/>
        <v>287000</v>
      </c>
      <c r="I104" s="2144">
        <f>SUMIFS('Schedule C'!$AZ$21:$AZ$500,'Schedule C'!$M$21:$M$500,'Schedule B'!$B104,'Schedule C'!$AY$21:$AY$500,"ACTIVE",'Schedule C'!$AF$21:$AF$500,"ACTIVE",'Schedule C'!$X$21:$X$500,"ACTIVE")</f>
        <v>0</v>
      </c>
      <c r="J104" s="2144"/>
      <c r="K104" s="2144">
        <f t="shared" si="32"/>
        <v>287000</v>
      </c>
      <c r="M104" s="2144">
        <f>SUMIFS('Schedule C'!$AG$21:$AG$500,'Schedule C'!$M$21:$M$500,'Schedule B'!$B104,'Schedule C'!$AY$21:$AY$500,"NOT ACTIVE",'Schedule C'!$AF$21:$AF$500,"ACTIVE",'Schedule C'!$X$21:$X$500,"ACTIVE")</f>
        <v>0</v>
      </c>
      <c r="N104" s="2144">
        <f>SUMIFS('Schedule C'!$Y$21:$Y$500,'Schedule C'!$M$21:$M$500,'Schedule B'!$B104,'Schedule C'!$AY$21:$AY$500,"NOT ACTIVE",'Schedule C'!$AF$21:$AF$500,"NOT ACTIVE",'Schedule C'!$X$21:$X$500,"ACTIVE")</f>
        <v>0</v>
      </c>
      <c r="O104" s="2144">
        <f>SUMIF('Schedule C'!$M$21:$M$500,'Schedule B'!B104,'Schedule C'!$Q$21:$Q$500)</f>
        <v>0</v>
      </c>
      <c r="P104" s="2144">
        <v>0</v>
      </c>
      <c r="Q104" s="2144">
        <f t="shared" si="23"/>
        <v>287000</v>
      </c>
      <c r="S104" s="2144">
        <f t="shared" si="24"/>
        <v>0</v>
      </c>
      <c r="U104" s="2144">
        <f t="shared" si="33"/>
        <v>287000</v>
      </c>
      <c r="V104" s="2144">
        <f t="shared" si="25"/>
        <v>0</v>
      </c>
      <c r="X104" s="2144">
        <v>287000</v>
      </c>
      <c r="Y104" s="2144">
        <f t="shared" si="34"/>
        <v>0</v>
      </c>
      <c r="Z104" s="181">
        <f>H104-Q104</f>
        <v>0</v>
      </c>
      <c r="AA104" s="182">
        <f>(Q104-H104)+Z104</f>
        <v>0</v>
      </c>
      <c r="AC104" s="2499">
        <v>189323001.68000007</v>
      </c>
      <c r="AD104" s="2500">
        <f>AC104-K104</f>
        <v>189036001.68000007</v>
      </c>
      <c r="AE104" s="2145"/>
      <c r="AF104" s="629" t="e">
        <f>SUMIF(#REF!,'Schedule B'!C104,#REF!)</f>
        <v>#REF!</v>
      </c>
      <c r="AG104" s="539" t="e">
        <f>#REF!-#REF!</f>
        <v>#REF!</v>
      </c>
      <c r="AH104" s="539">
        <f t="shared" si="29"/>
        <v>0</v>
      </c>
      <c r="AI104" s="539" t="e">
        <f t="shared" si="30"/>
        <v>#REF!</v>
      </c>
      <c r="AJ104" s="539">
        <f t="shared" si="31"/>
        <v>0</v>
      </c>
    </row>
    <row r="105" spans="1:36" ht="31.5" outlineLevel="2">
      <c r="A105" s="2139" t="s">
        <v>4110</v>
      </c>
      <c r="B105" s="2140" t="s">
        <v>4465</v>
      </c>
      <c r="C105" s="2141" t="s">
        <v>4465</v>
      </c>
      <c r="D105" s="2142"/>
      <c r="E105" s="2143">
        <v>0</v>
      </c>
      <c r="F105" s="2996">
        <f>+'Schedule J'!I298</f>
        <v>6608.7</v>
      </c>
      <c r="H105" s="2144">
        <f>E105+F105</f>
        <v>6608.7</v>
      </c>
      <c r="I105" s="2144">
        <f>SUMIFS('Schedule C'!$AZ$21:$AZ$500,'Schedule C'!$M$21:$M$500,'Schedule B'!$B105,'Schedule C'!$AY$21:$AY$500,"ACTIVE",'Schedule C'!$AF$21:$AF$500,"ACTIVE",'Schedule C'!$X$21:$X$500,"ACTIVE")</f>
        <v>0</v>
      </c>
      <c r="J105" s="2144"/>
      <c r="K105" s="2144">
        <f>SUM(H105:J105)</f>
        <v>6608.7</v>
      </c>
      <c r="M105" s="2144">
        <f>SUMIFS('Schedule C'!$AG$21:$AG$500,'Schedule C'!$M$21:$M$500,'Schedule B'!$B105,'Schedule C'!$AY$21:$AY$500,"NOT ACTIVE",'Schedule C'!$AF$21:$AF$500,"ACTIVE",'Schedule C'!$X$21:$X$500,"ACTIVE")</f>
        <v>0</v>
      </c>
      <c r="N105" s="2144">
        <f>SUMIFS('Schedule C'!$Y$21:$Y$500,'Schedule C'!$M$21:$M$500,'Schedule B'!$B105,'Schedule C'!$AY$21:$AY$500,"NOT ACTIVE",'Schedule C'!$AF$21:$AF$500,"NOT ACTIVE",'Schedule C'!$X$21:$X$500,"ACTIVE")</f>
        <v>0</v>
      </c>
      <c r="O105" s="2144">
        <f>SUMIF('Schedule C'!$M$21:$M$500,'Schedule B'!B105,'Schedule C'!$Q$21:$Q$500)</f>
        <v>0</v>
      </c>
      <c r="P105" s="2144">
        <v>0</v>
      </c>
      <c r="Q105" s="2144">
        <f t="shared" si="23"/>
        <v>6608.7</v>
      </c>
      <c r="S105" s="2144">
        <f t="shared" si="24"/>
        <v>0</v>
      </c>
      <c r="U105" s="2144">
        <f t="shared" si="33"/>
        <v>6608.7</v>
      </c>
      <c r="V105" s="2144">
        <f>Q105-U105</f>
        <v>0</v>
      </c>
      <c r="X105" s="2144">
        <v>6608.7</v>
      </c>
      <c r="Y105" s="2144">
        <f>Q105-X105</f>
        <v>0</v>
      </c>
      <c r="Z105" s="181"/>
      <c r="AA105" s="182"/>
      <c r="AC105" s="2499"/>
      <c r="AD105" s="2500"/>
      <c r="AE105" s="2145"/>
      <c r="AF105" s="629"/>
      <c r="AG105" s="539"/>
      <c r="AH105" s="539"/>
      <c r="AI105" s="539"/>
      <c r="AJ105" s="539"/>
    </row>
    <row r="106" spans="1:36" ht="15.75" outlineLevel="2">
      <c r="A106" s="2139" t="s">
        <v>4110</v>
      </c>
      <c r="B106" s="2140" t="s">
        <v>4468</v>
      </c>
      <c r="C106" s="2141" t="s">
        <v>4468</v>
      </c>
      <c r="D106" s="2142"/>
      <c r="E106" s="2143">
        <v>0</v>
      </c>
      <c r="F106" s="2996">
        <f>+'Schedule J'!I305</f>
        <v>59606.12</v>
      </c>
      <c r="H106" s="2144">
        <f>E106+F106</f>
        <v>59606.12</v>
      </c>
      <c r="I106" s="2144">
        <f>SUMIFS('Schedule C'!$AZ$21:$AZ$500,'Schedule C'!$M$21:$M$500,'Schedule B'!$B106,'Schedule C'!$AY$21:$AY$500,"ACTIVE",'Schedule C'!$AF$21:$AF$500,"ACTIVE",'Schedule C'!$X$21:$X$500,"ACTIVE")</f>
        <v>0</v>
      </c>
      <c r="J106" s="2144"/>
      <c r="K106" s="2144">
        <f>SUM(H106:J106)</f>
        <v>59606.12</v>
      </c>
      <c r="M106" s="2144">
        <f>SUMIFS('Schedule C'!$AG$21:$AG$500,'Schedule C'!$M$21:$M$500,'Schedule B'!$B106,'Schedule C'!$AY$21:$AY$500,"NOT ACTIVE",'Schedule C'!$AF$21:$AF$500,"ACTIVE",'Schedule C'!$X$21:$X$500,"ACTIVE")</f>
        <v>0</v>
      </c>
      <c r="N106" s="2144">
        <f>SUMIFS('Schedule C'!$Y$21:$Y$500,'Schedule C'!$M$21:$M$500,'Schedule B'!$B106,'Schedule C'!$AY$21:$AY$500,"NOT ACTIVE",'Schedule C'!$AF$21:$AF$500,"NOT ACTIVE",'Schedule C'!$X$21:$X$500,"ACTIVE")</f>
        <v>0</v>
      </c>
      <c r="O106" s="2144">
        <f>SUMIF('Schedule C'!$M$21:$M$500,'Schedule B'!B106,'Schedule C'!$Q$21:$Q$500)</f>
        <v>0</v>
      </c>
      <c r="P106" s="2144">
        <v>0</v>
      </c>
      <c r="Q106" s="2144">
        <f t="shared" si="23"/>
        <v>59606.12</v>
      </c>
      <c r="S106" s="2144">
        <f t="shared" si="24"/>
        <v>0</v>
      </c>
      <c r="U106" s="2144">
        <f t="shared" si="33"/>
        <v>59606.12</v>
      </c>
      <c r="V106" s="2144">
        <f>Q106-U106</f>
        <v>0</v>
      </c>
      <c r="X106" s="2144">
        <v>59606.12</v>
      </c>
      <c r="Y106" s="2144">
        <f>Q106-X106</f>
        <v>0</v>
      </c>
      <c r="Z106" s="181"/>
      <c r="AA106" s="182"/>
      <c r="AC106" s="2499"/>
      <c r="AD106" s="2500"/>
      <c r="AE106" s="2145"/>
      <c r="AF106" s="629"/>
      <c r="AG106" s="539"/>
      <c r="AH106" s="539"/>
      <c r="AI106" s="539"/>
      <c r="AJ106" s="539"/>
    </row>
    <row r="107" spans="1:36" ht="15.75" outlineLevel="2">
      <c r="A107" s="2139" t="s">
        <v>4110</v>
      </c>
      <c r="B107" s="2140" t="s">
        <v>4471</v>
      </c>
      <c r="C107" s="2141" t="s">
        <v>4471</v>
      </c>
      <c r="D107" s="2142"/>
      <c r="E107" s="2143">
        <v>0</v>
      </c>
      <c r="F107" s="2996">
        <f>+'Schedule J'!I313</f>
        <v>75000</v>
      </c>
      <c r="H107" s="2144">
        <f>E107+F107</f>
        <v>75000</v>
      </c>
      <c r="I107" s="2144">
        <f>SUMIFS('Schedule C'!$AZ$21:$AZ$500,'Schedule C'!$M$21:$M$500,'Schedule B'!$B107,'Schedule C'!$AY$21:$AY$500,"ACTIVE",'Schedule C'!$AF$21:$AF$500,"ACTIVE",'Schedule C'!$X$21:$X$500,"ACTIVE")</f>
        <v>0</v>
      </c>
      <c r="J107" s="2144"/>
      <c r="K107" s="2144">
        <f>SUM(H107:J107)</f>
        <v>75000</v>
      </c>
      <c r="M107" s="2144">
        <f>SUMIFS('Schedule C'!$AG$21:$AG$500,'Schedule C'!$M$21:$M$500,'Schedule B'!$B107,'Schedule C'!$AY$21:$AY$500,"NOT ACTIVE",'Schedule C'!$AF$21:$AF$500,"ACTIVE",'Schedule C'!$X$21:$X$500,"ACTIVE")</f>
        <v>0</v>
      </c>
      <c r="N107" s="2144">
        <f>SUMIFS('Schedule C'!$Y$21:$Y$500,'Schedule C'!$M$21:$M$500,'Schedule B'!$B107,'Schedule C'!$AY$21:$AY$500,"NOT ACTIVE",'Schedule C'!$AF$21:$AF$500,"NOT ACTIVE",'Schedule C'!$X$21:$X$500,"ACTIVE")</f>
        <v>0</v>
      </c>
      <c r="O107" s="2144">
        <f>SUMIF('Schedule C'!$M$21:$M$500,'Schedule B'!B107,'Schedule C'!$Q$21:$Q$500)</f>
        <v>0</v>
      </c>
      <c r="P107" s="2144">
        <v>0</v>
      </c>
      <c r="Q107" s="2144">
        <f t="shared" si="23"/>
        <v>75000</v>
      </c>
      <c r="S107" s="2144">
        <f t="shared" si="24"/>
        <v>0</v>
      </c>
      <c r="U107" s="2144">
        <f t="shared" si="33"/>
        <v>75000</v>
      </c>
      <c r="V107" s="2144">
        <f>Q107-U107</f>
        <v>0</v>
      </c>
      <c r="X107" s="2144">
        <v>75000</v>
      </c>
      <c r="Y107" s="2144">
        <f>Q107-X107</f>
        <v>0</v>
      </c>
      <c r="Z107" s="181"/>
      <c r="AA107" s="182"/>
      <c r="AC107" s="2499"/>
      <c r="AD107" s="2500"/>
      <c r="AE107" s="2145"/>
      <c r="AF107" s="629"/>
      <c r="AG107" s="539"/>
      <c r="AH107" s="539"/>
      <c r="AI107" s="539"/>
      <c r="AJ107" s="539"/>
    </row>
    <row r="108" spans="1:36" ht="15.75" outlineLevel="2">
      <c r="A108" s="2139" t="s">
        <v>4110</v>
      </c>
      <c r="B108" s="2140" t="s">
        <v>5297</v>
      </c>
      <c r="C108" s="4513" t="s">
        <v>5297</v>
      </c>
      <c r="D108" s="2142"/>
      <c r="E108" s="2143">
        <v>0</v>
      </c>
      <c r="F108" s="2996">
        <f>+'Schedule J'!I508</f>
        <v>90000</v>
      </c>
      <c r="H108" s="2144">
        <f>E108+F108</f>
        <v>90000</v>
      </c>
      <c r="I108" s="2144">
        <f>SUMIFS('Schedule C'!$AZ$21:$AZ$500,'Schedule C'!$M$21:$M$500,'Schedule B'!$B108,'Schedule C'!$AY$21:$AY$500,"ACTIVE",'Schedule C'!$AF$21:$AF$500,"ACTIVE",'Schedule C'!$X$21:$X$500,"ACTIVE")</f>
        <v>0</v>
      </c>
      <c r="J108" s="2144"/>
      <c r="K108" s="2144">
        <f>SUM(H108:J108)</f>
        <v>90000</v>
      </c>
      <c r="M108" s="2144">
        <f>SUMIFS('Schedule C'!$AG$21:$AG$500,'Schedule C'!$M$21:$M$500,'Schedule B'!$B108,'Schedule C'!$AY$21:$AY$500,"NOT ACTIVE",'Schedule C'!$AF$21:$AF$500,"ACTIVE",'Schedule C'!$X$21:$X$500,"ACTIVE")</f>
        <v>0</v>
      </c>
      <c r="N108" s="2144">
        <f>SUMIFS('Schedule C'!$Y$21:$Y$500,'Schedule C'!$M$21:$M$500,'Schedule B'!$B108,'Schedule C'!$AY$21:$AY$500,"NOT ACTIVE",'Schedule C'!$AF$21:$AF$500,"NOT ACTIVE",'Schedule C'!$X$21:$X$500,"ACTIVE")</f>
        <v>0</v>
      </c>
      <c r="O108" s="2144">
        <f>SUMIF('Schedule C'!$M$21:$M$500,'Schedule B'!B108,'Schedule C'!$Q$21:$Q$500)</f>
        <v>0</v>
      </c>
      <c r="P108" s="2144">
        <v>0</v>
      </c>
      <c r="Q108" s="2144">
        <f t="shared" si="23"/>
        <v>90000</v>
      </c>
      <c r="S108" s="2144">
        <f t="shared" si="24"/>
        <v>0</v>
      </c>
      <c r="U108" s="2144">
        <f t="shared" ref="U108" si="39">+Q108</f>
        <v>90000</v>
      </c>
      <c r="V108" s="2144">
        <f>Q108-U108</f>
        <v>0</v>
      </c>
      <c r="X108" s="2144">
        <v>90000</v>
      </c>
      <c r="Y108" s="2144">
        <f>Q108-X108</f>
        <v>0</v>
      </c>
      <c r="Z108" s="181"/>
      <c r="AA108" s="182"/>
      <c r="AC108" s="2499"/>
      <c r="AD108" s="2500"/>
      <c r="AE108" s="2145"/>
      <c r="AF108" s="629"/>
      <c r="AG108" s="539"/>
      <c r="AH108" s="539"/>
      <c r="AI108" s="539"/>
      <c r="AJ108" s="539"/>
    </row>
    <row r="109" spans="1:36" ht="15.75" outlineLevel="2">
      <c r="A109" s="2139"/>
      <c r="B109" s="2140"/>
      <c r="C109" s="2141"/>
      <c r="D109" s="2142"/>
      <c r="E109" s="2143">
        <v>0</v>
      </c>
      <c r="F109" s="2996"/>
      <c r="H109" s="2144"/>
      <c r="I109" s="2144">
        <f>SUMIFS('Schedule C'!$AZ$21:$AZ$500,'Schedule C'!$M$21:$M$500,'Schedule B'!$B109,'Schedule C'!$AY$21:$AY$500,"ACTIVE",'Schedule C'!$AF$21:$AF$500,"ACTIVE",'Schedule C'!$X$21:$X$500,"ACTIVE")</f>
        <v>0</v>
      </c>
      <c r="J109" s="2144"/>
      <c r="K109" s="2144"/>
      <c r="M109" s="2144">
        <f>SUMIFS('Schedule C'!$AG$21:$AG$500,'Schedule C'!$M$21:$M$500,'Schedule B'!$B109,'Schedule C'!$AY$21:$AY$500,"NOT ACTIVE",'Schedule C'!$AF$21:$AF$500,"ACTIVE",'Schedule C'!$X$21:$X$500,"ACTIVE")</f>
        <v>0</v>
      </c>
      <c r="N109" s="2144">
        <f>SUMIFS('Schedule C'!$Y$21:$Y$500,'Schedule C'!$M$21:$M$500,'Schedule B'!$B109,'Schedule C'!$AY$21:$AY$500,"NOT ACTIVE",'Schedule C'!$AF$21:$AF$500,"NOT ACTIVE",'Schedule C'!$X$21:$X$500,"ACTIVE")</f>
        <v>0</v>
      </c>
      <c r="O109" s="2144">
        <f>SUMIF('Schedule C'!$M$21:$M$500,'Schedule B'!B109,'Schedule C'!$Q$21:$Q$500)</f>
        <v>0</v>
      </c>
      <c r="P109" s="2144"/>
      <c r="Q109" s="2144"/>
      <c r="S109" s="2144"/>
      <c r="U109" s="2144"/>
      <c r="V109" s="2144"/>
      <c r="X109" s="2144"/>
      <c r="Y109" s="2144"/>
      <c r="Z109" s="181"/>
      <c r="AA109" s="182"/>
      <c r="AC109" s="2499"/>
      <c r="AD109" s="2500"/>
      <c r="AE109" s="2145"/>
      <c r="AF109" s="629"/>
      <c r="AG109" s="539"/>
      <c r="AH109" s="539"/>
      <c r="AI109" s="539"/>
      <c r="AJ109" s="539"/>
    </row>
    <row r="110" spans="1:36" ht="15.75" outlineLevel="2">
      <c r="A110" s="4151" t="s">
        <v>4111</v>
      </c>
      <c r="B110" s="2140" t="s">
        <v>4082</v>
      </c>
      <c r="C110" s="2141" t="s">
        <v>4082</v>
      </c>
      <c r="D110" s="2142"/>
      <c r="E110" s="2143">
        <v>0</v>
      </c>
      <c r="F110" s="2996">
        <f>+'Schedule J'!I197+'Schedule J'!I290+'Schedule J'!I390</f>
        <v>14320</v>
      </c>
      <c r="H110" s="2144">
        <f t="shared" si="22"/>
        <v>14320</v>
      </c>
      <c r="I110" s="2144">
        <f>SUMIFS('Schedule C'!$AZ$21:$AZ$500,'Schedule C'!$M$21:$M$500,'Schedule B'!$B110,'Schedule C'!$AY$21:$AY$500,"ACTIVE",'Schedule C'!$AF$21:$AF$500,"ACTIVE",'Schedule C'!$X$21:$X$500,"ACTIVE")</f>
        <v>0</v>
      </c>
      <c r="J110" s="2144"/>
      <c r="K110" s="2144">
        <f t="shared" si="32"/>
        <v>14320</v>
      </c>
      <c r="M110" s="2144">
        <f>SUMIFS('Schedule C'!$AG$21:$AG$500,'Schedule C'!$M$21:$M$500,'Schedule B'!$B110,'Schedule C'!$AY$21:$AY$500,"NOT ACTIVE",'Schedule C'!$AF$21:$AF$500,"ACTIVE",'Schedule C'!$X$21:$X$500,"ACTIVE")</f>
        <v>0</v>
      </c>
      <c r="N110" s="2144">
        <f>SUMIFS('Schedule C'!$Y$21:$Y$500,'Schedule C'!$M$21:$M$500,'Schedule B'!$B110,'Schedule C'!$AY$21:$AY$500,"NOT ACTIVE",'Schedule C'!$AF$21:$AF$500,"NOT ACTIVE",'Schedule C'!$X$21:$X$500,"ACTIVE")</f>
        <v>0</v>
      </c>
      <c r="O110" s="2144">
        <f>SUMIF('Schedule C'!$M$21:$M$500,'Schedule B'!B110,'Schedule C'!$Q$21:$Q$500)</f>
        <v>0</v>
      </c>
      <c r="P110" s="2144">
        <v>0</v>
      </c>
      <c r="Q110" s="2144">
        <f t="shared" ref="Q110:Q146" si="40">SUM(K110:P110)</f>
        <v>14320</v>
      </c>
      <c r="S110" s="2144">
        <f t="shared" ref="S110:S146" si="41">Q110-H110</f>
        <v>0</v>
      </c>
      <c r="U110" s="2144">
        <f t="shared" ref="U110:U140" si="42">+Q110</f>
        <v>14320</v>
      </c>
      <c r="V110" s="2144">
        <f t="shared" si="25"/>
        <v>0</v>
      </c>
      <c r="X110" s="2144">
        <v>14320</v>
      </c>
      <c r="Y110" s="2144">
        <f t="shared" si="34"/>
        <v>0</v>
      </c>
      <c r="Z110" s="181">
        <f t="shared" ref="Z110:Z134" si="43">H110-Q110</f>
        <v>0</v>
      </c>
      <c r="AA110" s="182">
        <f t="shared" ref="AA110:AA134" si="44">(Q110-H110)+Z110</f>
        <v>0</v>
      </c>
      <c r="AC110" s="2499">
        <v>189323001.68000007</v>
      </c>
      <c r="AD110" s="2500">
        <f t="shared" ref="AD110:AD134" si="45">AC110-K110</f>
        <v>189308681.68000007</v>
      </c>
      <c r="AE110" s="2145"/>
      <c r="AF110" s="629" t="e">
        <f>SUMIF(#REF!,'Schedule B'!C110,#REF!)</f>
        <v>#REF!</v>
      </c>
      <c r="AG110" s="539" t="e">
        <f>#REF!-#REF!</f>
        <v>#REF!</v>
      </c>
      <c r="AH110" s="539">
        <f t="shared" si="29"/>
        <v>0</v>
      </c>
      <c r="AI110" s="539" t="e">
        <f t="shared" si="30"/>
        <v>#REF!</v>
      </c>
      <c r="AJ110" s="539">
        <f t="shared" si="31"/>
        <v>0</v>
      </c>
    </row>
    <row r="111" spans="1:36" ht="31.5" outlineLevel="2">
      <c r="A111" s="4151" t="s">
        <v>4111</v>
      </c>
      <c r="B111" s="2140" t="s">
        <v>4097</v>
      </c>
      <c r="C111" s="2141" t="s">
        <v>4097</v>
      </c>
      <c r="D111" s="2142"/>
      <c r="E111" s="2143">
        <v>0</v>
      </c>
      <c r="F111" s="2996">
        <f>+'Schedule J'!I198+'Schedule J'!I234+'Schedule J'!I384</f>
        <v>12113.599999999999</v>
      </c>
      <c r="H111" s="2144">
        <f t="shared" si="22"/>
        <v>12113.599999999999</v>
      </c>
      <c r="I111" s="2144">
        <f>SUMIFS('Schedule C'!$AZ$21:$AZ$500,'Schedule C'!$M$21:$M$500,'Schedule B'!$B111,'Schedule C'!$AY$21:$AY$500,"ACTIVE",'Schedule C'!$AF$21:$AF$500,"ACTIVE",'Schedule C'!$X$21:$X$500,"ACTIVE")</f>
        <v>0</v>
      </c>
      <c r="J111" s="2144"/>
      <c r="K111" s="2144">
        <f t="shared" si="32"/>
        <v>12113.599999999999</v>
      </c>
      <c r="M111" s="2144">
        <f>SUMIFS('Schedule C'!$AG$21:$AG$500,'Schedule C'!$M$21:$M$500,'Schedule B'!$B111,'Schedule C'!$AY$21:$AY$500,"NOT ACTIVE",'Schedule C'!$AF$21:$AF$500,"ACTIVE",'Schedule C'!$X$21:$X$500,"ACTIVE")</f>
        <v>0</v>
      </c>
      <c r="N111" s="2144">
        <f>SUMIFS('Schedule C'!$Y$21:$Y$500,'Schedule C'!$M$21:$M$500,'Schedule B'!$B111,'Schedule C'!$AY$21:$AY$500,"NOT ACTIVE",'Schedule C'!$AF$21:$AF$500,"NOT ACTIVE",'Schedule C'!$X$21:$X$500,"ACTIVE")</f>
        <v>0</v>
      </c>
      <c r="O111" s="2144">
        <f>SUMIF('Schedule C'!$M$21:$M$500,'Schedule B'!B111,'Schedule C'!$Q$21:$Q$500)</f>
        <v>0</v>
      </c>
      <c r="P111" s="2144">
        <v>0</v>
      </c>
      <c r="Q111" s="2144">
        <f t="shared" si="40"/>
        <v>12113.599999999999</v>
      </c>
      <c r="S111" s="2144">
        <f t="shared" si="41"/>
        <v>0</v>
      </c>
      <c r="U111" s="2144">
        <f t="shared" si="42"/>
        <v>12113.599999999999</v>
      </c>
      <c r="V111" s="2144">
        <f t="shared" si="25"/>
        <v>0</v>
      </c>
      <c r="X111" s="2144">
        <v>12113.599999999999</v>
      </c>
      <c r="Y111" s="2144">
        <f t="shared" si="34"/>
        <v>0</v>
      </c>
      <c r="Z111" s="181">
        <f t="shared" si="43"/>
        <v>0</v>
      </c>
      <c r="AA111" s="182">
        <f t="shared" si="44"/>
        <v>0</v>
      </c>
      <c r="AC111" s="2499">
        <v>189323001.68000007</v>
      </c>
      <c r="AD111" s="2500">
        <f t="shared" si="45"/>
        <v>189310888.08000007</v>
      </c>
      <c r="AE111" s="2145"/>
      <c r="AF111" s="629" t="e">
        <f>SUMIF(#REF!,'Schedule B'!C111,#REF!)</f>
        <v>#REF!</v>
      </c>
      <c r="AG111" s="539" t="e">
        <f>#REF!-#REF!</f>
        <v>#REF!</v>
      </c>
      <c r="AH111" s="539">
        <f t="shared" si="29"/>
        <v>0</v>
      </c>
      <c r="AI111" s="539" t="e">
        <f t="shared" si="30"/>
        <v>#REF!</v>
      </c>
      <c r="AJ111" s="539">
        <f t="shared" si="31"/>
        <v>0</v>
      </c>
    </row>
    <row r="112" spans="1:36" ht="15.75" outlineLevel="2">
      <c r="A112" s="4151" t="s">
        <v>4111</v>
      </c>
      <c r="B112" s="2140" t="s">
        <v>4083</v>
      </c>
      <c r="C112" s="2141" t="s">
        <v>4083</v>
      </c>
      <c r="D112" s="2142"/>
      <c r="E112" s="2143">
        <v>0</v>
      </c>
      <c r="F112" s="2996">
        <f>+'Schedule J'!I199+'Schedule J'!I236</f>
        <v>39954.82</v>
      </c>
      <c r="H112" s="2144">
        <f t="shared" si="22"/>
        <v>39954.82</v>
      </c>
      <c r="I112" s="2144">
        <f>SUMIFS('Schedule C'!$AZ$21:$AZ$500,'Schedule C'!$M$21:$M$500,'Schedule B'!$B112,'Schedule C'!$AY$21:$AY$500,"ACTIVE",'Schedule C'!$AF$21:$AF$500,"ACTIVE",'Schedule C'!$X$21:$X$500,"ACTIVE")</f>
        <v>0</v>
      </c>
      <c r="J112" s="2144"/>
      <c r="K112" s="2144">
        <f t="shared" si="32"/>
        <v>39954.82</v>
      </c>
      <c r="M112" s="2144">
        <f>SUMIFS('Schedule C'!$AG$21:$AG$500,'Schedule C'!$M$21:$M$500,'Schedule B'!$B112,'Schedule C'!$AY$21:$AY$500,"NOT ACTIVE",'Schedule C'!$AF$21:$AF$500,"ACTIVE",'Schedule C'!$X$21:$X$500,"ACTIVE")</f>
        <v>0</v>
      </c>
      <c r="N112" s="2144">
        <f>SUMIFS('Schedule C'!$Y$21:$Y$500,'Schedule C'!$M$21:$M$500,'Schedule B'!$B112,'Schedule C'!$AY$21:$AY$500,"NOT ACTIVE",'Schedule C'!$AF$21:$AF$500,"NOT ACTIVE",'Schedule C'!$X$21:$X$500,"ACTIVE")</f>
        <v>0</v>
      </c>
      <c r="O112" s="2144">
        <f>SUMIF('Schedule C'!$M$21:$M$500,'Schedule B'!B112,'Schedule C'!$Q$21:$Q$500)</f>
        <v>0</v>
      </c>
      <c r="P112" s="2144">
        <v>0</v>
      </c>
      <c r="Q112" s="2144">
        <f t="shared" si="40"/>
        <v>39954.82</v>
      </c>
      <c r="S112" s="2144">
        <f t="shared" si="41"/>
        <v>0</v>
      </c>
      <c r="U112" s="2144">
        <f t="shared" si="42"/>
        <v>39954.82</v>
      </c>
      <c r="V112" s="2144">
        <f t="shared" si="25"/>
        <v>0</v>
      </c>
      <c r="X112" s="2144">
        <v>39954.82</v>
      </c>
      <c r="Y112" s="2144">
        <f t="shared" si="34"/>
        <v>0</v>
      </c>
      <c r="Z112" s="181">
        <f t="shared" si="43"/>
        <v>0</v>
      </c>
      <c r="AA112" s="182">
        <f t="shared" si="44"/>
        <v>0</v>
      </c>
      <c r="AC112" s="2499">
        <v>189323001.68000007</v>
      </c>
      <c r="AD112" s="2500">
        <f t="shared" si="45"/>
        <v>189283046.86000007</v>
      </c>
      <c r="AE112" s="2145"/>
      <c r="AF112" s="629" t="e">
        <f>SUMIF(#REF!,'Schedule B'!C112,#REF!)</f>
        <v>#REF!</v>
      </c>
      <c r="AG112" s="539" t="e">
        <f>#REF!-#REF!</f>
        <v>#REF!</v>
      </c>
      <c r="AH112" s="539">
        <f t="shared" si="29"/>
        <v>0</v>
      </c>
      <c r="AI112" s="539" t="e">
        <f t="shared" si="30"/>
        <v>#REF!</v>
      </c>
      <c r="AJ112" s="539">
        <f t="shared" si="31"/>
        <v>0</v>
      </c>
    </row>
    <row r="113" spans="1:36" ht="15.75" outlineLevel="2">
      <c r="A113" s="4151" t="s">
        <v>4111</v>
      </c>
      <c r="B113" s="2140" t="s">
        <v>4084</v>
      </c>
      <c r="C113" s="2141" t="s">
        <v>4084</v>
      </c>
      <c r="D113" s="2142"/>
      <c r="E113" s="2143">
        <v>0</v>
      </c>
      <c r="F113" s="2996">
        <f>+'Schedule J'!I200+'Schedule J'!I308+'Schedule J'!I333+'Schedule J'!I415+'Schedule J'!I417+'Schedule J'!I428+'Schedule J'!I524</f>
        <v>3619680.62</v>
      </c>
      <c r="H113" s="2144">
        <f t="shared" si="22"/>
        <v>3619680.62</v>
      </c>
      <c r="I113" s="2144">
        <f>SUMIFS('Schedule C'!$AZ$21:$AZ$500,'Schedule C'!$M$21:$M$500,'Schedule B'!$B113,'Schedule C'!$AY$21:$AY$500,"ACTIVE",'Schedule C'!$AF$21:$AF$500,"ACTIVE",'Schedule C'!$X$21:$X$500,"ACTIVE")</f>
        <v>0</v>
      </c>
      <c r="J113" s="2144"/>
      <c r="K113" s="2144">
        <f t="shared" si="32"/>
        <v>3619680.62</v>
      </c>
      <c r="M113" s="2144">
        <f>SUMIFS('Schedule C'!$AG$21:$AG$500,'Schedule C'!$M$21:$M$500,'Schedule B'!$B113,'Schedule C'!$AY$21:$AY$500,"NOT ACTIVE",'Schedule C'!$AF$21:$AF$500,"ACTIVE",'Schedule C'!$X$21:$X$500,"ACTIVE")</f>
        <v>0</v>
      </c>
      <c r="N113" s="2144">
        <f>SUMIFS('Schedule C'!$Y$21:$Y$500,'Schedule C'!$M$21:$M$500,'Schedule B'!$B113,'Schedule C'!$AY$21:$AY$500,"NOT ACTIVE",'Schedule C'!$AF$21:$AF$500,"NOT ACTIVE",'Schedule C'!$X$21:$X$500,"ACTIVE")</f>
        <v>0</v>
      </c>
      <c r="O113" s="2144">
        <f>SUMIF('Schedule C'!$M$21:$M$500,'Schedule B'!B113,'Schedule C'!$Q$21:$Q$500)</f>
        <v>0</v>
      </c>
      <c r="P113" s="2144">
        <v>0</v>
      </c>
      <c r="Q113" s="2144">
        <f t="shared" si="40"/>
        <v>3619680.62</v>
      </c>
      <c r="S113" s="2144">
        <f t="shared" si="41"/>
        <v>0</v>
      </c>
      <c r="U113" s="2144">
        <f t="shared" si="42"/>
        <v>3619680.62</v>
      </c>
      <c r="V113" s="2144">
        <f t="shared" si="25"/>
        <v>0</v>
      </c>
      <c r="X113" s="2144">
        <v>3619680.62</v>
      </c>
      <c r="Y113" s="2144">
        <f t="shared" si="34"/>
        <v>0</v>
      </c>
      <c r="Z113" s="181">
        <f t="shared" si="43"/>
        <v>0</v>
      </c>
      <c r="AA113" s="182">
        <f t="shared" si="44"/>
        <v>0</v>
      </c>
      <c r="AC113" s="2499">
        <v>189323001.68000007</v>
      </c>
      <c r="AD113" s="2500">
        <f t="shared" si="45"/>
        <v>185703321.06000006</v>
      </c>
      <c r="AE113" s="2145"/>
      <c r="AF113" s="629" t="e">
        <f>SUMIF(#REF!,'Schedule B'!C113,#REF!)</f>
        <v>#REF!</v>
      </c>
      <c r="AG113" s="539" t="e">
        <f>#REF!-#REF!</f>
        <v>#REF!</v>
      </c>
      <c r="AH113" s="539">
        <f t="shared" si="29"/>
        <v>0</v>
      </c>
      <c r="AI113" s="539" t="e">
        <f t="shared" si="30"/>
        <v>#REF!</v>
      </c>
      <c r="AJ113" s="539">
        <f t="shared" si="31"/>
        <v>0</v>
      </c>
    </row>
    <row r="114" spans="1:36" ht="15.75" outlineLevel="2">
      <c r="A114" s="4151" t="s">
        <v>4111</v>
      </c>
      <c r="B114" s="2140" t="s">
        <v>4085</v>
      </c>
      <c r="C114" s="2141" t="s">
        <v>4085</v>
      </c>
      <c r="D114" s="2142"/>
      <c r="E114" s="2143">
        <v>0</v>
      </c>
      <c r="F114" s="2996">
        <f>+'Schedule J'!I201+'Schedule J'!I242+'Schedule J'!I334+'Schedule J'!I414+'Schedule J'!I427+'Schedule J'!I490</f>
        <v>6340696.8999999994</v>
      </c>
      <c r="H114" s="2144">
        <f t="shared" si="22"/>
        <v>6340696.8999999994</v>
      </c>
      <c r="I114" s="2144">
        <f>SUMIFS('Schedule C'!$AZ$21:$AZ$500,'Schedule C'!$M$21:$M$500,'Schedule B'!$B114,'Schedule C'!$AY$21:$AY$500,"ACTIVE",'Schedule C'!$AF$21:$AF$500,"ACTIVE",'Schedule C'!$X$21:$X$500,"ACTIVE")</f>
        <v>0</v>
      </c>
      <c r="J114" s="2144"/>
      <c r="K114" s="2144">
        <f t="shared" si="32"/>
        <v>6340696.8999999994</v>
      </c>
      <c r="M114" s="2144">
        <f>SUMIFS('Schedule C'!$AG$21:$AG$500,'Schedule C'!$M$21:$M$500,'Schedule B'!$B114,'Schedule C'!$AY$21:$AY$500,"NOT ACTIVE",'Schedule C'!$AF$21:$AF$500,"ACTIVE",'Schedule C'!$X$21:$X$500,"ACTIVE")</f>
        <v>0</v>
      </c>
      <c r="N114" s="2144">
        <f>SUMIFS('Schedule C'!$Y$21:$Y$500,'Schedule C'!$M$21:$M$500,'Schedule B'!$B114,'Schedule C'!$AY$21:$AY$500,"NOT ACTIVE",'Schedule C'!$AF$21:$AF$500,"NOT ACTIVE",'Schedule C'!$X$21:$X$500,"ACTIVE")</f>
        <v>0</v>
      </c>
      <c r="O114" s="2144">
        <f>SUMIF('Schedule C'!$M$21:$M$500,'Schedule B'!B114,'Schedule C'!$Q$21:$Q$500)</f>
        <v>0</v>
      </c>
      <c r="P114" s="2144">
        <v>0</v>
      </c>
      <c r="Q114" s="2144">
        <f t="shared" si="40"/>
        <v>6340696.8999999994</v>
      </c>
      <c r="S114" s="2144">
        <f t="shared" si="41"/>
        <v>0</v>
      </c>
      <c r="U114" s="2144">
        <f t="shared" si="42"/>
        <v>6340696.8999999994</v>
      </c>
      <c r="V114" s="2144">
        <f t="shared" si="25"/>
        <v>0</v>
      </c>
      <c r="X114" s="2144">
        <v>6340696.8999999994</v>
      </c>
      <c r="Y114" s="2144">
        <f t="shared" si="34"/>
        <v>0</v>
      </c>
      <c r="Z114" s="181">
        <f t="shared" si="43"/>
        <v>0</v>
      </c>
      <c r="AA114" s="182">
        <f t="shared" si="44"/>
        <v>0</v>
      </c>
      <c r="AC114" s="2499">
        <v>189323001.68000007</v>
      </c>
      <c r="AD114" s="2500">
        <f t="shared" si="45"/>
        <v>182982304.78000006</v>
      </c>
      <c r="AE114" s="2145"/>
      <c r="AF114" s="629" t="e">
        <f>SUMIF(#REF!,'Schedule B'!C114,#REF!)</f>
        <v>#REF!</v>
      </c>
      <c r="AG114" s="539" t="e">
        <f>#REF!-#REF!</f>
        <v>#REF!</v>
      </c>
      <c r="AH114" s="539">
        <f t="shared" si="29"/>
        <v>0</v>
      </c>
      <c r="AI114" s="539" t="e">
        <f t="shared" si="30"/>
        <v>#REF!</v>
      </c>
      <c r="AJ114" s="539">
        <f t="shared" si="31"/>
        <v>0</v>
      </c>
    </row>
    <row r="115" spans="1:36" ht="31.5" outlineLevel="2">
      <c r="A115" s="4151" t="s">
        <v>4111</v>
      </c>
      <c r="B115" s="2140" t="s">
        <v>4098</v>
      </c>
      <c r="C115" s="2141" t="s">
        <v>4098</v>
      </c>
      <c r="D115" s="2142"/>
      <c r="E115" s="2143">
        <v>0</v>
      </c>
      <c r="F115" s="2996">
        <f>+'Schedule J'!I205+'Schedule J'!I249</f>
        <v>377764.03</v>
      </c>
      <c r="H115" s="2144">
        <f t="shared" si="22"/>
        <v>377764.03</v>
      </c>
      <c r="I115" s="2144">
        <f>SUMIFS('Schedule C'!$AZ$21:$AZ$500,'Schedule C'!$M$21:$M$500,'Schedule B'!$B115,'Schedule C'!$AY$21:$AY$500,"ACTIVE",'Schedule C'!$AF$21:$AF$500,"ACTIVE",'Schedule C'!$X$21:$X$500,"ACTIVE")</f>
        <v>0</v>
      </c>
      <c r="J115" s="2144"/>
      <c r="K115" s="2144">
        <f t="shared" si="32"/>
        <v>377764.03</v>
      </c>
      <c r="M115" s="2144">
        <f>SUMIFS('Schedule C'!$AG$21:$AG$500,'Schedule C'!$M$21:$M$500,'Schedule B'!$B115,'Schedule C'!$AY$21:$AY$500,"NOT ACTIVE",'Schedule C'!$AF$21:$AF$500,"ACTIVE",'Schedule C'!$X$21:$X$500,"ACTIVE")</f>
        <v>0</v>
      </c>
      <c r="N115" s="2144">
        <f>SUMIFS('Schedule C'!$Y$21:$Y$500,'Schedule C'!$M$21:$M$500,'Schedule B'!$B115,'Schedule C'!$AY$21:$AY$500,"NOT ACTIVE",'Schedule C'!$AF$21:$AF$500,"NOT ACTIVE",'Schedule C'!$X$21:$X$500,"ACTIVE")</f>
        <v>0</v>
      </c>
      <c r="O115" s="2144">
        <f>SUMIF('Schedule C'!$M$21:$M$500,'Schedule B'!B115,'Schedule C'!$Q$21:$Q$500)</f>
        <v>0</v>
      </c>
      <c r="P115" s="2144">
        <v>0</v>
      </c>
      <c r="Q115" s="2144">
        <f t="shared" si="40"/>
        <v>377764.03</v>
      </c>
      <c r="S115" s="2144">
        <f t="shared" si="41"/>
        <v>0</v>
      </c>
      <c r="U115" s="2144">
        <f t="shared" si="42"/>
        <v>377764.03</v>
      </c>
      <c r="V115" s="2144">
        <f t="shared" si="25"/>
        <v>0</v>
      </c>
      <c r="X115" s="2144">
        <v>377764.03</v>
      </c>
      <c r="Y115" s="2144">
        <f t="shared" si="34"/>
        <v>0</v>
      </c>
      <c r="Z115" s="181">
        <f t="shared" si="43"/>
        <v>0</v>
      </c>
      <c r="AA115" s="182">
        <f t="shared" si="44"/>
        <v>0</v>
      </c>
      <c r="AC115" s="2499">
        <v>189323001.68000007</v>
      </c>
      <c r="AD115" s="2500">
        <f t="shared" si="45"/>
        <v>188945237.65000007</v>
      </c>
      <c r="AE115" s="2145"/>
      <c r="AF115" s="629" t="e">
        <f>SUMIF(#REF!,'Schedule B'!C115,#REF!)</f>
        <v>#REF!</v>
      </c>
      <c r="AG115" s="539" t="e">
        <f>#REF!-#REF!</f>
        <v>#REF!</v>
      </c>
      <c r="AH115" s="539">
        <f t="shared" si="29"/>
        <v>0</v>
      </c>
      <c r="AI115" s="539" t="e">
        <f t="shared" si="30"/>
        <v>#REF!</v>
      </c>
      <c r="AJ115" s="539">
        <f t="shared" si="31"/>
        <v>0</v>
      </c>
    </row>
    <row r="116" spans="1:36" ht="15.75" outlineLevel="2">
      <c r="A116" s="4151" t="s">
        <v>4111</v>
      </c>
      <c r="B116" s="2140" t="s">
        <v>4099</v>
      </c>
      <c r="C116" s="2141" t="s">
        <v>4099</v>
      </c>
      <c r="D116" s="2142"/>
      <c r="E116" s="2143">
        <v>0</v>
      </c>
      <c r="F116" s="2996">
        <f>+'Schedule J'!I206+'Schedule J'!I256</f>
        <v>40570</v>
      </c>
      <c r="H116" s="2144">
        <f t="shared" si="22"/>
        <v>40570</v>
      </c>
      <c r="I116" s="2144">
        <f>SUMIFS('Schedule C'!$AZ$21:$AZ$500,'Schedule C'!$M$21:$M$500,'Schedule B'!$B116,'Schedule C'!$AY$21:$AY$500,"ACTIVE",'Schedule C'!$AF$21:$AF$500,"ACTIVE",'Schedule C'!$X$21:$X$500,"ACTIVE")</f>
        <v>0</v>
      </c>
      <c r="J116" s="2144"/>
      <c r="K116" s="2144">
        <f t="shared" si="32"/>
        <v>40570</v>
      </c>
      <c r="M116" s="2144">
        <f>SUMIFS('Schedule C'!$AG$21:$AG$500,'Schedule C'!$M$21:$M$500,'Schedule B'!$B116,'Schedule C'!$AY$21:$AY$500,"NOT ACTIVE",'Schedule C'!$AF$21:$AF$500,"ACTIVE",'Schedule C'!$X$21:$X$500,"ACTIVE")</f>
        <v>0</v>
      </c>
      <c r="N116" s="2144">
        <f>SUMIFS('Schedule C'!$Y$21:$Y$500,'Schedule C'!$M$21:$M$500,'Schedule B'!$B116,'Schedule C'!$AY$21:$AY$500,"NOT ACTIVE",'Schedule C'!$AF$21:$AF$500,"NOT ACTIVE",'Schedule C'!$X$21:$X$500,"ACTIVE")</f>
        <v>0</v>
      </c>
      <c r="O116" s="2144">
        <f>SUMIF('Schedule C'!$M$21:$M$500,'Schedule B'!B116,'Schedule C'!$Q$21:$Q$500)</f>
        <v>0</v>
      </c>
      <c r="P116" s="2144">
        <v>0</v>
      </c>
      <c r="Q116" s="2144">
        <f t="shared" si="40"/>
        <v>40570</v>
      </c>
      <c r="S116" s="2144">
        <f t="shared" si="41"/>
        <v>0</v>
      </c>
      <c r="U116" s="2144">
        <f t="shared" si="42"/>
        <v>40570</v>
      </c>
      <c r="V116" s="2144">
        <f t="shared" si="25"/>
        <v>0</v>
      </c>
      <c r="X116" s="2144">
        <v>40570</v>
      </c>
      <c r="Y116" s="2144">
        <f t="shared" si="34"/>
        <v>0</v>
      </c>
      <c r="Z116" s="181">
        <f t="shared" si="43"/>
        <v>0</v>
      </c>
      <c r="AA116" s="182">
        <f t="shared" si="44"/>
        <v>0</v>
      </c>
      <c r="AC116" s="2499">
        <v>189323001.68000007</v>
      </c>
      <c r="AD116" s="2500">
        <f t="shared" si="45"/>
        <v>189282431.68000007</v>
      </c>
      <c r="AE116" s="2145"/>
      <c r="AF116" s="629" t="e">
        <f>SUMIF(#REF!,'Schedule B'!C116,#REF!)</f>
        <v>#REF!</v>
      </c>
      <c r="AG116" s="539" t="e">
        <f>#REF!-#REF!</f>
        <v>#REF!</v>
      </c>
      <c r="AH116" s="539">
        <f t="shared" si="29"/>
        <v>0</v>
      </c>
      <c r="AI116" s="539" t="e">
        <f t="shared" si="30"/>
        <v>#REF!</v>
      </c>
      <c r="AJ116" s="539">
        <f t="shared" si="31"/>
        <v>0</v>
      </c>
    </row>
    <row r="117" spans="1:36" ht="15.75" outlineLevel="2">
      <c r="A117" s="4151" t="s">
        <v>4111</v>
      </c>
      <c r="B117" s="2140" t="s">
        <v>4100</v>
      </c>
      <c r="C117" s="2141" t="s">
        <v>4100</v>
      </c>
      <c r="D117" s="2142"/>
      <c r="E117" s="2143">
        <v>0</v>
      </c>
      <c r="F117" s="2996">
        <f>+'Schedule J'!I207+'Schedule J'!I235+'Schedule J'!I289+'Schedule J'!I368</f>
        <v>49460.5</v>
      </c>
      <c r="H117" s="2144">
        <f t="shared" si="22"/>
        <v>49460.5</v>
      </c>
      <c r="I117" s="2144">
        <f>SUMIFS('Schedule C'!$AZ$21:$AZ$500,'Schedule C'!$M$21:$M$500,'Schedule B'!$B117,'Schedule C'!$AY$21:$AY$500,"ACTIVE",'Schedule C'!$AF$21:$AF$500,"ACTIVE",'Schedule C'!$X$21:$X$500,"ACTIVE")</f>
        <v>0</v>
      </c>
      <c r="J117" s="2144"/>
      <c r="K117" s="2144">
        <f t="shared" si="32"/>
        <v>49460.5</v>
      </c>
      <c r="M117" s="2144">
        <f>SUMIFS('Schedule C'!$AG$21:$AG$500,'Schedule C'!$M$21:$M$500,'Schedule B'!$B117,'Schedule C'!$AY$21:$AY$500,"NOT ACTIVE",'Schedule C'!$AF$21:$AF$500,"ACTIVE",'Schedule C'!$X$21:$X$500,"ACTIVE")</f>
        <v>0</v>
      </c>
      <c r="N117" s="2144">
        <f>SUMIFS('Schedule C'!$Y$21:$Y$500,'Schedule C'!$M$21:$M$500,'Schedule B'!$B117,'Schedule C'!$AY$21:$AY$500,"NOT ACTIVE",'Schedule C'!$AF$21:$AF$500,"NOT ACTIVE",'Schedule C'!$X$21:$X$500,"ACTIVE")</f>
        <v>0</v>
      </c>
      <c r="O117" s="2144">
        <f>SUMIF('Schedule C'!$M$21:$M$500,'Schedule B'!B117,'Schedule C'!$Q$21:$Q$500)</f>
        <v>0</v>
      </c>
      <c r="P117" s="2144">
        <v>0</v>
      </c>
      <c r="Q117" s="2144">
        <f t="shared" si="40"/>
        <v>49460.5</v>
      </c>
      <c r="S117" s="2144">
        <f t="shared" si="41"/>
        <v>0</v>
      </c>
      <c r="U117" s="2144">
        <f t="shared" si="42"/>
        <v>49460.5</v>
      </c>
      <c r="V117" s="2144">
        <f t="shared" si="25"/>
        <v>0</v>
      </c>
      <c r="X117" s="2144">
        <v>49460.5</v>
      </c>
      <c r="Y117" s="2144">
        <f t="shared" si="34"/>
        <v>0</v>
      </c>
      <c r="Z117" s="181">
        <f t="shared" si="43"/>
        <v>0</v>
      </c>
      <c r="AA117" s="182">
        <f t="shared" si="44"/>
        <v>0</v>
      </c>
      <c r="AC117" s="2499">
        <v>189323001.68000007</v>
      </c>
      <c r="AD117" s="2500">
        <f t="shared" si="45"/>
        <v>189273541.18000007</v>
      </c>
      <c r="AE117" s="2145"/>
      <c r="AF117" s="629" t="e">
        <f>SUMIF(#REF!,'Schedule B'!C117,#REF!)</f>
        <v>#REF!</v>
      </c>
      <c r="AG117" s="539" t="e">
        <f>#REF!-#REF!</f>
        <v>#REF!</v>
      </c>
      <c r="AH117" s="539">
        <f t="shared" si="29"/>
        <v>0</v>
      </c>
      <c r="AI117" s="539" t="e">
        <f t="shared" si="30"/>
        <v>#REF!</v>
      </c>
      <c r="AJ117" s="539">
        <f t="shared" si="31"/>
        <v>0</v>
      </c>
    </row>
    <row r="118" spans="1:36" ht="31.5" outlineLevel="2">
      <c r="A118" s="4151" t="s">
        <v>4111</v>
      </c>
      <c r="B118" s="2140" t="s">
        <v>4102</v>
      </c>
      <c r="C118" s="2141" t="s">
        <v>4102</v>
      </c>
      <c r="D118" s="2142"/>
      <c r="E118" s="2143">
        <v>0</v>
      </c>
      <c r="F118" s="2996">
        <f>+'Schedule J'!I209+'Schedule J'!I287+'Schedule J'!I402</f>
        <v>130305.72</v>
      </c>
      <c r="H118" s="2144">
        <f t="shared" si="22"/>
        <v>130305.72</v>
      </c>
      <c r="I118" s="2144">
        <f>SUMIFS('Schedule C'!$AZ$21:$AZ$500,'Schedule C'!$M$21:$M$500,'Schedule B'!$B118,'Schedule C'!$AY$21:$AY$500,"ACTIVE",'Schedule C'!$AF$21:$AF$500,"ACTIVE",'Schedule C'!$X$21:$X$500,"ACTIVE")</f>
        <v>0</v>
      </c>
      <c r="J118" s="2144"/>
      <c r="K118" s="2144">
        <f t="shared" si="32"/>
        <v>130305.72</v>
      </c>
      <c r="M118" s="2144">
        <f>SUMIFS('Schedule C'!$AG$21:$AG$500,'Schedule C'!$M$21:$M$500,'Schedule B'!$B118,'Schedule C'!$AY$21:$AY$500,"NOT ACTIVE",'Schedule C'!$AF$21:$AF$500,"ACTIVE",'Schedule C'!$X$21:$X$500,"ACTIVE")</f>
        <v>0</v>
      </c>
      <c r="N118" s="2144">
        <f>SUMIFS('Schedule C'!$Y$21:$Y$500,'Schedule C'!$M$21:$M$500,'Schedule B'!$B118,'Schedule C'!$AY$21:$AY$500,"NOT ACTIVE",'Schedule C'!$AF$21:$AF$500,"NOT ACTIVE",'Schedule C'!$X$21:$X$500,"ACTIVE")</f>
        <v>0</v>
      </c>
      <c r="O118" s="2144">
        <f>SUMIF('Schedule C'!$M$21:$M$500,'Schedule B'!B118,'Schedule C'!$Q$21:$Q$500)</f>
        <v>0</v>
      </c>
      <c r="P118" s="2144">
        <v>0</v>
      </c>
      <c r="Q118" s="2144">
        <f t="shared" si="40"/>
        <v>130305.72</v>
      </c>
      <c r="S118" s="2144">
        <f t="shared" si="41"/>
        <v>0</v>
      </c>
      <c r="U118" s="2144">
        <f t="shared" si="42"/>
        <v>130305.72</v>
      </c>
      <c r="V118" s="2144">
        <f t="shared" si="25"/>
        <v>0</v>
      </c>
      <c r="X118" s="2144">
        <v>130305.72</v>
      </c>
      <c r="Y118" s="2144">
        <f t="shared" si="34"/>
        <v>0</v>
      </c>
      <c r="Z118" s="181">
        <f t="shared" si="43"/>
        <v>0</v>
      </c>
      <c r="AA118" s="182">
        <f t="shared" si="44"/>
        <v>0</v>
      </c>
      <c r="AC118" s="2499">
        <v>189323001.68000007</v>
      </c>
      <c r="AD118" s="2500">
        <f t="shared" si="45"/>
        <v>189192695.96000007</v>
      </c>
      <c r="AE118" s="2145"/>
      <c r="AF118" s="629" t="e">
        <f>SUMIF(#REF!,'Schedule B'!C118,#REF!)</f>
        <v>#REF!</v>
      </c>
      <c r="AG118" s="539" t="e">
        <f>#REF!-#REF!</f>
        <v>#REF!</v>
      </c>
      <c r="AH118" s="539">
        <f t="shared" si="29"/>
        <v>0</v>
      </c>
      <c r="AI118" s="539" t="e">
        <f t="shared" si="30"/>
        <v>#REF!</v>
      </c>
      <c r="AJ118" s="539">
        <f t="shared" si="31"/>
        <v>0</v>
      </c>
    </row>
    <row r="119" spans="1:36" ht="15.75" outlineLevel="2">
      <c r="A119" s="4151" t="s">
        <v>4111</v>
      </c>
      <c r="B119" s="2140" t="s">
        <v>4103</v>
      </c>
      <c r="C119" s="2141" t="s">
        <v>4103</v>
      </c>
      <c r="D119" s="2142"/>
      <c r="E119" s="2143">
        <v>0</v>
      </c>
      <c r="F119" s="2996">
        <f>+'Schedule J'!I210+'Schedule J'!I282+'Schedule J'!I392+'Schedule J'!I476</f>
        <v>1059365.93</v>
      </c>
      <c r="H119" s="2144">
        <f t="shared" si="22"/>
        <v>1059365.93</v>
      </c>
      <c r="I119" s="2144">
        <f>SUMIFS('Schedule C'!$AZ$21:$AZ$500,'Schedule C'!$M$21:$M$500,'Schedule B'!$B119,'Schedule C'!$AY$21:$AY$500,"ACTIVE",'Schedule C'!$AF$21:$AF$500,"ACTIVE",'Schedule C'!$X$21:$X$500,"ACTIVE")</f>
        <v>0</v>
      </c>
      <c r="J119" s="2144"/>
      <c r="K119" s="2144">
        <f t="shared" si="32"/>
        <v>1059365.93</v>
      </c>
      <c r="M119" s="2144">
        <f>SUMIFS('Schedule C'!$AG$21:$AG$500,'Schedule C'!$M$21:$M$500,'Schedule B'!$B119,'Schedule C'!$AY$21:$AY$500,"NOT ACTIVE",'Schedule C'!$AF$21:$AF$500,"ACTIVE",'Schedule C'!$X$21:$X$500,"ACTIVE")</f>
        <v>0</v>
      </c>
      <c r="N119" s="2144">
        <f>SUMIFS('Schedule C'!$Y$21:$Y$500,'Schedule C'!$M$21:$M$500,'Schedule B'!$B119,'Schedule C'!$AY$21:$AY$500,"NOT ACTIVE",'Schedule C'!$AF$21:$AF$500,"NOT ACTIVE",'Schedule C'!$X$21:$X$500,"ACTIVE")</f>
        <v>0</v>
      </c>
      <c r="O119" s="2144">
        <f>SUMIF('Schedule C'!$M$21:$M$500,'Schedule B'!B119,'Schedule C'!$Q$21:$Q$500)</f>
        <v>0</v>
      </c>
      <c r="P119" s="2144">
        <v>0</v>
      </c>
      <c r="Q119" s="2144">
        <f t="shared" si="40"/>
        <v>1059365.93</v>
      </c>
      <c r="S119" s="2144">
        <f t="shared" si="41"/>
        <v>0</v>
      </c>
      <c r="U119" s="2144">
        <f t="shared" si="42"/>
        <v>1059365.93</v>
      </c>
      <c r="V119" s="2144">
        <f t="shared" si="25"/>
        <v>0</v>
      </c>
      <c r="X119" s="2144">
        <v>1059365.93</v>
      </c>
      <c r="Y119" s="2144">
        <f t="shared" si="34"/>
        <v>0</v>
      </c>
      <c r="Z119" s="181">
        <f t="shared" si="43"/>
        <v>0</v>
      </c>
      <c r="AA119" s="182">
        <f t="shared" si="44"/>
        <v>0</v>
      </c>
      <c r="AC119" s="2499">
        <v>189323001.68000007</v>
      </c>
      <c r="AD119" s="2500">
        <f t="shared" si="45"/>
        <v>188263635.75000006</v>
      </c>
      <c r="AE119" s="2145"/>
      <c r="AF119" s="629" t="e">
        <f>SUMIF(#REF!,'Schedule B'!C119,#REF!)</f>
        <v>#REF!</v>
      </c>
      <c r="AG119" s="539" t="e">
        <f>#REF!-#REF!</f>
        <v>#REF!</v>
      </c>
      <c r="AH119" s="539">
        <f t="shared" si="29"/>
        <v>0</v>
      </c>
      <c r="AI119" s="539" t="e">
        <f t="shared" si="30"/>
        <v>#REF!</v>
      </c>
      <c r="AJ119" s="539">
        <f t="shared" si="31"/>
        <v>0</v>
      </c>
    </row>
    <row r="120" spans="1:36" ht="15.75" outlineLevel="2">
      <c r="A120" s="4151" t="s">
        <v>4111</v>
      </c>
      <c r="B120" s="2140" t="s">
        <v>4104</v>
      </c>
      <c r="C120" s="2141" t="s">
        <v>4104</v>
      </c>
      <c r="D120" s="2142"/>
      <c r="E120" s="2143">
        <v>0</v>
      </c>
      <c r="F120" s="2996">
        <f>+'Schedule J'!I211+'Schedule J'!I225+'Schedule J'!I237+'Schedule J'!I286+'Schedule J'!I338+'Schedule J'!I369+'Schedule J'!I403+'Schedule J'!I433+'Schedule J'!I475+'Schedule J'!I496+'Schedule J'!I528</f>
        <v>1036210</v>
      </c>
      <c r="H120" s="2144">
        <f t="shared" si="22"/>
        <v>1036210</v>
      </c>
      <c r="I120" s="2144">
        <f>SUMIFS('Schedule C'!$AZ$21:$AZ$500,'Schedule C'!$M$21:$M$500,'Schedule B'!$B120,'Schedule C'!$AY$21:$AY$500,"ACTIVE",'Schedule C'!$AF$21:$AF$500,"ACTIVE",'Schedule C'!$X$21:$X$500,"ACTIVE")</f>
        <v>0</v>
      </c>
      <c r="J120" s="2144"/>
      <c r="K120" s="2144">
        <f t="shared" si="32"/>
        <v>1036210</v>
      </c>
      <c r="M120" s="2144">
        <f>SUMIFS('Schedule C'!$AG$21:$AG$500,'Schedule C'!$M$21:$M$500,'Schedule B'!$B120,'Schedule C'!$AY$21:$AY$500,"NOT ACTIVE",'Schedule C'!$AF$21:$AF$500,"ACTIVE",'Schedule C'!$X$21:$X$500,"ACTIVE")</f>
        <v>0</v>
      </c>
      <c r="N120" s="2144">
        <f>SUMIFS('Schedule C'!$Y$21:$Y$500,'Schedule C'!$M$21:$M$500,'Schedule B'!$B120,'Schedule C'!$AY$21:$AY$500,"NOT ACTIVE",'Schedule C'!$AF$21:$AF$500,"NOT ACTIVE",'Schedule C'!$X$21:$X$500,"ACTIVE")</f>
        <v>0</v>
      </c>
      <c r="O120" s="2144">
        <f>SUMIF('Schedule C'!$M$21:$M$500,'Schedule B'!B120,'Schedule C'!$Q$21:$Q$500)</f>
        <v>0</v>
      </c>
      <c r="P120" s="2144">
        <v>0</v>
      </c>
      <c r="Q120" s="2144">
        <f t="shared" si="40"/>
        <v>1036210</v>
      </c>
      <c r="S120" s="2144">
        <f t="shared" si="41"/>
        <v>0</v>
      </c>
      <c r="U120" s="2144">
        <f t="shared" si="42"/>
        <v>1036210</v>
      </c>
      <c r="V120" s="2144">
        <f t="shared" si="25"/>
        <v>0</v>
      </c>
      <c r="X120" s="2144">
        <v>1036210</v>
      </c>
      <c r="Y120" s="2144">
        <f t="shared" si="34"/>
        <v>0</v>
      </c>
      <c r="Z120" s="181">
        <f t="shared" si="43"/>
        <v>0</v>
      </c>
      <c r="AA120" s="182">
        <f t="shared" si="44"/>
        <v>0</v>
      </c>
      <c r="AC120" s="2499">
        <v>189323001.68000007</v>
      </c>
      <c r="AD120" s="2500">
        <f t="shared" si="45"/>
        <v>188286791.68000007</v>
      </c>
      <c r="AE120" s="2145"/>
      <c r="AF120" s="629" t="e">
        <f>SUMIF(#REF!,'Schedule B'!C120,#REF!)</f>
        <v>#REF!</v>
      </c>
      <c r="AG120" s="539" t="e">
        <f>#REF!-#REF!</f>
        <v>#REF!</v>
      </c>
      <c r="AH120" s="539">
        <f t="shared" si="29"/>
        <v>0</v>
      </c>
      <c r="AI120" s="539" t="e">
        <f t="shared" si="30"/>
        <v>#REF!</v>
      </c>
      <c r="AJ120" s="539">
        <f t="shared" si="31"/>
        <v>0</v>
      </c>
    </row>
    <row r="121" spans="1:36" ht="15.75" outlineLevel="2">
      <c r="A121" s="4151" t="s">
        <v>4111</v>
      </c>
      <c r="B121" s="2140" t="s">
        <v>4086</v>
      </c>
      <c r="C121" s="2141" t="s">
        <v>4086</v>
      </c>
      <c r="D121" s="2142"/>
      <c r="E121" s="2143">
        <v>0</v>
      </c>
      <c r="F121" s="2996">
        <f>+'Schedule J'!I212+'Schedule J'!I238+'Schedule J'!I395+'Schedule J'!I430+'Schedule J'!I474+'Schedule J'!I495+'Schedule J'!I526+'Schedule J'!I527</f>
        <v>936325.92999999993</v>
      </c>
      <c r="H121" s="2144">
        <f t="shared" si="22"/>
        <v>936325.92999999993</v>
      </c>
      <c r="I121" s="2144">
        <f>SUMIFS('Schedule C'!$AZ$21:$AZ$500,'Schedule C'!$M$21:$M$500,'Schedule B'!$B121,'Schedule C'!$AY$21:$AY$500,"ACTIVE",'Schedule C'!$AF$21:$AF$500,"ACTIVE",'Schedule C'!$X$21:$X$500,"ACTIVE")</f>
        <v>0</v>
      </c>
      <c r="J121" s="2144"/>
      <c r="K121" s="2144">
        <f t="shared" si="32"/>
        <v>936325.92999999993</v>
      </c>
      <c r="M121" s="2144">
        <f>SUMIFS('Schedule C'!$AG$21:$AG$500,'Schedule C'!$M$21:$M$500,'Schedule B'!$B121,'Schedule C'!$AY$21:$AY$500,"NOT ACTIVE",'Schedule C'!$AF$21:$AF$500,"ACTIVE",'Schedule C'!$X$21:$X$500,"ACTIVE")</f>
        <v>0</v>
      </c>
      <c r="N121" s="2144">
        <f>SUMIFS('Schedule C'!$Y$21:$Y$500,'Schedule C'!$M$21:$M$500,'Schedule B'!$B121,'Schedule C'!$AY$21:$AY$500,"NOT ACTIVE",'Schedule C'!$AF$21:$AF$500,"NOT ACTIVE",'Schedule C'!$X$21:$X$500,"ACTIVE")</f>
        <v>0</v>
      </c>
      <c r="O121" s="2144">
        <f>SUMIF('Schedule C'!$M$21:$M$500,'Schedule B'!B121,'Schedule C'!$Q$21:$Q$500)</f>
        <v>0</v>
      </c>
      <c r="P121" s="2144">
        <v>0</v>
      </c>
      <c r="Q121" s="2144">
        <f t="shared" si="40"/>
        <v>936325.92999999993</v>
      </c>
      <c r="S121" s="2144">
        <f t="shared" si="41"/>
        <v>0</v>
      </c>
      <c r="U121" s="2144">
        <f t="shared" si="42"/>
        <v>936325.92999999993</v>
      </c>
      <c r="V121" s="2144">
        <f t="shared" si="25"/>
        <v>0</v>
      </c>
      <c r="X121" s="2144">
        <v>936325.92999999993</v>
      </c>
      <c r="Y121" s="2144">
        <f t="shared" si="34"/>
        <v>0</v>
      </c>
      <c r="Z121" s="181">
        <f t="shared" si="43"/>
        <v>0</v>
      </c>
      <c r="AA121" s="182">
        <f t="shared" si="44"/>
        <v>0</v>
      </c>
      <c r="AC121" s="2499">
        <v>189323001.68000007</v>
      </c>
      <c r="AD121" s="2500">
        <f t="shared" si="45"/>
        <v>188386675.75000006</v>
      </c>
      <c r="AE121" s="2145"/>
      <c r="AF121" s="629" t="e">
        <f>SUMIF(#REF!,'Schedule B'!C121,#REF!)</f>
        <v>#REF!</v>
      </c>
      <c r="AG121" s="539" t="e">
        <f>#REF!-#REF!</f>
        <v>#REF!</v>
      </c>
      <c r="AH121" s="539">
        <f t="shared" si="29"/>
        <v>0</v>
      </c>
      <c r="AI121" s="539" t="e">
        <f t="shared" si="30"/>
        <v>#REF!</v>
      </c>
      <c r="AJ121" s="539">
        <f t="shared" si="31"/>
        <v>0</v>
      </c>
    </row>
    <row r="122" spans="1:36" ht="15.75" outlineLevel="2">
      <c r="A122" s="4151" t="s">
        <v>4111</v>
      </c>
      <c r="B122" s="2140" t="s">
        <v>4105</v>
      </c>
      <c r="C122" s="2141" t="s">
        <v>4105</v>
      </c>
      <c r="D122" s="2142"/>
      <c r="E122" s="2143">
        <v>0</v>
      </c>
      <c r="F122" s="2996">
        <f>+'Schedule J'!I213+'Schedule J'!I239+'Schedule J'!I267+'Schedule J'!I285+'Schedule J'!I337+'Schedule J'!I378+'Schedule J'!I379+'Schedule J'!I431+'Schedule J'!I473+'Schedule J'!I494+'Schedule J'!I535</f>
        <v>2444255.5</v>
      </c>
      <c r="H122" s="2144">
        <f t="shared" si="22"/>
        <v>2444255.5</v>
      </c>
      <c r="I122" s="2144">
        <f>SUMIFS('Schedule C'!$AZ$21:$AZ$500,'Schedule C'!$M$21:$M$500,'Schedule B'!$B122,'Schedule C'!$AY$21:$AY$500,"ACTIVE",'Schedule C'!$AF$21:$AF$500,"ACTIVE",'Schedule C'!$X$21:$X$500,"ACTIVE")</f>
        <v>0</v>
      </c>
      <c r="J122" s="2144"/>
      <c r="K122" s="2144">
        <f t="shared" si="32"/>
        <v>2444255.5</v>
      </c>
      <c r="M122" s="2144">
        <f>SUMIFS('Schedule C'!$AG$21:$AG$500,'Schedule C'!$M$21:$M$500,'Schedule B'!$B122,'Schedule C'!$AY$21:$AY$500,"NOT ACTIVE",'Schedule C'!$AF$21:$AF$500,"ACTIVE",'Schedule C'!$X$21:$X$500,"ACTIVE")</f>
        <v>0</v>
      </c>
      <c r="N122" s="2144">
        <f>SUMIFS('Schedule C'!$Y$21:$Y$500,'Schedule C'!$M$21:$M$500,'Schedule B'!$B122,'Schedule C'!$AY$21:$AY$500,"NOT ACTIVE",'Schedule C'!$AF$21:$AF$500,"NOT ACTIVE",'Schedule C'!$X$21:$X$500,"ACTIVE")</f>
        <v>0</v>
      </c>
      <c r="O122" s="2144">
        <f>SUMIF('Schedule C'!$M$21:$M$500,'Schedule B'!B122,'Schedule C'!$Q$21:$Q$500)</f>
        <v>0</v>
      </c>
      <c r="P122" s="2144">
        <v>0</v>
      </c>
      <c r="Q122" s="2144">
        <f t="shared" si="40"/>
        <v>2444255.5</v>
      </c>
      <c r="S122" s="2144">
        <f t="shared" si="41"/>
        <v>0</v>
      </c>
      <c r="U122" s="2144">
        <f t="shared" si="42"/>
        <v>2444255.5</v>
      </c>
      <c r="V122" s="2144">
        <f t="shared" si="25"/>
        <v>0</v>
      </c>
      <c r="X122" s="2144">
        <v>2444255.5</v>
      </c>
      <c r="Y122" s="2144">
        <f t="shared" si="34"/>
        <v>0</v>
      </c>
      <c r="Z122" s="181">
        <f t="shared" si="43"/>
        <v>0</v>
      </c>
      <c r="AA122" s="182">
        <f t="shared" si="44"/>
        <v>0</v>
      </c>
      <c r="AC122" s="2499">
        <v>189323001.68000007</v>
      </c>
      <c r="AD122" s="2500">
        <f t="shared" si="45"/>
        <v>186878746.18000007</v>
      </c>
      <c r="AE122" s="2145"/>
      <c r="AF122" s="629" t="e">
        <f>SUMIF(#REF!,'Schedule B'!C122,#REF!)</f>
        <v>#REF!</v>
      </c>
      <c r="AG122" s="539" t="e">
        <f>#REF!-#REF!</f>
        <v>#REF!</v>
      </c>
      <c r="AH122" s="539">
        <f t="shared" si="29"/>
        <v>0</v>
      </c>
      <c r="AI122" s="539" t="e">
        <f t="shared" si="30"/>
        <v>#REF!</v>
      </c>
      <c r="AJ122" s="539">
        <f t="shared" si="31"/>
        <v>0</v>
      </c>
    </row>
    <row r="123" spans="1:36" ht="31.5" outlineLevel="2">
      <c r="A123" s="4151" t="s">
        <v>4111</v>
      </c>
      <c r="B123" s="2140" t="s">
        <v>4106</v>
      </c>
      <c r="C123" s="2141" t="s">
        <v>4106</v>
      </c>
      <c r="D123" s="2142"/>
      <c r="E123" s="2143">
        <v>0</v>
      </c>
      <c r="F123" s="2996">
        <f>+'Schedule J'!I214+'Schedule J'!I268</f>
        <v>127257.78</v>
      </c>
      <c r="H123" s="2144">
        <f t="shared" si="22"/>
        <v>127257.78</v>
      </c>
      <c r="I123" s="2144">
        <f>SUMIFS('Schedule C'!$AZ$21:$AZ$500,'Schedule C'!$M$21:$M$500,'Schedule B'!$B123,'Schedule C'!$AY$21:$AY$500,"ACTIVE",'Schedule C'!$AF$21:$AF$500,"ACTIVE",'Schedule C'!$X$21:$X$500,"ACTIVE")</f>
        <v>0</v>
      </c>
      <c r="J123" s="2144"/>
      <c r="K123" s="2144">
        <f t="shared" si="32"/>
        <v>127257.78</v>
      </c>
      <c r="M123" s="2144">
        <f>SUMIFS('Schedule C'!$AG$21:$AG$500,'Schedule C'!$M$21:$M$500,'Schedule B'!$B123,'Schedule C'!$AY$21:$AY$500,"NOT ACTIVE",'Schedule C'!$AF$21:$AF$500,"ACTIVE",'Schedule C'!$X$21:$X$500,"ACTIVE")</f>
        <v>0</v>
      </c>
      <c r="N123" s="2144">
        <f>SUMIFS('Schedule C'!$Y$21:$Y$500,'Schedule C'!$M$21:$M$500,'Schedule B'!$B123,'Schedule C'!$AY$21:$AY$500,"NOT ACTIVE",'Schedule C'!$AF$21:$AF$500,"NOT ACTIVE",'Schedule C'!$X$21:$X$500,"ACTIVE")</f>
        <v>0</v>
      </c>
      <c r="O123" s="2144">
        <f>SUMIF('Schedule C'!$M$21:$M$500,'Schedule B'!B123,'Schedule C'!$Q$21:$Q$500)</f>
        <v>0</v>
      </c>
      <c r="P123" s="2144">
        <v>0</v>
      </c>
      <c r="Q123" s="2144">
        <f t="shared" si="40"/>
        <v>127257.78</v>
      </c>
      <c r="S123" s="2144">
        <f t="shared" si="41"/>
        <v>0</v>
      </c>
      <c r="U123" s="2144">
        <f t="shared" si="42"/>
        <v>127257.78</v>
      </c>
      <c r="V123" s="2144">
        <f t="shared" si="25"/>
        <v>0</v>
      </c>
      <c r="X123" s="2144">
        <v>127257.78</v>
      </c>
      <c r="Y123" s="2144">
        <f t="shared" si="34"/>
        <v>0</v>
      </c>
      <c r="Z123" s="181">
        <f t="shared" si="43"/>
        <v>0</v>
      </c>
      <c r="AA123" s="182">
        <f t="shared" si="44"/>
        <v>0</v>
      </c>
      <c r="AC123" s="2499">
        <v>189323001.68000007</v>
      </c>
      <c r="AD123" s="2500">
        <f t="shared" si="45"/>
        <v>189195743.90000007</v>
      </c>
      <c r="AE123" s="2145"/>
      <c r="AF123" s="629" t="e">
        <f>SUMIF(#REF!,'Schedule B'!C123,#REF!)</f>
        <v>#REF!</v>
      </c>
      <c r="AG123" s="539" t="e">
        <f>#REF!-#REF!</f>
        <v>#REF!</v>
      </c>
      <c r="AH123" s="539">
        <f t="shared" si="29"/>
        <v>0</v>
      </c>
      <c r="AI123" s="539" t="e">
        <f t="shared" si="30"/>
        <v>#REF!</v>
      </c>
      <c r="AJ123" s="539">
        <f t="shared" si="31"/>
        <v>0</v>
      </c>
    </row>
    <row r="124" spans="1:36" ht="15.75" outlineLevel="2">
      <c r="A124" s="4151" t="s">
        <v>4111</v>
      </c>
      <c r="B124" s="2140" t="s">
        <v>4089</v>
      </c>
      <c r="C124" s="2141" t="s">
        <v>4089</v>
      </c>
      <c r="D124" s="2142"/>
      <c r="E124" s="2143">
        <v>0</v>
      </c>
      <c r="F124" s="2996">
        <f>+'Schedule J'!I216+'Schedule J'!I241+'Schedule J'!I284+'Schedule J'!I335+'Schedule J'!I412+'Schedule J'!I413+'Schedule J'!I432+'Schedule J'!I471+'Schedule J'!I492</f>
        <v>5913785.5800000001</v>
      </c>
      <c r="H124" s="2144">
        <f t="shared" si="22"/>
        <v>5913785.5800000001</v>
      </c>
      <c r="I124" s="2144">
        <f>SUMIFS('Schedule C'!$AZ$21:$AZ$500,'Schedule C'!$M$21:$M$500,'Schedule B'!$B124,'Schedule C'!$AY$21:$AY$500,"ACTIVE",'Schedule C'!$AF$21:$AF$500,"ACTIVE",'Schedule C'!$X$21:$X$500,"ACTIVE")</f>
        <v>0</v>
      </c>
      <c r="J124" s="2144"/>
      <c r="K124" s="2144">
        <f t="shared" si="32"/>
        <v>5913785.5800000001</v>
      </c>
      <c r="M124" s="2144">
        <f>SUMIFS('Schedule C'!$AG$21:$AG$500,'Schedule C'!$M$21:$M$500,'Schedule B'!$B124,'Schedule C'!$AY$21:$AY$500,"NOT ACTIVE",'Schedule C'!$AF$21:$AF$500,"ACTIVE",'Schedule C'!$X$21:$X$500,"ACTIVE")</f>
        <v>0</v>
      </c>
      <c r="N124" s="2144">
        <f>SUMIFS('Schedule C'!$Y$21:$Y$500,'Schedule C'!$M$21:$M$500,'Schedule B'!$B124,'Schedule C'!$AY$21:$AY$500,"NOT ACTIVE",'Schedule C'!$AF$21:$AF$500,"NOT ACTIVE",'Schedule C'!$X$21:$X$500,"ACTIVE")</f>
        <v>0</v>
      </c>
      <c r="O124" s="2144">
        <f>SUMIF('Schedule C'!$M$21:$M$500,'Schedule B'!B124,'Schedule C'!$Q$21:$Q$500)</f>
        <v>0</v>
      </c>
      <c r="P124" s="2144">
        <v>0</v>
      </c>
      <c r="Q124" s="2144">
        <f t="shared" si="40"/>
        <v>5913785.5800000001</v>
      </c>
      <c r="S124" s="2144">
        <f t="shared" si="41"/>
        <v>0</v>
      </c>
      <c r="U124" s="2144">
        <f t="shared" si="42"/>
        <v>5913785.5800000001</v>
      </c>
      <c r="V124" s="2144">
        <f t="shared" si="25"/>
        <v>0</v>
      </c>
      <c r="X124" s="2144">
        <v>5913785.5800000001</v>
      </c>
      <c r="Y124" s="2144">
        <f t="shared" si="34"/>
        <v>0</v>
      </c>
      <c r="Z124" s="181">
        <f t="shared" si="43"/>
        <v>0</v>
      </c>
      <c r="AA124" s="182">
        <f t="shared" si="44"/>
        <v>0</v>
      </c>
      <c r="AC124" s="2499">
        <v>189323001.68000007</v>
      </c>
      <c r="AD124" s="2500">
        <f t="shared" si="45"/>
        <v>183409216.10000005</v>
      </c>
      <c r="AE124" s="2145"/>
      <c r="AF124" s="629" t="e">
        <f>SUMIF(#REF!,'Schedule B'!C124,#REF!)</f>
        <v>#REF!</v>
      </c>
      <c r="AG124" s="539" t="e">
        <f>#REF!-#REF!</f>
        <v>#REF!</v>
      </c>
      <c r="AH124" s="539">
        <f t="shared" si="29"/>
        <v>0</v>
      </c>
      <c r="AI124" s="539" t="e">
        <f t="shared" si="30"/>
        <v>#REF!</v>
      </c>
      <c r="AJ124" s="539">
        <f t="shared" si="31"/>
        <v>0</v>
      </c>
    </row>
    <row r="125" spans="1:36" ht="15.75" outlineLevel="2">
      <c r="A125" s="4151" t="s">
        <v>4111</v>
      </c>
      <c r="B125" s="2140" t="s">
        <v>4090</v>
      </c>
      <c r="C125" s="2141" t="s">
        <v>4090</v>
      </c>
      <c r="D125" s="2142"/>
      <c r="E125" s="2143">
        <v>0</v>
      </c>
      <c r="F125" s="2996">
        <f>+'Schedule J'!I218</f>
        <v>100641.60000000001</v>
      </c>
      <c r="H125" s="2144">
        <f t="shared" si="22"/>
        <v>100641.60000000001</v>
      </c>
      <c r="I125" s="2144">
        <f>SUMIFS('Schedule C'!$AZ$21:$AZ$500,'Schedule C'!$M$21:$M$500,'Schedule B'!$B125,'Schedule C'!$AY$21:$AY$500,"ACTIVE",'Schedule C'!$AF$21:$AF$500,"ACTIVE",'Schedule C'!$X$21:$X$500,"ACTIVE")</f>
        <v>0</v>
      </c>
      <c r="J125" s="2144"/>
      <c r="K125" s="2144">
        <f t="shared" si="32"/>
        <v>100641.60000000001</v>
      </c>
      <c r="M125" s="2144">
        <f>SUMIFS('Schedule C'!$AG$21:$AG$500,'Schedule C'!$M$21:$M$500,'Schedule B'!$B125,'Schedule C'!$AY$21:$AY$500,"NOT ACTIVE",'Schedule C'!$AF$21:$AF$500,"ACTIVE",'Schedule C'!$X$21:$X$500,"ACTIVE")</f>
        <v>0</v>
      </c>
      <c r="N125" s="2144">
        <f>SUMIFS('Schedule C'!$Y$21:$Y$500,'Schedule C'!$M$21:$M$500,'Schedule B'!$B125,'Schedule C'!$AY$21:$AY$500,"NOT ACTIVE",'Schedule C'!$AF$21:$AF$500,"NOT ACTIVE",'Schedule C'!$X$21:$X$500,"ACTIVE")</f>
        <v>0</v>
      </c>
      <c r="O125" s="2144">
        <f>SUMIF('Schedule C'!$M$21:$M$500,'Schedule B'!B125,'Schedule C'!$Q$21:$Q$500)</f>
        <v>0</v>
      </c>
      <c r="P125" s="2144">
        <v>0</v>
      </c>
      <c r="Q125" s="2144">
        <f t="shared" si="40"/>
        <v>100641.60000000001</v>
      </c>
      <c r="S125" s="2144">
        <f t="shared" si="41"/>
        <v>0</v>
      </c>
      <c r="U125" s="2144">
        <f t="shared" si="42"/>
        <v>100641.60000000001</v>
      </c>
      <c r="V125" s="2144">
        <f t="shared" si="25"/>
        <v>0</v>
      </c>
      <c r="X125" s="2144">
        <v>100641.60000000001</v>
      </c>
      <c r="Y125" s="2144">
        <f t="shared" si="34"/>
        <v>0</v>
      </c>
      <c r="Z125" s="181">
        <f t="shared" si="43"/>
        <v>0</v>
      </c>
      <c r="AA125" s="182">
        <f t="shared" si="44"/>
        <v>0</v>
      </c>
      <c r="AC125" s="2499">
        <v>189323001.68000007</v>
      </c>
      <c r="AD125" s="2500">
        <f t="shared" si="45"/>
        <v>189222360.08000007</v>
      </c>
      <c r="AE125" s="2145"/>
      <c r="AF125" s="629" t="e">
        <f>SUMIF(#REF!,'Schedule B'!C125,#REF!)</f>
        <v>#REF!</v>
      </c>
      <c r="AG125" s="539" t="e">
        <f>#REF!-#REF!</f>
        <v>#REF!</v>
      </c>
      <c r="AH125" s="539">
        <f t="shared" si="29"/>
        <v>0</v>
      </c>
      <c r="AI125" s="539" t="e">
        <f t="shared" si="30"/>
        <v>#REF!</v>
      </c>
      <c r="AJ125" s="539">
        <f t="shared" si="31"/>
        <v>0</v>
      </c>
    </row>
    <row r="126" spans="1:36" ht="15.75" outlineLevel="2">
      <c r="A126" s="4151" t="s">
        <v>4111</v>
      </c>
      <c r="B126" s="2140" t="s">
        <v>4091</v>
      </c>
      <c r="C126" s="2141" t="s">
        <v>4091</v>
      </c>
      <c r="D126" s="2142"/>
      <c r="E126" s="2143">
        <v>0</v>
      </c>
      <c r="F126" s="2996">
        <f>+'Schedule J'!I219+'Schedule J'!I243+'Schedule J'!I283+'Schedule J'!I332+'Schedule J'!I373+'Schedule J'!I404+'Schedule J'!I426+'Schedule J'!I470+'Schedule J'!I489+'Schedule J'!I523+'Schedule J'!I603</f>
        <v>2267626.88</v>
      </c>
      <c r="H126" s="2144">
        <f t="shared" si="22"/>
        <v>2267626.88</v>
      </c>
      <c r="I126" s="2144">
        <f>SUMIFS('Schedule C'!$AZ$21:$AZ$500,'Schedule C'!$M$21:$M$500,'Schedule B'!$B126,'Schedule C'!$AY$21:$AY$500,"ACTIVE",'Schedule C'!$AF$21:$AF$500,"ACTIVE",'Schedule C'!$X$21:$X$500,"ACTIVE")</f>
        <v>0</v>
      </c>
      <c r="J126" s="2144"/>
      <c r="K126" s="2144">
        <f t="shared" si="32"/>
        <v>2267626.88</v>
      </c>
      <c r="M126" s="2144">
        <f>SUMIFS('Schedule C'!$AG$21:$AG$500,'Schedule C'!$M$21:$M$500,'Schedule B'!$B126,'Schedule C'!$AY$21:$AY$500,"NOT ACTIVE",'Schedule C'!$AF$21:$AF$500,"ACTIVE",'Schedule C'!$X$21:$X$500,"ACTIVE")</f>
        <v>0</v>
      </c>
      <c r="N126" s="2144">
        <f>SUMIFS('Schedule C'!$Y$21:$Y$500,'Schedule C'!$M$21:$M$500,'Schedule B'!$B126,'Schedule C'!$AY$21:$AY$500,"NOT ACTIVE",'Schedule C'!$AF$21:$AF$500,"NOT ACTIVE",'Schedule C'!$X$21:$X$500,"ACTIVE")</f>
        <v>0</v>
      </c>
      <c r="O126" s="2144">
        <f>SUMIF('Schedule C'!$M$21:$M$500,'Schedule B'!B126,'Schedule C'!$Q$21:$Q$500)</f>
        <v>0</v>
      </c>
      <c r="P126" s="2144">
        <v>0</v>
      </c>
      <c r="Q126" s="2144">
        <f t="shared" si="40"/>
        <v>2267626.88</v>
      </c>
      <c r="S126" s="2144">
        <f t="shared" si="41"/>
        <v>0</v>
      </c>
      <c r="U126" s="2144">
        <f t="shared" si="42"/>
        <v>2267626.88</v>
      </c>
      <c r="V126" s="2144">
        <f t="shared" si="25"/>
        <v>0</v>
      </c>
      <c r="X126" s="2144">
        <v>2267626.88</v>
      </c>
      <c r="Y126" s="2144">
        <f t="shared" si="34"/>
        <v>0</v>
      </c>
      <c r="Z126" s="181">
        <f t="shared" si="43"/>
        <v>0</v>
      </c>
      <c r="AA126" s="182">
        <f t="shared" si="44"/>
        <v>0</v>
      </c>
      <c r="AC126" s="2499">
        <v>189323001.68000007</v>
      </c>
      <c r="AD126" s="2500">
        <f t="shared" si="45"/>
        <v>187055374.80000007</v>
      </c>
      <c r="AE126" s="2145"/>
      <c r="AF126" s="629" t="e">
        <f>SUMIF(#REF!,'Schedule B'!C126,#REF!)</f>
        <v>#REF!</v>
      </c>
      <c r="AG126" s="539" t="e">
        <f>#REF!-#REF!</f>
        <v>#REF!</v>
      </c>
      <c r="AH126" s="539">
        <f t="shared" si="29"/>
        <v>0</v>
      </c>
      <c r="AI126" s="539" t="e">
        <f t="shared" si="30"/>
        <v>#REF!</v>
      </c>
      <c r="AJ126" s="539">
        <f t="shared" si="31"/>
        <v>0</v>
      </c>
    </row>
    <row r="127" spans="1:36" ht="31.5" outlineLevel="2">
      <c r="A127" s="4151" t="s">
        <v>4111</v>
      </c>
      <c r="B127" s="2140" t="s">
        <v>4108</v>
      </c>
      <c r="C127" s="2141" t="s">
        <v>4108</v>
      </c>
      <c r="D127" s="2142"/>
      <c r="E127" s="2143">
        <v>0</v>
      </c>
      <c r="F127" s="2996">
        <f>+'Schedule J'!I220</f>
        <v>425440</v>
      </c>
      <c r="H127" s="2144">
        <f t="shared" si="22"/>
        <v>425440</v>
      </c>
      <c r="I127" s="2144">
        <f>SUMIFS('Schedule C'!$AZ$21:$AZ$500,'Schedule C'!$M$21:$M$500,'Schedule B'!$B127,'Schedule C'!$AY$21:$AY$500,"ACTIVE",'Schedule C'!$AF$21:$AF$500,"ACTIVE",'Schedule C'!$X$21:$X$500,"ACTIVE")</f>
        <v>0</v>
      </c>
      <c r="J127" s="2144"/>
      <c r="K127" s="2144">
        <f t="shared" si="32"/>
        <v>425440</v>
      </c>
      <c r="M127" s="2144">
        <f>SUMIFS('Schedule C'!$AG$21:$AG$500,'Schedule C'!$M$21:$M$500,'Schedule B'!$B127,'Schedule C'!$AY$21:$AY$500,"NOT ACTIVE",'Schedule C'!$AF$21:$AF$500,"ACTIVE",'Schedule C'!$X$21:$X$500,"ACTIVE")</f>
        <v>0</v>
      </c>
      <c r="N127" s="2144">
        <f>SUMIFS('Schedule C'!$Y$21:$Y$500,'Schedule C'!$M$21:$M$500,'Schedule B'!$B127,'Schedule C'!$AY$21:$AY$500,"NOT ACTIVE",'Schedule C'!$AF$21:$AF$500,"NOT ACTIVE",'Schedule C'!$X$21:$X$500,"ACTIVE")</f>
        <v>0</v>
      </c>
      <c r="O127" s="2144">
        <f>SUMIF('Schedule C'!$M$21:$M$500,'Schedule B'!B127,'Schedule C'!$Q$21:$Q$500)</f>
        <v>0</v>
      </c>
      <c r="P127" s="2144">
        <v>0</v>
      </c>
      <c r="Q127" s="2144">
        <f t="shared" si="40"/>
        <v>425440</v>
      </c>
      <c r="S127" s="2144">
        <f t="shared" si="41"/>
        <v>0</v>
      </c>
      <c r="U127" s="2144">
        <f t="shared" si="42"/>
        <v>425440</v>
      </c>
      <c r="V127" s="2144">
        <f t="shared" si="25"/>
        <v>0</v>
      </c>
      <c r="X127" s="2144">
        <v>425440</v>
      </c>
      <c r="Y127" s="2144">
        <f t="shared" si="34"/>
        <v>0</v>
      </c>
      <c r="Z127" s="181">
        <f t="shared" si="43"/>
        <v>0</v>
      </c>
      <c r="AA127" s="182">
        <f t="shared" si="44"/>
        <v>0</v>
      </c>
      <c r="AC127" s="2499">
        <v>189323001.68000007</v>
      </c>
      <c r="AD127" s="2500">
        <f t="shared" si="45"/>
        <v>188897561.68000007</v>
      </c>
      <c r="AE127" s="2145"/>
      <c r="AF127" s="629" t="e">
        <f>SUMIF(#REF!,'Schedule B'!C127,#REF!)</f>
        <v>#REF!</v>
      </c>
      <c r="AG127" s="539" t="e">
        <f>#REF!-#REF!</f>
        <v>#REF!</v>
      </c>
      <c r="AH127" s="539">
        <f t="shared" si="29"/>
        <v>0</v>
      </c>
      <c r="AI127" s="539" t="e">
        <f t="shared" si="30"/>
        <v>#REF!</v>
      </c>
      <c r="AJ127" s="539">
        <f t="shared" si="31"/>
        <v>0</v>
      </c>
    </row>
    <row r="128" spans="1:36" ht="15.75" outlineLevel="2">
      <c r="A128" s="4151" t="s">
        <v>4111</v>
      </c>
      <c r="B128" s="2140" t="s">
        <v>4196</v>
      </c>
      <c r="C128" s="2141" t="s">
        <v>4196</v>
      </c>
      <c r="D128" s="2142"/>
      <c r="E128" s="2143">
        <v>0</v>
      </c>
      <c r="F128" s="2996">
        <f>+'Schedule J'!I227+'Schedule J'!I280+'Schedule J'!I348</f>
        <v>22475</v>
      </c>
      <c r="H128" s="2144">
        <f t="shared" ref="H128:H134" si="46">E128+F128</f>
        <v>22475</v>
      </c>
      <c r="I128" s="2144">
        <f>SUMIFS('Schedule C'!$AZ$21:$AZ$500,'Schedule C'!$M$21:$M$500,'Schedule B'!$B128,'Schedule C'!$AY$21:$AY$500,"ACTIVE",'Schedule C'!$AF$21:$AF$500,"ACTIVE",'Schedule C'!$X$21:$X$500,"ACTIVE")</f>
        <v>0</v>
      </c>
      <c r="J128" s="2144"/>
      <c r="K128" s="2144">
        <f t="shared" ref="K128:K134" si="47">SUM(H128:J128)</f>
        <v>22475</v>
      </c>
      <c r="M128" s="2144">
        <f>SUMIFS('Schedule C'!$AG$21:$AG$500,'Schedule C'!$M$21:$M$500,'Schedule B'!$B128,'Schedule C'!$AY$21:$AY$500,"NOT ACTIVE",'Schedule C'!$AF$21:$AF$500,"ACTIVE",'Schedule C'!$X$21:$X$500,"ACTIVE")</f>
        <v>0</v>
      </c>
      <c r="N128" s="2144">
        <f>SUMIFS('Schedule C'!$Y$21:$Y$500,'Schedule C'!$M$21:$M$500,'Schedule B'!$B128,'Schedule C'!$AY$21:$AY$500,"NOT ACTIVE",'Schedule C'!$AF$21:$AF$500,"NOT ACTIVE",'Schedule C'!$X$21:$X$500,"ACTIVE")</f>
        <v>0</v>
      </c>
      <c r="O128" s="2144">
        <f>SUMIF('Schedule C'!$M$21:$M$500,'Schedule B'!B128,'Schedule C'!$Q$21:$Q$500)</f>
        <v>0</v>
      </c>
      <c r="P128" s="2144">
        <v>0</v>
      </c>
      <c r="Q128" s="2144">
        <f t="shared" si="40"/>
        <v>22475</v>
      </c>
      <c r="S128" s="2144">
        <f t="shared" si="41"/>
        <v>0</v>
      </c>
      <c r="U128" s="2144">
        <f t="shared" si="42"/>
        <v>22475</v>
      </c>
      <c r="V128" s="2144">
        <f t="shared" ref="V128:V134" si="48">Q128-U128</f>
        <v>0</v>
      </c>
      <c r="X128" s="2144">
        <v>22475</v>
      </c>
      <c r="Y128" s="2144">
        <f t="shared" ref="Y128:Y134" si="49">Q128-X128</f>
        <v>0</v>
      </c>
      <c r="Z128" s="181">
        <f t="shared" si="43"/>
        <v>0</v>
      </c>
      <c r="AA128" s="182">
        <f t="shared" si="44"/>
        <v>0</v>
      </c>
      <c r="AC128" s="2499">
        <v>189323001.68000007</v>
      </c>
      <c r="AD128" s="2500">
        <f t="shared" si="45"/>
        <v>189300526.68000007</v>
      </c>
      <c r="AE128" s="2145"/>
      <c r="AF128" s="629" t="e">
        <f>SUMIF(#REF!,'Schedule B'!C128,#REF!)</f>
        <v>#REF!</v>
      </c>
      <c r="AG128" s="539" t="e">
        <f>#REF!-#REF!</f>
        <v>#REF!</v>
      </c>
      <c r="AH128" s="539">
        <f t="shared" ref="AH128:AH134" si="50">N128</f>
        <v>0</v>
      </c>
      <c r="AI128" s="539" t="e">
        <f t="shared" ref="AI128:AI134" si="51">Q128-AG128</f>
        <v>#REF!</v>
      </c>
      <c r="AJ128" s="539">
        <f t="shared" ref="AJ128:AJ134" si="52">N128-AH128</f>
        <v>0</v>
      </c>
    </row>
    <row r="129" spans="1:36" ht="15.75" outlineLevel="2">
      <c r="A129" s="4151" t="s">
        <v>4111</v>
      </c>
      <c r="B129" s="2140" t="s">
        <v>4199</v>
      </c>
      <c r="C129" s="2141" t="s">
        <v>4199</v>
      </c>
      <c r="D129" s="2142"/>
      <c r="E129" s="2143">
        <v>0</v>
      </c>
      <c r="F129" s="2996">
        <f>+'Schedule J'!I229+'Schedule J'!I383+'Schedule J'!I399</f>
        <v>117720</v>
      </c>
      <c r="H129" s="2144">
        <f t="shared" si="46"/>
        <v>117720</v>
      </c>
      <c r="I129" s="2144">
        <f>SUMIFS('Schedule C'!$AZ$21:$AZ$500,'Schedule C'!$M$21:$M$500,'Schedule B'!$B129,'Schedule C'!$AY$21:$AY$500,"ACTIVE",'Schedule C'!$AF$21:$AF$500,"ACTIVE",'Schedule C'!$X$21:$X$500,"ACTIVE")</f>
        <v>0</v>
      </c>
      <c r="J129" s="2144"/>
      <c r="K129" s="2144">
        <f t="shared" si="47"/>
        <v>117720</v>
      </c>
      <c r="M129" s="2144">
        <f>SUMIFS('Schedule C'!$AG$21:$AG$500,'Schedule C'!$M$21:$M$500,'Schedule B'!$B129,'Schedule C'!$AY$21:$AY$500,"NOT ACTIVE",'Schedule C'!$AF$21:$AF$500,"ACTIVE",'Schedule C'!$X$21:$X$500,"ACTIVE")</f>
        <v>0</v>
      </c>
      <c r="N129" s="2144">
        <f>SUMIFS('Schedule C'!$Y$21:$Y$500,'Schedule C'!$M$21:$M$500,'Schedule B'!$B129,'Schedule C'!$AY$21:$AY$500,"NOT ACTIVE",'Schedule C'!$AF$21:$AF$500,"NOT ACTIVE",'Schedule C'!$X$21:$X$500,"ACTIVE")</f>
        <v>0</v>
      </c>
      <c r="O129" s="2144">
        <f>SUMIF('Schedule C'!$M$21:$M$500,'Schedule B'!B129,'Schedule C'!$Q$21:$Q$500)</f>
        <v>0</v>
      </c>
      <c r="P129" s="2144">
        <v>0</v>
      </c>
      <c r="Q129" s="2144">
        <f t="shared" si="40"/>
        <v>117720</v>
      </c>
      <c r="S129" s="2144">
        <f t="shared" si="41"/>
        <v>0</v>
      </c>
      <c r="U129" s="2144">
        <f t="shared" si="42"/>
        <v>117720</v>
      </c>
      <c r="V129" s="2144">
        <f t="shared" si="48"/>
        <v>0</v>
      </c>
      <c r="X129" s="2144">
        <v>117720</v>
      </c>
      <c r="Y129" s="2144">
        <f t="shared" si="49"/>
        <v>0</v>
      </c>
      <c r="Z129" s="181">
        <f t="shared" si="43"/>
        <v>0</v>
      </c>
      <c r="AA129" s="182">
        <f t="shared" si="44"/>
        <v>0</v>
      </c>
      <c r="AC129" s="2499">
        <v>189323001.68000007</v>
      </c>
      <c r="AD129" s="2500">
        <f t="shared" si="45"/>
        <v>189205281.68000007</v>
      </c>
      <c r="AE129" s="2145"/>
      <c r="AF129" s="629" t="e">
        <f>SUMIF(#REF!,'Schedule B'!C129,#REF!)</f>
        <v>#REF!</v>
      </c>
      <c r="AG129" s="539" t="e">
        <f>#REF!-#REF!</f>
        <v>#REF!</v>
      </c>
      <c r="AH129" s="539">
        <f t="shared" si="50"/>
        <v>0</v>
      </c>
      <c r="AI129" s="539" t="e">
        <f t="shared" si="51"/>
        <v>#REF!</v>
      </c>
      <c r="AJ129" s="539">
        <f t="shared" si="52"/>
        <v>0</v>
      </c>
    </row>
    <row r="130" spans="1:36" ht="15.75" outlineLevel="2">
      <c r="A130" s="4151" t="s">
        <v>4111</v>
      </c>
      <c r="B130" s="2140" t="s">
        <v>4200</v>
      </c>
      <c r="C130" s="2141" t="s">
        <v>4200</v>
      </c>
      <c r="D130" s="2142"/>
      <c r="E130" s="2143">
        <v>0</v>
      </c>
      <c r="F130" s="2996">
        <f>+'Schedule J'!I230+'Schedule J'!H300</f>
        <v>4401.3</v>
      </c>
      <c r="H130" s="2144">
        <f t="shared" si="46"/>
        <v>4401.3</v>
      </c>
      <c r="I130" s="2144">
        <f>SUMIFS('Schedule C'!$AZ$21:$AZ$500,'Schedule C'!$M$21:$M$500,'Schedule B'!$B130,'Schedule C'!$AY$21:$AY$500,"ACTIVE",'Schedule C'!$AF$21:$AF$500,"ACTIVE",'Schedule C'!$X$21:$X$500,"ACTIVE")</f>
        <v>0</v>
      </c>
      <c r="J130" s="2144"/>
      <c r="K130" s="2144">
        <f t="shared" si="47"/>
        <v>4401.3</v>
      </c>
      <c r="M130" s="2144">
        <f>SUMIFS('Schedule C'!$AG$21:$AG$500,'Schedule C'!$M$21:$M$500,'Schedule B'!$B130,'Schedule C'!$AY$21:$AY$500,"NOT ACTIVE",'Schedule C'!$AF$21:$AF$500,"ACTIVE",'Schedule C'!$X$21:$X$500,"ACTIVE")</f>
        <v>0</v>
      </c>
      <c r="N130" s="2144">
        <f>SUMIFS('Schedule C'!$Y$21:$Y$500,'Schedule C'!$M$21:$M$500,'Schedule B'!$B130,'Schedule C'!$AY$21:$AY$500,"NOT ACTIVE",'Schedule C'!$AF$21:$AF$500,"NOT ACTIVE",'Schedule C'!$X$21:$X$500,"ACTIVE")</f>
        <v>0</v>
      </c>
      <c r="O130" s="2144">
        <f>SUMIF('Schedule C'!$M$21:$M$500,'Schedule B'!B130,'Schedule C'!$Q$21:$Q$500)</f>
        <v>0</v>
      </c>
      <c r="P130" s="2144">
        <v>0</v>
      </c>
      <c r="Q130" s="2144">
        <f t="shared" si="40"/>
        <v>4401.3</v>
      </c>
      <c r="S130" s="2144">
        <f t="shared" si="41"/>
        <v>0</v>
      </c>
      <c r="U130" s="2144">
        <f t="shared" si="42"/>
        <v>4401.3</v>
      </c>
      <c r="V130" s="2144">
        <f t="shared" si="48"/>
        <v>0</v>
      </c>
      <c r="X130" s="2144">
        <v>4401.3</v>
      </c>
      <c r="Y130" s="2144">
        <f t="shared" si="49"/>
        <v>0</v>
      </c>
      <c r="Z130" s="181">
        <f t="shared" si="43"/>
        <v>0</v>
      </c>
      <c r="AA130" s="182">
        <f t="shared" si="44"/>
        <v>0</v>
      </c>
      <c r="AC130" s="2499">
        <v>189323001.68000007</v>
      </c>
      <c r="AD130" s="2500">
        <f t="shared" si="45"/>
        <v>189318600.38000005</v>
      </c>
      <c r="AE130" s="2145"/>
      <c r="AF130" s="629" t="e">
        <f>SUMIF(#REF!,'Schedule B'!C130,#REF!)</f>
        <v>#REF!</v>
      </c>
      <c r="AG130" s="539" t="e">
        <f>#REF!-#REF!</f>
        <v>#REF!</v>
      </c>
      <c r="AH130" s="539">
        <f t="shared" si="50"/>
        <v>0</v>
      </c>
      <c r="AI130" s="539" t="e">
        <f t="shared" si="51"/>
        <v>#REF!</v>
      </c>
      <c r="AJ130" s="539">
        <f t="shared" si="52"/>
        <v>0</v>
      </c>
    </row>
    <row r="131" spans="1:36" ht="31.5" outlineLevel="2">
      <c r="A131" s="4151" t="s">
        <v>4111</v>
      </c>
      <c r="B131" s="2140" t="s">
        <v>4203</v>
      </c>
      <c r="C131" s="2141" t="s">
        <v>4203</v>
      </c>
      <c r="D131" s="2142"/>
      <c r="E131" s="2143">
        <v>0</v>
      </c>
      <c r="F131" s="2996">
        <f>+'Schedule J'!I233+'Schedule J'!I291</f>
        <v>60486.9</v>
      </c>
      <c r="H131" s="2144">
        <f t="shared" si="46"/>
        <v>60486.9</v>
      </c>
      <c r="I131" s="2144">
        <f>SUMIFS('Schedule C'!$AZ$21:$AZ$500,'Schedule C'!$M$21:$M$500,'Schedule B'!$B131,'Schedule C'!$AY$21:$AY$500,"ACTIVE",'Schedule C'!$AF$21:$AF$500,"ACTIVE",'Schedule C'!$X$21:$X$500,"ACTIVE")</f>
        <v>0</v>
      </c>
      <c r="J131" s="2144"/>
      <c r="K131" s="2144">
        <f t="shared" si="47"/>
        <v>60486.9</v>
      </c>
      <c r="M131" s="2144">
        <f>SUMIFS('Schedule C'!$AG$21:$AG$500,'Schedule C'!$M$21:$M$500,'Schedule B'!$B131,'Schedule C'!$AY$21:$AY$500,"NOT ACTIVE",'Schedule C'!$AF$21:$AF$500,"ACTIVE",'Schedule C'!$X$21:$X$500,"ACTIVE")</f>
        <v>0</v>
      </c>
      <c r="N131" s="2144">
        <f>SUMIFS('Schedule C'!$Y$21:$Y$500,'Schedule C'!$M$21:$M$500,'Schedule B'!$B131,'Schedule C'!$AY$21:$AY$500,"NOT ACTIVE",'Schedule C'!$AF$21:$AF$500,"NOT ACTIVE",'Schedule C'!$X$21:$X$500,"ACTIVE")</f>
        <v>0</v>
      </c>
      <c r="O131" s="2144">
        <f>SUMIF('Schedule C'!$M$21:$M$500,'Schedule B'!B131,'Schedule C'!$Q$21:$Q$500)</f>
        <v>0</v>
      </c>
      <c r="P131" s="2144">
        <v>0</v>
      </c>
      <c r="Q131" s="2144">
        <f t="shared" si="40"/>
        <v>60486.9</v>
      </c>
      <c r="S131" s="2144">
        <f t="shared" si="41"/>
        <v>0</v>
      </c>
      <c r="U131" s="2144">
        <f t="shared" si="42"/>
        <v>60486.9</v>
      </c>
      <c r="V131" s="2144">
        <f t="shared" si="48"/>
        <v>0</v>
      </c>
      <c r="X131" s="2144">
        <v>60486.9</v>
      </c>
      <c r="Y131" s="2144">
        <f t="shared" si="49"/>
        <v>0</v>
      </c>
      <c r="Z131" s="181">
        <f t="shared" si="43"/>
        <v>0</v>
      </c>
      <c r="AA131" s="182">
        <f t="shared" si="44"/>
        <v>0</v>
      </c>
      <c r="AC131" s="2499">
        <v>189323001.68000007</v>
      </c>
      <c r="AD131" s="2500">
        <f t="shared" si="45"/>
        <v>189262514.78000006</v>
      </c>
      <c r="AE131" s="2145"/>
      <c r="AF131" s="629" t="e">
        <f>SUMIF(#REF!,'Schedule B'!C131,#REF!)</f>
        <v>#REF!</v>
      </c>
      <c r="AG131" s="539" t="e">
        <f>#REF!-#REF!</f>
        <v>#REF!</v>
      </c>
      <c r="AH131" s="539">
        <f t="shared" si="50"/>
        <v>0</v>
      </c>
      <c r="AI131" s="539" t="e">
        <f t="shared" si="51"/>
        <v>#REF!</v>
      </c>
      <c r="AJ131" s="539">
        <f t="shared" si="52"/>
        <v>0</v>
      </c>
    </row>
    <row r="132" spans="1:36" ht="15.75" outlineLevel="2">
      <c r="A132" s="4151" t="s">
        <v>4111</v>
      </c>
      <c r="B132" s="2140" t="s">
        <v>4191</v>
      </c>
      <c r="C132" s="2141" t="s">
        <v>4191</v>
      </c>
      <c r="D132" s="2142"/>
      <c r="E132" s="2143">
        <v>0</v>
      </c>
      <c r="F132" s="2996">
        <f>+'Schedule J'!I240+'Schedule J'!I425</f>
        <v>846817.39</v>
      </c>
      <c r="H132" s="2144">
        <f t="shared" si="46"/>
        <v>846817.39</v>
      </c>
      <c r="I132" s="2144">
        <f>SUMIFS('Schedule C'!$AZ$21:$AZ$500,'Schedule C'!$M$21:$M$500,'Schedule B'!$B132,'Schedule C'!$AY$21:$AY$500,"ACTIVE",'Schedule C'!$AF$21:$AF$500,"ACTIVE",'Schedule C'!$X$21:$X$500,"ACTIVE")</f>
        <v>0</v>
      </c>
      <c r="J132" s="2144"/>
      <c r="K132" s="2144">
        <f t="shared" si="47"/>
        <v>846817.39</v>
      </c>
      <c r="M132" s="2144">
        <f>SUMIFS('Schedule C'!$AG$21:$AG$500,'Schedule C'!$M$21:$M$500,'Schedule B'!$B132,'Schedule C'!$AY$21:$AY$500,"NOT ACTIVE",'Schedule C'!$AF$21:$AF$500,"ACTIVE",'Schedule C'!$X$21:$X$500,"ACTIVE")</f>
        <v>0</v>
      </c>
      <c r="N132" s="2144">
        <f>SUMIFS('Schedule C'!$Y$21:$Y$500,'Schedule C'!$M$21:$M$500,'Schedule B'!$B132,'Schedule C'!$AY$21:$AY$500,"NOT ACTIVE",'Schedule C'!$AF$21:$AF$500,"NOT ACTIVE",'Schedule C'!$X$21:$X$500,"ACTIVE")</f>
        <v>0</v>
      </c>
      <c r="O132" s="2144">
        <f>SUMIF('Schedule C'!$M$21:$M$500,'Schedule B'!B132,'Schedule C'!$Q$21:$Q$500)</f>
        <v>0</v>
      </c>
      <c r="P132" s="2144">
        <v>0</v>
      </c>
      <c r="Q132" s="2144">
        <f t="shared" si="40"/>
        <v>846817.39</v>
      </c>
      <c r="S132" s="2144">
        <f t="shared" si="41"/>
        <v>0</v>
      </c>
      <c r="U132" s="2144">
        <f t="shared" si="42"/>
        <v>846817.39</v>
      </c>
      <c r="V132" s="2144">
        <f t="shared" si="48"/>
        <v>0</v>
      </c>
      <c r="X132" s="2144">
        <v>846817.39</v>
      </c>
      <c r="Y132" s="2144">
        <f t="shared" si="49"/>
        <v>0</v>
      </c>
      <c r="Z132" s="181">
        <f t="shared" si="43"/>
        <v>0</v>
      </c>
      <c r="AA132" s="182">
        <f t="shared" si="44"/>
        <v>0</v>
      </c>
      <c r="AC132" s="2499">
        <v>189323001.68000007</v>
      </c>
      <c r="AD132" s="2500">
        <f t="shared" si="45"/>
        <v>188476184.29000008</v>
      </c>
      <c r="AE132" s="2145"/>
      <c r="AF132" s="629" t="e">
        <f>SUMIF(#REF!,'Schedule B'!C132,#REF!)</f>
        <v>#REF!</v>
      </c>
      <c r="AG132" s="539" t="e">
        <f>#REF!-#REF!</f>
        <v>#REF!</v>
      </c>
      <c r="AH132" s="539">
        <f t="shared" si="50"/>
        <v>0</v>
      </c>
      <c r="AI132" s="539" t="e">
        <f t="shared" si="51"/>
        <v>#REF!</v>
      </c>
      <c r="AJ132" s="539">
        <f t="shared" si="52"/>
        <v>0</v>
      </c>
    </row>
    <row r="133" spans="1:36" ht="15.75" outlineLevel="2">
      <c r="A133" s="4151" t="s">
        <v>4111</v>
      </c>
      <c r="B133" s="2140" t="s">
        <v>4192</v>
      </c>
      <c r="C133" s="2141" t="s">
        <v>4192</v>
      </c>
      <c r="D133" s="2142"/>
      <c r="E133" s="2143">
        <v>0</v>
      </c>
      <c r="F133" s="2996">
        <f>+'Schedule J'!I244+'Schedule J'!I307+'Schedule J'!I396</f>
        <v>122301.47</v>
      </c>
      <c r="H133" s="2144">
        <f t="shared" si="46"/>
        <v>122301.47</v>
      </c>
      <c r="I133" s="2144">
        <f>SUMIFS('Schedule C'!$AZ$21:$AZ$500,'Schedule C'!$M$21:$M$500,'Schedule B'!$B133,'Schedule C'!$AY$21:$AY$500,"ACTIVE",'Schedule C'!$AF$21:$AF$500,"ACTIVE",'Schedule C'!$X$21:$X$500,"ACTIVE")</f>
        <v>0</v>
      </c>
      <c r="J133" s="2144"/>
      <c r="K133" s="2144">
        <f t="shared" si="47"/>
        <v>122301.47</v>
      </c>
      <c r="M133" s="2144">
        <f>SUMIFS('Schedule C'!$AG$21:$AG$500,'Schedule C'!$M$21:$M$500,'Schedule B'!$B133,'Schedule C'!$AY$21:$AY$500,"NOT ACTIVE",'Schedule C'!$AF$21:$AF$500,"ACTIVE",'Schedule C'!$X$21:$X$500,"ACTIVE")</f>
        <v>0</v>
      </c>
      <c r="N133" s="2144">
        <f>SUMIFS('Schedule C'!$Y$21:$Y$500,'Schedule C'!$M$21:$M$500,'Schedule B'!$B133,'Schedule C'!$AY$21:$AY$500,"NOT ACTIVE",'Schedule C'!$AF$21:$AF$500,"NOT ACTIVE",'Schedule C'!$X$21:$X$500,"ACTIVE")</f>
        <v>0</v>
      </c>
      <c r="O133" s="2144">
        <f>SUMIF('Schedule C'!$M$21:$M$500,'Schedule B'!B133,'Schedule C'!$Q$21:$Q$500)</f>
        <v>0</v>
      </c>
      <c r="P133" s="2144">
        <v>0</v>
      </c>
      <c r="Q133" s="2144">
        <f t="shared" si="40"/>
        <v>122301.47</v>
      </c>
      <c r="S133" s="2144">
        <f t="shared" si="41"/>
        <v>0</v>
      </c>
      <c r="U133" s="2144">
        <f t="shared" si="42"/>
        <v>122301.47</v>
      </c>
      <c r="V133" s="2144">
        <f t="shared" si="48"/>
        <v>0</v>
      </c>
      <c r="X133" s="2144">
        <v>122301.47</v>
      </c>
      <c r="Y133" s="2144">
        <f t="shared" si="49"/>
        <v>0</v>
      </c>
      <c r="Z133" s="181">
        <f t="shared" si="43"/>
        <v>0</v>
      </c>
      <c r="AA133" s="182">
        <f t="shared" si="44"/>
        <v>0</v>
      </c>
      <c r="AC133" s="2499">
        <v>189323001.68000007</v>
      </c>
      <c r="AD133" s="2500">
        <f t="shared" si="45"/>
        <v>189200700.21000007</v>
      </c>
      <c r="AE133" s="2145"/>
      <c r="AF133" s="629" t="e">
        <f>SUMIF(#REF!,'Schedule B'!C133,#REF!)</f>
        <v>#REF!</v>
      </c>
      <c r="AG133" s="539" t="e">
        <f>#REF!-#REF!</f>
        <v>#REF!</v>
      </c>
      <c r="AH133" s="539">
        <f t="shared" si="50"/>
        <v>0</v>
      </c>
      <c r="AI133" s="539" t="e">
        <f t="shared" si="51"/>
        <v>#REF!</v>
      </c>
      <c r="AJ133" s="539">
        <f t="shared" si="52"/>
        <v>0</v>
      </c>
    </row>
    <row r="134" spans="1:36" ht="15.75" outlineLevel="2">
      <c r="A134" s="4151" t="s">
        <v>4111</v>
      </c>
      <c r="B134" s="2140" t="s">
        <v>4206</v>
      </c>
      <c r="C134" s="2141" t="s">
        <v>4206</v>
      </c>
      <c r="D134" s="2142"/>
      <c r="E134" s="2143">
        <v>0</v>
      </c>
      <c r="F134" s="2996">
        <f>+'Schedule J'!I247</f>
        <v>22553</v>
      </c>
      <c r="H134" s="2144">
        <f t="shared" si="46"/>
        <v>22553</v>
      </c>
      <c r="I134" s="2144">
        <f>SUMIFS('Schedule C'!$AZ$21:$AZ$500,'Schedule C'!$M$21:$M$500,'Schedule B'!$B134,'Schedule C'!$AY$21:$AY$500,"ACTIVE",'Schedule C'!$AF$21:$AF$500,"ACTIVE",'Schedule C'!$X$21:$X$500,"ACTIVE")</f>
        <v>0</v>
      </c>
      <c r="J134" s="2144"/>
      <c r="K134" s="2144">
        <f t="shared" si="47"/>
        <v>22553</v>
      </c>
      <c r="M134" s="2144">
        <f>SUMIFS('Schedule C'!$AG$21:$AG$500,'Schedule C'!$M$21:$M$500,'Schedule B'!$B134,'Schedule C'!$AY$21:$AY$500,"NOT ACTIVE",'Schedule C'!$AF$21:$AF$500,"ACTIVE",'Schedule C'!$X$21:$X$500,"ACTIVE")</f>
        <v>0</v>
      </c>
      <c r="N134" s="2144">
        <f>SUMIFS('Schedule C'!$Y$21:$Y$500,'Schedule C'!$M$21:$M$500,'Schedule B'!$B134,'Schedule C'!$AY$21:$AY$500,"NOT ACTIVE",'Schedule C'!$AF$21:$AF$500,"NOT ACTIVE",'Schedule C'!$X$21:$X$500,"ACTIVE")</f>
        <v>0</v>
      </c>
      <c r="O134" s="2144">
        <f>SUMIF('Schedule C'!$M$21:$M$500,'Schedule B'!B134,'Schedule C'!$Q$21:$Q$500)</f>
        <v>0</v>
      </c>
      <c r="P134" s="2144">
        <v>0</v>
      </c>
      <c r="Q134" s="2144">
        <f t="shared" si="40"/>
        <v>22553</v>
      </c>
      <c r="S134" s="2144">
        <f t="shared" si="41"/>
        <v>0</v>
      </c>
      <c r="U134" s="2144">
        <f t="shared" si="42"/>
        <v>22553</v>
      </c>
      <c r="V134" s="2144">
        <f t="shared" si="48"/>
        <v>0</v>
      </c>
      <c r="X134" s="2144">
        <v>22553</v>
      </c>
      <c r="Y134" s="2144">
        <f t="shared" si="49"/>
        <v>0</v>
      </c>
      <c r="Z134" s="181">
        <f t="shared" si="43"/>
        <v>0</v>
      </c>
      <c r="AA134" s="182">
        <f t="shared" si="44"/>
        <v>0</v>
      </c>
      <c r="AC134" s="2499">
        <v>189323001.68000007</v>
      </c>
      <c r="AD134" s="2500">
        <f t="shared" si="45"/>
        <v>189300448.68000007</v>
      </c>
      <c r="AE134" s="2145"/>
      <c r="AF134" s="629" t="e">
        <f>SUMIF(#REF!,'Schedule B'!C134,#REF!)</f>
        <v>#REF!</v>
      </c>
      <c r="AG134" s="539" t="e">
        <f>#REF!-#REF!</f>
        <v>#REF!</v>
      </c>
      <c r="AH134" s="539">
        <f t="shared" si="50"/>
        <v>0</v>
      </c>
      <c r="AI134" s="539" t="e">
        <f t="shared" si="51"/>
        <v>#REF!</v>
      </c>
      <c r="AJ134" s="539">
        <f t="shared" si="52"/>
        <v>0</v>
      </c>
    </row>
    <row r="135" spans="1:36" ht="15.75" outlineLevel="2">
      <c r="A135" s="4151" t="s">
        <v>4111</v>
      </c>
      <c r="B135" s="4235" t="s">
        <v>4213</v>
      </c>
      <c r="C135" s="2141" t="s">
        <v>4213</v>
      </c>
      <c r="D135" s="2142"/>
      <c r="E135" s="2143">
        <v>0</v>
      </c>
      <c r="F135" s="2996">
        <f>+'Schedule J'!I258</f>
        <v>123937.39</v>
      </c>
      <c r="H135" s="2144">
        <f>E135+F135</f>
        <v>123937.39</v>
      </c>
      <c r="I135" s="2144">
        <f>SUMIFS('Schedule C'!$AZ$21:$AZ$500,'Schedule C'!$M$21:$M$500,'Schedule B'!$B135,'Schedule C'!$AY$21:$AY$500,"ACTIVE",'Schedule C'!$AF$21:$AF$500,"ACTIVE",'Schedule C'!$X$21:$X$500,"ACTIVE")</f>
        <v>0</v>
      </c>
      <c r="J135" s="2144"/>
      <c r="K135" s="2144">
        <f>SUM(H135:J135)</f>
        <v>123937.39</v>
      </c>
      <c r="M135" s="2144">
        <f>SUMIFS('Schedule C'!$AG$21:$AG$500,'Schedule C'!$M$21:$M$500,'Schedule B'!$B135,'Schedule C'!$AY$21:$AY$500,"NOT ACTIVE",'Schedule C'!$AF$21:$AF$500,"ACTIVE",'Schedule C'!$X$21:$X$500,"ACTIVE")</f>
        <v>0</v>
      </c>
      <c r="N135" s="2144">
        <f>SUMIFS('Schedule C'!$Y$21:$Y$500,'Schedule C'!$M$21:$M$500,'Schedule B'!$B135,'Schedule C'!$AY$21:$AY$500,"NOT ACTIVE",'Schedule C'!$AF$21:$AF$500,"NOT ACTIVE",'Schedule C'!$X$21:$X$500,"ACTIVE")</f>
        <v>0</v>
      </c>
      <c r="O135" s="2144">
        <f>SUMIF('Schedule C'!$M$21:$M$500,'Schedule B'!B135,'Schedule C'!$Q$21:$Q$500)</f>
        <v>0</v>
      </c>
      <c r="P135" s="2144">
        <v>0</v>
      </c>
      <c r="Q135" s="2144">
        <f t="shared" si="40"/>
        <v>123937.39</v>
      </c>
      <c r="S135" s="2144">
        <f t="shared" si="41"/>
        <v>0</v>
      </c>
      <c r="U135" s="2144">
        <f t="shared" si="42"/>
        <v>123937.39</v>
      </c>
      <c r="V135" s="2144">
        <f>Q135-U135</f>
        <v>0</v>
      </c>
      <c r="X135" s="2144">
        <v>123937.39</v>
      </c>
      <c r="Y135" s="2144">
        <f>Q135-X135</f>
        <v>0</v>
      </c>
      <c r="Z135" s="181"/>
      <c r="AA135" s="182"/>
      <c r="AC135" s="2499"/>
      <c r="AD135" s="2500"/>
      <c r="AE135" s="2145"/>
      <c r="AF135" s="629"/>
      <c r="AG135" s="539"/>
      <c r="AH135" s="539"/>
      <c r="AI135" s="539"/>
      <c r="AJ135" s="539"/>
    </row>
    <row r="136" spans="1:36" ht="15.75" outlineLevel="2">
      <c r="A136" s="4151" t="s">
        <v>4111</v>
      </c>
      <c r="B136" s="2140" t="s">
        <v>4466</v>
      </c>
      <c r="C136" s="2141" t="s">
        <v>4466</v>
      </c>
      <c r="D136" s="2142"/>
      <c r="E136" s="2143">
        <v>0</v>
      </c>
      <c r="F136" s="2996">
        <f>+'Schedule J'!I302+'Schedule J'!I416+'Schedule J'!I429+'Schedule J'!I464+'Schedule J'!I491</f>
        <v>1139399.1100000001</v>
      </c>
      <c r="H136" s="2144">
        <f t="shared" si="22"/>
        <v>1139399.1100000001</v>
      </c>
      <c r="I136" s="2144">
        <f>SUMIFS('Schedule C'!$AZ$21:$AZ$500,'Schedule C'!$M$21:$M$500,'Schedule B'!$B136,'Schedule C'!$AY$21:$AY$500,"ACTIVE",'Schedule C'!$AF$21:$AF$500,"ACTIVE",'Schedule C'!$X$21:$X$500,"ACTIVE")</f>
        <v>0</v>
      </c>
      <c r="J136" s="2144"/>
      <c r="K136" s="2144">
        <f t="shared" si="32"/>
        <v>1139399.1100000001</v>
      </c>
      <c r="M136" s="2144">
        <f>SUMIFS('Schedule C'!$AG$21:$AG$500,'Schedule C'!$M$21:$M$500,'Schedule B'!$B136,'Schedule C'!$AY$21:$AY$500,"NOT ACTIVE",'Schedule C'!$AF$21:$AF$500,"ACTIVE",'Schedule C'!$X$21:$X$500,"ACTIVE")</f>
        <v>0</v>
      </c>
      <c r="N136" s="2144">
        <f>SUMIFS('Schedule C'!$Y$21:$Y$500,'Schedule C'!$M$21:$M$500,'Schedule B'!$B136,'Schedule C'!$AY$21:$AY$500,"NOT ACTIVE",'Schedule C'!$AF$21:$AF$500,"NOT ACTIVE",'Schedule C'!$X$21:$X$500,"ACTIVE")</f>
        <v>0</v>
      </c>
      <c r="O136" s="2144">
        <f>SUMIF('Schedule C'!$M$21:$M$500,'Schedule B'!B136,'Schedule C'!$Q$21:$Q$500)</f>
        <v>0</v>
      </c>
      <c r="P136" s="2144">
        <v>0</v>
      </c>
      <c r="Q136" s="2144">
        <f t="shared" si="40"/>
        <v>1139399.1100000001</v>
      </c>
      <c r="S136" s="2144">
        <f t="shared" si="41"/>
        <v>0</v>
      </c>
      <c r="U136" s="2144">
        <f t="shared" si="42"/>
        <v>1139399.1100000001</v>
      </c>
      <c r="V136" s="2144">
        <f t="shared" si="25"/>
        <v>0</v>
      </c>
      <c r="X136" s="2144">
        <v>1139399.1100000001</v>
      </c>
      <c r="Y136" s="2144">
        <f t="shared" si="34"/>
        <v>0</v>
      </c>
      <c r="Z136" s="181">
        <f t="shared" ref="Z136:Z145" si="53">H136-Q136</f>
        <v>0</v>
      </c>
      <c r="AA136" s="182">
        <f t="shared" ref="AA136:AA145" si="54">(Q136-H136)+Z136</f>
        <v>0</v>
      </c>
      <c r="AC136" s="2499">
        <v>189323001.68000007</v>
      </c>
      <c r="AD136" s="2500">
        <f t="shared" ref="AD136:AD145" si="55">AC136-K136</f>
        <v>188183602.57000005</v>
      </c>
      <c r="AE136" s="2145"/>
      <c r="AF136" s="629" t="e">
        <f>SUMIF(#REF!,'Schedule B'!C136,#REF!)</f>
        <v>#REF!</v>
      </c>
      <c r="AG136" s="539" t="e">
        <f>#REF!-#REF!</f>
        <v>#REF!</v>
      </c>
      <c r="AH136" s="539">
        <f t="shared" si="29"/>
        <v>0</v>
      </c>
      <c r="AI136" s="539" t="e">
        <f t="shared" si="30"/>
        <v>#REF!</v>
      </c>
      <c r="AJ136" s="539">
        <f t="shared" si="31"/>
        <v>0</v>
      </c>
    </row>
    <row r="137" spans="1:36" ht="15.75" outlineLevel="2">
      <c r="A137" s="2139" t="s">
        <v>4111</v>
      </c>
      <c r="B137" s="2140" t="s">
        <v>4467</v>
      </c>
      <c r="C137" s="2141" t="s">
        <v>4467</v>
      </c>
      <c r="D137" s="2142"/>
      <c r="E137" s="2143">
        <v>0</v>
      </c>
      <c r="F137" s="2996">
        <f>+'Schedule J'!I303</f>
        <v>2730</v>
      </c>
      <c r="H137" s="2144">
        <f t="shared" si="22"/>
        <v>2730</v>
      </c>
      <c r="I137" s="2144">
        <f>SUMIFS('Schedule C'!$AZ$21:$AZ$500,'Schedule C'!$M$21:$M$500,'Schedule B'!$B137,'Schedule C'!$AY$21:$AY$500,"ACTIVE",'Schedule C'!$AF$21:$AF$500,"ACTIVE",'Schedule C'!$X$21:$X$500,"ACTIVE")</f>
        <v>0</v>
      </c>
      <c r="J137" s="2144"/>
      <c r="K137" s="2144">
        <f t="shared" si="32"/>
        <v>2730</v>
      </c>
      <c r="M137" s="2144">
        <f>SUMIFS('Schedule C'!$AG$21:$AG$500,'Schedule C'!$M$21:$M$500,'Schedule B'!$B137,'Schedule C'!$AY$21:$AY$500,"NOT ACTIVE",'Schedule C'!$AF$21:$AF$500,"ACTIVE",'Schedule C'!$X$21:$X$500,"ACTIVE")</f>
        <v>0</v>
      </c>
      <c r="N137" s="2144">
        <f>SUMIFS('Schedule C'!$Y$21:$Y$500,'Schedule C'!$M$21:$M$500,'Schedule B'!$B137,'Schedule C'!$AY$21:$AY$500,"NOT ACTIVE",'Schedule C'!$AF$21:$AF$500,"NOT ACTIVE",'Schedule C'!$X$21:$X$500,"ACTIVE")</f>
        <v>0</v>
      </c>
      <c r="O137" s="2144">
        <f>SUMIF('Schedule C'!$M$21:$M$500,'Schedule B'!B137,'Schedule C'!$Q$21:$Q$500)</f>
        <v>0</v>
      </c>
      <c r="P137" s="2144">
        <v>0</v>
      </c>
      <c r="Q137" s="2144">
        <f t="shared" si="40"/>
        <v>2730</v>
      </c>
      <c r="S137" s="2144">
        <f t="shared" si="41"/>
        <v>0</v>
      </c>
      <c r="U137" s="2144">
        <f t="shared" si="42"/>
        <v>2730</v>
      </c>
      <c r="V137" s="2144">
        <f t="shared" si="25"/>
        <v>0</v>
      </c>
      <c r="X137" s="2144">
        <v>2730</v>
      </c>
      <c r="Y137" s="2144">
        <f t="shared" si="34"/>
        <v>0</v>
      </c>
      <c r="Z137" s="181">
        <f t="shared" si="53"/>
        <v>0</v>
      </c>
      <c r="AA137" s="182">
        <f t="shared" si="54"/>
        <v>0</v>
      </c>
      <c r="AC137" s="2499">
        <v>189323001.68000007</v>
      </c>
      <c r="AD137" s="2500">
        <f t="shared" si="55"/>
        <v>189320271.68000007</v>
      </c>
      <c r="AE137" s="2145"/>
      <c r="AF137" s="629" t="e">
        <f>SUMIF(#REF!,'Schedule B'!C137,#REF!)</f>
        <v>#REF!</v>
      </c>
      <c r="AG137" s="539" t="e">
        <f>#REF!-#REF!</f>
        <v>#REF!</v>
      </c>
      <c r="AH137" s="539">
        <f t="shared" si="29"/>
        <v>0</v>
      </c>
      <c r="AI137" s="539" t="e">
        <f t="shared" si="30"/>
        <v>#REF!</v>
      </c>
      <c r="AJ137" s="539">
        <f t="shared" si="31"/>
        <v>0</v>
      </c>
    </row>
    <row r="138" spans="1:36" ht="15.75" outlineLevel="2">
      <c r="A138" s="2139" t="s">
        <v>4111</v>
      </c>
      <c r="B138" s="2140" t="s">
        <v>4469</v>
      </c>
      <c r="C138" s="2141" t="s">
        <v>4469</v>
      </c>
      <c r="D138" s="2142"/>
      <c r="E138" s="2143">
        <v>0</v>
      </c>
      <c r="F138" s="2996">
        <f>+'Schedule J'!I311+'Schedule J'!I352+'Schedule J'!I372+'Schedule J'!I380+'Schedule J'!I444+'Schedule J'!I487+'Schedule J'!I506+'Schedule J'!I538</f>
        <v>326341.06</v>
      </c>
      <c r="H138" s="2144">
        <f t="shared" si="22"/>
        <v>326341.06</v>
      </c>
      <c r="I138" s="2144">
        <f>SUMIFS('Schedule C'!$AZ$21:$AZ$500,'Schedule C'!$M$21:$M$500,'Schedule B'!$B138,'Schedule C'!$AY$21:$AY$500,"ACTIVE",'Schedule C'!$AF$21:$AF$500,"ACTIVE",'Schedule C'!$X$21:$X$500,"ACTIVE")</f>
        <v>0</v>
      </c>
      <c r="J138" s="2144"/>
      <c r="K138" s="2144">
        <f t="shared" si="32"/>
        <v>326341.06</v>
      </c>
      <c r="M138" s="2144">
        <f>SUMIFS('Schedule C'!$AG$21:$AG$500,'Schedule C'!$M$21:$M$500,'Schedule B'!$B138,'Schedule C'!$AY$21:$AY$500,"NOT ACTIVE",'Schedule C'!$AF$21:$AF$500,"ACTIVE",'Schedule C'!$X$21:$X$500,"ACTIVE")</f>
        <v>0</v>
      </c>
      <c r="N138" s="2144">
        <f>SUMIFS('Schedule C'!$Y$21:$Y$500,'Schedule C'!$M$21:$M$500,'Schedule B'!$B138,'Schedule C'!$AY$21:$AY$500,"NOT ACTIVE",'Schedule C'!$AF$21:$AF$500,"NOT ACTIVE",'Schedule C'!$X$21:$X$500,"ACTIVE")</f>
        <v>0</v>
      </c>
      <c r="O138" s="2144">
        <f>SUMIF('Schedule C'!$M$21:$M$500,'Schedule B'!B138,'Schedule C'!$Q$21:$Q$500)</f>
        <v>0</v>
      </c>
      <c r="P138" s="2144">
        <v>0</v>
      </c>
      <c r="Q138" s="2144">
        <f t="shared" si="40"/>
        <v>326341.06</v>
      </c>
      <c r="S138" s="2144">
        <f t="shared" si="41"/>
        <v>0</v>
      </c>
      <c r="U138" s="2144">
        <f t="shared" si="42"/>
        <v>326341.06</v>
      </c>
      <c r="V138" s="2144">
        <f t="shared" si="25"/>
        <v>0</v>
      </c>
      <c r="X138" s="2144">
        <v>326341.06</v>
      </c>
      <c r="Y138" s="2144">
        <f t="shared" si="34"/>
        <v>0</v>
      </c>
      <c r="Z138" s="181">
        <f t="shared" si="53"/>
        <v>0</v>
      </c>
      <c r="AA138" s="182">
        <f t="shared" si="54"/>
        <v>0</v>
      </c>
      <c r="AC138" s="2499">
        <v>189323001.68000007</v>
      </c>
      <c r="AD138" s="2500">
        <f t="shared" si="55"/>
        <v>188996660.62000006</v>
      </c>
      <c r="AE138" s="2145"/>
      <c r="AF138" s="629" t="e">
        <f>SUMIF(#REF!,'Schedule B'!C138,#REF!)</f>
        <v>#REF!</v>
      </c>
      <c r="AG138" s="539" t="e">
        <f>#REF!-#REF!</f>
        <v>#REF!</v>
      </c>
      <c r="AH138" s="539">
        <f t="shared" si="29"/>
        <v>0</v>
      </c>
      <c r="AI138" s="539" t="e">
        <f t="shared" si="30"/>
        <v>#REF!</v>
      </c>
      <c r="AJ138" s="539">
        <f t="shared" si="31"/>
        <v>0</v>
      </c>
    </row>
    <row r="139" spans="1:36" ht="15.75" outlineLevel="2">
      <c r="A139" s="2139" t="s">
        <v>4111</v>
      </c>
      <c r="B139" s="2140" t="s">
        <v>4470</v>
      </c>
      <c r="C139" s="2141" t="s">
        <v>4470</v>
      </c>
      <c r="D139" s="2142"/>
      <c r="E139" s="2143">
        <v>0</v>
      </c>
      <c r="F139" s="2996">
        <f>+'Schedule J'!I312+'Schedule J'!I339+'Schedule J'!I377+'Schedule J'!I407+'Schedule J'!I434</f>
        <v>200069</v>
      </c>
      <c r="H139" s="2144">
        <f t="shared" si="22"/>
        <v>200069</v>
      </c>
      <c r="I139" s="2144">
        <f>SUMIFS('Schedule C'!$AZ$21:$AZ$500,'Schedule C'!$M$21:$M$500,'Schedule B'!$B139,'Schedule C'!$AY$21:$AY$500,"ACTIVE",'Schedule C'!$AF$21:$AF$500,"ACTIVE",'Schedule C'!$X$21:$X$500,"ACTIVE")</f>
        <v>0</v>
      </c>
      <c r="J139" s="2144"/>
      <c r="K139" s="2144">
        <f t="shared" si="32"/>
        <v>200069</v>
      </c>
      <c r="M139" s="2144">
        <f>SUMIFS('Schedule C'!$AG$21:$AG$500,'Schedule C'!$M$21:$M$500,'Schedule B'!$B139,'Schedule C'!$AY$21:$AY$500,"NOT ACTIVE",'Schedule C'!$AF$21:$AF$500,"ACTIVE",'Schedule C'!$X$21:$X$500,"ACTIVE")</f>
        <v>0</v>
      </c>
      <c r="N139" s="2144">
        <f>SUMIFS('Schedule C'!$Y$21:$Y$500,'Schedule C'!$M$21:$M$500,'Schedule B'!$B139,'Schedule C'!$AY$21:$AY$500,"NOT ACTIVE",'Schedule C'!$AF$21:$AF$500,"NOT ACTIVE",'Schedule C'!$X$21:$X$500,"ACTIVE")</f>
        <v>0</v>
      </c>
      <c r="O139" s="2144">
        <f>SUMIF('Schedule C'!$M$21:$M$500,'Schedule B'!B139,'Schedule C'!$Q$21:$Q$500)</f>
        <v>0</v>
      </c>
      <c r="P139" s="2144">
        <v>0</v>
      </c>
      <c r="Q139" s="2144">
        <f t="shared" si="40"/>
        <v>200069</v>
      </c>
      <c r="S139" s="2144">
        <f t="shared" si="41"/>
        <v>0</v>
      </c>
      <c r="U139" s="2144">
        <f t="shared" si="42"/>
        <v>200069</v>
      </c>
      <c r="V139" s="2144">
        <f t="shared" si="25"/>
        <v>0</v>
      </c>
      <c r="X139" s="2144">
        <v>200069</v>
      </c>
      <c r="Y139" s="2144">
        <f t="shared" si="34"/>
        <v>0</v>
      </c>
      <c r="Z139" s="181">
        <f t="shared" si="53"/>
        <v>0</v>
      </c>
      <c r="AA139" s="182">
        <f t="shared" si="54"/>
        <v>0</v>
      </c>
      <c r="AC139" s="2499">
        <v>189323001.68000007</v>
      </c>
      <c r="AD139" s="2500">
        <f t="shared" si="55"/>
        <v>189122932.68000007</v>
      </c>
      <c r="AE139" s="2145"/>
      <c r="AF139" s="629" t="e">
        <f>SUMIF(#REF!,'Schedule B'!C139,#REF!)</f>
        <v>#REF!</v>
      </c>
      <c r="AG139" s="539" t="e">
        <f>#REF!-#REF!</f>
        <v>#REF!</v>
      </c>
      <c r="AH139" s="539">
        <f t="shared" si="29"/>
        <v>0</v>
      </c>
      <c r="AI139" s="539" t="e">
        <f t="shared" si="30"/>
        <v>#REF!</v>
      </c>
      <c r="AJ139" s="539">
        <f t="shared" si="31"/>
        <v>0</v>
      </c>
    </row>
    <row r="140" spans="1:36" ht="15.75" outlineLevel="2">
      <c r="A140" s="2139" t="s">
        <v>4111</v>
      </c>
      <c r="B140" s="2140" t="s">
        <v>4473</v>
      </c>
      <c r="C140" s="2141" t="s">
        <v>4473</v>
      </c>
      <c r="D140" s="2142"/>
      <c r="E140" s="2143">
        <v>0</v>
      </c>
      <c r="F140" s="2996">
        <f>+'Schedule J'!I323</f>
        <v>624120.15</v>
      </c>
      <c r="H140" s="2144">
        <f t="shared" si="22"/>
        <v>624120.15</v>
      </c>
      <c r="I140" s="2144">
        <f>SUMIFS('Schedule C'!$AZ$21:$AZ$500,'Schedule C'!$M$21:$M$500,'Schedule B'!$B140,'Schedule C'!$AY$21:$AY$500,"ACTIVE",'Schedule C'!$AF$21:$AF$500,"ACTIVE",'Schedule C'!$X$21:$X$500,"ACTIVE")</f>
        <v>0</v>
      </c>
      <c r="J140" s="2144"/>
      <c r="K140" s="2144">
        <f t="shared" si="32"/>
        <v>624120.15</v>
      </c>
      <c r="M140" s="2144">
        <f>SUMIFS('Schedule C'!$AG$21:$AG$500,'Schedule C'!$M$21:$M$500,'Schedule B'!$B140,'Schedule C'!$AY$21:$AY$500,"NOT ACTIVE",'Schedule C'!$AF$21:$AF$500,"ACTIVE",'Schedule C'!$X$21:$X$500,"ACTIVE")</f>
        <v>0</v>
      </c>
      <c r="N140" s="2144">
        <f>SUMIFS('Schedule C'!$Y$21:$Y$500,'Schedule C'!$M$21:$M$500,'Schedule B'!$B140,'Schedule C'!$AY$21:$AY$500,"NOT ACTIVE",'Schedule C'!$AF$21:$AF$500,"NOT ACTIVE",'Schedule C'!$X$21:$X$500,"ACTIVE")</f>
        <v>0</v>
      </c>
      <c r="O140" s="2144">
        <f>SUMIF('Schedule C'!$M$21:$M$500,'Schedule B'!B140,'Schedule C'!$Q$21:$Q$500)</f>
        <v>0</v>
      </c>
      <c r="P140" s="2144">
        <v>0</v>
      </c>
      <c r="Q140" s="2144">
        <f t="shared" si="40"/>
        <v>624120.15</v>
      </c>
      <c r="S140" s="2144">
        <f t="shared" si="41"/>
        <v>0</v>
      </c>
      <c r="U140" s="2144">
        <f t="shared" si="42"/>
        <v>624120.15</v>
      </c>
      <c r="V140" s="2144">
        <f t="shared" si="25"/>
        <v>0</v>
      </c>
      <c r="X140" s="2144">
        <v>624120.15</v>
      </c>
      <c r="Y140" s="2144">
        <f t="shared" si="34"/>
        <v>0</v>
      </c>
      <c r="Z140" s="181">
        <f t="shared" si="53"/>
        <v>0</v>
      </c>
      <c r="AA140" s="182">
        <f t="shared" si="54"/>
        <v>0</v>
      </c>
      <c r="AC140" s="2499">
        <v>189323001.68000007</v>
      </c>
      <c r="AD140" s="2500">
        <f t="shared" si="55"/>
        <v>188698881.53000006</v>
      </c>
      <c r="AE140" s="2145"/>
      <c r="AF140" s="629" t="e">
        <f>SUMIF(#REF!,'Schedule B'!C140,#REF!)</f>
        <v>#REF!</v>
      </c>
      <c r="AG140" s="539" t="e">
        <f>#REF!-#REF!</f>
        <v>#REF!</v>
      </c>
      <c r="AH140" s="539">
        <f t="shared" si="29"/>
        <v>0</v>
      </c>
      <c r="AI140" s="539" t="e">
        <f t="shared" si="30"/>
        <v>#REF!</v>
      </c>
      <c r="AJ140" s="539">
        <f t="shared" si="31"/>
        <v>0</v>
      </c>
    </row>
    <row r="141" spans="1:36" ht="15.75" outlineLevel="2">
      <c r="A141" s="2139" t="s">
        <v>4111</v>
      </c>
      <c r="B141" s="2140" t="s">
        <v>4722</v>
      </c>
      <c r="C141" s="4354" t="s">
        <v>4722</v>
      </c>
      <c r="D141" s="2142"/>
      <c r="E141" s="2143">
        <v>0</v>
      </c>
      <c r="F141" s="2996">
        <f>+'Schedule J'!I367+'Schedule J'!I394</f>
        <v>22250</v>
      </c>
      <c r="H141" s="2144">
        <f>E141+F141</f>
        <v>22250</v>
      </c>
      <c r="I141" s="2144">
        <f>SUMIFS('Schedule C'!$AZ$21:$AZ$500,'Schedule C'!$M$21:$M$500,'Schedule B'!$B141,'Schedule C'!$AY$21:$AY$500,"ACTIVE",'Schedule C'!$AF$21:$AF$500,"ACTIVE",'Schedule C'!$X$21:$X$500,"ACTIVE")</f>
        <v>0</v>
      </c>
      <c r="J141" s="2144"/>
      <c r="K141" s="2144">
        <f>SUM(H141:J141)</f>
        <v>22250</v>
      </c>
      <c r="M141" s="2144">
        <f>SUMIFS('Schedule C'!$AG$21:$AG$500,'Schedule C'!$M$21:$M$500,'Schedule B'!$B141,'Schedule C'!$AY$21:$AY$500,"NOT ACTIVE",'Schedule C'!$AF$21:$AF$500,"ACTIVE",'Schedule C'!$X$21:$X$500,"ACTIVE")</f>
        <v>0</v>
      </c>
      <c r="N141" s="2144">
        <f>SUMIFS('Schedule C'!$Y$21:$Y$500,'Schedule C'!$M$21:$M$500,'Schedule B'!$B141,'Schedule C'!$AY$21:$AY$500,"NOT ACTIVE",'Schedule C'!$AF$21:$AF$500,"NOT ACTIVE",'Schedule C'!$X$21:$X$500,"ACTIVE")</f>
        <v>0</v>
      </c>
      <c r="O141" s="2144">
        <f>SUMIF('Schedule C'!$M$21:$M$500,'Schedule B'!B141,'Schedule C'!$Q$21:$Q$500)</f>
        <v>0</v>
      </c>
      <c r="P141" s="2144">
        <v>0</v>
      </c>
      <c r="Q141" s="2144">
        <f t="shared" si="40"/>
        <v>22250</v>
      </c>
      <c r="S141" s="2144">
        <f t="shared" si="41"/>
        <v>0</v>
      </c>
      <c r="U141" s="2144">
        <f>+Q141</f>
        <v>22250</v>
      </c>
      <c r="V141" s="2144">
        <f>Q141-U141</f>
        <v>0</v>
      </c>
      <c r="X141" s="2144">
        <v>22250</v>
      </c>
      <c r="Y141" s="2144">
        <f>Q141-X141</f>
        <v>0</v>
      </c>
      <c r="Z141" s="181">
        <f t="shared" si="53"/>
        <v>0</v>
      </c>
      <c r="AA141" s="182">
        <f t="shared" si="54"/>
        <v>0</v>
      </c>
      <c r="AC141" s="2499">
        <v>189323001.68000007</v>
      </c>
      <c r="AD141" s="2500">
        <f t="shared" si="55"/>
        <v>189300751.68000007</v>
      </c>
      <c r="AE141" s="2145"/>
      <c r="AF141" s="629" t="e">
        <f>SUMIF(#REF!,'Schedule B'!C141,#REF!)</f>
        <v>#REF!</v>
      </c>
      <c r="AG141" s="539" t="e">
        <f>#REF!-#REF!</f>
        <v>#REF!</v>
      </c>
      <c r="AH141" s="539">
        <f>N141</f>
        <v>0</v>
      </c>
      <c r="AI141" s="539" t="e">
        <f>Q141-AG141</f>
        <v>#REF!</v>
      </c>
      <c r="AJ141" s="539">
        <f>N141-AH141</f>
        <v>0</v>
      </c>
    </row>
    <row r="142" spans="1:36" ht="15.75" outlineLevel="2">
      <c r="A142" s="2139" t="s">
        <v>4111</v>
      </c>
      <c r="B142" s="2140" t="s">
        <v>5076</v>
      </c>
      <c r="C142" s="4354" t="s">
        <v>5076</v>
      </c>
      <c r="D142" s="2142"/>
      <c r="E142" s="2143">
        <v>0</v>
      </c>
      <c r="F142" s="2996">
        <f>+'Schedule J'!I445+'Schedule J'!I507</f>
        <v>196505.68</v>
      </c>
      <c r="H142" s="2144">
        <f>E142+F142</f>
        <v>196505.68</v>
      </c>
      <c r="I142" s="2144">
        <f>SUMIFS('Schedule C'!$AZ$21:$AZ$500,'Schedule C'!$M$21:$M$500,'Schedule B'!$B142,'Schedule C'!$AY$21:$AY$500,"ACTIVE",'Schedule C'!$AF$21:$AF$500,"ACTIVE",'Schedule C'!$X$21:$X$500,"ACTIVE")</f>
        <v>0</v>
      </c>
      <c r="J142" s="2144"/>
      <c r="K142" s="2144">
        <f>SUM(H142:J142)</f>
        <v>196505.68</v>
      </c>
      <c r="M142" s="2144">
        <f>SUMIFS('Schedule C'!$AG$21:$AG$500,'Schedule C'!$M$21:$M$500,'Schedule B'!$B142,'Schedule C'!$AY$21:$AY$500,"NOT ACTIVE",'Schedule C'!$AF$21:$AF$500,"ACTIVE",'Schedule C'!$X$21:$X$500,"ACTIVE")</f>
        <v>0</v>
      </c>
      <c r="N142" s="2144">
        <f>SUMIFS('Schedule C'!$Y$21:$Y$500,'Schedule C'!$M$21:$M$500,'Schedule B'!$B142,'Schedule C'!$AY$21:$AY$500,"NOT ACTIVE",'Schedule C'!$AF$21:$AF$500,"NOT ACTIVE",'Schedule C'!$X$21:$X$500,"ACTIVE")</f>
        <v>0</v>
      </c>
      <c r="O142" s="2144">
        <f>SUMIF('Schedule C'!$M$21:$M$500,'Schedule B'!B142,'Schedule C'!$Q$21:$Q$500)</f>
        <v>0</v>
      </c>
      <c r="P142" s="2144">
        <v>0</v>
      </c>
      <c r="Q142" s="2144">
        <f t="shared" si="40"/>
        <v>196505.68</v>
      </c>
      <c r="S142" s="2144">
        <f t="shared" si="41"/>
        <v>0</v>
      </c>
      <c r="U142" s="2144">
        <f>+Q142</f>
        <v>196505.68</v>
      </c>
      <c r="V142" s="2144">
        <f>Q142-U142</f>
        <v>0</v>
      </c>
      <c r="X142" s="2144">
        <v>196505.68</v>
      </c>
      <c r="Y142" s="2144">
        <f>Q142-X142</f>
        <v>0</v>
      </c>
      <c r="Z142" s="181">
        <f t="shared" si="53"/>
        <v>0</v>
      </c>
      <c r="AA142" s="182">
        <f t="shared" si="54"/>
        <v>0</v>
      </c>
      <c r="AC142" s="2499">
        <v>189323001.68000007</v>
      </c>
      <c r="AD142" s="2500">
        <f t="shared" si="55"/>
        <v>189126496.00000006</v>
      </c>
      <c r="AE142" s="2145"/>
      <c r="AF142" s="629" t="e">
        <f>SUMIF(#REF!,'Schedule B'!C142,#REF!)</f>
        <v>#REF!</v>
      </c>
      <c r="AG142" s="539" t="e">
        <f>#REF!-#REF!</f>
        <v>#REF!</v>
      </c>
      <c r="AH142" s="539">
        <f>N142</f>
        <v>0</v>
      </c>
      <c r="AI142" s="539" t="e">
        <f>Q142-AG142</f>
        <v>#REF!</v>
      </c>
      <c r="AJ142" s="539">
        <f>N142-AH142</f>
        <v>0</v>
      </c>
    </row>
    <row r="143" spans="1:36" ht="15.75" outlineLevel="2">
      <c r="A143" s="2139" t="s">
        <v>4111</v>
      </c>
      <c r="B143" s="2140" t="s">
        <v>5077</v>
      </c>
      <c r="C143" s="4354" t="s">
        <v>5077</v>
      </c>
      <c r="D143" s="2142"/>
      <c r="E143" s="2143">
        <v>0</v>
      </c>
      <c r="F143" s="2996">
        <f>+'Schedule J'!I446+'Schedule J'!I539</f>
        <v>1942966.8</v>
      </c>
      <c r="H143" s="2144">
        <f>E143+F143</f>
        <v>1942966.8</v>
      </c>
      <c r="I143" s="2144">
        <f>SUMIFS('Schedule C'!$AZ$21:$AZ$500,'Schedule C'!$M$21:$M$500,'Schedule B'!$B143,'Schedule C'!$AY$21:$AY$500,"ACTIVE",'Schedule C'!$AF$21:$AF$500,"ACTIVE",'Schedule C'!$X$21:$X$500,"ACTIVE")</f>
        <v>0</v>
      </c>
      <c r="J143" s="2144"/>
      <c r="K143" s="2144">
        <f>SUM(H143:J143)</f>
        <v>1942966.8</v>
      </c>
      <c r="M143" s="2144">
        <f>SUMIFS('Schedule C'!$AG$21:$AG$500,'Schedule C'!$M$21:$M$500,'Schedule B'!$B143,'Schedule C'!$AY$21:$AY$500,"NOT ACTIVE",'Schedule C'!$AF$21:$AF$500,"ACTIVE",'Schedule C'!$X$21:$X$500,"ACTIVE")</f>
        <v>0</v>
      </c>
      <c r="N143" s="2144">
        <f>SUMIFS('Schedule C'!$Y$21:$Y$500,'Schedule C'!$M$21:$M$500,'Schedule B'!$B143,'Schedule C'!$AY$21:$AY$500,"NOT ACTIVE",'Schedule C'!$AF$21:$AF$500,"NOT ACTIVE",'Schedule C'!$X$21:$X$500,"ACTIVE")</f>
        <v>0</v>
      </c>
      <c r="O143" s="2144">
        <f>SUMIF('Schedule C'!$M$21:$M$500,'Schedule B'!B143,'Schedule C'!$Q$21:$Q$500)</f>
        <v>0</v>
      </c>
      <c r="P143" s="2144">
        <v>0</v>
      </c>
      <c r="Q143" s="2144">
        <f t="shared" si="40"/>
        <v>1942966.8</v>
      </c>
      <c r="S143" s="2144">
        <f t="shared" si="41"/>
        <v>0</v>
      </c>
      <c r="U143" s="2144">
        <f>+Q143</f>
        <v>1942966.8</v>
      </c>
      <c r="V143" s="2144">
        <f>Q143-U143</f>
        <v>0</v>
      </c>
      <c r="X143" s="2144">
        <v>1942966.8</v>
      </c>
      <c r="Y143" s="2144">
        <f>Q143-X143</f>
        <v>0</v>
      </c>
      <c r="Z143" s="181">
        <f t="shared" si="53"/>
        <v>0</v>
      </c>
      <c r="AA143" s="182">
        <f t="shared" si="54"/>
        <v>0</v>
      </c>
      <c r="AC143" s="2499">
        <v>189323001.68000007</v>
      </c>
      <c r="AD143" s="2500">
        <f t="shared" si="55"/>
        <v>187380034.88000005</v>
      </c>
      <c r="AE143" s="2145"/>
      <c r="AF143" s="629" t="e">
        <f>SUMIF(#REF!,'Schedule B'!C143,#REF!)</f>
        <v>#REF!</v>
      </c>
      <c r="AG143" s="539" t="e">
        <f>#REF!-#REF!</f>
        <v>#REF!</v>
      </c>
      <c r="AH143" s="539">
        <f>N143</f>
        <v>0</v>
      </c>
      <c r="AI143" s="539" t="e">
        <f>Q143-AG143</f>
        <v>#REF!</v>
      </c>
      <c r="AJ143" s="539">
        <f>N143-AH143</f>
        <v>0</v>
      </c>
    </row>
    <row r="144" spans="1:36" ht="15.75" outlineLevel="2">
      <c r="A144" s="2139" t="s">
        <v>4111</v>
      </c>
      <c r="B144" s="2140" t="s">
        <v>4723</v>
      </c>
      <c r="C144" s="2141" t="s">
        <v>4723</v>
      </c>
      <c r="D144" s="2142"/>
      <c r="E144" s="2143">
        <v>0</v>
      </c>
      <c r="F144" s="2996">
        <f>+'Schedule J'!I411</f>
        <v>9915.3700000000008</v>
      </c>
      <c r="H144" s="2144">
        <f>E144+F144</f>
        <v>9915.3700000000008</v>
      </c>
      <c r="I144" s="2144">
        <f>SUMIFS('Schedule C'!$AZ$21:$AZ$500,'Schedule C'!$M$21:$M$500,'Schedule B'!$B144,'Schedule C'!$AY$21:$AY$500,"ACTIVE",'Schedule C'!$AF$21:$AF$500,"ACTIVE",'Schedule C'!$X$21:$X$500,"ACTIVE")</f>
        <v>0</v>
      </c>
      <c r="J144" s="2144"/>
      <c r="K144" s="2144">
        <f>SUM(H144:J144)</f>
        <v>9915.3700000000008</v>
      </c>
      <c r="M144" s="2144">
        <f>SUMIFS('Schedule C'!$AG$21:$AG$500,'Schedule C'!$M$21:$M$500,'Schedule B'!$B144,'Schedule C'!$AY$21:$AY$500,"NOT ACTIVE",'Schedule C'!$AF$21:$AF$500,"ACTIVE",'Schedule C'!$X$21:$X$500,"ACTIVE")</f>
        <v>0</v>
      </c>
      <c r="N144" s="2144">
        <f>SUMIFS('Schedule C'!$Y$21:$Y$500,'Schedule C'!$M$21:$M$500,'Schedule B'!$B144,'Schedule C'!$AY$21:$AY$500,"NOT ACTIVE",'Schedule C'!$AF$21:$AF$500,"NOT ACTIVE",'Schedule C'!$X$21:$X$500,"ACTIVE")</f>
        <v>0</v>
      </c>
      <c r="O144" s="2144">
        <f>SUMIF('Schedule C'!$M$21:$M$500,'Schedule B'!B144,'Schedule C'!$Q$21:$Q$500)</f>
        <v>0</v>
      </c>
      <c r="P144" s="2144">
        <v>0</v>
      </c>
      <c r="Q144" s="2144">
        <f t="shared" si="40"/>
        <v>9915.3700000000008</v>
      </c>
      <c r="S144" s="2144">
        <f t="shared" si="41"/>
        <v>0</v>
      </c>
      <c r="U144" s="2144">
        <f>+Q144</f>
        <v>9915.3700000000008</v>
      </c>
      <c r="V144" s="2144">
        <f>Q144-U144</f>
        <v>0</v>
      </c>
      <c r="X144" s="2144">
        <v>9915.3700000000008</v>
      </c>
      <c r="Y144" s="2144">
        <f>Q144-X144</f>
        <v>0</v>
      </c>
      <c r="Z144" s="181">
        <f t="shared" si="53"/>
        <v>0</v>
      </c>
      <c r="AA144" s="182">
        <f t="shared" si="54"/>
        <v>0</v>
      </c>
      <c r="AC144" s="2499">
        <v>189323001.68000007</v>
      </c>
      <c r="AD144" s="2500">
        <f t="shared" si="55"/>
        <v>189313086.31000006</v>
      </c>
      <c r="AE144" s="2145"/>
      <c r="AF144" s="629" t="e">
        <f>SUMIF(#REF!,'Schedule B'!C144,#REF!)</f>
        <v>#REF!</v>
      </c>
      <c r="AG144" s="539" t="e">
        <f>#REF!-#REF!</f>
        <v>#REF!</v>
      </c>
      <c r="AH144" s="539">
        <f>N144</f>
        <v>0</v>
      </c>
      <c r="AI144" s="539" t="e">
        <f>Q144-AG144</f>
        <v>#REF!</v>
      </c>
      <c r="AJ144" s="539">
        <f>N144-AH144</f>
        <v>0</v>
      </c>
    </row>
    <row r="145" spans="1:36" ht="15.75" outlineLevel="2">
      <c r="A145" s="2139"/>
      <c r="B145" s="2140"/>
      <c r="C145" s="2141"/>
      <c r="D145" s="2142"/>
      <c r="E145" s="2143"/>
      <c r="F145" s="2996"/>
      <c r="H145" s="2144">
        <f t="shared" si="22"/>
        <v>0</v>
      </c>
      <c r="I145" s="2144">
        <f>SUMIFS('Schedule C'!$AZ$21:$AZ$500,'Schedule C'!$M$21:$M$500,'Schedule B'!$B145,'Schedule C'!$AY$21:$AY$500,"ACTIVE",'Schedule C'!$AF$21:$AF$500,"ACTIVE",'Schedule C'!$X$21:$X$500,"ACTIVE")</f>
        <v>0</v>
      </c>
      <c r="J145" s="2144"/>
      <c r="K145" s="2144">
        <f t="shared" si="32"/>
        <v>0</v>
      </c>
      <c r="M145" s="2144">
        <f>SUMIFS('Schedule C'!$AG$21:$AG$313,'Schedule C'!$M$21:$M$313,'Schedule B'!$B145,'Schedule C'!$AY$21:$AY$313,"NOT ACTIVE",'Schedule C'!$AF$21:$AF$313,"ACTIVE",'Schedule C'!$X$21:$X$313,"ACTIVE")</f>
        <v>0</v>
      </c>
      <c r="N145" s="2144">
        <f>SUMIFS('Schedule C'!$Y$21:$Y$313,'Schedule C'!$M$21:$M$313,'Schedule B'!$B145,'Schedule C'!$AY$21:$AY$313,"NOT ACTIVE",'Schedule C'!$AF$21:$AF$313,"NOT ACTIVE",'Schedule C'!$X$21:$X$313,"ACTIVE")</f>
        <v>0</v>
      </c>
      <c r="O145" s="2144">
        <f>SUMIF('Schedule C'!$M$21:$M$500,'Schedule B'!B145,'Schedule C'!$Q$21:$Q$500)</f>
        <v>0</v>
      </c>
      <c r="P145" s="2144">
        <v>0</v>
      </c>
      <c r="Q145" s="2144">
        <f t="shared" si="40"/>
        <v>0</v>
      </c>
      <c r="S145" s="2144">
        <f t="shared" si="41"/>
        <v>0</v>
      </c>
      <c r="U145" s="2144">
        <v>0</v>
      </c>
      <c r="V145" s="2144">
        <f t="shared" si="25"/>
        <v>0</v>
      </c>
      <c r="X145" s="2144">
        <v>0</v>
      </c>
      <c r="Y145" s="2144">
        <f t="shared" si="34"/>
        <v>0</v>
      </c>
      <c r="Z145" s="181">
        <f t="shared" si="53"/>
        <v>0</v>
      </c>
      <c r="AA145" s="182">
        <f t="shared" si="54"/>
        <v>0</v>
      </c>
      <c r="AC145" s="2499">
        <v>189323001.68000007</v>
      </c>
      <c r="AD145" s="2500">
        <f t="shared" si="55"/>
        <v>189323001.68000007</v>
      </c>
      <c r="AE145" s="2145"/>
      <c r="AF145" s="629" t="e">
        <f>SUMIF(#REF!,'Schedule B'!C145,#REF!)</f>
        <v>#REF!</v>
      </c>
      <c r="AG145" s="539" t="e">
        <f>#REF!-#REF!</f>
        <v>#REF!</v>
      </c>
      <c r="AH145" s="539">
        <f t="shared" si="29"/>
        <v>0</v>
      </c>
      <c r="AI145" s="539" t="e">
        <f t="shared" si="30"/>
        <v>#REF!</v>
      </c>
      <c r="AJ145" s="539">
        <f t="shared" si="31"/>
        <v>0</v>
      </c>
    </row>
    <row r="146" spans="1:36" ht="15.75" outlineLevel="2">
      <c r="A146" s="4324" t="s">
        <v>4612</v>
      </c>
      <c r="B146" s="4325" t="s">
        <v>4611</v>
      </c>
      <c r="C146" s="4326" t="s">
        <v>4611</v>
      </c>
      <c r="D146" s="4320"/>
      <c r="E146" s="4321"/>
      <c r="F146" s="4322">
        <v>0</v>
      </c>
      <c r="G146" s="4323"/>
      <c r="H146" s="4321">
        <f t="shared" si="22"/>
        <v>0</v>
      </c>
      <c r="I146" s="4321">
        <f>SUMIFS('Schedule C'!$AZ$21:$AZ$500,'Schedule C'!$M$21:$M$500,'Schedule B'!$B146,'Schedule C'!$AY$21:$AY$500,"ACTIVE",'Schedule C'!$AF$21:$AF$500,"ACTIVE",'Schedule C'!$X$21:$X$500,"ACTIVE")</f>
        <v>0</v>
      </c>
      <c r="J146" s="4321"/>
      <c r="K146" s="4321">
        <f t="shared" si="32"/>
        <v>0</v>
      </c>
      <c r="L146" s="4323"/>
      <c r="M146" s="4321">
        <f>SUMIFS('Schedule C'!$AG$21:$AG$313,'Schedule C'!$M$21:$M$313,'Schedule B'!$B146,'Schedule C'!$AY$21:$AY$313,"NOT ACTIVE",'Schedule C'!$AF$21:$AF$313,"ACTIVE",'Schedule C'!$X$21:$X$313,"ACTIVE")</f>
        <v>0</v>
      </c>
      <c r="N146" s="4321">
        <f>SUMIFS('Schedule C'!$Y$21:$Y$313,'Schedule C'!$M$21:$M$313,'Schedule B'!$B146,'Schedule C'!$AY$21:$AY$313,"NOT ACTIVE",'Schedule C'!$AF$21:$AF$313,"NOT ACTIVE",'Schedule C'!$X$21:$X$313,"ACTIVE")</f>
        <v>0</v>
      </c>
      <c r="O146" s="4321">
        <f>SUMIF('Schedule C'!$M$21:$M$313,'Schedule B'!B146,'Schedule C'!$Q$21:$Q$313)</f>
        <v>0</v>
      </c>
      <c r="P146" s="4321">
        <v>0</v>
      </c>
      <c r="Q146" s="4321">
        <f t="shared" si="40"/>
        <v>0</v>
      </c>
      <c r="R146" s="4323"/>
      <c r="S146" s="4321">
        <f t="shared" si="41"/>
        <v>0</v>
      </c>
      <c r="T146" s="4323"/>
      <c r="U146" s="4321">
        <v>0</v>
      </c>
      <c r="V146" s="4321">
        <f t="shared" si="25"/>
        <v>0</v>
      </c>
      <c r="W146" s="4323"/>
      <c r="X146" s="4321">
        <v>0</v>
      </c>
      <c r="Y146" s="4321">
        <f t="shared" si="34"/>
        <v>0</v>
      </c>
      <c r="Z146" s="181"/>
      <c r="AA146" s="182"/>
      <c r="AC146" s="2499"/>
      <c r="AD146" s="2500"/>
      <c r="AE146" s="2145"/>
      <c r="AF146" s="629"/>
      <c r="AG146" s="539"/>
      <c r="AH146" s="539"/>
      <c r="AI146" s="539"/>
      <c r="AJ146" s="539"/>
    </row>
    <row r="147" spans="1:36" ht="15.75" outlineLevel="2">
      <c r="A147" s="2139"/>
      <c r="B147" s="2140"/>
      <c r="C147" s="2141"/>
      <c r="D147" s="2142"/>
      <c r="E147" s="2143"/>
      <c r="F147" s="2996"/>
      <c r="H147" s="2144"/>
      <c r="I147" s="2144"/>
      <c r="J147" s="2144"/>
      <c r="K147" s="2144"/>
      <c r="M147" s="2144"/>
      <c r="N147" s="2144"/>
      <c r="O147" s="2144"/>
      <c r="P147" s="2144"/>
      <c r="Q147" s="2144"/>
      <c r="S147" s="2144"/>
      <c r="U147" s="2144"/>
      <c r="V147" s="2144"/>
      <c r="X147" s="2144"/>
      <c r="Y147" s="2144"/>
      <c r="Z147" s="181"/>
      <c r="AA147" s="182"/>
      <c r="AC147" s="2499"/>
      <c r="AD147" s="2500"/>
      <c r="AE147" s="2145"/>
      <c r="AF147" s="629"/>
      <c r="AG147" s="539"/>
      <c r="AH147" s="539"/>
      <c r="AI147" s="539"/>
      <c r="AJ147" s="539"/>
    </row>
    <row r="148" spans="1:36" ht="26.25" customHeight="1">
      <c r="A148" s="2139" t="s">
        <v>513</v>
      </c>
      <c r="B148" s="2140" t="s">
        <v>176</v>
      </c>
      <c r="C148" s="2141" t="s">
        <v>2257</v>
      </c>
      <c r="D148" s="2142"/>
      <c r="E148" s="2143">
        <v>0</v>
      </c>
      <c r="F148" s="2996">
        <f>+'Schedule J'!I71</f>
        <v>834298.55</v>
      </c>
      <c r="H148" s="2144">
        <f>E148+F148</f>
        <v>834298.55</v>
      </c>
      <c r="I148" s="2144">
        <f>SUMIFS('Schedule C'!$AZ$21:$AZ$500,'Schedule C'!$M$21:$M$500,'Schedule B'!$B148,'Schedule C'!$AY$21:$AY$500,"ACTIVE",'Schedule C'!$AF$21:$AF$500,"ACTIVE",'Schedule C'!$X$21:$X$500,"ACTIVE")</f>
        <v>-15000</v>
      </c>
      <c r="J148" s="2144"/>
      <c r="K148" s="2144">
        <f t="shared" ref="K148:K159" si="56">SUM(H148:J148)</f>
        <v>819298.55</v>
      </c>
      <c r="M148" s="2144">
        <f>SUMIFS('Schedule C'!$AG$21:$AG$500,'Schedule C'!$M$21:$M$500,'Schedule B'!$B148,'Schedule C'!$AY$21:$AY$500,"NOT ACTIVE",'Schedule C'!$AF$21:$AF$500,"ACTIVE",'Schedule C'!$X$21:$X$500,"ACTIVE")</f>
        <v>0</v>
      </c>
      <c r="N148" s="2144">
        <f>SUMIFS('Schedule C'!$Y$21:$Y$500,'Schedule C'!$M$21:$M$500,'Schedule B'!$B148,'Schedule C'!$AY$21:$AY$500,"NOT ACTIVE",'Schedule C'!$AF$21:$AF$500,"NOT ACTIVE",'Schedule C'!$X$21:$X$500,"ACTIVE")</f>
        <v>0</v>
      </c>
      <c r="O148" s="2144">
        <f>SUMIF('Schedule C'!$M$21:$M$500,'Schedule B'!B148,'Schedule C'!$Q$21:$Q$500)</f>
        <v>0</v>
      </c>
      <c r="P148" s="2144">
        <v>0</v>
      </c>
      <c r="Q148" s="2144">
        <f t="shared" ref="Q148:Q162" si="57">SUM(K148:P148)</f>
        <v>819298.55</v>
      </c>
      <c r="S148" s="2144">
        <f t="shared" ref="S148:S162" si="58">Q148-H148</f>
        <v>-15000</v>
      </c>
      <c r="U148" s="2144">
        <f>+'Schedule H Medtel'!U37</f>
        <v>819298.55</v>
      </c>
      <c r="V148" s="2144">
        <f>Q148-U148</f>
        <v>0</v>
      </c>
      <c r="X148" s="2144">
        <v>819298.55</v>
      </c>
      <c r="Y148" s="2144">
        <f>Q148-X148</f>
        <v>0</v>
      </c>
      <c r="Z148" s="181">
        <f>H148-Q148</f>
        <v>15000</v>
      </c>
      <c r="AA148" s="182">
        <f>(Q148-H148)+Z148</f>
        <v>0</v>
      </c>
      <c r="AC148" s="2499">
        <v>12666084.309999997</v>
      </c>
      <c r="AD148" s="2500">
        <f>AC148-K148</f>
        <v>11846785.759999996</v>
      </c>
      <c r="AE148" s="2145"/>
      <c r="AF148" s="628" t="s">
        <v>498</v>
      </c>
      <c r="AG148" s="538" t="s">
        <v>499</v>
      </c>
      <c r="AH148" s="538" t="s">
        <v>500</v>
      </c>
      <c r="AI148" s="538" t="s">
        <v>501</v>
      </c>
      <c r="AJ148" s="538" t="s">
        <v>501</v>
      </c>
    </row>
    <row r="149" spans="1:36" ht="26.25" customHeight="1" outlineLevel="2">
      <c r="A149" s="2139" t="s">
        <v>514</v>
      </c>
      <c r="B149" s="2140" t="s">
        <v>2237</v>
      </c>
      <c r="C149" s="2141" t="s">
        <v>2258</v>
      </c>
      <c r="D149" s="2142"/>
      <c r="E149" s="2143">
        <f>2210880*0</f>
        <v>0</v>
      </c>
      <c r="F149" s="2996">
        <f>+'Schedule J'!I74</f>
        <v>2675473</v>
      </c>
      <c r="H149" s="2144">
        <f>E149+F149</f>
        <v>2675473</v>
      </c>
      <c r="I149" s="2144">
        <f>SUMIFS('Schedule C'!$AZ$21:$AZ$500,'Schedule C'!$M$21:$M$500,'Schedule B'!$B149,'Schedule C'!$AY$21:$AY$500,"ACTIVE",'Schedule C'!$AF$21:$AF$500,"ACTIVE",'Schedule C'!$X$21:$X$500,"ACTIVE")</f>
        <v>98073</v>
      </c>
      <c r="J149" s="2144"/>
      <c r="K149" s="2144">
        <f t="shared" si="56"/>
        <v>2773546</v>
      </c>
      <c r="M149" s="2144">
        <f>SUMIFS('Schedule C'!$AG$21:$AG$500,'Schedule C'!$M$21:$M$500,'Schedule B'!$B149,'Schedule C'!$AY$21:$AY$500,"NOT ACTIVE",'Schedule C'!$AF$21:$AF$500,"ACTIVE",'Schedule C'!$X$21:$X$500,"ACTIVE")</f>
        <v>765046.05</v>
      </c>
      <c r="N149" s="2144">
        <f>SUMIFS('Schedule C'!$Y$21:$Y$500,'Schedule C'!$M$21:$M$500,'Schedule B'!$B149,'Schedule C'!$AY$21:$AY$500,"NOT ACTIVE",'Schedule C'!$AF$21:$AF$500,"NOT ACTIVE",'Schedule C'!$X$21:$X$500,"ACTIVE")</f>
        <v>-200000</v>
      </c>
      <c r="O149" s="2144">
        <f>SUMIF('Schedule C'!$M$21:$M$500,'Schedule B'!B149,'Schedule C'!$Q$21:$Q$500)</f>
        <v>-15675</v>
      </c>
      <c r="P149" s="2144">
        <v>0</v>
      </c>
      <c r="Q149" s="2144">
        <f t="shared" si="57"/>
        <v>3322917.05</v>
      </c>
      <c r="S149" s="2144">
        <f t="shared" si="58"/>
        <v>647444.04999999981</v>
      </c>
      <c r="U149" s="2144">
        <f>+'Schedule H ESCCO'!V37</f>
        <v>1982337.6639999999</v>
      </c>
      <c r="V149" s="2144">
        <f>Q149-U149</f>
        <v>1340579.3859999999</v>
      </c>
      <c r="X149" s="2144">
        <v>3322917.05</v>
      </c>
      <c r="Y149" s="2144">
        <f>Q149-X149</f>
        <v>0</v>
      </c>
      <c r="Z149" s="181">
        <f>H149-Q149</f>
        <v>-647444.04999999981</v>
      </c>
      <c r="AA149" s="182">
        <f>(Q149-H149)+Z149</f>
        <v>0</v>
      </c>
      <c r="AC149" s="2499"/>
      <c r="AD149" s="2500"/>
      <c r="AE149" s="2145"/>
      <c r="AF149" s="629" t="e">
        <f>SUMIF(#REF!,'Schedule B'!C149,#REF!)</f>
        <v>#REF!</v>
      </c>
      <c r="AG149" s="539"/>
      <c r="AH149" s="539" t="e">
        <f>AF149-#REF!</f>
        <v>#REF!</v>
      </c>
      <c r="AI149" s="539" t="e">
        <f>AF149-Q149</f>
        <v>#REF!</v>
      </c>
      <c r="AJ149" s="539" t="e">
        <f>N149-AH149</f>
        <v>#REF!</v>
      </c>
    </row>
    <row r="150" spans="1:36" ht="26.25" customHeight="1">
      <c r="A150" s="2139" t="s">
        <v>2001</v>
      </c>
      <c r="B150" s="2140" t="s">
        <v>189</v>
      </c>
      <c r="C150" s="2141" t="s">
        <v>2263</v>
      </c>
      <c r="D150" s="2141"/>
      <c r="E150" s="2143">
        <f>5907720*0</f>
        <v>0</v>
      </c>
      <c r="F150" s="2996">
        <f>+'Schedule J'!I75</f>
        <v>4695209</v>
      </c>
      <c r="H150" s="2144">
        <f>E150+F150</f>
        <v>4695209</v>
      </c>
      <c r="I150" s="2144">
        <f>SUMIFS('Schedule C'!$AZ$21:$AZ$500,'Schedule C'!$M$21:$M$500,'Schedule B'!$B150,'Schedule C'!$AY$21:$AY$500,"ACTIVE",'Schedule C'!$AF$21:$AF$500,"ACTIVE",'Schedule C'!$X$21:$X$500,"ACTIVE")</f>
        <v>10143</v>
      </c>
      <c r="J150" s="2144"/>
      <c r="K150" s="2144">
        <f t="shared" si="56"/>
        <v>4705352</v>
      </c>
      <c r="M150" s="2144">
        <f>SUMIFS('Schedule C'!$AG$21:$AG$500,'Schedule C'!$M$21:$M$500,'Schedule B'!$B150,'Schedule C'!$AY$21:$AY$500,"NOT ACTIVE",'Schedule C'!$AF$21:$AF$500,"ACTIVE",'Schedule C'!$X$21:$X$500,"ACTIVE")</f>
        <v>0</v>
      </c>
      <c r="N150" s="2144">
        <f>SUMIFS('Schedule C'!$Y$21:$Y$500,'Schedule C'!$M$21:$M$500,'Schedule B'!$B150,'Schedule C'!$AY$21:$AY$500,"NOT ACTIVE",'Schedule C'!$AF$21:$AF$500,"NOT ACTIVE",'Schedule C'!$X$21:$X$500,"ACTIVE")</f>
        <v>1109644.6000000001</v>
      </c>
      <c r="O150" s="2144">
        <f>SUMIF('Schedule C'!$M$21:$M$500,'Schedule B'!B150,'Schedule C'!$Q$21:$Q$500)</f>
        <v>255601.85</v>
      </c>
      <c r="P150" s="2144">
        <v>0</v>
      </c>
      <c r="Q150" s="2144">
        <f t="shared" si="57"/>
        <v>6070598.4499999993</v>
      </c>
      <c r="S150" s="2144">
        <f t="shared" si="58"/>
        <v>1375389.4499999993</v>
      </c>
      <c r="U150" s="2144">
        <f>+'Schedule H RAQTAN'!V37</f>
        <v>3837547.3000000003</v>
      </c>
      <c r="V150" s="2144">
        <f>Q150-U150</f>
        <v>2233051.149999999</v>
      </c>
      <c r="X150" s="2144">
        <v>6070598.4499999993</v>
      </c>
      <c r="Y150" s="2144">
        <f>Q150-X150</f>
        <v>0</v>
      </c>
      <c r="Z150" s="181"/>
      <c r="AA150" s="182"/>
      <c r="AC150" s="2499"/>
      <c r="AD150" s="2500"/>
      <c r="AE150" s="2145"/>
    </row>
    <row r="151" spans="1:36" ht="26.25" customHeight="1" outlineLevel="2">
      <c r="A151" s="2139" t="s">
        <v>2539</v>
      </c>
      <c r="B151" s="2140" t="s">
        <v>3930</v>
      </c>
      <c r="C151" s="2141" t="s">
        <v>2540</v>
      </c>
      <c r="D151" s="2142"/>
      <c r="E151" s="2143">
        <v>0</v>
      </c>
      <c r="F151" s="2996">
        <f>+'Schedule J'!I90</f>
        <v>75969227</v>
      </c>
      <c r="H151" s="2144">
        <f>E151+F151</f>
        <v>75969227</v>
      </c>
      <c r="I151" s="2144">
        <f>SUMIFS('Schedule C'!$AZ$21:$AZ$500,'Schedule C'!$M$21:$M$500,'Schedule B'!$B151,'Schedule C'!$AY$21:$AY$500,"ACTIVE",'Schedule C'!$AF$21:$AF$500,"ACTIVE",'Schedule C'!$X$21:$X$500,"ACTIVE")</f>
        <v>2312919.1399999997</v>
      </c>
      <c r="J151" s="4083">
        <f>+'Schedule C'!AG142+'Schedule C'!AG181+'Schedule C'!AG265+'Schedule C'!AG288+'Schedule C'!AG320</f>
        <v>1928436.11</v>
      </c>
      <c r="K151" s="2144">
        <f t="shared" si="56"/>
        <v>80210582.25</v>
      </c>
      <c r="L151" s="2144"/>
      <c r="M151" s="4083">
        <f>SUMIFS('Schedule C'!$AG$21:$AG$500,'Schedule C'!$M$21:$M$500,'Schedule B'!$B151,'Schedule C'!$AY$21:$AY$500,"NOT ACTIVE",'Schedule C'!$AF$21:$AF$500,"ACTIVE",'Schedule C'!$X$21:$X$500,"ACTIVE")-J151</f>
        <v>-842054.38000000012</v>
      </c>
      <c r="N151" s="2144">
        <f>SUMIFS('Schedule C'!$Y$21:$Y$500,'Schedule C'!$M$21:$M$500,'Schedule B'!$B151,'Schedule C'!$AY$21:$AY$500,"NOT ACTIVE",'Schedule C'!$AF$21:$AF$500,"NOT ACTIVE",'Schedule C'!$X$21:$X$500,"ACTIVE")</f>
        <v>1569206.6400000001</v>
      </c>
      <c r="O151" s="2144">
        <f>SUMIF('Schedule C'!$M$21:$M$500,'Schedule B'!B151,'Schedule C'!$Q$21:$Q$500)</f>
        <v>11185165.779999999</v>
      </c>
      <c r="P151" s="2144">
        <v>0</v>
      </c>
      <c r="Q151" s="2144">
        <f t="shared" si="57"/>
        <v>92122900.290000007</v>
      </c>
      <c r="S151" s="2144">
        <f t="shared" si="58"/>
        <v>16153673.290000007</v>
      </c>
      <c r="U151" s="2144">
        <f>+'Schedule H DEPA'!U39</f>
        <v>65072967.466499999</v>
      </c>
      <c r="V151" s="2144">
        <f>Q151-U151</f>
        <v>27049932.823500007</v>
      </c>
      <c r="X151" s="2144">
        <v>90926439.040000007</v>
      </c>
      <c r="Y151" s="2144">
        <f>Q151-X151</f>
        <v>1196461.25</v>
      </c>
      <c r="Z151" s="181">
        <f>H151-Q151</f>
        <v>-16153673.290000007</v>
      </c>
      <c r="AA151" s="182">
        <f>(Q151-H151)+Z151</f>
        <v>0</v>
      </c>
      <c r="AB151" s="164">
        <f>+AB156+Y156</f>
        <v>7622348.7768085189</v>
      </c>
      <c r="AC151" s="2499"/>
      <c r="AD151" s="2500"/>
      <c r="AE151" s="2145"/>
      <c r="AF151" s="629" t="e">
        <f>SUMIF(#REF!,'Schedule B'!C151,#REF!)</f>
        <v>#REF!</v>
      </c>
      <c r="AG151" s="539"/>
      <c r="AH151" s="539" t="e">
        <f>AF151-#REF!</f>
        <v>#REF!</v>
      </c>
      <c r="AI151" s="539" t="e">
        <f>AF151-Q151</f>
        <v>#REF!</v>
      </c>
      <c r="AJ151" s="539" t="e">
        <f>N151-AH151</f>
        <v>#REF!</v>
      </c>
    </row>
    <row r="152" spans="1:36" ht="26.25" customHeight="1" outlineLevel="2">
      <c r="A152" s="2139" t="s">
        <v>2718</v>
      </c>
      <c r="B152" s="2140" t="s">
        <v>2725</v>
      </c>
      <c r="C152" s="2141" t="s">
        <v>2726</v>
      </c>
      <c r="D152" s="2142"/>
      <c r="E152" s="2143">
        <v>0</v>
      </c>
      <c r="F152" s="2996">
        <f>+'Schedule J'!I100</f>
        <v>29899670.550000001</v>
      </c>
      <c r="H152" s="2144">
        <f>E152+F152</f>
        <v>29899670.550000001</v>
      </c>
      <c r="I152" s="2144">
        <f>SUMIFS('Schedule C'!$AZ$21:$AZ$500,'Schedule C'!$M$21:$M$500,'Schedule B'!$B152,'Schedule C'!$AY$21:$AY$500,"ACTIVE",'Schedule C'!$AF$21:$AF$500,"ACTIVE",'Schedule C'!$X$21:$X$500,"ACTIVE")</f>
        <v>574831.03</v>
      </c>
      <c r="J152" s="4083"/>
      <c r="K152" s="2144">
        <f t="shared" si="56"/>
        <v>30474501.580000002</v>
      </c>
      <c r="L152" s="2144"/>
      <c r="M152" s="4083">
        <f>SUMIFS('Schedule C'!$AG$21:$AG$500,'Schedule C'!$M$21:$M$500,'Schedule B'!$B152,'Schedule C'!$AY$21:$AY$500,"NOT ACTIVE",'Schedule C'!$AF$21:$AF$500,"ACTIVE",'Schedule C'!$X$21:$X$500,"ACTIVE")-J152</f>
        <v>-112821</v>
      </c>
      <c r="N152" s="2144">
        <f>SUMIFS('Schedule C'!$Y$21:$Y$500,'Schedule C'!$M$21:$M$500,'Schedule B'!$B152,'Schedule C'!$AY$21:$AY$500,"NOT ACTIVE",'Schedule C'!$AF$21:$AF$500,"NOT ACTIVE",'Schedule C'!$X$21:$X$500,"ACTIVE")</f>
        <v>158694</v>
      </c>
      <c r="O152" s="2144">
        <f>SUMIF('Schedule C'!$M$21:$M$500,'Schedule B'!B152,'Schedule C'!$Q$21:$Q$500)</f>
        <v>332640</v>
      </c>
      <c r="P152" s="2144">
        <v>0</v>
      </c>
      <c r="Q152" s="2144">
        <f t="shared" si="57"/>
        <v>30853014.580000002</v>
      </c>
      <c r="S152" s="2144">
        <f t="shared" si="58"/>
        <v>953344.03000000119</v>
      </c>
      <c r="U152" s="2144">
        <f>+'Schedule H ALUTEC'!U37</f>
        <v>29131817.318000004</v>
      </c>
      <c r="V152" s="2144">
        <f>Q152-U152</f>
        <v>1721197.2619999982</v>
      </c>
      <c r="X152" s="2144">
        <v>30853014.580000002</v>
      </c>
      <c r="Y152" s="2144">
        <f>Q152-X152</f>
        <v>0</v>
      </c>
      <c r="Z152" s="181">
        <f>H152-Q152</f>
        <v>-953344.03000000119</v>
      </c>
      <c r="AA152" s="182">
        <f>(Q152-H152)+Z152</f>
        <v>0</v>
      </c>
      <c r="AB152" s="164">
        <f>+AB169+Y169</f>
        <v>0</v>
      </c>
      <c r="AC152" s="2499"/>
      <c r="AD152" s="2500"/>
      <c r="AE152" s="2145"/>
      <c r="AF152" s="629" t="e">
        <f>SUMIF(#REF!,'Schedule B'!C152,#REF!)</f>
        <v>#REF!</v>
      </c>
      <c r="AG152" s="539"/>
      <c r="AH152" s="539" t="e">
        <f>AF152-#REF!</f>
        <v>#REF!</v>
      </c>
      <c r="AI152" s="539" t="e">
        <f>AF152-Q152</f>
        <v>#REF!</v>
      </c>
      <c r="AJ152" s="539" t="e">
        <f>N152-AH152</f>
        <v>#REF!</v>
      </c>
    </row>
    <row r="153" spans="1:36" s="3598" customFormat="1" ht="26.25" customHeight="1" outlineLevel="2">
      <c r="A153" s="2139" t="s">
        <v>3203</v>
      </c>
      <c r="B153" s="2140" t="s">
        <v>3204</v>
      </c>
      <c r="C153" s="2141" t="s">
        <v>3209</v>
      </c>
      <c r="D153" s="2142"/>
      <c r="E153" s="2144">
        <v>0</v>
      </c>
      <c r="F153" s="2996">
        <f>+'Schedule J'!I138</f>
        <v>4004000</v>
      </c>
      <c r="G153" s="164"/>
      <c r="H153" s="2144">
        <f t="shared" ref="H153:H158" si="59">E153+F153</f>
        <v>4004000</v>
      </c>
      <c r="I153" s="2144">
        <f>SUMIFS('Schedule C'!$AZ$21:$AZ$500,'Schedule C'!$M$21:$M$500,'Schedule B'!$B153,'Schedule C'!$AY$21:$AY$500,"ACTIVE",'Schedule C'!$AF$21:$AF$500,"ACTIVE",'Schedule C'!$X$21:$X$500,"ACTIVE")</f>
        <v>18356118</v>
      </c>
      <c r="J153" s="2144"/>
      <c r="K153" s="2144">
        <f t="shared" si="56"/>
        <v>22360118</v>
      </c>
      <c r="L153" s="2144"/>
      <c r="M153" s="4083">
        <f>SUMIFS('Schedule C'!$AG$21:$AG$500,'Schedule C'!$M$21:$M$500,'Schedule B'!$B153,'Schedule C'!$AY$21:$AY$500,"NOT ACTIVE",'Schedule C'!$AF$21:$AF$500,"ACTIVE",'Schedule C'!$X$21:$X$500,"ACTIVE")-J153</f>
        <v>160876.21</v>
      </c>
      <c r="N153" s="2144">
        <f>SUMIFS('Schedule C'!$Y$21:$Y$500,'Schedule C'!$M$21:$M$500,'Schedule B'!$B153,'Schedule C'!$AY$21:$AY$500,"NOT ACTIVE",'Schedule C'!$AF$21:$AF$500,"NOT ACTIVE",'Schedule C'!$X$21:$X$500,"ACTIVE")</f>
        <v>0</v>
      </c>
      <c r="O153" s="2144">
        <f>SUMIF('Schedule C'!$M$21:$M$500,'Schedule B'!B153,'Schedule C'!$Q$21:$Q$500)</f>
        <v>0</v>
      </c>
      <c r="P153" s="2144">
        <v>0</v>
      </c>
      <c r="Q153" s="2144">
        <f t="shared" si="57"/>
        <v>22520994.210000001</v>
      </c>
      <c r="R153" s="164"/>
      <c r="S153" s="2144">
        <f t="shared" si="58"/>
        <v>18516994.210000001</v>
      </c>
      <c r="T153" s="164"/>
      <c r="U153" s="2144">
        <f>'Schedule H MAS (Wet Works)'!U36</f>
        <v>22345856.210000001</v>
      </c>
      <c r="V153" s="2144">
        <f t="shared" ref="V153:V158" si="60">Q153-U153</f>
        <v>175138</v>
      </c>
      <c r="W153" s="164"/>
      <c r="X153" s="2144">
        <v>22520994.210000001</v>
      </c>
      <c r="Y153" s="2144">
        <f t="shared" ref="Y153:Y158" si="61">Q153-X153</f>
        <v>0</v>
      </c>
      <c r="Z153" s="3599">
        <f>H153-Q153</f>
        <v>-18516994.210000001</v>
      </c>
      <c r="AA153" s="3600">
        <f>(Q153-H153)+Z153</f>
        <v>0</v>
      </c>
      <c r="AB153" s="3598">
        <f>+AB171+Y171</f>
        <v>0</v>
      </c>
      <c r="AC153" s="3601"/>
      <c r="AD153" s="3602"/>
      <c r="AE153" s="3603"/>
      <c r="AF153" s="3604" t="e">
        <f>SUMIF(#REF!,'Schedule B'!C153,#REF!)</f>
        <v>#REF!</v>
      </c>
      <c r="AG153" s="3605"/>
      <c r="AH153" s="3605" t="e">
        <f>AF153-#REF!</f>
        <v>#REF!</v>
      </c>
      <c r="AI153" s="3605" t="e">
        <f>AF153-Q153</f>
        <v>#REF!</v>
      </c>
      <c r="AJ153" s="3605" t="e">
        <f>N153-AH153</f>
        <v>#REF!</v>
      </c>
    </row>
    <row r="154" spans="1:36" s="3598" customFormat="1" ht="26.25" customHeight="1" outlineLevel="2">
      <c r="A154" s="2139" t="s">
        <v>3210</v>
      </c>
      <c r="B154" s="2140" t="s">
        <v>3206</v>
      </c>
      <c r="C154" s="2141" t="s">
        <v>3211</v>
      </c>
      <c r="D154" s="2142"/>
      <c r="E154" s="2144">
        <v>0</v>
      </c>
      <c r="F154" s="2996">
        <f>+'Schedule J'!I145</f>
        <v>1078892.27</v>
      </c>
      <c r="G154" s="164"/>
      <c r="H154" s="2144">
        <f t="shared" si="59"/>
        <v>1078892.27</v>
      </c>
      <c r="I154" s="2144">
        <f>SUMIFS('Schedule C'!$AZ$21:$AZ$500,'Schedule C'!$M$21:$M$500,'Schedule B'!$B154,'Schedule C'!$AY$21:$AY$500,"ACTIVE",'Schedule C'!$AF$21:$AF$500,"ACTIVE",'Schedule C'!$X$21:$X$500,"ACTIVE")</f>
        <v>205658.08</v>
      </c>
      <c r="J154" s="2144"/>
      <c r="K154" s="2144">
        <f t="shared" si="56"/>
        <v>1284550.3500000001</v>
      </c>
      <c r="L154" s="2144"/>
      <c r="M154" s="2144">
        <f>SUMIFS('Schedule C'!$AG$21:$AG$500,'Schedule C'!$M$21:$M$500,'Schedule B'!$B154,'Schedule C'!$AY$21:$AY$500,"NOT ACTIVE",'Schedule C'!$AF$21:$AF$500,"ACTIVE",'Schedule C'!$X$21:$X$500,"ACTIVE")</f>
        <v>0</v>
      </c>
      <c r="N154" s="2144">
        <f>SUMIFS('Schedule C'!$Y$21:$Y$500,'Schedule C'!$M$21:$M$500,'Schedule B'!$B154,'Schedule C'!$AY$21:$AY$500,"NOT ACTIVE",'Schedule C'!$AF$21:$AF$500,"NOT ACTIVE",'Schedule C'!$X$21:$X$500,"ACTIVE")</f>
        <v>0</v>
      </c>
      <c r="O154" s="2144">
        <f>SUMIF('Schedule C'!$M$21:$M$500,'Schedule B'!B154,'Schedule C'!$Q$21:$Q$500)</f>
        <v>-9520</v>
      </c>
      <c r="P154" s="2144">
        <v>0</v>
      </c>
      <c r="Q154" s="2144">
        <f t="shared" si="57"/>
        <v>1275030.3500000001</v>
      </c>
      <c r="R154" s="164"/>
      <c r="S154" s="2144">
        <f t="shared" si="58"/>
        <v>196138.08000000007</v>
      </c>
      <c r="T154" s="164"/>
      <c r="U154" s="2144">
        <f>'Schedule H MAS (Amphitheatre)'!U37</f>
        <v>1211278.835</v>
      </c>
      <c r="V154" s="2144">
        <f t="shared" si="60"/>
        <v>63751.51500000013</v>
      </c>
      <c r="W154" s="164"/>
      <c r="X154" s="2144">
        <v>1275030.3500000001</v>
      </c>
      <c r="Y154" s="2144">
        <f t="shared" si="61"/>
        <v>0</v>
      </c>
      <c r="Z154" s="3599"/>
      <c r="AA154" s="3600"/>
      <c r="AC154" s="3601"/>
      <c r="AD154" s="3602"/>
      <c r="AE154" s="3603"/>
      <c r="AF154" s="3604"/>
      <c r="AG154" s="3605"/>
      <c r="AH154" s="3605"/>
      <c r="AI154" s="3605"/>
      <c r="AJ154" s="3605"/>
    </row>
    <row r="155" spans="1:36" ht="26.25" customHeight="1" outlineLevel="2">
      <c r="A155" s="3874" t="s">
        <v>3384</v>
      </c>
      <c r="B155" s="2140" t="s">
        <v>3205</v>
      </c>
      <c r="C155" s="2141" t="s">
        <v>3205</v>
      </c>
      <c r="D155" s="2142"/>
      <c r="E155" s="2143">
        <v>0</v>
      </c>
      <c r="F155" s="2996">
        <f>+'Schedule J'!I154</f>
        <v>23125000</v>
      </c>
      <c r="H155" s="2144">
        <f t="shared" si="59"/>
        <v>23125000</v>
      </c>
      <c r="I155" s="2144">
        <f>SUMIFS('Schedule C'!$AZ$21:$AZ$500,'Schedule C'!$M$21:$M$500,'Schedule B'!$B155,'Schedule C'!$AY$21:$AY$500,"ACTIVE",'Schedule C'!$AF$21:$AF$500,"ACTIVE",'Schedule C'!$X$21:$X$500,"ACTIVE")</f>
        <v>71435593.229999989</v>
      </c>
      <c r="J155" s="4083">
        <f>+'Schedule C'!AG287</f>
        <v>65000</v>
      </c>
      <c r="K155" s="2144">
        <f t="shared" si="56"/>
        <v>94625593.229999989</v>
      </c>
      <c r="L155" s="2144"/>
      <c r="M155" s="4083">
        <f>SUMIFS('Schedule C'!$AG$21:$AG$500,'Schedule C'!$M$21:$M$500,'Schedule B'!$B155,'Schedule C'!$AY$21:$AY$500,"NOT ACTIVE",'Schedule C'!$AF$21:$AF$500,"ACTIVE",'Schedule C'!$X$21:$X$500,"ACTIVE")-J155</f>
        <v>786453.46</v>
      </c>
      <c r="N155" s="2144">
        <f>SUMIFS('Schedule C'!$Y$21:$Y$500,'Schedule C'!$M$21:$M$500,'Schedule B'!$B155,'Schedule C'!$AY$21:$AY$500,"NOT ACTIVE",'Schedule C'!$AF$21:$AF$500,"NOT ACTIVE",'Schedule C'!$X$21:$X$500,"ACTIVE")</f>
        <v>0</v>
      </c>
      <c r="O155" s="2144">
        <f>SUMIF('Schedule C'!$M$21:$M$500,'Schedule B'!B155,'Schedule C'!$Q$21:$Q$500)</f>
        <v>128285</v>
      </c>
      <c r="P155" s="2144">
        <v>0</v>
      </c>
      <c r="Q155" s="2144">
        <f t="shared" si="57"/>
        <v>95540331.689999983</v>
      </c>
      <c r="S155" s="2144">
        <f t="shared" si="58"/>
        <v>72415331.689999983</v>
      </c>
      <c r="U155" s="2144">
        <f>+'Schedule H AL FANAR'!R37</f>
        <v>92352575.089999989</v>
      </c>
      <c r="V155" s="2144">
        <f t="shared" si="60"/>
        <v>3187756.599999994</v>
      </c>
      <c r="X155" s="2144">
        <v>95540331.689999983</v>
      </c>
      <c r="Y155" s="2144">
        <f t="shared" si="61"/>
        <v>0</v>
      </c>
      <c r="Z155" s="181"/>
      <c r="AA155" s="182"/>
      <c r="AC155" s="2499"/>
      <c r="AD155" s="2500"/>
      <c r="AE155" s="2145"/>
      <c r="AF155" s="629"/>
      <c r="AG155" s="539"/>
      <c r="AH155" s="539"/>
      <c r="AI155" s="539"/>
      <c r="AJ155" s="539"/>
    </row>
    <row r="156" spans="1:36" ht="26.25" hidden="1" customHeight="1" outlineLevel="2">
      <c r="A156" s="2139" t="s">
        <v>2715</v>
      </c>
      <c r="B156" s="2140" t="s">
        <v>183</v>
      </c>
      <c r="C156" s="2141" t="s">
        <v>183</v>
      </c>
      <c r="D156" s="2142"/>
      <c r="E156" s="2143">
        <f>13682040*0</f>
        <v>0</v>
      </c>
      <c r="F156" s="2996">
        <f>+' Schedule J SS'!G85+' Schedule J SS'!F109+' Schedule J SS'!G114+' Schedule J SS'!F117</f>
        <v>0</v>
      </c>
      <c r="H156" s="2144">
        <f t="shared" si="59"/>
        <v>0</v>
      </c>
      <c r="I156" s="2144">
        <f>SUMIFS('Schedule C'!$AZ$21:$AZ$500,'Schedule C'!$M$21:$M$500,'Schedule B'!$B156,'Schedule C'!$AY$21:$AY$500,"ACTIVE",'Schedule C'!$AF$21:$AF$500,"ACTIVE",'Schedule C'!$X$21:$X$500,"ACTIVE")</f>
        <v>0</v>
      </c>
      <c r="J156" s="2144"/>
      <c r="K156" s="2144">
        <f t="shared" si="56"/>
        <v>0</v>
      </c>
      <c r="M156" s="2144">
        <f>SUMIFS('Schedule C'!$AG$21:$AG$313,'Schedule C'!$M$21:$M$313,'Schedule B'!$B156,'Schedule C'!$AY$21:$AY$313,"NOT ACTIVE",'Schedule C'!$AF$21:$AF$313,"ACTIVE",'Schedule C'!$X$21:$X$313,"ACTIVE")</f>
        <v>0</v>
      </c>
      <c r="N156" s="2144">
        <f>SUMIFS('Schedule C'!$Y$21:$Y$500,'Schedule C'!$M$21:$M$500,'Schedule B'!$B156,'Schedule C'!$AY$21:$AY$500,"NOT ACTIVE",'Schedule C'!$AF$21:$AF$500,"NOT ACTIVE",'Schedule C'!$X$21:$X$500,"ACTIVE")</f>
        <v>0</v>
      </c>
      <c r="O156" s="2144">
        <f>SUMIF('Schedule C'!$M$21:$M$500,'Schedule B'!B156,'Schedule C'!$Q$21:$Q$500)</f>
        <v>0</v>
      </c>
      <c r="P156" s="2144">
        <v>0</v>
      </c>
      <c r="Q156" s="2144">
        <f t="shared" si="57"/>
        <v>0</v>
      </c>
      <c r="S156" s="2144">
        <f t="shared" si="58"/>
        <v>0</v>
      </c>
      <c r="U156" s="2144"/>
      <c r="V156" s="2144">
        <f t="shared" si="60"/>
        <v>0</v>
      </c>
      <c r="X156" s="2144">
        <v>0</v>
      </c>
      <c r="Y156" s="2144">
        <f t="shared" si="61"/>
        <v>0</v>
      </c>
      <c r="Z156" s="181">
        <f>H156-Q156</f>
        <v>0</v>
      </c>
      <c r="AA156" s="182">
        <f>(Q156-H156)+Z156</f>
        <v>0</v>
      </c>
      <c r="AB156" s="164">
        <v>7622348.7768085189</v>
      </c>
      <c r="AC156" s="2499"/>
      <c r="AD156" s="2500"/>
      <c r="AE156" s="2145"/>
      <c r="AF156" s="629" t="e">
        <f>SUMIF(#REF!,'Schedule B'!C156,#REF!)</f>
        <v>#REF!</v>
      </c>
      <c r="AG156" s="539"/>
      <c r="AH156" s="539" t="e">
        <f>AF156-#REF!</f>
        <v>#REF!</v>
      </c>
      <c r="AI156" s="539" t="e">
        <f>AF156-Q156</f>
        <v>#REF!</v>
      </c>
      <c r="AJ156" s="539" t="e">
        <f>N156-AH156</f>
        <v>#REF!</v>
      </c>
    </row>
    <row r="157" spans="1:36" ht="26.25" customHeight="1" outlineLevel="2">
      <c r="A157" s="3874" t="s">
        <v>3384</v>
      </c>
      <c r="B157" s="2140" t="s">
        <v>3217</v>
      </c>
      <c r="C157" s="4513" t="s">
        <v>3217</v>
      </c>
      <c r="D157" s="2142"/>
      <c r="E157" s="2143">
        <v>0</v>
      </c>
      <c r="F157" s="2996">
        <f>+'Schedule J'!I160</f>
        <v>7129950</v>
      </c>
      <c r="H157" s="2144">
        <f t="shared" si="59"/>
        <v>7129950</v>
      </c>
      <c r="I157" s="2144">
        <f>SUMIFS('Schedule C'!$AZ$21:$AZ$500,'Schedule C'!$M$21:$M$500,'Schedule B'!$B157,'Schedule C'!$AY$21:$AY$500,"ACTIVE",'Schedule C'!$AF$21:$AF$500,"ACTIVE",'Schedule C'!$X$21:$X$500,"ACTIVE")</f>
        <v>67078.55</v>
      </c>
      <c r="J157" s="2144"/>
      <c r="K157" s="2144">
        <f t="shared" si="56"/>
        <v>7197028.5499999998</v>
      </c>
      <c r="L157" s="2144"/>
      <c r="M157" s="2144">
        <f>SUMIFS('Schedule C'!$AG$21:$AG$500,'Schedule C'!$M$21:$M$500,'Schedule B'!$B157,'Schedule C'!$AY$21:$AY$500,"NOT ACTIVE",'Schedule C'!$AF$21:$AF$500,"ACTIVE",'Schedule C'!$X$21:$X$500,"ACTIVE")</f>
        <v>0</v>
      </c>
      <c r="N157" s="2144">
        <f>SUMIFS('Schedule C'!$Y$21:$Y$500,'Schedule C'!$M$21:$M$500,'Schedule B'!$B157,'Schedule C'!$AY$21:$AY$500,"NOT ACTIVE",'Schedule C'!$AF$21:$AF$500,"NOT ACTIVE",'Schedule C'!$X$21:$X$500,"ACTIVE")</f>
        <v>0</v>
      </c>
      <c r="O157" s="2144">
        <f>SUMIF('Schedule C'!$M$21:$M$500,'Schedule B'!B157,'Schedule C'!$Q$21:$Q$500)</f>
        <v>0</v>
      </c>
      <c r="P157" s="2144">
        <v>0</v>
      </c>
      <c r="Q157" s="2144">
        <f t="shared" si="57"/>
        <v>7197028.5499999998</v>
      </c>
      <c r="S157" s="2144">
        <f t="shared" si="58"/>
        <v>67078.549999999814</v>
      </c>
      <c r="U157" s="2144">
        <f>+'Schedule H ARMETAL'!U37</f>
        <v>6633442.8204999994</v>
      </c>
      <c r="V157" s="2144">
        <f t="shared" si="60"/>
        <v>563585.72950000037</v>
      </c>
      <c r="X157" s="2144">
        <v>7197028.5499999998</v>
      </c>
      <c r="Y157" s="2144">
        <f t="shared" si="61"/>
        <v>0</v>
      </c>
      <c r="Z157" s="181">
        <f>H157-Q157</f>
        <v>-67078.549999999814</v>
      </c>
      <c r="AA157" s="182">
        <f>(Q157-H157)+Z157</f>
        <v>0</v>
      </c>
      <c r="AB157" s="164">
        <f>+AB173+Y173</f>
        <v>0</v>
      </c>
      <c r="AC157" s="2499"/>
      <c r="AD157" s="2500"/>
      <c r="AE157" s="2145"/>
      <c r="AF157" s="629" t="e">
        <f>SUMIF(#REF!,'Schedule B'!C157,#REF!)</f>
        <v>#REF!</v>
      </c>
      <c r="AG157" s="539"/>
      <c r="AH157" s="539" t="e">
        <f>AF157-#REF!</f>
        <v>#REF!</v>
      </c>
      <c r="AI157" s="539" t="e">
        <f>AF157-Q157</f>
        <v>#REF!</v>
      </c>
      <c r="AJ157" s="539" t="e">
        <f t="shared" ref="AJ157:AJ174" si="62">N157-AH157</f>
        <v>#REF!</v>
      </c>
    </row>
    <row r="158" spans="1:36" ht="33.75" customHeight="1" outlineLevel="2">
      <c r="A158" s="3874" t="s">
        <v>3384</v>
      </c>
      <c r="B158" s="5021" t="s">
        <v>3608</v>
      </c>
      <c r="C158" s="4002" t="s">
        <v>3608</v>
      </c>
      <c r="D158" s="2142"/>
      <c r="E158" s="2143">
        <v>0</v>
      </c>
      <c r="F158" s="2996">
        <f>+'Schedule J'!I157+'Schedule J'!I273+'Schedule J'!I565</f>
        <v>89047.06</v>
      </c>
      <c r="H158" s="2144">
        <f t="shared" si="59"/>
        <v>89047.06</v>
      </c>
      <c r="I158" s="2144">
        <f>SUMIFS('Schedule C'!$AZ$21:$AZ$500,'Schedule C'!$M$21:$M$500,'Schedule B'!$B158,'Schedule C'!$AY$21:$AY$500,"ACTIVE",'Schedule C'!$AF$21:$AF$500,"ACTIVE",'Schedule C'!$X$21:$X$500,"ACTIVE")</f>
        <v>0</v>
      </c>
      <c r="J158" s="2144"/>
      <c r="K158" s="2144">
        <f t="shared" si="56"/>
        <v>89047.06</v>
      </c>
      <c r="L158" s="2144"/>
      <c r="M158" s="2144">
        <f>SUMIFS('Schedule C'!$AG$21:$AG$500,'Schedule C'!$M$21:$M$500,'Schedule B'!$B158,'Schedule C'!$AY$21:$AY$500,"NOT ACTIVE",'Schedule C'!$AF$21:$AF$500,"ACTIVE",'Schedule C'!$X$21:$X$500,"ACTIVE")</f>
        <v>0</v>
      </c>
      <c r="N158" s="2144">
        <f>SUMIFS('Schedule C'!$Y$21:$Y$500,'Schedule C'!$M$21:$M$500,'Schedule B'!$B158,'Schedule C'!$AY$21:$AY$500,"NOT ACTIVE",'Schedule C'!$AF$21:$AF$500,"NOT ACTIVE",'Schedule C'!$X$21:$X$500,"ACTIVE")</f>
        <v>0</v>
      </c>
      <c r="O158" s="2144">
        <f>SUMIF('Schedule C'!$M$21:$M$500,'Schedule B'!B158,'Schedule C'!$Q$21:$Q$500)</f>
        <v>0</v>
      </c>
      <c r="P158" s="2144">
        <v>0</v>
      </c>
      <c r="Q158" s="2144">
        <f t="shared" si="57"/>
        <v>89047.06</v>
      </c>
      <c r="S158" s="2144">
        <f t="shared" si="58"/>
        <v>0</v>
      </c>
      <c r="U158" s="2144"/>
      <c r="V158" s="2144">
        <f t="shared" si="60"/>
        <v>89047.06</v>
      </c>
      <c r="X158" s="2144">
        <v>89047.06</v>
      </c>
      <c r="Y158" s="2144">
        <f t="shared" si="61"/>
        <v>0</v>
      </c>
      <c r="Z158" s="181"/>
      <c r="AA158" s="182"/>
      <c r="AC158" s="2499"/>
      <c r="AD158" s="2500"/>
      <c r="AE158" s="2145"/>
      <c r="AF158" s="629"/>
      <c r="AG158" s="539"/>
      <c r="AH158" s="539"/>
      <c r="AI158" s="539"/>
      <c r="AJ158" s="539"/>
    </row>
    <row r="159" spans="1:36" ht="35.25" customHeight="1" outlineLevel="2">
      <c r="A159" s="4078" t="s">
        <v>3939</v>
      </c>
      <c r="B159" s="4003" t="s">
        <v>3599</v>
      </c>
      <c r="C159" s="4002" t="s">
        <v>3599</v>
      </c>
      <c r="D159" s="2142"/>
      <c r="E159" s="2143">
        <v>0</v>
      </c>
      <c r="F159" s="2996">
        <f>+'Schedule J'!I165+'Schedule J'!H223</f>
        <v>0</v>
      </c>
      <c r="H159" s="2144">
        <f t="shared" ref="H159:H164" si="63">E159+F159</f>
        <v>0</v>
      </c>
      <c r="I159" s="2144">
        <f>SUMIFS('Schedule C'!$AZ$21:$AZ$500,'Schedule C'!$M$21:$M$500,'Schedule B'!$B159,'Schedule C'!$AY$21:$AY$500,"ACTIVE",'Schedule C'!$AF$21:$AF$500,"ACTIVE",'Schedule C'!$X$21:$X$500,"ACTIVE")</f>
        <v>0</v>
      </c>
      <c r="J159" s="2144"/>
      <c r="K159" s="2144">
        <f t="shared" si="56"/>
        <v>0</v>
      </c>
      <c r="L159" s="2144"/>
      <c r="M159" s="2144">
        <f>SUMIFS('Schedule C'!$AG$21:$AG$500,'Schedule C'!$M$21:$M$500,'Schedule B'!$B159,'Schedule C'!$AY$21:$AY$500,"NOT ACTIVE",'Schedule C'!$AF$21:$AF$500,"ACTIVE",'Schedule C'!$X$21:$X$500,"ACTIVE")</f>
        <v>0</v>
      </c>
      <c r="N159" s="2144">
        <f>SUMIFS('Schedule C'!$Y$21:$Y$500,'Schedule C'!$M$21:$M$500,'Schedule B'!$B159,'Schedule C'!$AY$21:$AY$500,"NOT ACTIVE",'Schedule C'!$AF$21:$AF$500,"NOT ACTIVE",'Schedule C'!$X$21:$X$500,"ACTIVE")</f>
        <v>0</v>
      </c>
      <c r="O159" s="2144">
        <f>SUMIF('Schedule C'!$M$21:$M$500,'Schedule B'!B159,'Schedule C'!$Q$21:$Q$500)</f>
        <v>0</v>
      </c>
      <c r="P159" s="2144">
        <v>0</v>
      </c>
      <c r="Q159" s="2144">
        <f t="shared" si="57"/>
        <v>0</v>
      </c>
      <c r="S159" s="2144">
        <f t="shared" si="58"/>
        <v>0</v>
      </c>
      <c r="U159" s="2144"/>
      <c r="V159" s="2144">
        <f t="shared" ref="V159:V164" si="64">Q159-U159</f>
        <v>0</v>
      </c>
      <c r="X159" s="2144">
        <v>0</v>
      </c>
      <c r="Y159" s="2144">
        <f t="shared" ref="Y159:Y164" si="65">Q159-X159</f>
        <v>0</v>
      </c>
      <c r="Z159" s="181">
        <f>H159-Q159</f>
        <v>0</v>
      </c>
      <c r="AA159" s="182">
        <f>(Q159-H159)+Z159</f>
        <v>0</v>
      </c>
      <c r="AB159" s="164">
        <f>+AB174+Y174</f>
        <v>0</v>
      </c>
      <c r="AC159" s="2499"/>
      <c r="AD159" s="2500"/>
      <c r="AE159" s="2145"/>
      <c r="AF159" s="629" t="e">
        <f>SUMIF(#REF!,'Schedule B'!C159,#REF!)</f>
        <v>#REF!</v>
      </c>
      <c r="AG159" s="539"/>
      <c r="AH159" s="539" t="e">
        <f>AF159-#REF!</f>
        <v>#REF!</v>
      </c>
      <c r="AI159" s="539" t="e">
        <f>AF159-Q159</f>
        <v>#REF!</v>
      </c>
      <c r="AJ159" s="539" t="e">
        <f>N159-AH159</f>
        <v>#REF!</v>
      </c>
    </row>
    <row r="160" spans="1:36" ht="35.25" customHeight="1" outlineLevel="2">
      <c r="A160" s="4078" t="s">
        <v>3939</v>
      </c>
      <c r="B160" s="4003" t="s">
        <v>3715</v>
      </c>
      <c r="C160" s="4067" t="s">
        <v>3714</v>
      </c>
      <c r="D160" s="2142"/>
      <c r="E160" s="2143">
        <v>0</v>
      </c>
      <c r="F160" s="2532">
        <f>+'Schedule J'!I185</f>
        <v>3096124.9</v>
      </c>
      <c r="H160" s="2144">
        <f t="shared" si="63"/>
        <v>3096124.9</v>
      </c>
      <c r="I160" s="2144">
        <f>SUMIFS('Schedule C'!$AZ$21:$AZ$500,'Schedule C'!$M$21:$M$500,'Schedule B'!$B160,'Schedule C'!$AY$21:$AY$500,"ACTIVE",'Schedule C'!$AF$21:$AF$500,"ACTIVE",'Schedule C'!$X$21:$X$500,"ACTIVE")</f>
        <v>0</v>
      </c>
      <c r="J160" s="2144"/>
      <c r="K160" s="2144">
        <f t="shared" ref="K160:K165" si="66">SUM(H160:I160)</f>
        <v>3096124.9</v>
      </c>
      <c r="L160" s="2144"/>
      <c r="M160" s="2144">
        <f>SUMIFS('Schedule C'!$AG$21:$AG$500,'Schedule C'!$M$21:$M$500,'Schedule B'!$B160,'Schedule C'!$AY$21:$AY$500,"NOT ACTIVE",'Schedule C'!$AF$21:$AF$500,"ACTIVE",'Schedule C'!$X$21:$X$500,"ACTIVE")</f>
        <v>0</v>
      </c>
      <c r="N160" s="2144">
        <f>SUMIFS('Schedule C'!$Y$21:$Y$500,'Schedule C'!$M$21:$M$500,'Schedule B'!$B160,'Schedule C'!$AY$21:$AY$500,"NOT ACTIVE",'Schedule C'!$AF$21:$AF$500,"NOT ACTIVE",'Schedule C'!$X$21:$X$500,"ACTIVE")</f>
        <v>0</v>
      </c>
      <c r="O160" s="2144">
        <f>SUMIF('Schedule C'!$M$21:$M$500,'Schedule B'!B160,'Schedule C'!$Q$21:$Q$500)</f>
        <v>0</v>
      </c>
      <c r="P160" s="2144">
        <v>0</v>
      </c>
      <c r="Q160" s="2144">
        <f t="shared" si="57"/>
        <v>3096124.9</v>
      </c>
      <c r="S160" s="2144">
        <f t="shared" si="58"/>
        <v>0</v>
      </c>
      <c r="U160" s="2144">
        <f>+'Schedule H HAM'!U37</f>
        <v>3096124.9000000004</v>
      </c>
      <c r="V160" s="2144">
        <f t="shared" si="64"/>
        <v>0</v>
      </c>
      <c r="X160" s="2144">
        <v>3096124.9</v>
      </c>
      <c r="Y160" s="2144">
        <f t="shared" si="65"/>
        <v>0</v>
      </c>
      <c r="Z160" s="181"/>
      <c r="AA160" s="182"/>
      <c r="AC160" s="2499"/>
      <c r="AD160" s="2500"/>
      <c r="AE160" s="2145"/>
      <c r="AF160" s="629"/>
      <c r="AG160" s="539"/>
      <c r="AH160" s="539"/>
      <c r="AI160" s="539"/>
      <c r="AJ160" s="539"/>
    </row>
    <row r="161" spans="1:36" ht="35.25" customHeight="1" outlineLevel="2">
      <c r="A161" s="4426" t="s">
        <v>5343</v>
      </c>
      <c r="B161" s="4003" t="s">
        <v>4947</v>
      </c>
      <c r="C161" s="4513" t="s">
        <v>4947</v>
      </c>
      <c r="D161" s="2142"/>
      <c r="E161" s="2143">
        <v>0</v>
      </c>
      <c r="F161" s="2532">
        <f>+'Schedule J'!I424</f>
        <v>799625.31</v>
      </c>
      <c r="H161" s="2144">
        <f t="shared" si="63"/>
        <v>799625.31</v>
      </c>
      <c r="I161" s="2144">
        <f>SUMIFS('Schedule C'!$AZ$21:$AZ$500,'Schedule C'!$M$21:$M$500,'Schedule B'!$B161,'Schedule C'!$AY$21:$AY$500,"ACTIVE",'Schedule C'!$AF$21:$AF$500,"ACTIVE",'Schedule C'!$X$21:$X$500,"ACTIVE")</f>
        <v>0</v>
      </c>
      <c r="J161" s="2144"/>
      <c r="K161" s="2144">
        <f t="shared" si="66"/>
        <v>799625.31</v>
      </c>
      <c r="L161" s="2144"/>
      <c r="M161" s="2144">
        <f>SUMIFS('Schedule C'!$AG$21:$AG$500,'Schedule C'!$M$21:$M$500,'Schedule B'!$B161,'Schedule C'!$AY$21:$AY$500,"NOT ACTIVE",'Schedule C'!$AF$21:$AF$500,"ACTIVE",'Schedule C'!$X$21:$X$500,"ACTIVE")</f>
        <v>0</v>
      </c>
      <c r="N161" s="2144">
        <f>SUMIFS('Schedule C'!$Y$21:$Y$500,'Schedule C'!$M$21:$M$500,'Schedule B'!$B161,'Schedule C'!$AY$21:$AY$500,"NOT ACTIVE",'Schedule C'!$AF$21:$AF$500,"NOT ACTIVE",'Schedule C'!$X$21:$X$500,"ACTIVE")</f>
        <v>0</v>
      </c>
      <c r="O161" s="2144">
        <f>SUMIF('Schedule C'!$M$21:$M$500,'Schedule B'!B161,'Schedule C'!$Q$21:$Q$500)</f>
        <v>0</v>
      </c>
      <c r="P161" s="2144">
        <v>0</v>
      </c>
      <c r="Q161" s="2144">
        <f t="shared" si="57"/>
        <v>799625.31</v>
      </c>
      <c r="S161" s="2144">
        <f t="shared" si="58"/>
        <v>0</v>
      </c>
      <c r="U161" s="2144">
        <f>+'Schedule H HAM'!U38</f>
        <v>0</v>
      </c>
      <c r="V161" s="2144">
        <f t="shared" si="64"/>
        <v>799625.31</v>
      </c>
      <c r="X161" s="2144">
        <v>799625.31</v>
      </c>
      <c r="Y161" s="2144">
        <f t="shared" si="65"/>
        <v>0</v>
      </c>
      <c r="Z161" s="181"/>
      <c r="AA161" s="182"/>
      <c r="AC161" s="2499"/>
      <c r="AD161" s="2500"/>
      <c r="AE161" s="2145"/>
      <c r="AF161" s="629"/>
      <c r="AG161" s="539"/>
      <c r="AH161" s="539"/>
      <c r="AI161" s="539"/>
      <c r="AJ161" s="539"/>
    </row>
    <row r="162" spans="1:36" ht="35.25" customHeight="1" outlineLevel="2">
      <c r="A162" s="4151" t="str">
        <f>DATA!K294</f>
        <v>CN.009C05</v>
      </c>
      <c r="B162" s="4003" t="s">
        <v>6183</v>
      </c>
      <c r="C162" s="4152" t="str">
        <f>DATA!L294</f>
        <v>KTH - MEP Works Package - 2240072 - KORTEK</v>
      </c>
      <c r="D162" s="2142"/>
      <c r="E162" s="2143">
        <v>0</v>
      </c>
      <c r="F162" s="2532">
        <f>+'Schedule J'!I186</f>
        <v>0</v>
      </c>
      <c r="H162" s="2144">
        <f t="shared" si="63"/>
        <v>0</v>
      </c>
      <c r="I162" s="2144">
        <f>SUMIFS('Schedule C'!$AZ$21:$AZ$500,'Schedule C'!$M$21:$M$500,'Schedule B'!$B162,'Schedule C'!$AY$21:$AY$500,"ACTIVE",'Schedule C'!$AF$21:$AF$500,"ACTIVE",'Schedule C'!$X$21:$X$500,"ACTIVE")</f>
        <v>0</v>
      </c>
      <c r="J162" s="2144"/>
      <c r="K162" s="2144">
        <f t="shared" si="66"/>
        <v>0</v>
      </c>
      <c r="L162" s="2144"/>
      <c r="M162" s="2144">
        <f>SUMIFS('Schedule C'!$AG$21:$AG$500,'Schedule C'!$M$21:$M$500,'Schedule B'!$B162,'Schedule C'!$AY$21:$AY$500,"NOT ACTIVE",'Schedule C'!$AF$21:$AF$500,"ACTIVE",'Schedule C'!$X$21:$X$500,"ACTIVE")</f>
        <v>583143.69999999995</v>
      </c>
      <c r="N162" s="2144">
        <f>SUMIFS('Schedule C'!$Y$21:$Y$500,'Schedule C'!$M$21:$M$500,'Schedule B'!$B162,'Schedule C'!$AY$21:$AY$500,"NOT ACTIVE",'Schedule C'!$AF$21:$AF$500,"NOT ACTIVE",'Schedule C'!$X$21:$X$500,"ACTIVE")</f>
        <v>367770</v>
      </c>
      <c r="O162" s="2144">
        <f>SUMIF('Schedule C'!$M$21:$M$500,'Schedule B'!B162,'Schedule C'!$Q$21:$Q$500)</f>
        <v>0</v>
      </c>
      <c r="P162" s="2144">
        <v>0</v>
      </c>
      <c r="Q162" s="2144">
        <f t="shared" si="57"/>
        <v>950913.7</v>
      </c>
      <c r="S162" s="2144">
        <f t="shared" si="58"/>
        <v>950913.7</v>
      </c>
      <c r="U162" s="2144"/>
      <c r="V162" s="2144">
        <f t="shared" si="64"/>
        <v>950913.7</v>
      </c>
      <c r="X162" s="2144">
        <v>950913.7</v>
      </c>
      <c r="Y162" s="2144">
        <f t="shared" si="65"/>
        <v>0</v>
      </c>
      <c r="Z162" s="181"/>
      <c r="AA162" s="182"/>
      <c r="AC162" s="2499"/>
      <c r="AD162" s="2500"/>
      <c r="AE162" s="2145"/>
      <c r="AF162" s="629"/>
      <c r="AG162" s="539"/>
      <c r="AH162" s="539"/>
      <c r="AI162" s="539"/>
      <c r="AJ162" s="539"/>
    </row>
    <row r="163" spans="1:36" ht="35.25" customHeight="1" outlineLevel="2">
      <c r="A163" s="4151" t="str">
        <f>DATA!K295</f>
        <v>CN.012C33</v>
      </c>
      <c r="B163" s="4003" t="s">
        <v>6207</v>
      </c>
      <c r="C163" s="4152" t="str">
        <f>DATA!L295</f>
        <v>ALC - Alcatop Package - Fourseasons - Alcatop</v>
      </c>
      <c r="D163" s="2142"/>
      <c r="E163" s="2143">
        <v>0</v>
      </c>
      <c r="F163" s="2532">
        <v>0</v>
      </c>
      <c r="H163" s="2144">
        <f t="shared" si="63"/>
        <v>0</v>
      </c>
      <c r="I163" s="2144">
        <f>SUMIFS('Schedule C'!$AZ$21:$AZ$500,'Schedule C'!$M$21:$M$500,'Schedule B'!$B163,'Schedule C'!$AY$21:$AY$500,"ACTIVE",'Schedule C'!$AF$21:$AF$500,"ACTIVE",'Schedule C'!$X$21:$X$500,"ACTIVE")</f>
        <v>0</v>
      </c>
      <c r="J163" s="2144"/>
      <c r="K163" s="2144">
        <f t="shared" si="66"/>
        <v>0</v>
      </c>
      <c r="L163" s="2144"/>
      <c r="M163" s="2144">
        <f>SUMIFS('Schedule C'!$AG$21:$AG$500,'Schedule C'!$M$21:$M$500,'Schedule B'!$B163,'Schedule C'!$AY$21:$AY$500,"NOT ACTIVE",'Schedule C'!$AF$21:$AF$500,"ACTIVE",'Schedule C'!$X$21:$X$500,"ACTIVE")</f>
        <v>0</v>
      </c>
      <c r="N163" s="2144">
        <f>SUMIFS('Schedule C'!$Y$21:$Y$500,'Schedule C'!$M$21:$M$500,'Schedule B'!$B163,'Schedule C'!$AY$21:$AY$500,"NOT ACTIVE",'Schedule C'!$AF$21:$AF$500,"NOT ACTIVE",'Schedule C'!$X$21:$X$500,"ACTIVE")</f>
        <v>150000</v>
      </c>
      <c r="O163" s="2144">
        <f>SUMIF('Schedule C'!$M$21:$M$500,'Schedule B'!B163,'Schedule C'!$Q$21:$Q$500)</f>
        <v>0</v>
      </c>
      <c r="P163" s="2144">
        <v>0</v>
      </c>
      <c r="Q163" s="2144">
        <f t="shared" ref="Q163" si="67">SUM(K163:P163)</f>
        <v>150000</v>
      </c>
      <c r="S163" s="2144">
        <f t="shared" ref="S163" si="68">Q163-H163</f>
        <v>150000</v>
      </c>
      <c r="U163" s="2144"/>
      <c r="V163" s="2144">
        <f t="shared" si="64"/>
        <v>150000</v>
      </c>
      <c r="X163" s="2144">
        <v>150000</v>
      </c>
      <c r="Y163" s="2144">
        <f t="shared" si="65"/>
        <v>0</v>
      </c>
      <c r="Z163" s="181"/>
      <c r="AA163" s="182"/>
      <c r="AC163" s="2499"/>
      <c r="AD163" s="2500"/>
      <c r="AE163" s="2145"/>
      <c r="AF163" s="629"/>
      <c r="AG163" s="539"/>
      <c r="AH163" s="539"/>
      <c r="AI163" s="539"/>
      <c r="AJ163" s="539"/>
    </row>
    <row r="164" spans="1:36" ht="35.25" customHeight="1" outlineLevel="2">
      <c r="A164" s="4151" t="str">
        <f>DATA!K296</f>
        <v>CN.003C328</v>
      </c>
      <c r="B164" s="4003" t="s">
        <v>6244</v>
      </c>
      <c r="C164" s="4152" t="str">
        <f>DATA!L296</f>
        <v>Al Futtaim Pioneer Elevators - Al Futtaim Pioneer</v>
      </c>
      <c r="D164" s="2142"/>
      <c r="E164" s="5207">
        <v>0</v>
      </c>
      <c r="F164" s="5208">
        <v>691955</v>
      </c>
      <c r="H164" s="2144">
        <f t="shared" si="63"/>
        <v>691955</v>
      </c>
      <c r="I164" s="2144">
        <f>SUMIFS('Schedule C'!$AZ$21:$AZ$500,'Schedule C'!$M$21:$M$500,'Schedule B'!$B164,'Schedule C'!$AY$21:$AY$500,"ACTIVE",'Schedule C'!$AF$21:$AF$500,"ACTIVE",'Schedule C'!$X$21:$X$500,"ACTIVE")</f>
        <v>0</v>
      </c>
      <c r="J164" s="2144"/>
      <c r="K164" s="2144">
        <f t="shared" si="66"/>
        <v>691955</v>
      </c>
      <c r="L164" s="2144"/>
      <c r="M164" s="2144">
        <f>SUMIFS('Schedule C'!$AG$21:$AG$500,'Schedule C'!$M$21:$M$500,'Schedule B'!$B164,'Schedule C'!$AY$21:$AY$500,"NOT ACTIVE",'Schedule C'!$AF$21:$AF$500,"ACTIVE",'Schedule C'!$X$21:$X$500,"ACTIVE")</f>
        <v>0</v>
      </c>
      <c r="N164" s="2144">
        <f>SUMIFS('Schedule C'!$Y$21:$Y$500,'Schedule C'!$M$21:$M$500,'Schedule B'!$B164,'Schedule C'!$AY$21:$AY$500,"NOT ACTIVE",'Schedule C'!$AF$21:$AF$500,"NOT ACTIVE",'Schedule C'!$X$21:$X$500,"ACTIVE")</f>
        <v>0</v>
      </c>
      <c r="O164" s="2144">
        <f>SUMIF('Schedule C'!$M$21:$M$500,'Schedule B'!B164,'Schedule C'!$Q$21:$Q$500)</f>
        <v>0</v>
      </c>
      <c r="P164" s="2144">
        <v>0</v>
      </c>
      <c r="Q164" s="2144">
        <f t="shared" ref="Q164" si="69">SUM(K164:P164)</f>
        <v>691955</v>
      </c>
      <c r="S164" s="2144">
        <f t="shared" ref="S164" si="70">Q164-H164</f>
        <v>0</v>
      </c>
      <c r="U164" s="2144"/>
      <c r="V164" s="2144">
        <f t="shared" si="64"/>
        <v>691955</v>
      </c>
      <c r="X164" s="2144">
        <v>691955</v>
      </c>
      <c r="Y164" s="2144">
        <f t="shared" si="65"/>
        <v>0</v>
      </c>
      <c r="Z164" s="181"/>
      <c r="AA164" s="182"/>
      <c r="AC164" s="2499"/>
      <c r="AD164" s="2500"/>
      <c r="AE164" s="2145"/>
      <c r="AF164" s="629"/>
      <c r="AG164" s="539"/>
      <c r="AH164" s="539"/>
      <c r="AI164" s="539"/>
      <c r="AJ164" s="539"/>
    </row>
    <row r="165" spans="1:36" ht="35.25" customHeight="1" outlineLevel="2">
      <c r="A165" s="4151" t="str">
        <f>DATA!K299</f>
        <v>CN.006C22</v>
      </c>
      <c r="B165" s="4003" t="s">
        <v>6476</v>
      </c>
      <c r="C165" s="4152" t="str">
        <f>DATA!L299</f>
        <v>Shandong Tiejun Electric Power Engineering Co. LTD. Branch - 2230277</v>
      </c>
      <c r="D165" s="2142"/>
      <c r="E165" s="2143">
        <v>0</v>
      </c>
      <c r="F165" s="2532">
        <v>0</v>
      </c>
      <c r="H165" s="2144">
        <f t="shared" ref="H165" si="71">E165+F165</f>
        <v>0</v>
      </c>
      <c r="I165" s="2144">
        <f>SUMIFS('Schedule C'!$AZ$21:$AZ$500,'Schedule C'!$M$21:$M$500,'Schedule B'!$B165,'Schedule C'!$AY$21:$AY$500,"ACTIVE",'Schedule C'!$AF$21:$AF$500,"ACTIVE",'Schedule C'!$X$21:$X$500,"ACTIVE")</f>
        <v>0</v>
      </c>
      <c r="J165" s="2144"/>
      <c r="K165" s="2144">
        <f t="shared" si="66"/>
        <v>0</v>
      </c>
      <c r="L165" s="2144"/>
      <c r="M165" s="2144">
        <f>SUMIFS('Schedule C'!$AG$21:$AG$500,'Schedule C'!$M$21:$M$500,'Schedule B'!$B165,'Schedule C'!$AY$21:$AY$500,"NOT ACTIVE",'Schedule C'!$AF$21:$AF$500,"ACTIVE",'Schedule C'!$X$21:$X$500,"ACTIVE")</f>
        <v>0</v>
      </c>
      <c r="N165" s="2144">
        <f>SUMIFS('Schedule C'!$Y$21:$Y$500,'Schedule C'!$M$21:$M$500,'Schedule B'!$B165,'Schedule C'!$AY$21:$AY$500,"NOT ACTIVE",'Schedule C'!$AF$21:$AF$500,"NOT ACTIVE",'Schedule C'!$X$21:$X$500,"ACTIVE")</f>
        <v>1079464.7</v>
      </c>
      <c r="O165" s="2144">
        <f>SUMIF('Schedule C'!$M$21:$M$500,'Schedule B'!B165,'Schedule C'!$Q$21:$Q$500)</f>
        <v>0</v>
      </c>
      <c r="P165" s="2144">
        <v>0</v>
      </c>
      <c r="Q165" s="2144">
        <f t="shared" ref="Q165" si="72">SUM(K165:P165)</f>
        <v>1079464.7</v>
      </c>
      <c r="S165" s="2144">
        <f t="shared" ref="S165" si="73">Q165-H165</f>
        <v>1079464.7</v>
      </c>
      <c r="U165" s="2144"/>
      <c r="V165" s="2144">
        <f t="shared" ref="V165" si="74">Q165-U165</f>
        <v>1079464.7</v>
      </c>
      <c r="X165" s="2144">
        <v>1079464.7</v>
      </c>
      <c r="Y165" s="2144">
        <f t="shared" ref="Y165" si="75">Q165-X165</f>
        <v>0</v>
      </c>
      <c r="Z165" s="181"/>
      <c r="AA165" s="182"/>
      <c r="AC165" s="2499"/>
      <c r="AD165" s="2500"/>
      <c r="AE165" s="2145"/>
      <c r="AF165" s="629"/>
      <c r="AG165" s="539"/>
      <c r="AH165" s="539"/>
      <c r="AI165" s="539"/>
      <c r="AJ165" s="539"/>
    </row>
    <row r="166" spans="1:36" ht="35.25" customHeight="1" outlineLevel="2">
      <c r="A166" s="4151" t="str">
        <f>DATA!K300</f>
        <v>CN.009C09</v>
      </c>
      <c r="B166" s="5021" t="s">
        <v>6490</v>
      </c>
      <c r="C166" s="4152" t="str">
        <f>DATA!L300</f>
        <v>IMAR Overseas Saudi Arabia Co. W.L.L. - IMAR MH3</v>
      </c>
      <c r="D166" s="2142"/>
      <c r="E166" s="2143">
        <v>0</v>
      </c>
      <c r="F166" s="2532">
        <v>0</v>
      </c>
      <c r="H166" s="2144">
        <f t="shared" ref="H166" si="76">E166+F166</f>
        <v>0</v>
      </c>
      <c r="I166" s="2144">
        <f>SUMIFS('Schedule C'!$AZ$21:$AZ$500,'Schedule C'!$M$21:$M$500,'Schedule B'!$B166,'Schedule C'!$AY$21:$AY$500,"ACTIVE",'Schedule C'!$AF$21:$AF$500,"ACTIVE",'Schedule C'!$X$21:$X$500,"ACTIVE")</f>
        <v>442200</v>
      </c>
      <c r="J166" s="2144"/>
      <c r="K166" s="2144">
        <f t="shared" ref="K166" si="77">SUM(H166:I166)</f>
        <v>442200</v>
      </c>
      <c r="L166" s="2144"/>
      <c r="M166" s="2144">
        <f>SUMIFS('Schedule C'!$AG$21:$AG$500,'Schedule C'!$M$21:$M$500,'Schedule B'!$B166,'Schedule C'!$AY$21:$AY$500,"NOT ACTIVE",'Schedule C'!$AF$21:$AF$500,"ACTIVE",'Schedule C'!$X$21:$X$500,"ACTIVE")</f>
        <v>0</v>
      </c>
      <c r="N166" s="2144">
        <f>SUMIFS('Schedule C'!$Y$21:$Y$500,'Schedule C'!$M$21:$M$500,'Schedule B'!$B166,'Schedule C'!$AY$21:$AY$500,"NOT ACTIVE",'Schedule C'!$AF$21:$AF$500,"NOT ACTIVE",'Schedule C'!$X$21:$X$500,"ACTIVE")</f>
        <v>36400</v>
      </c>
      <c r="O166" s="2144">
        <f>SUMIF('Schedule C'!$M$21:$M$500,'Schedule B'!B166,'Schedule C'!$Q$21:$Q$500)</f>
        <v>0</v>
      </c>
      <c r="P166" s="2144">
        <v>0</v>
      </c>
      <c r="Q166" s="2144">
        <f t="shared" ref="Q166" si="78">SUM(K166:P166)</f>
        <v>478600</v>
      </c>
      <c r="S166" s="2144">
        <f t="shared" ref="S166" si="79">Q166-H166</f>
        <v>478600</v>
      </c>
      <c r="U166" s="2144"/>
      <c r="V166" s="2144">
        <f t="shared" ref="V166" si="80">Q166-U166</f>
        <v>478600</v>
      </c>
      <c r="X166" s="2144">
        <v>478600</v>
      </c>
      <c r="Y166" s="2144">
        <f t="shared" ref="Y166" si="81">Q166-X166</f>
        <v>0</v>
      </c>
      <c r="Z166" s="181"/>
      <c r="AA166" s="182"/>
      <c r="AC166" s="2499"/>
      <c r="AD166" s="2500"/>
      <c r="AE166" s="2145"/>
      <c r="AF166" s="629"/>
      <c r="AG166" s="539"/>
      <c r="AH166" s="539"/>
      <c r="AI166" s="539"/>
      <c r="AJ166" s="539"/>
    </row>
    <row r="167" spans="1:36" ht="35.25" customHeight="1" outlineLevel="2">
      <c r="A167" s="4151" t="str">
        <f>DATA!K301</f>
        <v>CN.009C35</v>
      </c>
      <c r="B167" s="4003" t="s">
        <v>6501</v>
      </c>
      <c r="C167" s="4152" t="str">
        <f>DATA!L301</f>
        <v>Fibrex LLC - FIBREX LLC</v>
      </c>
      <c r="D167" s="2142"/>
      <c r="E167" s="2143">
        <v>0</v>
      </c>
      <c r="F167" s="2532">
        <v>0</v>
      </c>
      <c r="H167" s="2144">
        <f t="shared" ref="H167" si="82">E167+F167</f>
        <v>0</v>
      </c>
      <c r="I167" s="2144">
        <f>SUMIFS('Schedule C'!$AZ$21:$AZ$500,'Schedule C'!$M$21:$M$500,'Schedule B'!$B167,'Schedule C'!$AY$21:$AY$500,"ACTIVE",'Schedule C'!$AF$21:$AF$500,"ACTIVE",'Schedule C'!$X$21:$X$500,"ACTIVE")</f>
        <v>0</v>
      </c>
      <c r="J167" s="2144"/>
      <c r="K167" s="2144">
        <f t="shared" ref="K167" si="83">SUM(H167:I167)</f>
        <v>0</v>
      </c>
      <c r="L167" s="2144"/>
      <c r="M167" s="2144">
        <f>SUMIFS('Schedule C'!$AG$21:$AG$500,'Schedule C'!$M$21:$M$500,'Schedule B'!$B167,'Schedule C'!$AY$21:$AY$500,"NOT ACTIVE",'Schedule C'!$AF$21:$AF$500,"ACTIVE",'Schedule C'!$X$21:$X$500,"ACTIVE")</f>
        <v>164010</v>
      </c>
      <c r="N167" s="2144">
        <f>SUMIFS('Schedule C'!$Y$21:$Y$500,'Schedule C'!$M$21:$M$500,'Schedule B'!$B167,'Schedule C'!$AY$21:$AY$500,"NOT ACTIVE",'Schedule C'!$AF$21:$AF$500,"NOT ACTIVE",'Schedule C'!$X$21:$X$500,"ACTIVE")</f>
        <v>0</v>
      </c>
      <c r="O167" s="2144">
        <f>SUMIF('Schedule C'!$M$21:$M$500,'Schedule B'!B167,'Schedule C'!$Q$21:$Q$500)</f>
        <v>0</v>
      </c>
      <c r="P167" s="2144">
        <v>0</v>
      </c>
      <c r="Q167" s="2144">
        <f t="shared" ref="Q167" si="84">SUM(K167:P167)</f>
        <v>164010</v>
      </c>
      <c r="S167" s="2144">
        <f t="shared" ref="S167" si="85">Q167-H167</f>
        <v>164010</v>
      </c>
      <c r="U167" s="2144"/>
      <c r="V167" s="2144">
        <f t="shared" ref="V167" si="86">Q167-U167</f>
        <v>164010</v>
      </c>
      <c r="X167" s="2144">
        <v>164010</v>
      </c>
      <c r="Y167" s="2144">
        <f t="shared" ref="Y167" si="87">Q167-X167</f>
        <v>0</v>
      </c>
      <c r="Z167" s="181"/>
      <c r="AA167" s="182"/>
      <c r="AC167" s="2499"/>
      <c r="AD167" s="2500"/>
      <c r="AE167" s="2145"/>
      <c r="AF167" s="629"/>
      <c r="AG167" s="539"/>
      <c r="AH167" s="539"/>
      <c r="AI167" s="539"/>
      <c r="AJ167" s="539"/>
    </row>
    <row r="168" spans="1:36" ht="35.25" customHeight="1" outlineLevel="2">
      <c r="A168" s="4151" t="str">
        <f>DATA!K302</f>
        <v>CN.003C314</v>
      </c>
      <c r="B168" s="4003" t="s">
        <v>6638</v>
      </c>
      <c r="C168" s="4152" t="str">
        <f>DATA!L302</f>
        <v>RJT- OCIP Insurance Premium - Declaration 11 - OCIP Insurance</v>
      </c>
      <c r="D168" s="2142"/>
      <c r="E168" s="2143">
        <v>0</v>
      </c>
      <c r="F168" s="2532">
        <v>15076.28</v>
      </c>
      <c r="H168" s="2144">
        <f t="shared" ref="H168" si="88">E168+F168</f>
        <v>15076.28</v>
      </c>
      <c r="I168" s="2144">
        <f>SUMIFS('Schedule C'!$AZ$21:$AZ$500,'Schedule C'!$M$21:$M$500,'Schedule B'!$B168,'Schedule C'!$AY$21:$AY$500,"ACTIVE",'Schedule C'!$AF$21:$AF$500,"ACTIVE",'Schedule C'!$X$21:$X$500,"ACTIVE")</f>
        <v>0</v>
      </c>
      <c r="J168" s="2144"/>
      <c r="K168" s="2144">
        <f t="shared" ref="K168" si="89">SUM(H168:I168)</f>
        <v>15076.28</v>
      </c>
      <c r="L168" s="2144"/>
      <c r="M168" s="2144">
        <f>SUMIFS('Schedule C'!$AG$21:$AG$500,'Schedule C'!$M$21:$M$500,'Schedule B'!$B168,'Schedule C'!$AY$21:$AY$500,"NOT ACTIVE",'Schedule C'!$AF$21:$AF$500,"ACTIVE",'Schedule C'!$X$21:$X$500,"ACTIVE")</f>
        <v>0</v>
      </c>
      <c r="N168" s="2144">
        <f>SUMIFS('Schedule C'!$Y$21:$Y$500,'Schedule C'!$M$21:$M$500,'Schedule B'!$B168,'Schedule C'!$AY$21:$AY$500,"NOT ACTIVE",'Schedule C'!$AF$21:$AF$500,"NOT ACTIVE",'Schedule C'!$X$21:$X$500,"ACTIVE")</f>
        <v>0</v>
      </c>
      <c r="O168" s="2144">
        <f>SUMIF('Schedule C'!$M$21:$M$500,'Schedule B'!B168,'Schedule C'!$Q$21:$Q$500)</f>
        <v>0</v>
      </c>
      <c r="P168" s="2144">
        <v>0</v>
      </c>
      <c r="Q168" s="2144">
        <f t="shared" ref="Q168" si="90">SUM(K168:P168)</f>
        <v>15076.28</v>
      </c>
      <c r="S168" s="2144">
        <f t="shared" ref="S168" si="91">Q168-H168</f>
        <v>0</v>
      </c>
      <c r="U168" s="2144"/>
      <c r="V168" s="2144">
        <f t="shared" ref="V168" si="92">Q168-U168</f>
        <v>15076.28</v>
      </c>
      <c r="X168" s="2144">
        <v>15076.28</v>
      </c>
      <c r="Y168" s="2144">
        <f t="shared" ref="Y168" si="93">Q168-X168</f>
        <v>0</v>
      </c>
      <c r="Z168" s="181"/>
      <c r="AA168" s="182"/>
      <c r="AC168" s="2499"/>
      <c r="AD168" s="2500"/>
      <c r="AE168" s="2145"/>
      <c r="AF168" s="629"/>
      <c r="AG168" s="539"/>
      <c r="AH168" s="539"/>
      <c r="AI168" s="539"/>
      <c r="AJ168" s="539"/>
    </row>
    <row r="169" spans="1:36" ht="24" customHeight="1" outlineLevel="1">
      <c r="A169" s="2139"/>
      <c r="B169" s="2139"/>
      <c r="C169" s="2533"/>
      <c r="D169" s="2142"/>
      <c r="E169" s="2143"/>
      <c r="F169" s="2532"/>
      <c r="H169" s="2144"/>
      <c r="I169" s="2144"/>
      <c r="J169" s="2144"/>
      <c r="K169" s="2144"/>
      <c r="M169" s="2144"/>
      <c r="N169" s="2144"/>
      <c r="O169" s="2144"/>
      <c r="P169" s="2144"/>
      <c r="Q169" s="2144"/>
      <c r="S169" s="2144"/>
      <c r="U169" s="2144"/>
      <c r="V169" s="2144"/>
      <c r="X169" s="2144"/>
      <c r="Y169" s="2144"/>
      <c r="Z169" s="181">
        <f t="shared" ref="Z169:Z185" si="94">H169-Q169</f>
        <v>0</v>
      </c>
      <c r="AA169" s="182">
        <f t="shared" ref="AA169:AA190" si="95">(Q169-H169)+Z169</f>
        <v>0</v>
      </c>
      <c r="AC169" s="2499"/>
      <c r="AD169" s="2500"/>
      <c r="AE169" s="2145"/>
      <c r="AF169" s="629" t="e">
        <f>SUMIF(#REF!,'Schedule B'!C169,#REF!)</f>
        <v>#REF!</v>
      </c>
      <c r="AG169" s="539"/>
      <c r="AH169" s="539" t="e">
        <f>AF169-#REF!</f>
        <v>#REF!</v>
      </c>
      <c r="AI169" s="539" t="e">
        <f>AF169-Q169</f>
        <v>#REF!</v>
      </c>
      <c r="AJ169" s="539" t="e">
        <f t="shared" si="62"/>
        <v>#REF!</v>
      </c>
    </row>
    <row r="170" spans="1:36" ht="24" customHeight="1" outlineLevel="1">
      <c r="A170" s="2550" t="s">
        <v>2000</v>
      </c>
      <c r="B170" s="2551"/>
      <c r="C170" s="2552" t="s">
        <v>515</v>
      </c>
      <c r="D170" s="2553"/>
      <c r="E170" s="2546">
        <f>SUM(E76:E169)</f>
        <v>18698534</v>
      </c>
      <c r="F170" s="2993">
        <f>SUM(F76:F169)</f>
        <v>457653223.04999995</v>
      </c>
      <c r="H170" s="2546">
        <f>SUM(H76:H169)</f>
        <v>476351757.04999995</v>
      </c>
      <c r="I170" s="2546">
        <f>SUM(I76:I169)</f>
        <v>231953.83999999164</v>
      </c>
      <c r="J170" s="2546">
        <f>SUM(J76:J169)</f>
        <v>1993436.11</v>
      </c>
      <c r="K170" s="2546">
        <f>SUM(K76:K169)</f>
        <v>478577146.99999994</v>
      </c>
      <c r="M170" s="2546">
        <f>SUM(M76:M169)</f>
        <v>-18178391.659999996</v>
      </c>
      <c r="N170" s="2546">
        <f>SUM(N76:N169)</f>
        <v>3205613.5</v>
      </c>
      <c r="O170" s="2546">
        <f>SUM(O76:O169)</f>
        <v>33674620.893043488</v>
      </c>
      <c r="P170" s="2546">
        <f>SUM(P76:P169)</f>
        <v>0</v>
      </c>
      <c r="Q170" s="2546">
        <f>SUM(Q76:Q169)</f>
        <v>497278989.73304349</v>
      </c>
      <c r="S170" s="2546">
        <f>SUM(S76:S169)</f>
        <v>20927232.683043484</v>
      </c>
      <c r="U170" s="2546">
        <f>SUM(U76:U169)</f>
        <v>456127972.08100003</v>
      </c>
      <c r="V170" s="2546">
        <f>SUM(V76:V169)</f>
        <v>41151017.652043499</v>
      </c>
      <c r="X170" s="2546">
        <v>497494874.92304349</v>
      </c>
      <c r="Y170" s="2546">
        <f>SUM(Y76:Y169)</f>
        <v>-215885.18999999762</v>
      </c>
      <c r="Z170" s="181">
        <f t="shared" si="94"/>
        <v>-20927232.68304354</v>
      </c>
      <c r="AA170" s="182">
        <f t="shared" si="95"/>
        <v>0</v>
      </c>
      <c r="AC170" s="2499"/>
      <c r="AD170" s="2500"/>
      <c r="AE170" s="2145"/>
      <c r="AF170" s="629" t="e">
        <f>SUMIF(#REF!,'Schedule B'!C170,#REF!)</f>
        <v>#REF!</v>
      </c>
      <c r="AG170" s="539"/>
      <c r="AH170" s="539" t="e">
        <f>AF170-#REF!</f>
        <v>#REF!</v>
      </c>
      <c r="AI170" s="539" t="e">
        <f>AF170-Q170</f>
        <v>#REF!</v>
      </c>
      <c r="AJ170" s="539" t="e">
        <f t="shared" si="62"/>
        <v>#REF!</v>
      </c>
    </row>
    <row r="171" spans="1:36" ht="24" customHeight="1" outlineLevel="2">
      <c r="A171" s="2139"/>
      <c r="B171" s="2139"/>
      <c r="C171" s="2142"/>
      <c r="D171" s="2142"/>
      <c r="E171" s="2143"/>
      <c r="F171" s="2532"/>
      <c r="H171" s="2144"/>
      <c r="I171" s="2144"/>
      <c r="J171" s="2144"/>
      <c r="K171" s="2144"/>
      <c r="M171" s="2144"/>
      <c r="N171" s="2144"/>
      <c r="O171" s="2144"/>
      <c r="P171" s="2144"/>
      <c r="Q171" s="2144"/>
      <c r="S171" s="2144"/>
      <c r="U171" s="2144"/>
      <c r="V171" s="2144"/>
      <c r="X171" s="2144"/>
      <c r="Y171" s="2144"/>
      <c r="Z171" s="181">
        <f t="shared" si="94"/>
        <v>0</v>
      </c>
      <c r="AA171" s="182">
        <f t="shared" si="95"/>
        <v>0</v>
      </c>
      <c r="AC171" s="2499"/>
      <c r="AD171" s="2500"/>
      <c r="AE171" s="2145"/>
      <c r="AF171" s="629" t="e">
        <f>SUMIF(#REF!,'Schedule B'!C171,#REF!)</f>
        <v>#REF!</v>
      </c>
      <c r="AG171" s="539" t="e">
        <f>#REF!-#REF!</f>
        <v>#REF!</v>
      </c>
      <c r="AH171" s="539">
        <f>N171</f>
        <v>0</v>
      </c>
      <c r="AI171" s="539" t="e">
        <f>Q171-AG171</f>
        <v>#REF!</v>
      </c>
      <c r="AJ171" s="539">
        <f t="shared" si="62"/>
        <v>0</v>
      </c>
    </row>
    <row r="172" spans="1:36" ht="34.5" customHeight="1" outlineLevel="2">
      <c r="A172" s="2139" t="s">
        <v>516</v>
      </c>
      <c r="B172" s="2139"/>
      <c r="C172" s="2142"/>
      <c r="D172" s="2141" t="s">
        <v>133</v>
      </c>
      <c r="E172" s="2143"/>
      <c r="F172" s="2532"/>
      <c r="H172" s="2144">
        <f>E172+F172</f>
        <v>0</v>
      </c>
      <c r="I172" s="2144">
        <f>SUMIFS('Schedule C'!$AZ$21:$AZ$102,'Schedule C'!$M$21:$M$102,'Schedule B'!$B172,'Schedule C'!$AY$21:$AY$102,"ACTIVE",'Schedule C'!$AF$21:$AF$102,"ACTIVE",'Schedule C'!$X$21:$X$102,"ACTIVE")</f>
        <v>0</v>
      </c>
      <c r="J172" s="2144"/>
      <c r="K172" s="2144">
        <f>SUM(H172:I172)</f>
        <v>0</v>
      </c>
      <c r="M172" s="2144">
        <f>SUMIFS('Schedule C'!$AG$21:$AG$102,'Schedule C'!$M$21:$M$102,'Schedule B'!$B172,'Schedule C'!$AY$21:$AY$102,"NOT ACTIVE",'Schedule C'!$AF$21:$AF$102,"ACTIVE",'Schedule C'!$X$21:$X$102,"ACTIVE")</f>
        <v>0</v>
      </c>
      <c r="N172" s="2144">
        <f>SUMIFS('Schedule C'!$Y$21:$Y$102,'Schedule C'!$M$21:$M$102,'Schedule B'!$B172,'Schedule C'!$AY$21:$AY$102,"NOT ACTIVE",'Schedule C'!$AF$21:$AF$102,"NOT ACTIVE",'Schedule C'!$X$21:$X$102,"ACTIVE")</f>
        <v>0</v>
      </c>
      <c r="O172" s="2144">
        <f>SUMIF('Schedule C'!$M$21:$M$102,'Schedule B'!B172,'Schedule C'!$Q$21:$Q$102)</f>
        <v>0</v>
      </c>
      <c r="P172" s="2144">
        <v>0</v>
      </c>
      <c r="Q172" s="2144">
        <f>SUM(K172:P172)</f>
        <v>0</v>
      </c>
      <c r="S172" s="2144">
        <f>Q172-H172</f>
        <v>0</v>
      </c>
      <c r="U172" s="2144"/>
      <c r="V172" s="2144">
        <f>Q172-U172</f>
        <v>0</v>
      </c>
      <c r="X172" s="2144">
        <v>0</v>
      </c>
      <c r="Y172" s="2144">
        <f>SUM(S172:X172)</f>
        <v>0</v>
      </c>
      <c r="Z172" s="181">
        <f t="shared" si="94"/>
        <v>0</v>
      </c>
      <c r="AA172" s="182">
        <f t="shared" si="95"/>
        <v>0</v>
      </c>
      <c r="AC172" s="2499"/>
      <c r="AD172" s="2500"/>
      <c r="AE172" s="2145"/>
      <c r="AF172" s="629" t="e">
        <f>SUMIF(#REF!,'Schedule B'!C172,#REF!)</f>
        <v>#REF!</v>
      </c>
      <c r="AG172" s="539"/>
      <c r="AH172" s="539" t="e">
        <f>AF172-#REF!</f>
        <v>#REF!</v>
      </c>
      <c r="AI172" s="539" t="e">
        <f>AF172-Q172</f>
        <v>#REF!</v>
      </c>
      <c r="AJ172" s="539" t="e">
        <f t="shared" si="62"/>
        <v>#REF!</v>
      </c>
    </row>
    <row r="173" spans="1:36" ht="24" customHeight="1" outlineLevel="2">
      <c r="A173" s="2139"/>
      <c r="B173" s="2139"/>
      <c r="C173" s="2533"/>
      <c r="D173" s="2142"/>
      <c r="E173" s="2143"/>
      <c r="F173" s="2532"/>
      <c r="H173" s="2144"/>
      <c r="I173" s="2144"/>
      <c r="J173" s="2144"/>
      <c r="K173" s="2144"/>
      <c r="M173" s="2144"/>
      <c r="N173" s="2144"/>
      <c r="O173" s="2144"/>
      <c r="P173" s="2144"/>
      <c r="Q173" s="2144"/>
      <c r="S173" s="2144"/>
      <c r="U173" s="2144"/>
      <c r="V173" s="2144"/>
      <c r="X173" s="2144"/>
      <c r="Y173" s="2144"/>
      <c r="Z173" s="181">
        <f t="shared" si="94"/>
        <v>0</v>
      </c>
      <c r="AA173" s="182">
        <f t="shared" si="95"/>
        <v>0</v>
      </c>
      <c r="AC173" s="2499"/>
      <c r="AD173" s="2500"/>
      <c r="AE173" s="2145"/>
      <c r="AF173" s="629" t="e">
        <f>SUMIF(#REF!,'Schedule B'!C173,#REF!)</f>
        <v>#REF!</v>
      </c>
      <c r="AG173" s="539"/>
      <c r="AH173" s="539" t="e">
        <f>AF173-#REF!</f>
        <v>#REF!</v>
      </c>
      <c r="AI173" s="539" t="e">
        <f>AF173-Q173</f>
        <v>#REF!</v>
      </c>
      <c r="AJ173" s="539" t="e">
        <f t="shared" si="62"/>
        <v>#REF!</v>
      </c>
    </row>
    <row r="174" spans="1:36" ht="24" customHeight="1" outlineLevel="2">
      <c r="A174" s="2139" t="s">
        <v>516</v>
      </c>
      <c r="B174" s="2139"/>
      <c r="C174" s="2142"/>
      <c r="D174" s="2142"/>
      <c r="E174" s="2143"/>
      <c r="F174" s="2532"/>
      <c r="H174" s="2144">
        <f>E174+F174</f>
        <v>0</v>
      </c>
      <c r="I174" s="2144">
        <f>SUMIFS('Schedule C'!$AZ$21:$AZ$102,'Schedule C'!$M$21:$M$102,'Schedule B'!$B174,'Schedule C'!$AY$21:$AY$102,"ACTIVE",'Schedule C'!$AF$21:$AF$102,"ACTIVE",'Schedule C'!$X$21:$X$102,"ACTIVE")</f>
        <v>0</v>
      </c>
      <c r="J174" s="2144"/>
      <c r="K174" s="2144">
        <f>SUM(H174:I174)</f>
        <v>0</v>
      </c>
      <c r="M174" s="2144">
        <f>SUMIFS('Schedule C'!$AG$21:$AG$102,'Schedule C'!$M$21:$M$102,'Schedule B'!$B174,'Schedule C'!$AY$21:$AY$102,"NOT ACTIVE",'Schedule C'!$AF$21:$AF$102,"ACTIVE",'Schedule C'!$X$21:$X$102,"ACTIVE")</f>
        <v>0</v>
      </c>
      <c r="N174" s="2144">
        <f>SUMIFS('Schedule C'!$Y$21:$Y$102,'Schedule C'!$M$21:$M$102,'Schedule B'!$B174,'Schedule C'!$AY$21:$AY$102,"NOT ACTIVE",'Schedule C'!$AF$21:$AF$102,"NOT ACTIVE",'Schedule C'!$X$21:$X$102,"ACTIVE")</f>
        <v>0</v>
      </c>
      <c r="O174" s="2144">
        <f>SUMIF('Schedule C'!$M$21:$M$102,'Schedule B'!B174,'Schedule C'!$Q$21:$Q$102)</f>
        <v>0</v>
      </c>
      <c r="P174" s="2144">
        <v>0</v>
      </c>
      <c r="Q174" s="2144">
        <f>SUM(K174:P174)</f>
        <v>0</v>
      </c>
      <c r="S174" s="2144">
        <f>Q174-H174</f>
        <v>0</v>
      </c>
      <c r="U174" s="2144"/>
      <c r="V174" s="2144">
        <f>Q174-U174</f>
        <v>0</v>
      </c>
      <c r="X174" s="2144">
        <v>0</v>
      </c>
      <c r="Y174" s="2144">
        <f>SUM(S174:X174)</f>
        <v>0</v>
      </c>
      <c r="Z174" s="181">
        <f t="shared" si="94"/>
        <v>0</v>
      </c>
      <c r="AA174" s="182">
        <f t="shared" si="95"/>
        <v>0</v>
      </c>
      <c r="AC174" s="2499"/>
      <c r="AD174" s="2500"/>
      <c r="AE174" s="2145"/>
      <c r="AF174" s="629" t="e">
        <f>SUMIF(#REF!,'Schedule B'!C174,#REF!)</f>
        <v>#REF!</v>
      </c>
      <c r="AG174" s="539"/>
      <c r="AH174" s="539" t="e">
        <f>AF174-#REF!</f>
        <v>#REF!</v>
      </c>
      <c r="AI174" s="539" t="e">
        <f>AF174-Q174</f>
        <v>#REF!</v>
      </c>
      <c r="AJ174" s="539" t="e">
        <f t="shared" si="62"/>
        <v>#REF!</v>
      </c>
    </row>
    <row r="175" spans="1:36" ht="24" customHeight="1" outlineLevel="2">
      <c r="A175" s="2139"/>
      <c r="B175" s="2139"/>
      <c r="C175" s="2514"/>
      <c r="D175" s="2514"/>
      <c r="E175" s="2143"/>
      <c r="F175" s="2532"/>
      <c r="H175" s="2144"/>
      <c r="I175" s="2505"/>
      <c r="J175" s="2505"/>
      <c r="K175" s="2506"/>
      <c r="M175" s="2505"/>
      <c r="N175" s="2505"/>
      <c r="O175" s="2505"/>
      <c r="P175" s="2505"/>
      <c r="Q175" s="2144"/>
      <c r="S175" s="2144"/>
      <c r="U175" s="2144"/>
      <c r="V175" s="2144"/>
      <c r="X175" s="2144"/>
      <c r="Y175" s="2144"/>
      <c r="Z175" s="181">
        <f t="shared" si="94"/>
        <v>0</v>
      </c>
      <c r="AA175" s="182">
        <f t="shared" si="95"/>
        <v>0</v>
      </c>
      <c r="AC175" s="2499"/>
      <c r="AD175" s="2500"/>
      <c r="AE175" s="2145"/>
      <c r="AF175" s="629" t="e">
        <f>SUMIF(#REF!,'Schedule B'!C175,#REF!)</f>
        <v>#REF!</v>
      </c>
      <c r="AG175" s="539"/>
      <c r="AH175" s="539" t="e">
        <f>AF175-#REF!</f>
        <v>#REF!</v>
      </c>
      <c r="AI175" s="539" t="e">
        <f t="shared" ref="AI175:AI181" si="96">AF175-Q175</f>
        <v>#REF!</v>
      </c>
      <c r="AJ175" s="539" t="e">
        <f t="shared" ref="AJ175:AJ181" si="97">N175-AH175</f>
        <v>#REF!</v>
      </c>
    </row>
    <row r="176" spans="1:36" ht="24" customHeight="1" outlineLevel="2" collapsed="1">
      <c r="A176" s="2550" t="s">
        <v>516</v>
      </c>
      <c r="B176" s="2551"/>
      <c r="C176" s="2552" t="s">
        <v>517</v>
      </c>
      <c r="D176" s="2553"/>
      <c r="E176" s="2546">
        <f>SUM(E171:E175)</f>
        <v>0</v>
      </c>
      <c r="F176" s="2993">
        <f>SUM(F171:F175)</f>
        <v>0</v>
      </c>
      <c r="H176" s="2546">
        <f>SUM(H171:H175)</f>
        <v>0</v>
      </c>
      <c r="I176" s="2546">
        <f>SUM(I171:I175)</f>
        <v>0</v>
      </c>
      <c r="J176" s="2546"/>
      <c r="K176" s="2546">
        <f>SUM(K171:K175)</f>
        <v>0</v>
      </c>
      <c r="M176" s="2546">
        <f t="shared" ref="M176:Q176" si="98">SUM(M171:M175)</f>
        <v>0</v>
      </c>
      <c r="N176" s="2546">
        <f t="shared" si="98"/>
        <v>0</v>
      </c>
      <c r="O176" s="2546">
        <f t="shared" si="98"/>
        <v>0</v>
      </c>
      <c r="P176" s="2546">
        <f t="shared" si="98"/>
        <v>0</v>
      </c>
      <c r="Q176" s="2546">
        <f t="shared" si="98"/>
        <v>0</v>
      </c>
      <c r="S176" s="2546">
        <f>SUM(S171:S175)</f>
        <v>0</v>
      </c>
      <c r="U176" s="2546">
        <f>SUM(U171:U175)</f>
        <v>0</v>
      </c>
      <c r="V176" s="2546">
        <f>SUM(V171:V175)</f>
        <v>0</v>
      </c>
      <c r="X176" s="2546">
        <v>0</v>
      </c>
      <c r="Y176" s="2546">
        <f>SUM(Y171:Y175)</f>
        <v>0</v>
      </c>
      <c r="Z176" s="181">
        <f t="shared" si="94"/>
        <v>0</v>
      </c>
      <c r="AA176" s="182">
        <f t="shared" si="95"/>
        <v>0</v>
      </c>
      <c r="AC176" s="2499"/>
      <c r="AD176" s="2500"/>
      <c r="AE176" s="2145"/>
      <c r="AF176" s="629" t="e">
        <f>SUMIF(#REF!,'Schedule B'!C176,#REF!)</f>
        <v>#REF!</v>
      </c>
      <c r="AG176" s="539"/>
      <c r="AH176" s="539" t="e">
        <f>AF176-#REF!</f>
        <v>#REF!</v>
      </c>
      <c r="AI176" s="539" t="e">
        <f t="shared" si="96"/>
        <v>#REF!</v>
      </c>
      <c r="AJ176" s="539" t="e">
        <f t="shared" si="97"/>
        <v>#REF!</v>
      </c>
    </row>
    <row r="177" spans="1:36" ht="24" customHeight="1" outlineLevel="2">
      <c r="A177" s="2139"/>
      <c r="B177" s="2139"/>
      <c r="C177" s="2142"/>
      <c r="D177" s="2142"/>
      <c r="E177" s="2143"/>
      <c r="F177" s="2532"/>
      <c r="H177" s="2144"/>
      <c r="I177" s="2144"/>
      <c r="J177" s="2144"/>
      <c r="K177" s="2144"/>
      <c r="M177" s="2144"/>
      <c r="N177" s="2144"/>
      <c r="O177" s="2144"/>
      <c r="P177" s="2144"/>
      <c r="Q177" s="2144"/>
      <c r="S177" s="2144"/>
      <c r="U177" s="2144"/>
      <c r="V177" s="2144"/>
      <c r="X177" s="2144"/>
      <c r="Y177" s="2144"/>
      <c r="Z177" s="181">
        <f t="shared" si="94"/>
        <v>0</v>
      </c>
      <c r="AA177" s="182">
        <f t="shared" si="95"/>
        <v>0</v>
      </c>
      <c r="AC177" s="2499"/>
      <c r="AD177" s="2500"/>
      <c r="AE177" s="2145"/>
      <c r="AF177" s="629" t="e">
        <f>SUMIF(#REF!,'Schedule B'!C177,#REF!)</f>
        <v>#REF!</v>
      </c>
      <c r="AG177" s="539" t="e">
        <f>#REF!-#REF!</f>
        <v>#REF!</v>
      </c>
      <c r="AH177" s="539">
        <f>N177</f>
        <v>0</v>
      </c>
      <c r="AI177" s="539" t="e">
        <f>Q177-AG177</f>
        <v>#REF!</v>
      </c>
      <c r="AJ177" s="539">
        <f>N177-AH177</f>
        <v>0</v>
      </c>
    </row>
    <row r="178" spans="1:36" ht="34.5" customHeight="1" outlineLevel="2">
      <c r="A178" s="2139" t="s">
        <v>516</v>
      </c>
      <c r="B178" s="2139"/>
      <c r="C178" s="2142"/>
      <c r="D178" s="2141" t="s">
        <v>133</v>
      </c>
      <c r="E178" s="2143"/>
      <c r="F178" s="2532"/>
      <c r="H178" s="2144">
        <f>E178+F178</f>
        <v>0</v>
      </c>
      <c r="I178" s="2144">
        <f>SUMIFS('Schedule C'!$AZ$21:$AZ$102,'Schedule C'!$M$21:$M$102,'Schedule B'!$B178,'Schedule C'!$AY$21:$AY$102,"ACTIVE",'Schedule C'!$AF$21:$AF$102,"ACTIVE",'Schedule C'!$X$21:$X$102,"ACTIVE")</f>
        <v>0</v>
      </c>
      <c r="J178" s="2144"/>
      <c r="K178" s="2144"/>
      <c r="M178" s="2144">
        <f>SUMIFS('Schedule C'!$AG$21:$AG$102,'Schedule C'!$M$21:$M$102,'Schedule B'!$B178,'Schedule C'!$AY$21:$AY$102,"NOT ACTIVE",'Schedule C'!$AF$21:$AF$102,"ACTIVE",'Schedule C'!$X$21:$X$102,"ACTIVE")</f>
        <v>0</v>
      </c>
      <c r="N178" s="2144">
        <f>SUMIFS('Schedule C'!$Y$21:$Y$102,'Schedule C'!$M$21:$M$102,'Schedule B'!$B178,'Schedule C'!$AY$21:$AY$102,"NOT ACTIVE",'Schedule C'!$AF$21:$AF$102,"NOT ACTIVE",'Schedule C'!$X$21:$X$102,"ACTIVE")</f>
        <v>0</v>
      </c>
      <c r="O178" s="2144">
        <f>SUMIF('Schedule C'!$M$21:$M$102,'Schedule B'!B178,'Schedule C'!$Q$21:$Q$102)</f>
        <v>0</v>
      </c>
      <c r="P178" s="2144">
        <v>0</v>
      </c>
      <c r="Q178" s="2144">
        <f>SUM(K178:P178)</f>
        <v>0</v>
      </c>
      <c r="S178" s="2144">
        <f>Q178-H178</f>
        <v>0</v>
      </c>
      <c r="U178" s="2144"/>
      <c r="V178" s="2144">
        <f>Q178-U178</f>
        <v>0</v>
      </c>
      <c r="X178" s="2144">
        <v>0</v>
      </c>
      <c r="Y178" s="2144">
        <f>SUM(S178:X178)</f>
        <v>0</v>
      </c>
      <c r="Z178" s="181">
        <f t="shared" si="94"/>
        <v>0</v>
      </c>
      <c r="AA178" s="182">
        <f t="shared" si="95"/>
        <v>0</v>
      </c>
      <c r="AC178" s="2499"/>
      <c r="AD178" s="2500"/>
      <c r="AE178" s="2145"/>
      <c r="AF178" s="629" t="e">
        <f>SUMIF(#REF!,'Schedule B'!C178,#REF!)</f>
        <v>#REF!</v>
      </c>
      <c r="AG178" s="539"/>
      <c r="AH178" s="539" t="e">
        <f>AF178-#REF!</f>
        <v>#REF!</v>
      </c>
      <c r="AI178" s="539" t="e">
        <f>AF178-Q178</f>
        <v>#REF!</v>
      </c>
      <c r="AJ178" s="539" t="e">
        <f>N178-AH178</f>
        <v>#REF!</v>
      </c>
    </row>
    <row r="179" spans="1:36" ht="24" customHeight="1" outlineLevel="2">
      <c r="A179" s="2139"/>
      <c r="B179" s="2139"/>
      <c r="C179" s="2514"/>
      <c r="D179" s="2514"/>
      <c r="E179" s="2143"/>
      <c r="F179" s="2532"/>
      <c r="H179" s="2144"/>
      <c r="I179" s="2505"/>
      <c r="J179" s="2505"/>
      <c r="K179" s="2506"/>
      <c r="M179" s="2505"/>
      <c r="N179" s="2505"/>
      <c r="O179" s="2505"/>
      <c r="P179" s="2505"/>
      <c r="Q179" s="2144"/>
      <c r="S179" s="2144"/>
      <c r="U179" s="2144"/>
      <c r="V179" s="2144"/>
      <c r="X179" s="2144"/>
      <c r="Y179" s="2144"/>
      <c r="Z179" s="181">
        <f t="shared" si="94"/>
        <v>0</v>
      </c>
      <c r="AA179" s="182">
        <f t="shared" si="95"/>
        <v>0</v>
      </c>
      <c r="AC179" s="2499"/>
      <c r="AD179" s="2500"/>
      <c r="AE179" s="2145"/>
      <c r="AF179" s="629" t="e">
        <f>SUMIF(#REF!,'Schedule B'!C179,#REF!)</f>
        <v>#REF!</v>
      </c>
      <c r="AG179" s="539"/>
      <c r="AH179" s="539" t="e">
        <f>AF179-#REF!</f>
        <v>#REF!</v>
      </c>
      <c r="AI179" s="539" t="e">
        <f>AF179-Q179</f>
        <v>#REF!</v>
      </c>
      <c r="AJ179" s="539" t="e">
        <f>N179-AH179</f>
        <v>#REF!</v>
      </c>
    </row>
    <row r="180" spans="1:36" ht="24" customHeight="1" outlineLevel="2" collapsed="1">
      <c r="A180" s="2550" t="s">
        <v>516</v>
      </c>
      <c r="B180" s="2551"/>
      <c r="C180" s="2552" t="s">
        <v>517</v>
      </c>
      <c r="D180" s="2553"/>
      <c r="E180" s="2546">
        <f>SUM(E177:E179)</f>
        <v>0</v>
      </c>
      <c r="F180" s="2993">
        <f>SUM(F177:F179)</f>
        <v>0</v>
      </c>
      <c r="H180" s="2546">
        <f>SUM(H177:H179)</f>
        <v>0</v>
      </c>
      <c r="I180" s="2546">
        <f>SUM(I177:I179)</f>
        <v>0</v>
      </c>
      <c r="J180" s="2546"/>
      <c r="K180" s="2546">
        <f>SUM(K177:K179)</f>
        <v>0</v>
      </c>
      <c r="M180" s="2546">
        <f t="shared" ref="M180:Q180" si="99">SUM(M177:M179)</f>
        <v>0</v>
      </c>
      <c r="N180" s="2546">
        <f t="shared" si="99"/>
        <v>0</v>
      </c>
      <c r="O180" s="2546">
        <f t="shared" si="99"/>
        <v>0</v>
      </c>
      <c r="P180" s="2546">
        <f t="shared" si="99"/>
        <v>0</v>
      </c>
      <c r="Q180" s="2546">
        <f t="shared" si="99"/>
        <v>0</v>
      </c>
      <c r="S180" s="2546">
        <f>SUM(S177:S179)</f>
        <v>0</v>
      </c>
      <c r="U180" s="2546">
        <f>SUM(U177:U179)</f>
        <v>0</v>
      </c>
      <c r="V180" s="2546">
        <f>SUM(V177:V179)</f>
        <v>0</v>
      </c>
      <c r="X180" s="2546">
        <v>0</v>
      </c>
      <c r="Y180" s="2546">
        <f>SUM(Y177:Y179)</f>
        <v>0</v>
      </c>
      <c r="Z180" s="181">
        <f t="shared" si="94"/>
        <v>0</v>
      </c>
      <c r="AA180" s="182">
        <f t="shared" si="95"/>
        <v>0</v>
      </c>
      <c r="AC180" s="2499"/>
      <c r="AD180" s="2500"/>
      <c r="AE180" s="2145"/>
      <c r="AF180" s="629" t="e">
        <f>SUMIF(#REF!,'Schedule B'!C180,#REF!)</f>
        <v>#REF!</v>
      </c>
      <c r="AG180" s="539"/>
      <c r="AH180" s="539" t="e">
        <f>AF180-#REF!</f>
        <v>#REF!</v>
      </c>
      <c r="AI180" s="539" t="e">
        <f>AF180-Q180</f>
        <v>#REF!</v>
      </c>
      <c r="AJ180" s="539" t="e">
        <f>N180-AH180</f>
        <v>#REF!</v>
      </c>
    </row>
    <row r="181" spans="1:36" ht="24" customHeight="1" outlineLevel="1">
      <c r="A181" s="2139"/>
      <c r="B181" s="2139"/>
      <c r="C181" s="2514"/>
      <c r="D181" s="2514"/>
      <c r="E181" s="2143"/>
      <c r="F181" s="2532"/>
      <c r="H181" s="2144"/>
      <c r="I181" s="2505"/>
      <c r="J181" s="2505"/>
      <c r="K181" s="2506"/>
      <c r="M181" s="2505"/>
      <c r="N181" s="2505"/>
      <c r="O181" s="2505"/>
      <c r="P181" s="2505"/>
      <c r="Q181" s="2144"/>
      <c r="S181" s="2144"/>
      <c r="U181" s="2144"/>
      <c r="V181" s="2144"/>
      <c r="X181" s="2144"/>
      <c r="Y181" s="2144"/>
      <c r="Z181" s="181">
        <f t="shared" si="94"/>
        <v>0</v>
      </c>
      <c r="AA181" s="182">
        <f t="shared" si="95"/>
        <v>0</v>
      </c>
      <c r="AC181" s="2499"/>
      <c r="AD181" s="2500"/>
      <c r="AE181" s="2145"/>
      <c r="AF181" s="629" t="e">
        <f>SUMIF(#REF!,'Schedule B'!C181,#REF!)</f>
        <v>#REF!</v>
      </c>
      <c r="AG181" s="539"/>
      <c r="AH181" s="539" t="e">
        <f>AF181-#REF!</f>
        <v>#REF!</v>
      </c>
      <c r="AI181" s="539" t="e">
        <f t="shared" si="96"/>
        <v>#REF!</v>
      </c>
      <c r="AJ181" s="539" t="e">
        <f t="shared" si="97"/>
        <v>#REF!</v>
      </c>
    </row>
    <row r="182" spans="1:36" ht="18" customHeight="1">
      <c r="A182" s="2139"/>
      <c r="B182" s="2139"/>
      <c r="C182" s="2514"/>
      <c r="D182" s="2514"/>
      <c r="E182" s="2143"/>
      <c r="F182" s="2532"/>
      <c r="H182" s="2144"/>
      <c r="I182" s="2505"/>
      <c r="J182" s="2505"/>
      <c r="K182" s="2506"/>
      <c r="M182" s="2505"/>
      <c r="N182" s="2505"/>
      <c r="O182" s="2505"/>
      <c r="P182" s="2505"/>
      <c r="Q182" s="2144"/>
      <c r="S182" s="2144"/>
      <c r="U182" s="2144"/>
      <c r="V182" s="2506"/>
      <c r="X182" s="2144"/>
      <c r="Y182" s="2506"/>
      <c r="Z182" s="181">
        <f t="shared" si="94"/>
        <v>0</v>
      </c>
      <c r="AA182" s="182">
        <f t="shared" si="95"/>
        <v>0</v>
      </c>
      <c r="AC182" s="2499"/>
      <c r="AD182" s="2500"/>
      <c r="AE182" s="2145"/>
      <c r="AF182" s="629" t="e">
        <f>SUMIF(#REF!,'Schedule B'!C182,#REF!)</f>
        <v>#REF!</v>
      </c>
      <c r="AG182" s="539" t="e">
        <f>#REF!-#REF!</f>
        <v>#REF!</v>
      </c>
      <c r="AH182" s="539">
        <f>N182</f>
        <v>0</v>
      </c>
      <c r="AI182" s="539" t="e">
        <f>Q182-AG182</f>
        <v>#REF!</v>
      </c>
      <c r="AJ182" s="539">
        <f>N182-AH182</f>
        <v>0</v>
      </c>
    </row>
    <row r="183" spans="1:36" s="167" customFormat="1" ht="33" customHeight="1" thickBot="1">
      <c r="A183" s="2518" t="s">
        <v>508</v>
      </c>
      <c r="B183" s="2518"/>
      <c r="C183" s="2519" t="s">
        <v>518</v>
      </c>
      <c r="D183" s="2519"/>
      <c r="E183" s="2520">
        <f>E176+E170+E73+E180</f>
        <v>21785723</v>
      </c>
      <c r="F183" s="2987">
        <f>F176+F170+F73+F180</f>
        <v>457671817.53999996</v>
      </c>
      <c r="G183" s="164"/>
      <c r="H183" s="2520">
        <f>H176+H170+H73+H180</f>
        <v>479457540.53999996</v>
      </c>
      <c r="I183" s="2520">
        <f>I176+I170+I73+I180</f>
        <v>231444.35999999163</v>
      </c>
      <c r="J183" s="2520">
        <f>J176+J170+J73+J180</f>
        <v>1993436.11</v>
      </c>
      <c r="K183" s="2520">
        <f>K176+K170+K73+K180</f>
        <v>481682421.00999993</v>
      </c>
      <c r="L183" s="164"/>
      <c r="M183" s="2520">
        <f>M176+M170+M73+M180</f>
        <v>-18178391.659999996</v>
      </c>
      <c r="N183" s="2520">
        <f>N176+N170+N73+N180</f>
        <v>3205613.5</v>
      </c>
      <c r="O183" s="2520">
        <f>O176+O170+O73+O180</f>
        <v>32891648.893043488</v>
      </c>
      <c r="P183" s="2520">
        <f>P176+P170+P73+P180</f>
        <v>0</v>
      </c>
      <c r="Q183" s="2520">
        <f>Q176+Q170+Q73+Q180</f>
        <v>499601291.74304348</v>
      </c>
      <c r="R183" s="164"/>
      <c r="S183" s="2520">
        <f>S176+S170+S73+S180</f>
        <v>20143751.203043483</v>
      </c>
      <c r="T183" s="164"/>
      <c r="U183" s="2520">
        <f>U176+U170+U73+U180</f>
        <v>457894708.13150001</v>
      </c>
      <c r="V183" s="2520">
        <f>V176+V170+V73+V180</f>
        <v>41706583.611543499</v>
      </c>
      <c r="W183" s="164"/>
      <c r="X183" s="2521">
        <v>499817176.93304348</v>
      </c>
      <c r="Y183" s="2521">
        <f>Y176+Y170+Y73+Y180</f>
        <v>-215885.18999999762</v>
      </c>
      <c r="Z183" s="181">
        <f t="shared" si="94"/>
        <v>-20143751.20304352</v>
      </c>
      <c r="AA183" s="182">
        <f t="shared" si="95"/>
        <v>0</v>
      </c>
      <c r="AB183" s="167">
        <f>+X183-Q183</f>
        <v>215885.18999999762</v>
      </c>
      <c r="AC183" s="2524"/>
      <c r="AD183" s="2525"/>
      <c r="AE183" s="2526"/>
      <c r="AF183" s="167">
        <f>+Q183-X183</f>
        <v>-215885.18999999762</v>
      </c>
    </row>
    <row r="184" spans="1:36" ht="19.5" customHeight="1" thickTop="1" thickBot="1">
      <c r="A184" s="184"/>
      <c r="B184" s="184"/>
      <c r="C184" s="185"/>
      <c r="D184" s="185"/>
      <c r="E184" s="781"/>
      <c r="F184" s="2988"/>
      <c r="H184" s="186"/>
      <c r="I184" s="187"/>
      <c r="J184" s="187"/>
      <c r="K184" s="186"/>
      <c r="M184" s="187"/>
      <c r="N184" s="187"/>
      <c r="O184" s="187"/>
      <c r="P184" s="187"/>
      <c r="Q184" s="186"/>
      <c r="S184" s="186"/>
      <c r="U184" s="186"/>
      <c r="V184" s="186"/>
      <c r="X184" s="186"/>
      <c r="Y184" s="186"/>
      <c r="Z184" s="181">
        <f t="shared" si="94"/>
        <v>0</v>
      </c>
      <c r="AA184" s="182">
        <f t="shared" si="95"/>
        <v>0</v>
      </c>
      <c r="AC184" s="2499"/>
      <c r="AD184" s="2500"/>
      <c r="AE184" s="2145"/>
    </row>
    <row r="185" spans="1:36" s="168" customFormat="1" ht="41.25" customHeight="1" thickBot="1">
      <c r="A185" s="2518"/>
      <c r="B185" s="2518"/>
      <c r="C185" s="2554" t="s">
        <v>519</v>
      </c>
      <c r="D185" s="2554"/>
      <c r="E185" s="2520">
        <f>E183+E63+E45+E29</f>
        <v>39300445.359999999</v>
      </c>
      <c r="F185" s="2987">
        <f>F183+F63+F45+F29</f>
        <v>473997104.53999996</v>
      </c>
      <c r="G185" s="783"/>
      <c r="H185" s="2520">
        <f>H183+H63+H45+H29</f>
        <v>513297549.89999998</v>
      </c>
      <c r="I185" s="2520">
        <f>I183+I63+I45+I29</f>
        <v>5968356.4799999911</v>
      </c>
      <c r="J185" s="2520">
        <f>J183+J63+J45+J29</f>
        <v>1993436.11</v>
      </c>
      <c r="K185" s="2520">
        <f>K183+K63+K45+K29</f>
        <v>521259342.48999995</v>
      </c>
      <c r="L185" s="783"/>
      <c r="M185" s="2520">
        <f>M183+M63+M45+M29</f>
        <v>-18130223.579999998</v>
      </c>
      <c r="N185" s="2520">
        <f>N183+N63+N45+N29</f>
        <v>3156406.5</v>
      </c>
      <c r="O185" s="2520">
        <f>O183+O63+O45+O29</f>
        <v>32891648.893043488</v>
      </c>
      <c r="P185" s="2520">
        <f>P183+P63+P45+P29</f>
        <v>0</v>
      </c>
      <c r="Q185" s="2520">
        <f>Q183+Q63+Q45+Q29</f>
        <v>539177174.30304348</v>
      </c>
      <c r="R185" s="164"/>
      <c r="S185" s="2520">
        <f>S183+S63+S45+S29</f>
        <v>25879624.403043482</v>
      </c>
      <c r="T185" s="783"/>
      <c r="U185" s="2520">
        <f>U183+U63+U45+U29</f>
        <v>496895398.35149997</v>
      </c>
      <c r="V185" s="2520">
        <f>V183+V63+V45+V29</f>
        <v>42281775.951543503</v>
      </c>
      <c r="W185" s="783"/>
      <c r="X185" s="2521">
        <v>539393059.49304342</v>
      </c>
      <c r="Y185" s="2521">
        <f>Y183+Y63+Y45+Y29</f>
        <v>-215885.18999999762</v>
      </c>
      <c r="Z185" s="181">
        <f t="shared" si="94"/>
        <v>-25879624.403043509</v>
      </c>
      <c r="AA185" s="182">
        <f t="shared" si="95"/>
        <v>0</v>
      </c>
      <c r="AC185" s="647" t="e">
        <f>#REF!+AC29+#REF!+#REF!</f>
        <v>#REF!</v>
      </c>
      <c r="AD185" s="651" t="e">
        <f>#REF!+AD29+#REF!+#REF!</f>
        <v>#REF!</v>
      </c>
      <c r="AE185" s="636"/>
      <c r="AF185" s="638" t="e">
        <f>AC185-'Schedule A'!S32</f>
        <v>#REF!</v>
      </c>
    </row>
    <row r="186" spans="1:36" ht="19.5" customHeight="1" thickTop="1">
      <c r="A186" s="184"/>
      <c r="B186" s="184"/>
      <c r="C186" s="185"/>
      <c r="D186" s="185"/>
      <c r="E186" s="781"/>
      <c r="F186" s="2988"/>
      <c r="H186" s="186"/>
      <c r="I186" s="187"/>
      <c r="J186" s="187"/>
      <c r="K186" s="186"/>
      <c r="M186" s="187"/>
      <c r="N186" s="187"/>
      <c r="O186" s="187"/>
      <c r="P186" s="187"/>
      <c r="Q186" s="186"/>
      <c r="S186" s="186"/>
      <c r="U186" s="186"/>
      <c r="V186" s="186"/>
      <c r="X186" s="186"/>
      <c r="Y186" s="186"/>
      <c r="Z186" s="181" t="s">
        <v>2728</v>
      </c>
      <c r="AA186" s="182" t="e">
        <f t="shared" si="95"/>
        <v>#VALUE!</v>
      </c>
      <c r="AC186" s="2499"/>
      <c r="AD186" s="2500"/>
      <c r="AE186" s="2145"/>
    </row>
    <row r="187" spans="1:36" s="167" customFormat="1" ht="33" customHeight="1" thickBot="1">
      <c r="A187" s="2555" t="s">
        <v>520</v>
      </c>
      <c r="B187" s="2555"/>
      <c r="C187" s="2556" t="s">
        <v>521</v>
      </c>
      <c r="D187" s="2556"/>
      <c r="E187" s="2557"/>
      <c r="F187" s="2997"/>
      <c r="G187" s="164"/>
      <c r="H187" s="2557"/>
      <c r="I187" s="2557"/>
      <c r="J187" s="2557"/>
      <c r="K187" s="2557"/>
      <c r="L187" s="164"/>
      <c r="M187" s="2557"/>
      <c r="N187" s="2557"/>
      <c r="O187" s="2557"/>
      <c r="P187" s="2557"/>
      <c r="Q187" s="2557"/>
      <c r="R187" s="164"/>
      <c r="S187" s="2557"/>
      <c r="T187" s="164"/>
      <c r="U187" s="2557"/>
      <c r="V187" s="2557"/>
      <c r="W187" s="164"/>
      <c r="X187" s="2521"/>
      <c r="Y187" s="2521"/>
      <c r="Z187" s="181">
        <f>H187-Q187</f>
        <v>0</v>
      </c>
      <c r="AA187" s="182">
        <f t="shared" si="95"/>
        <v>0</v>
      </c>
      <c r="AC187" s="2524"/>
      <c r="AD187" s="2525"/>
      <c r="AE187" s="2526"/>
    </row>
    <row r="188" spans="1:36" ht="17.25" hidden="1" customHeight="1" outlineLevel="1" thickBot="1">
      <c r="A188" s="2139"/>
      <c r="B188" s="2503"/>
      <c r="C188" s="2504"/>
      <c r="D188" s="2504"/>
      <c r="E188" s="2143"/>
      <c r="F188" s="2532"/>
      <c r="H188" s="2144"/>
      <c r="I188" s="2505"/>
      <c r="J188" s="2505"/>
      <c r="K188" s="2506"/>
      <c r="M188" s="2144"/>
      <c r="N188" s="2144"/>
      <c r="O188" s="2505"/>
      <c r="P188" s="2505"/>
      <c r="Q188" s="2506"/>
      <c r="S188" s="2506"/>
      <c r="U188" s="2506"/>
      <c r="V188" s="2506"/>
      <c r="X188" s="2506"/>
      <c r="Y188" s="2506"/>
      <c r="Z188" s="181">
        <f>H188-Q188</f>
        <v>0</v>
      </c>
      <c r="AA188" s="182">
        <f t="shared" si="95"/>
        <v>0</v>
      </c>
      <c r="AC188" s="2499"/>
      <c r="AD188" s="2500"/>
      <c r="AE188" s="2145"/>
    </row>
    <row r="189" spans="1:36" ht="33" hidden="1" customHeight="1" outlineLevel="1" thickTop="1">
      <c r="A189" s="2535"/>
      <c r="B189" s="2535"/>
      <c r="C189" s="2536"/>
      <c r="D189" s="2536"/>
      <c r="E189" s="2537"/>
      <c r="F189" s="2991"/>
      <c r="H189" s="2538"/>
      <c r="I189" s="2538"/>
      <c r="J189" s="2538"/>
      <c r="K189" s="2538"/>
      <c r="M189" s="2538"/>
      <c r="N189" s="2538"/>
      <c r="O189" s="2538"/>
      <c r="P189" s="2538"/>
      <c r="Q189" s="2538"/>
      <c r="S189" s="2538"/>
      <c r="U189" s="2538"/>
      <c r="V189" s="2538"/>
      <c r="X189" s="2538"/>
      <c r="Y189" s="2538"/>
      <c r="Z189" s="181">
        <f>H189-Q189</f>
        <v>0</v>
      </c>
      <c r="AA189" s="182">
        <f t="shared" si="95"/>
        <v>0</v>
      </c>
      <c r="AC189" s="2539"/>
      <c r="AD189" s="2540"/>
      <c r="AE189" s="2145"/>
    </row>
    <row r="190" spans="1:36" ht="34.5" hidden="1" customHeight="1" outlineLevel="1" thickTop="1">
      <c r="A190" s="2139"/>
      <c r="B190" s="2139"/>
      <c r="C190" s="2142"/>
      <c r="D190" s="2141"/>
      <c r="E190" s="2143"/>
      <c r="F190" s="2532"/>
      <c r="H190" s="2144"/>
      <c r="I190" s="2144">
        <f>SUMIFS('Schedule C'!$AZ$34:$AZ$102,'Schedule C'!$M$34:$M$102,'Schedule B'!$B190,'Schedule C'!$AY$34:$AY$102,"ACTIVE",'Schedule C'!$AF$34:$AF$102,"ACTIVE",'Schedule C'!$X$34:$X$102,"ACTIVE")</f>
        <v>0</v>
      </c>
      <c r="J190" s="2144"/>
      <c r="K190" s="2144">
        <f>SUM(H190:I190)</f>
        <v>0</v>
      </c>
      <c r="M190" s="2144">
        <f>SUMIFS('Schedule C'!$AG$34:$AG$102,'Schedule C'!$M$34:$M$102,'Schedule B'!$B190,'Schedule C'!$AY$34:$AY$102,"NOT ACTIVE",'Schedule C'!$AF$34:$AF$102,"ACTIVE",'Schedule C'!$X$34:$X$102,"ACTIVE")</f>
        <v>0</v>
      </c>
      <c r="N190" s="2144">
        <f>SUMIFS('Schedule C'!$Y$21:$Y$102,'Schedule C'!$M$21:$M$102,'Schedule B'!$B190,'Schedule C'!$AY$21:$AY$102,"NOT ACTIVE",'Schedule C'!$AF$21:$AF$102,"NOT ACTIVE",'Schedule C'!$X$21:$X$102,"ACTIVE")</f>
        <v>0</v>
      </c>
      <c r="O190" s="2144">
        <f>SUMIF('Schedule C'!$M$34:$M$102,'Schedule B'!B190,'Schedule C'!$Q$34:$Q$102)</f>
        <v>0</v>
      </c>
      <c r="P190" s="2144">
        <v>0</v>
      </c>
      <c r="Q190" s="2144">
        <f>SUM(K190:P190)</f>
        <v>0</v>
      </c>
      <c r="S190" s="2144">
        <f>Q190-H190</f>
        <v>0</v>
      </c>
      <c r="U190" s="2144"/>
      <c r="V190" s="2144">
        <f>Q190-U190</f>
        <v>0</v>
      </c>
      <c r="X190" s="2144">
        <v>0</v>
      </c>
      <c r="Y190" s="2144">
        <f>Q190-X190</f>
        <v>0</v>
      </c>
      <c r="Z190" s="181">
        <f>H190-Q190</f>
        <v>0</v>
      </c>
      <c r="AA190" s="182">
        <f t="shared" si="95"/>
        <v>0</v>
      </c>
      <c r="AC190" s="2499"/>
      <c r="AD190" s="2500"/>
      <c r="AE190" s="2145"/>
      <c r="AF190" s="629" t="e">
        <f>SUMIF(#REF!,'Schedule B'!C190,#REF!)</f>
        <v>#REF!</v>
      </c>
      <c r="AG190" s="539"/>
      <c r="AH190" s="539" t="e">
        <f>AF190-#REF!</f>
        <v>#REF!</v>
      </c>
      <c r="AI190" s="539" t="e">
        <f>AF190-Q190</f>
        <v>#REF!</v>
      </c>
      <c r="AJ190" s="539" t="e">
        <f>N190-AH190</f>
        <v>#REF!</v>
      </c>
    </row>
    <row r="191" spans="1:36" ht="12.75" hidden="1" customHeight="1" outlineLevel="1" thickTop="1">
      <c r="A191" s="2139"/>
      <c r="B191" s="2139"/>
      <c r="C191" s="2142"/>
      <c r="D191" s="2142"/>
      <c r="E191" s="2143"/>
      <c r="F191" s="2532"/>
      <c r="H191" s="2144"/>
      <c r="I191" s="2144"/>
      <c r="J191" s="2144"/>
      <c r="K191" s="2144"/>
      <c r="M191" s="2144"/>
      <c r="N191" s="2144"/>
      <c r="O191" s="2144"/>
      <c r="P191" s="2144"/>
      <c r="Q191" s="2144"/>
      <c r="S191" s="2144"/>
      <c r="U191" s="2144"/>
      <c r="V191" s="2144"/>
      <c r="X191" s="2144"/>
      <c r="Y191" s="2144"/>
      <c r="Z191" s="181"/>
      <c r="AA191" s="182"/>
      <c r="AC191" s="2499"/>
      <c r="AD191" s="2500"/>
      <c r="AE191" s="2145"/>
      <c r="AF191" s="629"/>
      <c r="AG191" s="539"/>
      <c r="AH191" s="539"/>
      <c r="AI191" s="539"/>
      <c r="AJ191" s="539"/>
    </row>
    <row r="192" spans="1:36" ht="24" hidden="1" customHeight="1" outlineLevel="1" thickTop="1">
      <c r="A192" s="2558"/>
      <c r="B192" s="2558"/>
      <c r="C192" s="2559" t="s">
        <v>489</v>
      </c>
      <c r="D192" s="2560"/>
      <c r="E192" s="2561">
        <f>SUM(E188:E191)</f>
        <v>0</v>
      </c>
      <c r="F192" s="2998">
        <f>SUM(F188:F191)</f>
        <v>0</v>
      </c>
      <c r="H192" s="2562">
        <f>SUM(H188:H191)</f>
        <v>0</v>
      </c>
      <c r="I192" s="2562">
        <f>SUM(I188:I191)</f>
        <v>0</v>
      </c>
      <c r="J192" s="2562"/>
      <c r="K192" s="2562">
        <f>SUM(K188:K191)</f>
        <v>0</v>
      </c>
      <c r="M192" s="2562">
        <f t="shared" ref="M192:Q192" si="100">SUM(M188:M191)</f>
        <v>0</v>
      </c>
      <c r="N192" s="2562">
        <f t="shared" si="100"/>
        <v>0</v>
      </c>
      <c r="O192" s="2562">
        <f t="shared" si="100"/>
        <v>0</v>
      </c>
      <c r="P192" s="2562">
        <f t="shared" si="100"/>
        <v>0</v>
      </c>
      <c r="Q192" s="2562">
        <f t="shared" si="100"/>
        <v>0</v>
      </c>
      <c r="S192" s="2562">
        <f>SUM(S188:S191)</f>
        <v>0</v>
      </c>
      <c r="U192" s="2562">
        <f>SUM(U188:U191)</f>
        <v>0</v>
      </c>
      <c r="V192" s="2562">
        <f>SUM(V188:V191)</f>
        <v>0</v>
      </c>
      <c r="X192" s="2562">
        <v>0</v>
      </c>
      <c r="Y192" s="2562">
        <f>SUM(Y188:Y191)</f>
        <v>0</v>
      </c>
      <c r="Z192" s="181"/>
      <c r="AA192" s="182"/>
      <c r="AC192" s="2499"/>
      <c r="AD192" s="2500"/>
      <c r="AE192" s="2145"/>
      <c r="AF192" s="629"/>
      <c r="AG192" s="539"/>
      <c r="AH192" s="539"/>
      <c r="AI192" s="539"/>
      <c r="AJ192" s="539"/>
    </row>
    <row r="193" spans="1:36" ht="12.75" hidden="1" customHeight="1" outlineLevel="1" thickTop="1">
      <c r="A193" s="2139"/>
      <c r="B193" s="2139"/>
      <c r="C193" s="2142"/>
      <c r="D193" s="2142"/>
      <c r="E193" s="2143"/>
      <c r="F193" s="2532"/>
      <c r="H193" s="2144"/>
      <c r="I193" s="2144"/>
      <c r="J193" s="2144"/>
      <c r="K193" s="2144"/>
      <c r="M193" s="2144"/>
      <c r="N193" s="2144"/>
      <c r="O193" s="2144"/>
      <c r="P193" s="2144"/>
      <c r="Q193" s="2144"/>
      <c r="S193" s="2144"/>
      <c r="U193" s="2144"/>
      <c r="V193" s="2144"/>
      <c r="X193" s="2144"/>
      <c r="Y193" s="2144"/>
      <c r="Z193" s="181"/>
      <c r="AA193" s="182"/>
      <c r="AC193" s="2499"/>
      <c r="AD193" s="2500"/>
      <c r="AE193" s="2145"/>
      <c r="AF193" s="629"/>
      <c r="AG193" s="539"/>
      <c r="AH193" s="539"/>
      <c r="AI193" s="539"/>
      <c r="AJ193" s="539"/>
    </row>
    <row r="194" spans="1:36" ht="34.5" hidden="1" customHeight="1" outlineLevel="1" thickTop="1">
      <c r="A194" s="2139"/>
      <c r="B194" s="2139"/>
      <c r="C194" s="2142"/>
      <c r="D194" s="2141"/>
      <c r="E194" s="2143"/>
      <c r="F194" s="2532"/>
      <c r="H194" s="2144"/>
      <c r="I194" s="2144">
        <f>SUMIFS('Schedule C'!$AZ$34:$AZ$102,'Schedule C'!$M$34:$M$102,'Schedule B'!$B194,'Schedule C'!$AY$34:$AY$102,"ACTIVE",'Schedule C'!$AF$34:$AF$102,"ACTIVE",'Schedule C'!$X$34:$X$102,"ACTIVE")</f>
        <v>0</v>
      </c>
      <c r="J194" s="2144"/>
      <c r="K194" s="2144">
        <f>SUM(H194:I194)</f>
        <v>0</v>
      </c>
      <c r="M194" s="2144">
        <f>SUMIFS('Schedule C'!$AG$34:$AG$102,'Schedule C'!$M$34:$M$102,'Schedule B'!$B194,'Schedule C'!$AY$34:$AY$102,"NOT ACTIVE",'Schedule C'!$AF$34:$AF$102,"ACTIVE",'Schedule C'!$X$34:$X$102,"ACTIVE")</f>
        <v>0</v>
      </c>
      <c r="N194" s="2144">
        <f>SUMIFS('Schedule C'!$Y$21:$Y$102,'Schedule C'!$M$21:$M$102,'Schedule B'!$B194,'Schedule C'!$AY$21:$AY$102,"NOT ACTIVE",'Schedule C'!$AF$21:$AF$102,"NOT ACTIVE",'Schedule C'!$X$21:$X$102,"ACTIVE")</f>
        <v>0</v>
      </c>
      <c r="O194" s="2144">
        <f>SUMIF('Schedule C'!$M$34:$M$102,'Schedule B'!B194,'Schedule C'!$Q$34:$Q$102)</f>
        <v>0</v>
      </c>
      <c r="P194" s="2144">
        <v>0</v>
      </c>
      <c r="Q194" s="2144">
        <f>SUM(K194:P194)</f>
        <v>0</v>
      </c>
      <c r="S194" s="2144">
        <f>Q194-H194</f>
        <v>0</v>
      </c>
      <c r="U194" s="2144"/>
      <c r="V194" s="2144">
        <f>Q194-U194</f>
        <v>0</v>
      </c>
      <c r="X194" s="2144">
        <v>0</v>
      </c>
      <c r="Y194" s="2144">
        <f>Q194-X194</f>
        <v>0</v>
      </c>
      <c r="Z194" s="181">
        <f>H194-Q194</f>
        <v>0</v>
      </c>
      <c r="AA194" s="182">
        <f>(Q194-H194)+Z194</f>
        <v>0</v>
      </c>
      <c r="AC194" s="2499"/>
      <c r="AD194" s="2500"/>
      <c r="AE194" s="2145"/>
      <c r="AF194" s="629" t="e">
        <f>SUMIF(#REF!,'Schedule B'!C194,#REF!)</f>
        <v>#REF!</v>
      </c>
      <c r="AG194" s="539"/>
      <c r="AH194" s="539" t="e">
        <f>AF194-#REF!</f>
        <v>#REF!</v>
      </c>
      <c r="AI194" s="539" t="e">
        <f>AF194-Q194</f>
        <v>#REF!</v>
      </c>
      <c r="AJ194" s="539" t="e">
        <f>N194-AH194</f>
        <v>#REF!</v>
      </c>
    </row>
    <row r="195" spans="1:36" ht="24" hidden="1" customHeight="1" outlineLevel="1" thickTop="1">
      <c r="A195" s="2139"/>
      <c r="B195" s="2139"/>
      <c r="C195" s="2533"/>
      <c r="D195" s="2142"/>
      <c r="E195" s="2143"/>
      <c r="F195" s="2532"/>
      <c r="H195" s="2144"/>
      <c r="I195" s="2144"/>
      <c r="J195" s="2144"/>
      <c r="K195" s="2144"/>
      <c r="M195" s="2144"/>
      <c r="N195" s="2144"/>
      <c r="O195" s="2144"/>
      <c r="P195" s="2144"/>
      <c r="Q195" s="2144"/>
      <c r="S195" s="2144"/>
      <c r="U195" s="2144"/>
      <c r="V195" s="2144"/>
      <c r="X195" s="2144"/>
      <c r="Y195" s="2144"/>
      <c r="Z195" s="181">
        <f>H195-Q195</f>
        <v>0</v>
      </c>
      <c r="AA195" s="182">
        <f>(Q195-H195)+Z195</f>
        <v>0</v>
      </c>
      <c r="AC195" s="2499"/>
      <c r="AD195" s="2500"/>
      <c r="AE195" s="2145"/>
      <c r="AF195" s="629" t="e">
        <f>SUMIF(#REF!,'Schedule B'!C195,#REF!)</f>
        <v>#REF!</v>
      </c>
      <c r="AG195" s="539"/>
      <c r="AH195" s="539" t="e">
        <f>AF195-#REF!</f>
        <v>#REF!</v>
      </c>
      <c r="AI195" s="539" t="e">
        <f>AF195-Q195</f>
        <v>#REF!</v>
      </c>
      <c r="AJ195" s="539" t="e">
        <f>N195-AH195</f>
        <v>#REF!</v>
      </c>
    </row>
    <row r="196" spans="1:36" ht="24" hidden="1" customHeight="1" outlineLevel="1" thickTop="1">
      <c r="A196" s="2139"/>
      <c r="B196" s="2139"/>
      <c r="C196" s="2142"/>
      <c r="D196" s="2142"/>
      <c r="E196" s="2143"/>
      <c r="F196" s="2532"/>
      <c r="H196" s="2144"/>
      <c r="I196" s="2144">
        <f>SUMIFS('Schedule C'!$AZ$34:$AZ$102,'Schedule C'!$M$34:$M$102,'Schedule B'!$B196,'Schedule C'!$AY$34:$AY$102,"ACTIVE",'Schedule C'!$AF$34:$AF$102,"ACTIVE",'Schedule C'!$X$34:$X$102,"ACTIVE")</f>
        <v>0</v>
      </c>
      <c r="J196" s="2144"/>
      <c r="K196" s="2144">
        <f>SUM(H196:I196)</f>
        <v>0</v>
      </c>
      <c r="M196" s="2144">
        <f>SUMIFS('Schedule C'!$AG$34:$AG$102,'Schedule C'!$M$34:$M$102,'Schedule B'!$B196,'Schedule C'!$AY$34:$AY$102,"NOT ACTIVE",'Schedule C'!$AF$34:$AF$102,"ACTIVE",'Schedule C'!$X$34:$X$102,"ACTIVE")</f>
        <v>0</v>
      </c>
      <c r="N196" s="2144">
        <f>SUMIFS('Schedule C'!$Y$21:$Y$102,'Schedule C'!$M$21:$M$102,'Schedule B'!$B196,'Schedule C'!$AY$21:$AY$102,"NOT ACTIVE",'Schedule C'!$AF$21:$AF$102,"NOT ACTIVE",'Schedule C'!$X$21:$X$102,"ACTIVE")</f>
        <v>0</v>
      </c>
      <c r="O196" s="2144">
        <f>SUMIF('Schedule C'!$M$34:$M$102,'Schedule B'!B196,'Schedule C'!$Q$34:$Q$102)</f>
        <v>0</v>
      </c>
      <c r="P196" s="2144">
        <v>0</v>
      </c>
      <c r="Q196" s="2144">
        <f>SUM(K196:P196)</f>
        <v>0</v>
      </c>
      <c r="S196" s="2144">
        <f>Q196-H196</f>
        <v>0</v>
      </c>
      <c r="U196" s="2144"/>
      <c r="V196" s="2144">
        <f>Q196-U196</f>
        <v>0</v>
      </c>
      <c r="X196" s="2144">
        <v>0</v>
      </c>
      <c r="Y196" s="2144">
        <f>Q196-X196</f>
        <v>0</v>
      </c>
      <c r="Z196" s="181">
        <f>H196-Q196</f>
        <v>0</v>
      </c>
      <c r="AA196" s="182">
        <f>(Q196-H196)+Z196</f>
        <v>0</v>
      </c>
      <c r="AC196" s="2499"/>
      <c r="AD196" s="2500"/>
      <c r="AE196" s="2145"/>
      <c r="AF196" s="629" t="e">
        <f>SUMIF(#REF!,'Schedule B'!C196,#REF!)</f>
        <v>#REF!</v>
      </c>
      <c r="AG196" s="539"/>
      <c r="AH196" s="539" t="e">
        <f>AF196-#REF!</f>
        <v>#REF!</v>
      </c>
      <c r="AI196" s="539" t="e">
        <f>AF196-Q196</f>
        <v>#REF!</v>
      </c>
      <c r="AJ196" s="539" t="e">
        <f>N196-AH196</f>
        <v>#REF!</v>
      </c>
    </row>
    <row r="197" spans="1:36" ht="12.75" hidden="1" customHeight="1" outlineLevel="1" thickTop="1">
      <c r="A197" s="2139"/>
      <c r="B197" s="2139"/>
      <c r="C197" s="2142"/>
      <c r="D197" s="2142"/>
      <c r="E197" s="2143"/>
      <c r="F197" s="2532"/>
      <c r="H197" s="2144"/>
      <c r="I197" s="2144"/>
      <c r="J197" s="2144"/>
      <c r="K197" s="2144"/>
      <c r="M197" s="2144"/>
      <c r="N197" s="2144"/>
      <c r="O197" s="2144"/>
      <c r="P197" s="2144"/>
      <c r="Q197" s="2144"/>
      <c r="S197" s="2144"/>
      <c r="U197" s="2144"/>
      <c r="V197" s="2144"/>
      <c r="X197" s="2144"/>
      <c r="Y197" s="2144"/>
      <c r="Z197" s="181"/>
      <c r="AA197" s="182"/>
      <c r="AC197" s="2499"/>
      <c r="AD197" s="2500"/>
      <c r="AE197" s="2145"/>
      <c r="AF197" s="629"/>
      <c r="AG197" s="539"/>
      <c r="AH197" s="539"/>
      <c r="AI197" s="539"/>
      <c r="AJ197" s="539"/>
    </row>
    <row r="198" spans="1:36" ht="24" hidden="1" customHeight="1" outlineLevel="1" thickTop="1">
      <c r="A198" s="2558"/>
      <c r="B198" s="2558"/>
      <c r="C198" s="2559" t="s">
        <v>489</v>
      </c>
      <c r="D198" s="2560"/>
      <c r="E198" s="2561">
        <f>SUM(E193:E197)</f>
        <v>0</v>
      </c>
      <c r="F198" s="2998">
        <f>SUM(F193:F197)</f>
        <v>0</v>
      </c>
      <c r="H198" s="2562">
        <f>SUM(H193:H197)</f>
        <v>0</v>
      </c>
      <c r="I198" s="2562">
        <f>SUM(I193:I197)</f>
        <v>0</v>
      </c>
      <c r="J198" s="2562"/>
      <c r="K198" s="2562">
        <f>SUM(K193:K197)</f>
        <v>0</v>
      </c>
      <c r="M198" s="2562">
        <f t="shared" ref="M198:Q198" si="101">SUM(M193:M197)</f>
        <v>0</v>
      </c>
      <c r="N198" s="2562">
        <f t="shared" si="101"/>
        <v>0</v>
      </c>
      <c r="O198" s="2562">
        <f t="shared" si="101"/>
        <v>0</v>
      </c>
      <c r="P198" s="2562">
        <f t="shared" si="101"/>
        <v>0</v>
      </c>
      <c r="Q198" s="2562">
        <f t="shared" si="101"/>
        <v>0</v>
      </c>
      <c r="S198" s="2562">
        <f>SUM(S193:S197)</f>
        <v>0</v>
      </c>
      <c r="U198" s="2562">
        <f>SUM(U193:U197)</f>
        <v>0</v>
      </c>
      <c r="V198" s="2562">
        <f>SUM(V193:V197)</f>
        <v>0</v>
      </c>
      <c r="X198" s="2562">
        <v>0</v>
      </c>
      <c r="Y198" s="2562">
        <f>SUM(Y193:Y197)</f>
        <v>0</v>
      </c>
      <c r="Z198" s="181"/>
      <c r="AA198" s="182"/>
      <c r="AC198" s="2499"/>
      <c r="AD198" s="2500"/>
      <c r="AE198" s="2145"/>
      <c r="AF198" s="629"/>
      <c r="AG198" s="539"/>
      <c r="AH198" s="539"/>
      <c r="AI198" s="539"/>
      <c r="AJ198" s="539"/>
    </row>
    <row r="199" spans="1:36" ht="15" customHeight="1" collapsed="1" thickTop="1">
      <c r="A199" s="2513"/>
      <c r="B199" s="2513"/>
      <c r="C199" s="2514"/>
      <c r="D199" s="2514"/>
      <c r="E199" s="2143"/>
      <c r="F199" s="2532"/>
      <c r="H199" s="2144"/>
      <c r="I199" s="2505"/>
      <c r="J199" s="2505"/>
      <c r="K199" s="2144"/>
      <c r="M199" s="2505"/>
      <c r="N199" s="2505"/>
      <c r="O199" s="2505"/>
      <c r="P199" s="2505"/>
      <c r="Q199" s="2144"/>
      <c r="S199" s="2144"/>
      <c r="U199" s="2144"/>
      <c r="V199" s="2506"/>
      <c r="X199" s="2144"/>
      <c r="Y199" s="2506"/>
      <c r="Z199" s="181">
        <f t="shared" ref="Z199:Z204" si="102">H199-Q199</f>
        <v>0</v>
      </c>
      <c r="AA199" s="182">
        <f t="shared" ref="AA199:AA204" si="103">(Q199-H199)+Z199</f>
        <v>0</v>
      </c>
      <c r="AC199" s="2499"/>
      <c r="AD199" s="2500"/>
      <c r="AE199" s="2145"/>
      <c r="AI199" s="164">
        <v>102</v>
      </c>
    </row>
    <row r="200" spans="1:36" s="167" customFormat="1" ht="33" customHeight="1" thickBot="1">
      <c r="A200" s="2563" t="s">
        <v>520</v>
      </c>
      <c r="B200" s="2564"/>
      <c r="C200" s="2565" t="s">
        <v>522</v>
      </c>
      <c r="D200" s="2565"/>
      <c r="E200" s="2566">
        <f>E198+E192</f>
        <v>0</v>
      </c>
      <c r="F200" s="2999">
        <f>F198+F192</f>
        <v>0</v>
      </c>
      <c r="G200" s="164"/>
      <c r="H200" s="2566">
        <f>H198+H192</f>
        <v>0</v>
      </c>
      <c r="I200" s="2566">
        <f t="shared" ref="I200:V200" si="104">I198+I192</f>
        <v>0</v>
      </c>
      <c r="J200" s="2566"/>
      <c r="K200" s="2566">
        <f t="shared" si="104"/>
        <v>0</v>
      </c>
      <c r="L200" s="164"/>
      <c r="M200" s="2566">
        <f t="shared" si="104"/>
        <v>0</v>
      </c>
      <c r="N200" s="2566">
        <f t="shared" si="104"/>
        <v>0</v>
      </c>
      <c r="O200" s="2566">
        <f>O198+O192</f>
        <v>0</v>
      </c>
      <c r="P200" s="2566">
        <f t="shared" si="104"/>
        <v>0</v>
      </c>
      <c r="Q200" s="2566">
        <f t="shared" si="104"/>
        <v>0</v>
      </c>
      <c r="R200" s="164"/>
      <c r="S200" s="2566">
        <f t="shared" si="104"/>
        <v>0</v>
      </c>
      <c r="T200" s="164"/>
      <c r="U200" s="2566">
        <f t="shared" si="104"/>
        <v>0</v>
      </c>
      <c r="V200" s="2566">
        <f t="shared" si="104"/>
        <v>0</v>
      </c>
      <c r="W200" s="164"/>
      <c r="X200" s="2521">
        <v>0</v>
      </c>
      <c r="Y200" s="2521">
        <f>Y198+Y192</f>
        <v>0</v>
      </c>
      <c r="Z200" s="181">
        <f t="shared" si="102"/>
        <v>0</v>
      </c>
      <c r="AA200" s="182">
        <f t="shared" si="103"/>
        <v>0</v>
      </c>
      <c r="AC200" s="2524"/>
      <c r="AD200" s="2525"/>
      <c r="AE200" s="2526"/>
    </row>
    <row r="201" spans="1:36" ht="19.5" customHeight="1" thickTop="1">
      <c r="A201" s="184"/>
      <c r="B201" s="184"/>
      <c r="C201" s="185"/>
      <c r="D201" s="185"/>
      <c r="E201" s="781"/>
      <c r="F201" s="2988"/>
      <c r="H201" s="186"/>
      <c r="I201" s="187"/>
      <c r="J201" s="187"/>
      <c r="K201" s="186"/>
      <c r="M201" s="187"/>
      <c r="N201" s="187"/>
      <c r="O201" s="187"/>
      <c r="P201" s="187"/>
      <c r="Q201" s="186"/>
      <c r="S201" s="186"/>
      <c r="U201" s="186"/>
      <c r="V201" s="186"/>
      <c r="X201" s="186"/>
      <c r="Y201" s="186"/>
      <c r="Z201" s="181">
        <f t="shared" si="102"/>
        <v>0</v>
      </c>
      <c r="AA201" s="182">
        <f t="shared" si="103"/>
        <v>0</v>
      </c>
      <c r="AC201" s="2499"/>
      <c r="AD201" s="2500"/>
      <c r="AE201" s="2145"/>
    </row>
    <row r="202" spans="1:36" s="167" customFormat="1" ht="33" customHeight="1" thickBot="1">
      <c r="A202" s="2555" t="s">
        <v>523</v>
      </c>
      <c r="B202" s="2555"/>
      <c r="C202" s="2556" t="s">
        <v>524</v>
      </c>
      <c r="D202" s="2556"/>
      <c r="E202" s="2557"/>
      <c r="F202" s="2997"/>
      <c r="G202" s="164"/>
      <c r="H202" s="2557"/>
      <c r="I202" s="2557"/>
      <c r="J202" s="2557"/>
      <c r="K202" s="2557"/>
      <c r="L202" s="164"/>
      <c r="M202" s="2557"/>
      <c r="N202" s="2557"/>
      <c r="O202" s="2557"/>
      <c r="P202" s="2557"/>
      <c r="Q202" s="2557"/>
      <c r="R202" s="164"/>
      <c r="S202" s="2557"/>
      <c r="T202" s="164"/>
      <c r="U202" s="2557"/>
      <c r="V202" s="2557"/>
      <c r="W202" s="164"/>
      <c r="X202" s="2521"/>
      <c r="Y202" s="2521"/>
      <c r="Z202" s="181">
        <f t="shared" si="102"/>
        <v>0</v>
      </c>
      <c r="AA202" s="182">
        <f t="shared" si="103"/>
        <v>0</v>
      </c>
      <c r="AC202" s="2524"/>
      <c r="AD202" s="2525"/>
      <c r="AE202" s="2526"/>
    </row>
    <row r="203" spans="1:36" ht="17.25" customHeight="1" thickTop="1">
      <c r="A203" s="2139"/>
      <c r="B203" s="2503"/>
      <c r="C203" s="2504"/>
      <c r="D203" s="2504"/>
      <c r="E203" s="2143"/>
      <c r="F203" s="2996"/>
      <c r="H203" s="2144"/>
      <c r="I203" s="2505"/>
      <c r="J203" s="2505"/>
      <c r="K203" s="2506"/>
      <c r="M203" s="2144"/>
      <c r="N203" s="2144"/>
      <c r="O203" s="2505"/>
      <c r="P203" s="2505"/>
      <c r="Q203" s="2506"/>
      <c r="S203" s="2506"/>
      <c r="U203" s="2506"/>
      <c r="V203" s="2506"/>
      <c r="X203" s="2506"/>
      <c r="Y203" s="2506"/>
      <c r="Z203" s="181">
        <f t="shared" si="102"/>
        <v>0</v>
      </c>
      <c r="AA203" s="182">
        <f t="shared" si="103"/>
        <v>0</v>
      </c>
      <c r="AC203" s="2499"/>
      <c r="AD203" s="2500"/>
      <c r="AE203" s="2145"/>
    </row>
    <row r="204" spans="1:36" ht="17.25" customHeight="1">
      <c r="A204" s="2139" t="s">
        <v>2808</v>
      </c>
      <c r="B204" s="2503" t="s">
        <v>2807</v>
      </c>
      <c r="C204" s="5212" t="s">
        <v>2809</v>
      </c>
      <c r="D204" s="2504"/>
      <c r="E204" s="2143">
        <f>28206303*0</f>
        <v>0</v>
      </c>
      <c r="F204" s="2996">
        <f>+'Schedule J'!I108+'Schedule J'!I109</f>
        <v>1107465.8799999999</v>
      </c>
      <c r="H204" s="2144">
        <f>E204+F204</f>
        <v>1107465.8799999999</v>
      </c>
      <c r="I204" s="2144">
        <f>SUMIFS('Schedule C'!$AZ$21:$AZ$500,'Schedule C'!$M$21:$M$500,'Schedule B'!$B204,'Schedule C'!$AY$21:$AY$500,"ACTIVE",'Schedule C'!$AF$21:$AF$500,"ACTIVE",'Schedule C'!$X$21:$X$500,"ACTIVE")</f>
        <v>851779</v>
      </c>
      <c r="J204" s="2505"/>
      <c r="K204" s="2506">
        <f>SUM(H204:J204)</f>
        <v>1959244.88</v>
      </c>
      <c r="M204" s="2144">
        <f>SUMIFS('Schedule C'!$AG$21:$AG$500,'Schedule C'!$M$21:$M$500,'Schedule B'!$B204,'Schedule C'!$AY$21:$AY$500,"NOT ACTIVE",'Schedule C'!$AF$21:$AF$500,"ACTIVE",'Schedule C'!$X$21:$X$500,"ACTIVE")</f>
        <v>0</v>
      </c>
      <c r="N204" s="2144">
        <f>SUMIFS('Schedule C'!$Y$21:$Y$500,'Schedule C'!$M$21:$M$500,'Schedule B'!$B204,'Schedule C'!$AY$21:$AY$500,"NOT ACTIVE",'Schedule C'!$AF$21:$AF$500,"NOT ACTIVE",'Schedule C'!$X$21:$X$500,"ACTIVE")</f>
        <v>0</v>
      </c>
      <c r="O204" s="2144">
        <f>SUMIF('Schedule C'!$M$21:$M$500,'Schedule B'!B204,'Schedule C'!$Q$21:$Q$500)</f>
        <v>0</v>
      </c>
      <c r="P204" s="2505">
        <v>0</v>
      </c>
      <c r="Q204" s="2506">
        <f>SUM(K204:P204)</f>
        <v>1959244.88</v>
      </c>
      <c r="S204" s="2506">
        <f>Q204-H204</f>
        <v>851779</v>
      </c>
      <c r="U204" s="5650">
        <f>+'Schedule H AREEN'!U37</f>
        <v>25367673.689999998</v>
      </c>
      <c r="V204" s="5650">
        <f>+Q204+Q207+Q209-U204</f>
        <v>14605374.75</v>
      </c>
      <c r="X204" s="2506">
        <v>1959244.88</v>
      </c>
      <c r="Y204" s="2506">
        <f>Q204-X204</f>
        <v>0</v>
      </c>
      <c r="Z204" s="181">
        <f t="shared" si="102"/>
        <v>-851779</v>
      </c>
      <c r="AA204" s="182">
        <f t="shared" si="103"/>
        <v>0</v>
      </c>
      <c r="AB204" s="164">
        <f>+AB210+Y210</f>
        <v>0</v>
      </c>
      <c r="AC204" s="2499"/>
      <c r="AD204" s="2500"/>
      <c r="AE204" s="2145"/>
      <c r="AF204" s="164" t="e">
        <f>SUMIF(#REF!,'Schedule B'!C204,#REF!)</f>
        <v>#REF!</v>
      </c>
      <c r="AH204" s="164" t="e">
        <f>AF204-#REF!</f>
        <v>#REF!</v>
      </c>
      <c r="AI204" s="164" t="e">
        <f>AF204-Q204</f>
        <v>#REF!</v>
      </c>
      <c r="AJ204" s="164" t="e">
        <f>N204-AH204</f>
        <v>#REF!</v>
      </c>
    </row>
    <row r="205" spans="1:36" ht="17.25" customHeight="1">
      <c r="A205" s="2139"/>
      <c r="B205" s="2503"/>
      <c r="C205" s="2504"/>
      <c r="D205" s="2504"/>
      <c r="E205" s="2143"/>
      <c r="F205" s="2996"/>
      <c r="H205" s="2144"/>
      <c r="I205" s="2144">
        <f>SUMIFS('Schedule C'!$AZ$21:$AZ$500,'Schedule C'!$M$21:$M$500,'Schedule B'!$B205,'Schedule C'!$AY$21:$AY$500,"ACTIVE",'Schedule C'!$AF$21:$AF$500,"ACTIVE",'Schedule C'!$X$21:$X$500,"ACTIVE")</f>
        <v>0</v>
      </c>
      <c r="J205" s="2505"/>
      <c r="K205" s="2506"/>
      <c r="M205" s="2144"/>
      <c r="N205" s="2144"/>
      <c r="O205" s="2505"/>
      <c r="P205" s="2505"/>
      <c r="Q205" s="2506"/>
      <c r="S205" s="2506"/>
      <c r="U205" s="5651"/>
      <c r="V205" s="5651"/>
      <c r="X205" s="2506"/>
      <c r="Y205" s="2506"/>
      <c r="Z205" s="181"/>
      <c r="AA205" s="182"/>
      <c r="AC205" s="2499"/>
      <c r="AD205" s="2500"/>
      <c r="AE205" s="2145"/>
    </row>
    <row r="206" spans="1:36" ht="17.25" customHeight="1">
      <c r="A206" s="2139"/>
      <c r="B206" s="2140"/>
      <c r="C206" s="2533" t="s">
        <v>2962</v>
      </c>
      <c r="D206" s="2141"/>
      <c r="E206" s="2143"/>
      <c r="F206" s="2996"/>
      <c r="H206" s="2144"/>
      <c r="I206" s="2144">
        <f>SUMIFS('Schedule C'!$AZ$21:$AZ$500,'Schedule C'!$M$21:$M$500,'Schedule B'!$B206,'Schedule C'!$AY$21:$AY$500,"ACTIVE",'Schedule C'!$AF$21:$AF$500,"ACTIVE",'Schedule C'!$X$21:$X$500,"ACTIVE")</f>
        <v>0</v>
      </c>
      <c r="J206" s="2144"/>
      <c r="K206" s="2144"/>
      <c r="M206" s="2144"/>
      <c r="N206" s="2144"/>
      <c r="O206" s="2144"/>
      <c r="P206" s="2144"/>
      <c r="Q206" s="2144"/>
      <c r="S206" s="2144"/>
      <c r="U206" s="5651"/>
      <c r="V206" s="5651"/>
      <c r="X206" s="2144"/>
      <c r="Y206" s="2144"/>
      <c r="Z206" s="181"/>
      <c r="AA206" s="182"/>
      <c r="AC206" s="2499"/>
      <c r="AD206" s="2500"/>
      <c r="AE206" s="2145"/>
    </row>
    <row r="207" spans="1:36" ht="33" customHeight="1">
      <c r="A207" s="2139" t="s">
        <v>2909</v>
      </c>
      <c r="B207" s="2140" t="s">
        <v>192</v>
      </c>
      <c r="C207" s="4654" t="s">
        <v>525</v>
      </c>
      <c r="D207" s="2536"/>
      <c r="E207" s="2143">
        <f>12800000*0</f>
        <v>0</v>
      </c>
      <c r="F207" s="2996">
        <f>+' Schedule J SS'!G87+' Schedule J SS'!F118+' Schedule J SS'!F122</f>
        <v>22998647.559999999</v>
      </c>
      <c r="H207" s="2144">
        <f>E207+F207</f>
        <v>22998647.559999999</v>
      </c>
      <c r="I207" s="2144">
        <f>SUMIFS('Schedule C'!$AZ$21:$AZ$500,'Schedule C'!$M$21:$M$500,'Schedule B'!$B207,'Schedule C'!$AY$21:$AY$500,"ACTIVE",'Schedule C'!$AF$21:$AF$500,"ACTIVE",'Schedule C'!$X$21:$X$500,"ACTIVE")</f>
        <v>0</v>
      </c>
      <c r="J207" s="2144"/>
      <c r="K207" s="2506">
        <f>SUM(H207:J207)</f>
        <v>22998647.559999999</v>
      </c>
      <c r="M207" s="2144">
        <f>SUMIFS('Schedule C'!$AG$21:$AG$500,'Schedule C'!$M$21:$M$500,'Schedule B'!$B207,'Schedule C'!$AY$21:$AY$500,"NOT ACTIVE",'Schedule C'!$AF$21:$AF$500,"ACTIVE",'Schedule C'!$X$21:$X$500,"ACTIVE")</f>
        <v>0</v>
      </c>
      <c r="N207" s="2144">
        <f>SUMIFS('Schedule C'!$Y$21:$Y$500,'Schedule C'!$M$21:$M$500,'Schedule B'!$B207,'Schedule C'!$AY$21:$AY$500,"NOT ACTIVE",'Schedule C'!$AF$21:$AF$500,"NOT ACTIVE",'Schedule C'!$X$21:$X$500,"ACTIVE")</f>
        <v>0</v>
      </c>
      <c r="O207" s="2144">
        <f>SUMIF('Schedule C'!$M$21:$M$500,'Schedule B'!B207,'Schedule C'!$Q$21:$Q$500)</f>
        <v>0</v>
      </c>
      <c r="P207" s="2144">
        <v>0</v>
      </c>
      <c r="Q207" s="2144">
        <f>SUM(K207:P207)</f>
        <v>22998647.559999999</v>
      </c>
      <c r="S207" s="2144">
        <f>Q207-H207</f>
        <v>0</v>
      </c>
      <c r="U207" s="5651"/>
      <c r="V207" s="5651"/>
      <c r="X207" s="2144">
        <v>22998647.559999999</v>
      </c>
      <c r="Y207" s="2144">
        <f>Q207-X207</f>
        <v>0</v>
      </c>
      <c r="Z207" s="181">
        <f>H207-Q207</f>
        <v>0</v>
      </c>
      <c r="AA207" s="182">
        <f>(Q207-H207)+Z207</f>
        <v>0</v>
      </c>
      <c r="AC207" s="2539"/>
      <c r="AD207" s="2540"/>
      <c r="AE207" s="2145"/>
    </row>
    <row r="208" spans="1:36" ht="33" customHeight="1">
      <c r="A208" s="2139" t="s">
        <v>2911</v>
      </c>
      <c r="B208" s="2140" t="s">
        <v>195</v>
      </c>
      <c r="C208" s="2141" t="s">
        <v>526</v>
      </c>
      <c r="D208" s="2536"/>
      <c r="E208" s="2143">
        <f>340000*0</f>
        <v>0</v>
      </c>
      <c r="F208" s="2996">
        <f>+' Schedule J SS'!G88+' Schedule J SS'!F125</f>
        <v>0</v>
      </c>
      <c r="H208" s="2144">
        <f>E208+F208</f>
        <v>0</v>
      </c>
      <c r="I208" s="2144">
        <f>SUMIFS('Schedule C'!$AZ$21:$AZ$500,'Schedule C'!$M$21:$M$500,'Schedule B'!$B208,'Schedule C'!$AY$21:$AY$500,"ACTIVE",'Schedule C'!$AF$21:$AF$500,"ACTIVE",'Schedule C'!$X$21:$X$500,"ACTIVE")</f>
        <v>0</v>
      </c>
      <c r="J208" s="2144"/>
      <c r="K208" s="2506">
        <f>SUM(H208:J208)</f>
        <v>0</v>
      </c>
      <c r="M208" s="2144">
        <f>SUMIFS('Schedule C'!$AG$21:$AG$500,'Schedule C'!$M$21:$M$500,'Schedule B'!$B208,'Schedule C'!$AY$21:$AY$500,"NOT ACTIVE",'Schedule C'!$AF$21:$AF$500,"ACTIVE",'Schedule C'!$X$21:$X$500,"ACTIVE")</f>
        <v>0</v>
      </c>
      <c r="N208" s="2144">
        <f>SUMIFS('Schedule C'!$Y$21:$Y$500,'Schedule C'!$M$21:$M$500,'Schedule B'!$B208,'Schedule C'!$AY$21:$AY$500,"NOT ACTIVE",'Schedule C'!$AF$21:$AF$500,"NOT ACTIVE",'Schedule C'!$X$21:$X$500,"ACTIVE")</f>
        <v>0</v>
      </c>
      <c r="O208" s="2144">
        <f>SUMIF('Schedule C'!$M$21:$M$500,'Schedule B'!B208,'Schedule C'!$Q$21:$Q$500)</f>
        <v>0</v>
      </c>
      <c r="P208" s="2144">
        <v>0</v>
      </c>
      <c r="Q208" s="2144">
        <f>SUM(K208:P208)</f>
        <v>0</v>
      </c>
      <c r="S208" s="2144">
        <f>Q208-H208</f>
        <v>0</v>
      </c>
      <c r="U208" s="5651"/>
      <c r="V208" s="5651"/>
      <c r="X208" s="2144">
        <v>0</v>
      </c>
      <c r="Y208" s="2144">
        <f>Q208-X208</f>
        <v>0</v>
      </c>
      <c r="Z208" s="181">
        <f>H208-Q208</f>
        <v>0</v>
      </c>
      <c r="AA208" s="182">
        <f>(Q208-H208)+Z208</f>
        <v>0</v>
      </c>
      <c r="AC208" s="2539"/>
      <c r="AD208" s="2540"/>
      <c r="AE208" s="2145"/>
    </row>
    <row r="209" spans="1:36" ht="33" customHeight="1">
      <c r="A209" s="2139" t="s">
        <v>2909</v>
      </c>
      <c r="B209" s="2140" t="s">
        <v>197</v>
      </c>
      <c r="C209" s="4654" t="s">
        <v>197</v>
      </c>
      <c r="D209" s="2536"/>
      <c r="E209" s="2143">
        <f>3543829*0</f>
        <v>0</v>
      </c>
      <c r="F209" s="2996">
        <f>+' Schedule J SS'!G89+' Schedule J SS'!G122+' Schedule J SS'!G123+' Schedule J SS'!G124+' Schedule J SS'!G125</f>
        <v>14586000.000000004</v>
      </c>
      <c r="H209" s="2144">
        <f>E209+F209</f>
        <v>14586000.000000004</v>
      </c>
      <c r="I209" s="2144">
        <f>SUMIFS('Schedule C'!$AZ$21:$AZ$500,'Schedule C'!$M$21:$M$500,'Schedule B'!$B209,'Schedule C'!$AY$21:$AY$500,"ACTIVE",'Schedule C'!$AF$21:$AF$500,"ACTIVE",'Schedule C'!$X$21:$X$500,"ACTIVE")</f>
        <v>0</v>
      </c>
      <c r="J209" s="2144"/>
      <c r="K209" s="2506">
        <f>SUM(H209:J209)</f>
        <v>14586000.000000004</v>
      </c>
      <c r="M209" s="2144">
        <f>SUMIFS('Schedule C'!$AG$21:$AG$500,'Schedule C'!$M$21:$M$500,'Schedule B'!$B209,'Schedule C'!$AY$21:$AY$500,"NOT ACTIVE",'Schedule C'!$AF$21:$AF$500,"ACTIVE",'Schedule C'!$X$21:$X$500,"ACTIVE")</f>
        <v>0</v>
      </c>
      <c r="N209" s="2144">
        <f>SUMIFS('Schedule C'!$Y$21:$Y$500,'Schedule C'!$M$21:$M$500,'Schedule B'!$B209,'Schedule C'!$AY$21:$AY$500,"NOT ACTIVE",'Schedule C'!$AF$21:$AF$500,"NOT ACTIVE",'Schedule C'!$X$21:$X$500,"ACTIVE")</f>
        <v>429156</v>
      </c>
      <c r="O209" s="2144">
        <f>SUMIF('Schedule C'!$M$21:$M$500,'Schedule B'!B209,'Schedule C'!$Q$21:$Q$500)</f>
        <v>0</v>
      </c>
      <c r="P209" s="2144">
        <v>0</v>
      </c>
      <c r="Q209" s="2144">
        <f>SUM(K209:P209)</f>
        <v>15015156.000000004</v>
      </c>
      <c r="S209" s="2144">
        <f>Q209-H209</f>
        <v>429156</v>
      </c>
      <c r="U209" s="5651"/>
      <c r="V209" s="5651"/>
      <c r="X209" s="2144">
        <v>15015156.000000004</v>
      </c>
      <c r="Y209" s="2144">
        <f>Q209-X209</f>
        <v>0</v>
      </c>
      <c r="Z209" s="181">
        <f>H209-Q209</f>
        <v>-429156</v>
      </c>
      <c r="AA209" s="182">
        <f>(Q209-H209)+Z209</f>
        <v>0</v>
      </c>
      <c r="AC209" s="2539"/>
      <c r="AD209" s="2540"/>
      <c r="AE209" s="2145"/>
    </row>
    <row r="210" spans="1:36" ht="33" customHeight="1">
      <c r="A210" s="2139" t="s">
        <v>2910</v>
      </c>
      <c r="B210" s="2140" t="s">
        <v>200</v>
      </c>
      <c r="C210" s="2141" t="s">
        <v>527</v>
      </c>
      <c r="D210" s="2536"/>
      <c r="E210" s="2143">
        <f>2400000*0</f>
        <v>0</v>
      </c>
      <c r="F210" s="2996">
        <f>+' Schedule J SS'!G90+' Schedule J SS'!F124</f>
        <v>0</v>
      </c>
      <c r="H210" s="2144">
        <f>E210+F210</f>
        <v>0</v>
      </c>
      <c r="I210" s="2144">
        <f>SUMIFS('Schedule C'!$AZ$21:$AZ$500,'Schedule C'!$M$21:$M$500,'Schedule B'!$B210,'Schedule C'!$AY$21:$AY$500,"ACTIVE",'Schedule C'!$AF$21:$AF$500,"ACTIVE",'Schedule C'!$X$21:$X$500,"ACTIVE")</f>
        <v>0</v>
      </c>
      <c r="J210" s="2144"/>
      <c r="K210" s="2506">
        <f>SUM(H210:J210)</f>
        <v>0</v>
      </c>
      <c r="M210" s="2144">
        <f>SUMIFS('Schedule C'!$AG$21:$AG$500,'Schedule C'!$M$21:$M$500,'Schedule B'!$B210,'Schedule C'!$AY$21:$AY$500,"NOT ACTIVE",'Schedule C'!$AF$21:$AF$500,"ACTIVE",'Schedule C'!$X$21:$X$500,"ACTIVE")</f>
        <v>0</v>
      </c>
      <c r="N210" s="2144">
        <f>SUMIFS('Schedule C'!$Y$21:$Y$500,'Schedule C'!$M$21:$M$500,'Schedule B'!$B210,'Schedule C'!$AY$21:$AY$500,"NOT ACTIVE",'Schedule C'!$AF$21:$AF$500,"NOT ACTIVE",'Schedule C'!$X$21:$X$500,"ACTIVE")</f>
        <v>0</v>
      </c>
      <c r="O210" s="2144">
        <f>SUMIF('Schedule C'!$M$21:$M$500,'Schedule B'!B210,'Schedule C'!$Q$21:$Q$500)</f>
        <v>0</v>
      </c>
      <c r="P210" s="2144">
        <v>0</v>
      </c>
      <c r="Q210" s="2144">
        <f>SUM(K210:P210)</f>
        <v>0</v>
      </c>
      <c r="S210" s="2144">
        <f>Q210-H210</f>
        <v>0</v>
      </c>
      <c r="U210" s="5652"/>
      <c r="V210" s="5652"/>
      <c r="X210" s="2144">
        <v>0</v>
      </c>
      <c r="Y210" s="2144">
        <f>Q210-X210</f>
        <v>0</v>
      </c>
      <c r="Z210" s="181">
        <f>H210-Q210</f>
        <v>0</v>
      </c>
      <c r="AA210" s="182">
        <f>(Q210-H210)+Z210</f>
        <v>0</v>
      </c>
      <c r="AC210" s="2539"/>
      <c r="AD210" s="2540"/>
      <c r="AE210" s="2145"/>
    </row>
    <row r="211" spans="1:36" ht="19.5" customHeight="1">
      <c r="A211" s="2139"/>
      <c r="B211" s="2140"/>
      <c r="C211" s="2141"/>
      <c r="D211" s="2536"/>
      <c r="E211" s="2143"/>
      <c r="F211" s="2996"/>
      <c r="H211" s="2144"/>
      <c r="I211" s="2144">
        <f>SUMIFS('Schedule C'!$AZ$21:$AZ$500,'Schedule C'!$M$21:$M$500,'Schedule B'!$B211,'Schedule C'!$AY$21:$AY$500,"ACTIVE",'Schedule C'!$AF$21:$AF$500,"ACTIVE",'Schedule C'!$X$21:$X$500,"ACTIVE")</f>
        <v>0</v>
      </c>
      <c r="J211" s="2144"/>
      <c r="K211" s="2506"/>
      <c r="M211" s="2144"/>
      <c r="N211" s="2144"/>
      <c r="O211" s="2144"/>
      <c r="P211" s="2144"/>
      <c r="Q211" s="2144"/>
      <c r="S211" s="2144"/>
      <c r="U211" s="4486"/>
      <c r="V211" s="4486"/>
      <c r="X211" s="2144"/>
      <c r="Y211" s="2144"/>
      <c r="Z211" s="181"/>
      <c r="AA211" s="182"/>
      <c r="AC211" s="2539"/>
      <c r="AD211" s="2540"/>
      <c r="AE211" s="2145"/>
    </row>
    <row r="212" spans="1:36" ht="17.25" customHeight="1">
      <c r="A212" s="4426" t="s">
        <v>5240</v>
      </c>
      <c r="B212" s="4575" t="s">
        <v>5080</v>
      </c>
      <c r="C212" s="4543" t="s">
        <v>5239</v>
      </c>
      <c r="D212" s="2504"/>
      <c r="E212" s="2143">
        <f>28206303*0</f>
        <v>0</v>
      </c>
      <c r="F212" s="2996">
        <f>+'Schedule J'!I448</f>
        <v>397876</v>
      </c>
      <c r="H212" s="2144">
        <f t="shared" ref="H212:H218" si="105">E212+F212</f>
        <v>397876</v>
      </c>
      <c r="I212" s="2144">
        <f>SUMIFS('Schedule C'!$AZ$21:$AZ$500,'Schedule C'!$M$21:$M$500,'Schedule B'!$B212,'Schedule C'!$AY$21:$AY$500,"ACTIVE",'Schedule C'!$AF$21:$AF$500,"ACTIVE",'Schedule C'!$X$21:$X$500,"ACTIVE")</f>
        <v>0</v>
      </c>
      <c r="J212" s="2505"/>
      <c r="K212" s="2506">
        <f>SUM(H212:J212)</f>
        <v>397876</v>
      </c>
      <c r="M212" s="2144">
        <f>SUMIFS('Schedule C'!$AG$21:$AG$500,'Schedule C'!$M$21:$M$500,'Schedule B'!$B212,'Schedule C'!$AY$21:$AY$500,"NOT ACTIVE",'Schedule C'!$AF$21:$AF$500,"ACTIVE",'Schedule C'!$X$21:$X$500,"ACTIVE")</f>
        <v>0</v>
      </c>
      <c r="N212" s="2144">
        <f>SUMIFS('Schedule C'!$Y$21:$Y$500,'Schedule C'!$M$21:$M$500,'Schedule B'!$B212,'Schedule C'!$AY$21:$AY$500,"NOT ACTIVE",'Schedule C'!$AF$21:$AF$500,"NOT ACTIVE",'Schedule C'!$X$21:$X$500,"ACTIVE")</f>
        <v>0</v>
      </c>
      <c r="O212" s="2144">
        <f>SUMIF('Schedule C'!$M$21:$M$500,'Schedule B'!B212,'Schedule C'!$Q$21:$Q$500)</f>
        <v>0</v>
      </c>
      <c r="P212" s="2505">
        <v>0</v>
      </c>
      <c r="Q212" s="2506">
        <f t="shared" ref="Q212:Q218" si="106">SUM(K212:P212)</f>
        <v>397876</v>
      </c>
      <c r="S212" s="2506">
        <f t="shared" ref="S212:S218" si="107">Q212-H212</f>
        <v>0</v>
      </c>
      <c r="U212" s="4486">
        <v>0</v>
      </c>
      <c r="V212" s="2144">
        <f t="shared" ref="V212:V218" si="108">Q212-U212</f>
        <v>397876</v>
      </c>
      <c r="X212" s="2506">
        <v>397876</v>
      </c>
      <c r="Y212" s="2506">
        <f t="shared" ref="Y212:Y218" si="109">Q212-X212</f>
        <v>0</v>
      </c>
      <c r="Z212" s="181">
        <f>H212-Q212</f>
        <v>0</v>
      </c>
      <c r="AA212" s="182">
        <f>(Q212-H212)+Z212</f>
        <v>0</v>
      </c>
      <c r="AB212" s="164">
        <f>+AB227+Y227</f>
        <v>0</v>
      </c>
      <c r="AC212" s="2499"/>
      <c r="AD212" s="2500"/>
      <c r="AE212" s="2145"/>
      <c r="AF212" s="164" t="e">
        <f>SUMIF(#REF!,'Schedule B'!C212,#REF!)</f>
        <v>#REF!</v>
      </c>
      <c r="AH212" s="164" t="e">
        <f>AF212-#REF!</f>
        <v>#REF!</v>
      </c>
      <c r="AI212" s="164" t="e">
        <f>AF212-Q212</f>
        <v>#REF!</v>
      </c>
      <c r="AJ212" s="164" t="e">
        <f>N212-AH212</f>
        <v>#REF!</v>
      </c>
    </row>
    <row r="213" spans="1:36" ht="35.25" customHeight="1" outlineLevel="2">
      <c r="A213" s="4426" t="s">
        <v>5241</v>
      </c>
      <c r="B213" s="4003" t="s">
        <v>5166</v>
      </c>
      <c r="C213" s="4513" t="s">
        <v>5166</v>
      </c>
      <c r="D213" s="2142"/>
      <c r="E213" s="2143">
        <v>0</v>
      </c>
      <c r="F213" s="2532">
        <f>+'Schedule J'!I452</f>
        <v>353487.06</v>
      </c>
      <c r="H213" s="2144">
        <f t="shared" si="105"/>
        <v>353487.06</v>
      </c>
      <c r="I213" s="2144">
        <f>SUMIFS('Schedule C'!$AZ$21:$AZ$500,'Schedule C'!$M$21:$M$500,'Schedule B'!$B213,'Schedule C'!$AY$21:$AY$500,"ACTIVE",'Schedule C'!$AF$21:$AF$500,"ACTIVE",'Schedule C'!$X$21:$X$500,"ACTIVE")</f>
        <v>0</v>
      </c>
      <c r="J213" s="2144"/>
      <c r="K213" s="2144">
        <f t="shared" ref="K213:K218" si="110">SUM(H213:I213)</f>
        <v>353487.06</v>
      </c>
      <c r="L213" s="2144"/>
      <c r="M213" s="2144">
        <f>SUMIFS('Schedule C'!$AG$21:$AG$500,'Schedule C'!$M$21:$M$500,'Schedule B'!$B213,'Schedule C'!$AY$21:$AY$500,"NOT ACTIVE",'Schedule C'!$AF$21:$AF$500,"ACTIVE",'Schedule C'!$X$21:$X$500,"ACTIVE")</f>
        <v>0</v>
      </c>
      <c r="N213" s="2144">
        <f>SUMIFS('Schedule C'!$Y$21:$Y$500,'Schedule C'!$M$21:$M$500,'Schedule B'!$B213,'Schedule C'!$AY$21:$AY$500,"NOT ACTIVE",'Schedule C'!$AF$21:$AF$500,"NOT ACTIVE",'Schedule C'!$X$21:$X$500,"ACTIVE")</f>
        <v>0</v>
      </c>
      <c r="O213" s="2144">
        <f>SUMIF('Schedule C'!$M$21:$M$500,'Schedule B'!B213,'Schedule C'!$Q$21:$Q$500)</f>
        <v>0</v>
      </c>
      <c r="P213" s="2144">
        <v>0</v>
      </c>
      <c r="Q213" s="2144">
        <f t="shared" si="106"/>
        <v>353487.06</v>
      </c>
      <c r="S213" s="2144">
        <f t="shared" si="107"/>
        <v>0</v>
      </c>
      <c r="U213" s="2144">
        <f>+'Schedule H HAM'!U86</f>
        <v>0</v>
      </c>
      <c r="V213" s="2144">
        <f t="shared" si="108"/>
        <v>353487.06</v>
      </c>
      <c r="X213" s="2144">
        <v>353487.06</v>
      </c>
      <c r="Y213" s="2144">
        <f t="shared" si="109"/>
        <v>0</v>
      </c>
      <c r="Z213" s="181"/>
      <c r="AA213" s="182"/>
      <c r="AC213" s="2499"/>
      <c r="AD213" s="2500"/>
      <c r="AE213" s="2145"/>
      <c r="AF213" s="629"/>
      <c r="AG213" s="539"/>
      <c r="AH213" s="539"/>
      <c r="AI213" s="539"/>
      <c r="AJ213" s="539"/>
    </row>
    <row r="214" spans="1:36" ht="17.25" customHeight="1">
      <c r="A214" s="4426" t="s">
        <v>5242</v>
      </c>
      <c r="B214" s="4003" t="s">
        <v>5165</v>
      </c>
      <c r="C214" s="4152" t="s">
        <v>5165</v>
      </c>
      <c r="D214" s="2142"/>
      <c r="E214" s="2143">
        <v>0</v>
      </c>
      <c r="F214" s="2532">
        <f>+'Schedule J'!I451+'Schedule J'!I466</f>
        <v>115998.98000000001</v>
      </c>
      <c r="H214" s="2144">
        <f t="shared" si="105"/>
        <v>115998.98000000001</v>
      </c>
      <c r="I214" s="2144">
        <f>SUMIFS('Schedule C'!$AZ$21:$AZ$500,'Schedule C'!$M$21:$M$500,'Schedule B'!$B214,'Schedule C'!$AY$21:$AY$500,"ACTIVE",'Schedule C'!$AF$21:$AF$500,"ACTIVE",'Schedule C'!$X$21:$X$500,"ACTIVE")</f>
        <v>0</v>
      </c>
      <c r="J214" s="2144"/>
      <c r="K214" s="2144">
        <f t="shared" si="110"/>
        <v>115998.98000000001</v>
      </c>
      <c r="L214" s="2144"/>
      <c r="M214" s="2144">
        <f>SUMIFS('Schedule C'!$AG$21:$AG$500,'Schedule C'!$M$21:$M$500,'Schedule B'!$B214,'Schedule C'!$AY$21:$AY$500,"NOT ACTIVE",'Schedule C'!$AF$21:$AF$500,"ACTIVE",'Schedule C'!$X$21:$X$500,"ACTIVE")</f>
        <v>0</v>
      </c>
      <c r="N214" s="2144">
        <f>SUMIFS('Schedule C'!$Y$21:$Y$500,'Schedule C'!$M$21:$M$500,'Schedule B'!$B214,'Schedule C'!$AY$21:$AY$500,"NOT ACTIVE",'Schedule C'!$AF$21:$AF$500,"NOT ACTIVE",'Schedule C'!$X$21:$X$500,"ACTIVE")</f>
        <v>0</v>
      </c>
      <c r="O214" s="2144">
        <f>SUMIF('Schedule C'!$M$21:$M$500,'Schedule B'!B214,'Schedule C'!$Q$21:$Q$500)</f>
        <v>0</v>
      </c>
      <c r="P214" s="2144">
        <v>0</v>
      </c>
      <c r="Q214" s="2144">
        <f t="shared" si="106"/>
        <v>115998.98000000001</v>
      </c>
      <c r="S214" s="2144">
        <f t="shared" si="107"/>
        <v>0</v>
      </c>
      <c r="U214" s="2144">
        <f>'Schedule H BIRCH'!U37</f>
        <v>115998.97500000001</v>
      </c>
      <c r="V214" s="2144">
        <f>Q214-U214</f>
        <v>5.0000000046566129E-3</v>
      </c>
      <c r="X214" s="2144">
        <v>115998.98000000001</v>
      </c>
      <c r="Y214" s="2144">
        <f t="shared" si="109"/>
        <v>0</v>
      </c>
      <c r="Z214" s="181"/>
      <c r="AA214" s="182"/>
      <c r="AC214" s="2499"/>
      <c r="AD214" s="2500"/>
      <c r="AE214" s="2145"/>
    </row>
    <row r="215" spans="1:36" ht="17.25" customHeight="1">
      <c r="A215" s="4426" t="s">
        <v>5248</v>
      </c>
      <c r="B215" s="4003" t="s">
        <v>5247</v>
      </c>
      <c r="C215" s="4152" t="s">
        <v>5247</v>
      </c>
      <c r="D215" s="2142"/>
      <c r="E215" s="2143">
        <v>0</v>
      </c>
      <c r="F215" s="2532">
        <f>+'Schedule J'!I458+'Schedule J'!I510</f>
        <v>16655</v>
      </c>
      <c r="H215" s="2144">
        <f t="shared" si="105"/>
        <v>16655</v>
      </c>
      <c r="I215" s="2144">
        <f>SUMIFS('Schedule C'!$AZ$21:$AZ$500,'Schedule C'!$M$21:$M$500,'Schedule B'!$B215,'Schedule C'!$AY$21:$AY$500,"ACTIVE",'Schedule C'!$AF$21:$AF$500,"ACTIVE",'Schedule C'!$X$21:$X$500,"ACTIVE")</f>
        <v>0</v>
      </c>
      <c r="J215" s="2144"/>
      <c r="K215" s="2144">
        <f t="shared" si="110"/>
        <v>16655</v>
      </c>
      <c r="L215" s="2144"/>
      <c r="M215" s="2144">
        <f>SUMIFS('Schedule C'!$AG$21:$AG$500,'Schedule C'!$M$21:$M$500,'Schedule B'!$B215,'Schedule C'!$AY$21:$AY$500,"NOT ACTIVE",'Schedule C'!$AF$21:$AF$500,"ACTIVE",'Schedule C'!$X$21:$X$500,"ACTIVE")</f>
        <v>0</v>
      </c>
      <c r="N215" s="2144">
        <f>SUMIFS('Schedule C'!$Y$21:$Y$500,'Schedule C'!$M$21:$M$500,'Schedule B'!$B215,'Schedule C'!$AY$21:$AY$500,"NOT ACTIVE",'Schedule C'!$AF$21:$AF$500,"NOT ACTIVE",'Schedule C'!$X$21:$X$500,"ACTIVE")</f>
        <v>0</v>
      </c>
      <c r="O215" s="2144">
        <f>SUMIF('Schedule C'!$M$21:$M$500,'Schedule B'!B215,'Schedule C'!$Q$21:$Q$500)</f>
        <v>0</v>
      </c>
      <c r="P215" s="2144">
        <v>0</v>
      </c>
      <c r="Q215" s="2144">
        <f t="shared" si="106"/>
        <v>16655</v>
      </c>
      <c r="S215" s="2144">
        <f t="shared" si="107"/>
        <v>0</v>
      </c>
      <c r="U215" s="2144">
        <f>+'Schedule H HAM'!U88</f>
        <v>0</v>
      </c>
      <c r="V215" s="2144">
        <f>Q215-U215</f>
        <v>16655</v>
      </c>
      <c r="X215" s="2144">
        <v>16655</v>
      </c>
      <c r="Y215" s="2144">
        <f t="shared" si="109"/>
        <v>0</v>
      </c>
      <c r="Z215" s="181"/>
      <c r="AA215" s="182"/>
      <c r="AC215" s="2499"/>
      <c r="AD215" s="2500"/>
      <c r="AE215" s="2145"/>
    </row>
    <row r="216" spans="1:36" ht="17.25" customHeight="1">
      <c r="A216" s="4426" t="s">
        <v>5284</v>
      </c>
      <c r="B216" s="4003" t="s">
        <v>5166</v>
      </c>
      <c r="C216" s="4513" t="s">
        <v>5166</v>
      </c>
      <c r="D216" s="2142"/>
      <c r="E216" s="2143">
        <v>0</v>
      </c>
      <c r="F216" s="2532">
        <f>+'Schedule J'!I462</f>
        <v>34719</v>
      </c>
      <c r="H216" s="2144">
        <f t="shared" si="105"/>
        <v>34719</v>
      </c>
      <c r="I216" s="2144">
        <f>SUMIFS('Schedule C'!$AZ$21:$AZ$500,'Schedule C'!$M$21:$M$500,'Schedule B'!$B216,'Schedule C'!$AY$21:$AY$500,"ACTIVE",'Schedule C'!$AF$21:$AF$500,"ACTIVE",'Schedule C'!$X$21:$X$500,"ACTIVE")</f>
        <v>0</v>
      </c>
      <c r="J216" s="2144"/>
      <c r="K216" s="2144">
        <f t="shared" si="110"/>
        <v>34719</v>
      </c>
      <c r="L216" s="2144"/>
      <c r="M216" s="2144">
        <f>SUMIFS('Schedule C'!$AG$21:$AG$500,'Schedule C'!$M$21:$M$500,'Schedule B'!$B216,'Schedule C'!$AY$21:$AY$500,"NOT ACTIVE",'Schedule C'!$AF$21:$AF$500,"ACTIVE",'Schedule C'!$X$21:$X$500,"ACTIVE")</f>
        <v>0</v>
      </c>
      <c r="N216" s="2144">
        <f>SUMIFS('Schedule C'!$Y$21:$Y$500,'Schedule C'!$M$21:$M$500,'Schedule B'!$B216,'Schedule C'!$AY$21:$AY$500,"NOT ACTIVE",'Schedule C'!$AF$21:$AF$500,"NOT ACTIVE",'Schedule C'!$X$21:$X$500,"ACTIVE")</f>
        <v>0</v>
      </c>
      <c r="O216" s="2144">
        <f>SUMIF('Schedule C'!$M$21:$M$500,'Schedule B'!B216,'Schedule C'!$Q$21:$Q$500)</f>
        <v>0</v>
      </c>
      <c r="P216" s="2144">
        <v>0</v>
      </c>
      <c r="Q216" s="2144">
        <f t="shared" si="106"/>
        <v>34719</v>
      </c>
      <c r="S216" s="2144">
        <f t="shared" si="107"/>
        <v>0</v>
      </c>
      <c r="U216" s="2144">
        <f>'Schedule H Saudico'!U37</f>
        <v>34719</v>
      </c>
      <c r="V216" s="2144">
        <f t="shared" si="108"/>
        <v>0</v>
      </c>
      <c r="X216" s="2144">
        <v>34719</v>
      </c>
      <c r="Y216" s="2144">
        <f t="shared" si="109"/>
        <v>0</v>
      </c>
      <c r="Z216" s="181"/>
      <c r="AA216" s="182"/>
      <c r="AC216" s="2499"/>
      <c r="AD216" s="2500"/>
      <c r="AE216" s="2145"/>
    </row>
    <row r="217" spans="1:36" ht="17.25" customHeight="1">
      <c r="A217" s="4426" t="s">
        <v>5336</v>
      </c>
      <c r="B217" s="4003" t="s">
        <v>5337</v>
      </c>
      <c r="C217" s="4513" t="s">
        <v>5337</v>
      </c>
      <c r="D217" s="2142"/>
      <c r="E217" s="2143">
        <v>0</v>
      </c>
      <c r="F217" s="2532">
        <f>+'Schedule J'!I518+'Schedule J'!I560</f>
        <v>32751.56</v>
      </c>
      <c r="H217" s="2144">
        <f t="shared" si="105"/>
        <v>32751.56</v>
      </c>
      <c r="I217" s="2144">
        <f>SUMIFS('Schedule C'!$AZ$21:$AZ$500,'Schedule C'!$M$21:$M$500,'Schedule B'!$B217,'Schedule C'!$AY$21:$AY$500,"ACTIVE",'Schedule C'!$AF$21:$AF$500,"ACTIVE",'Schedule C'!$X$21:$X$500,"ACTIVE")</f>
        <v>0</v>
      </c>
      <c r="J217" s="2144"/>
      <c r="K217" s="2144">
        <f t="shared" si="110"/>
        <v>32751.56</v>
      </c>
      <c r="L217" s="2144"/>
      <c r="M217" s="2144">
        <f>SUMIFS('Schedule C'!$AG$21:$AG$500,'Schedule C'!$M$21:$M$500,'Schedule B'!$B217,'Schedule C'!$AY$21:$AY$500,"NOT ACTIVE",'Schedule C'!$AF$21:$AF$500,"ACTIVE",'Schedule C'!$X$21:$X$500,"ACTIVE")</f>
        <v>0</v>
      </c>
      <c r="N217" s="2144">
        <f>SUMIFS('Schedule C'!$Y$21:$Y$500,'Schedule C'!$M$21:$M$500,'Schedule B'!$B217,'Schedule C'!$AY$21:$AY$500,"NOT ACTIVE",'Schedule C'!$AF$21:$AF$500,"NOT ACTIVE",'Schedule C'!$X$21:$X$500,"ACTIVE")</f>
        <v>0</v>
      </c>
      <c r="O217" s="2144">
        <f>SUMIF('Schedule C'!$M$21:$M$500,'Schedule B'!B217,'Schedule C'!$Q$21:$Q$500)</f>
        <v>0</v>
      </c>
      <c r="P217" s="2144">
        <v>0</v>
      </c>
      <c r="Q217" s="2144">
        <f t="shared" si="106"/>
        <v>32751.56</v>
      </c>
      <c r="S217" s="2144">
        <f t="shared" si="107"/>
        <v>0</v>
      </c>
      <c r="U217" s="2144">
        <v>0</v>
      </c>
      <c r="V217" s="2144">
        <f>Q217-U217</f>
        <v>32751.56</v>
      </c>
      <c r="X217" s="2144">
        <v>32751.56</v>
      </c>
      <c r="Y217" s="2144">
        <f t="shared" si="109"/>
        <v>0</v>
      </c>
      <c r="Z217" s="181"/>
      <c r="AA217" s="182"/>
      <c r="AC217" s="2499"/>
      <c r="AD217" s="2500"/>
      <c r="AE217" s="2145"/>
    </row>
    <row r="218" spans="1:36" ht="17.25" customHeight="1">
      <c r="A218" s="4426" t="s">
        <v>5338</v>
      </c>
      <c r="B218" s="4003" t="s">
        <v>5339</v>
      </c>
      <c r="C218" s="4654" t="s">
        <v>6569</v>
      </c>
      <c r="D218" s="2142"/>
      <c r="E218" s="2143">
        <v>0</v>
      </c>
      <c r="F218" s="2532">
        <f>+'Schedule J'!I519</f>
        <v>58307.19</v>
      </c>
      <c r="H218" s="2144">
        <f t="shared" si="105"/>
        <v>58307.19</v>
      </c>
      <c r="I218" s="2144">
        <f>SUMIFS('Schedule C'!$AZ$21:$AZ$500,'Schedule C'!$M$21:$M$500,'Schedule B'!$B218,'Schedule C'!$AY$21:$AY$500,"ACTIVE",'Schedule C'!$AF$21:$AF$500,"ACTIVE",'Schedule C'!$X$21:$X$500,"ACTIVE")</f>
        <v>0</v>
      </c>
      <c r="J218" s="2144"/>
      <c r="K218" s="2144">
        <f t="shared" si="110"/>
        <v>58307.19</v>
      </c>
      <c r="L218" s="2144"/>
      <c r="M218" s="2144">
        <f>SUMIFS('Schedule C'!$AG$21:$AG$500,'Schedule C'!$M$21:$M$500,'Schedule B'!$B218,'Schedule C'!$AY$21:$AY$500,"NOT ACTIVE",'Schedule C'!$AF$21:$AF$500,"ACTIVE",'Schedule C'!$X$21:$X$500,"ACTIVE")</f>
        <v>0</v>
      </c>
      <c r="N218" s="2144">
        <f>SUMIFS('Schedule C'!$Y$21:$Y$500,'Schedule C'!$M$21:$M$500,'Schedule B'!$B218,'Schedule C'!$AY$21:$AY$500,"NOT ACTIVE",'Schedule C'!$AF$21:$AF$500,"NOT ACTIVE",'Schedule C'!$X$21:$X$500,"ACTIVE")</f>
        <v>0</v>
      </c>
      <c r="O218" s="2144">
        <f>SUMIF('Schedule C'!$M$21:$M$500,'Schedule B'!B218,'Schedule C'!$Q$21:$Q$500)</f>
        <v>0</v>
      </c>
      <c r="P218" s="2144">
        <v>0</v>
      </c>
      <c r="Q218" s="2144">
        <f t="shared" si="106"/>
        <v>58307.19</v>
      </c>
      <c r="S218" s="2144">
        <f t="shared" si="107"/>
        <v>0</v>
      </c>
      <c r="U218" s="2144">
        <f>'Schedule H Info Cor'!AC37</f>
        <v>0</v>
      </c>
      <c r="V218" s="2144">
        <f t="shared" si="108"/>
        <v>58307.19</v>
      </c>
      <c r="X218" s="2144">
        <v>58307.19</v>
      </c>
      <c r="Y218" s="2144">
        <f t="shared" si="109"/>
        <v>0</v>
      </c>
      <c r="Z218" s="181"/>
      <c r="AA218" s="182"/>
      <c r="AC218" s="2499"/>
      <c r="AD218" s="2500"/>
      <c r="AE218" s="2145"/>
    </row>
    <row r="219" spans="1:36" ht="17.25" customHeight="1">
      <c r="A219" s="4653" t="s">
        <v>5422</v>
      </c>
      <c r="B219" s="4003" t="s">
        <v>5418</v>
      </c>
      <c r="C219" s="4654" t="s">
        <v>6456</v>
      </c>
      <c r="D219" s="2142"/>
      <c r="E219" s="2143">
        <v>0</v>
      </c>
      <c r="F219" s="2532">
        <f>+'Schedule J'!I542</f>
        <v>57135</v>
      </c>
      <c r="H219" s="2144">
        <f t="shared" ref="H219" si="111">E219+F219</f>
        <v>57135</v>
      </c>
      <c r="I219" s="2144">
        <f>SUMIFS('Schedule C'!$AZ$21:$AZ$500,'Schedule C'!$M$21:$M$500,'Schedule B'!$B219,'Schedule C'!$AY$21:$AY$500,"ACTIVE",'Schedule C'!$AF$21:$AF$500,"ACTIVE",'Schedule C'!$X$21:$X$500,"ACTIVE")</f>
        <v>0</v>
      </c>
      <c r="J219" s="2144"/>
      <c r="K219" s="2144">
        <f t="shared" ref="K219" si="112">SUM(H219:I219)</f>
        <v>57135</v>
      </c>
      <c r="L219" s="2144"/>
      <c r="M219" s="2144">
        <f>SUMIFS('Schedule C'!$AG$21:$AG$500,'Schedule C'!$M$21:$M$500,'Schedule B'!$B219,'Schedule C'!$AY$21:$AY$500,"NOT ACTIVE",'Schedule C'!$AF$21:$AF$500,"ACTIVE",'Schedule C'!$X$21:$X$500,"ACTIVE")</f>
        <v>0</v>
      </c>
      <c r="N219" s="2144">
        <f>SUMIFS('Schedule C'!$Y$21:$Y$500,'Schedule C'!$M$21:$M$500,'Schedule B'!$B219,'Schedule C'!$AY$21:$AY$500,"NOT ACTIVE",'Schedule C'!$AF$21:$AF$500,"NOT ACTIVE",'Schedule C'!$X$21:$X$500,"ACTIVE")</f>
        <v>0</v>
      </c>
      <c r="O219" s="2144">
        <f>SUMIF('Schedule C'!$M$21:$M$500,'Schedule B'!B219,'Schedule C'!$Q$21:$Q$500)</f>
        <v>0</v>
      </c>
      <c r="P219" s="2144">
        <v>0</v>
      </c>
      <c r="Q219" s="2144">
        <f t="shared" ref="Q219" si="113">SUM(K219:P219)</f>
        <v>57135</v>
      </c>
      <c r="S219" s="2144">
        <f t="shared" ref="S219" si="114">Q219-H219</f>
        <v>0</v>
      </c>
      <c r="U219" s="2144">
        <f>'Schedule H Reachware'!AC37</f>
        <v>0</v>
      </c>
      <c r="V219" s="2144">
        <f t="shared" ref="V219" si="115">Q219-U219</f>
        <v>57135</v>
      </c>
      <c r="X219" s="2144">
        <v>57135</v>
      </c>
      <c r="Y219" s="2144">
        <f t="shared" ref="Y219" si="116">Q219-X219</f>
        <v>0</v>
      </c>
      <c r="Z219" s="181"/>
      <c r="AA219" s="182"/>
      <c r="AC219" s="2499"/>
      <c r="AD219" s="2500"/>
      <c r="AE219" s="2145"/>
    </row>
    <row r="220" spans="1:36" ht="17.25" customHeight="1">
      <c r="A220" s="4653" t="s">
        <v>6298</v>
      </c>
      <c r="B220" s="4003" t="s">
        <v>6299</v>
      </c>
      <c r="C220" s="4654" t="s">
        <v>6299</v>
      </c>
      <c r="D220" s="2142"/>
      <c r="E220" s="2143">
        <v>0</v>
      </c>
      <c r="F220" s="2532">
        <f>+'Schedule J'!I566</f>
        <v>336187.5</v>
      </c>
      <c r="H220" s="2144">
        <f t="shared" ref="H220" si="117">E220+F220</f>
        <v>336187.5</v>
      </c>
      <c r="I220" s="2144">
        <f>SUMIFS('Schedule C'!$AZ$21:$AZ$500,'Schedule C'!$M$21:$M$500,'Schedule B'!$B220,'Schedule C'!$AY$21:$AY$500,"ACTIVE",'Schedule C'!$AF$21:$AF$500,"ACTIVE",'Schedule C'!$X$21:$X$500,"ACTIVE")</f>
        <v>0</v>
      </c>
      <c r="J220" s="2144"/>
      <c r="K220" s="2144">
        <f t="shared" ref="K220" si="118">SUM(H220:I220)</f>
        <v>336187.5</v>
      </c>
      <c r="L220" s="2144"/>
      <c r="M220" s="2144">
        <f>SUMIFS('Schedule C'!$AG$21:$AG$500,'Schedule C'!$M$21:$M$500,'Schedule B'!$B220,'Schedule C'!$AY$21:$AY$500,"NOT ACTIVE",'Schedule C'!$AF$21:$AF$500,"ACTIVE",'Schedule C'!$X$21:$X$500,"ACTIVE")</f>
        <v>0</v>
      </c>
      <c r="N220" s="2144">
        <f>SUMIFS('Schedule C'!$Y$21:$Y$500,'Schedule C'!$M$21:$M$500,'Schedule B'!$B220,'Schedule C'!$AY$21:$AY$500,"NOT ACTIVE",'Schedule C'!$AF$21:$AF$500,"NOT ACTIVE",'Schedule C'!$X$21:$X$500,"ACTIVE")</f>
        <v>0</v>
      </c>
      <c r="O220" s="2144">
        <f>SUMIF('Schedule C'!$M$21:$M$500,'Schedule B'!B220,'Schedule C'!$Q$21:$Q$500)</f>
        <v>0</v>
      </c>
      <c r="P220" s="2144">
        <v>0</v>
      </c>
      <c r="Q220" s="2144">
        <f t="shared" ref="Q220" si="119">SUM(K220:P220)</f>
        <v>336187.5</v>
      </c>
      <c r="S220" s="2144">
        <f t="shared" ref="S220" si="120">Q220-H220</f>
        <v>0</v>
      </c>
      <c r="U220" s="2144">
        <v>0</v>
      </c>
      <c r="V220" s="2144">
        <f t="shared" ref="V220" si="121">Q220-U220</f>
        <v>336187.5</v>
      </c>
      <c r="X220" s="2144">
        <v>336187.5</v>
      </c>
      <c r="Y220" s="2144">
        <f t="shared" ref="Y220" si="122">Q220-X220</f>
        <v>0</v>
      </c>
      <c r="Z220" s="181"/>
      <c r="AA220" s="182"/>
      <c r="AC220" s="2499"/>
      <c r="AD220" s="2500"/>
      <c r="AE220" s="2145"/>
    </row>
    <row r="221" spans="1:36" ht="17.25" customHeight="1">
      <c r="A221" s="4653" t="str">
        <f>DATA!K303</f>
        <v>FFEOSE.003D20</v>
      </c>
      <c r="B221" s="4003" t="s">
        <v>6688</v>
      </c>
      <c r="C221" s="4654" t="str">
        <f>DATA!E303</f>
        <v>Samtiah Arabis Ltd - Operation systems</v>
      </c>
      <c r="D221" s="2142"/>
      <c r="E221" s="2143">
        <v>0</v>
      </c>
      <c r="F221" s="2532">
        <f>'Schedule J'!I596</f>
        <v>59637.55</v>
      </c>
      <c r="H221" s="2144">
        <f t="shared" ref="H221" si="123">E221+F221</f>
        <v>59637.55</v>
      </c>
      <c r="I221" s="2144">
        <f>SUMIFS('Schedule C'!$AZ$21:$AZ$500,'Schedule C'!$M$21:$M$500,'Schedule B'!$B221,'Schedule C'!$AY$21:$AY$500,"ACTIVE",'Schedule C'!$AF$21:$AF$500,"ACTIVE",'Schedule C'!$X$21:$X$500,"ACTIVE")</f>
        <v>0</v>
      </c>
      <c r="J221" s="2144"/>
      <c r="K221" s="2144">
        <f t="shared" ref="K221" si="124">SUM(H221:I221)</f>
        <v>59637.55</v>
      </c>
      <c r="L221" s="2144"/>
      <c r="M221" s="2144">
        <f>SUMIFS('Schedule C'!$AG$21:$AG$500,'Schedule C'!$M$21:$M$500,'Schedule B'!$B221,'Schedule C'!$AY$21:$AY$500,"NOT ACTIVE",'Schedule C'!$AF$21:$AF$500,"ACTIVE",'Schedule C'!$X$21:$X$500,"ACTIVE")</f>
        <v>0</v>
      </c>
      <c r="N221" s="2144">
        <f>SUMIFS('Schedule C'!$Y$21:$Y$500,'Schedule C'!$M$21:$M$500,'Schedule B'!$B221,'Schedule C'!$AY$21:$AY$500,"NOT ACTIVE",'Schedule C'!$AF$21:$AF$500,"NOT ACTIVE",'Schedule C'!$X$21:$X$500,"ACTIVE")</f>
        <v>0</v>
      </c>
      <c r="O221" s="2144">
        <f>SUMIF('Schedule C'!$M$21:$M$500,'Schedule B'!B221,'Schedule C'!$Q$21:$Q$500)</f>
        <v>0</v>
      </c>
      <c r="P221" s="2144">
        <v>0</v>
      </c>
      <c r="Q221" s="2144">
        <f t="shared" ref="Q221" si="125">SUM(K221:P221)</f>
        <v>59637.55</v>
      </c>
      <c r="S221" s="2144">
        <f t="shared" ref="S221" si="126">Q221-H221</f>
        <v>0</v>
      </c>
      <c r="U221" s="2144">
        <v>0</v>
      </c>
      <c r="V221" s="2144">
        <f t="shared" ref="V221" si="127">Q221-U221</f>
        <v>59637.55</v>
      </c>
      <c r="X221" s="2144">
        <v>59637.55</v>
      </c>
      <c r="Y221" s="2144">
        <f>Q221-X221</f>
        <v>0</v>
      </c>
      <c r="Z221" s="181"/>
      <c r="AA221" s="182"/>
      <c r="AC221" s="2499"/>
      <c r="AD221" s="2500"/>
      <c r="AE221" s="2145"/>
    </row>
    <row r="222" spans="1:36" ht="12.75" customHeight="1">
      <c r="A222" s="2139"/>
      <c r="B222" s="2139"/>
      <c r="C222" s="2142"/>
      <c r="D222" s="2142"/>
      <c r="E222" s="2143"/>
      <c r="F222" s="2996"/>
      <c r="H222" s="2144"/>
      <c r="I222" s="2144"/>
      <c r="J222" s="2144"/>
      <c r="K222" s="2144"/>
      <c r="M222" s="2144"/>
      <c r="N222" s="2144"/>
      <c r="O222" s="2144"/>
      <c r="P222" s="2144"/>
      <c r="Q222" s="2144"/>
      <c r="S222" s="2144"/>
      <c r="U222" s="2144"/>
      <c r="V222" s="2144"/>
      <c r="X222" s="2144"/>
      <c r="Y222" s="2144"/>
      <c r="Z222" s="181"/>
      <c r="AA222" s="182"/>
      <c r="AC222" s="2499"/>
      <c r="AD222" s="2500"/>
      <c r="AE222" s="2145"/>
      <c r="AF222" s="629"/>
      <c r="AG222" s="539"/>
      <c r="AH222" s="539"/>
      <c r="AI222" s="539"/>
      <c r="AJ222" s="539"/>
    </row>
    <row r="223" spans="1:36" ht="24" customHeight="1">
      <c r="A223" s="2558"/>
      <c r="B223" s="2558"/>
      <c r="C223" s="2559" t="s">
        <v>489</v>
      </c>
      <c r="D223" s="2560"/>
      <c r="E223" s="2561">
        <f>SUM(E203:E222)</f>
        <v>0</v>
      </c>
      <c r="F223" s="4544">
        <f>SUM(F203:F222)</f>
        <v>40154868.279999994</v>
      </c>
      <c r="H223" s="2562">
        <f>SUM(H203:H222)</f>
        <v>40154868.279999994</v>
      </c>
      <c r="I223" s="2562">
        <f>SUM(I203:I222)</f>
        <v>851779</v>
      </c>
      <c r="J223" s="2562"/>
      <c r="K223" s="2562">
        <f>SUM(K203:K222)</f>
        <v>41006647.279999994</v>
      </c>
      <c r="M223" s="2562">
        <f>SUM(M203:M222)</f>
        <v>0</v>
      </c>
      <c r="N223" s="2562">
        <f>SUM(N203:N222)</f>
        <v>429156</v>
      </c>
      <c r="O223" s="2562">
        <f>SUM(O203:O222)</f>
        <v>0</v>
      </c>
      <c r="P223" s="2562">
        <f>SUM(P203:P222)</f>
        <v>0</v>
      </c>
      <c r="Q223" s="2562">
        <f>SUM(Q203:Q222)</f>
        <v>41435803.279999994</v>
      </c>
      <c r="S223" s="2562">
        <f>SUM(S203:S222)</f>
        <v>1280935</v>
      </c>
      <c r="U223" s="2562">
        <f>SUM(U203:U222)</f>
        <v>25518391.664999999</v>
      </c>
      <c r="V223" s="2562">
        <f>SUM(V203:V222)</f>
        <v>15917411.615000002</v>
      </c>
      <c r="X223" s="2562">
        <v>41435803.279999994</v>
      </c>
      <c r="Y223" s="2562">
        <f>SUM(Y203:Y222)</f>
        <v>0</v>
      </c>
      <c r="Z223" s="181"/>
      <c r="AA223" s="182"/>
      <c r="AC223" s="2499"/>
      <c r="AD223" s="2500"/>
      <c r="AE223" s="2145"/>
      <c r="AF223" s="629"/>
      <c r="AG223" s="539"/>
      <c r="AH223" s="539"/>
      <c r="AI223" s="539"/>
      <c r="AJ223" s="539"/>
    </row>
    <row r="224" spans="1:36" ht="12.75" hidden="1" customHeight="1" outlineLevel="1">
      <c r="A224" s="2139"/>
      <c r="B224" s="2139"/>
      <c r="C224" s="2142"/>
      <c r="D224" s="2142"/>
      <c r="E224" s="2143"/>
      <c r="F224" s="2532"/>
      <c r="H224" s="2144"/>
      <c r="I224" s="2144"/>
      <c r="J224" s="2144"/>
      <c r="K224" s="2144"/>
      <c r="M224" s="2144"/>
      <c r="N224" s="2144"/>
      <c r="O224" s="2144"/>
      <c r="P224" s="2144"/>
      <c r="Q224" s="2144"/>
      <c r="S224" s="2144"/>
      <c r="U224" s="2144"/>
      <c r="V224" s="2144"/>
      <c r="X224" s="2144"/>
      <c r="Y224" s="2144"/>
      <c r="Z224" s="181"/>
      <c r="AA224" s="182"/>
      <c r="AC224" s="2499"/>
      <c r="AD224" s="2500"/>
      <c r="AE224" s="2145"/>
      <c r="AF224" s="629"/>
      <c r="AG224" s="539"/>
      <c r="AH224" s="539"/>
      <c r="AI224" s="539"/>
      <c r="AJ224" s="539"/>
    </row>
    <row r="225" spans="1:36" ht="34.5" hidden="1" customHeight="1" outlineLevel="1">
      <c r="A225" s="2139"/>
      <c r="B225" s="2139"/>
      <c r="C225" s="2142"/>
      <c r="D225" s="2141"/>
      <c r="E225" s="2143"/>
      <c r="F225" s="2532"/>
      <c r="H225" s="2144">
        <f>E225+F225</f>
        <v>0</v>
      </c>
      <c r="I225" s="2144">
        <f>SUMIFS('Schedule C'!$AZ$21:$AZ$102,'Schedule C'!$M$21:$M$102,'Schedule B'!$B225,'Schedule C'!$AY$21:$AY$102,"ACTIVE",'Schedule C'!$AF$21:$AF$102,"ACTIVE",'Schedule C'!$X$21:$X$102,"ACTIVE")</f>
        <v>0</v>
      </c>
      <c r="J225" s="2144"/>
      <c r="K225" s="2144">
        <f>SUM(H225:I225)</f>
        <v>0</v>
      </c>
      <c r="M225" s="2144">
        <f>SUMIFS('Schedule C'!$AG$21:$AG$102,'Schedule C'!$M$21:$M$102,'Schedule B'!$B225,'Schedule C'!$AY$21:$AY$102,"NOT ACTIVE",'Schedule C'!$AF$21:$AF$102,"ACTIVE",'Schedule C'!$X$21:$X$102,"ACTIVE")</f>
        <v>0</v>
      </c>
      <c r="N225" s="2144">
        <f>SUMIFS('Schedule C'!$Y$21:$Y$102,'Schedule C'!$M$21:$M$102,'Schedule B'!$B225,'Schedule C'!$AY$21:$AY$102,"NOT ACTIVE",'Schedule C'!$AF$21:$AF$102,"NOT ACTIVE",'Schedule C'!$X$21:$X$102,"ACTIVE")</f>
        <v>0</v>
      </c>
      <c r="O225" s="2144">
        <f>SUMIF('Schedule C'!$M$21:$M$102,'Schedule B'!B225,'Schedule C'!$Q$21:$Q$102)</f>
        <v>0</v>
      </c>
      <c r="P225" s="2144">
        <v>0</v>
      </c>
      <c r="Q225" s="2144">
        <f>SUM(K225:P225)</f>
        <v>0</v>
      </c>
      <c r="S225" s="2144">
        <f>Q225-H225</f>
        <v>0</v>
      </c>
      <c r="U225" s="2144"/>
      <c r="V225" s="2144">
        <f>Q225-U225</f>
        <v>0</v>
      </c>
      <c r="X225" s="2144">
        <v>0</v>
      </c>
      <c r="Y225" s="2144">
        <f>SUM(S225:X225)</f>
        <v>0</v>
      </c>
      <c r="Z225" s="181">
        <f>H225-Q225</f>
        <v>0</v>
      </c>
      <c r="AA225" s="182">
        <f>(Q225-H225)+Z225</f>
        <v>0</v>
      </c>
      <c r="AC225" s="2499"/>
      <c r="AD225" s="2500"/>
      <c r="AE225" s="2145"/>
      <c r="AF225" s="629" t="e">
        <f>SUMIF(#REF!,'Schedule B'!C225,#REF!)</f>
        <v>#REF!</v>
      </c>
      <c r="AG225" s="539"/>
      <c r="AH225" s="539" t="e">
        <f>AF225-#REF!</f>
        <v>#REF!</v>
      </c>
      <c r="AI225" s="539" t="e">
        <f>AF225-Q225</f>
        <v>#REF!</v>
      </c>
      <c r="AJ225" s="539" t="e">
        <f>N225-AH225</f>
        <v>#REF!</v>
      </c>
    </row>
    <row r="226" spans="1:36" ht="24" hidden="1" customHeight="1" outlineLevel="1">
      <c r="A226" s="2139"/>
      <c r="B226" s="2139"/>
      <c r="C226" s="2533"/>
      <c r="D226" s="2142"/>
      <c r="E226" s="2143"/>
      <c r="F226" s="2532"/>
      <c r="H226" s="2144"/>
      <c r="I226" s="2144"/>
      <c r="J226" s="2144"/>
      <c r="K226" s="2144"/>
      <c r="M226" s="2144"/>
      <c r="N226" s="2144"/>
      <c r="O226" s="2144"/>
      <c r="P226" s="2144"/>
      <c r="Q226" s="2144"/>
      <c r="S226" s="2144"/>
      <c r="U226" s="2144"/>
      <c r="V226" s="2144"/>
      <c r="X226" s="2144"/>
      <c r="Y226" s="2144"/>
      <c r="Z226" s="181">
        <f>H226-Q226</f>
        <v>0</v>
      </c>
      <c r="AA226" s="182">
        <f>(Q226-H226)+Z226</f>
        <v>0</v>
      </c>
      <c r="AC226" s="2499"/>
      <c r="AD226" s="2500"/>
      <c r="AE226" s="2145"/>
      <c r="AF226" s="629" t="e">
        <f>SUMIF(#REF!,'Schedule B'!C226,#REF!)</f>
        <v>#REF!</v>
      </c>
      <c r="AG226" s="539"/>
      <c r="AH226" s="539" t="e">
        <f>AF226-#REF!</f>
        <v>#REF!</v>
      </c>
      <c r="AI226" s="539" t="e">
        <f>AF226-Q226</f>
        <v>#REF!</v>
      </c>
      <c r="AJ226" s="539" t="e">
        <f>N226-AH226</f>
        <v>#REF!</v>
      </c>
    </row>
    <row r="227" spans="1:36" ht="24" hidden="1" customHeight="1" outlineLevel="1">
      <c r="A227" s="2139"/>
      <c r="B227" s="2139"/>
      <c r="C227" s="2142"/>
      <c r="D227" s="2142"/>
      <c r="E227" s="2143"/>
      <c r="F227" s="2532"/>
      <c r="H227" s="2144">
        <f>E227+F227</f>
        <v>0</v>
      </c>
      <c r="I227" s="2144">
        <f>SUMIFS('Schedule C'!$AZ$21:$AZ$102,'Schedule C'!$M$21:$M$102,'Schedule B'!$B227,'Schedule C'!$AY$21:$AY$102,"ACTIVE",'Schedule C'!$AF$21:$AF$102,"ACTIVE",'Schedule C'!$X$21:$X$102,"ACTIVE")</f>
        <v>0</v>
      </c>
      <c r="J227" s="2144"/>
      <c r="K227" s="2144">
        <f>SUM(H227:I227)</f>
        <v>0</v>
      </c>
      <c r="M227" s="2144">
        <f>SUMIFS('Schedule C'!$AG$21:$AG$102,'Schedule C'!$M$21:$M$102,'Schedule B'!$B227,'Schedule C'!$AY$21:$AY$102,"NOT ACTIVE",'Schedule C'!$AF$21:$AF$102,"ACTIVE",'Schedule C'!$X$21:$X$102,"ACTIVE")</f>
        <v>0</v>
      </c>
      <c r="N227" s="2144">
        <f>SUMIFS('Schedule C'!$Y$21:$Y$102,'Schedule C'!$M$21:$M$102,'Schedule B'!$B227,'Schedule C'!$AY$21:$AY$102,"NOT ACTIVE",'Schedule C'!$AF$21:$AF$102,"NOT ACTIVE",'Schedule C'!$X$21:$X$102,"ACTIVE")</f>
        <v>0</v>
      </c>
      <c r="O227" s="2144">
        <f>SUMIF('Schedule C'!$M$21:$M$102,'Schedule B'!B227,'Schedule C'!$Q$21:$Q$102)</f>
        <v>0</v>
      </c>
      <c r="P227" s="2144">
        <v>0</v>
      </c>
      <c r="Q227" s="2144">
        <f>SUM(K227:P227)</f>
        <v>0</v>
      </c>
      <c r="S227" s="2144">
        <f>Q227-H227</f>
        <v>0</v>
      </c>
      <c r="U227" s="2144"/>
      <c r="V227" s="2144">
        <f>Q227-U227</f>
        <v>0</v>
      </c>
      <c r="X227" s="2144">
        <v>0</v>
      </c>
      <c r="Y227" s="2144">
        <f>SUM(S227:X227)</f>
        <v>0</v>
      </c>
      <c r="Z227" s="181">
        <f>H227-Q227</f>
        <v>0</v>
      </c>
      <c r="AA227" s="182">
        <f>(Q227-H227)+Z227</f>
        <v>0</v>
      </c>
      <c r="AC227" s="2499"/>
      <c r="AD227" s="2500"/>
      <c r="AE227" s="2145"/>
      <c r="AF227" s="629" t="e">
        <f>SUMIF(#REF!,'Schedule B'!C227,#REF!)</f>
        <v>#REF!</v>
      </c>
      <c r="AG227" s="539"/>
      <c r="AH227" s="539" t="e">
        <f>AF227-#REF!</f>
        <v>#REF!</v>
      </c>
      <c r="AI227" s="539" t="e">
        <f>AF227-Q227</f>
        <v>#REF!</v>
      </c>
      <c r="AJ227" s="539" t="e">
        <f>N227-AH227</f>
        <v>#REF!</v>
      </c>
    </row>
    <row r="228" spans="1:36" ht="12.75" hidden="1" customHeight="1" outlineLevel="1">
      <c r="A228" s="2139"/>
      <c r="B228" s="2139"/>
      <c r="C228" s="2142"/>
      <c r="D228" s="2142"/>
      <c r="E228" s="2143"/>
      <c r="F228" s="2532"/>
      <c r="H228" s="2144"/>
      <c r="I228" s="2144"/>
      <c r="J228" s="2144"/>
      <c r="K228" s="2144"/>
      <c r="M228" s="2144"/>
      <c r="N228" s="2144"/>
      <c r="O228" s="2144"/>
      <c r="P228" s="2144"/>
      <c r="Q228" s="2144"/>
      <c r="S228" s="2144"/>
      <c r="U228" s="2144"/>
      <c r="V228" s="2144"/>
      <c r="X228" s="2144"/>
      <c r="Y228" s="2144"/>
      <c r="Z228" s="181"/>
      <c r="AA228" s="182"/>
      <c r="AC228" s="2499"/>
      <c r="AD228" s="2500"/>
      <c r="AE228" s="2145"/>
      <c r="AF228" s="629"/>
      <c r="AG228" s="539"/>
      <c r="AH228" s="539"/>
      <c r="AI228" s="539"/>
      <c r="AJ228" s="539"/>
    </row>
    <row r="229" spans="1:36" ht="24" hidden="1" customHeight="1" outlineLevel="1">
      <c r="A229" s="2558"/>
      <c r="B229" s="2558"/>
      <c r="C229" s="2559" t="s">
        <v>489</v>
      </c>
      <c r="D229" s="2560"/>
      <c r="E229" s="2561">
        <f>SUM(E224:E228)</f>
        <v>0</v>
      </c>
      <c r="F229" s="2998">
        <f>SUM(F224:F228)</f>
        <v>0</v>
      </c>
      <c r="H229" s="2562">
        <f>SUM(H224:H228)</f>
        <v>0</v>
      </c>
      <c r="I229" s="2562">
        <f>SUM(I224:I228)</f>
        <v>0</v>
      </c>
      <c r="J229" s="2562"/>
      <c r="K229" s="2562">
        <f>SUM(K224:K228)</f>
        <v>0</v>
      </c>
      <c r="M229" s="2562">
        <f t="shared" ref="M229:Q229" si="128">SUM(M224:M228)</f>
        <v>0</v>
      </c>
      <c r="N229" s="2562">
        <f t="shared" si="128"/>
        <v>0</v>
      </c>
      <c r="O229" s="2562">
        <f t="shared" si="128"/>
        <v>0</v>
      </c>
      <c r="P229" s="2562">
        <f t="shared" si="128"/>
        <v>0</v>
      </c>
      <c r="Q229" s="2562">
        <f t="shared" si="128"/>
        <v>0</v>
      </c>
      <c r="S229" s="2562">
        <f>SUM(S224:S228)</f>
        <v>0</v>
      </c>
      <c r="U229" s="2562">
        <f>SUM(U224:U228)</f>
        <v>0</v>
      </c>
      <c r="V229" s="2562">
        <f>SUM(V224:V228)</f>
        <v>0</v>
      </c>
      <c r="X229" s="2562">
        <v>0</v>
      </c>
      <c r="Y229" s="2562">
        <f>SUM(Y224:Y228)</f>
        <v>0</v>
      </c>
      <c r="Z229" s="181"/>
      <c r="AA229" s="182"/>
      <c r="AC229" s="2499"/>
      <c r="AD229" s="2500"/>
      <c r="AE229" s="2145"/>
      <c r="AF229" s="629"/>
      <c r="AG229" s="539"/>
      <c r="AH229" s="539"/>
      <c r="AI229" s="539"/>
      <c r="AJ229" s="539"/>
    </row>
    <row r="230" spans="1:36" ht="12.75" hidden="1" customHeight="1" outlineLevel="1">
      <c r="A230" s="2139"/>
      <c r="B230" s="2139"/>
      <c r="C230" s="2142"/>
      <c r="D230" s="2142"/>
      <c r="E230" s="2143"/>
      <c r="F230" s="2532"/>
      <c r="H230" s="2144"/>
      <c r="I230" s="2144"/>
      <c r="J230" s="2144"/>
      <c r="K230" s="2144"/>
      <c r="M230" s="2144"/>
      <c r="N230" s="2144"/>
      <c r="O230" s="2144"/>
      <c r="P230" s="2144"/>
      <c r="Q230" s="2144"/>
      <c r="S230" s="2144"/>
      <c r="U230" s="2144"/>
      <c r="V230" s="2144"/>
      <c r="X230" s="2144"/>
      <c r="Y230" s="2144"/>
      <c r="Z230" s="181"/>
      <c r="AA230" s="182"/>
      <c r="AC230" s="2499"/>
      <c r="AD230" s="2500"/>
      <c r="AE230" s="2145"/>
      <c r="AF230" s="629"/>
      <c r="AG230" s="539"/>
      <c r="AH230" s="539"/>
      <c r="AI230" s="539"/>
      <c r="AJ230" s="539"/>
    </row>
    <row r="231" spans="1:36" ht="34.5" hidden="1" customHeight="1" outlineLevel="1">
      <c r="A231" s="2139"/>
      <c r="B231" s="2139"/>
      <c r="C231" s="2142"/>
      <c r="D231" s="2141"/>
      <c r="E231" s="2143"/>
      <c r="F231" s="2532"/>
      <c r="H231" s="2144">
        <f>E231+F231</f>
        <v>0</v>
      </c>
      <c r="I231" s="2144">
        <f>SUMIFS('Schedule C'!$AZ$21:$AZ$102,'Schedule C'!$M$21:$M$102,'Schedule B'!$B231,'Schedule C'!$AY$21:$AY$102,"ACTIVE",'Schedule C'!$AF$21:$AF$102,"ACTIVE",'Schedule C'!$X$21:$X$102,"ACTIVE")</f>
        <v>0</v>
      </c>
      <c r="J231" s="2144"/>
      <c r="K231" s="2144">
        <f>SUM(H231:I231)</f>
        <v>0</v>
      </c>
      <c r="M231" s="2144">
        <f>SUMIFS('Schedule C'!$AG$21:$AG$102,'Schedule C'!$M$21:$M$102,'Schedule B'!$B231,'Schedule C'!$AY$21:$AY$102,"NOT ACTIVE",'Schedule C'!$AF$21:$AF$102,"ACTIVE",'Schedule C'!$X$21:$X$102,"ACTIVE")</f>
        <v>0</v>
      </c>
      <c r="N231" s="2144">
        <f>SUMIFS('Schedule C'!$Y$21:$Y$102,'Schedule C'!$M$21:$M$102,'Schedule B'!$B231,'Schedule C'!$AY$21:$AY$102,"NOT ACTIVE",'Schedule C'!$AF$21:$AF$102,"NOT ACTIVE",'Schedule C'!$X$21:$X$102,"ACTIVE")</f>
        <v>0</v>
      </c>
      <c r="O231" s="2144">
        <f>SUMIF('Schedule C'!$M$21:$M$102,'Schedule B'!B231,'Schedule C'!$Q$21:$Q$102)</f>
        <v>0</v>
      </c>
      <c r="P231" s="2144">
        <v>0</v>
      </c>
      <c r="Q231" s="2144">
        <f>SUM(K231:P231)</f>
        <v>0</v>
      </c>
      <c r="S231" s="2144">
        <f>Q231-H231</f>
        <v>0</v>
      </c>
      <c r="U231" s="2144"/>
      <c r="V231" s="2144">
        <f>Q231-U231</f>
        <v>0</v>
      </c>
      <c r="X231" s="2144">
        <v>0</v>
      </c>
      <c r="Y231" s="2144">
        <f>SUM(S231:X231)</f>
        <v>0</v>
      </c>
      <c r="Z231" s="181">
        <f>H231-Q231</f>
        <v>0</v>
      </c>
      <c r="AA231" s="182">
        <f>(Q231-H231)+Z231</f>
        <v>0</v>
      </c>
      <c r="AC231" s="2499"/>
      <c r="AD231" s="2500"/>
      <c r="AE231" s="2145"/>
      <c r="AF231" s="629" t="e">
        <f>SUMIF(#REF!,'Schedule B'!C231,#REF!)</f>
        <v>#REF!</v>
      </c>
      <c r="AG231" s="539"/>
      <c r="AH231" s="539" t="e">
        <f>AF231-#REF!</f>
        <v>#REF!</v>
      </c>
      <c r="AI231" s="539" t="e">
        <f>AF231-Q231</f>
        <v>#REF!</v>
      </c>
      <c r="AJ231" s="539" t="e">
        <f>N231-AH231</f>
        <v>#REF!</v>
      </c>
    </row>
    <row r="232" spans="1:36" ht="24" hidden="1" customHeight="1" outlineLevel="1">
      <c r="A232" s="2139"/>
      <c r="B232" s="2139"/>
      <c r="C232" s="2533"/>
      <c r="D232" s="2142"/>
      <c r="E232" s="2143"/>
      <c r="F232" s="2532"/>
      <c r="H232" s="2144"/>
      <c r="I232" s="2144"/>
      <c r="J232" s="2144"/>
      <c r="K232" s="2144"/>
      <c r="M232" s="2144"/>
      <c r="N232" s="2144"/>
      <c r="O232" s="2144"/>
      <c r="P232" s="2144"/>
      <c r="Q232" s="2144"/>
      <c r="S232" s="2144"/>
      <c r="U232" s="2144"/>
      <c r="V232" s="2144"/>
      <c r="X232" s="2144"/>
      <c r="Y232" s="2144"/>
      <c r="Z232" s="181">
        <f>H232-Q232</f>
        <v>0</v>
      </c>
      <c r="AA232" s="182">
        <f>(Q232-H232)+Z232</f>
        <v>0</v>
      </c>
      <c r="AC232" s="2499"/>
      <c r="AD232" s="2500"/>
      <c r="AE232" s="2145"/>
      <c r="AF232" s="629" t="e">
        <f>SUMIF(#REF!,'Schedule B'!C232,#REF!)</f>
        <v>#REF!</v>
      </c>
      <c r="AG232" s="539"/>
      <c r="AH232" s="539" t="e">
        <f>AF232-#REF!</f>
        <v>#REF!</v>
      </c>
      <c r="AI232" s="539" t="e">
        <f>AF232-Q232</f>
        <v>#REF!</v>
      </c>
      <c r="AJ232" s="539" t="e">
        <f>N232-AH232</f>
        <v>#REF!</v>
      </c>
    </row>
    <row r="233" spans="1:36" ht="24" hidden="1" customHeight="1" outlineLevel="1">
      <c r="A233" s="2139"/>
      <c r="B233" s="2139"/>
      <c r="C233" s="2142"/>
      <c r="D233" s="2142"/>
      <c r="E233" s="2143"/>
      <c r="F233" s="2532"/>
      <c r="H233" s="2144">
        <f>E233+F233</f>
        <v>0</v>
      </c>
      <c r="I233" s="2144">
        <f>SUMIFS('Schedule C'!$AZ$21:$AZ$102,'Schedule C'!$M$21:$M$102,'Schedule B'!$B233,'Schedule C'!$AY$21:$AY$102,"ACTIVE",'Schedule C'!$AF$21:$AF$102,"ACTIVE",'Schedule C'!$X$21:$X$102,"ACTIVE")</f>
        <v>0</v>
      </c>
      <c r="J233" s="2144"/>
      <c r="K233" s="2144">
        <f>SUM(H233:I233)</f>
        <v>0</v>
      </c>
      <c r="M233" s="2144">
        <f>SUMIFS('Schedule C'!$AG$21:$AG$102,'Schedule C'!$M$21:$M$102,'Schedule B'!$B233,'Schedule C'!$AY$21:$AY$102,"NOT ACTIVE",'Schedule C'!$AF$21:$AF$102,"ACTIVE",'Schedule C'!$X$21:$X$102,"ACTIVE")</f>
        <v>0</v>
      </c>
      <c r="N233" s="2144">
        <f>SUMIFS('Schedule C'!$Y$21:$Y$102,'Schedule C'!$M$21:$M$102,'Schedule B'!$B233,'Schedule C'!$AY$21:$AY$102,"NOT ACTIVE",'Schedule C'!$AF$21:$AF$102,"NOT ACTIVE",'Schedule C'!$X$21:$X$102,"ACTIVE")</f>
        <v>0</v>
      </c>
      <c r="O233" s="2144">
        <f>SUMIF('Schedule C'!$M$21:$M$102,'Schedule B'!B233,'Schedule C'!$Q$21:$Q$102)</f>
        <v>0</v>
      </c>
      <c r="P233" s="2144">
        <v>0</v>
      </c>
      <c r="Q233" s="2144">
        <f>SUM(K233:P233)</f>
        <v>0</v>
      </c>
      <c r="S233" s="2144">
        <f>Q233-H233</f>
        <v>0</v>
      </c>
      <c r="U233" s="2144"/>
      <c r="V233" s="2144">
        <f>Q233-U233</f>
        <v>0</v>
      </c>
      <c r="X233" s="2144">
        <v>0</v>
      </c>
      <c r="Y233" s="2144">
        <f>SUM(S233:X233)</f>
        <v>0</v>
      </c>
      <c r="Z233" s="181">
        <f>H233-Q233</f>
        <v>0</v>
      </c>
      <c r="AA233" s="182">
        <f>(Q233-H233)+Z233</f>
        <v>0</v>
      </c>
      <c r="AC233" s="2499"/>
      <c r="AD233" s="2500"/>
      <c r="AE233" s="2145"/>
      <c r="AF233" s="629" t="e">
        <f>SUMIF(#REF!,'Schedule B'!C233,#REF!)</f>
        <v>#REF!</v>
      </c>
      <c r="AG233" s="539"/>
      <c r="AH233" s="539" t="e">
        <f>AF233-#REF!</f>
        <v>#REF!</v>
      </c>
      <c r="AI233" s="539" t="e">
        <f>AF233-Q233</f>
        <v>#REF!</v>
      </c>
      <c r="AJ233" s="539" t="e">
        <f>N233-AH233</f>
        <v>#REF!</v>
      </c>
    </row>
    <row r="234" spans="1:36" ht="12.75" hidden="1" customHeight="1" outlineLevel="1">
      <c r="A234" s="2139"/>
      <c r="B234" s="2139"/>
      <c r="C234" s="2142"/>
      <c r="D234" s="2142"/>
      <c r="E234" s="2143"/>
      <c r="F234" s="2532"/>
      <c r="H234" s="2144"/>
      <c r="I234" s="2144"/>
      <c r="J234" s="2144"/>
      <c r="K234" s="2144"/>
      <c r="M234" s="2144"/>
      <c r="N234" s="2144"/>
      <c r="O234" s="2144"/>
      <c r="P234" s="2144"/>
      <c r="Q234" s="2144"/>
      <c r="S234" s="2144"/>
      <c r="U234" s="2144"/>
      <c r="V234" s="2144"/>
      <c r="X234" s="2144"/>
      <c r="Y234" s="2144"/>
      <c r="Z234" s="181"/>
      <c r="AA234" s="182"/>
      <c r="AC234" s="2499"/>
      <c r="AD234" s="2500"/>
      <c r="AE234" s="2145"/>
      <c r="AF234" s="629"/>
      <c r="AG234" s="539"/>
      <c r="AH234" s="539"/>
      <c r="AI234" s="539"/>
      <c r="AJ234" s="539"/>
    </row>
    <row r="235" spans="1:36" ht="15" customHeight="1" collapsed="1">
      <c r="A235" s="2513"/>
      <c r="B235" s="2513"/>
      <c r="C235" s="2514"/>
      <c r="D235" s="2514"/>
      <c r="E235" s="2143"/>
      <c r="F235" s="2532"/>
      <c r="H235" s="2144"/>
      <c r="I235" s="2505"/>
      <c r="J235" s="2505"/>
      <c r="K235" s="2144"/>
      <c r="M235" s="2505"/>
      <c r="N235" s="2505"/>
      <c r="O235" s="2505"/>
      <c r="P235" s="2505"/>
      <c r="Q235" s="2144"/>
      <c r="S235" s="2144"/>
      <c r="U235" s="2144"/>
      <c r="V235" s="2506"/>
      <c r="X235" s="2144"/>
      <c r="Y235" s="2506"/>
      <c r="Z235" s="181">
        <f t="shared" ref="Z235:Z240" si="129">H235-Q235</f>
        <v>0</v>
      </c>
      <c r="AA235" s="182">
        <f t="shared" ref="AA235:AA240" si="130">(Q235-H235)+Z235</f>
        <v>0</v>
      </c>
      <c r="AC235" s="2499"/>
      <c r="AD235" s="2500"/>
      <c r="AE235" s="2145"/>
      <c r="AI235" s="164">
        <v>102</v>
      </c>
    </row>
    <row r="236" spans="1:36" s="167" customFormat="1" ht="33" customHeight="1" thickBot="1">
      <c r="A236" s="2563" t="s">
        <v>523</v>
      </c>
      <c r="B236" s="2564"/>
      <c r="C236" s="2565" t="s">
        <v>528</v>
      </c>
      <c r="D236" s="2565"/>
      <c r="E236" s="2566">
        <f>E229+E223</f>
        <v>0</v>
      </c>
      <c r="F236" s="2999">
        <f t="shared" ref="F236:V236" si="131">F229+F223</f>
        <v>40154868.279999994</v>
      </c>
      <c r="G236" s="164"/>
      <c r="H236" s="2566">
        <f t="shared" si="131"/>
        <v>40154868.279999994</v>
      </c>
      <c r="I236" s="2566">
        <f t="shared" si="131"/>
        <v>851779</v>
      </c>
      <c r="J236" s="2566">
        <f t="shared" si="131"/>
        <v>0</v>
      </c>
      <c r="K236" s="2566">
        <f t="shared" si="131"/>
        <v>41006647.279999994</v>
      </c>
      <c r="L236" s="164"/>
      <c r="M236" s="2566">
        <f t="shared" si="131"/>
        <v>0</v>
      </c>
      <c r="N236" s="2566">
        <f t="shared" si="131"/>
        <v>429156</v>
      </c>
      <c r="O236" s="2566">
        <f>O229+O223</f>
        <v>0</v>
      </c>
      <c r="P236" s="2566">
        <f t="shared" si="131"/>
        <v>0</v>
      </c>
      <c r="Q236" s="2566">
        <f t="shared" si="131"/>
        <v>41435803.279999994</v>
      </c>
      <c r="R236" s="164"/>
      <c r="S236" s="2566">
        <f t="shared" si="131"/>
        <v>1280935</v>
      </c>
      <c r="T236" s="164"/>
      <c r="U236" s="2566">
        <f t="shared" si="131"/>
        <v>25518391.664999999</v>
      </c>
      <c r="V236" s="2566">
        <f t="shared" si="131"/>
        <v>15917411.615000002</v>
      </c>
      <c r="W236" s="164"/>
      <c r="X236" s="2521">
        <v>41435803.279999994</v>
      </c>
      <c r="Y236" s="2521">
        <f>Y229+Y223</f>
        <v>0</v>
      </c>
      <c r="Z236" s="181">
        <f t="shared" si="129"/>
        <v>-1280935</v>
      </c>
      <c r="AA236" s="182">
        <f t="shared" si="130"/>
        <v>0</v>
      </c>
      <c r="AC236" s="2524"/>
      <c r="AD236" s="2525"/>
      <c r="AE236" s="2526"/>
    </row>
    <row r="237" spans="1:36" ht="19.5" customHeight="1" thickTop="1" thickBot="1">
      <c r="A237" s="188"/>
      <c r="B237" s="188"/>
      <c r="C237" s="189"/>
      <c r="D237" s="189"/>
      <c r="E237" s="782"/>
      <c r="F237" s="3000"/>
      <c r="H237" s="190"/>
      <c r="I237" s="191"/>
      <c r="J237" s="191"/>
      <c r="K237" s="190"/>
      <c r="M237" s="191"/>
      <c r="N237" s="191"/>
      <c r="O237" s="191"/>
      <c r="P237" s="191"/>
      <c r="Q237" s="190"/>
      <c r="S237" s="190"/>
      <c r="U237" s="190"/>
      <c r="V237" s="190"/>
      <c r="X237" s="190"/>
      <c r="Y237" s="190"/>
      <c r="Z237" s="181">
        <f t="shared" si="129"/>
        <v>0</v>
      </c>
      <c r="AA237" s="182">
        <f t="shared" si="130"/>
        <v>0</v>
      </c>
      <c r="AC237" s="2507"/>
      <c r="AD237" s="2508"/>
      <c r="AE237" s="634"/>
    </row>
    <row r="238" spans="1:36" s="168" customFormat="1" ht="41.25" customHeight="1" thickBot="1">
      <c r="A238" s="2564"/>
      <c r="B238" s="2564"/>
      <c r="C238" s="2567" t="s">
        <v>529</v>
      </c>
      <c r="D238" s="2567"/>
      <c r="E238" s="2566">
        <f>E236+E200</f>
        <v>0</v>
      </c>
      <c r="F238" s="2999">
        <f>F236+F200</f>
        <v>40154868.279999994</v>
      </c>
      <c r="G238" s="783"/>
      <c r="H238" s="2566">
        <f>H236+H200</f>
        <v>40154868.279999994</v>
      </c>
      <c r="I238" s="2566">
        <f>I236+I200</f>
        <v>851779</v>
      </c>
      <c r="J238" s="2566">
        <f>J236+J200</f>
        <v>0</v>
      </c>
      <c r="K238" s="2566">
        <f>K236+K200</f>
        <v>41006647.279999994</v>
      </c>
      <c r="L238" s="783"/>
      <c r="M238" s="2566">
        <f>M236+M200</f>
        <v>0</v>
      </c>
      <c r="N238" s="2566">
        <f>N236+N200</f>
        <v>429156</v>
      </c>
      <c r="O238" s="2566">
        <f>O236+O200</f>
        <v>0</v>
      </c>
      <c r="P238" s="2566">
        <f>P236+P200</f>
        <v>0</v>
      </c>
      <c r="Q238" s="2566">
        <f>Q236+Q200</f>
        <v>41435803.279999994</v>
      </c>
      <c r="R238" s="164"/>
      <c r="S238" s="2566">
        <f>S236+S200</f>
        <v>1280935</v>
      </c>
      <c r="T238" s="783"/>
      <c r="U238" s="2566">
        <f>U236+U200</f>
        <v>25518391.664999999</v>
      </c>
      <c r="V238" s="2566">
        <f>V236+V200</f>
        <v>15917411.615000002</v>
      </c>
      <c r="W238" s="783"/>
      <c r="X238" s="2521">
        <v>41435803.279999994</v>
      </c>
      <c r="Y238" s="2521">
        <f>Y236+Y200</f>
        <v>0</v>
      </c>
      <c r="Z238" s="181">
        <f t="shared" si="129"/>
        <v>-1280935</v>
      </c>
      <c r="AA238" s="182">
        <f t="shared" si="130"/>
        <v>0</v>
      </c>
      <c r="AC238" s="647" t="e">
        <f>#REF!+AC65+#REF!+#REF!</f>
        <v>#REF!</v>
      </c>
      <c r="AD238" s="651" t="e">
        <f>#REF!+AD65+#REF!+#REF!</f>
        <v>#REF!</v>
      </c>
      <c r="AE238" s="636"/>
      <c r="AF238" s="638" t="e">
        <f>AC238-'Schedule A'!S64</f>
        <v>#REF!</v>
      </c>
    </row>
    <row r="239" spans="1:36" ht="19.5" customHeight="1" thickTop="1" thickBot="1">
      <c r="A239" s="188"/>
      <c r="B239" s="188"/>
      <c r="C239" s="189"/>
      <c r="D239" s="189"/>
      <c r="E239" s="782"/>
      <c r="F239" s="3000"/>
      <c r="H239" s="190"/>
      <c r="I239" s="191"/>
      <c r="J239" s="191"/>
      <c r="K239" s="190"/>
      <c r="M239" s="191"/>
      <c r="N239" s="191"/>
      <c r="O239" s="191"/>
      <c r="P239" s="191"/>
      <c r="Q239" s="190"/>
      <c r="S239" s="190"/>
      <c r="U239" s="190"/>
      <c r="V239" s="190"/>
      <c r="X239" s="190"/>
      <c r="Y239" s="190"/>
      <c r="Z239" s="181">
        <f t="shared" si="129"/>
        <v>0</v>
      </c>
      <c r="AA239" s="182">
        <f t="shared" si="130"/>
        <v>0</v>
      </c>
      <c r="AC239" s="2507"/>
      <c r="AD239" s="2508"/>
      <c r="AE239" s="634"/>
    </row>
    <row r="240" spans="1:36" s="168" customFormat="1" ht="41.25" customHeight="1" thickBot="1">
      <c r="A240" s="2568" t="s">
        <v>530</v>
      </c>
      <c r="B240" s="2568"/>
      <c r="C240" s="2569" t="s">
        <v>531</v>
      </c>
      <c r="D240" s="2569"/>
      <c r="E240" s="2570">
        <f>E238+E185</f>
        <v>39300445.359999999</v>
      </c>
      <c r="F240" s="2976">
        <f>F238+F185</f>
        <v>514151972.81999993</v>
      </c>
      <c r="G240" s="783"/>
      <c r="H240" s="2570">
        <f>H238+H185</f>
        <v>553452418.17999995</v>
      </c>
      <c r="I240" s="2570">
        <f>I238+I185</f>
        <v>6820135.4799999911</v>
      </c>
      <c r="J240" s="2570">
        <f>J238+J185</f>
        <v>1993436.11</v>
      </c>
      <c r="K240" s="2570">
        <f>K238+K185</f>
        <v>562265989.76999998</v>
      </c>
      <c r="L240" s="783"/>
      <c r="M240" s="2570">
        <f>M238+M185</f>
        <v>-18130223.579999998</v>
      </c>
      <c r="N240" s="2570">
        <f>N238+N185</f>
        <v>3585562.5</v>
      </c>
      <c r="O240" s="2570">
        <f>O238+O185</f>
        <v>32891648.893043488</v>
      </c>
      <c r="P240" s="2570">
        <f>P238+P185</f>
        <v>0</v>
      </c>
      <c r="Q240" s="2570">
        <f>Q238+Q185</f>
        <v>580612977.58304346</v>
      </c>
      <c r="R240" s="164"/>
      <c r="S240" s="2570">
        <f>S238+S185</f>
        <v>27160559.403043482</v>
      </c>
      <c r="T240" s="783"/>
      <c r="U240" s="2570">
        <f>U238+U185</f>
        <v>522413790.0165</v>
      </c>
      <c r="V240" s="2570">
        <f>V238+V185</f>
        <v>58199187.566543505</v>
      </c>
      <c r="W240" s="783"/>
      <c r="X240" s="2570">
        <v>580828862.77304339</v>
      </c>
      <c r="Y240" s="2570">
        <f>Y238+Y185</f>
        <v>-215885.18999999762</v>
      </c>
      <c r="Z240" s="181">
        <f t="shared" si="129"/>
        <v>-27160559.403043509</v>
      </c>
      <c r="AA240" s="182">
        <f t="shared" si="130"/>
        <v>0</v>
      </c>
      <c r="AC240" s="647" t="e">
        <f>#REF!+AC68+#REF!+#REF!</f>
        <v>#REF!</v>
      </c>
      <c r="AD240" s="651" t="e">
        <f>#REF!+AD68+#REF!+#REF!</f>
        <v>#REF!</v>
      </c>
      <c r="AE240" s="636"/>
      <c r="AF240" s="638" t="e">
        <f>AC240-'Schedule A'!S67</f>
        <v>#REF!</v>
      </c>
    </row>
    <row r="241" spans="1:32" ht="15.75" thickTop="1">
      <c r="E241" s="2571"/>
      <c r="F241" s="3001"/>
      <c r="H241" s="2572"/>
      <c r="I241" s="2572"/>
      <c r="J241" s="2572"/>
      <c r="K241" s="2572"/>
      <c r="M241" s="2572"/>
      <c r="N241" s="2572"/>
      <c r="O241" s="2572"/>
      <c r="P241" s="2572"/>
      <c r="Q241" s="2572"/>
      <c r="S241" s="2572"/>
      <c r="U241" s="2572"/>
      <c r="V241" s="2572"/>
      <c r="X241" s="2572"/>
      <c r="Y241" s="2572"/>
      <c r="Z241" s="163"/>
      <c r="AA241" s="192"/>
      <c r="AB241" s="2493"/>
      <c r="AC241" s="2573"/>
      <c r="AD241" s="2574"/>
      <c r="AE241" s="632"/>
      <c r="AF241" s="639" t="s">
        <v>532</v>
      </c>
    </row>
    <row r="242" spans="1:32" s="167" customFormat="1" ht="33" customHeight="1" thickBot="1">
      <c r="A242" s="2575">
        <v>98</v>
      </c>
      <c r="B242" s="2575"/>
      <c r="C242" s="2576" t="s">
        <v>533</v>
      </c>
      <c r="D242" s="2577"/>
      <c r="E242" s="2578"/>
      <c r="F242" s="3002"/>
      <c r="G242" s="164"/>
      <c r="H242" s="2578"/>
      <c r="I242" s="2578"/>
      <c r="J242" s="2578"/>
      <c r="K242" s="2578"/>
      <c r="L242" s="164"/>
      <c r="M242" s="2578"/>
      <c r="N242" s="2578"/>
      <c r="O242" s="2578"/>
      <c r="P242" s="2578"/>
      <c r="Q242" s="2578"/>
      <c r="R242" s="164"/>
      <c r="S242" s="2578"/>
      <c r="T242" s="164"/>
      <c r="U242" s="2578"/>
      <c r="V242" s="2578"/>
      <c r="W242" s="164"/>
      <c r="X242" s="2521"/>
      <c r="Y242" s="2521"/>
      <c r="Z242" s="181">
        <f>H242-Q242</f>
        <v>0</v>
      </c>
      <c r="AA242" s="182">
        <f>(Q242-H242)+Z242</f>
        <v>0</v>
      </c>
      <c r="AC242" s="2524"/>
      <c r="AD242" s="2525"/>
      <c r="AE242" s="2526"/>
    </row>
    <row r="243" spans="1:32" ht="17.25" customHeight="1" outlineLevel="1" thickTop="1">
      <c r="A243" s="2139"/>
      <c r="B243" s="2503"/>
      <c r="C243" s="2504"/>
      <c r="D243" s="2504"/>
      <c r="E243" s="2143"/>
      <c r="F243" s="2532"/>
      <c r="H243" s="2144"/>
      <c r="I243" s="2505"/>
      <c r="J243" s="2505"/>
      <c r="K243" s="2506"/>
      <c r="M243" s="2144"/>
      <c r="N243" s="2144"/>
      <c r="O243" s="2505"/>
      <c r="P243" s="2505"/>
      <c r="Q243" s="2506"/>
      <c r="S243" s="2506"/>
      <c r="U243" s="2506"/>
      <c r="V243" s="2506"/>
      <c r="X243" s="2506"/>
      <c r="Y243" s="2506"/>
      <c r="Z243" s="181">
        <f>H243-Q243</f>
        <v>0</v>
      </c>
      <c r="AA243" s="182">
        <f>(Q243-H243)+Z243</f>
        <v>0</v>
      </c>
      <c r="AC243" s="2499"/>
      <c r="AD243" s="2500"/>
      <c r="AE243" s="2145"/>
    </row>
    <row r="244" spans="1:32" ht="25.5" customHeight="1" outlineLevel="2">
      <c r="A244" s="2535"/>
      <c r="B244" s="2535"/>
      <c r="C244" s="2536" t="s">
        <v>534</v>
      </c>
      <c r="D244" s="2536"/>
      <c r="E244" s="2143"/>
      <c r="F244" s="2991"/>
      <c r="H244" s="2538"/>
      <c r="I244" s="2538"/>
      <c r="J244" s="2538"/>
      <c r="K244" s="2538"/>
      <c r="M244" s="2538"/>
      <c r="N244" s="2538"/>
      <c r="O244" s="2538"/>
      <c r="P244" s="2538"/>
      <c r="Q244" s="2144"/>
      <c r="S244" s="2538"/>
      <c r="U244" s="2538"/>
      <c r="V244" s="2538"/>
      <c r="X244" s="2538"/>
      <c r="Y244" s="2538"/>
      <c r="Z244" s="181">
        <f>H244-Q244</f>
        <v>0</v>
      </c>
      <c r="AA244" s="182">
        <f>(Q244-H244)+Z244</f>
        <v>0</v>
      </c>
      <c r="AC244" s="2539"/>
      <c r="AD244" s="2540"/>
      <c r="AE244" s="2145"/>
    </row>
    <row r="245" spans="1:32" ht="25.5" customHeight="1" outlineLevel="2">
      <c r="A245" s="2139" t="s">
        <v>535</v>
      </c>
      <c r="B245" s="2535"/>
      <c r="C245" s="2142" t="s">
        <v>205</v>
      </c>
      <c r="D245" s="2536"/>
      <c r="E245" s="2143">
        <f>9978427.15+(1268439.72)</f>
        <v>11246866.870000001</v>
      </c>
      <c r="F245" s="2991">
        <f>+'Schedule J'!H58+'Schedule J'!H59+'Schedule J'!H62+'Schedule J'!H161+'Schedule J'!I65+'Schedule J'!I124+'Schedule J'!H272</f>
        <v>-9734500.3499999996</v>
      </c>
      <c r="H245" s="2144">
        <f>E245+F245</f>
        <v>1512366.5200000014</v>
      </c>
      <c r="I245" s="2144">
        <f>+'Schedule J'!H57+'Schedule J'!H117+'Schedule J'!H119+'Schedule J'!H149+'Schedule J'!H151+'Schedule J'!H175+'Schedule J'!H176+'Schedule J'!H177+'Schedule J'!H178+'Schedule J'!H179+'Schedule J'!H180+'Schedule J'!I84+'Schedule J'!I116+'Schedule J'!I143+'Schedule J'!I146</f>
        <v>-1493168.2000000002</v>
      </c>
      <c r="J245" s="2144"/>
      <c r="K245" s="2144">
        <f>SUM(H245:J245)</f>
        <v>19198.320000001229</v>
      </c>
      <c r="M245" s="2144">
        <f>-M29*0</f>
        <v>0</v>
      </c>
      <c r="N245" s="2144">
        <f>-N29</f>
        <v>0</v>
      </c>
      <c r="O245" s="2144">
        <f>-O29</f>
        <v>0</v>
      </c>
      <c r="P245" s="2144">
        <f>-P29</f>
        <v>0</v>
      </c>
      <c r="Q245" s="2144">
        <f>IF(SUM(K245:P245)&lt;0,0,SUM(K245:P245))*0</f>
        <v>0</v>
      </c>
      <c r="S245" s="2144">
        <f>Q245-H245</f>
        <v>-1512366.5200000014</v>
      </c>
      <c r="U245" s="2144">
        <v>0</v>
      </c>
      <c r="V245" s="2144">
        <f>Q245-U245</f>
        <v>0</v>
      </c>
      <c r="X245" s="2144">
        <v>0</v>
      </c>
      <c r="Y245" s="2144">
        <f>(Q245-X245)</f>
        <v>0</v>
      </c>
      <c r="Z245" s="181"/>
      <c r="AA245" s="182"/>
      <c r="AC245" s="2539"/>
      <c r="AD245" s="2540"/>
      <c r="AE245" s="2145"/>
    </row>
    <row r="246" spans="1:32" ht="17.25" customHeight="1" outlineLevel="2">
      <c r="A246" s="2139"/>
      <c r="B246" s="2503"/>
      <c r="C246" s="2504"/>
      <c r="D246" s="2504"/>
      <c r="E246" s="2143"/>
      <c r="F246" s="2532"/>
      <c r="H246" s="2144"/>
      <c r="I246" s="2505"/>
      <c r="J246" s="2505"/>
      <c r="K246" s="2506"/>
      <c r="M246" s="2144"/>
      <c r="N246" s="2144"/>
      <c r="O246" s="2505"/>
      <c r="P246" s="2505"/>
      <c r="Q246" s="2506"/>
      <c r="S246" s="2506"/>
      <c r="U246" s="2506"/>
      <c r="V246" s="2506"/>
      <c r="X246" s="2506"/>
      <c r="Y246" s="2506"/>
      <c r="Z246" s="181">
        <f>H246-Q246</f>
        <v>0</v>
      </c>
      <c r="AA246" s="182">
        <f>(Q246-H246)+Z246</f>
        <v>0</v>
      </c>
      <c r="AC246" s="2499"/>
      <c r="AD246" s="2500"/>
      <c r="AE246" s="2145"/>
    </row>
    <row r="247" spans="1:32" ht="25.5" customHeight="1" outlineLevel="1">
      <c r="A247" s="2579" t="s">
        <v>535</v>
      </c>
      <c r="B247" s="2527"/>
      <c r="C247" s="2528" t="s">
        <v>536</v>
      </c>
      <c r="D247" s="2529"/>
      <c r="E247" s="2531">
        <f>SUM(E243:E245)</f>
        <v>11246866.870000001</v>
      </c>
      <c r="F247" s="3003">
        <f>SUM(F243:F245)</f>
        <v>-9734500.3499999996</v>
      </c>
      <c r="H247" s="2531">
        <f>SUM(H243:H245)</f>
        <v>1512366.5200000014</v>
      </c>
      <c r="I247" s="2531">
        <f>SUM(I243:I245)</f>
        <v>-1493168.2000000002</v>
      </c>
      <c r="J247" s="2531">
        <f>SUM(J243:J245)</f>
        <v>0</v>
      </c>
      <c r="K247" s="2531">
        <f>SUM(K243:K245)</f>
        <v>19198.320000001229</v>
      </c>
      <c r="M247" s="2531">
        <f t="shared" ref="M247:Q247" si="132">SUM(M243:M245)</f>
        <v>0</v>
      </c>
      <c r="N247" s="2531">
        <f t="shared" si="132"/>
        <v>0</v>
      </c>
      <c r="O247" s="2531">
        <f t="shared" si="132"/>
        <v>0</v>
      </c>
      <c r="P247" s="2531">
        <f t="shared" si="132"/>
        <v>0</v>
      </c>
      <c r="Q247" s="2531">
        <f t="shared" si="132"/>
        <v>0</v>
      </c>
      <c r="S247" s="2531">
        <f>SUM(S243:S245)</f>
        <v>-1512366.5200000014</v>
      </c>
      <c r="U247" s="2531">
        <f>SUM(U243:U245)</f>
        <v>0</v>
      </c>
      <c r="V247" s="2531">
        <f>SUM(V243:V245)</f>
        <v>0</v>
      </c>
      <c r="X247" s="2531">
        <v>0</v>
      </c>
      <c r="Y247" s="2531">
        <f>SUM(Y243:Y245)</f>
        <v>0</v>
      </c>
      <c r="Z247" s="181"/>
      <c r="AA247" s="182"/>
      <c r="AC247" s="2539"/>
      <c r="AD247" s="2540"/>
      <c r="AE247" s="2145"/>
    </row>
    <row r="248" spans="1:32" ht="25.5" customHeight="1" outlineLevel="2">
      <c r="A248" s="2535"/>
      <c r="B248" s="2535"/>
      <c r="C248" s="2536"/>
      <c r="D248" s="2536"/>
      <c r="E248" s="2537"/>
      <c r="F248" s="2991"/>
      <c r="H248" s="2538"/>
      <c r="I248" s="2538"/>
      <c r="J248" s="2538"/>
      <c r="K248" s="2538"/>
      <c r="M248" s="2538"/>
      <c r="N248" s="2538"/>
      <c r="O248" s="2538"/>
      <c r="P248" s="2538"/>
      <c r="Q248" s="2538"/>
      <c r="S248" s="2538"/>
      <c r="U248" s="2538"/>
      <c r="V248" s="2538"/>
      <c r="X248" s="2538"/>
      <c r="Y248" s="2538"/>
      <c r="Z248" s="181"/>
      <c r="AA248" s="182"/>
      <c r="AC248" s="2539"/>
      <c r="AD248" s="2540"/>
      <c r="AE248" s="2145"/>
    </row>
    <row r="249" spans="1:32" ht="25.5" customHeight="1" outlineLevel="2">
      <c r="A249" s="2535"/>
      <c r="B249" s="2535"/>
      <c r="C249" s="2536" t="s">
        <v>537</v>
      </c>
      <c r="D249" s="2536"/>
      <c r="E249" s="2537"/>
      <c r="F249" s="2991"/>
      <c r="H249" s="2538"/>
      <c r="I249" s="2538"/>
      <c r="J249" s="2538"/>
      <c r="K249" s="2538"/>
      <c r="M249" s="2538"/>
      <c r="N249" s="2538"/>
      <c r="O249" s="2538"/>
      <c r="P249" s="2538"/>
      <c r="Q249" s="2538"/>
      <c r="S249" s="2538"/>
      <c r="U249" s="2538"/>
      <c r="V249" s="2538"/>
      <c r="X249" s="2538"/>
      <c r="Y249" s="2538"/>
      <c r="Z249" s="181">
        <f>H249-Q249</f>
        <v>0</v>
      </c>
      <c r="AA249" s="182">
        <f>(Q249-H249)+Z249</f>
        <v>0</v>
      </c>
      <c r="AC249" s="2539"/>
      <c r="AD249" s="2540"/>
      <c r="AE249" s="2145"/>
    </row>
    <row r="250" spans="1:32" ht="25.5" customHeight="1" outlineLevel="2">
      <c r="A250" s="2139" t="s">
        <v>538</v>
      </c>
      <c r="B250" s="2535"/>
      <c r="C250" s="2142" t="s">
        <v>208</v>
      </c>
      <c r="D250" s="2536"/>
      <c r="E250" s="2143">
        <v>17975993.27</v>
      </c>
      <c r="F250" s="2991">
        <f>+'Schedule J'!H65+'Schedule J'!H124+'Schedule J'!H60+'Schedule J'!H67+'Schedule J'!H122</f>
        <v>-18233177.649999999</v>
      </c>
      <c r="H250" s="2144">
        <f>E250+F250</f>
        <v>-257184.37999999896</v>
      </c>
      <c r="I250" s="2144">
        <f>+'Schedule J'!H118+'Schedule J'!H123+'Schedule J'!I99</f>
        <v>827022.8</v>
      </c>
      <c r="J250" s="2144">
        <f>+'Schedule J'!H357</f>
        <v>-569838.42000000004</v>
      </c>
      <c r="K250" s="2144">
        <f>SUM(H250:J250)</f>
        <v>1.0477378964424133E-9</v>
      </c>
      <c r="M250" s="2144">
        <f>-M45*0</f>
        <v>0</v>
      </c>
      <c r="N250" s="2144">
        <f>-N45</f>
        <v>49207</v>
      </c>
      <c r="O250" s="2144">
        <f>-O45</f>
        <v>0</v>
      </c>
      <c r="P250" s="2144">
        <f>-P45</f>
        <v>0</v>
      </c>
      <c r="Q250" s="2144">
        <f>IF(SUM(K250:P250)&lt;0,0,SUM(K250:P250))*0</f>
        <v>0</v>
      </c>
      <c r="S250" s="2144">
        <f>Q250-H250</f>
        <v>257184.37999999896</v>
      </c>
      <c r="U250" s="2144">
        <v>0</v>
      </c>
      <c r="V250" s="2144">
        <f>Q250-U250</f>
        <v>0</v>
      </c>
      <c r="X250" s="2144">
        <v>0</v>
      </c>
      <c r="Y250" s="2144">
        <f>Q250-X250</f>
        <v>0</v>
      </c>
      <c r="Z250" s="181"/>
      <c r="AA250" s="182"/>
      <c r="AC250" s="2539"/>
      <c r="AD250" s="2540"/>
      <c r="AE250" s="2145"/>
    </row>
    <row r="251" spans="1:32" ht="25.5" customHeight="1" outlineLevel="2">
      <c r="A251" s="2139" t="s">
        <v>539</v>
      </c>
      <c r="B251" s="2535"/>
      <c r="C251" s="2142" t="s">
        <v>211</v>
      </c>
      <c r="D251" s="2536"/>
      <c r="E251" s="2143">
        <v>1198399.55</v>
      </c>
      <c r="F251" s="2991">
        <f>+'Schedule J'!H61</f>
        <v>-1198399.55</v>
      </c>
      <c r="H251" s="2144">
        <f>E251+F251</f>
        <v>0</v>
      </c>
      <c r="I251" s="2144">
        <f>-I184</f>
        <v>0</v>
      </c>
      <c r="J251" s="2144"/>
      <c r="K251" s="2144">
        <f>SUM(H251:J251)</f>
        <v>0</v>
      </c>
      <c r="M251" s="2144">
        <f>-M184</f>
        <v>0</v>
      </c>
      <c r="N251" s="2144">
        <f>-N184</f>
        <v>0</v>
      </c>
      <c r="O251" s="2144">
        <f>-O184</f>
        <v>0</v>
      </c>
      <c r="P251" s="2144">
        <f>-P184</f>
        <v>0</v>
      </c>
      <c r="Q251" s="2144">
        <f>IF(SUM(K251:P251)&lt;0,0,SUM(K251:P251))</f>
        <v>0</v>
      </c>
      <c r="S251" s="2144">
        <f>Q251-H251</f>
        <v>0</v>
      </c>
      <c r="U251" s="2144">
        <v>0</v>
      </c>
      <c r="V251" s="2144">
        <f>Q251-U251</f>
        <v>0</v>
      </c>
      <c r="X251" s="2144">
        <v>0</v>
      </c>
      <c r="Y251" s="2144">
        <f>Q251-X251</f>
        <v>0</v>
      </c>
      <c r="Z251" s="181"/>
      <c r="AA251" s="182"/>
      <c r="AC251" s="2539"/>
      <c r="AD251" s="2540"/>
      <c r="AE251" s="2145"/>
    </row>
    <row r="252" spans="1:32" ht="17.25" customHeight="1" outlineLevel="1">
      <c r="A252" s="2139"/>
      <c r="B252" s="2503"/>
      <c r="C252" s="2504"/>
      <c r="D252" s="2504"/>
      <c r="E252" s="2143"/>
      <c r="F252" s="2532"/>
      <c r="H252" s="2144"/>
      <c r="I252" s="2505"/>
      <c r="J252" s="2505"/>
      <c r="K252" s="2506"/>
      <c r="M252" s="2144"/>
      <c r="N252" s="2144"/>
      <c r="O252" s="2505"/>
      <c r="P252" s="2505"/>
      <c r="Q252" s="2506"/>
      <c r="S252" s="2506"/>
      <c r="U252" s="2506"/>
      <c r="V252" s="2506"/>
      <c r="X252" s="2506"/>
      <c r="Y252" s="2506"/>
      <c r="Z252" s="181">
        <f>H252-Q252</f>
        <v>0</v>
      </c>
      <c r="AA252" s="182">
        <f>(Q252-H252)+Z252</f>
        <v>0</v>
      </c>
      <c r="AC252" s="2499"/>
      <c r="AD252" s="2500"/>
      <c r="AE252" s="2145"/>
    </row>
    <row r="253" spans="1:32" ht="25.5" customHeight="1" outlineLevel="1">
      <c r="A253" s="2579" t="s">
        <v>540</v>
      </c>
      <c r="B253" s="2527"/>
      <c r="C253" s="2528" t="s">
        <v>541</v>
      </c>
      <c r="D253" s="2529"/>
      <c r="E253" s="2531">
        <f>SUM(E248:E251)</f>
        <v>19174392.82</v>
      </c>
      <c r="F253" s="3003">
        <f>SUM(F248:F251)</f>
        <v>-19431577.199999999</v>
      </c>
      <c r="H253" s="2531">
        <f t="shared" ref="H253:Y253" si="133">SUM(H248:H251)</f>
        <v>-257184.37999999896</v>
      </c>
      <c r="I253" s="2531">
        <f t="shared" si="133"/>
        <v>827022.8</v>
      </c>
      <c r="J253" s="2531">
        <f t="shared" si="133"/>
        <v>-569838.42000000004</v>
      </c>
      <c r="K253" s="2531">
        <f t="shared" si="133"/>
        <v>1.0477378964424133E-9</v>
      </c>
      <c r="M253" s="2531">
        <f t="shared" si="133"/>
        <v>0</v>
      </c>
      <c r="N253" s="2531">
        <f t="shared" si="133"/>
        <v>49207</v>
      </c>
      <c r="O253" s="2531">
        <f>SUM(O248:O251)</f>
        <v>0</v>
      </c>
      <c r="P253" s="2531">
        <f t="shared" si="133"/>
        <v>0</v>
      </c>
      <c r="Q253" s="2531">
        <f t="shared" si="133"/>
        <v>0</v>
      </c>
      <c r="S253" s="2531">
        <f t="shared" si="133"/>
        <v>257184.37999999896</v>
      </c>
      <c r="U253" s="2531">
        <f t="shared" si="133"/>
        <v>0</v>
      </c>
      <c r="V253" s="2531">
        <f t="shared" si="133"/>
        <v>0</v>
      </c>
      <c r="X253" s="2531">
        <v>0</v>
      </c>
      <c r="Y253" s="2531">
        <f t="shared" si="133"/>
        <v>0</v>
      </c>
      <c r="Z253" s="181"/>
      <c r="AA253" s="182"/>
      <c r="AC253" s="2539"/>
      <c r="AD253" s="2540"/>
      <c r="AE253" s="2145"/>
    </row>
    <row r="254" spans="1:32" ht="25.5" customHeight="1" outlineLevel="2">
      <c r="A254" s="2535"/>
      <c r="B254" s="2535"/>
      <c r="C254" s="2536"/>
      <c r="D254" s="2536"/>
      <c r="E254" s="2537"/>
      <c r="F254" s="2991"/>
      <c r="H254" s="2538"/>
      <c r="I254" s="2538"/>
      <c r="J254" s="2538"/>
      <c r="K254" s="2538"/>
      <c r="M254" s="2538"/>
      <c r="N254" s="2538"/>
      <c r="O254" s="2538"/>
      <c r="P254" s="2538"/>
      <c r="Q254" s="2538"/>
      <c r="S254" s="2538"/>
      <c r="U254" s="2538"/>
      <c r="V254" s="2538"/>
      <c r="X254" s="2538"/>
      <c r="Y254" s="2538"/>
      <c r="Z254" s="181"/>
      <c r="AA254" s="182"/>
      <c r="AC254" s="2539"/>
      <c r="AD254" s="2540"/>
      <c r="AE254" s="2145"/>
    </row>
    <row r="255" spans="1:32" ht="25.5" customHeight="1" outlineLevel="2">
      <c r="A255" s="2535"/>
      <c r="B255" s="2535"/>
      <c r="C255" s="2536" t="s">
        <v>542</v>
      </c>
      <c r="D255" s="2536"/>
      <c r="E255" s="2537"/>
      <c r="F255" s="2991"/>
      <c r="H255" s="2538"/>
      <c r="I255" s="2538"/>
      <c r="J255" s="2538"/>
      <c r="K255" s="2538"/>
      <c r="M255" s="2538"/>
      <c r="N255" s="2538"/>
      <c r="O255" s="2538"/>
      <c r="P255" s="2538"/>
      <c r="Q255" s="2538"/>
      <c r="S255" s="2538"/>
      <c r="U255" s="2538"/>
      <c r="V255" s="2538"/>
      <c r="X255" s="2538"/>
      <c r="Y255" s="2538"/>
      <c r="Z255" s="181">
        <f>H255-Q255</f>
        <v>0</v>
      </c>
      <c r="AA255" s="182">
        <f>(Q255-H255)+Z255</f>
        <v>0</v>
      </c>
      <c r="AC255" s="2539"/>
      <c r="AD255" s="2540"/>
      <c r="AE255" s="2145"/>
    </row>
    <row r="256" spans="1:32" ht="25.5" customHeight="1" outlineLevel="2">
      <c r="A256" s="2139" t="s">
        <v>543</v>
      </c>
      <c r="B256" s="2535"/>
      <c r="C256" s="2142" t="s">
        <v>214</v>
      </c>
      <c r="D256" s="2536"/>
      <c r="E256" s="2143">
        <v>221633231.19999999</v>
      </c>
      <c r="F256" s="2532">
        <f>+'Schedule J'!H56+'Schedule J'!H64+'Schedule J'!H90+'Schedule J'!H100+'Schedule J'!H128+'Schedule J'!H129+'Schedule J'!H138+'Schedule J'!H145+'Schedule J'!H154+'Schedule J'!H157+'Schedule J'!H160+'Schedule J'!H165+'Schedule J'!I77+'Schedule J'!I158+'Schedule J'!I170+('Schedule J'!H182)+'Schedule J'!H185+('Schedule J'!H187+'Schedule J'!H188+'Schedule J'!H189+'Schedule J'!H190+'Schedule J'!H191+'Schedule J'!H192+'Schedule J'!H193+'Schedule J'!H194+'Schedule J'!H195+'Schedule J'!H196+'Schedule J'!H208+'Schedule J'!H215+'Schedule J'!H217+'Schedule J'!H221)+('Schedule J'!H197+'Schedule J'!H198+'Schedule J'!H199+'Schedule J'!H200+'Schedule J'!H201+'Schedule J'!H205+'Schedule J'!H206+'Schedule J'!H207+'Schedule J'!H209+'Schedule J'!H210+'Schedule J'!H211+'Schedule J'!H212+'Schedule J'!H213+'Schedule J'!H214+'Schedule J'!H216+'Schedule J'!H218+'Schedule J'!H219+'Schedule J'!H220)+'Schedule J'!I223+('Schedule J'!H225+'Schedule J'!H226+'Schedule J'!H227+'Schedule J'!H228+'Schedule J'!H229+'Schedule J'!H230+'Schedule J'!H231+'Schedule J'!H232+'Schedule J'!H233+'Schedule J'!H234+'Schedule J'!H235+'Schedule J'!H236+'Schedule J'!H237+'Schedule J'!H238+'Schedule J'!H239+'Schedule J'!H240+'Schedule J'!H241+'Schedule J'!H242+'Schedule J'!H243+'Schedule J'!H244+'Schedule J'!H245+'Schedule J'!H246+'Schedule J'!H247+'Schedule J'!H248+'Schedule J'!H249+'Schedule J'!H250+'Schedule J'!H251+'Schedule J'!H252+'Schedule J'!H253+'Schedule J'!H254+'Schedule J'!H255+'Schedule J'!H256)+'Schedule J'!H259+'Schedule J'!H258+'Schedule J'!H267+'Schedule J'!H268+'Schedule J'!H269+'Schedule J'!H270+'Schedule J'!H273+'Schedule J'!H280+'Schedule J'!H281+'Schedule J'!H282+'Schedule J'!H283+'Schedule J'!H284+'Schedule J'!H285+'Schedule J'!H286+'Schedule J'!H287+'Schedule J'!H288+'Schedule J'!H289+'Schedule J'!H290+'Schedule J'!H291+'Schedule J'!H292+'Schedule J'!H293+'Schedule J'!H296+'Schedule J'!H297+'Schedule J'!H294+'Schedule J'!H295+'Schedule J'!H298+'Schedule J'!H302+'Schedule J'!H303+'Schedule J'!H304+'Schedule J'!H305+'Schedule J'!H307+'Schedule J'!H308+'Schedule J'!H309+'Schedule J'!H310+'Schedule J'!H311+'Schedule J'!H312+'Schedule J'!H313+'Schedule J'!H314+'Schedule J'!H323+('Schedule J'!I316)+'Schedule J'!I300+'Schedule J'!H332+'Schedule J'!H333+'Schedule J'!H334+'Schedule J'!H335+'Schedule J'!H336+'Schedule J'!H337+'Schedule J'!H338+'Schedule J'!H339+'Schedule J'!H340+'Schedule J'!H341+'Schedule J'!H342+'Schedule J'!H343+'Schedule J'!H344+'Schedule J'!H345+'Schedule J'!H346+'Schedule J'!H347+'Schedule J'!H348+'Schedule J'!H349+'Schedule J'!H350+'Schedule J'!H351+'Schedule J'!H352+'Schedule J'!H360+'Schedule J'!H367+'Schedule J'!H368+'Schedule J'!H369+'Schedule J'!H370+'Schedule J'!H371+'Schedule J'!H372+'Schedule J'!H373+'Schedule J'!H374+'Schedule J'!H375+'Schedule J'!H376+'Schedule J'!H377+'Schedule J'!H378+'Schedule J'!H379+'Schedule J'!H380+'Schedule J'!H381+'Schedule J'!H382+'Schedule J'!H383+'Schedule J'!H384+'Schedule J'!H385+'Schedule J'!H386+'Schedule J'!H387+'Schedule J'!H388+'Schedule J'!H389+'Schedule J'!H390+'Schedule J'!H391+'Schedule J'!H392+'Schedule J'!H393+'Schedule J'!H394+'Schedule J'!H395+'Schedule J'!H396+'Schedule J'!H397+'Schedule J'!H398+'Schedule J'!H399+'Schedule J'!H400+'Schedule J'!H401+'Schedule J'!H402+'Schedule J'!H403+'Schedule J'!H404+'Schedule J'!H405+'Schedule J'!H406+'Schedule J'!H407+'Schedule J'!H408+'Schedule J'!H409+'Schedule J'!H411+'Schedule J'!H412+'Schedule J'!H413+'Schedule J'!H414+'Schedule J'!H415+'Schedule J'!H416+'Schedule J'!H417+'Schedule J'!H422+'Schedule J'!H424+'Schedule J'!H425+'Schedule J'!H426+'Schedule J'!H427+'Schedule J'!H428+'Schedule J'!H429+'Schedule J'!H430+'Schedule J'!H431+'Schedule J'!H432+'Schedule J'!H433+'Schedule J'!H434+'Schedule J'!H435+'Schedule J'!H436+'Schedule J'!H437+'Schedule J'!H438+'Schedule J'!H439+'Schedule J'!H440+'Schedule J'!H441+'Schedule J'!H442+'Schedule J'!H443+'Schedule J'!H444+'Schedule J'!H445+'Schedule J'!H446+'Schedule J'!H451+'Schedule J'!H452+'Schedule J'!H462+'Schedule J'!H464+'Schedule J'!H470+'Schedule J'!H471+'Schedule J'!H472+'Schedule J'!H473+'Schedule J'!H474+'Schedule J'!H475+'Schedule J'!H476+'Schedule J'!H477+'Schedule J'!H478+'Schedule J'!H479+'Schedule J'!H480+'Schedule J'!H481+'Schedule J'!H482+'Schedule J'!H483+'Schedule J'!H484+'Schedule J'!H485+'Schedule J'!H486+'Schedule J'!H487+'Schedule J'!H489+'Schedule J'!H490+'Schedule J'!H491+'Schedule J'!H492+'Schedule J'!H493+'Schedule J'!H494+'Schedule J'!H495+'Schedule J'!H496+'Schedule J'!H497+'Schedule J'!H498+'Schedule J'!H499+'Schedule J'!H500+'Schedule J'!H501+'Schedule J'!H502+'Schedule J'!H503+'Schedule J'!H504+'Schedule J'!H505+'Schedule J'!H506+'Schedule J'!H507+'Schedule J'!H508+'Schedule J'!H519+('Schedule J'!H523+'Schedule J'!H524+'Schedule J'!H525+'Schedule J'!H526+'Schedule J'!H527+'Schedule J'!H528+'Schedule J'!H529+'Schedule J'!H530+'Schedule J'!H531+'Schedule J'!H532+'Schedule J'!H533+'Schedule J'!H534+'Schedule J'!H535+'Schedule J'!H536+'Schedule J'!H537+'Schedule J'!H538+'Schedule J'!H539+'Schedule J'!H540)+'Schedule J'!H542+'Schedule J'!H560+'Schedule J'!H565+'Schedule J'!H566+'Schedule J'!H592+'Schedule J'!H596+'Schedule J'!H597+'Schedule J'!H598+'Schedule J'!H594</f>
        <v>-192496415.77000019</v>
      </c>
      <c r="H256" s="2144">
        <f>E256+F256</f>
        <v>29136815.429999799</v>
      </c>
      <c r="I256" s="2144">
        <f>+'Schedule J'!H79+'Schedule J'!H81+'Schedule J'!H82+'Schedule J'!H83+'Schedule J'!H85+'Schedule J'!H87+'Schedule J'!H88+'Schedule J'!H89+'Schedule J'!H91+'Schedule J'!H94+'Schedule J'!H96+'Schedule J'!H98+'Schedule J'!H104+'Schedule J'!H107+'Schedule J'!H111+'Schedule J'!H113+'Schedule J'!H115+'Schedule J'!H120+'Schedule J'!H121+'Schedule J'!H125+'Schedule J'!H126+'Schedule J'!H131+'Schedule J'!H132+'Schedule J'!H136+'Schedule J'!H137+'Schedule J'!H140+'Schedule J'!H142+'Schedule J'!I76+'Schedule J'!I80+'Schedule J'!I86+'Schedule J'!I92+('Schedule J'!I183)+'Schedule J'!I93+'Schedule J'!I95+'Schedule J'!I97+'Schedule J'!I101+'Schedule J'!I102+'Schedule J'!I103+'Schedule J'!I105+'Schedule J'!I106+'Schedule J'!I114+'Schedule J'!I127+'Schedule J'!I130+'Schedule J'!I133+'Schedule J'!I135+'Schedule J'!I139+'Schedule J'!I141+'Schedule J'!I144+'Schedule J'!I147+'Schedule J'!I148+'Schedule J'!I150+'Schedule J'!I152+'Schedule J'!I164+'Schedule J'!I167+'Schedule J'!I169+'Schedule J'!I172+('Schedule J'!H182)+'Schedule J'!I203+'Schedule J'!I261+'Schedule J'!I278+'Schedule J'!H320+'Schedule J'!H327+'Schedule J'!H330+'Schedule J'!I356+'Schedule J'!H355+'Schedule J'!I361+'Schedule J'!H363+'Schedule J'!H364+'Schedule J'!I420+'Schedule J'!I423+'Schedule J'!I449+'Schedule J'!H454+'Schedule J'!I455+'Schedule J'!I456+'Schedule J'!I516+(+'Schedule J'!H153+'Schedule J'!I156+'Schedule J'!H162+'Schedule J'!H163+'Schedule J'!H166+'Schedule J'!H168+'Schedule J'!H263+'Schedule J'!H264+'Schedule J'!H276+'Schedule J'!H277+'Schedule J'!H318+'Schedule J'!H325+'Schedule J'!I328+'Schedule J'!H354+'Schedule J'!H358+'Schedule J'!H359+'Schedule J'!H421)+'Schedule J'!H521+('Schedule J'!H544+'Schedule J'!H545+'Schedule J'!H547)+'Schedule J'!H558+'Schedule J'!H562+('Schedule J'!I568+'Schedule J'!I569)+('Schedule J'!I570)+('Schedule J'!I571+'Schedule J'!I572)+('Schedule J'!I573)+('Schedule J'!I574+'Schedule J'!I575)+('Schedule J'!H577+'Schedule J'!H578+'Schedule J'!H579+'Schedule J'!H580)+'Schedule J'!I581+'Schedule J'!I582+'Schedule J'!H584+'Schedule J'!I585+'Schedule J'!I586+'Schedule J'!I587+'Schedule J'!H588+'Schedule J'!I591+'Schedule J'!I593+'Schedule J'!H594+'Schedule J'!I600</f>
        <v>7496780.0399999814</v>
      </c>
      <c r="J256" s="2144">
        <f>+('Schedule J'!H153+'Schedule J'!H155+'Schedule J'!H162+'Schedule J'!H163+'Schedule J'!H166+'Schedule J'!H168+'Schedule J'!I156+'Schedule J'!H263+'Schedule J'!H264+'Schedule J'!H265+'Schedule J'!H275+'Schedule J'!H276+'Schedule J'!H277+'Schedule J'!H318+'Schedule J'!H319+'Schedule J'!I328+'Schedule J'!H325+'Schedule J'!H354+'Schedule J'!H358+'Schedule J'!H359+'Schedule J'!I419*0+'Schedule J'!H421+'Schedule J'!H468+'Schedule J'!I460+'Schedule J'!H512+'Schedule J'!H514)*0+'Schedule J'!H155+'Schedule J'!H265+'Schedule J'!H275+'Schedule J'!H319+'Schedule J'!I419*0+'Schedule J'!H468+'Schedule J'!I460+'Schedule J'!H512+'Schedule J'!H514+'Schedule J'!H549+'Schedule J'!H550+'Schedule J'!H551+('Schedule J'!H552+'Schedule J'!H553)+'Schedule J'!H554+'Schedule J'!H555+'Schedule J'!H556+('Schedule J'!H564)+'Schedule J'!H590</f>
        <v>-15074367.810000001</v>
      </c>
      <c r="K256" s="2144">
        <f>SUM(H256:J256)</f>
        <v>21559227.65999978</v>
      </c>
      <c r="M256" s="2144">
        <f>-M183</f>
        <v>18178391.659999996</v>
      </c>
      <c r="N256" s="2144">
        <f>-N183</f>
        <v>-3205613.5</v>
      </c>
      <c r="O256" s="2144">
        <f>-O183</f>
        <v>-32891648.893043488</v>
      </c>
      <c r="P256" s="2144">
        <f>-P183</f>
        <v>0</v>
      </c>
      <c r="Q256" s="2144">
        <f>IF(SUM(K256:P256)&lt;0,0,SUM(K256:P256))*0</f>
        <v>0</v>
      </c>
      <c r="S256" s="2144">
        <f>(Q256-H256)</f>
        <v>-29136815.429999799</v>
      </c>
      <c r="U256" s="2144">
        <v>0</v>
      </c>
      <c r="V256" s="2144">
        <f>Q256-U256</f>
        <v>0</v>
      </c>
      <c r="X256" s="2144">
        <v>0</v>
      </c>
      <c r="Y256" s="2144">
        <f>Q256-X256</f>
        <v>0</v>
      </c>
      <c r="Z256" s="181"/>
      <c r="AA256" s="182"/>
      <c r="AC256" s="2539"/>
      <c r="AD256" s="2540"/>
      <c r="AE256" s="2145"/>
    </row>
    <row r="257" spans="1:35" ht="17.25" customHeight="1" outlineLevel="1">
      <c r="A257" s="2139"/>
      <c r="B257" s="2503"/>
      <c r="C257" s="2504"/>
      <c r="D257" s="2504"/>
      <c r="E257" s="2143"/>
      <c r="F257" s="2532"/>
      <c r="H257" s="2144"/>
      <c r="I257" s="2505"/>
      <c r="J257" s="2505"/>
      <c r="K257" s="2506"/>
      <c r="M257" s="2144"/>
      <c r="N257" s="2144"/>
      <c r="O257" s="2505"/>
      <c r="P257" s="2505"/>
      <c r="Q257" s="2506"/>
      <c r="S257" s="2506"/>
      <c r="U257" s="2506"/>
      <c r="V257" s="2506"/>
      <c r="X257" s="2506"/>
      <c r="Y257" s="2506"/>
      <c r="Z257" s="181">
        <f>H257-Q257</f>
        <v>0</v>
      </c>
      <c r="AA257" s="182">
        <f>(Q257-H257)+Z257</f>
        <v>0</v>
      </c>
      <c r="AC257" s="2499"/>
      <c r="AD257" s="2500"/>
      <c r="AE257" s="2145"/>
    </row>
    <row r="258" spans="1:35" ht="25.5" customHeight="1" outlineLevel="1">
      <c r="A258" s="2579" t="s">
        <v>543</v>
      </c>
      <c r="B258" s="2527"/>
      <c r="C258" s="2528" t="s">
        <v>544</v>
      </c>
      <c r="D258" s="2529"/>
      <c r="E258" s="2531">
        <f>SUM(E254:E256)</f>
        <v>221633231.19999999</v>
      </c>
      <c r="F258" s="3003">
        <f>SUM(F254:F256)</f>
        <v>-192496415.77000019</v>
      </c>
      <c r="H258" s="2531">
        <f t="shared" ref="H258:Y258" si="134">SUM(H254:H256)</f>
        <v>29136815.429999799</v>
      </c>
      <c r="I258" s="2531">
        <f t="shared" si="134"/>
        <v>7496780.0399999814</v>
      </c>
      <c r="J258" s="2531">
        <f t="shared" si="134"/>
        <v>-15074367.810000001</v>
      </c>
      <c r="K258" s="2531">
        <f t="shared" si="134"/>
        <v>21559227.65999978</v>
      </c>
      <c r="M258" s="2531">
        <f t="shared" si="134"/>
        <v>18178391.659999996</v>
      </c>
      <c r="N258" s="2531">
        <f t="shared" si="134"/>
        <v>-3205613.5</v>
      </c>
      <c r="O258" s="2531">
        <f>SUM(O254:O256)</f>
        <v>-32891648.893043488</v>
      </c>
      <c r="P258" s="2531">
        <f t="shared" si="134"/>
        <v>0</v>
      </c>
      <c r="Q258" s="2531">
        <f t="shared" si="134"/>
        <v>0</v>
      </c>
      <c r="S258" s="2531">
        <f t="shared" si="134"/>
        <v>-29136815.429999799</v>
      </c>
      <c r="U258" s="2531">
        <f t="shared" si="134"/>
        <v>0</v>
      </c>
      <c r="V258" s="2531">
        <f t="shared" si="134"/>
        <v>0</v>
      </c>
      <c r="X258" s="2531">
        <v>0</v>
      </c>
      <c r="Y258" s="2531">
        <f t="shared" si="134"/>
        <v>0</v>
      </c>
      <c r="Z258" s="181"/>
      <c r="AA258" s="182"/>
      <c r="AC258" s="2539"/>
      <c r="AD258" s="2540"/>
      <c r="AE258" s="2145"/>
    </row>
    <row r="259" spans="1:35" ht="25.5" customHeight="1" outlineLevel="2">
      <c r="A259" s="2535"/>
      <c r="B259" s="2535"/>
      <c r="C259" s="2536"/>
      <c r="D259" s="2536"/>
      <c r="E259" s="2537"/>
      <c r="F259" s="2991"/>
      <c r="H259" s="2538"/>
      <c r="I259" s="2538"/>
      <c r="J259" s="2538"/>
      <c r="K259" s="2538"/>
      <c r="M259" s="2538"/>
      <c r="N259" s="2538"/>
      <c r="O259" s="2538"/>
      <c r="P259" s="2538"/>
      <c r="Q259" s="2538"/>
      <c r="S259" s="2538"/>
      <c r="U259" s="2538"/>
      <c r="V259" s="2538"/>
      <c r="X259" s="2538"/>
      <c r="Y259" s="2538"/>
      <c r="Z259" s="181"/>
      <c r="AA259" s="182"/>
      <c r="AC259" s="2539"/>
      <c r="AD259" s="2540"/>
      <c r="AE259" s="2145"/>
    </row>
    <row r="260" spans="1:35" ht="25.5" customHeight="1" outlineLevel="2">
      <c r="A260" s="2535"/>
      <c r="B260" s="2535"/>
      <c r="C260" s="2536" t="s">
        <v>545</v>
      </c>
      <c r="D260" s="2536"/>
      <c r="E260" s="2537"/>
      <c r="F260" s="2991"/>
      <c r="H260" s="2538"/>
      <c r="I260" s="2538"/>
      <c r="J260" s="2538"/>
      <c r="K260" s="2538"/>
      <c r="M260" s="2538"/>
      <c r="N260" s="2538"/>
      <c r="O260" s="2538"/>
      <c r="P260" s="2538"/>
      <c r="Q260" s="2538"/>
      <c r="S260" s="2538"/>
      <c r="U260" s="2538"/>
      <c r="V260" s="2538"/>
      <c r="X260" s="2538"/>
      <c r="Y260" s="2538"/>
      <c r="Z260" s="181">
        <f>H260-Q260</f>
        <v>0</v>
      </c>
      <c r="AA260" s="182">
        <f>(Q260-H260)+Z260</f>
        <v>0</v>
      </c>
      <c r="AC260" s="2539"/>
      <c r="AD260" s="2540"/>
      <c r="AE260" s="2145"/>
    </row>
    <row r="261" spans="1:35" ht="25.5" customHeight="1" outlineLevel="2">
      <c r="A261" s="2139" t="s">
        <v>543</v>
      </c>
      <c r="B261" s="2535"/>
      <c r="C261" s="2142" t="s">
        <v>216</v>
      </c>
      <c r="D261" s="2536"/>
      <c r="E261" s="2143">
        <f>12800000+340000+3543829+2400000+5907720</f>
        <v>24991549</v>
      </c>
      <c r="F261" s="2532">
        <f>+'Schedule J'!I78+'Schedule J'!I159+'Schedule J'!H63+'Schedule J'!H108+'Schedule J'!H109+'Schedule J'!H112+'Schedule J'!H448+'Schedule J'!H458+'Schedule J'!H466+'Schedule J'!H510+'Schedule J'!H518</f>
        <v>-24988413.889999997</v>
      </c>
      <c r="H261" s="2144">
        <f>E261+F261</f>
        <v>3135.1100000031292</v>
      </c>
      <c r="I261" s="2144"/>
      <c r="J261" s="2144"/>
      <c r="K261" s="2144">
        <f>SUM(H261:J261)</f>
        <v>3135.1100000031292</v>
      </c>
      <c r="M261" s="2144">
        <f>-M223</f>
        <v>0</v>
      </c>
      <c r="N261" s="2144">
        <f>-N223</f>
        <v>-429156</v>
      </c>
      <c r="O261" s="2144">
        <f>-O223</f>
        <v>0</v>
      </c>
      <c r="P261" s="2144">
        <f>-P223</f>
        <v>0</v>
      </c>
      <c r="Q261" s="2144">
        <f>IF(SUM(K261:P261)&lt;0,0,SUM(K261:P261))</f>
        <v>0</v>
      </c>
      <c r="S261" s="2144">
        <f>(Q261-H261)</f>
        <v>-3135.1100000031292</v>
      </c>
      <c r="U261" s="2144">
        <v>0</v>
      </c>
      <c r="V261" s="2144">
        <f>Q261-U261</f>
        <v>0</v>
      </c>
      <c r="X261" s="2144">
        <v>0</v>
      </c>
      <c r="Y261" s="2144">
        <f>Q261-X261</f>
        <v>0</v>
      </c>
      <c r="Z261" s="181"/>
      <c r="AA261" s="182"/>
      <c r="AC261" s="2539"/>
      <c r="AD261" s="2540"/>
      <c r="AE261" s="2145"/>
    </row>
    <row r="262" spans="1:35" ht="17.25" customHeight="1" outlineLevel="1">
      <c r="A262" s="2139"/>
      <c r="B262" s="2503"/>
      <c r="C262" s="2504"/>
      <c r="D262" s="2504"/>
      <c r="E262" s="2143"/>
      <c r="F262" s="2532"/>
      <c r="H262" s="2144"/>
      <c r="I262" s="2505"/>
      <c r="J262" s="2505"/>
      <c r="K262" s="2506"/>
      <c r="M262" s="2144"/>
      <c r="N262" s="2144"/>
      <c r="O262" s="2505"/>
      <c r="P262" s="2505"/>
      <c r="Q262" s="2506"/>
      <c r="S262" s="2506"/>
      <c r="U262" s="2506"/>
      <c r="V262" s="2506"/>
      <c r="X262" s="2506"/>
      <c r="Y262" s="2506"/>
      <c r="Z262" s="181">
        <f>H262-Q262</f>
        <v>0</v>
      </c>
      <c r="AA262" s="182">
        <f>(Q262-H262)+Z262</f>
        <v>0</v>
      </c>
      <c r="AC262" s="2499"/>
      <c r="AD262" s="2500"/>
      <c r="AE262" s="2145"/>
    </row>
    <row r="263" spans="1:35" ht="25.5" customHeight="1" outlineLevel="1">
      <c r="A263" s="2579" t="s">
        <v>543</v>
      </c>
      <c r="B263" s="2527"/>
      <c r="C263" s="2528" t="s">
        <v>544</v>
      </c>
      <c r="D263" s="2529"/>
      <c r="E263" s="2531">
        <f>SUM(E259:E261)</f>
        <v>24991549</v>
      </c>
      <c r="F263" s="3003">
        <f>SUM(F259:F261)</f>
        <v>-24988413.889999997</v>
      </c>
      <c r="H263" s="2531">
        <f>SUM(H259:H261)</f>
        <v>3135.1100000031292</v>
      </c>
      <c r="I263" s="2531">
        <f>SUM(I259:I261)</f>
        <v>0</v>
      </c>
      <c r="J263" s="2531">
        <f>SUM(J259:J261)</f>
        <v>0</v>
      </c>
      <c r="K263" s="2531">
        <f>SUM(K259:K261)</f>
        <v>3135.1100000031292</v>
      </c>
      <c r="M263" s="2531">
        <f t="shared" ref="M263:Q263" si="135">SUM(M259:M261)</f>
        <v>0</v>
      </c>
      <c r="N263" s="2531">
        <f t="shared" si="135"/>
        <v>-429156</v>
      </c>
      <c r="O263" s="2531">
        <f t="shared" si="135"/>
        <v>0</v>
      </c>
      <c r="P263" s="2531">
        <f t="shared" si="135"/>
        <v>0</v>
      </c>
      <c r="Q263" s="2531">
        <f t="shared" si="135"/>
        <v>0</v>
      </c>
      <c r="S263" s="2531">
        <f>SUM(S259:S261)</f>
        <v>-3135.1100000031292</v>
      </c>
      <c r="U263" s="2531">
        <f>SUM(U259:U261)</f>
        <v>0</v>
      </c>
      <c r="V263" s="2531">
        <f>SUM(V259:V261)</f>
        <v>0</v>
      </c>
      <c r="X263" s="2531">
        <v>0</v>
      </c>
      <c r="Y263" s="2531">
        <f>SUM(Y259:Y261)</f>
        <v>0</v>
      </c>
      <c r="Z263" s="181"/>
      <c r="AA263" s="182"/>
      <c r="AC263" s="2539"/>
      <c r="AD263" s="2540"/>
      <c r="AE263" s="2145"/>
    </row>
    <row r="264" spans="1:35" ht="25.5" customHeight="1" outlineLevel="1">
      <c r="A264" s="2535"/>
      <c r="B264" s="2535"/>
      <c r="C264" s="2536"/>
      <c r="D264" s="2536"/>
      <c r="E264" s="2537"/>
      <c r="F264" s="2991"/>
      <c r="H264" s="2538"/>
      <c r="I264" s="2538"/>
      <c r="J264" s="2538"/>
      <c r="K264" s="2538"/>
      <c r="M264" s="2538"/>
      <c r="N264" s="2538"/>
      <c r="O264" s="2538"/>
      <c r="P264" s="2538"/>
      <c r="Q264" s="2538"/>
      <c r="S264" s="2538"/>
      <c r="U264" s="2538"/>
      <c r="V264" s="2538"/>
      <c r="X264" s="2538"/>
      <c r="Y264" s="2538"/>
      <c r="Z264" s="181"/>
      <c r="AA264" s="182"/>
      <c r="AC264" s="2539"/>
      <c r="AD264" s="2540"/>
      <c r="AE264" s="2145"/>
    </row>
    <row r="265" spans="1:35" ht="14.25" customHeight="1">
      <c r="A265" s="2513"/>
      <c r="B265" s="2513"/>
      <c r="C265" s="2514"/>
      <c r="D265" s="2514"/>
      <c r="E265" s="2143"/>
      <c r="F265" s="2532"/>
      <c r="H265" s="2144"/>
      <c r="I265" s="2505"/>
      <c r="J265" s="2505"/>
      <c r="K265" s="2144"/>
      <c r="M265" s="2505"/>
      <c r="N265" s="2505"/>
      <c r="O265" s="2505"/>
      <c r="P265" s="2505"/>
      <c r="Q265" s="2144"/>
      <c r="S265" s="2144"/>
      <c r="U265" s="2144"/>
      <c r="V265" s="2506"/>
      <c r="X265" s="2144"/>
      <c r="Y265" s="2506"/>
      <c r="Z265" s="181">
        <f>H265-Q265</f>
        <v>0</v>
      </c>
      <c r="AA265" s="182">
        <f>(Q265-H265)+Z265</f>
        <v>0</v>
      </c>
      <c r="AC265" s="2499"/>
      <c r="AD265" s="2500"/>
      <c r="AE265" s="2145"/>
      <c r="AI265" s="164">
        <v>102</v>
      </c>
    </row>
    <row r="266" spans="1:35" s="167" customFormat="1" ht="36.75" customHeight="1" thickBot="1">
      <c r="A266" s="2580">
        <v>98</v>
      </c>
      <c r="B266" s="2580"/>
      <c r="C266" s="2581" t="s">
        <v>546</v>
      </c>
      <c r="D266" s="2582"/>
      <c r="E266" s="2583">
        <f>E258+E253+E247+E263</f>
        <v>277046039.88999999</v>
      </c>
      <c r="F266" s="3004">
        <f>F258+F253+F247+F263</f>
        <v>-246650907.21000016</v>
      </c>
      <c r="G266" s="164"/>
      <c r="H266" s="2583">
        <f>H258+H253+H247+H263</f>
        <v>30395132.679999802</v>
      </c>
      <c r="I266" s="2583">
        <f>I258+I253+I247+I263</f>
        <v>6830634.639999981</v>
      </c>
      <c r="J266" s="2583">
        <f>J258+J253+J247+J263</f>
        <v>-15644206.23</v>
      </c>
      <c r="K266" s="2583">
        <f>K258+K253+K247+K263</f>
        <v>21581561.089999784</v>
      </c>
      <c r="L266" s="164"/>
      <c r="M266" s="2583">
        <f t="shared" ref="M266:Q266" si="136">M258+M253+M247+M263</f>
        <v>18178391.659999996</v>
      </c>
      <c r="N266" s="2583">
        <f t="shared" si="136"/>
        <v>-3585562.5</v>
      </c>
      <c r="O266" s="2583">
        <f t="shared" si="136"/>
        <v>-32891648.893043488</v>
      </c>
      <c r="P266" s="2583">
        <f t="shared" si="136"/>
        <v>0</v>
      </c>
      <c r="Q266" s="2583">
        <f t="shared" si="136"/>
        <v>0</v>
      </c>
      <c r="R266" s="164"/>
      <c r="S266" s="2583">
        <f>S258+S253+S247+S263</f>
        <v>-30395132.679999802</v>
      </c>
      <c r="T266" s="164"/>
      <c r="U266" s="2583">
        <f>U258+U253+U247+U263</f>
        <v>0</v>
      </c>
      <c r="V266" s="2583">
        <f>V258+V253+V247+V263</f>
        <v>0</v>
      </c>
      <c r="W266" s="164"/>
      <c r="X266" s="2521">
        <v>0</v>
      </c>
      <c r="Y266" s="2521">
        <f>Y258+Y253+Y247+Y263</f>
        <v>0</v>
      </c>
      <c r="Z266" s="181">
        <f>H266-Q266</f>
        <v>30395132.679999802</v>
      </c>
      <c r="AA266" s="182">
        <f>(Q266-H266)+Z266</f>
        <v>0</v>
      </c>
      <c r="AC266" s="2524"/>
      <c r="AD266" s="2525"/>
      <c r="AE266" s="2526"/>
    </row>
    <row r="267" spans="1:35" ht="13.5" customHeight="1" thickTop="1">
      <c r="A267" s="188"/>
      <c r="B267" s="188"/>
      <c r="C267" s="189"/>
      <c r="D267" s="189"/>
      <c r="E267" s="782"/>
      <c r="F267" s="3000"/>
      <c r="H267" s="190"/>
      <c r="I267" s="191"/>
      <c r="J267" s="191"/>
      <c r="K267" s="190"/>
      <c r="M267" s="191"/>
      <c r="N267" s="191"/>
      <c r="O267" s="191"/>
      <c r="P267" s="191"/>
      <c r="Q267" s="190"/>
      <c r="S267" s="190"/>
      <c r="U267" s="190"/>
      <c r="V267" s="190"/>
      <c r="X267" s="190"/>
      <c r="Y267" s="190"/>
      <c r="Z267" s="181">
        <f>H267-Q267</f>
        <v>0</v>
      </c>
      <c r="AA267" s="182">
        <f>(Q267-H267)+Z267</f>
        <v>0</v>
      </c>
      <c r="AC267" s="2499"/>
      <c r="AD267" s="2500"/>
      <c r="AE267" s="2145"/>
    </row>
    <row r="268" spans="1:35" s="168" customFormat="1" ht="39.75" customHeight="1" collapsed="1" thickBot="1">
      <c r="A268" s="2568" t="s">
        <v>530</v>
      </c>
      <c r="B268" s="2568" t="s">
        <v>2195</v>
      </c>
      <c r="C268" s="2569" t="s">
        <v>547</v>
      </c>
      <c r="D268" s="2569"/>
      <c r="E268" s="2570">
        <f>E266+E240</f>
        <v>316346485.25</v>
      </c>
      <c r="F268" s="2976">
        <f>F266+F240</f>
        <v>267501065.60999978</v>
      </c>
      <c r="G268" s="783"/>
      <c r="H268" s="2570">
        <f>H266+H240</f>
        <v>583847550.85999978</v>
      </c>
      <c r="I268" s="2570">
        <f>I266+I240</f>
        <v>13650770.119999971</v>
      </c>
      <c r="J268" s="2570">
        <f>J266+J240</f>
        <v>-13650770.120000001</v>
      </c>
      <c r="K268" s="2570">
        <f>K266+K240</f>
        <v>583847550.85999978</v>
      </c>
      <c r="L268" s="783"/>
      <c r="M268" s="2570">
        <f t="shared" ref="M268:Q268" si="137">M266+M240</f>
        <v>48168.079999998212</v>
      </c>
      <c r="N268" s="2570">
        <f t="shared" si="137"/>
        <v>0</v>
      </c>
      <c r="O268" s="2570">
        <f t="shared" si="137"/>
        <v>0</v>
      </c>
      <c r="P268" s="2570">
        <f t="shared" si="137"/>
        <v>0</v>
      </c>
      <c r="Q268" s="2570">
        <f t="shared" si="137"/>
        <v>580612977.58304346</v>
      </c>
      <c r="R268" s="164"/>
      <c r="S268" s="2570">
        <f>S266+S240</f>
        <v>-3234573.2769563198</v>
      </c>
      <c r="T268" s="783"/>
      <c r="U268" s="2570">
        <f>U266+U240</f>
        <v>522413790.0165</v>
      </c>
      <c r="V268" s="2570">
        <f>V266+V240</f>
        <v>58199187.566543505</v>
      </c>
      <c r="W268" s="783"/>
      <c r="X268" s="2570">
        <v>580828862.77304339</v>
      </c>
      <c r="Y268" s="2570">
        <f>Y266+Y240</f>
        <v>-215885.18999999762</v>
      </c>
      <c r="Z268" s="181">
        <f>H268-Q268+Q266</f>
        <v>3234573.2769563198</v>
      </c>
      <c r="AA268" s="182">
        <f>(Q268-H268)+Z268</f>
        <v>0</v>
      </c>
      <c r="AC268" s="2541"/>
      <c r="AD268" s="2542"/>
      <c r="AE268" s="2543"/>
    </row>
    <row r="269" spans="1:35" s="168" customFormat="1" ht="42.75" customHeight="1" thickTop="1">
      <c r="A269" s="4173"/>
      <c r="B269" s="4173"/>
      <c r="C269" s="4174"/>
      <c r="D269" s="4174"/>
      <c r="E269" s="4175"/>
      <c r="F269" s="4176">
        <f>'Schedule J'!H523+'Schedule J'!H524+'Schedule J'!H525+'Schedule J'!H526+'Schedule J'!H527+'Schedule J'!H528+'Schedule J'!H529+'Schedule J'!H530+'Schedule J'!H531+'Schedule J'!H532+'Schedule J'!H533+'Schedule J'!H534+'Schedule J'!H535+'Schedule J'!H536+'Schedule J'!H537+'Schedule J'!H538+'Schedule J'!H539+'Schedule J'!H540</f>
        <v>-4203149.5999999996</v>
      </c>
      <c r="G269" s="783"/>
      <c r="H269" s="4175">
        <f>'Level 02'!G142</f>
        <v>583847550.85999978</v>
      </c>
      <c r="I269" s="4175"/>
      <c r="J269" s="4175"/>
      <c r="K269" s="4175">
        <f>+H268-K268</f>
        <v>0</v>
      </c>
      <c r="L269" s="783"/>
      <c r="M269" s="4175"/>
      <c r="N269" s="4175"/>
      <c r="O269" s="4175"/>
      <c r="P269" s="4175"/>
      <c r="Q269" s="4175">
        <f>-Q266</f>
        <v>0</v>
      </c>
      <c r="R269" s="164"/>
      <c r="S269" s="4175">
        <f>S268-Q266</f>
        <v>-3234573.2769563198</v>
      </c>
      <c r="T269" s="783"/>
      <c r="U269" s="4175">
        <f>+'Executive Summary'!G119</f>
        <v>522199822.04149997</v>
      </c>
      <c r="V269" s="4175"/>
      <c r="W269" s="783"/>
      <c r="X269" s="4175">
        <f>+X268-X253-X247</f>
        <v>580828862.77304339</v>
      </c>
      <c r="Y269" s="4175">
        <f>+X268-Q268</f>
        <v>215885.18999993801</v>
      </c>
      <c r="Z269" s="181"/>
      <c r="AA269" s="182"/>
      <c r="AC269" s="2541"/>
      <c r="AD269" s="2542"/>
      <c r="AE269" s="2543"/>
    </row>
    <row r="270" spans="1:35" s="168" customFormat="1" ht="42.75" customHeight="1">
      <c r="A270" s="4173"/>
      <c r="B270" s="4173">
        <f>-691955-15076.28</f>
        <v>-707031.28</v>
      </c>
      <c r="C270" s="4174"/>
      <c r="D270" s="4174"/>
      <c r="E270" s="4175"/>
      <c r="F270" s="4176"/>
      <c r="G270" s="783"/>
      <c r="H270" s="4175">
        <v>583847550.86000001</v>
      </c>
      <c r="I270" s="4175"/>
      <c r="J270" s="4175">
        <f>+J240+M240</f>
        <v>-16136787.469999999</v>
      </c>
      <c r="K270" s="4175">
        <f>+K268-H268</f>
        <v>0</v>
      </c>
      <c r="L270" s="783"/>
      <c r="M270" s="4175">
        <f>+M240</f>
        <v>-18130223.579999998</v>
      </c>
      <c r="N270" s="4175"/>
      <c r="O270" s="4175"/>
      <c r="P270" s="4175"/>
      <c r="Q270" s="4175">
        <f>+Q269+Q268</f>
        <v>580612977.58304346</v>
      </c>
      <c r="R270" s="164"/>
      <c r="S270" s="4175">
        <f>+Q268-K268</f>
        <v>-3234573.2769563198</v>
      </c>
      <c r="T270" s="783"/>
      <c r="U270" s="4526">
        <f>+U269-U268</f>
        <v>-213967.97500002384</v>
      </c>
      <c r="V270" s="4526" t="s">
        <v>5191</v>
      </c>
      <c r="W270" s="783"/>
      <c r="X270" s="4175"/>
      <c r="Y270" s="4175">
        <f>+Y268</f>
        <v>-215885.18999999762</v>
      </c>
      <c r="Z270" s="181"/>
      <c r="AA270" s="182"/>
      <c r="AC270" s="2541"/>
      <c r="AD270" s="2542"/>
      <c r="AE270" s="2543"/>
    </row>
    <row r="271" spans="1:35" ht="15.75">
      <c r="B271" s="162">
        <f>+B270+H274</f>
        <v>-707031.28</v>
      </c>
      <c r="E271" s="2572"/>
      <c r="F271" s="3005"/>
      <c r="H271" s="2572">
        <f>+J151+M151</f>
        <v>1086381.73</v>
      </c>
      <c r="I271" s="2572"/>
      <c r="J271" s="2572"/>
      <c r="K271" s="4503">
        <f>23603596.44-K256</f>
        <v>2044368.780000221</v>
      </c>
      <c r="M271" s="2572"/>
      <c r="N271" s="2572"/>
      <c r="O271" s="2572"/>
      <c r="P271" s="2572"/>
      <c r="Q271" s="4180">
        <v>591674143.36304331</v>
      </c>
      <c r="S271" s="2572"/>
      <c r="U271" s="2572"/>
      <c r="V271" s="2572"/>
      <c r="X271" s="2572"/>
      <c r="Y271" s="2572" cm="1">
        <f t="array" ref="Y271:Z271">+'Executive Summary'!H68:I68</f>
        <v>-215885.18999999994</v>
      </c>
      <c r="Z271" s="163">
        <v>0</v>
      </c>
      <c r="AA271" s="192"/>
      <c r="AB271" s="2493"/>
      <c r="AC271" s="2499"/>
      <c r="AD271" s="2500"/>
      <c r="AE271" s="2145"/>
    </row>
    <row r="272" spans="1:35" ht="28.5" customHeight="1" thickBot="1">
      <c r="C272" s="194"/>
      <c r="D272" s="194"/>
      <c r="E272" s="2584">
        <f>796667539.81</f>
        <v>796667539.80999994</v>
      </c>
      <c r="F272" s="3006">
        <f>16269412.54</f>
        <v>16269412.539999999</v>
      </c>
      <c r="H272" s="4625">
        <v>584656915.60000002</v>
      </c>
      <c r="I272" s="170"/>
      <c r="J272" s="170"/>
      <c r="K272" s="170">
        <f>+K256</f>
        <v>21559227.65999978</v>
      </c>
      <c r="M272" s="170"/>
      <c r="N272" s="170"/>
      <c r="O272" s="170"/>
      <c r="P272" s="4178" t="s">
        <v>4194</v>
      </c>
      <c r="Q272" s="4179">
        <f>+Q270-Q271</f>
        <v>-11061165.779999852</v>
      </c>
      <c r="S272" s="4177" t="s">
        <v>4195</v>
      </c>
      <c r="U272" s="170"/>
      <c r="V272" s="169"/>
      <c r="X272" s="170"/>
      <c r="Y272" s="169">
        <f>+Y271-Y270</f>
        <v>-2.3283064365386963E-9</v>
      </c>
      <c r="Z272" s="195"/>
      <c r="AA272" s="196"/>
      <c r="AC272" s="2585"/>
      <c r="AD272" s="2586"/>
      <c r="AE272" s="2587"/>
    </row>
    <row r="273" spans="1:30" s="172" customFormat="1">
      <c r="A273" s="197"/>
      <c r="B273" s="197"/>
      <c r="C273" s="618" t="s">
        <v>548</v>
      </c>
      <c r="D273" s="618"/>
      <c r="E273" s="619">
        <f>E268-E272</f>
        <v>-480321054.55999994</v>
      </c>
      <c r="F273" s="3007">
        <f>F268+F272</f>
        <v>283770478.1499998</v>
      </c>
      <c r="H273" s="4626">
        <f>+H272-H268</f>
        <v>809364.74000024796</v>
      </c>
      <c r="I273" s="619"/>
      <c r="J273" s="619"/>
      <c r="K273" s="619">
        <v>23603596.440000001</v>
      </c>
      <c r="M273" s="619">
        <f>+K273-K272</f>
        <v>2044368.780000221</v>
      </c>
      <c r="N273" s="619"/>
      <c r="O273" s="619"/>
      <c r="P273" s="619"/>
      <c r="Q273" s="619"/>
      <c r="S273" s="619"/>
      <c r="U273" s="619"/>
      <c r="V273" s="619"/>
      <c r="X273" s="619"/>
      <c r="Y273" s="619"/>
      <c r="Z273" s="171"/>
      <c r="AA273" s="196"/>
      <c r="AC273" s="648"/>
      <c r="AD273" s="648"/>
    </row>
    <row r="274" spans="1:30">
      <c r="E274" s="2572"/>
      <c r="F274" s="3005"/>
      <c r="H274" s="5222">
        <f>+H268-H270</f>
        <v>0</v>
      </c>
      <c r="I274" s="169"/>
      <c r="J274" s="169"/>
      <c r="K274" s="169"/>
      <c r="M274" s="169">
        <f>+'Schedule J'!I451+'Schedule J'!I452</f>
        <v>461630.05</v>
      </c>
      <c r="N274" s="169"/>
      <c r="O274" s="169"/>
      <c r="P274" s="169"/>
      <c r="Q274" s="169"/>
      <c r="S274" s="169"/>
      <c r="U274" s="169"/>
      <c r="V274" s="169"/>
      <c r="X274" s="169"/>
      <c r="Y274" s="169"/>
      <c r="AC274" s="2494"/>
      <c r="AD274" s="2494"/>
    </row>
    <row r="275" spans="1:30" ht="15.75">
      <c r="E275" s="2493">
        <v>316346485.05000001</v>
      </c>
      <c r="F275" s="2977">
        <f>+F268-' Schedule J SS'!G43</f>
        <v>128593066.80999973</v>
      </c>
      <c r="H275" s="2493"/>
      <c r="K275" s="4487">
        <v>24403221.75</v>
      </c>
      <c r="M275" s="165">
        <f>+M274-M273</f>
        <v>-1582738.7300002209</v>
      </c>
      <c r="S275" s="165">
        <f>+S270-9500000</f>
        <v>-12734573.27695632</v>
      </c>
      <c r="AC275" s="2494"/>
      <c r="AD275" s="2494"/>
    </row>
    <row r="276" spans="1:30" ht="15.75">
      <c r="C276" s="161">
        <f>526395561-455786687</f>
        <v>70608874</v>
      </c>
      <c r="E276" s="2493">
        <f>+E275-E268</f>
        <v>-0.19999998807907104</v>
      </c>
      <c r="F276" s="2977">
        <v>23779038</v>
      </c>
      <c r="H276" s="2493"/>
      <c r="K276" s="4487"/>
      <c r="Q276" s="4236">
        <f>+Q268-Q253-Q247</f>
        <v>580612977.58304346</v>
      </c>
      <c r="X276" s="165">
        <f>+X269-Q276</f>
        <v>215885.18999993801</v>
      </c>
      <c r="AC276" s="2494"/>
      <c r="AD276" s="2494"/>
    </row>
    <row r="277" spans="1:30">
      <c r="C277" s="161">
        <v>9826662</v>
      </c>
      <c r="E277" s="2493"/>
      <c r="F277" s="2977"/>
      <c r="H277" s="2493">
        <v>584492905.60000002</v>
      </c>
      <c r="K277" s="165">
        <v>39281175.969999999</v>
      </c>
      <c r="AC277" s="2494"/>
      <c r="AD277" s="2494"/>
    </row>
    <row r="278" spans="1:30">
      <c r="C278" s="2588">
        <f>16269412.54/638828435.89</f>
        <v>2.5467577249177795E-2</v>
      </c>
      <c r="E278" s="2493"/>
      <c r="F278" s="3008">
        <v>139742229.35000002</v>
      </c>
      <c r="H278" s="2493">
        <f>+H277-H268</f>
        <v>645354.74000024796</v>
      </c>
      <c r="K278" s="4489">
        <f>+K277-K256</f>
        <v>17721948.310000218</v>
      </c>
    </row>
    <row r="279" spans="1:30" ht="18.75">
      <c r="C279" s="161">
        <f>+C276-C277</f>
        <v>60782212</v>
      </c>
      <c r="E279" s="2493">
        <v>13682040</v>
      </c>
      <c r="F279" s="2977">
        <f>+F278-F268</f>
        <v>-127758836.25999975</v>
      </c>
      <c r="H279" s="2493"/>
      <c r="K279" s="4490"/>
    </row>
    <row r="280" spans="1:30" ht="18.75">
      <c r="C280" s="161">
        <v>60782212</v>
      </c>
      <c r="E280" s="2493">
        <v>28206303</v>
      </c>
      <c r="F280" s="2977"/>
      <c r="H280" s="2493"/>
      <c r="K280" s="4490">
        <v>39281175.969999999</v>
      </c>
    </row>
    <row r="281" spans="1:30" ht="18.75">
      <c r="C281" s="161">
        <v>1066798</v>
      </c>
      <c r="D281" s="161">
        <f>70/6</f>
        <v>11.666666666666666</v>
      </c>
      <c r="E281" s="2493"/>
      <c r="F281" s="2977"/>
      <c r="H281" s="2493"/>
      <c r="K281" s="4490">
        <f>+K280-K256</f>
        <v>17721948.310000218</v>
      </c>
    </row>
    <row r="282" spans="1:30" ht="18.75">
      <c r="C282" s="161">
        <f>+C276-C281</f>
        <v>69542076</v>
      </c>
      <c r="E282" s="2493"/>
      <c r="F282" s="2977">
        <f>+F263+F258-I256</f>
        <v>-224981609.70000017</v>
      </c>
      <c r="H282" s="2493"/>
      <c r="K282" s="4490"/>
    </row>
    <row r="283" spans="1:30">
      <c r="E283" s="2493">
        <v>12800000</v>
      </c>
      <c r="F283" s="2977">
        <v>2660039</v>
      </c>
      <c r="H283" s="2493"/>
      <c r="K283" s="2493">
        <v>584492905.60000002</v>
      </c>
    </row>
    <row r="284" spans="1:30" ht="18.75">
      <c r="E284" s="2493">
        <v>340000</v>
      </c>
      <c r="F284" s="2977">
        <f>+F283+F282</f>
        <v>-222321570.70000017</v>
      </c>
      <c r="H284" s="2493"/>
      <c r="K284" s="4491">
        <f>+K268-K283</f>
        <v>-645354.74000024796</v>
      </c>
    </row>
    <row r="285" spans="1:30" ht="18.75">
      <c r="E285" s="2493">
        <v>3543829</v>
      </c>
      <c r="F285" s="2977"/>
      <c r="H285" s="2493"/>
      <c r="K285" s="4488"/>
    </row>
    <row r="286" spans="1:30" ht="18.75">
      <c r="E286" s="2493">
        <v>2400000</v>
      </c>
      <c r="F286" s="2977"/>
      <c r="H286" s="2493"/>
      <c r="K286" s="4488"/>
    </row>
    <row r="288" spans="1:30">
      <c r="E288" s="2493"/>
      <c r="F288" s="2977"/>
      <c r="H288" s="2493"/>
    </row>
    <row r="289" spans="5:8">
      <c r="E289" s="2493"/>
      <c r="F289" s="2977"/>
      <c r="H289" s="2493"/>
    </row>
    <row r="290" spans="5:8">
      <c r="E290" s="2493"/>
      <c r="F290" s="2977"/>
      <c r="H290" s="2493"/>
    </row>
    <row r="291" spans="5:8">
      <c r="E291" s="2493"/>
      <c r="F291" s="2977"/>
      <c r="H291" s="2493"/>
    </row>
  </sheetData>
  <sheetProtection selectLockedCells="1" selectUnlockedCells="1"/>
  <autoFilter ref="A14:Y271" xr:uid="{4DB749C9-7B27-4C8E-990B-321D5E96F527}"/>
  <mergeCells count="7">
    <mergeCell ref="U204:U210"/>
    <mergeCell ref="V204:V210"/>
    <mergeCell ref="X10:Y10"/>
    <mergeCell ref="A12:A13"/>
    <mergeCell ref="C12:C13"/>
    <mergeCell ref="H10:J10"/>
    <mergeCell ref="M10:P10"/>
  </mergeCells>
  <conditionalFormatting sqref="I17:J27 M17:N27 M33:N43 M50:N61 M68:N72 M74:N74 K74:K101 I76:J76 M76:N164 J77:J101 I77:I102 Q77:Q168 J102:K102 I103:K147 J148:K159 I148:I164 L157:L159 J160:L164 I165:N168 M169:N169 M171:N174 M177:N178 M190:N198 I204:I220 M206:N207 N207:N220 M208:M220 J213:L220 I221:N221 M222:N234 K222:K235 M245:O245 M247:N247 M250:O251 M256:O256 M258:N258 M261:O261 M263:N263">
    <cfRule type="cellIs" dxfId="387" priority="46" operator="lessThan">
      <formula>0</formula>
    </cfRule>
  </conditionalFormatting>
  <conditionalFormatting sqref="I33:J43">
    <cfRule type="cellIs" dxfId="386" priority="4" operator="lessThan">
      <formula>0</formula>
    </cfRule>
  </conditionalFormatting>
  <conditionalFormatting sqref="I50:J61 I171:J174 I177:J178">
    <cfRule type="cellIs" dxfId="385" priority="184" operator="lessThan">
      <formula>0</formula>
    </cfRule>
  </conditionalFormatting>
  <conditionalFormatting sqref="I68:J72">
    <cfRule type="cellIs" dxfId="384" priority="3" operator="lessThan">
      <formula>0</formula>
    </cfRule>
  </conditionalFormatting>
  <conditionalFormatting sqref="I74:J74">
    <cfRule type="cellIs" dxfId="383" priority="1117" operator="lessThan">
      <formula>0</formula>
    </cfRule>
  </conditionalFormatting>
  <conditionalFormatting sqref="I190:J198">
    <cfRule type="cellIs" dxfId="382" priority="244" operator="lessThan">
      <formula>0</formula>
    </cfRule>
  </conditionalFormatting>
  <conditionalFormatting sqref="I245:J245">
    <cfRule type="cellIs" dxfId="381" priority="459" operator="lessThan">
      <formula>0</formula>
    </cfRule>
  </conditionalFormatting>
  <conditionalFormatting sqref="I247:J247">
    <cfRule type="cellIs" dxfId="380" priority="463" operator="lessThan">
      <formula>0</formula>
    </cfRule>
  </conditionalFormatting>
  <conditionalFormatting sqref="I250:J251">
    <cfRule type="cellIs" dxfId="379" priority="392" operator="lessThan">
      <formula>0</formula>
    </cfRule>
  </conditionalFormatting>
  <conditionalFormatting sqref="I256:J256">
    <cfRule type="cellIs" dxfId="378" priority="441" operator="lessThan">
      <formula>0</formula>
    </cfRule>
  </conditionalFormatting>
  <conditionalFormatting sqref="I258:J258">
    <cfRule type="cellIs" dxfId="377" priority="445" operator="lessThan">
      <formula>0</formula>
    </cfRule>
  </conditionalFormatting>
  <conditionalFormatting sqref="I261:J261">
    <cfRule type="cellIs" dxfId="376" priority="198" operator="lessThan">
      <formula>0</formula>
    </cfRule>
  </conditionalFormatting>
  <conditionalFormatting sqref="I263:J263">
    <cfRule type="cellIs" dxfId="375" priority="201" operator="lessThan">
      <formula>0</formula>
    </cfRule>
  </conditionalFormatting>
  <conditionalFormatting sqref="I169:K169">
    <cfRule type="cellIs" dxfId="374" priority="943" operator="lessThan">
      <formula>0</formula>
    </cfRule>
  </conditionalFormatting>
  <conditionalFormatting sqref="J207:J211 I222:J234">
    <cfRule type="cellIs" dxfId="373" priority="74" operator="lessThan">
      <formula>0</formula>
    </cfRule>
  </conditionalFormatting>
  <conditionalFormatting sqref="K16 J206:K206">
    <cfRule type="cellIs" dxfId="372" priority="1474" operator="lessThan">
      <formula>0</formula>
    </cfRule>
  </conditionalFormatting>
  <conditionalFormatting sqref="K28">
    <cfRule type="cellIs" dxfId="371" priority="52" operator="lessThan">
      <formula>0</formula>
    </cfRule>
  </conditionalFormatting>
  <conditionalFormatting sqref="K32:K44">
    <cfRule type="cellIs" dxfId="370" priority="69" operator="lessThan">
      <formula>0</formula>
    </cfRule>
  </conditionalFormatting>
  <conditionalFormatting sqref="K48">
    <cfRule type="cellIs" dxfId="369" priority="360" operator="lessThan">
      <formula>0</formula>
    </cfRule>
  </conditionalFormatting>
  <conditionalFormatting sqref="K50:K62">
    <cfRule type="cellIs" dxfId="368" priority="347" operator="lessThan">
      <formula>0</formula>
    </cfRule>
  </conditionalFormatting>
  <conditionalFormatting sqref="K67:K72">
    <cfRule type="cellIs" dxfId="367" priority="86" operator="lessThan">
      <formula>0</formula>
    </cfRule>
  </conditionalFormatting>
  <conditionalFormatting sqref="K171:K175">
    <cfRule type="cellIs" dxfId="366" priority="380" operator="lessThan">
      <formula>0</formula>
    </cfRule>
  </conditionalFormatting>
  <conditionalFormatting sqref="K177:K179">
    <cfRule type="cellIs" dxfId="365" priority="231" operator="lessThan">
      <formula>0</formula>
    </cfRule>
  </conditionalFormatting>
  <conditionalFormatting sqref="K181:K182">
    <cfRule type="cellIs" dxfId="364" priority="1343" operator="lessThan">
      <formula>0</formula>
    </cfRule>
  </conditionalFormatting>
  <conditionalFormatting sqref="K188">
    <cfRule type="cellIs" dxfId="363" priority="329" operator="lessThan">
      <formula>0</formula>
    </cfRule>
  </conditionalFormatting>
  <conditionalFormatting sqref="K190:K199">
    <cfRule type="cellIs" dxfId="362" priority="320" operator="lessThan">
      <formula>0</formula>
    </cfRule>
  </conditionalFormatting>
  <conditionalFormatting sqref="K203:K205">
    <cfRule type="cellIs" dxfId="361" priority="308" operator="lessThan">
      <formula>0</formula>
    </cfRule>
  </conditionalFormatting>
  <conditionalFormatting sqref="K207:K212">
    <cfRule type="cellIs" dxfId="360" priority="13" operator="lessThan">
      <formula>0</formula>
    </cfRule>
  </conditionalFormatting>
  <conditionalFormatting sqref="K243">
    <cfRule type="cellIs" dxfId="359" priority="578" operator="lessThan">
      <formula>0</formula>
    </cfRule>
  </conditionalFormatting>
  <conditionalFormatting sqref="K245:K247">
    <cfRule type="cellIs" dxfId="358" priority="426" operator="lessThan">
      <formula>0</formula>
    </cfRule>
  </conditionalFormatting>
  <conditionalFormatting sqref="K250:K252">
    <cfRule type="cellIs" dxfId="357" priority="18" operator="lessThan">
      <formula>0</formula>
    </cfRule>
  </conditionalFormatting>
  <conditionalFormatting sqref="K256:K258">
    <cfRule type="cellIs" dxfId="356" priority="17" operator="lessThan">
      <formula>0</formula>
    </cfRule>
  </conditionalFormatting>
  <conditionalFormatting sqref="K261:K263">
    <cfRule type="cellIs" dxfId="355" priority="15" operator="lessThan">
      <formula>0</formula>
    </cfRule>
  </conditionalFormatting>
  <conditionalFormatting sqref="K265">
    <cfRule type="cellIs" dxfId="354" priority="577" operator="lessThan">
      <formula>0</formula>
    </cfRule>
  </conditionalFormatting>
  <conditionalFormatting sqref="L151:L155">
    <cfRule type="cellIs" dxfId="353" priority="28" operator="lessThan">
      <formula>0</formula>
    </cfRule>
  </conditionalFormatting>
  <conditionalFormatting sqref="M204:N204">
    <cfRule type="cellIs" dxfId="352" priority="1" operator="lessThan">
      <formula>0</formula>
    </cfRule>
  </conditionalFormatting>
  <conditionalFormatting sqref="Q213:Q221">
    <cfRule type="cellIs" dxfId="351" priority="11" operator="lessThan">
      <formula>0</formula>
    </cfRule>
  </conditionalFormatting>
  <printOptions horizontalCentered="1"/>
  <pageMargins left="0.25" right="0.25" top="0.75" bottom="0.75" header="0.3" footer="0.3"/>
  <pageSetup paperSize="8" scale="43" fitToHeight="7" orientation="landscape" r:id="rId1"/>
  <headerFooter>
    <oddHeader>&amp;C&amp;"Calibri,Bold"&amp;18MONTHLY REPORT - LEVEL 2 - DETAILED SUMMARY</oddHeader>
    <oddFooter>&amp;L1TB.01.003.01 - AYC 
MARCH'26 REPORT&amp;C&amp;A&amp;RPage &amp;P of &amp;N</oddFooter>
  </headerFooter>
  <rowBreaks count="1" manualBreakCount="1">
    <brk id="237" max="24" man="1"/>
  </rowBreaks>
  <extLst>
    <ext xmlns:x14="http://schemas.microsoft.com/office/spreadsheetml/2009/9/main" uri="{CCE6A557-97BC-4b89-ADB6-D9C93CAAB3DF}">
      <x14:dataValidations xmlns:xm="http://schemas.microsoft.com/office/excel/2006/main" count="7">
        <x14:dataValidation type="list" showInputMessage="1" showErrorMessage="1" xr:uid="{C4E90EAF-CF1E-4BF5-9352-6E9E3ED5C785}">
          <x14:formula1>
            <xm:f>dropdowns!$H$3:$H$24</xm:f>
          </x14:formula1>
          <xm:sqref>D258 D206 D69:D72 D263 D50:D61 D190:D198 D74 D33:D43 D247 D253 D17:D27 D76:D182 D213:D234</xm:sqref>
        </x14:dataValidation>
        <x14:dataValidation type="list" allowBlank="1" showInputMessage="1" showErrorMessage="1" xr:uid="{324B4988-03D4-4802-A3E8-DFC4AA16D8B3}">
          <x14:formula1>
            <xm:f>dropdowns!$I$3:$I$143</xm:f>
          </x14:formula1>
          <xm:sqref>B194:B196 B147:B161 B104:B134 B213:B219 B136:B145 B206 B68:B72 B225:B227 B17:B21 B39:B41 B49:B50 B54:B56 B59:B61 B231:B233 B172:B174 B178 B189:B190 B77:B101 B23:B27</xm:sqref>
        </x14:dataValidation>
        <x14:dataValidation type="list" allowBlank="1" showInputMessage="1" showErrorMessage="1" xr:uid="{E46A4AAC-C1E0-4E7C-A568-485EDABEB6BA}">
          <x14:formula1>
            <xm:f>dropdowns!$I$3:$I$154</xm:f>
          </x14:formula1>
          <xm:sqref>B22:B23 B33:B35</xm:sqref>
        </x14:dataValidation>
        <x14:dataValidation type="list" allowBlank="1" showInputMessage="1" showErrorMessage="1" xr:uid="{991DC63C-9DD0-4C26-9BC3-1C102788BCC9}">
          <x14:formula1>
            <xm:f>dropdowns!$I$3:$I$153</xm:f>
          </x14:formula1>
          <xm:sqref>B207:B211 B162</xm:sqref>
        </x14:dataValidation>
        <x14:dataValidation type="list" allowBlank="1" showInputMessage="1" showErrorMessage="1" xr:uid="{84B4F331-CF5E-4DEA-979B-313349762184}">
          <x14:formula1>
            <xm:f>dropdowns!$I$3:$I$157</xm:f>
          </x14:formula1>
          <xm:sqref>B163:B165 B220</xm:sqref>
        </x14:dataValidation>
        <x14:dataValidation type="list" allowBlank="1" showInputMessage="1" showErrorMessage="1" xr:uid="{B034B3F3-4138-4399-9B8E-C9D84531147E}">
          <x14:formula1>
            <xm:f>dropdowns!$I$3:$I$160</xm:f>
          </x14:formula1>
          <xm:sqref>B166:B168</xm:sqref>
        </x14:dataValidation>
        <x14:dataValidation type="list" allowBlank="1" showInputMessage="1" showErrorMessage="1" xr:uid="{74D8B06C-380C-4E26-9C4F-0D586A779148}">
          <x14:formula1>
            <xm:f>dropdowns!$I$3:$I$161</xm:f>
          </x14:formula1>
          <xm:sqref>B221</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AB11A-A34B-424C-8EA2-522DE3D20348}">
  <sheetPr codeName="Sheet33">
    <tabColor rgb="FF00B0F0"/>
    <pageSetUpPr fitToPage="1"/>
  </sheetPr>
  <dimension ref="A1:AS212"/>
  <sheetViews>
    <sheetView view="pageBreakPreview" topLeftCell="A6" zoomScaleNormal="86" zoomScaleSheetLayoutView="100" workbookViewId="0">
      <selection activeCell="D31" sqref="D31"/>
    </sheetView>
  </sheetViews>
  <sheetFormatPr defaultColWidth="9" defaultRowHeight="14.25"/>
  <cols>
    <col min="1" max="1" width="10.5703125" style="3615" customWidth="1"/>
    <col min="2" max="2" width="93" style="3616" customWidth="1"/>
    <col min="3" max="3" width="21.85546875" style="3798" customWidth="1"/>
    <col min="4" max="4" width="19.85546875" style="3616" customWidth="1"/>
    <col min="5" max="5" width="19.5703125" style="3616" customWidth="1"/>
    <col min="6" max="6" width="26" style="3616" customWidth="1"/>
    <col min="7" max="8" width="9" style="3616"/>
    <col min="9" max="9" width="11.85546875" style="3616" bestFit="1" customWidth="1"/>
    <col min="10" max="16384" width="9" style="3616"/>
  </cols>
  <sheetData>
    <row r="1" spans="1:45" ht="29.25" customHeight="1">
      <c r="A1" s="5662" t="s">
        <v>3311</v>
      </c>
      <c r="B1" s="5664" t="s">
        <v>3312</v>
      </c>
      <c r="C1" s="5664" t="s">
        <v>3313</v>
      </c>
      <c r="D1" s="5664"/>
      <c r="E1" s="5665" t="s">
        <v>3314</v>
      </c>
      <c r="F1" s="5657" t="s">
        <v>3315</v>
      </c>
      <c r="G1" s="3628"/>
      <c r="H1" s="3628"/>
      <c r="I1" s="3628"/>
      <c r="J1" s="3628"/>
      <c r="K1" s="3628"/>
      <c r="L1" s="3628"/>
      <c r="M1" s="3628"/>
      <c r="N1" s="3628"/>
      <c r="O1" s="3628"/>
      <c r="P1" s="3628"/>
      <c r="Q1" s="3628"/>
      <c r="R1" s="3628"/>
      <c r="S1" s="3628"/>
      <c r="T1" s="3628"/>
      <c r="U1" s="3628"/>
      <c r="V1" s="3628"/>
      <c r="W1" s="3628"/>
      <c r="X1" s="3628"/>
      <c r="Y1" s="3628"/>
      <c r="Z1" s="3628"/>
      <c r="AA1" s="3628"/>
      <c r="AB1" s="3628"/>
      <c r="AC1" s="3628"/>
      <c r="AD1" s="3628"/>
      <c r="AE1" s="3628"/>
      <c r="AF1" s="3628"/>
      <c r="AG1" s="3628"/>
      <c r="AH1" s="3628"/>
      <c r="AI1" s="3628"/>
      <c r="AJ1" s="3628"/>
      <c r="AK1" s="3628"/>
      <c r="AL1" s="3628"/>
      <c r="AM1" s="3628"/>
      <c r="AN1" s="3628"/>
      <c r="AO1" s="3628"/>
      <c r="AP1" s="3628"/>
      <c r="AQ1" s="3628"/>
      <c r="AR1" s="3628"/>
      <c r="AS1" s="3628"/>
    </row>
    <row r="2" spans="1:45" ht="30.75" customHeight="1">
      <c r="A2" s="5663"/>
      <c r="B2" s="5659"/>
      <c r="C2" s="5659" t="s">
        <v>3316</v>
      </c>
      <c r="D2" s="5659"/>
      <c r="E2" s="5657"/>
      <c r="F2" s="5658"/>
      <c r="G2" s="3628"/>
      <c r="H2" s="3628"/>
      <c r="I2" s="3628"/>
      <c r="J2" s="3628"/>
      <c r="K2" s="3628"/>
      <c r="L2" s="3628"/>
      <c r="M2" s="3628"/>
      <c r="N2" s="3628"/>
      <c r="O2" s="3628"/>
      <c r="P2" s="3628"/>
      <c r="Q2" s="3628"/>
      <c r="R2" s="3628"/>
      <c r="S2" s="3628"/>
      <c r="T2" s="3628"/>
      <c r="U2" s="3628"/>
      <c r="V2" s="3628"/>
      <c r="W2" s="3628"/>
      <c r="X2" s="3628"/>
      <c r="Y2" s="3628"/>
      <c r="Z2" s="3628"/>
      <c r="AA2" s="3628"/>
      <c r="AB2" s="3628"/>
      <c r="AC2" s="3628"/>
      <c r="AD2" s="3628"/>
      <c r="AE2" s="3628"/>
      <c r="AF2" s="3628"/>
      <c r="AG2" s="3628"/>
      <c r="AH2" s="3628"/>
      <c r="AI2" s="3628"/>
      <c r="AJ2" s="3628"/>
      <c r="AK2" s="3628"/>
      <c r="AL2" s="3628"/>
      <c r="AM2" s="3628"/>
      <c r="AN2" s="3628"/>
      <c r="AO2" s="3628"/>
      <c r="AP2" s="3628"/>
      <c r="AQ2" s="3628"/>
      <c r="AR2" s="3628"/>
      <c r="AS2" s="3628"/>
    </row>
    <row r="3" spans="1:45" ht="27" customHeight="1">
      <c r="A3" s="3777"/>
      <c r="B3" s="3777"/>
      <c r="C3" s="3777" t="s">
        <v>434</v>
      </c>
      <c r="D3" s="3777" t="s">
        <v>1480</v>
      </c>
      <c r="E3" s="3777" t="s">
        <v>434</v>
      </c>
      <c r="F3" s="3777"/>
      <c r="G3" s="3628"/>
      <c r="H3" s="3628"/>
      <c r="I3" s="3628"/>
      <c r="J3" s="3628"/>
      <c r="K3" s="3628"/>
      <c r="L3" s="3628"/>
      <c r="M3" s="3628"/>
      <c r="N3" s="3628"/>
      <c r="O3" s="3628"/>
      <c r="P3" s="3628"/>
      <c r="Q3" s="3628"/>
      <c r="R3" s="3628"/>
      <c r="S3" s="3628"/>
      <c r="T3" s="3628"/>
      <c r="U3" s="3628"/>
      <c r="V3" s="3628"/>
      <c r="W3" s="3628"/>
      <c r="X3" s="3628"/>
      <c r="Y3" s="3628"/>
      <c r="Z3" s="3628"/>
      <c r="AA3" s="3628"/>
      <c r="AB3" s="3628"/>
      <c r="AC3" s="3628"/>
      <c r="AD3" s="3628"/>
      <c r="AE3" s="3628"/>
      <c r="AF3" s="3628"/>
      <c r="AG3" s="3628"/>
      <c r="AH3" s="3628"/>
      <c r="AI3" s="3628"/>
      <c r="AJ3" s="3628"/>
      <c r="AK3" s="3628"/>
      <c r="AL3" s="3628"/>
      <c r="AM3" s="3628"/>
      <c r="AN3" s="3628"/>
      <c r="AO3" s="3628"/>
      <c r="AP3" s="3628"/>
      <c r="AQ3" s="3628"/>
      <c r="AR3" s="3628"/>
      <c r="AS3" s="3628"/>
    </row>
    <row r="4" spans="1:45" ht="30" customHeight="1">
      <c r="A4" s="3778">
        <v>1</v>
      </c>
      <c r="B4" s="3779" t="s">
        <v>3317</v>
      </c>
      <c r="C4" s="3780">
        <f>SUM(C5:C8)</f>
        <v>-1457002</v>
      </c>
      <c r="D4" s="3781">
        <f>C4/$C$28</f>
        <v>0.25748107861273556</v>
      </c>
      <c r="E4" s="3780">
        <f>SUM(E5:E8)</f>
        <v>0</v>
      </c>
      <c r="F4" s="3782"/>
      <c r="G4" s="3628"/>
      <c r="H4" s="3628"/>
      <c r="I4" s="3628"/>
      <c r="J4" s="3628"/>
      <c r="K4" s="3628"/>
      <c r="L4" s="3628"/>
      <c r="M4" s="3628"/>
      <c r="N4" s="3628"/>
      <c r="O4" s="3628"/>
      <c r="P4" s="3628"/>
      <c r="Q4" s="3628"/>
      <c r="R4" s="3628"/>
      <c r="S4" s="3628"/>
      <c r="T4" s="3628"/>
      <c r="U4" s="3628"/>
      <c r="V4" s="3628"/>
      <c r="W4" s="3628"/>
      <c r="X4" s="3628"/>
      <c r="Y4" s="3628"/>
      <c r="Z4" s="3628"/>
      <c r="AA4" s="3628"/>
      <c r="AB4" s="3628"/>
      <c r="AC4" s="3628"/>
      <c r="AD4" s="3628"/>
      <c r="AE4" s="3628"/>
      <c r="AF4" s="3628"/>
      <c r="AG4" s="3628"/>
      <c r="AH4" s="3628"/>
      <c r="AI4" s="3628"/>
      <c r="AJ4" s="3628"/>
      <c r="AK4" s="3628"/>
      <c r="AL4" s="3628"/>
      <c r="AM4" s="3628"/>
      <c r="AN4" s="3628"/>
      <c r="AO4" s="3628"/>
      <c r="AP4" s="3628"/>
      <c r="AQ4" s="3628"/>
      <c r="AR4" s="3628"/>
      <c r="AS4" s="3628"/>
    </row>
    <row r="5" spans="1:45" ht="34.5" customHeight="1">
      <c r="A5" s="3783" t="s">
        <v>3318</v>
      </c>
      <c r="B5" s="3829" t="str">
        <f>'Schedule C'!A16&amp;" - "&amp;'Schedule C'!A147&amp;" - "&amp;'Schedule C'!B147</f>
        <v>Item No. - 81 - Al Fanar MEP Manpower Supply to AYC Project on behalf of SAB.</v>
      </c>
      <c r="C5" s="3830">
        <f>'Schedule C'!Q147*0</f>
        <v>0</v>
      </c>
      <c r="D5" s="3831">
        <f>C5/$C$28</f>
        <v>0</v>
      </c>
      <c r="E5" s="3832"/>
      <c r="F5" s="3833">
        <v>45613</v>
      </c>
      <c r="G5" s="3628"/>
      <c r="H5" s="3628"/>
      <c r="I5" s="3628"/>
      <c r="J5" s="3628"/>
      <c r="K5" s="3628"/>
      <c r="L5" s="3628"/>
      <c r="M5" s="3628"/>
      <c r="N5" s="3628"/>
      <c r="O5" s="3628"/>
      <c r="P5" s="3628"/>
      <c r="Q5" s="3628"/>
      <c r="R5" s="3628"/>
      <c r="S5" s="3628"/>
      <c r="T5" s="3628"/>
      <c r="U5" s="3628"/>
      <c r="V5" s="3628"/>
      <c r="W5" s="3628"/>
      <c r="X5" s="3628"/>
      <c r="Y5" s="3628"/>
      <c r="Z5" s="3628"/>
      <c r="AA5" s="3628"/>
      <c r="AB5" s="3628"/>
      <c r="AC5" s="3628"/>
      <c r="AD5" s="3628"/>
      <c r="AE5" s="3628"/>
      <c r="AF5" s="3628"/>
      <c r="AG5" s="3628"/>
      <c r="AH5" s="3628"/>
      <c r="AI5" s="3628"/>
      <c r="AJ5" s="3628"/>
      <c r="AK5" s="3628"/>
      <c r="AL5" s="3628"/>
      <c r="AM5" s="3628"/>
      <c r="AN5" s="3628"/>
      <c r="AO5" s="3628"/>
      <c r="AP5" s="3628"/>
      <c r="AQ5" s="3628"/>
      <c r="AR5" s="3628"/>
      <c r="AS5" s="3628"/>
    </row>
    <row r="6" spans="1:45" ht="32.25" customHeight="1">
      <c r="A6" s="3783" t="s">
        <v>3319</v>
      </c>
      <c r="B6" s="3829" t="str">
        <f>'Schedule C'!A16&amp;" - "&amp;'Schedule C'!A145&amp;" - "&amp;'Schedule C'!B145</f>
        <v>Item No. - 79 - Reflective Ceiling (Award to Armetal)</v>
      </c>
      <c r="C6" s="3830">
        <f>'Schedule C'!Q145-1457002</f>
        <v>-1457002</v>
      </c>
      <c r="D6" s="3786">
        <f>C6/$C$28</f>
        <v>0.25748107861273556</v>
      </c>
      <c r="E6" s="3832"/>
      <c r="F6" s="3833">
        <v>45613</v>
      </c>
      <c r="G6" s="3628"/>
      <c r="H6" s="3628"/>
      <c r="I6" s="3628"/>
      <c r="J6" s="3628"/>
      <c r="K6" s="3628"/>
      <c r="L6" s="3628"/>
      <c r="M6" s="3628"/>
      <c r="N6" s="3628"/>
      <c r="O6" s="3628"/>
      <c r="P6" s="3628"/>
      <c r="Q6" s="3628"/>
      <c r="R6" s="3628"/>
      <c r="S6" s="3628"/>
      <c r="T6" s="3628"/>
      <c r="U6" s="3628"/>
      <c r="V6" s="3628"/>
      <c r="W6" s="3628"/>
      <c r="X6" s="3628"/>
      <c r="Y6" s="3628"/>
      <c r="Z6" s="3628"/>
      <c r="AA6" s="3628"/>
      <c r="AB6" s="3628"/>
      <c r="AC6" s="3628"/>
      <c r="AD6" s="3628"/>
      <c r="AE6" s="3628"/>
      <c r="AF6" s="3628"/>
      <c r="AG6" s="3628"/>
      <c r="AH6" s="3628"/>
      <c r="AI6" s="3628"/>
      <c r="AJ6" s="3628"/>
      <c r="AK6" s="3628"/>
      <c r="AL6" s="3628"/>
      <c r="AM6" s="3628"/>
      <c r="AN6" s="3628"/>
      <c r="AO6" s="3628"/>
      <c r="AP6" s="3628"/>
      <c r="AQ6" s="3628"/>
      <c r="AR6" s="3628"/>
      <c r="AS6" s="3628"/>
    </row>
    <row r="7" spans="1:45" ht="45" customHeight="1">
      <c r="A7" s="3783" t="s">
        <v>3320</v>
      </c>
      <c r="B7" s="3784" t="str">
        <f>'Schedule C'!A16&amp;" - "&amp;'Schedule C'!A139&amp;" - "&amp;'Schedule C'!B139</f>
        <v>Item No. - 73 - Additional Porte Cochere Works to be carried out by MAS</v>
      </c>
      <c r="C7" s="3830">
        <f>'Schedule C'!Q139</f>
        <v>0</v>
      </c>
      <c r="D7" s="3786">
        <f>C7/$C$28</f>
        <v>0</v>
      </c>
      <c r="E7" s="3832"/>
      <c r="F7" s="3833">
        <v>45621</v>
      </c>
      <c r="G7" s="3628"/>
      <c r="H7" s="3628"/>
      <c r="I7" s="3628"/>
      <c r="J7" s="3628"/>
      <c r="K7" s="3628"/>
      <c r="L7" s="3628"/>
      <c r="M7" s="3628"/>
      <c r="N7" s="3628"/>
      <c r="O7" s="3628"/>
      <c r="P7" s="3628"/>
      <c r="Q7" s="3628"/>
      <c r="R7" s="3628"/>
      <c r="S7" s="3628"/>
      <c r="T7" s="3628"/>
      <c r="U7" s="3628"/>
      <c r="V7" s="3628"/>
      <c r="W7" s="3628"/>
      <c r="X7" s="3628"/>
      <c r="Y7" s="3628"/>
      <c r="Z7" s="3628"/>
      <c r="AA7" s="3628"/>
      <c r="AB7" s="3628"/>
      <c r="AC7" s="3628"/>
      <c r="AD7" s="3628"/>
      <c r="AE7" s="3628"/>
      <c r="AF7" s="3628"/>
      <c r="AG7" s="3628"/>
      <c r="AH7" s="3628"/>
      <c r="AI7" s="3628"/>
      <c r="AJ7" s="3628"/>
      <c r="AK7" s="3628"/>
      <c r="AL7" s="3628"/>
      <c r="AM7" s="3628"/>
      <c r="AN7" s="3628"/>
      <c r="AO7" s="3628"/>
      <c r="AP7" s="3628"/>
      <c r="AQ7" s="3628"/>
      <c r="AR7" s="3628"/>
      <c r="AS7" s="3628"/>
    </row>
    <row r="8" spans="1:45" ht="18" customHeight="1">
      <c r="A8" s="3783"/>
      <c r="B8" s="3788"/>
      <c r="C8" s="3830"/>
      <c r="D8" s="3789"/>
      <c r="E8" s="3785"/>
      <c r="F8" s="3787"/>
      <c r="G8" s="3628"/>
      <c r="H8" s="3628"/>
      <c r="I8" s="3628"/>
      <c r="J8" s="3628"/>
      <c r="K8" s="3628"/>
      <c r="L8" s="3628"/>
      <c r="M8" s="3628"/>
      <c r="N8" s="3628"/>
      <c r="O8" s="3628"/>
      <c r="P8" s="3628"/>
      <c r="Q8" s="3628"/>
      <c r="R8" s="3628"/>
      <c r="S8" s="3628"/>
      <c r="T8" s="3628"/>
      <c r="U8" s="3628"/>
      <c r="V8" s="3628"/>
      <c r="W8" s="3628"/>
      <c r="X8" s="3628"/>
      <c r="Y8" s="3628"/>
      <c r="Z8" s="3628"/>
      <c r="AA8" s="3628"/>
      <c r="AB8" s="3628"/>
      <c r="AC8" s="3628"/>
      <c r="AD8" s="3628"/>
      <c r="AE8" s="3628"/>
      <c r="AF8" s="3628"/>
      <c r="AG8" s="3628"/>
      <c r="AH8" s="3628"/>
      <c r="AI8" s="3628"/>
      <c r="AJ8" s="3628"/>
      <c r="AK8" s="3628"/>
      <c r="AL8" s="3628"/>
      <c r="AM8" s="3628"/>
      <c r="AN8" s="3628"/>
      <c r="AO8" s="3628"/>
      <c r="AP8" s="3628"/>
      <c r="AQ8" s="3628"/>
      <c r="AR8" s="3628"/>
      <c r="AS8" s="3628"/>
    </row>
    <row r="9" spans="1:45" ht="27.75" customHeight="1">
      <c r="A9" s="3790">
        <v>2</v>
      </c>
      <c r="B9" s="3791" t="s">
        <v>3321</v>
      </c>
      <c r="C9" s="3792">
        <f>SUM(C10:C25)</f>
        <v>-4201674</v>
      </c>
      <c r="D9" s="3793">
        <f t="shared" ref="D9:D19" si="0">C9/$C$28</f>
        <v>0.7425189213872645</v>
      </c>
      <c r="E9" s="3792">
        <f>SUM(E10:E25)</f>
        <v>0</v>
      </c>
      <c r="F9" s="3794"/>
      <c r="G9" s="3628"/>
      <c r="H9" s="3628"/>
      <c r="I9" s="3628"/>
      <c r="J9" s="3628"/>
      <c r="K9" s="3628"/>
      <c r="L9" s="3628"/>
      <c r="M9" s="3628"/>
      <c r="N9" s="3628"/>
      <c r="O9" s="3628"/>
      <c r="P9" s="3628"/>
      <c r="Q9" s="3628"/>
      <c r="R9" s="3628"/>
      <c r="S9" s="3628"/>
      <c r="T9" s="3628"/>
      <c r="U9" s="3628"/>
      <c r="V9" s="3628"/>
      <c r="W9" s="3628"/>
      <c r="X9" s="3628"/>
      <c r="Y9" s="3628"/>
      <c r="Z9" s="3628"/>
      <c r="AA9" s="3628"/>
      <c r="AB9" s="3628"/>
      <c r="AC9" s="3628"/>
      <c r="AD9" s="3628"/>
      <c r="AE9" s="3628"/>
      <c r="AF9" s="3628"/>
      <c r="AG9" s="3628"/>
      <c r="AH9" s="3628"/>
      <c r="AI9" s="3628"/>
      <c r="AJ9" s="3628"/>
      <c r="AK9" s="3628"/>
      <c r="AL9" s="3628"/>
      <c r="AM9" s="3628"/>
      <c r="AN9" s="3628"/>
      <c r="AO9" s="3628"/>
      <c r="AP9" s="3628"/>
      <c r="AQ9" s="3628"/>
      <c r="AR9" s="3628"/>
      <c r="AS9" s="3628"/>
    </row>
    <row r="10" spans="1:45" ht="18" customHeight="1">
      <c r="A10" s="3783" t="s">
        <v>3322</v>
      </c>
      <c r="B10" s="3784" t="str">
        <f>'Schedule C'!A16&amp;" - "&amp;'Schedule C'!A67&amp;" - "&amp;'Schedule C'!B67</f>
        <v>Item No. - 22 - Omission of Surveying Equipment from SAB Contract</v>
      </c>
      <c r="C10" s="3830">
        <f>'Schedule C'!Q67</f>
        <v>-7890</v>
      </c>
      <c r="D10" s="3786">
        <f t="shared" si="0"/>
        <v>1.394319095138156E-3</v>
      </c>
      <c r="E10" s="3832"/>
      <c r="F10" s="3834" t="s">
        <v>3337</v>
      </c>
      <c r="G10" s="3628"/>
      <c r="H10" s="3628"/>
      <c r="I10" s="3628"/>
      <c r="J10" s="3628"/>
      <c r="K10" s="3628"/>
      <c r="L10" s="3628"/>
      <c r="M10" s="3628"/>
      <c r="N10" s="3628"/>
      <c r="O10" s="3628"/>
      <c r="P10" s="3628"/>
      <c r="Q10" s="3628"/>
      <c r="R10" s="3628"/>
      <c r="S10" s="3628"/>
      <c r="T10" s="3628"/>
      <c r="U10" s="3628"/>
      <c r="V10" s="3628"/>
      <c r="W10" s="3628"/>
      <c r="X10" s="3628"/>
      <c r="Y10" s="3628"/>
      <c r="Z10" s="3628"/>
      <c r="AA10" s="3628"/>
      <c r="AB10" s="3628"/>
      <c r="AC10" s="3628"/>
      <c r="AD10" s="3628"/>
      <c r="AE10" s="3628"/>
      <c r="AF10" s="3628"/>
      <c r="AG10" s="3628"/>
      <c r="AH10" s="3628"/>
      <c r="AI10" s="3628"/>
      <c r="AJ10" s="3628"/>
      <c r="AK10" s="3628"/>
      <c r="AL10" s="3628"/>
      <c r="AM10" s="3628"/>
      <c r="AN10" s="3628"/>
      <c r="AO10" s="3628"/>
      <c r="AP10" s="3628"/>
      <c r="AQ10" s="3628"/>
      <c r="AR10" s="3628"/>
      <c r="AS10" s="3628"/>
    </row>
    <row r="11" spans="1:45" ht="18" customHeight="1">
      <c r="A11" s="3783" t="s">
        <v>3323</v>
      </c>
      <c r="B11" s="3784" t="str">
        <f>'Schedule C'!A16&amp;" - "&amp;'Schedule C'!A69&amp;" - "&amp;'Schedule C'!B69</f>
        <v>Item No. - 24 - Omission of food and welfare provision to AMAALA Staff from SAB Contract.</v>
      </c>
      <c r="C11" s="3830">
        <f>'Schedule C'!Q69</f>
        <v>-90000</v>
      </c>
      <c r="D11" s="3786">
        <f t="shared" si="0"/>
        <v>1.5904780552906721E-2</v>
      </c>
      <c r="E11" s="3832"/>
      <c r="F11" s="3834" t="s">
        <v>3337</v>
      </c>
      <c r="G11" s="3628"/>
      <c r="H11" s="3628"/>
      <c r="I11" s="3628"/>
      <c r="J11" s="3628"/>
      <c r="K11" s="3628"/>
      <c r="L11" s="3628"/>
      <c r="M11" s="3628"/>
      <c r="N11" s="3628"/>
      <c r="O11" s="3628"/>
      <c r="P11" s="3628"/>
      <c r="Q11" s="3628"/>
      <c r="R11" s="3628"/>
      <c r="S11" s="3628"/>
      <c r="T11" s="3628"/>
      <c r="U11" s="3628"/>
      <c r="V11" s="3628"/>
      <c r="W11" s="3628"/>
      <c r="X11" s="3628"/>
      <c r="Y11" s="3628"/>
      <c r="Z11" s="3628"/>
      <c r="AA11" s="3628"/>
      <c r="AB11" s="3628"/>
      <c r="AC11" s="3628"/>
      <c r="AD11" s="3628"/>
      <c r="AE11" s="3628"/>
      <c r="AF11" s="3628"/>
      <c r="AG11" s="3628"/>
      <c r="AH11" s="3628"/>
      <c r="AI11" s="3628"/>
      <c r="AJ11" s="3628"/>
      <c r="AK11" s="3628"/>
      <c r="AL11" s="3628"/>
      <c r="AM11" s="3628"/>
      <c r="AN11" s="3628"/>
      <c r="AO11" s="3628"/>
      <c r="AP11" s="3628"/>
      <c r="AQ11" s="3628"/>
      <c r="AR11" s="3628"/>
      <c r="AS11" s="3628"/>
    </row>
    <row r="12" spans="1:45" ht="28.5">
      <c r="A12" s="3783" t="s">
        <v>3324</v>
      </c>
      <c r="B12" s="3784" t="str">
        <f>'Schedule C'!A16&amp;"-"&amp;'Schedule C'!A70&amp;" - "&amp;'Schedule C'!B70</f>
        <v xml:space="preserve">Item No.-25 - Cost saving to Site Office Monthly Running Cost due to late installation of the Office Establishment by SAB. </v>
      </c>
      <c r="C12" s="3830">
        <f>'Schedule C'!Q70</f>
        <v>-200000</v>
      </c>
      <c r="D12" s="3786">
        <f t="shared" si="0"/>
        <v>3.5343956784237164E-2</v>
      </c>
      <c r="E12" s="3832"/>
      <c r="F12" s="3834" t="s">
        <v>3337</v>
      </c>
      <c r="G12" s="3628"/>
      <c r="H12" s="3628"/>
      <c r="I12" s="3628"/>
      <c r="J12" s="3628"/>
      <c r="K12" s="3628"/>
      <c r="L12" s="3628"/>
      <c r="M12" s="3628"/>
      <c r="N12" s="3628"/>
      <c r="O12" s="3628"/>
      <c r="P12" s="3628"/>
      <c r="Q12" s="3628"/>
      <c r="R12" s="3628"/>
      <c r="S12" s="3628"/>
      <c r="T12" s="3628"/>
      <c r="U12" s="3628"/>
      <c r="V12" s="3628"/>
      <c r="W12" s="3628"/>
      <c r="X12" s="3628"/>
      <c r="Y12" s="3628"/>
      <c r="Z12" s="3628"/>
      <c r="AA12" s="3628"/>
      <c r="AB12" s="3628"/>
      <c r="AC12" s="3628"/>
      <c r="AD12" s="3628"/>
      <c r="AE12" s="3628"/>
      <c r="AF12" s="3628"/>
      <c r="AG12" s="3628"/>
      <c r="AH12" s="3628"/>
      <c r="AI12" s="3628"/>
      <c r="AJ12" s="3628"/>
      <c r="AK12" s="3628"/>
      <c r="AL12" s="3628"/>
      <c r="AM12" s="3628"/>
      <c r="AN12" s="3628"/>
      <c r="AO12" s="3628"/>
      <c r="AP12" s="3628"/>
      <c r="AQ12" s="3628"/>
      <c r="AR12" s="3628"/>
      <c r="AS12" s="3628"/>
    </row>
    <row r="13" spans="1:45" ht="18" customHeight="1">
      <c r="A13" s="3783" t="s">
        <v>3325</v>
      </c>
      <c r="B13" s="3784" t="str">
        <f>'Schedule C'!A16&amp;" - "&amp;'Schedule C'!A128&amp;" - "&amp;'Schedule C'!B128</f>
        <v>Item No. - 64 - Potential Contract Cost Adjustment</v>
      </c>
      <c r="C13" s="3830">
        <f>'Schedule C'!Q128</f>
        <v>0</v>
      </c>
      <c r="D13" s="3786">
        <f t="shared" si="0"/>
        <v>0</v>
      </c>
      <c r="E13" s="3832"/>
      <c r="F13" s="3834" t="s">
        <v>3338</v>
      </c>
      <c r="G13" s="3628"/>
      <c r="H13" s="3628"/>
      <c r="I13" s="3628"/>
      <c r="J13" s="3628"/>
      <c r="K13" s="3628"/>
      <c r="L13" s="3628"/>
      <c r="M13" s="3628"/>
      <c r="N13" s="3628"/>
      <c r="O13" s="3628"/>
      <c r="P13" s="3628"/>
      <c r="Q13" s="3628"/>
      <c r="R13" s="3628"/>
      <c r="S13" s="3628"/>
      <c r="T13" s="3628"/>
      <c r="U13" s="3628"/>
      <c r="V13" s="3628"/>
      <c r="W13" s="3628"/>
      <c r="X13" s="3628"/>
      <c r="Y13" s="3628"/>
      <c r="Z13" s="3628"/>
      <c r="AA13" s="3628"/>
      <c r="AB13" s="3628"/>
      <c r="AC13" s="3628"/>
      <c r="AD13" s="3628"/>
      <c r="AE13" s="3628"/>
      <c r="AF13" s="3628"/>
      <c r="AG13" s="3628"/>
      <c r="AH13" s="3628"/>
      <c r="AI13" s="3628"/>
      <c r="AJ13" s="3628"/>
      <c r="AK13" s="3628"/>
      <c r="AL13" s="3628"/>
      <c r="AM13" s="3628"/>
      <c r="AN13" s="3628"/>
      <c r="AO13" s="3628"/>
      <c r="AP13" s="3628"/>
      <c r="AQ13" s="3628"/>
      <c r="AR13" s="3628"/>
      <c r="AS13" s="3628"/>
    </row>
    <row r="14" spans="1:45" ht="18" customHeight="1">
      <c r="A14" s="3783" t="s">
        <v>3326</v>
      </c>
      <c r="B14" s="3784" t="str">
        <f>'Schedule C'!A16&amp;" - "&amp;'Schedule C'!A135&amp;" - "&amp;'Schedule C'!B135</f>
        <v>Item No. - 70b - Cancellation of Amphitheatre Works issued to MAS - Process not followed</v>
      </c>
      <c r="C14" s="3830">
        <f>'Schedule C'!Q135*0</f>
        <v>0</v>
      </c>
      <c r="D14" s="3786">
        <f t="shared" si="0"/>
        <v>0</v>
      </c>
      <c r="E14" s="3832"/>
      <c r="F14" s="3833">
        <v>45626</v>
      </c>
      <c r="G14" s="3628"/>
      <c r="H14" s="3628"/>
      <c r="I14" s="3628"/>
      <c r="J14" s="3628"/>
      <c r="K14" s="3628"/>
      <c r="L14" s="3628"/>
      <c r="M14" s="3628"/>
      <c r="N14" s="3628"/>
      <c r="O14" s="3628"/>
      <c r="P14" s="3628"/>
      <c r="Q14" s="3628"/>
      <c r="R14" s="3628"/>
      <c r="S14" s="3628"/>
      <c r="T14" s="3628"/>
      <c r="U14" s="3628"/>
      <c r="V14" s="3628"/>
      <c r="W14" s="3628"/>
      <c r="X14" s="3628"/>
      <c r="Y14" s="3628"/>
      <c r="Z14" s="3628"/>
      <c r="AA14" s="3628"/>
      <c r="AB14" s="3628"/>
      <c r="AC14" s="3628"/>
      <c r="AD14" s="3628"/>
      <c r="AE14" s="3628"/>
      <c r="AF14" s="3628"/>
      <c r="AG14" s="3628"/>
      <c r="AH14" s="3628"/>
      <c r="AI14" s="3628"/>
      <c r="AJ14" s="3628"/>
      <c r="AK14" s="3628"/>
      <c r="AL14" s="3628"/>
      <c r="AM14" s="3628"/>
      <c r="AN14" s="3628"/>
      <c r="AO14" s="3628"/>
      <c r="AP14" s="3628"/>
      <c r="AQ14" s="3628"/>
      <c r="AR14" s="3628"/>
      <c r="AS14" s="3628"/>
    </row>
    <row r="15" spans="1:45" ht="28.5" customHeight="1">
      <c r="A15" s="3783" t="s">
        <v>3327</v>
      </c>
      <c r="B15" s="3784" t="str">
        <f>'Schedule C'!A16&amp;" - "&amp;'Schedule C'!A137&amp;" - "&amp;'Schedule C'!B137</f>
        <v>Item No. - 71b - Recovery of Remaining Block work, Plaster work and Paint Work to be carried out by MAS - Process not followed</v>
      </c>
      <c r="C15" s="3830">
        <f>'Schedule C'!Q137</f>
        <v>-4004000</v>
      </c>
      <c r="D15" s="3786">
        <f t="shared" si="0"/>
        <v>0.70758601482042793</v>
      </c>
      <c r="E15" s="3832"/>
      <c r="F15" s="3833">
        <v>45626</v>
      </c>
      <c r="G15" s="3628"/>
      <c r="H15" s="3628"/>
      <c r="I15" s="3628"/>
      <c r="J15" s="3628"/>
      <c r="K15" s="3628"/>
      <c r="L15" s="3628"/>
      <c r="M15" s="3628"/>
      <c r="N15" s="3628"/>
      <c r="O15" s="3628"/>
      <c r="P15" s="3628"/>
      <c r="Q15" s="3628"/>
      <c r="R15" s="3628"/>
      <c r="S15" s="3628"/>
      <c r="T15" s="3628"/>
      <c r="U15" s="3628"/>
      <c r="V15" s="3628"/>
      <c r="W15" s="3628"/>
      <c r="X15" s="3628"/>
      <c r="Y15" s="3628"/>
      <c r="Z15" s="3628"/>
      <c r="AA15" s="3628"/>
      <c r="AB15" s="3628"/>
      <c r="AC15" s="3628"/>
      <c r="AD15" s="3628"/>
      <c r="AE15" s="3628"/>
      <c r="AF15" s="3628"/>
      <c r="AG15" s="3628"/>
      <c r="AH15" s="3628"/>
      <c r="AI15" s="3628"/>
      <c r="AJ15" s="3628"/>
      <c r="AK15" s="3628"/>
      <c r="AL15" s="3628"/>
      <c r="AM15" s="3628"/>
      <c r="AN15" s="3628"/>
      <c r="AO15" s="3628"/>
      <c r="AP15" s="3628"/>
      <c r="AQ15" s="3628"/>
      <c r="AR15" s="3628"/>
      <c r="AS15" s="3628"/>
    </row>
    <row r="16" spans="1:45" ht="18" customHeight="1">
      <c r="A16" s="3783" t="s">
        <v>3328</v>
      </c>
      <c r="B16" s="3784" t="str">
        <f>'Schedule C'!A16&amp;" - "&amp;'Schedule C'!A138&amp;" - "&amp;'Schedule C'!B138</f>
        <v>Item No. - 72 - Alteration to finishes due to Façade Layout Changes - Process not Followed</v>
      </c>
      <c r="C16" s="3830">
        <f>'Schedule C'!Q138</f>
        <v>69000</v>
      </c>
      <c r="D16" s="3786">
        <f t="shared" si="0"/>
        <v>-1.2193665090561821E-2</v>
      </c>
      <c r="E16" s="3832"/>
      <c r="F16" s="3833">
        <v>45626</v>
      </c>
      <c r="G16" s="3628"/>
      <c r="H16" s="3628"/>
      <c r="I16" s="3628"/>
      <c r="J16" s="3628"/>
      <c r="K16" s="3628"/>
      <c r="L16" s="3628"/>
      <c r="M16" s="3628"/>
      <c r="N16" s="3628"/>
      <c r="O16" s="3628"/>
      <c r="P16" s="3628"/>
      <c r="Q16" s="3628"/>
      <c r="R16" s="3628"/>
      <c r="S16" s="3628"/>
      <c r="T16" s="3628"/>
      <c r="U16" s="3628"/>
      <c r="V16" s="3628"/>
      <c r="W16" s="3628"/>
      <c r="X16" s="3628"/>
      <c r="Y16" s="3628"/>
      <c r="Z16" s="3628"/>
      <c r="AA16" s="3628"/>
      <c r="AB16" s="3628"/>
      <c r="AC16" s="3628"/>
      <c r="AD16" s="3628"/>
      <c r="AE16" s="3628"/>
      <c r="AF16" s="3628"/>
      <c r="AG16" s="3628"/>
      <c r="AH16" s="3628"/>
      <c r="AI16" s="3628"/>
      <c r="AJ16" s="3628"/>
      <c r="AK16" s="3628"/>
      <c r="AL16" s="3628"/>
      <c r="AM16" s="3628"/>
      <c r="AN16" s="3628"/>
      <c r="AO16" s="3628"/>
      <c r="AP16" s="3628"/>
      <c r="AQ16" s="3628"/>
      <c r="AR16" s="3628"/>
      <c r="AS16" s="3628"/>
    </row>
    <row r="17" spans="1:45" ht="18" customHeight="1">
      <c r="A17" s="3783" t="s">
        <v>3329</v>
      </c>
      <c r="B17" s="3784" t="str">
        <f>'Schedule C'!A16&amp;" - "&amp;'Schedule C'!A146&amp;" - "&amp;'Schedule C'!B146</f>
        <v>Item No. - 80 - Reflective Ceiling (Omission from SAB)</v>
      </c>
      <c r="C17" s="3830">
        <f>'Schedule C'!Q146*0</f>
        <v>0</v>
      </c>
      <c r="D17" s="3786">
        <f t="shared" si="0"/>
        <v>0</v>
      </c>
      <c r="E17" s="3832"/>
      <c r="F17" s="3833">
        <v>45626</v>
      </c>
      <c r="G17" s="3628"/>
      <c r="H17" s="3628"/>
      <c r="I17" s="3628"/>
      <c r="J17" s="3628"/>
      <c r="K17" s="3628"/>
      <c r="L17" s="3628"/>
      <c r="M17" s="3628"/>
      <c r="N17" s="3628"/>
      <c r="O17" s="3628"/>
      <c r="P17" s="3628"/>
      <c r="Q17" s="3628"/>
      <c r="R17" s="3628"/>
      <c r="S17" s="3628"/>
      <c r="T17" s="3628"/>
      <c r="U17" s="3628"/>
      <c r="V17" s="3628"/>
      <c r="W17" s="3628"/>
      <c r="X17" s="3628"/>
      <c r="Y17" s="3628"/>
      <c r="Z17" s="3628"/>
      <c r="AA17" s="3628"/>
      <c r="AB17" s="3628"/>
      <c r="AC17" s="3628"/>
      <c r="AD17" s="3628"/>
      <c r="AE17" s="3628"/>
      <c r="AF17" s="3628"/>
      <c r="AG17" s="3628"/>
      <c r="AH17" s="3628"/>
      <c r="AI17" s="3628"/>
      <c r="AJ17" s="3628"/>
      <c r="AK17" s="3628"/>
      <c r="AL17" s="3628"/>
      <c r="AM17" s="3628"/>
      <c r="AN17" s="3628"/>
      <c r="AO17" s="3628"/>
      <c r="AP17" s="3628"/>
      <c r="AQ17" s="3628"/>
      <c r="AR17" s="3628"/>
      <c r="AS17" s="3628"/>
    </row>
    <row r="18" spans="1:45" ht="18" customHeight="1">
      <c r="A18" s="3783" t="s">
        <v>3330</v>
      </c>
      <c r="B18" s="3784" t="str">
        <f>'Schedule C'!A16&amp;" - "&amp;'Schedule C'!A141&amp;" - "&amp;'Schedule C'!B141</f>
        <v>Item No. - 75 - Deployment of Seven (7) Surveyors</v>
      </c>
      <c r="C18" s="3830">
        <f>'Schedule C'!Q141*0</f>
        <v>0</v>
      </c>
      <c r="D18" s="3786">
        <f t="shared" si="0"/>
        <v>0</v>
      </c>
      <c r="E18" s="3832"/>
      <c r="F18" s="3833">
        <v>45626</v>
      </c>
      <c r="G18" s="3628"/>
      <c r="H18" s="3628"/>
      <c r="I18" s="3628"/>
      <c r="J18" s="3628"/>
      <c r="K18" s="3628"/>
      <c r="L18" s="3628"/>
      <c r="M18" s="3628"/>
      <c r="N18" s="3628"/>
      <c r="O18" s="3628"/>
      <c r="P18" s="3628"/>
      <c r="Q18" s="3628"/>
      <c r="R18" s="3628"/>
      <c r="S18" s="3628"/>
      <c r="T18" s="3628"/>
      <c r="U18" s="3628"/>
      <c r="V18" s="3628"/>
      <c r="W18" s="3628"/>
      <c r="X18" s="3628"/>
      <c r="Y18" s="3628"/>
      <c r="Z18" s="3628"/>
      <c r="AA18" s="3628"/>
      <c r="AB18" s="3628"/>
      <c r="AC18" s="3628"/>
      <c r="AD18" s="3628"/>
      <c r="AE18" s="3628"/>
      <c r="AF18" s="3628"/>
      <c r="AG18" s="3628"/>
      <c r="AH18" s="3628"/>
      <c r="AI18" s="3628"/>
      <c r="AJ18" s="3628"/>
      <c r="AK18" s="3628"/>
      <c r="AL18" s="3628"/>
      <c r="AM18" s="3628"/>
      <c r="AN18" s="3628"/>
      <c r="AO18" s="3628"/>
      <c r="AP18" s="3628"/>
      <c r="AQ18" s="3628"/>
      <c r="AR18" s="3628"/>
      <c r="AS18" s="3628"/>
    </row>
    <row r="19" spans="1:45" ht="18" customHeight="1">
      <c r="A19" s="3783" t="s">
        <v>3331</v>
      </c>
      <c r="B19" s="3784" t="str">
        <f>'Schedule C'!A16&amp;" - "&amp;'Schedule C'!A142&amp;" - "&amp;'Schedule C'!B142</f>
        <v>Item No. - 76 - Employer’s instruction for ID Finishes on Vertical Transportation Fixture Elements</v>
      </c>
      <c r="C19" s="3830">
        <f>'Schedule C'!Q142</f>
        <v>0</v>
      </c>
      <c r="D19" s="3786">
        <f t="shared" si="0"/>
        <v>0</v>
      </c>
      <c r="E19" s="3832"/>
      <c r="F19" s="3833">
        <v>45626</v>
      </c>
      <c r="G19" s="3628"/>
      <c r="H19" s="3628"/>
      <c r="I19" s="3628"/>
      <c r="J19" s="3628"/>
      <c r="K19" s="3628"/>
      <c r="L19" s="3628"/>
      <c r="M19" s="3628"/>
      <c r="N19" s="3628"/>
      <c r="O19" s="3628"/>
      <c r="P19" s="3628"/>
      <c r="Q19" s="3628"/>
      <c r="R19" s="3628"/>
      <c r="S19" s="3628"/>
      <c r="T19" s="3628"/>
      <c r="U19" s="3628"/>
      <c r="V19" s="3628"/>
      <c r="W19" s="3628"/>
      <c r="X19" s="3628"/>
      <c r="Y19" s="3628"/>
      <c r="Z19" s="3628"/>
      <c r="AA19" s="3628"/>
      <c r="AB19" s="3628"/>
      <c r="AC19" s="3628"/>
      <c r="AD19" s="3628"/>
      <c r="AE19" s="3628"/>
      <c r="AF19" s="3628"/>
      <c r="AG19" s="3628"/>
      <c r="AH19" s="3628"/>
      <c r="AI19" s="3628"/>
      <c r="AJ19" s="3628"/>
      <c r="AK19" s="3628"/>
      <c r="AL19" s="3628"/>
      <c r="AM19" s="3628"/>
      <c r="AN19" s="3628"/>
      <c r="AO19" s="3628"/>
      <c r="AP19" s="3628"/>
      <c r="AQ19" s="3628"/>
      <c r="AR19" s="3628"/>
      <c r="AS19" s="3628"/>
    </row>
    <row r="20" spans="1:45" ht="18" customHeight="1">
      <c r="A20" s="3783" t="s">
        <v>3335</v>
      </c>
      <c r="B20" s="3784" t="str">
        <f>'Schedule C'!A16&amp;" - "&amp;'Schedule C'!A143&amp;" - "&amp;'Schedule C'!B143</f>
        <v>Item No. - 77 - AYC – Disassembly and Reassembly of electronic items from VT fixtures</v>
      </c>
      <c r="C20" s="3830">
        <f>'Schedule C'!Q143</f>
        <v>0</v>
      </c>
      <c r="D20" s="3786">
        <f>C20/$C$28</f>
        <v>0</v>
      </c>
      <c r="E20" s="3832"/>
      <c r="F20" s="3833">
        <v>45626</v>
      </c>
      <c r="G20" s="3628"/>
      <c r="H20" s="3628"/>
      <c r="I20" s="3628"/>
      <c r="J20" s="3628"/>
      <c r="K20" s="3628"/>
      <c r="L20" s="3628"/>
      <c r="M20" s="3628"/>
      <c r="N20" s="3628"/>
      <c r="O20" s="3628"/>
      <c r="P20" s="3628"/>
      <c r="Q20" s="3628"/>
      <c r="R20" s="3628"/>
      <c r="S20" s="3628"/>
      <c r="T20" s="3628"/>
      <c r="U20" s="3628"/>
      <c r="V20" s="3628"/>
      <c r="W20" s="3628"/>
      <c r="X20" s="3628"/>
      <c r="Y20" s="3628"/>
      <c r="Z20" s="3628"/>
      <c r="AA20" s="3628"/>
      <c r="AB20" s="3628"/>
      <c r="AC20" s="3628"/>
      <c r="AD20" s="3628"/>
      <c r="AE20" s="3628"/>
      <c r="AF20" s="3628"/>
      <c r="AG20" s="3628"/>
      <c r="AH20" s="3628"/>
      <c r="AI20" s="3628"/>
      <c r="AJ20" s="3628"/>
      <c r="AK20" s="3628"/>
      <c r="AL20" s="3628"/>
      <c r="AM20" s="3628"/>
      <c r="AN20" s="3628"/>
      <c r="AO20" s="3628"/>
      <c r="AP20" s="3628"/>
      <c r="AQ20" s="3628"/>
      <c r="AR20" s="3628"/>
      <c r="AS20" s="3628"/>
    </row>
    <row r="21" spans="1:45" ht="18" customHeight="1">
      <c r="A21" s="3783" t="s">
        <v>3336</v>
      </c>
      <c r="B21" s="3784" t="str">
        <f>'Schedule C'!A16&amp;" - "&amp;'Schedule C'!A144&amp;" - "&amp;'Schedule C'!B144</f>
        <v>Item No. - 78 - Scaffolding works for Secondary Steel and Façade (Design)</v>
      </c>
      <c r="C21" s="3830">
        <f>'Schedule C'!Q144</f>
        <v>75000</v>
      </c>
      <c r="D21" s="3786">
        <f>C21/$C$28</f>
        <v>-1.3253983794088936E-2</v>
      </c>
      <c r="E21" s="3832"/>
      <c r="F21" s="3833">
        <v>45641</v>
      </c>
      <c r="G21" s="3628"/>
      <c r="H21" s="3628"/>
      <c r="I21" s="3628"/>
      <c r="J21" s="3628"/>
      <c r="K21" s="3628"/>
      <c r="L21" s="3628"/>
      <c r="M21" s="3628"/>
      <c r="N21" s="3628"/>
      <c r="O21" s="3628"/>
      <c r="P21" s="3628"/>
      <c r="Q21" s="3628"/>
      <c r="R21" s="3628"/>
      <c r="S21" s="3628"/>
      <c r="T21" s="3628"/>
      <c r="U21" s="3628"/>
      <c r="V21" s="3628"/>
      <c r="W21" s="3628"/>
      <c r="X21" s="3628"/>
      <c r="Y21" s="3628"/>
      <c r="Z21" s="3628"/>
      <c r="AA21" s="3628"/>
      <c r="AB21" s="3628"/>
      <c r="AC21" s="3628"/>
      <c r="AD21" s="3628"/>
      <c r="AE21" s="3628"/>
      <c r="AF21" s="3628"/>
      <c r="AG21" s="3628"/>
      <c r="AH21" s="3628"/>
      <c r="AI21" s="3628"/>
      <c r="AJ21" s="3628"/>
      <c r="AK21" s="3628"/>
      <c r="AL21" s="3628"/>
      <c r="AM21" s="3628"/>
      <c r="AN21" s="3628"/>
      <c r="AO21" s="3628"/>
      <c r="AP21" s="3628"/>
      <c r="AQ21" s="3628"/>
      <c r="AR21" s="3628"/>
      <c r="AS21" s="3628"/>
    </row>
    <row r="22" spans="1:45" ht="18" customHeight="1">
      <c r="A22" s="3783"/>
      <c r="B22" s="3784"/>
      <c r="C22" s="3830">
        <v>-43784</v>
      </c>
      <c r="D22" s="3786"/>
      <c r="E22" s="3832"/>
      <c r="F22" s="3834"/>
      <c r="G22" s="3628"/>
      <c r="H22" s="3628"/>
      <c r="I22" s="3628"/>
      <c r="J22" s="3628"/>
      <c r="K22" s="3628"/>
      <c r="L22" s="3628"/>
      <c r="M22" s="3628"/>
      <c r="N22" s="3628"/>
      <c r="O22" s="3628"/>
      <c r="P22" s="3628"/>
      <c r="Q22" s="3628"/>
      <c r="R22" s="3628"/>
      <c r="S22" s="3628"/>
      <c r="T22" s="3628"/>
      <c r="U22" s="3628"/>
      <c r="V22" s="3628"/>
      <c r="W22" s="3628"/>
      <c r="X22" s="3628"/>
      <c r="Y22" s="3628"/>
      <c r="Z22" s="3628"/>
      <c r="AA22" s="3628"/>
      <c r="AB22" s="3628"/>
      <c r="AC22" s="3628"/>
      <c r="AD22" s="3628"/>
      <c r="AE22" s="3628"/>
      <c r="AF22" s="3628"/>
      <c r="AG22" s="3628"/>
      <c r="AH22" s="3628"/>
      <c r="AI22" s="3628"/>
      <c r="AJ22" s="3628"/>
      <c r="AK22" s="3628"/>
      <c r="AL22" s="3628"/>
      <c r="AM22" s="3628"/>
      <c r="AN22" s="3628"/>
      <c r="AO22" s="3628"/>
      <c r="AP22" s="3628"/>
      <c r="AQ22" s="3628"/>
      <c r="AR22" s="3628"/>
      <c r="AS22" s="3628"/>
    </row>
    <row r="23" spans="1:45" ht="18" customHeight="1">
      <c r="A23" s="3783"/>
      <c r="B23" s="3784"/>
      <c r="C23" s="3830"/>
      <c r="D23" s="3786"/>
      <c r="E23" s="3785"/>
      <c r="F23" s="3787"/>
      <c r="G23" s="3628"/>
      <c r="H23" s="3628"/>
      <c r="I23" s="3628"/>
      <c r="J23" s="3628"/>
      <c r="K23" s="3628"/>
      <c r="L23" s="3628"/>
      <c r="M23" s="3628"/>
      <c r="N23" s="3628"/>
      <c r="O23" s="3628"/>
      <c r="P23" s="3628"/>
      <c r="Q23" s="3628"/>
      <c r="R23" s="3628"/>
      <c r="S23" s="3628"/>
      <c r="T23" s="3628"/>
      <c r="U23" s="3628"/>
      <c r="V23" s="3628"/>
      <c r="W23" s="3628"/>
      <c r="X23" s="3628"/>
      <c r="Y23" s="3628"/>
      <c r="Z23" s="3628"/>
      <c r="AA23" s="3628"/>
      <c r="AB23" s="3628"/>
      <c r="AC23" s="3628"/>
      <c r="AD23" s="3628"/>
      <c r="AE23" s="3628"/>
      <c r="AF23" s="3628"/>
      <c r="AG23" s="3628"/>
      <c r="AH23" s="3628"/>
      <c r="AI23" s="3628"/>
      <c r="AJ23" s="3628"/>
      <c r="AK23" s="3628"/>
      <c r="AL23" s="3628"/>
      <c r="AM23" s="3628"/>
      <c r="AN23" s="3628"/>
      <c r="AO23" s="3628"/>
      <c r="AP23" s="3628"/>
      <c r="AQ23" s="3628"/>
      <c r="AR23" s="3628"/>
      <c r="AS23" s="3628"/>
    </row>
    <row r="24" spans="1:45" ht="18" customHeight="1">
      <c r="A24" s="3783"/>
      <c r="B24" s="3784"/>
      <c r="C24" s="3830"/>
      <c r="D24" s="3786"/>
      <c r="E24" s="3785"/>
      <c r="F24" s="3787"/>
      <c r="G24" s="3628"/>
      <c r="H24" s="3628"/>
      <c r="I24" s="3628"/>
      <c r="J24" s="3628"/>
      <c r="K24" s="3628"/>
      <c r="L24" s="3628"/>
      <c r="M24" s="3628"/>
      <c r="N24" s="3628"/>
      <c r="O24" s="3628"/>
      <c r="P24" s="3628"/>
      <c r="Q24" s="3628"/>
      <c r="R24" s="3628"/>
      <c r="S24" s="3628"/>
      <c r="T24" s="3628"/>
      <c r="U24" s="3628"/>
      <c r="V24" s="3628"/>
      <c r="W24" s="3628"/>
      <c r="X24" s="3628"/>
      <c r="Y24" s="3628"/>
      <c r="Z24" s="3628"/>
      <c r="AA24" s="3628"/>
      <c r="AB24" s="3628"/>
      <c r="AC24" s="3628"/>
      <c r="AD24" s="3628"/>
      <c r="AE24" s="3628"/>
      <c r="AF24" s="3628"/>
      <c r="AG24" s="3628"/>
      <c r="AH24" s="3628"/>
      <c r="AI24" s="3628"/>
      <c r="AJ24" s="3628"/>
      <c r="AK24" s="3628"/>
      <c r="AL24" s="3628"/>
      <c r="AM24" s="3628"/>
      <c r="AN24" s="3628"/>
      <c r="AO24" s="3628"/>
      <c r="AP24" s="3628"/>
      <c r="AQ24" s="3628"/>
      <c r="AR24" s="3628"/>
      <c r="AS24" s="3628"/>
    </row>
    <row r="25" spans="1:45" ht="18" customHeight="1">
      <c r="A25" s="3783"/>
      <c r="B25" s="3788"/>
      <c r="C25" s="3830"/>
      <c r="D25" s="3786"/>
      <c r="E25" s="3785"/>
      <c r="F25" s="3787"/>
      <c r="G25" s="3628"/>
      <c r="H25" s="3628"/>
      <c r="I25" s="3628"/>
      <c r="J25" s="3628"/>
      <c r="K25" s="3628"/>
      <c r="L25" s="3628"/>
      <c r="M25" s="3628"/>
      <c r="N25" s="3628"/>
      <c r="O25" s="3628"/>
      <c r="P25" s="3628"/>
      <c r="Q25" s="3628"/>
      <c r="R25" s="3628"/>
      <c r="S25" s="3628"/>
      <c r="T25" s="3628"/>
      <c r="U25" s="3628"/>
      <c r="V25" s="3628"/>
      <c r="W25" s="3628"/>
      <c r="X25" s="3628"/>
      <c r="Y25" s="3628"/>
      <c r="Z25" s="3628"/>
      <c r="AA25" s="3628"/>
      <c r="AB25" s="3628"/>
      <c r="AC25" s="3628"/>
      <c r="AD25" s="3628"/>
      <c r="AE25" s="3628"/>
      <c r="AF25" s="3628"/>
      <c r="AG25" s="3628"/>
      <c r="AH25" s="3628"/>
      <c r="AI25" s="3628"/>
      <c r="AJ25" s="3628"/>
      <c r="AK25" s="3628"/>
      <c r="AL25" s="3628"/>
      <c r="AM25" s="3628"/>
      <c r="AN25" s="3628"/>
      <c r="AO25" s="3628"/>
      <c r="AP25" s="3628"/>
      <c r="AQ25" s="3628"/>
      <c r="AR25" s="3628"/>
      <c r="AS25" s="3628"/>
    </row>
    <row r="26" spans="1:45" ht="18" customHeight="1">
      <c r="A26" s="3815"/>
      <c r="B26" s="3816"/>
      <c r="C26" s="3817"/>
      <c r="D26" s="3818"/>
      <c r="E26" s="3819">
        <f>E4+E9</f>
        <v>0</v>
      </c>
      <c r="F26" s="3820"/>
      <c r="G26" s="3628"/>
      <c r="H26" s="3628"/>
      <c r="I26" s="3628"/>
      <c r="J26" s="3628"/>
      <c r="K26" s="3628"/>
      <c r="L26" s="3628"/>
      <c r="M26" s="3628"/>
      <c r="N26" s="3628"/>
      <c r="O26" s="3628"/>
      <c r="P26" s="3628"/>
      <c r="Q26" s="3628"/>
      <c r="R26" s="3628"/>
      <c r="S26" s="3628"/>
      <c r="T26" s="3628"/>
      <c r="U26" s="3628"/>
      <c r="V26" s="3628"/>
      <c r="W26" s="3628"/>
      <c r="X26" s="3628"/>
      <c r="Y26" s="3628"/>
      <c r="Z26" s="3628"/>
      <c r="AA26" s="3628"/>
      <c r="AB26" s="3628"/>
      <c r="AC26" s="3628"/>
      <c r="AD26" s="3628"/>
      <c r="AE26" s="3628"/>
      <c r="AF26" s="3628"/>
      <c r="AG26" s="3628"/>
      <c r="AH26" s="3628"/>
      <c r="AI26" s="3628"/>
      <c r="AJ26" s="3628"/>
      <c r="AK26" s="3628"/>
      <c r="AL26" s="3628"/>
      <c r="AM26" s="3628"/>
      <c r="AN26" s="3628"/>
      <c r="AO26" s="3628"/>
      <c r="AP26" s="3628"/>
      <c r="AQ26" s="3628"/>
      <c r="AR26" s="3628"/>
      <c r="AS26" s="3628"/>
    </row>
    <row r="27" spans="1:45">
      <c r="A27" s="3783"/>
      <c r="B27" s="3788"/>
      <c r="C27" s="3785"/>
      <c r="D27" s="3789"/>
      <c r="E27" s="3795"/>
      <c r="F27" s="3795"/>
      <c r="G27" s="3628"/>
      <c r="H27" s="3628"/>
      <c r="I27" s="3628"/>
      <c r="J27" s="3628"/>
      <c r="K27" s="3628"/>
      <c r="L27" s="3628"/>
      <c r="M27" s="3628"/>
      <c r="N27" s="3628"/>
      <c r="O27" s="3628"/>
      <c r="P27" s="3628"/>
      <c r="Q27" s="3628"/>
      <c r="R27" s="3628"/>
      <c r="S27" s="3628"/>
      <c r="T27" s="3628"/>
      <c r="U27" s="3628"/>
      <c r="V27" s="3628"/>
      <c r="W27" s="3628"/>
      <c r="X27" s="3628"/>
      <c r="Y27" s="3628"/>
      <c r="Z27" s="3628"/>
      <c r="AA27" s="3628"/>
      <c r="AB27" s="3628"/>
      <c r="AC27" s="3628"/>
      <c r="AD27" s="3628"/>
      <c r="AE27" s="3628"/>
      <c r="AF27" s="3628"/>
      <c r="AG27" s="3628"/>
      <c r="AH27" s="3628"/>
      <c r="AI27" s="3628"/>
      <c r="AJ27" s="3628"/>
      <c r="AK27" s="3628"/>
      <c r="AL27" s="3628"/>
      <c r="AM27" s="3628"/>
      <c r="AN27" s="3628"/>
      <c r="AO27" s="3628"/>
      <c r="AP27" s="3628"/>
      <c r="AQ27" s="3628"/>
      <c r="AR27" s="3628"/>
      <c r="AS27" s="3628"/>
    </row>
    <row r="28" spans="1:45" ht="29.25" customHeight="1">
      <c r="A28" s="5660" t="s">
        <v>3332</v>
      </c>
      <c r="B28" s="5661"/>
      <c r="C28" s="3812">
        <f>C9+C4</f>
        <v>-5658676</v>
      </c>
      <c r="D28" s="3813">
        <f>C28/$C$28</f>
        <v>1</v>
      </c>
      <c r="E28" s="3814">
        <v>0</v>
      </c>
      <c r="F28" s="3814"/>
      <c r="G28" s="3628"/>
      <c r="H28" s="3628"/>
      <c r="I28" s="3628"/>
      <c r="J28" s="3628"/>
      <c r="K28" s="3628"/>
      <c r="L28" s="3628"/>
      <c r="M28" s="3628"/>
      <c r="N28" s="3628"/>
      <c r="O28" s="3628"/>
      <c r="P28" s="3628"/>
      <c r="Q28" s="3628"/>
      <c r="R28" s="3628"/>
      <c r="S28" s="3628"/>
      <c r="T28" s="3628"/>
      <c r="U28" s="3628"/>
      <c r="V28" s="3628"/>
      <c r="W28" s="3628"/>
      <c r="X28" s="3628"/>
      <c r="Y28" s="3628"/>
      <c r="Z28" s="3628"/>
      <c r="AA28" s="3628"/>
      <c r="AB28" s="3628"/>
      <c r="AC28" s="3628"/>
      <c r="AD28" s="3628"/>
      <c r="AE28" s="3628"/>
      <c r="AF28" s="3628"/>
      <c r="AG28" s="3628"/>
      <c r="AH28" s="3628"/>
      <c r="AI28" s="3628"/>
      <c r="AJ28" s="3628"/>
      <c r="AK28" s="3628"/>
      <c r="AL28" s="3628"/>
      <c r="AM28" s="3628"/>
      <c r="AN28" s="3628"/>
      <c r="AO28" s="3628"/>
      <c r="AP28" s="3628"/>
      <c r="AQ28" s="3628"/>
      <c r="AR28" s="3628"/>
      <c r="AS28" s="3628"/>
    </row>
    <row r="29" spans="1:45">
      <c r="A29" s="3722"/>
      <c r="B29" s="3628"/>
      <c r="C29" s="3796"/>
      <c r="D29" s="3628"/>
      <c r="E29" s="3628"/>
      <c r="F29" s="3628"/>
      <c r="G29" s="3628"/>
      <c r="H29" s="3628"/>
      <c r="I29" s="3628"/>
      <c r="J29" s="3628"/>
      <c r="K29" s="3628"/>
      <c r="L29" s="3628"/>
      <c r="M29" s="3628"/>
      <c r="N29" s="3628"/>
      <c r="O29" s="3628"/>
      <c r="P29" s="3628"/>
      <c r="Q29" s="3628"/>
      <c r="R29" s="3628"/>
      <c r="S29" s="3628"/>
      <c r="T29" s="3628"/>
      <c r="U29" s="3628"/>
      <c r="V29" s="3628"/>
      <c r="W29" s="3628"/>
      <c r="X29" s="3628"/>
      <c r="Y29" s="3628"/>
      <c r="Z29" s="3628"/>
      <c r="AA29" s="3628"/>
      <c r="AB29" s="3628"/>
      <c r="AC29" s="3628"/>
      <c r="AD29" s="3628"/>
      <c r="AE29" s="3628"/>
      <c r="AF29" s="3628"/>
      <c r="AG29" s="3628"/>
      <c r="AH29" s="3628"/>
      <c r="AI29" s="3628"/>
      <c r="AJ29" s="3628"/>
      <c r="AK29" s="3628"/>
      <c r="AL29" s="3628"/>
      <c r="AM29" s="3628"/>
      <c r="AN29" s="3628"/>
      <c r="AO29" s="3628"/>
      <c r="AP29" s="3628"/>
      <c r="AQ29" s="3628"/>
      <c r="AR29" s="3628"/>
      <c r="AS29" s="3628"/>
    </row>
    <row r="30" spans="1:45">
      <c r="A30" s="3737" t="s">
        <v>3302</v>
      </c>
      <c r="B30" s="3628"/>
      <c r="C30" s="3796"/>
      <c r="D30" s="3628"/>
      <c r="E30" s="3628"/>
      <c r="F30" s="3628"/>
      <c r="G30" s="3628"/>
      <c r="H30" s="3628"/>
      <c r="I30" s="3628"/>
      <c r="J30" s="3628"/>
      <c r="K30" s="3628"/>
      <c r="L30" s="3628"/>
      <c r="M30" s="3628"/>
      <c r="N30" s="3628"/>
      <c r="O30" s="3628"/>
      <c r="P30" s="3628"/>
      <c r="Q30" s="3628"/>
      <c r="R30" s="3628"/>
      <c r="S30" s="3628"/>
      <c r="T30" s="3628"/>
      <c r="U30" s="3628"/>
      <c r="V30" s="3628"/>
      <c r="W30" s="3628"/>
      <c r="X30" s="3628"/>
      <c r="Y30" s="3628"/>
      <c r="Z30" s="3628"/>
      <c r="AA30" s="3628"/>
      <c r="AB30" s="3628"/>
      <c r="AC30" s="3628"/>
      <c r="AD30" s="3628"/>
      <c r="AE30" s="3628"/>
      <c r="AF30" s="3628"/>
      <c r="AG30" s="3628"/>
      <c r="AH30" s="3628"/>
      <c r="AI30" s="3628"/>
      <c r="AJ30" s="3628"/>
      <c r="AK30" s="3628"/>
      <c r="AL30" s="3628"/>
      <c r="AM30" s="3628"/>
      <c r="AN30" s="3628"/>
      <c r="AO30" s="3628"/>
      <c r="AP30" s="3628"/>
      <c r="AQ30" s="3628"/>
      <c r="AR30" s="3628"/>
      <c r="AS30" s="3628"/>
    </row>
    <row r="31" spans="1:45">
      <c r="A31" s="3722"/>
      <c r="B31" s="3628"/>
      <c r="C31" s="3797">
        <f>SUM(C5:C7,C10:C25)</f>
        <v>-5658676</v>
      </c>
      <c r="D31" s="3844"/>
      <c r="E31" s="3844"/>
      <c r="F31" s="3628"/>
      <c r="G31" s="3628"/>
      <c r="H31" s="3628"/>
      <c r="I31" s="3628"/>
      <c r="J31" s="3628"/>
      <c r="K31" s="3628"/>
      <c r="L31" s="3628"/>
      <c r="M31" s="3628"/>
      <c r="N31" s="3628"/>
      <c r="O31" s="3628"/>
      <c r="P31" s="3628"/>
      <c r="Q31" s="3628"/>
      <c r="R31" s="3628"/>
      <c r="S31" s="3628"/>
      <c r="T31" s="3628"/>
      <c r="U31" s="3628"/>
      <c r="V31" s="3628"/>
      <c r="W31" s="3628"/>
      <c r="X31" s="3628"/>
      <c r="Y31" s="3628"/>
      <c r="Z31" s="3628"/>
      <c r="AA31" s="3628"/>
      <c r="AB31" s="3628"/>
      <c r="AC31" s="3628"/>
      <c r="AD31" s="3628"/>
      <c r="AE31" s="3628"/>
      <c r="AF31" s="3628"/>
      <c r="AG31" s="3628"/>
      <c r="AH31" s="3628"/>
      <c r="AI31" s="3628"/>
      <c r="AJ31" s="3628"/>
      <c r="AK31" s="3628"/>
      <c r="AL31" s="3628"/>
      <c r="AM31" s="3628"/>
      <c r="AN31" s="3628"/>
      <c r="AO31" s="3628"/>
      <c r="AP31" s="3628"/>
      <c r="AQ31" s="3628"/>
      <c r="AR31" s="3628"/>
      <c r="AS31" s="3628"/>
    </row>
    <row r="32" spans="1:45">
      <c r="A32" s="3722"/>
      <c r="B32" s="3628"/>
      <c r="C32" s="3797">
        <f>C31-C28</f>
        <v>0</v>
      </c>
      <c r="D32" s="3628"/>
      <c r="E32" s="3628"/>
      <c r="F32" s="3628"/>
      <c r="G32" s="3628"/>
      <c r="H32" s="3628"/>
      <c r="I32" s="3628"/>
      <c r="J32" s="3628"/>
      <c r="K32" s="3628"/>
      <c r="L32" s="3628"/>
      <c r="M32" s="3628"/>
      <c r="N32" s="3628"/>
      <c r="O32" s="3628"/>
      <c r="P32" s="3628"/>
      <c r="Q32" s="3628"/>
      <c r="R32" s="3628"/>
      <c r="S32" s="3628"/>
      <c r="T32" s="3628"/>
      <c r="U32" s="3628"/>
      <c r="V32" s="3628"/>
      <c r="W32" s="3628"/>
      <c r="X32" s="3628"/>
      <c r="Y32" s="3628"/>
      <c r="Z32" s="3628"/>
      <c r="AA32" s="3628"/>
      <c r="AB32" s="3628"/>
      <c r="AC32" s="3628"/>
      <c r="AD32" s="3628"/>
      <c r="AE32" s="3628"/>
      <c r="AF32" s="3628"/>
      <c r="AG32" s="3628"/>
      <c r="AH32" s="3628"/>
      <c r="AI32" s="3628"/>
      <c r="AJ32" s="3628"/>
      <c r="AK32" s="3628"/>
      <c r="AL32" s="3628"/>
      <c r="AM32" s="3628"/>
      <c r="AN32" s="3628"/>
      <c r="AO32" s="3628"/>
      <c r="AP32" s="3628"/>
      <c r="AQ32" s="3628"/>
      <c r="AR32" s="3628"/>
      <c r="AS32" s="3628"/>
    </row>
    <row r="33" spans="1:45">
      <c r="A33" s="3722"/>
      <c r="B33" s="3628"/>
      <c r="C33" s="3797" t="e">
        <f>#REF!='Overrun Summary'!C28</f>
        <v>#REF!</v>
      </c>
      <c r="D33" s="3628"/>
      <c r="E33" s="3628"/>
      <c r="F33" s="3628"/>
      <c r="G33" s="3628"/>
      <c r="H33" s="3628"/>
      <c r="I33" s="3628"/>
      <c r="J33" s="3628"/>
      <c r="K33" s="3628"/>
      <c r="L33" s="3628"/>
      <c r="M33" s="3628"/>
      <c r="N33" s="3628"/>
      <c r="O33" s="3628"/>
      <c r="P33" s="3628"/>
      <c r="Q33" s="3628"/>
      <c r="R33" s="3628"/>
      <c r="S33" s="3628"/>
      <c r="T33" s="3628"/>
      <c r="U33" s="3628"/>
      <c r="V33" s="3628"/>
      <c r="W33" s="3628"/>
      <c r="X33" s="3628"/>
      <c r="Y33" s="3628"/>
      <c r="Z33" s="3628"/>
      <c r="AA33" s="3628"/>
      <c r="AB33" s="3628"/>
      <c r="AC33" s="3628"/>
      <c r="AD33" s="3628"/>
      <c r="AE33" s="3628"/>
      <c r="AF33" s="3628"/>
      <c r="AG33" s="3628"/>
      <c r="AH33" s="3628"/>
      <c r="AI33" s="3628"/>
      <c r="AJ33" s="3628"/>
      <c r="AK33" s="3628"/>
      <c r="AL33" s="3628"/>
      <c r="AM33" s="3628"/>
      <c r="AN33" s="3628"/>
      <c r="AO33" s="3628"/>
      <c r="AP33" s="3628"/>
      <c r="AQ33" s="3628"/>
      <c r="AR33" s="3628"/>
      <c r="AS33" s="3628"/>
    </row>
    <row r="34" spans="1:45">
      <c r="A34" s="3722"/>
      <c r="B34" s="3628"/>
      <c r="C34" s="3796"/>
      <c r="D34" s="3628"/>
      <c r="E34" s="3628"/>
      <c r="F34" s="3628"/>
      <c r="G34" s="3628"/>
      <c r="H34" s="3628"/>
      <c r="I34" s="3628"/>
      <c r="J34" s="3628"/>
      <c r="K34" s="3628"/>
      <c r="L34" s="3628"/>
      <c r="M34" s="3628"/>
      <c r="N34" s="3628"/>
      <c r="O34" s="3628"/>
      <c r="P34" s="3628"/>
      <c r="Q34" s="3628"/>
      <c r="R34" s="3628"/>
      <c r="S34" s="3628"/>
      <c r="T34" s="3628"/>
      <c r="U34" s="3628"/>
      <c r="V34" s="3628"/>
      <c r="W34" s="3628"/>
      <c r="X34" s="3628"/>
      <c r="Y34" s="3628"/>
      <c r="Z34" s="3628"/>
      <c r="AA34" s="3628"/>
      <c r="AB34" s="3628"/>
      <c r="AC34" s="3628"/>
      <c r="AD34" s="3628"/>
      <c r="AE34" s="3628"/>
      <c r="AF34" s="3628"/>
      <c r="AG34" s="3628"/>
      <c r="AH34" s="3628"/>
      <c r="AI34" s="3628"/>
      <c r="AJ34" s="3628"/>
      <c r="AK34" s="3628"/>
      <c r="AL34" s="3628"/>
      <c r="AM34" s="3628"/>
      <c r="AN34" s="3628"/>
      <c r="AO34" s="3628"/>
      <c r="AP34" s="3628"/>
      <c r="AQ34" s="3628"/>
      <c r="AR34" s="3628"/>
      <c r="AS34" s="3628"/>
    </row>
    <row r="35" spans="1:45">
      <c r="A35" s="3722"/>
      <c r="B35" s="3628"/>
      <c r="C35" s="3796"/>
      <c r="D35" s="3628"/>
      <c r="E35" s="3628"/>
      <c r="F35" s="3628"/>
      <c r="G35" s="3628"/>
      <c r="H35" s="3628"/>
      <c r="I35" s="3628"/>
      <c r="J35" s="3628"/>
      <c r="K35" s="3628"/>
      <c r="L35" s="3628"/>
      <c r="M35" s="3628"/>
      <c r="N35" s="3628"/>
      <c r="O35" s="3628"/>
      <c r="P35" s="3628"/>
      <c r="Q35" s="3628"/>
      <c r="R35" s="3628"/>
      <c r="S35" s="3628"/>
      <c r="T35" s="3628"/>
      <c r="U35" s="3628"/>
      <c r="V35" s="3628"/>
      <c r="W35" s="3628"/>
      <c r="X35" s="3628"/>
      <c r="Y35" s="3628"/>
      <c r="Z35" s="3628"/>
      <c r="AA35" s="3628"/>
      <c r="AB35" s="3628"/>
      <c r="AC35" s="3628"/>
      <c r="AD35" s="3628"/>
      <c r="AE35" s="3628"/>
      <c r="AF35" s="3628"/>
      <c r="AG35" s="3628"/>
      <c r="AH35" s="3628"/>
      <c r="AI35" s="3628"/>
      <c r="AJ35" s="3628"/>
      <c r="AK35" s="3628"/>
      <c r="AL35" s="3628"/>
      <c r="AM35" s="3628"/>
      <c r="AN35" s="3628"/>
      <c r="AO35" s="3628"/>
      <c r="AP35" s="3628"/>
      <c r="AQ35" s="3628"/>
      <c r="AR35" s="3628"/>
      <c r="AS35" s="3628"/>
    </row>
    <row r="36" spans="1:45">
      <c r="A36" s="3722"/>
      <c r="B36" s="3628"/>
      <c r="C36" s="3835" t="e">
        <f>C31-#REF!</f>
        <v>#REF!</v>
      </c>
      <c r="D36" s="3628"/>
      <c r="E36" s="3628"/>
      <c r="F36" s="3628"/>
      <c r="G36" s="3628"/>
      <c r="H36" s="3628"/>
      <c r="I36" s="3628"/>
      <c r="J36" s="3628"/>
      <c r="K36" s="3628"/>
      <c r="L36" s="3628"/>
      <c r="M36" s="3628"/>
      <c r="N36" s="3628"/>
      <c r="O36" s="3628"/>
      <c r="P36" s="3628"/>
      <c r="Q36" s="3628"/>
      <c r="R36" s="3628"/>
      <c r="S36" s="3628"/>
      <c r="T36" s="3628"/>
      <c r="U36" s="3628"/>
      <c r="V36" s="3628"/>
      <c r="W36" s="3628"/>
      <c r="X36" s="3628"/>
      <c r="Y36" s="3628"/>
      <c r="Z36" s="3628"/>
      <c r="AA36" s="3628"/>
      <c r="AB36" s="3628"/>
      <c r="AC36" s="3628"/>
      <c r="AD36" s="3628"/>
      <c r="AE36" s="3628"/>
      <c r="AF36" s="3628"/>
      <c r="AG36" s="3628"/>
      <c r="AH36" s="3628"/>
      <c r="AI36" s="3628"/>
      <c r="AJ36" s="3628"/>
      <c r="AK36" s="3628"/>
      <c r="AL36" s="3628"/>
      <c r="AM36" s="3628"/>
      <c r="AN36" s="3628"/>
      <c r="AO36" s="3628"/>
      <c r="AP36" s="3628"/>
      <c r="AQ36" s="3628"/>
      <c r="AR36" s="3628"/>
      <c r="AS36" s="3628"/>
    </row>
    <row r="37" spans="1:45">
      <c r="A37" s="3722"/>
      <c r="B37" s="3628"/>
      <c r="C37" s="3796"/>
      <c r="D37" s="3628"/>
      <c r="E37" s="3628"/>
      <c r="F37" s="3628"/>
      <c r="G37" s="3628"/>
      <c r="H37" s="3628"/>
      <c r="I37" s="3628"/>
      <c r="J37" s="3628"/>
      <c r="K37" s="3628"/>
      <c r="L37" s="3628"/>
      <c r="M37" s="3628"/>
      <c r="N37" s="3628"/>
      <c r="O37" s="3628"/>
      <c r="P37" s="3628"/>
      <c r="Q37" s="3628"/>
      <c r="R37" s="3628"/>
      <c r="S37" s="3628"/>
      <c r="T37" s="3628"/>
      <c r="U37" s="3628"/>
      <c r="V37" s="3628"/>
      <c r="W37" s="3628"/>
      <c r="X37" s="3628"/>
      <c r="Y37" s="3628"/>
      <c r="Z37" s="3628"/>
      <c r="AA37" s="3628"/>
      <c r="AB37" s="3628"/>
      <c r="AC37" s="3628"/>
      <c r="AD37" s="3628"/>
      <c r="AE37" s="3628"/>
      <c r="AF37" s="3628"/>
      <c r="AG37" s="3628"/>
      <c r="AH37" s="3628"/>
      <c r="AI37" s="3628"/>
      <c r="AJ37" s="3628"/>
      <c r="AK37" s="3628"/>
      <c r="AL37" s="3628"/>
      <c r="AM37" s="3628"/>
      <c r="AN37" s="3628"/>
      <c r="AO37" s="3628"/>
      <c r="AP37" s="3628"/>
      <c r="AQ37" s="3628"/>
      <c r="AR37" s="3628"/>
      <c r="AS37" s="3628"/>
    </row>
    <row r="38" spans="1:45">
      <c r="A38" s="3722"/>
      <c r="B38" s="3628"/>
      <c r="C38" s="3796"/>
      <c r="D38" s="3628"/>
      <c r="E38" s="3628"/>
      <c r="F38" s="3628"/>
      <c r="G38" s="3628"/>
      <c r="H38" s="3628"/>
      <c r="I38" s="3628"/>
      <c r="J38" s="3628"/>
      <c r="K38" s="3628"/>
      <c r="L38" s="3628"/>
      <c r="M38" s="3628"/>
      <c r="N38" s="3628"/>
      <c r="O38" s="3628"/>
      <c r="P38" s="3628"/>
      <c r="Q38" s="3628"/>
      <c r="R38" s="3628"/>
      <c r="S38" s="3628"/>
      <c r="T38" s="3628"/>
      <c r="U38" s="3628"/>
      <c r="V38" s="3628"/>
      <c r="W38" s="3628"/>
      <c r="X38" s="3628"/>
      <c r="Y38" s="3628"/>
      <c r="Z38" s="3628"/>
      <c r="AA38" s="3628"/>
      <c r="AB38" s="3628"/>
      <c r="AC38" s="3628"/>
      <c r="AD38" s="3628"/>
      <c r="AE38" s="3628"/>
      <c r="AF38" s="3628"/>
      <c r="AG38" s="3628"/>
      <c r="AH38" s="3628"/>
      <c r="AI38" s="3628"/>
      <c r="AJ38" s="3628"/>
      <c r="AK38" s="3628"/>
      <c r="AL38" s="3628"/>
      <c r="AM38" s="3628"/>
      <c r="AN38" s="3628"/>
      <c r="AO38" s="3628"/>
      <c r="AP38" s="3628"/>
      <c r="AQ38" s="3628"/>
      <c r="AR38" s="3628"/>
      <c r="AS38" s="3628"/>
    </row>
    <row r="39" spans="1:45">
      <c r="A39" s="3722"/>
      <c r="B39" s="3628"/>
      <c r="C39" s="3796"/>
      <c r="D39" s="3628"/>
      <c r="E39" s="3628"/>
      <c r="F39" s="3628"/>
      <c r="G39" s="3628"/>
      <c r="H39" s="3628"/>
      <c r="I39" s="3628"/>
      <c r="J39" s="3628"/>
      <c r="K39" s="3628"/>
      <c r="L39" s="3628"/>
      <c r="M39" s="3628"/>
      <c r="N39" s="3628"/>
      <c r="O39" s="3628"/>
      <c r="P39" s="3628"/>
      <c r="Q39" s="3628"/>
      <c r="R39" s="3628"/>
      <c r="S39" s="3628"/>
      <c r="T39" s="3628"/>
      <c r="U39" s="3628"/>
      <c r="V39" s="3628"/>
      <c r="W39" s="3628"/>
      <c r="X39" s="3628"/>
      <c r="Y39" s="3628"/>
      <c r="Z39" s="3628"/>
      <c r="AA39" s="3628"/>
      <c r="AB39" s="3628"/>
      <c r="AC39" s="3628"/>
      <c r="AD39" s="3628"/>
      <c r="AE39" s="3628"/>
      <c r="AF39" s="3628"/>
      <c r="AG39" s="3628"/>
      <c r="AH39" s="3628"/>
      <c r="AI39" s="3628"/>
      <c r="AJ39" s="3628"/>
      <c r="AK39" s="3628"/>
      <c r="AL39" s="3628"/>
      <c r="AM39" s="3628"/>
      <c r="AN39" s="3628"/>
      <c r="AO39" s="3628"/>
      <c r="AP39" s="3628"/>
      <c r="AQ39" s="3628"/>
      <c r="AR39" s="3628"/>
      <c r="AS39" s="3628"/>
    </row>
    <row r="40" spans="1:45">
      <c r="A40" s="3722"/>
      <c r="B40" s="3628"/>
      <c r="C40" s="3796"/>
      <c r="D40" s="3628"/>
      <c r="E40" s="3628"/>
      <c r="F40" s="3628"/>
      <c r="G40" s="3628"/>
      <c r="H40" s="3628"/>
      <c r="I40" s="3628"/>
      <c r="J40" s="3628"/>
      <c r="K40" s="3628"/>
      <c r="L40" s="3628"/>
      <c r="M40" s="3628"/>
      <c r="N40" s="3628"/>
      <c r="O40" s="3628"/>
      <c r="P40" s="3628"/>
      <c r="Q40" s="3628"/>
      <c r="R40" s="3628"/>
      <c r="S40" s="3628"/>
      <c r="T40" s="3628"/>
      <c r="U40" s="3628"/>
      <c r="V40" s="3628"/>
      <c r="W40" s="3628"/>
      <c r="X40" s="3628"/>
      <c r="Y40" s="3628"/>
      <c r="Z40" s="3628"/>
      <c r="AA40" s="3628"/>
      <c r="AB40" s="3628"/>
      <c r="AC40" s="3628"/>
      <c r="AD40" s="3628"/>
      <c r="AE40" s="3628"/>
      <c r="AF40" s="3628"/>
      <c r="AG40" s="3628"/>
      <c r="AH40" s="3628"/>
      <c r="AI40" s="3628"/>
      <c r="AJ40" s="3628"/>
      <c r="AK40" s="3628"/>
      <c r="AL40" s="3628"/>
      <c r="AM40" s="3628"/>
      <c r="AN40" s="3628"/>
      <c r="AO40" s="3628"/>
      <c r="AP40" s="3628"/>
      <c r="AQ40" s="3628"/>
      <c r="AR40" s="3628"/>
      <c r="AS40" s="3628"/>
    </row>
    <row r="41" spans="1:45">
      <c r="A41" s="3722"/>
      <c r="B41" s="3628"/>
      <c r="C41" s="3796"/>
      <c r="D41" s="3628"/>
      <c r="E41" s="3628"/>
      <c r="F41" s="3628"/>
      <c r="G41" s="3628"/>
      <c r="H41" s="3628"/>
      <c r="I41" s="3628"/>
      <c r="J41" s="3628"/>
      <c r="K41" s="3628"/>
      <c r="L41" s="3628"/>
      <c r="M41" s="3628"/>
      <c r="N41" s="3628"/>
      <c r="O41" s="3628"/>
      <c r="P41" s="3628"/>
      <c r="Q41" s="3628"/>
      <c r="R41" s="3628"/>
      <c r="S41" s="3628"/>
      <c r="T41" s="3628"/>
      <c r="U41" s="3628"/>
      <c r="V41" s="3628"/>
      <c r="W41" s="3628"/>
      <c r="X41" s="3628"/>
      <c r="Y41" s="3628"/>
      <c r="Z41" s="3628"/>
      <c r="AA41" s="3628"/>
      <c r="AB41" s="3628"/>
      <c r="AC41" s="3628"/>
      <c r="AD41" s="3628"/>
      <c r="AE41" s="3628"/>
      <c r="AF41" s="3628"/>
      <c r="AG41" s="3628"/>
      <c r="AH41" s="3628"/>
      <c r="AI41" s="3628"/>
      <c r="AJ41" s="3628"/>
      <c r="AK41" s="3628"/>
      <c r="AL41" s="3628"/>
      <c r="AM41" s="3628"/>
      <c r="AN41" s="3628"/>
      <c r="AO41" s="3628"/>
      <c r="AP41" s="3628"/>
      <c r="AQ41" s="3628"/>
      <c r="AR41" s="3628"/>
      <c r="AS41" s="3628"/>
    </row>
    <row r="42" spans="1:45">
      <c r="A42" s="3722"/>
      <c r="B42" s="3628"/>
      <c r="C42" s="3796"/>
      <c r="D42" s="3628"/>
      <c r="E42" s="3628"/>
      <c r="F42" s="3628"/>
      <c r="G42" s="3628"/>
      <c r="H42" s="3628"/>
      <c r="I42" s="3628"/>
      <c r="J42" s="3628"/>
      <c r="K42" s="3628"/>
      <c r="L42" s="3628"/>
      <c r="M42" s="3628"/>
      <c r="N42" s="3628"/>
      <c r="O42" s="3628"/>
      <c r="P42" s="3628"/>
      <c r="Q42" s="3628"/>
      <c r="R42" s="3628"/>
      <c r="S42" s="3628"/>
      <c r="T42" s="3628"/>
      <c r="U42" s="3628"/>
      <c r="V42" s="3628"/>
      <c r="W42" s="3628"/>
      <c r="X42" s="3628"/>
      <c r="Y42" s="3628"/>
      <c r="Z42" s="3628"/>
      <c r="AA42" s="3628"/>
      <c r="AB42" s="3628"/>
      <c r="AC42" s="3628"/>
      <c r="AD42" s="3628"/>
      <c r="AE42" s="3628"/>
      <c r="AF42" s="3628"/>
      <c r="AG42" s="3628"/>
      <c r="AH42" s="3628"/>
      <c r="AI42" s="3628"/>
      <c r="AJ42" s="3628"/>
      <c r="AK42" s="3628"/>
      <c r="AL42" s="3628"/>
      <c r="AM42" s="3628"/>
      <c r="AN42" s="3628"/>
      <c r="AO42" s="3628"/>
      <c r="AP42" s="3628"/>
      <c r="AQ42" s="3628"/>
      <c r="AR42" s="3628"/>
      <c r="AS42" s="3628"/>
    </row>
    <row r="43" spans="1:45">
      <c r="A43" s="3722"/>
      <c r="B43" s="3628"/>
      <c r="C43" s="3796"/>
      <c r="D43" s="3628"/>
      <c r="E43" s="3628"/>
      <c r="F43" s="3628"/>
      <c r="G43" s="3628"/>
      <c r="H43" s="3628"/>
      <c r="I43" s="3628"/>
      <c r="J43" s="3628"/>
      <c r="K43" s="3628"/>
      <c r="L43" s="3628"/>
      <c r="M43" s="3628"/>
      <c r="N43" s="3628"/>
      <c r="O43" s="3628"/>
      <c r="P43" s="3628"/>
      <c r="Q43" s="3628"/>
      <c r="R43" s="3628"/>
      <c r="S43" s="3628"/>
      <c r="T43" s="3628"/>
      <c r="U43" s="3628"/>
      <c r="V43" s="3628"/>
      <c r="W43" s="3628"/>
      <c r="X43" s="3628"/>
      <c r="Y43" s="3628"/>
      <c r="Z43" s="3628"/>
      <c r="AA43" s="3628"/>
      <c r="AB43" s="3628"/>
      <c r="AC43" s="3628"/>
      <c r="AD43" s="3628"/>
      <c r="AE43" s="3628"/>
      <c r="AF43" s="3628"/>
      <c r="AG43" s="3628"/>
      <c r="AH43" s="3628"/>
      <c r="AI43" s="3628"/>
      <c r="AJ43" s="3628"/>
      <c r="AK43" s="3628"/>
      <c r="AL43" s="3628"/>
      <c r="AM43" s="3628"/>
      <c r="AN43" s="3628"/>
      <c r="AO43" s="3628"/>
      <c r="AP43" s="3628"/>
      <c r="AQ43" s="3628"/>
      <c r="AR43" s="3628"/>
      <c r="AS43" s="3628"/>
    </row>
    <row r="44" spans="1:45">
      <c r="A44" s="3722"/>
      <c r="B44" s="3628"/>
      <c r="C44" s="3796"/>
      <c r="D44" s="3628"/>
      <c r="E44" s="3628"/>
      <c r="F44" s="3628"/>
      <c r="G44" s="3628"/>
      <c r="H44" s="3628"/>
      <c r="I44" s="3628"/>
      <c r="J44" s="3628"/>
      <c r="K44" s="3628"/>
      <c r="L44" s="3628"/>
      <c r="M44" s="3628"/>
      <c r="N44" s="3628"/>
      <c r="O44" s="3628"/>
      <c r="P44" s="3628"/>
      <c r="Q44" s="3628"/>
      <c r="R44" s="3628"/>
      <c r="S44" s="3628"/>
      <c r="T44" s="3628"/>
      <c r="U44" s="3628"/>
      <c r="V44" s="3628"/>
      <c r="W44" s="3628"/>
      <c r="X44" s="3628"/>
      <c r="Y44" s="3628"/>
      <c r="Z44" s="3628"/>
      <c r="AA44" s="3628"/>
      <c r="AB44" s="3628"/>
      <c r="AC44" s="3628"/>
      <c r="AD44" s="3628"/>
      <c r="AE44" s="3628"/>
      <c r="AF44" s="3628"/>
      <c r="AG44" s="3628"/>
      <c r="AH44" s="3628"/>
      <c r="AI44" s="3628"/>
      <c r="AJ44" s="3628"/>
      <c r="AK44" s="3628"/>
      <c r="AL44" s="3628"/>
      <c r="AM44" s="3628"/>
      <c r="AN44" s="3628"/>
      <c r="AO44" s="3628"/>
      <c r="AP44" s="3628"/>
      <c r="AQ44" s="3628"/>
      <c r="AR44" s="3628"/>
      <c r="AS44" s="3628"/>
    </row>
    <row r="45" spans="1:45">
      <c r="A45" s="3722"/>
      <c r="B45" s="3628"/>
      <c r="C45" s="3796"/>
      <c r="D45" s="3628"/>
      <c r="E45" s="3628"/>
      <c r="F45" s="3628"/>
      <c r="G45" s="3628"/>
      <c r="H45" s="3628"/>
      <c r="I45" s="3628"/>
      <c r="J45" s="3628"/>
      <c r="K45" s="3628"/>
      <c r="L45" s="3628"/>
      <c r="M45" s="3628"/>
      <c r="N45" s="3628"/>
      <c r="O45" s="3628"/>
      <c r="P45" s="3628"/>
      <c r="Q45" s="3628"/>
      <c r="R45" s="3628"/>
      <c r="S45" s="3628"/>
      <c r="T45" s="3628"/>
      <c r="U45" s="3628"/>
      <c r="V45" s="3628"/>
      <c r="W45" s="3628"/>
      <c r="X45" s="3628"/>
      <c r="Y45" s="3628"/>
      <c r="Z45" s="3628"/>
      <c r="AA45" s="3628"/>
      <c r="AB45" s="3628"/>
      <c r="AC45" s="3628"/>
      <c r="AD45" s="3628"/>
      <c r="AE45" s="3628"/>
      <c r="AF45" s="3628"/>
      <c r="AG45" s="3628"/>
      <c r="AH45" s="3628"/>
      <c r="AI45" s="3628"/>
      <c r="AJ45" s="3628"/>
      <c r="AK45" s="3628"/>
      <c r="AL45" s="3628"/>
      <c r="AM45" s="3628"/>
      <c r="AN45" s="3628"/>
      <c r="AO45" s="3628"/>
      <c r="AP45" s="3628"/>
      <c r="AQ45" s="3628"/>
      <c r="AR45" s="3628"/>
      <c r="AS45" s="3628"/>
    </row>
    <row r="46" spans="1:45">
      <c r="A46" s="3722"/>
      <c r="B46" s="3628"/>
      <c r="C46" s="3796"/>
      <c r="D46" s="3628"/>
      <c r="E46" s="3628"/>
      <c r="F46" s="3628"/>
      <c r="G46" s="3628"/>
      <c r="H46" s="3628"/>
      <c r="I46" s="3628"/>
      <c r="J46" s="3628"/>
      <c r="K46" s="3628"/>
      <c r="L46" s="3628"/>
      <c r="M46" s="3628"/>
      <c r="N46" s="3628"/>
      <c r="O46" s="3628"/>
      <c r="P46" s="3628"/>
      <c r="Q46" s="3628"/>
      <c r="R46" s="3628"/>
      <c r="S46" s="3628"/>
      <c r="T46" s="3628"/>
      <c r="U46" s="3628"/>
      <c r="V46" s="3628"/>
      <c r="W46" s="3628"/>
      <c r="X46" s="3628"/>
      <c r="Y46" s="3628"/>
      <c r="Z46" s="3628"/>
      <c r="AA46" s="3628"/>
      <c r="AB46" s="3628"/>
      <c r="AC46" s="3628"/>
      <c r="AD46" s="3628"/>
      <c r="AE46" s="3628"/>
      <c r="AF46" s="3628"/>
      <c r="AG46" s="3628"/>
      <c r="AH46" s="3628"/>
      <c r="AI46" s="3628"/>
      <c r="AJ46" s="3628"/>
      <c r="AK46" s="3628"/>
      <c r="AL46" s="3628"/>
      <c r="AM46" s="3628"/>
      <c r="AN46" s="3628"/>
      <c r="AO46" s="3628"/>
      <c r="AP46" s="3628"/>
      <c r="AQ46" s="3628"/>
      <c r="AR46" s="3628"/>
      <c r="AS46" s="3628"/>
    </row>
    <row r="47" spans="1:45">
      <c r="A47" s="3722"/>
      <c r="B47" s="3628"/>
      <c r="C47" s="3796"/>
      <c r="D47" s="3628"/>
      <c r="E47" s="3628"/>
      <c r="F47" s="3628"/>
      <c r="G47" s="3628"/>
      <c r="H47" s="3628"/>
      <c r="I47" s="3628"/>
      <c r="J47" s="3628"/>
      <c r="K47" s="3628"/>
      <c r="L47" s="3628"/>
      <c r="M47" s="3628"/>
      <c r="N47" s="3628"/>
      <c r="O47" s="3628"/>
      <c r="P47" s="3628"/>
      <c r="Q47" s="3628"/>
      <c r="R47" s="3628"/>
      <c r="S47" s="3628"/>
      <c r="T47" s="3628"/>
      <c r="U47" s="3628"/>
      <c r="V47" s="3628"/>
      <c r="W47" s="3628"/>
      <c r="X47" s="3628"/>
      <c r="Y47" s="3628"/>
      <c r="Z47" s="3628"/>
      <c r="AA47" s="3628"/>
      <c r="AB47" s="3628"/>
      <c r="AC47" s="3628"/>
      <c r="AD47" s="3628"/>
      <c r="AE47" s="3628"/>
      <c r="AF47" s="3628"/>
      <c r="AG47" s="3628"/>
      <c r="AH47" s="3628"/>
      <c r="AI47" s="3628"/>
      <c r="AJ47" s="3628"/>
      <c r="AK47" s="3628"/>
      <c r="AL47" s="3628"/>
      <c r="AM47" s="3628"/>
      <c r="AN47" s="3628"/>
      <c r="AO47" s="3628"/>
      <c r="AP47" s="3628"/>
      <c r="AQ47" s="3628"/>
      <c r="AR47" s="3628"/>
      <c r="AS47" s="3628"/>
    </row>
    <row r="48" spans="1:45">
      <c r="A48" s="3722"/>
      <c r="B48" s="3628"/>
      <c r="C48" s="3796"/>
      <c r="D48" s="3628"/>
      <c r="E48" s="3628"/>
      <c r="F48" s="3628"/>
      <c r="G48" s="3628"/>
      <c r="H48" s="3628"/>
      <c r="I48" s="3628"/>
      <c r="J48" s="3628"/>
      <c r="K48" s="3628"/>
      <c r="L48" s="3628"/>
      <c r="M48" s="3628"/>
      <c r="N48" s="3628"/>
      <c r="O48" s="3628"/>
      <c r="P48" s="3628"/>
      <c r="Q48" s="3628"/>
      <c r="R48" s="3628"/>
      <c r="S48" s="3628"/>
      <c r="T48" s="3628"/>
      <c r="U48" s="3628"/>
      <c r="V48" s="3628"/>
      <c r="W48" s="3628"/>
      <c r="X48" s="3628"/>
      <c r="Y48" s="3628"/>
      <c r="Z48" s="3628"/>
      <c r="AA48" s="3628"/>
      <c r="AB48" s="3628"/>
      <c r="AC48" s="3628"/>
      <c r="AD48" s="3628"/>
      <c r="AE48" s="3628"/>
      <c r="AF48" s="3628"/>
      <c r="AG48" s="3628"/>
      <c r="AH48" s="3628"/>
      <c r="AI48" s="3628"/>
      <c r="AJ48" s="3628"/>
      <c r="AK48" s="3628"/>
      <c r="AL48" s="3628"/>
      <c r="AM48" s="3628"/>
      <c r="AN48" s="3628"/>
      <c r="AO48" s="3628"/>
      <c r="AP48" s="3628"/>
      <c r="AQ48" s="3628"/>
      <c r="AR48" s="3628"/>
      <c r="AS48" s="3628"/>
    </row>
    <row r="49" spans="1:45">
      <c r="A49" s="3722"/>
      <c r="B49" s="3628"/>
      <c r="C49" s="3796"/>
      <c r="D49" s="3628"/>
      <c r="E49" s="3628"/>
      <c r="F49" s="3628"/>
      <c r="G49" s="3628"/>
      <c r="H49" s="3628"/>
      <c r="I49" s="3628"/>
      <c r="J49" s="3628"/>
      <c r="K49" s="3628"/>
      <c r="L49" s="3628"/>
      <c r="M49" s="3628"/>
      <c r="N49" s="3628"/>
      <c r="O49" s="3628"/>
      <c r="P49" s="3628"/>
      <c r="Q49" s="3628"/>
      <c r="R49" s="3628"/>
      <c r="S49" s="3628"/>
      <c r="T49" s="3628"/>
      <c r="U49" s="3628"/>
      <c r="V49" s="3628"/>
      <c r="W49" s="3628"/>
      <c r="X49" s="3628"/>
      <c r="Y49" s="3628"/>
      <c r="Z49" s="3628"/>
      <c r="AA49" s="3628"/>
      <c r="AB49" s="3628"/>
      <c r="AC49" s="3628"/>
      <c r="AD49" s="3628"/>
      <c r="AE49" s="3628"/>
      <c r="AF49" s="3628"/>
      <c r="AG49" s="3628"/>
      <c r="AH49" s="3628"/>
      <c r="AI49" s="3628"/>
      <c r="AJ49" s="3628"/>
      <c r="AK49" s="3628"/>
      <c r="AL49" s="3628"/>
      <c r="AM49" s="3628"/>
      <c r="AN49" s="3628"/>
      <c r="AO49" s="3628"/>
      <c r="AP49" s="3628"/>
      <c r="AQ49" s="3628"/>
      <c r="AR49" s="3628"/>
      <c r="AS49" s="3628"/>
    </row>
    <row r="50" spans="1:45">
      <c r="A50" s="3722"/>
      <c r="B50" s="3628"/>
      <c r="C50" s="3796"/>
      <c r="D50" s="3628"/>
      <c r="E50" s="3628"/>
      <c r="F50" s="3628"/>
      <c r="G50" s="3628"/>
      <c r="H50" s="3628"/>
      <c r="I50" s="3628"/>
      <c r="J50" s="3628"/>
      <c r="K50" s="3628"/>
      <c r="L50" s="3628"/>
      <c r="M50" s="3628"/>
      <c r="N50" s="3628"/>
      <c r="O50" s="3628"/>
      <c r="P50" s="3628"/>
      <c r="Q50" s="3628"/>
      <c r="R50" s="3628"/>
      <c r="S50" s="3628"/>
      <c r="T50" s="3628"/>
      <c r="U50" s="3628"/>
      <c r="V50" s="3628"/>
      <c r="W50" s="3628"/>
      <c r="X50" s="3628"/>
      <c r="Y50" s="3628"/>
      <c r="Z50" s="3628"/>
      <c r="AA50" s="3628"/>
      <c r="AB50" s="3628"/>
      <c r="AC50" s="3628"/>
      <c r="AD50" s="3628"/>
      <c r="AE50" s="3628"/>
      <c r="AF50" s="3628"/>
      <c r="AG50" s="3628"/>
      <c r="AH50" s="3628"/>
      <c r="AI50" s="3628"/>
      <c r="AJ50" s="3628"/>
      <c r="AK50" s="3628"/>
      <c r="AL50" s="3628"/>
      <c r="AM50" s="3628"/>
      <c r="AN50" s="3628"/>
      <c r="AO50" s="3628"/>
      <c r="AP50" s="3628"/>
      <c r="AQ50" s="3628"/>
      <c r="AR50" s="3628"/>
      <c r="AS50" s="3628"/>
    </row>
    <row r="51" spans="1:45">
      <c r="A51" s="3722"/>
      <c r="B51" s="3628"/>
      <c r="C51" s="3796"/>
      <c r="D51" s="3628"/>
      <c r="E51" s="3628"/>
      <c r="F51" s="3628"/>
      <c r="G51" s="3628"/>
      <c r="H51" s="3628"/>
      <c r="I51" s="3628"/>
      <c r="J51" s="3628"/>
      <c r="K51" s="3628"/>
      <c r="L51" s="3628"/>
      <c r="M51" s="3628"/>
      <c r="N51" s="3628"/>
      <c r="O51" s="3628"/>
      <c r="P51" s="3628"/>
      <c r="Q51" s="3628"/>
      <c r="R51" s="3628"/>
      <c r="S51" s="3628"/>
      <c r="T51" s="3628"/>
      <c r="U51" s="3628"/>
      <c r="V51" s="3628"/>
      <c r="W51" s="3628"/>
      <c r="X51" s="3628"/>
      <c r="Y51" s="3628"/>
      <c r="Z51" s="3628"/>
      <c r="AA51" s="3628"/>
      <c r="AB51" s="3628"/>
      <c r="AC51" s="3628"/>
      <c r="AD51" s="3628"/>
      <c r="AE51" s="3628"/>
      <c r="AF51" s="3628"/>
      <c r="AG51" s="3628"/>
      <c r="AH51" s="3628"/>
      <c r="AI51" s="3628"/>
      <c r="AJ51" s="3628"/>
      <c r="AK51" s="3628"/>
      <c r="AL51" s="3628"/>
      <c r="AM51" s="3628"/>
      <c r="AN51" s="3628"/>
      <c r="AO51" s="3628"/>
      <c r="AP51" s="3628"/>
      <c r="AQ51" s="3628"/>
      <c r="AR51" s="3628"/>
      <c r="AS51" s="3628"/>
    </row>
    <row r="52" spans="1:45">
      <c r="A52" s="3722"/>
      <c r="B52" s="3628"/>
      <c r="C52" s="3796"/>
      <c r="D52" s="3628"/>
      <c r="E52" s="3628"/>
      <c r="F52" s="3628"/>
      <c r="G52" s="3628"/>
      <c r="H52" s="3628"/>
      <c r="I52" s="3628"/>
      <c r="J52" s="3628"/>
      <c r="K52" s="3628"/>
      <c r="L52" s="3628"/>
      <c r="M52" s="3628"/>
      <c r="N52" s="3628"/>
      <c r="O52" s="3628"/>
      <c r="P52" s="3628"/>
      <c r="Q52" s="3628"/>
      <c r="R52" s="3628"/>
      <c r="S52" s="3628"/>
      <c r="T52" s="3628"/>
      <c r="U52" s="3628"/>
      <c r="V52" s="3628"/>
      <c r="W52" s="3628"/>
      <c r="X52" s="3628"/>
      <c r="Y52" s="3628"/>
      <c r="Z52" s="3628"/>
      <c r="AA52" s="3628"/>
      <c r="AB52" s="3628"/>
      <c r="AC52" s="3628"/>
      <c r="AD52" s="3628"/>
      <c r="AE52" s="3628"/>
      <c r="AF52" s="3628"/>
      <c r="AG52" s="3628"/>
      <c r="AH52" s="3628"/>
      <c r="AI52" s="3628"/>
      <c r="AJ52" s="3628"/>
      <c r="AK52" s="3628"/>
      <c r="AL52" s="3628"/>
      <c r="AM52" s="3628"/>
      <c r="AN52" s="3628"/>
      <c r="AO52" s="3628"/>
      <c r="AP52" s="3628"/>
      <c r="AQ52" s="3628"/>
      <c r="AR52" s="3628"/>
      <c r="AS52" s="3628"/>
    </row>
    <row r="53" spans="1:45">
      <c r="A53" s="3722"/>
      <c r="B53" s="3628"/>
      <c r="C53" s="3796"/>
      <c r="D53" s="3628"/>
      <c r="E53" s="3628"/>
      <c r="F53" s="3628"/>
      <c r="G53" s="3628"/>
      <c r="H53" s="3628"/>
      <c r="I53" s="3628"/>
      <c r="J53" s="3628"/>
      <c r="K53" s="3628"/>
      <c r="L53" s="3628"/>
      <c r="M53" s="3628"/>
      <c r="N53" s="3628"/>
      <c r="O53" s="3628"/>
      <c r="P53" s="3628"/>
      <c r="Q53" s="3628"/>
      <c r="R53" s="3628"/>
      <c r="S53" s="3628"/>
      <c r="T53" s="3628"/>
      <c r="U53" s="3628"/>
      <c r="V53" s="3628"/>
      <c r="W53" s="3628"/>
      <c r="X53" s="3628"/>
      <c r="Y53" s="3628"/>
      <c r="Z53" s="3628"/>
      <c r="AA53" s="3628"/>
      <c r="AB53" s="3628"/>
      <c r="AC53" s="3628"/>
      <c r="AD53" s="3628"/>
      <c r="AE53" s="3628"/>
      <c r="AF53" s="3628"/>
      <c r="AG53" s="3628"/>
      <c r="AH53" s="3628"/>
      <c r="AI53" s="3628"/>
      <c r="AJ53" s="3628"/>
      <c r="AK53" s="3628"/>
      <c r="AL53" s="3628"/>
      <c r="AM53" s="3628"/>
      <c r="AN53" s="3628"/>
      <c r="AO53" s="3628"/>
      <c r="AP53" s="3628"/>
      <c r="AQ53" s="3628"/>
      <c r="AR53" s="3628"/>
      <c r="AS53" s="3628"/>
    </row>
    <row r="54" spans="1:45">
      <c r="A54" s="3722"/>
      <c r="B54" s="3628"/>
      <c r="C54" s="3796"/>
      <c r="D54" s="3628"/>
      <c r="E54" s="3628"/>
      <c r="F54" s="3628"/>
      <c r="G54" s="3628"/>
      <c r="H54" s="3628"/>
      <c r="I54" s="3628"/>
      <c r="J54" s="3628"/>
      <c r="K54" s="3628"/>
      <c r="L54" s="3628"/>
      <c r="M54" s="3628"/>
      <c r="N54" s="3628"/>
      <c r="O54" s="3628"/>
      <c r="P54" s="3628"/>
      <c r="Q54" s="3628"/>
      <c r="R54" s="3628"/>
      <c r="S54" s="3628"/>
      <c r="T54" s="3628"/>
      <c r="U54" s="3628"/>
      <c r="V54" s="3628"/>
      <c r="W54" s="3628"/>
      <c r="X54" s="3628"/>
      <c r="Y54" s="3628"/>
      <c r="Z54" s="3628"/>
      <c r="AA54" s="3628"/>
      <c r="AB54" s="3628"/>
      <c r="AC54" s="3628"/>
      <c r="AD54" s="3628"/>
      <c r="AE54" s="3628"/>
      <c r="AF54" s="3628"/>
      <c r="AG54" s="3628"/>
      <c r="AH54" s="3628"/>
      <c r="AI54" s="3628"/>
      <c r="AJ54" s="3628"/>
      <c r="AK54" s="3628"/>
      <c r="AL54" s="3628"/>
      <c r="AM54" s="3628"/>
      <c r="AN54" s="3628"/>
      <c r="AO54" s="3628"/>
      <c r="AP54" s="3628"/>
      <c r="AQ54" s="3628"/>
      <c r="AR54" s="3628"/>
      <c r="AS54" s="3628"/>
    </row>
    <row r="55" spans="1:45">
      <c r="A55" s="3722"/>
      <c r="B55" s="3628"/>
      <c r="C55" s="3796"/>
      <c r="D55" s="3628"/>
      <c r="E55" s="3628"/>
      <c r="F55" s="3628"/>
      <c r="G55" s="3628"/>
      <c r="H55" s="3628"/>
      <c r="I55" s="3628"/>
      <c r="J55" s="3628"/>
      <c r="K55" s="3628"/>
      <c r="L55" s="3628"/>
      <c r="M55" s="3628"/>
      <c r="N55" s="3628"/>
      <c r="O55" s="3628"/>
      <c r="P55" s="3628"/>
      <c r="Q55" s="3628"/>
      <c r="R55" s="3628"/>
      <c r="S55" s="3628"/>
      <c r="T55" s="3628"/>
      <c r="U55" s="3628"/>
      <c r="V55" s="3628"/>
      <c r="W55" s="3628"/>
      <c r="X55" s="3628"/>
      <c r="Y55" s="3628"/>
      <c r="Z55" s="3628"/>
      <c r="AA55" s="3628"/>
      <c r="AB55" s="3628"/>
      <c r="AC55" s="3628"/>
      <c r="AD55" s="3628"/>
      <c r="AE55" s="3628"/>
      <c r="AF55" s="3628"/>
      <c r="AG55" s="3628"/>
      <c r="AH55" s="3628"/>
      <c r="AI55" s="3628"/>
      <c r="AJ55" s="3628"/>
      <c r="AK55" s="3628"/>
      <c r="AL55" s="3628"/>
      <c r="AM55" s="3628"/>
      <c r="AN55" s="3628"/>
      <c r="AO55" s="3628"/>
      <c r="AP55" s="3628"/>
      <c r="AQ55" s="3628"/>
      <c r="AR55" s="3628"/>
      <c r="AS55" s="3628"/>
    </row>
    <row r="56" spans="1:45">
      <c r="A56" s="3722"/>
      <c r="B56" s="3628"/>
      <c r="C56" s="3796"/>
      <c r="D56" s="3628"/>
      <c r="E56" s="3628"/>
      <c r="F56" s="3628"/>
      <c r="G56" s="3628"/>
      <c r="H56" s="3628"/>
      <c r="I56" s="3628"/>
      <c r="J56" s="3628"/>
      <c r="K56" s="3628"/>
      <c r="L56" s="3628"/>
      <c r="M56" s="3628"/>
      <c r="N56" s="3628"/>
      <c r="O56" s="3628"/>
      <c r="P56" s="3628"/>
      <c r="Q56" s="3628"/>
      <c r="R56" s="3628"/>
      <c r="S56" s="3628"/>
      <c r="T56" s="3628"/>
      <c r="U56" s="3628"/>
      <c r="V56" s="3628"/>
      <c r="W56" s="3628"/>
      <c r="X56" s="3628"/>
      <c r="Y56" s="3628"/>
      <c r="Z56" s="3628"/>
      <c r="AA56" s="3628"/>
      <c r="AB56" s="3628"/>
      <c r="AC56" s="3628"/>
      <c r="AD56" s="3628"/>
      <c r="AE56" s="3628"/>
      <c r="AF56" s="3628"/>
      <c r="AG56" s="3628"/>
      <c r="AH56" s="3628"/>
      <c r="AI56" s="3628"/>
      <c r="AJ56" s="3628"/>
      <c r="AK56" s="3628"/>
      <c r="AL56" s="3628"/>
      <c r="AM56" s="3628"/>
      <c r="AN56" s="3628"/>
      <c r="AO56" s="3628"/>
      <c r="AP56" s="3628"/>
      <c r="AQ56" s="3628"/>
      <c r="AR56" s="3628"/>
      <c r="AS56" s="3628"/>
    </row>
    <row r="57" spans="1:45">
      <c r="A57" s="3722"/>
      <c r="B57" s="3628"/>
      <c r="C57" s="3796"/>
      <c r="D57" s="3628"/>
      <c r="E57" s="3628"/>
      <c r="F57" s="3628"/>
      <c r="G57" s="3628"/>
      <c r="H57" s="3628"/>
      <c r="I57" s="3628"/>
      <c r="J57" s="3628"/>
      <c r="K57" s="3628"/>
      <c r="L57" s="3628"/>
      <c r="M57" s="3628"/>
      <c r="N57" s="3628"/>
      <c r="O57" s="3628"/>
      <c r="P57" s="3628"/>
      <c r="Q57" s="3628"/>
      <c r="R57" s="3628"/>
      <c r="S57" s="3628"/>
      <c r="T57" s="3628"/>
      <c r="U57" s="3628"/>
      <c r="V57" s="3628"/>
      <c r="W57" s="3628"/>
      <c r="X57" s="3628"/>
      <c r="Y57" s="3628"/>
      <c r="Z57" s="3628"/>
      <c r="AA57" s="3628"/>
      <c r="AB57" s="3628"/>
      <c r="AC57" s="3628"/>
      <c r="AD57" s="3628"/>
      <c r="AE57" s="3628"/>
      <c r="AF57" s="3628"/>
      <c r="AG57" s="3628"/>
      <c r="AH57" s="3628"/>
      <c r="AI57" s="3628"/>
      <c r="AJ57" s="3628"/>
      <c r="AK57" s="3628"/>
      <c r="AL57" s="3628"/>
      <c r="AM57" s="3628"/>
      <c r="AN57" s="3628"/>
      <c r="AO57" s="3628"/>
      <c r="AP57" s="3628"/>
      <c r="AQ57" s="3628"/>
      <c r="AR57" s="3628"/>
      <c r="AS57" s="3628"/>
    </row>
    <row r="58" spans="1:45">
      <c r="A58" s="3722"/>
      <c r="B58" s="3628"/>
      <c r="C58" s="3796"/>
      <c r="D58" s="3628"/>
      <c r="E58" s="3628"/>
      <c r="F58" s="3628"/>
      <c r="G58" s="3628"/>
      <c r="H58" s="3628"/>
      <c r="I58" s="3628"/>
      <c r="J58" s="3628"/>
      <c r="K58" s="3628"/>
      <c r="L58" s="3628"/>
      <c r="M58" s="3628"/>
      <c r="N58" s="3628"/>
      <c r="O58" s="3628"/>
      <c r="P58" s="3628"/>
      <c r="Q58" s="3628"/>
      <c r="R58" s="3628"/>
      <c r="S58" s="3628"/>
      <c r="T58" s="3628"/>
      <c r="U58" s="3628"/>
      <c r="V58" s="3628"/>
      <c r="W58" s="3628"/>
      <c r="X58" s="3628"/>
      <c r="Y58" s="3628"/>
      <c r="Z58" s="3628"/>
      <c r="AA58" s="3628"/>
      <c r="AB58" s="3628"/>
      <c r="AC58" s="3628"/>
      <c r="AD58" s="3628"/>
      <c r="AE58" s="3628"/>
      <c r="AF58" s="3628"/>
      <c r="AG58" s="3628"/>
      <c r="AH58" s="3628"/>
      <c r="AI58" s="3628"/>
      <c r="AJ58" s="3628"/>
      <c r="AK58" s="3628"/>
      <c r="AL58" s="3628"/>
      <c r="AM58" s="3628"/>
      <c r="AN58" s="3628"/>
      <c r="AO58" s="3628"/>
      <c r="AP58" s="3628"/>
      <c r="AQ58" s="3628"/>
      <c r="AR58" s="3628"/>
      <c r="AS58" s="3628"/>
    </row>
    <row r="59" spans="1:45">
      <c r="A59" s="3722"/>
      <c r="B59" s="3628"/>
      <c r="C59" s="3796"/>
      <c r="D59" s="3628"/>
      <c r="E59" s="3628"/>
      <c r="F59" s="3628"/>
      <c r="G59" s="3628"/>
      <c r="H59" s="3628"/>
      <c r="I59" s="3628"/>
      <c r="J59" s="3628"/>
      <c r="K59" s="3628"/>
      <c r="L59" s="3628"/>
      <c r="M59" s="3628"/>
      <c r="N59" s="3628"/>
      <c r="O59" s="3628"/>
      <c r="P59" s="3628"/>
      <c r="Q59" s="3628"/>
      <c r="R59" s="3628"/>
      <c r="S59" s="3628"/>
      <c r="T59" s="3628"/>
      <c r="U59" s="3628"/>
      <c r="V59" s="3628"/>
      <c r="W59" s="3628"/>
      <c r="X59" s="3628"/>
      <c r="Y59" s="3628"/>
      <c r="Z59" s="3628"/>
      <c r="AA59" s="3628"/>
      <c r="AB59" s="3628"/>
      <c r="AC59" s="3628"/>
      <c r="AD59" s="3628"/>
      <c r="AE59" s="3628"/>
      <c r="AF59" s="3628"/>
      <c r="AG59" s="3628"/>
      <c r="AH59" s="3628"/>
      <c r="AI59" s="3628"/>
      <c r="AJ59" s="3628"/>
      <c r="AK59" s="3628"/>
      <c r="AL59" s="3628"/>
      <c r="AM59" s="3628"/>
      <c r="AN59" s="3628"/>
      <c r="AO59" s="3628"/>
      <c r="AP59" s="3628"/>
      <c r="AQ59" s="3628"/>
      <c r="AR59" s="3628"/>
      <c r="AS59" s="3628"/>
    </row>
    <row r="60" spans="1:45">
      <c r="A60" s="3722"/>
      <c r="B60" s="3628"/>
      <c r="C60" s="3796"/>
      <c r="D60" s="3628"/>
      <c r="E60" s="3628"/>
      <c r="F60" s="3628"/>
      <c r="G60" s="3628"/>
      <c r="H60" s="3628"/>
      <c r="I60" s="3628"/>
      <c r="J60" s="3628"/>
      <c r="K60" s="3628"/>
      <c r="L60" s="3628"/>
      <c r="M60" s="3628"/>
      <c r="N60" s="3628"/>
      <c r="O60" s="3628"/>
      <c r="P60" s="3628"/>
      <c r="Q60" s="3628"/>
      <c r="R60" s="3628"/>
      <c r="S60" s="3628"/>
      <c r="T60" s="3628"/>
      <c r="U60" s="3628"/>
      <c r="V60" s="3628"/>
      <c r="W60" s="3628"/>
      <c r="X60" s="3628"/>
      <c r="Y60" s="3628"/>
      <c r="Z60" s="3628"/>
      <c r="AA60" s="3628"/>
      <c r="AB60" s="3628"/>
      <c r="AC60" s="3628"/>
      <c r="AD60" s="3628"/>
      <c r="AE60" s="3628"/>
      <c r="AF60" s="3628"/>
      <c r="AG60" s="3628"/>
      <c r="AH60" s="3628"/>
      <c r="AI60" s="3628"/>
      <c r="AJ60" s="3628"/>
      <c r="AK60" s="3628"/>
      <c r="AL60" s="3628"/>
      <c r="AM60" s="3628"/>
      <c r="AN60" s="3628"/>
      <c r="AO60" s="3628"/>
      <c r="AP60" s="3628"/>
      <c r="AQ60" s="3628"/>
      <c r="AR60" s="3628"/>
      <c r="AS60" s="3628"/>
    </row>
    <row r="61" spans="1:45">
      <c r="A61" s="3722"/>
      <c r="B61" s="3628"/>
      <c r="C61" s="3796"/>
      <c r="D61" s="3628"/>
      <c r="E61" s="3628"/>
      <c r="F61" s="3628"/>
      <c r="G61" s="3628"/>
      <c r="H61" s="3628"/>
      <c r="I61" s="3628"/>
      <c r="J61" s="3628"/>
      <c r="K61" s="3628"/>
      <c r="L61" s="3628"/>
      <c r="M61" s="3628"/>
      <c r="N61" s="3628"/>
      <c r="O61" s="3628"/>
      <c r="P61" s="3628"/>
      <c r="Q61" s="3628"/>
      <c r="R61" s="3628"/>
      <c r="S61" s="3628"/>
      <c r="T61" s="3628"/>
      <c r="U61" s="3628"/>
      <c r="V61" s="3628"/>
      <c r="W61" s="3628"/>
      <c r="X61" s="3628"/>
      <c r="Y61" s="3628"/>
      <c r="Z61" s="3628"/>
      <c r="AA61" s="3628"/>
      <c r="AB61" s="3628"/>
      <c r="AC61" s="3628"/>
      <c r="AD61" s="3628"/>
      <c r="AE61" s="3628"/>
      <c r="AF61" s="3628"/>
      <c r="AG61" s="3628"/>
      <c r="AH61" s="3628"/>
      <c r="AI61" s="3628"/>
      <c r="AJ61" s="3628"/>
      <c r="AK61" s="3628"/>
      <c r="AL61" s="3628"/>
      <c r="AM61" s="3628"/>
      <c r="AN61" s="3628"/>
      <c r="AO61" s="3628"/>
      <c r="AP61" s="3628"/>
      <c r="AQ61" s="3628"/>
      <c r="AR61" s="3628"/>
      <c r="AS61" s="3628"/>
    </row>
    <row r="62" spans="1:45">
      <c r="A62" s="3722"/>
      <c r="B62" s="3628"/>
      <c r="C62" s="3796"/>
      <c r="D62" s="3628"/>
      <c r="E62" s="3628"/>
      <c r="F62" s="3628"/>
      <c r="G62" s="3628"/>
      <c r="H62" s="3628"/>
      <c r="I62" s="3628"/>
      <c r="J62" s="3628"/>
      <c r="K62" s="3628"/>
      <c r="L62" s="3628"/>
      <c r="M62" s="3628"/>
      <c r="N62" s="3628"/>
      <c r="O62" s="3628"/>
      <c r="P62" s="3628"/>
      <c r="Q62" s="3628"/>
      <c r="R62" s="3628"/>
      <c r="S62" s="3628"/>
      <c r="T62" s="3628"/>
      <c r="U62" s="3628"/>
      <c r="V62" s="3628"/>
      <c r="W62" s="3628"/>
      <c r="X62" s="3628"/>
      <c r="Y62" s="3628"/>
      <c r="Z62" s="3628"/>
      <c r="AA62" s="3628"/>
      <c r="AB62" s="3628"/>
      <c r="AC62" s="3628"/>
      <c r="AD62" s="3628"/>
      <c r="AE62" s="3628"/>
      <c r="AF62" s="3628"/>
      <c r="AG62" s="3628"/>
      <c r="AH62" s="3628"/>
      <c r="AI62" s="3628"/>
      <c r="AJ62" s="3628"/>
      <c r="AK62" s="3628"/>
      <c r="AL62" s="3628"/>
      <c r="AM62" s="3628"/>
      <c r="AN62" s="3628"/>
      <c r="AO62" s="3628"/>
      <c r="AP62" s="3628"/>
      <c r="AQ62" s="3628"/>
      <c r="AR62" s="3628"/>
      <c r="AS62" s="3628"/>
    </row>
    <row r="63" spans="1:45">
      <c r="A63" s="3722"/>
      <c r="B63" s="3628"/>
      <c r="C63" s="3796"/>
      <c r="D63" s="3628"/>
      <c r="E63" s="3628"/>
      <c r="F63" s="3628"/>
      <c r="G63" s="3628"/>
      <c r="H63" s="3628"/>
      <c r="I63" s="3628"/>
      <c r="J63" s="3628"/>
      <c r="K63" s="3628"/>
      <c r="L63" s="3628"/>
      <c r="M63" s="3628"/>
      <c r="N63" s="3628"/>
      <c r="O63" s="3628"/>
      <c r="P63" s="3628"/>
      <c r="Q63" s="3628"/>
      <c r="R63" s="3628"/>
      <c r="S63" s="3628"/>
      <c r="T63" s="3628"/>
      <c r="U63" s="3628"/>
      <c r="V63" s="3628"/>
      <c r="W63" s="3628"/>
      <c r="X63" s="3628"/>
      <c r="Y63" s="3628"/>
      <c r="Z63" s="3628"/>
      <c r="AA63" s="3628"/>
      <c r="AB63" s="3628"/>
      <c r="AC63" s="3628"/>
      <c r="AD63" s="3628"/>
      <c r="AE63" s="3628"/>
      <c r="AF63" s="3628"/>
      <c r="AG63" s="3628"/>
      <c r="AH63" s="3628"/>
      <c r="AI63" s="3628"/>
      <c r="AJ63" s="3628"/>
      <c r="AK63" s="3628"/>
      <c r="AL63" s="3628"/>
      <c r="AM63" s="3628"/>
      <c r="AN63" s="3628"/>
      <c r="AO63" s="3628"/>
      <c r="AP63" s="3628"/>
      <c r="AQ63" s="3628"/>
      <c r="AR63" s="3628"/>
      <c r="AS63" s="3628"/>
    </row>
    <row r="64" spans="1:45">
      <c r="A64" s="3722"/>
      <c r="B64" s="3628"/>
      <c r="C64" s="3796"/>
      <c r="D64" s="3628"/>
      <c r="E64" s="3628"/>
      <c r="F64" s="3628"/>
      <c r="G64" s="3628"/>
      <c r="H64" s="3628"/>
      <c r="I64" s="3628"/>
      <c r="J64" s="3628"/>
      <c r="K64" s="3628"/>
      <c r="L64" s="3628"/>
      <c r="M64" s="3628"/>
      <c r="N64" s="3628"/>
      <c r="O64" s="3628"/>
      <c r="P64" s="3628"/>
      <c r="Q64" s="3628"/>
      <c r="R64" s="3628"/>
      <c r="S64" s="3628"/>
      <c r="T64" s="3628"/>
      <c r="U64" s="3628"/>
      <c r="V64" s="3628"/>
      <c r="W64" s="3628"/>
      <c r="X64" s="3628"/>
      <c r="Y64" s="3628"/>
      <c r="Z64" s="3628"/>
      <c r="AA64" s="3628"/>
      <c r="AB64" s="3628"/>
      <c r="AC64" s="3628"/>
      <c r="AD64" s="3628"/>
      <c r="AE64" s="3628"/>
      <c r="AF64" s="3628"/>
      <c r="AG64" s="3628"/>
      <c r="AH64" s="3628"/>
      <c r="AI64" s="3628"/>
      <c r="AJ64" s="3628"/>
      <c r="AK64" s="3628"/>
      <c r="AL64" s="3628"/>
      <c r="AM64" s="3628"/>
      <c r="AN64" s="3628"/>
      <c r="AO64" s="3628"/>
      <c r="AP64" s="3628"/>
      <c r="AQ64" s="3628"/>
      <c r="AR64" s="3628"/>
      <c r="AS64" s="3628"/>
    </row>
    <row r="65" spans="1:45">
      <c r="A65" s="3722"/>
      <c r="B65" s="3628"/>
      <c r="C65" s="3796"/>
      <c r="D65" s="3628"/>
      <c r="E65" s="3628"/>
      <c r="F65" s="3628"/>
      <c r="G65" s="3628"/>
      <c r="H65" s="3628"/>
      <c r="I65" s="3628"/>
      <c r="J65" s="3628"/>
      <c r="K65" s="3628"/>
      <c r="L65" s="3628"/>
      <c r="M65" s="3628"/>
      <c r="N65" s="3628"/>
      <c r="O65" s="3628"/>
      <c r="P65" s="3628"/>
      <c r="Q65" s="3628"/>
      <c r="R65" s="3628"/>
      <c r="S65" s="3628"/>
      <c r="T65" s="3628"/>
      <c r="U65" s="3628"/>
      <c r="V65" s="3628"/>
      <c r="W65" s="3628"/>
      <c r="X65" s="3628"/>
      <c r="Y65" s="3628"/>
      <c r="Z65" s="3628"/>
      <c r="AA65" s="3628"/>
      <c r="AB65" s="3628"/>
      <c r="AC65" s="3628"/>
      <c r="AD65" s="3628"/>
      <c r="AE65" s="3628"/>
      <c r="AF65" s="3628"/>
      <c r="AG65" s="3628"/>
      <c r="AH65" s="3628"/>
      <c r="AI65" s="3628"/>
      <c r="AJ65" s="3628"/>
      <c r="AK65" s="3628"/>
      <c r="AL65" s="3628"/>
      <c r="AM65" s="3628"/>
      <c r="AN65" s="3628"/>
      <c r="AO65" s="3628"/>
      <c r="AP65" s="3628"/>
      <c r="AQ65" s="3628"/>
      <c r="AR65" s="3628"/>
      <c r="AS65" s="3628"/>
    </row>
    <row r="66" spans="1:45">
      <c r="A66" s="3722"/>
      <c r="B66" s="3628"/>
      <c r="C66" s="3796"/>
      <c r="D66" s="3628"/>
      <c r="E66" s="3628"/>
      <c r="F66" s="3628"/>
      <c r="G66" s="3628"/>
      <c r="H66" s="3628"/>
      <c r="I66" s="3628"/>
      <c r="J66" s="3628"/>
      <c r="K66" s="3628"/>
      <c r="L66" s="3628"/>
      <c r="M66" s="3628"/>
      <c r="N66" s="3628"/>
      <c r="O66" s="3628"/>
      <c r="P66" s="3628"/>
      <c r="Q66" s="3628"/>
      <c r="R66" s="3628"/>
      <c r="S66" s="3628"/>
      <c r="T66" s="3628"/>
      <c r="U66" s="3628"/>
      <c r="V66" s="3628"/>
      <c r="W66" s="3628"/>
      <c r="X66" s="3628"/>
      <c r="Y66" s="3628"/>
      <c r="Z66" s="3628"/>
      <c r="AA66" s="3628"/>
      <c r="AB66" s="3628"/>
      <c r="AC66" s="3628"/>
      <c r="AD66" s="3628"/>
      <c r="AE66" s="3628"/>
      <c r="AF66" s="3628"/>
      <c r="AG66" s="3628"/>
      <c r="AH66" s="3628"/>
      <c r="AI66" s="3628"/>
      <c r="AJ66" s="3628"/>
      <c r="AK66" s="3628"/>
      <c r="AL66" s="3628"/>
      <c r="AM66" s="3628"/>
      <c r="AN66" s="3628"/>
      <c r="AO66" s="3628"/>
      <c r="AP66" s="3628"/>
      <c r="AQ66" s="3628"/>
      <c r="AR66" s="3628"/>
      <c r="AS66" s="3628"/>
    </row>
    <row r="67" spans="1:45">
      <c r="A67" s="3722"/>
      <c r="B67" s="3628"/>
      <c r="C67" s="3796"/>
      <c r="D67" s="3628"/>
      <c r="E67" s="3628"/>
      <c r="F67" s="3628"/>
      <c r="G67" s="3628"/>
      <c r="H67" s="3628"/>
      <c r="I67" s="3628"/>
      <c r="J67" s="3628"/>
      <c r="K67" s="3628"/>
      <c r="L67" s="3628"/>
      <c r="M67" s="3628"/>
      <c r="N67" s="3628"/>
      <c r="O67" s="3628"/>
      <c r="P67" s="3628"/>
      <c r="Q67" s="3628"/>
      <c r="R67" s="3628"/>
      <c r="S67" s="3628"/>
      <c r="T67" s="3628"/>
      <c r="U67" s="3628"/>
      <c r="V67" s="3628"/>
      <c r="W67" s="3628"/>
      <c r="X67" s="3628"/>
      <c r="Y67" s="3628"/>
      <c r="Z67" s="3628"/>
      <c r="AA67" s="3628"/>
      <c r="AB67" s="3628"/>
      <c r="AC67" s="3628"/>
      <c r="AD67" s="3628"/>
      <c r="AE67" s="3628"/>
      <c r="AF67" s="3628"/>
      <c r="AG67" s="3628"/>
      <c r="AH67" s="3628"/>
      <c r="AI67" s="3628"/>
      <c r="AJ67" s="3628"/>
      <c r="AK67" s="3628"/>
      <c r="AL67" s="3628"/>
      <c r="AM67" s="3628"/>
      <c r="AN67" s="3628"/>
      <c r="AO67" s="3628"/>
      <c r="AP67" s="3628"/>
      <c r="AQ67" s="3628"/>
      <c r="AR67" s="3628"/>
      <c r="AS67" s="3628"/>
    </row>
    <row r="68" spans="1:45">
      <c r="A68" s="3722"/>
      <c r="B68" s="3628"/>
      <c r="C68" s="3796"/>
      <c r="D68" s="3628"/>
      <c r="E68" s="3628"/>
      <c r="F68" s="3628"/>
      <c r="G68" s="3628"/>
      <c r="H68" s="3628"/>
      <c r="I68" s="3628"/>
      <c r="J68" s="3628"/>
      <c r="K68" s="3628"/>
      <c r="L68" s="3628"/>
      <c r="M68" s="3628"/>
      <c r="N68" s="3628"/>
      <c r="O68" s="3628"/>
      <c r="P68" s="3628"/>
      <c r="Q68" s="3628"/>
      <c r="R68" s="3628"/>
      <c r="S68" s="3628"/>
      <c r="T68" s="3628"/>
      <c r="U68" s="3628"/>
      <c r="V68" s="3628"/>
      <c r="W68" s="3628"/>
      <c r="X68" s="3628"/>
      <c r="Y68" s="3628"/>
      <c r="Z68" s="3628"/>
      <c r="AA68" s="3628"/>
      <c r="AB68" s="3628"/>
      <c r="AC68" s="3628"/>
      <c r="AD68" s="3628"/>
      <c r="AE68" s="3628"/>
      <c r="AF68" s="3628"/>
      <c r="AG68" s="3628"/>
      <c r="AH68" s="3628"/>
      <c r="AI68" s="3628"/>
      <c r="AJ68" s="3628"/>
      <c r="AK68" s="3628"/>
      <c r="AL68" s="3628"/>
      <c r="AM68" s="3628"/>
      <c r="AN68" s="3628"/>
      <c r="AO68" s="3628"/>
      <c r="AP68" s="3628"/>
      <c r="AQ68" s="3628"/>
      <c r="AR68" s="3628"/>
      <c r="AS68" s="3628"/>
    </row>
    <row r="69" spans="1:45">
      <c r="A69" s="3722"/>
      <c r="B69" s="3628"/>
      <c r="C69" s="3796"/>
      <c r="D69" s="3628"/>
      <c r="E69" s="3628"/>
      <c r="F69" s="3628"/>
      <c r="G69" s="3628"/>
      <c r="H69" s="3628"/>
      <c r="I69" s="3628"/>
      <c r="J69" s="3628"/>
      <c r="K69" s="3628"/>
      <c r="L69" s="3628"/>
      <c r="M69" s="3628"/>
      <c r="N69" s="3628"/>
      <c r="O69" s="3628"/>
      <c r="P69" s="3628"/>
      <c r="Q69" s="3628"/>
      <c r="R69" s="3628"/>
      <c r="S69" s="3628"/>
      <c r="T69" s="3628"/>
      <c r="U69" s="3628"/>
      <c r="V69" s="3628"/>
      <c r="W69" s="3628"/>
      <c r="X69" s="3628"/>
      <c r="Y69" s="3628"/>
      <c r="Z69" s="3628"/>
      <c r="AA69" s="3628"/>
      <c r="AB69" s="3628"/>
      <c r="AC69" s="3628"/>
      <c r="AD69" s="3628"/>
      <c r="AE69" s="3628"/>
      <c r="AF69" s="3628"/>
      <c r="AG69" s="3628"/>
      <c r="AH69" s="3628"/>
      <c r="AI69" s="3628"/>
      <c r="AJ69" s="3628"/>
      <c r="AK69" s="3628"/>
      <c r="AL69" s="3628"/>
      <c r="AM69" s="3628"/>
      <c r="AN69" s="3628"/>
      <c r="AO69" s="3628"/>
      <c r="AP69" s="3628"/>
      <c r="AQ69" s="3628"/>
      <c r="AR69" s="3628"/>
      <c r="AS69" s="3628"/>
    </row>
    <row r="70" spans="1:45">
      <c r="A70" s="3722"/>
      <c r="B70" s="3628"/>
      <c r="C70" s="3796"/>
      <c r="D70" s="3628"/>
      <c r="E70" s="3628"/>
      <c r="F70" s="3628"/>
      <c r="G70" s="3628"/>
      <c r="H70" s="3628"/>
      <c r="I70" s="3628"/>
      <c r="J70" s="3628"/>
      <c r="K70" s="3628"/>
      <c r="L70" s="3628"/>
      <c r="M70" s="3628"/>
      <c r="N70" s="3628"/>
      <c r="O70" s="3628"/>
      <c r="P70" s="3628"/>
      <c r="Q70" s="3628"/>
      <c r="R70" s="3628"/>
      <c r="S70" s="3628"/>
      <c r="T70" s="3628"/>
      <c r="U70" s="3628"/>
      <c r="V70" s="3628"/>
      <c r="W70" s="3628"/>
      <c r="X70" s="3628"/>
      <c r="Y70" s="3628"/>
      <c r="Z70" s="3628"/>
      <c r="AA70" s="3628"/>
      <c r="AB70" s="3628"/>
      <c r="AC70" s="3628"/>
      <c r="AD70" s="3628"/>
      <c r="AE70" s="3628"/>
      <c r="AF70" s="3628"/>
      <c r="AG70" s="3628"/>
      <c r="AH70" s="3628"/>
      <c r="AI70" s="3628"/>
      <c r="AJ70" s="3628"/>
      <c r="AK70" s="3628"/>
      <c r="AL70" s="3628"/>
      <c r="AM70" s="3628"/>
      <c r="AN70" s="3628"/>
      <c r="AO70" s="3628"/>
      <c r="AP70" s="3628"/>
      <c r="AQ70" s="3628"/>
      <c r="AR70" s="3628"/>
      <c r="AS70" s="3628"/>
    </row>
    <row r="71" spans="1:45">
      <c r="A71" s="3722"/>
      <c r="B71" s="3628"/>
      <c r="C71" s="3796"/>
      <c r="D71" s="3628"/>
      <c r="E71" s="3628"/>
      <c r="F71" s="3628"/>
      <c r="G71" s="3628"/>
      <c r="H71" s="3628"/>
      <c r="I71" s="3628"/>
      <c r="J71" s="3628"/>
      <c r="K71" s="3628"/>
      <c r="L71" s="3628"/>
      <c r="M71" s="3628"/>
      <c r="N71" s="3628"/>
      <c r="O71" s="3628"/>
      <c r="P71" s="3628"/>
      <c r="Q71" s="3628"/>
      <c r="R71" s="3628"/>
      <c r="S71" s="3628"/>
      <c r="T71" s="3628"/>
      <c r="U71" s="3628"/>
      <c r="V71" s="3628"/>
      <c r="W71" s="3628"/>
      <c r="X71" s="3628"/>
      <c r="Y71" s="3628"/>
      <c r="Z71" s="3628"/>
      <c r="AA71" s="3628"/>
      <c r="AB71" s="3628"/>
      <c r="AC71" s="3628"/>
      <c r="AD71" s="3628"/>
      <c r="AE71" s="3628"/>
      <c r="AF71" s="3628"/>
      <c r="AG71" s="3628"/>
      <c r="AH71" s="3628"/>
      <c r="AI71" s="3628"/>
      <c r="AJ71" s="3628"/>
      <c r="AK71" s="3628"/>
      <c r="AL71" s="3628"/>
      <c r="AM71" s="3628"/>
      <c r="AN71" s="3628"/>
      <c r="AO71" s="3628"/>
      <c r="AP71" s="3628"/>
      <c r="AQ71" s="3628"/>
      <c r="AR71" s="3628"/>
      <c r="AS71" s="3628"/>
    </row>
    <row r="72" spans="1:45">
      <c r="A72" s="3722"/>
      <c r="B72" s="3628"/>
      <c r="C72" s="3796"/>
      <c r="D72" s="3628"/>
      <c r="E72" s="3628"/>
      <c r="F72" s="3628"/>
      <c r="G72" s="3628"/>
      <c r="H72" s="3628"/>
      <c r="I72" s="3628"/>
      <c r="J72" s="3628"/>
      <c r="K72" s="3628"/>
      <c r="L72" s="3628"/>
      <c r="M72" s="3628"/>
      <c r="N72" s="3628"/>
      <c r="O72" s="3628"/>
      <c r="P72" s="3628"/>
      <c r="Q72" s="3628"/>
      <c r="R72" s="3628"/>
      <c r="S72" s="3628"/>
      <c r="T72" s="3628"/>
      <c r="U72" s="3628"/>
      <c r="V72" s="3628"/>
      <c r="W72" s="3628"/>
      <c r="X72" s="3628"/>
      <c r="Y72" s="3628"/>
      <c r="Z72" s="3628"/>
      <c r="AA72" s="3628"/>
      <c r="AB72" s="3628"/>
      <c r="AC72" s="3628"/>
      <c r="AD72" s="3628"/>
      <c r="AE72" s="3628"/>
      <c r="AF72" s="3628"/>
      <c r="AG72" s="3628"/>
      <c r="AH72" s="3628"/>
      <c r="AI72" s="3628"/>
      <c r="AJ72" s="3628"/>
      <c r="AK72" s="3628"/>
      <c r="AL72" s="3628"/>
      <c r="AM72" s="3628"/>
      <c r="AN72" s="3628"/>
      <c r="AO72" s="3628"/>
      <c r="AP72" s="3628"/>
      <c r="AQ72" s="3628"/>
      <c r="AR72" s="3628"/>
      <c r="AS72" s="3628"/>
    </row>
    <row r="73" spans="1:45">
      <c r="A73" s="3722"/>
      <c r="B73" s="3628"/>
      <c r="C73" s="3796"/>
      <c r="D73" s="3628"/>
      <c r="E73" s="3628"/>
      <c r="F73" s="3628"/>
      <c r="G73" s="3628"/>
      <c r="H73" s="3628"/>
      <c r="I73" s="3628"/>
      <c r="J73" s="3628"/>
      <c r="K73" s="3628"/>
      <c r="L73" s="3628"/>
      <c r="M73" s="3628"/>
      <c r="N73" s="3628"/>
      <c r="O73" s="3628"/>
      <c r="P73" s="3628"/>
      <c r="Q73" s="3628"/>
      <c r="R73" s="3628"/>
      <c r="S73" s="3628"/>
      <c r="T73" s="3628"/>
      <c r="U73" s="3628"/>
      <c r="V73" s="3628"/>
      <c r="W73" s="3628"/>
      <c r="X73" s="3628"/>
      <c r="Y73" s="3628"/>
      <c r="Z73" s="3628"/>
      <c r="AA73" s="3628"/>
      <c r="AB73" s="3628"/>
      <c r="AC73" s="3628"/>
      <c r="AD73" s="3628"/>
      <c r="AE73" s="3628"/>
      <c r="AF73" s="3628"/>
      <c r="AG73" s="3628"/>
      <c r="AH73" s="3628"/>
      <c r="AI73" s="3628"/>
      <c r="AJ73" s="3628"/>
      <c r="AK73" s="3628"/>
      <c r="AL73" s="3628"/>
      <c r="AM73" s="3628"/>
      <c r="AN73" s="3628"/>
      <c r="AO73" s="3628"/>
      <c r="AP73" s="3628"/>
      <c r="AQ73" s="3628"/>
      <c r="AR73" s="3628"/>
      <c r="AS73" s="3628"/>
    </row>
    <row r="74" spans="1:45">
      <c r="A74" s="3722"/>
      <c r="B74" s="3628"/>
      <c r="C74" s="3796"/>
      <c r="D74" s="3628"/>
      <c r="E74" s="3628"/>
      <c r="F74" s="3628"/>
      <c r="G74" s="3628"/>
      <c r="H74" s="3628"/>
      <c r="I74" s="3628"/>
      <c r="J74" s="3628"/>
      <c r="K74" s="3628"/>
      <c r="L74" s="3628"/>
      <c r="M74" s="3628"/>
      <c r="N74" s="3628"/>
      <c r="O74" s="3628"/>
      <c r="P74" s="3628"/>
      <c r="Q74" s="3628"/>
      <c r="R74" s="3628"/>
      <c r="S74" s="3628"/>
      <c r="T74" s="3628"/>
      <c r="U74" s="3628"/>
      <c r="V74" s="3628"/>
      <c r="W74" s="3628"/>
      <c r="X74" s="3628"/>
      <c r="Y74" s="3628"/>
      <c r="Z74" s="3628"/>
      <c r="AA74" s="3628"/>
      <c r="AB74" s="3628"/>
      <c r="AC74" s="3628"/>
      <c r="AD74" s="3628"/>
      <c r="AE74" s="3628"/>
      <c r="AF74" s="3628"/>
      <c r="AG74" s="3628"/>
      <c r="AH74" s="3628"/>
      <c r="AI74" s="3628"/>
      <c r="AJ74" s="3628"/>
      <c r="AK74" s="3628"/>
      <c r="AL74" s="3628"/>
      <c r="AM74" s="3628"/>
      <c r="AN74" s="3628"/>
      <c r="AO74" s="3628"/>
      <c r="AP74" s="3628"/>
      <c r="AQ74" s="3628"/>
      <c r="AR74" s="3628"/>
      <c r="AS74" s="3628"/>
    </row>
    <row r="75" spans="1:45">
      <c r="A75" s="3722"/>
      <c r="B75" s="3628"/>
      <c r="C75" s="3796"/>
      <c r="D75" s="3628"/>
      <c r="E75" s="3628"/>
      <c r="F75" s="3628"/>
      <c r="G75" s="3628"/>
      <c r="H75" s="3628"/>
      <c r="I75" s="3628"/>
      <c r="J75" s="3628"/>
      <c r="K75" s="3628"/>
      <c r="L75" s="3628"/>
      <c r="M75" s="3628"/>
      <c r="N75" s="3628"/>
      <c r="O75" s="3628"/>
      <c r="P75" s="3628"/>
      <c r="Q75" s="3628"/>
      <c r="R75" s="3628"/>
      <c r="S75" s="3628"/>
      <c r="T75" s="3628"/>
      <c r="U75" s="3628"/>
      <c r="V75" s="3628"/>
      <c r="W75" s="3628"/>
      <c r="X75" s="3628"/>
      <c r="Y75" s="3628"/>
      <c r="Z75" s="3628"/>
      <c r="AA75" s="3628"/>
      <c r="AB75" s="3628"/>
      <c r="AC75" s="3628"/>
      <c r="AD75" s="3628"/>
      <c r="AE75" s="3628"/>
      <c r="AF75" s="3628"/>
      <c r="AG75" s="3628"/>
      <c r="AH75" s="3628"/>
      <c r="AI75" s="3628"/>
      <c r="AJ75" s="3628"/>
      <c r="AK75" s="3628"/>
      <c r="AL75" s="3628"/>
      <c r="AM75" s="3628"/>
      <c r="AN75" s="3628"/>
      <c r="AO75" s="3628"/>
      <c r="AP75" s="3628"/>
      <c r="AQ75" s="3628"/>
      <c r="AR75" s="3628"/>
      <c r="AS75" s="3628"/>
    </row>
    <row r="76" spans="1:45">
      <c r="A76" s="3722"/>
      <c r="B76" s="3628"/>
      <c r="C76" s="3796"/>
      <c r="D76" s="3628"/>
      <c r="E76" s="3628"/>
      <c r="F76" s="3628"/>
      <c r="G76" s="3628"/>
      <c r="H76" s="3628"/>
      <c r="I76" s="3628"/>
      <c r="J76" s="3628"/>
      <c r="K76" s="3628"/>
      <c r="L76" s="3628"/>
      <c r="M76" s="3628"/>
      <c r="N76" s="3628"/>
      <c r="O76" s="3628"/>
      <c r="P76" s="3628"/>
      <c r="Q76" s="3628"/>
      <c r="R76" s="3628"/>
      <c r="S76" s="3628"/>
      <c r="T76" s="3628"/>
      <c r="U76" s="3628"/>
      <c r="V76" s="3628"/>
      <c r="W76" s="3628"/>
      <c r="X76" s="3628"/>
      <c r="Y76" s="3628"/>
      <c r="Z76" s="3628"/>
      <c r="AA76" s="3628"/>
      <c r="AB76" s="3628"/>
      <c r="AC76" s="3628"/>
      <c r="AD76" s="3628"/>
      <c r="AE76" s="3628"/>
      <c r="AF76" s="3628"/>
      <c r="AG76" s="3628"/>
      <c r="AH76" s="3628"/>
      <c r="AI76" s="3628"/>
      <c r="AJ76" s="3628"/>
      <c r="AK76" s="3628"/>
      <c r="AL76" s="3628"/>
      <c r="AM76" s="3628"/>
      <c r="AN76" s="3628"/>
      <c r="AO76" s="3628"/>
      <c r="AP76" s="3628"/>
      <c r="AQ76" s="3628"/>
      <c r="AR76" s="3628"/>
      <c r="AS76" s="3628"/>
    </row>
    <row r="77" spans="1:45">
      <c r="A77" s="3722"/>
      <c r="B77" s="3628"/>
      <c r="C77" s="3796"/>
      <c r="D77" s="3628"/>
      <c r="E77" s="3628"/>
      <c r="F77" s="3628"/>
      <c r="G77" s="3628"/>
      <c r="H77" s="3628"/>
      <c r="I77" s="3628"/>
      <c r="J77" s="3628"/>
      <c r="K77" s="3628"/>
      <c r="L77" s="3628"/>
      <c r="M77" s="3628"/>
      <c r="N77" s="3628"/>
      <c r="O77" s="3628"/>
      <c r="P77" s="3628"/>
      <c r="Q77" s="3628"/>
      <c r="R77" s="3628"/>
      <c r="S77" s="3628"/>
      <c r="T77" s="3628"/>
      <c r="U77" s="3628"/>
      <c r="V77" s="3628"/>
      <c r="W77" s="3628"/>
      <c r="X77" s="3628"/>
      <c r="Y77" s="3628"/>
      <c r="Z77" s="3628"/>
      <c r="AA77" s="3628"/>
      <c r="AB77" s="3628"/>
      <c r="AC77" s="3628"/>
      <c r="AD77" s="3628"/>
      <c r="AE77" s="3628"/>
      <c r="AF77" s="3628"/>
      <c r="AG77" s="3628"/>
      <c r="AH77" s="3628"/>
      <c r="AI77" s="3628"/>
      <c r="AJ77" s="3628"/>
      <c r="AK77" s="3628"/>
      <c r="AL77" s="3628"/>
      <c r="AM77" s="3628"/>
      <c r="AN77" s="3628"/>
      <c r="AO77" s="3628"/>
      <c r="AP77" s="3628"/>
      <c r="AQ77" s="3628"/>
      <c r="AR77" s="3628"/>
      <c r="AS77" s="3628"/>
    </row>
    <row r="78" spans="1:45">
      <c r="A78" s="3722"/>
      <c r="B78" s="3628"/>
      <c r="C78" s="3796"/>
      <c r="D78" s="3628"/>
      <c r="E78" s="3628"/>
      <c r="F78" s="3628"/>
      <c r="G78" s="3628"/>
      <c r="H78" s="3628"/>
      <c r="I78" s="3628"/>
      <c r="J78" s="3628"/>
      <c r="K78" s="3628"/>
      <c r="L78" s="3628"/>
      <c r="M78" s="3628"/>
      <c r="N78" s="3628"/>
      <c r="O78" s="3628"/>
      <c r="P78" s="3628"/>
      <c r="Q78" s="3628"/>
      <c r="R78" s="3628"/>
      <c r="S78" s="3628"/>
      <c r="T78" s="3628"/>
      <c r="U78" s="3628"/>
      <c r="V78" s="3628"/>
      <c r="W78" s="3628"/>
      <c r="X78" s="3628"/>
      <c r="Y78" s="3628"/>
      <c r="Z78" s="3628"/>
      <c r="AA78" s="3628"/>
      <c r="AB78" s="3628"/>
      <c r="AC78" s="3628"/>
      <c r="AD78" s="3628"/>
      <c r="AE78" s="3628"/>
      <c r="AF78" s="3628"/>
      <c r="AG78" s="3628"/>
      <c r="AH78" s="3628"/>
      <c r="AI78" s="3628"/>
      <c r="AJ78" s="3628"/>
      <c r="AK78" s="3628"/>
      <c r="AL78" s="3628"/>
      <c r="AM78" s="3628"/>
      <c r="AN78" s="3628"/>
      <c r="AO78" s="3628"/>
      <c r="AP78" s="3628"/>
      <c r="AQ78" s="3628"/>
      <c r="AR78" s="3628"/>
      <c r="AS78" s="3628"/>
    </row>
    <row r="79" spans="1:45">
      <c r="A79" s="3722"/>
      <c r="B79" s="3628"/>
      <c r="C79" s="3796"/>
      <c r="D79" s="3628"/>
      <c r="E79" s="3628"/>
      <c r="F79" s="3628"/>
      <c r="G79" s="3628"/>
      <c r="H79" s="3628"/>
      <c r="I79" s="3628"/>
      <c r="J79" s="3628"/>
      <c r="K79" s="3628"/>
      <c r="L79" s="3628"/>
      <c r="M79" s="3628"/>
      <c r="N79" s="3628"/>
      <c r="O79" s="3628"/>
      <c r="P79" s="3628"/>
      <c r="Q79" s="3628"/>
      <c r="R79" s="3628"/>
      <c r="S79" s="3628"/>
      <c r="T79" s="3628"/>
      <c r="U79" s="3628"/>
      <c r="V79" s="3628"/>
      <c r="W79" s="3628"/>
      <c r="X79" s="3628"/>
      <c r="Y79" s="3628"/>
      <c r="Z79" s="3628"/>
      <c r="AA79" s="3628"/>
      <c r="AB79" s="3628"/>
      <c r="AC79" s="3628"/>
      <c r="AD79" s="3628"/>
      <c r="AE79" s="3628"/>
      <c r="AF79" s="3628"/>
      <c r="AG79" s="3628"/>
      <c r="AH79" s="3628"/>
      <c r="AI79" s="3628"/>
      <c r="AJ79" s="3628"/>
      <c r="AK79" s="3628"/>
      <c r="AL79" s="3628"/>
      <c r="AM79" s="3628"/>
      <c r="AN79" s="3628"/>
      <c r="AO79" s="3628"/>
      <c r="AP79" s="3628"/>
      <c r="AQ79" s="3628"/>
      <c r="AR79" s="3628"/>
      <c r="AS79" s="3628"/>
    </row>
    <row r="80" spans="1:45">
      <c r="A80" s="3722"/>
      <c r="B80" s="3628"/>
      <c r="C80" s="3796"/>
      <c r="D80" s="3628"/>
      <c r="E80" s="3628"/>
      <c r="F80" s="3628"/>
      <c r="G80" s="3628"/>
      <c r="H80" s="3628"/>
      <c r="I80" s="3628"/>
      <c r="J80" s="3628"/>
      <c r="K80" s="3628"/>
      <c r="L80" s="3628"/>
      <c r="M80" s="3628"/>
      <c r="N80" s="3628"/>
      <c r="O80" s="3628"/>
      <c r="P80" s="3628"/>
      <c r="Q80" s="3628"/>
      <c r="R80" s="3628"/>
      <c r="S80" s="3628"/>
      <c r="T80" s="3628"/>
      <c r="U80" s="3628"/>
      <c r="V80" s="3628"/>
      <c r="W80" s="3628"/>
      <c r="X80" s="3628"/>
      <c r="Y80" s="3628"/>
      <c r="Z80" s="3628"/>
      <c r="AA80" s="3628"/>
      <c r="AB80" s="3628"/>
      <c r="AC80" s="3628"/>
      <c r="AD80" s="3628"/>
      <c r="AE80" s="3628"/>
      <c r="AF80" s="3628"/>
      <c r="AG80" s="3628"/>
      <c r="AH80" s="3628"/>
      <c r="AI80" s="3628"/>
      <c r="AJ80" s="3628"/>
      <c r="AK80" s="3628"/>
      <c r="AL80" s="3628"/>
      <c r="AM80" s="3628"/>
      <c r="AN80" s="3628"/>
      <c r="AO80" s="3628"/>
      <c r="AP80" s="3628"/>
      <c r="AQ80" s="3628"/>
      <c r="AR80" s="3628"/>
      <c r="AS80" s="3628"/>
    </row>
    <row r="81" spans="1:45">
      <c r="A81" s="3722"/>
      <c r="B81" s="3628"/>
      <c r="C81" s="3796"/>
      <c r="D81" s="3628"/>
      <c r="E81" s="3628"/>
      <c r="F81" s="3628"/>
      <c r="G81" s="3628"/>
      <c r="H81" s="3628"/>
      <c r="I81" s="3628"/>
      <c r="J81" s="3628"/>
      <c r="K81" s="3628"/>
      <c r="L81" s="3628"/>
      <c r="M81" s="3628"/>
      <c r="N81" s="3628"/>
      <c r="O81" s="3628"/>
      <c r="P81" s="3628"/>
      <c r="Q81" s="3628"/>
      <c r="R81" s="3628"/>
      <c r="S81" s="3628"/>
      <c r="T81" s="3628"/>
      <c r="U81" s="3628"/>
      <c r="V81" s="3628"/>
      <c r="W81" s="3628"/>
      <c r="X81" s="3628"/>
      <c r="Y81" s="3628"/>
      <c r="Z81" s="3628"/>
      <c r="AA81" s="3628"/>
      <c r="AB81" s="3628"/>
      <c r="AC81" s="3628"/>
      <c r="AD81" s="3628"/>
      <c r="AE81" s="3628"/>
      <c r="AF81" s="3628"/>
      <c r="AG81" s="3628"/>
      <c r="AH81" s="3628"/>
      <c r="AI81" s="3628"/>
      <c r="AJ81" s="3628"/>
      <c r="AK81" s="3628"/>
      <c r="AL81" s="3628"/>
      <c r="AM81" s="3628"/>
      <c r="AN81" s="3628"/>
      <c r="AO81" s="3628"/>
      <c r="AP81" s="3628"/>
      <c r="AQ81" s="3628"/>
      <c r="AR81" s="3628"/>
      <c r="AS81" s="3628"/>
    </row>
    <row r="82" spans="1:45">
      <c r="A82" s="3722"/>
      <c r="B82" s="3628"/>
      <c r="C82" s="3796"/>
      <c r="D82" s="3628"/>
      <c r="E82" s="3628"/>
      <c r="F82" s="3628"/>
      <c r="G82" s="3628"/>
      <c r="H82" s="3628"/>
      <c r="I82" s="3628"/>
      <c r="J82" s="3628"/>
      <c r="K82" s="3628"/>
      <c r="L82" s="3628"/>
      <c r="M82" s="3628"/>
      <c r="N82" s="3628"/>
      <c r="O82" s="3628"/>
      <c r="P82" s="3628"/>
      <c r="Q82" s="3628"/>
      <c r="R82" s="3628"/>
      <c r="S82" s="3628"/>
      <c r="T82" s="3628"/>
      <c r="U82" s="3628"/>
      <c r="V82" s="3628"/>
      <c r="W82" s="3628"/>
      <c r="X82" s="3628"/>
      <c r="Y82" s="3628"/>
      <c r="Z82" s="3628"/>
      <c r="AA82" s="3628"/>
      <c r="AB82" s="3628"/>
      <c r="AC82" s="3628"/>
      <c r="AD82" s="3628"/>
      <c r="AE82" s="3628"/>
      <c r="AF82" s="3628"/>
      <c r="AG82" s="3628"/>
      <c r="AH82" s="3628"/>
      <c r="AI82" s="3628"/>
      <c r="AJ82" s="3628"/>
      <c r="AK82" s="3628"/>
      <c r="AL82" s="3628"/>
      <c r="AM82" s="3628"/>
      <c r="AN82" s="3628"/>
      <c r="AO82" s="3628"/>
      <c r="AP82" s="3628"/>
      <c r="AQ82" s="3628"/>
      <c r="AR82" s="3628"/>
      <c r="AS82" s="3628"/>
    </row>
    <row r="83" spans="1:45">
      <c r="A83" s="3722"/>
      <c r="B83" s="3628"/>
      <c r="C83" s="3796"/>
      <c r="D83" s="3628"/>
      <c r="E83" s="3628"/>
      <c r="F83" s="3628"/>
      <c r="G83" s="3628"/>
      <c r="H83" s="3628"/>
      <c r="I83" s="3628"/>
      <c r="J83" s="3628"/>
      <c r="K83" s="3628"/>
      <c r="L83" s="3628"/>
      <c r="M83" s="3628"/>
      <c r="N83" s="3628"/>
      <c r="O83" s="3628"/>
      <c r="P83" s="3628"/>
      <c r="Q83" s="3628"/>
      <c r="R83" s="3628"/>
      <c r="S83" s="3628"/>
      <c r="T83" s="3628"/>
      <c r="U83" s="3628"/>
      <c r="V83" s="3628"/>
      <c r="W83" s="3628"/>
      <c r="X83" s="3628"/>
      <c r="Y83" s="3628"/>
      <c r="Z83" s="3628"/>
      <c r="AA83" s="3628"/>
      <c r="AB83" s="3628"/>
      <c r="AC83" s="3628"/>
      <c r="AD83" s="3628"/>
      <c r="AE83" s="3628"/>
      <c r="AF83" s="3628"/>
      <c r="AG83" s="3628"/>
      <c r="AH83" s="3628"/>
      <c r="AI83" s="3628"/>
      <c r="AJ83" s="3628"/>
      <c r="AK83" s="3628"/>
      <c r="AL83" s="3628"/>
      <c r="AM83" s="3628"/>
      <c r="AN83" s="3628"/>
      <c r="AO83" s="3628"/>
      <c r="AP83" s="3628"/>
      <c r="AQ83" s="3628"/>
      <c r="AR83" s="3628"/>
      <c r="AS83" s="3628"/>
    </row>
    <row r="84" spans="1:45">
      <c r="A84" s="3722"/>
      <c r="B84" s="3628"/>
      <c r="C84" s="3796"/>
      <c r="D84" s="3628"/>
      <c r="E84" s="3628"/>
      <c r="F84" s="3628"/>
      <c r="G84" s="3628"/>
      <c r="H84" s="3628"/>
      <c r="I84" s="3628"/>
      <c r="J84" s="3628"/>
      <c r="K84" s="3628"/>
      <c r="L84" s="3628"/>
      <c r="M84" s="3628"/>
      <c r="N84" s="3628"/>
      <c r="O84" s="3628"/>
      <c r="P84" s="3628"/>
      <c r="Q84" s="3628"/>
      <c r="R84" s="3628"/>
      <c r="S84" s="3628"/>
      <c r="T84" s="3628"/>
      <c r="U84" s="3628"/>
      <c r="V84" s="3628"/>
      <c r="W84" s="3628"/>
      <c r="X84" s="3628"/>
      <c r="Y84" s="3628"/>
      <c r="Z84" s="3628"/>
      <c r="AA84" s="3628"/>
      <c r="AB84" s="3628"/>
      <c r="AC84" s="3628"/>
      <c r="AD84" s="3628"/>
      <c r="AE84" s="3628"/>
      <c r="AF84" s="3628"/>
      <c r="AG84" s="3628"/>
      <c r="AH84" s="3628"/>
      <c r="AI84" s="3628"/>
      <c r="AJ84" s="3628"/>
      <c r="AK84" s="3628"/>
      <c r="AL84" s="3628"/>
      <c r="AM84" s="3628"/>
      <c r="AN84" s="3628"/>
      <c r="AO84" s="3628"/>
      <c r="AP84" s="3628"/>
      <c r="AQ84" s="3628"/>
      <c r="AR84" s="3628"/>
      <c r="AS84" s="3628"/>
    </row>
    <row r="85" spans="1:45">
      <c r="A85" s="3722"/>
      <c r="B85" s="3628"/>
      <c r="C85" s="3796"/>
      <c r="D85" s="3628"/>
      <c r="E85" s="3628"/>
      <c r="F85" s="3628"/>
      <c r="G85" s="3628"/>
      <c r="H85" s="3628"/>
      <c r="I85" s="3628"/>
      <c r="J85" s="3628"/>
      <c r="K85" s="3628"/>
      <c r="L85" s="3628"/>
      <c r="M85" s="3628"/>
      <c r="N85" s="3628"/>
      <c r="O85" s="3628"/>
      <c r="P85" s="3628"/>
      <c r="Q85" s="3628"/>
      <c r="R85" s="3628"/>
      <c r="S85" s="3628"/>
      <c r="T85" s="3628"/>
      <c r="U85" s="3628"/>
      <c r="V85" s="3628"/>
      <c r="W85" s="3628"/>
      <c r="X85" s="3628"/>
      <c r="Y85" s="3628"/>
      <c r="Z85" s="3628"/>
      <c r="AA85" s="3628"/>
      <c r="AB85" s="3628"/>
      <c r="AC85" s="3628"/>
      <c r="AD85" s="3628"/>
      <c r="AE85" s="3628"/>
      <c r="AF85" s="3628"/>
      <c r="AG85" s="3628"/>
      <c r="AH85" s="3628"/>
      <c r="AI85" s="3628"/>
      <c r="AJ85" s="3628"/>
      <c r="AK85" s="3628"/>
      <c r="AL85" s="3628"/>
      <c r="AM85" s="3628"/>
      <c r="AN85" s="3628"/>
      <c r="AO85" s="3628"/>
      <c r="AP85" s="3628"/>
      <c r="AQ85" s="3628"/>
      <c r="AR85" s="3628"/>
      <c r="AS85" s="3628"/>
    </row>
    <row r="86" spans="1:45">
      <c r="A86" s="3722"/>
      <c r="B86" s="3628"/>
      <c r="C86" s="3796"/>
      <c r="D86" s="3628"/>
      <c r="E86" s="3628"/>
      <c r="F86" s="3628"/>
      <c r="G86" s="3628"/>
      <c r="H86" s="3628"/>
      <c r="I86" s="3628"/>
      <c r="J86" s="3628"/>
      <c r="K86" s="3628"/>
      <c r="L86" s="3628"/>
      <c r="M86" s="3628"/>
      <c r="N86" s="3628"/>
      <c r="O86" s="3628"/>
      <c r="P86" s="3628"/>
      <c r="Q86" s="3628"/>
      <c r="R86" s="3628"/>
      <c r="S86" s="3628"/>
      <c r="T86" s="3628"/>
      <c r="U86" s="3628"/>
      <c r="V86" s="3628"/>
      <c r="W86" s="3628"/>
      <c r="X86" s="3628"/>
      <c r="Y86" s="3628"/>
      <c r="Z86" s="3628"/>
      <c r="AA86" s="3628"/>
      <c r="AB86" s="3628"/>
      <c r="AC86" s="3628"/>
      <c r="AD86" s="3628"/>
      <c r="AE86" s="3628"/>
      <c r="AF86" s="3628"/>
      <c r="AG86" s="3628"/>
      <c r="AH86" s="3628"/>
      <c r="AI86" s="3628"/>
      <c r="AJ86" s="3628"/>
      <c r="AK86" s="3628"/>
      <c r="AL86" s="3628"/>
      <c r="AM86" s="3628"/>
      <c r="AN86" s="3628"/>
      <c r="AO86" s="3628"/>
      <c r="AP86" s="3628"/>
      <c r="AQ86" s="3628"/>
      <c r="AR86" s="3628"/>
      <c r="AS86" s="3628"/>
    </row>
    <row r="87" spans="1:45">
      <c r="A87" s="3722"/>
      <c r="B87" s="3628"/>
      <c r="C87" s="3796"/>
      <c r="D87" s="3628"/>
      <c r="E87" s="3628"/>
      <c r="F87" s="3628"/>
      <c r="G87" s="3628"/>
      <c r="H87" s="3628"/>
      <c r="I87" s="3628"/>
      <c r="J87" s="3628"/>
      <c r="K87" s="3628"/>
      <c r="L87" s="3628"/>
      <c r="M87" s="3628"/>
      <c r="N87" s="3628"/>
      <c r="O87" s="3628"/>
      <c r="P87" s="3628"/>
      <c r="Q87" s="3628"/>
      <c r="R87" s="3628"/>
      <c r="S87" s="3628"/>
      <c r="T87" s="3628"/>
      <c r="U87" s="3628"/>
      <c r="V87" s="3628"/>
      <c r="W87" s="3628"/>
      <c r="X87" s="3628"/>
      <c r="Y87" s="3628"/>
      <c r="Z87" s="3628"/>
      <c r="AA87" s="3628"/>
      <c r="AB87" s="3628"/>
      <c r="AC87" s="3628"/>
      <c r="AD87" s="3628"/>
      <c r="AE87" s="3628"/>
      <c r="AF87" s="3628"/>
      <c r="AG87" s="3628"/>
      <c r="AH87" s="3628"/>
      <c r="AI87" s="3628"/>
      <c r="AJ87" s="3628"/>
      <c r="AK87" s="3628"/>
      <c r="AL87" s="3628"/>
      <c r="AM87" s="3628"/>
      <c r="AN87" s="3628"/>
      <c r="AO87" s="3628"/>
      <c r="AP87" s="3628"/>
      <c r="AQ87" s="3628"/>
      <c r="AR87" s="3628"/>
      <c r="AS87" s="3628"/>
    </row>
    <row r="88" spans="1:45">
      <c r="A88" s="3722"/>
      <c r="B88" s="3628"/>
      <c r="C88" s="3796"/>
      <c r="D88" s="3628"/>
      <c r="E88" s="3628"/>
      <c r="F88" s="3628"/>
      <c r="G88" s="3628"/>
      <c r="H88" s="3628"/>
      <c r="I88" s="3628"/>
      <c r="J88" s="3628"/>
      <c r="K88" s="3628"/>
      <c r="L88" s="3628"/>
      <c r="M88" s="3628"/>
      <c r="N88" s="3628"/>
      <c r="O88" s="3628"/>
      <c r="P88" s="3628"/>
      <c r="Q88" s="3628"/>
      <c r="R88" s="3628"/>
      <c r="S88" s="3628"/>
      <c r="T88" s="3628"/>
      <c r="U88" s="3628"/>
      <c r="V88" s="3628"/>
      <c r="W88" s="3628"/>
      <c r="X88" s="3628"/>
      <c r="Y88" s="3628"/>
      <c r="Z88" s="3628"/>
      <c r="AA88" s="3628"/>
      <c r="AB88" s="3628"/>
      <c r="AC88" s="3628"/>
      <c r="AD88" s="3628"/>
      <c r="AE88" s="3628"/>
      <c r="AF88" s="3628"/>
      <c r="AG88" s="3628"/>
      <c r="AH88" s="3628"/>
      <c r="AI88" s="3628"/>
      <c r="AJ88" s="3628"/>
      <c r="AK88" s="3628"/>
      <c r="AL88" s="3628"/>
      <c r="AM88" s="3628"/>
      <c r="AN88" s="3628"/>
      <c r="AO88" s="3628"/>
      <c r="AP88" s="3628"/>
      <c r="AQ88" s="3628"/>
      <c r="AR88" s="3628"/>
      <c r="AS88" s="3628"/>
    </row>
    <row r="89" spans="1:45">
      <c r="A89" s="3722"/>
      <c r="B89" s="3628"/>
      <c r="C89" s="3796"/>
      <c r="D89" s="3628"/>
      <c r="E89" s="3628"/>
      <c r="F89" s="3628"/>
      <c r="G89" s="3628"/>
      <c r="H89" s="3628"/>
      <c r="I89" s="3628"/>
      <c r="J89" s="3628"/>
      <c r="K89" s="3628"/>
      <c r="L89" s="3628"/>
      <c r="M89" s="3628"/>
      <c r="N89" s="3628"/>
      <c r="O89" s="3628"/>
      <c r="P89" s="3628"/>
      <c r="Q89" s="3628"/>
      <c r="R89" s="3628"/>
      <c r="S89" s="3628"/>
      <c r="T89" s="3628"/>
      <c r="U89" s="3628"/>
      <c r="V89" s="3628"/>
      <c r="W89" s="3628"/>
      <c r="X89" s="3628"/>
      <c r="Y89" s="3628"/>
      <c r="Z89" s="3628"/>
      <c r="AA89" s="3628"/>
      <c r="AB89" s="3628"/>
      <c r="AC89" s="3628"/>
      <c r="AD89" s="3628"/>
      <c r="AE89" s="3628"/>
      <c r="AF89" s="3628"/>
      <c r="AG89" s="3628"/>
      <c r="AH89" s="3628"/>
      <c r="AI89" s="3628"/>
      <c r="AJ89" s="3628"/>
      <c r="AK89" s="3628"/>
      <c r="AL89" s="3628"/>
      <c r="AM89" s="3628"/>
      <c r="AN89" s="3628"/>
      <c r="AO89" s="3628"/>
      <c r="AP89" s="3628"/>
      <c r="AQ89" s="3628"/>
      <c r="AR89" s="3628"/>
      <c r="AS89" s="3628"/>
    </row>
    <row r="90" spans="1:45">
      <c r="A90" s="3722"/>
      <c r="B90" s="3628"/>
      <c r="C90" s="3796"/>
      <c r="D90" s="3628"/>
      <c r="E90" s="3628"/>
      <c r="F90" s="3628"/>
      <c r="G90" s="3628"/>
      <c r="H90" s="3628"/>
      <c r="I90" s="3628"/>
      <c r="J90" s="3628"/>
      <c r="K90" s="3628"/>
      <c r="L90" s="3628"/>
      <c r="M90" s="3628"/>
      <c r="N90" s="3628"/>
      <c r="O90" s="3628"/>
      <c r="P90" s="3628"/>
      <c r="Q90" s="3628"/>
      <c r="R90" s="3628"/>
      <c r="S90" s="3628"/>
      <c r="T90" s="3628"/>
      <c r="U90" s="3628"/>
      <c r="V90" s="3628"/>
      <c r="W90" s="3628"/>
      <c r="X90" s="3628"/>
      <c r="Y90" s="3628"/>
      <c r="Z90" s="3628"/>
      <c r="AA90" s="3628"/>
      <c r="AB90" s="3628"/>
      <c r="AC90" s="3628"/>
      <c r="AD90" s="3628"/>
      <c r="AE90" s="3628"/>
      <c r="AF90" s="3628"/>
      <c r="AG90" s="3628"/>
      <c r="AH90" s="3628"/>
      <c r="AI90" s="3628"/>
      <c r="AJ90" s="3628"/>
      <c r="AK90" s="3628"/>
      <c r="AL90" s="3628"/>
      <c r="AM90" s="3628"/>
      <c r="AN90" s="3628"/>
      <c r="AO90" s="3628"/>
      <c r="AP90" s="3628"/>
      <c r="AQ90" s="3628"/>
      <c r="AR90" s="3628"/>
      <c r="AS90" s="3628"/>
    </row>
    <row r="91" spans="1:45">
      <c r="A91" s="3722"/>
      <c r="B91" s="3628"/>
      <c r="C91" s="3796"/>
      <c r="D91" s="3628"/>
      <c r="E91" s="3628"/>
      <c r="F91" s="3628"/>
      <c r="G91" s="3628"/>
      <c r="H91" s="3628"/>
      <c r="I91" s="3628"/>
      <c r="J91" s="3628"/>
      <c r="K91" s="3628"/>
      <c r="L91" s="3628"/>
      <c r="M91" s="3628"/>
      <c r="N91" s="3628"/>
      <c r="O91" s="3628"/>
      <c r="P91" s="3628"/>
      <c r="Q91" s="3628"/>
      <c r="R91" s="3628"/>
      <c r="S91" s="3628"/>
      <c r="T91" s="3628"/>
      <c r="U91" s="3628"/>
      <c r="V91" s="3628"/>
      <c r="W91" s="3628"/>
      <c r="X91" s="3628"/>
      <c r="Y91" s="3628"/>
      <c r="Z91" s="3628"/>
      <c r="AA91" s="3628"/>
      <c r="AB91" s="3628"/>
      <c r="AC91" s="3628"/>
      <c r="AD91" s="3628"/>
      <c r="AE91" s="3628"/>
      <c r="AF91" s="3628"/>
      <c r="AG91" s="3628"/>
      <c r="AH91" s="3628"/>
      <c r="AI91" s="3628"/>
      <c r="AJ91" s="3628"/>
      <c r="AK91" s="3628"/>
      <c r="AL91" s="3628"/>
      <c r="AM91" s="3628"/>
      <c r="AN91" s="3628"/>
      <c r="AO91" s="3628"/>
      <c r="AP91" s="3628"/>
      <c r="AQ91" s="3628"/>
      <c r="AR91" s="3628"/>
      <c r="AS91" s="3628"/>
    </row>
    <row r="92" spans="1:45">
      <c r="B92" s="3628"/>
      <c r="C92" s="3796"/>
      <c r="D92" s="3628"/>
      <c r="E92" s="3628"/>
      <c r="F92" s="3628"/>
      <c r="G92" s="3628"/>
      <c r="H92" s="3628"/>
      <c r="I92" s="3628"/>
      <c r="J92" s="3628"/>
      <c r="K92" s="3628"/>
      <c r="L92" s="3628"/>
      <c r="M92" s="3628"/>
      <c r="N92" s="3628"/>
      <c r="O92" s="3628"/>
      <c r="P92" s="3628"/>
      <c r="Q92" s="3628"/>
      <c r="R92" s="3628"/>
      <c r="S92" s="3628"/>
      <c r="T92" s="3628"/>
      <c r="U92" s="3628"/>
      <c r="V92" s="3628"/>
      <c r="W92" s="3628"/>
      <c r="X92" s="3628"/>
      <c r="Y92" s="3628"/>
      <c r="Z92" s="3628"/>
      <c r="AA92" s="3628"/>
      <c r="AB92" s="3628"/>
      <c r="AC92" s="3628"/>
      <c r="AD92" s="3628"/>
      <c r="AE92" s="3628"/>
      <c r="AF92" s="3628"/>
      <c r="AG92" s="3628"/>
      <c r="AH92" s="3628"/>
      <c r="AI92" s="3628"/>
      <c r="AJ92" s="3628"/>
      <c r="AK92" s="3628"/>
      <c r="AL92" s="3628"/>
      <c r="AM92" s="3628"/>
      <c r="AN92" s="3628"/>
      <c r="AO92" s="3628"/>
      <c r="AP92" s="3628"/>
      <c r="AQ92" s="3628"/>
      <c r="AR92" s="3628"/>
      <c r="AS92" s="3628"/>
    </row>
    <row r="93" spans="1:45">
      <c r="B93" s="3628"/>
      <c r="C93" s="3796"/>
      <c r="D93" s="3628"/>
      <c r="E93" s="3628"/>
      <c r="F93" s="3628"/>
      <c r="G93" s="3628"/>
      <c r="H93" s="3628"/>
      <c r="I93" s="3628"/>
      <c r="J93" s="3628"/>
      <c r="K93" s="3628"/>
      <c r="L93" s="3628"/>
      <c r="M93" s="3628"/>
      <c r="N93" s="3628"/>
      <c r="O93" s="3628"/>
      <c r="P93" s="3628"/>
      <c r="Q93" s="3628"/>
      <c r="R93" s="3628"/>
      <c r="S93" s="3628"/>
      <c r="T93" s="3628"/>
      <c r="U93" s="3628"/>
      <c r="V93" s="3628"/>
      <c r="W93" s="3628"/>
      <c r="X93" s="3628"/>
      <c r="Y93" s="3628"/>
      <c r="Z93" s="3628"/>
      <c r="AA93" s="3628"/>
      <c r="AB93" s="3628"/>
      <c r="AC93" s="3628"/>
      <c r="AD93" s="3628"/>
      <c r="AE93" s="3628"/>
      <c r="AF93" s="3628"/>
      <c r="AG93" s="3628"/>
      <c r="AH93" s="3628"/>
      <c r="AI93" s="3628"/>
      <c r="AJ93" s="3628"/>
      <c r="AK93" s="3628"/>
      <c r="AL93" s="3628"/>
      <c r="AM93" s="3628"/>
      <c r="AN93" s="3628"/>
      <c r="AO93" s="3628"/>
      <c r="AP93" s="3628"/>
      <c r="AQ93" s="3628"/>
      <c r="AR93" s="3628"/>
      <c r="AS93" s="3628"/>
    </row>
    <row r="94" spans="1:45">
      <c r="B94" s="3628"/>
      <c r="C94" s="3796"/>
      <c r="D94" s="3628"/>
      <c r="E94" s="3628"/>
      <c r="F94" s="3628"/>
      <c r="G94" s="3628"/>
      <c r="H94" s="3628"/>
      <c r="I94" s="3628"/>
      <c r="J94" s="3628"/>
      <c r="K94" s="3628"/>
      <c r="L94" s="3628"/>
      <c r="M94" s="3628"/>
      <c r="N94" s="3628"/>
      <c r="O94" s="3628"/>
      <c r="P94" s="3628"/>
      <c r="Q94" s="3628"/>
      <c r="R94" s="3628"/>
      <c r="S94" s="3628"/>
      <c r="T94" s="3628"/>
      <c r="U94" s="3628"/>
      <c r="V94" s="3628"/>
      <c r="W94" s="3628"/>
      <c r="X94" s="3628"/>
      <c r="Y94" s="3628"/>
      <c r="Z94" s="3628"/>
      <c r="AA94" s="3628"/>
      <c r="AB94" s="3628"/>
      <c r="AC94" s="3628"/>
      <c r="AD94" s="3628"/>
      <c r="AE94" s="3628"/>
      <c r="AF94" s="3628"/>
      <c r="AG94" s="3628"/>
      <c r="AH94" s="3628"/>
      <c r="AI94" s="3628"/>
      <c r="AJ94" s="3628"/>
      <c r="AK94" s="3628"/>
      <c r="AL94" s="3628"/>
      <c r="AM94" s="3628"/>
      <c r="AN94" s="3628"/>
      <c r="AO94" s="3628"/>
      <c r="AP94" s="3628"/>
      <c r="AQ94" s="3628"/>
      <c r="AR94" s="3628"/>
      <c r="AS94" s="3628"/>
    </row>
    <row r="95" spans="1:45">
      <c r="B95" s="3628"/>
      <c r="C95" s="3796"/>
      <c r="D95" s="3628"/>
      <c r="E95" s="3628"/>
      <c r="F95" s="3628"/>
      <c r="G95" s="3628"/>
      <c r="H95" s="3628"/>
      <c r="I95" s="3628"/>
      <c r="J95" s="3628"/>
      <c r="K95" s="3628"/>
      <c r="L95" s="3628"/>
      <c r="M95" s="3628"/>
      <c r="N95" s="3628"/>
      <c r="O95" s="3628"/>
      <c r="P95" s="3628"/>
      <c r="Q95" s="3628"/>
      <c r="R95" s="3628"/>
      <c r="S95" s="3628"/>
      <c r="T95" s="3628"/>
      <c r="U95" s="3628"/>
      <c r="V95" s="3628"/>
      <c r="W95" s="3628"/>
      <c r="X95" s="3628"/>
      <c r="Y95" s="3628"/>
      <c r="Z95" s="3628"/>
      <c r="AA95" s="3628"/>
      <c r="AB95" s="3628"/>
      <c r="AC95" s="3628"/>
      <c r="AD95" s="3628"/>
      <c r="AE95" s="3628"/>
      <c r="AF95" s="3628"/>
      <c r="AG95" s="3628"/>
      <c r="AH95" s="3628"/>
      <c r="AI95" s="3628"/>
      <c r="AJ95" s="3628"/>
      <c r="AK95" s="3628"/>
      <c r="AL95" s="3628"/>
      <c r="AM95" s="3628"/>
      <c r="AN95" s="3628"/>
      <c r="AO95" s="3628"/>
      <c r="AP95" s="3628"/>
      <c r="AQ95" s="3628"/>
      <c r="AR95" s="3628"/>
      <c r="AS95" s="3628"/>
    </row>
    <row r="96" spans="1:45">
      <c r="B96" s="3628"/>
      <c r="C96" s="3796"/>
      <c r="D96" s="3628"/>
      <c r="E96" s="3628"/>
      <c r="F96" s="3628"/>
      <c r="G96" s="3628"/>
      <c r="H96" s="3628"/>
      <c r="I96" s="3628"/>
      <c r="J96" s="3628"/>
      <c r="K96" s="3628"/>
      <c r="L96" s="3628"/>
      <c r="M96" s="3628"/>
      <c r="N96" s="3628"/>
      <c r="O96" s="3628"/>
      <c r="P96" s="3628"/>
      <c r="Q96" s="3628"/>
      <c r="R96" s="3628"/>
      <c r="S96" s="3628"/>
      <c r="T96" s="3628"/>
      <c r="U96" s="3628"/>
      <c r="V96" s="3628"/>
      <c r="W96" s="3628"/>
      <c r="X96" s="3628"/>
      <c r="Y96" s="3628"/>
      <c r="Z96" s="3628"/>
      <c r="AA96" s="3628"/>
      <c r="AB96" s="3628"/>
      <c r="AC96" s="3628"/>
      <c r="AD96" s="3628"/>
      <c r="AE96" s="3628"/>
      <c r="AF96" s="3628"/>
      <c r="AG96" s="3628"/>
      <c r="AH96" s="3628"/>
      <c r="AI96" s="3628"/>
      <c r="AJ96" s="3628"/>
      <c r="AK96" s="3628"/>
      <c r="AL96" s="3628"/>
      <c r="AM96" s="3628"/>
      <c r="AN96" s="3628"/>
      <c r="AO96" s="3628"/>
      <c r="AP96" s="3628"/>
      <c r="AQ96" s="3628"/>
      <c r="AR96" s="3628"/>
      <c r="AS96" s="3628"/>
    </row>
    <row r="97" spans="2:45">
      <c r="B97" s="3628"/>
      <c r="C97" s="3796"/>
      <c r="D97" s="3628"/>
      <c r="E97" s="3628"/>
      <c r="F97" s="3628"/>
      <c r="G97" s="3628"/>
      <c r="H97" s="3628"/>
      <c r="I97" s="3628"/>
      <c r="J97" s="3628"/>
      <c r="K97" s="3628"/>
      <c r="L97" s="3628"/>
      <c r="M97" s="3628"/>
      <c r="N97" s="3628"/>
      <c r="O97" s="3628"/>
      <c r="P97" s="3628"/>
      <c r="Q97" s="3628"/>
      <c r="R97" s="3628"/>
      <c r="S97" s="3628"/>
      <c r="T97" s="3628"/>
      <c r="U97" s="3628"/>
      <c r="V97" s="3628"/>
      <c r="W97" s="3628"/>
      <c r="X97" s="3628"/>
      <c r="Y97" s="3628"/>
      <c r="Z97" s="3628"/>
      <c r="AA97" s="3628"/>
      <c r="AB97" s="3628"/>
      <c r="AC97" s="3628"/>
      <c r="AD97" s="3628"/>
      <c r="AE97" s="3628"/>
      <c r="AF97" s="3628"/>
      <c r="AG97" s="3628"/>
      <c r="AH97" s="3628"/>
      <c r="AI97" s="3628"/>
      <c r="AJ97" s="3628"/>
      <c r="AK97" s="3628"/>
      <c r="AL97" s="3628"/>
      <c r="AM97" s="3628"/>
      <c r="AN97" s="3628"/>
      <c r="AO97" s="3628"/>
      <c r="AP97" s="3628"/>
      <c r="AQ97" s="3628"/>
      <c r="AR97" s="3628"/>
      <c r="AS97" s="3628"/>
    </row>
    <row r="98" spans="2:45">
      <c r="B98" s="3628"/>
      <c r="C98" s="3796"/>
      <c r="D98" s="3628"/>
      <c r="E98" s="3628"/>
      <c r="F98" s="3628"/>
      <c r="G98" s="3628"/>
      <c r="H98" s="3628"/>
      <c r="I98" s="3628"/>
      <c r="J98" s="3628"/>
      <c r="K98" s="3628"/>
      <c r="L98" s="3628"/>
      <c r="M98" s="3628"/>
      <c r="N98" s="3628"/>
      <c r="O98" s="3628"/>
      <c r="P98" s="3628"/>
      <c r="Q98" s="3628"/>
      <c r="R98" s="3628"/>
      <c r="S98" s="3628"/>
      <c r="T98" s="3628"/>
      <c r="U98" s="3628"/>
      <c r="V98" s="3628"/>
      <c r="W98" s="3628"/>
      <c r="X98" s="3628"/>
      <c r="Y98" s="3628"/>
      <c r="Z98" s="3628"/>
      <c r="AA98" s="3628"/>
      <c r="AB98" s="3628"/>
      <c r="AC98" s="3628"/>
      <c r="AD98" s="3628"/>
      <c r="AE98" s="3628"/>
      <c r="AF98" s="3628"/>
      <c r="AG98" s="3628"/>
      <c r="AH98" s="3628"/>
      <c r="AI98" s="3628"/>
      <c r="AJ98" s="3628"/>
      <c r="AK98" s="3628"/>
      <c r="AL98" s="3628"/>
      <c r="AM98" s="3628"/>
      <c r="AN98" s="3628"/>
      <c r="AO98" s="3628"/>
      <c r="AP98" s="3628"/>
      <c r="AQ98" s="3628"/>
      <c r="AR98" s="3628"/>
      <c r="AS98" s="3628"/>
    </row>
    <row r="99" spans="2:45">
      <c r="B99" s="3628"/>
      <c r="C99" s="3796"/>
      <c r="D99" s="3628"/>
      <c r="E99" s="3628"/>
      <c r="F99" s="3628"/>
      <c r="G99" s="3628"/>
      <c r="H99" s="3628"/>
      <c r="I99" s="3628"/>
      <c r="J99" s="3628"/>
      <c r="K99" s="3628"/>
      <c r="L99" s="3628"/>
      <c r="M99" s="3628"/>
      <c r="N99" s="3628"/>
      <c r="O99" s="3628"/>
      <c r="P99" s="3628"/>
      <c r="Q99" s="3628"/>
      <c r="R99" s="3628"/>
      <c r="S99" s="3628"/>
      <c r="T99" s="3628"/>
      <c r="U99" s="3628"/>
      <c r="V99" s="3628"/>
      <c r="W99" s="3628"/>
      <c r="X99" s="3628"/>
      <c r="Y99" s="3628"/>
      <c r="Z99" s="3628"/>
      <c r="AA99" s="3628"/>
      <c r="AB99" s="3628"/>
      <c r="AC99" s="3628"/>
      <c r="AD99" s="3628"/>
      <c r="AE99" s="3628"/>
      <c r="AF99" s="3628"/>
      <c r="AG99" s="3628"/>
      <c r="AH99" s="3628"/>
      <c r="AI99" s="3628"/>
      <c r="AJ99" s="3628"/>
      <c r="AK99" s="3628"/>
      <c r="AL99" s="3628"/>
      <c r="AM99" s="3628"/>
      <c r="AN99" s="3628"/>
      <c r="AO99" s="3628"/>
      <c r="AP99" s="3628"/>
      <c r="AQ99" s="3628"/>
      <c r="AR99" s="3628"/>
      <c r="AS99" s="3628"/>
    </row>
    <row r="100" spans="2:45">
      <c r="B100" s="3628"/>
      <c r="C100" s="3796"/>
      <c r="D100" s="3628"/>
      <c r="E100" s="3628"/>
      <c r="F100" s="3628"/>
      <c r="G100" s="3628"/>
      <c r="H100" s="3628"/>
      <c r="I100" s="3628"/>
      <c r="J100" s="3628"/>
      <c r="K100" s="3628"/>
      <c r="L100" s="3628"/>
      <c r="M100" s="3628"/>
      <c r="N100" s="3628"/>
      <c r="O100" s="3628"/>
      <c r="P100" s="3628"/>
      <c r="Q100" s="3628"/>
      <c r="R100" s="3628"/>
      <c r="S100" s="3628"/>
      <c r="T100" s="3628"/>
      <c r="U100" s="3628"/>
      <c r="V100" s="3628"/>
      <c r="W100" s="3628"/>
      <c r="X100" s="3628"/>
      <c r="Y100" s="3628"/>
      <c r="Z100" s="3628"/>
      <c r="AA100" s="3628"/>
      <c r="AB100" s="3628"/>
      <c r="AC100" s="3628"/>
      <c r="AD100" s="3628"/>
      <c r="AE100" s="3628"/>
      <c r="AF100" s="3628"/>
      <c r="AG100" s="3628"/>
      <c r="AH100" s="3628"/>
      <c r="AI100" s="3628"/>
      <c r="AJ100" s="3628"/>
      <c r="AK100" s="3628"/>
      <c r="AL100" s="3628"/>
      <c r="AM100" s="3628"/>
      <c r="AN100" s="3628"/>
      <c r="AO100" s="3628"/>
      <c r="AP100" s="3628"/>
      <c r="AQ100" s="3628"/>
      <c r="AR100" s="3628"/>
      <c r="AS100" s="3628"/>
    </row>
    <row r="101" spans="2:45">
      <c r="B101" s="3628"/>
      <c r="C101" s="3796"/>
      <c r="D101" s="3628"/>
      <c r="E101" s="3628"/>
      <c r="F101" s="3628"/>
      <c r="G101" s="3628"/>
      <c r="H101" s="3628"/>
      <c r="I101" s="3628"/>
      <c r="J101" s="3628"/>
      <c r="K101" s="3628"/>
      <c r="L101" s="3628"/>
      <c r="M101" s="3628"/>
      <c r="N101" s="3628"/>
      <c r="O101" s="3628"/>
      <c r="P101" s="3628"/>
      <c r="Q101" s="3628"/>
      <c r="R101" s="3628"/>
      <c r="S101" s="3628"/>
      <c r="T101" s="3628"/>
      <c r="U101" s="3628"/>
      <c r="V101" s="3628"/>
      <c r="W101" s="3628"/>
      <c r="X101" s="3628"/>
      <c r="Y101" s="3628"/>
      <c r="Z101" s="3628"/>
      <c r="AA101" s="3628"/>
      <c r="AB101" s="3628"/>
      <c r="AC101" s="3628"/>
      <c r="AD101" s="3628"/>
      <c r="AE101" s="3628"/>
      <c r="AF101" s="3628"/>
      <c r="AG101" s="3628"/>
      <c r="AH101" s="3628"/>
      <c r="AI101" s="3628"/>
      <c r="AJ101" s="3628"/>
      <c r="AK101" s="3628"/>
      <c r="AL101" s="3628"/>
      <c r="AM101" s="3628"/>
      <c r="AN101" s="3628"/>
      <c r="AO101" s="3628"/>
      <c r="AP101" s="3628"/>
      <c r="AQ101" s="3628"/>
      <c r="AR101" s="3628"/>
      <c r="AS101" s="3628"/>
    </row>
    <row r="102" spans="2:45">
      <c r="B102" s="3628"/>
      <c r="C102" s="3796"/>
      <c r="D102" s="3628"/>
      <c r="E102" s="3628"/>
      <c r="F102" s="3628"/>
      <c r="G102" s="3628"/>
      <c r="H102" s="3628"/>
      <c r="I102" s="3628"/>
      <c r="J102" s="3628"/>
      <c r="K102" s="3628"/>
      <c r="L102" s="3628"/>
      <c r="M102" s="3628"/>
      <c r="N102" s="3628"/>
      <c r="O102" s="3628"/>
      <c r="P102" s="3628"/>
      <c r="Q102" s="3628"/>
      <c r="R102" s="3628"/>
      <c r="S102" s="3628"/>
      <c r="T102" s="3628"/>
      <c r="U102" s="3628"/>
      <c r="V102" s="3628"/>
      <c r="W102" s="3628"/>
      <c r="X102" s="3628"/>
      <c r="Y102" s="3628"/>
      <c r="Z102" s="3628"/>
      <c r="AA102" s="3628"/>
      <c r="AB102" s="3628"/>
      <c r="AC102" s="3628"/>
      <c r="AD102" s="3628"/>
      <c r="AE102" s="3628"/>
      <c r="AF102" s="3628"/>
      <c r="AG102" s="3628"/>
      <c r="AH102" s="3628"/>
      <c r="AI102" s="3628"/>
      <c r="AJ102" s="3628"/>
      <c r="AK102" s="3628"/>
      <c r="AL102" s="3628"/>
      <c r="AM102" s="3628"/>
      <c r="AN102" s="3628"/>
      <c r="AO102" s="3628"/>
      <c r="AP102" s="3628"/>
      <c r="AQ102" s="3628"/>
      <c r="AR102" s="3628"/>
      <c r="AS102" s="3628"/>
    </row>
    <row r="103" spans="2:45">
      <c r="B103" s="3628"/>
      <c r="C103" s="3796"/>
      <c r="D103" s="3628"/>
      <c r="E103" s="3628"/>
      <c r="F103" s="3628"/>
      <c r="G103" s="3628"/>
      <c r="H103" s="3628"/>
      <c r="I103" s="3628"/>
      <c r="J103" s="3628"/>
      <c r="K103" s="3628"/>
      <c r="L103" s="3628"/>
      <c r="M103" s="3628"/>
      <c r="N103" s="3628"/>
      <c r="O103" s="3628"/>
      <c r="P103" s="3628"/>
      <c r="Q103" s="3628"/>
      <c r="R103" s="3628"/>
      <c r="S103" s="3628"/>
      <c r="T103" s="3628"/>
      <c r="U103" s="3628"/>
      <c r="V103" s="3628"/>
      <c r="W103" s="3628"/>
      <c r="X103" s="3628"/>
      <c r="Y103" s="3628"/>
      <c r="Z103" s="3628"/>
      <c r="AA103" s="3628"/>
      <c r="AB103" s="3628"/>
      <c r="AC103" s="3628"/>
      <c r="AD103" s="3628"/>
      <c r="AE103" s="3628"/>
      <c r="AF103" s="3628"/>
      <c r="AG103" s="3628"/>
      <c r="AH103" s="3628"/>
      <c r="AI103" s="3628"/>
      <c r="AJ103" s="3628"/>
      <c r="AK103" s="3628"/>
      <c r="AL103" s="3628"/>
      <c r="AM103" s="3628"/>
      <c r="AN103" s="3628"/>
      <c r="AO103" s="3628"/>
      <c r="AP103" s="3628"/>
      <c r="AQ103" s="3628"/>
      <c r="AR103" s="3628"/>
      <c r="AS103" s="3628"/>
    </row>
    <row r="104" spans="2:45">
      <c r="B104" s="3628"/>
      <c r="C104" s="3796"/>
      <c r="D104" s="3628"/>
      <c r="E104" s="3628"/>
      <c r="F104" s="3628"/>
      <c r="G104" s="3628"/>
      <c r="H104" s="3628"/>
      <c r="I104" s="3628"/>
      <c r="J104" s="3628"/>
      <c r="K104" s="3628"/>
      <c r="L104" s="3628"/>
      <c r="M104" s="3628"/>
      <c r="N104" s="3628"/>
      <c r="O104" s="3628"/>
      <c r="P104" s="3628"/>
      <c r="Q104" s="3628"/>
      <c r="R104" s="3628"/>
      <c r="S104" s="3628"/>
      <c r="T104" s="3628"/>
      <c r="U104" s="3628"/>
      <c r="V104" s="3628"/>
      <c r="W104" s="3628"/>
      <c r="X104" s="3628"/>
      <c r="Y104" s="3628"/>
      <c r="Z104" s="3628"/>
      <c r="AA104" s="3628"/>
      <c r="AB104" s="3628"/>
      <c r="AC104" s="3628"/>
      <c r="AD104" s="3628"/>
      <c r="AE104" s="3628"/>
      <c r="AF104" s="3628"/>
      <c r="AG104" s="3628"/>
      <c r="AH104" s="3628"/>
      <c r="AI104" s="3628"/>
      <c r="AJ104" s="3628"/>
      <c r="AK104" s="3628"/>
      <c r="AL104" s="3628"/>
      <c r="AM104" s="3628"/>
      <c r="AN104" s="3628"/>
      <c r="AO104" s="3628"/>
      <c r="AP104" s="3628"/>
      <c r="AQ104" s="3628"/>
      <c r="AR104" s="3628"/>
      <c r="AS104" s="3628"/>
    </row>
    <row r="105" spans="2:45">
      <c r="B105" s="3628"/>
      <c r="C105" s="3796"/>
      <c r="D105" s="3628"/>
      <c r="E105" s="3628"/>
      <c r="F105" s="3628"/>
      <c r="G105" s="3628"/>
      <c r="H105" s="3628"/>
      <c r="I105" s="3628"/>
      <c r="J105" s="3628"/>
      <c r="K105" s="3628"/>
      <c r="L105" s="3628"/>
      <c r="M105" s="3628"/>
      <c r="N105" s="3628"/>
      <c r="O105" s="3628"/>
      <c r="P105" s="3628"/>
      <c r="Q105" s="3628"/>
      <c r="R105" s="3628"/>
      <c r="S105" s="3628"/>
      <c r="T105" s="3628"/>
      <c r="U105" s="3628"/>
      <c r="V105" s="3628"/>
      <c r="W105" s="3628"/>
      <c r="X105" s="3628"/>
      <c r="Y105" s="3628"/>
      <c r="Z105" s="3628"/>
      <c r="AA105" s="3628"/>
      <c r="AB105" s="3628"/>
      <c r="AC105" s="3628"/>
      <c r="AD105" s="3628"/>
      <c r="AE105" s="3628"/>
      <c r="AF105" s="3628"/>
      <c r="AG105" s="3628"/>
      <c r="AH105" s="3628"/>
      <c r="AI105" s="3628"/>
      <c r="AJ105" s="3628"/>
      <c r="AK105" s="3628"/>
      <c r="AL105" s="3628"/>
      <c r="AM105" s="3628"/>
      <c r="AN105" s="3628"/>
      <c r="AO105" s="3628"/>
      <c r="AP105" s="3628"/>
      <c r="AQ105" s="3628"/>
      <c r="AR105" s="3628"/>
      <c r="AS105" s="3628"/>
    </row>
    <row r="106" spans="2:45">
      <c r="B106" s="3628"/>
      <c r="C106" s="3796"/>
      <c r="D106" s="3628"/>
      <c r="E106" s="3628"/>
      <c r="F106" s="3628"/>
      <c r="G106" s="3628"/>
      <c r="H106" s="3628"/>
      <c r="I106" s="3628"/>
      <c r="J106" s="3628"/>
      <c r="K106" s="3628"/>
      <c r="L106" s="3628"/>
      <c r="M106" s="3628"/>
      <c r="N106" s="3628"/>
      <c r="O106" s="3628"/>
      <c r="P106" s="3628"/>
      <c r="Q106" s="3628"/>
      <c r="R106" s="3628"/>
      <c r="S106" s="3628"/>
      <c r="T106" s="3628"/>
      <c r="U106" s="3628"/>
      <c r="V106" s="3628"/>
      <c r="W106" s="3628"/>
      <c r="X106" s="3628"/>
      <c r="Y106" s="3628"/>
      <c r="Z106" s="3628"/>
      <c r="AA106" s="3628"/>
      <c r="AB106" s="3628"/>
      <c r="AC106" s="3628"/>
      <c r="AD106" s="3628"/>
      <c r="AE106" s="3628"/>
      <c r="AF106" s="3628"/>
      <c r="AG106" s="3628"/>
      <c r="AH106" s="3628"/>
      <c r="AI106" s="3628"/>
      <c r="AJ106" s="3628"/>
      <c r="AK106" s="3628"/>
      <c r="AL106" s="3628"/>
      <c r="AM106" s="3628"/>
      <c r="AN106" s="3628"/>
      <c r="AO106" s="3628"/>
      <c r="AP106" s="3628"/>
      <c r="AQ106" s="3628"/>
      <c r="AR106" s="3628"/>
      <c r="AS106" s="3628"/>
    </row>
    <row r="107" spans="2:45">
      <c r="B107" s="3628"/>
      <c r="C107" s="3796"/>
      <c r="D107" s="3628"/>
      <c r="E107" s="3628"/>
      <c r="F107" s="3628"/>
      <c r="G107" s="3628"/>
      <c r="H107" s="3628"/>
      <c r="I107" s="3628"/>
      <c r="J107" s="3628"/>
      <c r="K107" s="3628"/>
      <c r="L107" s="3628"/>
      <c r="M107" s="3628"/>
      <c r="N107" s="3628"/>
      <c r="O107" s="3628"/>
      <c r="P107" s="3628"/>
      <c r="Q107" s="3628"/>
      <c r="R107" s="3628"/>
      <c r="S107" s="3628"/>
      <c r="T107" s="3628"/>
      <c r="U107" s="3628"/>
      <c r="V107" s="3628"/>
      <c r="W107" s="3628"/>
      <c r="X107" s="3628"/>
      <c r="Y107" s="3628"/>
      <c r="Z107" s="3628"/>
      <c r="AA107" s="3628"/>
      <c r="AB107" s="3628"/>
      <c r="AC107" s="3628"/>
      <c r="AD107" s="3628"/>
      <c r="AE107" s="3628"/>
      <c r="AF107" s="3628"/>
      <c r="AG107" s="3628"/>
      <c r="AH107" s="3628"/>
      <c r="AI107" s="3628"/>
      <c r="AJ107" s="3628"/>
      <c r="AK107" s="3628"/>
      <c r="AL107" s="3628"/>
      <c r="AM107" s="3628"/>
      <c r="AN107" s="3628"/>
      <c r="AO107" s="3628"/>
      <c r="AP107" s="3628"/>
      <c r="AQ107" s="3628"/>
      <c r="AR107" s="3628"/>
      <c r="AS107" s="3628"/>
    </row>
    <row r="108" spans="2:45">
      <c r="B108" s="3628"/>
      <c r="C108" s="3796"/>
      <c r="D108" s="3628"/>
      <c r="E108" s="3628"/>
      <c r="F108" s="3628"/>
      <c r="G108" s="3628"/>
      <c r="H108" s="3628"/>
      <c r="I108" s="3628"/>
      <c r="J108" s="3628"/>
      <c r="K108" s="3628"/>
      <c r="L108" s="3628"/>
      <c r="M108" s="3628"/>
      <c r="N108" s="3628"/>
      <c r="O108" s="3628"/>
      <c r="P108" s="3628"/>
      <c r="Q108" s="3628"/>
      <c r="R108" s="3628"/>
      <c r="S108" s="3628"/>
      <c r="T108" s="3628"/>
      <c r="U108" s="3628"/>
      <c r="V108" s="3628"/>
      <c r="W108" s="3628"/>
      <c r="X108" s="3628"/>
      <c r="Y108" s="3628"/>
      <c r="Z108" s="3628"/>
      <c r="AA108" s="3628"/>
      <c r="AB108" s="3628"/>
      <c r="AC108" s="3628"/>
      <c r="AD108" s="3628"/>
      <c r="AE108" s="3628"/>
      <c r="AF108" s="3628"/>
      <c r="AG108" s="3628"/>
      <c r="AH108" s="3628"/>
      <c r="AI108" s="3628"/>
      <c r="AJ108" s="3628"/>
      <c r="AK108" s="3628"/>
      <c r="AL108" s="3628"/>
      <c r="AM108" s="3628"/>
      <c r="AN108" s="3628"/>
      <c r="AO108" s="3628"/>
      <c r="AP108" s="3628"/>
      <c r="AQ108" s="3628"/>
      <c r="AR108" s="3628"/>
      <c r="AS108" s="3628"/>
    </row>
    <row r="109" spans="2:45">
      <c r="B109" s="3628"/>
      <c r="C109" s="3796"/>
      <c r="D109" s="3628"/>
      <c r="E109" s="3628"/>
      <c r="F109" s="3628"/>
      <c r="G109" s="3628"/>
      <c r="H109" s="3628"/>
      <c r="I109" s="3628"/>
      <c r="J109" s="3628"/>
      <c r="K109" s="3628"/>
      <c r="L109" s="3628"/>
      <c r="M109" s="3628"/>
      <c r="N109" s="3628"/>
      <c r="O109" s="3628"/>
      <c r="P109" s="3628"/>
      <c r="Q109" s="3628"/>
      <c r="R109" s="3628"/>
      <c r="S109" s="3628"/>
      <c r="T109" s="3628"/>
      <c r="U109" s="3628"/>
      <c r="V109" s="3628"/>
      <c r="W109" s="3628"/>
      <c r="X109" s="3628"/>
      <c r="Y109" s="3628"/>
      <c r="Z109" s="3628"/>
      <c r="AA109" s="3628"/>
      <c r="AB109" s="3628"/>
      <c r="AC109" s="3628"/>
      <c r="AD109" s="3628"/>
      <c r="AE109" s="3628"/>
      <c r="AF109" s="3628"/>
      <c r="AG109" s="3628"/>
      <c r="AH109" s="3628"/>
      <c r="AI109" s="3628"/>
      <c r="AJ109" s="3628"/>
      <c r="AK109" s="3628"/>
      <c r="AL109" s="3628"/>
      <c r="AM109" s="3628"/>
      <c r="AN109" s="3628"/>
      <c r="AO109" s="3628"/>
      <c r="AP109" s="3628"/>
      <c r="AQ109" s="3628"/>
      <c r="AR109" s="3628"/>
      <c r="AS109" s="3628"/>
    </row>
    <row r="110" spans="2:45">
      <c r="B110" s="3628"/>
      <c r="C110" s="3796"/>
      <c r="D110" s="3628"/>
      <c r="E110" s="3628"/>
      <c r="F110" s="3628"/>
      <c r="G110" s="3628"/>
      <c r="H110" s="3628"/>
      <c r="I110" s="3628"/>
      <c r="J110" s="3628"/>
      <c r="K110" s="3628"/>
      <c r="L110" s="3628"/>
      <c r="M110" s="3628"/>
      <c r="N110" s="3628"/>
      <c r="O110" s="3628"/>
      <c r="P110" s="3628"/>
      <c r="Q110" s="3628"/>
      <c r="R110" s="3628"/>
      <c r="S110" s="3628"/>
      <c r="T110" s="3628"/>
      <c r="U110" s="3628"/>
      <c r="V110" s="3628"/>
      <c r="W110" s="3628"/>
      <c r="X110" s="3628"/>
      <c r="Y110" s="3628"/>
      <c r="Z110" s="3628"/>
      <c r="AA110" s="3628"/>
      <c r="AB110" s="3628"/>
      <c r="AC110" s="3628"/>
      <c r="AD110" s="3628"/>
      <c r="AE110" s="3628"/>
      <c r="AF110" s="3628"/>
      <c r="AG110" s="3628"/>
      <c r="AH110" s="3628"/>
      <c r="AI110" s="3628"/>
      <c r="AJ110" s="3628"/>
      <c r="AK110" s="3628"/>
      <c r="AL110" s="3628"/>
      <c r="AM110" s="3628"/>
      <c r="AN110" s="3628"/>
      <c r="AO110" s="3628"/>
      <c r="AP110" s="3628"/>
      <c r="AQ110" s="3628"/>
      <c r="AR110" s="3628"/>
      <c r="AS110" s="3628"/>
    </row>
    <row r="111" spans="2:45">
      <c r="B111" s="3628"/>
      <c r="C111" s="3796"/>
      <c r="D111" s="3628"/>
      <c r="E111" s="3628"/>
      <c r="F111" s="3628"/>
      <c r="G111" s="3628"/>
      <c r="H111" s="3628"/>
      <c r="I111" s="3628"/>
      <c r="J111" s="3628"/>
      <c r="K111" s="3628"/>
      <c r="L111" s="3628"/>
      <c r="M111" s="3628"/>
      <c r="N111" s="3628"/>
      <c r="O111" s="3628"/>
      <c r="P111" s="3628"/>
      <c r="Q111" s="3628"/>
      <c r="R111" s="3628"/>
      <c r="S111" s="3628"/>
      <c r="T111" s="3628"/>
      <c r="U111" s="3628"/>
      <c r="V111" s="3628"/>
      <c r="W111" s="3628"/>
      <c r="X111" s="3628"/>
      <c r="Y111" s="3628"/>
      <c r="Z111" s="3628"/>
      <c r="AA111" s="3628"/>
      <c r="AB111" s="3628"/>
      <c r="AC111" s="3628"/>
      <c r="AD111" s="3628"/>
      <c r="AE111" s="3628"/>
      <c r="AF111" s="3628"/>
      <c r="AG111" s="3628"/>
      <c r="AH111" s="3628"/>
      <c r="AI111" s="3628"/>
      <c r="AJ111" s="3628"/>
      <c r="AK111" s="3628"/>
      <c r="AL111" s="3628"/>
      <c r="AM111" s="3628"/>
      <c r="AN111" s="3628"/>
      <c r="AO111" s="3628"/>
      <c r="AP111" s="3628"/>
      <c r="AQ111" s="3628"/>
      <c r="AR111" s="3628"/>
      <c r="AS111" s="3628"/>
    </row>
    <row r="112" spans="2:45">
      <c r="B112" s="3628"/>
      <c r="C112" s="3796"/>
      <c r="D112" s="3628"/>
      <c r="E112" s="3628"/>
      <c r="F112" s="3628"/>
      <c r="G112" s="3628"/>
      <c r="H112" s="3628"/>
      <c r="I112" s="3628"/>
      <c r="J112" s="3628"/>
      <c r="K112" s="3628"/>
      <c r="L112" s="3628"/>
      <c r="M112" s="3628"/>
      <c r="N112" s="3628"/>
      <c r="O112" s="3628"/>
      <c r="P112" s="3628"/>
      <c r="Q112" s="3628"/>
      <c r="R112" s="3628"/>
      <c r="S112" s="3628"/>
      <c r="T112" s="3628"/>
      <c r="U112" s="3628"/>
      <c r="V112" s="3628"/>
      <c r="W112" s="3628"/>
      <c r="X112" s="3628"/>
      <c r="Y112" s="3628"/>
      <c r="Z112" s="3628"/>
      <c r="AA112" s="3628"/>
      <c r="AB112" s="3628"/>
      <c r="AC112" s="3628"/>
      <c r="AD112" s="3628"/>
      <c r="AE112" s="3628"/>
      <c r="AF112" s="3628"/>
      <c r="AG112" s="3628"/>
      <c r="AH112" s="3628"/>
      <c r="AI112" s="3628"/>
      <c r="AJ112" s="3628"/>
      <c r="AK112" s="3628"/>
      <c r="AL112" s="3628"/>
      <c r="AM112" s="3628"/>
      <c r="AN112" s="3628"/>
      <c r="AO112" s="3628"/>
      <c r="AP112" s="3628"/>
      <c r="AQ112" s="3628"/>
      <c r="AR112" s="3628"/>
      <c r="AS112" s="3628"/>
    </row>
    <row r="113" spans="2:45">
      <c r="B113" s="3628"/>
      <c r="C113" s="3796"/>
      <c r="D113" s="3628"/>
      <c r="E113" s="3628"/>
      <c r="F113" s="3628"/>
      <c r="G113" s="3628"/>
      <c r="H113" s="3628"/>
      <c r="I113" s="3628"/>
      <c r="J113" s="3628"/>
      <c r="K113" s="3628"/>
      <c r="L113" s="3628"/>
      <c r="M113" s="3628"/>
      <c r="N113" s="3628"/>
      <c r="O113" s="3628"/>
      <c r="P113" s="3628"/>
      <c r="Q113" s="3628"/>
      <c r="R113" s="3628"/>
      <c r="S113" s="3628"/>
      <c r="T113" s="3628"/>
      <c r="U113" s="3628"/>
      <c r="V113" s="3628"/>
      <c r="W113" s="3628"/>
      <c r="X113" s="3628"/>
      <c r="Y113" s="3628"/>
      <c r="Z113" s="3628"/>
      <c r="AA113" s="3628"/>
      <c r="AB113" s="3628"/>
      <c r="AC113" s="3628"/>
      <c r="AD113" s="3628"/>
      <c r="AE113" s="3628"/>
      <c r="AF113" s="3628"/>
      <c r="AG113" s="3628"/>
      <c r="AH113" s="3628"/>
      <c r="AI113" s="3628"/>
      <c r="AJ113" s="3628"/>
      <c r="AK113" s="3628"/>
      <c r="AL113" s="3628"/>
      <c r="AM113" s="3628"/>
      <c r="AN113" s="3628"/>
      <c r="AO113" s="3628"/>
      <c r="AP113" s="3628"/>
      <c r="AQ113" s="3628"/>
      <c r="AR113" s="3628"/>
      <c r="AS113" s="3628"/>
    </row>
    <row r="114" spans="2:45">
      <c r="B114" s="3628"/>
      <c r="C114" s="3796"/>
      <c r="D114" s="3628"/>
      <c r="E114" s="3628"/>
      <c r="F114" s="3628"/>
      <c r="G114" s="3628"/>
      <c r="H114" s="3628"/>
      <c r="I114" s="3628"/>
      <c r="J114" s="3628"/>
      <c r="K114" s="3628"/>
      <c r="L114" s="3628"/>
      <c r="M114" s="3628"/>
      <c r="N114" s="3628"/>
      <c r="O114" s="3628"/>
      <c r="P114" s="3628"/>
      <c r="Q114" s="3628"/>
      <c r="R114" s="3628"/>
      <c r="S114" s="3628"/>
      <c r="T114" s="3628"/>
      <c r="U114" s="3628"/>
      <c r="V114" s="3628"/>
      <c r="W114" s="3628"/>
      <c r="X114" s="3628"/>
      <c r="Y114" s="3628"/>
      <c r="Z114" s="3628"/>
      <c r="AA114" s="3628"/>
      <c r="AB114" s="3628"/>
      <c r="AC114" s="3628"/>
      <c r="AD114" s="3628"/>
      <c r="AE114" s="3628"/>
      <c r="AF114" s="3628"/>
      <c r="AG114" s="3628"/>
      <c r="AH114" s="3628"/>
      <c r="AI114" s="3628"/>
      <c r="AJ114" s="3628"/>
      <c r="AK114" s="3628"/>
      <c r="AL114" s="3628"/>
      <c r="AM114" s="3628"/>
      <c r="AN114" s="3628"/>
      <c r="AO114" s="3628"/>
      <c r="AP114" s="3628"/>
      <c r="AQ114" s="3628"/>
      <c r="AR114" s="3628"/>
      <c r="AS114" s="3628"/>
    </row>
    <row r="115" spans="2:45">
      <c r="B115" s="3628"/>
      <c r="C115" s="3796"/>
      <c r="D115" s="3628"/>
      <c r="E115" s="3628"/>
      <c r="F115" s="3628"/>
      <c r="G115" s="3628"/>
      <c r="H115" s="3628"/>
      <c r="I115" s="3628"/>
      <c r="J115" s="3628"/>
      <c r="K115" s="3628"/>
      <c r="L115" s="3628"/>
      <c r="M115" s="3628"/>
      <c r="N115" s="3628"/>
      <c r="O115" s="3628"/>
      <c r="P115" s="3628"/>
      <c r="Q115" s="3628"/>
      <c r="R115" s="3628"/>
      <c r="S115" s="3628"/>
      <c r="T115" s="3628"/>
      <c r="U115" s="3628"/>
      <c r="V115" s="3628"/>
      <c r="W115" s="3628"/>
      <c r="X115" s="3628"/>
      <c r="Y115" s="3628"/>
      <c r="Z115" s="3628"/>
      <c r="AA115" s="3628"/>
      <c r="AB115" s="3628"/>
      <c r="AC115" s="3628"/>
      <c r="AD115" s="3628"/>
      <c r="AE115" s="3628"/>
      <c r="AF115" s="3628"/>
      <c r="AG115" s="3628"/>
      <c r="AH115" s="3628"/>
      <c r="AI115" s="3628"/>
      <c r="AJ115" s="3628"/>
      <c r="AK115" s="3628"/>
      <c r="AL115" s="3628"/>
      <c r="AM115" s="3628"/>
      <c r="AN115" s="3628"/>
      <c r="AO115" s="3628"/>
      <c r="AP115" s="3628"/>
      <c r="AQ115" s="3628"/>
      <c r="AR115" s="3628"/>
      <c r="AS115" s="3628"/>
    </row>
    <row r="116" spans="2:45">
      <c r="B116" s="3628"/>
      <c r="C116" s="3796"/>
      <c r="D116" s="3628"/>
      <c r="E116" s="3628"/>
      <c r="F116" s="3628"/>
      <c r="G116" s="3628"/>
      <c r="H116" s="3628"/>
      <c r="I116" s="3628"/>
      <c r="J116" s="3628"/>
      <c r="K116" s="3628"/>
      <c r="L116" s="3628"/>
      <c r="M116" s="3628"/>
      <c r="N116" s="3628"/>
      <c r="O116" s="3628"/>
      <c r="P116" s="3628"/>
      <c r="Q116" s="3628"/>
      <c r="R116" s="3628"/>
      <c r="S116" s="3628"/>
      <c r="T116" s="3628"/>
      <c r="U116" s="3628"/>
      <c r="V116" s="3628"/>
      <c r="W116" s="3628"/>
      <c r="X116" s="3628"/>
      <c r="Y116" s="3628"/>
      <c r="Z116" s="3628"/>
      <c r="AA116" s="3628"/>
      <c r="AB116" s="3628"/>
      <c r="AC116" s="3628"/>
      <c r="AD116" s="3628"/>
      <c r="AE116" s="3628"/>
      <c r="AF116" s="3628"/>
      <c r="AG116" s="3628"/>
      <c r="AH116" s="3628"/>
      <c r="AI116" s="3628"/>
      <c r="AJ116" s="3628"/>
      <c r="AK116" s="3628"/>
      <c r="AL116" s="3628"/>
      <c r="AM116" s="3628"/>
      <c r="AN116" s="3628"/>
      <c r="AO116" s="3628"/>
      <c r="AP116" s="3628"/>
      <c r="AQ116" s="3628"/>
      <c r="AR116" s="3628"/>
      <c r="AS116" s="3628"/>
    </row>
    <row r="117" spans="2:45">
      <c r="B117" s="3628"/>
      <c r="C117" s="3796"/>
      <c r="D117" s="3628"/>
      <c r="E117" s="3628"/>
      <c r="F117" s="3628"/>
      <c r="G117" s="3628"/>
      <c r="H117" s="3628"/>
      <c r="I117" s="3628"/>
      <c r="J117" s="3628"/>
      <c r="K117" s="3628"/>
      <c r="L117" s="3628"/>
      <c r="M117" s="3628"/>
      <c r="N117" s="3628"/>
      <c r="O117" s="3628"/>
      <c r="P117" s="3628"/>
      <c r="Q117" s="3628"/>
      <c r="R117" s="3628"/>
      <c r="S117" s="3628"/>
      <c r="T117" s="3628"/>
      <c r="U117" s="3628"/>
      <c r="V117" s="3628"/>
      <c r="W117" s="3628"/>
      <c r="X117" s="3628"/>
      <c r="Y117" s="3628"/>
      <c r="Z117" s="3628"/>
      <c r="AA117" s="3628"/>
      <c r="AB117" s="3628"/>
      <c r="AC117" s="3628"/>
      <c r="AD117" s="3628"/>
      <c r="AE117" s="3628"/>
      <c r="AF117" s="3628"/>
      <c r="AG117" s="3628"/>
      <c r="AH117" s="3628"/>
      <c r="AI117" s="3628"/>
      <c r="AJ117" s="3628"/>
      <c r="AK117" s="3628"/>
      <c r="AL117" s="3628"/>
      <c r="AM117" s="3628"/>
      <c r="AN117" s="3628"/>
      <c r="AO117" s="3628"/>
      <c r="AP117" s="3628"/>
      <c r="AQ117" s="3628"/>
      <c r="AR117" s="3628"/>
      <c r="AS117" s="3628"/>
    </row>
    <row r="118" spans="2:45">
      <c r="B118" s="3628"/>
      <c r="C118" s="3796"/>
      <c r="D118" s="3628"/>
      <c r="E118" s="3628"/>
      <c r="F118" s="3628"/>
      <c r="G118" s="3628"/>
      <c r="H118" s="3628"/>
      <c r="I118" s="3628"/>
      <c r="J118" s="3628"/>
      <c r="K118" s="3628"/>
      <c r="L118" s="3628"/>
      <c r="M118" s="3628"/>
      <c r="N118" s="3628"/>
      <c r="O118" s="3628"/>
      <c r="P118" s="3628"/>
      <c r="Q118" s="3628"/>
      <c r="R118" s="3628"/>
      <c r="S118" s="3628"/>
      <c r="T118" s="3628"/>
      <c r="U118" s="3628"/>
      <c r="V118" s="3628"/>
      <c r="W118" s="3628"/>
      <c r="X118" s="3628"/>
      <c r="Y118" s="3628"/>
      <c r="Z118" s="3628"/>
      <c r="AA118" s="3628"/>
      <c r="AB118" s="3628"/>
      <c r="AC118" s="3628"/>
      <c r="AD118" s="3628"/>
      <c r="AE118" s="3628"/>
      <c r="AF118" s="3628"/>
      <c r="AG118" s="3628"/>
      <c r="AH118" s="3628"/>
      <c r="AI118" s="3628"/>
      <c r="AJ118" s="3628"/>
      <c r="AK118" s="3628"/>
      <c r="AL118" s="3628"/>
      <c r="AM118" s="3628"/>
      <c r="AN118" s="3628"/>
      <c r="AO118" s="3628"/>
      <c r="AP118" s="3628"/>
      <c r="AQ118" s="3628"/>
      <c r="AR118" s="3628"/>
      <c r="AS118" s="3628"/>
    </row>
    <row r="119" spans="2:45">
      <c r="B119" s="3628"/>
      <c r="C119" s="3796"/>
      <c r="D119" s="3628"/>
      <c r="E119" s="3628"/>
      <c r="F119" s="3628"/>
      <c r="G119" s="3628"/>
      <c r="H119" s="3628"/>
      <c r="I119" s="3628"/>
      <c r="J119" s="3628"/>
      <c r="K119" s="3628"/>
      <c r="L119" s="3628"/>
      <c r="M119" s="3628"/>
      <c r="N119" s="3628"/>
      <c r="O119" s="3628"/>
      <c r="P119" s="3628"/>
      <c r="Q119" s="3628"/>
      <c r="R119" s="3628"/>
      <c r="S119" s="3628"/>
      <c r="T119" s="3628"/>
      <c r="U119" s="3628"/>
      <c r="V119" s="3628"/>
      <c r="W119" s="3628"/>
      <c r="X119" s="3628"/>
      <c r="Y119" s="3628"/>
      <c r="Z119" s="3628"/>
      <c r="AA119" s="3628"/>
      <c r="AB119" s="3628"/>
      <c r="AC119" s="3628"/>
      <c r="AD119" s="3628"/>
      <c r="AE119" s="3628"/>
      <c r="AF119" s="3628"/>
      <c r="AG119" s="3628"/>
      <c r="AH119" s="3628"/>
      <c r="AI119" s="3628"/>
      <c r="AJ119" s="3628"/>
      <c r="AK119" s="3628"/>
      <c r="AL119" s="3628"/>
      <c r="AM119" s="3628"/>
      <c r="AN119" s="3628"/>
      <c r="AO119" s="3628"/>
      <c r="AP119" s="3628"/>
      <c r="AQ119" s="3628"/>
      <c r="AR119" s="3628"/>
      <c r="AS119" s="3628"/>
    </row>
    <row r="120" spans="2:45">
      <c r="B120" s="3628"/>
      <c r="C120" s="3796"/>
      <c r="D120" s="3628"/>
      <c r="E120" s="3628"/>
      <c r="F120" s="3628"/>
      <c r="G120" s="3628"/>
      <c r="H120" s="3628"/>
      <c r="I120" s="3628"/>
      <c r="J120" s="3628"/>
      <c r="K120" s="3628"/>
      <c r="L120" s="3628"/>
      <c r="M120" s="3628"/>
      <c r="N120" s="3628"/>
      <c r="O120" s="3628"/>
      <c r="P120" s="3628"/>
      <c r="Q120" s="3628"/>
      <c r="R120" s="3628"/>
      <c r="S120" s="3628"/>
      <c r="T120" s="3628"/>
      <c r="U120" s="3628"/>
      <c r="V120" s="3628"/>
      <c r="W120" s="3628"/>
      <c r="X120" s="3628"/>
      <c r="Y120" s="3628"/>
      <c r="Z120" s="3628"/>
      <c r="AA120" s="3628"/>
      <c r="AB120" s="3628"/>
      <c r="AC120" s="3628"/>
      <c r="AD120" s="3628"/>
      <c r="AE120" s="3628"/>
      <c r="AF120" s="3628"/>
      <c r="AG120" s="3628"/>
      <c r="AH120" s="3628"/>
      <c r="AI120" s="3628"/>
      <c r="AJ120" s="3628"/>
      <c r="AK120" s="3628"/>
      <c r="AL120" s="3628"/>
      <c r="AM120" s="3628"/>
      <c r="AN120" s="3628"/>
      <c r="AO120" s="3628"/>
      <c r="AP120" s="3628"/>
      <c r="AQ120" s="3628"/>
      <c r="AR120" s="3628"/>
      <c r="AS120" s="3628"/>
    </row>
    <row r="121" spans="2:45">
      <c r="B121" s="3628"/>
      <c r="C121" s="3796"/>
      <c r="D121" s="3628"/>
      <c r="E121" s="3628"/>
      <c r="F121" s="3628"/>
      <c r="G121" s="3628"/>
      <c r="H121" s="3628"/>
      <c r="I121" s="3628"/>
      <c r="J121" s="3628"/>
      <c r="K121" s="3628"/>
      <c r="L121" s="3628"/>
      <c r="M121" s="3628"/>
      <c r="N121" s="3628"/>
      <c r="O121" s="3628"/>
      <c r="P121" s="3628"/>
      <c r="Q121" s="3628"/>
      <c r="R121" s="3628"/>
      <c r="S121" s="3628"/>
      <c r="T121" s="3628"/>
      <c r="U121" s="3628"/>
      <c r="V121" s="3628"/>
      <c r="W121" s="3628"/>
      <c r="X121" s="3628"/>
      <c r="Y121" s="3628"/>
      <c r="Z121" s="3628"/>
      <c r="AA121" s="3628"/>
      <c r="AB121" s="3628"/>
      <c r="AC121" s="3628"/>
      <c r="AD121" s="3628"/>
      <c r="AE121" s="3628"/>
      <c r="AF121" s="3628"/>
      <c r="AG121" s="3628"/>
      <c r="AH121" s="3628"/>
      <c r="AI121" s="3628"/>
      <c r="AJ121" s="3628"/>
      <c r="AK121" s="3628"/>
      <c r="AL121" s="3628"/>
      <c r="AM121" s="3628"/>
      <c r="AN121" s="3628"/>
      <c r="AO121" s="3628"/>
      <c r="AP121" s="3628"/>
      <c r="AQ121" s="3628"/>
      <c r="AR121" s="3628"/>
      <c r="AS121" s="3628"/>
    </row>
    <row r="122" spans="2:45">
      <c r="B122" s="3628"/>
      <c r="C122" s="3796"/>
      <c r="D122" s="3628"/>
      <c r="E122" s="3628"/>
      <c r="F122" s="3628"/>
      <c r="G122" s="3628"/>
      <c r="H122" s="3628"/>
      <c r="I122" s="3628"/>
      <c r="J122" s="3628"/>
      <c r="K122" s="3628"/>
      <c r="L122" s="3628"/>
      <c r="M122" s="3628"/>
      <c r="N122" s="3628"/>
      <c r="O122" s="3628"/>
      <c r="P122" s="3628"/>
      <c r="Q122" s="3628"/>
      <c r="R122" s="3628"/>
      <c r="S122" s="3628"/>
      <c r="T122" s="3628"/>
      <c r="U122" s="3628"/>
      <c r="V122" s="3628"/>
      <c r="W122" s="3628"/>
      <c r="X122" s="3628"/>
      <c r="Y122" s="3628"/>
      <c r="Z122" s="3628"/>
      <c r="AA122" s="3628"/>
      <c r="AB122" s="3628"/>
      <c r="AC122" s="3628"/>
      <c r="AD122" s="3628"/>
      <c r="AE122" s="3628"/>
      <c r="AF122" s="3628"/>
      <c r="AG122" s="3628"/>
      <c r="AH122" s="3628"/>
      <c r="AI122" s="3628"/>
      <c r="AJ122" s="3628"/>
      <c r="AK122" s="3628"/>
      <c r="AL122" s="3628"/>
      <c r="AM122" s="3628"/>
      <c r="AN122" s="3628"/>
      <c r="AO122" s="3628"/>
      <c r="AP122" s="3628"/>
      <c r="AQ122" s="3628"/>
      <c r="AR122" s="3628"/>
      <c r="AS122" s="3628"/>
    </row>
    <row r="123" spans="2:45">
      <c r="B123" s="3628"/>
      <c r="C123" s="3796"/>
      <c r="D123" s="3628"/>
      <c r="E123" s="3628"/>
      <c r="F123" s="3628"/>
      <c r="G123" s="3628"/>
      <c r="H123" s="3628"/>
      <c r="I123" s="3628"/>
      <c r="J123" s="3628"/>
      <c r="K123" s="3628"/>
      <c r="L123" s="3628"/>
      <c r="M123" s="3628"/>
      <c r="N123" s="3628"/>
      <c r="O123" s="3628"/>
      <c r="P123" s="3628"/>
      <c r="Q123" s="3628"/>
      <c r="R123" s="3628"/>
      <c r="S123" s="3628"/>
      <c r="T123" s="3628"/>
      <c r="U123" s="3628"/>
      <c r="V123" s="3628"/>
      <c r="W123" s="3628"/>
      <c r="X123" s="3628"/>
      <c r="Y123" s="3628"/>
      <c r="Z123" s="3628"/>
      <c r="AA123" s="3628"/>
      <c r="AB123" s="3628"/>
      <c r="AC123" s="3628"/>
      <c r="AD123" s="3628"/>
      <c r="AE123" s="3628"/>
      <c r="AF123" s="3628"/>
      <c r="AG123" s="3628"/>
      <c r="AH123" s="3628"/>
      <c r="AI123" s="3628"/>
      <c r="AJ123" s="3628"/>
      <c r="AK123" s="3628"/>
      <c r="AL123" s="3628"/>
      <c r="AM123" s="3628"/>
      <c r="AN123" s="3628"/>
      <c r="AO123" s="3628"/>
      <c r="AP123" s="3628"/>
      <c r="AQ123" s="3628"/>
      <c r="AR123" s="3628"/>
      <c r="AS123" s="3628"/>
    </row>
    <row r="124" spans="2:45">
      <c r="B124" s="3628"/>
      <c r="C124" s="3796"/>
      <c r="D124" s="3628"/>
      <c r="E124" s="3628"/>
      <c r="F124" s="3628"/>
      <c r="G124" s="3628"/>
      <c r="H124" s="3628"/>
      <c r="I124" s="3628"/>
      <c r="J124" s="3628"/>
      <c r="K124" s="3628"/>
      <c r="L124" s="3628"/>
      <c r="M124" s="3628"/>
      <c r="N124" s="3628"/>
      <c r="O124" s="3628"/>
      <c r="P124" s="3628"/>
      <c r="Q124" s="3628"/>
      <c r="R124" s="3628"/>
      <c r="S124" s="3628"/>
      <c r="T124" s="3628"/>
      <c r="U124" s="3628"/>
      <c r="V124" s="3628"/>
      <c r="W124" s="3628"/>
      <c r="X124" s="3628"/>
      <c r="Y124" s="3628"/>
      <c r="Z124" s="3628"/>
      <c r="AA124" s="3628"/>
      <c r="AB124" s="3628"/>
      <c r="AC124" s="3628"/>
      <c r="AD124" s="3628"/>
      <c r="AE124" s="3628"/>
      <c r="AF124" s="3628"/>
      <c r="AG124" s="3628"/>
      <c r="AH124" s="3628"/>
      <c r="AI124" s="3628"/>
      <c r="AJ124" s="3628"/>
      <c r="AK124" s="3628"/>
      <c r="AL124" s="3628"/>
      <c r="AM124" s="3628"/>
      <c r="AN124" s="3628"/>
      <c r="AO124" s="3628"/>
      <c r="AP124" s="3628"/>
      <c r="AQ124" s="3628"/>
      <c r="AR124" s="3628"/>
      <c r="AS124" s="3628"/>
    </row>
    <row r="125" spans="2:45">
      <c r="B125" s="3628"/>
      <c r="C125" s="3796"/>
      <c r="D125" s="3628"/>
      <c r="E125" s="3628"/>
      <c r="F125" s="3628"/>
      <c r="G125" s="3628"/>
      <c r="H125" s="3628"/>
      <c r="I125" s="3628"/>
      <c r="J125" s="3628"/>
      <c r="K125" s="3628"/>
      <c r="L125" s="3628"/>
      <c r="M125" s="3628"/>
      <c r="N125" s="3628"/>
      <c r="O125" s="3628"/>
      <c r="P125" s="3628"/>
      <c r="Q125" s="3628"/>
      <c r="R125" s="3628"/>
      <c r="S125" s="3628"/>
      <c r="T125" s="3628"/>
      <c r="U125" s="3628"/>
      <c r="V125" s="3628"/>
      <c r="W125" s="3628"/>
      <c r="X125" s="3628"/>
      <c r="Y125" s="3628"/>
      <c r="Z125" s="3628"/>
      <c r="AA125" s="3628"/>
      <c r="AB125" s="3628"/>
      <c r="AC125" s="3628"/>
      <c r="AD125" s="3628"/>
      <c r="AE125" s="3628"/>
      <c r="AF125" s="3628"/>
      <c r="AG125" s="3628"/>
      <c r="AH125" s="3628"/>
      <c r="AI125" s="3628"/>
      <c r="AJ125" s="3628"/>
      <c r="AK125" s="3628"/>
      <c r="AL125" s="3628"/>
      <c r="AM125" s="3628"/>
      <c r="AN125" s="3628"/>
      <c r="AO125" s="3628"/>
      <c r="AP125" s="3628"/>
      <c r="AQ125" s="3628"/>
      <c r="AR125" s="3628"/>
      <c r="AS125" s="3628"/>
    </row>
    <row r="126" spans="2:45">
      <c r="B126" s="3628"/>
      <c r="C126" s="3796"/>
      <c r="D126" s="3628"/>
      <c r="E126" s="3628"/>
      <c r="F126" s="3628"/>
      <c r="G126" s="3628"/>
      <c r="H126" s="3628"/>
      <c r="I126" s="3628"/>
      <c r="J126" s="3628"/>
      <c r="K126" s="3628"/>
      <c r="L126" s="3628"/>
      <c r="M126" s="3628"/>
      <c r="N126" s="3628"/>
      <c r="O126" s="3628"/>
      <c r="P126" s="3628"/>
      <c r="Q126" s="3628"/>
      <c r="R126" s="3628"/>
      <c r="S126" s="3628"/>
      <c r="T126" s="3628"/>
      <c r="U126" s="3628"/>
      <c r="V126" s="3628"/>
      <c r="W126" s="3628"/>
      <c r="X126" s="3628"/>
      <c r="Y126" s="3628"/>
      <c r="Z126" s="3628"/>
      <c r="AA126" s="3628"/>
      <c r="AB126" s="3628"/>
      <c r="AC126" s="3628"/>
      <c r="AD126" s="3628"/>
      <c r="AE126" s="3628"/>
      <c r="AF126" s="3628"/>
      <c r="AG126" s="3628"/>
      <c r="AH126" s="3628"/>
      <c r="AI126" s="3628"/>
      <c r="AJ126" s="3628"/>
      <c r="AK126" s="3628"/>
      <c r="AL126" s="3628"/>
      <c r="AM126" s="3628"/>
      <c r="AN126" s="3628"/>
      <c r="AO126" s="3628"/>
      <c r="AP126" s="3628"/>
      <c r="AQ126" s="3628"/>
      <c r="AR126" s="3628"/>
      <c r="AS126" s="3628"/>
    </row>
    <row r="127" spans="2:45">
      <c r="B127" s="3628"/>
      <c r="C127" s="3796"/>
      <c r="D127" s="3628"/>
      <c r="E127" s="3628"/>
      <c r="F127" s="3628"/>
      <c r="G127" s="3628"/>
      <c r="H127" s="3628"/>
      <c r="I127" s="3628"/>
      <c r="J127" s="3628"/>
      <c r="K127" s="3628"/>
      <c r="L127" s="3628"/>
      <c r="M127" s="3628"/>
      <c r="N127" s="3628"/>
      <c r="O127" s="3628"/>
      <c r="P127" s="3628"/>
      <c r="Q127" s="3628"/>
      <c r="R127" s="3628"/>
      <c r="S127" s="3628"/>
      <c r="T127" s="3628"/>
      <c r="U127" s="3628"/>
      <c r="V127" s="3628"/>
      <c r="W127" s="3628"/>
      <c r="X127" s="3628"/>
      <c r="Y127" s="3628"/>
      <c r="Z127" s="3628"/>
      <c r="AA127" s="3628"/>
      <c r="AB127" s="3628"/>
      <c r="AC127" s="3628"/>
      <c r="AD127" s="3628"/>
      <c r="AE127" s="3628"/>
      <c r="AF127" s="3628"/>
      <c r="AG127" s="3628"/>
      <c r="AH127" s="3628"/>
      <c r="AI127" s="3628"/>
      <c r="AJ127" s="3628"/>
      <c r="AK127" s="3628"/>
      <c r="AL127" s="3628"/>
      <c r="AM127" s="3628"/>
      <c r="AN127" s="3628"/>
      <c r="AO127" s="3628"/>
      <c r="AP127" s="3628"/>
      <c r="AQ127" s="3628"/>
      <c r="AR127" s="3628"/>
      <c r="AS127" s="3628"/>
    </row>
    <row r="128" spans="2:45">
      <c r="B128" s="3628"/>
      <c r="C128" s="3796"/>
      <c r="D128" s="3628"/>
      <c r="E128" s="3628"/>
      <c r="F128" s="3628"/>
      <c r="G128" s="3628"/>
      <c r="H128" s="3628"/>
      <c r="I128" s="3628"/>
      <c r="J128" s="3628"/>
      <c r="K128" s="3628"/>
      <c r="L128" s="3628"/>
      <c r="M128" s="3628"/>
      <c r="N128" s="3628"/>
      <c r="O128" s="3628"/>
      <c r="P128" s="3628"/>
      <c r="Q128" s="3628"/>
      <c r="R128" s="3628"/>
      <c r="S128" s="3628"/>
      <c r="T128" s="3628"/>
      <c r="U128" s="3628"/>
      <c r="V128" s="3628"/>
      <c r="W128" s="3628"/>
      <c r="X128" s="3628"/>
      <c r="Y128" s="3628"/>
      <c r="Z128" s="3628"/>
      <c r="AA128" s="3628"/>
      <c r="AB128" s="3628"/>
      <c r="AC128" s="3628"/>
      <c r="AD128" s="3628"/>
      <c r="AE128" s="3628"/>
      <c r="AF128" s="3628"/>
      <c r="AG128" s="3628"/>
      <c r="AH128" s="3628"/>
      <c r="AI128" s="3628"/>
      <c r="AJ128" s="3628"/>
      <c r="AK128" s="3628"/>
      <c r="AL128" s="3628"/>
      <c r="AM128" s="3628"/>
      <c r="AN128" s="3628"/>
      <c r="AO128" s="3628"/>
      <c r="AP128" s="3628"/>
      <c r="AQ128" s="3628"/>
      <c r="AR128" s="3628"/>
      <c r="AS128" s="3628"/>
    </row>
    <row r="129" spans="2:45">
      <c r="B129" s="3628"/>
      <c r="C129" s="3796"/>
      <c r="D129" s="3628"/>
      <c r="E129" s="3628"/>
      <c r="F129" s="3628"/>
      <c r="G129" s="3628"/>
      <c r="H129" s="3628"/>
      <c r="I129" s="3628"/>
      <c r="J129" s="3628"/>
      <c r="K129" s="3628"/>
      <c r="L129" s="3628"/>
      <c r="M129" s="3628"/>
      <c r="N129" s="3628"/>
      <c r="O129" s="3628"/>
      <c r="P129" s="3628"/>
      <c r="Q129" s="3628"/>
      <c r="R129" s="3628"/>
      <c r="S129" s="3628"/>
      <c r="T129" s="3628"/>
      <c r="U129" s="3628"/>
      <c r="V129" s="3628"/>
      <c r="W129" s="3628"/>
      <c r="X129" s="3628"/>
      <c r="Y129" s="3628"/>
      <c r="Z129" s="3628"/>
      <c r="AA129" s="3628"/>
      <c r="AB129" s="3628"/>
      <c r="AC129" s="3628"/>
      <c r="AD129" s="3628"/>
      <c r="AE129" s="3628"/>
      <c r="AF129" s="3628"/>
      <c r="AG129" s="3628"/>
      <c r="AH129" s="3628"/>
      <c r="AI129" s="3628"/>
      <c r="AJ129" s="3628"/>
      <c r="AK129" s="3628"/>
      <c r="AL129" s="3628"/>
      <c r="AM129" s="3628"/>
      <c r="AN129" s="3628"/>
      <c r="AO129" s="3628"/>
      <c r="AP129" s="3628"/>
      <c r="AQ129" s="3628"/>
      <c r="AR129" s="3628"/>
      <c r="AS129" s="3628"/>
    </row>
    <row r="130" spans="2:45">
      <c r="B130" s="3628"/>
      <c r="C130" s="3796"/>
      <c r="D130" s="3628"/>
      <c r="E130" s="3628"/>
      <c r="F130" s="3628"/>
      <c r="G130" s="3628"/>
      <c r="H130" s="3628"/>
      <c r="I130" s="3628"/>
      <c r="J130" s="3628"/>
      <c r="K130" s="3628"/>
      <c r="L130" s="3628"/>
      <c r="M130" s="3628"/>
      <c r="N130" s="3628"/>
      <c r="O130" s="3628"/>
      <c r="P130" s="3628"/>
      <c r="Q130" s="3628"/>
      <c r="R130" s="3628"/>
      <c r="S130" s="3628"/>
      <c r="T130" s="3628"/>
      <c r="U130" s="3628"/>
      <c r="V130" s="3628"/>
      <c r="W130" s="3628"/>
      <c r="X130" s="3628"/>
      <c r="Y130" s="3628"/>
      <c r="Z130" s="3628"/>
      <c r="AA130" s="3628"/>
      <c r="AB130" s="3628"/>
      <c r="AC130" s="3628"/>
      <c r="AD130" s="3628"/>
      <c r="AE130" s="3628"/>
      <c r="AF130" s="3628"/>
      <c r="AG130" s="3628"/>
      <c r="AH130" s="3628"/>
      <c r="AI130" s="3628"/>
      <c r="AJ130" s="3628"/>
      <c r="AK130" s="3628"/>
      <c r="AL130" s="3628"/>
      <c r="AM130" s="3628"/>
      <c r="AN130" s="3628"/>
      <c r="AO130" s="3628"/>
      <c r="AP130" s="3628"/>
      <c r="AQ130" s="3628"/>
      <c r="AR130" s="3628"/>
      <c r="AS130" s="3628"/>
    </row>
    <row r="131" spans="2:45">
      <c r="B131" s="3628"/>
      <c r="C131" s="3796"/>
      <c r="D131" s="3628"/>
      <c r="E131" s="3628"/>
      <c r="F131" s="3628"/>
      <c r="G131" s="3628"/>
      <c r="H131" s="3628"/>
      <c r="I131" s="3628"/>
      <c r="J131" s="3628"/>
      <c r="K131" s="3628"/>
      <c r="L131" s="3628"/>
      <c r="M131" s="3628"/>
      <c r="N131" s="3628"/>
      <c r="O131" s="3628"/>
      <c r="P131" s="3628"/>
      <c r="Q131" s="3628"/>
      <c r="R131" s="3628"/>
      <c r="S131" s="3628"/>
      <c r="T131" s="3628"/>
      <c r="U131" s="3628"/>
      <c r="V131" s="3628"/>
      <c r="W131" s="3628"/>
      <c r="X131" s="3628"/>
      <c r="Y131" s="3628"/>
      <c r="Z131" s="3628"/>
      <c r="AA131" s="3628"/>
      <c r="AB131" s="3628"/>
      <c r="AC131" s="3628"/>
      <c r="AD131" s="3628"/>
      <c r="AE131" s="3628"/>
      <c r="AF131" s="3628"/>
      <c r="AG131" s="3628"/>
      <c r="AH131" s="3628"/>
      <c r="AI131" s="3628"/>
      <c r="AJ131" s="3628"/>
      <c r="AK131" s="3628"/>
      <c r="AL131" s="3628"/>
      <c r="AM131" s="3628"/>
      <c r="AN131" s="3628"/>
      <c r="AO131" s="3628"/>
      <c r="AP131" s="3628"/>
      <c r="AQ131" s="3628"/>
      <c r="AR131" s="3628"/>
      <c r="AS131" s="3628"/>
    </row>
    <row r="132" spans="2:45">
      <c r="B132" s="3628"/>
      <c r="C132" s="3796"/>
      <c r="D132" s="3628"/>
      <c r="E132" s="3628"/>
      <c r="F132" s="3628"/>
      <c r="G132" s="3628"/>
      <c r="H132" s="3628"/>
      <c r="I132" s="3628"/>
      <c r="J132" s="3628"/>
      <c r="K132" s="3628"/>
      <c r="L132" s="3628"/>
      <c r="M132" s="3628"/>
      <c r="N132" s="3628"/>
      <c r="O132" s="3628"/>
      <c r="P132" s="3628"/>
      <c r="Q132" s="3628"/>
      <c r="R132" s="3628"/>
      <c r="S132" s="3628"/>
      <c r="T132" s="3628"/>
      <c r="U132" s="3628"/>
      <c r="V132" s="3628"/>
      <c r="W132" s="3628"/>
      <c r="X132" s="3628"/>
      <c r="Y132" s="3628"/>
      <c r="Z132" s="3628"/>
      <c r="AA132" s="3628"/>
      <c r="AB132" s="3628"/>
      <c r="AC132" s="3628"/>
      <c r="AD132" s="3628"/>
      <c r="AE132" s="3628"/>
      <c r="AF132" s="3628"/>
      <c r="AG132" s="3628"/>
      <c r="AH132" s="3628"/>
      <c r="AI132" s="3628"/>
      <c r="AJ132" s="3628"/>
      <c r="AK132" s="3628"/>
      <c r="AL132" s="3628"/>
      <c r="AM132" s="3628"/>
      <c r="AN132" s="3628"/>
      <c r="AO132" s="3628"/>
      <c r="AP132" s="3628"/>
      <c r="AQ132" s="3628"/>
      <c r="AR132" s="3628"/>
      <c r="AS132" s="3628"/>
    </row>
    <row r="133" spans="2:45">
      <c r="B133" s="3628"/>
      <c r="C133" s="3796"/>
      <c r="D133" s="3628"/>
      <c r="E133" s="3628"/>
      <c r="F133" s="3628"/>
      <c r="G133" s="3628"/>
      <c r="H133" s="3628"/>
      <c r="I133" s="3628"/>
      <c r="J133" s="3628"/>
      <c r="K133" s="3628"/>
      <c r="L133" s="3628"/>
      <c r="M133" s="3628"/>
      <c r="N133" s="3628"/>
      <c r="O133" s="3628"/>
      <c r="P133" s="3628"/>
      <c r="Q133" s="3628"/>
      <c r="R133" s="3628"/>
      <c r="S133" s="3628"/>
      <c r="T133" s="3628"/>
      <c r="U133" s="3628"/>
      <c r="V133" s="3628"/>
      <c r="W133" s="3628"/>
      <c r="X133" s="3628"/>
      <c r="Y133" s="3628"/>
      <c r="Z133" s="3628"/>
      <c r="AA133" s="3628"/>
      <c r="AB133" s="3628"/>
      <c r="AC133" s="3628"/>
      <c r="AD133" s="3628"/>
      <c r="AE133" s="3628"/>
      <c r="AF133" s="3628"/>
      <c r="AG133" s="3628"/>
      <c r="AH133" s="3628"/>
      <c r="AI133" s="3628"/>
      <c r="AJ133" s="3628"/>
      <c r="AK133" s="3628"/>
      <c r="AL133" s="3628"/>
      <c r="AM133" s="3628"/>
      <c r="AN133" s="3628"/>
      <c r="AO133" s="3628"/>
      <c r="AP133" s="3628"/>
      <c r="AQ133" s="3628"/>
      <c r="AR133" s="3628"/>
      <c r="AS133" s="3628"/>
    </row>
    <row r="134" spans="2:45">
      <c r="B134" s="3628"/>
      <c r="C134" s="3796"/>
      <c r="D134" s="3628"/>
      <c r="E134" s="3628"/>
      <c r="F134" s="3628"/>
      <c r="G134" s="3628"/>
      <c r="H134" s="3628"/>
      <c r="I134" s="3628"/>
      <c r="J134" s="3628"/>
      <c r="K134" s="3628"/>
      <c r="L134" s="3628"/>
      <c r="M134" s="3628"/>
      <c r="N134" s="3628"/>
      <c r="O134" s="3628"/>
      <c r="P134" s="3628"/>
      <c r="Q134" s="3628"/>
      <c r="R134" s="3628"/>
      <c r="S134" s="3628"/>
      <c r="T134" s="3628"/>
      <c r="U134" s="3628"/>
      <c r="V134" s="3628"/>
      <c r="W134" s="3628"/>
      <c r="X134" s="3628"/>
      <c r="Y134" s="3628"/>
      <c r="Z134" s="3628"/>
      <c r="AA134" s="3628"/>
      <c r="AB134" s="3628"/>
      <c r="AC134" s="3628"/>
      <c r="AD134" s="3628"/>
      <c r="AE134" s="3628"/>
      <c r="AF134" s="3628"/>
      <c r="AG134" s="3628"/>
      <c r="AH134" s="3628"/>
      <c r="AI134" s="3628"/>
      <c r="AJ134" s="3628"/>
      <c r="AK134" s="3628"/>
      <c r="AL134" s="3628"/>
      <c r="AM134" s="3628"/>
      <c r="AN134" s="3628"/>
      <c r="AO134" s="3628"/>
      <c r="AP134" s="3628"/>
      <c r="AQ134" s="3628"/>
      <c r="AR134" s="3628"/>
      <c r="AS134" s="3628"/>
    </row>
    <row r="135" spans="2:45">
      <c r="B135" s="3628"/>
      <c r="C135" s="3796"/>
      <c r="D135" s="3628"/>
      <c r="E135" s="3628"/>
      <c r="F135" s="3628"/>
      <c r="G135" s="3628"/>
      <c r="H135" s="3628"/>
      <c r="I135" s="3628"/>
      <c r="J135" s="3628"/>
      <c r="K135" s="3628"/>
      <c r="L135" s="3628"/>
      <c r="M135" s="3628"/>
      <c r="N135" s="3628"/>
      <c r="O135" s="3628"/>
      <c r="P135" s="3628"/>
      <c r="Q135" s="3628"/>
      <c r="R135" s="3628"/>
      <c r="S135" s="3628"/>
      <c r="T135" s="3628"/>
      <c r="U135" s="3628"/>
      <c r="V135" s="3628"/>
      <c r="W135" s="3628"/>
      <c r="X135" s="3628"/>
      <c r="Y135" s="3628"/>
      <c r="Z135" s="3628"/>
      <c r="AA135" s="3628"/>
      <c r="AB135" s="3628"/>
      <c r="AC135" s="3628"/>
      <c r="AD135" s="3628"/>
      <c r="AE135" s="3628"/>
      <c r="AF135" s="3628"/>
      <c r="AG135" s="3628"/>
      <c r="AH135" s="3628"/>
      <c r="AI135" s="3628"/>
      <c r="AJ135" s="3628"/>
      <c r="AK135" s="3628"/>
      <c r="AL135" s="3628"/>
      <c r="AM135" s="3628"/>
      <c r="AN135" s="3628"/>
      <c r="AO135" s="3628"/>
      <c r="AP135" s="3628"/>
      <c r="AQ135" s="3628"/>
      <c r="AR135" s="3628"/>
      <c r="AS135" s="3628"/>
    </row>
    <row r="136" spans="2:45">
      <c r="B136" s="3628"/>
      <c r="C136" s="3796"/>
      <c r="D136" s="3628"/>
      <c r="E136" s="3628"/>
      <c r="F136" s="3628"/>
      <c r="G136" s="3628"/>
      <c r="H136" s="3628"/>
      <c r="I136" s="3628"/>
      <c r="J136" s="3628"/>
      <c r="K136" s="3628"/>
      <c r="L136" s="3628"/>
      <c r="M136" s="3628"/>
      <c r="N136" s="3628"/>
      <c r="O136" s="3628"/>
      <c r="P136" s="3628"/>
      <c r="Q136" s="3628"/>
      <c r="R136" s="3628"/>
      <c r="S136" s="3628"/>
      <c r="T136" s="3628"/>
      <c r="U136" s="3628"/>
      <c r="V136" s="3628"/>
      <c r="W136" s="3628"/>
      <c r="X136" s="3628"/>
      <c r="Y136" s="3628"/>
      <c r="Z136" s="3628"/>
      <c r="AA136" s="3628"/>
      <c r="AB136" s="3628"/>
      <c r="AC136" s="3628"/>
      <c r="AD136" s="3628"/>
      <c r="AE136" s="3628"/>
      <c r="AF136" s="3628"/>
      <c r="AG136" s="3628"/>
      <c r="AH136" s="3628"/>
      <c r="AI136" s="3628"/>
      <c r="AJ136" s="3628"/>
      <c r="AK136" s="3628"/>
      <c r="AL136" s="3628"/>
      <c r="AM136" s="3628"/>
      <c r="AN136" s="3628"/>
      <c r="AO136" s="3628"/>
      <c r="AP136" s="3628"/>
      <c r="AQ136" s="3628"/>
      <c r="AR136" s="3628"/>
      <c r="AS136" s="3628"/>
    </row>
    <row r="137" spans="2:45">
      <c r="B137" s="3628"/>
      <c r="C137" s="3796"/>
      <c r="D137" s="3628"/>
      <c r="E137" s="3628"/>
      <c r="F137" s="3628"/>
      <c r="G137" s="3628"/>
      <c r="H137" s="3628"/>
      <c r="I137" s="3628"/>
      <c r="J137" s="3628"/>
      <c r="K137" s="3628"/>
      <c r="L137" s="3628"/>
      <c r="M137" s="3628"/>
      <c r="N137" s="3628"/>
      <c r="O137" s="3628"/>
      <c r="P137" s="3628"/>
      <c r="Q137" s="3628"/>
      <c r="R137" s="3628"/>
      <c r="S137" s="3628"/>
      <c r="T137" s="3628"/>
      <c r="U137" s="3628"/>
      <c r="V137" s="3628"/>
      <c r="W137" s="3628"/>
      <c r="X137" s="3628"/>
      <c r="Y137" s="3628"/>
      <c r="Z137" s="3628"/>
      <c r="AA137" s="3628"/>
      <c r="AB137" s="3628"/>
      <c r="AC137" s="3628"/>
      <c r="AD137" s="3628"/>
      <c r="AE137" s="3628"/>
      <c r="AF137" s="3628"/>
      <c r="AG137" s="3628"/>
      <c r="AH137" s="3628"/>
      <c r="AI137" s="3628"/>
      <c r="AJ137" s="3628"/>
      <c r="AK137" s="3628"/>
      <c r="AL137" s="3628"/>
      <c r="AM137" s="3628"/>
      <c r="AN137" s="3628"/>
      <c r="AO137" s="3628"/>
      <c r="AP137" s="3628"/>
      <c r="AQ137" s="3628"/>
      <c r="AR137" s="3628"/>
      <c r="AS137" s="3628"/>
    </row>
    <row r="138" spans="2:45">
      <c r="B138" s="3628"/>
      <c r="C138" s="3796"/>
      <c r="D138" s="3628"/>
      <c r="E138" s="3628"/>
      <c r="F138" s="3628"/>
      <c r="G138" s="3628"/>
      <c r="H138" s="3628"/>
      <c r="I138" s="3628"/>
      <c r="J138" s="3628"/>
      <c r="K138" s="3628"/>
      <c r="L138" s="3628"/>
      <c r="M138" s="3628"/>
      <c r="N138" s="3628"/>
      <c r="O138" s="3628"/>
      <c r="P138" s="3628"/>
      <c r="Q138" s="3628"/>
      <c r="R138" s="3628"/>
      <c r="S138" s="3628"/>
      <c r="T138" s="3628"/>
      <c r="U138" s="3628"/>
      <c r="V138" s="3628"/>
      <c r="W138" s="3628"/>
      <c r="X138" s="3628"/>
      <c r="Y138" s="3628"/>
      <c r="Z138" s="3628"/>
      <c r="AA138" s="3628"/>
      <c r="AB138" s="3628"/>
      <c r="AC138" s="3628"/>
      <c r="AD138" s="3628"/>
      <c r="AE138" s="3628"/>
      <c r="AF138" s="3628"/>
      <c r="AG138" s="3628"/>
      <c r="AH138" s="3628"/>
      <c r="AI138" s="3628"/>
      <c r="AJ138" s="3628"/>
      <c r="AK138" s="3628"/>
      <c r="AL138" s="3628"/>
      <c r="AM138" s="3628"/>
      <c r="AN138" s="3628"/>
      <c r="AO138" s="3628"/>
      <c r="AP138" s="3628"/>
      <c r="AQ138" s="3628"/>
      <c r="AR138" s="3628"/>
      <c r="AS138" s="3628"/>
    </row>
    <row r="139" spans="2:45">
      <c r="B139" s="3628"/>
      <c r="C139" s="3796"/>
      <c r="D139" s="3628"/>
      <c r="E139" s="3628"/>
      <c r="F139" s="3628"/>
      <c r="G139" s="3628"/>
      <c r="H139" s="3628"/>
      <c r="I139" s="3628"/>
      <c r="J139" s="3628"/>
      <c r="K139" s="3628"/>
      <c r="L139" s="3628"/>
      <c r="M139" s="3628"/>
      <c r="N139" s="3628"/>
      <c r="O139" s="3628"/>
      <c r="P139" s="3628"/>
      <c r="Q139" s="3628"/>
      <c r="R139" s="3628"/>
      <c r="S139" s="3628"/>
      <c r="T139" s="3628"/>
      <c r="U139" s="3628"/>
      <c r="V139" s="3628"/>
      <c r="W139" s="3628"/>
      <c r="X139" s="3628"/>
      <c r="Y139" s="3628"/>
      <c r="Z139" s="3628"/>
      <c r="AA139" s="3628"/>
      <c r="AB139" s="3628"/>
      <c r="AC139" s="3628"/>
      <c r="AD139" s="3628"/>
      <c r="AE139" s="3628"/>
      <c r="AF139" s="3628"/>
      <c r="AG139" s="3628"/>
      <c r="AH139" s="3628"/>
      <c r="AI139" s="3628"/>
      <c r="AJ139" s="3628"/>
      <c r="AK139" s="3628"/>
      <c r="AL139" s="3628"/>
      <c r="AM139" s="3628"/>
      <c r="AN139" s="3628"/>
      <c r="AO139" s="3628"/>
      <c r="AP139" s="3628"/>
      <c r="AQ139" s="3628"/>
      <c r="AR139" s="3628"/>
      <c r="AS139" s="3628"/>
    </row>
    <row r="140" spans="2:45">
      <c r="B140" s="3628"/>
      <c r="C140" s="3796"/>
      <c r="D140" s="3628"/>
      <c r="E140" s="3628"/>
      <c r="F140" s="3628"/>
      <c r="G140" s="3628"/>
      <c r="H140" s="3628"/>
      <c r="I140" s="3628"/>
      <c r="J140" s="3628"/>
      <c r="K140" s="3628"/>
      <c r="L140" s="3628"/>
      <c r="M140" s="3628"/>
      <c r="N140" s="3628"/>
      <c r="O140" s="3628"/>
      <c r="P140" s="3628"/>
      <c r="Q140" s="3628"/>
      <c r="R140" s="3628"/>
      <c r="S140" s="3628"/>
      <c r="T140" s="3628"/>
      <c r="U140" s="3628"/>
      <c r="V140" s="3628"/>
      <c r="W140" s="3628"/>
      <c r="X140" s="3628"/>
      <c r="Y140" s="3628"/>
      <c r="Z140" s="3628"/>
      <c r="AA140" s="3628"/>
      <c r="AB140" s="3628"/>
      <c r="AC140" s="3628"/>
      <c r="AD140" s="3628"/>
      <c r="AE140" s="3628"/>
      <c r="AF140" s="3628"/>
      <c r="AG140" s="3628"/>
      <c r="AH140" s="3628"/>
      <c r="AI140" s="3628"/>
      <c r="AJ140" s="3628"/>
      <c r="AK140" s="3628"/>
      <c r="AL140" s="3628"/>
      <c r="AM140" s="3628"/>
      <c r="AN140" s="3628"/>
      <c r="AO140" s="3628"/>
      <c r="AP140" s="3628"/>
      <c r="AQ140" s="3628"/>
      <c r="AR140" s="3628"/>
      <c r="AS140" s="3628"/>
    </row>
    <row r="141" spans="2:45">
      <c r="B141" s="3628"/>
      <c r="C141" s="3796"/>
      <c r="D141" s="3628"/>
      <c r="E141" s="3628"/>
      <c r="F141" s="3628"/>
      <c r="G141" s="3628"/>
      <c r="H141" s="3628"/>
      <c r="I141" s="3628"/>
      <c r="J141" s="3628"/>
      <c r="K141" s="3628"/>
      <c r="L141" s="3628"/>
      <c r="M141" s="3628"/>
      <c r="N141" s="3628"/>
      <c r="O141" s="3628"/>
      <c r="P141" s="3628"/>
      <c r="Q141" s="3628"/>
      <c r="R141" s="3628"/>
      <c r="S141" s="3628"/>
      <c r="T141" s="3628"/>
      <c r="U141" s="3628"/>
      <c r="V141" s="3628"/>
      <c r="W141" s="3628"/>
      <c r="X141" s="3628"/>
      <c r="Y141" s="3628"/>
      <c r="Z141" s="3628"/>
      <c r="AA141" s="3628"/>
      <c r="AB141" s="3628"/>
      <c r="AC141" s="3628"/>
      <c r="AD141" s="3628"/>
      <c r="AE141" s="3628"/>
      <c r="AF141" s="3628"/>
      <c r="AG141" s="3628"/>
      <c r="AH141" s="3628"/>
      <c r="AI141" s="3628"/>
      <c r="AJ141" s="3628"/>
      <c r="AK141" s="3628"/>
      <c r="AL141" s="3628"/>
      <c r="AM141" s="3628"/>
      <c r="AN141" s="3628"/>
      <c r="AO141" s="3628"/>
      <c r="AP141" s="3628"/>
      <c r="AQ141" s="3628"/>
      <c r="AR141" s="3628"/>
      <c r="AS141" s="3628"/>
    </row>
    <row r="142" spans="2:45">
      <c r="B142" s="3628"/>
      <c r="C142" s="3796"/>
      <c r="D142" s="3628"/>
      <c r="E142" s="3628"/>
      <c r="F142" s="3628"/>
      <c r="G142" s="3628"/>
      <c r="H142" s="3628"/>
      <c r="I142" s="3628"/>
      <c r="J142" s="3628"/>
      <c r="K142" s="3628"/>
      <c r="L142" s="3628"/>
      <c r="M142" s="3628"/>
      <c r="N142" s="3628"/>
      <c r="O142" s="3628"/>
      <c r="P142" s="3628"/>
      <c r="Q142" s="3628"/>
      <c r="R142" s="3628"/>
      <c r="S142" s="3628"/>
      <c r="T142" s="3628"/>
      <c r="U142" s="3628"/>
      <c r="V142" s="3628"/>
      <c r="W142" s="3628"/>
      <c r="X142" s="3628"/>
      <c r="Y142" s="3628"/>
      <c r="Z142" s="3628"/>
      <c r="AA142" s="3628"/>
      <c r="AB142" s="3628"/>
      <c r="AC142" s="3628"/>
      <c r="AD142" s="3628"/>
      <c r="AE142" s="3628"/>
      <c r="AF142" s="3628"/>
      <c r="AG142" s="3628"/>
      <c r="AH142" s="3628"/>
      <c r="AI142" s="3628"/>
      <c r="AJ142" s="3628"/>
      <c r="AK142" s="3628"/>
      <c r="AL142" s="3628"/>
      <c r="AM142" s="3628"/>
      <c r="AN142" s="3628"/>
      <c r="AO142" s="3628"/>
      <c r="AP142" s="3628"/>
      <c r="AQ142" s="3628"/>
      <c r="AR142" s="3628"/>
      <c r="AS142" s="3628"/>
    </row>
    <row r="143" spans="2:45">
      <c r="B143" s="3628"/>
      <c r="C143" s="3796"/>
      <c r="D143" s="3628"/>
      <c r="E143" s="3628"/>
      <c r="F143" s="3628"/>
      <c r="G143" s="3628"/>
      <c r="H143" s="3628"/>
      <c r="I143" s="3628"/>
      <c r="J143" s="3628"/>
      <c r="K143" s="3628"/>
      <c r="L143" s="3628"/>
      <c r="M143" s="3628"/>
      <c r="N143" s="3628"/>
      <c r="O143" s="3628"/>
      <c r="P143" s="3628"/>
      <c r="Q143" s="3628"/>
      <c r="R143" s="3628"/>
      <c r="S143" s="3628"/>
      <c r="T143" s="3628"/>
      <c r="U143" s="3628"/>
      <c r="V143" s="3628"/>
      <c r="W143" s="3628"/>
      <c r="X143" s="3628"/>
      <c r="Y143" s="3628"/>
      <c r="Z143" s="3628"/>
      <c r="AA143" s="3628"/>
      <c r="AB143" s="3628"/>
      <c r="AC143" s="3628"/>
      <c r="AD143" s="3628"/>
      <c r="AE143" s="3628"/>
      <c r="AF143" s="3628"/>
      <c r="AG143" s="3628"/>
      <c r="AH143" s="3628"/>
      <c r="AI143" s="3628"/>
      <c r="AJ143" s="3628"/>
      <c r="AK143" s="3628"/>
      <c r="AL143" s="3628"/>
      <c r="AM143" s="3628"/>
      <c r="AN143" s="3628"/>
      <c r="AO143" s="3628"/>
      <c r="AP143" s="3628"/>
      <c r="AQ143" s="3628"/>
      <c r="AR143" s="3628"/>
      <c r="AS143" s="3628"/>
    </row>
    <row r="144" spans="2:45">
      <c r="B144" s="3628"/>
      <c r="C144" s="3796"/>
      <c r="D144" s="3628"/>
      <c r="E144" s="3628"/>
      <c r="F144" s="3628"/>
      <c r="G144" s="3628"/>
      <c r="H144" s="3628"/>
      <c r="I144" s="3628"/>
      <c r="J144" s="3628"/>
      <c r="K144" s="3628"/>
      <c r="L144" s="3628"/>
      <c r="M144" s="3628"/>
      <c r="N144" s="3628"/>
      <c r="O144" s="3628"/>
      <c r="P144" s="3628"/>
      <c r="Q144" s="3628"/>
      <c r="R144" s="3628"/>
      <c r="S144" s="3628"/>
      <c r="T144" s="3628"/>
      <c r="U144" s="3628"/>
      <c r="V144" s="3628"/>
      <c r="W144" s="3628"/>
      <c r="X144" s="3628"/>
      <c r="Y144" s="3628"/>
      <c r="Z144" s="3628"/>
      <c r="AA144" s="3628"/>
      <c r="AB144" s="3628"/>
      <c r="AC144" s="3628"/>
      <c r="AD144" s="3628"/>
      <c r="AE144" s="3628"/>
      <c r="AF144" s="3628"/>
      <c r="AG144" s="3628"/>
      <c r="AH144" s="3628"/>
      <c r="AI144" s="3628"/>
      <c r="AJ144" s="3628"/>
      <c r="AK144" s="3628"/>
      <c r="AL144" s="3628"/>
      <c r="AM144" s="3628"/>
      <c r="AN144" s="3628"/>
      <c r="AO144" s="3628"/>
      <c r="AP144" s="3628"/>
      <c r="AQ144" s="3628"/>
      <c r="AR144" s="3628"/>
      <c r="AS144" s="3628"/>
    </row>
    <row r="145" spans="2:45">
      <c r="B145" s="3628"/>
      <c r="C145" s="3796"/>
      <c r="D145" s="3628"/>
      <c r="E145" s="3628"/>
      <c r="F145" s="3628"/>
      <c r="G145" s="3628"/>
      <c r="H145" s="3628"/>
      <c r="I145" s="3628"/>
      <c r="J145" s="3628"/>
      <c r="K145" s="3628"/>
      <c r="L145" s="3628"/>
      <c r="M145" s="3628"/>
      <c r="N145" s="3628"/>
      <c r="O145" s="3628"/>
      <c r="P145" s="3628"/>
      <c r="Q145" s="3628"/>
      <c r="R145" s="3628"/>
      <c r="S145" s="3628"/>
      <c r="T145" s="3628"/>
      <c r="U145" s="3628"/>
      <c r="V145" s="3628"/>
      <c r="W145" s="3628"/>
      <c r="X145" s="3628"/>
      <c r="Y145" s="3628"/>
      <c r="Z145" s="3628"/>
      <c r="AA145" s="3628"/>
      <c r="AB145" s="3628"/>
      <c r="AC145" s="3628"/>
      <c r="AD145" s="3628"/>
      <c r="AE145" s="3628"/>
      <c r="AF145" s="3628"/>
      <c r="AG145" s="3628"/>
      <c r="AH145" s="3628"/>
      <c r="AI145" s="3628"/>
      <c r="AJ145" s="3628"/>
      <c r="AK145" s="3628"/>
      <c r="AL145" s="3628"/>
      <c r="AM145" s="3628"/>
      <c r="AN145" s="3628"/>
      <c r="AO145" s="3628"/>
      <c r="AP145" s="3628"/>
      <c r="AQ145" s="3628"/>
      <c r="AR145" s="3628"/>
      <c r="AS145" s="3628"/>
    </row>
    <row r="146" spans="2:45">
      <c r="B146" s="3628"/>
      <c r="C146" s="3796"/>
      <c r="D146" s="3628"/>
      <c r="E146" s="3628"/>
      <c r="F146" s="3628"/>
      <c r="G146" s="3628"/>
      <c r="H146" s="3628"/>
      <c r="I146" s="3628"/>
      <c r="J146" s="3628"/>
      <c r="K146" s="3628"/>
      <c r="L146" s="3628"/>
      <c r="M146" s="3628"/>
      <c r="N146" s="3628"/>
      <c r="O146" s="3628"/>
      <c r="P146" s="3628"/>
      <c r="Q146" s="3628"/>
      <c r="R146" s="3628"/>
      <c r="S146" s="3628"/>
      <c r="T146" s="3628"/>
      <c r="U146" s="3628"/>
      <c r="V146" s="3628"/>
      <c r="W146" s="3628"/>
      <c r="X146" s="3628"/>
      <c r="Y146" s="3628"/>
      <c r="Z146" s="3628"/>
      <c r="AA146" s="3628"/>
      <c r="AB146" s="3628"/>
      <c r="AC146" s="3628"/>
      <c r="AD146" s="3628"/>
      <c r="AE146" s="3628"/>
      <c r="AF146" s="3628"/>
      <c r="AG146" s="3628"/>
      <c r="AH146" s="3628"/>
      <c r="AI146" s="3628"/>
      <c r="AJ146" s="3628"/>
      <c r="AK146" s="3628"/>
      <c r="AL146" s="3628"/>
      <c r="AM146" s="3628"/>
      <c r="AN146" s="3628"/>
      <c r="AO146" s="3628"/>
      <c r="AP146" s="3628"/>
      <c r="AQ146" s="3628"/>
      <c r="AR146" s="3628"/>
      <c r="AS146" s="3628"/>
    </row>
    <row r="147" spans="2:45">
      <c r="B147" s="3628"/>
      <c r="C147" s="3796"/>
      <c r="D147" s="3628"/>
      <c r="E147" s="3628"/>
      <c r="F147" s="3628"/>
      <c r="G147" s="3628"/>
      <c r="H147" s="3628"/>
      <c r="I147" s="3628"/>
      <c r="J147" s="3628"/>
      <c r="K147" s="3628"/>
      <c r="L147" s="3628"/>
      <c r="M147" s="3628"/>
      <c r="N147" s="3628"/>
      <c r="O147" s="3628"/>
      <c r="P147" s="3628"/>
      <c r="Q147" s="3628"/>
      <c r="R147" s="3628"/>
      <c r="S147" s="3628"/>
      <c r="T147" s="3628"/>
      <c r="U147" s="3628"/>
      <c r="V147" s="3628"/>
      <c r="W147" s="3628"/>
      <c r="X147" s="3628"/>
      <c r="Y147" s="3628"/>
      <c r="Z147" s="3628"/>
      <c r="AA147" s="3628"/>
      <c r="AB147" s="3628"/>
      <c r="AC147" s="3628"/>
      <c r="AD147" s="3628"/>
      <c r="AE147" s="3628"/>
      <c r="AF147" s="3628"/>
      <c r="AG147" s="3628"/>
      <c r="AH147" s="3628"/>
      <c r="AI147" s="3628"/>
      <c r="AJ147" s="3628"/>
      <c r="AK147" s="3628"/>
      <c r="AL147" s="3628"/>
      <c r="AM147" s="3628"/>
      <c r="AN147" s="3628"/>
      <c r="AO147" s="3628"/>
      <c r="AP147" s="3628"/>
      <c r="AQ147" s="3628"/>
      <c r="AR147" s="3628"/>
      <c r="AS147" s="3628"/>
    </row>
    <row r="148" spans="2:45">
      <c r="B148" s="3628"/>
      <c r="C148" s="3796"/>
      <c r="D148" s="3628"/>
      <c r="E148" s="3628"/>
      <c r="F148" s="3628"/>
      <c r="G148" s="3628"/>
      <c r="H148" s="3628"/>
      <c r="I148" s="3628"/>
      <c r="J148" s="3628"/>
      <c r="K148" s="3628"/>
      <c r="L148" s="3628"/>
      <c r="M148" s="3628"/>
      <c r="N148" s="3628"/>
      <c r="O148" s="3628"/>
      <c r="P148" s="3628"/>
      <c r="Q148" s="3628"/>
      <c r="R148" s="3628"/>
      <c r="S148" s="3628"/>
      <c r="T148" s="3628"/>
      <c r="U148" s="3628"/>
      <c r="V148" s="3628"/>
      <c r="W148" s="3628"/>
      <c r="X148" s="3628"/>
      <c r="Y148" s="3628"/>
      <c r="Z148" s="3628"/>
      <c r="AA148" s="3628"/>
      <c r="AB148" s="3628"/>
      <c r="AC148" s="3628"/>
      <c r="AD148" s="3628"/>
      <c r="AE148" s="3628"/>
      <c r="AF148" s="3628"/>
      <c r="AG148" s="3628"/>
      <c r="AH148" s="3628"/>
      <c r="AI148" s="3628"/>
      <c r="AJ148" s="3628"/>
      <c r="AK148" s="3628"/>
      <c r="AL148" s="3628"/>
      <c r="AM148" s="3628"/>
      <c r="AN148" s="3628"/>
      <c r="AO148" s="3628"/>
      <c r="AP148" s="3628"/>
      <c r="AQ148" s="3628"/>
      <c r="AR148" s="3628"/>
      <c r="AS148" s="3628"/>
    </row>
    <row r="149" spans="2:45">
      <c r="B149" s="3628"/>
      <c r="C149" s="3796"/>
      <c r="D149" s="3628"/>
      <c r="E149" s="3628"/>
      <c r="F149" s="3628"/>
      <c r="G149" s="3628"/>
      <c r="H149" s="3628"/>
      <c r="I149" s="3628"/>
      <c r="J149" s="3628"/>
      <c r="K149" s="3628"/>
      <c r="L149" s="3628"/>
      <c r="M149" s="3628"/>
      <c r="N149" s="3628"/>
      <c r="O149" s="3628"/>
      <c r="P149" s="3628"/>
      <c r="Q149" s="3628"/>
      <c r="R149" s="3628"/>
      <c r="S149" s="3628"/>
      <c r="T149" s="3628"/>
      <c r="U149" s="3628"/>
      <c r="V149" s="3628"/>
      <c r="W149" s="3628"/>
      <c r="X149" s="3628"/>
      <c r="Y149" s="3628"/>
      <c r="Z149" s="3628"/>
      <c r="AA149" s="3628"/>
      <c r="AB149" s="3628"/>
      <c r="AC149" s="3628"/>
      <c r="AD149" s="3628"/>
      <c r="AE149" s="3628"/>
      <c r="AF149" s="3628"/>
      <c r="AG149" s="3628"/>
      <c r="AH149" s="3628"/>
      <c r="AI149" s="3628"/>
      <c r="AJ149" s="3628"/>
      <c r="AK149" s="3628"/>
      <c r="AL149" s="3628"/>
      <c r="AM149" s="3628"/>
      <c r="AN149" s="3628"/>
      <c r="AO149" s="3628"/>
      <c r="AP149" s="3628"/>
      <c r="AQ149" s="3628"/>
      <c r="AR149" s="3628"/>
      <c r="AS149" s="3628"/>
    </row>
    <row r="150" spans="2:45">
      <c r="B150" s="3628"/>
      <c r="C150" s="3796"/>
      <c r="D150" s="3628"/>
      <c r="E150" s="3628"/>
      <c r="F150" s="3628"/>
      <c r="G150" s="3628"/>
      <c r="H150" s="3628"/>
      <c r="I150" s="3628"/>
      <c r="J150" s="3628"/>
      <c r="K150" s="3628"/>
      <c r="L150" s="3628"/>
      <c r="M150" s="3628"/>
      <c r="N150" s="3628"/>
      <c r="O150" s="3628"/>
      <c r="P150" s="3628"/>
      <c r="Q150" s="3628"/>
      <c r="R150" s="3628"/>
      <c r="S150" s="3628"/>
      <c r="T150" s="3628"/>
      <c r="U150" s="3628"/>
      <c r="V150" s="3628"/>
      <c r="W150" s="3628"/>
      <c r="X150" s="3628"/>
      <c r="Y150" s="3628"/>
      <c r="Z150" s="3628"/>
      <c r="AA150" s="3628"/>
      <c r="AB150" s="3628"/>
      <c r="AC150" s="3628"/>
      <c r="AD150" s="3628"/>
      <c r="AE150" s="3628"/>
      <c r="AF150" s="3628"/>
      <c r="AG150" s="3628"/>
      <c r="AH150" s="3628"/>
      <c r="AI150" s="3628"/>
      <c r="AJ150" s="3628"/>
      <c r="AK150" s="3628"/>
      <c r="AL150" s="3628"/>
      <c r="AM150" s="3628"/>
      <c r="AN150" s="3628"/>
      <c r="AO150" s="3628"/>
      <c r="AP150" s="3628"/>
      <c r="AQ150" s="3628"/>
      <c r="AR150" s="3628"/>
      <c r="AS150" s="3628"/>
    </row>
    <row r="151" spans="2:45">
      <c r="B151" s="3628"/>
      <c r="C151" s="3796"/>
      <c r="D151" s="3628"/>
      <c r="E151" s="3628"/>
      <c r="F151" s="3628"/>
      <c r="G151" s="3628"/>
      <c r="H151" s="3628"/>
      <c r="I151" s="3628"/>
      <c r="J151" s="3628"/>
      <c r="K151" s="3628"/>
      <c r="L151" s="3628"/>
      <c r="M151" s="3628"/>
      <c r="N151" s="3628"/>
      <c r="O151" s="3628"/>
      <c r="P151" s="3628"/>
      <c r="Q151" s="3628"/>
      <c r="R151" s="3628"/>
      <c r="S151" s="3628"/>
      <c r="T151" s="3628"/>
      <c r="U151" s="3628"/>
      <c r="V151" s="3628"/>
      <c r="W151" s="3628"/>
      <c r="X151" s="3628"/>
      <c r="Y151" s="3628"/>
      <c r="Z151" s="3628"/>
      <c r="AA151" s="3628"/>
      <c r="AB151" s="3628"/>
      <c r="AC151" s="3628"/>
      <c r="AD151" s="3628"/>
      <c r="AE151" s="3628"/>
      <c r="AF151" s="3628"/>
      <c r="AG151" s="3628"/>
      <c r="AH151" s="3628"/>
      <c r="AI151" s="3628"/>
      <c r="AJ151" s="3628"/>
      <c r="AK151" s="3628"/>
      <c r="AL151" s="3628"/>
      <c r="AM151" s="3628"/>
      <c r="AN151" s="3628"/>
      <c r="AO151" s="3628"/>
      <c r="AP151" s="3628"/>
      <c r="AQ151" s="3628"/>
      <c r="AR151" s="3628"/>
      <c r="AS151" s="3628"/>
    </row>
    <row r="152" spans="2:45">
      <c r="B152" s="3628"/>
      <c r="C152" s="3796"/>
      <c r="D152" s="3628"/>
      <c r="E152" s="3628"/>
      <c r="F152" s="3628"/>
      <c r="G152" s="3628"/>
      <c r="H152" s="3628"/>
      <c r="I152" s="3628"/>
      <c r="J152" s="3628"/>
      <c r="K152" s="3628"/>
      <c r="L152" s="3628"/>
      <c r="M152" s="3628"/>
      <c r="N152" s="3628"/>
      <c r="O152" s="3628"/>
      <c r="P152" s="3628"/>
      <c r="Q152" s="3628"/>
      <c r="R152" s="3628"/>
      <c r="S152" s="3628"/>
      <c r="T152" s="3628"/>
      <c r="U152" s="3628"/>
      <c r="V152" s="3628"/>
      <c r="W152" s="3628"/>
      <c r="X152" s="3628"/>
      <c r="Y152" s="3628"/>
      <c r="Z152" s="3628"/>
      <c r="AA152" s="3628"/>
      <c r="AB152" s="3628"/>
      <c r="AC152" s="3628"/>
      <c r="AD152" s="3628"/>
      <c r="AE152" s="3628"/>
      <c r="AF152" s="3628"/>
      <c r="AG152" s="3628"/>
      <c r="AH152" s="3628"/>
      <c r="AI152" s="3628"/>
      <c r="AJ152" s="3628"/>
      <c r="AK152" s="3628"/>
      <c r="AL152" s="3628"/>
      <c r="AM152" s="3628"/>
      <c r="AN152" s="3628"/>
      <c r="AO152" s="3628"/>
      <c r="AP152" s="3628"/>
      <c r="AQ152" s="3628"/>
      <c r="AR152" s="3628"/>
      <c r="AS152" s="3628"/>
    </row>
    <row r="153" spans="2:45">
      <c r="B153" s="3628"/>
      <c r="C153" s="3796"/>
      <c r="D153" s="3628"/>
      <c r="E153" s="3628"/>
      <c r="F153" s="3628"/>
      <c r="G153" s="3628"/>
      <c r="H153" s="3628"/>
      <c r="I153" s="3628"/>
      <c r="J153" s="3628"/>
      <c r="K153" s="3628"/>
      <c r="L153" s="3628"/>
      <c r="M153" s="3628"/>
      <c r="N153" s="3628"/>
      <c r="O153" s="3628"/>
      <c r="P153" s="3628"/>
      <c r="Q153" s="3628"/>
      <c r="R153" s="3628"/>
      <c r="S153" s="3628"/>
      <c r="T153" s="3628"/>
      <c r="U153" s="3628"/>
      <c r="V153" s="3628"/>
      <c r="W153" s="3628"/>
      <c r="X153" s="3628"/>
      <c r="Y153" s="3628"/>
      <c r="Z153" s="3628"/>
      <c r="AA153" s="3628"/>
      <c r="AB153" s="3628"/>
      <c r="AC153" s="3628"/>
      <c r="AD153" s="3628"/>
      <c r="AE153" s="3628"/>
      <c r="AF153" s="3628"/>
      <c r="AG153" s="3628"/>
      <c r="AH153" s="3628"/>
      <c r="AI153" s="3628"/>
      <c r="AJ153" s="3628"/>
      <c r="AK153" s="3628"/>
      <c r="AL153" s="3628"/>
      <c r="AM153" s="3628"/>
      <c r="AN153" s="3628"/>
      <c r="AO153" s="3628"/>
      <c r="AP153" s="3628"/>
      <c r="AQ153" s="3628"/>
      <c r="AR153" s="3628"/>
      <c r="AS153" s="3628"/>
    </row>
    <row r="154" spans="2:45">
      <c r="B154" s="3628"/>
      <c r="C154" s="3796"/>
      <c r="D154" s="3628"/>
      <c r="E154" s="3628"/>
      <c r="F154" s="3628"/>
      <c r="G154" s="3628"/>
      <c r="H154" s="3628"/>
      <c r="I154" s="3628"/>
      <c r="J154" s="3628"/>
      <c r="K154" s="3628"/>
      <c r="L154" s="3628"/>
      <c r="M154" s="3628"/>
      <c r="N154" s="3628"/>
      <c r="O154" s="3628"/>
      <c r="P154" s="3628"/>
      <c r="Q154" s="3628"/>
      <c r="R154" s="3628"/>
      <c r="S154" s="3628"/>
      <c r="T154" s="3628"/>
      <c r="U154" s="3628"/>
      <c r="V154" s="3628"/>
      <c r="W154" s="3628"/>
      <c r="X154" s="3628"/>
      <c r="Y154" s="3628"/>
      <c r="Z154" s="3628"/>
      <c r="AA154" s="3628"/>
      <c r="AB154" s="3628"/>
      <c r="AC154" s="3628"/>
      <c r="AD154" s="3628"/>
      <c r="AE154" s="3628"/>
      <c r="AF154" s="3628"/>
      <c r="AG154" s="3628"/>
      <c r="AH154" s="3628"/>
      <c r="AI154" s="3628"/>
      <c r="AJ154" s="3628"/>
      <c r="AK154" s="3628"/>
      <c r="AL154" s="3628"/>
      <c r="AM154" s="3628"/>
      <c r="AN154" s="3628"/>
      <c r="AO154" s="3628"/>
      <c r="AP154" s="3628"/>
      <c r="AQ154" s="3628"/>
      <c r="AR154" s="3628"/>
      <c r="AS154" s="3628"/>
    </row>
    <row r="155" spans="2:45">
      <c r="B155" s="3628"/>
      <c r="C155" s="3796"/>
      <c r="D155" s="3628"/>
      <c r="E155" s="3628"/>
      <c r="F155" s="3628"/>
      <c r="G155" s="3628"/>
      <c r="H155" s="3628"/>
      <c r="I155" s="3628"/>
      <c r="J155" s="3628"/>
      <c r="K155" s="3628"/>
      <c r="L155" s="3628"/>
      <c r="M155" s="3628"/>
      <c r="N155" s="3628"/>
      <c r="O155" s="3628"/>
      <c r="P155" s="3628"/>
      <c r="Q155" s="3628"/>
      <c r="R155" s="3628"/>
      <c r="S155" s="3628"/>
      <c r="T155" s="3628"/>
      <c r="U155" s="3628"/>
      <c r="V155" s="3628"/>
      <c r="W155" s="3628"/>
      <c r="X155" s="3628"/>
      <c r="Y155" s="3628"/>
      <c r="Z155" s="3628"/>
      <c r="AA155" s="3628"/>
      <c r="AB155" s="3628"/>
      <c r="AC155" s="3628"/>
      <c r="AD155" s="3628"/>
      <c r="AE155" s="3628"/>
      <c r="AF155" s="3628"/>
      <c r="AG155" s="3628"/>
      <c r="AH155" s="3628"/>
      <c r="AI155" s="3628"/>
      <c r="AJ155" s="3628"/>
      <c r="AK155" s="3628"/>
      <c r="AL155" s="3628"/>
      <c r="AM155" s="3628"/>
      <c r="AN155" s="3628"/>
      <c r="AO155" s="3628"/>
      <c r="AP155" s="3628"/>
      <c r="AQ155" s="3628"/>
      <c r="AR155" s="3628"/>
      <c r="AS155" s="3628"/>
    </row>
    <row r="156" spans="2:45">
      <c r="B156" s="3628"/>
      <c r="C156" s="3796"/>
      <c r="D156" s="3628"/>
      <c r="E156" s="3628"/>
      <c r="F156" s="3628"/>
      <c r="G156" s="3628"/>
      <c r="H156" s="3628"/>
      <c r="I156" s="3628"/>
      <c r="J156" s="3628"/>
      <c r="K156" s="3628"/>
      <c r="L156" s="3628"/>
      <c r="M156" s="3628"/>
      <c r="N156" s="3628"/>
      <c r="O156" s="3628"/>
      <c r="P156" s="3628"/>
      <c r="Q156" s="3628"/>
      <c r="R156" s="3628"/>
      <c r="S156" s="3628"/>
      <c r="T156" s="3628"/>
      <c r="U156" s="3628"/>
      <c r="V156" s="3628"/>
      <c r="W156" s="3628"/>
      <c r="X156" s="3628"/>
      <c r="Y156" s="3628"/>
      <c r="Z156" s="3628"/>
      <c r="AA156" s="3628"/>
      <c r="AB156" s="3628"/>
      <c r="AC156" s="3628"/>
      <c r="AD156" s="3628"/>
      <c r="AE156" s="3628"/>
      <c r="AF156" s="3628"/>
      <c r="AG156" s="3628"/>
      <c r="AH156" s="3628"/>
      <c r="AI156" s="3628"/>
      <c r="AJ156" s="3628"/>
      <c r="AK156" s="3628"/>
      <c r="AL156" s="3628"/>
      <c r="AM156" s="3628"/>
      <c r="AN156" s="3628"/>
      <c r="AO156" s="3628"/>
      <c r="AP156" s="3628"/>
      <c r="AQ156" s="3628"/>
      <c r="AR156" s="3628"/>
      <c r="AS156" s="3628"/>
    </row>
    <row r="157" spans="2:45">
      <c r="B157" s="3628"/>
      <c r="C157" s="3796"/>
      <c r="D157" s="3628"/>
      <c r="E157" s="3628"/>
      <c r="F157" s="3628"/>
      <c r="G157" s="3628"/>
      <c r="H157" s="3628"/>
      <c r="I157" s="3628"/>
      <c r="J157" s="3628"/>
      <c r="K157" s="3628"/>
      <c r="L157" s="3628"/>
      <c r="M157" s="3628"/>
      <c r="N157" s="3628"/>
      <c r="O157" s="3628"/>
      <c r="P157" s="3628"/>
      <c r="Q157" s="3628"/>
      <c r="R157" s="3628"/>
      <c r="S157" s="3628"/>
      <c r="T157" s="3628"/>
      <c r="U157" s="3628"/>
      <c r="V157" s="3628"/>
      <c r="W157" s="3628"/>
      <c r="X157" s="3628"/>
      <c r="Y157" s="3628"/>
      <c r="Z157" s="3628"/>
      <c r="AA157" s="3628"/>
      <c r="AB157" s="3628"/>
      <c r="AC157" s="3628"/>
      <c r="AD157" s="3628"/>
      <c r="AE157" s="3628"/>
      <c r="AF157" s="3628"/>
      <c r="AG157" s="3628"/>
      <c r="AH157" s="3628"/>
      <c r="AI157" s="3628"/>
      <c r="AJ157" s="3628"/>
      <c r="AK157" s="3628"/>
      <c r="AL157" s="3628"/>
      <c r="AM157" s="3628"/>
      <c r="AN157" s="3628"/>
      <c r="AO157" s="3628"/>
      <c r="AP157" s="3628"/>
      <c r="AQ157" s="3628"/>
      <c r="AR157" s="3628"/>
      <c r="AS157" s="3628"/>
    </row>
    <row r="158" spans="2:45">
      <c r="B158" s="3628"/>
      <c r="C158" s="3796"/>
      <c r="D158" s="3628"/>
      <c r="E158" s="3628"/>
      <c r="F158" s="3628"/>
      <c r="G158" s="3628"/>
      <c r="H158" s="3628"/>
      <c r="I158" s="3628"/>
      <c r="J158" s="3628"/>
      <c r="K158" s="3628"/>
      <c r="L158" s="3628"/>
      <c r="M158" s="3628"/>
      <c r="N158" s="3628"/>
      <c r="O158" s="3628"/>
      <c r="P158" s="3628"/>
      <c r="Q158" s="3628"/>
      <c r="R158" s="3628"/>
      <c r="S158" s="3628"/>
      <c r="T158" s="3628"/>
      <c r="U158" s="3628"/>
      <c r="V158" s="3628"/>
      <c r="W158" s="3628"/>
      <c r="X158" s="3628"/>
      <c r="Y158" s="3628"/>
      <c r="Z158" s="3628"/>
      <c r="AA158" s="3628"/>
      <c r="AB158" s="3628"/>
      <c r="AC158" s="3628"/>
      <c r="AD158" s="3628"/>
      <c r="AE158" s="3628"/>
      <c r="AF158" s="3628"/>
      <c r="AG158" s="3628"/>
      <c r="AH158" s="3628"/>
      <c r="AI158" s="3628"/>
      <c r="AJ158" s="3628"/>
      <c r="AK158" s="3628"/>
      <c r="AL158" s="3628"/>
      <c r="AM158" s="3628"/>
      <c r="AN158" s="3628"/>
      <c r="AO158" s="3628"/>
      <c r="AP158" s="3628"/>
      <c r="AQ158" s="3628"/>
      <c r="AR158" s="3628"/>
      <c r="AS158" s="3628"/>
    </row>
    <row r="159" spans="2:45">
      <c r="B159" s="3628"/>
      <c r="C159" s="3796"/>
      <c r="D159" s="3628"/>
      <c r="E159" s="3628"/>
      <c r="F159" s="3628"/>
      <c r="G159" s="3628"/>
      <c r="H159" s="3628"/>
      <c r="I159" s="3628"/>
      <c r="J159" s="3628"/>
      <c r="K159" s="3628"/>
      <c r="L159" s="3628"/>
      <c r="M159" s="3628"/>
      <c r="N159" s="3628"/>
      <c r="O159" s="3628"/>
      <c r="P159" s="3628"/>
      <c r="Q159" s="3628"/>
      <c r="R159" s="3628"/>
      <c r="S159" s="3628"/>
      <c r="T159" s="3628"/>
      <c r="U159" s="3628"/>
      <c r="V159" s="3628"/>
      <c r="W159" s="3628"/>
      <c r="X159" s="3628"/>
      <c r="Y159" s="3628"/>
      <c r="Z159" s="3628"/>
      <c r="AA159" s="3628"/>
      <c r="AB159" s="3628"/>
      <c r="AC159" s="3628"/>
      <c r="AD159" s="3628"/>
      <c r="AE159" s="3628"/>
      <c r="AF159" s="3628"/>
      <c r="AG159" s="3628"/>
      <c r="AH159" s="3628"/>
      <c r="AI159" s="3628"/>
      <c r="AJ159" s="3628"/>
      <c r="AK159" s="3628"/>
      <c r="AL159" s="3628"/>
      <c r="AM159" s="3628"/>
      <c r="AN159" s="3628"/>
      <c r="AO159" s="3628"/>
      <c r="AP159" s="3628"/>
      <c r="AQ159" s="3628"/>
      <c r="AR159" s="3628"/>
      <c r="AS159" s="3628"/>
    </row>
    <row r="160" spans="2:45">
      <c r="B160" s="3628"/>
      <c r="C160" s="3796"/>
      <c r="D160" s="3628"/>
      <c r="E160" s="3628"/>
      <c r="F160" s="3628"/>
      <c r="G160" s="3628"/>
      <c r="H160" s="3628"/>
      <c r="I160" s="3628"/>
      <c r="J160" s="3628"/>
      <c r="K160" s="3628"/>
      <c r="L160" s="3628"/>
      <c r="M160" s="3628"/>
      <c r="N160" s="3628"/>
      <c r="O160" s="3628"/>
      <c r="P160" s="3628"/>
      <c r="Q160" s="3628"/>
      <c r="R160" s="3628"/>
      <c r="S160" s="3628"/>
      <c r="T160" s="3628"/>
      <c r="U160" s="3628"/>
      <c r="V160" s="3628"/>
      <c r="W160" s="3628"/>
      <c r="X160" s="3628"/>
      <c r="Y160" s="3628"/>
      <c r="Z160" s="3628"/>
      <c r="AA160" s="3628"/>
      <c r="AB160" s="3628"/>
      <c r="AC160" s="3628"/>
      <c r="AD160" s="3628"/>
      <c r="AE160" s="3628"/>
      <c r="AF160" s="3628"/>
      <c r="AG160" s="3628"/>
      <c r="AH160" s="3628"/>
      <c r="AI160" s="3628"/>
      <c r="AJ160" s="3628"/>
      <c r="AK160" s="3628"/>
      <c r="AL160" s="3628"/>
      <c r="AM160" s="3628"/>
      <c r="AN160" s="3628"/>
      <c r="AO160" s="3628"/>
      <c r="AP160" s="3628"/>
      <c r="AQ160" s="3628"/>
      <c r="AR160" s="3628"/>
      <c r="AS160" s="3628"/>
    </row>
    <row r="161" spans="2:45">
      <c r="B161" s="3628"/>
      <c r="C161" s="3796"/>
      <c r="D161" s="3628"/>
      <c r="E161" s="3628"/>
      <c r="F161" s="3628"/>
      <c r="G161" s="3628"/>
      <c r="H161" s="3628"/>
      <c r="I161" s="3628"/>
      <c r="J161" s="3628"/>
      <c r="K161" s="3628"/>
      <c r="L161" s="3628"/>
      <c r="M161" s="3628"/>
      <c r="N161" s="3628"/>
      <c r="O161" s="3628"/>
      <c r="P161" s="3628"/>
      <c r="Q161" s="3628"/>
      <c r="R161" s="3628"/>
      <c r="S161" s="3628"/>
      <c r="T161" s="3628"/>
      <c r="U161" s="3628"/>
      <c r="V161" s="3628"/>
      <c r="W161" s="3628"/>
      <c r="X161" s="3628"/>
      <c r="Y161" s="3628"/>
      <c r="Z161" s="3628"/>
      <c r="AA161" s="3628"/>
      <c r="AB161" s="3628"/>
      <c r="AC161" s="3628"/>
      <c r="AD161" s="3628"/>
      <c r="AE161" s="3628"/>
      <c r="AF161" s="3628"/>
      <c r="AG161" s="3628"/>
      <c r="AH161" s="3628"/>
      <c r="AI161" s="3628"/>
      <c r="AJ161" s="3628"/>
      <c r="AK161" s="3628"/>
      <c r="AL161" s="3628"/>
      <c r="AM161" s="3628"/>
      <c r="AN161" s="3628"/>
      <c r="AO161" s="3628"/>
      <c r="AP161" s="3628"/>
      <c r="AQ161" s="3628"/>
      <c r="AR161" s="3628"/>
      <c r="AS161" s="3628"/>
    </row>
    <row r="162" spans="2:45">
      <c r="B162" s="3628"/>
      <c r="C162" s="3796"/>
      <c r="D162" s="3628"/>
      <c r="E162" s="3628"/>
      <c r="F162" s="3628"/>
      <c r="G162" s="3628"/>
      <c r="H162" s="3628"/>
      <c r="I162" s="3628"/>
      <c r="J162" s="3628"/>
      <c r="K162" s="3628"/>
      <c r="L162" s="3628"/>
      <c r="M162" s="3628"/>
      <c r="N162" s="3628"/>
      <c r="O162" s="3628"/>
      <c r="P162" s="3628"/>
      <c r="Q162" s="3628"/>
      <c r="R162" s="3628"/>
      <c r="S162" s="3628"/>
      <c r="T162" s="3628"/>
      <c r="U162" s="3628"/>
      <c r="V162" s="3628"/>
      <c r="W162" s="3628"/>
      <c r="X162" s="3628"/>
      <c r="Y162" s="3628"/>
      <c r="Z162" s="3628"/>
      <c r="AA162" s="3628"/>
      <c r="AB162" s="3628"/>
      <c r="AC162" s="3628"/>
      <c r="AD162" s="3628"/>
      <c r="AE162" s="3628"/>
      <c r="AF162" s="3628"/>
      <c r="AG162" s="3628"/>
      <c r="AH162" s="3628"/>
      <c r="AI162" s="3628"/>
      <c r="AJ162" s="3628"/>
      <c r="AK162" s="3628"/>
      <c r="AL162" s="3628"/>
      <c r="AM162" s="3628"/>
      <c r="AN162" s="3628"/>
      <c r="AO162" s="3628"/>
      <c r="AP162" s="3628"/>
      <c r="AQ162" s="3628"/>
      <c r="AR162" s="3628"/>
      <c r="AS162" s="3628"/>
    </row>
    <row r="163" spans="2:45">
      <c r="B163" s="3628"/>
      <c r="C163" s="3796"/>
      <c r="D163" s="3628"/>
      <c r="E163" s="3628"/>
      <c r="F163" s="3628"/>
      <c r="G163" s="3628"/>
      <c r="H163" s="3628"/>
      <c r="I163" s="3628"/>
      <c r="J163" s="3628"/>
      <c r="K163" s="3628"/>
      <c r="L163" s="3628"/>
      <c r="M163" s="3628"/>
      <c r="N163" s="3628"/>
      <c r="O163" s="3628"/>
      <c r="P163" s="3628"/>
      <c r="Q163" s="3628"/>
      <c r="R163" s="3628"/>
      <c r="S163" s="3628"/>
      <c r="T163" s="3628"/>
      <c r="U163" s="3628"/>
      <c r="V163" s="3628"/>
      <c r="W163" s="3628"/>
      <c r="X163" s="3628"/>
      <c r="Y163" s="3628"/>
      <c r="Z163" s="3628"/>
      <c r="AA163" s="3628"/>
      <c r="AB163" s="3628"/>
      <c r="AC163" s="3628"/>
      <c r="AD163" s="3628"/>
      <c r="AE163" s="3628"/>
      <c r="AF163" s="3628"/>
      <c r="AG163" s="3628"/>
      <c r="AH163" s="3628"/>
      <c r="AI163" s="3628"/>
      <c r="AJ163" s="3628"/>
      <c r="AK163" s="3628"/>
      <c r="AL163" s="3628"/>
      <c r="AM163" s="3628"/>
      <c r="AN163" s="3628"/>
      <c r="AO163" s="3628"/>
      <c r="AP163" s="3628"/>
      <c r="AQ163" s="3628"/>
      <c r="AR163" s="3628"/>
      <c r="AS163" s="3628"/>
    </row>
    <row r="164" spans="2:45">
      <c r="B164" s="3628"/>
      <c r="C164" s="3796"/>
      <c r="D164" s="3628"/>
      <c r="E164" s="3628"/>
      <c r="F164" s="3628"/>
      <c r="G164" s="3628"/>
      <c r="H164" s="3628"/>
      <c r="I164" s="3628"/>
      <c r="J164" s="3628"/>
      <c r="K164" s="3628"/>
      <c r="L164" s="3628"/>
      <c r="M164" s="3628"/>
      <c r="N164" s="3628"/>
      <c r="O164" s="3628"/>
      <c r="P164" s="3628"/>
      <c r="Q164" s="3628"/>
      <c r="R164" s="3628"/>
      <c r="S164" s="3628"/>
      <c r="T164" s="3628"/>
      <c r="U164" s="3628"/>
      <c r="V164" s="3628"/>
      <c r="W164" s="3628"/>
      <c r="X164" s="3628"/>
      <c r="Y164" s="3628"/>
      <c r="Z164" s="3628"/>
      <c r="AA164" s="3628"/>
      <c r="AB164" s="3628"/>
      <c r="AC164" s="3628"/>
      <c r="AD164" s="3628"/>
      <c r="AE164" s="3628"/>
      <c r="AF164" s="3628"/>
      <c r="AG164" s="3628"/>
      <c r="AH164" s="3628"/>
      <c r="AI164" s="3628"/>
      <c r="AJ164" s="3628"/>
      <c r="AK164" s="3628"/>
      <c r="AL164" s="3628"/>
      <c r="AM164" s="3628"/>
      <c r="AN164" s="3628"/>
      <c r="AO164" s="3628"/>
      <c r="AP164" s="3628"/>
      <c r="AQ164" s="3628"/>
      <c r="AR164" s="3628"/>
      <c r="AS164" s="3628"/>
    </row>
    <row r="165" spans="2:45">
      <c r="B165" s="3628"/>
      <c r="C165" s="3796"/>
      <c r="D165" s="3628"/>
      <c r="E165" s="3628"/>
      <c r="F165" s="3628"/>
      <c r="G165" s="3628"/>
      <c r="H165" s="3628"/>
      <c r="I165" s="3628"/>
      <c r="J165" s="3628"/>
      <c r="K165" s="3628"/>
      <c r="L165" s="3628"/>
      <c r="M165" s="3628"/>
      <c r="N165" s="3628"/>
      <c r="O165" s="3628"/>
      <c r="P165" s="3628"/>
      <c r="Q165" s="3628"/>
      <c r="R165" s="3628"/>
      <c r="S165" s="3628"/>
      <c r="T165" s="3628"/>
      <c r="U165" s="3628"/>
      <c r="V165" s="3628"/>
      <c r="W165" s="3628"/>
      <c r="X165" s="3628"/>
      <c r="Y165" s="3628"/>
      <c r="Z165" s="3628"/>
      <c r="AA165" s="3628"/>
      <c r="AB165" s="3628"/>
      <c r="AC165" s="3628"/>
      <c r="AD165" s="3628"/>
      <c r="AE165" s="3628"/>
      <c r="AF165" s="3628"/>
      <c r="AG165" s="3628"/>
      <c r="AH165" s="3628"/>
      <c r="AI165" s="3628"/>
      <c r="AJ165" s="3628"/>
      <c r="AK165" s="3628"/>
      <c r="AL165" s="3628"/>
      <c r="AM165" s="3628"/>
      <c r="AN165" s="3628"/>
      <c r="AO165" s="3628"/>
      <c r="AP165" s="3628"/>
      <c r="AQ165" s="3628"/>
      <c r="AR165" s="3628"/>
      <c r="AS165" s="3628"/>
    </row>
    <row r="166" spans="2:45">
      <c r="B166" s="3628"/>
      <c r="C166" s="3796"/>
      <c r="D166" s="3628"/>
      <c r="E166" s="3628"/>
      <c r="F166" s="3628"/>
      <c r="G166" s="3628"/>
      <c r="H166" s="3628"/>
      <c r="I166" s="3628"/>
      <c r="J166" s="3628"/>
      <c r="K166" s="3628"/>
      <c r="L166" s="3628"/>
      <c r="M166" s="3628"/>
      <c r="N166" s="3628"/>
      <c r="O166" s="3628"/>
      <c r="P166" s="3628"/>
      <c r="Q166" s="3628"/>
      <c r="R166" s="3628"/>
      <c r="S166" s="3628"/>
      <c r="T166" s="3628"/>
      <c r="U166" s="3628"/>
      <c r="V166" s="3628"/>
      <c r="W166" s="3628"/>
      <c r="X166" s="3628"/>
      <c r="Y166" s="3628"/>
      <c r="Z166" s="3628"/>
      <c r="AA166" s="3628"/>
      <c r="AB166" s="3628"/>
      <c r="AC166" s="3628"/>
      <c r="AD166" s="3628"/>
      <c r="AE166" s="3628"/>
      <c r="AF166" s="3628"/>
      <c r="AG166" s="3628"/>
      <c r="AH166" s="3628"/>
      <c r="AI166" s="3628"/>
      <c r="AJ166" s="3628"/>
      <c r="AK166" s="3628"/>
      <c r="AL166" s="3628"/>
      <c r="AM166" s="3628"/>
      <c r="AN166" s="3628"/>
      <c r="AO166" s="3628"/>
      <c r="AP166" s="3628"/>
      <c r="AQ166" s="3628"/>
      <c r="AR166" s="3628"/>
      <c r="AS166" s="3628"/>
    </row>
    <row r="167" spans="2:45">
      <c r="B167" s="3628"/>
      <c r="C167" s="3796"/>
      <c r="D167" s="3628"/>
      <c r="E167" s="3628"/>
      <c r="F167" s="3628"/>
      <c r="G167" s="3628"/>
      <c r="H167" s="3628"/>
      <c r="I167" s="3628"/>
      <c r="J167" s="3628"/>
      <c r="K167" s="3628"/>
      <c r="L167" s="3628"/>
      <c r="M167" s="3628"/>
      <c r="N167" s="3628"/>
      <c r="O167" s="3628"/>
      <c r="P167" s="3628"/>
      <c r="Q167" s="3628"/>
      <c r="R167" s="3628"/>
      <c r="S167" s="3628"/>
      <c r="T167" s="3628"/>
      <c r="U167" s="3628"/>
      <c r="V167" s="3628"/>
      <c r="W167" s="3628"/>
      <c r="X167" s="3628"/>
      <c r="Y167" s="3628"/>
      <c r="Z167" s="3628"/>
      <c r="AA167" s="3628"/>
      <c r="AB167" s="3628"/>
      <c r="AC167" s="3628"/>
      <c r="AD167" s="3628"/>
      <c r="AE167" s="3628"/>
      <c r="AF167" s="3628"/>
      <c r="AG167" s="3628"/>
      <c r="AH167" s="3628"/>
      <c r="AI167" s="3628"/>
      <c r="AJ167" s="3628"/>
      <c r="AK167" s="3628"/>
      <c r="AL167" s="3628"/>
      <c r="AM167" s="3628"/>
      <c r="AN167" s="3628"/>
      <c r="AO167" s="3628"/>
      <c r="AP167" s="3628"/>
      <c r="AQ167" s="3628"/>
      <c r="AR167" s="3628"/>
      <c r="AS167" s="3628"/>
    </row>
    <row r="168" spans="2:45">
      <c r="B168" s="3628"/>
      <c r="C168" s="3796"/>
      <c r="D168" s="3628"/>
      <c r="E168" s="3628"/>
      <c r="F168" s="3628"/>
      <c r="G168" s="3628"/>
      <c r="H168" s="3628"/>
      <c r="I168" s="3628"/>
      <c r="J168" s="3628"/>
      <c r="K168" s="3628"/>
      <c r="L168" s="3628"/>
      <c r="M168" s="3628"/>
      <c r="N168" s="3628"/>
      <c r="O168" s="3628"/>
      <c r="P168" s="3628"/>
      <c r="Q168" s="3628"/>
      <c r="R168" s="3628"/>
      <c r="S168" s="3628"/>
      <c r="T168" s="3628"/>
      <c r="U168" s="3628"/>
      <c r="V168" s="3628"/>
      <c r="W168" s="3628"/>
      <c r="X168" s="3628"/>
      <c r="Y168" s="3628"/>
      <c r="Z168" s="3628"/>
      <c r="AA168" s="3628"/>
      <c r="AB168" s="3628"/>
      <c r="AC168" s="3628"/>
      <c r="AD168" s="3628"/>
      <c r="AE168" s="3628"/>
      <c r="AF168" s="3628"/>
      <c r="AG168" s="3628"/>
      <c r="AH168" s="3628"/>
      <c r="AI168" s="3628"/>
      <c r="AJ168" s="3628"/>
      <c r="AK168" s="3628"/>
      <c r="AL168" s="3628"/>
      <c r="AM168" s="3628"/>
      <c r="AN168" s="3628"/>
      <c r="AO168" s="3628"/>
      <c r="AP168" s="3628"/>
      <c r="AQ168" s="3628"/>
      <c r="AR168" s="3628"/>
      <c r="AS168" s="3628"/>
    </row>
    <row r="169" spans="2:45">
      <c r="B169" s="3628"/>
      <c r="C169" s="3796"/>
      <c r="D169" s="3628"/>
      <c r="E169" s="3628"/>
      <c r="F169" s="3628"/>
      <c r="G169" s="3628"/>
      <c r="H169" s="3628"/>
      <c r="I169" s="3628"/>
      <c r="J169" s="3628"/>
      <c r="K169" s="3628"/>
      <c r="L169" s="3628"/>
      <c r="M169" s="3628"/>
      <c r="N169" s="3628"/>
      <c r="O169" s="3628"/>
      <c r="P169" s="3628"/>
      <c r="Q169" s="3628"/>
      <c r="R169" s="3628"/>
      <c r="S169" s="3628"/>
      <c r="T169" s="3628"/>
      <c r="U169" s="3628"/>
      <c r="V169" s="3628"/>
      <c r="W169" s="3628"/>
      <c r="X169" s="3628"/>
      <c r="Y169" s="3628"/>
      <c r="Z169" s="3628"/>
      <c r="AA169" s="3628"/>
      <c r="AB169" s="3628"/>
      <c r="AC169" s="3628"/>
      <c r="AD169" s="3628"/>
      <c r="AE169" s="3628"/>
      <c r="AF169" s="3628"/>
      <c r="AG169" s="3628"/>
      <c r="AH169" s="3628"/>
      <c r="AI169" s="3628"/>
      <c r="AJ169" s="3628"/>
      <c r="AK169" s="3628"/>
      <c r="AL169" s="3628"/>
      <c r="AM169" s="3628"/>
      <c r="AN169" s="3628"/>
      <c r="AO169" s="3628"/>
      <c r="AP169" s="3628"/>
      <c r="AQ169" s="3628"/>
      <c r="AR169" s="3628"/>
      <c r="AS169" s="3628"/>
    </row>
    <row r="170" spans="2:45">
      <c r="B170" s="3628"/>
      <c r="C170" s="3796"/>
      <c r="D170" s="3628"/>
      <c r="E170" s="3628"/>
      <c r="F170" s="3628"/>
      <c r="G170" s="3628"/>
      <c r="H170" s="3628"/>
      <c r="I170" s="3628"/>
      <c r="J170" s="3628"/>
      <c r="K170" s="3628"/>
      <c r="L170" s="3628"/>
      <c r="M170" s="3628"/>
      <c r="N170" s="3628"/>
      <c r="O170" s="3628"/>
      <c r="P170" s="3628"/>
      <c r="Q170" s="3628"/>
      <c r="R170" s="3628"/>
      <c r="S170" s="3628"/>
      <c r="T170" s="3628"/>
      <c r="U170" s="3628"/>
      <c r="V170" s="3628"/>
      <c r="W170" s="3628"/>
      <c r="X170" s="3628"/>
      <c r="Y170" s="3628"/>
      <c r="Z170" s="3628"/>
      <c r="AA170" s="3628"/>
      <c r="AB170" s="3628"/>
      <c r="AC170" s="3628"/>
      <c r="AD170" s="3628"/>
      <c r="AE170" s="3628"/>
      <c r="AF170" s="3628"/>
      <c r="AG170" s="3628"/>
      <c r="AH170" s="3628"/>
      <c r="AI170" s="3628"/>
      <c r="AJ170" s="3628"/>
      <c r="AK170" s="3628"/>
      <c r="AL170" s="3628"/>
      <c r="AM170" s="3628"/>
      <c r="AN170" s="3628"/>
      <c r="AO170" s="3628"/>
      <c r="AP170" s="3628"/>
      <c r="AQ170" s="3628"/>
      <c r="AR170" s="3628"/>
      <c r="AS170" s="3628"/>
    </row>
    <row r="171" spans="2:45">
      <c r="B171" s="3628"/>
      <c r="C171" s="3796"/>
      <c r="D171" s="3628"/>
      <c r="E171" s="3628"/>
      <c r="F171" s="3628"/>
      <c r="G171" s="3628"/>
      <c r="H171" s="3628"/>
      <c r="I171" s="3628"/>
      <c r="J171" s="3628"/>
      <c r="K171" s="3628"/>
      <c r="L171" s="3628"/>
      <c r="M171" s="3628"/>
      <c r="N171" s="3628"/>
      <c r="O171" s="3628"/>
      <c r="P171" s="3628"/>
      <c r="Q171" s="3628"/>
      <c r="R171" s="3628"/>
      <c r="S171" s="3628"/>
      <c r="T171" s="3628"/>
      <c r="U171" s="3628"/>
      <c r="V171" s="3628"/>
      <c r="W171" s="3628"/>
      <c r="X171" s="3628"/>
      <c r="Y171" s="3628"/>
      <c r="Z171" s="3628"/>
      <c r="AA171" s="3628"/>
      <c r="AB171" s="3628"/>
      <c r="AC171" s="3628"/>
      <c r="AD171" s="3628"/>
      <c r="AE171" s="3628"/>
      <c r="AF171" s="3628"/>
      <c r="AG171" s="3628"/>
      <c r="AH171" s="3628"/>
      <c r="AI171" s="3628"/>
      <c r="AJ171" s="3628"/>
      <c r="AK171" s="3628"/>
      <c r="AL171" s="3628"/>
      <c r="AM171" s="3628"/>
      <c r="AN171" s="3628"/>
      <c r="AO171" s="3628"/>
      <c r="AP171" s="3628"/>
      <c r="AQ171" s="3628"/>
      <c r="AR171" s="3628"/>
      <c r="AS171" s="3628"/>
    </row>
    <row r="172" spans="2:45">
      <c r="B172" s="3628"/>
      <c r="C172" s="3796"/>
      <c r="D172" s="3628"/>
      <c r="E172" s="3628"/>
      <c r="F172" s="3628"/>
      <c r="G172" s="3628"/>
      <c r="H172" s="3628"/>
      <c r="I172" s="3628"/>
      <c r="J172" s="3628"/>
      <c r="K172" s="3628"/>
      <c r="L172" s="3628"/>
      <c r="M172" s="3628"/>
      <c r="N172" s="3628"/>
      <c r="O172" s="3628"/>
      <c r="P172" s="3628"/>
      <c r="Q172" s="3628"/>
      <c r="R172" s="3628"/>
      <c r="S172" s="3628"/>
      <c r="T172" s="3628"/>
      <c r="U172" s="3628"/>
      <c r="V172" s="3628"/>
      <c r="W172" s="3628"/>
      <c r="X172" s="3628"/>
      <c r="Y172" s="3628"/>
      <c r="Z172" s="3628"/>
      <c r="AA172" s="3628"/>
      <c r="AB172" s="3628"/>
      <c r="AC172" s="3628"/>
      <c r="AD172" s="3628"/>
      <c r="AE172" s="3628"/>
      <c r="AF172" s="3628"/>
      <c r="AG172" s="3628"/>
      <c r="AH172" s="3628"/>
      <c r="AI172" s="3628"/>
      <c r="AJ172" s="3628"/>
      <c r="AK172" s="3628"/>
      <c r="AL172" s="3628"/>
      <c r="AM172" s="3628"/>
      <c r="AN172" s="3628"/>
      <c r="AO172" s="3628"/>
      <c r="AP172" s="3628"/>
      <c r="AQ172" s="3628"/>
      <c r="AR172" s="3628"/>
      <c r="AS172" s="3628"/>
    </row>
    <row r="173" spans="2:45">
      <c r="B173" s="3628"/>
      <c r="C173" s="3796"/>
      <c r="D173" s="3628"/>
      <c r="E173" s="3628"/>
      <c r="F173" s="3628"/>
      <c r="G173" s="3628"/>
      <c r="H173" s="3628"/>
      <c r="I173" s="3628"/>
      <c r="J173" s="3628"/>
      <c r="K173" s="3628"/>
      <c r="L173" s="3628"/>
      <c r="M173" s="3628"/>
      <c r="N173" s="3628"/>
      <c r="O173" s="3628"/>
      <c r="P173" s="3628"/>
      <c r="Q173" s="3628"/>
      <c r="R173" s="3628"/>
      <c r="S173" s="3628"/>
      <c r="T173" s="3628"/>
      <c r="U173" s="3628"/>
      <c r="V173" s="3628"/>
      <c r="W173" s="3628"/>
      <c r="X173" s="3628"/>
      <c r="Y173" s="3628"/>
      <c r="Z173" s="3628"/>
      <c r="AA173" s="3628"/>
      <c r="AB173" s="3628"/>
      <c r="AC173" s="3628"/>
      <c r="AD173" s="3628"/>
      <c r="AE173" s="3628"/>
      <c r="AF173" s="3628"/>
      <c r="AG173" s="3628"/>
      <c r="AH173" s="3628"/>
      <c r="AI173" s="3628"/>
      <c r="AJ173" s="3628"/>
      <c r="AK173" s="3628"/>
      <c r="AL173" s="3628"/>
      <c r="AM173" s="3628"/>
      <c r="AN173" s="3628"/>
      <c r="AO173" s="3628"/>
      <c r="AP173" s="3628"/>
      <c r="AQ173" s="3628"/>
      <c r="AR173" s="3628"/>
      <c r="AS173" s="3628"/>
    </row>
    <row r="174" spans="2:45">
      <c r="B174" s="3628"/>
      <c r="C174" s="3796"/>
      <c r="D174" s="3628"/>
      <c r="E174" s="3628"/>
      <c r="F174" s="3628"/>
      <c r="G174" s="3628"/>
      <c r="H174" s="3628"/>
      <c r="I174" s="3628"/>
      <c r="J174" s="3628"/>
      <c r="K174" s="3628"/>
      <c r="L174" s="3628"/>
      <c r="M174" s="3628"/>
      <c r="N174" s="3628"/>
      <c r="O174" s="3628"/>
      <c r="P174" s="3628"/>
      <c r="Q174" s="3628"/>
      <c r="R174" s="3628"/>
      <c r="S174" s="3628"/>
      <c r="T174" s="3628"/>
      <c r="U174" s="3628"/>
      <c r="V174" s="3628"/>
      <c r="W174" s="3628"/>
      <c r="X174" s="3628"/>
      <c r="Y174" s="3628"/>
      <c r="Z174" s="3628"/>
      <c r="AA174" s="3628"/>
      <c r="AB174" s="3628"/>
      <c r="AC174" s="3628"/>
      <c r="AD174" s="3628"/>
      <c r="AE174" s="3628"/>
      <c r="AF174" s="3628"/>
      <c r="AG174" s="3628"/>
      <c r="AH174" s="3628"/>
      <c r="AI174" s="3628"/>
      <c r="AJ174" s="3628"/>
      <c r="AK174" s="3628"/>
      <c r="AL174" s="3628"/>
      <c r="AM174" s="3628"/>
      <c r="AN174" s="3628"/>
      <c r="AO174" s="3628"/>
      <c r="AP174" s="3628"/>
      <c r="AQ174" s="3628"/>
      <c r="AR174" s="3628"/>
      <c r="AS174" s="3628"/>
    </row>
    <row r="175" spans="2:45">
      <c r="B175" s="3628"/>
      <c r="C175" s="3796"/>
      <c r="D175" s="3628"/>
      <c r="E175" s="3628"/>
      <c r="F175" s="3628"/>
      <c r="G175" s="3628"/>
      <c r="H175" s="3628"/>
      <c r="I175" s="3628"/>
      <c r="J175" s="3628"/>
      <c r="K175" s="3628"/>
      <c r="L175" s="3628"/>
      <c r="M175" s="3628"/>
      <c r="N175" s="3628"/>
      <c r="O175" s="3628"/>
      <c r="P175" s="3628"/>
      <c r="Q175" s="3628"/>
      <c r="R175" s="3628"/>
      <c r="S175" s="3628"/>
      <c r="T175" s="3628"/>
      <c r="U175" s="3628"/>
      <c r="V175" s="3628"/>
      <c r="W175" s="3628"/>
      <c r="X175" s="3628"/>
      <c r="Y175" s="3628"/>
      <c r="Z175" s="3628"/>
      <c r="AA175" s="3628"/>
      <c r="AB175" s="3628"/>
      <c r="AC175" s="3628"/>
      <c r="AD175" s="3628"/>
      <c r="AE175" s="3628"/>
      <c r="AF175" s="3628"/>
      <c r="AG175" s="3628"/>
      <c r="AH175" s="3628"/>
      <c r="AI175" s="3628"/>
      <c r="AJ175" s="3628"/>
      <c r="AK175" s="3628"/>
      <c r="AL175" s="3628"/>
      <c r="AM175" s="3628"/>
      <c r="AN175" s="3628"/>
      <c r="AO175" s="3628"/>
      <c r="AP175" s="3628"/>
      <c r="AQ175" s="3628"/>
      <c r="AR175" s="3628"/>
      <c r="AS175" s="3628"/>
    </row>
    <row r="176" spans="2:45">
      <c r="B176" s="3628"/>
      <c r="C176" s="3796"/>
      <c r="D176" s="3628"/>
      <c r="E176" s="3628"/>
      <c r="F176" s="3628"/>
      <c r="G176" s="3628"/>
      <c r="H176" s="3628"/>
      <c r="I176" s="3628"/>
      <c r="J176" s="3628"/>
      <c r="K176" s="3628"/>
      <c r="L176" s="3628"/>
      <c r="M176" s="3628"/>
      <c r="N176" s="3628"/>
      <c r="O176" s="3628"/>
      <c r="P176" s="3628"/>
      <c r="Q176" s="3628"/>
      <c r="R176" s="3628"/>
      <c r="S176" s="3628"/>
      <c r="T176" s="3628"/>
      <c r="U176" s="3628"/>
      <c r="V176" s="3628"/>
      <c r="W176" s="3628"/>
      <c r="X176" s="3628"/>
      <c r="Y176" s="3628"/>
      <c r="Z176" s="3628"/>
      <c r="AA176" s="3628"/>
      <c r="AB176" s="3628"/>
      <c r="AC176" s="3628"/>
      <c r="AD176" s="3628"/>
      <c r="AE176" s="3628"/>
      <c r="AF176" s="3628"/>
      <c r="AG176" s="3628"/>
      <c r="AH176" s="3628"/>
      <c r="AI176" s="3628"/>
      <c r="AJ176" s="3628"/>
      <c r="AK176" s="3628"/>
      <c r="AL176" s="3628"/>
      <c r="AM176" s="3628"/>
      <c r="AN176" s="3628"/>
      <c r="AO176" s="3628"/>
      <c r="AP176" s="3628"/>
      <c r="AQ176" s="3628"/>
      <c r="AR176" s="3628"/>
      <c r="AS176" s="3628"/>
    </row>
    <row r="177" spans="2:45">
      <c r="B177" s="3628"/>
      <c r="C177" s="3796"/>
      <c r="D177" s="3628"/>
      <c r="E177" s="3628"/>
      <c r="F177" s="3628"/>
      <c r="G177" s="3628"/>
      <c r="H177" s="3628"/>
      <c r="I177" s="3628"/>
      <c r="J177" s="3628"/>
      <c r="K177" s="3628"/>
      <c r="L177" s="3628"/>
      <c r="M177" s="3628"/>
      <c r="N177" s="3628"/>
      <c r="O177" s="3628"/>
      <c r="P177" s="3628"/>
      <c r="Q177" s="3628"/>
      <c r="R177" s="3628"/>
      <c r="S177" s="3628"/>
      <c r="T177" s="3628"/>
      <c r="U177" s="3628"/>
      <c r="V177" s="3628"/>
      <c r="W177" s="3628"/>
      <c r="X177" s="3628"/>
      <c r="Y177" s="3628"/>
      <c r="Z177" s="3628"/>
      <c r="AA177" s="3628"/>
      <c r="AB177" s="3628"/>
      <c r="AC177" s="3628"/>
      <c r="AD177" s="3628"/>
      <c r="AE177" s="3628"/>
      <c r="AF177" s="3628"/>
      <c r="AG177" s="3628"/>
      <c r="AH177" s="3628"/>
      <c r="AI177" s="3628"/>
      <c r="AJ177" s="3628"/>
      <c r="AK177" s="3628"/>
      <c r="AL177" s="3628"/>
      <c r="AM177" s="3628"/>
      <c r="AN177" s="3628"/>
      <c r="AO177" s="3628"/>
      <c r="AP177" s="3628"/>
      <c r="AQ177" s="3628"/>
      <c r="AR177" s="3628"/>
      <c r="AS177" s="3628"/>
    </row>
    <row r="178" spans="2:45">
      <c r="B178" s="3628"/>
      <c r="C178" s="3796"/>
      <c r="D178" s="3628"/>
      <c r="E178" s="3628"/>
      <c r="F178" s="3628"/>
      <c r="G178" s="3628"/>
      <c r="H178" s="3628"/>
      <c r="I178" s="3628"/>
      <c r="J178" s="3628"/>
      <c r="K178" s="3628"/>
      <c r="L178" s="3628"/>
      <c r="M178" s="3628"/>
      <c r="N178" s="3628"/>
      <c r="O178" s="3628"/>
      <c r="P178" s="3628"/>
      <c r="Q178" s="3628"/>
      <c r="R178" s="3628"/>
      <c r="S178" s="3628"/>
      <c r="T178" s="3628"/>
      <c r="U178" s="3628"/>
      <c r="V178" s="3628"/>
      <c r="W178" s="3628"/>
      <c r="X178" s="3628"/>
      <c r="Y178" s="3628"/>
      <c r="Z178" s="3628"/>
      <c r="AA178" s="3628"/>
      <c r="AB178" s="3628"/>
      <c r="AC178" s="3628"/>
      <c r="AD178" s="3628"/>
      <c r="AE178" s="3628"/>
      <c r="AF178" s="3628"/>
      <c r="AG178" s="3628"/>
      <c r="AH178" s="3628"/>
      <c r="AI178" s="3628"/>
      <c r="AJ178" s="3628"/>
      <c r="AK178" s="3628"/>
      <c r="AL178" s="3628"/>
      <c r="AM178" s="3628"/>
      <c r="AN178" s="3628"/>
      <c r="AO178" s="3628"/>
      <c r="AP178" s="3628"/>
      <c r="AQ178" s="3628"/>
      <c r="AR178" s="3628"/>
      <c r="AS178" s="3628"/>
    </row>
    <row r="179" spans="2:45">
      <c r="B179" s="3628"/>
      <c r="C179" s="3796"/>
      <c r="D179" s="3628"/>
      <c r="E179" s="3628"/>
      <c r="F179" s="3628"/>
      <c r="G179" s="3628"/>
      <c r="H179" s="3628"/>
      <c r="I179" s="3628"/>
      <c r="J179" s="3628"/>
      <c r="K179" s="3628"/>
      <c r="L179" s="3628"/>
      <c r="M179" s="3628"/>
      <c r="N179" s="3628"/>
      <c r="O179" s="3628"/>
      <c r="P179" s="3628"/>
      <c r="Q179" s="3628"/>
      <c r="R179" s="3628"/>
      <c r="S179" s="3628"/>
      <c r="T179" s="3628"/>
      <c r="U179" s="3628"/>
      <c r="V179" s="3628"/>
      <c r="W179" s="3628"/>
      <c r="X179" s="3628"/>
      <c r="Y179" s="3628"/>
      <c r="Z179" s="3628"/>
      <c r="AA179" s="3628"/>
      <c r="AB179" s="3628"/>
      <c r="AC179" s="3628"/>
      <c r="AD179" s="3628"/>
      <c r="AE179" s="3628"/>
      <c r="AF179" s="3628"/>
      <c r="AG179" s="3628"/>
      <c r="AH179" s="3628"/>
      <c r="AI179" s="3628"/>
      <c r="AJ179" s="3628"/>
      <c r="AK179" s="3628"/>
      <c r="AL179" s="3628"/>
      <c r="AM179" s="3628"/>
      <c r="AN179" s="3628"/>
      <c r="AO179" s="3628"/>
      <c r="AP179" s="3628"/>
      <c r="AQ179" s="3628"/>
      <c r="AR179" s="3628"/>
      <c r="AS179" s="3628"/>
    </row>
    <row r="180" spans="2:45">
      <c r="B180" s="3628"/>
      <c r="C180" s="3796"/>
      <c r="D180" s="3628"/>
      <c r="E180" s="3628"/>
      <c r="F180" s="3628"/>
      <c r="G180" s="3628"/>
      <c r="H180" s="3628"/>
      <c r="I180" s="3628"/>
      <c r="J180" s="3628"/>
      <c r="K180" s="3628"/>
      <c r="L180" s="3628"/>
      <c r="M180" s="3628"/>
      <c r="N180" s="3628"/>
      <c r="O180" s="3628"/>
      <c r="P180" s="3628"/>
      <c r="Q180" s="3628"/>
      <c r="R180" s="3628"/>
      <c r="S180" s="3628"/>
      <c r="T180" s="3628"/>
      <c r="U180" s="3628"/>
      <c r="V180" s="3628"/>
      <c r="W180" s="3628"/>
      <c r="X180" s="3628"/>
      <c r="Y180" s="3628"/>
      <c r="Z180" s="3628"/>
      <c r="AA180" s="3628"/>
      <c r="AB180" s="3628"/>
      <c r="AC180" s="3628"/>
      <c r="AD180" s="3628"/>
      <c r="AE180" s="3628"/>
      <c r="AF180" s="3628"/>
      <c r="AG180" s="3628"/>
      <c r="AH180" s="3628"/>
      <c r="AI180" s="3628"/>
      <c r="AJ180" s="3628"/>
      <c r="AK180" s="3628"/>
      <c r="AL180" s="3628"/>
      <c r="AM180" s="3628"/>
      <c r="AN180" s="3628"/>
      <c r="AO180" s="3628"/>
      <c r="AP180" s="3628"/>
      <c r="AQ180" s="3628"/>
      <c r="AR180" s="3628"/>
      <c r="AS180" s="3628"/>
    </row>
    <row r="181" spans="2:45">
      <c r="B181" s="3628"/>
      <c r="C181" s="3796"/>
      <c r="D181" s="3628"/>
      <c r="E181" s="3628"/>
      <c r="F181" s="3628"/>
      <c r="G181" s="3628"/>
      <c r="H181" s="3628"/>
      <c r="I181" s="3628"/>
      <c r="J181" s="3628"/>
      <c r="K181" s="3628"/>
      <c r="L181" s="3628"/>
      <c r="M181" s="3628"/>
      <c r="N181" s="3628"/>
      <c r="O181" s="3628"/>
      <c r="P181" s="3628"/>
      <c r="Q181" s="3628"/>
      <c r="R181" s="3628"/>
      <c r="S181" s="3628"/>
      <c r="T181" s="3628"/>
      <c r="U181" s="3628"/>
      <c r="V181" s="3628"/>
      <c r="W181" s="3628"/>
      <c r="X181" s="3628"/>
      <c r="Y181" s="3628"/>
      <c r="Z181" s="3628"/>
      <c r="AA181" s="3628"/>
      <c r="AB181" s="3628"/>
      <c r="AC181" s="3628"/>
      <c r="AD181" s="3628"/>
      <c r="AE181" s="3628"/>
      <c r="AF181" s="3628"/>
      <c r="AG181" s="3628"/>
      <c r="AH181" s="3628"/>
      <c r="AI181" s="3628"/>
      <c r="AJ181" s="3628"/>
      <c r="AK181" s="3628"/>
      <c r="AL181" s="3628"/>
      <c r="AM181" s="3628"/>
      <c r="AN181" s="3628"/>
      <c r="AO181" s="3628"/>
      <c r="AP181" s="3628"/>
      <c r="AQ181" s="3628"/>
      <c r="AR181" s="3628"/>
      <c r="AS181" s="3628"/>
    </row>
    <row r="182" spans="2:45">
      <c r="B182" s="3628"/>
      <c r="C182" s="3796"/>
      <c r="D182" s="3628"/>
      <c r="E182" s="3628"/>
      <c r="F182" s="3628"/>
      <c r="G182" s="3628"/>
      <c r="H182" s="3628"/>
      <c r="I182" s="3628"/>
      <c r="J182" s="3628"/>
      <c r="K182" s="3628"/>
      <c r="L182" s="3628"/>
      <c r="M182" s="3628"/>
      <c r="N182" s="3628"/>
      <c r="O182" s="3628"/>
      <c r="P182" s="3628"/>
      <c r="Q182" s="3628"/>
      <c r="R182" s="3628"/>
      <c r="S182" s="3628"/>
      <c r="T182" s="3628"/>
      <c r="U182" s="3628"/>
      <c r="V182" s="3628"/>
      <c r="W182" s="3628"/>
      <c r="X182" s="3628"/>
      <c r="Y182" s="3628"/>
      <c r="Z182" s="3628"/>
      <c r="AA182" s="3628"/>
      <c r="AB182" s="3628"/>
      <c r="AC182" s="3628"/>
      <c r="AD182" s="3628"/>
      <c r="AE182" s="3628"/>
      <c r="AF182" s="3628"/>
      <c r="AG182" s="3628"/>
      <c r="AH182" s="3628"/>
      <c r="AI182" s="3628"/>
      <c r="AJ182" s="3628"/>
      <c r="AK182" s="3628"/>
      <c r="AL182" s="3628"/>
      <c r="AM182" s="3628"/>
      <c r="AN182" s="3628"/>
      <c r="AO182" s="3628"/>
      <c r="AP182" s="3628"/>
      <c r="AQ182" s="3628"/>
      <c r="AR182" s="3628"/>
      <c r="AS182" s="3628"/>
    </row>
    <row r="183" spans="2:45">
      <c r="B183" s="3628"/>
      <c r="C183" s="3796"/>
      <c r="D183" s="3628"/>
      <c r="E183" s="3628"/>
      <c r="F183" s="3628"/>
      <c r="G183" s="3628"/>
      <c r="H183" s="3628"/>
      <c r="I183" s="3628"/>
      <c r="J183" s="3628"/>
      <c r="K183" s="3628"/>
      <c r="L183" s="3628"/>
      <c r="M183" s="3628"/>
      <c r="N183" s="3628"/>
      <c r="O183" s="3628"/>
      <c r="P183" s="3628"/>
      <c r="Q183" s="3628"/>
      <c r="R183" s="3628"/>
      <c r="S183" s="3628"/>
      <c r="T183" s="3628"/>
      <c r="U183" s="3628"/>
      <c r="V183" s="3628"/>
      <c r="W183" s="3628"/>
      <c r="X183" s="3628"/>
      <c r="Y183" s="3628"/>
      <c r="Z183" s="3628"/>
      <c r="AA183" s="3628"/>
      <c r="AB183" s="3628"/>
      <c r="AC183" s="3628"/>
      <c r="AD183" s="3628"/>
      <c r="AE183" s="3628"/>
      <c r="AF183" s="3628"/>
      <c r="AG183" s="3628"/>
      <c r="AH183" s="3628"/>
      <c r="AI183" s="3628"/>
      <c r="AJ183" s="3628"/>
      <c r="AK183" s="3628"/>
      <c r="AL183" s="3628"/>
      <c r="AM183" s="3628"/>
      <c r="AN183" s="3628"/>
      <c r="AO183" s="3628"/>
      <c r="AP183" s="3628"/>
      <c r="AQ183" s="3628"/>
      <c r="AR183" s="3628"/>
      <c r="AS183" s="3628"/>
    </row>
    <row r="184" spans="2:45">
      <c r="B184" s="3628"/>
      <c r="C184" s="3796"/>
      <c r="D184" s="3628"/>
      <c r="E184" s="3628"/>
      <c r="F184" s="3628"/>
      <c r="G184" s="3628"/>
      <c r="H184" s="3628"/>
      <c r="I184" s="3628"/>
      <c r="J184" s="3628"/>
      <c r="K184" s="3628"/>
      <c r="L184" s="3628"/>
      <c r="M184" s="3628"/>
      <c r="N184" s="3628"/>
      <c r="O184" s="3628"/>
      <c r="P184" s="3628"/>
      <c r="Q184" s="3628"/>
      <c r="R184" s="3628"/>
      <c r="S184" s="3628"/>
      <c r="T184" s="3628"/>
      <c r="U184" s="3628"/>
      <c r="V184" s="3628"/>
      <c r="W184" s="3628"/>
      <c r="X184" s="3628"/>
      <c r="Y184" s="3628"/>
      <c r="Z184" s="3628"/>
      <c r="AA184" s="3628"/>
      <c r="AB184" s="3628"/>
      <c r="AC184" s="3628"/>
      <c r="AD184" s="3628"/>
      <c r="AE184" s="3628"/>
      <c r="AF184" s="3628"/>
      <c r="AG184" s="3628"/>
      <c r="AH184" s="3628"/>
      <c r="AI184" s="3628"/>
      <c r="AJ184" s="3628"/>
      <c r="AK184" s="3628"/>
      <c r="AL184" s="3628"/>
      <c r="AM184" s="3628"/>
      <c r="AN184" s="3628"/>
      <c r="AO184" s="3628"/>
      <c r="AP184" s="3628"/>
      <c r="AQ184" s="3628"/>
      <c r="AR184" s="3628"/>
      <c r="AS184" s="3628"/>
    </row>
    <row r="185" spans="2:45">
      <c r="B185" s="3628"/>
      <c r="C185" s="3796"/>
      <c r="D185" s="3628"/>
      <c r="E185" s="3628"/>
      <c r="F185" s="3628"/>
      <c r="G185" s="3628"/>
      <c r="H185" s="3628"/>
      <c r="I185" s="3628"/>
      <c r="J185" s="3628"/>
      <c r="K185" s="3628"/>
      <c r="L185" s="3628"/>
      <c r="M185" s="3628"/>
      <c r="N185" s="3628"/>
      <c r="O185" s="3628"/>
      <c r="P185" s="3628"/>
      <c r="Q185" s="3628"/>
      <c r="R185" s="3628"/>
      <c r="S185" s="3628"/>
      <c r="T185" s="3628"/>
      <c r="U185" s="3628"/>
      <c r="V185" s="3628"/>
      <c r="W185" s="3628"/>
      <c r="X185" s="3628"/>
      <c r="Y185" s="3628"/>
      <c r="Z185" s="3628"/>
      <c r="AA185" s="3628"/>
      <c r="AB185" s="3628"/>
      <c r="AC185" s="3628"/>
      <c r="AD185" s="3628"/>
      <c r="AE185" s="3628"/>
      <c r="AF185" s="3628"/>
      <c r="AG185" s="3628"/>
      <c r="AH185" s="3628"/>
      <c r="AI185" s="3628"/>
      <c r="AJ185" s="3628"/>
      <c r="AK185" s="3628"/>
      <c r="AL185" s="3628"/>
      <c r="AM185" s="3628"/>
      <c r="AN185" s="3628"/>
      <c r="AO185" s="3628"/>
      <c r="AP185" s="3628"/>
      <c r="AQ185" s="3628"/>
      <c r="AR185" s="3628"/>
      <c r="AS185" s="3628"/>
    </row>
    <row r="186" spans="2:45">
      <c r="B186" s="3628"/>
      <c r="C186" s="3796"/>
      <c r="D186" s="3628"/>
      <c r="E186" s="3628"/>
      <c r="F186" s="3628"/>
      <c r="G186" s="3628"/>
      <c r="H186" s="3628"/>
      <c r="I186" s="3628"/>
      <c r="J186" s="3628"/>
      <c r="K186" s="3628"/>
      <c r="L186" s="3628"/>
      <c r="M186" s="3628"/>
      <c r="N186" s="3628"/>
      <c r="O186" s="3628"/>
      <c r="P186" s="3628"/>
      <c r="Q186" s="3628"/>
      <c r="R186" s="3628"/>
      <c r="S186" s="3628"/>
      <c r="T186" s="3628"/>
      <c r="U186" s="3628"/>
      <c r="V186" s="3628"/>
      <c r="W186" s="3628"/>
      <c r="X186" s="3628"/>
      <c r="Y186" s="3628"/>
      <c r="Z186" s="3628"/>
      <c r="AA186" s="3628"/>
      <c r="AB186" s="3628"/>
      <c r="AC186" s="3628"/>
      <c r="AD186" s="3628"/>
      <c r="AE186" s="3628"/>
      <c r="AF186" s="3628"/>
      <c r="AG186" s="3628"/>
      <c r="AH186" s="3628"/>
      <c r="AI186" s="3628"/>
      <c r="AJ186" s="3628"/>
      <c r="AK186" s="3628"/>
      <c r="AL186" s="3628"/>
      <c r="AM186" s="3628"/>
      <c r="AN186" s="3628"/>
      <c r="AO186" s="3628"/>
      <c r="AP186" s="3628"/>
      <c r="AQ186" s="3628"/>
      <c r="AR186" s="3628"/>
      <c r="AS186" s="3628"/>
    </row>
    <row r="187" spans="2:45">
      <c r="B187" s="3628"/>
      <c r="C187" s="3796"/>
      <c r="D187" s="3628"/>
      <c r="E187" s="3628"/>
      <c r="F187" s="3628"/>
      <c r="G187" s="3628"/>
      <c r="H187" s="3628"/>
      <c r="I187" s="3628"/>
      <c r="J187" s="3628"/>
      <c r="K187" s="3628"/>
      <c r="L187" s="3628"/>
      <c r="M187" s="3628"/>
      <c r="N187" s="3628"/>
      <c r="O187" s="3628"/>
      <c r="P187" s="3628"/>
      <c r="Q187" s="3628"/>
      <c r="R187" s="3628"/>
      <c r="S187" s="3628"/>
      <c r="T187" s="3628"/>
      <c r="U187" s="3628"/>
      <c r="V187" s="3628"/>
      <c r="W187" s="3628"/>
      <c r="X187" s="3628"/>
      <c r="Y187" s="3628"/>
      <c r="Z187" s="3628"/>
      <c r="AA187" s="3628"/>
      <c r="AB187" s="3628"/>
      <c r="AC187" s="3628"/>
      <c r="AD187" s="3628"/>
      <c r="AE187" s="3628"/>
      <c r="AF187" s="3628"/>
      <c r="AG187" s="3628"/>
      <c r="AH187" s="3628"/>
      <c r="AI187" s="3628"/>
      <c r="AJ187" s="3628"/>
      <c r="AK187" s="3628"/>
      <c r="AL187" s="3628"/>
      <c r="AM187" s="3628"/>
      <c r="AN187" s="3628"/>
      <c r="AO187" s="3628"/>
      <c r="AP187" s="3628"/>
      <c r="AQ187" s="3628"/>
      <c r="AR187" s="3628"/>
      <c r="AS187" s="3628"/>
    </row>
    <row r="188" spans="2:45">
      <c r="B188" s="3628"/>
      <c r="C188" s="3796"/>
      <c r="D188" s="3628"/>
      <c r="E188" s="3628"/>
      <c r="F188" s="3628"/>
      <c r="G188" s="3628"/>
      <c r="H188" s="3628"/>
      <c r="I188" s="3628"/>
      <c r="J188" s="3628"/>
      <c r="K188" s="3628"/>
      <c r="L188" s="3628"/>
      <c r="M188" s="3628"/>
      <c r="N188" s="3628"/>
      <c r="O188" s="3628"/>
      <c r="P188" s="3628"/>
      <c r="Q188" s="3628"/>
      <c r="R188" s="3628"/>
      <c r="S188" s="3628"/>
      <c r="T188" s="3628"/>
      <c r="U188" s="3628"/>
      <c r="V188" s="3628"/>
      <c r="W188" s="3628"/>
      <c r="X188" s="3628"/>
      <c r="Y188" s="3628"/>
      <c r="Z188" s="3628"/>
      <c r="AA188" s="3628"/>
      <c r="AB188" s="3628"/>
      <c r="AC188" s="3628"/>
      <c r="AD188" s="3628"/>
      <c r="AE188" s="3628"/>
      <c r="AF188" s="3628"/>
      <c r="AG188" s="3628"/>
      <c r="AH188" s="3628"/>
      <c r="AI188" s="3628"/>
      <c r="AJ188" s="3628"/>
      <c r="AK188" s="3628"/>
      <c r="AL188" s="3628"/>
      <c r="AM188" s="3628"/>
      <c r="AN188" s="3628"/>
      <c r="AO188" s="3628"/>
      <c r="AP188" s="3628"/>
      <c r="AQ188" s="3628"/>
      <c r="AR188" s="3628"/>
      <c r="AS188" s="3628"/>
    </row>
    <row r="189" spans="2:45">
      <c r="B189" s="3628"/>
      <c r="C189" s="3796"/>
      <c r="D189" s="3628"/>
      <c r="E189" s="3628"/>
      <c r="F189" s="3628"/>
      <c r="G189" s="3628"/>
      <c r="H189" s="3628"/>
      <c r="I189" s="3628"/>
      <c r="J189" s="3628"/>
      <c r="K189" s="3628"/>
      <c r="L189" s="3628"/>
      <c r="M189" s="3628"/>
      <c r="N189" s="3628"/>
      <c r="O189" s="3628"/>
      <c r="P189" s="3628"/>
      <c r="Q189" s="3628"/>
      <c r="R189" s="3628"/>
      <c r="S189" s="3628"/>
      <c r="T189" s="3628"/>
      <c r="U189" s="3628"/>
      <c r="V189" s="3628"/>
      <c r="W189" s="3628"/>
      <c r="X189" s="3628"/>
      <c r="Y189" s="3628"/>
      <c r="Z189" s="3628"/>
      <c r="AA189" s="3628"/>
      <c r="AB189" s="3628"/>
      <c r="AC189" s="3628"/>
      <c r="AD189" s="3628"/>
      <c r="AE189" s="3628"/>
      <c r="AF189" s="3628"/>
      <c r="AG189" s="3628"/>
      <c r="AH189" s="3628"/>
      <c r="AI189" s="3628"/>
      <c r="AJ189" s="3628"/>
      <c r="AK189" s="3628"/>
      <c r="AL189" s="3628"/>
      <c r="AM189" s="3628"/>
      <c r="AN189" s="3628"/>
      <c r="AO189" s="3628"/>
      <c r="AP189" s="3628"/>
      <c r="AQ189" s="3628"/>
      <c r="AR189" s="3628"/>
      <c r="AS189" s="3628"/>
    </row>
    <row r="190" spans="2:45">
      <c r="B190" s="3628"/>
      <c r="C190" s="3796"/>
      <c r="D190" s="3628"/>
      <c r="E190" s="3628"/>
      <c r="F190" s="3628"/>
      <c r="G190" s="3628"/>
      <c r="H190" s="3628"/>
      <c r="I190" s="3628"/>
      <c r="J190" s="3628"/>
      <c r="K190" s="3628"/>
      <c r="L190" s="3628"/>
      <c r="M190" s="3628"/>
      <c r="N190" s="3628"/>
      <c r="O190" s="3628"/>
      <c r="P190" s="3628"/>
      <c r="Q190" s="3628"/>
      <c r="R190" s="3628"/>
      <c r="S190" s="3628"/>
      <c r="T190" s="3628"/>
      <c r="U190" s="3628"/>
      <c r="V190" s="3628"/>
      <c r="W190" s="3628"/>
      <c r="X190" s="3628"/>
      <c r="Y190" s="3628"/>
      <c r="Z190" s="3628"/>
      <c r="AA190" s="3628"/>
      <c r="AB190" s="3628"/>
      <c r="AC190" s="3628"/>
      <c r="AD190" s="3628"/>
      <c r="AE190" s="3628"/>
      <c r="AF190" s="3628"/>
      <c r="AG190" s="3628"/>
      <c r="AH190" s="3628"/>
      <c r="AI190" s="3628"/>
      <c r="AJ190" s="3628"/>
      <c r="AK190" s="3628"/>
      <c r="AL190" s="3628"/>
      <c r="AM190" s="3628"/>
      <c r="AN190" s="3628"/>
      <c r="AO190" s="3628"/>
      <c r="AP190" s="3628"/>
      <c r="AQ190" s="3628"/>
      <c r="AR190" s="3628"/>
      <c r="AS190" s="3628"/>
    </row>
    <row r="191" spans="2:45">
      <c r="B191" s="3628"/>
      <c r="C191" s="3796"/>
      <c r="D191" s="3628"/>
      <c r="E191" s="3628"/>
      <c r="F191" s="3628"/>
      <c r="G191" s="3628"/>
      <c r="H191" s="3628"/>
      <c r="I191" s="3628"/>
      <c r="J191" s="3628"/>
      <c r="K191" s="3628"/>
      <c r="L191" s="3628"/>
      <c r="M191" s="3628"/>
      <c r="N191" s="3628"/>
      <c r="O191" s="3628"/>
      <c r="P191" s="3628"/>
      <c r="Q191" s="3628"/>
      <c r="R191" s="3628"/>
      <c r="S191" s="3628"/>
      <c r="T191" s="3628"/>
      <c r="U191" s="3628"/>
      <c r="V191" s="3628"/>
      <c r="W191" s="3628"/>
      <c r="X191" s="3628"/>
      <c r="Y191" s="3628"/>
      <c r="Z191" s="3628"/>
      <c r="AA191" s="3628"/>
      <c r="AB191" s="3628"/>
      <c r="AC191" s="3628"/>
      <c r="AD191" s="3628"/>
      <c r="AE191" s="3628"/>
      <c r="AF191" s="3628"/>
      <c r="AG191" s="3628"/>
      <c r="AH191" s="3628"/>
      <c r="AI191" s="3628"/>
      <c r="AJ191" s="3628"/>
      <c r="AK191" s="3628"/>
      <c r="AL191" s="3628"/>
      <c r="AM191" s="3628"/>
      <c r="AN191" s="3628"/>
      <c r="AO191" s="3628"/>
      <c r="AP191" s="3628"/>
      <c r="AQ191" s="3628"/>
      <c r="AR191" s="3628"/>
      <c r="AS191" s="3628"/>
    </row>
    <row r="192" spans="2:45">
      <c r="B192" s="3628"/>
      <c r="C192" s="3796"/>
      <c r="D192" s="3628"/>
      <c r="E192" s="3628"/>
      <c r="F192" s="3628"/>
      <c r="G192" s="3628"/>
      <c r="H192" s="3628"/>
      <c r="I192" s="3628"/>
      <c r="J192" s="3628"/>
      <c r="K192" s="3628"/>
      <c r="L192" s="3628"/>
      <c r="M192" s="3628"/>
      <c r="N192" s="3628"/>
      <c r="O192" s="3628"/>
      <c r="P192" s="3628"/>
      <c r="Q192" s="3628"/>
      <c r="R192" s="3628"/>
      <c r="S192" s="3628"/>
      <c r="T192" s="3628"/>
      <c r="U192" s="3628"/>
      <c r="V192" s="3628"/>
      <c r="W192" s="3628"/>
      <c r="X192" s="3628"/>
      <c r="Y192" s="3628"/>
      <c r="Z192" s="3628"/>
      <c r="AA192" s="3628"/>
      <c r="AB192" s="3628"/>
      <c r="AC192" s="3628"/>
      <c r="AD192" s="3628"/>
      <c r="AE192" s="3628"/>
      <c r="AF192" s="3628"/>
      <c r="AG192" s="3628"/>
      <c r="AH192" s="3628"/>
      <c r="AI192" s="3628"/>
      <c r="AJ192" s="3628"/>
      <c r="AK192" s="3628"/>
      <c r="AL192" s="3628"/>
      <c r="AM192" s="3628"/>
      <c r="AN192" s="3628"/>
      <c r="AO192" s="3628"/>
      <c r="AP192" s="3628"/>
      <c r="AQ192" s="3628"/>
      <c r="AR192" s="3628"/>
      <c r="AS192" s="3628"/>
    </row>
    <row r="193" spans="2:45">
      <c r="B193" s="3628"/>
      <c r="C193" s="3796"/>
      <c r="D193" s="3628"/>
      <c r="E193" s="3628"/>
      <c r="F193" s="3628"/>
      <c r="G193" s="3628"/>
      <c r="H193" s="3628"/>
      <c r="I193" s="3628"/>
      <c r="J193" s="3628"/>
      <c r="K193" s="3628"/>
      <c r="L193" s="3628"/>
      <c r="M193" s="3628"/>
      <c r="N193" s="3628"/>
      <c r="O193" s="3628"/>
      <c r="P193" s="3628"/>
      <c r="Q193" s="3628"/>
      <c r="R193" s="3628"/>
      <c r="S193" s="3628"/>
      <c r="T193" s="3628"/>
      <c r="U193" s="3628"/>
      <c r="V193" s="3628"/>
      <c r="W193" s="3628"/>
      <c r="X193" s="3628"/>
      <c r="Y193" s="3628"/>
      <c r="Z193" s="3628"/>
      <c r="AA193" s="3628"/>
      <c r="AB193" s="3628"/>
      <c r="AC193" s="3628"/>
      <c r="AD193" s="3628"/>
      <c r="AE193" s="3628"/>
      <c r="AF193" s="3628"/>
      <c r="AG193" s="3628"/>
      <c r="AH193" s="3628"/>
      <c r="AI193" s="3628"/>
      <c r="AJ193" s="3628"/>
      <c r="AK193" s="3628"/>
      <c r="AL193" s="3628"/>
      <c r="AM193" s="3628"/>
      <c r="AN193" s="3628"/>
      <c r="AO193" s="3628"/>
      <c r="AP193" s="3628"/>
      <c r="AQ193" s="3628"/>
      <c r="AR193" s="3628"/>
      <c r="AS193" s="3628"/>
    </row>
    <row r="194" spans="2:45">
      <c r="B194" s="3628"/>
      <c r="C194" s="3796"/>
      <c r="D194" s="3628"/>
      <c r="E194" s="3628"/>
      <c r="F194" s="3628"/>
      <c r="G194" s="3628"/>
      <c r="H194" s="3628"/>
      <c r="I194" s="3628"/>
      <c r="J194" s="3628"/>
      <c r="K194" s="3628"/>
      <c r="L194" s="3628"/>
      <c r="M194" s="3628"/>
      <c r="N194" s="3628"/>
      <c r="O194" s="3628"/>
      <c r="P194" s="3628"/>
      <c r="Q194" s="3628"/>
      <c r="R194" s="3628"/>
      <c r="S194" s="3628"/>
      <c r="T194" s="3628"/>
      <c r="U194" s="3628"/>
      <c r="V194" s="3628"/>
      <c r="W194" s="3628"/>
      <c r="X194" s="3628"/>
      <c r="Y194" s="3628"/>
      <c r="Z194" s="3628"/>
      <c r="AA194" s="3628"/>
      <c r="AB194" s="3628"/>
      <c r="AC194" s="3628"/>
      <c r="AD194" s="3628"/>
      <c r="AE194" s="3628"/>
      <c r="AF194" s="3628"/>
      <c r="AG194" s="3628"/>
      <c r="AH194" s="3628"/>
      <c r="AI194" s="3628"/>
      <c r="AJ194" s="3628"/>
      <c r="AK194" s="3628"/>
      <c r="AL194" s="3628"/>
      <c r="AM194" s="3628"/>
      <c r="AN194" s="3628"/>
      <c r="AO194" s="3628"/>
      <c r="AP194" s="3628"/>
      <c r="AQ194" s="3628"/>
      <c r="AR194" s="3628"/>
      <c r="AS194" s="3628"/>
    </row>
    <row r="195" spans="2:45">
      <c r="B195" s="3628"/>
      <c r="C195" s="3796"/>
      <c r="D195" s="3628"/>
      <c r="E195" s="3628"/>
      <c r="F195" s="3628"/>
      <c r="G195" s="3628"/>
      <c r="H195" s="3628"/>
      <c r="I195" s="3628"/>
      <c r="J195" s="3628"/>
      <c r="K195" s="3628"/>
      <c r="L195" s="3628"/>
      <c r="M195" s="3628"/>
      <c r="N195" s="3628"/>
      <c r="O195" s="3628"/>
      <c r="P195" s="3628"/>
      <c r="Q195" s="3628"/>
      <c r="R195" s="3628"/>
      <c r="S195" s="3628"/>
      <c r="T195" s="3628"/>
      <c r="U195" s="3628"/>
      <c r="V195" s="3628"/>
      <c r="W195" s="3628"/>
      <c r="X195" s="3628"/>
      <c r="Y195" s="3628"/>
      <c r="Z195" s="3628"/>
      <c r="AA195" s="3628"/>
      <c r="AB195" s="3628"/>
      <c r="AC195" s="3628"/>
      <c r="AD195" s="3628"/>
      <c r="AE195" s="3628"/>
      <c r="AF195" s="3628"/>
      <c r="AG195" s="3628"/>
      <c r="AH195" s="3628"/>
      <c r="AI195" s="3628"/>
      <c r="AJ195" s="3628"/>
      <c r="AK195" s="3628"/>
      <c r="AL195" s="3628"/>
      <c r="AM195" s="3628"/>
      <c r="AN195" s="3628"/>
      <c r="AO195" s="3628"/>
      <c r="AP195" s="3628"/>
      <c r="AQ195" s="3628"/>
      <c r="AR195" s="3628"/>
      <c r="AS195" s="3628"/>
    </row>
    <row r="196" spans="2:45">
      <c r="B196" s="3628"/>
      <c r="C196" s="3796"/>
      <c r="D196" s="3628"/>
      <c r="E196" s="3628"/>
      <c r="F196" s="3628"/>
      <c r="G196" s="3628"/>
      <c r="H196" s="3628"/>
      <c r="I196" s="3628"/>
      <c r="J196" s="3628"/>
      <c r="K196" s="3628"/>
      <c r="L196" s="3628"/>
      <c r="M196" s="3628"/>
      <c r="N196" s="3628"/>
      <c r="O196" s="3628"/>
      <c r="P196" s="3628"/>
      <c r="Q196" s="3628"/>
      <c r="R196" s="3628"/>
      <c r="S196" s="3628"/>
      <c r="T196" s="3628"/>
      <c r="U196" s="3628"/>
      <c r="V196" s="3628"/>
      <c r="W196" s="3628"/>
      <c r="X196" s="3628"/>
      <c r="Y196" s="3628"/>
      <c r="Z196" s="3628"/>
      <c r="AA196" s="3628"/>
      <c r="AB196" s="3628"/>
      <c r="AC196" s="3628"/>
      <c r="AD196" s="3628"/>
      <c r="AE196" s="3628"/>
      <c r="AF196" s="3628"/>
      <c r="AG196" s="3628"/>
      <c r="AH196" s="3628"/>
      <c r="AI196" s="3628"/>
      <c r="AJ196" s="3628"/>
      <c r="AK196" s="3628"/>
      <c r="AL196" s="3628"/>
      <c r="AM196" s="3628"/>
      <c r="AN196" s="3628"/>
      <c r="AO196" s="3628"/>
      <c r="AP196" s="3628"/>
      <c r="AQ196" s="3628"/>
      <c r="AR196" s="3628"/>
      <c r="AS196" s="3628"/>
    </row>
    <row r="197" spans="2:45">
      <c r="B197" s="3628"/>
      <c r="C197" s="3796"/>
      <c r="D197" s="3628"/>
      <c r="E197" s="3628"/>
      <c r="F197" s="3628"/>
      <c r="G197" s="3628"/>
      <c r="H197" s="3628"/>
      <c r="I197" s="3628"/>
      <c r="J197" s="3628"/>
      <c r="K197" s="3628"/>
      <c r="L197" s="3628"/>
      <c r="M197" s="3628"/>
      <c r="N197" s="3628"/>
      <c r="O197" s="3628"/>
      <c r="P197" s="3628"/>
      <c r="Q197" s="3628"/>
      <c r="R197" s="3628"/>
      <c r="S197" s="3628"/>
      <c r="T197" s="3628"/>
      <c r="U197" s="3628"/>
      <c r="V197" s="3628"/>
      <c r="W197" s="3628"/>
      <c r="X197" s="3628"/>
      <c r="Y197" s="3628"/>
      <c r="Z197" s="3628"/>
      <c r="AA197" s="3628"/>
      <c r="AB197" s="3628"/>
      <c r="AC197" s="3628"/>
      <c r="AD197" s="3628"/>
      <c r="AE197" s="3628"/>
      <c r="AF197" s="3628"/>
      <c r="AG197" s="3628"/>
      <c r="AH197" s="3628"/>
      <c r="AI197" s="3628"/>
      <c r="AJ197" s="3628"/>
      <c r="AK197" s="3628"/>
      <c r="AL197" s="3628"/>
      <c r="AM197" s="3628"/>
      <c r="AN197" s="3628"/>
      <c r="AO197" s="3628"/>
      <c r="AP197" s="3628"/>
      <c r="AQ197" s="3628"/>
      <c r="AR197" s="3628"/>
      <c r="AS197" s="3628"/>
    </row>
    <row r="198" spans="2:45">
      <c r="B198" s="3628"/>
      <c r="C198" s="3796"/>
      <c r="D198" s="3628"/>
      <c r="E198" s="3628"/>
      <c r="F198" s="3628"/>
      <c r="G198" s="3628"/>
      <c r="H198" s="3628"/>
      <c r="I198" s="3628"/>
      <c r="J198" s="3628"/>
      <c r="K198" s="3628"/>
      <c r="L198" s="3628"/>
      <c r="M198" s="3628"/>
      <c r="N198" s="3628"/>
      <c r="O198" s="3628"/>
      <c r="P198" s="3628"/>
      <c r="Q198" s="3628"/>
      <c r="R198" s="3628"/>
      <c r="S198" s="3628"/>
      <c r="T198" s="3628"/>
      <c r="U198" s="3628"/>
      <c r="V198" s="3628"/>
      <c r="W198" s="3628"/>
      <c r="X198" s="3628"/>
      <c r="Y198" s="3628"/>
      <c r="Z198" s="3628"/>
      <c r="AA198" s="3628"/>
      <c r="AB198" s="3628"/>
      <c r="AC198" s="3628"/>
      <c r="AD198" s="3628"/>
      <c r="AE198" s="3628"/>
      <c r="AF198" s="3628"/>
      <c r="AG198" s="3628"/>
      <c r="AH198" s="3628"/>
      <c r="AI198" s="3628"/>
      <c r="AJ198" s="3628"/>
      <c r="AK198" s="3628"/>
      <c r="AL198" s="3628"/>
      <c r="AM198" s="3628"/>
      <c r="AN198" s="3628"/>
      <c r="AO198" s="3628"/>
      <c r="AP198" s="3628"/>
      <c r="AQ198" s="3628"/>
      <c r="AR198" s="3628"/>
      <c r="AS198" s="3628"/>
    </row>
    <row r="199" spans="2:45">
      <c r="B199" s="3628"/>
      <c r="C199" s="3796"/>
      <c r="D199" s="3628"/>
      <c r="E199" s="3628"/>
      <c r="F199" s="3628"/>
      <c r="G199" s="3628"/>
      <c r="H199" s="3628"/>
      <c r="I199" s="3628"/>
      <c r="J199" s="3628"/>
      <c r="K199" s="3628"/>
      <c r="L199" s="3628"/>
      <c r="M199" s="3628"/>
      <c r="N199" s="3628"/>
      <c r="O199" s="3628"/>
      <c r="P199" s="3628"/>
      <c r="Q199" s="3628"/>
      <c r="R199" s="3628"/>
      <c r="S199" s="3628"/>
      <c r="T199" s="3628"/>
      <c r="U199" s="3628"/>
      <c r="V199" s="3628"/>
      <c r="W199" s="3628"/>
      <c r="X199" s="3628"/>
      <c r="Y199" s="3628"/>
      <c r="Z199" s="3628"/>
      <c r="AA199" s="3628"/>
      <c r="AB199" s="3628"/>
      <c r="AC199" s="3628"/>
      <c r="AD199" s="3628"/>
      <c r="AE199" s="3628"/>
      <c r="AF199" s="3628"/>
      <c r="AG199" s="3628"/>
      <c r="AH199" s="3628"/>
      <c r="AI199" s="3628"/>
      <c r="AJ199" s="3628"/>
      <c r="AK199" s="3628"/>
      <c r="AL199" s="3628"/>
      <c r="AM199" s="3628"/>
      <c r="AN199" s="3628"/>
      <c r="AO199" s="3628"/>
      <c r="AP199" s="3628"/>
      <c r="AQ199" s="3628"/>
      <c r="AR199" s="3628"/>
      <c r="AS199" s="3628"/>
    </row>
    <row r="200" spans="2:45">
      <c r="B200" s="3628"/>
      <c r="C200" s="3796"/>
      <c r="D200" s="3628"/>
      <c r="E200" s="3628"/>
      <c r="F200" s="3628"/>
      <c r="G200" s="3628"/>
      <c r="H200" s="3628"/>
      <c r="I200" s="3628"/>
      <c r="J200" s="3628"/>
      <c r="K200" s="3628"/>
      <c r="L200" s="3628"/>
      <c r="M200" s="3628"/>
      <c r="N200" s="3628"/>
      <c r="O200" s="3628"/>
      <c r="P200" s="3628"/>
      <c r="Q200" s="3628"/>
      <c r="R200" s="3628"/>
      <c r="S200" s="3628"/>
      <c r="T200" s="3628"/>
      <c r="U200" s="3628"/>
      <c r="V200" s="3628"/>
      <c r="W200" s="3628"/>
      <c r="X200" s="3628"/>
      <c r="Y200" s="3628"/>
      <c r="Z200" s="3628"/>
      <c r="AA200" s="3628"/>
      <c r="AB200" s="3628"/>
      <c r="AC200" s="3628"/>
      <c r="AD200" s="3628"/>
      <c r="AE200" s="3628"/>
      <c r="AF200" s="3628"/>
      <c r="AG200" s="3628"/>
      <c r="AH200" s="3628"/>
      <c r="AI200" s="3628"/>
      <c r="AJ200" s="3628"/>
      <c r="AK200" s="3628"/>
      <c r="AL200" s="3628"/>
      <c r="AM200" s="3628"/>
      <c r="AN200" s="3628"/>
      <c r="AO200" s="3628"/>
      <c r="AP200" s="3628"/>
      <c r="AQ200" s="3628"/>
      <c r="AR200" s="3628"/>
      <c r="AS200" s="3628"/>
    </row>
    <row r="201" spans="2:45">
      <c r="B201" s="3628"/>
      <c r="C201" s="3796"/>
      <c r="D201" s="3628"/>
      <c r="E201" s="3628"/>
      <c r="F201" s="3628"/>
      <c r="G201" s="3628"/>
      <c r="H201" s="3628"/>
      <c r="I201" s="3628"/>
      <c r="J201" s="3628"/>
      <c r="K201" s="3628"/>
      <c r="L201" s="3628"/>
      <c r="M201" s="3628"/>
      <c r="N201" s="3628"/>
      <c r="O201" s="3628"/>
      <c r="P201" s="3628"/>
      <c r="Q201" s="3628"/>
      <c r="R201" s="3628"/>
      <c r="S201" s="3628"/>
      <c r="T201" s="3628"/>
      <c r="U201" s="3628"/>
      <c r="V201" s="3628"/>
      <c r="W201" s="3628"/>
      <c r="X201" s="3628"/>
      <c r="Y201" s="3628"/>
      <c r="Z201" s="3628"/>
      <c r="AA201" s="3628"/>
      <c r="AB201" s="3628"/>
      <c r="AC201" s="3628"/>
      <c r="AD201" s="3628"/>
      <c r="AE201" s="3628"/>
      <c r="AF201" s="3628"/>
      <c r="AG201" s="3628"/>
      <c r="AH201" s="3628"/>
      <c r="AI201" s="3628"/>
      <c r="AJ201" s="3628"/>
      <c r="AK201" s="3628"/>
      <c r="AL201" s="3628"/>
      <c r="AM201" s="3628"/>
      <c r="AN201" s="3628"/>
      <c r="AO201" s="3628"/>
      <c r="AP201" s="3628"/>
      <c r="AQ201" s="3628"/>
      <c r="AR201" s="3628"/>
      <c r="AS201" s="3628"/>
    </row>
    <row r="202" spans="2:45">
      <c r="B202" s="3628"/>
      <c r="C202" s="3796"/>
      <c r="D202" s="3628"/>
      <c r="E202" s="3628"/>
      <c r="F202" s="3628"/>
      <c r="G202" s="3628"/>
      <c r="H202" s="3628"/>
      <c r="I202" s="3628"/>
      <c r="J202" s="3628"/>
      <c r="K202" s="3628"/>
      <c r="L202" s="3628"/>
      <c r="M202" s="3628"/>
      <c r="N202" s="3628"/>
      <c r="O202" s="3628"/>
      <c r="P202" s="3628"/>
      <c r="Q202" s="3628"/>
      <c r="R202" s="3628"/>
      <c r="S202" s="3628"/>
      <c r="T202" s="3628"/>
      <c r="U202" s="3628"/>
      <c r="V202" s="3628"/>
      <c r="W202" s="3628"/>
      <c r="X202" s="3628"/>
      <c r="Y202" s="3628"/>
      <c r="Z202" s="3628"/>
      <c r="AA202" s="3628"/>
      <c r="AB202" s="3628"/>
      <c r="AC202" s="3628"/>
      <c r="AD202" s="3628"/>
      <c r="AE202" s="3628"/>
      <c r="AF202" s="3628"/>
      <c r="AG202" s="3628"/>
      <c r="AH202" s="3628"/>
      <c r="AI202" s="3628"/>
      <c r="AJ202" s="3628"/>
      <c r="AK202" s="3628"/>
      <c r="AL202" s="3628"/>
      <c r="AM202" s="3628"/>
      <c r="AN202" s="3628"/>
      <c r="AO202" s="3628"/>
      <c r="AP202" s="3628"/>
      <c r="AQ202" s="3628"/>
      <c r="AR202" s="3628"/>
      <c r="AS202" s="3628"/>
    </row>
    <row r="203" spans="2:45">
      <c r="E203" s="3628"/>
      <c r="F203" s="3628"/>
      <c r="G203" s="3628"/>
      <c r="H203" s="3628"/>
      <c r="I203" s="3628"/>
      <c r="J203" s="3628"/>
      <c r="K203" s="3628"/>
      <c r="L203" s="3628"/>
      <c r="M203" s="3628"/>
      <c r="N203" s="3628"/>
      <c r="O203" s="3628"/>
      <c r="P203" s="3628"/>
      <c r="Q203" s="3628"/>
      <c r="R203" s="3628"/>
      <c r="S203" s="3628"/>
      <c r="T203" s="3628"/>
      <c r="U203" s="3628"/>
      <c r="V203" s="3628"/>
      <c r="W203" s="3628"/>
      <c r="X203" s="3628"/>
      <c r="Y203" s="3628"/>
      <c r="Z203" s="3628"/>
      <c r="AA203" s="3628"/>
      <c r="AB203" s="3628"/>
      <c r="AC203" s="3628"/>
      <c r="AD203" s="3628"/>
      <c r="AE203" s="3628"/>
      <c r="AF203" s="3628"/>
      <c r="AG203" s="3628"/>
      <c r="AH203" s="3628"/>
      <c r="AI203" s="3628"/>
      <c r="AJ203" s="3628"/>
      <c r="AK203" s="3628"/>
      <c r="AL203" s="3628"/>
      <c r="AM203" s="3628"/>
      <c r="AN203" s="3628"/>
      <c r="AO203" s="3628"/>
      <c r="AP203" s="3628"/>
      <c r="AQ203" s="3628"/>
      <c r="AR203" s="3628"/>
      <c r="AS203" s="3628"/>
    </row>
    <row r="204" spans="2:45">
      <c r="E204" s="3628"/>
      <c r="F204" s="3628"/>
      <c r="G204" s="3628"/>
      <c r="H204" s="3628"/>
      <c r="I204" s="3628"/>
      <c r="J204" s="3628"/>
      <c r="K204" s="3628"/>
      <c r="L204" s="3628"/>
      <c r="M204" s="3628"/>
      <c r="N204" s="3628"/>
      <c r="O204" s="3628"/>
      <c r="P204" s="3628"/>
      <c r="Q204" s="3628"/>
      <c r="R204" s="3628"/>
      <c r="S204" s="3628"/>
      <c r="T204" s="3628"/>
      <c r="U204" s="3628"/>
      <c r="V204" s="3628"/>
      <c r="W204" s="3628"/>
      <c r="X204" s="3628"/>
      <c r="Y204" s="3628"/>
      <c r="Z204" s="3628"/>
      <c r="AA204" s="3628"/>
      <c r="AB204" s="3628"/>
      <c r="AC204" s="3628"/>
      <c r="AD204" s="3628"/>
      <c r="AE204" s="3628"/>
      <c r="AF204" s="3628"/>
      <c r="AG204" s="3628"/>
      <c r="AH204" s="3628"/>
      <c r="AI204" s="3628"/>
      <c r="AJ204" s="3628"/>
      <c r="AK204" s="3628"/>
      <c r="AL204" s="3628"/>
      <c r="AM204" s="3628"/>
      <c r="AN204" s="3628"/>
      <c r="AO204" s="3628"/>
      <c r="AP204" s="3628"/>
      <c r="AQ204" s="3628"/>
      <c r="AR204" s="3628"/>
      <c r="AS204" s="3628"/>
    </row>
    <row r="205" spans="2:45">
      <c r="E205" s="3628"/>
      <c r="F205" s="3628"/>
      <c r="G205" s="3628"/>
      <c r="H205" s="3628"/>
      <c r="I205" s="3628"/>
      <c r="J205" s="3628"/>
      <c r="K205" s="3628"/>
      <c r="L205" s="3628"/>
      <c r="M205" s="3628"/>
      <c r="N205" s="3628"/>
      <c r="O205" s="3628"/>
      <c r="P205" s="3628"/>
      <c r="Q205" s="3628"/>
      <c r="R205" s="3628"/>
      <c r="S205" s="3628"/>
      <c r="T205" s="3628"/>
      <c r="U205" s="3628"/>
      <c r="V205" s="3628"/>
      <c r="W205" s="3628"/>
      <c r="X205" s="3628"/>
      <c r="Y205" s="3628"/>
      <c r="Z205" s="3628"/>
      <c r="AA205" s="3628"/>
      <c r="AB205" s="3628"/>
      <c r="AC205" s="3628"/>
      <c r="AD205" s="3628"/>
      <c r="AE205" s="3628"/>
      <c r="AF205" s="3628"/>
      <c r="AG205" s="3628"/>
      <c r="AH205" s="3628"/>
      <c r="AI205" s="3628"/>
      <c r="AJ205" s="3628"/>
      <c r="AK205" s="3628"/>
      <c r="AL205" s="3628"/>
      <c r="AM205" s="3628"/>
      <c r="AN205" s="3628"/>
      <c r="AO205" s="3628"/>
      <c r="AP205" s="3628"/>
      <c r="AQ205" s="3628"/>
      <c r="AR205" s="3628"/>
      <c r="AS205" s="3628"/>
    </row>
    <row r="206" spans="2:45">
      <c r="E206" s="3628"/>
      <c r="F206" s="3628"/>
      <c r="G206" s="3628"/>
      <c r="H206" s="3628"/>
      <c r="I206" s="3628"/>
      <c r="J206" s="3628"/>
      <c r="K206" s="3628"/>
      <c r="L206" s="3628"/>
      <c r="M206" s="3628"/>
      <c r="N206" s="3628"/>
      <c r="O206" s="3628"/>
      <c r="P206" s="3628"/>
      <c r="Q206" s="3628"/>
      <c r="R206" s="3628"/>
      <c r="S206" s="3628"/>
      <c r="T206" s="3628"/>
      <c r="U206" s="3628"/>
      <c r="V206" s="3628"/>
      <c r="W206" s="3628"/>
      <c r="X206" s="3628"/>
      <c r="Y206" s="3628"/>
      <c r="Z206" s="3628"/>
      <c r="AA206" s="3628"/>
      <c r="AB206" s="3628"/>
      <c r="AC206" s="3628"/>
      <c r="AD206" s="3628"/>
      <c r="AE206" s="3628"/>
      <c r="AF206" s="3628"/>
      <c r="AG206" s="3628"/>
      <c r="AH206" s="3628"/>
      <c r="AI206" s="3628"/>
      <c r="AJ206" s="3628"/>
      <c r="AK206" s="3628"/>
      <c r="AL206" s="3628"/>
      <c r="AM206" s="3628"/>
      <c r="AN206" s="3628"/>
      <c r="AO206" s="3628"/>
      <c r="AP206" s="3628"/>
      <c r="AQ206" s="3628"/>
      <c r="AR206" s="3628"/>
      <c r="AS206" s="3628"/>
    </row>
    <row r="207" spans="2:45">
      <c r="E207" s="3628"/>
      <c r="F207" s="3628"/>
      <c r="G207" s="3628"/>
      <c r="H207" s="3628"/>
      <c r="I207" s="3628"/>
      <c r="J207" s="3628"/>
      <c r="K207" s="3628"/>
      <c r="L207" s="3628"/>
      <c r="M207" s="3628"/>
      <c r="N207" s="3628"/>
      <c r="O207" s="3628"/>
      <c r="P207" s="3628"/>
      <c r="Q207" s="3628"/>
      <c r="R207" s="3628"/>
      <c r="S207" s="3628"/>
      <c r="T207" s="3628"/>
      <c r="U207" s="3628"/>
      <c r="V207" s="3628"/>
      <c r="W207" s="3628"/>
      <c r="X207" s="3628"/>
      <c r="Y207" s="3628"/>
      <c r="Z207" s="3628"/>
      <c r="AA207" s="3628"/>
      <c r="AB207" s="3628"/>
      <c r="AC207" s="3628"/>
      <c r="AD207" s="3628"/>
      <c r="AE207" s="3628"/>
      <c r="AF207" s="3628"/>
      <c r="AG207" s="3628"/>
      <c r="AH207" s="3628"/>
      <c r="AI207" s="3628"/>
      <c r="AJ207" s="3628"/>
      <c r="AK207" s="3628"/>
      <c r="AL207" s="3628"/>
      <c r="AM207" s="3628"/>
      <c r="AN207" s="3628"/>
      <c r="AO207" s="3628"/>
      <c r="AP207" s="3628"/>
      <c r="AQ207" s="3628"/>
      <c r="AR207" s="3628"/>
      <c r="AS207" s="3628"/>
    </row>
    <row r="208" spans="2:45">
      <c r="E208" s="3628"/>
      <c r="F208" s="3628"/>
      <c r="G208" s="3628"/>
      <c r="H208" s="3628"/>
      <c r="I208" s="3628"/>
      <c r="J208" s="3628"/>
      <c r="K208" s="3628"/>
      <c r="L208" s="3628"/>
      <c r="M208" s="3628"/>
      <c r="N208" s="3628"/>
      <c r="O208" s="3628"/>
      <c r="P208" s="3628"/>
      <c r="Q208" s="3628"/>
      <c r="R208" s="3628"/>
      <c r="S208" s="3628"/>
      <c r="T208" s="3628"/>
      <c r="U208" s="3628"/>
      <c r="V208" s="3628"/>
      <c r="W208" s="3628"/>
      <c r="X208" s="3628"/>
      <c r="Y208" s="3628"/>
      <c r="Z208" s="3628"/>
      <c r="AA208" s="3628"/>
      <c r="AB208" s="3628"/>
      <c r="AC208" s="3628"/>
      <c r="AD208" s="3628"/>
      <c r="AE208" s="3628"/>
      <c r="AF208" s="3628"/>
      <c r="AG208" s="3628"/>
      <c r="AH208" s="3628"/>
      <c r="AI208" s="3628"/>
      <c r="AJ208" s="3628"/>
      <c r="AK208" s="3628"/>
      <c r="AL208" s="3628"/>
      <c r="AM208" s="3628"/>
      <c r="AN208" s="3628"/>
      <c r="AO208" s="3628"/>
      <c r="AP208" s="3628"/>
      <c r="AQ208" s="3628"/>
      <c r="AR208" s="3628"/>
      <c r="AS208" s="3628"/>
    </row>
    <row r="209" spans="5:45">
      <c r="E209" s="3628"/>
      <c r="F209" s="3628"/>
      <c r="G209" s="3628"/>
      <c r="H209" s="3628"/>
      <c r="I209" s="3628"/>
      <c r="J209" s="3628"/>
      <c r="K209" s="3628"/>
      <c r="L209" s="3628"/>
      <c r="M209" s="3628"/>
      <c r="N209" s="3628"/>
      <c r="O209" s="3628"/>
      <c r="P209" s="3628"/>
      <c r="Q209" s="3628"/>
      <c r="R209" s="3628"/>
      <c r="S209" s="3628"/>
      <c r="T209" s="3628"/>
      <c r="U209" s="3628"/>
      <c r="V209" s="3628"/>
      <c r="W209" s="3628"/>
      <c r="X209" s="3628"/>
      <c r="Y209" s="3628"/>
      <c r="Z209" s="3628"/>
      <c r="AA209" s="3628"/>
      <c r="AB209" s="3628"/>
      <c r="AC209" s="3628"/>
      <c r="AD209" s="3628"/>
      <c r="AE209" s="3628"/>
      <c r="AF209" s="3628"/>
      <c r="AG209" s="3628"/>
      <c r="AH209" s="3628"/>
      <c r="AI209" s="3628"/>
      <c r="AJ209" s="3628"/>
      <c r="AK209" s="3628"/>
      <c r="AL209" s="3628"/>
      <c r="AM209" s="3628"/>
      <c r="AN209" s="3628"/>
      <c r="AO209" s="3628"/>
      <c r="AP209" s="3628"/>
      <c r="AQ209" s="3628"/>
      <c r="AR209" s="3628"/>
      <c r="AS209" s="3628"/>
    </row>
    <row r="210" spans="5:45">
      <c r="E210" s="3628"/>
      <c r="F210" s="3628"/>
      <c r="G210" s="3628"/>
      <c r="H210" s="3628"/>
      <c r="I210" s="3628"/>
      <c r="J210" s="3628"/>
      <c r="K210" s="3628"/>
      <c r="L210" s="3628"/>
      <c r="M210" s="3628"/>
      <c r="N210" s="3628"/>
      <c r="O210" s="3628"/>
      <c r="P210" s="3628"/>
      <c r="Q210" s="3628"/>
      <c r="R210" s="3628"/>
      <c r="S210" s="3628"/>
      <c r="T210" s="3628"/>
      <c r="U210" s="3628"/>
      <c r="V210" s="3628"/>
      <c r="W210" s="3628"/>
      <c r="X210" s="3628"/>
      <c r="Y210" s="3628"/>
      <c r="Z210" s="3628"/>
      <c r="AA210" s="3628"/>
      <c r="AB210" s="3628"/>
      <c r="AC210" s="3628"/>
      <c r="AD210" s="3628"/>
      <c r="AE210" s="3628"/>
      <c r="AF210" s="3628"/>
      <c r="AG210" s="3628"/>
      <c r="AH210" s="3628"/>
      <c r="AI210" s="3628"/>
      <c r="AJ210" s="3628"/>
      <c r="AK210" s="3628"/>
      <c r="AL210" s="3628"/>
      <c r="AM210" s="3628"/>
      <c r="AN210" s="3628"/>
      <c r="AO210" s="3628"/>
      <c r="AP210" s="3628"/>
      <c r="AQ210" s="3628"/>
      <c r="AR210" s="3628"/>
      <c r="AS210" s="3628"/>
    </row>
    <row r="211" spans="5:45">
      <c r="E211" s="3628"/>
      <c r="F211" s="3628"/>
      <c r="G211" s="3628"/>
      <c r="H211" s="3628"/>
      <c r="I211" s="3628"/>
      <c r="J211" s="3628"/>
      <c r="K211" s="3628"/>
      <c r="L211" s="3628"/>
      <c r="M211" s="3628"/>
      <c r="N211" s="3628"/>
      <c r="O211" s="3628"/>
      <c r="P211" s="3628"/>
      <c r="Q211" s="3628"/>
      <c r="R211" s="3628"/>
      <c r="S211" s="3628"/>
      <c r="T211" s="3628"/>
      <c r="U211" s="3628"/>
      <c r="V211" s="3628"/>
      <c r="W211" s="3628"/>
      <c r="X211" s="3628"/>
      <c r="Y211" s="3628"/>
      <c r="Z211" s="3628"/>
      <c r="AA211" s="3628"/>
      <c r="AB211" s="3628"/>
      <c r="AC211" s="3628"/>
      <c r="AD211" s="3628"/>
      <c r="AE211" s="3628"/>
      <c r="AF211" s="3628"/>
      <c r="AG211" s="3628"/>
      <c r="AH211" s="3628"/>
      <c r="AI211" s="3628"/>
      <c r="AJ211" s="3628"/>
      <c r="AK211" s="3628"/>
      <c r="AL211" s="3628"/>
      <c r="AM211" s="3628"/>
      <c r="AN211" s="3628"/>
      <c r="AO211" s="3628"/>
      <c r="AP211" s="3628"/>
      <c r="AQ211" s="3628"/>
      <c r="AR211" s="3628"/>
      <c r="AS211" s="3628"/>
    </row>
    <row r="212" spans="5:45">
      <c r="E212" s="3628"/>
      <c r="F212" s="3628"/>
      <c r="G212" s="3628"/>
      <c r="H212" s="3628"/>
      <c r="I212" s="3628"/>
      <c r="J212" s="3628"/>
      <c r="K212" s="3628"/>
      <c r="L212" s="3628"/>
      <c r="M212" s="3628"/>
      <c r="N212" s="3628"/>
      <c r="O212" s="3628"/>
      <c r="P212" s="3628"/>
      <c r="Q212" s="3628"/>
      <c r="R212" s="3628"/>
      <c r="S212" s="3628"/>
      <c r="T212" s="3628"/>
      <c r="U212" s="3628"/>
      <c r="V212" s="3628"/>
      <c r="W212" s="3628"/>
      <c r="X212" s="3628"/>
      <c r="Y212" s="3628"/>
      <c r="Z212" s="3628"/>
      <c r="AA212" s="3628"/>
      <c r="AB212" s="3628"/>
      <c r="AC212" s="3628"/>
      <c r="AD212" s="3628"/>
      <c r="AE212" s="3628"/>
      <c r="AF212" s="3628"/>
      <c r="AG212" s="3628"/>
      <c r="AH212" s="3628"/>
      <c r="AI212" s="3628"/>
      <c r="AJ212" s="3628"/>
      <c r="AK212" s="3628"/>
      <c r="AL212" s="3628"/>
      <c r="AM212" s="3628"/>
      <c r="AN212" s="3628"/>
      <c r="AO212" s="3628"/>
      <c r="AP212" s="3628"/>
      <c r="AQ212" s="3628"/>
      <c r="AR212" s="3628"/>
      <c r="AS212" s="3628"/>
    </row>
  </sheetData>
  <sheetProtection formatCells="0" formatColumns="0" formatRows="0" insertColumns="0" insertRows="0" insertHyperlinks="0" deleteColumns="0" deleteRows="0"/>
  <mergeCells count="7">
    <mergeCell ref="F1:F2"/>
    <mergeCell ref="C2:D2"/>
    <mergeCell ref="A28:B28"/>
    <mergeCell ref="A1:A2"/>
    <mergeCell ref="B1:B2"/>
    <mergeCell ref="C1:D1"/>
    <mergeCell ref="E1:E2"/>
  </mergeCells>
  <pageMargins left="0.70866141732283472" right="0.70866141732283472" top="0.74803149606299213" bottom="0.74803149606299213" header="0.31496062992125984" footer="0.31496062992125984"/>
  <pageSetup scale="71" fitToHeight="0" orientation="landscape" horizontalDpi="1200" verticalDpi="1200"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F0A28-0447-44B3-8D22-BE5884CE9180}">
  <sheetPr codeName="Sheet56">
    <tabColor theme="7" tint="0.39997558519241921"/>
  </sheetPr>
  <dimension ref="A2:R877"/>
  <sheetViews>
    <sheetView view="pageBreakPreview" zoomScale="80" zoomScaleSheetLayoutView="80" workbookViewId="0">
      <pane ySplit="55" topLeftCell="A585" activePane="bottomLeft" state="frozen"/>
      <selection pane="bottomLeft" activeCell="A601" sqref="A601"/>
    </sheetView>
  </sheetViews>
  <sheetFormatPr defaultColWidth="8.85546875" defaultRowHeight="12.75" outlineLevelRow="3" outlineLevelCol="1"/>
  <cols>
    <col min="1" max="1" width="9.5703125" style="7" customWidth="1"/>
    <col min="2" max="2" width="54" style="6" customWidth="1"/>
    <col min="3" max="3" width="23.42578125" style="6" hidden="1" customWidth="1" outlineLevel="1"/>
    <col min="4" max="4" width="25.42578125" style="6" customWidth="1" collapsed="1"/>
    <col min="5" max="5" width="28.5703125" style="6" customWidth="1"/>
    <col min="6" max="6" width="27" style="6" customWidth="1"/>
    <col min="7" max="7" width="25" style="3875" hidden="1" customWidth="1" outlineLevel="1"/>
    <col min="8" max="8" width="27.5703125" style="3875" bestFit="1" customWidth="1" collapsed="1"/>
    <col min="9" max="9" width="25" style="3875" customWidth="1"/>
    <col min="10" max="10" width="20" style="6" customWidth="1"/>
    <col min="11" max="11" width="43.85546875" style="6" customWidth="1"/>
    <col min="12" max="12" width="23" style="7" customWidth="1"/>
    <col min="13" max="13" width="18" style="7" customWidth="1"/>
    <col min="14" max="14" width="19" style="7" customWidth="1"/>
    <col min="15" max="15" width="15.85546875" style="7" customWidth="1"/>
    <col min="16" max="16" width="18" style="7" customWidth="1"/>
    <col min="17" max="17" width="17.85546875" style="7" customWidth="1"/>
    <col min="18" max="16384" width="8.85546875" style="7"/>
  </cols>
  <sheetData>
    <row r="2" spans="1:12">
      <c r="A2" s="9" t="str">
        <f>'Data Input'!A1&amp;" - "&amp;'Data Input'!B1</f>
        <v>PROGRAMME: - MARINA VILLAGE (PROGRAMME 1_TRIPLE BAY)</v>
      </c>
    </row>
    <row r="3" spans="1:12">
      <c r="A3" s="9" t="str">
        <f>'Data Input'!A2&amp;" - "&amp;'Data Input'!B2</f>
        <v>PROGRAMME CODE: - 1TB01003</v>
      </c>
    </row>
    <row r="4" spans="1:12">
      <c r="A4" s="9" t="str">
        <f>'Data Input'!A3&amp;" - "&amp;'Data Input'!B3</f>
        <v>ASSET NAME: - AMAALA YACHT CLUB</v>
      </c>
    </row>
    <row r="5" spans="1:12" s="1042" customFormat="1" ht="15">
      <c r="A5" s="9" t="str">
        <f>'Data Input'!A4&amp;" - "&amp;'Data Input'!B4</f>
        <v>ASSET CODE: - 1TB01003.01</v>
      </c>
      <c r="B5" s="2193"/>
      <c r="C5" s="2193"/>
      <c r="D5" s="2193"/>
      <c r="E5" s="1043"/>
      <c r="F5" s="1043"/>
      <c r="G5" s="3876"/>
      <c r="H5" s="3876"/>
      <c r="I5" s="3876"/>
      <c r="J5" s="2200"/>
      <c r="K5" s="1044"/>
      <c r="L5" s="2193"/>
    </row>
    <row r="6" spans="1:12" s="1042" customFormat="1" ht="15">
      <c r="A6" s="9" t="str">
        <f>'Data Input'!A7&amp;" - "&amp;'Data Input'!B7</f>
        <v>REPORT NO: - MONTHLY REPORT NO. 49</v>
      </c>
      <c r="B6" s="2193"/>
      <c r="C6" s="2193"/>
      <c r="D6" s="2193"/>
      <c r="E6" s="1045"/>
      <c r="F6" s="2146"/>
      <c r="G6" s="3876"/>
      <c r="H6" s="3876"/>
      <c r="I6" s="3876"/>
      <c r="J6" s="2200"/>
      <c r="K6" s="548"/>
      <c r="L6" s="2193"/>
    </row>
    <row r="7" spans="1:12" s="1042" customFormat="1" ht="15">
      <c r="A7" s="9" t="str">
        <f>'Data Input'!A8&amp;" - "&amp;'Data Input'!B8</f>
        <v>REPORTING PERIOD: - OCTOBER 2026</v>
      </c>
      <c r="B7" s="2193"/>
      <c r="C7" s="2193"/>
      <c r="D7" s="2193"/>
      <c r="E7" s="544"/>
      <c r="F7" s="544"/>
      <c r="G7" s="3878"/>
      <c r="H7" s="3877"/>
      <c r="I7" s="3878"/>
      <c r="J7" s="1370"/>
      <c r="K7" s="1370"/>
      <c r="L7" s="2193"/>
    </row>
    <row r="8" spans="1:12" s="1042" customFormat="1" ht="15" hidden="1" outlineLevel="1">
      <c r="A8" s="2193"/>
      <c r="B8" s="2200"/>
      <c r="C8" s="2200"/>
      <c r="D8" s="2200"/>
      <c r="E8" s="2200"/>
      <c r="F8" s="2200"/>
      <c r="G8" s="3876"/>
      <c r="H8" s="3876"/>
      <c r="I8" s="3876"/>
      <c r="J8" s="2200"/>
      <c r="K8" s="2200"/>
      <c r="L8" s="2193"/>
    </row>
    <row r="9" spans="1:12" s="1042" customFormat="1" ht="30" hidden="1" outlineLevel="1">
      <c r="A9" s="2193"/>
      <c r="B9" s="1904"/>
      <c r="C9" s="1904"/>
      <c r="D9" s="1904"/>
      <c r="E9" s="2200" t="s">
        <v>1822</v>
      </c>
      <c r="F9" s="2200"/>
      <c r="G9" s="3876"/>
      <c r="H9" s="3876"/>
      <c r="I9" s="3876"/>
      <c r="J9" s="2200"/>
      <c r="K9" s="2200"/>
      <c r="L9" s="2193"/>
    </row>
    <row r="10" spans="1:12" s="9" customFormat="1" hidden="1" outlineLevel="1">
      <c r="B10" s="7"/>
      <c r="C10" s="7"/>
      <c r="D10" s="7"/>
      <c r="E10" s="7"/>
      <c r="F10" s="8"/>
      <c r="G10" s="3879"/>
      <c r="H10" s="3879"/>
      <c r="I10" s="3879"/>
      <c r="J10" s="8"/>
      <c r="K10" s="8"/>
    </row>
    <row r="11" spans="1:12" s="10" customFormat="1" ht="38.25" hidden="1" customHeight="1" outlineLevel="1" thickBot="1">
      <c r="A11" s="798" t="s">
        <v>1406</v>
      </c>
      <c r="B11" s="1046" t="s">
        <v>1823</v>
      </c>
      <c r="C11" s="1046"/>
      <c r="D11" s="1046"/>
      <c r="E11" s="1046" t="s">
        <v>1824</v>
      </c>
      <c r="F11" s="1046" t="s">
        <v>1825</v>
      </c>
      <c r="G11" s="3881" t="s">
        <v>1827</v>
      </c>
      <c r="H11" s="3880" t="s">
        <v>1826</v>
      </c>
      <c r="I11" s="3881" t="s">
        <v>1827</v>
      </c>
      <c r="J11" s="793" t="s">
        <v>1479</v>
      </c>
      <c r="K11" s="863" t="s">
        <v>1828</v>
      </c>
    </row>
    <row r="12" spans="1:12" s="10" customFormat="1" ht="15" hidden="1" customHeight="1" outlineLevel="1">
      <c r="A12" s="1190"/>
      <c r="B12" s="1191"/>
      <c r="C12" s="1191"/>
      <c r="D12" s="1191"/>
      <c r="E12" s="1192"/>
      <c r="F12" s="1192"/>
      <c r="G12" s="3883"/>
      <c r="H12" s="3882"/>
      <c r="I12" s="3883"/>
      <c r="J12" s="1193"/>
      <c r="K12" s="1194"/>
    </row>
    <row r="13" spans="1:12" s="10" customFormat="1" ht="27.75" hidden="1" customHeight="1" outlineLevel="1">
      <c r="A13" s="801">
        <v>1</v>
      </c>
      <c r="B13" s="1195" t="s">
        <v>1829</v>
      </c>
      <c r="C13" s="1195"/>
      <c r="D13" s="1195"/>
      <c r="E13" s="1189" t="s">
        <v>1830</v>
      </c>
      <c r="F13" s="1189" t="s">
        <v>1831</v>
      </c>
      <c r="G13" s="3885">
        <v>0</v>
      </c>
      <c r="H13" s="3884">
        <v>-6199291.0199999996</v>
      </c>
      <c r="I13" s="3885">
        <v>0</v>
      </c>
      <c r="J13" s="1187">
        <v>44792</v>
      </c>
      <c r="K13" s="1196" t="s">
        <v>90</v>
      </c>
    </row>
    <row r="14" spans="1:12" s="10" customFormat="1" ht="27.75" hidden="1" customHeight="1" outlineLevel="1">
      <c r="A14" s="801">
        <v>2</v>
      </c>
      <c r="B14" s="1497" t="s">
        <v>1832</v>
      </c>
      <c r="C14" s="1497"/>
      <c r="D14" s="1497"/>
      <c r="E14" s="1189" t="s">
        <v>147</v>
      </c>
      <c r="F14" s="1189" t="s">
        <v>214</v>
      </c>
      <c r="G14" s="3886" t="e">
        <f>-F14</f>
        <v>#VALUE!</v>
      </c>
      <c r="H14" s="3884">
        <v>-2719369.0417407998</v>
      </c>
      <c r="I14" s="3886">
        <f>-H14</f>
        <v>2719369.0417407998</v>
      </c>
      <c r="J14" s="1187">
        <v>44852</v>
      </c>
      <c r="K14" s="1196" t="s">
        <v>90</v>
      </c>
      <c r="L14" s="10">
        <v>1</v>
      </c>
    </row>
    <row r="15" spans="1:12" s="10" customFormat="1" ht="27.75" hidden="1" customHeight="1" outlineLevel="1">
      <c r="A15" s="801">
        <v>3</v>
      </c>
      <c r="B15" s="1497" t="s">
        <v>1833</v>
      </c>
      <c r="C15" s="1497"/>
      <c r="D15" s="1497"/>
      <c r="E15" s="1189" t="s">
        <v>221</v>
      </c>
      <c r="F15" s="1189" t="s">
        <v>628</v>
      </c>
      <c r="G15" s="3886">
        <f>70957643.3969909</f>
        <v>70957643.396990895</v>
      </c>
      <c r="H15" s="3887"/>
      <c r="I15" s="3886">
        <f>70957643.3969909</f>
        <v>70957643.396990895</v>
      </c>
      <c r="J15" s="2078">
        <v>44914</v>
      </c>
      <c r="K15" s="1196" t="s">
        <v>110</v>
      </c>
    </row>
    <row r="16" spans="1:12" s="10" customFormat="1" ht="27.75" hidden="1" customHeight="1" outlineLevel="1">
      <c r="A16" s="801">
        <v>4</v>
      </c>
      <c r="B16" s="1497" t="s">
        <v>1834</v>
      </c>
      <c r="C16" s="1497"/>
      <c r="D16" s="1497"/>
      <c r="E16" s="1189" t="s">
        <v>221</v>
      </c>
      <c r="F16" s="1189" t="s">
        <v>632</v>
      </c>
      <c r="G16" s="3886">
        <f>27815335.5980162</f>
        <v>27815335.598016199</v>
      </c>
      <c r="H16" s="3888"/>
      <c r="I16" s="3886">
        <f>27815335.5980162</f>
        <v>27815335.598016199</v>
      </c>
      <c r="J16" s="2078">
        <v>44914</v>
      </c>
      <c r="K16" s="1196" t="s">
        <v>110</v>
      </c>
    </row>
    <row r="17" spans="1:12" ht="27.75" hidden="1" customHeight="1" outlineLevel="1">
      <c r="A17" s="801">
        <v>5</v>
      </c>
      <c r="B17" s="1497" t="s">
        <v>1835</v>
      </c>
      <c r="C17" s="1497"/>
      <c r="D17" s="1497"/>
      <c r="E17" s="1189" t="s">
        <v>221</v>
      </c>
      <c r="F17" s="1189" t="s">
        <v>635</v>
      </c>
      <c r="G17" s="3886">
        <f>4975465.60888315</f>
        <v>4975465.6088831499</v>
      </c>
      <c r="H17" s="3889"/>
      <c r="I17" s="3886">
        <f>4975465.60888315</f>
        <v>4975465.6088831499</v>
      </c>
      <c r="J17" s="2078">
        <v>44914</v>
      </c>
      <c r="K17" s="1196" t="s">
        <v>110</v>
      </c>
    </row>
    <row r="18" spans="1:12" ht="27.75" hidden="1" customHeight="1" outlineLevel="1">
      <c r="A18" s="801">
        <v>6</v>
      </c>
      <c r="B18" s="797" t="s">
        <v>1836</v>
      </c>
      <c r="C18" s="2924"/>
      <c r="D18" s="2924"/>
      <c r="E18" s="1189" t="s">
        <v>632</v>
      </c>
      <c r="F18" s="1189" t="s">
        <v>628</v>
      </c>
      <c r="G18" s="3886" t="e">
        <f>-F18</f>
        <v>#VALUE!</v>
      </c>
      <c r="H18" s="3886">
        <f>-12877723.65</f>
        <v>-12877723.65</v>
      </c>
      <c r="I18" s="3886">
        <f>-H18</f>
        <v>12877723.65</v>
      </c>
      <c r="J18" s="1187">
        <v>44914</v>
      </c>
      <c r="K18" s="1196" t="s">
        <v>110</v>
      </c>
    </row>
    <row r="19" spans="1:12" ht="27.75" hidden="1" customHeight="1" outlineLevel="1">
      <c r="A19" s="801">
        <v>7</v>
      </c>
      <c r="B19" s="797" t="s">
        <v>1837</v>
      </c>
      <c r="C19" s="2924"/>
      <c r="D19" s="2924"/>
      <c r="E19" s="1189" t="s">
        <v>632</v>
      </c>
      <c r="F19" s="1189" t="s">
        <v>635</v>
      </c>
      <c r="G19" s="3886" t="e">
        <f>-F19</f>
        <v>#VALUE!</v>
      </c>
      <c r="H19" s="3885">
        <f>-2819592.31</f>
        <v>-2819592.31</v>
      </c>
      <c r="I19" s="3886">
        <f>-H19</f>
        <v>2819592.31</v>
      </c>
      <c r="J19" s="1187">
        <v>44914</v>
      </c>
      <c r="K19" s="1196" t="s">
        <v>110</v>
      </c>
    </row>
    <row r="20" spans="1:12" ht="27.75" hidden="1" customHeight="1" outlineLevel="1">
      <c r="A20" s="801">
        <v>8</v>
      </c>
      <c r="B20" s="797" t="s">
        <v>1838</v>
      </c>
      <c r="C20" s="2924"/>
      <c r="D20" s="2924"/>
      <c r="E20" s="1189" t="s">
        <v>632</v>
      </c>
      <c r="F20" s="1189" t="s">
        <v>214</v>
      </c>
      <c r="G20" s="3886" t="e">
        <f>-F20</f>
        <v>#VALUE!</v>
      </c>
      <c r="H20" s="3885">
        <f>-12545905.62</f>
        <v>-12545905.619999999</v>
      </c>
      <c r="I20" s="3886">
        <f>-H20</f>
        <v>12545905.619999999</v>
      </c>
      <c r="J20" s="1187">
        <v>44914</v>
      </c>
      <c r="K20" s="1196" t="s">
        <v>110</v>
      </c>
      <c r="L20" s="7">
        <v>1</v>
      </c>
    </row>
    <row r="21" spans="1:12" ht="9" hidden="1" customHeight="1" outlineLevel="1">
      <c r="A21" s="1935"/>
      <c r="B21" s="1936"/>
      <c r="C21" s="2925"/>
      <c r="D21" s="2925"/>
      <c r="E21" s="1937"/>
      <c r="F21" s="1937"/>
      <c r="G21" s="3890"/>
      <c r="H21" s="3890"/>
      <c r="I21" s="3890"/>
      <c r="J21" s="1938"/>
      <c r="K21" s="1939"/>
    </row>
    <row r="22" spans="1:12" ht="27.75" hidden="1" customHeight="1" outlineLevel="1">
      <c r="A22" s="801">
        <v>9</v>
      </c>
      <c r="B22" s="797" t="s">
        <v>1839</v>
      </c>
      <c r="C22" s="2924"/>
      <c r="D22" s="2924"/>
      <c r="E22" s="1189" t="s">
        <v>224</v>
      </c>
      <c r="F22" s="1189" t="s">
        <v>139</v>
      </c>
      <c r="G22" s="3886" t="e">
        <f>-F22</f>
        <v>#VALUE!</v>
      </c>
      <c r="H22" s="3886">
        <v>-13059930</v>
      </c>
      <c r="I22" s="3886">
        <f>-H22</f>
        <v>13059930</v>
      </c>
      <c r="J22" s="1187">
        <v>44952</v>
      </c>
      <c r="K22" s="1196" t="s">
        <v>117</v>
      </c>
    </row>
    <row r="23" spans="1:12" ht="27.75" hidden="1" customHeight="1" outlineLevel="1">
      <c r="A23" s="801">
        <v>10</v>
      </c>
      <c r="B23" s="797" t="s">
        <v>1840</v>
      </c>
      <c r="C23" s="797"/>
      <c r="D23" s="797"/>
      <c r="E23" s="1940" t="s">
        <v>225</v>
      </c>
      <c r="F23" s="1189" t="s">
        <v>154</v>
      </c>
      <c r="G23" s="3886">
        <v>172368.42</v>
      </c>
      <c r="H23" s="3886">
        <v>-172368.42</v>
      </c>
      <c r="I23" s="3886">
        <v>172368.42</v>
      </c>
      <c r="J23" s="1187">
        <v>44946</v>
      </c>
      <c r="K23" s="1196" t="s">
        <v>117</v>
      </c>
    </row>
    <row r="24" spans="1:12" ht="27.75" hidden="1" customHeight="1" outlineLevel="1">
      <c r="A24" s="801">
        <v>11</v>
      </c>
      <c r="B24" s="797" t="s">
        <v>1841</v>
      </c>
      <c r="C24" s="797"/>
      <c r="D24" s="797"/>
      <c r="E24" s="1940" t="s">
        <v>225</v>
      </c>
      <c r="F24" s="1189" t="s">
        <v>134</v>
      </c>
      <c r="G24" s="3886">
        <v>106231.5</v>
      </c>
      <c r="H24" s="3886">
        <v>-106231.5</v>
      </c>
      <c r="I24" s="3886">
        <v>106231.5</v>
      </c>
      <c r="J24" s="1187">
        <v>44952</v>
      </c>
      <c r="K24" s="1196" t="s">
        <v>117</v>
      </c>
    </row>
    <row r="25" spans="1:12" ht="9" hidden="1" customHeight="1" outlineLevel="1">
      <c r="A25" s="1935"/>
      <c r="B25" s="1936"/>
      <c r="C25" s="2925"/>
      <c r="D25" s="2925"/>
      <c r="E25" s="1937"/>
      <c r="F25" s="1937"/>
      <c r="G25" s="3890">
        <v>33</v>
      </c>
      <c r="H25" s="3890"/>
      <c r="I25" s="3890">
        <v>33</v>
      </c>
      <c r="J25" s="1938"/>
      <c r="K25" s="1939"/>
    </row>
    <row r="26" spans="1:12" ht="25.5" hidden="1" outlineLevel="1">
      <c r="A26" s="801">
        <v>12</v>
      </c>
      <c r="B26" s="797" t="s">
        <v>1842</v>
      </c>
      <c r="C26" s="797"/>
      <c r="D26" s="797"/>
      <c r="E26" s="1940" t="s">
        <v>233</v>
      </c>
      <c r="F26" s="1189" t="s">
        <v>176</v>
      </c>
      <c r="G26" s="3886">
        <v>35</v>
      </c>
      <c r="H26" s="3886">
        <v>-834298.55</v>
      </c>
      <c r="I26" s="3886">
        <v>35</v>
      </c>
      <c r="J26" s="1187">
        <v>44952</v>
      </c>
      <c r="K26" s="1196" t="s">
        <v>124</v>
      </c>
    </row>
    <row r="27" spans="1:12" ht="9" hidden="1" customHeight="1" outlineLevel="1">
      <c r="A27" s="1935"/>
      <c r="B27" s="1936"/>
      <c r="C27" s="2925"/>
      <c r="D27" s="2925"/>
      <c r="E27" s="1937"/>
      <c r="F27" s="1937"/>
      <c r="G27" s="3890"/>
      <c r="H27" s="3890"/>
      <c r="I27" s="3890"/>
      <c r="J27" s="1938"/>
      <c r="K27" s="1939"/>
    </row>
    <row r="28" spans="1:12" ht="25.5" hidden="1" outlineLevel="1">
      <c r="A28" s="801">
        <v>13</v>
      </c>
      <c r="B28" s="1497" t="s">
        <v>1843</v>
      </c>
      <c r="C28" s="1497"/>
      <c r="D28" s="1497"/>
      <c r="E28" s="1189" t="s">
        <v>221</v>
      </c>
      <c r="F28" s="1189" t="s">
        <v>180</v>
      </c>
      <c r="G28" s="3886">
        <f>521622.03</f>
        <v>521622.03</v>
      </c>
      <c r="H28" s="3889"/>
      <c r="I28" s="3886">
        <f>521622.03</f>
        <v>521622.03</v>
      </c>
      <c r="J28" s="2078">
        <v>45021</v>
      </c>
      <c r="K28" s="1196" t="s">
        <v>137</v>
      </c>
    </row>
    <row r="29" spans="1:12" ht="12" hidden="1" customHeight="1" outlineLevel="1">
      <c r="A29" s="1935"/>
      <c r="B29" s="1936"/>
      <c r="C29" s="2925"/>
      <c r="D29" s="2925"/>
      <c r="E29" s="1937"/>
      <c r="F29" s="1937"/>
      <c r="G29" s="3890"/>
      <c r="H29" s="3890"/>
      <c r="I29" s="3890"/>
      <c r="J29" s="1938"/>
      <c r="K29" s="1939"/>
    </row>
    <row r="30" spans="1:12" ht="25.5" hidden="1" outlineLevel="1">
      <c r="A30" s="801">
        <v>13</v>
      </c>
      <c r="B30" s="797" t="s">
        <v>2016</v>
      </c>
      <c r="C30" s="797"/>
      <c r="D30" s="797"/>
      <c r="E30" s="1940" t="s">
        <v>225</v>
      </c>
      <c r="F30" s="1189" t="s">
        <v>2003</v>
      </c>
      <c r="G30" s="3886">
        <v>127291.9</v>
      </c>
      <c r="H30" s="3889">
        <v>-127291.9</v>
      </c>
      <c r="I30" s="3886">
        <v>127291.9</v>
      </c>
      <c r="J30" s="2078">
        <v>45052</v>
      </c>
      <c r="K30" s="1196" t="s">
        <v>142</v>
      </c>
    </row>
    <row r="31" spans="1:12" ht="25.5" hidden="1" outlineLevel="1">
      <c r="A31" s="801">
        <v>14</v>
      </c>
      <c r="B31" s="797" t="s">
        <v>2004</v>
      </c>
      <c r="C31" s="2924"/>
      <c r="D31" s="2924"/>
      <c r="E31" s="1189" t="s">
        <v>189</v>
      </c>
      <c r="F31" s="1189" t="s">
        <v>216</v>
      </c>
      <c r="G31" s="3886" t="e">
        <f>-F31</f>
        <v>#VALUE!</v>
      </c>
      <c r="H31" s="3885">
        <v>-1212511</v>
      </c>
      <c r="I31" s="3886">
        <f>-H31</f>
        <v>1212511</v>
      </c>
      <c r="J31" s="1187">
        <v>45071</v>
      </c>
      <c r="K31" s="1196" t="s">
        <v>142</v>
      </c>
    </row>
    <row r="32" spans="1:12" ht="12" hidden="1" customHeight="1" outlineLevel="1">
      <c r="A32" s="1935"/>
      <c r="B32" s="1936"/>
      <c r="C32" s="2925"/>
      <c r="D32" s="2925"/>
      <c r="E32" s="1937"/>
      <c r="F32" s="1937"/>
      <c r="G32" s="3890"/>
      <c r="H32" s="3890"/>
      <c r="I32" s="3890"/>
      <c r="J32" s="1938"/>
      <c r="K32" s="1939"/>
    </row>
    <row r="33" spans="1:17" ht="28.5" hidden="1" customHeight="1" outlineLevel="1">
      <c r="A33" s="801">
        <v>14</v>
      </c>
      <c r="B33" s="797" t="s">
        <v>2176</v>
      </c>
      <c r="C33" s="2924"/>
      <c r="D33" s="2924"/>
      <c r="E33" s="1189" t="s">
        <v>225</v>
      </c>
      <c r="F33" s="1189" t="s">
        <v>2173</v>
      </c>
      <c r="G33" s="3886" t="e">
        <f>-F33</f>
        <v>#VALUE!</v>
      </c>
      <c r="H33" s="3886">
        <v>-45677.599999999999</v>
      </c>
      <c r="I33" s="3886">
        <f>-H33</f>
        <v>45677.599999999999</v>
      </c>
      <c r="J33" s="1187"/>
      <c r="K33" s="2003" t="s">
        <v>2175</v>
      </c>
      <c r="O33" s="6" t="s">
        <v>2206</v>
      </c>
      <c r="P33" s="6" t="s">
        <v>2207</v>
      </c>
      <c r="Q33" s="6" t="s">
        <v>2208</v>
      </c>
    </row>
    <row r="34" spans="1:17" ht="48.75" hidden="1" customHeight="1" outlineLevel="1">
      <c r="A34" s="801">
        <v>15</v>
      </c>
      <c r="B34" s="1195" t="s">
        <v>2168</v>
      </c>
      <c r="C34" s="1195"/>
      <c r="D34" s="1195"/>
      <c r="E34" s="1189" t="s">
        <v>2169</v>
      </c>
      <c r="F34" s="1189" t="s">
        <v>233</v>
      </c>
      <c r="G34" s="3886">
        <f>93913586.15+13721765.22+4695209</f>
        <v>112330560.37</v>
      </c>
      <c r="H34" s="3889">
        <f>-(I28+I17+I16+I15)</f>
        <v>-104270066.63389024</v>
      </c>
      <c r="I34" s="3886">
        <f>93913586.15+13721765.22+4695209</f>
        <v>112330560.37</v>
      </c>
      <c r="J34" s="1187">
        <v>45125</v>
      </c>
      <c r="K34" s="2003" t="s">
        <v>2213</v>
      </c>
      <c r="N34" s="2040">
        <f>93913586.15+13721765.22+4695209</f>
        <v>112330560.37</v>
      </c>
      <c r="O34" s="2040">
        <f>93913586.15</f>
        <v>93913586.150000006</v>
      </c>
      <c r="P34" s="2040">
        <f>13721765.22</f>
        <v>13721765.220000001</v>
      </c>
      <c r="Q34" s="2040">
        <f>4695209</f>
        <v>4695209</v>
      </c>
    </row>
    <row r="35" spans="1:17" ht="28.5" hidden="1" customHeight="1" outlineLevel="1">
      <c r="A35" s="801">
        <v>16</v>
      </c>
      <c r="B35" s="1195" t="s">
        <v>2168</v>
      </c>
      <c r="C35" s="1195"/>
      <c r="D35" s="1195"/>
      <c r="E35" s="1189" t="s">
        <v>2169</v>
      </c>
      <c r="F35" s="1189" t="s">
        <v>234</v>
      </c>
      <c r="G35" s="3886">
        <f>38306169-4695209</f>
        <v>33610960</v>
      </c>
      <c r="H35" s="3886">
        <v>0</v>
      </c>
      <c r="I35" s="3886">
        <f>38306169-4695209</f>
        <v>33610960</v>
      </c>
      <c r="J35" s="1187">
        <v>45125</v>
      </c>
      <c r="K35" s="2003" t="s">
        <v>2185</v>
      </c>
      <c r="N35" s="2040">
        <f>38306169-4695209</f>
        <v>33610960</v>
      </c>
      <c r="O35" s="2040">
        <f>38306169</f>
        <v>38306169</v>
      </c>
      <c r="P35" s="2040">
        <f>-4695209</f>
        <v>-4695209</v>
      </c>
    </row>
    <row r="36" spans="1:17" hidden="1" outlineLevel="2">
      <c r="A36" s="801"/>
      <c r="B36" s="1497"/>
      <c r="C36" s="1497"/>
      <c r="D36" s="1497"/>
      <c r="E36" s="1189"/>
      <c r="F36" s="1189"/>
      <c r="G36" s="3889"/>
      <c r="H36" s="3889"/>
      <c r="I36" s="3889"/>
      <c r="J36" s="2078"/>
      <c r="K36" s="1196"/>
    </row>
    <row r="37" spans="1:17" hidden="1" outlineLevel="2">
      <c r="A37" s="801"/>
      <c r="B37" s="1497" t="s">
        <v>2214</v>
      </c>
      <c r="C37" s="1497"/>
      <c r="D37" s="1497"/>
      <c r="E37" s="1940" t="s">
        <v>233</v>
      </c>
      <c r="F37" s="1189" t="s">
        <v>183</v>
      </c>
      <c r="G37" s="3889" t="e">
        <f>-F37</f>
        <v>#VALUE!</v>
      </c>
      <c r="H37" s="3889">
        <v>-12527902.4151367</v>
      </c>
      <c r="I37" s="3889">
        <f>-H37</f>
        <v>12527902.4151367</v>
      </c>
      <c r="J37" s="2078"/>
      <c r="K37" s="1196"/>
    </row>
    <row r="38" spans="1:17" hidden="1" outlineLevel="2">
      <c r="A38" s="801"/>
      <c r="B38" s="1497" t="s">
        <v>2215</v>
      </c>
      <c r="C38" s="1497"/>
      <c r="D38" s="1497"/>
      <c r="E38" s="1940" t="s">
        <v>233</v>
      </c>
      <c r="F38" s="1189" t="s">
        <v>186</v>
      </c>
      <c r="G38" s="3885" t="e">
        <f>-F38</f>
        <v>#VALUE!</v>
      </c>
      <c r="H38" s="3885">
        <v>-29047396.4327139</v>
      </c>
      <c r="I38" s="3885">
        <f>-H38</f>
        <v>29047396.4327139</v>
      </c>
      <c r="J38" s="1187"/>
      <c r="K38" s="1196"/>
    </row>
    <row r="39" spans="1:17" hidden="1" outlineLevel="2">
      <c r="A39" s="801"/>
      <c r="B39" s="797"/>
      <c r="C39" s="797"/>
      <c r="D39" s="797"/>
      <c r="E39" s="1940"/>
      <c r="F39" s="1189"/>
      <c r="G39" s="3885"/>
      <c r="H39" s="3885"/>
      <c r="I39" s="3885"/>
      <c r="J39" s="1187"/>
      <c r="K39" s="1196"/>
    </row>
    <row r="40" spans="1:17" hidden="1" outlineLevel="2">
      <c r="A40" s="801"/>
      <c r="B40" s="797"/>
      <c r="C40" s="797"/>
      <c r="D40" s="797"/>
      <c r="E40" s="1940"/>
      <c r="F40" s="1189"/>
      <c r="G40" s="3885"/>
      <c r="H40" s="3885"/>
      <c r="I40" s="3885"/>
      <c r="J40" s="1187"/>
      <c r="K40" s="1196"/>
    </row>
    <row r="41" spans="1:17" ht="10.5" hidden="1" customHeight="1" outlineLevel="1" thickBot="1">
      <c r="A41" s="1047"/>
      <c r="B41" s="797"/>
      <c r="C41" s="797"/>
      <c r="D41" s="797"/>
      <c r="E41" s="2780"/>
      <c r="F41" s="2780"/>
      <c r="G41" s="3891"/>
      <c r="H41" s="3891"/>
      <c r="I41" s="3891"/>
      <c r="J41" s="1188"/>
      <c r="K41" s="867"/>
      <c r="N41" s="2920">
        <f>+N35+N34</f>
        <v>145941520.37</v>
      </c>
      <c r="O41" s="6" t="s">
        <v>2210</v>
      </c>
      <c r="P41" s="6" t="s">
        <v>2209</v>
      </c>
    </row>
    <row r="42" spans="1:17" s="9" customFormat="1" ht="21" hidden="1" customHeight="1" outlineLevel="1" thickBot="1">
      <c r="A42" s="802"/>
      <c r="B42" s="1048" t="s">
        <v>1414</v>
      </c>
      <c r="C42" s="2926"/>
      <c r="D42" s="2926"/>
      <c r="E42" s="1049"/>
      <c r="F42" s="1049"/>
      <c r="G42" s="3892" t="e">
        <f>SUM(G13:G41)</f>
        <v>#VALUE!</v>
      </c>
      <c r="H42" s="3892">
        <f>SUM(H13:H41)</f>
        <v>-198565556.09348163</v>
      </c>
      <c r="I42" s="3892">
        <f>SUM(I13:I41)</f>
        <v>337473554.89348167</v>
      </c>
      <c r="J42" s="1051"/>
      <c r="K42" s="1052"/>
    </row>
    <row r="43" spans="1:17" hidden="1" outlineLevel="1">
      <c r="G43" s="3875" t="e">
        <f>+G42+F42</f>
        <v>#VALUE!</v>
      </c>
      <c r="I43" s="3875">
        <f>+I42+H42</f>
        <v>138907998.80000004</v>
      </c>
      <c r="L43" s="2921" t="s">
        <v>2211</v>
      </c>
      <c r="M43" s="2921"/>
      <c r="N43" s="2040">
        <v>-6199291.0199999996</v>
      </c>
      <c r="O43" s="2919">
        <f>SUM(O34:O42)</f>
        <v>132219755.15000001</v>
      </c>
    </row>
    <row r="44" spans="1:17" hidden="1" outlineLevel="1">
      <c r="G44" s="3893">
        <f>+G28+G17+G16+G15</f>
        <v>104270066.63389024</v>
      </c>
      <c r="I44" s="3893">
        <f>+I28+I17+I16+I15</f>
        <v>104270066.63389024</v>
      </c>
      <c r="L44" s="2921" t="s">
        <v>2212</v>
      </c>
      <c r="M44" s="2921"/>
      <c r="N44" s="2920">
        <f>+N43+N41</f>
        <v>139742229.34999999</v>
      </c>
    </row>
    <row r="45" spans="1:17" hidden="1" outlineLevel="1"/>
    <row r="46" spans="1:17" hidden="1" outlineLevel="1">
      <c r="G46" s="3875" t="e">
        <f>SUM(G36:G39)</f>
        <v>#VALUE!</v>
      </c>
      <c r="I46" s="3875">
        <f>SUM(I36:I39)</f>
        <v>41575298.847850598</v>
      </c>
    </row>
    <row r="47" spans="1:17" s="2922" customFormat="1" hidden="1" outlineLevel="1">
      <c r="B47" s="2923"/>
      <c r="C47" s="2923"/>
      <c r="D47" s="2923"/>
      <c r="E47" s="2923"/>
      <c r="F47" s="2923"/>
      <c r="G47" s="3894"/>
      <c r="H47" s="3894"/>
      <c r="I47" s="3894"/>
      <c r="J47" s="2923"/>
      <c r="K47" s="2923"/>
    </row>
    <row r="48" spans="1:17" hidden="1" outlineLevel="1"/>
    <row r="49" spans="1:15" hidden="1" outlineLevel="1">
      <c r="A49" s="801"/>
      <c r="B49" s="1497" t="s">
        <v>2170</v>
      </c>
      <c r="C49" s="1497"/>
      <c r="D49" s="1497"/>
      <c r="E49" s="1189" t="s">
        <v>225</v>
      </c>
      <c r="F49" s="1189" t="s">
        <v>223</v>
      </c>
      <c r="G49" s="3889">
        <v>0</v>
      </c>
      <c r="H49" s="3889">
        <v>-6277273.4199999999</v>
      </c>
      <c r="I49" s="3889">
        <v>0</v>
      </c>
      <c r="J49" s="2078"/>
      <c r="K49" s="1196"/>
    </row>
    <row r="50" spans="1:15" hidden="1" outlineLevel="1">
      <c r="A50" s="801"/>
      <c r="B50" s="1497" t="s">
        <v>2170</v>
      </c>
      <c r="C50" s="1497"/>
      <c r="D50" s="1497"/>
      <c r="E50" s="1189" t="s">
        <v>233</v>
      </c>
      <c r="F50" s="1189" t="s">
        <v>2171</v>
      </c>
      <c r="G50" s="3889">
        <v>0</v>
      </c>
      <c r="H50" s="3889">
        <v>-834298.55</v>
      </c>
      <c r="I50" s="3889">
        <v>0</v>
      </c>
      <c r="J50" s="2078"/>
      <c r="K50" s="1196"/>
    </row>
    <row r="51" spans="1:15" hidden="1" outlineLevel="1"/>
    <row r="52" spans="1:15" hidden="1" outlineLevel="1"/>
    <row r="53" spans="1:15" hidden="1" outlineLevel="1">
      <c r="A53" s="2931" t="s">
        <v>1844</v>
      </c>
      <c r="B53" s="2932"/>
      <c r="C53" s="2932"/>
      <c r="D53" s="2932"/>
      <c r="E53" s="2932"/>
      <c r="F53" s="2932"/>
      <c r="G53" s="3895"/>
      <c r="H53" s="3895"/>
      <c r="I53" s="3895"/>
      <c r="J53" s="2932"/>
      <c r="K53" s="2932"/>
    </row>
    <row r="54" spans="1:15" ht="9.75" customHeight="1" collapsed="1" thickBot="1"/>
    <row r="55" spans="1:15" s="9" customFormat="1" ht="24.95" customHeight="1" thickBot="1">
      <c r="A55" s="2938" t="s">
        <v>1406</v>
      </c>
      <c r="B55" s="2954" t="s">
        <v>1823</v>
      </c>
      <c r="C55" s="2954"/>
      <c r="D55" s="2954" t="s">
        <v>2268</v>
      </c>
      <c r="E55" s="2954" t="s">
        <v>1824</v>
      </c>
      <c r="F55" s="2954" t="s">
        <v>1825</v>
      </c>
      <c r="G55" s="3897" t="s">
        <v>3955</v>
      </c>
      <c r="H55" s="3896" t="s">
        <v>1826</v>
      </c>
      <c r="I55" s="3897" t="s">
        <v>1827</v>
      </c>
      <c r="J55" s="2955" t="s">
        <v>1479</v>
      </c>
      <c r="K55" s="2955" t="s">
        <v>1828</v>
      </c>
    </row>
    <row r="56" spans="1:15" s="10" customFormat="1" ht="33" customHeight="1">
      <c r="A56" s="2941">
        <v>1</v>
      </c>
      <c r="B56" s="2943" t="s">
        <v>5357</v>
      </c>
      <c r="C56" s="2943"/>
      <c r="D56" s="2943" t="s">
        <v>2219</v>
      </c>
      <c r="E56" s="2118" t="s">
        <v>233</v>
      </c>
      <c r="F56" s="2944" t="s">
        <v>1831</v>
      </c>
      <c r="G56" s="3899"/>
      <c r="H56" s="3898">
        <v>-6199291.0199999996</v>
      </c>
      <c r="I56" s="3899">
        <v>0</v>
      </c>
      <c r="J56" s="2949">
        <v>44783</v>
      </c>
      <c r="K56" s="1193"/>
      <c r="L56" s="10" t="s">
        <v>2220</v>
      </c>
      <c r="N56" s="10">
        <v>243418954.19999999</v>
      </c>
      <c r="O56" s="10">
        <v>221633231.5</v>
      </c>
    </row>
    <row r="57" spans="1:15" s="10" customFormat="1" ht="33" customHeight="1">
      <c r="A57" s="801">
        <v>2</v>
      </c>
      <c r="B57" s="4072" t="s">
        <v>3728</v>
      </c>
      <c r="C57" s="4072"/>
      <c r="D57" s="4072" t="s">
        <v>3726</v>
      </c>
      <c r="E57" s="2118" t="s">
        <v>225</v>
      </c>
      <c r="F57" s="1189" t="s">
        <v>85</v>
      </c>
      <c r="G57" s="4073" t="s">
        <v>3727</v>
      </c>
      <c r="H57" s="3887">
        <f>-261030</f>
        <v>-261030</v>
      </c>
      <c r="I57" s="3887">
        <f>261030</f>
        <v>261030</v>
      </c>
      <c r="J57" s="4074">
        <v>44822</v>
      </c>
      <c r="K57" s="4075"/>
    </row>
    <row r="58" spans="1:15" s="10" customFormat="1" ht="33" customHeight="1">
      <c r="A58" s="801">
        <v>3</v>
      </c>
      <c r="B58" s="4072" t="s">
        <v>3729</v>
      </c>
      <c r="C58" s="4072"/>
      <c r="D58" s="4072" t="s">
        <v>2217</v>
      </c>
      <c r="E58" s="2118" t="s">
        <v>225</v>
      </c>
      <c r="F58" s="1189" t="s">
        <v>2218</v>
      </c>
      <c r="G58" s="4073"/>
      <c r="H58" s="3887">
        <v>-3947.37</v>
      </c>
      <c r="I58" s="3887">
        <v>3947.37</v>
      </c>
      <c r="J58" s="4074">
        <v>44948</v>
      </c>
      <c r="K58" s="4075"/>
    </row>
    <row r="59" spans="1:15" s="10" customFormat="1" ht="33" customHeight="1">
      <c r="A59" s="801">
        <v>4</v>
      </c>
      <c r="B59" s="4072" t="s">
        <v>3729</v>
      </c>
      <c r="C59" s="4072"/>
      <c r="D59" s="4072" t="s">
        <v>3730</v>
      </c>
      <c r="E59" s="2118" t="s">
        <v>225</v>
      </c>
      <c r="F59" s="1189" t="s">
        <v>154</v>
      </c>
      <c r="G59" s="4073"/>
      <c r="H59" s="3887">
        <v>-168421.05</v>
      </c>
      <c r="I59" s="3887">
        <v>168421.05</v>
      </c>
      <c r="J59" s="4074">
        <v>44948</v>
      </c>
      <c r="K59" s="4075"/>
    </row>
    <row r="60" spans="1:15" s="10" customFormat="1" ht="33" customHeight="1">
      <c r="A60" s="801">
        <v>5</v>
      </c>
      <c r="B60" s="4072" t="s">
        <v>3731</v>
      </c>
      <c r="C60" s="4072"/>
      <c r="D60" s="4072" t="s">
        <v>2225</v>
      </c>
      <c r="E60" s="2118" t="s">
        <v>224</v>
      </c>
      <c r="F60" s="1189" t="s">
        <v>2269</v>
      </c>
      <c r="G60" s="4073"/>
      <c r="H60" s="3887">
        <v>-9614128.5199999996</v>
      </c>
      <c r="I60" s="3887">
        <v>9614128.5199999996</v>
      </c>
      <c r="J60" s="4074">
        <v>44950</v>
      </c>
      <c r="K60" s="4075"/>
    </row>
    <row r="61" spans="1:15" s="10" customFormat="1" ht="33" customHeight="1">
      <c r="A61" s="801">
        <v>6</v>
      </c>
      <c r="B61" s="4072" t="s">
        <v>3731</v>
      </c>
      <c r="C61" s="4072"/>
      <c r="D61" s="4072" t="s">
        <v>2224</v>
      </c>
      <c r="E61" s="2118" t="s">
        <v>241</v>
      </c>
      <c r="F61" s="1189" t="s">
        <v>2269</v>
      </c>
      <c r="G61" s="4073"/>
      <c r="H61" s="3887">
        <v>-1198399.55</v>
      </c>
      <c r="I61" s="3887">
        <v>1198399.55</v>
      </c>
      <c r="J61" s="4074">
        <v>44950</v>
      </c>
      <c r="K61" s="4075"/>
    </row>
    <row r="62" spans="1:15" s="10" customFormat="1" ht="33" customHeight="1">
      <c r="A62" s="801">
        <v>7</v>
      </c>
      <c r="B62" s="4072" t="s">
        <v>3731</v>
      </c>
      <c r="C62" s="4072"/>
      <c r="D62" s="4072" t="s">
        <v>2222</v>
      </c>
      <c r="E62" s="2118" t="s">
        <v>225</v>
      </c>
      <c r="F62" s="1189" t="s">
        <v>2269</v>
      </c>
      <c r="G62" s="4073"/>
      <c r="H62" s="3887">
        <v>-9717397.1500000004</v>
      </c>
      <c r="I62" s="3887">
        <v>9717397.1500000004</v>
      </c>
      <c r="J62" s="4074">
        <v>44950</v>
      </c>
      <c r="K62" s="4075"/>
    </row>
    <row r="63" spans="1:15" s="10" customFormat="1" ht="33" customHeight="1">
      <c r="A63" s="801">
        <v>8</v>
      </c>
      <c r="B63" s="4072" t="s">
        <v>3731</v>
      </c>
      <c r="C63" s="4072"/>
      <c r="D63" s="4072" t="s">
        <v>2221</v>
      </c>
      <c r="E63" s="2118" t="s">
        <v>234</v>
      </c>
      <c r="F63" s="1189" t="s">
        <v>2269</v>
      </c>
      <c r="G63" s="4073"/>
      <c r="H63" s="3887">
        <v>-24991549</v>
      </c>
      <c r="I63" s="3887">
        <v>24991549</v>
      </c>
      <c r="J63" s="4074">
        <v>44950</v>
      </c>
      <c r="K63" s="4075"/>
    </row>
    <row r="64" spans="1:15" s="10" customFormat="1" ht="33" customHeight="1">
      <c r="A64" s="801">
        <v>9</v>
      </c>
      <c r="B64" s="4072" t="s">
        <v>3731</v>
      </c>
      <c r="C64" s="4072"/>
      <c r="D64" s="4072" t="s">
        <v>2223</v>
      </c>
      <c r="E64" s="2118" t="s">
        <v>233</v>
      </c>
      <c r="F64" s="1189" t="s">
        <v>2269</v>
      </c>
      <c r="G64" s="4073"/>
      <c r="H64" s="3887">
        <v>-215433940.18000001</v>
      </c>
      <c r="I64" s="3887">
        <v>215433940.18000001</v>
      </c>
      <c r="J64" s="4074">
        <v>44950</v>
      </c>
      <c r="K64" s="4075"/>
    </row>
    <row r="65" spans="1:12" s="10" customFormat="1" ht="49.5" customHeight="1">
      <c r="A65" s="801">
        <v>10</v>
      </c>
      <c r="B65" s="4072" t="s">
        <v>3733</v>
      </c>
      <c r="C65" s="4072"/>
      <c r="D65" s="4072" t="s">
        <v>3732</v>
      </c>
      <c r="E65" s="2118" t="s">
        <v>224</v>
      </c>
      <c r="F65" s="2118" t="s">
        <v>225</v>
      </c>
      <c r="G65" s="4073"/>
      <c r="H65" s="3887">
        <v>-172368.42</v>
      </c>
      <c r="I65" s="3887">
        <v>172368.42</v>
      </c>
      <c r="J65" s="4074">
        <v>44955</v>
      </c>
      <c r="K65" s="4075"/>
    </row>
    <row r="66" spans="1:12" s="10" customFormat="1" ht="33" customHeight="1">
      <c r="A66" s="801">
        <v>11</v>
      </c>
      <c r="B66" s="4072" t="s">
        <v>3734</v>
      </c>
      <c r="C66" s="4072"/>
      <c r="D66" s="4072" t="s">
        <v>2229</v>
      </c>
      <c r="E66" s="2118" t="s">
        <v>223</v>
      </c>
      <c r="F66" s="1189" t="s">
        <v>139</v>
      </c>
      <c r="G66" s="4073"/>
      <c r="H66" s="3887">
        <v>0</v>
      </c>
      <c r="I66" s="4073">
        <v>4870433.67</v>
      </c>
      <c r="J66" s="4074">
        <v>44965</v>
      </c>
      <c r="K66" s="4075"/>
    </row>
    <row r="67" spans="1:12" s="10" customFormat="1" ht="33" customHeight="1">
      <c r="A67" s="801">
        <v>12</v>
      </c>
      <c r="B67" s="4072" t="s">
        <v>3734</v>
      </c>
      <c r="C67" s="4072"/>
      <c r="D67" s="4072" t="s">
        <v>2229</v>
      </c>
      <c r="E67" s="2118" t="s">
        <v>224</v>
      </c>
      <c r="F67" s="1189" t="s">
        <v>139</v>
      </c>
      <c r="G67" s="4073"/>
      <c r="H67" s="3887">
        <v>-8189496.3300000001</v>
      </c>
      <c r="I67" s="3887">
        <v>8189496.3300000001</v>
      </c>
      <c r="J67" s="4074">
        <v>44965</v>
      </c>
      <c r="K67" s="4075"/>
    </row>
    <row r="68" spans="1:12" s="10" customFormat="1" ht="33" customHeight="1">
      <c r="A68" s="801">
        <v>13</v>
      </c>
      <c r="B68" s="4072" t="s">
        <v>3735</v>
      </c>
      <c r="C68" s="4072"/>
      <c r="D68" s="4072" t="s">
        <v>2228</v>
      </c>
      <c r="E68" s="2118" t="s">
        <v>223</v>
      </c>
      <c r="F68" s="1189" t="s">
        <v>134</v>
      </c>
      <c r="G68" s="4073"/>
      <c r="H68" s="3887">
        <v>0</v>
      </c>
      <c r="I68" s="4073">
        <v>106231.5</v>
      </c>
      <c r="J68" s="4074">
        <v>44965</v>
      </c>
      <c r="K68" s="4075"/>
    </row>
    <row r="69" spans="1:12" s="10" customFormat="1" ht="33" customHeight="1">
      <c r="A69" s="801">
        <v>14</v>
      </c>
      <c r="B69" s="4072" t="s">
        <v>3736</v>
      </c>
      <c r="C69" s="4072"/>
      <c r="D69" s="4072" t="s">
        <v>2231</v>
      </c>
      <c r="E69" s="2118" t="s">
        <v>223</v>
      </c>
      <c r="F69" s="1189" t="s">
        <v>85</v>
      </c>
      <c r="G69" s="4073" t="s">
        <v>3938</v>
      </c>
      <c r="H69" s="3887">
        <v>0</v>
      </c>
      <c r="I69" s="4073">
        <f>16000</f>
        <v>16000</v>
      </c>
      <c r="J69" s="4074">
        <v>44971</v>
      </c>
      <c r="K69" s="4075"/>
    </row>
    <row r="70" spans="1:12" s="10" customFormat="1" ht="33" customHeight="1">
      <c r="A70" s="801">
        <v>15</v>
      </c>
      <c r="B70" s="4072" t="s">
        <v>3737</v>
      </c>
      <c r="C70" s="4072"/>
      <c r="D70" s="4072" t="s">
        <v>2231</v>
      </c>
      <c r="E70" s="2118" t="s">
        <v>223</v>
      </c>
      <c r="F70" s="1189" t="s">
        <v>85</v>
      </c>
      <c r="G70" s="4073" t="s">
        <v>3938</v>
      </c>
      <c r="H70" s="3887">
        <v>0</v>
      </c>
      <c r="I70" s="4073">
        <f>351150</f>
        <v>351150</v>
      </c>
      <c r="J70" s="4074">
        <v>44971</v>
      </c>
      <c r="K70" s="4075"/>
    </row>
    <row r="71" spans="1:12" s="10" customFormat="1" ht="33" customHeight="1">
      <c r="A71" s="801">
        <v>16</v>
      </c>
      <c r="B71" s="4072" t="s">
        <v>3738</v>
      </c>
      <c r="C71" s="4072"/>
      <c r="D71" s="4072" t="s">
        <v>2233</v>
      </c>
      <c r="E71" s="2118" t="s">
        <v>2171</v>
      </c>
      <c r="F71" s="1189" t="s">
        <v>176</v>
      </c>
      <c r="G71" s="4073"/>
      <c r="H71" s="3887">
        <v>0</v>
      </c>
      <c r="I71" s="4073">
        <v>834298.55</v>
      </c>
      <c r="J71" s="4074">
        <v>44990</v>
      </c>
      <c r="K71" s="4075"/>
    </row>
    <row r="72" spans="1:12" s="10" customFormat="1" ht="33" customHeight="1">
      <c r="A72" s="801">
        <v>17</v>
      </c>
      <c r="B72" s="4072" t="s">
        <v>3739</v>
      </c>
      <c r="C72" s="4072"/>
      <c r="D72" s="4072" t="s">
        <v>2234</v>
      </c>
      <c r="E72" s="2118" t="s">
        <v>223</v>
      </c>
      <c r="F72" s="1189" t="s">
        <v>2173</v>
      </c>
      <c r="G72" s="4073"/>
      <c r="H72" s="3887">
        <v>0</v>
      </c>
      <c r="I72" s="4073">
        <v>45677.599999999999</v>
      </c>
      <c r="J72" s="4074">
        <v>44986</v>
      </c>
      <c r="K72" s="4075"/>
    </row>
    <row r="73" spans="1:12" s="10" customFormat="1" ht="33" customHeight="1">
      <c r="A73" s="801">
        <v>18</v>
      </c>
      <c r="B73" s="4072" t="s">
        <v>3741</v>
      </c>
      <c r="C73" s="4072"/>
      <c r="D73" s="4072" t="s">
        <v>3740</v>
      </c>
      <c r="E73" s="2118" t="s">
        <v>223</v>
      </c>
      <c r="F73" s="1189" t="s">
        <v>2003</v>
      </c>
      <c r="G73" s="4073"/>
      <c r="H73" s="3887">
        <v>0</v>
      </c>
      <c r="I73" s="4073">
        <v>127291.9</v>
      </c>
      <c r="J73" s="4074">
        <v>45025</v>
      </c>
      <c r="K73" s="4075"/>
    </row>
    <row r="74" spans="1:12" s="10" customFormat="1" ht="33" customHeight="1">
      <c r="A74" s="801">
        <v>19</v>
      </c>
      <c r="B74" s="4072" t="s">
        <v>3742</v>
      </c>
      <c r="C74" s="4072"/>
      <c r="D74" s="4072" t="s">
        <v>2236</v>
      </c>
      <c r="E74" s="2118" t="s">
        <v>223</v>
      </c>
      <c r="F74" s="1189" t="s">
        <v>2237</v>
      </c>
      <c r="G74" s="4073"/>
      <c r="H74" s="3887">
        <v>0</v>
      </c>
      <c r="I74" s="4073">
        <v>2675473</v>
      </c>
      <c r="J74" s="4074">
        <v>45023</v>
      </c>
      <c r="K74" s="4075"/>
    </row>
    <row r="75" spans="1:12" s="10" customFormat="1" ht="33" customHeight="1">
      <c r="A75" s="801">
        <v>20</v>
      </c>
      <c r="B75" s="4072" t="s">
        <v>3743</v>
      </c>
      <c r="C75" s="4072"/>
      <c r="D75" s="4072" t="s">
        <v>2238</v>
      </c>
      <c r="E75" s="2118" t="s">
        <v>223</v>
      </c>
      <c r="F75" s="1189" t="s">
        <v>2239</v>
      </c>
      <c r="G75" s="4073"/>
      <c r="H75" s="3887">
        <v>0</v>
      </c>
      <c r="I75" s="4073">
        <v>4695209</v>
      </c>
      <c r="J75" s="4074">
        <v>45077</v>
      </c>
      <c r="K75" s="4075"/>
    </row>
    <row r="76" spans="1:12" s="10" customFormat="1" ht="33" customHeight="1">
      <c r="A76" s="801">
        <v>21</v>
      </c>
      <c r="B76" s="4072" t="s">
        <v>3744</v>
      </c>
      <c r="C76" s="4072"/>
      <c r="D76" s="4072" t="s">
        <v>2288</v>
      </c>
      <c r="E76" s="2118" t="s">
        <v>147</v>
      </c>
      <c r="F76" s="1189" t="s">
        <v>233</v>
      </c>
      <c r="G76" s="4073" t="s">
        <v>3749</v>
      </c>
      <c r="H76" s="3887">
        <f>-3801279.3</f>
        <v>-3801279.3</v>
      </c>
      <c r="I76" s="3887">
        <f>3801279.3</f>
        <v>3801279.3</v>
      </c>
      <c r="J76" s="4074">
        <v>45146</v>
      </c>
      <c r="K76" s="4075"/>
    </row>
    <row r="77" spans="1:12" s="10" customFormat="1" ht="33" customHeight="1">
      <c r="A77" s="801">
        <v>22</v>
      </c>
      <c r="B77" s="4072" t="s">
        <v>3747</v>
      </c>
      <c r="C77" s="4072"/>
      <c r="D77" s="4072" t="s">
        <v>3745</v>
      </c>
      <c r="E77" s="2118" t="s">
        <v>222</v>
      </c>
      <c r="F77" s="1189" t="s">
        <v>233</v>
      </c>
      <c r="G77" s="4073" t="s">
        <v>3746</v>
      </c>
      <c r="H77" s="3887">
        <v>0</v>
      </c>
      <c r="I77" s="4073">
        <v>93913586.150000006</v>
      </c>
      <c r="J77" s="4074">
        <v>45125</v>
      </c>
      <c r="K77" s="4075"/>
    </row>
    <row r="78" spans="1:12" s="10" customFormat="1" ht="33" customHeight="1">
      <c r="A78" s="801">
        <v>23</v>
      </c>
      <c r="B78" s="4072" t="s">
        <v>3747</v>
      </c>
      <c r="C78" s="4072"/>
      <c r="D78" s="4072" t="s">
        <v>3745</v>
      </c>
      <c r="E78" s="2118" t="s">
        <v>222</v>
      </c>
      <c r="F78" s="1189" t="s">
        <v>234</v>
      </c>
      <c r="G78" s="4073" t="s">
        <v>3746</v>
      </c>
      <c r="H78" s="3887">
        <v>0</v>
      </c>
      <c r="I78" s="4073">
        <v>38306169</v>
      </c>
      <c r="J78" s="4074">
        <v>45125</v>
      </c>
      <c r="K78" s="4075"/>
    </row>
    <row r="79" spans="1:12" s="10" customFormat="1" ht="33" customHeight="1">
      <c r="A79" s="801">
        <v>24</v>
      </c>
      <c r="B79" s="4072" t="s">
        <v>3748</v>
      </c>
      <c r="C79" s="4072"/>
      <c r="D79" s="4072" t="s">
        <v>2295</v>
      </c>
      <c r="E79" s="1189" t="s">
        <v>233</v>
      </c>
      <c r="F79" s="1189" t="s">
        <v>151</v>
      </c>
      <c r="G79" s="4073" t="s">
        <v>3749</v>
      </c>
      <c r="H79" s="3887">
        <f>-13500.11</f>
        <v>-13500.11</v>
      </c>
      <c r="I79" s="3887">
        <f>13500.11</f>
        <v>13500.11</v>
      </c>
      <c r="J79" s="4074">
        <v>45141</v>
      </c>
      <c r="K79" s="4075"/>
      <c r="L79" s="10" t="s">
        <v>1484</v>
      </c>
    </row>
    <row r="80" spans="1:12" s="10" customFormat="1" ht="41.25" customHeight="1">
      <c r="A80" s="801">
        <v>25</v>
      </c>
      <c r="B80" s="4072" t="s">
        <v>3750</v>
      </c>
      <c r="C80" s="4072"/>
      <c r="D80" s="4072" t="s">
        <v>3751</v>
      </c>
      <c r="E80" s="2118" t="s">
        <v>2269</v>
      </c>
      <c r="F80" s="1189" t="s">
        <v>233</v>
      </c>
      <c r="G80" s="4073" t="s">
        <v>3749</v>
      </c>
      <c r="H80" s="3887">
        <f>-11545998.09</f>
        <v>-11545998.09</v>
      </c>
      <c r="I80" s="3887">
        <f>11545998.09</f>
        <v>11545998.09</v>
      </c>
      <c r="J80" s="4074">
        <v>45264</v>
      </c>
      <c r="K80" s="4075"/>
    </row>
    <row r="81" spans="1:12" s="10" customFormat="1" ht="33" customHeight="1">
      <c r="A81" s="801">
        <v>26</v>
      </c>
      <c r="B81" s="4072" t="s">
        <v>3752</v>
      </c>
      <c r="C81" s="4072"/>
      <c r="D81" s="4072" t="s">
        <v>2287</v>
      </c>
      <c r="E81" s="1189" t="s">
        <v>233</v>
      </c>
      <c r="F81" s="1189" t="s">
        <v>85</v>
      </c>
      <c r="G81" s="4073" t="s">
        <v>3749</v>
      </c>
      <c r="H81" s="3887">
        <f>-413183</f>
        <v>-413183</v>
      </c>
      <c r="I81" s="3887">
        <f>413183</f>
        <v>413183</v>
      </c>
      <c r="J81" s="4074">
        <v>45146</v>
      </c>
      <c r="K81" s="4075"/>
      <c r="L81" s="10" t="s">
        <v>1484</v>
      </c>
    </row>
    <row r="82" spans="1:12" s="10" customFormat="1" ht="33" customHeight="1">
      <c r="A82" s="801">
        <v>27</v>
      </c>
      <c r="B82" s="4072" t="s">
        <v>3753</v>
      </c>
      <c r="C82" s="4072"/>
      <c r="D82" s="4072" t="s">
        <v>2293</v>
      </c>
      <c r="E82" s="1189" t="s">
        <v>233</v>
      </c>
      <c r="F82" s="1189" t="s">
        <v>147</v>
      </c>
      <c r="G82" s="4073" t="s">
        <v>3749</v>
      </c>
      <c r="H82" s="3887">
        <f>-70027.76</f>
        <v>-70027.759999999995</v>
      </c>
      <c r="I82" s="3887">
        <f>70027.76</f>
        <v>70027.759999999995</v>
      </c>
      <c r="J82" s="4074">
        <v>45146</v>
      </c>
      <c r="K82" s="4075"/>
    </row>
    <row r="83" spans="1:12" s="10" customFormat="1" ht="33" customHeight="1">
      <c r="A83" s="801">
        <v>28</v>
      </c>
      <c r="B83" s="4072" t="s">
        <v>3754</v>
      </c>
      <c r="C83" s="4072"/>
      <c r="D83" s="4072" t="s">
        <v>2291</v>
      </c>
      <c r="E83" s="1189" t="s">
        <v>233</v>
      </c>
      <c r="F83" s="1189" t="s">
        <v>2269</v>
      </c>
      <c r="G83" s="4073" t="s">
        <v>3749</v>
      </c>
      <c r="H83" s="3887">
        <f>-343524.99</f>
        <v>-343524.99</v>
      </c>
      <c r="I83" s="3887">
        <f>343524.99</f>
        <v>343524.99</v>
      </c>
      <c r="J83" s="4074">
        <v>45146</v>
      </c>
      <c r="K83" s="4075"/>
    </row>
    <row r="84" spans="1:12" s="10" customFormat="1" ht="33" customHeight="1">
      <c r="A84" s="801">
        <v>29</v>
      </c>
      <c r="B84" s="4072" t="s">
        <v>3757</v>
      </c>
      <c r="C84" s="4072"/>
      <c r="D84" s="4072" t="s">
        <v>3755</v>
      </c>
      <c r="E84" s="2118" t="s">
        <v>107</v>
      </c>
      <c r="F84" s="1189" t="s">
        <v>225</v>
      </c>
      <c r="G84" s="4073" t="s">
        <v>3756</v>
      </c>
      <c r="H84" s="3887">
        <f>-89775</f>
        <v>-89775</v>
      </c>
      <c r="I84" s="3887">
        <f>89775</f>
        <v>89775</v>
      </c>
      <c r="J84" s="4074">
        <v>45372</v>
      </c>
      <c r="K84" s="4075"/>
    </row>
    <row r="85" spans="1:12" s="10" customFormat="1" ht="33" customHeight="1">
      <c r="A85" s="801">
        <v>30</v>
      </c>
      <c r="B85" s="4072" t="s">
        <v>3758</v>
      </c>
      <c r="C85" s="4072"/>
      <c r="D85" s="4072" t="s">
        <v>2500</v>
      </c>
      <c r="E85" s="1189" t="s">
        <v>233</v>
      </c>
      <c r="F85" s="1189" t="s">
        <v>151</v>
      </c>
      <c r="G85" s="4073" t="s">
        <v>3749</v>
      </c>
      <c r="H85" s="3887">
        <f>-5737.5</f>
        <v>-5737.5</v>
      </c>
      <c r="I85" s="3887">
        <f>5737.5</f>
        <v>5737.5</v>
      </c>
      <c r="J85" s="4074">
        <v>45180</v>
      </c>
      <c r="K85" s="4075"/>
    </row>
    <row r="86" spans="1:12" s="10" customFormat="1" ht="33" customHeight="1">
      <c r="A86" s="801">
        <v>31</v>
      </c>
      <c r="B86" s="4072" t="s">
        <v>3760</v>
      </c>
      <c r="C86" s="4072"/>
      <c r="D86" s="4072" t="s">
        <v>3759</v>
      </c>
      <c r="E86" s="1189" t="s">
        <v>2269</v>
      </c>
      <c r="F86" s="1189" t="s">
        <v>233</v>
      </c>
      <c r="G86" s="4073" t="s">
        <v>3749</v>
      </c>
      <c r="H86" s="3887">
        <f>-4902500</f>
        <v>-4902500</v>
      </c>
      <c r="I86" s="3887">
        <f>4902500</f>
        <v>4902500</v>
      </c>
      <c r="J86" s="4074">
        <v>45267</v>
      </c>
      <c r="K86" s="4075"/>
    </row>
    <row r="87" spans="1:12" s="10" customFormat="1" ht="33" customHeight="1">
      <c r="A87" s="801">
        <v>32</v>
      </c>
      <c r="B87" s="4072" t="s">
        <v>3761</v>
      </c>
      <c r="C87" s="4072"/>
      <c r="D87" s="4072" t="s">
        <v>2501</v>
      </c>
      <c r="E87" s="1189" t="s">
        <v>233</v>
      </c>
      <c r="F87" s="1189" t="s">
        <v>3762</v>
      </c>
      <c r="G87" s="4073"/>
      <c r="H87" s="3887">
        <v>-302028</v>
      </c>
      <c r="I87" s="4073">
        <v>0</v>
      </c>
      <c r="J87" s="4074">
        <v>45185</v>
      </c>
      <c r="K87" s="4075"/>
    </row>
    <row r="88" spans="1:12" s="10" customFormat="1" ht="33" customHeight="1">
      <c r="A88" s="801">
        <v>33</v>
      </c>
      <c r="B88" s="4072" t="s">
        <v>3764</v>
      </c>
      <c r="C88" s="4072"/>
      <c r="D88" s="4072" t="s">
        <v>3763</v>
      </c>
      <c r="E88" s="1189" t="s">
        <v>233</v>
      </c>
      <c r="F88" s="1189" t="s">
        <v>85</v>
      </c>
      <c r="G88" s="4073" t="s">
        <v>3749</v>
      </c>
      <c r="H88" s="3887">
        <f>-193161.38</f>
        <v>-193161.38</v>
      </c>
      <c r="I88" s="3887">
        <f>193161.38</f>
        <v>193161.38</v>
      </c>
      <c r="J88" s="4074">
        <v>45229</v>
      </c>
      <c r="K88" s="4075"/>
    </row>
    <row r="89" spans="1:12" s="10" customFormat="1" ht="33" customHeight="1">
      <c r="A89" s="801">
        <v>34</v>
      </c>
      <c r="B89" s="4072" t="s">
        <v>3765</v>
      </c>
      <c r="C89" s="4072"/>
      <c r="D89" s="4072" t="s">
        <v>3766</v>
      </c>
      <c r="E89" s="1189" t="s">
        <v>233</v>
      </c>
      <c r="F89" s="1189" t="s">
        <v>2269</v>
      </c>
      <c r="G89" s="4073" t="s">
        <v>3749</v>
      </c>
      <c r="H89" s="3887">
        <f>-2458484</f>
        <v>-2458484</v>
      </c>
      <c r="I89" s="3887">
        <f>2458484</f>
        <v>2458484</v>
      </c>
      <c r="J89" s="4074">
        <v>45223</v>
      </c>
      <c r="K89" s="4075"/>
    </row>
    <row r="90" spans="1:12" s="10" customFormat="1" ht="33" customHeight="1">
      <c r="A90" s="801">
        <v>35</v>
      </c>
      <c r="B90" s="4072" t="s">
        <v>3768</v>
      </c>
      <c r="C90" s="4072"/>
      <c r="D90" s="4072" t="s">
        <v>3767</v>
      </c>
      <c r="E90" s="1189" t="s">
        <v>233</v>
      </c>
      <c r="F90" s="1189" t="s">
        <v>186</v>
      </c>
      <c r="G90" s="4073"/>
      <c r="H90" s="3887">
        <v>-75969227</v>
      </c>
      <c r="I90" s="3887">
        <v>75969227</v>
      </c>
      <c r="J90" s="4074">
        <v>45208</v>
      </c>
      <c r="K90" s="4075"/>
    </row>
    <row r="91" spans="1:12" s="10" customFormat="1" ht="33" customHeight="1">
      <c r="A91" s="801">
        <v>36</v>
      </c>
      <c r="B91" s="4072" t="s">
        <v>3770</v>
      </c>
      <c r="C91" s="4072"/>
      <c r="D91" s="4072" t="s">
        <v>3769</v>
      </c>
      <c r="E91" s="1189" t="s">
        <v>233</v>
      </c>
      <c r="F91" s="1189" t="s">
        <v>85</v>
      </c>
      <c r="G91" s="4073" t="s">
        <v>3749</v>
      </c>
      <c r="H91" s="3887">
        <f>-248219</f>
        <v>-248219</v>
      </c>
      <c r="I91" s="3887">
        <f>248219</f>
        <v>248219</v>
      </c>
      <c r="J91" s="4074">
        <v>45251</v>
      </c>
      <c r="K91" s="4075"/>
    </row>
    <row r="92" spans="1:12" s="10" customFormat="1" ht="33" customHeight="1">
      <c r="A92" s="801">
        <v>37</v>
      </c>
      <c r="B92" s="4072" t="s">
        <v>3771</v>
      </c>
      <c r="C92" s="4072"/>
      <c r="D92" s="4072" t="s">
        <v>3772</v>
      </c>
      <c r="E92" s="1189" t="s">
        <v>2269</v>
      </c>
      <c r="F92" s="1189" t="s">
        <v>233</v>
      </c>
      <c r="G92" s="4073" t="s">
        <v>3749</v>
      </c>
      <c r="H92" s="3887">
        <f>-774075.97</f>
        <v>-774075.97</v>
      </c>
      <c r="I92" s="3887">
        <f>774075.97</f>
        <v>774075.97</v>
      </c>
      <c r="J92" s="4074">
        <v>45284</v>
      </c>
      <c r="K92" s="4075"/>
    </row>
    <row r="93" spans="1:12" s="10" customFormat="1" ht="33" customHeight="1">
      <c r="A93" s="801">
        <v>38</v>
      </c>
      <c r="B93" s="4072" t="s">
        <v>3773</v>
      </c>
      <c r="C93" s="4072"/>
      <c r="D93" s="4072" t="s">
        <v>3774</v>
      </c>
      <c r="E93" s="1189" t="s">
        <v>2269</v>
      </c>
      <c r="F93" s="1189" t="s">
        <v>233</v>
      </c>
      <c r="G93" s="4073" t="s">
        <v>3749</v>
      </c>
      <c r="H93" s="3887">
        <f>-848556</f>
        <v>-848556</v>
      </c>
      <c r="I93" s="3887">
        <f>848556</f>
        <v>848556</v>
      </c>
      <c r="J93" s="4074">
        <v>45287</v>
      </c>
      <c r="K93" s="4075"/>
    </row>
    <row r="94" spans="1:12" s="10" customFormat="1" ht="33" customHeight="1">
      <c r="A94" s="801">
        <v>39</v>
      </c>
      <c r="B94" s="4072" t="s">
        <v>3776</v>
      </c>
      <c r="C94" s="4072"/>
      <c r="D94" s="4072" t="s">
        <v>3775</v>
      </c>
      <c r="E94" s="1189" t="s">
        <v>233</v>
      </c>
      <c r="F94" s="1189" t="s">
        <v>2269</v>
      </c>
      <c r="G94" s="4073" t="s">
        <v>3749</v>
      </c>
      <c r="H94" s="3887">
        <f>-1518989</f>
        <v>-1518989</v>
      </c>
      <c r="I94" s="3887">
        <f>1518989</f>
        <v>1518989</v>
      </c>
      <c r="J94" s="4074">
        <v>45403</v>
      </c>
      <c r="K94" s="4075"/>
    </row>
    <row r="95" spans="1:12" s="10" customFormat="1" ht="48.75" customHeight="1">
      <c r="A95" s="801">
        <v>40</v>
      </c>
      <c r="B95" s="4072" t="s">
        <v>3778</v>
      </c>
      <c r="C95" s="4072"/>
      <c r="D95" s="4072" t="s">
        <v>3777</v>
      </c>
      <c r="E95" s="2118" t="s">
        <v>186</v>
      </c>
      <c r="F95" s="1189" t="s">
        <v>233</v>
      </c>
      <c r="G95" s="4073" t="s">
        <v>3749</v>
      </c>
      <c r="H95" s="3887">
        <f>-486713.1</f>
        <v>-486713.1</v>
      </c>
      <c r="I95" s="3887">
        <f>486713.1</f>
        <v>486713.1</v>
      </c>
      <c r="J95" s="4074">
        <v>45372</v>
      </c>
      <c r="K95" s="4075"/>
    </row>
    <row r="96" spans="1:12" s="10" customFormat="1" ht="33" customHeight="1">
      <c r="A96" s="801">
        <v>41</v>
      </c>
      <c r="B96" s="4072" t="s">
        <v>3780</v>
      </c>
      <c r="C96" s="4072"/>
      <c r="D96" s="4072" t="s">
        <v>3779</v>
      </c>
      <c r="E96" s="1189" t="s">
        <v>233</v>
      </c>
      <c r="F96" s="1189" t="s">
        <v>2269</v>
      </c>
      <c r="G96" s="4073" t="s">
        <v>3749</v>
      </c>
      <c r="H96" s="3887">
        <f>-452337.15</f>
        <v>-452337.15</v>
      </c>
      <c r="I96" s="3887">
        <f>452337.15</f>
        <v>452337.15</v>
      </c>
      <c r="J96" s="4074">
        <v>45342</v>
      </c>
      <c r="K96" s="4075"/>
    </row>
    <row r="97" spans="1:12" s="10" customFormat="1" ht="33" customHeight="1">
      <c r="A97" s="801">
        <v>42</v>
      </c>
      <c r="B97" s="4072" t="s">
        <v>3782</v>
      </c>
      <c r="C97" s="4072"/>
      <c r="D97" s="4072" t="s">
        <v>3781</v>
      </c>
      <c r="E97" s="2118" t="s">
        <v>186</v>
      </c>
      <c r="F97" s="1189" t="s">
        <v>233</v>
      </c>
      <c r="G97" s="4073" t="s">
        <v>3749</v>
      </c>
      <c r="H97" s="3887">
        <f>-212913.4</f>
        <v>-212913.4</v>
      </c>
      <c r="I97" s="3887">
        <f>212913.4</f>
        <v>212913.4</v>
      </c>
      <c r="J97" s="4074">
        <v>45372</v>
      </c>
      <c r="K97" s="4075"/>
    </row>
    <row r="98" spans="1:12" s="10" customFormat="1" ht="33" customHeight="1">
      <c r="A98" s="801">
        <v>43</v>
      </c>
      <c r="B98" s="4072" t="s">
        <v>3784</v>
      </c>
      <c r="C98" s="4072"/>
      <c r="D98" s="4072" t="s">
        <v>3783</v>
      </c>
      <c r="E98" s="1189" t="s">
        <v>233</v>
      </c>
      <c r="F98" s="1189" t="s">
        <v>2269</v>
      </c>
      <c r="G98" s="4073" t="s">
        <v>3749</v>
      </c>
      <c r="H98" s="3887">
        <f>-56240.63</f>
        <v>-56240.63</v>
      </c>
      <c r="I98" s="3887">
        <f>56240.63</f>
        <v>56240.63</v>
      </c>
      <c r="J98" s="4074">
        <v>45342</v>
      </c>
      <c r="K98" s="4075"/>
    </row>
    <row r="99" spans="1:12" s="10" customFormat="1" ht="33" customHeight="1">
      <c r="A99" s="801">
        <v>44</v>
      </c>
      <c r="B99" s="4072" t="s">
        <v>3786</v>
      </c>
      <c r="C99" s="4072"/>
      <c r="D99" s="4072" t="s">
        <v>3785</v>
      </c>
      <c r="E99" s="2118" t="s">
        <v>139</v>
      </c>
      <c r="F99" s="1189" t="s">
        <v>224</v>
      </c>
      <c r="G99" s="4073" t="s">
        <v>3749</v>
      </c>
      <c r="H99" s="3887">
        <f>-977022.8</f>
        <v>-977022.8</v>
      </c>
      <c r="I99" s="3887">
        <f>977022.8</f>
        <v>977022.8</v>
      </c>
      <c r="J99" s="4074">
        <v>45368</v>
      </c>
      <c r="K99" s="4075"/>
    </row>
    <row r="100" spans="1:12" s="10" customFormat="1" ht="33" customHeight="1">
      <c r="A100" s="801">
        <v>45</v>
      </c>
      <c r="B100" s="4072" t="s">
        <v>2727</v>
      </c>
      <c r="C100" s="4072"/>
      <c r="D100" s="4072" t="s">
        <v>3787</v>
      </c>
      <c r="E100" s="1189" t="s">
        <v>233</v>
      </c>
      <c r="F100" s="1189" t="s">
        <v>2725</v>
      </c>
      <c r="G100" s="4073"/>
      <c r="H100" s="3887">
        <v>-29899670.550000001</v>
      </c>
      <c r="I100" s="3887">
        <v>29899670.550000001</v>
      </c>
      <c r="J100" s="4074">
        <v>45377</v>
      </c>
      <c r="K100" s="4075"/>
    </row>
    <row r="101" spans="1:12" s="10" customFormat="1" ht="33" customHeight="1">
      <c r="A101" s="801">
        <v>46</v>
      </c>
      <c r="B101" s="4072" t="s">
        <v>3788</v>
      </c>
      <c r="C101" s="4072"/>
      <c r="D101" s="4072" t="s">
        <v>3789</v>
      </c>
      <c r="E101" s="1189" t="s">
        <v>2269</v>
      </c>
      <c r="F101" s="1189" t="s">
        <v>233</v>
      </c>
      <c r="G101" s="4073" t="s">
        <v>3749</v>
      </c>
      <c r="H101" s="3887">
        <f>-139212.69</f>
        <v>-139212.69</v>
      </c>
      <c r="I101" s="3887">
        <f>139212.69</f>
        <v>139212.69</v>
      </c>
      <c r="J101" s="4074">
        <v>45404</v>
      </c>
      <c r="K101" s="4075"/>
    </row>
    <row r="102" spans="1:12" s="10" customFormat="1" ht="33" customHeight="1">
      <c r="A102" s="801">
        <v>47</v>
      </c>
      <c r="B102" s="4072" t="s">
        <v>3791</v>
      </c>
      <c r="C102" s="4072"/>
      <c r="D102" s="4072" t="s">
        <v>3790</v>
      </c>
      <c r="E102" s="2118" t="s">
        <v>176</v>
      </c>
      <c r="F102" s="1189" t="s">
        <v>233</v>
      </c>
      <c r="G102" s="4073" t="s">
        <v>3749</v>
      </c>
      <c r="H102" s="3887">
        <f>-15000</f>
        <v>-15000</v>
      </c>
      <c r="I102" s="3887">
        <f>15000</f>
        <v>15000</v>
      </c>
      <c r="J102" s="4074">
        <v>45425</v>
      </c>
      <c r="K102" s="4075"/>
    </row>
    <row r="103" spans="1:12" s="10" customFormat="1" ht="33" customHeight="1">
      <c r="A103" s="801">
        <v>48</v>
      </c>
      <c r="B103" s="4072" t="s">
        <v>3793</v>
      </c>
      <c r="C103" s="4072"/>
      <c r="D103" s="4072" t="s">
        <v>3792</v>
      </c>
      <c r="E103" s="1189" t="s">
        <v>2269</v>
      </c>
      <c r="F103" s="1189" t="s">
        <v>233</v>
      </c>
      <c r="G103" s="4073" t="s">
        <v>3749</v>
      </c>
      <c r="H103" s="3887">
        <f>-4062831</f>
        <v>-4062831</v>
      </c>
      <c r="I103" s="3887">
        <f>4062831</f>
        <v>4062831</v>
      </c>
      <c r="J103" s="4074">
        <v>45448</v>
      </c>
      <c r="K103" s="4075"/>
    </row>
    <row r="104" spans="1:12" s="10" customFormat="1" ht="33" customHeight="1">
      <c r="A104" s="801">
        <v>49</v>
      </c>
      <c r="B104" s="4072" t="s">
        <v>3794</v>
      </c>
      <c r="C104" s="4072"/>
      <c r="D104" s="4072" t="s">
        <v>3795</v>
      </c>
      <c r="E104" s="1189" t="s">
        <v>233</v>
      </c>
      <c r="F104" s="1189" t="s">
        <v>2269</v>
      </c>
      <c r="G104" s="4073" t="s">
        <v>3749</v>
      </c>
      <c r="H104" s="3887">
        <f>-2765566</f>
        <v>-2765566</v>
      </c>
      <c r="I104" s="3887">
        <f>2765566</f>
        <v>2765566</v>
      </c>
      <c r="J104" s="4074">
        <v>45449</v>
      </c>
      <c r="K104" s="4075"/>
    </row>
    <row r="105" spans="1:12" s="10" customFormat="1" ht="40.5" customHeight="1">
      <c r="A105" s="801">
        <v>50</v>
      </c>
      <c r="B105" s="4072" t="s">
        <v>3797</v>
      </c>
      <c r="C105" s="4072"/>
      <c r="D105" s="4072" t="s">
        <v>3796</v>
      </c>
      <c r="E105" s="1189" t="s">
        <v>2269</v>
      </c>
      <c r="F105" s="1189" t="s">
        <v>233</v>
      </c>
      <c r="G105" s="4073" t="s">
        <v>3749</v>
      </c>
      <c r="H105" s="3887">
        <f>-56240.63</f>
        <v>-56240.63</v>
      </c>
      <c r="I105" s="3887">
        <f>56240.63</f>
        <v>56240.63</v>
      </c>
      <c r="J105" s="4074">
        <v>45473</v>
      </c>
      <c r="K105" s="4075"/>
    </row>
    <row r="106" spans="1:12" s="10" customFormat="1" ht="42" customHeight="1">
      <c r="A106" s="801">
        <v>51</v>
      </c>
      <c r="B106" s="4072" t="s">
        <v>3799</v>
      </c>
      <c r="C106" s="4072"/>
      <c r="D106" s="4072" t="s">
        <v>3798</v>
      </c>
      <c r="E106" s="1189" t="s">
        <v>2269</v>
      </c>
      <c r="F106" s="1189" t="s">
        <v>233</v>
      </c>
      <c r="G106" s="4073" t="s">
        <v>3749</v>
      </c>
      <c r="H106" s="3887">
        <f>-452337.15</f>
        <v>-452337.15</v>
      </c>
      <c r="I106" s="3887">
        <f>452337.15</f>
        <v>452337.15</v>
      </c>
      <c r="J106" s="4074">
        <v>45473</v>
      </c>
      <c r="K106" s="4075"/>
    </row>
    <row r="107" spans="1:12" s="10" customFormat="1" ht="43.5" customHeight="1">
      <c r="A107" s="801">
        <v>52</v>
      </c>
      <c r="B107" s="4072" t="s">
        <v>3800</v>
      </c>
      <c r="C107" s="4072"/>
      <c r="D107" s="4072" t="s">
        <v>3801</v>
      </c>
      <c r="E107" s="1189" t="s">
        <v>233</v>
      </c>
      <c r="F107" s="1189" t="s">
        <v>186</v>
      </c>
      <c r="G107" s="4073" t="s">
        <v>3749</v>
      </c>
      <c r="H107" s="3887">
        <f>-131832.8</f>
        <v>-131832.79999999999</v>
      </c>
      <c r="I107" s="3887">
        <f>131832.8</f>
        <v>131832.79999999999</v>
      </c>
      <c r="J107" s="4074">
        <v>45449</v>
      </c>
      <c r="K107" s="4075"/>
    </row>
    <row r="108" spans="1:12" s="10" customFormat="1" ht="33" customHeight="1">
      <c r="A108" s="801">
        <v>53</v>
      </c>
      <c r="B108" s="4072" t="s">
        <v>3803</v>
      </c>
      <c r="C108" s="4072"/>
      <c r="D108" s="4072" t="s">
        <v>3802</v>
      </c>
      <c r="E108" s="2118" t="s">
        <v>234</v>
      </c>
      <c r="F108" s="1189" t="s">
        <v>197</v>
      </c>
      <c r="G108" s="4073"/>
      <c r="H108" s="3887">
        <v>-52736.47</v>
      </c>
      <c r="I108" s="3887">
        <v>52736.47</v>
      </c>
      <c r="J108" s="4074">
        <v>45473</v>
      </c>
      <c r="K108" s="4075"/>
    </row>
    <row r="109" spans="1:12" s="10" customFormat="1" ht="33" customHeight="1">
      <c r="A109" s="801">
        <v>54</v>
      </c>
      <c r="B109" s="4072" t="s">
        <v>3805</v>
      </c>
      <c r="C109" s="4072"/>
      <c r="D109" s="4072" t="s">
        <v>3804</v>
      </c>
      <c r="E109" s="2118" t="s">
        <v>234</v>
      </c>
      <c r="F109" s="1189" t="s">
        <v>197</v>
      </c>
      <c r="G109" s="4073"/>
      <c r="H109" s="3887">
        <v>-1054729.4099999999</v>
      </c>
      <c r="I109" s="3887">
        <v>1054729.4099999999</v>
      </c>
      <c r="J109" s="4074">
        <v>45473</v>
      </c>
      <c r="K109" s="4075"/>
    </row>
    <row r="110" spans="1:12" s="10" customFormat="1" ht="50.25" customHeight="1">
      <c r="A110" s="801">
        <v>55</v>
      </c>
      <c r="B110" s="4072" t="s">
        <v>3806</v>
      </c>
      <c r="C110" s="4072"/>
      <c r="D110" s="4072" t="s">
        <v>3807</v>
      </c>
      <c r="E110" s="1189" t="s">
        <v>197</v>
      </c>
      <c r="F110" s="1189" t="s">
        <v>197</v>
      </c>
      <c r="G110" s="4073" t="s">
        <v>3808</v>
      </c>
      <c r="H110" s="3887">
        <f>-256729.41*0</f>
        <v>0</v>
      </c>
      <c r="I110" s="3887">
        <f>256729.41*0</f>
        <v>0</v>
      </c>
      <c r="J110" s="4074">
        <v>45487</v>
      </c>
      <c r="K110" s="4075"/>
    </row>
    <row r="111" spans="1:12" s="10" customFormat="1" ht="51.75" customHeight="1">
      <c r="A111" s="801">
        <v>56</v>
      </c>
      <c r="B111" s="4072" t="s">
        <v>3809</v>
      </c>
      <c r="C111" s="4072"/>
      <c r="D111" s="4072" t="s">
        <v>3810</v>
      </c>
      <c r="E111" s="1189" t="s">
        <v>233</v>
      </c>
      <c r="F111" s="1189" t="s">
        <v>186</v>
      </c>
      <c r="G111" s="4073" t="s">
        <v>3749</v>
      </c>
      <c r="H111" s="3887">
        <f>-699626.5</f>
        <v>-699626.5</v>
      </c>
      <c r="I111" s="3887">
        <f>699626.5</f>
        <v>699626.5</v>
      </c>
      <c r="J111" s="4074">
        <v>45321</v>
      </c>
      <c r="K111" s="4075"/>
    </row>
    <row r="112" spans="1:12" s="10" customFormat="1" ht="33" customHeight="1">
      <c r="A112" s="801">
        <v>57</v>
      </c>
      <c r="B112" s="4072" t="s">
        <v>3812</v>
      </c>
      <c r="C112" s="4072"/>
      <c r="D112" s="4072" t="s">
        <v>3811</v>
      </c>
      <c r="E112" s="2118" t="s">
        <v>234</v>
      </c>
      <c r="F112" s="1189" t="s">
        <v>197</v>
      </c>
      <c r="G112" s="4073" t="s">
        <v>335</v>
      </c>
      <c r="H112" s="3887">
        <v>-37198703.119999997</v>
      </c>
      <c r="I112" s="3887">
        <v>37198703.119999997</v>
      </c>
      <c r="J112" s="4074">
        <v>45496</v>
      </c>
      <c r="K112" s="4075"/>
      <c r="L112" s="4230">
        <f>+I112+I113</f>
        <v>37584647.559999995</v>
      </c>
    </row>
    <row r="113" spans="1:12" s="10" customFormat="1" ht="33" customHeight="1">
      <c r="A113" s="801">
        <v>58</v>
      </c>
      <c r="B113" s="4072" t="s">
        <v>3812</v>
      </c>
      <c r="C113" s="4072"/>
      <c r="D113" s="4072" t="s">
        <v>3813</v>
      </c>
      <c r="E113" s="1189" t="s">
        <v>233</v>
      </c>
      <c r="F113" s="1189" t="s">
        <v>197</v>
      </c>
      <c r="G113" s="4073" t="s">
        <v>3749</v>
      </c>
      <c r="H113" s="3887">
        <f>-385944.44</f>
        <v>-385944.44</v>
      </c>
      <c r="I113" s="3887">
        <f>385944.44</f>
        <v>385944.44</v>
      </c>
      <c r="J113" s="4074">
        <v>45496</v>
      </c>
      <c r="K113" s="4075"/>
    </row>
    <row r="114" spans="1:12" s="10" customFormat="1" ht="55.5" customHeight="1">
      <c r="A114" s="801">
        <v>59</v>
      </c>
      <c r="B114" s="4072" t="s">
        <v>3815</v>
      </c>
      <c r="C114" s="4072"/>
      <c r="D114" s="4072" t="s">
        <v>3814</v>
      </c>
      <c r="E114" s="1189" t="s">
        <v>2269</v>
      </c>
      <c r="F114" s="1189" t="s">
        <v>233</v>
      </c>
      <c r="G114" s="4073" t="s">
        <v>3749</v>
      </c>
      <c r="H114" s="3887">
        <f>-12334.95</f>
        <v>-12334.95</v>
      </c>
      <c r="I114" s="3887">
        <f>12334.95</f>
        <v>12334.95</v>
      </c>
      <c r="J114" s="4074">
        <v>45501</v>
      </c>
      <c r="K114" s="4075"/>
    </row>
    <row r="115" spans="1:12" s="10" customFormat="1" ht="53.25" customHeight="1">
      <c r="A115" s="801">
        <v>60</v>
      </c>
      <c r="B115" s="4072" t="s">
        <v>3817</v>
      </c>
      <c r="C115" s="4072"/>
      <c r="D115" s="4072" t="s">
        <v>3816</v>
      </c>
      <c r="E115" s="1189" t="s">
        <v>233</v>
      </c>
      <c r="F115" s="1189" t="s">
        <v>186</v>
      </c>
      <c r="G115" s="4073" t="s">
        <v>3749</v>
      </c>
      <c r="H115" s="3887">
        <f>-1021958</f>
        <v>-1021958</v>
      </c>
      <c r="I115" s="3887">
        <f>1021958</f>
        <v>1021958</v>
      </c>
      <c r="J115" s="4074">
        <v>45501</v>
      </c>
      <c r="K115" s="4075"/>
    </row>
    <row r="116" spans="1:12" s="10" customFormat="1" ht="33" customHeight="1">
      <c r="A116" s="801">
        <v>61</v>
      </c>
      <c r="B116" s="4072" t="s">
        <v>3819</v>
      </c>
      <c r="C116" s="4072"/>
      <c r="D116" s="4072" t="s">
        <v>3818</v>
      </c>
      <c r="E116" s="2118" t="s">
        <v>128</v>
      </c>
      <c r="F116" s="1189" t="s">
        <v>225</v>
      </c>
      <c r="G116" s="4073" t="s">
        <v>3749</v>
      </c>
      <c r="H116" s="3887">
        <f>-1898.52</f>
        <v>-1898.52</v>
      </c>
      <c r="I116" s="3887">
        <f>1898.52</f>
        <v>1898.52</v>
      </c>
      <c r="J116" s="4074">
        <v>45518</v>
      </c>
      <c r="K116" s="4075"/>
    </row>
    <row r="117" spans="1:12" s="10" customFormat="1" ht="33" customHeight="1">
      <c r="A117" s="801">
        <v>62</v>
      </c>
      <c r="B117" s="4072" t="s">
        <v>3821</v>
      </c>
      <c r="C117" s="4072"/>
      <c r="D117" s="4072" t="s">
        <v>3820</v>
      </c>
      <c r="E117" s="2118" t="s">
        <v>225</v>
      </c>
      <c r="F117" s="1189" t="s">
        <v>85</v>
      </c>
      <c r="G117" s="4073" t="s">
        <v>3749</v>
      </c>
      <c r="H117" s="3887">
        <f>-89775</f>
        <v>-89775</v>
      </c>
      <c r="I117" s="3887">
        <f>89775</f>
        <v>89775</v>
      </c>
      <c r="J117" s="4074">
        <v>45518</v>
      </c>
      <c r="K117" s="4075"/>
    </row>
    <row r="118" spans="1:12" s="10" customFormat="1" ht="33" customHeight="1">
      <c r="A118" s="801">
        <v>63</v>
      </c>
      <c r="B118" s="4072" t="s">
        <v>3823</v>
      </c>
      <c r="C118" s="4072"/>
      <c r="D118" s="4072" t="s">
        <v>3822</v>
      </c>
      <c r="E118" s="2118" t="s">
        <v>224</v>
      </c>
      <c r="F118" s="1189" t="s">
        <v>85</v>
      </c>
      <c r="G118" s="4073" t="s">
        <v>3749</v>
      </c>
      <c r="H118" s="3887">
        <f>-75000</f>
        <v>-75000</v>
      </c>
      <c r="I118" s="3887">
        <f>75000</f>
        <v>75000</v>
      </c>
      <c r="J118" s="4074">
        <v>45518</v>
      </c>
      <c r="K118" s="4075"/>
    </row>
    <row r="119" spans="1:12" s="10" customFormat="1" ht="33" customHeight="1">
      <c r="A119" s="801">
        <v>64</v>
      </c>
      <c r="B119" s="4072" t="s">
        <v>3824</v>
      </c>
      <c r="C119" s="4072"/>
      <c r="D119" s="4072" t="s">
        <v>3825</v>
      </c>
      <c r="E119" s="2118" t="s">
        <v>225</v>
      </c>
      <c r="F119" s="1189" t="s">
        <v>85</v>
      </c>
      <c r="G119" s="4073" t="s">
        <v>3749</v>
      </c>
      <c r="H119" s="3887">
        <f>-75000</f>
        <v>-75000</v>
      </c>
      <c r="I119" s="3887">
        <f>75000</f>
        <v>75000</v>
      </c>
      <c r="J119" s="4074">
        <v>45518</v>
      </c>
      <c r="K119" s="4075"/>
    </row>
    <row r="120" spans="1:12" s="10" customFormat="1" ht="33" customHeight="1">
      <c r="A120" s="801">
        <v>65</v>
      </c>
      <c r="B120" s="4072" t="s">
        <v>3834</v>
      </c>
      <c r="C120" s="4072"/>
      <c r="D120" s="4072" t="s">
        <v>3826</v>
      </c>
      <c r="E120" s="1189" t="s">
        <v>233</v>
      </c>
      <c r="F120" s="1189" t="s">
        <v>2269</v>
      </c>
      <c r="G120" s="4073" t="s">
        <v>3749</v>
      </c>
      <c r="H120" s="3887">
        <f>-3013648.7</f>
        <v>-3013648.7</v>
      </c>
      <c r="I120" s="3887">
        <f>3013648.7</f>
        <v>3013648.7</v>
      </c>
      <c r="J120" s="4074">
        <v>45518</v>
      </c>
      <c r="K120" s="4075"/>
    </row>
    <row r="121" spans="1:12" s="10" customFormat="1" ht="33" customHeight="1">
      <c r="A121" s="801">
        <v>66</v>
      </c>
      <c r="B121" s="4072" t="s">
        <v>3828</v>
      </c>
      <c r="C121" s="4072"/>
      <c r="D121" s="4072" t="s">
        <v>3827</v>
      </c>
      <c r="E121" s="1189" t="s">
        <v>233</v>
      </c>
      <c r="F121" s="1189" t="s">
        <v>85</v>
      </c>
      <c r="G121" s="4073" t="s">
        <v>3749</v>
      </c>
      <c r="H121" s="3887">
        <f>-229813</f>
        <v>-229813</v>
      </c>
      <c r="I121" s="3887">
        <f>229813</f>
        <v>229813</v>
      </c>
      <c r="J121" s="4074">
        <v>45518</v>
      </c>
      <c r="K121" s="4075"/>
    </row>
    <row r="122" spans="1:12" s="10" customFormat="1" ht="33" customHeight="1">
      <c r="A122" s="801">
        <v>67</v>
      </c>
      <c r="B122" s="4072" t="s">
        <v>3829</v>
      </c>
      <c r="C122" s="4072"/>
      <c r="D122" s="4072" t="s">
        <v>3830</v>
      </c>
      <c r="E122" s="2118" t="s">
        <v>224</v>
      </c>
      <c r="F122" s="1189" t="s">
        <v>2815</v>
      </c>
      <c r="G122" s="4073"/>
      <c r="H122" s="3887">
        <v>-182184.38</v>
      </c>
      <c r="I122" s="3887">
        <v>182184.38</v>
      </c>
      <c r="J122" s="4074">
        <v>45518</v>
      </c>
      <c r="K122" s="4075"/>
    </row>
    <row r="123" spans="1:12" s="10" customFormat="1" ht="33" customHeight="1">
      <c r="A123" s="801">
        <v>68</v>
      </c>
      <c r="B123" s="4072" t="s">
        <v>3835</v>
      </c>
      <c r="C123" s="4072"/>
      <c r="D123" s="4072" t="s">
        <v>3831</v>
      </c>
      <c r="E123" s="2118" t="s">
        <v>224</v>
      </c>
      <c r="F123" s="1189" t="s">
        <v>85</v>
      </c>
      <c r="G123" s="4073" t="s">
        <v>3749</v>
      </c>
      <c r="H123" s="3887">
        <f>-75000</f>
        <v>-75000</v>
      </c>
      <c r="I123" s="4073">
        <f>75000</f>
        <v>75000</v>
      </c>
      <c r="J123" s="4074">
        <v>45518</v>
      </c>
      <c r="K123" s="4075"/>
    </row>
    <row r="124" spans="1:12" s="10" customFormat="1" ht="33" customHeight="1">
      <c r="A124" s="801">
        <v>69</v>
      </c>
      <c r="B124" s="4072" t="s">
        <v>3824</v>
      </c>
      <c r="C124" s="4072"/>
      <c r="D124" s="4072" t="s">
        <v>3832</v>
      </c>
      <c r="E124" s="2118" t="s">
        <v>224</v>
      </c>
      <c r="F124" s="1189" t="s">
        <v>225</v>
      </c>
      <c r="G124" s="4073"/>
      <c r="H124" s="3887">
        <v>-75000</v>
      </c>
      <c r="I124" s="4073">
        <v>75000</v>
      </c>
      <c r="J124" s="4074">
        <v>45526</v>
      </c>
      <c r="K124" s="4075"/>
    </row>
    <row r="125" spans="1:12" s="10" customFormat="1" ht="33" customHeight="1">
      <c r="A125" s="801">
        <v>70</v>
      </c>
      <c r="B125" s="4072" t="s">
        <v>3836</v>
      </c>
      <c r="C125" s="4072"/>
      <c r="D125" s="4072" t="s">
        <v>3833</v>
      </c>
      <c r="E125" s="1189" t="s">
        <v>233</v>
      </c>
      <c r="F125" s="1189" t="s">
        <v>186</v>
      </c>
      <c r="G125" s="4073" t="s">
        <v>3749</v>
      </c>
      <c r="H125" s="3887">
        <f>-72215.12</f>
        <v>-72215.12</v>
      </c>
      <c r="I125" s="3887">
        <f>72215.12</f>
        <v>72215.12</v>
      </c>
      <c r="J125" s="4074">
        <v>45526</v>
      </c>
      <c r="K125" s="4075"/>
    </row>
    <row r="126" spans="1:12" s="10" customFormat="1" ht="33" customHeight="1">
      <c r="A126" s="801">
        <v>71</v>
      </c>
      <c r="B126" s="4072" t="s">
        <v>3838</v>
      </c>
      <c r="C126" s="4072"/>
      <c r="D126" s="4072" t="s">
        <v>3837</v>
      </c>
      <c r="E126" s="1189" t="s">
        <v>233</v>
      </c>
      <c r="F126" s="1189" t="s">
        <v>2269</v>
      </c>
      <c r="G126" s="4073" t="s">
        <v>3749</v>
      </c>
      <c r="H126" s="3887">
        <f>-140560.76</f>
        <v>-140560.76</v>
      </c>
      <c r="I126" s="3887">
        <f>140560.76</f>
        <v>140560.76</v>
      </c>
      <c r="J126" s="4074">
        <v>45526</v>
      </c>
      <c r="K126" s="4075"/>
    </row>
    <row r="127" spans="1:12" s="10" customFormat="1" ht="33" customHeight="1">
      <c r="A127" s="4286">
        <v>72</v>
      </c>
      <c r="B127" s="4274" t="s">
        <v>3840</v>
      </c>
      <c r="C127" s="4274"/>
      <c r="D127" s="4274" t="s">
        <v>3839</v>
      </c>
      <c r="E127" s="4275" t="s">
        <v>2269</v>
      </c>
      <c r="F127" s="4275" t="s">
        <v>233</v>
      </c>
      <c r="G127" s="4276" t="s">
        <v>3749</v>
      </c>
      <c r="H127" s="4273">
        <f>-10807729.2</f>
        <v>-10807729.199999999</v>
      </c>
      <c r="I127" s="4273">
        <f>10807729.2</f>
        <v>10807729.199999999</v>
      </c>
      <c r="J127" s="4277">
        <v>45526</v>
      </c>
      <c r="K127" s="4075"/>
      <c r="L127" s="4511" t="s">
        <v>5177</v>
      </c>
    </row>
    <row r="128" spans="1:12" s="10" customFormat="1" ht="33" customHeight="1">
      <c r="A128" s="801">
        <v>73</v>
      </c>
      <c r="B128" s="4072" t="s">
        <v>3842</v>
      </c>
      <c r="C128" s="4072"/>
      <c r="D128" s="4072" t="s">
        <v>3841</v>
      </c>
      <c r="E128" s="1189" t="s">
        <v>233</v>
      </c>
      <c r="F128" s="1189" t="s">
        <v>2964</v>
      </c>
      <c r="G128" s="4073"/>
      <c r="H128" s="3887">
        <v>-471500</v>
      </c>
      <c r="I128" s="3887">
        <v>471500</v>
      </c>
      <c r="J128" s="4074">
        <v>45545</v>
      </c>
      <c r="K128" s="4075"/>
    </row>
    <row r="129" spans="1:11" s="10" customFormat="1" ht="33" customHeight="1">
      <c r="A129" s="801">
        <v>74</v>
      </c>
      <c r="B129" s="4072" t="s">
        <v>3843</v>
      </c>
      <c r="C129" s="4072"/>
      <c r="D129" s="4072" t="s">
        <v>3844</v>
      </c>
      <c r="E129" s="1189" t="s">
        <v>233</v>
      </c>
      <c r="F129" s="1189" t="s">
        <v>2964</v>
      </c>
      <c r="G129" s="4073"/>
      <c r="H129" s="3887">
        <v>-1935000</v>
      </c>
      <c r="I129" s="3887">
        <v>1935000</v>
      </c>
      <c r="J129" s="4074">
        <v>45546</v>
      </c>
      <c r="K129" s="4075"/>
    </row>
    <row r="130" spans="1:11" s="10" customFormat="1" ht="33" customHeight="1">
      <c r="A130" s="801">
        <v>75</v>
      </c>
      <c r="B130" s="4072" t="s">
        <v>3846</v>
      </c>
      <c r="C130" s="4072"/>
      <c r="D130" s="4072" t="s">
        <v>3845</v>
      </c>
      <c r="E130" s="2118" t="s">
        <v>186</v>
      </c>
      <c r="F130" s="1189" t="s">
        <v>233</v>
      </c>
      <c r="G130" s="4073" t="s">
        <v>3749</v>
      </c>
      <c r="H130" s="3887">
        <f>-122736.16</f>
        <v>-122736.16</v>
      </c>
      <c r="I130" s="3887">
        <f>122736.16</f>
        <v>122736.16</v>
      </c>
      <c r="J130" s="4074">
        <v>45538</v>
      </c>
      <c r="K130" s="4075"/>
    </row>
    <row r="131" spans="1:11" s="10" customFormat="1" ht="33" customHeight="1">
      <c r="A131" s="801">
        <v>76</v>
      </c>
      <c r="B131" s="4072" t="s">
        <v>3847</v>
      </c>
      <c r="C131" s="4072"/>
      <c r="D131" s="4072" t="s">
        <v>3848</v>
      </c>
      <c r="E131" s="1189" t="s">
        <v>233</v>
      </c>
      <c r="F131" s="2118" t="s">
        <v>186</v>
      </c>
      <c r="G131" s="4073" t="s">
        <v>3749</v>
      </c>
      <c r="H131" s="3887">
        <f>-288500</f>
        <v>-288500</v>
      </c>
      <c r="I131" s="3887">
        <f>288500</f>
        <v>288500</v>
      </c>
      <c r="J131" s="4074">
        <v>45538</v>
      </c>
      <c r="K131" s="4075"/>
    </row>
    <row r="132" spans="1:11" s="10" customFormat="1" ht="33" customHeight="1">
      <c r="A132" s="801">
        <v>77</v>
      </c>
      <c r="B132" s="4072" t="s">
        <v>3849</v>
      </c>
      <c r="C132" s="4072"/>
      <c r="D132" s="4072" t="s">
        <v>3850</v>
      </c>
      <c r="E132" s="1189" t="s">
        <v>233</v>
      </c>
      <c r="F132" s="1189" t="s">
        <v>2269</v>
      </c>
      <c r="G132" s="4073" t="s">
        <v>3749</v>
      </c>
      <c r="H132" s="3887">
        <f>-29262.77</f>
        <v>-29262.77</v>
      </c>
      <c r="I132" s="3887">
        <f>29262.77</f>
        <v>29262.77</v>
      </c>
      <c r="J132" s="4074">
        <v>45538</v>
      </c>
      <c r="K132" s="4075"/>
    </row>
    <row r="133" spans="1:11" s="10" customFormat="1" ht="33" customHeight="1">
      <c r="A133" s="801">
        <v>78</v>
      </c>
      <c r="B133" s="4072" t="s">
        <v>3851</v>
      </c>
      <c r="C133" s="4072"/>
      <c r="D133" s="4072" t="s">
        <v>3852</v>
      </c>
      <c r="E133" s="2118" t="s">
        <v>186</v>
      </c>
      <c r="F133" s="1189" t="s">
        <v>233</v>
      </c>
      <c r="G133" s="4073" t="s">
        <v>3749</v>
      </c>
      <c r="H133" s="3887">
        <f>-1300549.5</f>
        <v>-1300549.5</v>
      </c>
      <c r="I133" s="3887">
        <f>1300549.5</f>
        <v>1300549.5</v>
      </c>
      <c r="J133" s="4074">
        <v>45545</v>
      </c>
      <c r="K133" s="4075"/>
    </row>
    <row r="134" spans="1:11" s="10" customFormat="1" ht="33" customHeight="1">
      <c r="A134" s="801">
        <v>79</v>
      </c>
      <c r="B134" s="4072" t="s">
        <v>3854</v>
      </c>
      <c r="C134" s="4072"/>
      <c r="D134" s="4072" t="s">
        <v>3853</v>
      </c>
      <c r="E134" s="1189" t="s">
        <v>233</v>
      </c>
      <c r="F134" s="1189" t="s">
        <v>151</v>
      </c>
      <c r="G134" s="4073" t="s">
        <v>3749</v>
      </c>
      <c r="H134" s="3887">
        <f>-5094.38*0</f>
        <v>0</v>
      </c>
      <c r="I134" s="3887">
        <f>5094.38*0</f>
        <v>0</v>
      </c>
      <c r="J134" s="4074">
        <v>45155</v>
      </c>
      <c r="K134" s="4075"/>
    </row>
    <row r="135" spans="1:11" s="10" customFormat="1" ht="33" customHeight="1">
      <c r="A135" s="801">
        <v>80</v>
      </c>
      <c r="B135" s="4072" t="s">
        <v>3855</v>
      </c>
      <c r="C135" s="4072"/>
      <c r="D135" s="4072" t="s">
        <v>3856</v>
      </c>
      <c r="E135" s="2118" t="s">
        <v>151</v>
      </c>
      <c r="F135" s="1189" t="s">
        <v>233</v>
      </c>
      <c r="G135" s="4073" t="s">
        <v>3749</v>
      </c>
      <c r="H135" s="3887">
        <f>-643.12</f>
        <v>-643.12</v>
      </c>
      <c r="I135" s="4073">
        <f>643.12</f>
        <v>643.12</v>
      </c>
      <c r="J135" s="4074">
        <v>45566</v>
      </c>
      <c r="K135" s="4075"/>
    </row>
    <row r="136" spans="1:11" s="10" customFormat="1" ht="33" customHeight="1">
      <c r="A136" s="801">
        <v>81</v>
      </c>
      <c r="B136" s="4072" t="s">
        <v>3857</v>
      </c>
      <c r="C136" s="4072"/>
      <c r="D136" s="4072" t="s">
        <v>3858</v>
      </c>
      <c r="E136" s="2118" t="s">
        <v>233</v>
      </c>
      <c r="F136" s="1189" t="s">
        <v>85</v>
      </c>
      <c r="G136" s="4073" t="s">
        <v>3749</v>
      </c>
      <c r="H136" s="3887">
        <f>-130350</f>
        <v>-130350</v>
      </c>
      <c r="I136" s="3887">
        <f>130350</f>
        <v>130350</v>
      </c>
      <c r="J136" s="4074">
        <v>45578</v>
      </c>
      <c r="K136" s="4075"/>
    </row>
    <row r="137" spans="1:11" s="10" customFormat="1" ht="33" customHeight="1">
      <c r="A137" s="801">
        <v>82</v>
      </c>
      <c r="B137" s="4072" t="s">
        <v>3860</v>
      </c>
      <c r="C137" s="4072"/>
      <c r="D137" s="4072" t="s">
        <v>3859</v>
      </c>
      <c r="E137" s="2118" t="s">
        <v>233</v>
      </c>
      <c r="F137" s="1189" t="s">
        <v>147</v>
      </c>
      <c r="G137" s="4073" t="s">
        <v>3749</v>
      </c>
      <c r="H137" s="3887">
        <f>-1491099.05</f>
        <v>-1491099.05</v>
      </c>
      <c r="I137" s="3887">
        <f>1491099.05</f>
        <v>1491099.05</v>
      </c>
      <c r="J137" s="4074">
        <v>45578</v>
      </c>
      <c r="K137" s="4075"/>
    </row>
    <row r="138" spans="1:11" s="10" customFormat="1" ht="33" customHeight="1">
      <c r="A138" s="801">
        <v>83</v>
      </c>
      <c r="B138" s="4072" t="s">
        <v>3875</v>
      </c>
      <c r="C138" s="4072"/>
      <c r="D138" s="4072" t="s">
        <v>3861</v>
      </c>
      <c r="E138" s="2118" t="s">
        <v>233</v>
      </c>
      <c r="F138" s="1189" t="s">
        <v>3204</v>
      </c>
      <c r="G138" s="4073"/>
      <c r="H138" s="3887">
        <v>-4004000</v>
      </c>
      <c r="I138" s="3887">
        <v>4004000</v>
      </c>
      <c r="J138" s="4074">
        <v>45588</v>
      </c>
      <c r="K138" s="4075"/>
    </row>
    <row r="139" spans="1:11" s="10" customFormat="1" ht="33" customHeight="1">
      <c r="A139" s="801">
        <v>84</v>
      </c>
      <c r="B139" s="4072" t="s">
        <v>3862</v>
      </c>
      <c r="C139" s="4072"/>
      <c r="D139" s="4072" t="s">
        <v>3863</v>
      </c>
      <c r="E139" s="1189" t="s">
        <v>2269</v>
      </c>
      <c r="F139" s="2118" t="s">
        <v>233</v>
      </c>
      <c r="G139" s="4073" t="s">
        <v>3749</v>
      </c>
      <c r="H139" s="3887">
        <f>-1828.5</f>
        <v>-1828.5</v>
      </c>
      <c r="I139" s="3887">
        <f>1828.5</f>
        <v>1828.5</v>
      </c>
      <c r="J139" s="4074">
        <v>45588</v>
      </c>
      <c r="K139" s="4075"/>
    </row>
    <row r="140" spans="1:11" s="10" customFormat="1" ht="33" customHeight="1">
      <c r="A140" s="801">
        <v>85</v>
      </c>
      <c r="B140" s="4072" t="s">
        <v>3864</v>
      </c>
      <c r="C140" s="4072"/>
      <c r="D140" s="4072" t="s">
        <v>3865</v>
      </c>
      <c r="E140" s="2118" t="s">
        <v>233</v>
      </c>
      <c r="F140" s="1189" t="s">
        <v>2269</v>
      </c>
      <c r="G140" s="4073" t="s">
        <v>3749</v>
      </c>
      <c r="H140" s="3887">
        <f>-110148.64</f>
        <v>-110148.64</v>
      </c>
      <c r="I140" s="3887">
        <f>110148.64</f>
        <v>110148.64</v>
      </c>
      <c r="J140" s="4074">
        <v>45594</v>
      </c>
      <c r="K140" s="4075"/>
    </row>
    <row r="141" spans="1:11" s="10" customFormat="1" ht="33" customHeight="1">
      <c r="A141" s="801">
        <v>86</v>
      </c>
      <c r="B141" s="4072" t="s">
        <v>3866</v>
      </c>
      <c r="C141" s="4072"/>
      <c r="D141" s="4072" t="s">
        <v>3867</v>
      </c>
      <c r="E141" s="1189" t="s">
        <v>2269</v>
      </c>
      <c r="F141" s="1189" t="s">
        <v>233</v>
      </c>
      <c r="G141" s="4073" t="s">
        <v>3749</v>
      </c>
      <c r="H141" s="3887">
        <f>-349595.15</f>
        <v>-349595.15</v>
      </c>
      <c r="I141" s="3887">
        <f>349595.15</f>
        <v>349595.15</v>
      </c>
      <c r="J141" s="4074">
        <v>45594</v>
      </c>
      <c r="K141" s="4075"/>
    </row>
    <row r="142" spans="1:11" s="10" customFormat="1" ht="33" customHeight="1">
      <c r="A142" s="801">
        <v>87</v>
      </c>
      <c r="B142" s="4072" t="s">
        <v>3869</v>
      </c>
      <c r="C142" s="4072"/>
      <c r="D142" s="4072" t="s">
        <v>3868</v>
      </c>
      <c r="E142" s="2118" t="s">
        <v>233</v>
      </c>
      <c r="F142" s="1189" t="s">
        <v>2269</v>
      </c>
      <c r="G142" s="4073" t="s">
        <v>3749</v>
      </c>
      <c r="H142" s="3887">
        <f>-1240669</f>
        <v>-1240669</v>
      </c>
      <c r="I142" s="3887">
        <f>1240669</f>
        <v>1240669</v>
      </c>
      <c r="J142" s="4074">
        <v>45608</v>
      </c>
      <c r="K142" s="4075"/>
    </row>
    <row r="143" spans="1:11" s="10" customFormat="1" ht="33" customHeight="1">
      <c r="A143" s="801">
        <v>88</v>
      </c>
      <c r="B143" s="4072" t="s">
        <v>3871</v>
      </c>
      <c r="C143" s="4072"/>
      <c r="D143" s="4072" t="s">
        <v>3870</v>
      </c>
      <c r="E143" s="2118" t="s">
        <v>85</v>
      </c>
      <c r="F143" s="1189" t="s">
        <v>225</v>
      </c>
      <c r="G143" s="4073" t="s">
        <v>3749</v>
      </c>
      <c r="H143" s="3887">
        <f>-339994.38</f>
        <v>-339994.38</v>
      </c>
      <c r="I143" s="3887">
        <f>339994.38</f>
        <v>339994.38</v>
      </c>
      <c r="J143" s="4074">
        <v>45608</v>
      </c>
      <c r="K143" s="4075"/>
    </row>
    <row r="144" spans="1:11" s="10" customFormat="1" ht="33" customHeight="1">
      <c r="A144" s="801">
        <v>89</v>
      </c>
      <c r="B144" s="4072" t="s">
        <v>3873</v>
      </c>
      <c r="C144" s="4072"/>
      <c r="D144" s="4072" t="s">
        <v>3872</v>
      </c>
      <c r="E144" s="2118" t="s">
        <v>186</v>
      </c>
      <c r="F144" s="1189" t="s">
        <v>233</v>
      </c>
      <c r="G144" s="4073" t="s">
        <v>3749</v>
      </c>
      <c r="H144" s="3887">
        <f>-251277.89</f>
        <v>-251277.89</v>
      </c>
      <c r="I144" s="3887">
        <f>251277.89</f>
        <v>251277.89</v>
      </c>
      <c r="J144" s="4074">
        <v>45608</v>
      </c>
      <c r="K144" s="4075"/>
    </row>
    <row r="145" spans="1:12" s="10" customFormat="1" ht="33" customHeight="1">
      <c r="A145" s="801">
        <v>90</v>
      </c>
      <c r="B145" s="4072" t="s">
        <v>3214</v>
      </c>
      <c r="C145" s="4072"/>
      <c r="D145" s="4072" t="s">
        <v>3874</v>
      </c>
      <c r="E145" s="2118" t="s">
        <v>233</v>
      </c>
      <c r="F145" s="1189" t="s">
        <v>3206</v>
      </c>
      <c r="G145" s="4073"/>
      <c r="H145" s="3887">
        <v>-1078892.27</v>
      </c>
      <c r="I145" s="3887">
        <v>1078892.27</v>
      </c>
      <c r="J145" s="4074">
        <v>45608</v>
      </c>
      <c r="K145" s="4075"/>
    </row>
    <row r="146" spans="1:12" s="10" customFormat="1" ht="33" customHeight="1">
      <c r="A146" s="801">
        <v>91</v>
      </c>
      <c r="B146" s="4072" t="s">
        <v>3877</v>
      </c>
      <c r="C146" s="4072"/>
      <c r="D146" s="4072" t="s">
        <v>3876</v>
      </c>
      <c r="E146" s="2118" t="s">
        <v>85</v>
      </c>
      <c r="F146" s="1189" t="s">
        <v>225</v>
      </c>
      <c r="G146" s="4073" t="s">
        <v>3749</v>
      </c>
      <c r="H146" s="3887">
        <f>-5901</f>
        <v>-5901</v>
      </c>
      <c r="I146" s="3887">
        <f>5901</f>
        <v>5901</v>
      </c>
      <c r="J146" s="4074">
        <v>45610</v>
      </c>
      <c r="K146" s="4075"/>
    </row>
    <row r="147" spans="1:12" s="10" customFormat="1" ht="41.25" customHeight="1">
      <c r="A147" s="801">
        <v>92</v>
      </c>
      <c r="B147" s="4072" t="s">
        <v>3879</v>
      </c>
      <c r="C147" s="4072"/>
      <c r="D147" s="4072" t="s">
        <v>3878</v>
      </c>
      <c r="E147" s="1189" t="s">
        <v>2269</v>
      </c>
      <c r="F147" s="1189" t="s">
        <v>233</v>
      </c>
      <c r="G147" s="4073" t="s">
        <v>3749</v>
      </c>
      <c r="H147" s="3887">
        <f>-23125000</f>
        <v>-23125000</v>
      </c>
      <c r="I147" s="3887">
        <f>23125000</f>
        <v>23125000</v>
      </c>
      <c r="J147" s="4074">
        <v>45620</v>
      </c>
      <c r="K147" s="4075"/>
    </row>
    <row r="148" spans="1:12" s="10" customFormat="1" ht="33" customHeight="1">
      <c r="A148" s="801">
        <v>93</v>
      </c>
      <c r="B148" s="4072" t="s">
        <v>3881</v>
      </c>
      <c r="C148" s="4072"/>
      <c r="D148" s="4072" t="s">
        <v>3880</v>
      </c>
      <c r="E148" s="2118" t="s">
        <v>151</v>
      </c>
      <c r="F148" s="1189" t="s">
        <v>233</v>
      </c>
      <c r="G148" s="4073" t="s">
        <v>3749</v>
      </c>
      <c r="H148" s="3887">
        <f>-509.48</f>
        <v>-509.48</v>
      </c>
      <c r="I148" s="3887">
        <f>509.48</f>
        <v>509.48</v>
      </c>
      <c r="J148" s="4074">
        <v>45622</v>
      </c>
      <c r="K148" s="4075"/>
    </row>
    <row r="149" spans="1:12" s="10" customFormat="1" ht="33" customHeight="1">
      <c r="A149" s="801">
        <v>94</v>
      </c>
      <c r="B149" s="4072" t="s">
        <v>3882</v>
      </c>
      <c r="C149" s="4072"/>
      <c r="D149" s="4072" t="s">
        <v>3883</v>
      </c>
      <c r="E149" s="2118" t="s">
        <v>225</v>
      </c>
      <c r="F149" s="1189" t="s">
        <v>85</v>
      </c>
      <c r="G149" s="4073" t="s">
        <v>3749</v>
      </c>
      <c r="H149" s="3887">
        <f>-73361.38</f>
        <v>-73361.38</v>
      </c>
      <c r="I149" s="3887">
        <f>73361.38</f>
        <v>73361.38</v>
      </c>
      <c r="J149" s="4074">
        <v>45635</v>
      </c>
      <c r="K149" s="4075"/>
    </row>
    <row r="150" spans="1:12" s="10" customFormat="1" ht="33" customHeight="1">
      <c r="A150" s="801">
        <v>95</v>
      </c>
      <c r="B150" s="4072" t="s">
        <v>3884</v>
      </c>
      <c r="C150" s="4072"/>
      <c r="D150" s="4072" t="s">
        <v>3885</v>
      </c>
      <c r="E150" s="2118" t="s">
        <v>186</v>
      </c>
      <c r="F150" s="1189" t="s">
        <v>233</v>
      </c>
      <c r="G150" s="4073" t="s">
        <v>3749</v>
      </c>
      <c r="H150" s="3887">
        <f>-535044.11</f>
        <v>-535044.11</v>
      </c>
      <c r="I150" s="3887">
        <f>535044.11</f>
        <v>535044.11</v>
      </c>
      <c r="J150" s="4074">
        <v>45637</v>
      </c>
      <c r="K150" s="4075"/>
    </row>
    <row r="151" spans="1:12" s="10" customFormat="1" ht="33" customHeight="1">
      <c r="A151" s="801">
        <v>96</v>
      </c>
      <c r="B151" s="4072" t="s">
        <v>3887</v>
      </c>
      <c r="C151" s="4072"/>
      <c r="D151" s="4072" t="s">
        <v>3886</v>
      </c>
      <c r="E151" s="2118" t="s">
        <v>225</v>
      </c>
      <c r="F151" s="1189" t="s">
        <v>85</v>
      </c>
      <c r="G151" s="4073" t="s">
        <v>3749</v>
      </c>
      <c r="H151" s="3887">
        <f>-163131</f>
        <v>-163131</v>
      </c>
      <c r="I151" s="3887">
        <f>163131</f>
        <v>163131</v>
      </c>
      <c r="J151" s="4074">
        <v>45650</v>
      </c>
      <c r="K151" s="4075"/>
    </row>
    <row r="152" spans="1:12" s="10" customFormat="1" ht="33" customHeight="1">
      <c r="A152" s="801">
        <v>97</v>
      </c>
      <c r="B152" s="4072" t="s">
        <v>3889</v>
      </c>
      <c r="C152" s="4072"/>
      <c r="D152" s="4072" t="s">
        <v>3888</v>
      </c>
      <c r="E152" s="2118" t="s">
        <v>186</v>
      </c>
      <c r="F152" s="1189" t="s">
        <v>233</v>
      </c>
      <c r="G152" s="4073" t="s">
        <v>3749</v>
      </c>
      <c r="H152" s="3887">
        <f>-684238.31</f>
        <v>-684238.31</v>
      </c>
      <c r="I152" s="3887">
        <f>684238.31</f>
        <v>684238.31</v>
      </c>
      <c r="J152" s="4074">
        <v>45650</v>
      </c>
      <c r="K152" s="4075"/>
    </row>
    <row r="153" spans="1:12" s="10" customFormat="1" ht="33" customHeight="1">
      <c r="A153" s="801">
        <v>98</v>
      </c>
      <c r="B153" s="4072" t="s">
        <v>3890</v>
      </c>
      <c r="C153" s="4072"/>
      <c r="D153" s="4072" t="s">
        <v>3891</v>
      </c>
      <c r="E153" s="2118" t="s">
        <v>233</v>
      </c>
      <c r="F153" s="1189" t="s">
        <v>2237</v>
      </c>
      <c r="G153" s="4073" t="s">
        <v>3749</v>
      </c>
      <c r="H153" s="3887">
        <f>-123400</f>
        <v>-123400</v>
      </c>
      <c r="I153" s="3887">
        <f>123400</f>
        <v>123400</v>
      </c>
      <c r="J153" s="4074">
        <v>45671</v>
      </c>
      <c r="K153" s="4075"/>
      <c r="L153" s="10" t="s">
        <v>571</v>
      </c>
    </row>
    <row r="154" spans="1:12" s="10" customFormat="1" ht="33" customHeight="1">
      <c r="A154" s="801">
        <v>99</v>
      </c>
      <c r="B154" s="4072" t="s">
        <v>3413</v>
      </c>
      <c r="C154" s="4072"/>
      <c r="D154" s="4072" t="s">
        <v>3892</v>
      </c>
      <c r="E154" s="2118" t="s">
        <v>233</v>
      </c>
      <c r="F154" s="1189" t="s">
        <v>3205</v>
      </c>
      <c r="G154" s="4073"/>
      <c r="H154" s="3887">
        <v>-23125000</v>
      </c>
      <c r="I154" s="3887">
        <v>23125000</v>
      </c>
      <c r="J154" s="4074">
        <v>45663</v>
      </c>
      <c r="K154" s="4075"/>
    </row>
    <row r="155" spans="1:12" s="10" customFormat="1" ht="33" customHeight="1">
      <c r="A155" s="801">
        <v>100</v>
      </c>
      <c r="B155" s="4072" t="s">
        <v>3894</v>
      </c>
      <c r="C155" s="4072"/>
      <c r="D155" s="4072" t="s">
        <v>3893</v>
      </c>
      <c r="E155" s="2118" t="s">
        <v>233</v>
      </c>
      <c r="F155" s="1189" t="s">
        <v>186</v>
      </c>
      <c r="G155" s="4073" t="s">
        <v>3749</v>
      </c>
      <c r="H155" s="3887">
        <f>-370875</f>
        <v>-370875</v>
      </c>
      <c r="I155" s="3887">
        <f>370875</f>
        <v>370875</v>
      </c>
      <c r="J155" s="4074">
        <v>45663</v>
      </c>
      <c r="K155" s="4075"/>
      <c r="L155" s="10" t="s">
        <v>5349</v>
      </c>
    </row>
    <row r="156" spans="1:12" s="10" customFormat="1" ht="33" customHeight="1">
      <c r="A156" s="801">
        <v>101</v>
      </c>
      <c r="B156" s="4072" t="s">
        <v>3896</v>
      </c>
      <c r="C156" s="4072"/>
      <c r="D156" s="4072" t="s">
        <v>3895</v>
      </c>
      <c r="E156" s="2118" t="s">
        <v>2269</v>
      </c>
      <c r="F156" s="1189" t="s">
        <v>233</v>
      </c>
      <c r="G156" s="4073" t="s">
        <v>3749</v>
      </c>
      <c r="H156" s="3887">
        <f>-1457002.08</f>
        <v>-1457002.08</v>
      </c>
      <c r="I156" s="3887">
        <f>1457002.08</f>
        <v>1457002.08</v>
      </c>
      <c r="J156" s="4074">
        <v>45663</v>
      </c>
      <c r="K156" s="4075"/>
      <c r="L156" s="10" t="s">
        <v>5350</v>
      </c>
    </row>
    <row r="157" spans="1:12" s="10" customFormat="1" ht="33" customHeight="1">
      <c r="A157" s="801">
        <v>102</v>
      </c>
      <c r="B157" s="4072" t="s">
        <v>3898</v>
      </c>
      <c r="C157" s="4072"/>
      <c r="D157" s="4072" t="s">
        <v>3897</v>
      </c>
      <c r="E157" s="2118" t="s">
        <v>233</v>
      </c>
      <c r="F157" s="1189" t="s">
        <v>3608</v>
      </c>
      <c r="G157" s="4073"/>
      <c r="H157" s="3887">
        <v>-63223</v>
      </c>
      <c r="I157" s="3887">
        <v>63223</v>
      </c>
      <c r="J157" s="4074">
        <v>45671</v>
      </c>
      <c r="K157" s="4075"/>
    </row>
    <row r="158" spans="1:12" s="10" customFormat="1" ht="65.25" customHeight="1">
      <c r="A158" s="801">
        <v>103</v>
      </c>
      <c r="B158" s="4072" t="s">
        <v>3899</v>
      </c>
      <c r="C158" s="4072"/>
      <c r="D158" s="4072" t="s">
        <v>3900</v>
      </c>
      <c r="E158" s="2118" t="s">
        <v>3695</v>
      </c>
      <c r="F158" s="1189" t="s">
        <v>233</v>
      </c>
      <c r="G158" s="4073" t="s">
        <v>3746</v>
      </c>
      <c r="H158" s="3887">
        <v>0</v>
      </c>
      <c r="I158" s="4073">
        <v>26351961</v>
      </c>
      <c r="J158" s="4074">
        <v>45677</v>
      </c>
      <c r="K158" s="4075"/>
      <c r="L158" s="4230">
        <f>+I158+I159</f>
        <v>26781117</v>
      </c>
    </row>
    <row r="159" spans="1:12" s="10" customFormat="1" ht="66.75" customHeight="1">
      <c r="A159" s="801">
        <v>104</v>
      </c>
      <c r="B159" s="4072" t="s">
        <v>3899</v>
      </c>
      <c r="C159" s="4072"/>
      <c r="D159" s="4072" t="s">
        <v>3900</v>
      </c>
      <c r="E159" s="2118" t="s">
        <v>3695</v>
      </c>
      <c r="F159" s="1189" t="s">
        <v>234</v>
      </c>
      <c r="G159" s="4073" t="s">
        <v>3746</v>
      </c>
      <c r="H159" s="3887">
        <v>0</v>
      </c>
      <c r="I159" s="4073">
        <v>429156</v>
      </c>
      <c r="J159" s="4074">
        <v>45677</v>
      </c>
      <c r="K159" s="4075"/>
    </row>
    <row r="160" spans="1:12" s="10" customFormat="1" ht="33" customHeight="1">
      <c r="A160" s="801">
        <v>105</v>
      </c>
      <c r="B160" s="4072" t="s">
        <v>3901</v>
      </c>
      <c r="C160" s="4072"/>
      <c r="D160" s="4072" t="s">
        <v>3902</v>
      </c>
      <c r="E160" s="2118" t="s">
        <v>233</v>
      </c>
      <c r="F160" s="1189" t="s">
        <v>3217</v>
      </c>
      <c r="G160" s="4073"/>
      <c r="H160" s="3887">
        <v>-7129950</v>
      </c>
      <c r="I160" s="3887">
        <v>7129950</v>
      </c>
      <c r="J160" s="4074">
        <v>45679</v>
      </c>
      <c r="K160" s="4075"/>
    </row>
    <row r="161" spans="1:12" s="10" customFormat="1" ht="33" customHeight="1">
      <c r="A161" s="801">
        <v>106</v>
      </c>
      <c r="B161" s="4072" t="s">
        <v>3904</v>
      </c>
      <c r="C161" s="4072"/>
      <c r="D161" s="4072" t="s">
        <v>3903</v>
      </c>
      <c r="E161" s="2118" t="s">
        <v>225</v>
      </c>
      <c r="F161" s="1189" t="s">
        <v>3691</v>
      </c>
      <c r="G161" s="4073"/>
      <c r="H161" s="3887">
        <v>-54000</v>
      </c>
      <c r="I161" s="3887">
        <v>54000</v>
      </c>
      <c r="J161" s="4074">
        <v>45707</v>
      </c>
      <c r="K161" s="4075"/>
    </row>
    <row r="162" spans="1:12" s="10" customFormat="1" ht="33" customHeight="1">
      <c r="A162" s="801">
        <v>107</v>
      </c>
      <c r="B162" s="4072" t="s">
        <v>3906</v>
      </c>
      <c r="C162" s="4072"/>
      <c r="D162" s="4072" t="s">
        <v>3905</v>
      </c>
      <c r="E162" s="2118" t="s">
        <v>233</v>
      </c>
      <c r="F162" s="1189" t="s">
        <v>3205</v>
      </c>
      <c r="G162" s="4073" t="s">
        <v>3749</v>
      </c>
      <c r="H162" s="3887">
        <f>-31270936</f>
        <v>-31270936</v>
      </c>
      <c r="I162" s="3887">
        <f>31270936</f>
        <v>31270936</v>
      </c>
      <c r="J162" s="4074">
        <v>45752</v>
      </c>
      <c r="K162" s="4075"/>
      <c r="L162" s="10" t="s">
        <v>5350</v>
      </c>
    </row>
    <row r="163" spans="1:12" s="10" customFormat="1" ht="33" customHeight="1">
      <c r="A163" s="801">
        <v>108</v>
      </c>
      <c r="B163" s="4072" t="s">
        <v>3907</v>
      </c>
      <c r="C163" s="4072"/>
      <c r="D163" s="4072" t="s">
        <v>3908</v>
      </c>
      <c r="E163" s="2118" t="s">
        <v>233</v>
      </c>
      <c r="F163" s="1189" t="s">
        <v>186</v>
      </c>
      <c r="G163" s="4073" t="s">
        <v>3749</v>
      </c>
      <c r="H163" s="3887">
        <f>-320955</f>
        <v>-320955</v>
      </c>
      <c r="I163" s="3887">
        <f>320955</f>
        <v>320955</v>
      </c>
      <c r="J163" s="4074">
        <v>45713</v>
      </c>
      <c r="K163" s="4075"/>
      <c r="L163" s="10" t="s">
        <v>5350</v>
      </c>
    </row>
    <row r="164" spans="1:12" s="10" customFormat="1" ht="33" customHeight="1">
      <c r="A164" s="801">
        <v>109</v>
      </c>
      <c r="B164" s="4072" t="s">
        <v>3909</v>
      </c>
      <c r="C164" s="4072"/>
      <c r="D164" s="4072" t="s">
        <v>3910</v>
      </c>
      <c r="E164" s="2118" t="s">
        <v>2269</v>
      </c>
      <c r="F164" s="1189" t="s">
        <v>233</v>
      </c>
      <c r="G164" s="4073" t="s">
        <v>3749</v>
      </c>
      <c r="H164" s="3887">
        <f>-51035.34</f>
        <v>-51035.34</v>
      </c>
      <c r="I164" s="3887">
        <f>51035.34</f>
        <v>51035.34</v>
      </c>
      <c r="J164" s="4074">
        <v>45704</v>
      </c>
      <c r="K164" s="4075"/>
    </row>
    <row r="165" spans="1:12" s="10" customFormat="1" ht="33" customHeight="1">
      <c r="A165" s="801">
        <v>110</v>
      </c>
      <c r="B165" s="4072" t="s">
        <v>3912</v>
      </c>
      <c r="C165" s="4072"/>
      <c r="D165" s="4072" t="s">
        <v>3911</v>
      </c>
      <c r="E165" s="2118" t="s">
        <v>233</v>
      </c>
      <c r="F165" s="1189" t="s">
        <v>3599</v>
      </c>
      <c r="G165" s="4073"/>
      <c r="H165" s="3887">
        <v>-7850127.9699999997</v>
      </c>
      <c r="I165" s="3887">
        <v>7850127.9699999997</v>
      </c>
      <c r="J165" s="4074">
        <v>45732</v>
      </c>
      <c r="K165" s="4075"/>
    </row>
    <row r="166" spans="1:12" s="10" customFormat="1" ht="33" customHeight="1">
      <c r="A166" s="801">
        <v>111</v>
      </c>
      <c r="B166" s="4072" t="s">
        <v>3913</v>
      </c>
      <c r="C166" s="4072"/>
      <c r="D166" s="4072" t="s">
        <v>3914</v>
      </c>
      <c r="E166" s="2118" t="s">
        <v>233</v>
      </c>
      <c r="F166" s="1189" t="s">
        <v>3206</v>
      </c>
      <c r="G166" s="4073" t="s">
        <v>3749</v>
      </c>
      <c r="H166" s="3887">
        <f>-249727.67</f>
        <v>-249727.67</v>
      </c>
      <c r="I166" s="3887">
        <f>249727.67</f>
        <v>249727.67</v>
      </c>
      <c r="J166" s="4074">
        <v>45712</v>
      </c>
      <c r="K166" s="4075"/>
      <c r="L166" s="10" t="s">
        <v>5350</v>
      </c>
    </row>
    <row r="167" spans="1:12" s="10" customFormat="1" ht="33" customHeight="1">
      <c r="A167" s="801">
        <v>112</v>
      </c>
      <c r="B167" s="4072" t="s">
        <v>3916</v>
      </c>
      <c r="C167" s="4072"/>
      <c r="D167" s="4072" t="s">
        <v>3915</v>
      </c>
      <c r="E167" s="2118" t="s">
        <v>186</v>
      </c>
      <c r="F167" s="1189" t="s">
        <v>233</v>
      </c>
      <c r="G167" s="4073" t="s">
        <v>3749</v>
      </c>
      <c r="H167" s="3887">
        <f>-111777.24</f>
        <v>-111777.24</v>
      </c>
      <c r="I167" s="3887">
        <f>111777.24</f>
        <v>111777.24</v>
      </c>
      <c r="J167" s="4074">
        <v>45732</v>
      </c>
      <c r="K167" s="4075"/>
    </row>
    <row r="168" spans="1:12" s="10" customFormat="1" ht="33" customHeight="1">
      <c r="A168" s="801">
        <v>113</v>
      </c>
      <c r="B168" s="4072" t="s">
        <v>3918</v>
      </c>
      <c r="C168" s="4072"/>
      <c r="D168" s="4072" t="s">
        <v>3917</v>
      </c>
      <c r="E168" s="2118" t="s">
        <v>233</v>
      </c>
      <c r="F168" s="1189" t="s">
        <v>3204</v>
      </c>
      <c r="G168" s="4073" t="s">
        <v>3749</v>
      </c>
      <c r="H168" s="3887">
        <f>-13737620</f>
        <v>-13737620</v>
      </c>
      <c r="I168" s="3887">
        <f>13737620</f>
        <v>13737620</v>
      </c>
      <c r="J168" s="4074">
        <v>45732</v>
      </c>
      <c r="K168" s="4075"/>
      <c r="L168" s="10" t="s">
        <v>5350</v>
      </c>
    </row>
    <row r="169" spans="1:12" s="10" customFormat="1" ht="33" customHeight="1">
      <c r="A169" s="801">
        <v>114</v>
      </c>
      <c r="B169" s="4072" t="s">
        <v>3919</v>
      </c>
      <c r="C169" s="4072"/>
      <c r="D169" s="4072" t="s">
        <v>3920</v>
      </c>
      <c r="E169" s="2118" t="s">
        <v>2269</v>
      </c>
      <c r="F169" s="1189" t="s">
        <v>233</v>
      </c>
      <c r="G169" s="4073" t="s">
        <v>3749</v>
      </c>
      <c r="H169" s="3887">
        <f>-360</f>
        <v>-360</v>
      </c>
      <c r="I169" s="3887">
        <f>360</f>
        <v>360</v>
      </c>
      <c r="J169" s="4074">
        <v>45752</v>
      </c>
      <c r="K169" s="4075"/>
    </row>
    <row r="170" spans="1:12" s="10" customFormat="1" ht="33" customHeight="1">
      <c r="A170" s="801">
        <v>115</v>
      </c>
      <c r="B170" s="4072" t="s">
        <v>3921</v>
      </c>
      <c r="C170" s="4072"/>
      <c r="D170" s="4072" t="s">
        <v>3922</v>
      </c>
      <c r="E170" s="2118" t="s">
        <v>3923</v>
      </c>
      <c r="F170" s="1189" t="s">
        <v>233</v>
      </c>
      <c r="G170" s="4073" t="s">
        <v>3746</v>
      </c>
      <c r="H170" s="3887">
        <v>0</v>
      </c>
      <c r="I170" s="4073">
        <v>40000000</v>
      </c>
      <c r="J170" s="4074">
        <v>45735</v>
      </c>
      <c r="K170" s="4075"/>
    </row>
    <row r="171" spans="1:12" s="10" customFormat="1" ht="33" customHeight="1">
      <c r="A171" s="801">
        <v>116</v>
      </c>
      <c r="B171" s="4072" t="s">
        <v>3926</v>
      </c>
      <c r="C171" s="4072"/>
      <c r="D171" s="4072" t="s">
        <v>3924</v>
      </c>
      <c r="E171" s="2118" t="s">
        <v>3691</v>
      </c>
      <c r="F171" s="2118" t="s">
        <v>3691</v>
      </c>
      <c r="G171" s="4073" t="s">
        <v>3925</v>
      </c>
      <c r="H171" s="3887">
        <f>-54000*0</f>
        <v>0</v>
      </c>
      <c r="I171" s="4073">
        <f>54000*0</f>
        <v>0</v>
      </c>
      <c r="J171" s="4074">
        <v>45752</v>
      </c>
      <c r="K171" s="4075"/>
    </row>
    <row r="172" spans="1:12" s="10" customFormat="1" ht="33" customHeight="1">
      <c r="A172" s="801">
        <v>117</v>
      </c>
      <c r="B172" s="4072" t="s">
        <v>3928</v>
      </c>
      <c r="C172" s="4072"/>
      <c r="D172" s="4072" t="s">
        <v>3927</v>
      </c>
      <c r="E172" s="2118" t="s">
        <v>2269</v>
      </c>
      <c r="F172" s="1189" t="s">
        <v>233</v>
      </c>
      <c r="G172" s="4073" t="s">
        <v>3749</v>
      </c>
      <c r="H172" s="3887">
        <f>-1350817.64</f>
        <v>-1350817.64</v>
      </c>
      <c r="I172" s="3887">
        <f>1350817.64</f>
        <v>1350817.64</v>
      </c>
      <c r="J172" s="4074">
        <v>45752</v>
      </c>
      <c r="K172" s="4075"/>
    </row>
    <row r="173" spans="1:12" s="10" customFormat="1">
      <c r="A173" s="1"/>
      <c r="B173" s="4072"/>
      <c r="C173" s="4072"/>
      <c r="D173" s="4072"/>
      <c r="E173" s="2118"/>
      <c r="F173" s="1189"/>
      <c r="G173" s="4073"/>
      <c r="H173" s="3887"/>
      <c r="I173" s="3887"/>
      <c r="J173" s="4074"/>
      <c r="K173" s="4075"/>
    </row>
    <row r="174" spans="1:12" s="10" customFormat="1" ht="33" customHeight="1">
      <c r="A174" s="1"/>
      <c r="B174" s="4077" t="s">
        <v>3931</v>
      </c>
      <c r="C174" s="4077"/>
      <c r="D174" s="4072"/>
      <c r="E174" s="2118" t="s">
        <v>225</v>
      </c>
      <c r="F174" s="1189" t="s">
        <v>225</v>
      </c>
      <c r="G174" s="4073"/>
      <c r="H174" s="3887"/>
      <c r="I174" s="3887"/>
      <c r="J174" s="4074"/>
      <c r="K174" s="4075"/>
    </row>
    <row r="175" spans="1:12" s="10" customFormat="1" ht="33" customHeight="1">
      <c r="A175" s="1">
        <v>107</v>
      </c>
      <c r="B175" s="4072" t="s">
        <v>3932</v>
      </c>
      <c r="C175" s="4072"/>
      <c r="D175" s="4072"/>
      <c r="E175" s="2118" t="s">
        <v>225</v>
      </c>
      <c r="F175" s="1189" t="s">
        <v>85</v>
      </c>
      <c r="G175" s="4073" t="s">
        <v>3749</v>
      </c>
      <c r="H175" s="3887">
        <f>-197496.2</f>
        <v>-197496.2</v>
      </c>
      <c r="I175" s="3887">
        <f t="shared" ref="I175:I180" si="0">-H175</f>
        <v>197496.2</v>
      </c>
      <c r="J175" s="4074">
        <v>44417</v>
      </c>
      <c r="K175" s="4075"/>
    </row>
    <row r="176" spans="1:12" s="10" customFormat="1" ht="33" customHeight="1">
      <c r="A176" s="1">
        <v>108</v>
      </c>
      <c r="B176" s="4072" t="s">
        <v>3933</v>
      </c>
      <c r="C176" s="4072"/>
      <c r="D176" s="4072"/>
      <c r="E176" s="2118" t="s">
        <v>225</v>
      </c>
      <c r="F176" s="1189" t="s">
        <v>85</v>
      </c>
      <c r="G176" s="4073" t="s">
        <v>3749</v>
      </c>
      <c r="H176" s="3887">
        <f>-138200</f>
        <v>-138200</v>
      </c>
      <c r="I176" s="3887">
        <f t="shared" si="0"/>
        <v>138200</v>
      </c>
      <c r="J176" s="4074">
        <v>44417</v>
      </c>
      <c r="K176" s="4075"/>
    </row>
    <row r="177" spans="1:15" s="10" customFormat="1" ht="33" customHeight="1">
      <c r="A177" s="1">
        <v>109</v>
      </c>
      <c r="B177" s="4072" t="s">
        <v>3934</v>
      </c>
      <c r="C177" s="4072"/>
      <c r="D177" s="4072"/>
      <c r="E177" s="2118" t="s">
        <v>225</v>
      </c>
      <c r="F177" s="1189" t="s">
        <v>85</v>
      </c>
      <c r="G177" s="4073" t="s">
        <v>3749</v>
      </c>
      <c r="H177" s="3887">
        <f>-550000</f>
        <v>-550000</v>
      </c>
      <c r="I177" s="3887">
        <f t="shared" si="0"/>
        <v>550000</v>
      </c>
      <c r="J177" s="4074">
        <v>44585</v>
      </c>
      <c r="K177" s="4075"/>
    </row>
    <row r="178" spans="1:15" s="10" customFormat="1" ht="33" customHeight="1">
      <c r="A178" s="1">
        <v>110</v>
      </c>
      <c r="B178" s="4072" t="s">
        <v>3935</v>
      </c>
      <c r="C178" s="4072"/>
      <c r="D178" s="4072"/>
      <c r="E178" s="2118" t="s">
        <v>225</v>
      </c>
      <c r="F178" s="1189" t="s">
        <v>85</v>
      </c>
      <c r="G178" s="4073" t="s">
        <v>3749</v>
      </c>
      <c r="H178" s="3887">
        <f>-47243.52</f>
        <v>-47243.519999999997</v>
      </c>
      <c r="I178" s="3887">
        <f t="shared" si="0"/>
        <v>47243.519999999997</v>
      </c>
      <c r="J178" s="4074">
        <v>44661</v>
      </c>
      <c r="K178" s="4075"/>
    </row>
    <row r="179" spans="1:15" s="10" customFormat="1" ht="33" customHeight="1">
      <c r="A179" s="1">
        <v>111</v>
      </c>
      <c r="B179" s="4072" t="s">
        <v>3936</v>
      </c>
      <c r="C179" s="4072"/>
      <c r="D179" s="4072"/>
      <c r="E179" s="2118" t="s">
        <v>225</v>
      </c>
      <c r="F179" s="1189" t="s">
        <v>85</v>
      </c>
      <c r="G179" s="4073" t="s">
        <v>3749</v>
      </c>
      <c r="H179" s="3887">
        <f>-60500</f>
        <v>-60500</v>
      </c>
      <c r="I179" s="3887">
        <f t="shared" si="0"/>
        <v>60500</v>
      </c>
      <c r="J179" s="4074">
        <v>44661</v>
      </c>
      <c r="K179" s="4075"/>
    </row>
    <row r="180" spans="1:15" s="10" customFormat="1" ht="33" customHeight="1">
      <c r="A180" s="1">
        <v>112</v>
      </c>
      <c r="B180" s="4072" t="s">
        <v>3937</v>
      </c>
      <c r="C180" s="4072"/>
      <c r="D180" s="4072"/>
      <c r="E180" s="2118" t="s">
        <v>225</v>
      </c>
      <c r="F180" s="1189" t="s">
        <v>85</v>
      </c>
      <c r="G180" s="4073" t="s">
        <v>3749</v>
      </c>
      <c r="H180" s="3887">
        <f>-275000</f>
        <v>-275000</v>
      </c>
      <c r="I180" s="3887">
        <f t="shared" si="0"/>
        <v>275000</v>
      </c>
      <c r="J180" s="4074">
        <v>44795</v>
      </c>
      <c r="K180" s="4075"/>
      <c r="L180" s="10">
        <v>-113.78</v>
      </c>
    </row>
    <row r="181" spans="1:15" s="10" customFormat="1">
      <c r="A181" s="1"/>
      <c r="B181" s="4072"/>
      <c r="C181" s="4072"/>
      <c r="D181" s="4072"/>
      <c r="E181" s="2118"/>
      <c r="F181" s="1189"/>
      <c r="G181" s="4073"/>
      <c r="H181" s="3887"/>
      <c r="I181" s="3887"/>
      <c r="J181" s="4074"/>
      <c r="K181" s="4075"/>
    </row>
    <row r="182" spans="1:15" s="10" customFormat="1">
      <c r="A182" s="1"/>
      <c r="B182" s="4072" t="s">
        <v>3946</v>
      </c>
      <c r="C182" s="4072"/>
      <c r="D182" s="4072"/>
      <c r="E182" s="2118" t="s">
        <v>233</v>
      </c>
      <c r="F182" s="2118" t="s">
        <v>233</v>
      </c>
      <c r="G182" s="4073" t="s">
        <v>3945</v>
      </c>
      <c r="H182" s="3887">
        <f>-339416.93</f>
        <v>-339416.93</v>
      </c>
      <c r="I182" s="3887">
        <f>339416.93</f>
        <v>339416.93</v>
      </c>
      <c r="J182" s="4074">
        <v>45757</v>
      </c>
      <c r="K182" s="4075"/>
      <c r="L182" s="1214">
        <v>339416.93</v>
      </c>
      <c r="M182" s="1214">
        <v>-33147.18</v>
      </c>
      <c r="N182" s="10">
        <v>33147.18</v>
      </c>
      <c r="O182" s="10">
        <v>183967.01</v>
      </c>
    </row>
    <row r="183" spans="1:15" s="10" customFormat="1" ht="14.25" customHeight="1">
      <c r="A183" s="1"/>
      <c r="B183" s="4072" t="s">
        <v>3946</v>
      </c>
      <c r="C183" s="4072"/>
      <c r="D183" s="4072"/>
      <c r="E183" s="2118" t="s">
        <v>233</v>
      </c>
      <c r="F183" s="5111" t="s">
        <v>233</v>
      </c>
      <c r="G183" s="4073"/>
      <c r="H183" s="3887">
        <f>-189683.539999962-66481.74*0+97528.26-90721.41</f>
        <v>-182876.68999996199</v>
      </c>
      <c r="I183" s="3887">
        <f>-H183</f>
        <v>182876.68999996199</v>
      </c>
      <c r="J183" s="4074"/>
      <c r="K183" s="4075"/>
      <c r="L183" s="1214">
        <v>97528.259999990463</v>
      </c>
      <c r="M183" s="1214">
        <v>90607.63</v>
      </c>
      <c r="N183" s="10">
        <v>31245.99</v>
      </c>
    </row>
    <row r="184" spans="1:15" s="10" customFormat="1">
      <c r="A184" s="1"/>
      <c r="B184" s="4072"/>
      <c r="C184" s="4072"/>
      <c r="D184" s="4072"/>
      <c r="E184" s="2118"/>
      <c r="F184" s="1189"/>
      <c r="G184" s="4073"/>
      <c r="H184" s="3887"/>
      <c r="I184" s="3887"/>
      <c r="J184" s="4074"/>
      <c r="K184" s="4075"/>
    </row>
    <row r="185" spans="1:15" s="10" customFormat="1" ht="33" customHeight="1">
      <c r="A185" s="1">
        <v>113</v>
      </c>
      <c r="B185" s="4072" t="s">
        <v>3988</v>
      </c>
      <c r="C185" s="4072"/>
      <c r="D185" s="4072" t="s">
        <v>3987</v>
      </c>
      <c r="E185" s="2118" t="s">
        <v>233</v>
      </c>
      <c r="F185" s="1189" t="s">
        <v>3715</v>
      </c>
      <c r="G185" s="4073"/>
      <c r="H185" s="3887">
        <v>-3096124.9</v>
      </c>
      <c r="I185" s="3887">
        <v>3096124.9</v>
      </c>
      <c r="J185" s="4074">
        <v>45761</v>
      </c>
      <c r="K185" s="4075"/>
    </row>
    <row r="186" spans="1:15" s="10" customFormat="1">
      <c r="A186" s="1"/>
      <c r="B186" s="4072"/>
      <c r="C186" s="4072"/>
      <c r="D186" s="4072"/>
      <c r="E186" s="2118"/>
      <c r="F186" s="1189"/>
      <c r="G186" s="4073"/>
      <c r="H186" s="3887"/>
      <c r="I186" s="3887"/>
      <c r="J186" s="4074"/>
      <c r="K186" s="4075"/>
    </row>
    <row r="187" spans="1:15" s="10" customFormat="1" ht="33" customHeight="1">
      <c r="A187" s="1">
        <v>114</v>
      </c>
      <c r="B187" s="4072" t="s">
        <v>4011</v>
      </c>
      <c r="C187" s="4072" t="s">
        <v>4075</v>
      </c>
      <c r="D187" s="4072" t="s">
        <v>4010</v>
      </c>
      <c r="E187" s="2118" t="s">
        <v>233</v>
      </c>
      <c r="F187" s="1189" t="s">
        <v>4075</v>
      </c>
      <c r="G187" s="4073"/>
      <c r="H187" s="3887">
        <v>-14457.6</v>
      </c>
      <c r="I187" s="3887">
        <v>14457.6</v>
      </c>
      <c r="J187" s="4074">
        <v>45757</v>
      </c>
      <c r="K187" s="4075"/>
    </row>
    <row r="188" spans="1:15" s="10" customFormat="1" ht="33" customHeight="1">
      <c r="A188" s="1">
        <v>115</v>
      </c>
      <c r="B188" s="4072" t="s">
        <v>4012</v>
      </c>
      <c r="C188" s="4072" t="s">
        <v>4079</v>
      </c>
      <c r="D188" s="4072" t="s">
        <v>4013</v>
      </c>
      <c r="E188" s="2118" t="s">
        <v>233</v>
      </c>
      <c r="F188" s="1189" t="s">
        <v>4079</v>
      </c>
      <c r="G188" s="4073"/>
      <c r="H188" s="3887">
        <v>-26209.57</v>
      </c>
      <c r="I188" s="3887">
        <v>26209.57</v>
      </c>
      <c r="J188" s="4074">
        <v>45757</v>
      </c>
      <c r="K188" s="4075"/>
    </row>
    <row r="189" spans="1:15" s="10" customFormat="1" ht="33" customHeight="1">
      <c r="A189" s="1">
        <v>116</v>
      </c>
      <c r="B189" s="4072" t="s">
        <v>4014</v>
      </c>
      <c r="C189" s="4072" t="s">
        <v>4078</v>
      </c>
      <c r="D189" s="4072" t="s">
        <v>4015</v>
      </c>
      <c r="E189" s="2118" t="s">
        <v>233</v>
      </c>
      <c r="F189" s="1189" t="s">
        <v>4078</v>
      </c>
      <c r="G189" s="4073"/>
      <c r="H189" s="3887">
        <v>-6521.74</v>
      </c>
      <c r="I189" s="3887">
        <v>6521.74</v>
      </c>
      <c r="J189" s="4074">
        <v>45757</v>
      </c>
      <c r="K189" s="4075"/>
    </row>
    <row r="190" spans="1:15" s="10" customFormat="1" ht="33" customHeight="1">
      <c r="A190" s="1">
        <v>117</v>
      </c>
      <c r="B190" s="4072" t="s">
        <v>4016</v>
      </c>
      <c r="C190" s="4072" t="s">
        <v>4077</v>
      </c>
      <c r="D190" s="4072" t="s">
        <v>4017</v>
      </c>
      <c r="E190" s="2118" t="s">
        <v>233</v>
      </c>
      <c r="F190" s="1189" t="s">
        <v>4077</v>
      </c>
      <c r="G190" s="4073"/>
      <c r="H190" s="3887">
        <v>-10869.57</v>
      </c>
      <c r="I190" s="3887">
        <v>10869.57</v>
      </c>
      <c r="J190" s="4074">
        <v>45757</v>
      </c>
      <c r="K190" s="4075"/>
    </row>
    <row r="191" spans="1:15" s="10" customFormat="1" ht="33" customHeight="1">
      <c r="A191" s="1">
        <v>118</v>
      </c>
      <c r="B191" s="4072" t="s">
        <v>4019</v>
      </c>
      <c r="C191" s="4072" t="s">
        <v>4076</v>
      </c>
      <c r="D191" s="4072" t="s">
        <v>4018</v>
      </c>
      <c r="E191" s="2118" t="s">
        <v>233</v>
      </c>
      <c r="F191" s="1189" t="s">
        <v>4076</v>
      </c>
      <c r="G191" s="4073"/>
      <c r="H191" s="3887">
        <v>-49300</v>
      </c>
      <c r="I191" s="3887">
        <v>49300</v>
      </c>
      <c r="J191" s="4074">
        <v>45757</v>
      </c>
      <c r="K191" s="4075"/>
    </row>
    <row r="192" spans="1:15" s="10" customFormat="1" ht="33" customHeight="1">
      <c r="A192" s="1">
        <v>119</v>
      </c>
      <c r="B192" s="4072" t="s">
        <v>4021</v>
      </c>
      <c r="C192" s="4072" t="s">
        <v>4094</v>
      </c>
      <c r="D192" s="4072" t="s">
        <v>4020</v>
      </c>
      <c r="E192" s="2118" t="s">
        <v>233</v>
      </c>
      <c r="F192" s="1189" t="s">
        <v>4094</v>
      </c>
      <c r="G192" s="4073"/>
      <c r="H192" s="3887">
        <v>-19950</v>
      </c>
      <c r="I192" s="3887">
        <v>19950</v>
      </c>
      <c r="J192" s="4074">
        <v>45757</v>
      </c>
      <c r="K192" s="4075"/>
    </row>
    <row r="193" spans="1:11" s="10" customFormat="1" ht="42" customHeight="1">
      <c r="A193" s="1">
        <v>120</v>
      </c>
      <c r="B193" s="4072" t="s">
        <v>4023</v>
      </c>
      <c r="C193" s="4072" t="s">
        <v>4095</v>
      </c>
      <c r="D193" s="4072" t="s">
        <v>4022</v>
      </c>
      <c r="E193" s="2118" t="s">
        <v>233</v>
      </c>
      <c r="F193" s="1189" t="s">
        <v>4095</v>
      </c>
      <c r="G193" s="4073"/>
      <c r="H193" s="3887">
        <v>-14349</v>
      </c>
      <c r="I193" s="3887">
        <v>14349</v>
      </c>
      <c r="J193" s="4074">
        <v>45757</v>
      </c>
      <c r="K193" s="4075"/>
    </row>
    <row r="194" spans="1:11" s="10" customFormat="1" ht="33" customHeight="1">
      <c r="A194" s="1">
        <v>121</v>
      </c>
      <c r="B194" s="4072" t="s">
        <v>4025</v>
      </c>
      <c r="C194" s="4072" t="s">
        <v>4096</v>
      </c>
      <c r="D194" s="4072" t="s">
        <v>4024</v>
      </c>
      <c r="E194" s="2118" t="s">
        <v>233</v>
      </c>
      <c r="F194" s="1189" t="s">
        <v>4096</v>
      </c>
      <c r="G194" s="4073"/>
      <c r="H194" s="3887">
        <v>-169356.59</v>
      </c>
      <c r="I194" s="3887">
        <v>169356.59</v>
      </c>
      <c r="J194" s="4074">
        <v>45757</v>
      </c>
      <c r="K194" s="4075"/>
    </row>
    <row r="195" spans="1:11" s="10" customFormat="1" ht="33" customHeight="1">
      <c r="A195" s="1">
        <v>122</v>
      </c>
      <c r="B195" s="4072" t="s">
        <v>4027</v>
      </c>
      <c r="C195" s="4072" t="s">
        <v>4080</v>
      </c>
      <c r="D195" s="4072" t="s">
        <v>4026</v>
      </c>
      <c r="E195" s="2118" t="s">
        <v>233</v>
      </c>
      <c r="F195" s="1189" t="s">
        <v>4080</v>
      </c>
      <c r="G195" s="4073"/>
      <c r="H195" s="3887">
        <v>-70616.350000000006</v>
      </c>
      <c r="I195" s="3887">
        <v>70616.350000000006</v>
      </c>
      <c r="J195" s="4074">
        <v>45757</v>
      </c>
      <c r="K195" s="4075"/>
    </row>
    <row r="196" spans="1:11" s="10" customFormat="1" ht="33" customHeight="1">
      <c r="A196" s="1">
        <v>123</v>
      </c>
      <c r="B196" s="4072" t="s">
        <v>4029</v>
      </c>
      <c r="C196" s="4072" t="s">
        <v>4081</v>
      </c>
      <c r="D196" s="4072" t="s">
        <v>4028</v>
      </c>
      <c r="E196" s="2118" t="s">
        <v>233</v>
      </c>
      <c r="F196" s="1189" t="s">
        <v>4081</v>
      </c>
      <c r="G196" s="4073"/>
      <c r="H196" s="3887">
        <v>-86695</v>
      </c>
      <c r="I196" s="3887">
        <v>86695</v>
      </c>
      <c r="J196" s="4074">
        <v>45757</v>
      </c>
      <c r="K196" s="4075"/>
    </row>
    <row r="197" spans="1:11" s="10" customFormat="1" ht="33" customHeight="1">
      <c r="A197" s="1">
        <v>124</v>
      </c>
      <c r="B197" s="4072" t="s">
        <v>4031</v>
      </c>
      <c r="C197" s="4072" t="s">
        <v>4082</v>
      </c>
      <c r="D197" s="4072" t="s">
        <v>4030</v>
      </c>
      <c r="E197" s="2118" t="s">
        <v>233</v>
      </c>
      <c r="F197" s="1189" t="s">
        <v>4082</v>
      </c>
      <c r="G197" s="4073"/>
      <c r="H197" s="3887">
        <v>-11320</v>
      </c>
      <c r="I197" s="3887">
        <v>11320</v>
      </c>
      <c r="J197" s="4074">
        <v>45757</v>
      </c>
      <c r="K197" s="4075"/>
    </row>
    <row r="198" spans="1:11" s="10" customFormat="1" ht="33" customHeight="1">
      <c r="A198" s="1">
        <v>125</v>
      </c>
      <c r="B198" s="4072" t="s">
        <v>4033</v>
      </c>
      <c r="C198" s="4072" t="s">
        <v>4097</v>
      </c>
      <c r="D198" s="4072" t="s">
        <v>4032</v>
      </c>
      <c r="E198" s="2118" t="s">
        <v>233</v>
      </c>
      <c r="F198" s="1189" t="s">
        <v>4097</v>
      </c>
      <c r="G198" s="4073"/>
      <c r="H198" s="3887">
        <v>-6056.8</v>
      </c>
      <c r="I198" s="3887">
        <v>6056.8</v>
      </c>
      <c r="J198" s="4074">
        <v>45757</v>
      </c>
      <c r="K198" s="4075"/>
    </row>
    <row r="199" spans="1:11" s="10" customFormat="1" ht="33" customHeight="1">
      <c r="A199" s="1">
        <v>126</v>
      </c>
      <c r="B199" s="4072" t="s">
        <v>4035</v>
      </c>
      <c r="C199" s="4072" t="s">
        <v>4083</v>
      </c>
      <c r="D199" s="4072" t="s">
        <v>4034</v>
      </c>
      <c r="E199" s="2118" t="s">
        <v>233</v>
      </c>
      <c r="F199" s="1189" t="s">
        <v>4083</v>
      </c>
      <c r="G199" s="4073"/>
      <c r="H199" s="3887">
        <v>-22017.599999999999</v>
      </c>
      <c r="I199" s="3887">
        <v>22017.599999999999</v>
      </c>
      <c r="J199" s="4074">
        <v>45757</v>
      </c>
      <c r="K199" s="4075"/>
    </row>
    <row r="200" spans="1:11" s="10" customFormat="1" ht="33" customHeight="1">
      <c r="A200" s="1">
        <v>127</v>
      </c>
      <c r="B200" s="4072" t="s">
        <v>4037</v>
      </c>
      <c r="C200" s="4072" t="s">
        <v>4084</v>
      </c>
      <c r="D200" s="4072" t="s">
        <v>4036</v>
      </c>
      <c r="E200" s="2118" t="s">
        <v>233</v>
      </c>
      <c r="F200" s="1189" t="s">
        <v>4084</v>
      </c>
      <c r="G200" s="4073"/>
      <c r="H200" s="3887">
        <v>-984141.69</v>
      </c>
      <c r="I200" s="3887">
        <v>984141.69</v>
      </c>
      <c r="J200" s="4074">
        <v>45757</v>
      </c>
      <c r="K200" s="4075"/>
    </row>
    <row r="201" spans="1:11" s="10" customFormat="1" ht="33" customHeight="1">
      <c r="A201" s="1">
        <v>128</v>
      </c>
      <c r="B201" s="4072" t="s">
        <v>4039</v>
      </c>
      <c r="C201" s="4072" t="s">
        <v>4085</v>
      </c>
      <c r="D201" s="4072" t="s">
        <v>4038</v>
      </c>
      <c r="E201" s="2118" t="s">
        <v>233</v>
      </c>
      <c r="F201" s="1189" t="s">
        <v>4085</v>
      </c>
      <c r="G201" s="4073"/>
      <c r="H201" s="3887">
        <v>-697765.48</v>
      </c>
      <c r="I201" s="3887">
        <v>697765.48</v>
      </c>
      <c r="J201" s="4074">
        <v>45757</v>
      </c>
      <c r="K201" s="4075"/>
    </row>
    <row r="202" spans="1:11" s="10" customFormat="1" ht="12" customHeight="1">
      <c r="A202" s="1"/>
      <c r="B202" s="4072"/>
      <c r="C202" s="4072"/>
      <c r="D202" s="4072"/>
      <c r="E202" s="2118"/>
      <c r="F202" s="1189"/>
      <c r="G202" s="4073"/>
      <c r="H202" s="3887"/>
      <c r="I202" s="3887"/>
      <c r="J202" s="4074"/>
      <c r="K202" s="4075"/>
    </row>
    <row r="203" spans="1:11" s="10" customFormat="1" ht="33" customHeight="1">
      <c r="A203" s="1">
        <v>129</v>
      </c>
      <c r="B203" s="4072" t="s">
        <v>4041</v>
      </c>
      <c r="C203" s="4153"/>
      <c r="D203" s="4072" t="s">
        <v>4040</v>
      </c>
      <c r="E203" s="2118" t="s">
        <v>3206</v>
      </c>
      <c r="F203" s="2118" t="s">
        <v>233</v>
      </c>
      <c r="G203" s="4073"/>
      <c r="H203" s="3887">
        <v>-44069.59</v>
      </c>
      <c r="I203" s="3887">
        <v>44069.59</v>
      </c>
      <c r="J203" s="4074">
        <v>45761</v>
      </c>
      <c r="K203" s="4075"/>
    </row>
    <row r="204" spans="1:11" s="10" customFormat="1" ht="12" customHeight="1">
      <c r="A204" s="1"/>
      <c r="B204" s="4072"/>
      <c r="C204" s="4072"/>
      <c r="D204" s="4072"/>
      <c r="E204" s="2118"/>
      <c r="F204" s="1189"/>
      <c r="G204" s="4073"/>
      <c r="H204" s="3887"/>
      <c r="I204" s="3887"/>
      <c r="J204" s="4074"/>
      <c r="K204" s="4075"/>
    </row>
    <row r="205" spans="1:11" s="10" customFormat="1" ht="41.25" customHeight="1">
      <c r="A205" s="1">
        <v>130</v>
      </c>
      <c r="B205" s="4072" t="s">
        <v>4043</v>
      </c>
      <c r="C205" s="4072" t="s">
        <v>4098</v>
      </c>
      <c r="D205" s="4072" t="s">
        <v>4042</v>
      </c>
      <c r="E205" s="2118" t="s">
        <v>233</v>
      </c>
      <c r="F205" s="1189" t="s">
        <v>4098</v>
      </c>
      <c r="G205" s="4073"/>
      <c r="H205" s="3887">
        <v>-315934.57</v>
      </c>
      <c r="I205" s="3887">
        <v>315934.57</v>
      </c>
      <c r="J205" s="4074">
        <v>45761</v>
      </c>
      <c r="K205" s="4075"/>
    </row>
    <row r="206" spans="1:11" s="10" customFormat="1" ht="33" customHeight="1">
      <c r="A206" s="1">
        <v>131</v>
      </c>
      <c r="B206" s="4072" t="s">
        <v>4045</v>
      </c>
      <c r="C206" s="4072" t="s">
        <v>4099</v>
      </c>
      <c r="D206" s="4072" t="s">
        <v>4044</v>
      </c>
      <c r="E206" s="2118" t="s">
        <v>233</v>
      </c>
      <c r="F206" s="1189" t="s">
        <v>4099</v>
      </c>
      <c r="G206" s="4073"/>
      <c r="H206" s="3887">
        <v>-3620</v>
      </c>
      <c r="I206" s="3887">
        <v>3620</v>
      </c>
      <c r="J206" s="4074">
        <v>45761</v>
      </c>
      <c r="K206" s="4075"/>
    </row>
    <row r="207" spans="1:11" s="10" customFormat="1" ht="33" customHeight="1">
      <c r="A207" s="1">
        <v>132</v>
      </c>
      <c r="B207" s="4072" t="s">
        <v>4047</v>
      </c>
      <c r="C207" s="4072" t="s">
        <v>4100</v>
      </c>
      <c r="D207" s="4072" t="s">
        <v>4046</v>
      </c>
      <c r="E207" s="2118" t="s">
        <v>233</v>
      </c>
      <c r="F207" s="1189" t="s">
        <v>4100</v>
      </c>
      <c r="G207" s="4073"/>
      <c r="H207" s="3887">
        <v>-6550</v>
      </c>
      <c r="I207" s="3887">
        <v>6550</v>
      </c>
      <c r="J207" s="4074">
        <v>45761</v>
      </c>
      <c r="K207" s="4075"/>
    </row>
    <row r="208" spans="1:11" s="10" customFormat="1" ht="36" customHeight="1">
      <c r="A208" s="1">
        <v>133</v>
      </c>
      <c r="B208" s="4072" t="s">
        <v>4049</v>
      </c>
      <c r="C208" s="4072" t="s">
        <v>4101</v>
      </c>
      <c r="D208" s="4072" t="s">
        <v>4048</v>
      </c>
      <c r="E208" s="2118" t="s">
        <v>233</v>
      </c>
      <c r="F208" s="1189" t="s">
        <v>4101</v>
      </c>
      <c r="G208" s="4073"/>
      <c r="H208" s="3887">
        <v>-1845</v>
      </c>
      <c r="I208" s="3887">
        <v>1845</v>
      </c>
      <c r="J208" s="4074">
        <v>45761</v>
      </c>
      <c r="K208" s="4075"/>
    </row>
    <row r="209" spans="1:11" s="10" customFormat="1" ht="36" customHeight="1">
      <c r="A209" s="1">
        <v>134</v>
      </c>
      <c r="B209" s="4072" t="s">
        <v>4051</v>
      </c>
      <c r="C209" s="4072" t="s">
        <v>4102</v>
      </c>
      <c r="D209" s="4072" t="s">
        <v>4050</v>
      </c>
      <c r="E209" s="2118" t="s">
        <v>233</v>
      </c>
      <c r="F209" s="1189" t="s">
        <v>4102</v>
      </c>
      <c r="G209" s="4073"/>
      <c r="H209" s="3887">
        <v>-97154.16</v>
      </c>
      <c r="I209" s="3887">
        <v>97154.16</v>
      </c>
      <c r="J209" s="4074">
        <v>45761</v>
      </c>
      <c r="K209" s="4075"/>
    </row>
    <row r="210" spans="1:11" s="10" customFormat="1" ht="33" customHeight="1">
      <c r="A210" s="1">
        <v>135</v>
      </c>
      <c r="B210" s="4072" t="s">
        <v>4053</v>
      </c>
      <c r="C210" s="4072" t="s">
        <v>4103</v>
      </c>
      <c r="D210" s="4072" t="s">
        <v>4052</v>
      </c>
      <c r="E210" s="2118" t="s">
        <v>233</v>
      </c>
      <c r="F210" s="1189" t="s">
        <v>4103</v>
      </c>
      <c r="G210" s="4073"/>
      <c r="H210" s="3887">
        <v>-459000</v>
      </c>
      <c r="I210" s="3887">
        <v>459000</v>
      </c>
      <c r="J210" s="4074">
        <v>45761</v>
      </c>
      <c r="K210" s="4075"/>
    </row>
    <row r="211" spans="1:11" s="10" customFormat="1" ht="33" customHeight="1">
      <c r="A211" s="1">
        <v>136</v>
      </c>
      <c r="B211" s="4072" t="s">
        <v>4055</v>
      </c>
      <c r="C211" s="4072" t="s">
        <v>4104</v>
      </c>
      <c r="D211" s="4072" t="s">
        <v>4054</v>
      </c>
      <c r="E211" s="2118" t="s">
        <v>233</v>
      </c>
      <c r="F211" s="1189" t="s">
        <v>4104</v>
      </c>
      <c r="G211" s="4073"/>
      <c r="H211" s="3887">
        <v>-46635</v>
      </c>
      <c r="I211" s="3887">
        <v>46635</v>
      </c>
      <c r="J211" s="4074">
        <v>45761</v>
      </c>
      <c r="K211" s="4075"/>
    </row>
    <row r="212" spans="1:11" s="10" customFormat="1" ht="33" customHeight="1">
      <c r="A212" s="1">
        <v>137</v>
      </c>
      <c r="B212" s="4072" t="s">
        <v>4057</v>
      </c>
      <c r="C212" s="4072" t="s">
        <v>4086</v>
      </c>
      <c r="D212" s="4072" t="s">
        <v>4056</v>
      </c>
      <c r="E212" s="2118" t="s">
        <v>233</v>
      </c>
      <c r="F212" s="1189" t="s">
        <v>4086</v>
      </c>
      <c r="G212" s="4073"/>
      <c r="H212" s="3887">
        <v>-73286.960000000006</v>
      </c>
      <c r="I212" s="3887">
        <v>73286.960000000006</v>
      </c>
      <c r="J212" s="4074">
        <v>45761</v>
      </c>
      <c r="K212" s="4075"/>
    </row>
    <row r="213" spans="1:11" s="10" customFormat="1" ht="42" customHeight="1">
      <c r="A213" s="1">
        <v>138</v>
      </c>
      <c r="B213" s="4072" t="s">
        <v>4059</v>
      </c>
      <c r="C213" s="4072" t="s">
        <v>4105</v>
      </c>
      <c r="D213" s="4072" t="s">
        <v>4058</v>
      </c>
      <c r="E213" s="2118" t="s">
        <v>233</v>
      </c>
      <c r="F213" s="1189" t="s">
        <v>4105</v>
      </c>
      <c r="G213" s="4073"/>
      <c r="H213" s="3887">
        <v>-119631.33</v>
      </c>
      <c r="I213" s="3887">
        <v>119631.33</v>
      </c>
      <c r="J213" s="4074">
        <v>45761</v>
      </c>
      <c r="K213" s="4075"/>
    </row>
    <row r="214" spans="1:11" s="10" customFormat="1" ht="39" customHeight="1">
      <c r="A214" s="1">
        <v>139</v>
      </c>
      <c r="B214" s="4072" t="s">
        <v>4061</v>
      </c>
      <c r="C214" s="4072" t="s">
        <v>4106</v>
      </c>
      <c r="D214" s="4072" t="s">
        <v>4060</v>
      </c>
      <c r="E214" s="2118" t="s">
        <v>233</v>
      </c>
      <c r="F214" s="1189" t="s">
        <v>4106</v>
      </c>
      <c r="G214" s="4073"/>
      <c r="H214" s="3887">
        <v>-90972.44</v>
      </c>
      <c r="I214" s="3887">
        <v>90972.44</v>
      </c>
      <c r="J214" s="4074">
        <v>45761</v>
      </c>
      <c r="K214" s="4075"/>
    </row>
    <row r="215" spans="1:11" s="10" customFormat="1" ht="36.75" customHeight="1">
      <c r="A215" s="1">
        <v>140</v>
      </c>
      <c r="B215" s="4072" t="s">
        <v>4087</v>
      </c>
      <c r="C215" s="4072" t="s">
        <v>4088</v>
      </c>
      <c r="D215" s="4072" t="s">
        <v>4062</v>
      </c>
      <c r="E215" s="2118" t="s">
        <v>233</v>
      </c>
      <c r="F215" s="1189" t="s">
        <v>4088</v>
      </c>
      <c r="G215" s="4073"/>
      <c r="H215" s="3887">
        <v>-51948.13</v>
      </c>
      <c r="I215" s="3887">
        <v>51948.13</v>
      </c>
      <c r="J215" s="4074">
        <v>45761</v>
      </c>
      <c r="K215" s="4075"/>
    </row>
    <row r="216" spans="1:11" s="10" customFormat="1" ht="33" customHeight="1">
      <c r="A216" s="1">
        <v>141</v>
      </c>
      <c r="B216" s="4072" t="s">
        <v>4064</v>
      </c>
      <c r="C216" s="4072" t="s">
        <v>4089</v>
      </c>
      <c r="D216" s="4072" t="s">
        <v>4063</v>
      </c>
      <c r="E216" s="2118" t="s">
        <v>233</v>
      </c>
      <c r="F216" s="1189" t="s">
        <v>4089</v>
      </c>
      <c r="G216" s="4073"/>
      <c r="H216" s="3887">
        <v>-516902.89</v>
      </c>
      <c r="I216" s="3887">
        <v>516902.89</v>
      </c>
      <c r="J216" s="4074">
        <v>45761</v>
      </c>
      <c r="K216" s="4075"/>
    </row>
    <row r="217" spans="1:11" s="10" customFormat="1" ht="33" customHeight="1">
      <c r="A217" s="1">
        <v>142</v>
      </c>
      <c r="B217" s="4072" t="s">
        <v>4066</v>
      </c>
      <c r="C217" s="4072" t="s">
        <v>4107</v>
      </c>
      <c r="D217" s="4072" t="s">
        <v>4065</v>
      </c>
      <c r="E217" s="2118" t="s">
        <v>233</v>
      </c>
      <c r="F217" s="1189" t="s">
        <v>4107</v>
      </c>
      <c r="G217" s="4073"/>
      <c r="H217" s="3887">
        <v>-142131.60999999999</v>
      </c>
      <c r="I217" s="3887">
        <v>142131.60999999999</v>
      </c>
      <c r="J217" s="4074">
        <v>45761</v>
      </c>
      <c r="K217" s="4075"/>
    </row>
    <row r="218" spans="1:11" s="10" customFormat="1" ht="33" customHeight="1">
      <c r="A218" s="1">
        <v>143</v>
      </c>
      <c r="B218" s="4072" t="s">
        <v>4068</v>
      </c>
      <c r="C218" s="4072" t="s">
        <v>4090</v>
      </c>
      <c r="D218" s="4072" t="s">
        <v>4067</v>
      </c>
      <c r="E218" s="2118" t="s">
        <v>233</v>
      </c>
      <c r="F218" s="1189" t="s">
        <v>4090</v>
      </c>
      <c r="G218" s="4073"/>
      <c r="H218" s="3887">
        <v>-100641.60000000001</v>
      </c>
      <c r="I218" s="3887">
        <v>100641.60000000001</v>
      </c>
      <c r="J218" s="4074">
        <v>45761</v>
      </c>
      <c r="K218" s="4075"/>
    </row>
    <row r="219" spans="1:11" s="10" customFormat="1" ht="33" customHeight="1">
      <c r="A219" s="1">
        <v>144</v>
      </c>
      <c r="B219" s="4072" t="s">
        <v>4070</v>
      </c>
      <c r="C219" s="4072" t="s">
        <v>4091</v>
      </c>
      <c r="D219" s="4072" t="s">
        <v>4069</v>
      </c>
      <c r="E219" s="2118" t="s">
        <v>233</v>
      </c>
      <c r="F219" s="1189" t="s">
        <v>4091</v>
      </c>
      <c r="G219" s="4073"/>
      <c r="H219" s="3887">
        <v>-28888.07</v>
      </c>
      <c r="I219" s="3887">
        <v>28888.07</v>
      </c>
      <c r="J219" s="4074">
        <v>45761</v>
      </c>
      <c r="K219" s="4075"/>
    </row>
    <row r="220" spans="1:11" s="10" customFormat="1" ht="40.5" customHeight="1">
      <c r="A220" s="1">
        <v>145</v>
      </c>
      <c r="B220" s="4072" t="s">
        <v>4072</v>
      </c>
      <c r="C220" s="4072" t="s">
        <v>4108</v>
      </c>
      <c r="D220" s="4072" t="s">
        <v>4071</v>
      </c>
      <c r="E220" s="2118" t="s">
        <v>233</v>
      </c>
      <c r="F220" s="1189" t="s">
        <v>4108</v>
      </c>
      <c r="G220" s="4073"/>
      <c r="H220" s="3887">
        <v>-425440</v>
      </c>
      <c r="I220" s="3887">
        <v>425440</v>
      </c>
      <c r="J220" s="4074">
        <v>45761</v>
      </c>
      <c r="K220" s="4075"/>
    </row>
    <row r="221" spans="1:11" s="10" customFormat="1" ht="36.75" customHeight="1">
      <c r="A221" s="1">
        <v>146</v>
      </c>
      <c r="B221" s="4072" t="s">
        <v>4073</v>
      </c>
      <c r="C221" s="4072" t="s">
        <v>4092</v>
      </c>
      <c r="D221" s="4072" t="s">
        <v>4074</v>
      </c>
      <c r="E221" s="2118" t="s">
        <v>233</v>
      </c>
      <c r="F221" s="1189" t="s">
        <v>4092</v>
      </c>
      <c r="G221" s="4073"/>
      <c r="H221" s="3887">
        <v>-133940</v>
      </c>
      <c r="I221" s="3887">
        <v>133940</v>
      </c>
      <c r="J221" s="4074">
        <v>45761</v>
      </c>
      <c r="K221" s="4075"/>
    </row>
    <row r="222" spans="1:11" s="10" customFormat="1" ht="15" customHeight="1">
      <c r="A222" s="1"/>
      <c r="B222" s="4072"/>
      <c r="C222" s="4072"/>
      <c r="D222" s="4072"/>
      <c r="E222" s="2118"/>
      <c r="F222" s="1189"/>
      <c r="G222" s="4073"/>
      <c r="H222" s="3887"/>
      <c r="I222" s="3887"/>
      <c r="J222" s="4074"/>
      <c r="K222" s="4075"/>
    </row>
    <row r="223" spans="1:11" s="10" customFormat="1" ht="33" customHeight="1">
      <c r="A223" s="1">
        <v>147</v>
      </c>
      <c r="B223" s="4072" t="s">
        <v>4093</v>
      </c>
      <c r="C223" s="4072"/>
      <c r="D223" s="4072"/>
      <c r="E223" s="2118" t="s">
        <v>3599</v>
      </c>
      <c r="F223" s="2118" t="s">
        <v>233</v>
      </c>
      <c r="G223" s="4073"/>
      <c r="H223" s="3887">
        <v>-7850127.9699999997</v>
      </c>
      <c r="I223" s="3887">
        <v>7850127.9699999997</v>
      </c>
      <c r="J223" s="4074">
        <v>45764</v>
      </c>
      <c r="K223" s="4075"/>
    </row>
    <row r="224" spans="1:11" s="10" customFormat="1" ht="8.25" customHeight="1">
      <c r="A224" s="1"/>
      <c r="B224" s="4072"/>
      <c r="C224" s="4072"/>
      <c r="D224" s="4072"/>
      <c r="E224" s="2118"/>
      <c r="F224" s="1189"/>
      <c r="G224" s="4073"/>
      <c r="H224" s="3887"/>
      <c r="I224" s="3887"/>
      <c r="J224" s="4074"/>
      <c r="K224" s="4075"/>
    </row>
    <row r="225" spans="1:11" s="10" customFormat="1" ht="25.5">
      <c r="A225" s="1">
        <v>148</v>
      </c>
      <c r="B225" s="4072" t="s">
        <v>4128</v>
      </c>
      <c r="C225" s="4072" t="s">
        <v>4104</v>
      </c>
      <c r="D225" s="4072" t="s">
        <v>4127</v>
      </c>
      <c r="E225" s="2118" t="s">
        <v>233</v>
      </c>
      <c r="F225" s="4072" t="s">
        <v>4104</v>
      </c>
      <c r="G225" s="4073"/>
      <c r="H225" s="3887">
        <f t="shared" ref="H225:H232" si="1">-I225</f>
        <v>-51063</v>
      </c>
      <c r="I225" s="3887">
        <v>51063</v>
      </c>
      <c r="J225" s="4074">
        <v>45767</v>
      </c>
      <c r="K225" s="4075"/>
    </row>
    <row r="226" spans="1:11" s="10" customFormat="1" ht="25.5">
      <c r="A226" s="1">
        <v>149</v>
      </c>
      <c r="B226" s="4072" t="s">
        <v>4130</v>
      </c>
      <c r="C226" s="4072" t="s">
        <v>4198</v>
      </c>
      <c r="D226" s="4072" t="s">
        <v>4129</v>
      </c>
      <c r="E226" s="2118" t="s">
        <v>233</v>
      </c>
      <c r="F226" s="4072" t="s">
        <v>4198</v>
      </c>
      <c r="G226" s="4073"/>
      <c r="H226" s="3887">
        <f t="shared" si="1"/>
        <v>-1535</v>
      </c>
      <c r="I226" s="3887">
        <v>1535</v>
      </c>
      <c r="J226" s="4074">
        <v>45769</v>
      </c>
      <c r="K226" s="4075"/>
    </row>
    <row r="227" spans="1:11" s="10" customFormat="1" ht="25.5">
      <c r="A227" s="1">
        <v>150</v>
      </c>
      <c r="B227" s="4072" t="s">
        <v>4132</v>
      </c>
      <c r="C227" s="4072" t="s">
        <v>4196</v>
      </c>
      <c r="D227" s="4072" t="s">
        <v>4131</v>
      </c>
      <c r="E227" s="2118" t="s">
        <v>233</v>
      </c>
      <c r="F227" s="4072" t="s">
        <v>4196</v>
      </c>
      <c r="G227" s="4073"/>
      <c r="H227" s="3887">
        <f t="shared" si="1"/>
        <v>-17725</v>
      </c>
      <c r="I227" s="3887">
        <v>17725</v>
      </c>
      <c r="J227" s="4074">
        <v>45769</v>
      </c>
      <c r="K227" s="4075"/>
    </row>
    <row r="228" spans="1:11" s="10" customFormat="1" ht="25.5">
      <c r="A228" s="1">
        <v>151</v>
      </c>
      <c r="B228" s="4072" t="s">
        <v>4134</v>
      </c>
      <c r="C228" s="4072" t="s">
        <v>4197</v>
      </c>
      <c r="D228" s="4072" t="s">
        <v>4133</v>
      </c>
      <c r="E228" s="2118" t="s">
        <v>233</v>
      </c>
      <c r="F228" s="4072" t="s">
        <v>4197</v>
      </c>
      <c r="G228" s="4073"/>
      <c r="H228" s="3887">
        <f t="shared" si="1"/>
        <v>-6142.43</v>
      </c>
      <c r="I228" s="3887">
        <v>6142.43</v>
      </c>
      <c r="J228" s="4074">
        <v>45769</v>
      </c>
      <c r="K228" s="4075"/>
    </row>
    <row r="229" spans="1:11" s="10" customFormat="1" ht="25.5">
      <c r="A229" s="1">
        <v>152</v>
      </c>
      <c r="B229" s="4072" t="s">
        <v>4136</v>
      </c>
      <c r="C229" s="4072" t="s">
        <v>4199</v>
      </c>
      <c r="D229" s="4072" t="s">
        <v>4135</v>
      </c>
      <c r="E229" s="2118" t="s">
        <v>233</v>
      </c>
      <c r="F229" s="4072" t="s">
        <v>4199</v>
      </c>
      <c r="G229" s="4073"/>
      <c r="H229" s="3887">
        <f t="shared" si="1"/>
        <v>-58860</v>
      </c>
      <c r="I229" s="3887">
        <v>58860</v>
      </c>
      <c r="J229" s="4074">
        <v>45769</v>
      </c>
      <c r="K229" s="4075"/>
    </row>
    <row r="230" spans="1:11" s="10" customFormat="1" ht="25.5">
      <c r="A230" s="1">
        <v>153</v>
      </c>
      <c r="B230" s="4072" t="s">
        <v>4138</v>
      </c>
      <c r="C230" s="4072" t="s">
        <v>4200</v>
      </c>
      <c r="D230" s="4072" t="s">
        <v>4137</v>
      </c>
      <c r="E230" s="2118" t="s">
        <v>233</v>
      </c>
      <c r="F230" s="4072" t="s">
        <v>4200</v>
      </c>
      <c r="G230" s="4073"/>
      <c r="H230" s="3887">
        <f t="shared" si="1"/>
        <v>-5061.5</v>
      </c>
      <c r="I230" s="3887">
        <v>5061.5</v>
      </c>
      <c r="J230" s="4074">
        <v>45769</v>
      </c>
      <c r="K230" s="4075"/>
    </row>
    <row r="231" spans="1:11" s="10" customFormat="1" ht="25.5">
      <c r="A231" s="1">
        <v>154</v>
      </c>
      <c r="B231" s="4072" t="s">
        <v>4140</v>
      </c>
      <c r="C231" s="4072" t="s">
        <v>4201</v>
      </c>
      <c r="D231" s="4072" t="s">
        <v>4139</v>
      </c>
      <c r="E231" s="2118" t="s">
        <v>233</v>
      </c>
      <c r="F231" s="4072" t="s">
        <v>4201</v>
      </c>
      <c r="G231" s="4073"/>
      <c r="H231" s="3887">
        <f t="shared" si="1"/>
        <v>-8565</v>
      </c>
      <c r="I231" s="3887">
        <v>8565</v>
      </c>
      <c r="J231" s="4074">
        <v>45769</v>
      </c>
      <c r="K231" s="4075"/>
    </row>
    <row r="232" spans="1:11" s="10" customFormat="1" ht="25.5">
      <c r="A232" s="1">
        <v>155</v>
      </c>
      <c r="B232" s="4072" t="s">
        <v>4142</v>
      </c>
      <c r="C232" s="4072" t="s">
        <v>4202</v>
      </c>
      <c r="D232" s="4072" t="s">
        <v>4141</v>
      </c>
      <c r="E232" s="2118" t="s">
        <v>233</v>
      </c>
      <c r="F232" s="4072" t="s">
        <v>4202</v>
      </c>
      <c r="G232" s="4073"/>
      <c r="H232" s="3887">
        <f t="shared" si="1"/>
        <v>-17800</v>
      </c>
      <c r="I232" s="3887">
        <v>17800</v>
      </c>
      <c r="J232" s="4074">
        <v>45769</v>
      </c>
      <c r="K232" s="4075"/>
    </row>
    <row r="233" spans="1:11" s="10" customFormat="1" ht="54" customHeight="1">
      <c r="A233" s="1">
        <v>156</v>
      </c>
      <c r="B233" s="4072" t="s">
        <v>4143</v>
      </c>
      <c r="C233" s="4072" t="s">
        <v>4203</v>
      </c>
      <c r="D233" s="4072" t="s">
        <v>4144</v>
      </c>
      <c r="E233" s="2118" t="s">
        <v>233</v>
      </c>
      <c r="F233" s="4072" t="s">
        <v>4203</v>
      </c>
      <c r="G233" s="4073"/>
      <c r="H233" s="3887">
        <f t="shared" ref="H233:H259" si="2">-I233</f>
        <v>-37118.9</v>
      </c>
      <c r="I233" s="3887">
        <v>37118.9</v>
      </c>
      <c r="J233" s="4074">
        <v>45770</v>
      </c>
      <c r="K233" s="4075"/>
    </row>
    <row r="234" spans="1:11" s="10" customFormat="1" ht="38.25">
      <c r="A234" s="1">
        <v>157</v>
      </c>
      <c r="B234" s="4072" t="s">
        <v>4146</v>
      </c>
      <c r="C234" s="4072" t="s">
        <v>4097</v>
      </c>
      <c r="D234" s="4072" t="s">
        <v>4145</v>
      </c>
      <c r="E234" s="2118" t="s">
        <v>233</v>
      </c>
      <c r="F234" s="4072" t="s">
        <v>4097</v>
      </c>
      <c r="G234" s="4073"/>
      <c r="H234" s="3887">
        <f t="shared" si="2"/>
        <v>-3785.5</v>
      </c>
      <c r="I234" s="4172">
        <v>3785.5</v>
      </c>
      <c r="J234" s="4074">
        <v>45770</v>
      </c>
      <c r="K234" s="4075"/>
    </row>
    <row r="235" spans="1:11" s="10" customFormat="1" ht="25.5">
      <c r="A235" s="1">
        <v>158</v>
      </c>
      <c r="B235" s="4072" t="s">
        <v>4148</v>
      </c>
      <c r="C235" s="4072" t="s">
        <v>4100</v>
      </c>
      <c r="D235" s="4072" t="s">
        <v>4147</v>
      </c>
      <c r="E235" s="2118" t="s">
        <v>233</v>
      </c>
      <c r="F235" s="4072" t="s">
        <v>4100</v>
      </c>
      <c r="G235" s="4073"/>
      <c r="H235" s="3887">
        <f t="shared" si="2"/>
        <v>-10345</v>
      </c>
      <c r="I235" s="3887">
        <v>10345</v>
      </c>
      <c r="J235" s="4074">
        <v>45770</v>
      </c>
      <c r="K235" s="4075"/>
    </row>
    <row r="236" spans="1:11" s="10" customFormat="1" ht="25.5">
      <c r="A236" s="1">
        <v>159</v>
      </c>
      <c r="B236" s="4072" t="s">
        <v>4150</v>
      </c>
      <c r="C236" s="4072" t="s">
        <v>4083</v>
      </c>
      <c r="D236" s="4072" t="s">
        <v>4149</v>
      </c>
      <c r="E236" s="2118" t="s">
        <v>233</v>
      </c>
      <c r="F236" s="4072" t="s">
        <v>4083</v>
      </c>
      <c r="G236" s="4073"/>
      <c r="H236" s="3887">
        <f t="shared" si="2"/>
        <v>-17937.22</v>
      </c>
      <c r="I236" s="3887">
        <v>17937.22</v>
      </c>
      <c r="J236" s="4074">
        <v>45770</v>
      </c>
      <c r="K236" s="4075"/>
    </row>
    <row r="237" spans="1:11" s="10" customFormat="1" ht="25.5">
      <c r="A237" s="1">
        <v>160</v>
      </c>
      <c r="B237" s="4072" t="s">
        <v>4152</v>
      </c>
      <c r="C237" s="4072" t="s">
        <v>4104</v>
      </c>
      <c r="D237" s="4072" t="s">
        <v>4151</v>
      </c>
      <c r="E237" s="2118" t="s">
        <v>233</v>
      </c>
      <c r="F237" s="4072" t="s">
        <v>4104</v>
      </c>
      <c r="G237" s="4073"/>
      <c r="H237" s="3887">
        <f t="shared" si="2"/>
        <v>-94000</v>
      </c>
      <c r="I237" s="3887">
        <v>94000</v>
      </c>
      <c r="J237" s="4074">
        <v>45770</v>
      </c>
      <c r="K237" s="4075"/>
    </row>
    <row r="238" spans="1:11" s="10" customFormat="1" ht="38.25">
      <c r="A238" s="1">
        <v>161</v>
      </c>
      <c r="B238" s="4072" t="s">
        <v>4154</v>
      </c>
      <c r="C238" s="4072" t="s">
        <v>4086</v>
      </c>
      <c r="D238" s="4072" t="s">
        <v>4153</v>
      </c>
      <c r="E238" s="2118" t="s">
        <v>233</v>
      </c>
      <c r="F238" s="4072" t="s">
        <v>4086</v>
      </c>
      <c r="G238" s="4073"/>
      <c r="H238" s="3887">
        <f t="shared" si="2"/>
        <v>-36872.54</v>
      </c>
      <c r="I238" s="3887">
        <v>36872.54</v>
      </c>
      <c r="J238" s="4074">
        <v>45770</v>
      </c>
      <c r="K238" s="4075"/>
    </row>
    <row r="239" spans="1:11" s="10" customFormat="1" ht="25.5">
      <c r="A239" s="1">
        <v>162</v>
      </c>
      <c r="B239" s="4072" t="s">
        <v>4156</v>
      </c>
      <c r="C239" s="4072" t="s">
        <v>4105</v>
      </c>
      <c r="D239" s="4072" t="s">
        <v>4155</v>
      </c>
      <c r="E239" s="2118" t="s">
        <v>233</v>
      </c>
      <c r="F239" s="4072" t="s">
        <v>4105</v>
      </c>
      <c r="G239" s="4073"/>
      <c r="H239" s="3887">
        <f t="shared" si="2"/>
        <v>-224000</v>
      </c>
      <c r="I239" s="3887">
        <v>224000</v>
      </c>
      <c r="J239" s="4074">
        <v>45770</v>
      </c>
      <c r="K239" s="4075"/>
    </row>
    <row r="240" spans="1:11" s="10" customFormat="1" ht="38.25">
      <c r="A240" s="1">
        <v>163</v>
      </c>
      <c r="B240" s="4072" t="s">
        <v>4158</v>
      </c>
      <c r="C240" s="4072" t="s">
        <v>4191</v>
      </c>
      <c r="D240" s="4072" t="s">
        <v>4157</v>
      </c>
      <c r="E240" s="2118" t="s">
        <v>233</v>
      </c>
      <c r="F240" s="4072" t="s">
        <v>4191</v>
      </c>
      <c r="G240" s="4073"/>
      <c r="H240" s="3887">
        <f t="shared" si="2"/>
        <v>-254143.39</v>
      </c>
      <c r="I240" s="3887">
        <v>254143.39</v>
      </c>
      <c r="J240" s="4074">
        <v>45770</v>
      </c>
      <c r="K240" s="4075"/>
    </row>
    <row r="241" spans="1:11" s="10" customFormat="1" ht="25.5">
      <c r="A241" s="1">
        <v>164</v>
      </c>
      <c r="B241" s="4072" t="s">
        <v>4160</v>
      </c>
      <c r="C241" s="4072" t="s">
        <v>4089</v>
      </c>
      <c r="D241" s="4072" t="s">
        <v>4159</v>
      </c>
      <c r="E241" s="2118" t="s">
        <v>233</v>
      </c>
      <c r="F241" s="4072" t="s">
        <v>4089</v>
      </c>
      <c r="G241" s="4073"/>
      <c r="H241" s="3887">
        <f t="shared" si="2"/>
        <v>-171879.82</v>
      </c>
      <c r="I241" s="3887">
        <v>171879.82</v>
      </c>
      <c r="J241" s="4074">
        <v>45770</v>
      </c>
      <c r="K241" s="4075"/>
    </row>
    <row r="242" spans="1:11" s="10" customFormat="1" ht="25.5">
      <c r="A242" s="1">
        <v>165</v>
      </c>
      <c r="B242" s="4072" t="s">
        <v>4162</v>
      </c>
      <c r="C242" s="4072" t="s">
        <v>4085</v>
      </c>
      <c r="D242" s="4072" t="s">
        <v>4161</v>
      </c>
      <c r="E242" s="2118" t="s">
        <v>233</v>
      </c>
      <c r="F242" s="4072" t="s">
        <v>4085</v>
      </c>
      <c r="G242" s="4073"/>
      <c r="H242" s="3887">
        <f t="shared" si="2"/>
        <v>-1116113.3</v>
      </c>
      <c r="I242" s="3887">
        <v>1116113.3</v>
      </c>
      <c r="J242" s="4074">
        <v>45770</v>
      </c>
      <c r="K242" s="4075"/>
    </row>
    <row r="243" spans="1:11" s="10" customFormat="1" ht="38.25">
      <c r="A243" s="1">
        <v>166</v>
      </c>
      <c r="B243" s="4072" t="s">
        <v>4164</v>
      </c>
      <c r="C243" s="4072" t="s">
        <v>4091</v>
      </c>
      <c r="D243" s="4072" t="s">
        <v>4163</v>
      </c>
      <c r="E243" s="2118" t="s">
        <v>233</v>
      </c>
      <c r="F243" s="4072" t="s">
        <v>4091</v>
      </c>
      <c r="G243" s="4073"/>
      <c r="H243" s="3887">
        <f t="shared" si="2"/>
        <v>-161811.66</v>
      </c>
      <c r="I243" s="3887">
        <v>161811.66</v>
      </c>
      <c r="J243" s="4074">
        <v>45770</v>
      </c>
      <c r="K243" s="4075"/>
    </row>
    <row r="244" spans="1:11" s="10" customFormat="1" ht="25.5">
      <c r="A244" s="1">
        <v>167</v>
      </c>
      <c r="B244" s="4072" t="s">
        <v>4166</v>
      </c>
      <c r="C244" s="4072" t="s">
        <v>4192</v>
      </c>
      <c r="D244" s="4072" t="s">
        <v>4165</v>
      </c>
      <c r="E244" s="2118" t="s">
        <v>233</v>
      </c>
      <c r="F244" s="4072" t="s">
        <v>4192</v>
      </c>
      <c r="G244" s="4073"/>
      <c r="H244" s="3887">
        <f t="shared" si="2"/>
        <v>-115601.47</v>
      </c>
      <c r="I244" s="3887">
        <v>115601.47</v>
      </c>
      <c r="J244" s="4074">
        <v>45770</v>
      </c>
      <c r="K244" s="4075"/>
    </row>
    <row r="245" spans="1:11" s="10" customFormat="1" ht="25.5">
      <c r="A245" s="1">
        <v>168</v>
      </c>
      <c r="B245" s="4072" t="s">
        <v>4168</v>
      </c>
      <c r="C245" s="4072" t="s">
        <v>4204</v>
      </c>
      <c r="D245" s="4072" t="s">
        <v>4167</v>
      </c>
      <c r="E245" s="2118" t="s">
        <v>233</v>
      </c>
      <c r="F245" s="4072" t="s">
        <v>4204</v>
      </c>
      <c r="G245" s="4073"/>
      <c r="H245" s="3887">
        <f t="shared" si="2"/>
        <v>-27500</v>
      </c>
      <c r="I245" s="3887">
        <v>27500</v>
      </c>
      <c r="J245" s="4074">
        <v>45770</v>
      </c>
      <c r="K245" s="4075"/>
    </row>
    <row r="246" spans="1:11" s="10" customFormat="1" ht="25.5">
      <c r="A246" s="1">
        <v>169</v>
      </c>
      <c r="B246" s="4072" t="s">
        <v>4170</v>
      </c>
      <c r="C246" s="4072" t="s">
        <v>4205</v>
      </c>
      <c r="D246" s="4072" t="s">
        <v>4169</v>
      </c>
      <c r="E246" s="2118" t="s">
        <v>233</v>
      </c>
      <c r="F246" s="4072" t="s">
        <v>4205</v>
      </c>
      <c r="G246" s="4073"/>
      <c r="H246" s="3887">
        <f t="shared" si="2"/>
        <v>-48767</v>
      </c>
      <c r="I246" s="3887">
        <v>48767</v>
      </c>
      <c r="J246" s="4074">
        <v>45770</v>
      </c>
      <c r="K246" s="4075"/>
    </row>
    <row r="247" spans="1:11" s="10" customFormat="1" ht="25.5">
      <c r="A247" s="1">
        <v>170</v>
      </c>
      <c r="B247" s="4072" t="s">
        <v>4172</v>
      </c>
      <c r="C247" s="4072" t="s">
        <v>4206</v>
      </c>
      <c r="D247" s="4072" t="s">
        <v>4171</v>
      </c>
      <c r="E247" s="2118" t="s">
        <v>233</v>
      </c>
      <c r="F247" s="4072" t="s">
        <v>4206</v>
      </c>
      <c r="G247" s="4073"/>
      <c r="H247" s="3887">
        <f t="shared" si="2"/>
        <v>-22553</v>
      </c>
      <c r="I247" s="3887">
        <v>22553</v>
      </c>
      <c r="J247" s="4074">
        <v>45770</v>
      </c>
      <c r="K247" s="4075"/>
    </row>
    <row r="248" spans="1:11" s="10" customFormat="1" ht="38.25">
      <c r="A248" s="1">
        <v>171</v>
      </c>
      <c r="B248" s="4072" t="s">
        <v>4174</v>
      </c>
      <c r="C248" s="4072" t="s">
        <v>4075</v>
      </c>
      <c r="D248" s="4072" t="s">
        <v>4173</v>
      </c>
      <c r="E248" s="2118" t="s">
        <v>233</v>
      </c>
      <c r="F248" s="4072" t="s">
        <v>4075</v>
      </c>
      <c r="G248" s="4073"/>
      <c r="H248" s="3887">
        <f t="shared" si="2"/>
        <v>-15876.8</v>
      </c>
      <c r="I248" s="3887">
        <v>15876.8</v>
      </c>
      <c r="J248" s="4074">
        <v>45770</v>
      </c>
      <c r="K248" s="4075"/>
    </row>
    <row r="249" spans="1:11" s="10" customFormat="1" ht="38.25">
      <c r="A249" s="1">
        <v>172</v>
      </c>
      <c r="B249" s="4072" t="s">
        <v>4176</v>
      </c>
      <c r="C249" s="4072" t="s">
        <v>4098</v>
      </c>
      <c r="D249" s="4072" t="s">
        <v>4175</v>
      </c>
      <c r="E249" s="2118" t="s">
        <v>233</v>
      </c>
      <c r="F249" s="4072" t="s">
        <v>4098</v>
      </c>
      <c r="G249" s="4073"/>
      <c r="H249" s="3887">
        <f t="shared" si="2"/>
        <v>-61829.46</v>
      </c>
      <c r="I249" s="3887">
        <v>61829.46</v>
      </c>
      <c r="J249" s="4074">
        <v>45770</v>
      </c>
      <c r="K249" s="4075"/>
    </row>
    <row r="250" spans="1:11" s="10" customFormat="1" ht="25.5">
      <c r="A250" s="1">
        <v>173</v>
      </c>
      <c r="B250" s="4072" t="s">
        <v>4178</v>
      </c>
      <c r="C250" s="4072" t="s">
        <v>4078</v>
      </c>
      <c r="D250" s="4072" t="s">
        <v>4177</v>
      </c>
      <c r="E250" s="2118" t="s">
        <v>233</v>
      </c>
      <c r="F250" s="4072" t="s">
        <v>4078</v>
      </c>
      <c r="G250" s="4073"/>
      <c r="H250" s="3887">
        <f t="shared" si="2"/>
        <v>-6521.74</v>
      </c>
      <c r="I250" s="3887">
        <v>6521.74</v>
      </c>
      <c r="J250" s="4074">
        <v>45770</v>
      </c>
      <c r="K250" s="4075"/>
    </row>
    <row r="251" spans="1:11" s="10" customFormat="1" ht="38.25">
      <c r="A251" s="1">
        <v>174</v>
      </c>
      <c r="B251" s="4072" t="s">
        <v>4180</v>
      </c>
      <c r="C251" s="4072" t="s">
        <v>4076</v>
      </c>
      <c r="D251" s="4072" t="s">
        <v>4179</v>
      </c>
      <c r="E251" s="2118" t="s">
        <v>233</v>
      </c>
      <c r="F251" s="4072" t="s">
        <v>4076</v>
      </c>
      <c r="G251" s="4073"/>
      <c r="H251" s="3887">
        <f t="shared" si="2"/>
        <v>-27800</v>
      </c>
      <c r="I251" s="3887">
        <v>27800</v>
      </c>
      <c r="J251" s="4074">
        <v>45770</v>
      </c>
      <c r="K251" s="4075"/>
    </row>
    <row r="252" spans="1:11" s="10" customFormat="1" ht="38.25">
      <c r="A252" s="1">
        <v>175</v>
      </c>
      <c r="B252" s="4072" t="s">
        <v>4182</v>
      </c>
      <c r="C252" s="4072" t="s">
        <v>4094</v>
      </c>
      <c r="D252" s="4072" t="s">
        <v>4181</v>
      </c>
      <c r="E252" s="2118" t="s">
        <v>233</v>
      </c>
      <c r="F252" s="4072" t="s">
        <v>4094</v>
      </c>
      <c r="G252" s="4073"/>
      <c r="H252" s="3887">
        <f t="shared" si="2"/>
        <v>-21350</v>
      </c>
      <c r="I252" s="3887">
        <v>21350</v>
      </c>
      <c r="J252" s="4074">
        <v>45770</v>
      </c>
      <c r="K252" s="4075"/>
    </row>
    <row r="253" spans="1:11" s="10" customFormat="1" ht="25.5">
      <c r="A253" s="1">
        <v>176</v>
      </c>
      <c r="B253" s="4072" t="s">
        <v>4184</v>
      </c>
      <c r="C253" s="4072" t="s">
        <v>4096</v>
      </c>
      <c r="D253" s="4072" t="s">
        <v>4183</v>
      </c>
      <c r="E253" s="2118" t="s">
        <v>233</v>
      </c>
      <c r="F253" s="4072" t="s">
        <v>4096</v>
      </c>
      <c r="G253" s="4073"/>
      <c r="H253" s="3887">
        <f t="shared" si="2"/>
        <v>-100373.12</v>
      </c>
      <c r="I253" s="3887">
        <v>100373.12</v>
      </c>
      <c r="J253" s="4074">
        <v>45770</v>
      </c>
      <c r="K253" s="4075"/>
    </row>
    <row r="254" spans="1:11" s="10" customFormat="1" ht="47.25" customHeight="1">
      <c r="A254" s="1">
        <v>177</v>
      </c>
      <c r="B254" s="4072" t="s">
        <v>4186</v>
      </c>
      <c r="C254" s="4072" t="s">
        <v>4080</v>
      </c>
      <c r="D254" s="4072" t="s">
        <v>4185</v>
      </c>
      <c r="E254" s="2118" t="s">
        <v>233</v>
      </c>
      <c r="F254" s="4072" t="s">
        <v>4080</v>
      </c>
      <c r="G254" s="4073"/>
      <c r="H254" s="3887">
        <f t="shared" si="2"/>
        <v>-11000</v>
      </c>
      <c r="I254" s="3887">
        <v>11000</v>
      </c>
      <c r="J254" s="4074">
        <v>45770</v>
      </c>
      <c r="K254" s="4075"/>
    </row>
    <row r="255" spans="1:11" s="10" customFormat="1" ht="25.5">
      <c r="A255" s="1">
        <v>178</v>
      </c>
      <c r="B255" s="4072" t="s">
        <v>4188</v>
      </c>
      <c r="C255" s="4072" t="s">
        <v>4193</v>
      </c>
      <c r="D255" s="4072" t="s">
        <v>4187</v>
      </c>
      <c r="E255" s="2118" t="s">
        <v>233</v>
      </c>
      <c r="F255" s="4072" t="s">
        <v>4193</v>
      </c>
      <c r="G255" s="4073"/>
      <c r="H255" s="3887">
        <f t="shared" si="2"/>
        <v>-18047</v>
      </c>
      <c r="I255" s="3887">
        <v>18047</v>
      </c>
      <c r="J255" s="4074">
        <v>45770</v>
      </c>
      <c r="K255" s="4075"/>
    </row>
    <row r="256" spans="1:11" s="10" customFormat="1" ht="45" customHeight="1">
      <c r="A256" s="1">
        <v>179</v>
      </c>
      <c r="B256" s="4072" t="s">
        <v>4190</v>
      </c>
      <c r="C256" s="4072" t="s">
        <v>4099</v>
      </c>
      <c r="D256" s="4072" t="s">
        <v>4189</v>
      </c>
      <c r="E256" s="2118" t="s">
        <v>233</v>
      </c>
      <c r="F256" s="4072" t="s">
        <v>4099</v>
      </c>
      <c r="G256" s="4073"/>
      <c r="H256" s="3887">
        <f t="shared" si="2"/>
        <v>-36950</v>
      </c>
      <c r="I256" s="3887">
        <v>36950</v>
      </c>
      <c r="J256" s="4074">
        <v>45770</v>
      </c>
      <c r="K256" s="4075"/>
    </row>
    <row r="257" spans="1:13" s="10" customFormat="1">
      <c r="A257" s="1"/>
      <c r="B257" s="4072"/>
      <c r="C257" s="4072"/>
      <c r="D257" s="4072"/>
      <c r="E257" s="2118"/>
      <c r="F257" s="1189"/>
      <c r="G257" s="4073"/>
      <c r="H257" s="3887"/>
      <c r="I257" s="3887"/>
      <c r="J257" s="4074"/>
      <c r="K257" s="4075"/>
    </row>
    <row r="258" spans="1:13" s="10" customFormat="1" ht="25.5">
      <c r="A258" s="1">
        <v>180</v>
      </c>
      <c r="B258" s="4072" t="s">
        <v>4210</v>
      </c>
      <c r="C258" s="4072" t="s">
        <v>4213</v>
      </c>
      <c r="D258" s="4072" t="s">
        <v>4212</v>
      </c>
      <c r="E258" s="2118" t="s">
        <v>233</v>
      </c>
      <c r="F258" s="4072" t="s">
        <v>4213</v>
      </c>
      <c r="G258" s="4073"/>
      <c r="H258" s="3887">
        <f t="shared" si="2"/>
        <v>-123937.39</v>
      </c>
      <c r="I258" s="3887">
        <v>123937.39</v>
      </c>
      <c r="J258" s="4074">
        <v>45775</v>
      </c>
      <c r="K258" s="4075"/>
    </row>
    <row r="259" spans="1:13" s="10" customFormat="1" ht="38.25">
      <c r="A259" s="1">
        <v>182</v>
      </c>
      <c r="B259" s="4072" t="s">
        <v>4214</v>
      </c>
      <c r="C259" s="4072" t="s">
        <v>4215</v>
      </c>
      <c r="D259" s="4072" t="s">
        <v>4216</v>
      </c>
      <c r="E259" s="2118" t="s">
        <v>233</v>
      </c>
      <c r="F259" s="4072" t="s">
        <v>4215</v>
      </c>
      <c r="G259" s="4073"/>
      <c r="H259" s="3887">
        <f t="shared" si="2"/>
        <v>-1773295.38</v>
      </c>
      <c r="I259" s="3887">
        <v>1773295.38</v>
      </c>
      <c r="J259" s="4074">
        <v>45775</v>
      </c>
      <c r="K259" s="4075"/>
    </row>
    <row r="260" spans="1:13" s="10" customFormat="1" ht="6" customHeight="1">
      <c r="A260" s="1"/>
      <c r="B260" s="4072"/>
      <c r="C260" s="4072"/>
      <c r="D260" s="4072"/>
      <c r="E260" s="2118"/>
      <c r="F260" s="1189"/>
      <c r="G260" s="4073"/>
      <c r="H260" s="3887"/>
      <c r="I260" s="3887"/>
      <c r="J260" s="4074"/>
      <c r="K260" s="4075"/>
    </row>
    <row r="261" spans="1:13" s="10" customFormat="1" ht="28.5" customHeight="1">
      <c r="A261" s="1">
        <v>183</v>
      </c>
      <c r="B261" s="4072" t="s">
        <v>4248</v>
      </c>
      <c r="C261" s="4072"/>
      <c r="D261" s="4072" t="s">
        <v>5344</v>
      </c>
      <c r="E261" s="2118" t="s">
        <v>2237</v>
      </c>
      <c r="F261" s="2118" t="s">
        <v>233</v>
      </c>
      <c r="G261" s="4073"/>
      <c r="H261" s="3887">
        <v>-45975</v>
      </c>
      <c r="I261" s="3887">
        <v>45975</v>
      </c>
      <c r="J261" s="4074">
        <v>45789</v>
      </c>
      <c r="K261" s="4075"/>
    </row>
    <row r="262" spans="1:13" s="10" customFormat="1" ht="6.95" customHeight="1">
      <c r="A262" s="1"/>
      <c r="B262" s="4072"/>
      <c r="C262" s="4072"/>
      <c r="D262" s="4072"/>
      <c r="E262" s="2118"/>
      <c r="F262" s="1189"/>
      <c r="G262" s="4073"/>
      <c r="H262" s="3887"/>
      <c r="I262" s="3887"/>
      <c r="J262" s="4074"/>
      <c r="K262" s="4075"/>
    </row>
    <row r="263" spans="1:13" s="10" customFormat="1" ht="22.5" customHeight="1">
      <c r="A263" s="1">
        <v>184</v>
      </c>
      <c r="B263" s="4072" t="s">
        <v>4262</v>
      </c>
      <c r="C263" s="4072"/>
      <c r="D263" s="4072" t="s">
        <v>5345</v>
      </c>
      <c r="E263" s="2118" t="s">
        <v>233</v>
      </c>
      <c r="F263" s="1189" t="s">
        <v>2725</v>
      </c>
      <c r="G263" s="4073"/>
      <c r="H263" s="3887">
        <v>-478548</v>
      </c>
      <c r="I263" s="3887">
        <v>478548</v>
      </c>
      <c r="J263" s="4074">
        <v>45789</v>
      </c>
      <c r="K263" s="4075"/>
      <c r="L263" s="10" t="s">
        <v>5350</v>
      </c>
    </row>
    <row r="264" spans="1:13" s="10" customFormat="1">
      <c r="A264" s="1">
        <v>185</v>
      </c>
      <c r="B264" s="4072" t="s">
        <v>4263</v>
      </c>
      <c r="C264" s="4072"/>
      <c r="D264" s="4072"/>
      <c r="E264" s="2118" t="s">
        <v>233</v>
      </c>
      <c r="F264" s="1189" t="s">
        <v>3930</v>
      </c>
      <c r="G264" s="4073"/>
      <c r="H264" s="3887">
        <v>-34684</v>
      </c>
      <c r="I264" s="3887">
        <v>34684</v>
      </c>
      <c r="J264" s="4074">
        <v>45789</v>
      </c>
      <c r="K264" s="4075"/>
      <c r="L264" s="4230" t="s">
        <v>5350</v>
      </c>
    </row>
    <row r="265" spans="1:13" s="10" customFormat="1" ht="25.5">
      <c r="A265" s="1">
        <v>186</v>
      </c>
      <c r="B265" s="4072" t="s">
        <v>4269</v>
      </c>
      <c r="C265" s="4072"/>
      <c r="D265" s="4072" t="s">
        <v>5346</v>
      </c>
      <c r="E265" s="2118" t="s">
        <v>233</v>
      </c>
      <c r="F265" s="1189" t="s">
        <v>3930</v>
      </c>
      <c r="G265" s="4073"/>
      <c r="H265" s="3887">
        <v>-850370.6</v>
      </c>
      <c r="I265" s="3887">
        <v>850370.6</v>
      </c>
      <c r="J265" s="4074">
        <v>45789</v>
      </c>
      <c r="K265" s="4075"/>
      <c r="L265" s="4230" t="s">
        <v>5349</v>
      </c>
    </row>
    <row r="266" spans="1:13" s="10" customFormat="1" ht="10.5" customHeight="1">
      <c r="A266" s="1"/>
      <c r="B266" s="4072"/>
      <c r="C266" s="4072"/>
      <c r="D266" s="4072"/>
      <c r="E266" s="2118"/>
      <c r="F266" s="1189"/>
      <c r="G266" s="4073"/>
      <c r="H266" s="3887"/>
      <c r="I266" s="3887"/>
      <c r="J266" s="4074"/>
      <c r="K266" s="4075"/>
    </row>
    <row r="267" spans="1:13" s="10" customFormat="1" ht="25.5">
      <c r="A267" s="1">
        <v>187</v>
      </c>
      <c r="B267" s="4072" t="s">
        <v>4271</v>
      </c>
      <c r="C267" s="4072"/>
      <c r="D267" s="4072" t="s">
        <v>4270</v>
      </c>
      <c r="E267" s="2118" t="s">
        <v>233</v>
      </c>
      <c r="F267" s="1189" t="s">
        <v>4105</v>
      </c>
      <c r="G267" s="4073"/>
      <c r="H267" s="3887">
        <v>-115200.54</v>
      </c>
      <c r="I267" s="3887">
        <v>115200.54</v>
      </c>
      <c r="J267" s="4074">
        <v>45789</v>
      </c>
      <c r="K267" s="4075"/>
      <c r="L267" s="4230">
        <f>SUM(I267:I270)</f>
        <v>260501.21000000002</v>
      </c>
      <c r="M267" s="10" t="s">
        <v>4352</v>
      </c>
    </row>
    <row r="268" spans="1:13" s="10" customFormat="1" ht="34.5" customHeight="1">
      <c r="A268" s="1">
        <v>188</v>
      </c>
      <c r="B268" s="4072" t="s">
        <v>4273</v>
      </c>
      <c r="C268" s="4072"/>
      <c r="D268" s="4072" t="s">
        <v>4272</v>
      </c>
      <c r="E268" s="2118" t="s">
        <v>233</v>
      </c>
      <c r="F268" s="1189" t="s">
        <v>4106</v>
      </c>
      <c r="G268" s="4073"/>
      <c r="H268" s="3887">
        <v>-36285.339999999997</v>
      </c>
      <c r="I268" s="3887">
        <v>36285.339999999997</v>
      </c>
      <c r="J268" s="4074">
        <v>45789</v>
      </c>
      <c r="K268" s="4075"/>
    </row>
    <row r="269" spans="1:13" s="10" customFormat="1" ht="25.5">
      <c r="A269" s="1">
        <v>189</v>
      </c>
      <c r="B269" s="4072" t="s">
        <v>4275</v>
      </c>
      <c r="C269" s="4072"/>
      <c r="D269" s="4072" t="s">
        <v>4274</v>
      </c>
      <c r="E269" s="2118" t="s">
        <v>233</v>
      </c>
      <c r="F269" s="1189" t="s">
        <v>4215</v>
      </c>
      <c r="G269" s="4073"/>
      <c r="H269" s="3887">
        <v>-86956.52</v>
      </c>
      <c r="I269" s="3887">
        <v>86956.52</v>
      </c>
      <c r="J269" s="4074">
        <v>45789</v>
      </c>
      <c r="K269" s="4075"/>
    </row>
    <row r="270" spans="1:13" s="10" customFormat="1" ht="42.75" customHeight="1">
      <c r="A270" s="1">
        <v>190</v>
      </c>
      <c r="B270" s="4072" t="s">
        <v>4276</v>
      </c>
      <c r="C270" s="4072"/>
      <c r="D270" s="4072" t="s">
        <v>4277</v>
      </c>
      <c r="E270" s="2118" t="s">
        <v>233</v>
      </c>
      <c r="F270" s="1189" t="s">
        <v>4092</v>
      </c>
      <c r="G270" s="4073"/>
      <c r="H270" s="3887">
        <v>-22058.81</v>
      </c>
      <c r="I270" s="3887">
        <v>22058.81</v>
      </c>
      <c r="J270" s="4074">
        <v>45789</v>
      </c>
      <c r="K270" s="4075"/>
    </row>
    <row r="271" spans="1:13" s="10" customFormat="1" ht="6" customHeight="1">
      <c r="A271" s="1"/>
      <c r="B271" s="4072"/>
      <c r="C271" s="4072"/>
      <c r="D271" s="4072"/>
      <c r="E271" s="2118"/>
      <c r="F271" s="1189"/>
      <c r="G271" s="4073"/>
      <c r="H271" s="3887"/>
      <c r="I271" s="3887"/>
      <c r="J271" s="4074"/>
      <c r="K271" s="4075"/>
    </row>
    <row r="272" spans="1:13" s="10" customFormat="1" ht="38.25">
      <c r="A272" s="1">
        <v>191</v>
      </c>
      <c r="B272" s="4072" t="s">
        <v>4288</v>
      </c>
      <c r="C272" s="4072"/>
      <c r="D272" s="4072" t="s">
        <v>4289</v>
      </c>
      <c r="E272" s="2118" t="s">
        <v>225</v>
      </c>
      <c r="F272" s="1189" t="s">
        <v>2003</v>
      </c>
      <c r="G272" s="4073"/>
      <c r="H272" s="3887">
        <v>-38103.199999999997</v>
      </c>
      <c r="I272" s="3887">
        <v>38103.199999999997</v>
      </c>
      <c r="J272" s="4074">
        <v>45789</v>
      </c>
      <c r="K272" s="4075"/>
    </row>
    <row r="273" spans="1:12" s="10" customFormat="1" ht="38.25">
      <c r="A273" s="1">
        <v>192</v>
      </c>
      <c r="B273" s="4072" t="s">
        <v>4287</v>
      </c>
      <c r="C273" s="4072"/>
      <c r="D273" s="4072" t="s">
        <v>4286</v>
      </c>
      <c r="E273" s="2118" t="s">
        <v>233</v>
      </c>
      <c r="F273" s="1189" t="s">
        <v>3608</v>
      </c>
      <c r="G273" s="4073"/>
      <c r="H273" s="3887">
        <v>-10747.78</v>
      </c>
      <c r="I273" s="3887">
        <v>10747.78</v>
      </c>
      <c r="J273" s="4074">
        <v>45782</v>
      </c>
      <c r="K273" s="4075"/>
    </row>
    <row r="274" spans="1:12" s="10" customFormat="1" ht="6.75" customHeight="1">
      <c r="A274" s="1"/>
      <c r="B274" s="4072"/>
      <c r="C274" s="4072"/>
      <c r="D274" s="4072"/>
      <c r="E274" s="2118"/>
      <c r="F274" s="1189"/>
      <c r="G274" s="4073"/>
      <c r="H274" s="3887"/>
      <c r="I274" s="3887"/>
      <c r="J274" s="4074"/>
      <c r="K274" s="4075"/>
    </row>
    <row r="275" spans="1:12" s="10" customFormat="1" ht="25.5">
      <c r="A275" s="1">
        <v>193</v>
      </c>
      <c r="B275" s="4072" t="s">
        <v>4300</v>
      </c>
      <c r="C275" s="4072"/>
      <c r="D275" s="4072" t="s">
        <v>4301</v>
      </c>
      <c r="E275" s="2118" t="s">
        <v>233</v>
      </c>
      <c r="F275" s="1189" t="s">
        <v>3930</v>
      </c>
      <c r="G275" s="4073"/>
      <c r="H275" s="3887">
        <v>-312470.43</v>
      </c>
      <c r="I275" s="3887">
        <v>312470.43</v>
      </c>
      <c r="J275" s="4074">
        <v>45802</v>
      </c>
      <c r="K275" s="4075"/>
      <c r="L275" s="4576" t="s">
        <v>5349</v>
      </c>
    </row>
    <row r="276" spans="1:12" s="10" customFormat="1" ht="25.5">
      <c r="A276" s="1">
        <v>194</v>
      </c>
      <c r="B276" s="4072" t="s">
        <v>4302</v>
      </c>
      <c r="C276" s="4072"/>
      <c r="D276" s="4072" t="s">
        <v>4303</v>
      </c>
      <c r="E276" s="2118" t="s">
        <v>233</v>
      </c>
      <c r="F276" s="1189" t="s">
        <v>2239</v>
      </c>
      <c r="G276" s="4073"/>
      <c r="H276" s="3887">
        <v>-15939</v>
      </c>
      <c r="I276" s="3887">
        <v>15939</v>
      </c>
      <c r="J276" s="4074">
        <v>45802</v>
      </c>
      <c r="K276" s="4075"/>
      <c r="L276" s="10" t="s">
        <v>5350</v>
      </c>
    </row>
    <row r="277" spans="1:12" s="10" customFormat="1" ht="25.5">
      <c r="A277" s="1">
        <v>195</v>
      </c>
      <c r="B277" s="4072" t="s">
        <v>4305</v>
      </c>
      <c r="C277" s="4072"/>
      <c r="D277" s="4072" t="s">
        <v>4304</v>
      </c>
      <c r="E277" s="2118" t="s">
        <v>233</v>
      </c>
      <c r="F277" s="1189" t="s">
        <v>2269</v>
      </c>
      <c r="G277" s="4073"/>
      <c r="H277" s="3887">
        <v>-856801.79</v>
      </c>
      <c r="I277" s="3887">
        <v>856801.79</v>
      </c>
      <c r="J277" s="4074">
        <v>45803</v>
      </c>
      <c r="K277" s="4075"/>
      <c r="L277" s="10" t="s">
        <v>5350</v>
      </c>
    </row>
    <row r="278" spans="1:12" s="10" customFormat="1" ht="27.75" customHeight="1">
      <c r="A278" s="1">
        <v>196</v>
      </c>
      <c r="B278" s="4072" t="s">
        <v>4306</v>
      </c>
      <c r="C278" s="4072"/>
      <c r="D278" s="4072" t="s">
        <v>4443</v>
      </c>
      <c r="E278" s="2118" t="s">
        <v>3930</v>
      </c>
      <c r="F278" s="2118" t="s">
        <v>233</v>
      </c>
      <c r="G278" s="4073"/>
      <c r="H278" s="3887">
        <v>-5290</v>
      </c>
      <c r="I278" s="3887">
        <v>5290</v>
      </c>
      <c r="J278" s="4074">
        <v>45839</v>
      </c>
      <c r="K278" s="4075"/>
      <c r="L278" s="4230"/>
    </row>
    <row r="279" spans="1:12" s="10" customFormat="1" ht="4.5" customHeight="1">
      <c r="A279" s="1"/>
      <c r="B279" s="4072"/>
      <c r="C279" s="4072"/>
      <c r="D279" s="4072"/>
      <c r="E279" s="2118"/>
      <c r="F279" s="1189"/>
      <c r="G279" s="4073"/>
      <c r="H279" s="3887"/>
      <c r="I279" s="3887"/>
      <c r="J279" s="4074"/>
      <c r="K279" s="4075"/>
    </row>
    <row r="280" spans="1:12" s="10" customFormat="1">
      <c r="A280" s="1">
        <v>197</v>
      </c>
      <c r="B280" s="4072" t="s">
        <v>4445</v>
      </c>
      <c r="C280" s="4072"/>
      <c r="D280" s="4072" t="s">
        <v>4444</v>
      </c>
      <c r="E280" s="2118" t="s">
        <v>233</v>
      </c>
      <c r="F280" s="1189" t="s">
        <v>4196</v>
      </c>
      <c r="G280" s="4073"/>
      <c r="H280" s="3887">
        <v>-1750</v>
      </c>
      <c r="I280" s="3887">
        <v>1750</v>
      </c>
      <c r="J280" s="4074">
        <v>45826</v>
      </c>
      <c r="K280" s="4075"/>
    </row>
    <row r="281" spans="1:12" s="10" customFormat="1" ht="25.5">
      <c r="A281" s="1">
        <v>198</v>
      </c>
      <c r="B281" s="4072" t="s">
        <v>4445</v>
      </c>
      <c r="C281" s="4072"/>
      <c r="D281" s="4072" t="s">
        <v>4444</v>
      </c>
      <c r="E281" s="2118" t="s">
        <v>233</v>
      </c>
      <c r="F281" s="1189" t="s">
        <v>4215</v>
      </c>
      <c r="G281" s="4073"/>
      <c r="H281" s="3887">
        <v>-14278.07</v>
      </c>
      <c r="I281" s="3887">
        <v>14278.07</v>
      </c>
      <c r="J281" s="4074">
        <v>45826</v>
      </c>
      <c r="K281" s="4075"/>
    </row>
    <row r="282" spans="1:12" s="10" customFormat="1" ht="25.5">
      <c r="A282" s="1">
        <v>199</v>
      </c>
      <c r="B282" s="4072" t="s">
        <v>4445</v>
      </c>
      <c r="C282" s="4072"/>
      <c r="D282" s="4072" t="s">
        <v>4444</v>
      </c>
      <c r="E282" s="2118" t="s">
        <v>233</v>
      </c>
      <c r="F282" s="1189" t="s">
        <v>4103</v>
      </c>
      <c r="G282" s="4073"/>
      <c r="H282" s="3887">
        <v>-141365.93</v>
      </c>
      <c r="I282" s="3887">
        <v>141365.93</v>
      </c>
      <c r="J282" s="4074">
        <v>45826</v>
      </c>
      <c r="K282" s="4075"/>
    </row>
    <row r="283" spans="1:12" s="10" customFormat="1" ht="25.5">
      <c r="A283" s="1">
        <v>200</v>
      </c>
      <c r="B283" s="4072" t="s">
        <v>4445</v>
      </c>
      <c r="C283" s="4072"/>
      <c r="D283" s="4072" t="s">
        <v>4444</v>
      </c>
      <c r="E283" s="2118" t="s">
        <v>233</v>
      </c>
      <c r="F283" s="1189" t="s">
        <v>4091</v>
      </c>
      <c r="G283" s="4073"/>
      <c r="H283" s="3887">
        <v>-83164.12</v>
      </c>
      <c r="I283" s="3887">
        <v>83164.12</v>
      </c>
      <c r="J283" s="4074">
        <v>45826</v>
      </c>
      <c r="K283" s="4075"/>
    </row>
    <row r="284" spans="1:12" s="10" customFormat="1">
      <c r="A284" s="1">
        <v>201</v>
      </c>
      <c r="B284" s="4072" t="s">
        <v>4445</v>
      </c>
      <c r="C284" s="4072"/>
      <c r="D284" s="4072" t="s">
        <v>4444</v>
      </c>
      <c r="E284" s="2118" t="s">
        <v>233</v>
      </c>
      <c r="F284" s="1189" t="s">
        <v>176</v>
      </c>
      <c r="G284" s="4073"/>
      <c r="H284" s="3887">
        <v>-244899.26</v>
      </c>
      <c r="I284" s="3887">
        <v>244899.26</v>
      </c>
      <c r="J284" s="4074">
        <v>45826</v>
      </c>
      <c r="K284" s="4075"/>
    </row>
    <row r="285" spans="1:12" s="10" customFormat="1">
      <c r="A285" s="1">
        <v>202</v>
      </c>
      <c r="B285" s="4072" t="s">
        <v>4445</v>
      </c>
      <c r="C285" s="4072"/>
      <c r="D285" s="4072" t="s">
        <v>4444</v>
      </c>
      <c r="E285" s="2118" t="s">
        <v>233</v>
      </c>
      <c r="F285" s="1189" t="s">
        <v>4105</v>
      </c>
      <c r="G285" s="4073"/>
      <c r="H285" s="3887">
        <v>-224000</v>
      </c>
      <c r="I285" s="3887">
        <v>224000</v>
      </c>
      <c r="J285" s="4074">
        <v>45826</v>
      </c>
      <c r="K285" s="4075"/>
    </row>
    <row r="286" spans="1:12" s="10" customFormat="1" ht="25.5">
      <c r="A286" s="1">
        <v>203</v>
      </c>
      <c r="B286" s="4072" t="s">
        <v>4445</v>
      </c>
      <c r="C286" s="4072"/>
      <c r="D286" s="4072" t="s">
        <v>4444</v>
      </c>
      <c r="E286" s="2118" t="s">
        <v>233</v>
      </c>
      <c r="F286" s="1189" t="s">
        <v>4104</v>
      </c>
      <c r="G286" s="4073"/>
      <c r="H286" s="3887">
        <v>-94000</v>
      </c>
      <c r="I286" s="3887">
        <v>94000</v>
      </c>
      <c r="J286" s="4074">
        <v>45826</v>
      </c>
      <c r="K286" s="4075"/>
    </row>
    <row r="287" spans="1:12" s="10" customFormat="1" ht="25.5">
      <c r="A287" s="1">
        <v>204</v>
      </c>
      <c r="B287" s="4072" t="s">
        <v>4445</v>
      </c>
      <c r="C287" s="4072"/>
      <c r="D287" s="4072" t="s">
        <v>4444</v>
      </c>
      <c r="E287" s="2118" t="s">
        <v>233</v>
      </c>
      <c r="F287" s="1189" t="s">
        <v>4102</v>
      </c>
      <c r="G287" s="4073"/>
      <c r="H287" s="3887">
        <v>-5930.56</v>
      </c>
      <c r="I287" s="3887">
        <v>5930.56</v>
      </c>
      <c r="J287" s="4074">
        <v>45826</v>
      </c>
      <c r="K287" s="4075"/>
    </row>
    <row r="288" spans="1:12" s="10" customFormat="1">
      <c r="A288" s="1">
        <v>205</v>
      </c>
      <c r="B288" s="4072" t="s">
        <v>4445</v>
      </c>
      <c r="C288" s="4072"/>
      <c r="D288" s="4072" t="s">
        <v>4444</v>
      </c>
      <c r="E288" s="2118" t="s">
        <v>233</v>
      </c>
      <c r="F288" s="1189" t="s">
        <v>4464</v>
      </c>
      <c r="G288" s="4073"/>
      <c r="H288" s="3887">
        <v>-123000</v>
      </c>
      <c r="I288" s="3887">
        <v>123000</v>
      </c>
      <c r="J288" s="4074">
        <v>45826</v>
      </c>
      <c r="K288" s="4075"/>
    </row>
    <row r="289" spans="1:11" s="10" customFormat="1" ht="25.5">
      <c r="A289" s="1">
        <v>206</v>
      </c>
      <c r="B289" s="4072" t="s">
        <v>4445</v>
      </c>
      <c r="C289" s="4072"/>
      <c r="D289" s="4072" t="s">
        <v>4444</v>
      </c>
      <c r="E289" s="2118" t="s">
        <v>233</v>
      </c>
      <c r="F289" s="1189" t="s">
        <v>4100</v>
      </c>
      <c r="G289" s="4073"/>
      <c r="H289" s="3887">
        <v>-2625</v>
      </c>
      <c r="I289" s="3887">
        <v>2625</v>
      </c>
      <c r="J289" s="4074">
        <v>45826</v>
      </c>
      <c r="K289" s="4075"/>
    </row>
    <row r="290" spans="1:11" s="10" customFormat="1" ht="25.5">
      <c r="A290" s="1">
        <v>207</v>
      </c>
      <c r="B290" s="4072" t="s">
        <v>4445</v>
      </c>
      <c r="C290" s="4072"/>
      <c r="D290" s="4072" t="s">
        <v>4444</v>
      </c>
      <c r="E290" s="2118" t="s">
        <v>233</v>
      </c>
      <c r="F290" s="1189" t="s">
        <v>4082</v>
      </c>
      <c r="G290" s="4073"/>
      <c r="H290" s="3887">
        <v>-1500</v>
      </c>
      <c r="I290" s="3887">
        <v>1500</v>
      </c>
      <c r="J290" s="4074">
        <v>45826</v>
      </c>
      <c r="K290" s="4075"/>
    </row>
    <row r="291" spans="1:11" s="10" customFormat="1" ht="38.25">
      <c r="A291" s="1">
        <v>208</v>
      </c>
      <c r="B291" s="4072" t="s">
        <v>4445</v>
      </c>
      <c r="C291" s="4072"/>
      <c r="D291" s="4072" t="s">
        <v>4444</v>
      </c>
      <c r="E291" s="2118" t="s">
        <v>233</v>
      </c>
      <c r="F291" s="1189" t="s">
        <v>4203</v>
      </c>
      <c r="G291" s="4073"/>
      <c r="H291" s="3887">
        <v>-23368</v>
      </c>
      <c r="I291" s="3887">
        <v>23368</v>
      </c>
      <c r="J291" s="4074">
        <v>45826</v>
      </c>
      <c r="K291" s="4075"/>
    </row>
    <row r="292" spans="1:11" s="10" customFormat="1">
      <c r="A292" s="1">
        <v>209</v>
      </c>
      <c r="B292" s="4072" t="s">
        <v>4445</v>
      </c>
      <c r="C292" s="4072"/>
      <c r="D292" s="4072" t="s">
        <v>4444</v>
      </c>
      <c r="E292" s="2118" t="s">
        <v>233</v>
      </c>
      <c r="F292" s="1189" t="s">
        <v>4193</v>
      </c>
      <c r="G292" s="4073"/>
      <c r="H292" s="3887">
        <v>-28608</v>
      </c>
      <c r="I292" s="3887">
        <v>28608</v>
      </c>
      <c r="J292" s="4074">
        <v>45826</v>
      </c>
      <c r="K292" s="4075"/>
    </row>
    <row r="293" spans="1:11" s="10" customFormat="1" ht="25.5">
      <c r="A293" s="1">
        <v>210</v>
      </c>
      <c r="B293" s="4072" t="s">
        <v>4445</v>
      </c>
      <c r="C293" s="4072"/>
      <c r="D293" s="4072" t="s">
        <v>4444</v>
      </c>
      <c r="E293" s="2118" t="s">
        <v>233</v>
      </c>
      <c r="F293" s="1189" t="s">
        <v>4096</v>
      </c>
      <c r="G293" s="4073"/>
      <c r="H293" s="3887">
        <v>-2500</v>
      </c>
      <c r="I293" s="3887">
        <v>2500</v>
      </c>
      <c r="J293" s="4074">
        <v>45826</v>
      </c>
      <c r="K293" s="4075"/>
    </row>
    <row r="294" spans="1:11" s="10" customFormat="1" ht="25.5">
      <c r="A294" s="1">
        <v>211</v>
      </c>
      <c r="B294" s="4072" t="s">
        <v>4445</v>
      </c>
      <c r="C294" s="4072"/>
      <c r="D294" s="4072" t="s">
        <v>4444</v>
      </c>
      <c r="E294" s="2118" t="s">
        <v>233</v>
      </c>
      <c r="F294" s="1189" t="s">
        <v>4094</v>
      </c>
      <c r="G294" s="4073"/>
      <c r="H294" s="3887">
        <v>-33425</v>
      </c>
      <c r="I294" s="3887">
        <v>33425</v>
      </c>
      <c r="J294" s="4074">
        <v>45826</v>
      </c>
      <c r="K294" s="4075"/>
    </row>
    <row r="295" spans="1:11" s="10" customFormat="1" ht="25.5">
      <c r="A295" s="1">
        <v>212</v>
      </c>
      <c r="B295" s="4072" t="s">
        <v>4445</v>
      </c>
      <c r="C295" s="4072"/>
      <c r="D295" s="4072" t="s">
        <v>4444</v>
      </c>
      <c r="E295" s="2118" t="s">
        <v>233</v>
      </c>
      <c r="F295" s="1189" t="s">
        <v>4076</v>
      </c>
      <c r="G295" s="4073"/>
      <c r="H295" s="3887">
        <v>-39500</v>
      </c>
      <c r="I295" s="3887">
        <v>39500</v>
      </c>
      <c r="J295" s="4074">
        <v>45826</v>
      </c>
      <c r="K295" s="4075"/>
    </row>
    <row r="296" spans="1:11" s="10" customFormat="1" ht="25.5">
      <c r="A296" s="1">
        <v>213</v>
      </c>
      <c r="B296" s="4072" t="s">
        <v>4445</v>
      </c>
      <c r="C296" s="4072"/>
      <c r="D296" s="4072" t="s">
        <v>4444</v>
      </c>
      <c r="E296" s="2118" t="s">
        <v>233</v>
      </c>
      <c r="F296" s="1189" t="s">
        <v>4075</v>
      </c>
      <c r="G296" s="4073"/>
      <c r="H296" s="3887">
        <v>-12000</v>
      </c>
      <c r="I296" s="3887">
        <v>12000</v>
      </c>
      <c r="J296" s="4074">
        <v>45826</v>
      </c>
      <c r="K296" s="4075"/>
    </row>
    <row r="297" spans="1:11" s="10" customFormat="1" ht="25.5">
      <c r="A297" s="1">
        <v>214</v>
      </c>
      <c r="B297" s="4072" t="s">
        <v>4445</v>
      </c>
      <c r="C297" s="4072"/>
      <c r="D297" s="4072" t="s">
        <v>4444</v>
      </c>
      <c r="E297" s="2118" t="s">
        <v>233</v>
      </c>
      <c r="F297" s="1189" t="s">
        <v>4215</v>
      </c>
      <c r="G297" s="4073"/>
      <c r="H297" s="3887">
        <v>-100000</v>
      </c>
      <c r="I297" s="3887">
        <v>100000</v>
      </c>
      <c r="J297" s="4074">
        <v>45826</v>
      </c>
      <c r="K297" s="4075"/>
    </row>
    <row r="298" spans="1:11" s="10" customFormat="1" ht="37.5" customHeight="1">
      <c r="A298" s="1">
        <v>215</v>
      </c>
      <c r="B298" s="4072" t="s">
        <v>4445</v>
      </c>
      <c r="C298" s="4072"/>
      <c r="D298" s="4072" t="s">
        <v>4444</v>
      </c>
      <c r="E298" s="2118" t="s">
        <v>233</v>
      </c>
      <c r="F298" s="1189" t="s">
        <v>4465</v>
      </c>
      <c r="G298" s="4073"/>
      <c r="H298" s="3887">
        <v>-6608.7</v>
      </c>
      <c r="I298" s="3887">
        <v>6608.7</v>
      </c>
      <c r="J298" s="4074">
        <v>45826</v>
      </c>
      <c r="K298" s="4075"/>
    </row>
    <row r="299" spans="1:11" s="10" customFormat="1">
      <c r="A299" s="1"/>
      <c r="B299" s="4072"/>
      <c r="C299" s="4072"/>
      <c r="D299" s="4072"/>
      <c r="E299" s="2118"/>
      <c r="F299" s="1189"/>
      <c r="G299" s="4073"/>
      <c r="H299" s="3887"/>
      <c r="I299" s="3887"/>
      <c r="J299" s="4074"/>
      <c r="K299" s="4075"/>
    </row>
    <row r="300" spans="1:11" s="10" customFormat="1">
      <c r="A300" s="1">
        <v>216</v>
      </c>
      <c r="B300" s="4072" t="s">
        <v>4447</v>
      </c>
      <c r="C300" s="4072"/>
      <c r="D300" s="4072" t="s">
        <v>4446</v>
      </c>
      <c r="E300" s="2118" t="s">
        <v>4200</v>
      </c>
      <c r="F300" s="1189" t="s">
        <v>233</v>
      </c>
      <c r="G300" s="4073"/>
      <c r="H300" s="3887">
        <v>-660.2</v>
      </c>
      <c r="I300" s="3887">
        <v>660.2</v>
      </c>
      <c r="J300" s="4074">
        <v>45839</v>
      </c>
      <c r="K300" s="4075"/>
    </row>
    <row r="301" spans="1:11" s="10" customFormat="1">
      <c r="A301" s="1"/>
      <c r="B301" s="4072"/>
      <c r="C301" s="4072"/>
      <c r="D301" s="4072"/>
      <c r="E301" s="2118"/>
      <c r="F301" s="1189"/>
      <c r="G301" s="4073"/>
      <c r="H301" s="3887"/>
      <c r="I301" s="3887"/>
      <c r="J301" s="4074"/>
      <c r="K301" s="4075"/>
    </row>
    <row r="302" spans="1:11" s="10" customFormat="1">
      <c r="A302" s="1">
        <v>217</v>
      </c>
      <c r="B302" s="4072" t="s">
        <v>4449</v>
      </c>
      <c r="C302" s="4072"/>
      <c r="D302" s="4072" t="s">
        <v>4448</v>
      </c>
      <c r="E302" s="2118" t="s">
        <v>233</v>
      </c>
      <c r="F302" s="1189" t="s">
        <v>4466</v>
      </c>
      <c r="G302" s="4073"/>
      <c r="H302" s="3887">
        <v>-545237.5</v>
      </c>
      <c r="I302" s="3887">
        <v>545237.5</v>
      </c>
      <c r="J302" s="4074">
        <v>45826</v>
      </c>
      <c r="K302" s="4075"/>
    </row>
    <row r="303" spans="1:11" s="10" customFormat="1" ht="25.5">
      <c r="A303" s="1">
        <v>218</v>
      </c>
      <c r="B303" s="4072" t="s">
        <v>4449</v>
      </c>
      <c r="C303" s="4072"/>
      <c r="D303" s="4072" t="s">
        <v>4448</v>
      </c>
      <c r="E303" s="2118" t="s">
        <v>233</v>
      </c>
      <c r="F303" s="1189" t="s">
        <v>4467</v>
      </c>
      <c r="G303" s="4073"/>
      <c r="H303" s="3887">
        <v>-2730</v>
      </c>
      <c r="I303" s="3887">
        <v>2730</v>
      </c>
      <c r="J303" s="4074">
        <v>45826</v>
      </c>
      <c r="K303" s="4075"/>
    </row>
    <row r="304" spans="1:11" s="10" customFormat="1" ht="25.5">
      <c r="A304" s="1">
        <v>219</v>
      </c>
      <c r="B304" s="4072" t="s">
        <v>4449</v>
      </c>
      <c r="C304" s="4072"/>
      <c r="D304" s="4072" t="s">
        <v>4448</v>
      </c>
      <c r="E304" s="2118" t="s">
        <v>233</v>
      </c>
      <c r="F304" s="1189" t="s">
        <v>4079</v>
      </c>
      <c r="G304" s="4073"/>
      <c r="H304" s="3887">
        <v>-34071.879999999997</v>
      </c>
      <c r="I304" s="3887">
        <v>34071.879999999997</v>
      </c>
      <c r="J304" s="4074">
        <v>45826</v>
      </c>
      <c r="K304" s="4075"/>
    </row>
    <row r="305" spans="1:12" s="10" customFormat="1">
      <c r="A305" s="1">
        <v>220</v>
      </c>
      <c r="B305" s="4072" t="s">
        <v>4449</v>
      </c>
      <c r="C305" s="4072"/>
      <c r="D305" s="4072" t="s">
        <v>4448</v>
      </c>
      <c r="E305" s="2118" t="s">
        <v>233</v>
      </c>
      <c r="F305" s="1189" t="s">
        <v>4468</v>
      </c>
      <c r="G305" s="4073"/>
      <c r="H305" s="3887">
        <v>-59606.12</v>
      </c>
      <c r="I305" s="3887">
        <v>59606.12</v>
      </c>
      <c r="J305" s="4074">
        <v>45826</v>
      </c>
      <c r="K305" s="4075"/>
    </row>
    <row r="306" spans="1:12" s="10" customFormat="1">
      <c r="A306" s="1"/>
      <c r="B306" s="4072"/>
      <c r="C306" s="4072"/>
      <c r="D306" s="4072"/>
      <c r="E306" s="2118"/>
      <c r="F306" s="1189"/>
      <c r="G306" s="4073"/>
      <c r="H306" s="3887"/>
      <c r="I306" s="3887"/>
      <c r="J306" s="4074"/>
      <c r="K306" s="4075"/>
    </row>
    <row r="307" spans="1:12" s="10" customFormat="1">
      <c r="A307" s="1">
        <v>221</v>
      </c>
      <c r="B307" s="4072" t="s">
        <v>4449</v>
      </c>
      <c r="C307" s="4072"/>
      <c r="D307" s="4072" t="s">
        <v>4450</v>
      </c>
      <c r="E307" s="2118" t="s">
        <v>233</v>
      </c>
      <c r="F307" s="1189" t="s">
        <v>4192</v>
      </c>
      <c r="G307" s="4073"/>
      <c r="H307" s="3887">
        <v>-4000</v>
      </c>
      <c r="I307" s="3887">
        <v>4000</v>
      </c>
      <c r="J307" s="4074">
        <v>45832</v>
      </c>
      <c r="K307" s="4075"/>
    </row>
    <row r="308" spans="1:12" s="10" customFormat="1" ht="25.5">
      <c r="A308" s="1">
        <v>222</v>
      </c>
      <c r="B308" s="4072" t="s">
        <v>4449</v>
      </c>
      <c r="C308" s="4072"/>
      <c r="D308" s="4072" t="s">
        <v>4450</v>
      </c>
      <c r="E308" s="2118" t="s">
        <v>233</v>
      </c>
      <c r="F308" s="1189" t="s">
        <v>4084</v>
      </c>
      <c r="G308" s="4073"/>
      <c r="H308" s="3887">
        <v>-1096087.69</v>
      </c>
      <c r="I308" s="3887">
        <v>1096087.69</v>
      </c>
      <c r="J308" s="4074">
        <v>45832</v>
      </c>
      <c r="K308" s="4075"/>
    </row>
    <row r="309" spans="1:12" s="10" customFormat="1" ht="25.5">
      <c r="A309" s="1">
        <v>223</v>
      </c>
      <c r="B309" s="4072" t="s">
        <v>4449</v>
      </c>
      <c r="C309" s="4072"/>
      <c r="D309" s="4072" t="s">
        <v>4450</v>
      </c>
      <c r="E309" s="2118" t="s">
        <v>233</v>
      </c>
      <c r="F309" s="1189" t="s">
        <v>4080</v>
      </c>
      <c r="G309" s="4073"/>
      <c r="H309" s="3887">
        <v>-7800</v>
      </c>
      <c r="I309" s="3887">
        <v>7800</v>
      </c>
      <c r="J309" s="4074">
        <v>45832</v>
      </c>
      <c r="K309" s="4075"/>
    </row>
    <row r="310" spans="1:12" s="10" customFormat="1" ht="25.5">
      <c r="A310" s="1">
        <v>224</v>
      </c>
      <c r="B310" s="4072" t="s">
        <v>4449</v>
      </c>
      <c r="C310" s="4072"/>
      <c r="D310" s="4072" t="s">
        <v>4450</v>
      </c>
      <c r="E310" s="2118" t="s">
        <v>233</v>
      </c>
      <c r="F310" s="1189" t="s">
        <v>4215</v>
      </c>
      <c r="G310" s="4073"/>
      <c r="H310" s="3887">
        <v>-606213.26</v>
      </c>
      <c r="I310" s="3887">
        <v>606213.26</v>
      </c>
      <c r="J310" s="4074">
        <v>45832</v>
      </c>
      <c r="K310" s="4075"/>
    </row>
    <row r="311" spans="1:12" s="10" customFormat="1" ht="25.5">
      <c r="A311" s="1">
        <v>225</v>
      </c>
      <c r="B311" s="4072" t="s">
        <v>4449</v>
      </c>
      <c r="C311" s="4072"/>
      <c r="D311" s="4072" t="s">
        <v>4450</v>
      </c>
      <c r="E311" s="2118" t="s">
        <v>233</v>
      </c>
      <c r="F311" s="1189" t="s">
        <v>4469</v>
      </c>
      <c r="G311" s="4073"/>
      <c r="H311" s="3887">
        <v>-43846.11</v>
      </c>
      <c r="I311" s="3887">
        <v>43846.11</v>
      </c>
      <c r="J311" s="4074">
        <v>45832</v>
      </c>
      <c r="K311" s="4075"/>
    </row>
    <row r="312" spans="1:12" s="10" customFormat="1">
      <c r="A312" s="1">
        <v>226</v>
      </c>
      <c r="B312" s="4072" t="s">
        <v>4449</v>
      </c>
      <c r="C312" s="4072"/>
      <c r="D312" s="4072" t="s">
        <v>4450</v>
      </c>
      <c r="E312" s="2118" t="s">
        <v>233</v>
      </c>
      <c r="F312" s="1189" t="s">
        <v>4470</v>
      </c>
      <c r="G312" s="4073"/>
      <c r="H312" s="3887">
        <v>-10690</v>
      </c>
      <c r="I312" s="3887">
        <v>10690</v>
      </c>
      <c r="J312" s="4074">
        <v>45832</v>
      </c>
      <c r="K312" s="4075"/>
    </row>
    <row r="313" spans="1:12" s="10" customFormat="1">
      <c r="A313" s="1">
        <v>227</v>
      </c>
      <c r="B313" s="4072" t="s">
        <v>4449</v>
      </c>
      <c r="C313" s="4072"/>
      <c r="D313" s="4072" t="s">
        <v>4450</v>
      </c>
      <c r="E313" s="2118" t="s">
        <v>233</v>
      </c>
      <c r="F313" s="1189" t="s">
        <v>4471</v>
      </c>
      <c r="G313" s="4073"/>
      <c r="H313" s="3887">
        <v>-75000</v>
      </c>
      <c r="I313" s="3887">
        <v>75000</v>
      </c>
      <c r="J313" s="4074">
        <v>45832</v>
      </c>
      <c r="K313" s="4075"/>
    </row>
    <row r="314" spans="1:12" s="10" customFormat="1">
      <c r="A314" s="1">
        <v>228</v>
      </c>
      <c r="B314" s="4072" t="s">
        <v>4449</v>
      </c>
      <c r="C314" s="4072"/>
      <c r="D314" s="4072" t="s">
        <v>4450</v>
      </c>
      <c r="E314" s="2118" t="s">
        <v>233</v>
      </c>
      <c r="F314" s="1189" t="s">
        <v>4078</v>
      </c>
      <c r="G314" s="4073"/>
      <c r="H314" s="3887">
        <v>-21739.13</v>
      </c>
      <c r="I314" s="3887">
        <v>21739.13</v>
      </c>
      <c r="J314" s="4074">
        <v>45832</v>
      </c>
      <c r="K314" s="4075"/>
    </row>
    <row r="315" spans="1:12" s="10" customFormat="1">
      <c r="A315" s="1"/>
      <c r="B315" s="4072"/>
      <c r="C315" s="4072"/>
      <c r="D315" s="4072"/>
      <c r="E315" s="2118"/>
      <c r="F315" s="1189"/>
      <c r="G315" s="4073"/>
      <c r="H315" s="3887"/>
      <c r="I315" s="3887"/>
      <c r="J315" s="4074"/>
      <c r="K315" s="4075"/>
    </row>
    <row r="316" spans="1:12" s="10" customFormat="1" ht="25.5">
      <c r="A316" s="1">
        <v>229</v>
      </c>
      <c r="B316" s="4072" t="s">
        <v>4451</v>
      </c>
      <c r="C316" s="4072"/>
      <c r="D316" s="4072"/>
      <c r="E316" s="2118"/>
      <c r="F316" s="1189" t="s">
        <v>233</v>
      </c>
      <c r="G316" s="4073"/>
      <c r="H316" s="3887">
        <v>0</v>
      </c>
      <c r="I316" s="3887">
        <v>62089112</v>
      </c>
      <c r="J316" s="4074">
        <v>45837</v>
      </c>
      <c r="K316" s="4075"/>
    </row>
    <row r="317" spans="1:12" s="10" customFormat="1">
      <c r="A317" s="1"/>
      <c r="B317" s="4072"/>
      <c r="C317" s="4072"/>
      <c r="D317" s="4072"/>
      <c r="E317" s="2118"/>
      <c r="F317" s="1189"/>
      <c r="G317" s="4073"/>
      <c r="H317" s="3887"/>
      <c r="I317" s="3887"/>
      <c r="J317" s="4074"/>
      <c r="K317" s="4075"/>
    </row>
    <row r="318" spans="1:12" s="4258" customFormat="1" ht="25.5">
      <c r="A318" s="1">
        <v>230</v>
      </c>
      <c r="B318" s="4072" t="s">
        <v>4453</v>
      </c>
      <c r="C318" s="4072"/>
      <c r="D318" s="4072" t="s">
        <v>4551</v>
      </c>
      <c r="E318" s="2118" t="s">
        <v>233</v>
      </c>
      <c r="F318" s="1189" t="s">
        <v>3930</v>
      </c>
      <c r="G318" s="4073"/>
      <c r="H318" s="4256">
        <v>-21275.25</v>
      </c>
      <c r="I318" s="3887">
        <v>21275.25</v>
      </c>
      <c r="J318" s="4074">
        <v>45852</v>
      </c>
      <c r="K318" s="4075"/>
      <c r="L318" s="4578" t="s">
        <v>571</v>
      </c>
    </row>
    <row r="319" spans="1:12" s="4258" customFormat="1" ht="25.5">
      <c r="A319" s="1">
        <v>231</v>
      </c>
      <c r="B319" s="4072" t="s">
        <v>4454</v>
      </c>
      <c r="C319" s="4072"/>
      <c r="D319" s="4072" t="s">
        <v>4551</v>
      </c>
      <c r="E319" s="2118" t="s">
        <v>233</v>
      </c>
      <c r="F319" s="1189" t="s">
        <v>3930</v>
      </c>
      <c r="G319" s="4073"/>
      <c r="H319" s="4256">
        <v>-2521135.52</v>
      </c>
      <c r="I319" s="3887">
        <v>2521135.52</v>
      </c>
      <c r="J319" s="4074">
        <v>45852</v>
      </c>
      <c r="K319" s="4075"/>
      <c r="L319" s="4577" t="s">
        <v>5349</v>
      </c>
    </row>
    <row r="320" spans="1:12" s="4258" customFormat="1">
      <c r="A320" s="1">
        <v>232</v>
      </c>
      <c r="B320" s="4072" t="s">
        <v>4455</v>
      </c>
      <c r="C320" s="4072"/>
      <c r="D320" s="4072" t="s">
        <v>4452</v>
      </c>
      <c r="E320" s="2118" t="s">
        <v>233</v>
      </c>
      <c r="F320" s="1189" t="s">
        <v>3205</v>
      </c>
      <c r="G320" s="4073"/>
      <c r="H320" s="4256">
        <v>-9188438.5099999998</v>
      </c>
      <c r="I320" s="3887">
        <v>9188438.5099999998</v>
      </c>
      <c r="J320" s="4074">
        <v>45852</v>
      </c>
      <c r="K320" s="4075"/>
    </row>
    <row r="321" spans="1:12" s="4258" customFormat="1">
      <c r="A321" s="1"/>
      <c r="B321" s="4072"/>
      <c r="C321" s="4072"/>
      <c r="D321" s="4072"/>
      <c r="E321" s="2118"/>
      <c r="F321" s="1189"/>
      <c r="G321" s="4073"/>
      <c r="H321" s="4256"/>
      <c r="I321" s="3887"/>
      <c r="J321" s="4074"/>
      <c r="K321" s="4075"/>
    </row>
    <row r="322" spans="1:12" s="10" customFormat="1">
      <c r="A322" s="1"/>
      <c r="B322" s="4072"/>
      <c r="C322" s="4072"/>
      <c r="D322" s="4072"/>
      <c r="E322" s="2118"/>
      <c r="F322" s="1189"/>
      <c r="G322" s="4073"/>
      <c r="H322" s="3887"/>
      <c r="I322" s="3887"/>
      <c r="J322" s="4074"/>
      <c r="K322" s="4075"/>
    </row>
    <row r="323" spans="1:12" s="10" customFormat="1" ht="25.5">
      <c r="A323" s="1">
        <v>233</v>
      </c>
      <c r="B323" s="4072" t="s">
        <v>4456</v>
      </c>
      <c r="C323" s="4072"/>
      <c r="D323" s="4072" t="s">
        <v>4457</v>
      </c>
      <c r="E323" s="2118" t="s">
        <v>233</v>
      </c>
      <c r="F323" s="1189" t="s">
        <v>4473</v>
      </c>
      <c r="G323" s="4073"/>
      <c r="H323" s="3887">
        <v>-624120.15</v>
      </c>
      <c r="I323" s="3887">
        <v>624120.15</v>
      </c>
      <c r="J323" s="4074">
        <v>45846</v>
      </c>
      <c r="K323" s="4075"/>
    </row>
    <row r="324" spans="1:12" s="10" customFormat="1">
      <c r="A324" s="1"/>
      <c r="B324" s="4072"/>
      <c r="C324" s="4072"/>
      <c r="D324" s="4072"/>
      <c r="E324" s="2118"/>
      <c r="F324" s="1189"/>
      <c r="G324" s="4073"/>
      <c r="H324" s="3887"/>
      <c r="I324" s="3887"/>
      <c r="J324" s="4074"/>
      <c r="K324" s="4075"/>
    </row>
    <row r="325" spans="1:12" s="10" customFormat="1">
      <c r="A325" s="1">
        <v>234</v>
      </c>
      <c r="B325" s="4072" t="s">
        <v>4459</v>
      </c>
      <c r="C325" s="4072"/>
      <c r="D325" s="4072" t="s">
        <v>4458</v>
      </c>
      <c r="E325" s="2118" t="s">
        <v>233</v>
      </c>
      <c r="F325" s="1189" t="s">
        <v>160</v>
      </c>
      <c r="G325" s="4073"/>
      <c r="H325" s="3887">
        <v>-275000</v>
      </c>
      <c r="I325" s="3887">
        <v>275000</v>
      </c>
      <c r="J325" s="4074">
        <v>45846</v>
      </c>
      <c r="K325" s="4075"/>
      <c r="L325" s="10" t="s">
        <v>5350</v>
      </c>
    </row>
    <row r="326" spans="1:12" s="10" customFormat="1">
      <c r="A326" s="1"/>
      <c r="B326" s="4072"/>
      <c r="C326" s="4072"/>
      <c r="D326" s="4072"/>
      <c r="E326" s="2118"/>
      <c r="F326" s="1189"/>
      <c r="G326" s="4073"/>
      <c r="H326" s="3887"/>
      <c r="I326" s="3887"/>
      <c r="J326" s="4074"/>
      <c r="K326" s="4075"/>
    </row>
    <row r="327" spans="1:12" s="10" customFormat="1" ht="24.75" customHeight="1">
      <c r="A327" s="1">
        <v>235</v>
      </c>
      <c r="B327" s="4072" t="s">
        <v>4461</v>
      </c>
      <c r="C327" s="4072"/>
      <c r="D327" s="4072" t="s">
        <v>4460</v>
      </c>
      <c r="E327" s="2118" t="s">
        <v>233</v>
      </c>
      <c r="F327" s="1189" t="s">
        <v>160</v>
      </c>
      <c r="G327" s="4073"/>
      <c r="H327" s="3887">
        <v>-54637.58</v>
      </c>
      <c r="I327" s="3887">
        <v>54637.58</v>
      </c>
      <c r="J327" s="4074">
        <v>45845</v>
      </c>
      <c r="K327" s="4075"/>
    </row>
    <row r="328" spans="1:12" s="10" customFormat="1">
      <c r="A328" s="4412">
        <v>236</v>
      </c>
      <c r="B328" s="4413" t="s">
        <v>4474</v>
      </c>
      <c r="C328" s="4413"/>
      <c r="D328" s="4413" t="s">
        <v>4460</v>
      </c>
      <c r="E328" s="4414" t="s">
        <v>160</v>
      </c>
      <c r="F328" s="4418" t="s">
        <v>233</v>
      </c>
      <c r="G328" s="4415"/>
      <c r="H328" s="4416">
        <v>-8870230.2699999996</v>
      </c>
      <c r="I328" s="4416">
        <v>8870230.2699999996</v>
      </c>
      <c r="J328" s="4417">
        <v>45845</v>
      </c>
      <c r="K328" s="4075"/>
      <c r="L328" s="10" t="s">
        <v>5350</v>
      </c>
    </row>
    <row r="329" spans="1:12" s="10" customFormat="1" ht="13.5" customHeight="1">
      <c r="A329" s="1"/>
      <c r="B329" s="4072"/>
      <c r="C329" s="4072"/>
      <c r="D329" s="4072"/>
      <c r="E329" s="2118"/>
      <c r="F329" s="1189"/>
      <c r="G329" s="4073"/>
      <c r="H329" s="3887"/>
      <c r="I329" s="3887"/>
      <c r="J329" s="4074"/>
      <c r="K329" s="4075"/>
    </row>
    <row r="330" spans="1:12" s="10" customFormat="1" ht="25.5">
      <c r="A330" s="1">
        <v>237</v>
      </c>
      <c r="B330" s="4072" t="s">
        <v>4463</v>
      </c>
      <c r="C330" s="4072"/>
      <c r="D330" s="4072" t="s">
        <v>4462</v>
      </c>
      <c r="E330" s="2118" t="s">
        <v>233</v>
      </c>
      <c r="F330" s="1189" t="s">
        <v>3930</v>
      </c>
      <c r="G330" s="4073"/>
      <c r="H330" s="3887">
        <v>-52279.98</v>
      </c>
      <c r="I330" s="3887">
        <v>52279.98</v>
      </c>
      <c r="J330" s="4074">
        <v>45852</v>
      </c>
      <c r="K330" s="4075"/>
    </row>
    <row r="331" spans="1:12" s="10" customFormat="1">
      <c r="A331" s="1"/>
      <c r="B331" s="4072"/>
      <c r="C331" s="4072"/>
      <c r="D331" s="4072"/>
      <c r="E331" s="2118"/>
      <c r="F331" s="1189"/>
      <c r="G331" s="4073"/>
      <c r="H331" s="3887"/>
      <c r="I331" s="3887"/>
      <c r="J331" s="4074"/>
      <c r="K331" s="4075"/>
    </row>
    <row r="332" spans="1:12" s="10" customFormat="1" ht="25.5">
      <c r="A332" s="1">
        <v>238</v>
      </c>
      <c r="B332" s="4072" t="s">
        <v>4472</v>
      </c>
      <c r="C332" s="4072"/>
      <c r="D332" s="4072" t="s">
        <v>4544</v>
      </c>
      <c r="E332" s="2118" t="s">
        <v>233</v>
      </c>
      <c r="F332" s="1189" t="s">
        <v>4091</v>
      </c>
      <c r="G332" s="4073"/>
      <c r="H332" s="3887">
        <v>-184185.7</v>
      </c>
      <c r="I332" s="3887">
        <v>184185.7</v>
      </c>
      <c r="J332" s="4074">
        <v>45865</v>
      </c>
      <c r="K332" s="4075"/>
    </row>
    <row r="333" spans="1:12" s="10" customFormat="1" ht="25.5">
      <c r="A333" s="1">
        <v>239</v>
      </c>
      <c r="B333" s="4072" t="s">
        <v>4472</v>
      </c>
      <c r="C333" s="4072"/>
      <c r="D333" s="4072" t="s">
        <v>4544</v>
      </c>
      <c r="E333" s="2118" t="s">
        <v>233</v>
      </c>
      <c r="F333" s="1189" t="s">
        <v>4084</v>
      </c>
      <c r="G333" s="4073"/>
      <c r="H333" s="3887">
        <v>-232406.39</v>
      </c>
      <c r="I333" s="3887">
        <v>232406.39</v>
      </c>
      <c r="J333" s="4074">
        <v>45865</v>
      </c>
      <c r="K333" s="4075"/>
    </row>
    <row r="334" spans="1:12" s="10" customFormat="1">
      <c r="A334" s="1">
        <v>240</v>
      </c>
      <c r="B334" s="4072" t="s">
        <v>4472</v>
      </c>
      <c r="C334" s="4072"/>
      <c r="D334" s="4072" t="s">
        <v>4544</v>
      </c>
      <c r="E334" s="2118" t="s">
        <v>233</v>
      </c>
      <c r="F334" s="1189" t="s">
        <v>4085</v>
      </c>
      <c r="G334" s="4073"/>
      <c r="H334" s="3887">
        <v>-1719705.93</v>
      </c>
      <c r="I334" s="3887">
        <v>1719705.93</v>
      </c>
      <c r="J334" s="4074">
        <v>45865</v>
      </c>
      <c r="K334" s="4075"/>
    </row>
    <row r="335" spans="1:12" s="10" customFormat="1" ht="25.5">
      <c r="A335" s="1">
        <v>241</v>
      </c>
      <c r="B335" s="4072" t="s">
        <v>4472</v>
      </c>
      <c r="C335" s="4072"/>
      <c r="D335" s="4153" t="s">
        <v>4550</v>
      </c>
      <c r="E335" s="2118" t="s">
        <v>233</v>
      </c>
      <c r="F335" s="1189" t="s">
        <v>4089</v>
      </c>
      <c r="G335" s="4073"/>
      <c r="H335" s="3887">
        <v>-337848.8</v>
      </c>
      <c r="I335" s="3887">
        <v>337848.8</v>
      </c>
      <c r="J335" s="4074">
        <v>45865</v>
      </c>
      <c r="K335" s="4075"/>
    </row>
    <row r="336" spans="1:12" s="10" customFormat="1" ht="25.5">
      <c r="A336" s="1">
        <v>242</v>
      </c>
      <c r="B336" s="4072" t="s">
        <v>4472</v>
      </c>
      <c r="C336" s="4072"/>
      <c r="D336" s="4072" t="s">
        <v>4544</v>
      </c>
      <c r="E336" s="2118" t="s">
        <v>233</v>
      </c>
      <c r="F336" s="1189" t="s">
        <v>4215</v>
      </c>
      <c r="G336" s="4073"/>
      <c r="H336" s="3887">
        <v>-26105.01</v>
      </c>
      <c r="I336" s="3887">
        <v>26105.01</v>
      </c>
      <c r="J336" s="4074">
        <v>45865</v>
      </c>
      <c r="K336" s="4075"/>
    </row>
    <row r="337" spans="1:11" s="10" customFormat="1">
      <c r="A337" s="1">
        <v>243</v>
      </c>
      <c r="B337" s="4072" t="s">
        <v>4472</v>
      </c>
      <c r="C337" s="4072"/>
      <c r="D337" s="4072" t="s">
        <v>4544</v>
      </c>
      <c r="E337" s="2118" t="s">
        <v>233</v>
      </c>
      <c r="F337" s="1189" t="s">
        <v>4105</v>
      </c>
      <c r="G337" s="4073"/>
      <c r="H337" s="3887">
        <v>-233500</v>
      </c>
      <c r="I337" s="3887">
        <v>233500</v>
      </c>
      <c r="J337" s="4074">
        <v>45865</v>
      </c>
      <c r="K337" s="4075"/>
    </row>
    <row r="338" spans="1:11" s="10" customFormat="1" ht="25.5">
      <c r="A338" s="1">
        <v>244</v>
      </c>
      <c r="B338" s="4072" t="s">
        <v>4472</v>
      </c>
      <c r="C338" s="4072"/>
      <c r="D338" s="4072" t="s">
        <v>4544</v>
      </c>
      <c r="E338" s="2118" t="s">
        <v>233</v>
      </c>
      <c r="F338" s="1189" t="s">
        <v>4104</v>
      </c>
      <c r="G338" s="4073"/>
      <c r="H338" s="3887">
        <v>-94000</v>
      </c>
      <c r="I338" s="3887">
        <v>94000</v>
      </c>
      <c r="J338" s="4074">
        <v>45865</v>
      </c>
      <c r="K338" s="4075"/>
    </row>
    <row r="339" spans="1:11" s="10" customFormat="1">
      <c r="A339" s="1">
        <v>245</v>
      </c>
      <c r="B339" s="4072" t="s">
        <v>4472</v>
      </c>
      <c r="C339" s="4072"/>
      <c r="D339" s="4072" t="s">
        <v>4544</v>
      </c>
      <c r="E339" s="2118" t="s">
        <v>233</v>
      </c>
      <c r="F339" s="1189" t="s">
        <v>4470</v>
      </c>
      <c r="G339" s="4073"/>
      <c r="H339" s="3887">
        <v>-9900</v>
      </c>
      <c r="I339" s="3887">
        <v>9900</v>
      </c>
      <c r="J339" s="4074">
        <v>45865</v>
      </c>
      <c r="K339" s="4075"/>
    </row>
    <row r="340" spans="1:11" s="10" customFormat="1" ht="25.5">
      <c r="A340" s="1">
        <v>246</v>
      </c>
      <c r="B340" s="4072" t="s">
        <v>4472</v>
      </c>
      <c r="C340" s="4072"/>
      <c r="D340" s="4072" t="s">
        <v>4544</v>
      </c>
      <c r="E340" s="2118" t="s">
        <v>233</v>
      </c>
      <c r="F340" s="1189" t="s">
        <v>4081</v>
      </c>
      <c r="G340" s="4073"/>
      <c r="H340" s="3887">
        <v>-20338.5</v>
      </c>
      <c r="I340" s="3887">
        <v>20338.5</v>
      </c>
      <c r="J340" s="4074">
        <v>45865</v>
      </c>
      <c r="K340" s="4075"/>
    </row>
    <row r="341" spans="1:11" s="10" customFormat="1" ht="25.5">
      <c r="A341" s="1">
        <v>247</v>
      </c>
      <c r="B341" s="4072" t="s">
        <v>4472</v>
      </c>
      <c r="C341" s="4072"/>
      <c r="D341" s="4072" t="s">
        <v>4544</v>
      </c>
      <c r="E341" s="2118" t="s">
        <v>233</v>
      </c>
      <c r="F341" s="1189" t="s">
        <v>4080</v>
      </c>
      <c r="G341" s="4073"/>
      <c r="H341" s="3887">
        <v>-25500</v>
      </c>
      <c r="I341" s="3887">
        <v>25500</v>
      </c>
      <c r="J341" s="4074">
        <v>45865</v>
      </c>
      <c r="K341" s="4075"/>
    </row>
    <row r="342" spans="1:11" s="10" customFormat="1" ht="25.5">
      <c r="A342" s="1">
        <v>248</v>
      </c>
      <c r="B342" s="4072" t="s">
        <v>4472</v>
      </c>
      <c r="C342" s="4072"/>
      <c r="D342" s="4072" t="s">
        <v>4544</v>
      </c>
      <c r="E342" s="2118" t="s">
        <v>233</v>
      </c>
      <c r="F342" s="1189" t="s">
        <v>4096</v>
      </c>
      <c r="G342" s="4073"/>
      <c r="H342" s="3887">
        <v>-64500</v>
      </c>
      <c r="I342" s="3887">
        <v>64500</v>
      </c>
      <c r="J342" s="4074">
        <v>45865</v>
      </c>
      <c r="K342" s="4075"/>
    </row>
    <row r="343" spans="1:11" s="10" customFormat="1" ht="25.5">
      <c r="A343" s="1">
        <v>249</v>
      </c>
      <c r="B343" s="4072" t="s">
        <v>4472</v>
      </c>
      <c r="C343" s="4072"/>
      <c r="D343" s="4072" t="s">
        <v>4544</v>
      </c>
      <c r="E343" s="2118" t="s">
        <v>233</v>
      </c>
      <c r="F343" s="1189" t="s">
        <v>4094</v>
      </c>
      <c r="G343" s="4073"/>
      <c r="H343" s="3887">
        <v>-18375</v>
      </c>
      <c r="I343" s="3887">
        <v>18375</v>
      </c>
      <c r="J343" s="4074">
        <v>45865</v>
      </c>
      <c r="K343" s="4075"/>
    </row>
    <row r="344" spans="1:11" s="10" customFormat="1" ht="25.5">
      <c r="A344" s="1">
        <v>250</v>
      </c>
      <c r="B344" s="4072" t="s">
        <v>4472</v>
      </c>
      <c r="C344" s="4072"/>
      <c r="D344" s="4072" t="s">
        <v>4544</v>
      </c>
      <c r="E344" s="2118" t="s">
        <v>233</v>
      </c>
      <c r="F344" s="1189" t="s">
        <v>4076</v>
      </c>
      <c r="G344" s="4073"/>
      <c r="H344" s="3887">
        <v>-27820</v>
      </c>
      <c r="I344" s="3887">
        <v>27820</v>
      </c>
      <c r="J344" s="4074">
        <v>45865</v>
      </c>
      <c r="K344" s="4075"/>
    </row>
    <row r="345" spans="1:11" s="10" customFormat="1">
      <c r="A345" s="1">
        <v>251</v>
      </c>
      <c r="B345" s="4072" t="s">
        <v>4472</v>
      </c>
      <c r="C345" s="4072"/>
      <c r="D345" s="4072" t="s">
        <v>4544</v>
      </c>
      <c r="E345" s="2118" t="s">
        <v>233</v>
      </c>
      <c r="F345" s="1189" t="s">
        <v>4077</v>
      </c>
      <c r="G345" s="4073"/>
      <c r="H345" s="3887">
        <v>-6521.74</v>
      </c>
      <c r="I345" s="3887">
        <v>6521.74</v>
      </c>
      <c r="J345" s="4074">
        <v>45865</v>
      </c>
      <c r="K345" s="4075"/>
    </row>
    <row r="346" spans="1:11" s="10" customFormat="1" ht="25.5">
      <c r="A346" s="1">
        <v>252</v>
      </c>
      <c r="B346" s="4072" t="s">
        <v>4472</v>
      </c>
      <c r="C346" s="4072"/>
      <c r="D346" s="4072" t="s">
        <v>4544</v>
      </c>
      <c r="E346" s="2118" t="s">
        <v>233</v>
      </c>
      <c r="F346" s="1189" t="s">
        <v>4079</v>
      </c>
      <c r="G346" s="4073"/>
      <c r="H346" s="3887">
        <v>-16253.91</v>
      </c>
      <c r="I346" s="3887">
        <v>16253.91</v>
      </c>
      <c r="J346" s="4074">
        <v>45865</v>
      </c>
      <c r="K346" s="4075"/>
    </row>
    <row r="347" spans="1:11" s="10" customFormat="1" ht="18.75" customHeight="1">
      <c r="A347" s="1">
        <v>253</v>
      </c>
      <c r="B347" s="4072" t="s">
        <v>4472</v>
      </c>
      <c r="C347" s="4072"/>
      <c r="D347" s="4072" t="s">
        <v>4544</v>
      </c>
      <c r="E347" s="2118" t="s">
        <v>233</v>
      </c>
      <c r="F347" s="1189" t="s">
        <v>4075</v>
      </c>
      <c r="G347" s="4073"/>
      <c r="H347" s="3887">
        <v>-26838.38</v>
      </c>
      <c r="I347" s="3887">
        <v>26838.38</v>
      </c>
      <c r="J347" s="4074">
        <v>45865</v>
      </c>
      <c r="K347" s="4075"/>
    </row>
    <row r="348" spans="1:11" s="10" customFormat="1">
      <c r="A348" s="1">
        <v>254</v>
      </c>
      <c r="B348" s="4072" t="s">
        <v>4472</v>
      </c>
      <c r="C348" s="4072"/>
      <c r="D348" s="4072" t="s">
        <v>4544</v>
      </c>
      <c r="E348" s="2118" t="s">
        <v>233</v>
      </c>
      <c r="F348" s="1189" t="s">
        <v>4196</v>
      </c>
      <c r="G348" s="4073"/>
      <c r="H348" s="3887">
        <v>-3000</v>
      </c>
      <c r="I348" s="3887">
        <v>3000</v>
      </c>
      <c r="J348" s="4074">
        <v>45865</v>
      </c>
      <c r="K348" s="4075"/>
    </row>
    <row r="349" spans="1:11" s="10" customFormat="1" ht="25.5">
      <c r="A349" s="1">
        <v>255</v>
      </c>
      <c r="B349" s="4072" t="s">
        <v>4472</v>
      </c>
      <c r="C349" s="4072"/>
      <c r="D349" s="4072" t="s">
        <v>4544</v>
      </c>
      <c r="E349" s="2118" t="s">
        <v>233</v>
      </c>
      <c r="F349" s="1189" t="s">
        <v>4215</v>
      </c>
      <c r="G349" s="4073"/>
      <c r="H349" s="3887">
        <v>-597310.82999999996</v>
      </c>
      <c r="I349" s="3887">
        <v>597310.82999999996</v>
      </c>
      <c r="J349" s="4074">
        <v>45865</v>
      </c>
      <c r="K349" s="4075"/>
    </row>
    <row r="350" spans="1:11" s="10" customFormat="1" ht="25.5">
      <c r="A350" s="1">
        <v>256</v>
      </c>
      <c r="B350" s="4072" t="s">
        <v>4472</v>
      </c>
      <c r="C350" s="4072"/>
      <c r="D350" s="4072" t="s">
        <v>4544</v>
      </c>
      <c r="E350" s="2118" t="s">
        <v>233</v>
      </c>
      <c r="F350" s="1189" t="s">
        <v>4215</v>
      </c>
      <c r="G350" s="4073"/>
      <c r="H350" s="3887">
        <v>-100000</v>
      </c>
      <c r="I350" s="3887">
        <v>100000</v>
      </c>
      <c r="J350" s="4074">
        <v>45865</v>
      </c>
      <c r="K350" s="4075"/>
    </row>
    <row r="351" spans="1:11" s="10" customFormat="1" ht="25.5">
      <c r="A351" s="1">
        <v>257</v>
      </c>
      <c r="B351" s="4072" t="s">
        <v>4472</v>
      </c>
      <c r="C351" s="4072"/>
      <c r="D351" s="4072" t="s">
        <v>4544</v>
      </c>
      <c r="E351" s="2118" t="s">
        <v>233</v>
      </c>
      <c r="F351" s="1189" t="s">
        <v>4204</v>
      </c>
      <c r="G351" s="4073"/>
      <c r="H351" s="3887">
        <v>-21500</v>
      </c>
      <c r="I351" s="3887">
        <v>21500</v>
      </c>
      <c r="J351" s="4074">
        <v>45865</v>
      </c>
      <c r="K351" s="4075"/>
    </row>
    <row r="352" spans="1:11" s="10" customFormat="1" ht="25.5">
      <c r="A352" s="1">
        <v>258</v>
      </c>
      <c r="B352" s="4072" t="s">
        <v>4472</v>
      </c>
      <c r="C352" s="4072"/>
      <c r="D352" s="4072" t="s">
        <v>4544</v>
      </c>
      <c r="E352" s="2118" t="s">
        <v>233</v>
      </c>
      <c r="F352" s="1189" t="s">
        <v>4469</v>
      </c>
      <c r="G352" s="4073"/>
      <c r="H352" s="3887">
        <v>-4249.96</v>
      </c>
      <c r="I352" s="3887">
        <v>4249.96</v>
      </c>
      <c r="J352" s="4074">
        <v>45865</v>
      </c>
      <c r="K352" s="4075"/>
    </row>
    <row r="353" spans="1:13" s="10" customFormat="1" ht="6" customHeight="1">
      <c r="A353" s="1"/>
      <c r="B353" s="4072"/>
      <c r="C353" s="4072"/>
      <c r="D353" s="4072"/>
      <c r="E353" s="2118"/>
      <c r="F353" s="1189"/>
      <c r="G353" s="4073"/>
      <c r="H353" s="3887"/>
      <c r="I353" s="3887"/>
      <c r="J353" s="4074"/>
      <c r="K353" s="4075"/>
    </row>
    <row r="354" spans="1:13" s="10" customFormat="1">
      <c r="A354" s="4283">
        <v>259</v>
      </c>
      <c r="B354" s="4072" t="s">
        <v>4555</v>
      </c>
      <c r="C354" s="4072"/>
      <c r="D354" s="4072" t="s">
        <v>4556</v>
      </c>
      <c r="E354" s="2118" t="s">
        <v>233</v>
      </c>
      <c r="F354" s="1189" t="s">
        <v>2964</v>
      </c>
      <c r="G354" s="4073"/>
      <c r="H354" s="3887">
        <v>-822640.54</v>
      </c>
      <c r="I354" s="3887">
        <v>822640.54</v>
      </c>
      <c r="J354" s="4074">
        <v>45875</v>
      </c>
      <c r="K354" s="4075"/>
      <c r="L354" s="10" t="s">
        <v>5350</v>
      </c>
    </row>
    <row r="355" spans="1:13" s="10" customFormat="1">
      <c r="A355" s="1">
        <v>260</v>
      </c>
      <c r="B355" s="4072" t="s">
        <v>4557</v>
      </c>
      <c r="C355" s="4072"/>
      <c r="D355" s="4072" t="s">
        <v>4590</v>
      </c>
      <c r="E355" s="2118" t="s">
        <v>233</v>
      </c>
      <c r="F355" s="1189" t="s">
        <v>3929</v>
      </c>
      <c r="G355" s="4073"/>
      <c r="H355" s="3887">
        <v>-568680.75</v>
      </c>
      <c r="I355" s="3887">
        <v>568680.75</v>
      </c>
      <c r="J355" s="4074">
        <v>45881</v>
      </c>
      <c r="K355" s="4075"/>
    </row>
    <row r="356" spans="1:13" s="10" customFormat="1" ht="25.5">
      <c r="A356" s="1">
        <v>261</v>
      </c>
      <c r="B356" s="4072" t="s">
        <v>4558</v>
      </c>
      <c r="C356" s="4072"/>
      <c r="D356" s="4072" t="s">
        <v>4591</v>
      </c>
      <c r="E356" s="2118" t="s">
        <v>2269</v>
      </c>
      <c r="F356" s="2118" t="s">
        <v>233</v>
      </c>
      <c r="G356" s="4073"/>
      <c r="H356" s="3887">
        <v>-179488.12</v>
      </c>
      <c r="I356" s="3887">
        <v>179488.12</v>
      </c>
      <c r="J356" s="4074">
        <v>45881</v>
      </c>
      <c r="K356" s="4075"/>
    </row>
    <row r="357" spans="1:13" s="10" customFormat="1">
      <c r="A357" s="1" t="s">
        <v>4594</v>
      </c>
      <c r="B357" s="4072" t="s">
        <v>4592</v>
      </c>
      <c r="C357" s="4072"/>
      <c r="D357" s="4072" t="s">
        <v>4593</v>
      </c>
      <c r="E357" s="2118" t="s">
        <v>224</v>
      </c>
      <c r="F357" s="1189" t="s">
        <v>139</v>
      </c>
      <c r="G357" s="4073"/>
      <c r="H357" s="3887">
        <v>-569838.42000000004</v>
      </c>
      <c r="I357" s="3887">
        <v>569838.42000000004</v>
      </c>
      <c r="J357" s="4074">
        <v>45881</v>
      </c>
      <c r="K357" s="4075"/>
    </row>
    <row r="358" spans="1:13" s="10" customFormat="1">
      <c r="A358" s="1" t="s">
        <v>4595</v>
      </c>
      <c r="B358" s="4072" t="s">
        <v>4592</v>
      </c>
      <c r="C358" s="4072"/>
      <c r="D358" s="4072" t="s">
        <v>4593</v>
      </c>
      <c r="E358" s="2118" t="s">
        <v>233</v>
      </c>
      <c r="F358" s="1189" t="s">
        <v>139</v>
      </c>
      <c r="G358" s="4073"/>
      <c r="H358" s="3887">
        <v>-1085561.3799999999</v>
      </c>
      <c r="I358" s="3887">
        <v>1085561.3799999999</v>
      </c>
      <c r="J358" s="4074">
        <v>45881</v>
      </c>
      <c r="K358" s="4075"/>
      <c r="L358" s="10" t="s">
        <v>5350</v>
      </c>
    </row>
    <row r="359" spans="1:13" s="10" customFormat="1">
      <c r="A359" s="1">
        <v>263</v>
      </c>
      <c r="B359" s="4072" t="s">
        <v>4620</v>
      </c>
      <c r="C359" s="4072"/>
      <c r="D359" s="4072" t="s">
        <v>4621</v>
      </c>
      <c r="E359" s="2118" t="s">
        <v>233</v>
      </c>
      <c r="F359" s="1189" t="s">
        <v>3205</v>
      </c>
      <c r="G359" s="4073"/>
      <c r="H359" s="3887">
        <v>-13280714</v>
      </c>
      <c r="I359" s="3887">
        <v>13280714</v>
      </c>
      <c r="J359" s="4074">
        <v>45887</v>
      </c>
      <c r="K359" s="4075"/>
      <c r="L359" s="10" t="s">
        <v>5350</v>
      </c>
    </row>
    <row r="360" spans="1:13" s="10" customFormat="1" ht="25.5">
      <c r="A360" s="1">
        <v>264</v>
      </c>
      <c r="B360" s="4072" t="s">
        <v>4646</v>
      </c>
      <c r="C360" s="4072"/>
      <c r="D360" s="4072" t="s">
        <v>4647</v>
      </c>
      <c r="E360" s="2118" t="s">
        <v>233</v>
      </c>
      <c r="F360" s="1189" t="s">
        <v>4215</v>
      </c>
      <c r="G360" s="4073"/>
      <c r="H360" s="3887">
        <v>-174000</v>
      </c>
      <c r="I360" s="3887">
        <v>174000</v>
      </c>
      <c r="J360" s="4074">
        <v>45889</v>
      </c>
      <c r="K360" s="4075"/>
    </row>
    <row r="361" spans="1:13" s="10" customFormat="1" ht="18.75" customHeight="1">
      <c r="A361" s="4412">
        <v>265</v>
      </c>
      <c r="B361" s="4413" t="s">
        <v>4640</v>
      </c>
      <c r="C361" s="4413"/>
      <c r="D361" s="4413"/>
      <c r="E361" s="4414" t="s">
        <v>3930</v>
      </c>
      <c r="F361" s="4414" t="s">
        <v>233</v>
      </c>
      <c r="G361" s="4415"/>
      <c r="H361" s="4416">
        <f>('Schedule C'!AZ180-'Schedule C'!AG180)</f>
        <v>-7434.0999999999985</v>
      </c>
      <c r="I361" s="4416">
        <f>7434.1</f>
        <v>7434.1</v>
      </c>
      <c r="J361" s="4417" t="s">
        <v>4682</v>
      </c>
      <c r="K361" s="4075"/>
    </row>
    <row r="362" spans="1:13" s="10" customFormat="1">
      <c r="A362" s="1"/>
      <c r="B362" s="4072"/>
      <c r="C362" s="4072"/>
      <c r="D362" s="4072"/>
      <c r="E362" s="2118"/>
      <c r="F362" s="1189"/>
      <c r="G362" s="4073"/>
      <c r="H362" s="3887"/>
      <c r="I362" s="3887"/>
      <c r="J362" s="4074"/>
      <c r="K362" s="4075"/>
    </row>
    <row r="363" spans="1:13" s="10" customFormat="1">
      <c r="A363" s="1">
        <v>265</v>
      </c>
      <c r="B363" s="4072" t="s">
        <v>4681</v>
      </c>
      <c r="C363" s="4072"/>
      <c r="D363" s="4072" t="s">
        <v>4726</v>
      </c>
      <c r="E363" s="2118" t="s">
        <v>233</v>
      </c>
      <c r="F363" s="1189" t="s">
        <v>2964</v>
      </c>
      <c r="G363" s="4073"/>
      <c r="H363" s="3887">
        <v>-60000</v>
      </c>
      <c r="I363" s="3887">
        <v>60000</v>
      </c>
      <c r="J363" s="4074">
        <v>45914</v>
      </c>
      <c r="K363" s="4075"/>
    </row>
    <row r="364" spans="1:13" s="10" customFormat="1">
      <c r="A364" s="1">
        <v>266</v>
      </c>
      <c r="B364" s="4072" t="s">
        <v>4683</v>
      </c>
      <c r="C364" s="4072"/>
      <c r="D364" s="4072" t="s">
        <v>4749</v>
      </c>
      <c r="E364" s="2118" t="s">
        <v>233</v>
      </c>
      <c r="F364" s="1189" t="s">
        <v>3205</v>
      </c>
      <c r="G364" s="4073"/>
      <c r="H364" s="3887">
        <v>-1276670.22</v>
      </c>
      <c r="I364" s="3887">
        <v>1276670.22</v>
      </c>
      <c r="J364" s="4074">
        <v>45921</v>
      </c>
      <c r="K364" s="4075"/>
    </row>
    <row r="365" spans="1:13" s="10" customFormat="1">
      <c r="A365" s="1"/>
      <c r="B365" s="4072"/>
      <c r="C365" s="4072"/>
      <c r="D365" s="4072"/>
      <c r="E365" s="2118"/>
      <c r="F365" s="1189"/>
      <c r="G365" s="4073"/>
      <c r="H365" s="3887"/>
      <c r="I365" s="3887"/>
      <c r="J365" s="4074"/>
      <c r="K365" s="4075"/>
    </row>
    <row r="366" spans="1:13" s="10" customFormat="1">
      <c r="A366" s="1"/>
      <c r="B366" s="4072"/>
      <c r="C366" s="4072"/>
      <c r="D366" s="4072"/>
      <c r="E366" s="2118"/>
      <c r="F366" s="1189"/>
      <c r="G366" s="4073"/>
      <c r="H366" s="3887"/>
      <c r="I366" s="3887"/>
      <c r="J366" s="4074"/>
      <c r="K366" s="4075"/>
    </row>
    <row r="367" spans="1:13" s="10" customFormat="1" ht="25.5">
      <c r="A367" s="1">
        <v>267</v>
      </c>
      <c r="B367" s="4072" t="s">
        <v>4685</v>
      </c>
      <c r="C367" s="4072"/>
      <c r="D367" s="4072" t="s">
        <v>4727</v>
      </c>
      <c r="E367" s="2118" t="s">
        <v>233</v>
      </c>
      <c r="F367" s="1189" t="s">
        <v>4722</v>
      </c>
      <c r="G367" s="4073"/>
      <c r="H367" s="3887">
        <v>-16550</v>
      </c>
      <c r="I367" s="3887">
        <v>16550</v>
      </c>
      <c r="J367" s="4074">
        <v>45915</v>
      </c>
      <c r="K367" s="4075"/>
      <c r="L367" s="10" t="s">
        <v>4687</v>
      </c>
      <c r="M367" s="10" t="s">
        <v>4686</v>
      </c>
    </row>
    <row r="368" spans="1:13" s="10" customFormat="1" ht="25.5">
      <c r="A368" s="1">
        <v>268</v>
      </c>
      <c r="B368" s="4072" t="s">
        <v>4685</v>
      </c>
      <c r="C368" s="4072"/>
      <c r="D368" s="4072" t="s">
        <v>4727</v>
      </c>
      <c r="E368" s="2118" t="s">
        <v>233</v>
      </c>
      <c r="F368" s="1189" t="s">
        <v>4100</v>
      </c>
      <c r="G368" s="4073"/>
      <c r="H368" s="3887">
        <v>-29940.5</v>
      </c>
      <c r="I368" s="3887">
        <v>29940.5</v>
      </c>
      <c r="J368" s="4074">
        <v>45915</v>
      </c>
      <c r="K368" s="4075"/>
      <c r="M368" s="10" t="s">
        <v>4688</v>
      </c>
    </row>
    <row r="369" spans="1:13" s="10" customFormat="1" ht="25.5">
      <c r="A369" s="1">
        <v>269</v>
      </c>
      <c r="B369" s="4072" t="s">
        <v>4685</v>
      </c>
      <c r="C369" s="4072"/>
      <c r="D369" s="4072" t="s">
        <v>4727</v>
      </c>
      <c r="E369" s="2118" t="s">
        <v>233</v>
      </c>
      <c r="F369" s="1189" t="s">
        <v>4104</v>
      </c>
      <c r="G369" s="4073"/>
      <c r="H369" s="3887">
        <v>-94000</v>
      </c>
      <c r="I369" s="3887">
        <v>94000</v>
      </c>
      <c r="J369" s="4074">
        <v>45915</v>
      </c>
      <c r="K369" s="4075"/>
    </row>
    <row r="370" spans="1:13" s="10" customFormat="1" ht="25.5">
      <c r="A370" s="1">
        <v>270</v>
      </c>
      <c r="B370" s="4072" t="s">
        <v>4685</v>
      </c>
      <c r="C370" s="4072"/>
      <c r="D370" s="4072" t="s">
        <v>4727</v>
      </c>
      <c r="E370" s="2118" t="s">
        <v>233</v>
      </c>
      <c r="F370" s="1189" t="s">
        <v>4464</v>
      </c>
      <c r="G370" s="4073"/>
      <c r="H370" s="3887">
        <v>-123000</v>
      </c>
      <c r="I370" s="3887">
        <v>123000</v>
      </c>
      <c r="J370" s="4074">
        <v>45915</v>
      </c>
      <c r="K370" s="4075"/>
      <c r="M370" s="10" t="s">
        <v>4689</v>
      </c>
    </row>
    <row r="371" spans="1:13" s="10" customFormat="1" ht="25.5">
      <c r="A371" s="1">
        <v>271</v>
      </c>
      <c r="B371" s="4072" t="s">
        <v>4685</v>
      </c>
      <c r="C371" s="4072"/>
      <c r="D371" s="4072" t="s">
        <v>4727</v>
      </c>
      <c r="E371" s="2118" t="s">
        <v>233</v>
      </c>
      <c r="F371" s="1189" t="s">
        <v>4096</v>
      </c>
      <c r="G371" s="4073"/>
      <c r="H371" s="3887">
        <v>-2500</v>
      </c>
      <c r="I371" s="3887">
        <v>2500</v>
      </c>
      <c r="J371" s="4074">
        <v>45915</v>
      </c>
      <c r="K371" s="4075"/>
      <c r="M371" s="10" t="s">
        <v>4690</v>
      </c>
    </row>
    <row r="372" spans="1:13" s="10" customFormat="1" ht="25.5">
      <c r="A372" s="1">
        <v>272</v>
      </c>
      <c r="B372" s="4072" t="s">
        <v>4685</v>
      </c>
      <c r="C372" s="4072"/>
      <c r="D372" s="4072" t="s">
        <v>4727</v>
      </c>
      <c r="E372" s="2118" t="s">
        <v>233</v>
      </c>
      <c r="F372" s="1189" t="s">
        <v>4469</v>
      </c>
      <c r="G372" s="4073"/>
      <c r="H372" s="3887">
        <v>-47500</v>
      </c>
      <c r="I372" s="3887">
        <v>47500</v>
      </c>
      <c r="J372" s="4074">
        <v>45915</v>
      </c>
      <c r="K372" s="4075"/>
      <c r="M372" s="10" t="s">
        <v>4699</v>
      </c>
    </row>
    <row r="373" spans="1:13" s="10" customFormat="1" ht="25.5">
      <c r="A373" s="1">
        <v>273</v>
      </c>
      <c r="B373" s="4072" t="s">
        <v>4685</v>
      </c>
      <c r="C373" s="4072"/>
      <c r="D373" s="4072" t="s">
        <v>4727</v>
      </c>
      <c r="E373" s="2118" t="s">
        <v>233</v>
      </c>
      <c r="F373" s="1189" t="s">
        <v>4091</v>
      </c>
      <c r="G373" s="4073"/>
      <c r="H373" s="3887">
        <v>-254893.19</v>
      </c>
      <c r="I373" s="3887">
        <v>254893.19</v>
      </c>
      <c r="J373" s="4074">
        <v>45915</v>
      </c>
      <c r="K373" s="4075"/>
      <c r="M373" s="10" t="s">
        <v>4691</v>
      </c>
    </row>
    <row r="374" spans="1:13" s="10" customFormat="1" ht="25.5">
      <c r="A374" s="1">
        <v>274</v>
      </c>
      <c r="B374" s="4072" t="s">
        <v>4685</v>
      </c>
      <c r="C374" s="4072"/>
      <c r="D374" s="4072" t="s">
        <v>4727</v>
      </c>
      <c r="E374" s="2118" t="s">
        <v>233</v>
      </c>
      <c r="F374" s="1189" t="s">
        <v>4077</v>
      </c>
      <c r="G374" s="4073"/>
      <c r="H374" s="3887">
        <v>-6521.74</v>
      </c>
      <c r="I374" s="3887">
        <v>6521.74</v>
      </c>
      <c r="J374" s="4074">
        <v>45915</v>
      </c>
      <c r="K374" s="4075"/>
      <c r="M374" s="10" t="s">
        <v>4692</v>
      </c>
    </row>
    <row r="375" spans="1:13" s="10" customFormat="1" ht="25.5">
      <c r="A375" s="1">
        <v>275</v>
      </c>
      <c r="B375" s="4072" t="s">
        <v>4685</v>
      </c>
      <c r="C375" s="4072"/>
      <c r="D375" s="4072" t="s">
        <v>4727</v>
      </c>
      <c r="E375" s="2118" t="s">
        <v>233</v>
      </c>
      <c r="F375" s="1189" t="s">
        <v>4075</v>
      </c>
      <c r="G375" s="4073"/>
      <c r="H375" s="3887">
        <v>-14630.7</v>
      </c>
      <c r="I375" s="3887">
        <v>14630.7</v>
      </c>
      <c r="J375" s="4074">
        <v>45915</v>
      </c>
      <c r="K375" s="4075"/>
      <c r="M375" s="10" t="s">
        <v>4693</v>
      </c>
    </row>
    <row r="376" spans="1:13" s="10" customFormat="1" ht="25.5">
      <c r="A376" s="1">
        <v>276</v>
      </c>
      <c r="B376" s="4072" t="s">
        <v>4685</v>
      </c>
      <c r="C376" s="4072"/>
      <c r="D376" s="4072" t="s">
        <v>4727</v>
      </c>
      <c r="E376" s="2118" t="s">
        <v>233</v>
      </c>
      <c r="F376" s="1189" t="s">
        <v>4215</v>
      </c>
      <c r="G376" s="4073"/>
      <c r="H376" s="3887">
        <v>-150000</v>
      </c>
      <c r="I376" s="3887">
        <v>150000</v>
      </c>
      <c r="J376" s="4074">
        <v>45915</v>
      </c>
      <c r="K376" s="4075"/>
      <c r="M376" s="10" t="s">
        <v>4695</v>
      </c>
    </row>
    <row r="377" spans="1:13" s="10" customFormat="1" ht="25.5">
      <c r="A377" s="1">
        <v>277</v>
      </c>
      <c r="B377" s="4072" t="s">
        <v>4685</v>
      </c>
      <c r="C377" s="4072"/>
      <c r="D377" s="4072" t="s">
        <v>4727</v>
      </c>
      <c r="E377" s="2118" t="s">
        <v>233</v>
      </c>
      <c r="F377" s="1189" t="s">
        <v>4470</v>
      </c>
      <c r="G377" s="4073"/>
      <c r="H377" s="3887">
        <v>-124665.4</v>
      </c>
      <c r="I377" s="3887">
        <v>124665.4</v>
      </c>
      <c r="J377" s="4074">
        <v>45915</v>
      </c>
      <c r="K377" s="4075"/>
      <c r="M377" s="10" t="s">
        <v>4696</v>
      </c>
    </row>
    <row r="378" spans="1:13" s="10" customFormat="1" ht="25.5">
      <c r="A378" s="1">
        <v>278</v>
      </c>
      <c r="B378" s="4072" t="s">
        <v>4685</v>
      </c>
      <c r="C378" s="4072"/>
      <c r="D378" s="4072" t="s">
        <v>4727</v>
      </c>
      <c r="E378" s="2118" t="s">
        <v>233</v>
      </c>
      <c r="F378" s="1189" t="s">
        <v>4105</v>
      </c>
      <c r="G378" s="4073"/>
      <c r="H378" s="3887">
        <v>-160000</v>
      </c>
      <c r="I378" s="3887">
        <v>160000</v>
      </c>
      <c r="J378" s="4074">
        <v>45915</v>
      </c>
      <c r="K378" s="4075"/>
      <c r="M378" s="10" t="s">
        <v>4697</v>
      </c>
    </row>
    <row r="379" spans="1:13" s="10" customFormat="1" ht="25.5">
      <c r="A379" s="1">
        <v>279</v>
      </c>
      <c r="B379" s="4072" t="s">
        <v>4685</v>
      </c>
      <c r="C379" s="4072"/>
      <c r="D379" s="4072" t="s">
        <v>4727</v>
      </c>
      <c r="E379" s="2118" t="s">
        <v>233</v>
      </c>
      <c r="F379" s="1189" t="s">
        <v>4105</v>
      </c>
      <c r="G379" s="4073"/>
      <c r="H379" s="3887">
        <v>-128000</v>
      </c>
      <c r="I379" s="3887">
        <v>128000</v>
      </c>
      <c r="J379" s="4074">
        <v>45915</v>
      </c>
      <c r="K379" s="4075"/>
      <c r="M379" s="10" t="s">
        <v>4697</v>
      </c>
    </row>
    <row r="380" spans="1:13" s="10" customFormat="1" ht="25.5">
      <c r="A380" s="1">
        <v>280</v>
      </c>
      <c r="B380" s="4072" t="s">
        <v>4685</v>
      </c>
      <c r="C380" s="4072"/>
      <c r="D380" s="4072" t="s">
        <v>4727</v>
      </c>
      <c r="E380" s="2118" t="s">
        <v>233</v>
      </c>
      <c r="F380" s="1189" t="s">
        <v>4469</v>
      </c>
      <c r="G380" s="4073"/>
      <c r="H380" s="3887">
        <v>-47500</v>
      </c>
      <c r="I380" s="3887">
        <v>47500</v>
      </c>
      <c r="J380" s="4074">
        <v>45915</v>
      </c>
      <c r="K380" s="4075"/>
      <c r="M380" s="10" t="s">
        <v>4698</v>
      </c>
    </row>
    <row r="381" spans="1:13" s="10" customFormat="1" ht="25.5">
      <c r="A381" s="1">
        <v>281</v>
      </c>
      <c r="B381" s="4072" t="s">
        <v>4685</v>
      </c>
      <c r="C381" s="4072"/>
      <c r="D381" s="4072" t="s">
        <v>4727</v>
      </c>
      <c r="E381" s="2118" t="s">
        <v>233</v>
      </c>
      <c r="F381" s="1189" t="s">
        <v>4080</v>
      </c>
      <c r="G381" s="4073"/>
      <c r="H381" s="3887">
        <v>-7500</v>
      </c>
      <c r="I381" s="3887">
        <v>7500</v>
      </c>
      <c r="J381" s="4074">
        <v>45915</v>
      </c>
      <c r="K381" s="4075"/>
      <c r="M381" s="10" t="s">
        <v>4700</v>
      </c>
    </row>
    <row r="382" spans="1:13" s="10" customFormat="1" ht="25.5">
      <c r="A382" s="1">
        <v>282</v>
      </c>
      <c r="B382" s="4072" t="s">
        <v>4685</v>
      </c>
      <c r="C382" s="4072"/>
      <c r="D382" s="4072" t="s">
        <v>4727</v>
      </c>
      <c r="E382" s="2118" t="s">
        <v>233</v>
      </c>
      <c r="F382" s="1189" t="s">
        <v>4076</v>
      </c>
      <c r="G382" s="4073"/>
      <c r="H382" s="3887">
        <v>-53815</v>
      </c>
      <c r="I382" s="3887">
        <v>53815</v>
      </c>
      <c r="J382" s="4074">
        <v>45915</v>
      </c>
      <c r="K382" s="4075"/>
      <c r="M382" s="10" t="s">
        <v>4701</v>
      </c>
    </row>
    <row r="383" spans="1:13" s="10" customFormat="1" ht="25.5">
      <c r="A383" s="1">
        <v>283</v>
      </c>
      <c r="B383" s="4072" t="s">
        <v>4685</v>
      </c>
      <c r="C383" s="4072"/>
      <c r="D383" s="4072" t="s">
        <v>4727</v>
      </c>
      <c r="E383" s="2118" t="s">
        <v>233</v>
      </c>
      <c r="F383" s="1189" t="s">
        <v>4199</v>
      </c>
      <c r="G383" s="4073"/>
      <c r="H383" s="3887">
        <v>-52974</v>
      </c>
      <c r="I383" s="3887">
        <v>52974</v>
      </c>
      <c r="J383" s="4074">
        <v>45915</v>
      </c>
      <c r="K383" s="4075"/>
    </row>
    <row r="384" spans="1:13" s="10" customFormat="1" ht="25.5">
      <c r="A384" s="1">
        <v>284</v>
      </c>
      <c r="B384" s="4072" t="s">
        <v>4685</v>
      </c>
      <c r="C384" s="4072"/>
      <c r="D384" s="4072" t="s">
        <v>4727</v>
      </c>
      <c r="E384" s="2118" t="s">
        <v>233</v>
      </c>
      <c r="F384" s="1189" t="s">
        <v>4097</v>
      </c>
      <c r="G384" s="4073"/>
      <c r="H384" s="3887">
        <v>-2271.3000000000002</v>
      </c>
      <c r="I384" s="3887">
        <v>2271.3000000000002</v>
      </c>
      <c r="J384" s="4074">
        <v>45915</v>
      </c>
      <c r="K384" s="4075"/>
      <c r="M384" s="10" t="s">
        <v>4702</v>
      </c>
    </row>
    <row r="385" spans="1:13" s="10" customFormat="1" ht="25.5">
      <c r="A385" s="1">
        <v>285</v>
      </c>
      <c r="B385" s="4072" t="s">
        <v>4685</v>
      </c>
      <c r="C385" s="4072"/>
      <c r="D385" s="4072" t="s">
        <v>4727</v>
      </c>
      <c r="E385" s="2118" t="s">
        <v>233</v>
      </c>
      <c r="F385" s="1189" t="s">
        <v>4081</v>
      </c>
      <c r="G385" s="4073"/>
      <c r="H385" s="3887">
        <v>-26647</v>
      </c>
      <c r="I385" s="3887">
        <v>26647</v>
      </c>
      <c r="J385" s="4074">
        <v>45915</v>
      </c>
      <c r="K385" s="4075"/>
    </row>
    <row r="386" spans="1:13" s="10" customFormat="1" ht="25.5">
      <c r="A386" s="1">
        <v>286</v>
      </c>
      <c r="B386" s="4072" t="s">
        <v>4685</v>
      </c>
      <c r="C386" s="4072"/>
      <c r="D386" s="4072" t="s">
        <v>4727</v>
      </c>
      <c r="E386" s="2118" t="s">
        <v>233</v>
      </c>
      <c r="F386" s="1189" t="s">
        <v>4215</v>
      </c>
      <c r="G386" s="4073"/>
      <c r="H386" s="3887">
        <v>-577369.18999999994</v>
      </c>
      <c r="I386" s="3887">
        <v>577369.18999999994</v>
      </c>
      <c r="J386" s="4074">
        <v>45915</v>
      </c>
      <c r="K386" s="4075"/>
      <c r="M386" s="10" t="s">
        <v>4703</v>
      </c>
    </row>
    <row r="387" spans="1:13" s="10" customFormat="1" ht="25.5">
      <c r="A387" s="1">
        <v>287</v>
      </c>
      <c r="B387" s="4072" t="s">
        <v>4685</v>
      </c>
      <c r="C387" s="4072"/>
      <c r="D387" s="4072" t="s">
        <v>4727</v>
      </c>
      <c r="E387" s="2118" t="s">
        <v>233</v>
      </c>
      <c r="F387" s="1189" t="s">
        <v>4075</v>
      </c>
      <c r="G387" s="4073"/>
      <c r="H387" s="3887">
        <v>-17330.7</v>
      </c>
      <c r="I387" s="3887">
        <v>17330.7</v>
      </c>
      <c r="J387" s="4074">
        <v>45915</v>
      </c>
      <c r="K387" s="4075"/>
      <c r="M387" s="10" t="s">
        <v>4693</v>
      </c>
    </row>
    <row r="388" spans="1:13" s="10" customFormat="1" ht="25.5">
      <c r="A388" s="1">
        <v>288</v>
      </c>
      <c r="B388" s="4072" t="s">
        <v>4685</v>
      </c>
      <c r="C388" s="4072"/>
      <c r="D388" s="4072" t="s">
        <v>4727</v>
      </c>
      <c r="E388" s="2118" t="s">
        <v>233</v>
      </c>
      <c r="F388" s="1189" t="s">
        <v>4076</v>
      </c>
      <c r="G388" s="4073"/>
      <c r="H388" s="3887">
        <v>-32290</v>
      </c>
      <c r="I388" s="3887">
        <v>32290</v>
      </c>
      <c r="J388" s="4074">
        <v>45915</v>
      </c>
      <c r="K388" s="4075"/>
      <c r="M388" s="10" t="s">
        <v>4701</v>
      </c>
    </row>
    <row r="389" spans="1:13" s="10" customFormat="1" ht="25.5">
      <c r="A389" s="1">
        <v>289</v>
      </c>
      <c r="B389" s="4072" t="s">
        <v>4685</v>
      </c>
      <c r="C389" s="4072"/>
      <c r="D389" s="4072" t="s">
        <v>4727</v>
      </c>
      <c r="E389" s="2118" t="s">
        <v>233</v>
      </c>
      <c r="F389" s="1189" t="s">
        <v>4204</v>
      </c>
      <c r="G389" s="4073"/>
      <c r="H389" s="3887">
        <v>-12500</v>
      </c>
      <c r="I389" s="3887">
        <v>12500</v>
      </c>
      <c r="J389" s="4074">
        <v>45915</v>
      </c>
      <c r="K389" s="4075"/>
      <c r="M389" s="10" t="s">
        <v>4704</v>
      </c>
    </row>
    <row r="390" spans="1:13" s="10" customFormat="1" ht="25.5">
      <c r="A390" s="1">
        <v>290</v>
      </c>
      <c r="B390" s="4072" t="s">
        <v>4685</v>
      </c>
      <c r="C390" s="4072"/>
      <c r="D390" s="4072" t="s">
        <v>4727</v>
      </c>
      <c r="E390" s="2118" t="s">
        <v>233</v>
      </c>
      <c r="F390" s="1189" t="s">
        <v>4082</v>
      </c>
      <c r="G390" s="4073"/>
      <c r="H390" s="3887">
        <v>-1500</v>
      </c>
      <c r="I390" s="3887">
        <v>1500</v>
      </c>
      <c r="J390" s="4074">
        <v>45915</v>
      </c>
      <c r="K390" s="4075"/>
      <c r="M390" s="10" t="s">
        <v>4705</v>
      </c>
    </row>
    <row r="391" spans="1:13" s="10" customFormat="1" ht="25.5">
      <c r="A391" s="1">
        <v>291</v>
      </c>
      <c r="B391" s="4072" t="s">
        <v>4685</v>
      </c>
      <c r="C391" s="4072"/>
      <c r="D391" s="4072" t="s">
        <v>4727</v>
      </c>
      <c r="E391" s="2118" t="s">
        <v>233</v>
      </c>
      <c r="F391" s="1189" t="s">
        <v>4215</v>
      </c>
      <c r="G391" s="4073"/>
      <c r="H391" s="3887">
        <v>-611972.32999999996</v>
      </c>
      <c r="I391" s="3887">
        <v>611972.32999999996</v>
      </c>
      <c r="J391" s="4074">
        <v>45915</v>
      </c>
      <c r="K391" s="4075"/>
      <c r="M391" s="10" t="s">
        <v>4694</v>
      </c>
    </row>
    <row r="392" spans="1:13" s="10" customFormat="1" ht="25.5">
      <c r="A392" s="1">
        <v>292</v>
      </c>
      <c r="B392" s="4072" t="s">
        <v>4685</v>
      </c>
      <c r="C392" s="4072"/>
      <c r="D392" s="4072" t="s">
        <v>4727</v>
      </c>
      <c r="E392" s="2118" t="s">
        <v>233</v>
      </c>
      <c r="F392" s="1189" t="s">
        <v>4103</v>
      </c>
      <c r="G392" s="4073"/>
      <c r="H392" s="3887">
        <v>-161215</v>
      </c>
      <c r="I392" s="3887">
        <v>161215</v>
      </c>
      <c r="J392" s="4074">
        <v>45915</v>
      </c>
      <c r="K392" s="4075"/>
      <c r="M392" s="10" t="s">
        <v>4706</v>
      </c>
    </row>
    <row r="393" spans="1:13" s="10" customFormat="1" ht="25.5">
      <c r="A393" s="1">
        <v>293</v>
      </c>
      <c r="B393" s="4072" t="s">
        <v>4685</v>
      </c>
      <c r="C393" s="4072"/>
      <c r="D393" s="4072" t="s">
        <v>4727</v>
      </c>
      <c r="E393" s="2118" t="s">
        <v>233</v>
      </c>
      <c r="F393" s="1189" t="s">
        <v>4096</v>
      </c>
      <c r="G393" s="4073"/>
      <c r="H393" s="3887">
        <v>-20521.740000000002</v>
      </c>
      <c r="I393" s="3887">
        <v>20521.740000000002</v>
      </c>
      <c r="J393" s="4074">
        <v>45915</v>
      </c>
      <c r="K393" s="4075"/>
      <c r="M393" s="10" t="s">
        <v>4707</v>
      </c>
    </row>
    <row r="394" spans="1:13" s="10" customFormat="1" ht="25.5">
      <c r="A394" s="1">
        <v>294</v>
      </c>
      <c r="B394" s="4072" t="s">
        <v>4685</v>
      </c>
      <c r="C394" s="4072"/>
      <c r="D394" s="4072" t="s">
        <v>4727</v>
      </c>
      <c r="E394" s="2118" t="s">
        <v>233</v>
      </c>
      <c r="F394" s="1189" t="s">
        <v>4722</v>
      </c>
      <c r="G394" s="4073"/>
      <c r="H394" s="3887">
        <v>-5700</v>
      </c>
      <c r="I394" s="3887">
        <v>5700</v>
      </c>
      <c r="J394" s="4074">
        <v>45915</v>
      </c>
      <c r="K394" s="4075"/>
      <c r="L394" s="10" t="s">
        <v>4708</v>
      </c>
      <c r="M394" s="10" t="s">
        <v>4709</v>
      </c>
    </row>
    <row r="395" spans="1:13" s="10" customFormat="1" ht="25.5">
      <c r="A395" s="1">
        <v>295</v>
      </c>
      <c r="B395" s="4072" t="s">
        <v>4685</v>
      </c>
      <c r="C395" s="4072"/>
      <c r="D395" s="4072" t="s">
        <v>4727</v>
      </c>
      <c r="E395" s="2118" t="s">
        <v>233</v>
      </c>
      <c r="F395" s="1189" t="s">
        <v>4086</v>
      </c>
      <c r="G395" s="4073"/>
      <c r="H395" s="3887">
        <v>-76840.62</v>
      </c>
      <c r="I395" s="3887">
        <v>76840.62</v>
      </c>
      <c r="J395" s="4074">
        <v>45915</v>
      </c>
      <c r="K395" s="4075"/>
      <c r="M395" s="10" t="s">
        <v>4710</v>
      </c>
    </row>
    <row r="396" spans="1:13" s="10" customFormat="1" ht="25.5">
      <c r="A396" s="1">
        <v>296</v>
      </c>
      <c r="B396" s="4072" t="s">
        <v>4685</v>
      </c>
      <c r="C396" s="4072"/>
      <c r="D396" s="4072" t="s">
        <v>4727</v>
      </c>
      <c r="E396" s="2118" t="s">
        <v>233</v>
      </c>
      <c r="F396" s="1189" t="s">
        <v>4192</v>
      </c>
      <c r="G396" s="4073"/>
      <c r="H396" s="3887">
        <v>-2700</v>
      </c>
      <c r="I396" s="3887">
        <v>2700</v>
      </c>
      <c r="J396" s="4074">
        <v>45915</v>
      </c>
      <c r="K396" s="4075"/>
      <c r="M396" s="10" t="s">
        <v>4711</v>
      </c>
    </row>
    <row r="397" spans="1:13" s="10" customFormat="1" ht="25.5">
      <c r="A397" s="1">
        <v>297</v>
      </c>
      <c r="B397" s="4072" t="s">
        <v>4685</v>
      </c>
      <c r="C397" s="4072"/>
      <c r="D397" s="4072" t="s">
        <v>4727</v>
      </c>
      <c r="E397" s="2118" t="s">
        <v>233</v>
      </c>
      <c r="F397" s="1189" t="s">
        <v>4094</v>
      </c>
      <c r="G397" s="4073"/>
      <c r="H397" s="3887">
        <v>-23800</v>
      </c>
      <c r="I397" s="3887">
        <v>23800</v>
      </c>
      <c r="J397" s="4074">
        <v>45915</v>
      </c>
      <c r="K397" s="4075"/>
      <c r="M397" s="10" t="s">
        <v>4712</v>
      </c>
    </row>
    <row r="398" spans="1:13" s="10" customFormat="1" ht="25.5">
      <c r="A398" s="1">
        <v>298</v>
      </c>
      <c r="B398" s="4072" t="s">
        <v>4685</v>
      </c>
      <c r="C398" s="4072"/>
      <c r="D398" s="4072" t="s">
        <v>4727</v>
      </c>
      <c r="E398" s="2118" t="s">
        <v>233</v>
      </c>
      <c r="F398" s="1189" t="s">
        <v>4215</v>
      </c>
      <c r="G398" s="4073"/>
      <c r="H398" s="3887">
        <v>-74404.710000000006</v>
      </c>
      <c r="I398" s="3887">
        <v>74404.710000000006</v>
      </c>
      <c r="J398" s="4074">
        <v>45915</v>
      </c>
      <c r="K398" s="4075"/>
      <c r="M398" s="10" t="s">
        <v>4713</v>
      </c>
    </row>
    <row r="399" spans="1:13" s="10" customFormat="1" ht="25.5">
      <c r="A399" s="1">
        <v>299</v>
      </c>
      <c r="B399" s="4072" t="s">
        <v>4685</v>
      </c>
      <c r="C399" s="4072"/>
      <c r="D399" s="4072" t="s">
        <v>4727</v>
      </c>
      <c r="E399" s="2118" t="s">
        <v>233</v>
      </c>
      <c r="F399" s="1189" t="s">
        <v>4199</v>
      </c>
      <c r="G399" s="4073"/>
      <c r="H399" s="3887">
        <v>-5886</v>
      </c>
      <c r="I399" s="3887">
        <v>5886</v>
      </c>
      <c r="J399" s="4074">
        <v>45915</v>
      </c>
      <c r="K399" s="4075"/>
    </row>
    <row r="400" spans="1:13" s="10" customFormat="1" ht="25.5">
      <c r="A400" s="1">
        <v>300</v>
      </c>
      <c r="B400" s="4072" t="s">
        <v>4685</v>
      </c>
      <c r="C400" s="4072"/>
      <c r="D400" s="4072" t="s">
        <v>4727</v>
      </c>
      <c r="E400" s="2118" t="s">
        <v>233</v>
      </c>
      <c r="F400" s="1189" t="s">
        <v>4204</v>
      </c>
      <c r="G400" s="4073"/>
      <c r="H400" s="3887">
        <v>-15000</v>
      </c>
      <c r="I400" s="3887">
        <v>15000</v>
      </c>
      <c r="J400" s="4074">
        <v>45915</v>
      </c>
      <c r="K400" s="4075"/>
      <c r="M400" s="10" t="s">
        <v>4704</v>
      </c>
    </row>
    <row r="401" spans="1:13" s="10" customFormat="1" ht="25.5">
      <c r="A401" s="1">
        <v>301</v>
      </c>
      <c r="B401" s="4072" t="s">
        <v>4685</v>
      </c>
      <c r="C401" s="4072"/>
      <c r="D401" s="4072" t="s">
        <v>4727</v>
      </c>
      <c r="E401" s="2118" t="s">
        <v>233</v>
      </c>
      <c r="F401" s="1189" t="s">
        <v>4215</v>
      </c>
      <c r="G401" s="4073"/>
      <c r="H401" s="3887">
        <v>-150000</v>
      </c>
      <c r="I401" s="3887">
        <v>150000</v>
      </c>
      <c r="J401" s="4074">
        <v>45915</v>
      </c>
      <c r="K401" s="4075"/>
      <c r="M401" s="10" t="s">
        <v>4714</v>
      </c>
    </row>
    <row r="402" spans="1:13" s="10" customFormat="1" ht="25.5">
      <c r="A402" s="1">
        <v>302</v>
      </c>
      <c r="B402" s="4072" t="s">
        <v>4685</v>
      </c>
      <c r="C402" s="4072"/>
      <c r="D402" s="4072" t="s">
        <v>4727</v>
      </c>
      <c r="E402" s="2118" t="s">
        <v>233</v>
      </c>
      <c r="F402" s="1189" t="s">
        <v>4102</v>
      </c>
      <c r="G402" s="4073"/>
      <c r="H402" s="3887">
        <v>-27221</v>
      </c>
      <c r="I402" s="3887">
        <v>27221</v>
      </c>
      <c r="J402" s="4074">
        <v>45915</v>
      </c>
      <c r="K402" s="4075"/>
      <c r="M402" s="10" t="s">
        <v>4715</v>
      </c>
    </row>
    <row r="403" spans="1:13" s="10" customFormat="1" ht="25.5">
      <c r="A403" s="1">
        <v>303</v>
      </c>
      <c r="B403" s="4072" t="s">
        <v>4685</v>
      </c>
      <c r="C403" s="4072"/>
      <c r="D403" s="4072" t="s">
        <v>4727</v>
      </c>
      <c r="E403" s="2118" t="s">
        <v>233</v>
      </c>
      <c r="F403" s="1189" t="s">
        <v>4104</v>
      </c>
      <c r="G403" s="4073"/>
      <c r="H403" s="3887">
        <v>-94000</v>
      </c>
      <c r="I403" s="3887">
        <v>94000</v>
      </c>
      <c r="J403" s="4074">
        <v>45915</v>
      </c>
      <c r="K403" s="4075"/>
      <c r="M403" s="10" t="s">
        <v>4716</v>
      </c>
    </row>
    <row r="404" spans="1:13" s="10" customFormat="1" ht="25.5">
      <c r="A404" s="1">
        <v>304</v>
      </c>
      <c r="B404" s="4072" t="s">
        <v>4685</v>
      </c>
      <c r="C404" s="4072"/>
      <c r="D404" s="4072" t="s">
        <v>4727</v>
      </c>
      <c r="E404" s="2118" t="s">
        <v>233</v>
      </c>
      <c r="F404" s="1189" t="s">
        <v>4091</v>
      </c>
      <c r="G404" s="4073"/>
      <c r="H404" s="3887">
        <v>-229668.44</v>
      </c>
      <c r="I404" s="3887">
        <v>229668.44</v>
      </c>
      <c r="J404" s="4074">
        <v>45915</v>
      </c>
      <c r="K404" s="4075"/>
      <c r="M404" s="10" t="s">
        <v>4717</v>
      </c>
    </row>
    <row r="405" spans="1:13" s="10" customFormat="1" ht="25.5">
      <c r="A405" s="1">
        <v>305</v>
      </c>
      <c r="B405" s="4072" t="s">
        <v>4685</v>
      </c>
      <c r="C405" s="4072"/>
      <c r="D405" s="4072" t="s">
        <v>4727</v>
      </c>
      <c r="E405" s="2118" t="s">
        <v>233</v>
      </c>
      <c r="F405" s="1189" t="s">
        <v>4080</v>
      </c>
      <c r="G405" s="4073"/>
      <c r="H405" s="3887">
        <v>-12500</v>
      </c>
      <c r="I405" s="3887">
        <v>12500</v>
      </c>
      <c r="J405" s="4074">
        <v>45915</v>
      </c>
      <c r="K405" s="4075"/>
      <c r="M405" s="10" t="s">
        <v>4718</v>
      </c>
    </row>
    <row r="406" spans="1:13" s="10" customFormat="1" ht="25.5">
      <c r="A406" s="1">
        <v>306</v>
      </c>
      <c r="B406" s="4072" t="s">
        <v>4685</v>
      </c>
      <c r="C406" s="4072"/>
      <c r="D406" s="4072" t="s">
        <v>4727</v>
      </c>
      <c r="E406" s="2118" t="s">
        <v>233</v>
      </c>
      <c r="F406" s="1189" t="s">
        <v>4215</v>
      </c>
      <c r="G406" s="4073"/>
      <c r="H406" s="3887">
        <v>-568712.14</v>
      </c>
      <c r="I406" s="3887">
        <v>568712.14</v>
      </c>
      <c r="J406" s="4074">
        <v>45915</v>
      </c>
      <c r="K406" s="4075"/>
      <c r="M406" s="10" t="s">
        <v>4719</v>
      </c>
    </row>
    <row r="407" spans="1:13" s="10" customFormat="1" ht="25.5">
      <c r="A407" s="1">
        <v>307</v>
      </c>
      <c r="B407" s="4072" t="s">
        <v>4685</v>
      </c>
      <c r="C407" s="4072"/>
      <c r="D407" s="4072" t="s">
        <v>4727</v>
      </c>
      <c r="E407" s="2118" t="s">
        <v>233</v>
      </c>
      <c r="F407" s="1189" t="s">
        <v>4470</v>
      </c>
      <c r="G407" s="4073"/>
      <c r="H407" s="3887">
        <v>-49793.599999999999</v>
      </c>
      <c r="I407" s="3887">
        <v>49793.599999999999</v>
      </c>
      <c r="J407" s="4074">
        <v>45915</v>
      </c>
      <c r="K407" s="4075"/>
    </row>
    <row r="408" spans="1:13" s="10" customFormat="1" ht="25.5">
      <c r="A408" s="1">
        <v>308</v>
      </c>
      <c r="B408" s="4072" t="s">
        <v>4685</v>
      </c>
      <c r="C408" s="4072"/>
      <c r="D408" s="4072" t="s">
        <v>4727</v>
      </c>
      <c r="E408" s="2118" t="s">
        <v>233</v>
      </c>
      <c r="F408" s="1189" t="s">
        <v>4094</v>
      </c>
      <c r="G408" s="4073"/>
      <c r="H408" s="3887">
        <v>-29750</v>
      </c>
      <c r="I408" s="3887">
        <v>29750</v>
      </c>
      <c r="J408" s="4074">
        <v>45915</v>
      </c>
      <c r="K408" s="4075"/>
      <c r="M408" s="10" t="s">
        <v>4712</v>
      </c>
    </row>
    <row r="409" spans="1:13" s="10" customFormat="1" ht="25.5">
      <c r="A409" s="1">
        <v>309</v>
      </c>
      <c r="B409" s="4072" t="s">
        <v>4685</v>
      </c>
      <c r="C409" s="4072"/>
      <c r="D409" s="4072" t="s">
        <v>4727</v>
      </c>
      <c r="E409" s="2118" t="s">
        <v>233</v>
      </c>
      <c r="F409" s="1189" t="s">
        <v>4081</v>
      </c>
      <c r="G409" s="4073"/>
      <c r="H409" s="3887">
        <v>-26022.5</v>
      </c>
      <c r="I409" s="3887">
        <v>26022.5</v>
      </c>
      <c r="J409" s="4074">
        <v>45915</v>
      </c>
      <c r="K409" s="4075"/>
    </row>
    <row r="410" spans="1:13" s="10" customFormat="1">
      <c r="A410" s="1"/>
      <c r="B410" s="4072"/>
      <c r="C410" s="4072"/>
      <c r="D410" s="4072"/>
      <c r="E410" s="2118"/>
      <c r="F410" s="1189"/>
      <c r="G410" s="4073"/>
      <c r="H410" s="3887"/>
      <c r="I410" s="3887"/>
      <c r="J410" s="4074"/>
      <c r="K410" s="4075"/>
    </row>
    <row r="411" spans="1:13" s="10" customFormat="1" ht="25.5">
      <c r="A411" s="1">
        <v>310</v>
      </c>
      <c r="B411" s="4072" t="s">
        <v>4685</v>
      </c>
      <c r="C411" s="4072"/>
      <c r="D411" s="4072" t="s">
        <v>4728</v>
      </c>
      <c r="E411" s="2118" t="s">
        <v>233</v>
      </c>
      <c r="F411" s="1189" t="s">
        <v>4723</v>
      </c>
      <c r="G411" s="4073"/>
      <c r="H411" s="3887">
        <v>-9915.3700000000008</v>
      </c>
      <c r="I411" s="3887">
        <v>9915.3700000000008</v>
      </c>
      <c r="J411" s="4074">
        <v>45914</v>
      </c>
      <c r="K411" s="4075"/>
      <c r="L411" s="10" t="s">
        <v>4720</v>
      </c>
      <c r="M411" s="10" t="s">
        <v>4721</v>
      </c>
    </row>
    <row r="412" spans="1:13" s="10" customFormat="1" ht="25.5">
      <c r="A412" s="1">
        <v>311</v>
      </c>
      <c r="B412" s="4072" t="s">
        <v>4685</v>
      </c>
      <c r="C412" s="4072"/>
      <c r="D412" s="4072" t="s">
        <v>4728</v>
      </c>
      <c r="E412" s="2118" t="s">
        <v>233</v>
      </c>
      <c r="F412" s="1189" t="s">
        <v>176</v>
      </c>
      <c r="G412" s="4073"/>
      <c r="H412" s="3887">
        <v>-925758.13</v>
      </c>
      <c r="I412" s="3887">
        <v>925758.13</v>
      </c>
      <c r="J412" s="4074">
        <v>45914</v>
      </c>
      <c r="K412" s="4075"/>
    </row>
    <row r="413" spans="1:13" s="10" customFormat="1" ht="25.5">
      <c r="A413" s="1">
        <v>312</v>
      </c>
      <c r="B413" s="4072" t="s">
        <v>4685</v>
      </c>
      <c r="C413" s="4072"/>
      <c r="D413" s="4072" t="s">
        <v>4728</v>
      </c>
      <c r="E413" s="2118" t="s">
        <v>233</v>
      </c>
      <c r="F413" s="1189" t="s">
        <v>176</v>
      </c>
      <c r="G413" s="4073"/>
      <c r="H413" s="3887">
        <v>-884394.44</v>
      </c>
      <c r="I413" s="3887">
        <v>884394.44</v>
      </c>
      <c r="J413" s="4074">
        <v>45914</v>
      </c>
      <c r="K413" s="4075"/>
    </row>
    <row r="414" spans="1:13" s="10" customFormat="1" ht="25.5">
      <c r="A414" s="1">
        <v>313</v>
      </c>
      <c r="B414" s="4072" t="s">
        <v>4685</v>
      </c>
      <c r="C414" s="4072"/>
      <c r="D414" s="4072" t="s">
        <v>4728</v>
      </c>
      <c r="E414" s="2118" t="s">
        <v>233</v>
      </c>
      <c r="F414" s="1189" t="s">
        <v>4085</v>
      </c>
      <c r="G414" s="4073"/>
      <c r="H414" s="3887">
        <v>-1898500.81</v>
      </c>
      <c r="I414" s="3887">
        <v>1898500.81</v>
      </c>
      <c r="J414" s="4074">
        <v>45914</v>
      </c>
      <c r="K414" s="4075"/>
    </row>
    <row r="415" spans="1:13" s="10" customFormat="1" ht="25.5">
      <c r="A415" s="1">
        <v>314</v>
      </c>
      <c r="B415" s="4072" t="s">
        <v>4685</v>
      </c>
      <c r="C415" s="4072"/>
      <c r="D415" s="4072" t="s">
        <v>4728</v>
      </c>
      <c r="E415" s="2118" t="s">
        <v>233</v>
      </c>
      <c r="F415" s="1189" t="s">
        <v>3599</v>
      </c>
      <c r="G415" s="4073"/>
      <c r="H415" s="3887">
        <v>-286304.52</v>
      </c>
      <c r="I415" s="3887">
        <v>286304.52</v>
      </c>
      <c r="J415" s="4074">
        <v>45914</v>
      </c>
      <c r="K415" s="4075"/>
    </row>
    <row r="416" spans="1:13" s="10" customFormat="1" ht="25.5">
      <c r="A416" s="1">
        <v>315</v>
      </c>
      <c r="B416" s="4072" t="s">
        <v>4685</v>
      </c>
      <c r="C416" s="4072"/>
      <c r="D416" s="4072" t="s">
        <v>4728</v>
      </c>
      <c r="E416" s="2118" t="s">
        <v>233</v>
      </c>
      <c r="F416" s="1189" t="s">
        <v>4466</v>
      </c>
      <c r="G416" s="4073"/>
      <c r="H416" s="3887">
        <v>-223673.22</v>
      </c>
      <c r="I416" s="3887">
        <v>223673.22</v>
      </c>
      <c r="J416" s="4074">
        <v>45914</v>
      </c>
      <c r="K416" s="4075"/>
    </row>
    <row r="417" spans="1:13" s="10" customFormat="1" ht="25.5">
      <c r="A417" s="1">
        <v>316</v>
      </c>
      <c r="B417" s="4072" t="s">
        <v>4685</v>
      </c>
      <c r="C417" s="4072"/>
      <c r="D417" s="4072" t="s">
        <v>4728</v>
      </c>
      <c r="E417" s="2118" t="s">
        <v>233</v>
      </c>
      <c r="F417" s="1189" t="s">
        <v>3599</v>
      </c>
      <c r="G417" s="4073"/>
      <c r="H417" s="3887">
        <v>-305481.27</v>
      </c>
      <c r="I417" s="3887">
        <v>305481.27</v>
      </c>
      <c r="J417" s="4074">
        <v>45914</v>
      </c>
      <c r="K417" s="4075"/>
    </row>
    <row r="418" spans="1:13" s="10" customFormat="1">
      <c r="A418" s="1"/>
      <c r="B418" s="4072"/>
      <c r="C418" s="4072"/>
      <c r="D418" s="4072"/>
      <c r="E418" s="2118"/>
      <c r="F418" s="1189"/>
      <c r="G418" s="4073"/>
      <c r="H418" s="3887"/>
      <c r="I418" s="3887"/>
      <c r="J418" s="4074"/>
      <c r="K418" s="4075"/>
    </row>
    <row r="419" spans="1:13" s="10" customFormat="1" ht="33.75" customHeight="1">
      <c r="A419" s="4412">
        <v>317</v>
      </c>
      <c r="B419" s="4413" t="s">
        <v>4744</v>
      </c>
      <c r="C419" s="4413"/>
      <c r="D419" s="4413"/>
      <c r="E419" s="4414" t="s">
        <v>160</v>
      </c>
      <c r="F419" s="4418" t="s">
        <v>233</v>
      </c>
      <c r="G419" s="4415"/>
      <c r="H419" s="4416">
        <v>-7235632.79</v>
      </c>
      <c r="I419" s="4416">
        <v>7235632.79</v>
      </c>
      <c r="J419" s="4417" t="s">
        <v>5130</v>
      </c>
      <c r="K419" s="4075"/>
      <c r="L419" s="10" t="s">
        <v>3637</v>
      </c>
      <c r="M419" s="10">
        <v>0</v>
      </c>
    </row>
    <row r="420" spans="1:13" s="10" customFormat="1" ht="17.25" customHeight="1">
      <c r="A420" s="4492">
        <v>318</v>
      </c>
      <c r="B420" s="4493" t="s">
        <v>4888</v>
      </c>
      <c r="C420" s="4493"/>
      <c r="D420" s="4493" t="s">
        <v>5083</v>
      </c>
      <c r="E420" s="4494" t="s">
        <v>2239</v>
      </c>
      <c r="F420" s="4494" t="s">
        <v>233</v>
      </c>
      <c r="G420" s="4495"/>
      <c r="H420" s="4496">
        <f>-I420</f>
        <v>-5796</v>
      </c>
      <c r="I420" s="4496">
        <f>+'Schedule C'!AG178-'Schedule C'!AZ178</f>
        <v>5796</v>
      </c>
      <c r="J420" s="4497">
        <v>45960</v>
      </c>
      <c r="K420" s="4075"/>
    </row>
    <row r="421" spans="1:13" s="10" customFormat="1" ht="24" customHeight="1">
      <c r="A421" s="4492">
        <v>318</v>
      </c>
      <c r="B421" s="4493" t="s">
        <v>5082</v>
      </c>
      <c r="C421" s="4493"/>
      <c r="D421" s="4493" t="s">
        <v>5083</v>
      </c>
      <c r="E421" s="4494" t="s">
        <v>233</v>
      </c>
      <c r="F421" s="4494" t="s">
        <v>2269</v>
      </c>
      <c r="G421" s="4495"/>
      <c r="H421" s="4496">
        <v>-27800</v>
      </c>
      <c r="I421" s="4496">
        <v>27800</v>
      </c>
      <c r="J421" s="4497">
        <v>45960</v>
      </c>
      <c r="K421" s="4075"/>
      <c r="L421" s="10" t="s">
        <v>5350</v>
      </c>
    </row>
    <row r="422" spans="1:13" s="10" customFormat="1" ht="26.25" customHeight="1">
      <c r="A422" s="1">
        <v>319</v>
      </c>
      <c r="B422" s="4072" t="s">
        <v>4931</v>
      </c>
      <c r="C422" s="4072"/>
      <c r="D422" s="4072" t="s">
        <v>5072</v>
      </c>
      <c r="E422" s="2118" t="s">
        <v>233</v>
      </c>
      <c r="F422" s="1189" t="s">
        <v>4929</v>
      </c>
      <c r="G422" s="4073"/>
      <c r="H422" s="3887">
        <v>-133000</v>
      </c>
      <c r="I422" s="3887">
        <v>133000</v>
      </c>
      <c r="J422" s="4074">
        <v>45956</v>
      </c>
      <c r="K422" s="4075"/>
    </row>
    <row r="423" spans="1:13" s="10" customFormat="1" ht="25.5">
      <c r="A423" s="1">
        <v>320</v>
      </c>
      <c r="B423" s="4072" t="s">
        <v>4888</v>
      </c>
      <c r="C423" s="4072"/>
      <c r="D423" s="4072" t="s">
        <v>5073</v>
      </c>
      <c r="E423" s="2118" t="s">
        <v>2269</v>
      </c>
      <c r="F423" s="2118" t="s">
        <v>233</v>
      </c>
      <c r="G423" s="4073"/>
      <c r="H423" s="3887">
        <v>-46930</v>
      </c>
      <c r="I423" s="3887">
        <v>46930</v>
      </c>
      <c r="J423" s="4074">
        <v>45960</v>
      </c>
      <c r="K423" s="4075"/>
    </row>
    <row r="424" spans="1:13" s="10" customFormat="1" ht="26.25" customHeight="1">
      <c r="A424" s="1">
        <v>321</v>
      </c>
      <c r="B424" s="4072" t="s">
        <v>5079</v>
      </c>
      <c r="C424" s="4072"/>
      <c r="D424" s="4072" t="s">
        <v>5176</v>
      </c>
      <c r="E424" s="2118" t="s">
        <v>233</v>
      </c>
      <c r="F424" s="1189" t="s">
        <v>4947</v>
      </c>
      <c r="G424" s="4073"/>
      <c r="H424" s="3887">
        <v>-799625.31</v>
      </c>
      <c r="I424" s="3887">
        <v>799625.31</v>
      </c>
      <c r="J424" s="4074">
        <v>45980</v>
      </c>
      <c r="K424" s="4075"/>
    </row>
    <row r="425" spans="1:13" s="10" customFormat="1" ht="24" customHeight="1" outlineLevel="2">
      <c r="A425" s="1">
        <v>322</v>
      </c>
      <c r="B425" s="4072" t="s">
        <v>5078</v>
      </c>
      <c r="C425" s="4072"/>
      <c r="D425" s="4072" t="s">
        <v>5071</v>
      </c>
      <c r="E425" s="2118" t="s">
        <v>233</v>
      </c>
      <c r="F425" s="1189" t="s">
        <v>4191</v>
      </c>
      <c r="G425" s="4073"/>
      <c r="H425" s="3887">
        <v>-592674</v>
      </c>
      <c r="I425" s="3887">
        <v>592674</v>
      </c>
      <c r="J425" s="4074">
        <v>45944</v>
      </c>
      <c r="K425" s="4075"/>
    </row>
    <row r="426" spans="1:13" s="10" customFormat="1" ht="25.5" outlineLevel="2">
      <c r="A426" s="1">
        <v>323</v>
      </c>
      <c r="B426" s="4072" t="s">
        <v>5074</v>
      </c>
      <c r="C426" s="4072"/>
      <c r="D426" s="4072" t="s">
        <v>5075</v>
      </c>
      <c r="E426" s="2118" t="s">
        <v>233</v>
      </c>
      <c r="F426" s="1189" t="s">
        <v>4091</v>
      </c>
      <c r="G426" s="4073"/>
      <c r="H426" s="3887">
        <v>-158996.32999999999</v>
      </c>
      <c r="I426" s="3887">
        <v>158996.32999999999</v>
      </c>
      <c r="J426" s="4074">
        <v>45960</v>
      </c>
      <c r="K426" s="4075"/>
    </row>
    <row r="427" spans="1:13" s="10" customFormat="1" outlineLevel="2">
      <c r="A427" s="1">
        <f>+A426+1</f>
        <v>324</v>
      </c>
      <c r="B427" s="4072" t="s">
        <v>5074</v>
      </c>
      <c r="C427" s="4072"/>
      <c r="D427" s="4072" t="s">
        <v>5075</v>
      </c>
      <c r="E427" s="2118" t="s">
        <v>233</v>
      </c>
      <c r="F427" s="1189" t="s">
        <v>4085</v>
      </c>
      <c r="G427" s="4073"/>
      <c r="H427" s="3887">
        <v>-875601.38</v>
      </c>
      <c r="I427" s="3887">
        <v>875601.38</v>
      </c>
      <c r="J427" s="4074">
        <v>45960</v>
      </c>
      <c r="K427" s="4075"/>
    </row>
    <row r="428" spans="1:13" s="10" customFormat="1" ht="25.5" outlineLevel="2">
      <c r="A428" s="1">
        <f t="shared" ref="A428:A446" si="3">+A427+1</f>
        <v>325</v>
      </c>
      <c r="B428" s="4072" t="s">
        <v>5074</v>
      </c>
      <c r="C428" s="4072"/>
      <c r="D428" s="4072" t="s">
        <v>5075</v>
      </c>
      <c r="E428" s="2118" t="s">
        <v>233</v>
      </c>
      <c r="F428" s="1189" t="s">
        <v>4084</v>
      </c>
      <c r="G428" s="4073"/>
      <c r="H428" s="3887">
        <v>-30274.06</v>
      </c>
      <c r="I428" s="3887">
        <v>30274.06</v>
      </c>
      <c r="J428" s="4074">
        <v>45960</v>
      </c>
      <c r="K428" s="4075"/>
    </row>
    <row r="429" spans="1:13" s="10" customFormat="1" outlineLevel="2">
      <c r="A429" s="1">
        <f t="shared" si="3"/>
        <v>326</v>
      </c>
      <c r="B429" s="4072" t="s">
        <v>5074</v>
      </c>
      <c r="C429" s="4072"/>
      <c r="D429" s="4072" t="s">
        <v>5075</v>
      </c>
      <c r="E429" s="2118" t="s">
        <v>233</v>
      </c>
      <c r="F429" s="1189" t="s">
        <v>4466</v>
      </c>
      <c r="G429" s="4073"/>
      <c r="H429" s="3887">
        <v>-250480.81</v>
      </c>
      <c r="I429" s="3887">
        <v>250480.81</v>
      </c>
      <c r="J429" s="4074">
        <v>45960</v>
      </c>
      <c r="K429" s="4075"/>
    </row>
    <row r="430" spans="1:13" s="10" customFormat="1" outlineLevel="2">
      <c r="A430" s="1">
        <f t="shared" si="3"/>
        <v>327</v>
      </c>
      <c r="B430" s="4072" t="s">
        <v>5074</v>
      </c>
      <c r="C430" s="4072"/>
      <c r="D430" s="4072" t="s">
        <v>5075</v>
      </c>
      <c r="E430" s="2118" t="s">
        <v>233</v>
      </c>
      <c r="F430" s="1189" t="s">
        <v>4086</v>
      </c>
      <c r="G430" s="4073"/>
      <c r="H430" s="3887">
        <v>-51732.06</v>
      </c>
      <c r="I430" s="3887">
        <v>51732.06</v>
      </c>
      <c r="J430" s="4074">
        <v>45960</v>
      </c>
      <c r="K430" s="4075"/>
    </row>
    <row r="431" spans="1:13" s="10" customFormat="1" outlineLevel="2">
      <c r="A431" s="1">
        <f t="shared" si="3"/>
        <v>328</v>
      </c>
      <c r="B431" s="4072" t="s">
        <v>5074</v>
      </c>
      <c r="C431" s="4072"/>
      <c r="D431" s="4072" t="s">
        <v>5075</v>
      </c>
      <c r="E431" s="2118" t="s">
        <v>233</v>
      </c>
      <c r="F431" s="1189" t="s">
        <v>4105</v>
      </c>
      <c r="G431" s="4073"/>
      <c r="H431" s="3887">
        <v>-128000</v>
      </c>
      <c r="I431" s="3887">
        <v>128000</v>
      </c>
      <c r="J431" s="4074">
        <v>45960</v>
      </c>
      <c r="K431" s="4075"/>
    </row>
    <row r="432" spans="1:13" s="10" customFormat="1" outlineLevel="2">
      <c r="A432" s="1">
        <f t="shared" si="3"/>
        <v>329</v>
      </c>
      <c r="B432" s="4072" t="s">
        <v>5074</v>
      </c>
      <c r="C432" s="4072"/>
      <c r="D432" s="4072" t="s">
        <v>5075</v>
      </c>
      <c r="E432" s="2118" t="s">
        <v>233</v>
      </c>
      <c r="F432" s="1189" t="s">
        <v>4089</v>
      </c>
      <c r="G432" s="4073"/>
      <c r="H432" s="3887">
        <v>-990059.87</v>
      </c>
      <c r="I432" s="3887">
        <v>990059.87</v>
      </c>
      <c r="J432" s="4074">
        <v>45960</v>
      </c>
      <c r="K432" s="4075"/>
    </row>
    <row r="433" spans="1:11" s="10" customFormat="1" ht="25.5" outlineLevel="2">
      <c r="A433" s="1">
        <f t="shared" si="3"/>
        <v>330</v>
      </c>
      <c r="B433" s="4072" t="s">
        <v>5074</v>
      </c>
      <c r="C433" s="4072"/>
      <c r="D433" s="4072" t="s">
        <v>5075</v>
      </c>
      <c r="E433" s="2118" t="s">
        <v>233</v>
      </c>
      <c r="F433" s="1189" t="s">
        <v>4104</v>
      </c>
      <c r="G433" s="4073"/>
      <c r="H433" s="3887">
        <v>-94000</v>
      </c>
      <c r="I433" s="3887">
        <v>94000</v>
      </c>
      <c r="J433" s="4074">
        <v>45960</v>
      </c>
      <c r="K433" s="4075"/>
    </row>
    <row r="434" spans="1:11" s="10" customFormat="1" outlineLevel="2">
      <c r="A434" s="1">
        <f t="shared" si="3"/>
        <v>331</v>
      </c>
      <c r="B434" s="4072" t="s">
        <v>5074</v>
      </c>
      <c r="C434" s="4072"/>
      <c r="D434" s="4072" t="s">
        <v>5075</v>
      </c>
      <c r="E434" s="2118" t="s">
        <v>233</v>
      </c>
      <c r="F434" s="1189" t="s">
        <v>4470</v>
      </c>
      <c r="G434" s="4073"/>
      <c r="H434" s="3887">
        <v>-5020</v>
      </c>
      <c r="I434" s="3887">
        <v>5020</v>
      </c>
      <c r="J434" s="4074">
        <v>45960</v>
      </c>
      <c r="K434" s="4075"/>
    </row>
    <row r="435" spans="1:11" s="10" customFormat="1" ht="25.5" outlineLevel="2">
      <c r="A435" s="1">
        <f t="shared" si="3"/>
        <v>332</v>
      </c>
      <c r="B435" s="4072" t="s">
        <v>5074</v>
      </c>
      <c r="C435" s="4072"/>
      <c r="D435" s="4072" t="s">
        <v>5075</v>
      </c>
      <c r="E435" s="2118" t="s">
        <v>233</v>
      </c>
      <c r="F435" s="1189" t="s">
        <v>4081</v>
      </c>
      <c r="G435" s="4073"/>
      <c r="H435" s="3887">
        <v>-34561.5</v>
      </c>
      <c r="I435" s="3887">
        <v>34561.5</v>
      </c>
      <c r="J435" s="4074">
        <v>45960</v>
      </c>
      <c r="K435" s="4075"/>
    </row>
    <row r="436" spans="1:11" s="10" customFormat="1" ht="25.5" outlineLevel="2">
      <c r="A436" s="1">
        <f t="shared" si="3"/>
        <v>333</v>
      </c>
      <c r="B436" s="4072" t="s">
        <v>5074</v>
      </c>
      <c r="C436" s="4072"/>
      <c r="D436" s="4072" t="s">
        <v>5075</v>
      </c>
      <c r="E436" s="2118" t="s">
        <v>233</v>
      </c>
      <c r="F436" s="1189" t="s">
        <v>4080</v>
      </c>
      <c r="G436" s="4073"/>
      <c r="H436" s="3887">
        <v>-13000</v>
      </c>
      <c r="I436" s="3887">
        <v>13000</v>
      </c>
      <c r="J436" s="4074">
        <v>45960</v>
      </c>
      <c r="K436" s="4075"/>
    </row>
    <row r="437" spans="1:11" s="10" customFormat="1" ht="25.5" outlineLevel="2">
      <c r="A437" s="1">
        <f t="shared" si="3"/>
        <v>334</v>
      </c>
      <c r="B437" s="4072" t="s">
        <v>5074</v>
      </c>
      <c r="C437" s="4072"/>
      <c r="D437" s="4072" t="s">
        <v>5075</v>
      </c>
      <c r="E437" s="2118" t="s">
        <v>233</v>
      </c>
      <c r="F437" s="1189" t="s">
        <v>4096</v>
      </c>
      <c r="G437" s="4073"/>
      <c r="H437" s="3887">
        <v>-2500</v>
      </c>
      <c r="I437" s="3887">
        <v>2500</v>
      </c>
      <c r="J437" s="4074">
        <v>45960</v>
      </c>
      <c r="K437" s="4075"/>
    </row>
    <row r="438" spans="1:11" s="10" customFormat="1" ht="25.5" outlineLevel="2">
      <c r="A438" s="1">
        <f t="shared" si="3"/>
        <v>335</v>
      </c>
      <c r="B438" s="4072" t="s">
        <v>5074</v>
      </c>
      <c r="C438" s="4072"/>
      <c r="D438" s="4072" t="s">
        <v>5075</v>
      </c>
      <c r="E438" s="2118" t="s">
        <v>233</v>
      </c>
      <c r="F438" s="1189" t="s">
        <v>4094</v>
      </c>
      <c r="G438" s="4073"/>
      <c r="H438" s="3887">
        <v>-28000</v>
      </c>
      <c r="I438" s="3887">
        <v>28000</v>
      </c>
      <c r="J438" s="4074">
        <v>45960</v>
      </c>
      <c r="K438" s="4075"/>
    </row>
    <row r="439" spans="1:11" s="10" customFormat="1" ht="25.5" outlineLevel="2">
      <c r="A439" s="1">
        <f t="shared" si="3"/>
        <v>336</v>
      </c>
      <c r="B439" s="4072" t="s">
        <v>5074</v>
      </c>
      <c r="C439" s="4072"/>
      <c r="D439" s="4072" t="s">
        <v>5075</v>
      </c>
      <c r="E439" s="2118" t="s">
        <v>233</v>
      </c>
      <c r="F439" s="1189" t="s">
        <v>4092</v>
      </c>
      <c r="G439" s="4073"/>
      <c r="H439" s="3887">
        <v>-39510</v>
      </c>
      <c r="I439" s="3887">
        <v>39510</v>
      </c>
      <c r="J439" s="4074">
        <v>45960</v>
      </c>
      <c r="K439" s="4075"/>
    </row>
    <row r="440" spans="1:11" s="10" customFormat="1" outlineLevel="2">
      <c r="A440" s="1">
        <f t="shared" si="3"/>
        <v>337</v>
      </c>
      <c r="B440" s="4072" t="s">
        <v>5074</v>
      </c>
      <c r="C440" s="4072"/>
      <c r="D440" s="4072" t="s">
        <v>5075</v>
      </c>
      <c r="E440" s="2118" t="s">
        <v>233</v>
      </c>
      <c r="F440" s="1189" t="s">
        <v>4077</v>
      </c>
      <c r="G440" s="4073"/>
      <c r="H440" s="3887">
        <v>-4347.83</v>
      </c>
      <c r="I440" s="3887">
        <v>4347.83</v>
      </c>
      <c r="J440" s="4074">
        <v>45960</v>
      </c>
      <c r="K440" s="4075"/>
    </row>
    <row r="441" spans="1:11" s="10" customFormat="1" ht="25.5" outlineLevel="2">
      <c r="A441" s="1">
        <f t="shared" si="3"/>
        <v>338</v>
      </c>
      <c r="B441" s="4072" t="s">
        <v>5074</v>
      </c>
      <c r="C441" s="4072"/>
      <c r="D441" s="4072" t="s">
        <v>5075</v>
      </c>
      <c r="E441" s="2118" t="s">
        <v>233</v>
      </c>
      <c r="F441" s="1189" t="s">
        <v>4075</v>
      </c>
      <c r="G441" s="4073"/>
      <c r="H441" s="3887">
        <v>-13799.9</v>
      </c>
      <c r="I441" s="3887">
        <v>13799.9</v>
      </c>
      <c r="J441" s="4074">
        <v>45960</v>
      </c>
      <c r="K441" s="4075"/>
    </row>
    <row r="442" spans="1:11" s="10" customFormat="1" ht="25.5" outlineLevel="2">
      <c r="A442" s="1">
        <f t="shared" si="3"/>
        <v>339</v>
      </c>
      <c r="B442" s="4072" t="s">
        <v>5074</v>
      </c>
      <c r="C442" s="4072"/>
      <c r="D442" s="4072" t="s">
        <v>5075</v>
      </c>
      <c r="E442" s="2118" t="s">
        <v>233</v>
      </c>
      <c r="F442" s="1189" t="s">
        <v>4215</v>
      </c>
      <c r="G442" s="4073"/>
      <c r="H442" s="3887">
        <v>-603883.09</v>
      </c>
      <c r="I442" s="3887">
        <v>603883.09</v>
      </c>
      <c r="J442" s="4074">
        <v>45960</v>
      </c>
      <c r="K442" s="4075"/>
    </row>
    <row r="443" spans="1:11" s="10" customFormat="1" ht="25.5" outlineLevel="2">
      <c r="A443" s="1">
        <f t="shared" si="3"/>
        <v>340</v>
      </c>
      <c r="B443" s="4072" t="s">
        <v>5074</v>
      </c>
      <c r="C443" s="4072"/>
      <c r="D443" s="4072" t="s">
        <v>5075</v>
      </c>
      <c r="E443" s="2118" t="s">
        <v>233</v>
      </c>
      <c r="F443" s="1189" t="s">
        <v>4215</v>
      </c>
      <c r="G443" s="4073"/>
      <c r="H443" s="3887">
        <v>-150000</v>
      </c>
      <c r="I443" s="3887">
        <v>150000</v>
      </c>
      <c r="J443" s="4074">
        <v>45960</v>
      </c>
      <c r="K443" s="4075"/>
    </row>
    <row r="444" spans="1:11" s="10" customFormat="1" ht="25.5" outlineLevel="2">
      <c r="A444" s="1">
        <f t="shared" si="3"/>
        <v>341</v>
      </c>
      <c r="B444" s="4072" t="s">
        <v>5074</v>
      </c>
      <c r="C444" s="4072"/>
      <c r="D444" s="4072" t="s">
        <v>5075</v>
      </c>
      <c r="E444" s="2118" t="s">
        <v>233</v>
      </c>
      <c r="F444" s="1189" t="s">
        <v>4469</v>
      </c>
      <c r="G444" s="4073"/>
      <c r="H444" s="3887">
        <v>-43961.279999999999</v>
      </c>
      <c r="I444" s="3887">
        <v>43961.279999999999</v>
      </c>
      <c r="J444" s="4074">
        <v>45960</v>
      </c>
      <c r="K444" s="4075"/>
    </row>
    <row r="445" spans="1:11" s="10" customFormat="1" outlineLevel="2">
      <c r="A445" s="1">
        <f t="shared" si="3"/>
        <v>342</v>
      </c>
      <c r="B445" s="4072" t="s">
        <v>5074</v>
      </c>
      <c r="C445" s="4072"/>
      <c r="D445" s="4072" t="s">
        <v>5075</v>
      </c>
      <c r="E445" s="2118" t="s">
        <v>233</v>
      </c>
      <c r="F445" s="1189" t="s">
        <v>5076</v>
      </c>
      <c r="G445" s="4073"/>
      <c r="H445" s="3887">
        <v>-88089.68</v>
      </c>
      <c r="I445" s="3887">
        <v>88089.68</v>
      </c>
      <c r="J445" s="4074">
        <v>45960</v>
      </c>
      <c r="K445" s="4075"/>
    </row>
    <row r="446" spans="1:11" s="10" customFormat="1" outlineLevel="2">
      <c r="A446" s="1">
        <f t="shared" si="3"/>
        <v>343</v>
      </c>
      <c r="B446" s="4072" t="s">
        <v>5074</v>
      </c>
      <c r="C446" s="4072"/>
      <c r="D446" s="4072" t="s">
        <v>5075</v>
      </c>
      <c r="E446" s="2118" t="s">
        <v>233</v>
      </c>
      <c r="F446" s="1189" t="s">
        <v>5077</v>
      </c>
      <c r="G446" s="4073"/>
      <c r="H446" s="3887">
        <v>-1079426</v>
      </c>
      <c r="I446" s="3887">
        <v>1079426</v>
      </c>
      <c r="J446" s="4074">
        <v>45960</v>
      </c>
      <c r="K446" s="4075"/>
    </row>
    <row r="447" spans="1:11" s="10" customFormat="1" outlineLevel="2">
      <c r="A447" s="1"/>
      <c r="B447" s="4072"/>
      <c r="C447" s="4072"/>
      <c r="D447" s="4072"/>
      <c r="E447" s="2118"/>
      <c r="F447" s="1189"/>
      <c r="G447" s="4073"/>
      <c r="H447" s="3887"/>
      <c r="I447" s="3887"/>
      <c r="J447" s="4074"/>
      <c r="K447" s="4075"/>
    </row>
    <row r="448" spans="1:11" s="10" customFormat="1" outlineLevel="2">
      <c r="A448" s="1">
        <v>344</v>
      </c>
      <c r="B448" s="4072" t="s">
        <v>5081</v>
      </c>
      <c r="C448" s="4072"/>
      <c r="D448" s="4072" t="s">
        <v>5131</v>
      </c>
      <c r="E448" s="2118" t="s">
        <v>233</v>
      </c>
      <c r="F448" s="1189" t="s">
        <v>5080</v>
      </c>
      <c r="G448" s="4073"/>
      <c r="H448" s="3887">
        <v>-397876</v>
      </c>
      <c r="I448" s="3887">
        <v>397876</v>
      </c>
      <c r="J448" s="4074">
        <v>45980</v>
      </c>
      <c r="K448" s="4075"/>
    </row>
    <row r="449" spans="1:12" s="4511" customFormat="1">
      <c r="A449" s="1">
        <v>345</v>
      </c>
      <c r="B449" s="4072" t="s">
        <v>5132</v>
      </c>
      <c r="C449" s="4072"/>
      <c r="D449" s="4072"/>
      <c r="E449" s="2118" t="s">
        <v>160</v>
      </c>
      <c r="F449" s="2118" t="s">
        <v>233</v>
      </c>
      <c r="G449" s="4073"/>
      <c r="H449" s="3887">
        <f>-I449</f>
        <v>0</v>
      </c>
      <c r="I449" s="3887">
        <f>(27800+13210)*0</f>
        <v>0</v>
      </c>
      <c r="J449" s="4074" t="s">
        <v>5133</v>
      </c>
      <c r="K449" s="4075"/>
      <c r="L449" s="4511">
        <f>(27800+13210)</f>
        <v>41010</v>
      </c>
    </row>
    <row r="450" spans="1:12" s="10" customFormat="1" outlineLevel="2">
      <c r="A450" s="1"/>
      <c r="B450" s="4072"/>
      <c r="C450" s="4072"/>
      <c r="D450" s="4072"/>
      <c r="E450" s="2118"/>
      <c r="F450" s="1189"/>
      <c r="G450" s="4073"/>
      <c r="H450" s="3887"/>
      <c r="I450" s="3887"/>
      <c r="J450" s="4074"/>
      <c r="K450" s="4075"/>
    </row>
    <row r="451" spans="1:12" s="10" customFormat="1" outlineLevel="2">
      <c r="A451" s="1">
        <v>346</v>
      </c>
      <c r="B451" s="4072" t="s">
        <v>5164</v>
      </c>
      <c r="C451" s="4072"/>
      <c r="D451" s="4072" t="s">
        <v>5189</v>
      </c>
      <c r="E451" s="2118" t="s">
        <v>233</v>
      </c>
      <c r="F451" s="1189" t="s">
        <v>5165</v>
      </c>
      <c r="G451" s="4073"/>
      <c r="H451" s="3887">
        <f>-I451</f>
        <v>-108142.99</v>
      </c>
      <c r="I451" s="3887">
        <v>108142.99</v>
      </c>
      <c r="J451" s="4074">
        <v>45987</v>
      </c>
      <c r="K451" s="4075"/>
    </row>
    <row r="452" spans="1:12" s="10" customFormat="1" outlineLevel="2">
      <c r="A452" s="1">
        <v>347</v>
      </c>
      <c r="B452" s="4072" t="s">
        <v>5167</v>
      </c>
      <c r="C452" s="4072"/>
      <c r="D452" s="4072" t="s">
        <v>5188</v>
      </c>
      <c r="E452" s="2118" t="s">
        <v>233</v>
      </c>
      <c r="F452" s="1189" t="s">
        <v>5166</v>
      </c>
      <c r="G452" s="4073"/>
      <c r="H452" s="3887">
        <f>-I452</f>
        <v>-353487.06</v>
      </c>
      <c r="I452" s="3887">
        <v>353487.06</v>
      </c>
      <c r="J452" s="4074">
        <v>45987</v>
      </c>
      <c r="K452" s="4075"/>
    </row>
    <row r="453" spans="1:12" s="10" customFormat="1" outlineLevel="2">
      <c r="A453" s="1"/>
      <c r="B453" s="4072"/>
      <c r="C453" s="4072"/>
      <c r="D453" s="4072"/>
      <c r="E453" s="2118"/>
      <c r="F453" s="1189"/>
      <c r="G453" s="4073"/>
      <c r="H453" s="3887"/>
      <c r="I453" s="3887"/>
      <c r="J453" s="4074"/>
      <c r="K453" s="4075"/>
    </row>
    <row r="454" spans="1:12" s="10" customFormat="1" ht="25.5" outlineLevel="2">
      <c r="A454" s="1">
        <v>348</v>
      </c>
      <c r="B454" s="4072" t="s">
        <v>5210</v>
      </c>
      <c r="C454" s="4072"/>
      <c r="D454" s="4072" t="s">
        <v>5277</v>
      </c>
      <c r="E454" s="2118" t="s">
        <v>233</v>
      </c>
      <c r="F454" s="1189" t="s">
        <v>3204</v>
      </c>
      <c r="G454" s="4073"/>
      <c r="H454" s="3887">
        <v>-3050936</v>
      </c>
      <c r="I454" s="3887">
        <v>3050936</v>
      </c>
      <c r="J454" s="4074">
        <v>46012</v>
      </c>
      <c r="K454" s="4075"/>
    </row>
    <row r="455" spans="1:12" s="10" customFormat="1" ht="25.5" outlineLevel="2">
      <c r="A455" s="1">
        <v>349</v>
      </c>
      <c r="B455" s="4072" t="s">
        <v>5212</v>
      </c>
      <c r="C455" s="4072"/>
      <c r="D455" s="4072" t="s">
        <v>5482</v>
      </c>
      <c r="E455" s="2118" t="s">
        <v>5211</v>
      </c>
      <c r="F455" s="1189" t="s">
        <v>233</v>
      </c>
      <c r="G455" s="4073"/>
      <c r="H455" s="3887">
        <v>-222077.93</v>
      </c>
      <c r="I455" s="3887">
        <v>222077.93</v>
      </c>
      <c r="J455" s="4074">
        <v>46105</v>
      </c>
      <c r="K455" s="4075"/>
    </row>
    <row r="456" spans="1:12" s="4511" customFormat="1" ht="25.5" outlineLevel="2">
      <c r="A456" s="1">
        <v>350</v>
      </c>
      <c r="B456" s="4072" t="s">
        <v>5214</v>
      </c>
      <c r="C456" s="4072"/>
      <c r="D456" s="4636"/>
      <c r="E456" s="2118" t="s">
        <v>2269</v>
      </c>
      <c r="F456" s="1189" t="s">
        <v>233</v>
      </c>
      <c r="G456" s="4073"/>
      <c r="H456" s="3887">
        <f>-76325.6500000004*0</f>
        <v>0</v>
      </c>
      <c r="I456" s="3887">
        <f>76325.6500000004*0</f>
        <v>0</v>
      </c>
      <c r="J456" s="4541"/>
      <c r="K456" s="4075"/>
      <c r="L456" s="4511" t="s">
        <v>5342</v>
      </c>
    </row>
    <row r="457" spans="1:12" s="10" customFormat="1" outlineLevel="2">
      <c r="A457" s="1"/>
      <c r="B457" s="4072"/>
      <c r="C457" s="4072"/>
      <c r="D457" s="4072"/>
      <c r="E457" s="2118"/>
      <c r="F457" s="1189"/>
      <c r="G457" s="4073"/>
      <c r="H457" s="3887"/>
      <c r="I457" s="3887"/>
      <c r="J457" s="4074"/>
      <c r="K457" s="4075"/>
    </row>
    <row r="458" spans="1:12" s="10" customFormat="1" outlineLevel="2">
      <c r="A458" s="1">
        <v>351</v>
      </c>
      <c r="B458" s="4072" t="s">
        <v>5245</v>
      </c>
      <c r="C458" s="4072"/>
      <c r="D458" s="4072" t="s">
        <v>5246</v>
      </c>
      <c r="E458" s="2118" t="s">
        <v>234</v>
      </c>
      <c r="F458" s="1189" t="s">
        <v>5247</v>
      </c>
      <c r="G458" s="4073"/>
      <c r="H458" s="3887">
        <v>-11745</v>
      </c>
      <c r="I458" s="3887">
        <v>11745</v>
      </c>
      <c r="J458" s="4074">
        <v>46012</v>
      </c>
      <c r="K458" s="4075"/>
    </row>
    <row r="459" spans="1:12" s="10" customFormat="1" outlineLevel="2">
      <c r="A459" s="1"/>
      <c r="B459" s="4072"/>
      <c r="C459" s="4072"/>
      <c r="D459" s="4072"/>
      <c r="E459" s="2118"/>
      <c r="F459" s="1189"/>
      <c r="G459" s="4073"/>
      <c r="H459" s="3887"/>
      <c r="I459" s="3887"/>
      <c r="J459" s="4074"/>
      <c r="K459" s="4075"/>
    </row>
    <row r="460" spans="1:12" s="10" customFormat="1" outlineLevel="2">
      <c r="A460" s="1">
        <v>352</v>
      </c>
      <c r="B460" s="4072" t="s">
        <v>5278</v>
      </c>
      <c r="C460" s="4072"/>
      <c r="D460" s="4072" t="s">
        <v>5279</v>
      </c>
      <c r="E460" s="2118" t="s">
        <v>3930</v>
      </c>
      <c r="F460" s="1189" t="s">
        <v>233</v>
      </c>
      <c r="G460" s="4073"/>
      <c r="H460" s="3887">
        <v>-204382</v>
      </c>
      <c r="I460" s="3887">
        <v>204382</v>
      </c>
      <c r="J460" s="4074">
        <v>46012</v>
      </c>
      <c r="K460" s="4075"/>
      <c r="L460" s="4574" t="s">
        <v>5349</v>
      </c>
    </row>
    <row r="461" spans="1:12" s="10" customFormat="1" outlineLevel="2">
      <c r="A461" s="1"/>
      <c r="B461" s="4072"/>
      <c r="C461" s="4072"/>
      <c r="D461" s="4072"/>
      <c r="E461" s="2118"/>
      <c r="F461" s="1189"/>
      <c r="G461" s="4073"/>
      <c r="H461" s="3887"/>
      <c r="I461" s="3887"/>
      <c r="J461" s="4074"/>
      <c r="K461" s="4075"/>
    </row>
    <row r="462" spans="1:12" s="10" customFormat="1" outlineLevel="2">
      <c r="A462" s="1"/>
      <c r="B462" s="4072" t="s">
        <v>5283</v>
      </c>
      <c r="C462" s="4072"/>
      <c r="D462" s="4072" t="s">
        <v>5282</v>
      </c>
      <c r="E462" s="2118" t="s">
        <v>233</v>
      </c>
      <c r="F462" s="1189" t="s">
        <v>5166</v>
      </c>
      <c r="G462" s="4073"/>
      <c r="H462" s="3887">
        <v>-34719</v>
      </c>
      <c r="I462" s="3887">
        <v>34719</v>
      </c>
      <c r="J462" s="4074">
        <v>46033</v>
      </c>
      <c r="K462" s="4075"/>
    </row>
    <row r="463" spans="1:12" s="10" customFormat="1" outlineLevel="2">
      <c r="A463" s="1"/>
      <c r="B463" s="4072"/>
      <c r="C463" s="4072"/>
      <c r="D463" s="4072"/>
      <c r="E463" s="2118"/>
      <c r="F463" s="1189"/>
      <c r="G463" s="4073"/>
      <c r="H463" s="3887"/>
      <c r="I463" s="3887"/>
      <c r="J463" s="4074"/>
      <c r="K463" s="4075"/>
    </row>
    <row r="464" spans="1:12" s="10" customFormat="1" ht="25.5" outlineLevel="2">
      <c r="A464" s="1">
        <v>315</v>
      </c>
      <c r="B464" s="4072" t="s">
        <v>5285</v>
      </c>
      <c r="C464" s="4072"/>
      <c r="D464" s="4072" t="s">
        <v>5286</v>
      </c>
      <c r="E464" s="2118" t="s">
        <v>233</v>
      </c>
      <c r="F464" s="1189" t="s">
        <v>4466</v>
      </c>
      <c r="G464" s="4073"/>
      <c r="H464" s="3887">
        <v>-10000</v>
      </c>
      <c r="I464" s="3887">
        <v>10000</v>
      </c>
      <c r="J464" s="4074" t="s">
        <v>5287</v>
      </c>
      <c r="K464" s="4075"/>
    </row>
    <row r="465" spans="1:12" s="10" customFormat="1" outlineLevel="2">
      <c r="A465" s="1"/>
      <c r="B465" s="4072"/>
      <c r="C465" s="4072"/>
      <c r="D465" s="4072"/>
      <c r="E465" s="2118"/>
      <c r="F465" s="1189"/>
      <c r="G465" s="4073"/>
      <c r="H465" s="3887"/>
      <c r="I465" s="3887"/>
      <c r="J465" s="4074"/>
      <c r="K465" s="4075"/>
    </row>
    <row r="466" spans="1:12" s="10" customFormat="1" ht="39" customHeight="1" outlineLevel="2">
      <c r="A466" s="1">
        <v>316</v>
      </c>
      <c r="B466" s="4072" t="s">
        <v>5288</v>
      </c>
      <c r="C466" s="4072"/>
      <c r="D466" s="4072" t="s">
        <v>5289</v>
      </c>
      <c r="E466" s="2118" t="s">
        <v>233</v>
      </c>
      <c r="F466" s="1189" t="s">
        <v>5165</v>
      </c>
      <c r="G466" s="4073"/>
      <c r="H466" s="3887">
        <v>-7855.99</v>
      </c>
      <c r="I466" s="3887">
        <v>7855.99</v>
      </c>
      <c r="J466" s="4074">
        <v>46040</v>
      </c>
      <c r="K466" s="4075"/>
    </row>
    <row r="467" spans="1:12" s="10" customFormat="1" outlineLevel="2">
      <c r="A467" s="1"/>
      <c r="B467" s="4072"/>
      <c r="C467" s="4072"/>
      <c r="D467" s="4072"/>
      <c r="E467" s="2118"/>
      <c r="F467" s="1189"/>
      <c r="G467" s="4073"/>
      <c r="H467" s="3887"/>
      <c r="I467" s="3887"/>
      <c r="J467" s="4074"/>
      <c r="K467" s="4075"/>
    </row>
    <row r="468" spans="1:12" s="10" customFormat="1" outlineLevel="2">
      <c r="A468" s="1">
        <v>317</v>
      </c>
      <c r="B468" s="4072" t="s">
        <v>5291</v>
      </c>
      <c r="C468" s="4072"/>
      <c r="D468" s="4072" t="s">
        <v>5290</v>
      </c>
      <c r="E468" s="2118" t="s">
        <v>233</v>
      </c>
      <c r="F468" s="1189" t="s">
        <v>3205</v>
      </c>
      <c r="G468" s="4073"/>
      <c r="H468" s="3887">
        <v>-8136064</v>
      </c>
      <c r="I468" s="3887">
        <v>8136064</v>
      </c>
      <c r="J468" s="4074">
        <v>46040</v>
      </c>
      <c r="K468" s="4075"/>
      <c r="L468" s="10" t="s">
        <v>5349</v>
      </c>
    </row>
    <row r="469" spans="1:12" s="10" customFormat="1" outlineLevel="2">
      <c r="A469" s="1"/>
      <c r="B469" s="4072"/>
      <c r="C469" s="4072"/>
      <c r="D469" s="4072"/>
      <c r="E469" s="2118"/>
      <c r="F469" s="1189"/>
      <c r="G469" s="4073"/>
      <c r="H469" s="3887"/>
      <c r="I469" s="3887"/>
      <c r="J469" s="4074"/>
      <c r="K469" s="4075"/>
    </row>
    <row r="470" spans="1:12" s="10" customFormat="1" ht="25.5" outlineLevel="2">
      <c r="A470" s="1">
        <v>318</v>
      </c>
      <c r="B470" s="4072" t="s">
        <v>5292</v>
      </c>
      <c r="C470" s="4072"/>
      <c r="D470" s="4072" t="s">
        <v>5293</v>
      </c>
      <c r="E470" s="2118" t="s">
        <v>233</v>
      </c>
      <c r="F470" s="1189" t="s">
        <v>4091</v>
      </c>
      <c r="G470" s="4073"/>
      <c r="H470" s="3887">
        <v>-626356.43999999994</v>
      </c>
      <c r="I470" s="3887">
        <v>626356.43999999994</v>
      </c>
      <c r="J470" s="4074">
        <v>46040</v>
      </c>
      <c r="K470" s="4075"/>
    </row>
    <row r="471" spans="1:12" s="10" customFormat="1" outlineLevel="2">
      <c r="A471" s="1">
        <f>+A470+1</f>
        <v>319</v>
      </c>
      <c r="B471" s="4072" t="s">
        <v>5292</v>
      </c>
      <c r="C471" s="4072"/>
      <c r="D471" s="4072" t="s">
        <v>5293</v>
      </c>
      <c r="E471" s="2118" t="s">
        <v>233</v>
      </c>
      <c r="F471" s="1189" t="s">
        <v>176</v>
      </c>
      <c r="G471" s="4073"/>
      <c r="H471" s="3887">
        <v>-901729.76</v>
      </c>
      <c r="I471" s="3887">
        <v>901729.76</v>
      </c>
      <c r="J471" s="4074">
        <v>46040</v>
      </c>
      <c r="K471" s="4075"/>
    </row>
    <row r="472" spans="1:12" s="10" customFormat="1" ht="25.5" outlineLevel="2">
      <c r="A472" s="1">
        <f t="shared" ref="A472:A519" si="4">+A471+1</f>
        <v>320</v>
      </c>
      <c r="B472" s="4072" t="s">
        <v>5292</v>
      </c>
      <c r="C472" s="4072"/>
      <c r="D472" s="4072" t="s">
        <v>5293</v>
      </c>
      <c r="E472" s="2118" t="s">
        <v>233</v>
      </c>
      <c r="F472" s="1189" t="s">
        <v>4215</v>
      </c>
      <c r="G472" s="4073"/>
      <c r="H472" s="3887">
        <v>-141000</v>
      </c>
      <c r="I472" s="3887">
        <v>141000</v>
      </c>
      <c r="J472" s="4074">
        <v>46040</v>
      </c>
      <c r="K472" s="4075"/>
    </row>
    <row r="473" spans="1:12" s="10" customFormat="1" outlineLevel="2">
      <c r="A473" s="1">
        <f t="shared" si="4"/>
        <v>321</v>
      </c>
      <c r="B473" s="4072" t="s">
        <v>5292</v>
      </c>
      <c r="C473" s="4072"/>
      <c r="D473" s="4072" t="s">
        <v>5293</v>
      </c>
      <c r="E473" s="2118" t="s">
        <v>233</v>
      </c>
      <c r="F473" s="1189" t="s">
        <v>4105</v>
      </c>
      <c r="G473" s="4073"/>
      <c r="H473" s="3887">
        <v>-152763</v>
      </c>
      <c r="I473" s="3887">
        <v>152763</v>
      </c>
      <c r="J473" s="4074">
        <v>46040</v>
      </c>
      <c r="K473" s="4075"/>
    </row>
    <row r="474" spans="1:12" s="10" customFormat="1" outlineLevel="2">
      <c r="A474" s="1">
        <f t="shared" si="4"/>
        <v>322</v>
      </c>
      <c r="B474" s="4072" t="s">
        <v>5292</v>
      </c>
      <c r="C474" s="4072"/>
      <c r="D474" s="4072" t="s">
        <v>5293</v>
      </c>
      <c r="E474" s="2118" t="s">
        <v>233</v>
      </c>
      <c r="F474" s="1189" t="s">
        <v>4086</v>
      </c>
      <c r="G474" s="4073"/>
      <c r="H474" s="3887">
        <v>-1055.28</v>
      </c>
      <c r="I474" s="3887">
        <v>1055.28</v>
      </c>
      <c r="J474" s="4074">
        <v>46040</v>
      </c>
      <c r="K474" s="4075"/>
    </row>
    <row r="475" spans="1:12" s="10" customFormat="1" ht="25.5" outlineLevel="2">
      <c r="A475" s="1">
        <f t="shared" si="4"/>
        <v>323</v>
      </c>
      <c r="B475" s="4072" t="s">
        <v>5292</v>
      </c>
      <c r="C475" s="4072"/>
      <c r="D475" s="4072" t="s">
        <v>5293</v>
      </c>
      <c r="E475" s="2118" t="s">
        <v>233</v>
      </c>
      <c r="F475" s="1189" t="s">
        <v>4104</v>
      </c>
      <c r="G475" s="4073"/>
      <c r="H475" s="3887">
        <v>-102460</v>
      </c>
      <c r="I475" s="3887">
        <v>102460</v>
      </c>
      <c r="J475" s="4074">
        <v>46040</v>
      </c>
      <c r="K475" s="4075"/>
    </row>
    <row r="476" spans="1:12" s="10" customFormat="1" ht="25.5" outlineLevel="2">
      <c r="A476" s="1">
        <f t="shared" si="4"/>
        <v>324</v>
      </c>
      <c r="B476" s="4072" t="s">
        <v>5292</v>
      </c>
      <c r="C476" s="4072"/>
      <c r="D476" s="4072" t="s">
        <v>5293</v>
      </c>
      <c r="E476" s="2118" t="s">
        <v>233</v>
      </c>
      <c r="F476" s="1189" t="s">
        <v>4103</v>
      </c>
      <c r="G476" s="4073"/>
      <c r="H476" s="3887">
        <v>-297785</v>
      </c>
      <c r="I476" s="3887">
        <v>297785</v>
      </c>
      <c r="J476" s="4074">
        <v>46040</v>
      </c>
      <c r="K476" s="4075"/>
    </row>
    <row r="477" spans="1:12" s="10" customFormat="1" ht="25.5" outlineLevel="2">
      <c r="A477" s="1">
        <f t="shared" si="4"/>
        <v>325</v>
      </c>
      <c r="B477" s="4072" t="s">
        <v>5292</v>
      </c>
      <c r="C477" s="4072"/>
      <c r="D477" s="4072" t="s">
        <v>5293</v>
      </c>
      <c r="E477" s="2118" t="s">
        <v>233</v>
      </c>
      <c r="F477" s="1189" t="s">
        <v>4081</v>
      </c>
      <c r="G477" s="4073"/>
      <c r="H477" s="3887">
        <v>-27754.5</v>
      </c>
      <c r="I477" s="3887">
        <v>27754.5</v>
      </c>
      <c r="J477" s="4074">
        <v>46040</v>
      </c>
      <c r="K477" s="4075"/>
    </row>
    <row r="478" spans="1:12" s="10" customFormat="1" ht="25.5" outlineLevel="2">
      <c r="A478" s="1">
        <f t="shared" si="4"/>
        <v>326</v>
      </c>
      <c r="B478" s="4072" t="s">
        <v>5292</v>
      </c>
      <c r="C478" s="4072"/>
      <c r="D478" s="4072" t="s">
        <v>5293</v>
      </c>
      <c r="E478" s="2118" t="s">
        <v>233</v>
      </c>
      <c r="F478" s="1189" t="s">
        <v>4080</v>
      </c>
      <c r="G478" s="4073"/>
      <c r="H478" s="3887">
        <v>-12700</v>
      </c>
      <c r="I478" s="3887">
        <v>12700</v>
      </c>
      <c r="J478" s="4074">
        <v>46040</v>
      </c>
      <c r="K478" s="4075"/>
    </row>
    <row r="479" spans="1:12" s="10" customFormat="1" ht="25.5" outlineLevel="2">
      <c r="A479" s="1">
        <f t="shared" si="4"/>
        <v>327</v>
      </c>
      <c r="B479" s="4072" t="s">
        <v>5292</v>
      </c>
      <c r="C479" s="4072"/>
      <c r="D479" s="4072" t="s">
        <v>5293</v>
      </c>
      <c r="E479" s="2118" t="s">
        <v>233</v>
      </c>
      <c r="F479" s="1189" t="s">
        <v>4096</v>
      </c>
      <c r="G479" s="4073"/>
      <c r="H479" s="3887">
        <v>-2500</v>
      </c>
      <c r="I479" s="3887">
        <v>2500</v>
      </c>
      <c r="J479" s="4074">
        <v>46040</v>
      </c>
      <c r="K479" s="4075"/>
    </row>
    <row r="480" spans="1:12" s="10" customFormat="1" ht="25.5" outlineLevel="2">
      <c r="A480" s="1">
        <f t="shared" si="4"/>
        <v>328</v>
      </c>
      <c r="B480" s="4072" t="s">
        <v>5292</v>
      </c>
      <c r="C480" s="4072"/>
      <c r="D480" s="4072" t="s">
        <v>5293</v>
      </c>
      <c r="E480" s="2118" t="s">
        <v>233</v>
      </c>
      <c r="F480" s="1189" t="s">
        <v>4094</v>
      </c>
      <c r="G480" s="4073"/>
      <c r="H480" s="3887">
        <v>-33250</v>
      </c>
      <c r="I480" s="3887">
        <v>33250</v>
      </c>
      <c r="J480" s="4074">
        <v>46040</v>
      </c>
      <c r="K480" s="4075"/>
    </row>
    <row r="481" spans="1:11" s="10" customFormat="1" ht="25.5" outlineLevel="2">
      <c r="A481" s="1">
        <f t="shared" si="4"/>
        <v>329</v>
      </c>
      <c r="B481" s="4072" t="s">
        <v>5292</v>
      </c>
      <c r="C481" s="4072"/>
      <c r="D481" s="4072" t="s">
        <v>5293</v>
      </c>
      <c r="E481" s="2118" t="s">
        <v>233</v>
      </c>
      <c r="F481" s="1189" t="s">
        <v>4092</v>
      </c>
      <c r="G481" s="4073"/>
      <c r="H481" s="3887">
        <v>-42066</v>
      </c>
      <c r="I481" s="3887">
        <v>42066</v>
      </c>
      <c r="J481" s="4074">
        <v>46040</v>
      </c>
      <c r="K481" s="4075"/>
    </row>
    <row r="482" spans="1:11" s="10" customFormat="1" outlineLevel="2">
      <c r="A482" s="1">
        <f t="shared" si="4"/>
        <v>330</v>
      </c>
      <c r="B482" s="4072" t="s">
        <v>5292</v>
      </c>
      <c r="C482" s="4072"/>
      <c r="D482" s="4072" t="s">
        <v>5293</v>
      </c>
      <c r="E482" s="2118" t="s">
        <v>233</v>
      </c>
      <c r="F482" s="1189" t="s">
        <v>4077</v>
      </c>
      <c r="G482" s="4073"/>
      <c r="H482" s="3887">
        <v>-3045.22</v>
      </c>
      <c r="I482" s="3887">
        <v>3045.22</v>
      </c>
      <c r="J482" s="4074">
        <v>46040</v>
      </c>
      <c r="K482" s="4075"/>
    </row>
    <row r="483" spans="1:11" s="10" customFormat="1" ht="25.5" outlineLevel="2">
      <c r="A483" s="1">
        <f t="shared" si="4"/>
        <v>331</v>
      </c>
      <c r="B483" s="4072" t="s">
        <v>5292</v>
      </c>
      <c r="C483" s="4072"/>
      <c r="D483" s="4072" t="s">
        <v>5293</v>
      </c>
      <c r="E483" s="2118" t="s">
        <v>233</v>
      </c>
      <c r="F483" s="1189" t="s">
        <v>4075</v>
      </c>
      <c r="G483" s="4073"/>
      <c r="H483" s="3887">
        <v>-15253.8</v>
      </c>
      <c r="I483" s="3887">
        <v>15253.8</v>
      </c>
      <c r="J483" s="4074">
        <v>46040</v>
      </c>
      <c r="K483" s="4075"/>
    </row>
    <row r="484" spans="1:11" s="10" customFormat="1" ht="25.5" outlineLevel="2">
      <c r="A484" s="1">
        <f t="shared" si="4"/>
        <v>332</v>
      </c>
      <c r="B484" s="4072" t="s">
        <v>5292</v>
      </c>
      <c r="C484" s="4072"/>
      <c r="D484" s="4072" t="s">
        <v>5293</v>
      </c>
      <c r="E484" s="2118" t="s">
        <v>233</v>
      </c>
      <c r="F484" s="1189" t="s">
        <v>4215</v>
      </c>
      <c r="G484" s="4073"/>
      <c r="H484" s="3887">
        <v>-602046.32999999996</v>
      </c>
      <c r="I484" s="3887">
        <v>602046.32999999996</v>
      </c>
      <c r="J484" s="4074">
        <v>46040</v>
      </c>
      <c r="K484" s="4075"/>
    </row>
    <row r="485" spans="1:11" s="10" customFormat="1" ht="25.5" outlineLevel="2">
      <c r="A485" s="1">
        <f t="shared" si="4"/>
        <v>333</v>
      </c>
      <c r="B485" s="4072" t="s">
        <v>5292</v>
      </c>
      <c r="C485" s="4072"/>
      <c r="D485" s="4072" t="s">
        <v>5293</v>
      </c>
      <c r="E485" s="2118" t="s">
        <v>233</v>
      </c>
      <c r="F485" s="1189" t="s">
        <v>4215</v>
      </c>
      <c r="G485" s="4073"/>
      <c r="H485" s="3887">
        <v>-150000</v>
      </c>
      <c r="I485" s="3887">
        <v>150000</v>
      </c>
      <c r="J485" s="4074">
        <v>46040</v>
      </c>
      <c r="K485" s="4075"/>
    </row>
    <row r="486" spans="1:11" s="10" customFormat="1" ht="25.5" outlineLevel="2">
      <c r="A486" s="1">
        <f t="shared" si="4"/>
        <v>334</v>
      </c>
      <c r="B486" s="4072" t="s">
        <v>5292</v>
      </c>
      <c r="C486" s="4072"/>
      <c r="D486" s="4072" t="s">
        <v>5293</v>
      </c>
      <c r="E486" s="2118" t="s">
        <v>233</v>
      </c>
      <c r="F486" s="1189" t="s">
        <v>4204</v>
      </c>
      <c r="G486" s="4073"/>
      <c r="H486" s="3887">
        <v>-10000</v>
      </c>
      <c r="I486" s="3887">
        <v>10000</v>
      </c>
      <c r="J486" s="4074">
        <v>46040</v>
      </c>
      <c r="K486" s="4075"/>
    </row>
    <row r="487" spans="1:11" s="10" customFormat="1" ht="25.5" outlineLevel="2">
      <c r="A487" s="1">
        <f t="shared" si="4"/>
        <v>335</v>
      </c>
      <c r="B487" s="4072" t="s">
        <v>5292</v>
      </c>
      <c r="C487" s="4072"/>
      <c r="D487" s="4072" t="s">
        <v>5293</v>
      </c>
      <c r="E487" s="2118" t="s">
        <v>233</v>
      </c>
      <c r="F487" s="1189" t="s">
        <v>4469</v>
      </c>
      <c r="G487" s="4073"/>
      <c r="H487" s="3887">
        <v>-60976.57</v>
      </c>
      <c r="I487" s="3887">
        <v>60976.57</v>
      </c>
      <c r="J487" s="4074">
        <v>46040</v>
      </c>
      <c r="K487" s="4075"/>
    </row>
    <row r="488" spans="1:11" s="10" customFormat="1" outlineLevel="2">
      <c r="A488" s="1"/>
      <c r="B488" s="4072"/>
      <c r="C488" s="4072"/>
      <c r="D488" s="4072"/>
      <c r="E488" s="2118"/>
      <c r="F488" s="1189"/>
      <c r="G488" s="4073"/>
      <c r="H488" s="3887"/>
      <c r="I488" s="3887"/>
      <c r="J488" s="4074"/>
      <c r="K488" s="4075"/>
    </row>
    <row r="489" spans="1:11" s="10" customFormat="1" ht="25.5" outlineLevel="2">
      <c r="A489" s="1">
        <v>336</v>
      </c>
      <c r="B489" s="4072" t="s">
        <v>5294</v>
      </c>
      <c r="C489" s="4072"/>
      <c r="D489" s="4072" t="s">
        <v>5295</v>
      </c>
      <c r="E489" s="2118" t="s">
        <v>233</v>
      </c>
      <c r="F489" s="1189" t="s">
        <v>4091</v>
      </c>
      <c r="G489" s="4073"/>
      <c r="H489" s="3887">
        <v>-181291.09</v>
      </c>
      <c r="I489" s="3887">
        <v>181291.09</v>
      </c>
      <c r="J489" s="4074">
        <v>46040</v>
      </c>
      <c r="K489" s="4075"/>
    </row>
    <row r="490" spans="1:11" s="10" customFormat="1" outlineLevel="2">
      <c r="A490" s="1">
        <f t="shared" si="4"/>
        <v>337</v>
      </c>
      <c r="B490" s="4072" t="s">
        <v>5294</v>
      </c>
      <c r="C490" s="4072"/>
      <c r="D490" s="4072" t="s">
        <v>5295</v>
      </c>
      <c r="E490" s="2118" t="s">
        <v>233</v>
      </c>
      <c r="F490" s="1189" t="s">
        <v>4085</v>
      </c>
      <c r="G490" s="4073"/>
      <c r="H490" s="3887">
        <v>-33010</v>
      </c>
      <c r="I490" s="3887">
        <v>33010</v>
      </c>
      <c r="J490" s="4074">
        <v>46040</v>
      </c>
      <c r="K490" s="4075"/>
    </row>
    <row r="491" spans="1:11" s="10" customFormat="1" outlineLevel="2">
      <c r="A491" s="1">
        <f t="shared" si="4"/>
        <v>338</v>
      </c>
      <c r="B491" s="4072" t="s">
        <v>5294</v>
      </c>
      <c r="C491" s="4072"/>
      <c r="D491" s="4072" t="s">
        <v>5295</v>
      </c>
      <c r="E491" s="2118" t="s">
        <v>233</v>
      </c>
      <c r="F491" s="1189" t="s">
        <v>4466</v>
      </c>
      <c r="G491" s="4073"/>
      <c r="H491" s="3887">
        <v>-110007.58</v>
      </c>
      <c r="I491" s="3887">
        <v>110007.58</v>
      </c>
      <c r="J491" s="4074">
        <v>46040</v>
      </c>
      <c r="K491" s="4075"/>
    </row>
    <row r="492" spans="1:11" s="10" customFormat="1" outlineLevel="2">
      <c r="A492" s="1">
        <f t="shared" si="4"/>
        <v>339</v>
      </c>
      <c r="B492" s="4072" t="s">
        <v>5294</v>
      </c>
      <c r="C492" s="4072"/>
      <c r="D492" s="4072" t="s">
        <v>5295</v>
      </c>
      <c r="E492" s="2118" t="s">
        <v>233</v>
      </c>
      <c r="F492" s="1189" t="s">
        <v>176</v>
      </c>
      <c r="G492" s="4073"/>
      <c r="H492" s="3887">
        <v>-940312.61</v>
      </c>
      <c r="I492" s="3887">
        <v>940312.61</v>
      </c>
      <c r="J492" s="4074">
        <v>46040</v>
      </c>
      <c r="K492" s="4075"/>
    </row>
    <row r="493" spans="1:11" s="10" customFormat="1" ht="25.5" outlineLevel="2">
      <c r="A493" s="1">
        <f t="shared" si="4"/>
        <v>340</v>
      </c>
      <c r="B493" s="4072" t="s">
        <v>5294</v>
      </c>
      <c r="C493" s="4072"/>
      <c r="D493" s="4072" t="s">
        <v>5295</v>
      </c>
      <c r="E493" s="2118" t="s">
        <v>233</v>
      </c>
      <c r="F493" s="1189" t="s">
        <v>4215</v>
      </c>
      <c r="G493" s="4073"/>
      <c r="H493" s="3887">
        <v>-141000</v>
      </c>
      <c r="I493" s="3887">
        <v>141000</v>
      </c>
      <c r="J493" s="4074">
        <v>46040</v>
      </c>
      <c r="K493" s="4075"/>
    </row>
    <row r="494" spans="1:11" s="10" customFormat="1" outlineLevel="2">
      <c r="A494" s="1">
        <f t="shared" si="4"/>
        <v>341</v>
      </c>
      <c r="B494" s="4072" t="s">
        <v>5294</v>
      </c>
      <c r="C494" s="4072"/>
      <c r="D494" s="4072" t="s">
        <v>5295</v>
      </c>
      <c r="E494" s="2118" t="s">
        <v>233</v>
      </c>
      <c r="F494" s="1189" t="s">
        <v>4105</v>
      </c>
      <c r="G494" s="4073"/>
      <c r="H494" s="3887">
        <v>-128000</v>
      </c>
      <c r="I494" s="3887">
        <v>128000</v>
      </c>
      <c r="J494" s="4074">
        <v>46040</v>
      </c>
      <c r="K494" s="4075"/>
    </row>
    <row r="495" spans="1:11" s="10" customFormat="1" outlineLevel="2">
      <c r="A495" s="1">
        <f t="shared" si="4"/>
        <v>342</v>
      </c>
      <c r="B495" s="4072" t="s">
        <v>5294</v>
      </c>
      <c r="C495" s="4072"/>
      <c r="D495" s="4072" t="s">
        <v>5295</v>
      </c>
      <c r="E495" s="2118" t="s">
        <v>233</v>
      </c>
      <c r="F495" s="1189" t="s">
        <v>4086</v>
      </c>
      <c r="G495" s="4073"/>
      <c r="H495" s="3887">
        <v>-62734.77</v>
      </c>
      <c r="I495" s="3887">
        <v>62734.77</v>
      </c>
      <c r="J495" s="4074">
        <v>46040</v>
      </c>
      <c r="K495" s="4075"/>
    </row>
    <row r="496" spans="1:11" s="10" customFormat="1" ht="25.5" outlineLevel="2">
      <c r="A496" s="1">
        <f t="shared" si="4"/>
        <v>343</v>
      </c>
      <c r="B496" s="4072" t="s">
        <v>5294</v>
      </c>
      <c r="C496" s="4072"/>
      <c r="D496" s="4072" t="s">
        <v>5295</v>
      </c>
      <c r="E496" s="2118" t="s">
        <v>233</v>
      </c>
      <c r="F496" s="1189" t="s">
        <v>4104</v>
      </c>
      <c r="G496" s="4073"/>
      <c r="H496" s="3887">
        <v>-131052</v>
      </c>
      <c r="I496" s="3887">
        <v>131052</v>
      </c>
      <c r="J496" s="4074">
        <v>46040</v>
      </c>
      <c r="K496" s="4075"/>
    </row>
    <row r="497" spans="1:12" s="10" customFormat="1" outlineLevel="2">
      <c r="A497" s="1">
        <f t="shared" si="4"/>
        <v>344</v>
      </c>
      <c r="B497" s="4072" t="s">
        <v>5294</v>
      </c>
      <c r="C497" s="4072"/>
      <c r="D497" s="4072" t="s">
        <v>5295</v>
      </c>
      <c r="E497" s="2118" t="s">
        <v>233</v>
      </c>
      <c r="F497" s="1189" t="s">
        <v>4464</v>
      </c>
      <c r="G497" s="4073"/>
      <c r="H497" s="3887">
        <v>-41000</v>
      </c>
      <c r="I497" s="3887">
        <v>41000</v>
      </c>
      <c r="J497" s="4074">
        <v>46040</v>
      </c>
      <c r="K497" s="4075"/>
    </row>
    <row r="498" spans="1:12" s="10" customFormat="1" ht="25.5" outlineLevel="2">
      <c r="A498" s="1">
        <f t="shared" si="4"/>
        <v>345</v>
      </c>
      <c r="B498" s="4072" t="s">
        <v>5294</v>
      </c>
      <c r="C498" s="4072"/>
      <c r="D498" s="4072" t="s">
        <v>5295</v>
      </c>
      <c r="E498" s="2118" t="s">
        <v>233</v>
      </c>
      <c r="F498" s="1189" t="s">
        <v>4081</v>
      </c>
      <c r="G498" s="4073"/>
      <c r="H498" s="3887">
        <v>-31812.5</v>
      </c>
      <c r="I498" s="3887">
        <v>31812.5</v>
      </c>
      <c r="J498" s="4074">
        <v>46040</v>
      </c>
      <c r="K498" s="4075"/>
    </row>
    <row r="499" spans="1:12" s="10" customFormat="1" ht="25.5" outlineLevel="2">
      <c r="A499" s="1">
        <f t="shared" si="4"/>
        <v>346</v>
      </c>
      <c r="B499" s="4072" t="s">
        <v>5294</v>
      </c>
      <c r="C499" s="4072"/>
      <c r="D499" s="4072" t="s">
        <v>5295</v>
      </c>
      <c r="E499" s="2118" t="s">
        <v>233</v>
      </c>
      <c r="F499" s="1189" t="s">
        <v>4080</v>
      </c>
      <c r="G499" s="4073"/>
      <c r="H499" s="3887">
        <v>-373800</v>
      </c>
      <c r="I499" s="3887">
        <v>373800</v>
      </c>
      <c r="J499" s="4074">
        <v>46040</v>
      </c>
      <c r="K499" s="4075"/>
    </row>
    <row r="500" spans="1:12" s="10" customFormat="1" ht="25.5" outlineLevel="2">
      <c r="A500" s="1">
        <f t="shared" si="4"/>
        <v>347</v>
      </c>
      <c r="B500" s="4072" t="s">
        <v>5294</v>
      </c>
      <c r="C500" s="4072"/>
      <c r="D500" s="4072" t="s">
        <v>5295</v>
      </c>
      <c r="E500" s="2118" t="s">
        <v>233</v>
      </c>
      <c r="F500" s="1189" t="s">
        <v>4096</v>
      </c>
      <c r="G500" s="4073"/>
      <c r="H500" s="3887">
        <v>-2500</v>
      </c>
      <c r="I500" s="3887">
        <v>2500</v>
      </c>
      <c r="J500" s="4074">
        <v>46040</v>
      </c>
      <c r="K500" s="4075"/>
    </row>
    <row r="501" spans="1:12" s="10" customFormat="1" ht="25.5" outlineLevel="2">
      <c r="A501" s="1">
        <f t="shared" si="4"/>
        <v>348</v>
      </c>
      <c r="B501" s="4072" t="s">
        <v>5294</v>
      </c>
      <c r="C501" s="4072"/>
      <c r="D501" s="4072" t="s">
        <v>5295</v>
      </c>
      <c r="E501" s="2118" t="s">
        <v>233</v>
      </c>
      <c r="F501" s="1189" t="s">
        <v>4094</v>
      </c>
      <c r="G501" s="4073"/>
      <c r="H501" s="3887">
        <v>-31325</v>
      </c>
      <c r="I501" s="3887">
        <v>31325</v>
      </c>
      <c r="J501" s="4074">
        <v>46040</v>
      </c>
      <c r="K501" s="4075"/>
    </row>
    <row r="502" spans="1:12" s="10" customFormat="1" ht="25.5" outlineLevel="2">
      <c r="A502" s="1">
        <f t="shared" si="4"/>
        <v>349</v>
      </c>
      <c r="B502" s="4072" t="s">
        <v>5294</v>
      </c>
      <c r="C502" s="4072"/>
      <c r="D502" s="4072" t="s">
        <v>5295</v>
      </c>
      <c r="E502" s="2118" t="s">
        <v>233</v>
      </c>
      <c r="F502" s="1189" t="s">
        <v>4092</v>
      </c>
      <c r="G502" s="4073"/>
      <c r="H502" s="3887">
        <v>-51210</v>
      </c>
      <c r="I502" s="3887">
        <v>51210</v>
      </c>
      <c r="J502" s="4074">
        <v>46040</v>
      </c>
      <c r="K502" s="4075"/>
    </row>
    <row r="503" spans="1:12" s="10" customFormat="1" ht="25.5" outlineLevel="2">
      <c r="A503" s="1">
        <f t="shared" si="4"/>
        <v>350</v>
      </c>
      <c r="B503" s="4072" t="s">
        <v>5294</v>
      </c>
      <c r="C503" s="4072"/>
      <c r="D503" s="4072" t="s">
        <v>5295</v>
      </c>
      <c r="E503" s="2118" t="s">
        <v>233</v>
      </c>
      <c r="F503" s="1189" t="s">
        <v>4075</v>
      </c>
      <c r="G503" s="4073"/>
      <c r="H503" s="3887">
        <v>-13799.9</v>
      </c>
      <c r="I503" s="3887">
        <v>13799.9</v>
      </c>
      <c r="J503" s="4074">
        <v>46040</v>
      </c>
      <c r="K503" s="4075"/>
    </row>
    <row r="504" spans="1:12" s="10" customFormat="1" ht="25.5" outlineLevel="2">
      <c r="A504" s="1">
        <f t="shared" si="4"/>
        <v>351</v>
      </c>
      <c r="B504" s="4072" t="s">
        <v>5294</v>
      </c>
      <c r="C504" s="4072"/>
      <c r="D504" s="4072" t="s">
        <v>5295</v>
      </c>
      <c r="E504" s="2118" t="s">
        <v>233</v>
      </c>
      <c r="F504" s="1189" t="s">
        <v>4215</v>
      </c>
      <c r="G504" s="4073"/>
      <c r="H504" s="3887">
        <v>-551561.28</v>
      </c>
      <c r="I504" s="3887">
        <v>551561.28</v>
      </c>
      <c r="J504" s="4074">
        <v>46040</v>
      </c>
      <c r="K504" s="4075"/>
    </row>
    <row r="505" spans="1:12" s="10" customFormat="1" ht="25.5" outlineLevel="2">
      <c r="A505" s="1">
        <f t="shared" si="4"/>
        <v>352</v>
      </c>
      <c r="B505" s="4072" t="s">
        <v>5294</v>
      </c>
      <c r="C505" s="4072"/>
      <c r="D505" s="4072" t="s">
        <v>5295</v>
      </c>
      <c r="E505" s="2118" t="s">
        <v>233</v>
      </c>
      <c r="F505" s="1189" t="s">
        <v>4215</v>
      </c>
      <c r="G505" s="4073"/>
      <c r="H505" s="3887">
        <v>-100000</v>
      </c>
      <c r="I505" s="3887">
        <v>100000</v>
      </c>
      <c r="J505" s="4074">
        <v>46040</v>
      </c>
      <c r="K505" s="4075"/>
    </row>
    <row r="506" spans="1:12" s="10" customFormat="1" ht="25.5" outlineLevel="2">
      <c r="A506" s="1">
        <f t="shared" si="4"/>
        <v>353</v>
      </c>
      <c r="B506" s="4072" t="s">
        <v>5294</v>
      </c>
      <c r="C506" s="4072"/>
      <c r="D506" s="4072" t="s">
        <v>5295</v>
      </c>
      <c r="E506" s="2118" t="s">
        <v>233</v>
      </c>
      <c r="F506" s="1189" t="s">
        <v>4469</v>
      </c>
      <c r="G506" s="4073"/>
      <c r="H506" s="3887">
        <v>-66307.14</v>
      </c>
      <c r="I506" s="3887">
        <v>66307.14</v>
      </c>
      <c r="J506" s="4074">
        <v>46040</v>
      </c>
      <c r="K506" s="4075"/>
    </row>
    <row r="507" spans="1:12" s="10" customFormat="1" outlineLevel="2">
      <c r="A507" s="1">
        <f t="shared" si="4"/>
        <v>354</v>
      </c>
      <c r="B507" s="4072" t="s">
        <v>5294</v>
      </c>
      <c r="C507" s="4072"/>
      <c r="D507" s="4072" t="s">
        <v>5295</v>
      </c>
      <c r="E507" s="2118" t="s">
        <v>233</v>
      </c>
      <c r="F507" s="1189" t="s">
        <v>5076</v>
      </c>
      <c r="G507" s="4073"/>
      <c r="H507" s="3887">
        <v>-108416</v>
      </c>
      <c r="I507" s="3887">
        <v>108416</v>
      </c>
      <c r="J507" s="4074">
        <v>46040</v>
      </c>
      <c r="K507" s="4075"/>
    </row>
    <row r="508" spans="1:12" s="10" customFormat="1" outlineLevel="2">
      <c r="A508" s="1">
        <f t="shared" si="4"/>
        <v>355</v>
      </c>
      <c r="B508" s="4072" t="s">
        <v>5294</v>
      </c>
      <c r="C508" s="4072"/>
      <c r="D508" s="4072" t="s">
        <v>5295</v>
      </c>
      <c r="E508" s="2118" t="s">
        <v>233</v>
      </c>
      <c r="F508" s="1189" t="s">
        <v>5297</v>
      </c>
      <c r="G508" s="4073"/>
      <c r="H508" s="3887">
        <v>-90000</v>
      </c>
      <c r="I508" s="3887">
        <v>90000</v>
      </c>
      <c r="J508" s="4074">
        <v>46040</v>
      </c>
      <c r="K508" s="4075"/>
      <c r="L508" s="10" t="s">
        <v>5296</v>
      </c>
    </row>
    <row r="509" spans="1:12" s="10" customFormat="1" outlineLevel="2">
      <c r="A509" s="1">
        <f t="shared" si="4"/>
        <v>356</v>
      </c>
      <c r="B509" s="4072"/>
      <c r="C509" s="4072"/>
      <c r="D509" s="4072"/>
      <c r="E509" s="2118"/>
      <c r="F509" s="1189"/>
      <c r="G509" s="4073"/>
      <c r="H509" s="3887"/>
      <c r="I509" s="3887"/>
      <c r="J509" s="4074"/>
      <c r="K509" s="4075"/>
    </row>
    <row r="510" spans="1:12" s="10" customFormat="1" outlineLevel="2">
      <c r="A510" s="1">
        <f t="shared" si="4"/>
        <v>357</v>
      </c>
      <c r="B510" s="4072" t="s">
        <v>5299</v>
      </c>
      <c r="C510" s="4072"/>
      <c r="D510" s="4072" t="s">
        <v>5298</v>
      </c>
      <c r="E510" s="2118" t="s">
        <v>234</v>
      </c>
      <c r="F510" s="1189" t="s">
        <v>5247</v>
      </c>
      <c r="G510" s="4073"/>
      <c r="H510" s="3887">
        <v>-4910</v>
      </c>
      <c r="I510" s="3887">
        <v>4910</v>
      </c>
      <c r="J510" s="4074">
        <v>46040</v>
      </c>
      <c r="K510" s="4075"/>
    </row>
    <row r="511" spans="1:12" s="10" customFormat="1" outlineLevel="2">
      <c r="A511" s="1">
        <f t="shared" si="4"/>
        <v>358</v>
      </c>
      <c r="B511" s="4072"/>
      <c r="C511" s="4072"/>
      <c r="D511" s="4072"/>
      <c r="E511" s="2118"/>
      <c r="F511" s="1189"/>
      <c r="G511" s="4073"/>
      <c r="H511" s="3887"/>
      <c r="I511" s="3887"/>
      <c r="J511" s="4074"/>
      <c r="K511" s="4075"/>
    </row>
    <row r="512" spans="1:12" s="10" customFormat="1" ht="25.5" outlineLevel="2">
      <c r="A512" s="1">
        <f t="shared" si="4"/>
        <v>359</v>
      </c>
      <c r="B512" s="4072" t="s">
        <v>5301</v>
      </c>
      <c r="C512" s="4072"/>
      <c r="D512" s="4072" t="s">
        <v>5300</v>
      </c>
      <c r="E512" s="2118" t="s">
        <v>233</v>
      </c>
      <c r="F512" s="1189" t="s">
        <v>3930</v>
      </c>
      <c r="G512" s="4073"/>
      <c r="H512" s="3887">
        <v>-251957</v>
      </c>
      <c r="I512" s="3887">
        <v>251957</v>
      </c>
      <c r="J512" s="4074">
        <v>46040</v>
      </c>
      <c r="K512" s="4075"/>
      <c r="L512" s="10" t="s">
        <v>5349</v>
      </c>
    </row>
    <row r="513" spans="1:12" s="10" customFormat="1" outlineLevel="2">
      <c r="A513" s="1">
        <f t="shared" si="4"/>
        <v>360</v>
      </c>
      <c r="B513" s="4072"/>
      <c r="C513" s="4072"/>
      <c r="D513" s="4072"/>
      <c r="E513" s="2118"/>
      <c r="F513" s="1189"/>
      <c r="G513" s="4073"/>
      <c r="H513" s="3887"/>
      <c r="I513" s="3887"/>
      <c r="J513" s="4074"/>
      <c r="K513" s="4075"/>
    </row>
    <row r="514" spans="1:12" s="10" customFormat="1" ht="25.5" outlineLevel="2">
      <c r="A514" s="1">
        <f t="shared" si="4"/>
        <v>361</v>
      </c>
      <c r="B514" s="4072" t="s">
        <v>5333</v>
      </c>
      <c r="C514" s="4072"/>
      <c r="D514" s="4072" t="s">
        <v>5332</v>
      </c>
      <c r="E514" s="2118" t="s">
        <v>233</v>
      </c>
      <c r="F514" s="1189" t="s">
        <v>139</v>
      </c>
      <c r="G514" s="4073"/>
      <c r="H514" s="3887">
        <v>-75000</v>
      </c>
      <c r="I514" s="3887">
        <v>75000</v>
      </c>
      <c r="J514" s="4074">
        <v>46054</v>
      </c>
      <c r="K514" s="4075"/>
      <c r="L514" s="10" t="s">
        <v>5349</v>
      </c>
    </row>
    <row r="515" spans="1:12" s="10" customFormat="1" outlineLevel="2">
      <c r="A515" s="1">
        <f t="shared" si="4"/>
        <v>362</v>
      </c>
      <c r="B515" s="4072"/>
      <c r="C515" s="4072"/>
      <c r="D515" s="4072"/>
      <c r="E515" s="2118"/>
      <c r="F515" s="1189"/>
      <c r="G515" s="4073"/>
      <c r="H515" s="3887"/>
      <c r="I515" s="3887"/>
      <c r="J515" s="4074"/>
      <c r="K515" s="4075"/>
    </row>
    <row r="516" spans="1:12" s="10" customFormat="1" ht="25.5" outlineLevel="2">
      <c r="A516" s="1">
        <f t="shared" si="4"/>
        <v>363</v>
      </c>
      <c r="B516" s="4072" t="s">
        <v>5334</v>
      </c>
      <c r="C516" s="4072"/>
      <c r="D516" s="4072" t="s">
        <v>5335</v>
      </c>
      <c r="E516" s="2118" t="s">
        <v>221</v>
      </c>
      <c r="F516" s="1189" t="s">
        <v>233</v>
      </c>
      <c r="G516" s="4073"/>
      <c r="H516" s="3887">
        <v>-34672908.5</v>
      </c>
      <c r="I516" s="3887">
        <v>34672908.5</v>
      </c>
      <c r="J516" s="4074">
        <v>46054</v>
      </c>
      <c r="K516" s="4075"/>
    </row>
    <row r="517" spans="1:12" s="10" customFormat="1" outlineLevel="2">
      <c r="A517" s="1">
        <f t="shared" si="4"/>
        <v>364</v>
      </c>
      <c r="B517" s="4072"/>
      <c r="C517" s="4072"/>
      <c r="D517" s="4072"/>
      <c r="E517" s="2118"/>
      <c r="F517" s="1189"/>
      <c r="G517" s="4073"/>
      <c r="H517" s="3887"/>
      <c r="I517" s="3887"/>
      <c r="J517" s="4074"/>
      <c r="K517" s="4075"/>
    </row>
    <row r="518" spans="1:12" s="10" customFormat="1" outlineLevel="2">
      <c r="A518" s="1">
        <f t="shared" si="4"/>
        <v>365</v>
      </c>
      <c r="B518" s="4072" t="s">
        <v>5340</v>
      </c>
      <c r="C518" s="4072"/>
      <c r="D518" s="4072" t="s">
        <v>5341</v>
      </c>
      <c r="E518" s="2118" t="s">
        <v>234</v>
      </c>
      <c r="F518" s="1189" t="s">
        <v>5337</v>
      </c>
      <c r="G518" s="4073"/>
      <c r="H518" s="3887">
        <v>-3633.9</v>
      </c>
      <c r="I518" s="3887">
        <v>3633.9</v>
      </c>
      <c r="J518" s="4074">
        <v>46054</v>
      </c>
      <c r="K518" s="4075"/>
    </row>
    <row r="519" spans="1:12" s="10" customFormat="1" outlineLevel="2">
      <c r="A519" s="1">
        <f t="shared" si="4"/>
        <v>366</v>
      </c>
      <c r="B519" s="4072" t="s">
        <v>5347</v>
      </c>
      <c r="C519" s="4072"/>
      <c r="D519" s="4072" t="s">
        <v>5341</v>
      </c>
      <c r="E519" s="2118" t="s">
        <v>233</v>
      </c>
      <c r="F519" s="1189" t="s">
        <v>5166</v>
      </c>
      <c r="G519" s="4073"/>
      <c r="H519" s="3887">
        <v>-58307.19</v>
      </c>
      <c r="I519" s="3887">
        <v>58307.19</v>
      </c>
      <c r="J519" s="4074">
        <v>46054</v>
      </c>
      <c r="K519" s="4075"/>
    </row>
    <row r="520" spans="1:12" s="10" customFormat="1" outlineLevel="3">
      <c r="A520" s="1"/>
      <c r="B520" s="4072"/>
      <c r="C520" s="4072"/>
      <c r="D520" s="4072"/>
      <c r="E520" s="2118"/>
      <c r="F520" s="1189"/>
      <c r="G520" s="4073"/>
      <c r="H520" s="3887"/>
      <c r="I520" s="3887"/>
      <c r="J520" s="4074"/>
      <c r="K520" s="4075"/>
    </row>
    <row r="521" spans="1:12" s="10" customFormat="1" ht="25.5" outlineLevel="3">
      <c r="A521" s="1">
        <v>367</v>
      </c>
      <c r="B521" s="4072" t="s">
        <v>5381</v>
      </c>
      <c r="C521" s="4072"/>
      <c r="D521" s="4072" t="s">
        <v>5382</v>
      </c>
      <c r="E521" s="2118" t="s">
        <v>233</v>
      </c>
      <c r="F521" s="1189" t="s">
        <v>2964</v>
      </c>
      <c r="G521" s="4073"/>
      <c r="H521" s="3887">
        <v>-325350</v>
      </c>
      <c r="I521" s="3887">
        <v>325350</v>
      </c>
      <c r="J521" s="4074">
        <v>46061</v>
      </c>
      <c r="K521" s="4075"/>
    </row>
    <row r="522" spans="1:12" s="10" customFormat="1" outlineLevel="3">
      <c r="A522" s="1"/>
      <c r="B522" s="4072"/>
      <c r="C522" s="4072"/>
      <c r="D522" s="4072"/>
      <c r="E522" s="2118"/>
      <c r="F522" s="1189"/>
      <c r="G522" s="4073"/>
      <c r="H522" s="3887"/>
      <c r="I522" s="3887"/>
      <c r="J522" s="4074"/>
      <c r="K522" s="4075"/>
    </row>
    <row r="523" spans="1:12" s="10" customFormat="1" ht="25.5" outlineLevel="3">
      <c r="A523" s="1">
        <v>368</v>
      </c>
      <c r="B523" s="4072" t="s">
        <v>5413</v>
      </c>
      <c r="C523" s="4072"/>
      <c r="D523" s="4072" t="s">
        <v>5414</v>
      </c>
      <c r="E523" s="2118" t="s">
        <v>233</v>
      </c>
      <c r="F523" s="1189" t="s">
        <v>4091</v>
      </c>
      <c r="G523" s="4073"/>
      <c r="H523" s="3887">
        <v>-358371.84000000003</v>
      </c>
      <c r="I523" s="3887">
        <v>358371.84000000003</v>
      </c>
      <c r="J523" s="4074">
        <v>46079</v>
      </c>
      <c r="K523" s="4075"/>
    </row>
    <row r="524" spans="1:12" s="10" customFormat="1" ht="25.5" outlineLevel="3">
      <c r="A524" s="1">
        <f t="shared" ref="A524:A540" si="5">+A523+1</f>
        <v>369</v>
      </c>
      <c r="B524" s="4072" t="s">
        <v>5413</v>
      </c>
      <c r="C524" s="4072"/>
      <c r="D524" s="4072" t="s">
        <v>5414</v>
      </c>
      <c r="E524" s="2118" t="s">
        <v>233</v>
      </c>
      <c r="F524" s="1189" t="s">
        <v>3599</v>
      </c>
      <c r="G524" s="4073"/>
      <c r="H524" s="3887">
        <v>-684985</v>
      </c>
      <c r="I524" s="3887">
        <v>684985</v>
      </c>
      <c r="J524" s="4074">
        <v>46079</v>
      </c>
      <c r="K524" s="4075"/>
    </row>
    <row r="525" spans="1:12" s="10" customFormat="1" ht="25.5" outlineLevel="3">
      <c r="A525" s="1">
        <f t="shared" si="5"/>
        <v>370</v>
      </c>
      <c r="B525" s="4072" t="s">
        <v>5413</v>
      </c>
      <c r="C525" s="4072"/>
      <c r="D525" s="4072" t="s">
        <v>5414</v>
      </c>
      <c r="E525" s="2118" t="s">
        <v>233</v>
      </c>
      <c r="F525" s="1189" t="s">
        <v>4215</v>
      </c>
      <c r="G525" s="4073"/>
      <c r="H525" s="3887">
        <v>-141000</v>
      </c>
      <c r="I525" s="3887">
        <v>141000</v>
      </c>
      <c r="J525" s="4074">
        <v>46079</v>
      </c>
      <c r="K525" s="4075"/>
    </row>
    <row r="526" spans="1:12" s="10" customFormat="1" ht="25.5" outlineLevel="3">
      <c r="A526" s="1">
        <f t="shared" si="5"/>
        <v>371</v>
      </c>
      <c r="B526" s="4072" t="s">
        <v>5413</v>
      </c>
      <c r="C526" s="4072"/>
      <c r="D526" s="4072" t="s">
        <v>5414</v>
      </c>
      <c r="E526" s="2118" t="s">
        <v>233</v>
      </c>
      <c r="F526" s="1189" t="s">
        <v>4086</v>
      </c>
      <c r="G526" s="4073"/>
      <c r="H526" s="3887">
        <v>-557500</v>
      </c>
      <c r="I526" s="3887">
        <v>557500</v>
      </c>
      <c r="J526" s="4074">
        <v>46079</v>
      </c>
      <c r="K526" s="4075"/>
    </row>
    <row r="527" spans="1:12" s="10" customFormat="1" ht="25.5" outlineLevel="3">
      <c r="A527" s="1">
        <f t="shared" si="5"/>
        <v>372</v>
      </c>
      <c r="B527" s="4072" t="s">
        <v>5413</v>
      </c>
      <c r="C527" s="4072"/>
      <c r="D527" s="4072" t="s">
        <v>5414</v>
      </c>
      <c r="E527" s="2118" t="s">
        <v>233</v>
      </c>
      <c r="F527" s="1189" t="s">
        <v>4086</v>
      </c>
      <c r="G527" s="4073"/>
      <c r="H527" s="3887">
        <v>-76303.7</v>
      </c>
      <c r="I527" s="3887">
        <v>76303.7</v>
      </c>
      <c r="J527" s="4074">
        <v>46079</v>
      </c>
      <c r="K527" s="4075"/>
    </row>
    <row r="528" spans="1:12" s="10" customFormat="1" ht="25.5" outlineLevel="3">
      <c r="A528" s="1">
        <f t="shared" si="5"/>
        <v>373</v>
      </c>
      <c r="B528" s="4072" t="s">
        <v>5413</v>
      </c>
      <c r="C528" s="4072"/>
      <c r="D528" s="4072" t="s">
        <v>5414</v>
      </c>
      <c r="E528" s="2118" t="s">
        <v>233</v>
      </c>
      <c r="F528" s="1189" t="s">
        <v>4104</v>
      </c>
      <c r="G528" s="4073"/>
      <c r="H528" s="3887">
        <v>-141000</v>
      </c>
      <c r="I528" s="3887">
        <v>141000</v>
      </c>
      <c r="J528" s="4074">
        <v>46079</v>
      </c>
      <c r="K528" s="4075"/>
    </row>
    <row r="529" spans="1:11" s="10" customFormat="1" ht="25.5" outlineLevel="3">
      <c r="A529" s="1">
        <f t="shared" si="5"/>
        <v>374</v>
      </c>
      <c r="B529" s="4072" t="s">
        <v>5413</v>
      </c>
      <c r="C529" s="4072"/>
      <c r="D529" s="4072" t="s">
        <v>5414</v>
      </c>
      <c r="E529" s="2118" t="s">
        <v>233</v>
      </c>
      <c r="F529" s="1189" t="s">
        <v>4081</v>
      </c>
      <c r="G529" s="4073"/>
      <c r="H529" s="3887">
        <v>-64489</v>
      </c>
      <c r="I529" s="3887">
        <v>64489</v>
      </c>
      <c r="J529" s="4074">
        <v>46079</v>
      </c>
      <c r="K529" s="4075"/>
    </row>
    <row r="530" spans="1:11" s="10" customFormat="1" ht="25.5" outlineLevel="3">
      <c r="A530" s="1">
        <f t="shared" si="5"/>
        <v>375</v>
      </c>
      <c r="B530" s="4072" t="s">
        <v>5413</v>
      </c>
      <c r="C530" s="4072"/>
      <c r="D530" s="4072" t="s">
        <v>5414</v>
      </c>
      <c r="E530" s="2118" t="s">
        <v>233</v>
      </c>
      <c r="F530" s="1189" t="s">
        <v>4080</v>
      </c>
      <c r="G530" s="4073"/>
      <c r="H530" s="3887">
        <v>-224453.82</v>
      </c>
      <c r="I530" s="3887">
        <v>224453.82</v>
      </c>
      <c r="J530" s="4074">
        <v>46079</v>
      </c>
      <c r="K530" s="4075"/>
    </row>
    <row r="531" spans="1:11" s="10" customFormat="1" ht="25.5" outlineLevel="3">
      <c r="A531" s="1">
        <f t="shared" si="5"/>
        <v>376</v>
      </c>
      <c r="B531" s="4072" t="s">
        <v>5413</v>
      </c>
      <c r="C531" s="4072"/>
      <c r="D531" s="4072" t="s">
        <v>5414</v>
      </c>
      <c r="E531" s="2118" t="s">
        <v>233</v>
      </c>
      <c r="F531" s="1189" t="s">
        <v>4096</v>
      </c>
      <c r="G531" s="4073"/>
      <c r="H531" s="3887">
        <v>-2500</v>
      </c>
      <c r="I531" s="3887">
        <v>2500</v>
      </c>
      <c r="J531" s="4074">
        <v>46079</v>
      </c>
      <c r="K531" s="4075"/>
    </row>
    <row r="532" spans="1:11" s="10" customFormat="1" ht="25.5" outlineLevel="3">
      <c r="A532" s="1">
        <f t="shared" si="5"/>
        <v>377</v>
      </c>
      <c r="B532" s="4072" t="s">
        <v>5413</v>
      </c>
      <c r="C532" s="4072"/>
      <c r="D532" s="4072" t="s">
        <v>5414</v>
      </c>
      <c r="E532" s="2118" t="s">
        <v>233</v>
      </c>
      <c r="F532" s="1189" t="s">
        <v>4094</v>
      </c>
      <c r="G532" s="4073"/>
      <c r="H532" s="3887">
        <v>-34125</v>
      </c>
      <c r="I532" s="3887">
        <v>34125</v>
      </c>
      <c r="J532" s="4074">
        <v>46079</v>
      </c>
      <c r="K532" s="4075"/>
    </row>
    <row r="533" spans="1:11" s="10" customFormat="1" ht="25.5" outlineLevel="3">
      <c r="A533" s="1">
        <f t="shared" si="5"/>
        <v>378</v>
      </c>
      <c r="B533" s="4072" t="s">
        <v>5413</v>
      </c>
      <c r="C533" s="4072"/>
      <c r="D533" s="4072" t="s">
        <v>5414</v>
      </c>
      <c r="E533" s="2118" t="s">
        <v>233</v>
      </c>
      <c r="F533" s="1189" t="s">
        <v>4092</v>
      </c>
      <c r="G533" s="4073"/>
      <c r="H533" s="3887">
        <v>-59415</v>
      </c>
      <c r="I533" s="3887">
        <v>59415</v>
      </c>
      <c r="J533" s="4074">
        <v>46079</v>
      </c>
      <c r="K533" s="4075"/>
    </row>
    <row r="534" spans="1:11" s="10" customFormat="1" ht="25.5" outlineLevel="3">
      <c r="A534" s="1">
        <f t="shared" si="5"/>
        <v>379</v>
      </c>
      <c r="B534" s="4072" t="s">
        <v>5413</v>
      </c>
      <c r="C534" s="4072"/>
      <c r="D534" s="4072" t="s">
        <v>5414</v>
      </c>
      <c r="E534" s="2118" t="s">
        <v>233</v>
      </c>
      <c r="F534" s="1189" t="s">
        <v>4075</v>
      </c>
      <c r="G534" s="4073"/>
      <c r="H534" s="3887">
        <v>-17746</v>
      </c>
      <c r="I534" s="3887">
        <v>17746</v>
      </c>
      <c r="J534" s="4074">
        <v>46079</v>
      </c>
      <c r="K534" s="4075"/>
    </row>
    <row r="535" spans="1:11" s="10" customFormat="1" ht="25.5" outlineLevel="3">
      <c r="A535" s="1">
        <f t="shared" si="5"/>
        <v>380</v>
      </c>
      <c r="B535" s="4072" t="s">
        <v>5413</v>
      </c>
      <c r="C535" s="4072"/>
      <c r="D535" s="4072" t="s">
        <v>5414</v>
      </c>
      <c r="E535" s="2118" t="s">
        <v>233</v>
      </c>
      <c r="F535" s="1189" t="s">
        <v>4105</v>
      </c>
      <c r="G535" s="4073"/>
      <c r="H535" s="3887">
        <v>-831160.63</v>
      </c>
      <c r="I535" s="3887">
        <v>831160.63</v>
      </c>
      <c r="J535" s="4074">
        <v>46079</v>
      </c>
      <c r="K535" s="4075"/>
    </row>
    <row r="536" spans="1:11" s="10" customFormat="1" ht="25.5" outlineLevel="3">
      <c r="A536" s="1">
        <f t="shared" si="5"/>
        <v>381</v>
      </c>
      <c r="B536" s="4072" t="s">
        <v>5413</v>
      </c>
      <c r="C536" s="4072"/>
      <c r="D536" s="4072" t="s">
        <v>5414</v>
      </c>
      <c r="E536" s="2118" t="s">
        <v>233</v>
      </c>
      <c r="F536" s="1189" t="s">
        <v>4215</v>
      </c>
      <c r="G536" s="4073"/>
      <c r="H536" s="3887">
        <v>-100000</v>
      </c>
      <c r="I536" s="3887">
        <v>100000</v>
      </c>
      <c r="J536" s="4074">
        <v>46079</v>
      </c>
      <c r="K536" s="4075"/>
    </row>
    <row r="537" spans="1:11" s="10" customFormat="1" ht="25.5" outlineLevel="3">
      <c r="A537" s="1">
        <f t="shared" si="5"/>
        <v>382</v>
      </c>
      <c r="B537" s="4072" t="s">
        <v>5413</v>
      </c>
      <c r="C537" s="4072"/>
      <c r="D537" s="4072" t="s">
        <v>5414</v>
      </c>
      <c r="E537" s="2118" t="s">
        <v>233</v>
      </c>
      <c r="F537" s="1189" t="s">
        <v>4204</v>
      </c>
      <c r="G537" s="4073"/>
      <c r="H537" s="3887">
        <v>-12500</v>
      </c>
      <c r="I537" s="3887">
        <v>12500</v>
      </c>
      <c r="J537" s="4074">
        <v>46079</v>
      </c>
      <c r="K537" s="4075"/>
    </row>
    <row r="538" spans="1:11" s="10" customFormat="1" ht="25.5" outlineLevel="3">
      <c r="A538" s="1">
        <f t="shared" si="5"/>
        <v>383</v>
      </c>
      <c r="B538" s="4072" t="s">
        <v>5413</v>
      </c>
      <c r="C538" s="4072"/>
      <c r="D538" s="4072" t="s">
        <v>5414</v>
      </c>
      <c r="E538" s="2118" t="s">
        <v>233</v>
      </c>
      <c r="F538" s="1189" t="s">
        <v>4469</v>
      </c>
      <c r="G538" s="4073"/>
      <c r="H538" s="3887">
        <v>-12000</v>
      </c>
      <c r="I538" s="3887">
        <v>12000</v>
      </c>
      <c r="J538" s="4074">
        <v>46079</v>
      </c>
      <c r="K538" s="4075"/>
    </row>
    <row r="539" spans="1:11" s="10" customFormat="1" ht="25.5" outlineLevel="3">
      <c r="A539" s="1">
        <f t="shared" si="5"/>
        <v>384</v>
      </c>
      <c r="B539" s="4072" t="s">
        <v>5413</v>
      </c>
      <c r="C539" s="4072"/>
      <c r="D539" s="4072" t="s">
        <v>5414</v>
      </c>
      <c r="E539" s="2118" t="s">
        <v>233</v>
      </c>
      <c r="F539" s="1189" t="s">
        <v>5077</v>
      </c>
      <c r="G539" s="4073"/>
      <c r="H539" s="3887">
        <v>-863540.8</v>
      </c>
      <c r="I539" s="3887">
        <v>863540.8</v>
      </c>
      <c r="J539" s="4074">
        <v>46079</v>
      </c>
      <c r="K539" s="4075"/>
    </row>
    <row r="540" spans="1:11" s="10" customFormat="1" ht="25.5" outlineLevel="3">
      <c r="A540" s="1">
        <f t="shared" si="5"/>
        <v>385</v>
      </c>
      <c r="B540" s="4072" t="s">
        <v>5413</v>
      </c>
      <c r="C540" s="4072"/>
      <c r="D540" s="4072" t="s">
        <v>5414</v>
      </c>
      <c r="E540" s="2118" t="s">
        <v>233</v>
      </c>
      <c r="F540" s="1189" t="s">
        <v>4076</v>
      </c>
      <c r="G540" s="4073"/>
      <c r="H540" s="3887">
        <v>-22058.81</v>
      </c>
      <c r="I540" s="3887">
        <v>22058.81</v>
      </c>
      <c r="J540" s="4074">
        <v>46079</v>
      </c>
      <c r="K540" s="4075"/>
    </row>
    <row r="541" spans="1:11" s="10" customFormat="1" outlineLevel="3">
      <c r="A541" s="1"/>
      <c r="B541" s="4072"/>
      <c r="C541" s="4072"/>
      <c r="D541" s="4072"/>
      <c r="E541" s="2118"/>
      <c r="F541" s="1189"/>
      <c r="G541" s="4073"/>
      <c r="H541" s="3887"/>
      <c r="I541" s="3887"/>
      <c r="J541" s="4074"/>
      <c r="K541" s="4075"/>
    </row>
    <row r="542" spans="1:11" s="10" customFormat="1" outlineLevel="3">
      <c r="A542" s="1">
        <v>386</v>
      </c>
      <c r="B542" s="4072" t="s">
        <v>5416</v>
      </c>
      <c r="C542" s="4072"/>
      <c r="D542" s="4072" t="s">
        <v>5417</v>
      </c>
      <c r="E542" s="2118" t="s">
        <v>233</v>
      </c>
      <c r="F542" s="1189" t="s">
        <v>5418</v>
      </c>
      <c r="G542" s="4073"/>
      <c r="H542" s="3887">
        <v>-57135</v>
      </c>
      <c r="I542" s="3887">
        <v>57135</v>
      </c>
      <c r="J542" s="4074">
        <v>46079</v>
      </c>
      <c r="K542" s="4075"/>
    </row>
    <row r="543" spans="1:11" s="10" customFormat="1" outlineLevel="3">
      <c r="A543" s="1"/>
      <c r="B543" s="4072"/>
      <c r="C543" s="4072"/>
      <c r="D543" s="4072"/>
      <c r="E543" s="2118"/>
      <c r="F543" s="1189"/>
      <c r="G543" s="4073"/>
      <c r="H543" s="3887"/>
      <c r="I543" s="3887"/>
      <c r="J543" s="4074"/>
      <c r="K543" s="4075"/>
    </row>
    <row r="544" spans="1:11" s="10" customFormat="1" outlineLevel="3">
      <c r="A544" s="1">
        <v>387</v>
      </c>
      <c r="B544" s="4072" t="s">
        <v>5420</v>
      </c>
      <c r="C544" s="4072"/>
      <c r="D544" s="4074" t="s">
        <v>5475</v>
      </c>
      <c r="E544" s="2118" t="s">
        <v>233</v>
      </c>
      <c r="F544" s="1189" t="s">
        <v>139</v>
      </c>
      <c r="G544" s="4073"/>
      <c r="H544" s="3887">
        <v>-3720</v>
      </c>
      <c r="I544" s="3887">
        <f>-H544</f>
        <v>3720</v>
      </c>
      <c r="J544" s="4074">
        <v>46097</v>
      </c>
      <c r="K544" s="4075"/>
    </row>
    <row r="545" spans="1:12" s="10" customFormat="1" outlineLevel="3">
      <c r="A545" s="1">
        <v>388.1</v>
      </c>
      <c r="B545" s="4072" t="s">
        <v>6161</v>
      </c>
      <c r="C545" s="4072"/>
      <c r="D545" s="4657" t="s">
        <v>5419</v>
      </c>
      <c r="E545" s="2118" t="s">
        <v>233</v>
      </c>
      <c r="F545" s="1189" t="s">
        <v>3930</v>
      </c>
      <c r="G545" s="4073"/>
      <c r="H545" s="3887">
        <f>-I545</f>
        <v>-74046.44</v>
      </c>
      <c r="I545" s="3887">
        <v>74046.44</v>
      </c>
      <c r="J545" s="4657"/>
      <c r="K545" s="4075"/>
      <c r="L545" s="10">
        <v>74046.44</v>
      </c>
    </row>
    <row r="546" spans="1:12" s="10" customFormat="1" outlineLevel="3">
      <c r="A546" s="1">
        <v>388.2</v>
      </c>
      <c r="B546" s="4072" t="s">
        <v>6159</v>
      </c>
      <c r="C546" s="4072"/>
      <c r="D546" s="4074" t="s">
        <v>6160</v>
      </c>
      <c r="E546" s="1189" t="s">
        <v>3930</v>
      </c>
      <c r="F546" s="2118" t="s">
        <v>233</v>
      </c>
      <c r="G546" s="4073"/>
      <c r="H546" s="3887">
        <f>+H545+72092.72</f>
        <v>-1953.7200000000012</v>
      </c>
      <c r="I546" s="3887">
        <f>-H546</f>
        <v>1953.7200000000012</v>
      </c>
      <c r="J546" s="4074">
        <v>46124</v>
      </c>
      <c r="K546" s="4075"/>
    </row>
    <row r="547" spans="1:12" s="10" customFormat="1" outlineLevel="3">
      <c r="A547" s="1">
        <v>389</v>
      </c>
      <c r="B547" s="4072" t="s">
        <v>5421</v>
      </c>
      <c r="C547" s="4072"/>
      <c r="D547" s="4074" t="s">
        <v>5489</v>
      </c>
      <c r="E547" s="2118" t="s">
        <v>233</v>
      </c>
      <c r="F547" s="1189" t="s">
        <v>3930</v>
      </c>
      <c r="G547" s="4073"/>
      <c r="H547" s="3887">
        <f>-I547</f>
        <v>-51810</v>
      </c>
      <c r="I547" s="3887">
        <v>51810</v>
      </c>
      <c r="J547" s="4074">
        <v>46105</v>
      </c>
      <c r="K547" s="4075"/>
      <c r="L547" s="10">
        <v>51810</v>
      </c>
    </row>
    <row r="548" spans="1:12" s="10" customFormat="1" outlineLevel="3">
      <c r="A548" s="1"/>
      <c r="B548" s="4072"/>
      <c r="C548" s="4072"/>
      <c r="D548" s="4072"/>
      <c r="E548" s="2118"/>
      <c r="F548" s="1189"/>
      <c r="G548" s="4073"/>
      <c r="H548" s="3887"/>
      <c r="I548" s="3887"/>
      <c r="J548" s="4074"/>
      <c r="K548" s="4075"/>
    </row>
    <row r="549" spans="1:12" s="10" customFormat="1" ht="25.5" outlineLevel="3">
      <c r="A549" s="1">
        <v>390</v>
      </c>
      <c r="B549" s="4072" t="s">
        <v>5476</v>
      </c>
      <c r="C549" s="4072"/>
      <c r="D549" s="4072" t="s">
        <v>5477</v>
      </c>
      <c r="E549" s="2118" t="s">
        <v>233</v>
      </c>
      <c r="F549" s="1189" t="s">
        <v>3217</v>
      </c>
      <c r="G549" s="4073"/>
      <c r="H549" s="3887">
        <v>-87500</v>
      </c>
      <c r="I549" s="3887">
        <v>87500</v>
      </c>
      <c r="J549" s="4074">
        <v>46098</v>
      </c>
      <c r="K549" s="4075"/>
    </row>
    <row r="550" spans="1:12" s="10" customFormat="1" ht="25.5" outlineLevel="3">
      <c r="A550" s="1">
        <f>+A549+1</f>
        <v>391</v>
      </c>
      <c r="B550" s="4072" t="s">
        <v>5478</v>
      </c>
      <c r="C550" s="4072"/>
      <c r="D550" s="4072" t="s">
        <v>5479</v>
      </c>
      <c r="E550" s="2118" t="s">
        <v>233</v>
      </c>
      <c r="F550" s="1189" t="s">
        <v>2237</v>
      </c>
      <c r="G550" s="4073"/>
      <c r="H550" s="3887">
        <v>-10400</v>
      </c>
      <c r="I550" s="3887">
        <v>10400</v>
      </c>
      <c r="J550" s="4074">
        <v>46105</v>
      </c>
      <c r="K550" s="4075"/>
    </row>
    <row r="551" spans="1:12" s="10" customFormat="1" ht="25.5" outlineLevel="3">
      <c r="A551" s="1">
        <f t="shared" ref="A551:A556" si="6">+A550+1</f>
        <v>392</v>
      </c>
      <c r="B551" s="4072" t="s">
        <v>5480</v>
      </c>
      <c r="C551" s="4072"/>
      <c r="D551" s="4072" t="s">
        <v>5481</v>
      </c>
      <c r="E551" s="2118" t="s">
        <v>233</v>
      </c>
      <c r="F551" s="1189" t="s">
        <v>2237</v>
      </c>
      <c r="G551" s="4073"/>
      <c r="H551" s="3887">
        <v>-24700</v>
      </c>
      <c r="I551" s="3887">
        <v>24700</v>
      </c>
      <c r="J551" s="4074">
        <v>46105</v>
      </c>
      <c r="K551" s="4075"/>
    </row>
    <row r="552" spans="1:12" s="10" customFormat="1" ht="25.5" outlineLevel="3">
      <c r="A552" s="1">
        <f t="shared" si="6"/>
        <v>393</v>
      </c>
      <c r="B552" s="4072" t="s">
        <v>5483</v>
      </c>
      <c r="C552" s="4072"/>
      <c r="D552" s="4072" t="s">
        <v>5482</v>
      </c>
      <c r="E552" s="2118" t="s">
        <v>233</v>
      </c>
      <c r="F552" s="1189" t="s">
        <v>5211</v>
      </c>
      <c r="G552" s="4073"/>
      <c r="H552" s="3887">
        <v>-261408</v>
      </c>
      <c r="I552" s="3887">
        <v>261408</v>
      </c>
      <c r="J552" s="4074">
        <v>46105</v>
      </c>
      <c r="K552" s="4075"/>
    </row>
    <row r="553" spans="1:12" s="10" customFormat="1" ht="24.6" customHeight="1" outlineLevel="3">
      <c r="A553" s="1">
        <f t="shared" si="6"/>
        <v>394</v>
      </c>
      <c r="B553" s="4072" t="s">
        <v>5484</v>
      </c>
      <c r="C553" s="4072"/>
      <c r="D553" s="4072" t="s">
        <v>5482</v>
      </c>
      <c r="E553" s="2118" t="s">
        <v>233</v>
      </c>
      <c r="F553" s="1189" t="s">
        <v>5211</v>
      </c>
      <c r="G553" s="4073"/>
      <c r="H553" s="3887">
        <v>-48290</v>
      </c>
      <c r="I553" s="3887">
        <v>48290</v>
      </c>
      <c r="J553" s="4074">
        <v>46105</v>
      </c>
      <c r="K553" s="4075"/>
    </row>
    <row r="554" spans="1:12" s="10" customFormat="1" ht="25.5" outlineLevel="3">
      <c r="A554" s="1">
        <f t="shared" si="6"/>
        <v>395</v>
      </c>
      <c r="B554" s="4072" t="s">
        <v>5485</v>
      </c>
      <c r="C554" s="4072"/>
      <c r="D554" s="4072" t="s">
        <v>5486</v>
      </c>
      <c r="E554" s="2118" t="s">
        <v>233</v>
      </c>
      <c r="F554" s="1189" t="s">
        <v>3204</v>
      </c>
      <c r="G554" s="4073"/>
      <c r="H554" s="3887">
        <v>-1567562</v>
      </c>
      <c r="I554" s="3887">
        <v>1567562</v>
      </c>
      <c r="J554" s="4074">
        <v>46105</v>
      </c>
      <c r="K554" s="4075"/>
    </row>
    <row r="555" spans="1:12" s="10" customFormat="1" ht="25.5" outlineLevel="3">
      <c r="A555" s="1">
        <f t="shared" si="6"/>
        <v>396</v>
      </c>
      <c r="B555" s="4072" t="s">
        <v>5487</v>
      </c>
      <c r="C555" s="4072"/>
      <c r="D555" s="4072" t="s">
        <v>5488</v>
      </c>
      <c r="E555" s="2118" t="s">
        <v>233</v>
      </c>
      <c r="F555" s="1189" t="s">
        <v>3930</v>
      </c>
      <c r="G555" s="4073"/>
      <c r="H555" s="3887">
        <v>-25000</v>
      </c>
      <c r="I555" s="3887">
        <v>25000</v>
      </c>
      <c r="J555" s="4074">
        <v>46105</v>
      </c>
      <c r="K555" s="4075"/>
    </row>
    <row r="556" spans="1:12" s="10" customFormat="1" ht="25.5" outlineLevel="3">
      <c r="A556" s="1">
        <f t="shared" si="6"/>
        <v>397</v>
      </c>
      <c r="B556" s="4072" t="s">
        <v>5490</v>
      </c>
      <c r="C556" s="4072"/>
      <c r="D556" s="4074" t="s">
        <v>5489</v>
      </c>
      <c r="E556" s="2118" t="s">
        <v>233</v>
      </c>
      <c r="F556" s="1189" t="s">
        <v>3930</v>
      </c>
      <c r="G556" s="4073"/>
      <c r="H556" s="3887">
        <v>-38760</v>
      </c>
      <c r="I556" s="3887">
        <v>38760</v>
      </c>
      <c r="J556" s="4074">
        <v>46105</v>
      </c>
      <c r="K556" s="4075"/>
    </row>
    <row r="557" spans="1:12" s="10" customFormat="1" outlineLevel="3">
      <c r="A557" s="1"/>
      <c r="B557" s="4072"/>
      <c r="C557" s="4072"/>
      <c r="D557" s="4072"/>
      <c r="E557" s="2118"/>
      <c r="F557" s="1189"/>
      <c r="G557" s="4073"/>
      <c r="H557" s="3887"/>
      <c r="I557" s="3887"/>
      <c r="J557" s="4074"/>
      <c r="K557" s="4075"/>
    </row>
    <row r="558" spans="1:12" s="10" customFormat="1" outlineLevel="3">
      <c r="A558" s="1">
        <v>398</v>
      </c>
      <c r="B558" s="4072" t="s">
        <v>5571</v>
      </c>
      <c r="C558" s="4072"/>
      <c r="D558" s="4074" t="s">
        <v>6162</v>
      </c>
      <c r="E558" s="2118" t="s">
        <v>233</v>
      </c>
      <c r="F558" s="1189" t="s">
        <v>3929</v>
      </c>
      <c r="G558" s="4073"/>
      <c r="H558" s="3887">
        <v>-248084.71</v>
      </c>
      <c r="I558" s="3887">
        <v>248084.71</v>
      </c>
      <c r="J558" s="4074">
        <v>46138</v>
      </c>
      <c r="K558" s="4075"/>
    </row>
    <row r="559" spans="1:12" s="10" customFormat="1" outlineLevel="3">
      <c r="A559" s="1"/>
      <c r="B559" s="4072"/>
      <c r="C559" s="4072"/>
      <c r="D559" s="4072"/>
      <c r="E559" s="2118"/>
      <c r="F559" s="1189"/>
      <c r="G559" s="4073"/>
      <c r="H559" s="3887"/>
      <c r="I559" s="3887"/>
      <c r="J559" s="4074"/>
      <c r="K559" s="4075"/>
    </row>
    <row r="560" spans="1:12" s="10" customFormat="1" outlineLevel="3">
      <c r="A560" s="1">
        <v>399</v>
      </c>
      <c r="B560" s="4072" t="s">
        <v>6163</v>
      </c>
      <c r="C560" s="4072"/>
      <c r="D560" s="4072" t="s">
        <v>6164</v>
      </c>
      <c r="E560" s="2118" t="s">
        <v>233</v>
      </c>
      <c r="F560" s="1189" t="s">
        <v>5337</v>
      </c>
      <c r="G560" s="4073"/>
      <c r="H560" s="3887">
        <f>-I560</f>
        <v>-29117.66</v>
      </c>
      <c r="I560" s="3887">
        <v>29117.66</v>
      </c>
      <c r="J560" s="4074">
        <v>46138</v>
      </c>
      <c r="K560" s="4075"/>
    </row>
    <row r="561" spans="1:14" s="10" customFormat="1" outlineLevel="3">
      <c r="A561" s="1"/>
      <c r="B561" s="4072"/>
      <c r="C561" s="4072"/>
      <c r="D561" s="4072"/>
      <c r="E561" s="2118"/>
      <c r="F561" s="1189"/>
      <c r="G561" s="4073"/>
      <c r="H561" s="3887"/>
      <c r="I561" s="3887"/>
      <c r="J561" s="4074"/>
      <c r="K561" s="4075"/>
    </row>
    <row r="562" spans="1:14" s="10" customFormat="1" ht="25.5" outlineLevel="3">
      <c r="A562" s="1">
        <v>400</v>
      </c>
      <c r="B562" s="4072" t="s">
        <v>6165</v>
      </c>
      <c r="C562" s="4072"/>
      <c r="D562" s="4074" t="s">
        <v>6273</v>
      </c>
      <c r="E562" s="2118" t="s">
        <v>233</v>
      </c>
      <c r="F562" s="1189" t="s">
        <v>3930</v>
      </c>
      <c r="G562" s="4073"/>
      <c r="H562" s="3887">
        <v>-38268.51</v>
      </c>
      <c r="I562" s="3887">
        <f>-H562</f>
        <v>38268.51</v>
      </c>
      <c r="J562" s="4074">
        <v>46153</v>
      </c>
      <c r="K562" s="4075"/>
      <c r="L562" s="10">
        <f>+'Schedule C'!AG192</f>
        <v>21275.25</v>
      </c>
      <c r="M562" s="10">
        <f>+'Schedule C'!AZ192</f>
        <v>59543.76</v>
      </c>
      <c r="N562" s="1214">
        <f>+M562-L562</f>
        <v>38268.51</v>
      </c>
    </row>
    <row r="563" spans="1:14" s="10" customFormat="1" outlineLevel="3">
      <c r="A563" s="1"/>
      <c r="B563" s="4072"/>
      <c r="C563" s="4072"/>
      <c r="D563" s="4072"/>
      <c r="E563" s="2118"/>
      <c r="F563" s="1189"/>
      <c r="G563" s="4073"/>
      <c r="H563" s="3887"/>
      <c r="I563" s="3887"/>
      <c r="J563" s="4074"/>
      <c r="K563" s="4075"/>
    </row>
    <row r="564" spans="1:14" s="10" customFormat="1" ht="25.5" outlineLevel="3">
      <c r="A564" s="1">
        <v>401</v>
      </c>
      <c r="B564" s="4072" t="s">
        <v>6271</v>
      </c>
      <c r="C564" s="4072"/>
      <c r="D564" s="4072" t="s">
        <v>6272</v>
      </c>
      <c r="E564" s="2118" t="s">
        <v>233</v>
      </c>
      <c r="F564" s="1189" t="s">
        <v>3205</v>
      </c>
      <c r="G564" s="4073"/>
      <c r="H564" s="3887">
        <v>-65000</v>
      </c>
      <c r="I564" s="3887">
        <v>65000</v>
      </c>
      <c r="J564" s="4074">
        <v>46155</v>
      </c>
      <c r="K564" s="4075"/>
    </row>
    <row r="565" spans="1:14" s="10" customFormat="1" ht="25.5" outlineLevel="3">
      <c r="A565" s="1">
        <v>402</v>
      </c>
      <c r="B565" s="4072" t="s">
        <v>6274</v>
      </c>
      <c r="C565" s="4072"/>
      <c r="D565" s="4072" t="s">
        <v>6275</v>
      </c>
      <c r="E565" s="2118" t="s">
        <v>233</v>
      </c>
      <c r="F565" s="1189" t="s">
        <v>3608</v>
      </c>
      <c r="G565" s="4073"/>
      <c r="H565" s="3887">
        <v>-15076.28</v>
      </c>
      <c r="I565" s="3887">
        <v>15076.28</v>
      </c>
      <c r="J565" s="4074">
        <v>46153</v>
      </c>
      <c r="K565" s="4075"/>
      <c r="M565" s="10">
        <v>76325.649999999994</v>
      </c>
    </row>
    <row r="566" spans="1:14" s="10" customFormat="1" outlineLevel="3">
      <c r="A566" s="1">
        <v>403</v>
      </c>
      <c r="B566" s="4072" t="s">
        <v>6277</v>
      </c>
      <c r="C566" s="4072"/>
      <c r="D566" s="4072" t="s">
        <v>6276</v>
      </c>
      <c r="E566" s="2118" t="s">
        <v>233</v>
      </c>
      <c r="F566" s="1189" t="s">
        <v>6296</v>
      </c>
      <c r="G566" s="4073"/>
      <c r="H566" s="3887">
        <v>-336187.5</v>
      </c>
      <c r="I566" s="3887">
        <v>336187.5</v>
      </c>
      <c r="J566" s="4074">
        <v>46167</v>
      </c>
      <c r="K566" s="4075"/>
      <c r="M566" s="10">
        <v>842734.4</v>
      </c>
    </row>
    <row r="567" spans="1:14" s="10" customFormat="1" outlineLevel="3">
      <c r="A567" s="1"/>
      <c r="B567" s="4072"/>
      <c r="C567" s="4072"/>
      <c r="D567" s="4072"/>
      <c r="E567" s="2118"/>
      <c r="F567" s="1189"/>
      <c r="G567" s="4073"/>
      <c r="H567" s="3887"/>
      <c r="I567" s="3887"/>
      <c r="J567" s="4074"/>
      <c r="K567" s="4075"/>
    </row>
    <row r="568" spans="1:14" s="10" customFormat="1" ht="25.5" outlineLevel="3">
      <c r="A568" s="1">
        <v>404</v>
      </c>
      <c r="B568" s="4072" t="s">
        <v>6280</v>
      </c>
      <c r="C568" s="4072"/>
      <c r="D568" s="4072" t="s">
        <v>6297</v>
      </c>
      <c r="E568" s="2118" t="s">
        <v>2269</v>
      </c>
      <c r="F568" s="1189" t="s">
        <v>233</v>
      </c>
      <c r="G568" s="4073"/>
      <c r="H568" s="3887">
        <v>-842734.4</v>
      </c>
      <c r="I568" s="3887">
        <v>842734.4</v>
      </c>
      <c r="J568" s="4074"/>
      <c r="K568" s="4075"/>
      <c r="M568" s="1214">
        <v>-393212.11000013351</v>
      </c>
    </row>
    <row r="569" spans="1:14" s="10" customFormat="1" ht="25.5" outlineLevel="3">
      <c r="A569" s="5020">
        <v>405</v>
      </c>
      <c r="B569" s="4072" t="s">
        <v>6283</v>
      </c>
      <c r="C569" s="4072"/>
      <c r="D569" s="4072" t="s">
        <v>6297</v>
      </c>
      <c r="E569" s="2118" t="s">
        <v>2269</v>
      </c>
      <c r="F569" s="1189" t="s">
        <v>233</v>
      </c>
      <c r="G569" s="4073"/>
      <c r="H569" s="3887">
        <v>-76325.649999999994</v>
      </c>
      <c r="I569" s="3887">
        <v>76325.649999999994</v>
      </c>
      <c r="J569" s="4074"/>
      <c r="K569" s="4075"/>
      <c r="M569" s="4230">
        <f>+I566+I565+I564</f>
        <v>416263.78</v>
      </c>
    </row>
    <row r="570" spans="1:14" s="10" customFormat="1" outlineLevel="3">
      <c r="A570" s="1">
        <v>406</v>
      </c>
      <c r="B570" s="4072" t="s">
        <v>6284</v>
      </c>
      <c r="C570" s="4072"/>
      <c r="D570" s="4072" t="s">
        <v>6297</v>
      </c>
      <c r="E570" s="2118" t="s">
        <v>3930</v>
      </c>
      <c r="F570" s="1189" t="s">
        <v>233</v>
      </c>
      <c r="G570" s="4073"/>
      <c r="H570" s="3887">
        <v>-312470.43</v>
      </c>
      <c r="I570" s="3887">
        <v>312470.43</v>
      </c>
      <c r="J570" s="4074"/>
      <c r="K570" s="4075"/>
      <c r="M570" s="1215">
        <f>+M569+M568</f>
        <v>23051.669999866514</v>
      </c>
    </row>
    <row r="571" spans="1:14" s="10" customFormat="1" outlineLevel="3">
      <c r="A571" s="1">
        <v>407</v>
      </c>
      <c r="B571" s="4072" t="s">
        <v>6287</v>
      </c>
      <c r="C571" s="4072"/>
      <c r="D571" s="4072" t="s">
        <v>6297</v>
      </c>
      <c r="E571" s="2118" t="s">
        <v>3217</v>
      </c>
      <c r="F571" s="1189" t="s">
        <v>233</v>
      </c>
      <c r="G571" s="4073"/>
      <c r="H571" s="3887">
        <v>-7952.25</v>
      </c>
      <c r="I571" s="5108">
        <v>7952.25</v>
      </c>
      <c r="J571" s="4074"/>
      <c r="K571" s="4075"/>
    </row>
    <row r="572" spans="1:14" s="10" customFormat="1" outlineLevel="3">
      <c r="A572" s="1">
        <v>408</v>
      </c>
      <c r="B572" s="4072" t="s">
        <v>6288</v>
      </c>
      <c r="C572" s="4072"/>
      <c r="D572" s="4072" t="s">
        <v>6297</v>
      </c>
      <c r="E572" s="2118" t="s">
        <v>3217</v>
      </c>
      <c r="F572" s="1189" t="s">
        <v>233</v>
      </c>
      <c r="G572" s="4073"/>
      <c r="H572" s="3887">
        <v>-12469.2</v>
      </c>
      <c r="I572" s="5108">
        <v>12469.199999999997</v>
      </c>
      <c r="J572" s="4074"/>
      <c r="K572" s="4075"/>
    </row>
    <row r="573" spans="1:14" s="10" customFormat="1" ht="25.5" outlineLevel="3">
      <c r="A573" s="5020">
        <v>409</v>
      </c>
      <c r="B573" s="4072" t="s">
        <v>6289</v>
      </c>
      <c r="C573" s="4072"/>
      <c r="D573" s="4072" t="s">
        <v>6297</v>
      </c>
      <c r="E573" s="2118" t="s">
        <v>2269</v>
      </c>
      <c r="F573" s="1189" t="s">
        <v>233</v>
      </c>
      <c r="G573" s="4073"/>
      <c r="H573" s="3887">
        <v>-16549.990000000002</v>
      </c>
      <c r="I573" s="5109">
        <v>16549.990000000002</v>
      </c>
      <c r="J573" s="4074"/>
      <c r="K573" s="4075"/>
    </row>
    <row r="574" spans="1:14" s="10" customFormat="1" outlineLevel="3">
      <c r="A574" s="5020">
        <v>410</v>
      </c>
      <c r="B574" s="4072" t="s">
        <v>6292</v>
      </c>
      <c r="C574" s="4072"/>
      <c r="D574" s="4072" t="s">
        <v>6297</v>
      </c>
      <c r="E574" s="2118" t="s">
        <v>2237</v>
      </c>
      <c r="F574" s="1189" t="s">
        <v>233</v>
      </c>
      <c r="G574" s="4073"/>
      <c r="H574" s="3887">
        <v>-10708</v>
      </c>
      <c r="I574" s="5108">
        <v>10708</v>
      </c>
      <c r="J574" s="4074"/>
      <c r="K574" s="4075"/>
    </row>
    <row r="575" spans="1:14" s="10" customFormat="1" outlineLevel="3">
      <c r="A575" s="5020">
        <v>411</v>
      </c>
      <c r="B575" s="4072" t="s">
        <v>6293</v>
      </c>
      <c r="C575" s="4072"/>
      <c r="D575" s="4072" t="s">
        <v>6297</v>
      </c>
      <c r="E575" s="2118" t="s">
        <v>2237</v>
      </c>
      <c r="F575" s="1189" t="s">
        <v>233</v>
      </c>
      <c r="G575" s="4073"/>
      <c r="H575" s="3887">
        <v>-3744</v>
      </c>
      <c r="I575" s="5108">
        <v>3744</v>
      </c>
      <c r="J575" s="4074"/>
      <c r="K575" s="4075"/>
    </row>
    <row r="576" spans="1:14" s="10" customFormat="1" outlineLevel="3">
      <c r="A576" s="1"/>
      <c r="B576" s="4072"/>
      <c r="C576" s="4072"/>
      <c r="D576" s="4072"/>
      <c r="E576" s="2118"/>
      <c r="F576" s="1189"/>
      <c r="G576" s="4073"/>
      <c r="H576" s="3887"/>
      <c r="I576" s="3887"/>
      <c r="J576" s="4074"/>
      <c r="K576" s="4075"/>
    </row>
    <row r="577" spans="1:13" s="10" customFormat="1" outlineLevel="3">
      <c r="A577" s="1">
        <v>412</v>
      </c>
      <c r="B577" s="4072" t="s">
        <v>6448</v>
      </c>
      <c r="C577" s="4072"/>
      <c r="D577" s="4072" t="s">
        <v>6297</v>
      </c>
      <c r="E577" s="5112" t="s">
        <v>233</v>
      </c>
      <c r="F577" s="1189" t="s">
        <v>2964</v>
      </c>
      <c r="G577" s="4073"/>
      <c r="H577" s="3887">
        <v>-312400</v>
      </c>
      <c r="I577" s="3887">
        <v>312400</v>
      </c>
      <c r="J577" s="4074"/>
      <c r="K577" s="4075"/>
    </row>
    <row r="578" spans="1:13" s="10" customFormat="1" outlineLevel="3">
      <c r="A578" s="1">
        <v>413</v>
      </c>
      <c r="B578" s="4072" t="s">
        <v>6449</v>
      </c>
      <c r="C578" s="4072"/>
      <c r="D578" s="4072" t="s">
        <v>6297</v>
      </c>
      <c r="E578" s="5112" t="s">
        <v>233</v>
      </c>
      <c r="F578" s="1189" t="s">
        <v>3930</v>
      </c>
      <c r="G578" s="4073"/>
      <c r="H578" s="3887">
        <v>-581730.52</v>
      </c>
      <c r="I578" s="3887">
        <v>581730.52</v>
      </c>
      <c r="J578" s="4074"/>
      <c r="K578" s="4075"/>
    </row>
    <row r="579" spans="1:13" s="10" customFormat="1" outlineLevel="3">
      <c r="A579" s="1">
        <v>414</v>
      </c>
      <c r="B579" s="4072" t="s">
        <v>6450</v>
      </c>
      <c r="C579" s="4072"/>
      <c r="D579" s="4072" t="s">
        <v>6297</v>
      </c>
      <c r="E579" s="5112" t="s">
        <v>233</v>
      </c>
      <c r="F579" s="1189" t="s">
        <v>139</v>
      </c>
      <c r="G579" s="4073"/>
      <c r="H579" s="3887">
        <v>-314880</v>
      </c>
      <c r="I579" s="3887">
        <v>314880</v>
      </c>
      <c r="J579" s="4074"/>
      <c r="K579" s="4075"/>
    </row>
    <row r="580" spans="1:13" s="10" customFormat="1" outlineLevel="3">
      <c r="A580" s="1">
        <v>415</v>
      </c>
      <c r="B580" s="4072" t="s">
        <v>6451</v>
      </c>
      <c r="C580" s="4072"/>
      <c r="D580" s="4072" t="s">
        <v>6297</v>
      </c>
      <c r="E580" s="5112" t="s">
        <v>233</v>
      </c>
      <c r="F580" s="1189" t="s">
        <v>3930</v>
      </c>
      <c r="G580" s="4073"/>
      <c r="H580" s="3887">
        <v>-74300</v>
      </c>
      <c r="I580" s="3887">
        <v>74300</v>
      </c>
      <c r="J580" s="4074"/>
      <c r="K580" s="4075"/>
    </row>
    <row r="581" spans="1:13" s="10" customFormat="1" outlineLevel="3">
      <c r="A581" s="1">
        <v>416</v>
      </c>
      <c r="B581" s="4072" t="s">
        <v>6452</v>
      </c>
      <c r="C581" s="4072"/>
      <c r="D581" s="4072" t="s">
        <v>6297</v>
      </c>
      <c r="E581" s="2118" t="s">
        <v>3930</v>
      </c>
      <c r="F581" s="5112" t="s">
        <v>233</v>
      </c>
      <c r="G581" s="4073"/>
      <c r="H581" s="3887">
        <v>-28414.67</v>
      </c>
      <c r="I581" s="3887">
        <v>28414.67</v>
      </c>
      <c r="J581" s="4074"/>
      <c r="K581" s="4075"/>
    </row>
    <row r="582" spans="1:13" s="10" customFormat="1" outlineLevel="3">
      <c r="A582" s="1">
        <v>417</v>
      </c>
      <c r="B582" s="4072" t="s">
        <v>6453</v>
      </c>
      <c r="C582" s="4072"/>
      <c r="D582" s="4072"/>
      <c r="E582" s="2118" t="s">
        <v>3930</v>
      </c>
      <c r="F582" s="1189" t="s">
        <v>233</v>
      </c>
      <c r="G582" s="4073"/>
      <c r="H582" s="3887">
        <v>-70578.210000000006</v>
      </c>
      <c r="I582" s="3887">
        <v>70578.210000000006</v>
      </c>
      <c r="J582" s="4074"/>
      <c r="K582" s="4075"/>
    </row>
    <row r="583" spans="1:13" s="10" customFormat="1" outlineLevel="3">
      <c r="A583" s="1"/>
      <c r="B583" s="4072"/>
      <c r="C583" s="4072"/>
      <c r="D583" s="4072"/>
      <c r="E583" s="2118"/>
      <c r="F583" s="1189"/>
      <c r="G583" s="4073"/>
      <c r="H583" s="3887"/>
      <c r="I583" s="3887"/>
      <c r="J583" s="4074"/>
      <c r="K583" s="4075"/>
    </row>
    <row r="584" spans="1:13" s="10" customFormat="1" outlineLevel="3">
      <c r="A584" s="1">
        <v>418</v>
      </c>
      <c r="B584" s="4072" t="s">
        <v>6543</v>
      </c>
      <c r="C584" s="4072"/>
      <c r="D584" s="4072" t="s">
        <v>6544</v>
      </c>
      <c r="E584" s="2118" t="s">
        <v>233</v>
      </c>
      <c r="F584" s="1189" t="s">
        <v>3205</v>
      </c>
      <c r="G584" s="4073"/>
      <c r="H584" s="3887">
        <v>-8294779</v>
      </c>
      <c r="I584" s="3887">
        <v>8294779</v>
      </c>
      <c r="J584" s="4074"/>
      <c r="K584" s="4075"/>
      <c r="L584" s="4230">
        <v>8294779</v>
      </c>
    </row>
    <row r="585" spans="1:13" s="10" customFormat="1" outlineLevel="3">
      <c r="A585" s="1">
        <v>419</v>
      </c>
      <c r="B585" s="4072" t="s">
        <v>6545</v>
      </c>
      <c r="C585" s="4072"/>
      <c r="D585" s="4072" t="s">
        <v>6623</v>
      </c>
      <c r="E585" s="2118" t="s">
        <v>3930</v>
      </c>
      <c r="F585" s="1189" t="s">
        <v>233</v>
      </c>
      <c r="G585" s="4073"/>
      <c r="H585" s="3887">
        <f>-I585</f>
        <v>-45528.649999999994</v>
      </c>
      <c r="I585" s="3887">
        <v>45528.649999999994</v>
      </c>
      <c r="J585" s="4074">
        <v>46250</v>
      </c>
      <c r="K585" s="4075"/>
    </row>
    <row r="586" spans="1:13" s="10" customFormat="1" ht="25.5" outlineLevel="3">
      <c r="A586" s="1">
        <v>420</v>
      </c>
      <c r="B586" s="4072" t="s">
        <v>6547</v>
      </c>
      <c r="C586" s="4072"/>
      <c r="D586" s="4072" t="s">
        <v>6297</v>
      </c>
      <c r="E586" s="2118" t="s">
        <v>2003</v>
      </c>
      <c r="F586" s="1189" t="s">
        <v>233</v>
      </c>
      <c r="G586" s="4073"/>
      <c r="H586" s="3887">
        <v>-56700</v>
      </c>
      <c r="I586" s="3887">
        <v>56700</v>
      </c>
      <c r="J586" s="4074"/>
      <c r="K586" s="4075"/>
      <c r="M586" s="10" t="s">
        <v>6546</v>
      </c>
    </row>
    <row r="587" spans="1:13" s="10" customFormat="1" ht="25.5" outlineLevel="3">
      <c r="A587" s="1">
        <v>421</v>
      </c>
      <c r="B587" s="4072" t="s">
        <v>6549</v>
      </c>
      <c r="C587" s="4072"/>
      <c r="D587" s="4072" t="s">
        <v>6297</v>
      </c>
      <c r="E587" s="2118" t="s">
        <v>2003</v>
      </c>
      <c r="F587" s="1189" t="s">
        <v>233</v>
      </c>
      <c r="G587" s="4073"/>
      <c r="H587" s="3887">
        <v>-23800</v>
      </c>
      <c r="I587" s="3887">
        <v>23800</v>
      </c>
      <c r="J587" s="4074"/>
      <c r="K587" s="4075"/>
      <c r="L587" s="10">
        <v>251957</v>
      </c>
      <c r="M587" s="10" t="s">
        <v>6548</v>
      </c>
    </row>
    <row r="588" spans="1:13" s="10" customFormat="1" ht="25.5" outlineLevel="3">
      <c r="A588" s="1">
        <v>422</v>
      </c>
      <c r="B588" s="4072" t="s">
        <v>6551</v>
      </c>
      <c r="C588" s="4072"/>
      <c r="D588" s="4072" t="s">
        <v>6297</v>
      </c>
      <c r="E588" s="2118" t="s">
        <v>233</v>
      </c>
      <c r="F588" s="1189" t="s">
        <v>2269</v>
      </c>
      <c r="G588" s="4073"/>
      <c r="H588" s="3887">
        <f>-I588</f>
        <v>-115000</v>
      </c>
      <c r="I588" s="3887">
        <v>115000</v>
      </c>
      <c r="J588" s="4074"/>
      <c r="K588" s="4075"/>
      <c r="L588" s="1214">
        <v>206428.35</v>
      </c>
      <c r="M588" s="4230" t="s">
        <v>6550</v>
      </c>
    </row>
    <row r="589" spans="1:13" s="10" customFormat="1" outlineLevel="3">
      <c r="A589" s="1"/>
      <c r="B589" s="4072"/>
      <c r="C589" s="4072"/>
      <c r="D589" s="4072"/>
      <c r="E589" s="2118"/>
      <c r="F589" s="1189"/>
      <c r="G589" s="4073"/>
      <c r="H589" s="3887"/>
      <c r="I589" s="3887"/>
      <c r="J589" s="4074"/>
      <c r="K589" s="4075"/>
    </row>
    <row r="590" spans="1:13" s="10" customFormat="1" outlineLevel="3">
      <c r="A590" s="1">
        <v>423</v>
      </c>
      <c r="B590" s="4072" t="s">
        <v>6624</v>
      </c>
      <c r="C590" s="4072"/>
      <c r="D590" s="4072" t="s">
        <v>6544</v>
      </c>
      <c r="E590" s="2118" t="s">
        <v>233</v>
      </c>
      <c r="F590" s="1189" t="s">
        <v>3930</v>
      </c>
      <c r="G590" s="4073"/>
      <c r="H590" s="3887">
        <v>-632257.26</v>
      </c>
      <c r="I590" s="3887">
        <v>632257.26</v>
      </c>
      <c r="J590" s="4074"/>
      <c r="K590" s="4075"/>
      <c r="L590" s="10">
        <v>-56700</v>
      </c>
      <c r="M590" s="4230">
        <v>115000</v>
      </c>
    </row>
    <row r="591" spans="1:13" s="10" customFormat="1" outlineLevel="3">
      <c r="A591" s="1">
        <v>424</v>
      </c>
      <c r="B591" s="4072" t="s">
        <v>6625</v>
      </c>
      <c r="C591" s="4072"/>
      <c r="D591" s="4072" t="s">
        <v>6544</v>
      </c>
      <c r="E591" s="1189" t="s">
        <v>3930</v>
      </c>
      <c r="F591" s="2118" t="s">
        <v>233</v>
      </c>
      <c r="G591" s="4073"/>
      <c r="H591" s="3887">
        <v>-12991.5</v>
      </c>
      <c r="I591" s="3887">
        <v>12991.5</v>
      </c>
      <c r="J591" s="4074"/>
      <c r="K591" s="4075"/>
    </row>
    <row r="592" spans="1:13" s="10" customFormat="1" outlineLevel="3">
      <c r="A592" s="1">
        <v>425</v>
      </c>
      <c r="B592" s="4072" t="s">
        <v>6626</v>
      </c>
      <c r="C592" s="4072"/>
      <c r="D592" s="4072" t="s">
        <v>6544</v>
      </c>
      <c r="E592" s="2118" t="s">
        <v>233</v>
      </c>
      <c r="F592" s="1189" t="s">
        <v>2171</v>
      </c>
      <c r="G592" s="4073"/>
      <c r="H592" s="3887">
        <v>-164010</v>
      </c>
      <c r="I592" s="3887">
        <v>164010</v>
      </c>
      <c r="J592" s="4074"/>
      <c r="K592" s="4075"/>
    </row>
    <row r="593" spans="1:18" s="10" customFormat="1" ht="25.5" outlineLevel="3">
      <c r="A593" s="1">
        <v>426</v>
      </c>
      <c r="B593" s="4072" t="s">
        <v>6627</v>
      </c>
      <c r="C593" s="4072"/>
      <c r="D593" s="4072" t="s">
        <v>6628</v>
      </c>
      <c r="E593" s="2118" t="s">
        <v>5211</v>
      </c>
      <c r="F593" s="2118" t="s">
        <v>233</v>
      </c>
      <c r="G593" s="4073"/>
      <c r="H593" s="3887">
        <v>-300368.71999999997</v>
      </c>
      <c r="I593" s="3887">
        <v>300368.71999999997</v>
      </c>
      <c r="J593" s="4074">
        <v>46250</v>
      </c>
      <c r="K593" s="4075"/>
    </row>
    <row r="594" spans="1:18" s="10" customFormat="1" outlineLevel="3">
      <c r="A594" s="1">
        <v>427</v>
      </c>
      <c r="B594" s="4072" t="s">
        <v>6629</v>
      </c>
      <c r="C594" s="4072"/>
      <c r="D594" s="4072" t="s">
        <v>6544</v>
      </c>
      <c r="E594" s="2118" t="s">
        <v>233</v>
      </c>
      <c r="F594" s="1189" t="s">
        <v>2171</v>
      </c>
      <c r="G594" s="4073"/>
      <c r="H594" s="3887">
        <v>-645354.74</v>
      </c>
      <c r="I594" s="3887">
        <v>645354.74</v>
      </c>
      <c r="J594" s="4074"/>
      <c r="K594" s="4075"/>
    </row>
    <row r="595" spans="1:18" s="10" customFormat="1" outlineLevel="3">
      <c r="A595" s="1"/>
      <c r="B595" s="4072"/>
      <c r="C595" s="4072"/>
      <c r="D595" s="4072"/>
      <c r="E595" s="2118"/>
      <c r="F595" s="1189"/>
      <c r="G595" s="4073"/>
      <c r="H595" s="3887"/>
      <c r="I595" s="3887"/>
      <c r="J595" s="4074"/>
      <c r="K595" s="4075"/>
    </row>
    <row r="596" spans="1:18" s="10" customFormat="1" ht="25.5" outlineLevel="3">
      <c r="A596" s="1">
        <v>428</v>
      </c>
      <c r="B596" s="4072" t="s">
        <v>6690</v>
      </c>
      <c r="C596" s="4072"/>
      <c r="D596" s="4072" t="s">
        <v>6691</v>
      </c>
      <c r="E596" s="2118" t="s">
        <v>233</v>
      </c>
      <c r="F596" s="1189" t="s">
        <v>6688</v>
      </c>
      <c r="G596" s="4073"/>
      <c r="H596" s="3887">
        <f>-59637.55</f>
        <v>-59637.55</v>
      </c>
      <c r="I596" s="3887">
        <f>59637.55</f>
        <v>59637.55</v>
      </c>
      <c r="J596" s="4074">
        <v>46289</v>
      </c>
      <c r="K596" s="4075"/>
    </row>
    <row r="597" spans="1:18" s="10" customFormat="1" outlineLevel="3">
      <c r="A597" s="1">
        <v>429</v>
      </c>
      <c r="B597" s="4072" t="s">
        <v>6693</v>
      </c>
      <c r="C597" s="4072"/>
      <c r="D597" s="4072"/>
      <c r="E597" s="2118" t="s">
        <v>233</v>
      </c>
      <c r="F597" s="1189" t="s">
        <v>6694</v>
      </c>
      <c r="G597" s="4073"/>
      <c r="H597" s="3887">
        <f>-I597</f>
        <v>-691955</v>
      </c>
      <c r="I597" s="3887">
        <v>691955</v>
      </c>
      <c r="J597" s="4074"/>
      <c r="K597" s="4075"/>
    </row>
    <row r="598" spans="1:18" s="10" customFormat="1" outlineLevel="3">
      <c r="A598" s="1">
        <v>430</v>
      </c>
      <c r="B598" s="5223" t="s">
        <v>6638</v>
      </c>
      <c r="C598" s="4072"/>
      <c r="D598" s="4072"/>
      <c r="E598" s="2118" t="s">
        <v>233</v>
      </c>
      <c r="F598" s="1189" t="s">
        <v>6695</v>
      </c>
      <c r="G598" s="4073"/>
      <c r="H598" s="3887">
        <f>-'Schedule B'!H168</f>
        <v>-15076.28</v>
      </c>
      <c r="I598" s="3887">
        <f>-H598</f>
        <v>15076.28</v>
      </c>
      <c r="J598" s="4074"/>
      <c r="K598" s="4075"/>
    </row>
    <row r="599" spans="1:18" s="10" customFormat="1" outlineLevel="3">
      <c r="A599" s="1">
        <v>431</v>
      </c>
      <c r="B599" s="4072" t="s">
        <v>6696</v>
      </c>
      <c r="C599" s="4072"/>
      <c r="D599" s="4072"/>
      <c r="E599" s="2118" t="s">
        <v>233</v>
      </c>
      <c r="F599" s="1189" t="s">
        <v>3929</v>
      </c>
      <c r="G599" s="4073"/>
      <c r="H599" s="3887">
        <v>-3685.630000000001</v>
      </c>
      <c r="I599" s="3887">
        <f>-H599</f>
        <v>3685.630000000001</v>
      </c>
      <c r="J599" s="4074"/>
      <c r="K599" s="4075"/>
    </row>
    <row r="600" spans="1:18" s="10" customFormat="1" ht="25.5" outlineLevel="3">
      <c r="A600" s="1">
        <v>432</v>
      </c>
      <c r="B600" s="4072" t="s">
        <v>6704</v>
      </c>
      <c r="C600" s="4072"/>
      <c r="D600" s="4072"/>
      <c r="E600" s="2118" t="s">
        <v>5211</v>
      </c>
      <c r="F600" s="2118" t="s">
        <v>233</v>
      </c>
      <c r="G600" s="4073"/>
      <c r="H600" s="3887">
        <v>-31245.99</v>
      </c>
      <c r="I600" s="3887">
        <f>-H600</f>
        <v>31245.99</v>
      </c>
      <c r="J600" s="4074"/>
      <c r="K600" s="4075"/>
      <c r="M600" s="10" t="s">
        <v>6703</v>
      </c>
      <c r="R600" s="10">
        <v>-31245.99</v>
      </c>
    </row>
    <row r="601" spans="1:18" s="10" customFormat="1" outlineLevel="3">
      <c r="A601" s="1"/>
      <c r="B601" s="4072"/>
      <c r="C601" s="4072"/>
      <c r="D601" s="4072"/>
      <c r="E601" s="2118"/>
      <c r="F601" s="1189"/>
      <c r="G601" s="4073"/>
      <c r="H601" s="3887"/>
      <c r="I601" s="3887"/>
      <c r="J601" s="4074"/>
      <c r="K601" s="4075"/>
    </row>
    <row r="602" spans="1:18" s="10" customFormat="1" outlineLevel="3">
      <c r="A602" s="1"/>
      <c r="B602" s="4072"/>
      <c r="C602" s="4072"/>
      <c r="D602" s="4072"/>
      <c r="E602" s="2118"/>
      <c r="F602" s="1189"/>
      <c r="G602" s="4073"/>
      <c r="H602" s="3887"/>
      <c r="I602" s="3887"/>
      <c r="J602" s="4074"/>
      <c r="K602" s="4075"/>
    </row>
    <row r="603" spans="1:18" s="10" customFormat="1" outlineLevel="3">
      <c r="A603" s="1"/>
      <c r="B603" s="4072"/>
      <c r="C603" s="4072"/>
      <c r="D603" s="4072"/>
      <c r="E603" s="2118"/>
      <c r="F603" s="1189"/>
      <c r="G603" s="4073"/>
      <c r="H603" s="3887"/>
      <c r="I603" s="3887"/>
      <c r="J603" s="4074"/>
      <c r="K603" s="4075"/>
    </row>
    <row r="604" spans="1:18" s="10" customFormat="1" outlineLevel="3">
      <c r="A604" s="1"/>
      <c r="B604" s="4072"/>
      <c r="C604" s="4072"/>
      <c r="D604" s="4072"/>
      <c r="E604" s="2118"/>
      <c r="F604" s="1189"/>
      <c r="G604" s="4073"/>
      <c r="H604" s="3887"/>
      <c r="I604" s="3887"/>
      <c r="J604" s="4074"/>
      <c r="K604" s="4075"/>
    </row>
    <row r="605" spans="1:18" s="10" customFormat="1" outlineLevel="3">
      <c r="A605" s="1"/>
      <c r="B605" s="4072"/>
      <c r="C605" s="4072"/>
      <c r="D605" s="4072"/>
      <c r="E605" s="2118"/>
      <c r="F605" s="1189"/>
      <c r="G605" s="4073"/>
      <c r="H605" s="3887"/>
      <c r="I605" s="3887"/>
      <c r="J605" s="4074"/>
      <c r="K605" s="4075"/>
    </row>
    <row r="606" spans="1:18" s="10" customFormat="1" outlineLevel="3">
      <c r="A606" s="1"/>
      <c r="B606" s="4072"/>
      <c r="C606" s="4072"/>
      <c r="D606" s="4072"/>
      <c r="E606" s="2118"/>
      <c r="F606" s="1189"/>
      <c r="G606" s="4073"/>
      <c r="H606" s="3887"/>
      <c r="I606" s="3887"/>
      <c r="J606" s="4074"/>
      <c r="K606" s="4075"/>
    </row>
    <row r="607" spans="1:18" s="10" customFormat="1" outlineLevel="3">
      <c r="A607" s="1"/>
      <c r="B607" s="4072"/>
      <c r="C607" s="4072"/>
      <c r="D607" s="4072"/>
      <c r="E607" s="2118"/>
      <c r="F607" s="1189"/>
      <c r="G607" s="4073"/>
      <c r="H607" s="3887"/>
      <c r="I607" s="3887"/>
      <c r="J607" s="4074"/>
      <c r="K607" s="4075"/>
    </row>
    <row r="608" spans="1:18" s="10" customFormat="1" outlineLevel="3">
      <c r="A608" s="1"/>
      <c r="B608" s="4072"/>
      <c r="C608" s="4072"/>
      <c r="D608" s="4072"/>
      <c r="E608" s="2118"/>
      <c r="F608" s="1189"/>
      <c r="G608" s="4073"/>
      <c r="H608" s="3887"/>
      <c r="I608" s="3887"/>
      <c r="J608" s="4074"/>
      <c r="K608" s="4075"/>
    </row>
    <row r="609" spans="1:11" s="10" customFormat="1" outlineLevel="3">
      <c r="A609" s="1"/>
      <c r="B609" s="4072"/>
      <c r="C609" s="4072"/>
      <c r="D609" s="4072"/>
      <c r="E609" s="1189"/>
      <c r="F609" s="1189"/>
      <c r="G609" s="4073"/>
      <c r="H609" s="3887"/>
      <c r="I609" s="3887"/>
      <c r="J609" s="4074"/>
      <c r="K609" s="4075"/>
    </row>
    <row r="610" spans="1:11" s="10" customFormat="1" outlineLevel="3">
      <c r="A610" s="1"/>
      <c r="B610" s="4072"/>
      <c r="C610" s="4072"/>
      <c r="D610" s="4072"/>
      <c r="E610" s="2118"/>
      <c r="F610" s="1189"/>
      <c r="G610" s="4073"/>
      <c r="H610" s="3887"/>
      <c r="I610" s="3887"/>
      <c r="J610" s="4074"/>
      <c r="K610" s="4075"/>
    </row>
    <row r="611" spans="1:11" s="10" customFormat="1" outlineLevel="3">
      <c r="A611" s="1"/>
      <c r="B611" s="4072"/>
      <c r="C611" s="4072"/>
      <c r="D611" s="4072"/>
      <c r="E611" s="2118"/>
      <c r="F611" s="1189"/>
      <c r="G611" s="4073"/>
      <c r="H611" s="3887"/>
      <c r="I611" s="3887"/>
      <c r="J611" s="4074"/>
      <c r="K611" s="4075"/>
    </row>
    <row r="612" spans="1:11" s="10" customFormat="1" outlineLevel="3">
      <c r="A612" s="1"/>
      <c r="B612" s="4072"/>
      <c r="C612" s="4072"/>
      <c r="D612" s="4072"/>
      <c r="E612" s="2118"/>
      <c r="F612" s="1189"/>
      <c r="G612" s="4073"/>
      <c r="H612" s="3887"/>
      <c r="I612" s="3887"/>
      <c r="J612" s="4074"/>
      <c r="K612" s="4075"/>
    </row>
    <row r="613" spans="1:11" s="10" customFormat="1" outlineLevel="3">
      <c r="A613" s="1"/>
      <c r="B613" s="4072"/>
      <c r="C613" s="4072"/>
      <c r="D613" s="4072"/>
      <c r="E613" s="2118"/>
      <c r="F613" s="1189"/>
      <c r="G613" s="4073"/>
      <c r="H613" s="3887"/>
      <c r="I613" s="3887"/>
      <c r="J613" s="4074"/>
      <c r="K613" s="4075"/>
    </row>
    <row r="614" spans="1:11" s="10" customFormat="1" outlineLevel="3">
      <c r="A614" s="1"/>
      <c r="B614" s="4072"/>
      <c r="C614" s="4072"/>
      <c r="D614" s="4072"/>
      <c r="E614" s="2118"/>
      <c r="F614" s="1189"/>
      <c r="G614" s="4073"/>
      <c r="H614" s="3887"/>
      <c r="I614" s="3887"/>
      <c r="J614" s="4074"/>
      <c r="K614" s="4075"/>
    </row>
    <row r="615" spans="1:11" s="10" customFormat="1" outlineLevel="3">
      <c r="A615" s="1"/>
      <c r="B615" s="4072"/>
      <c r="C615" s="4072"/>
      <c r="D615" s="4072"/>
      <c r="E615" s="2118"/>
      <c r="F615" s="1189"/>
      <c r="G615" s="4073"/>
      <c r="H615" s="3887"/>
      <c r="I615" s="3887"/>
      <c r="J615" s="4074"/>
      <c r="K615" s="4075"/>
    </row>
    <row r="616" spans="1:11" s="10" customFormat="1" outlineLevel="3">
      <c r="A616" s="1"/>
      <c r="B616" s="4072"/>
      <c r="C616" s="4072"/>
      <c r="D616" s="4072"/>
      <c r="E616" s="2118"/>
      <c r="F616" s="1189"/>
      <c r="G616" s="4073"/>
      <c r="H616" s="3887"/>
      <c r="I616" s="3887"/>
      <c r="J616" s="4074"/>
      <c r="K616" s="4075"/>
    </row>
    <row r="617" spans="1:11" s="10" customFormat="1" outlineLevel="3">
      <c r="A617" s="1"/>
      <c r="B617" s="4072"/>
      <c r="C617" s="4072"/>
      <c r="D617" s="4072"/>
      <c r="E617" s="2118"/>
      <c r="F617" s="1189"/>
      <c r="G617" s="4073"/>
      <c r="H617" s="3887"/>
      <c r="I617" s="3887"/>
      <c r="J617" s="4074"/>
      <c r="K617" s="4075"/>
    </row>
    <row r="618" spans="1:11" s="10" customFormat="1" outlineLevel="3">
      <c r="A618" s="1"/>
      <c r="B618" s="4072"/>
      <c r="C618" s="4072"/>
      <c r="D618" s="4072"/>
      <c r="E618" s="2118"/>
      <c r="F618" s="1189"/>
      <c r="G618" s="4073"/>
      <c r="H618" s="3887"/>
      <c r="I618" s="3887"/>
      <c r="J618" s="4074"/>
      <c r="K618" s="4075"/>
    </row>
    <row r="619" spans="1:11" s="10" customFormat="1" outlineLevel="3">
      <c r="A619" s="1"/>
      <c r="B619" s="4072"/>
      <c r="C619" s="4072"/>
      <c r="D619" s="4072"/>
      <c r="E619" s="2118"/>
      <c r="F619" s="1189"/>
      <c r="G619" s="4073"/>
      <c r="H619" s="3887"/>
      <c r="I619" s="3887"/>
      <c r="J619" s="4074"/>
      <c r="K619" s="4075"/>
    </row>
    <row r="620" spans="1:11" s="10" customFormat="1" outlineLevel="3">
      <c r="A620" s="1"/>
      <c r="B620" s="4072"/>
      <c r="C620" s="4072"/>
      <c r="D620" s="4072"/>
      <c r="E620" s="2118"/>
      <c r="F620" s="1189"/>
      <c r="G620" s="4073"/>
      <c r="H620" s="3887"/>
      <c r="I620" s="3887"/>
      <c r="J620" s="4074"/>
      <c r="K620" s="4075"/>
    </row>
    <row r="621" spans="1:11" s="10" customFormat="1" outlineLevel="3">
      <c r="A621" s="1"/>
      <c r="B621" s="4072"/>
      <c r="C621" s="4072"/>
      <c r="D621" s="4072"/>
      <c r="E621" s="2118"/>
      <c r="F621" s="1189"/>
      <c r="G621" s="4073"/>
      <c r="H621" s="3887"/>
      <c r="I621" s="3887"/>
      <c r="J621" s="4074"/>
      <c r="K621" s="4075"/>
    </row>
    <row r="622" spans="1:11" s="10" customFormat="1" outlineLevel="3">
      <c r="A622" s="1"/>
      <c r="B622" s="4072"/>
      <c r="C622" s="4072"/>
      <c r="D622" s="4072"/>
      <c r="E622" s="2118"/>
      <c r="F622" s="1189"/>
      <c r="G622" s="4073"/>
      <c r="H622" s="3887"/>
      <c r="I622" s="3887"/>
      <c r="J622" s="4074"/>
      <c r="K622" s="4075"/>
    </row>
    <row r="623" spans="1:11" s="10" customFormat="1" outlineLevel="3">
      <c r="A623" s="1"/>
      <c r="B623" s="4072"/>
      <c r="C623" s="4072"/>
      <c r="D623" s="4072"/>
      <c r="E623" s="2118"/>
      <c r="F623" s="1189"/>
      <c r="G623" s="4073"/>
      <c r="H623" s="3887"/>
      <c r="I623" s="3887"/>
      <c r="J623" s="4074"/>
      <c r="K623" s="4075"/>
    </row>
    <row r="624" spans="1:11" s="10" customFormat="1" outlineLevel="3">
      <c r="A624" s="1"/>
      <c r="B624" s="4072"/>
      <c r="C624" s="4072"/>
      <c r="D624" s="4072"/>
      <c r="E624" s="2118"/>
      <c r="F624" s="1189"/>
      <c r="G624" s="4073"/>
      <c r="H624" s="3887"/>
      <c r="I624" s="3887"/>
      <c r="J624" s="4074"/>
      <c r="K624" s="4075"/>
    </row>
    <row r="625" spans="1:11" s="10" customFormat="1" outlineLevel="3">
      <c r="A625" s="1"/>
      <c r="B625" s="4072"/>
      <c r="C625" s="4072"/>
      <c r="D625" s="4072"/>
      <c r="E625" s="2118"/>
      <c r="F625" s="1189"/>
      <c r="G625" s="4073"/>
      <c r="H625" s="3887"/>
      <c r="I625" s="3887"/>
      <c r="J625" s="4074"/>
      <c r="K625" s="4075"/>
    </row>
    <row r="626" spans="1:11" s="10" customFormat="1" outlineLevel="3">
      <c r="A626" s="1"/>
      <c r="B626" s="4072"/>
      <c r="C626" s="4072"/>
      <c r="D626" s="4072"/>
      <c r="E626" s="2118"/>
      <c r="F626" s="1189"/>
      <c r="G626" s="4073"/>
      <c r="H626" s="3887"/>
      <c r="I626" s="3887"/>
      <c r="J626" s="4074"/>
      <c r="K626" s="4075"/>
    </row>
    <row r="627" spans="1:11" s="10" customFormat="1" outlineLevel="3">
      <c r="A627" s="1"/>
      <c r="B627" s="4072"/>
      <c r="C627" s="4072"/>
      <c r="D627" s="4072"/>
      <c r="E627" s="2118"/>
      <c r="F627" s="1189"/>
      <c r="G627" s="4073"/>
      <c r="H627" s="3887"/>
      <c r="I627" s="3887"/>
      <c r="J627" s="4074"/>
      <c r="K627" s="4075"/>
    </row>
    <row r="628" spans="1:11" s="10" customFormat="1" outlineLevel="3">
      <c r="A628" s="1"/>
      <c r="B628" s="4072"/>
      <c r="C628" s="4072"/>
      <c r="D628" s="4072"/>
      <c r="E628" s="2118"/>
      <c r="F628" s="1189"/>
      <c r="G628" s="4073"/>
      <c r="H628" s="3887"/>
      <c r="I628" s="3887"/>
      <c r="J628" s="4074"/>
      <c r="K628" s="4075"/>
    </row>
    <row r="629" spans="1:11" s="10" customFormat="1" outlineLevel="3">
      <c r="A629" s="1"/>
      <c r="B629" s="4072"/>
      <c r="C629" s="4072"/>
      <c r="D629" s="4072"/>
      <c r="E629" s="2118"/>
      <c r="F629" s="1189"/>
      <c r="G629" s="4073"/>
      <c r="H629" s="3887"/>
      <c r="I629" s="3887"/>
      <c r="J629" s="4074"/>
      <c r="K629" s="4075"/>
    </row>
    <row r="630" spans="1:11" s="10" customFormat="1" outlineLevel="3">
      <c r="A630" s="1"/>
      <c r="B630" s="4072"/>
      <c r="C630" s="4072"/>
      <c r="D630" s="4072"/>
      <c r="E630" s="2118"/>
      <c r="F630" s="1189"/>
      <c r="G630" s="4073"/>
      <c r="H630" s="3887"/>
      <c r="I630" s="3887"/>
      <c r="J630" s="4074"/>
      <c r="K630" s="4075"/>
    </row>
    <row r="631" spans="1:11" s="10" customFormat="1" outlineLevel="3">
      <c r="A631" s="1"/>
      <c r="B631" s="4072"/>
      <c r="C631" s="4072"/>
      <c r="D631" s="4072"/>
      <c r="E631" s="2118"/>
      <c r="F631" s="1189"/>
      <c r="G631" s="4073"/>
      <c r="H631" s="3887"/>
      <c r="I631" s="3887"/>
      <c r="J631" s="4074"/>
      <c r="K631" s="4075"/>
    </row>
    <row r="632" spans="1:11" s="10" customFormat="1" outlineLevel="3">
      <c r="A632" s="1"/>
      <c r="B632" s="4072"/>
      <c r="C632" s="4072"/>
      <c r="D632" s="4072"/>
      <c r="E632" s="2118"/>
      <c r="F632" s="1189"/>
      <c r="G632" s="4073"/>
      <c r="H632" s="3887"/>
      <c r="I632" s="3887"/>
      <c r="J632" s="4074"/>
      <c r="K632" s="4075"/>
    </row>
    <row r="633" spans="1:11" s="10" customFormat="1" outlineLevel="3">
      <c r="A633" s="1"/>
      <c r="B633" s="4072"/>
      <c r="C633" s="4072"/>
      <c r="D633" s="4072"/>
      <c r="E633" s="2118"/>
      <c r="F633" s="1189"/>
      <c r="G633" s="4073"/>
      <c r="H633" s="3887"/>
      <c r="I633" s="3887"/>
      <c r="J633" s="4074"/>
      <c r="K633" s="4075"/>
    </row>
    <row r="634" spans="1:11" s="10" customFormat="1" outlineLevel="3">
      <c r="A634" s="1"/>
      <c r="B634" s="4072"/>
      <c r="C634" s="4072"/>
      <c r="D634" s="4072"/>
      <c r="E634" s="2118"/>
      <c r="F634" s="1189"/>
      <c r="G634" s="4073"/>
      <c r="H634" s="3887"/>
      <c r="I634" s="3887"/>
      <c r="J634" s="4074"/>
      <c r="K634" s="4075"/>
    </row>
    <row r="635" spans="1:11" s="10" customFormat="1" outlineLevel="3">
      <c r="A635" s="1"/>
      <c r="B635" s="4072"/>
      <c r="C635" s="4072"/>
      <c r="D635" s="4072"/>
      <c r="E635" s="2118"/>
      <c r="F635" s="1189"/>
      <c r="G635" s="4073"/>
      <c r="H635" s="3887"/>
      <c r="I635" s="3887"/>
      <c r="J635" s="4074"/>
      <c r="K635" s="4075"/>
    </row>
    <row r="636" spans="1:11" s="10" customFormat="1" outlineLevel="3">
      <c r="A636" s="1"/>
      <c r="B636" s="4072"/>
      <c r="C636" s="4072"/>
      <c r="D636" s="4072"/>
      <c r="E636" s="2118"/>
      <c r="F636" s="1189"/>
      <c r="G636" s="4073"/>
      <c r="H636" s="3887"/>
      <c r="I636" s="3887"/>
      <c r="J636" s="4074"/>
      <c r="K636" s="4075"/>
    </row>
    <row r="637" spans="1:11" s="10" customFormat="1" outlineLevel="3">
      <c r="A637" s="1"/>
      <c r="B637" s="4072"/>
      <c r="C637" s="4072"/>
      <c r="D637" s="4072"/>
      <c r="E637" s="2118"/>
      <c r="F637" s="1189"/>
      <c r="G637" s="4073"/>
      <c r="H637" s="3887"/>
      <c r="I637" s="3887"/>
      <c r="J637" s="4074"/>
      <c r="K637" s="4075"/>
    </row>
    <row r="638" spans="1:11" s="10" customFormat="1" outlineLevel="3">
      <c r="A638" s="1"/>
      <c r="B638" s="4072"/>
      <c r="C638" s="4072"/>
      <c r="D638" s="4072"/>
      <c r="E638" s="2118"/>
      <c r="F638" s="1189"/>
      <c r="G638" s="4073"/>
      <c r="H638" s="3887"/>
      <c r="I638" s="3887"/>
      <c r="J638" s="4074"/>
      <c r="K638" s="4075"/>
    </row>
    <row r="639" spans="1:11" s="10" customFormat="1" outlineLevel="3">
      <c r="A639" s="1"/>
      <c r="B639" s="4072"/>
      <c r="C639" s="4072"/>
      <c r="D639" s="4072"/>
      <c r="E639" s="2118"/>
      <c r="F639" s="1189"/>
      <c r="G639" s="4073"/>
      <c r="H639" s="3887"/>
      <c r="I639" s="3887"/>
      <c r="J639" s="4074"/>
      <c r="K639" s="4075"/>
    </row>
    <row r="640" spans="1:11" s="10" customFormat="1" outlineLevel="3">
      <c r="A640" s="1"/>
      <c r="B640" s="4072"/>
      <c r="C640" s="4072"/>
      <c r="D640" s="4072"/>
      <c r="E640" s="2118"/>
      <c r="F640" s="1189"/>
      <c r="G640" s="4073"/>
      <c r="H640" s="3887"/>
      <c r="I640" s="3887"/>
      <c r="J640" s="4074"/>
      <c r="K640" s="4075"/>
    </row>
    <row r="641" spans="1:11" s="10" customFormat="1" outlineLevel="3">
      <c r="A641" s="1"/>
      <c r="B641" s="4072"/>
      <c r="C641" s="4072"/>
      <c r="D641" s="4072"/>
      <c r="E641" s="2118"/>
      <c r="F641" s="1189"/>
      <c r="G641" s="4073"/>
      <c r="H641" s="3887"/>
      <c r="I641" s="3887"/>
      <c r="J641" s="4074"/>
      <c r="K641" s="4075"/>
    </row>
    <row r="642" spans="1:11" s="10" customFormat="1" outlineLevel="3">
      <c r="A642" s="1"/>
      <c r="B642" s="4072"/>
      <c r="C642" s="4072"/>
      <c r="D642" s="4072"/>
      <c r="E642" s="2118"/>
      <c r="F642" s="1189"/>
      <c r="G642" s="4073"/>
      <c r="H642" s="3887"/>
      <c r="I642" s="3887"/>
      <c r="J642" s="4074"/>
      <c r="K642" s="4075"/>
    </row>
    <row r="643" spans="1:11" s="10" customFormat="1" outlineLevel="3">
      <c r="A643" s="1"/>
      <c r="B643" s="4072"/>
      <c r="C643" s="4072"/>
      <c r="D643" s="4072"/>
      <c r="E643" s="2118"/>
      <c r="F643" s="1189"/>
      <c r="G643" s="4073"/>
      <c r="H643" s="3887"/>
      <c r="I643" s="3887"/>
      <c r="J643" s="4074"/>
      <c r="K643" s="4075"/>
    </row>
    <row r="644" spans="1:11" s="10" customFormat="1" outlineLevel="3">
      <c r="A644" s="1"/>
      <c r="B644" s="4072"/>
      <c r="C644" s="4072"/>
      <c r="D644" s="4072"/>
      <c r="E644" s="2118"/>
      <c r="F644" s="1189"/>
      <c r="G644" s="4073"/>
      <c r="H644" s="3887"/>
      <c r="I644" s="3887"/>
      <c r="J644" s="4074"/>
      <c r="K644" s="4075"/>
    </row>
    <row r="645" spans="1:11" s="10" customFormat="1" outlineLevel="3">
      <c r="A645" s="1"/>
      <c r="B645" s="4072"/>
      <c r="C645" s="4072"/>
      <c r="D645" s="4072"/>
      <c r="E645" s="2118"/>
      <c r="F645" s="1189"/>
      <c r="G645" s="4073"/>
      <c r="H645" s="3887"/>
      <c r="I645" s="3887"/>
      <c r="J645" s="4074"/>
      <c r="K645" s="4075"/>
    </row>
    <row r="646" spans="1:11" s="10" customFormat="1" outlineLevel="3">
      <c r="A646" s="1"/>
      <c r="B646" s="4072"/>
      <c r="C646" s="4072"/>
      <c r="D646" s="4072"/>
      <c r="E646" s="2118"/>
      <c r="F646" s="1189"/>
      <c r="G646" s="4073"/>
      <c r="H646" s="3887"/>
      <c r="I646" s="3887"/>
      <c r="J646" s="4074"/>
      <c r="K646" s="4075"/>
    </row>
    <row r="647" spans="1:11" s="10" customFormat="1" outlineLevel="3">
      <c r="A647" s="1"/>
      <c r="B647" s="4072"/>
      <c r="C647" s="4072"/>
      <c r="D647" s="4072"/>
      <c r="E647" s="2118"/>
      <c r="F647" s="1189"/>
      <c r="G647" s="4073"/>
      <c r="H647" s="3887"/>
      <c r="I647" s="3887"/>
      <c r="J647" s="4074"/>
      <c r="K647" s="4075"/>
    </row>
    <row r="648" spans="1:11" s="10" customFormat="1" outlineLevel="3">
      <c r="A648" s="1"/>
      <c r="B648" s="4072"/>
      <c r="C648" s="4072"/>
      <c r="D648" s="4072"/>
      <c r="E648" s="2118"/>
      <c r="F648" s="1189"/>
      <c r="G648" s="4073"/>
      <c r="H648" s="3887"/>
      <c r="I648" s="3887"/>
      <c r="J648" s="4074"/>
      <c r="K648" s="4075"/>
    </row>
    <row r="649" spans="1:11" s="10" customFormat="1" outlineLevel="3">
      <c r="A649" s="1"/>
      <c r="B649" s="4072"/>
      <c r="C649" s="4072"/>
      <c r="D649" s="4072"/>
      <c r="E649" s="2118"/>
      <c r="F649" s="1189"/>
      <c r="G649" s="4073"/>
      <c r="H649" s="3887"/>
      <c r="I649" s="3887"/>
      <c r="J649" s="4074"/>
      <c r="K649" s="4075"/>
    </row>
    <row r="650" spans="1:11" s="10" customFormat="1" outlineLevel="3">
      <c r="A650" s="1"/>
      <c r="B650" s="4072"/>
      <c r="C650" s="4072"/>
      <c r="D650" s="4072"/>
      <c r="E650" s="2118"/>
      <c r="F650" s="1189"/>
      <c r="G650" s="4073"/>
      <c r="H650" s="3887"/>
      <c r="I650" s="3887"/>
      <c r="J650" s="4074"/>
      <c r="K650" s="4075"/>
    </row>
    <row r="651" spans="1:11" s="10" customFormat="1" outlineLevel="3">
      <c r="A651" s="1"/>
      <c r="B651" s="4072"/>
      <c r="C651" s="4072"/>
      <c r="D651" s="4072"/>
      <c r="E651" s="2118"/>
      <c r="F651" s="1189"/>
      <c r="G651" s="4073"/>
      <c r="H651" s="3887"/>
      <c r="I651" s="3887"/>
      <c r="J651" s="4074"/>
      <c r="K651" s="4075"/>
    </row>
    <row r="652" spans="1:11" s="10" customFormat="1" outlineLevel="3">
      <c r="A652" s="1"/>
      <c r="B652" s="4072"/>
      <c r="C652" s="4072"/>
      <c r="D652" s="4072"/>
      <c r="E652" s="2118"/>
      <c r="F652" s="1189"/>
      <c r="G652" s="4073"/>
      <c r="H652" s="3887"/>
      <c r="I652" s="3887"/>
      <c r="J652" s="4074"/>
      <c r="K652" s="4075"/>
    </row>
    <row r="653" spans="1:11" s="10" customFormat="1" outlineLevel="3">
      <c r="A653" s="1"/>
      <c r="B653" s="4072"/>
      <c r="C653" s="4072"/>
      <c r="D653" s="4072"/>
      <c r="E653" s="2118"/>
      <c r="F653" s="1189"/>
      <c r="G653" s="4073"/>
      <c r="H653" s="3887"/>
      <c r="I653" s="3887"/>
      <c r="J653" s="4074"/>
      <c r="K653" s="4075"/>
    </row>
    <row r="654" spans="1:11" s="10" customFormat="1" outlineLevel="3">
      <c r="A654" s="1"/>
      <c r="B654" s="4072"/>
      <c r="C654" s="4072"/>
      <c r="D654" s="4072"/>
      <c r="E654" s="2118"/>
      <c r="F654" s="1189"/>
      <c r="G654" s="4073"/>
      <c r="H654" s="3887"/>
      <c r="I654" s="3887"/>
      <c r="J654" s="4074"/>
      <c r="K654" s="4075"/>
    </row>
    <row r="655" spans="1:11" s="10" customFormat="1" outlineLevel="3">
      <c r="A655" s="1"/>
      <c r="B655" s="4072"/>
      <c r="C655" s="4072"/>
      <c r="D655" s="4072"/>
      <c r="E655" s="2118"/>
      <c r="F655" s="1189"/>
      <c r="G655" s="4073"/>
      <c r="H655" s="3887"/>
      <c r="I655" s="3887"/>
      <c r="J655" s="4074"/>
      <c r="K655" s="4075"/>
    </row>
    <row r="656" spans="1:11" s="10" customFormat="1" outlineLevel="3">
      <c r="A656" s="1"/>
      <c r="B656" s="4072"/>
      <c r="C656" s="4072"/>
      <c r="D656" s="4072"/>
      <c r="E656" s="2118"/>
      <c r="F656" s="1189"/>
      <c r="G656" s="4073"/>
      <c r="H656" s="3887"/>
      <c r="I656" s="3887"/>
      <c r="J656" s="4074"/>
      <c r="K656" s="4075"/>
    </row>
    <row r="657" spans="1:11" s="10" customFormat="1" outlineLevel="3">
      <c r="A657" s="1"/>
      <c r="B657" s="4072"/>
      <c r="C657" s="4072"/>
      <c r="D657" s="4072"/>
      <c r="E657" s="2118"/>
      <c r="F657" s="1189"/>
      <c r="G657" s="4073"/>
      <c r="H657" s="3887"/>
      <c r="I657" s="3887"/>
      <c r="J657" s="4074"/>
      <c r="K657" s="4075"/>
    </row>
    <row r="658" spans="1:11" s="10" customFormat="1" outlineLevel="3">
      <c r="A658" s="1"/>
      <c r="B658" s="4072"/>
      <c r="C658" s="4072"/>
      <c r="D658" s="4072"/>
      <c r="E658" s="2118"/>
      <c r="F658" s="1189"/>
      <c r="G658" s="4073"/>
      <c r="H658" s="3887"/>
      <c r="I658" s="3887"/>
      <c r="J658" s="4074"/>
      <c r="K658" s="4075"/>
    </row>
    <row r="659" spans="1:11" s="10" customFormat="1" outlineLevel="3">
      <c r="A659" s="1"/>
      <c r="B659" s="4072"/>
      <c r="C659" s="4072"/>
      <c r="D659" s="4072"/>
      <c r="E659" s="2118"/>
      <c r="F659" s="1189"/>
      <c r="G659" s="4073"/>
      <c r="H659" s="3887"/>
      <c r="I659" s="3887"/>
      <c r="J659" s="4074"/>
      <c r="K659" s="4075"/>
    </row>
    <row r="660" spans="1:11" s="10" customFormat="1" outlineLevel="3">
      <c r="A660" s="1"/>
      <c r="B660" s="4072"/>
      <c r="C660" s="4072"/>
      <c r="D660" s="4072"/>
      <c r="E660" s="2118"/>
      <c r="F660" s="1189"/>
      <c r="G660" s="4073"/>
      <c r="H660" s="3887"/>
      <c r="I660" s="3887"/>
      <c r="J660" s="4074"/>
      <c r="K660" s="4075"/>
    </row>
    <row r="661" spans="1:11" s="10" customFormat="1" outlineLevel="3">
      <c r="A661" s="1"/>
      <c r="B661" s="4072"/>
      <c r="C661" s="4072"/>
      <c r="D661" s="4072"/>
      <c r="E661" s="2118"/>
      <c r="F661" s="1189"/>
      <c r="G661" s="4073"/>
      <c r="H661" s="3887"/>
      <c r="I661" s="3887"/>
      <c r="J661" s="4074"/>
      <c r="K661" s="4075"/>
    </row>
    <row r="662" spans="1:11" s="10" customFormat="1" outlineLevel="3">
      <c r="A662" s="1"/>
      <c r="B662" s="4072"/>
      <c r="C662" s="4072"/>
      <c r="D662" s="4072"/>
      <c r="E662" s="2118"/>
      <c r="F662" s="1189"/>
      <c r="G662" s="4073"/>
      <c r="H662" s="3887"/>
      <c r="I662" s="3887"/>
      <c r="J662" s="4074"/>
      <c r="K662" s="4075"/>
    </row>
    <row r="663" spans="1:11" s="10" customFormat="1" outlineLevel="3">
      <c r="A663" s="1"/>
      <c r="B663" s="4072"/>
      <c r="C663" s="4072"/>
      <c r="D663" s="4072"/>
      <c r="E663" s="2118"/>
      <c r="F663" s="1189"/>
      <c r="G663" s="4073"/>
      <c r="H663" s="3887"/>
      <c r="I663" s="3887"/>
      <c r="J663" s="4074"/>
      <c r="K663" s="4075"/>
    </row>
    <row r="664" spans="1:11" s="10" customFormat="1" outlineLevel="3">
      <c r="A664" s="1"/>
      <c r="B664" s="4072"/>
      <c r="C664" s="4072"/>
      <c r="D664" s="4072"/>
      <c r="E664" s="2118"/>
      <c r="F664" s="1189"/>
      <c r="G664" s="4073"/>
      <c r="H664" s="3887"/>
      <c r="I664" s="3887"/>
      <c r="J664" s="4074"/>
      <c r="K664" s="4075"/>
    </row>
    <row r="665" spans="1:11" s="10" customFormat="1" outlineLevel="3">
      <c r="A665" s="1"/>
      <c r="B665" s="4072"/>
      <c r="C665" s="4072"/>
      <c r="D665" s="4072"/>
      <c r="E665" s="2118"/>
      <c r="F665" s="1189"/>
      <c r="G665" s="4073"/>
      <c r="H665" s="3887"/>
      <c r="I665" s="3887"/>
      <c r="J665" s="4074"/>
      <c r="K665" s="4075"/>
    </row>
    <row r="666" spans="1:11" s="10" customFormat="1" outlineLevel="3">
      <c r="A666" s="1"/>
      <c r="B666" s="4072"/>
      <c r="C666" s="4072"/>
      <c r="D666" s="4072"/>
      <c r="E666" s="2118"/>
      <c r="F666" s="1189"/>
      <c r="G666" s="4073"/>
      <c r="H666" s="3887"/>
      <c r="I666" s="3887"/>
      <c r="J666" s="4074"/>
      <c r="K666" s="4075"/>
    </row>
    <row r="667" spans="1:11" s="10" customFormat="1" outlineLevel="3">
      <c r="A667" s="1"/>
      <c r="B667" s="4072"/>
      <c r="C667" s="4072"/>
      <c r="D667" s="4072"/>
      <c r="E667" s="2118"/>
      <c r="F667" s="1189"/>
      <c r="G667" s="4073"/>
      <c r="H667" s="3887"/>
      <c r="I667" s="3887"/>
      <c r="J667" s="4074"/>
      <c r="K667" s="4075"/>
    </row>
    <row r="668" spans="1:11" s="10" customFormat="1" outlineLevel="3">
      <c r="A668" s="1"/>
      <c r="B668" s="4072"/>
      <c r="C668" s="4072"/>
      <c r="D668" s="4072"/>
      <c r="E668" s="2118"/>
      <c r="F668" s="1189"/>
      <c r="G668" s="4073"/>
      <c r="H668" s="3887"/>
      <c r="I668" s="3887"/>
      <c r="J668" s="4074"/>
      <c r="K668" s="4075"/>
    </row>
    <row r="669" spans="1:11" s="10" customFormat="1" outlineLevel="3">
      <c r="A669" s="1"/>
      <c r="B669" s="4072"/>
      <c r="C669" s="4072"/>
      <c r="D669" s="4072"/>
      <c r="E669" s="2118"/>
      <c r="F669" s="1189"/>
      <c r="G669" s="4073"/>
      <c r="H669" s="3887"/>
      <c r="I669" s="3887"/>
      <c r="J669" s="4074"/>
      <c r="K669" s="4075"/>
    </row>
    <row r="670" spans="1:11" s="10" customFormat="1" outlineLevel="3">
      <c r="A670" s="1"/>
      <c r="B670" s="4072"/>
      <c r="C670" s="4072"/>
      <c r="D670" s="4072"/>
      <c r="E670" s="2118"/>
      <c r="F670" s="1189"/>
      <c r="G670" s="4073"/>
      <c r="H670" s="3887"/>
      <c r="I670" s="3887"/>
      <c r="J670" s="4074"/>
      <c r="K670" s="4075"/>
    </row>
    <row r="671" spans="1:11" s="10" customFormat="1" outlineLevel="3">
      <c r="A671" s="1"/>
      <c r="B671" s="4072"/>
      <c r="C671" s="4072"/>
      <c r="D671" s="4072"/>
      <c r="E671" s="2118"/>
      <c r="F671" s="1189"/>
      <c r="G671" s="4073"/>
      <c r="H671" s="3887"/>
      <c r="I671" s="3887"/>
      <c r="J671" s="4074"/>
      <c r="K671" s="4075"/>
    </row>
    <row r="672" spans="1:11" s="10" customFormat="1" outlineLevel="3">
      <c r="A672" s="1"/>
      <c r="B672" s="4072"/>
      <c r="C672" s="4072"/>
      <c r="D672" s="4072"/>
      <c r="E672" s="2118"/>
      <c r="F672" s="1189"/>
      <c r="G672" s="4073"/>
      <c r="H672" s="3887"/>
      <c r="I672" s="3887"/>
      <c r="J672" s="4074"/>
      <c r="K672" s="4075"/>
    </row>
    <row r="673" spans="1:11" s="10" customFormat="1" outlineLevel="3">
      <c r="A673" s="1"/>
      <c r="B673" s="4072"/>
      <c r="C673" s="4072"/>
      <c r="D673" s="4072"/>
      <c r="E673" s="2118"/>
      <c r="F673" s="1189"/>
      <c r="G673" s="4073"/>
      <c r="H673" s="3887"/>
      <c r="I673" s="3887"/>
      <c r="J673" s="4074"/>
      <c r="K673" s="4075"/>
    </row>
    <row r="674" spans="1:11" s="10" customFormat="1" outlineLevel="3">
      <c r="A674" s="1"/>
      <c r="B674" s="4072"/>
      <c r="C674" s="4072"/>
      <c r="D674" s="4072"/>
      <c r="E674" s="2118"/>
      <c r="F674" s="1189"/>
      <c r="G674" s="4073"/>
      <c r="H674" s="3887"/>
      <c r="I674" s="3887"/>
      <c r="J674" s="4074"/>
      <c r="K674" s="4075"/>
    </row>
    <row r="675" spans="1:11" s="10" customFormat="1" outlineLevel="3">
      <c r="A675" s="1"/>
      <c r="B675" s="4072"/>
      <c r="C675" s="4072"/>
      <c r="D675" s="4072"/>
      <c r="E675" s="2118"/>
      <c r="F675" s="1189"/>
      <c r="G675" s="4073"/>
      <c r="H675" s="3887"/>
      <c r="I675" s="3887"/>
      <c r="J675" s="4074"/>
      <c r="K675" s="4075"/>
    </row>
    <row r="676" spans="1:11" s="10" customFormat="1" outlineLevel="3">
      <c r="A676" s="1"/>
      <c r="B676" s="4072"/>
      <c r="C676" s="4072"/>
      <c r="D676" s="4072"/>
      <c r="E676" s="2118"/>
      <c r="F676" s="1189"/>
      <c r="G676" s="4073"/>
      <c r="H676" s="3887"/>
      <c r="I676" s="3887"/>
      <c r="J676" s="4074"/>
      <c r="K676" s="4075"/>
    </row>
    <row r="677" spans="1:11" s="10" customFormat="1" outlineLevel="3">
      <c r="A677" s="1"/>
      <c r="B677" s="4072"/>
      <c r="C677" s="4072"/>
      <c r="D677" s="4072"/>
      <c r="E677" s="2118"/>
      <c r="F677" s="1189"/>
      <c r="G677" s="4073"/>
      <c r="H677" s="3887"/>
      <c r="I677" s="3887"/>
      <c r="J677" s="4074"/>
      <c r="K677" s="4075"/>
    </row>
    <row r="678" spans="1:11" s="10" customFormat="1" outlineLevel="3">
      <c r="A678" s="1"/>
      <c r="B678" s="4072"/>
      <c r="C678" s="4072"/>
      <c r="D678" s="4072"/>
      <c r="E678" s="2118"/>
      <c r="F678" s="1189"/>
      <c r="G678" s="4073"/>
      <c r="H678" s="3887"/>
      <c r="I678" s="3887"/>
      <c r="J678" s="4074"/>
      <c r="K678" s="4075"/>
    </row>
    <row r="679" spans="1:11" s="10" customFormat="1" outlineLevel="3">
      <c r="A679" s="1"/>
      <c r="B679" s="4072"/>
      <c r="C679" s="4072"/>
      <c r="D679" s="4072"/>
      <c r="E679" s="2118"/>
      <c r="F679" s="1189"/>
      <c r="G679" s="4073"/>
      <c r="H679" s="3887"/>
      <c r="I679" s="3887"/>
      <c r="J679" s="4074"/>
      <c r="K679" s="4075"/>
    </row>
    <row r="680" spans="1:11" s="10" customFormat="1" outlineLevel="3">
      <c r="A680" s="1"/>
      <c r="B680" s="4072"/>
      <c r="C680" s="4072"/>
      <c r="D680" s="4072"/>
      <c r="E680" s="2118"/>
      <c r="F680" s="1189"/>
      <c r="G680" s="4073"/>
      <c r="H680" s="3887"/>
      <c r="I680" s="3887"/>
      <c r="J680" s="4074"/>
      <c r="K680" s="4075"/>
    </row>
    <row r="681" spans="1:11" s="10" customFormat="1" outlineLevel="3">
      <c r="A681" s="1"/>
      <c r="B681" s="4072"/>
      <c r="C681" s="4072"/>
      <c r="D681" s="4072"/>
      <c r="E681" s="2118"/>
      <c r="F681" s="1189"/>
      <c r="G681" s="4073"/>
      <c r="H681" s="3887"/>
      <c r="I681" s="3887"/>
      <c r="J681" s="4074"/>
      <c r="K681" s="4075"/>
    </row>
    <row r="682" spans="1:11" s="10" customFormat="1" outlineLevel="3">
      <c r="A682" s="1"/>
      <c r="B682" s="4072"/>
      <c r="C682" s="4072"/>
      <c r="D682" s="4072"/>
      <c r="E682" s="2118"/>
      <c r="F682" s="1189"/>
      <c r="G682" s="4073"/>
      <c r="H682" s="3887"/>
      <c r="I682" s="3887"/>
      <c r="J682" s="4074"/>
      <c r="K682" s="4075"/>
    </row>
    <row r="683" spans="1:11" s="10" customFormat="1" outlineLevel="3">
      <c r="A683" s="1"/>
      <c r="B683" s="4072"/>
      <c r="C683" s="4072"/>
      <c r="D683" s="4072"/>
      <c r="E683" s="2118"/>
      <c r="F683" s="1189"/>
      <c r="G683" s="4073"/>
      <c r="H683" s="3887"/>
      <c r="I683" s="3887"/>
      <c r="J683" s="4074"/>
      <c r="K683" s="4075"/>
    </row>
    <row r="684" spans="1:11" s="10" customFormat="1" outlineLevel="3">
      <c r="A684" s="1"/>
      <c r="B684" s="4072"/>
      <c r="C684" s="4072"/>
      <c r="D684" s="4072"/>
      <c r="E684" s="2118"/>
      <c r="F684" s="1189"/>
      <c r="G684" s="4073"/>
      <c r="H684" s="3887"/>
      <c r="I684" s="3887"/>
      <c r="J684" s="4074"/>
      <c r="K684" s="4075"/>
    </row>
    <row r="685" spans="1:11" s="10" customFormat="1" outlineLevel="3">
      <c r="A685" s="1"/>
      <c r="B685" s="4072"/>
      <c r="C685" s="4072"/>
      <c r="D685" s="4072"/>
      <c r="E685" s="2118"/>
      <c r="F685" s="1189"/>
      <c r="G685" s="4073"/>
      <c r="H685" s="3887"/>
      <c r="I685" s="3887"/>
      <c r="J685" s="4074"/>
      <c r="K685" s="4075"/>
    </row>
    <row r="686" spans="1:11" s="10" customFormat="1" outlineLevel="3">
      <c r="A686" s="1"/>
      <c r="B686" s="4072"/>
      <c r="C686" s="4072"/>
      <c r="D686" s="4072"/>
      <c r="E686" s="2118"/>
      <c r="F686" s="1189"/>
      <c r="G686" s="4073"/>
      <c r="H686" s="3887"/>
      <c r="I686" s="3887"/>
      <c r="J686" s="4074"/>
      <c r="K686" s="4075"/>
    </row>
    <row r="687" spans="1:11" s="10" customFormat="1" outlineLevel="3">
      <c r="A687" s="1"/>
      <c r="B687" s="4072"/>
      <c r="C687" s="4072"/>
      <c r="D687" s="4072"/>
      <c r="E687" s="2118"/>
      <c r="F687" s="1189"/>
      <c r="G687" s="4073"/>
      <c r="H687" s="3887"/>
      <c r="I687" s="3887"/>
      <c r="J687" s="4074"/>
      <c r="K687" s="4075"/>
    </row>
    <row r="688" spans="1:11" s="10" customFormat="1" outlineLevel="3">
      <c r="A688" s="1"/>
      <c r="B688" s="4072"/>
      <c r="C688" s="4072"/>
      <c r="D688" s="4072"/>
      <c r="E688" s="2118"/>
      <c r="F688" s="1189"/>
      <c r="G688" s="4073"/>
      <c r="H688" s="3887"/>
      <c r="I688" s="3887"/>
      <c r="J688" s="4074"/>
      <c r="K688" s="4075"/>
    </row>
    <row r="689" spans="1:11" s="10" customFormat="1" outlineLevel="3">
      <c r="A689" s="1"/>
      <c r="B689" s="4072"/>
      <c r="C689" s="4072"/>
      <c r="D689" s="4072"/>
      <c r="E689" s="2118"/>
      <c r="F689" s="1189"/>
      <c r="G689" s="4073"/>
      <c r="H689" s="3887"/>
      <c r="I689" s="3887"/>
      <c r="J689" s="4074"/>
      <c r="K689" s="4075"/>
    </row>
    <row r="690" spans="1:11" s="10" customFormat="1" outlineLevel="3">
      <c r="A690" s="1"/>
      <c r="B690" s="4072"/>
      <c r="C690" s="4072"/>
      <c r="D690" s="4072"/>
      <c r="E690" s="2118"/>
      <c r="F690" s="1189"/>
      <c r="G690" s="4073"/>
      <c r="H690" s="3887"/>
      <c r="I690" s="3887"/>
      <c r="J690" s="4074"/>
      <c r="K690" s="4075"/>
    </row>
    <row r="691" spans="1:11" s="10" customFormat="1" outlineLevel="3">
      <c r="A691" s="1"/>
      <c r="B691" s="4072"/>
      <c r="C691" s="4072"/>
      <c r="D691" s="4072"/>
      <c r="E691" s="2118"/>
      <c r="F691" s="1189"/>
      <c r="G691" s="4073"/>
      <c r="H691" s="3887"/>
      <c r="I691" s="3887"/>
      <c r="J691" s="4074"/>
      <c r="K691" s="4075"/>
    </row>
    <row r="692" spans="1:11" s="10" customFormat="1" outlineLevel="3">
      <c r="A692" s="1"/>
      <c r="B692" s="4072"/>
      <c r="C692" s="4072"/>
      <c r="D692" s="4072"/>
      <c r="E692" s="2118"/>
      <c r="F692" s="1189"/>
      <c r="G692" s="4073"/>
      <c r="H692" s="3887"/>
      <c r="I692" s="3887"/>
      <c r="J692" s="4074"/>
      <c r="K692" s="4075"/>
    </row>
    <row r="693" spans="1:11" s="10" customFormat="1" outlineLevel="3">
      <c r="A693" s="1"/>
      <c r="B693" s="4072"/>
      <c r="C693" s="4072"/>
      <c r="D693" s="4072"/>
      <c r="E693" s="2118"/>
      <c r="F693" s="1189"/>
      <c r="G693" s="4073"/>
      <c r="H693" s="3887"/>
      <c r="I693" s="3887"/>
      <c r="J693" s="4074"/>
      <c r="K693" s="4075"/>
    </row>
    <row r="694" spans="1:11" s="10" customFormat="1" outlineLevel="3">
      <c r="A694" s="1"/>
      <c r="B694" s="4072"/>
      <c r="C694" s="4072"/>
      <c r="D694" s="4072"/>
      <c r="E694" s="2118"/>
      <c r="F694" s="1189"/>
      <c r="G694" s="4073"/>
      <c r="H694" s="3887"/>
      <c r="I694" s="3887"/>
      <c r="J694" s="4074"/>
      <c r="K694" s="4075"/>
    </row>
    <row r="695" spans="1:11" s="10" customFormat="1" outlineLevel="3">
      <c r="A695" s="1"/>
      <c r="B695" s="4072"/>
      <c r="C695" s="4072"/>
      <c r="D695" s="4072"/>
      <c r="E695" s="2118"/>
      <c r="F695" s="1189"/>
      <c r="G695" s="4073"/>
      <c r="H695" s="3887"/>
      <c r="I695" s="3887"/>
      <c r="J695" s="4074"/>
      <c r="K695" s="4075"/>
    </row>
    <row r="696" spans="1:11" s="10" customFormat="1" outlineLevel="3">
      <c r="A696" s="1"/>
      <c r="B696" s="4072"/>
      <c r="C696" s="4072"/>
      <c r="D696" s="4072"/>
      <c r="E696" s="2118"/>
      <c r="F696" s="1189"/>
      <c r="G696" s="4073"/>
      <c r="H696" s="3887"/>
      <c r="I696" s="3887"/>
      <c r="J696" s="4074"/>
      <c r="K696" s="4075"/>
    </row>
    <row r="697" spans="1:11" s="10" customFormat="1" outlineLevel="3">
      <c r="A697" s="1"/>
      <c r="B697" s="4072"/>
      <c r="C697" s="4072"/>
      <c r="D697" s="4072"/>
      <c r="E697" s="2118"/>
      <c r="F697" s="1189"/>
      <c r="G697" s="4073"/>
      <c r="H697" s="3887"/>
      <c r="I697" s="3887"/>
      <c r="J697" s="4074"/>
      <c r="K697" s="4075"/>
    </row>
    <row r="698" spans="1:11" s="10" customFormat="1" outlineLevel="3">
      <c r="A698" s="1"/>
      <c r="B698" s="4072"/>
      <c r="C698" s="4072"/>
      <c r="D698" s="4072"/>
      <c r="E698" s="2118"/>
      <c r="F698" s="1189"/>
      <c r="G698" s="4073"/>
      <c r="H698" s="3887"/>
      <c r="I698" s="3887"/>
      <c r="J698" s="4074"/>
      <c r="K698" s="4075"/>
    </row>
    <row r="699" spans="1:11" s="10" customFormat="1" outlineLevel="3">
      <c r="A699" s="1"/>
      <c r="B699" s="4072"/>
      <c r="C699" s="4072"/>
      <c r="D699" s="4072"/>
      <c r="E699" s="2118"/>
      <c r="F699" s="1189"/>
      <c r="G699" s="4073"/>
      <c r="H699" s="3887"/>
      <c r="I699" s="3887"/>
      <c r="J699" s="4074"/>
      <c r="K699" s="4075"/>
    </row>
    <row r="700" spans="1:11" s="10" customFormat="1" outlineLevel="3">
      <c r="A700" s="1"/>
      <c r="B700" s="4072"/>
      <c r="C700" s="4072"/>
      <c r="D700" s="4072"/>
      <c r="E700" s="2118"/>
      <c r="F700" s="1189"/>
      <c r="G700" s="4073"/>
      <c r="H700" s="3887"/>
      <c r="I700" s="3887"/>
      <c r="J700" s="4074"/>
      <c r="K700" s="4075"/>
    </row>
    <row r="701" spans="1:11" s="10" customFormat="1" outlineLevel="3">
      <c r="A701" s="1"/>
      <c r="B701" s="4072"/>
      <c r="C701" s="4072"/>
      <c r="D701" s="4072"/>
      <c r="E701" s="2118"/>
      <c r="F701" s="1189"/>
      <c r="G701" s="4073"/>
      <c r="H701" s="3887"/>
      <c r="I701" s="3887"/>
      <c r="J701" s="4074"/>
      <c r="K701" s="4075"/>
    </row>
    <row r="702" spans="1:11" s="10" customFormat="1" outlineLevel="3">
      <c r="A702" s="1"/>
      <c r="B702" s="4072"/>
      <c r="C702" s="4072"/>
      <c r="D702" s="4072"/>
      <c r="E702" s="2118"/>
      <c r="F702" s="1189"/>
      <c r="G702" s="4073"/>
      <c r="H702" s="3887"/>
      <c r="I702" s="3887"/>
      <c r="J702" s="4074"/>
      <c r="K702" s="4075"/>
    </row>
    <row r="703" spans="1:11" s="10" customFormat="1" outlineLevel="3">
      <c r="A703" s="1"/>
      <c r="B703" s="4072"/>
      <c r="C703" s="4072"/>
      <c r="D703" s="4072"/>
      <c r="E703" s="2118"/>
      <c r="F703" s="1189"/>
      <c r="G703" s="4073"/>
      <c r="H703" s="3887"/>
      <c r="I703" s="3887"/>
      <c r="J703" s="4074"/>
      <c r="K703" s="4075"/>
    </row>
    <row r="704" spans="1:11" s="10" customFormat="1" outlineLevel="3">
      <c r="A704" s="1"/>
      <c r="B704" s="4072"/>
      <c r="C704" s="4072"/>
      <c r="D704" s="4072"/>
      <c r="E704" s="2118"/>
      <c r="F704" s="1189"/>
      <c r="G704" s="4073"/>
      <c r="H704" s="3887"/>
      <c r="I704" s="3887"/>
      <c r="J704" s="4074"/>
      <c r="K704" s="4075"/>
    </row>
    <row r="705" spans="1:11" s="10" customFormat="1" outlineLevel="3">
      <c r="A705" s="1"/>
      <c r="B705" s="4072"/>
      <c r="C705" s="4072"/>
      <c r="D705" s="4072"/>
      <c r="E705" s="2118"/>
      <c r="F705" s="1189"/>
      <c r="G705" s="4073"/>
      <c r="H705" s="3887"/>
      <c r="I705" s="3887"/>
      <c r="J705" s="4074"/>
      <c r="K705" s="4075"/>
    </row>
    <row r="706" spans="1:11" s="10" customFormat="1" outlineLevel="3">
      <c r="A706" s="1"/>
      <c r="B706" s="4072"/>
      <c r="C706" s="4072"/>
      <c r="D706" s="4072"/>
      <c r="E706" s="2118"/>
      <c r="F706" s="1189"/>
      <c r="G706" s="4073"/>
      <c r="H706" s="3887"/>
      <c r="I706" s="3887"/>
      <c r="J706" s="4074"/>
      <c r="K706" s="4075"/>
    </row>
    <row r="707" spans="1:11" s="10" customFormat="1" outlineLevel="3">
      <c r="A707" s="1"/>
      <c r="B707" s="4072"/>
      <c r="C707" s="4072"/>
      <c r="D707" s="4072"/>
      <c r="E707" s="2118"/>
      <c r="F707" s="1189"/>
      <c r="G707" s="4073"/>
      <c r="H707" s="3887"/>
      <c r="I707" s="3887"/>
      <c r="J707" s="4074"/>
      <c r="K707" s="4075"/>
    </row>
    <row r="708" spans="1:11" s="10" customFormat="1" outlineLevel="3">
      <c r="A708" s="1"/>
      <c r="B708" s="4072"/>
      <c r="C708" s="4072"/>
      <c r="D708" s="4072"/>
      <c r="E708" s="2118"/>
      <c r="F708" s="1189"/>
      <c r="G708" s="4073"/>
      <c r="H708" s="3887"/>
      <c r="I708" s="3887"/>
      <c r="J708" s="4074"/>
      <c r="K708" s="4075"/>
    </row>
    <row r="709" spans="1:11" s="10" customFormat="1" outlineLevel="3">
      <c r="A709" s="1"/>
      <c r="B709" s="4072"/>
      <c r="C709" s="4072"/>
      <c r="D709" s="4072"/>
      <c r="E709" s="2118"/>
      <c r="F709" s="1189"/>
      <c r="G709" s="4073"/>
      <c r="H709" s="3887"/>
      <c r="I709" s="3887"/>
      <c r="J709" s="4074"/>
      <c r="K709" s="4075"/>
    </row>
    <row r="710" spans="1:11" s="10" customFormat="1" outlineLevel="3">
      <c r="A710" s="1"/>
      <c r="B710" s="4072"/>
      <c r="C710" s="4072"/>
      <c r="D710" s="4072"/>
      <c r="E710" s="2118"/>
      <c r="F710" s="1189"/>
      <c r="G710" s="4073"/>
      <c r="H710" s="3887"/>
      <c r="I710" s="3887"/>
      <c r="J710" s="4074"/>
      <c r="K710" s="4075"/>
    </row>
    <row r="711" spans="1:11" s="10" customFormat="1" outlineLevel="3">
      <c r="A711" s="1"/>
      <c r="B711" s="4072"/>
      <c r="C711" s="4072"/>
      <c r="D711" s="4072"/>
      <c r="E711" s="2118"/>
      <c r="F711" s="1189"/>
      <c r="G711" s="4073"/>
      <c r="H711" s="3887"/>
      <c r="I711" s="3887"/>
      <c r="J711" s="4074"/>
      <c r="K711" s="4075"/>
    </row>
    <row r="712" spans="1:11" s="10" customFormat="1" outlineLevel="3">
      <c r="A712" s="1"/>
      <c r="B712" s="4072"/>
      <c r="C712" s="4072"/>
      <c r="D712" s="4072"/>
      <c r="E712" s="2118"/>
      <c r="F712" s="1189"/>
      <c r="G712" s="4073"/>
      <c r="H712" s="3887"/>
      <c r="I712" s="3887"/>
      <c r="J712" s="4074"/>
      <c r="K712" s="4075"/>
    </row>
    <row r="713" spans="1:11" s="10" customFormat="1" outlineLevel="3">
      <c r="A713" s="1"/>
      <c r="B713" s="4072"/>
      <c r="C713" s="4072"/>
      <c r="D713" s="4072"/>
      <c r="E713" s="2118"/>
      <c r="F713" s="1189"/>
      <c r="G713" s="4073"/>
      <c r="H713" s="3887"/>
      <c r="I713" s="3887"/>
      <c r="J713" s="4074"/>
      <c r="K713" s="4075"/>
    </row>
    <row r="714" spans="1:11" s="10" customFormat="1" outlineLevel="3">
      <c r="A714" s="1"/>
      <c r="B714" s="4072"/>
      <c r="C714" s="4072"/>
      <c r="D714" s="4072"/>
      <c r="E714" s="2118"/>
      <c r="F714" s="1189"/>
      <c r="G714" s="4073"/>
      <c r="H714" s="3887"/>
      <c r="I714" s="3887"/>
      <c r="J714" s="4074"/>
      <c r="K714" s="4075"/>
    </row>
    <row r="715" spans="1:11" s="10" customFormat="1" outlineLevel="3">
      <c r="A715" s="1"/>
      <c r="B715" s="4072"/>
      <c r="C715" s="4072"/>
      <c r="D715" s="4072"/>
      <c r="E715" s="2118"/>
      <c r="F715" s="1189"/>
      <c r="G715" s="4073"/>
      <c r="H715" s="3887"/>
      <c r="I715" s="3887"/>
      <c r="J715" s="4074"/>
      <c r="K715" s="4075"/>
    </row>
    <row r="716" spans="1:11" s="10" customFormat="1" outlineLevel="3">
      <c r="A716" s="1"/>
      <c r="B716" s="4072"/>
      <c r="C716" s="4072"/>
      <c r="D716" s="4072"/>
      <c r="E716" s="2118"/>
      <c r="F716" s="1189"/>
      <c r="G716" s="4073"/>
      <c r="H716" s="3887"/>
      <c r="I716" s="3887"/>
      <c r="J716" s="4074"/>
      <c r="K716" s="4075"/>
    </row>
    <row r="717" spans="1:11" s="10" customFormat="1" outlineLevel="3">
      <c r="A717" s="1"/>
      <c r="B717" s="4072"/>
      <c r="C717" s="4072"/>
      <c r="D717" s="4072"/>
      <c r="E717" s="2118"/>
      <c r="F717" s="1189"/>
      <c r="G717" s="4073"/>
      <c r="H717" s="3887"/>
      <c r="I717" s="3887"/>
      <c r="J717" s="4074"/>
      <c r="K717" s="4075"/>
    </row>
    <row r="718" spans="1:11" s="10" customFormat="1" outlineLevel="3">
      <c r="A718" s="1"/>
      <c r="B718" s="4072"/>
      <c r="C718" s="4072"/>
      <c r="D718" s="4072"/>
      <c r="E718" s="2118"/>
      <c r="F718" s="1189"/>
      <c r="G718" s="4073"/>
      <c r="H718" s="3887"/>
      <c r="I718" s="3887"/>
      <c r="J718" s="4074"/>
      <c r="K718" s="4075"/>
    </row>
    <row r="719" spans="1:11" s="10" customFormat="1" outlineLevel="3">
      <c r="A719" s="1"/>
      <c r="B719" s="4072"/>
      <c r="C719" s="4072"/>
      <c r="D719" s="4072"/>
      <c r="E719" s="2118"/>
      <c r="F719" s="1189"/>
      <c r="G719" s="4073"/>
      <c r="H719" s="3887"/>
      <c r="I719" s="3887"/>
      <c r="J719" s="4074"/>
      <c r="K719" s="4075"/>
    </row>
    <row r="720" spans="1:11" s="10" customFormat="1" outlineLevel="3">
      <c r="A720" s="1"/>
      <c r="B720" s="4072"/>
      <c r="C720" s="4072"/>
      <c r="D720" s="4072"/>
      <c r="E720" s="2118"/>
      <c r="F720" s="1189"/>
      <c r="G720" s="4073"/>
      <c r="H720" s="3887"/>
      <c r="I720" s="3887"/>
      <c r="J720" s="4074"/>
      <c r="K720" s="4075"/>
    </row>
    <row r="721" spans="1:11" s="10" customFormat="1" outlineLevel="3">
      <c r="A721" s="1"/>
      <c r="B721" s="4072"/>
      <c r="C721" s="4072"/>
      <c r="D721" s="4072"/>
      <c r="E721" s="2118"/>
      <c r="F721" s="1189"/>
      <c r="G721" s="4073"/>
      <c r="H721" s="3887"/>
      <c r="I721" s="3887"/>
      <c r="J721" s="4074"/>
      <c r="K721" s="4075"/>
    </row>
    <row r="722" spans="1:11" s="10" customFormat="1" outlineLevel="3">
      <c r="A722" s="1"/>
      <c r="B722" s="4072"/>
      <c r="C722" s="4072"/>
      <c r="D722" s="4072"/>
      <c r="E722" s="2118"/>
      <c r="F722" s="1189"/>
      <c r="G722" s="4073"/>
      <c r="H722" s="3887"/>
      <c r="I722" s="3887"/>
      <c r="J722" s="4074"/>
      <c r="K722" s="4075"/>
    </row>
    <row r="723" spans="1:11" s="10" customFormat="1" outlineLevel="3">
      <c r="A723" s="1"/>
      <c r="B723" s="4072"/>
      <c r="C723" s="4072"/>
      <c r="D723" s="4072"/>
      <c r="E723" s="2118"/>
      <c r="F723" s="1189"/>
      <c r="G723" s="4073"/>
      <c r="H723" s="3887"/>
      <c r="I723" s="3887"/>
      <c r="J723" s="4074"/>
      <c r="K723" s="4075"/>
    </row>
    <row r="724" spans="1:11" s="10" customFormat="1" outlineLevel="3">
      <c r="A724" s="1"/>
      <c r="B724" s="4072"/>
      <c r="C724" s="4072"/>
      <c r="D724" s="4072"/>
      <c r="E724" s="2118"/>
      <c r="F724" s="1189"/>
      <c r="G724" s="4073"/>
      <c r="H724" s="3887"/>
      <c r="I724" s="3887"/>
      <c r="J724" s="4074"/>
      <c r="K724" s="4075"/>
    </row>
    <row r="725" spans="1:11" s="10" customFormat="1" outlineLevel="3">
      <c r="A725" s="1"/>
      <c r="B725" s="4072"/>
      <c r="C725" s="4072"/>
      <c r="D725" s="4072"/>
      <c r="E725" s="2118"/>
      <c r="F725" s="1189"/>
      <c r="G725" s="4073"/>
      <c r="H725" s="3887"/>
      <c r="I725" s="3887"/>
      <c r="J725" s="4074"/>
      <c r="K725" s="4075"/>
    </row>
    <row r="726" spans="1:11" s="10" customFormat="1" outlineLevel="3">
      <c r="A726" s="1"/>
      <c r="B726" s="4072"/>
      <c r="C726" s="4072"/>
      <c r="D726" s="4072"/>
      <c r="E726" s="2118"/>
      <c r="F726" s="1189"/>
      <c r="G726" s="4073"/>
      <c r="H726" s="3887"/>
      <c r="I726" s="3887"/>
      <c r="J726" s="4074"/>
      <c r="K726" s="4075"/>
    </row>
    <row r="727" spans="1:11" s="10" customFormat="1" outlineLevel="3">
      <c r="A727" s="1"/>
      <c r="B727" s="4072"/>
      <c r="C727" s="4072"/>
      <c r="D727" s="4072"/>
      <c r="E727" s="2118"/>
      <c r="F727" s="1189"/>
      <c r="G727" s="4073"/>
      <c r="H727" s="3887"/>
      <c r="I727" s="3887"/>
      <c r="J727" s="4074"/>
      <c r="K727" s="4075"/>
    </row>
    <row r="728" spans="1:11" s="10" customFormat="1" outlineLevel="3">
      <c r="A728" s="1"/>
      <c r="B728" s="4072"/>
      <c r="C728" s="4072"/>
      <c r="D728" s="4072"/>
      <c r="E728" s="2118"/>
      <c r="F728" s="1189"/>
      <c r="G728" s="4073"/>
      <c r="H728" s="3887"/>
      <c r="I728" s="3887"/>
      <c r="J728" s="4074"/>
      <c r="K728" s="4075"/>
    </row>
    <row r="729" spans="1:11" s="10" customFormat="1" outlineLevel="3">
      <c r="A729" s="1"/>
      <c r="B729" s="4072"/>
      <c r="C729" s="4072"/>
      <c r="D729" s="4072"/>
      <c r="E729" s="2118"/>
      <c r="F729" s="1189"/>
      <c r="G729" s="4073"/>
      <c r="H729" s="3887"/>
      <c r="I729" s="3887"/>
      <c r="J729" s="4074"/>
      <c r="K729" s="4075"/>
    </row>
    <row r="730" spans="1:11" s="10" customFormat="1" outlineLevel="3">
      <c r="A730" s="1"/>
      <c r="B730" s="4072"/>
      <c r="C730" s="4072"/>
      <c r="D730" s="4072"/>
      <c r="E730" s="2118"/>
      <c r="F730" s="1189"/>
      <c r="G730" s="4073"/>
      <c r="H730" s="3887"/>
      <c r="I730" s="3887"/>
      <c r="J730" s="4074"/>
      <c r="K730" s="4075"/>
    </row>
    <row r="731" spans="1:11" s="10" customFormat="1" outlineLevel="3">
      <c r="A731" s="1"/>
      <c r="B731" s="4072"/>
      <c r="C731" s="4072"/>
      <c r="D731" s="4072"/>
      <c r="E731" s="2118"/>
      <c r="F731" s="1189"/>
      <c r="G731" s="4073"/>
      <c r="H731" s="3887"/>
      <c r="I731" s="3887"/>
      <c r="J731" s="4074"/>
      <c r="K731" s="4075"/>
    </row>
    <row r="732" spans="1:11" s="10" customFormat="1" outlineLevel="3">
      <c r="A732" s="1"/>
      <c r="B732" s="4072"/>
      <c r="C732" s="4072"/>
      <c r="D732" s="4072"/>
      <c r="E732" s="2118"/>
      <c r="F732" s="1189"/>
      <c r="G732" s="4073"/>
      <c r="H732" s="3887"/>
      <c r="I732" s="3887"/>
      <c r="J732" s="4074"/>
      <c r="K732" s="4075"/>
    </row>
    <row r="733" spans="1:11" s="10" customFormat="1" outlineLevel="3">
      <c r="A733" s="1"/>
      <c r="B733" s="4072"/>
      <c r="C733" s="4072"/>
      <c r="D733" s="4072"/>
      <c r="E733" s="2118"/>
      <c r="F733" s="1189"/>
      <c r="G733" s="4073"/>
      <c r="H733" s="3887"/>
      <c r="I733" s="3887"/>
      <c r="J733" s="4074"/>
      <c r="K733" s="4075"/>
    </row>
    <row r="734" spans="1:11" s="10" customFormat="1" outlineLevel="3">
      <c r="A734" s="1"/>
      <c r="B734" s="4072"/>
      <c r="C734" s="4072"/>
      <c r="D734" s="4072"/>
      <c r="E734" s="2118"/>
      <c r="F734" s="1189"/>
      <c r="G734" s="4073"/>
      <c r="H734" s="3887"/>
      <c r="I734" s="3887"/>
      <c r="J734" s="4074"/>
      <c r="K734" s="4075"/>
    </row>
    <row r="735" spans="1:11" s="10" customFormat="1" outlineLevel="3">
      <c r="A735" s="1"/>
      <c r="B735" s="4072"/>
      <c r="C735" s="4072"/>
      <c r="D735" s="4072"/>
      <c r="E735" s="2118"/>
      <c r="F735" s="1189"/>
      <c r="G735" s="4073"/>
      <c r="H735" s="3887"/>
      <c r="I735" s="3887"/>
      <c r="J735" s="4074"/>
      <c r="K735" s="4075"/>
    </row>
    <row r="736" spans="1:11" s="10" customFormat="1" outlineLevel="3">
      <c r="A736" s="1"/>
      <c r="B736" s="4072"/>
      <c r="C736" s="4072"/>
      <c r="D736" s="4072"/>
      <c r="E736" s="2118"/>
      <c r="F736" s="1189"/>
      <c r="G736" s="4073"/>
      <c r="H736" s="3887"/>
      <c r="I736" s="3887"/>
      <c r="J736" s="4074"/>
      <c r="K736" s="4075"/>
    </row>
    <row r="737" spans="1:11" s="10" customFormat="1" outlineLevel="3">
      <c r="A737" s="1"/>
      <c r="B737" s="4072"/>
      <c r="C737" s="4072"/>
      <c r="D737" s="4072"/>
      <c r="E737" s="2118"/>
      <c r="F737" s="1189"/>
      <c r="G737" s="4073"/>
      <c r="H737" s="3887"/>
      <c r="I737" s="3887"/>
      <c r="J737" s="4074"/>
      <c r="K737" s="4075"/>
    </row>
    <row r="738" spans="1:11" s="10" customFormat="1" outlineLevel="3">
      <c r="A738" s="1"/>
      <c r="B738" s="4072"/>
      <c r="C738" s="4072"/>
      <c r="D738" s="4072"/>
      <c r="E738" s="2118"/>
      <c r="F738" s="1189"/>
      <c r="G738" s="4073"/>
      <c r="H738" s="3887"/>
      <c r="I738" s="3887"/>
      <c r="J738" s="4074"/>
      <c r="K738" s="4075"/>
    </row>
    <row r="739" spans="1:11" s="10" customFormat="1" outlineLevel="3">
      <c r="A739" s="1"/>
      <c r="B739" s="4072"/>
      <c r="C739" s="4072"/>
      <c r="D739" s="4072"/>
      <c r="E739" s="2118"/>
      <c r="F739" s="1189"/>
      <c r="G739" s="4073"/>
      <c r="H739" s="3887"/>
      <c r="I739" s="3887"/>
      <c r="J739" s="4074"/>
      <c r="K739" s="4075"/>
    </row>
    <row r="740" spans="1:11" s="10" customFormat="1" outlineLevel="3">
      <c r="A740" s="1"/>
      <c r="B740" s="4072"/>
      <c r="C740" s="4072"/>
      <c r="D740" s="4072"/>
      <c r="E740" s="2118"/>
      <c r="F740" s="1189"/>
      <c r="G740" s="4073"/>
      <c r="H740" s="3887"/>
      <c r="I740" s="3887"/>
      <c r="J740" s="4074"/>
      <c r="K740" s="4075"/>
    </row>
    <row r="741" spans="1:11" s="10" customFormat="1" outlineLevel="3">
      <c r="A741" s="1"/>
      <c r="B741" s="4072"/>
      <c r="C741" s="4072"/>
      <c r="D741" s="4072"/>
      <c r="E741" s="2118"/>
      <c r="F741" s="1189"/>
      <c r="G741" s="4073"/>
      <c r="H741" s="3887"/>
      <c r="I741" s="3887"/>
      <c r="J741" s="4074"/>
      <c r="K741" s="4075"/>
    </row>
    <row r="742" spans="1:11" s="10" customFormat="1" outlineLevel="3">
      <c r="A742" s="1"/>
      <c r="B742" s="4072"/>
      <c r="C742" s="4072"/>
      <c r="D742" s="4072"/>
      <c r="E742" s="2118"/>
      <c r="F742" s="1189"/>
      <c r="G742" s="4073"/>
      <c r="H742" s="3887"/>
      <c r="I742" s="3887"/>
      <c r="J742" s="4074"/>
      <c r="K742" s="4075"/>
    </row>
    <row r="743" spans="1:11" s="10" customFormat="1" outlineLevel="3">
      <c r="A743" s="1"/>
      <c r="B743" s="4072"/>
      <c r="C743" s="4072"/>
      <c r="D743" s="4072"/>
      <c r="E743" s="2118"/>
      <c r="F743" s="1189"/>
      <c r="G743" s="4073"/>
      <c r="H743" s="3887"/>
      <c r="I743" s="3887"/>
      <c r="J743" s="4074"/>
      <c r="K743" s="4075"/>
    </row>
    <row r="744" spans="1:11" s="10" customFormat="1" outlineLevel="3">
      <c r="A744" s="1"/>
      <c r="B744" s="4072"/>
      <c r="C744" s="4072"/>
      <c r="D744" s="4072"/>
      <c r="E744" s="2118"/>
      <c r="F744" s="1189"/>
      <c r="G744" s="4073"/>
      <c r="H744" s="3887"/>
      <c r="I744" s="3887"/>
      <c r="J744" s="4074"/>
      <c r="K744" s="4075"/>
    </row>
    <row r="745" spans="1:11" s="10" customFormat="1" outlineLevel="3">
      <c r="A745" s="1"/>
      <c r="B745" s="4072"/>
      <c r="C745" s="4072"/>
      <c r="D745" s="4072"/>
      <c r="E745" s="2118"/>
      <c r="F745" s="1189"/>
      <c r="G745" s="4073"/>
      <c r="H745" s="3887"/>
      <c r="I745" s="3887"/>
      <c r="J745" s="4074"/>
      <c r="K745" s="4075"/>
    </row>
    <row r="746" spans="1:11" s="10" customFormat="1" outlineLevel="3">
      <c r="A746" s="1"/>
      <c r="B746" s="4072"/>
      <c r="C746" s="4072"/>
      <c r="D746" s="4072"/>
      <c r="E746" s="2118"/>
      <c r="F746" s="1189"/>
      <c r="G746" s="4073"/>
      <c r="H746" s="3887"/>
      <c r="I746" s="3887"/>
      <c r="J746" s="4074"/>
      <c r="K746" s="4075"/>
    </row>
    <row r="747" spans="1:11" s="10" customFormat="1" outlineLevel="3">
      <c r="A747" s="1"/>
      <c r="B747" s="4072"/>
      <c r="C747" s="4072"/>
      <c r="D747" s="4072"/>
      <c r="E747" s="2118"/>
      <c r="F747" s="1189"/>
      <c r="G747" s="4073"/>
      <c r="H747" s="3887"/>
      <c r="I747" s="3887"/>
      <c r="J747" s="4074"/>
      <c r="K747" s="4075"/>
    </row>
    <row r="748" spans="1:11" s="10" customFormat="1" outlineLevel="3">
      <c r="A748" s="1"/>
      <c r="B748" s="4072"/>
      <c r="C748" s="4072"/>
      <c r="D748" s="4072"/>
      <c r="E748" s="2118"/>
      <c r="F748" s="1189"/>
      <c r="G748" s="4073"/>
      <c r="H748" s="3887"/>
      <c r="I748" s="3887"/>
      <c r="J748" s="4074"/>
      <c r="K748" s="4075"/>
    </row>
    <row r="749" spans="1:11" s="10" customFormat="1" outlineLevel="3">
      <c r="A749" s="1"/>
      <c r="B749" s="4072"/>
      <c r="C749" s="4072"/>
      <c r="D749" s="4072"/>
      <c r="E749" s="2118"/>
      <c r="F749" s="1189"/>
      <c r="G749" s="4073"/>
      <c r="H749" s="3887"/>
      <c r="I749" s="3887"/>
      <c r="J749" s="4074"/>
      <c r="K749" s="4075"/>
    </row>
    <row r="750" spans="1:11" s="10" customFormat="1" outlineLevel="3">
      <c r="A750" s="1"/>
      <c r="B750" s="4072"/>
      <c r="C750" s="4072"/>
      <c r="D750" s="4072"/>
      <c r="E750" s="2118"/>
      <c r="F750" s="1189"/>
      <c r="G750" s="4073"/>
      <c r="H750" s="3887"/>
      <c r="I750" s="3887"/>
      <c r="J750" s="4074"/>
      <c r="K750" s="4075"/>
    </row>
    <row r="751" spans="1:11" s="10" customFormat="1" outlineLevel="3">
      <c r="A751" s="1"/>
      <c r="B751" s="4072"/>
      <c r="C751" s="4072"/>
      <c r="D751" s="4072"/>
      <c r="E751" s="2118"/>
      <c r="F751" s="1189"/>
      <c r="G751" s="4073"/>
      <c r="H751" s="3887"/>
      <c r="I751" s="3887"/>
      <c r="J751" s="4074"/>
      <c r="K751" s="4075"/>
    </row>
    <row r="752" spans="1:11" s="10" customFormat="1" outlineLevel="3">
      <c r="A752" s="1"/>
      <c r="B752" s="4072"/>
      <c r="C752" s="4072"/>
      <c r="D752" s="4072"/>
      <c r="E752" s="2118"/>
      <c r="F752" s="1189"/>
      <c r="G752" s="4073"/>
      <c r="H752" s="3887"/>
      <c r="I752" s="3887"/>
      <c r="J752" s="4074"/>
      <c r="K752" s="4075"/>
    </row>
    <row r="753" spans="1:11" s="10" customFormat="1" outlineLevel="3">
      <c r="A753" s="1"/>
      <c r="B753" s="4072"/>
      <c r="C753" s="4072"/>
      <c r="D753" s="4072"/>
      <c r="E753" s="2118"/>
      <c r="F753" s="1189"/>
      <c r="G753" s="4073"/>
      <c r="H753" s="3887"/>
      <c r="I753" s="3887"/>
      <c r="J753" s="4074"/>
      <c r="K753" s="4075"/>
    </row>
    <row r="754" spans="1:11" s="10" customFormat="1" outlineLevel="3">
      <c r="A754" s="1"/>
      <c r="B754" s="4072"/>
      <c r="C754" s="4072"/>
      <c r="D754" s="4072"/>
      <c r="E754" s="2118"/>
      <c r="F754" s="1189"/>
      <c r="G754" s="4073"/>
      <c r="H754" s="3887"/>
      <c r="I754" s="3887"/>
      <c r="J754" s="4074"/>
      <c r="K754" s="4075"/>
    </row>
    <row r="755" spans="1:11" s="10" customFormat="1" outlineLevel="3">
      <c r="A755" s="1"/>
      <c r="B755" s="4072"/>
      <c r="C755" s="4072"/>
      <c r="D755" s="4072"/>
      <c r="E755" s="2118"/>
      <c r="F755" s="1189"/>
      <c r="G755" s="4073"/>
      <c r="H755" s="3887"/>
      <c r="I755" s="3887"/>
      <c r="J755" s="4074"/>
      <c r="K755" s="4075"/>
    </row>
    <row r="756" spans="1:11" s="10" customFormat="1" outlineLevel="3">
      <c r="A756" s="1"/>
      <c r="B756" s="4072"/>
      <c r="C756" s="4072"/>
      <c r="D756" s="4072"/>
      <c r="E756" s="2118"/>
      <c r="F756" s="1189"/>
      <c r="G756" s="4073"/>
      <c r="H756" s="3887"/>
      <c r="I756" s="3887"/>
      <c r="J756" s="4074"/>
      <c r="K756" s="4075"/>
    </row>
    <row r="757" spans="1:11" s="10" customFormat="1" outlineLevel="3">
      <c r="A757" s="1"/>
      <c r="B757" s="4072"/>
      <c r="C757" s="4072"/>
      <c r="D757" s="4072"/>
      <c r="E757" s="2118"/>
      <c r="F757" s="1189"/>
      <c r="G757" s="4073"/>
      <c r="H757" s="3887"/>
      <c r="I757" s="3887"/>
      <c r="J757" s="4074"/>
      <c r="K757" s="4075"/>
    </row>
    <row r="758" spans="1:11" s="10" customFormat="1" outlineLevel="3">
      <c r="A758" s="1"/>
      <c r="B758" s="4072"/>
      <c r="C758" s="4072"/>
      <c r="D758" s="4072"/>
      <c r="E758" s="2118"/>
      <c r="F758" s="1189"/>
      <c r="G758" s="4073"/>
      <c r="H758" s="3887"/>
      <c r="I758" s="3887"/>
      <c r="J758" s="4074"/>
      <c r="K758" s="4075"/>
    </row>
    <row r="759" spans="1:11" s="10" customFormat="1" outlineLevel="3">
      <c r="A759" s="1"/>
      <c r="B759" s="4072"/>
      <c r="C759" s="4072"/>
      <c r="D759" s="4072"/>
      <c r="E759" s="2118"/>
      <c r="F759" s="1189"/>
      <c r="G759" s="4073"/>
      <c r="H759" s="3887"/>
      <c r="I759" s="3887"/>
      <c r="J759" s="4074"/>
      <c r="K759" s="4075"/>
    </row>
    <row r="760" spans="1:11" s="10" customFormat="1" outlineLevel="3">
      <c r="A760" s="1"/>
      <c r="B760" s="4072"/>
      <c r="C760" s="4072"/>
      <c r="D760" s="4072"/>
      <c r="E760" s="2118"/>
      <c r="F760" s="1189"/>
      <c r="G760" s="4073"/>
      <c r="H760" s="3887"/>
      <c r="I760" s="3887"/>
      <c r="J760" s="4074"/>
      <c r="K760" s="4075"/>
    </row>
    <row r="761" spans="1:11" s="10" customFormat="1" outlineLevel="3">
      <c r="A761" s="1"/>
      <c r="B761" s="4072"/>
      <c r="C761" s="4072"/>
      <c r="D761" s="4072"/>
      <c r="E761" s="2118"/>
      <c r="F761" s="1189"/>
      <c r="G761" s="4073"/>
      <c r="H761" s="3887"/>
      <c r="I761" s="3887"/>
      <c r="J761" s="4074"/>
      <c r="K761" s="4075"/>
    </row>
    <row r="762" spans="1:11" s="10" customFormat="1" outlineLevel="3">
      <c r="A762" s="1"/>
      <c r="B762" s="4072"/>
      <c r="C762" s="4072"/>
      <c r="D762" s="4072"/>
      <c r="E762" s="2118"/>
      <c r="F762" s="1189"/>
      <c r="G762" s="4073"/>
      <c r="H762" s="3887"/>
      <c r="I762" s="3887"/>
      <c r="J762" s="4074"/>
      <c r="K762" s="4075"/>
    </row>
    <row r="763" spans="1:11" s="10" customFormat="1" outlineLevel="3">
      <c r="A763" s="1"/>
      <c r="B763" s="4072"/>
      <c r="C763" s="4072"/>
      <c r="D763" s="4072"/>
      <c r="E763" s="2118"/>
      <c r="F763" s="1189"/>
      <c r="G763" s="4073"/>
      <c r="H763" s="3887"/>
      <c r="I763" s="3887"/>
      <c r="J763" s="4074"/>
      <c r="K763" s="4075"/>
    </row>
    <row r="764" spans="1:11" s="10" customFormat="1" outlineLevel="3">
      <c r="A764" s="1"/>
      <c r="B764" s="4072"/>
      <c r="C764" s="4072"/>
      <c r="D764" s="4072"/>
      <c r="E764" s="2118"/>
      <c r="F764" s="1189"/>
      <c r="G764" s="4073"/>
      <c r="H764" s="3887"/>
      <c r="I764" s="3887"/>
      <c r="J764" s="4074"/>
      <c r="K764" s="4075"/>
    </row>
    <row r="765" spans="1:11" s="10" customFormat="1" outlineLevel="3">
      <c r="A765" s="1"/>
      <c r="B765" s="4072"/>
      <c r="C765" s="4072"/>
      <c r="D765" s="4072"/>
      <c r="E765" s="2118"/>
      <c r="F765" s="1189"/>
      <c r="G765" s="4073"/>
      <c r="H765" s="3887"/>
      <c r="I765" s="3887"/>
      <c r="J765" s="4074"/>
      <c r="K765" s="4075"/>
    </row>
    <row r="766" spans="1:11" s="10" customFormat="1" outlineLevel="3">
      <c r="A766" s="1"/>
      <c r="B766" s="4072"/>
      <c r="C766" s="4072"/>
      <c r="D766" s="4072"/>
      <c r="E766" s="2118"/>
      <c r="F766" s="1189"/>
      <c r="G766" s="4073"/>
      <c r="H766" s="3887"/>
      <c r="I766" s="3887"/>
      <c r="J766" s="4074"/>
      <c r="K766" s="4075"/>
    </row>
    <row r="767" spans="1:11" s="10" customFormat="1" outlineLevel="3">
      <c r="A767" s="1"/>
      <c r="B767" s="4072"/>
      <c r="C767" s="4072"/>
      <c r="D767" s="4072"/>
      <c r="E767" s="2118"/>
      <c r="F767" s="1189"/>
      <c r="G767" s="4073"/>
      <c r="H767" s="3887"/>
      <c r="I767" s="3887"/>
      <c r="J767" s="4074"/>
      <c r="K767" s="4075"/>
    </row>
    <row r="768" spans="1:11" s="10" customFormat="1" outlineLevel="3">
      <c r="A768" s="1"/>
      <c r="B768" s="4072"/>
      <c r="C768" s="4072"/>
      <c r="D768" s="4072"/>
      <c r="E768" s="2118"/>
      <c r="F768" s="1189"/>
      <c r="G768" s="4073"/>
      <c r="H768" s="3887"/>
      <c r="I768" s="3887"/>
      <c r="J768" s="4074"/>
      <c r="K768" s="4075"/>
    </row>
    <row r="769" spans="1:11" s="10" customFormat="1" outlineLevel="3">
      <c r="A769" s="1"/>
      <c r="B769" s="4072"/>
      <c r="C769" s="4072"/>
      <c r="D769" s="4072"/>
      <c r="E769" s="2118"/>
      <c r="F769" s="1189"/>
      <c r="G769" s="4073"/>
      <c r="H769" s="3887"/>
      <c r="I769" s="3887"/>
      <c r="J769" s="4074"/>
      <c r="K769" s="4075"/>
    </row>
    <row r="770" spans="1:11" s="10" customFormat="1" outlineLevel="3">
      <c r="A770" s="1"/>
      <c r="B770" s="4072"/>
      <c r="C770" s="4072"/>
      <c r="D770" s="4072"/>
      <c r="E770" s="2118"/>
      <c r="F770" s="1189"/>
      <c r="G770" s="4073"/>
      <c r="H770" s="3887"/>
      <c r="I770" s="3887"/>
      <c r="J770" s="4074"/>
      <c r="K770" s="4075"/>
    </row>
    <row r="771" spans="1:11" s="10" customFormat="1" outlineLevel="3">
      <c r="A771" s="1"/>
      <c r="B771" s="4072"/>
      <c r="C771" s="4072"/>
      <c r="D771" s="4072"/>
      <c r="E771" s="2118"/>
      <c r="F771" s="1189"/>
      <c r="G771" s="4073"/>
      <c r="H771" s="3887"/>
      <c r="I771" s="3887"/>
      <c r="J771" s="4074"/>
      <c r="K771" s="4075"/>
    </row>
    <row r="772" spans="1:11" s="10" customFormat="1" outlineLevel="3">
      <c r="A772" s="1"/>
      <c r="B772" s="4072"/>
      <c r="C772" s="4072"/>
      <c r="D772" s="4072"/>
      <c r="E772" s="2118"/>
      <c r="F772" s="1189"/>
      <c r="G772" s="4073"/>
      <c r="H772" s="3887"/>
      <c r="I772" s="3887"/>
      <c r="J772" s="4074"/>
      <c r="K772" s="4075"/>
    </row>
    <row r="773" spans="1:11" s="10" customFormat="1" outlineLevel="3">
      <c r="A773" s="1"/>
      <c r="B773" s="4072"/>
      <c r="C773" s="4072"/>
      <c r="D773" s="4072"/>
      <c r="E773" s="2118"/>
      <c r="F773" s="1189"/>
      <c r="G773" s="4073"/>
      <c r="H773" s="3887"/>
      <c r="I773" s="3887"/>
      <c r="J773" s="4074"/>
      <c r="K773" s="4075"/>
    </row>
    <row r="774" spans="1:11" s="10" customFormat="1" outlineLevel="3">
      <c r="A774" s="1"/>
      <c r="B774" s="4072"/>
      <c r="C774" s="4072"/>
      <c r="D774" s="4072"/>
      <c r="E774" s="2118"/>
      <c r="F774" s="1189"/>
      <c r="G774" s="4073"/>
      <c r="H774" s="3887"/>
      <c r="I774" s="3887"/>
      <c r="J774" s="4074"/>
      <c r="K774" s="4075"/>
    </row>
    <row r="775" spans="1:11" s="10" customFormat="1" outlineLevel="3">
      <c r="A775" s="1"/>
      <c r="B775" s="4072"/>
      <c r="C775" s="4072"/>
      <c r="D775" s="4072"/>
      <c r="E775" s="2118"/>
      <c r="F775" s="1189"/>
      <c r="G775" s="4073"/>
      <c r="H775" s="3887"/>
      <c r="I775" s="3887"/>
      <c r="J775" s="4074"/>
      <c r="K775" s="4075"/>
    </row>
    <row r="776" spans="1:11" s="10" customFormat="1" outlineLevel="3">
      <c r="A776" s="1"/>
      <c r="B776" s="4072"/>
      <c r="C776" s="4072"/>
      <c r="D776" s="4072"/>
      <c r="E776" s="2118"/>
      <c r="F776" s="1189"/>
      <c r="G776" s="4073"/>
      <c r="H776" s="3887"/>
      <c r="I776" s="3887"/>
      <c r="J776" s="4074"/>
      <c r="K776" s="4075"/>
    </row>
    <row r="777" spans="1:11" s="10" customFormat="1" outlineLevel="3">
      <c r="A777" s="1"/>
      <c r="B777" s="4072"/>
      <c r="C777" s="4072"/>
      <c r="D777" s="4072"/>
      <c r="E777" s="2118"/>
      <c r="F777" s="1189"/>
      <c r="G777" s="4073"/>
      <c r="H777" s="3887"/>
      <c r="I777" s="3887"/>
      <c r="J777" s="4074"/>
      <c r="K777" s="4075"/>
    </row>
    <row r="778" spans="1:11" s="10" customFormat="1" outlineLevel="3">
      <c r="A778" s="1"/>
      <c r="B778" s="4072"/>
      <c r="C778" s="4072"/>
      <c r="D778" s="4072"/>
      <c r="E778" s="2118"/>
      <c r="F778" s="1189"/>
      <c r="G778" s="4073"/>
      <c r="H778" s="3887"/>
      <c r="I778" s="3887"/>
      <c r="J778" s="4074"/>
      <c r="K778" s="4075"/>
    </row>
    <row r="779" spans="1:11" s="10" customFormat="1" outlineLevel="3">
      <c r="A779" s="1"/>
      <c r="B779" s="4072"/>
      <c r="C779" s="4072"/>
      <c r="D779" s="4072"/>
      <c r="E779" s="2118"/>
      <c r="F779" s="1189"/>
      <c r="G779" s="4073"/>
      <c r="H779" s="3887"/>
      <c r="I779" s="3887"/>
      <c r="J779" s="4074"/>
      <c r="K779" s="4075"/>
    </row>
    <row r="780" spans="1:11" s="10" customFormat="1" outlineLevel="3">
      <c r="A780" s="1"/>
      <c r="B780" s="4072"/>
      <c r="C780" s="4072"/>
      <c r="D780" s="4072"/>
      <c r="E780" s="2118"/>
      <c r="F780" s="1189"/>
      <c r="G780" s="4073"/>
      <c r="H780" s="3887"/>
      <c r="I780" s="3887"/>
      <c r="J780" s="4074"/>
      <c r="K780" s="4075"/>
    </row>
    <row r="781" spans="1:11" s="10" customFormat="1" outlineLevel="3">
      <c r="A781" s="1"/>
      <c r="B781" s="4072"/>
      <c r="C781" s="4072"/>
      <c r="D781" s="4072"/>
      <c r="E781" s="2118"/>
      <c r="F781" s="1189"/>
      <c r="G781" s="4073"/>
      <c r="H781" s="3887"/>
      <c r="I781" s="3887"/>
      <c r="J781" s="4074"/>
      <c r="K781" s="4075"/>
    </row>
    <row r="782" spans="1:11" s="10" customFormat="1" outlineLevel="3">
      <c r="A782" s="1"/>
      <c r="B782" s="4072"/>
      <c r="C782" s="4072"/>
      <c r="D782" s="4072"/>
      <c r="E782" s="2118"/>
      <c r="F782" s="1189"/>
      <c r="G782" s="4073"/>
      <c r="H782" s="3887"/>
      <c r="I782" s="3887"/>
      <c r="J782" s="4074"/>
      <c r="K782" s="4075"/>
    </row>
    <row r="783" spans="1:11" s="10" customFormat="1" outlineLevel="3">
      <c r="A783" s="1"/>
      <c r="B783" s="4072"/>
      <c r="C783" s="4072"/>
      <c r="D783" s="4072"/>
      <c r="E783" s="2118"/>
      <c r="F783" s="1189"/>
      <c r="G783" s="4073"/>
      <c r="H783" s="3887"/>
      <c r="I783" s="3887"/>
      <c r="J783" s="4074"/>
      <c r="K783" s="4075"/>
    </row>
    <row r="784" spans="1:11" s="10" customFormat="1" outlineLevel="3">
      <c r="A784" s="1"/>
      <c r="B784" s="4072"/>
      <c r="C784" s="4072"/>
      <c r="D784" s="4072"/>
      <c r="E784" s="2118"/>
      <c r="F784" s="1189"/>
      <c r="G784" s="4073"/>
      <c r="H784" s="3887"/>
      <c r="I784" s="3887"/>
      <c r="J784" s="4074"/>
      <c r="K784" s="4075"/>
    </row>
    <row r="785" spans="1:11" s="10" customFormat="1" outlineLevel="3">
      <c r="A785" s="1"/>
      <c r="B785" s="4072"/>
      <c r="C785" s="4072"/>
      <c r="D785" s="4072"/>
      <c r="E785" s="2118"/>
      <c r="F785" s="1189"/>
      <c r="G785" s="4073"/>
      <c r="H785" s="3887"/>
      <c r="I785" s="3887"/>
      <c r="J785" s="4074"/>
      <c r="K785" s="4075"/>
    </row>
    <row r="786" spans="1:11" s="10" customFormat="1" outlineLevel="3">
      <c r="A786" s="1"/>
      <c r="B786" s="4072"/>
      <c r="C786" s="4072"/>
      <c r="D786" s="4072"/>
      <c r="E786" s="2118"/>
      <c r="F786" s="1189"/>
      <c r="G786" s="4073"/>
      <c r="H786" s="3887"/>
      <c r="I786" s="3887"/>
      <c r="J786" s="4074"/>
      <c r="K786" s="4075"/>
    </row>
    <row r="787" spans="1:11" s="10" customFormat="1" outlineLevel="3">
      <c r="A787" s="1"/>
      <c r="B787" s="4072"/>
      <c r="C787" s="4072"/>
      <c r="D787" s="4072"/>
      <c r="E787" s="2118"/>
      <c r="F787" s="1189"/>
      <c r="G787" s="4073"/>
      <c r="H787" s="3887"/>
      <c r="I787" s="3887"/>
      <c r="J787" s="4074"/>
      <c r="K787" s="4075"/>
    </row>
    <row r="788" spans="1:11" s="10" customFormat="1" outlineLevel="3">
      <c r="A788" s="1"/>
      <c r="B788" s="4072"/>
      <c r="C788" s="4072"/>
      <c r="D788" s="4072"/>
      <c r="E788" s="2118"/>
      <c r="F788" s="1189"/>
      <c r="G788" s="4073"/>
      <c r="H788" s="3887"/>
      <c r="I788" s="3887"/>
      <c r="J788" s="4074"/>
      <c r="K788" s="4075"/>
    </row>
    <row r="789" spans="1:11" s="10" customFormat="1" outlineLevel="3">
      <c r="A789" s="1"/>
      <c r="B789" s="4072"/>
      <c r="C789" s="4072"/>
      <c r="D789" s="4072"/>
      <c r="E789" s="2118"/>
      <c r="F789" s="1189"/>
      <c r="G789" s="4073"/>
      <c r="H789" s="3887"/>
      <c r="I789" s="3887"/>
      <c r="J789" s="4074"/>
      <c r="K789" s="4075"/>
    </row>
    <row r="790" spans="1:11" s="10" customFormat="1" outlineLevel="3">
      <c r="A790" s="1"/>
      <c r="B790" s="4072"/>
      <c r="C790" s="4072"/>
      <c r="D790" s="4072"/>
      <c r="E790" s="2118"/>
      <c r="F790" s="1189"/>
      <c r="G790" s="4073"/>
      <c r="H790" s="3887"/>
      <c r="I790" s="3887"/>
      <c r="J790" s="4074"/>
      <c r="K790" s="4075"/>
    </row>
    <row r="791" spans="1:11" s="10" customFormat="1" outlineLevel="3">
      <c r="A791" s="1"/>
      <c r="B791" s="4072"/>
      <c r="C791" s="4072"/>
      <c r="D791" s="4072"/>
      <c r="E791" s="2118"/>
      <c r="F791" s="1189"/>
      <c r="G791" s="4073"/>
      <c r="H791" s="3887"/>
      <c r="I791" s="3887"/>
      <c r="J791" s="4074"/>
      <c r="K791" s="4075"/>
    </row>
    <row r="792" spans="1:11" s="10" customFormat="1" outlineLevel="3">
      <c r="A792" s="1"/>
      <c r="B792" s="4072"/>
      <c r="C792" s="4072"/>
      <c r="D792" s="4072"/>
      <c r="E792" s="2118"/>
      <c r="F792" s="1189"/>
      <c r="G792" s="4073"/>
      <c r="H792" s="3887"/>
      <c r="I792" s="3887"/>
      <c r="J792" s="4074"/>
      <c r="K792" s="4075"/>
    </row>
    <row r="793" spans="1:11" s="10" customFormat="1" outlineLevel="3">
      <c r="A793" s="1"/>
      <c r="B793" s="4072"/>
      <c r="C793" s="4072"/>
      <c r="D793" s="4072"/>
      <c r="E793" s="2118"/>
      <c r="F793" s="1189"/>
      <c r="G793" s="4073"/>
      <c r="H793" s="3887"/>
      <c r="I793" s="3887"/>
      <c r="J793" s="4074"/>
      <c r="K793" s="4075"/>
    </row>
    <row r="794" spans="1:11" s="10" customFormat="1" outlineLevel="3">
      <c r="A794" s="1"/>
      <c r="B794" s="4072"/>
      <c r="C794" s="4072"/>
      <c r="D794" s="4072"/>
      <c r="E794" s="2118"/>
      <c r="F794" s="1189"/>
      <c r="G794" s="4073"/>
      <c r="H794" s="3887"/>
      <c r="I794" s="3887"/>
      <c r="J794" s="4074"/>
      <c r="K794" s="4075"/>
    </row>
    <row r="795" spans="1:11" s="10" customFormat="1" outlineLevel="3">
      <c r="A795" s="1"/>
      <c r="B795" s="4072"/>
      <c r="C795" s="4072"/>
      <c r="D795" s="4072"/>
      <c r="E795" s="2118"/>
      <c r="F795" s="1189"/>
      <c r="G795" s="4073"/>
      <c r="H795" s="3887"/>
      <c r="I795" s="3887"/>
      <c r="J795" s="4074"/>
      <c r="K795" s="4075"/>
    </row>
    <row r="796" spans="1:11" s="10" customFormat="1" outlineLevel="3">
      <c r="A796" s="1"/>
      <c r="B796" s="4072"/>
      <c r="C796" s="4072"/>
      <c r="D796" s="4072"/>
      <c r="E796" s="2118"/>
      <c r="F796" s="1189"/>
      <c r="G796" s="4073"/>
      <c r="H796" s="3887"/>
      <c r="I796" s="3887"/>
      <c r="J796" s="4074"/>
      <c r="K796" s="4075"/>
    </row>
    <row r="797" spans="1:11" s="10" customFormat="1" outlineLevel="3">
      <c r="A797" s="1"/>
      <c r="B797" s="4072"/>
      <c r="C797" s="4072"/>
      <c r="D797" s="4072"/>
      <c r="E797" s="2118"/>
      <c r="F797" s="1189"/>
      <c r="G797" s="4073"/>
      <c r="H797" s="3887"/>
      <c r="I797" s="3887"/>
      <c r="J797" s="4074"/>
      <c r="K797" s="4075"/>
    </row>
    <row r="798" spans="1:11" s="10" customFormat="1" outlineLevel="3">
      <c r="A798" s="1"/>
      <c r="B798" s="4072"/>
      <c r="C798" s="4072"/>
      <c r="D798" s="4072"/>
      <c r="E798" s="2118"/>
      <c r="F798" s="1189"/>
      <c r="G798" s="4073"/>
      <c r="H798" s="3887"/>
      <c r="I798" s="3887"/>
      <c r="J798" s="4074"/>
      <c r="K798" s="4075"/>
    </row>
    <row r="799" spans="1:11" s="10" customFormat="1" outlineLevel="3">
      <c r="A799" s="1"/>
      <c r="B799" s="4072"/>
      <c r="C799" s="4072"/>
      <c r="D799" s="4072"/>
      <c r="E799" s="2118"/>
      <c r="F799" s="1189"/>
      <c r="G799" s="4073"/>
      <c r="H799" s="3887"/>
      <c r="I799" s="3887"/>
      <c r="J799" s="4074"/>
      <c r="K799" s="4075"/>
    </row>
    <row r="800" spans="1:11" s="10" customFormat="1" outlineLevel="3">
      <c r="A800" s="1"/>
      <c r="B800" s="4072"/>
      <c r="C800" s="4072"/>
      <c r="D800" s="4072"/>
      <c r="E800" s="2118"/>
      <c r="F800" s="1189"/>
      <c r="G800" s="4073"/>
      <c r="H800" s="3887"/>
      <c r="I800" s="3887"/>
      <c r="J800" s="4074"/>
      <c r="K800" s="4075"/>
    </row>
    <row r="801" spans="1:11" s="10" customFormat="1" outlineLevel="3">
      <c r="A801" s="1"/>
      <c r="B801" s="4072"/>
      <c r="C801" s="4072"/>
      <c r="D801" s="4072"/>
      <c r="E801" s="2118"/>
      <c r="F801" s="1189"/>
      <c r="G801" s="4073"/>
      <c r="H801" s="3887"/>
      <c r="I801" s="3887"/>
      <c r="J801" s="4074"/>
      <c r="K801" s="4075"/>
    </row>
    <row r="802" spans="1:11" s="10" customFormat="1" outlineLevel="3">
      <c r="A802" s="1"/>
      <c r="B802" s="4072"/>
      <c r="C802" s="4072"/>
      <c r="D802" s="4072"/>
      <c r="E802" s="2118"/>
      <c r="F802" s="1189"/>
      <c r="G802" s="4073"/>
      <c r="H802" s="3887"/>
      <c r="I802" s="3887"/>
      <c r="J802" s="4074"/>
      <c r="K802" s="4075"/>
    </row>
    <row r="803" spans="1:11" s="10" customFormat="1" outlineLevel="3">
      <c r="A803" s="1"/>
      <c r="B803" s="4072"/>
      <c r="C803" s="4072"/>
      <c r="D803" s="4072"/>
      <c r="E803" s="2118"/>
      <c r="F803" s="1189"/>
      <c r="G803" s="4073"/>
      <c r="H803" s="3887"/>
      <c r="I803" s="3887"/>
      <c r="J803" s="4074"/>
      <c r="K803" s="4075"/>
    </row>
    <row r="804" spans="1:11" s="10" customFormat="1" outlineLevel="3">
      <c r="A804" s="1"/>
      <c r="B804" s="4072"/>
      <c r="C804" s="4072"/>
      <c r="D804" s="4072"/>
      <c r="E804" s="2118"/>
      <c r="F804" s="1189"/>
      <c r="G804" s="4073"/>
      <c r="H804" s="3887"/>
      <c r="I804" s="3887"/>
      <c r="J804" s="4074"/>
      <c r="K804" s="4075"/>
    </row>
    <row r="805" spans="1:11" s="10" customFormat="1" outlineLevel="3">
      <c r="A805" s="1"/>
      <c r="B805" s="4072"/>
      <c r="C805" s="4072"/>
      <c r="D805" s="4072"/>
      <c r="E805" s="2118"/>
      <c r="F805" s="1189"/>
      <c r="G805" s="4073"/>
      <c r="H805" s="3887"/>
      <c r="I805" s="3887"/>
      <c r="J805" s="4074"/>
      <c r="K805" s="4075"/>
    </row>
    <row r="806" spans="1:11" s="10" customFormat="1" outlineLevel="3">
      <c r="A806" s="1"/>
      <c r="B806" s="4072"/>
      <c r="C806" s="4072"/>
      <c r="D806" s="4072"/>
      <c r="E806" s="2118"/>
      <c r="F806" s="1189"/>
      <c r="G806" s="4073"/>
      <c r="H806" s="3887"/>
      <c r="I806" s="3887"/>
      <c r="J806" s="4074"/>
      <c r="K806" s="4075"/>
    </row>
    <row r="807" spans="1:11" s="10" customFormat="1" outlineLevel="3">
      <c r="A807" s="1"/>
      <c r="B807" s="4072"/>
      <c r="C807" s="4072"/>
      <c r="D807" s="4072"/>
      <c r="E807" s="2118"/>
      <c r="F807" s="1189"/>
      <c r="G807" s="4073"/>
      <c r="H807" s="3887"/>
      <c r="I807" s="3887"/>
      <c r="J807" s="4074"/>
      <c r="K807" s="4075"/>
    </row>
    <row r="808" spans="1:11" s="10" customFormat="1" outlineLevel="3">
      <c r="A808" s="1"/>
      <c r="B808" s="4072"/>
      <c r="C808" s="4072"/>
      <c r="D808" s="4072"/>
      <c r="E808" s="2118"/>
      <c r="F808" s="1189"/>
      <c r="G808" s="4073"/>
      <c r="H808" s="3887"/>
      <c r="I808" s="3887"/>
      <c r="J808" s="4074"/>
      <c r="K808" s="4075"/>
    </row>
    <row r="809" spans="1:11" s="10" customFormat="1" outlineLevel="3">
      <c r="A809" s="1"/>
      <c r="B809" s="4072"/>
      <c r="C809" s="4072"/>
      <c r="D809" s="4072"/>
      <c r="E809" s="2118"/>
      <c r="F809" s="1189"/>
      <c r="G809" s="4073"/>
      <c r="H809" s="3887"/>
      <c r="I809" s="3887"/>
      <c r="J809" s="4074"/>
      <c r="K809" s="4075"/>
    </row>
    <row r="810" spans="1:11" s="10" customFormat="1" outlineLevel="3">
      <c r="A810" s="1"/>
      <c r="B810" s="4072"/>
      <c r="C810" s="4072"/>
      <c r="D810" s="4072"/>
      <c r="E810" s="2118"/>
      <c r="F810" s="1189"/>
      <c r="G810" s="4073"/>
      <c r="H810" s="3887"/>
      <c r="I810" s="3887"/>
      <c r="J810" s="4074"/>
      <c r="K810" s="4075"/>
    </row>
    <row r="811" spans="1:11" s="10" customFormat="1" outlineLevel="3">
      <c r="A811" s="1"/>
      <c r="B811" s="4072"/>
      <c r="C811" s="4072"/>
      <c r="D811" s="4072"/>
      <c r="E811" s="2118"/>
      <c r="F811" s="1189"/>
      <c r="G811" s="4073"/>
      <c r="H811" s="3887"/>
      <c r="I811" s="3887"/>
      <c r="J811" s="4074"/>
      <c r="K811" s="4075"/>
    </row>
    <row r="812" spans="1:11" s="10" customFormat="1" outlineLevel="3">
      <c r="A812" s="1"/>
      <c r="B812" s="4072"/>
      <c r="C812" s="4072"/>
      <c r="D812" s="4072"/>
      <c r="E812" s="2118"/>
      <c r="F812" s="1189"/>
      <c r="G812" s="4073"/>
      <c r="H812" s="3887"/>
      <c r="I812" s="3887"/>
      <c r="J812" s="4074"/>
      <c r="K812" s="4075"/>
    </row>
    <row r="813" spans="1:11" s="10" customFormat="1" outlineLevel="3">
      <c r="A813" s="1"/>
      <c r="B813" s="4072"/>
      <c r="C813" s="4072"/>
      <c r="D813" s="4072"/>
      <c r="E813" s="2118"/>
      <c r="F813" s="1189"/>
      <c r="G813" s="4073"/>
      <c r="H813" s="3887"/>
      <c r="I813" s="3887"/>
      <c r="J813" s="4074"/>
      <c r="K813" s="4075"/>
    </row>
    <row r="814" spans="1:11" s="10" customFormat="1" outlineLevel="3">
      <c r="A814" s="1"/>
      <c r="B814" s="4072"/>
      <c r="C814" s="4072"/>
      <c r="D814" s="4072"/>
      <c r="E814" s="2118"/>
      <c r="F814" s="1189"/>
      <c r="G814" s="4073"/>
      <c r="H814" s="3887"/>
      <c r="I814" s="3887"/>
      <c r="J814" s="4074"/>
      <c r="K814" s="4075"/>
    </row>
    <row r="815" spans="1:11" s="10" customFormat="1" outlineLevel="3">
      <c r="A815" s="1"/>
      <c r="B815" s="4072"/>
      <c r="C815" s="4072"/>
      <c r="D815" s="4072"/>
      <c r="E815" s="2118"/>
      <c r="F815" s="1189"/>
      <c r="G815" s="4073"/>
      <c r="H815" s="3887"/>
      <c r="I815" s="3887"/>
      <c r="J815" s="4074"/>
      <c r="K815" s="4075"/>
    </row>
    <row r="816" spans="1:11" s="10" customFormat="1" outlineLevel="3">
      <c r="A816" s="1"/>
      <c r="B816" s="4072"/>
      <c r="C816" s="4072"/>
      <c r="D816" s="4072"/>
      <c r="E816" s="2118"/>
      <c r="F816" s="1189"/>
      <c r="G816" s="4073"/>
      <c r="H816" s="3887"/>
      <c r="I816" s="3887"/>
      <c r="J816" s="4074"/>
      <c r="K816" s="4075"/>
    </row>
    <row r="817" spans="1:11" s="10" customFormat="1" outlineLevel="3">
      <c r="A817" s="1"/>
      <c r="B817" s="4072"/>
      <c r="C817" s="4072"/>
      <c r="D817" s="4072"/>
      <c r="E817" s="2118"/>
      <c r="F817" s="1189"/>
      <c r="G817" s="4073"/>
      <c r="H817" s="3887"/>
      <c r="I817" s="3887"/>
      <c r="J817" s="4074"/>
      <c r="K817" s="4075"/>
    </row>
    <row r="818" spans="1:11" s="10" customFormat="1" outlineLevel="3">
      <c r="A818" s="1"/>
      <c r="B818" s="4072"/>
      <c r="C818" s="4072"/>
      <c r="D818" s="4072"/>
      <c r="E818" s="2118"/>
      <c r="F818" s="1189"/>
      <c r="G818" s="4073"/>
      <c r="H818" s="3887"/>
      <c r="I818" s="3887"/>
      <c r="J818" s="4074"/>
      <c r="K818" s="4075"/>
    </row>
    <row r="819" spans="1:11" s="10" customFormat="1" outlineLevel="3">
      <c r="A819" s="1"/>
      <c r="B819" s="4072"/>
      <c r="C819" s="4072"/>
      <c r="D819" s="4072"/>
      <c r="E819" s="2118"/>
      <c r="F819" s="1189"/>
      <c r="G819" s="4073"/>
      <c r="H819" s="3887"/>
      <c r="I819" s="3887"/>
      <c r="J819" s="4074"/>
      <c r="K819" s="4075"/>
    </row>
    <row r="820" spans="1:11" s="10" customFormat="1" outlineLevel="3">
      <c r="A820" s="1"/>
      <c r="B820" s="4072"/>
      <c r="C820" s="4072"/>
      <c r="D820" s="4072"/>
      <c r="E820" s="2118"/>
      <c r="F820" s="1189"/>
      <c r="G820" s="4073"/>
      <c r="H820" s="3887"/>
      <c r="I820" s="3887"/>
      <c r="J820" s="4074"/>
      <c r="K820" s="4075"/>
    </row>
    <row r="821" spans="1:11" s="10" customFormat="1" outlineLevel="3">
      <c r="A821" s="1"/>
      <c r="B821" s="4072"/>
      <c r="C821" s="4072"/>
      <c r="D821" s="4072"/>
      <c r="E821" s="2118"/>
      <c r="F821" s="1189"/>
      <c r="G821" s="4073"/>
      <c r="H821" s="3887"/>
      <c r="I821" s="3887"/>
      <c r="J821" s="4074"/>
      <c r="K821" s="4075"/>
    </row>
    <row r="822" spans="1:11" s="10" customFormat="1" outlineLevel="3">
      <c r="A822" s="1"/>
      <c r="B822" s="4072"/>
      <c r="C822" s="4072"/>
      <c r="D822" s="4072"/>
      <c r="E822" s="2118"/>
      <c r="F822" s="1189"/>
      <c r="G822" s="4073"/>
      <c r="H822" s="3887"/>
      <c r="I822" s="3887"/>
      <c r="J822" s="4074"/>
      <c r="K822" s="4075"/>
    </row>
    <row r="823" spans="1:11" s="10" customFormat="1" outlineLevel="3">
      <c r="A823" s="1"/>
      <c r="B823" s="4072"/>
      <c r="C823" s="4072"/>
      <c r="D823" s="4072"/>
      <c r="E823" s="2118"/>
      <c r="F823" s="1189"/>
      <c r="G823" s="4073"/>
      <c r="H823" s="3887"/>
      <c r="I823" s="3887"/>
      <c r="J823" s="4074"/>
      <c r="K823" s="4075"/>
    </row>
    <row r="824" spans="1:11" s="10" customFormat="1" outlineLevel="3">
      <c r="A824" s="1"/>
      <c r="B824" s="4072"/>
      <c r="C824" s="4072"/>
      <c r="D824" s="4072"/>
      <c r="E824" s="2118"/>
      <c r="F824" s="1189"/>
      <c r="G824" s="4073"/>
      <c r="H824" s="3887"/>
      <c r="I824" s="3887"/>
      <c r="J824" s="4074"/>
      <c r="K824" s="4075"/>
    </row>
    <row r="825" spans="1:11" s="10" customFormat="1" outlineLevel="3">
      <c r="A825" s="1"/>
      <c r="B825" s="4072"/>
      <c r="C825" s="4072"/>
      <c r="D825" s="4072"/>
      <c r="E825" s="2118"/>
      <c r="F825" s="1189"/>
      <c r="G825" s="4073"/>
      <c r="H825" s="3887"/>
      <c r="I825" s="3887"/>
      <c r="J825" s="4074"/>
      <c r="K825" s="4075"/>
    </row>
    <row r="826" spans="1:11" s="10" customFormat="1" outlineLevel="3">
      <c r="A826" s="1"/>
      <c r="B826" s="4072"/>
      <c r="C826" s="4072"/>
      <c r="D826" s="4072"/>
      <c r="E826" s="2118"/>
      <c r="F826" s="1189"/>
      <c r="G826" s="4073"/>
      <c r="H826" s="3887"/>
      <c r="I826" s="3887"/>
      <c r="J826" s="4074"/>
      <c r="K826" s="4075"/>
    </row>
    <row r="827" spans="1:11" s="10" customFormat="1" outlineLevel="3">
      <c r="A827" s="1"/>
      <c r="B827" s="4072"/>
      <c r="C827" s="4072"/>
      <c r="D827" s="4072"/>
      <c r="E827" s="2118"/>
      <c r="F827" s="1189"/>
      <c r="G827" s="4073"/>
      <c r="H827" s="3887"/>
      <c r="I827" s="3887"/>
      <c r="J827" s="4074"/>
      <c r="K827" s="4075"/>
    </row>
    <row r="828" spans="1:11" s="10" customFormat="1" outlineLevel="3">
      <c r="A828" s="1"/>
      <c r="B828" s="4072"/>
      <c r="C828" s="4072"/>
      <c r="D828" s="4072"/>
      <c r="E828" s="2118"/>
      <c r="F828" s="1189"/>
      <c r="G828" s="4073"/>
      <c r="H828" s="3887"/>
      <c r="I828" s="3887"/>
      <c r="J828" s="4074"/>
      <c r="K828" s="4075"/>
    </row>
    <row r="829" spans="1:11" s="10" customFormat="1" outlineLevel="3">
      <c r="A829" s="1"/>
      <c r="B829" s="4072"/>
      <c r="C829" s="4072"/>
      <c r="D829" s="4072"/>
      <c r="E829" s="2118"/>
      <c r="F829" s="1189"/>
      <c r="G829" s="4073"/>
      <c r="H829" s="3887"/>
      <c r="I829" s="3887"/>
      <c r="J829" s="4074"/>
      <c r="K829" s="4075"/>
    </row>
    <row r="830" spans="1:11" s="10" customFormat="1" outlineLevel="3">
      <c r="A830" s="1"/>
      <c r="B830" s="4072"/>
      <c r="C830" s="4072"/>
      <c r="D830" s="4072"/>
      <c r="E830" s="2118"/>
      <c r="F830" s="1189"/>
      <c r="G830" s="4073"/>
      <c r="H830" s="3887"/>
      <c r="I830" s="3887"/>
      <c r="J830" s="4074"/>
      <c r="K830" s="4075"/>
    </row>
    <row r="831" spans="1:11" s="10" customFormat="1" outlineLevel="3">
      <c r="A831" s="1"/>
      <c r="B831" s="4072"/>
      <c r="C831" s="4072"/>
      <c r="D831" s="4072"/>
      <c r="E831" s="2118"/>
      <c r="F831" s="1189"/>
      <c r="G831" s="4073"/>
      <c r="H831" s="3887"/>
      <c r="I831" s="3887"/>
      <c r="J831" s="4074"/>
      <c r="K831" s="4075"/>
    </row>
    <row r="832" spans="1:11" s="10" customFormat="1" outlineLevel="3">
      <c r="A832" s="1"/>
      <c r="B832" s="4072"/>
      <c r="C832" s="4072"/>
      <c r="D832" s="4072"/>
      <c r="E832" s="2118"/>
      <c r="F832" s="1189"/>
      <c r="G832" s="4073"/>
      <c r="H832" s="3887"/>
      <c r="I832" s="3887"/>
      <c r="J832" s="4074"/>
      <c r="K832" s="4075"/>
    </row>
    <row r="833" spans="1:11" s="10" customFormat="1" outlineLevel="3">
      <c r="A833" s="1"/>
      <c r="B833" s="4072"/>
      <c r="C833" s="4072"/>
      <c r="D833" s="4072"/>
      <c r="E833" s="2118"/>
      <c r="F833" s="1189"/>
      <c r="G833" s="4073"/>
      <c r="H833" s="3887"/>
      <c r="I833" s="3887"/>
      <c r="J833" s="4074"/>
      <c r="K833" s="4075"/>
    </row>
    <row r="834" spans="1:11" s="10" customFormat="1" outlineLevel="3">
      <c r="A834" s="1"/>
      <c r="B834" s="4072"/>
      <c r="C834" s="4072"/>
      <c r="D834" s="4072"/>
      <c r="E834" s="2118"/>
      <c r="F834" s="1189"/>
      <c r="G834" s="4073"/>
      <c r="H834" s="3887"/>
      <c r="I834" s="3887"/>
      <c r="J834" s="4074"/>
      <c r="K834" s="4075"/>
    </row>
    <row r="835" spans="1:11" s="10" customFormat="1" outlineLevel="3">
      <c r="A835" s="1"/>
      <c r="B835" s="4072"/>
      <c r="C835" s="4072"/>
      <c r="D835" s="4072"/>
      <c r="E835" s="2118"/>
      <c r="F835" s="1189"/>
      <c r="G835" s="4073"/>
      <c r="H835" s="3887"/>
      <c r="I835" s="3887"/>
      <c r="J835" s="4074"/>
      <c r="K835" s="4075"/>
    </row>
    <row r="836" spans="1:11" s="10" customFormat="1" outlineLevel="3">
      <c r="A836" s="1"/>
      <c r="B836" s="4072"/>
      <c r="C836" s="4072"/>
      <c r="D836" s="4072"/>
      <c r="E836" s="2118"/>
      <c r="F836" s="1189"/>
      <c r="G836" s="4073"/>
      <c r="H836" s="3887"/>
      <c r="I836" s="3887"/>
      <c r="J836" s="4074"/>
      <c r="K836" s="4075"/>
    </row>
    <row r="837" spans="1:11" s="10" customFormat="1" outlineLevel="3">
      <c r="A837" s="1"/>
      <c r="B837" s="4072"/>
      <c r="C837" s="4072"/>
      <c r="D837" s="4072"/>
      <c r="E837" s="2118"/>
      <c r="F837" s="1189"/>
      <c r="G837" s="4073"/>
      <c r="H837" s="3887"/>
      <c r="I837" s="3887"/>
      <c r="J837" s="4074"/>
      <c r="K837" s="4075"/>
    </row>
    <row r="838" spans="1:11" s="10" customFormat="1" outlineLevel="3">
      <c r="A838" s="1"/>
      <c r="B838" s="4072"/>
      <c r="C838" s="4072"/>
      <c r="D838" s="4072"/>
      <c r="E838" s="2118"/>
      <c r="F838" s="1189"/>
      <c r="G838" s="4073"/>
      <c r="H838" s="3887"/>
      <c r="I838" s="3887"/>
      <c r="J838" s="4074"/>
      <c r="K838" s="4075"/>
    </row>
    <row r="839" spans="1:11" s="10" customFormat="1" outlineLevel="3">
      <c r="A839" s="1"/>
      <c r="B839" s="4072"/>
      <c r="C839" s="4072"/>
      <c r="D839" s="4072"/>
      <c r="E839" s="2118"/>
      <c r="F839" s="1189"/>
      <c r="G839" s="4073"/>
      <c r="H839" s="3887"/>
      <c r="I839" s="3887"/>
      <c r="J839" s="4074"/>
      <c r="K839" s="4075"/>
    </row>
    <row r="840" spans="1:11" s="10" customFormat="1" outlineLevel="3">
      <c r="A840" s="1"/>
      <c r="B840" s="4072"/>
      <c r="C840" s="4072"/>
      <c r="D840" s="4072"/>
      <c r="E840" s="2118"/>
      <c r="F840" s="1189"/>
      <c r="G840" s="4073"/>
      <c r="H840" s="3887"/>
      <c r="I840" s="3887"/>
      <c r="J840" s="4074"/>
      <c r="K840" s="4075"/>
    </row>
    <row r="841" spans="1:11" s="10" customFormat="1" outlineLevel="3">
      <c r="A841" s="1"/>
      <c r="B841" s="4072"/>
      <c r="C841" s="4072"/>
      <c r="D841" s="4072"/>
      <c r="E841" s="2118"/>
      <c r="F841" s="1189"/>
      <c r="G841" s="4073"/>
      <c r="H841" s="3887"/>
      <c r="I841" s="3887"/>
      <c r="J841" s="4074"/>
      <c r="K841" s="4075"/>
    </row>
    <row r="842" spans="1:11" s="10" customFormat="1" outlineLevel="3">
      <c r="A842" s="1"/>
      <c r="B842" s="4072"/>
      <c r="C842" s="4072"/>
      <c r="D842" s="4072"/>
      <c r="E842" s="2118"/>
      <c r="F842" s="1189"/>
      <c r="G842" s="4073"/>
      <c r="H842" s="3887"/>
      <c r="I842" s="3887"/>
      <c r="J842" s="4074"/>
      <c r="K842" s="4075"/>
    </row>
    <row r="843" spans="1:11" s="10" customFormat="1" outlineLevel="3">
      <c r="A843" s="1"/>
      <c r="B843" s="4072"/>
      <c r="C843" s="4072"/>
      <c r="D843" s="4072"/>
      <c r="E843" s="2118"/>
      <c r="F843" s="1189"/>
      <c r="G843" s="4073"/>
      <c r="H843" s="3887"/>
      <c r="I843" s="3887"/>
      <c r="J843" s="4074"/>
      <c r="K843" s="4075"/>
    </row>
    <row r="844" spans="1:11" s="10" customFormat="1" outlineLevel="3">
      <c r="A844" s="1"/>
      <c r="B844" s="4072"/>
      <c r="C844" s="4072"/>
      <c r="D844" s="4072"/>
      <c r="E844" s="2118"/>
      <c r="F844" s="1189"/>
      <c r="G844" s="4073"/>
      <c r="H844" s="3887"/>
      <c r="I844" s="3887"/>
      <c r="J844" s="4074"/>
      <c r="K844" s="4075"/>
    </row>
    <row r="845" spans="1:11" s="10" customFormat="1" outlineLevel="3">
      <c r="A845" s="1"/>
      <c r="B845" s="4072"/>
      <c r="C845" s="4072"/>
      <c r="D845" s="4072"/>
      <c r="E845" s="2118"/>
      <c r="F845" s="1189"/>
      <c r="G845" s="4073"/>
      <c r="H845" s="3887"/>
      <c r="I845" s="3887"/>
      <c r="J845" s="4074"/>
      <c r="K845" s="4075"/>
    </row>
    <row r="846" spans="1:11" s="10" customFormat="1" outlineLevel="3">
      <c r="A846" s="1"/>
      <c r="B846" s="4072"/>
      <c r="C846" s="4072"/>
      <c r="D846" s="4072"/>
      <c r="E846" s="2118"/>
      <c r="F846" s="1189"/>
      <c r="G846" s="4073"/>
      <c r="H846" s="3887"/>
      <c r="I846" s="3887"/>
      <c r="J846" s="4074"/>
      <c r="K846" s="4075"/>
    </row>
    <row r="847" spans="1:11" s="10" customFormat="1" outlineLevel="3">
      <c r="A847" s="1"/>
      <c r="B847" s="4072"/>
      <c r="C847" s="4072"/>
      <c r="D847" s="4072"/>
      <c r="E847" s="2118"/>
      <c r="F847" s="1189"/>
      <c r="G847" s="4073"/>
      <c r="H847" s="3887"/>
      <c r="I847" s="3887"/>
      <c r="J847" s="4074"/>
      <c r="K847" s="4075"/>
    </row>
    <row r="848" spans="1:11" s="10" customFormat="1" outlineLevel="3">
      <c r="A848" s="1"/>
      <c r="B848" s="4072"/>
      <c r="C848" s="4072"/>
      <c r="D848" s="4072"/>
      <c r="E848" s="2118"/>
      <c r="F848" s="1189"/>
      <c r="G848" s="4073"/>
      <c r="H848" s="3887"/>
      <c r="I848" s="3887"/>
      <c r="J848" s="4074"/>
      <c r="K848" s="4075"/>
    </row>
    <row r="849" spans="1:11" s="10" customFormat="1" outlineLevel="3">
      <c r="A849" s="1"/>
      <c r="B849" s="4072"/>
      <c r="C849" s="4072"/>
      <c r="D849" s="4072"/>
      <c r="E849" s="2118"/>
      <c r="F849" s="1189"/>
      <c r="G849" s="4073"/>
      <c r="H849" s="3887"/>
      <c r="I849" s="3887"/>
      <c r="J849" s="4074"/>
      <c r="K849" s="4075"/>
    </row>
    <row r="850" spans="1:11" s="10" customFormat="1" outlineLevel="3">
      <c r="A850" s="1"/>
      <c r="B850" s="4072"/>
      <c r="C850" s="4072"/>
      <c r="D850" s="4072"/>
      <c r="E850" s="2118"/>
      <c r="F850" s="1189"/>
      <c r="G850" s="4073"/>
      <c r="H850" s="3887"/>
      <c r="I850" s="3887"/>
      <c r="J850" s="4074"/>
      <c r="K850" s="4075"/>
    </row>
    <row r="851" spans="1:11" s="10" customFormat="1" outlineLevel="3">
      <c r="A851" s="1"/>
      <c r="B851" s="4072"/>
      <c r="C851" s="4072"/>
      <c r="D851" s="4072"/>
      <c r="E851" s="2118"/>
      <c r="F851" s="1189"/>
      <c r="G851" s="4073"/>
      <c r="H851" s="3887"/>
      <c r="I851" s="3887"/>
      <c r="J851" s="4074"/>
      <c r="K851" s="4075"/>
    </row>
    <row r="852" spans="1:11" s="10" customFormat="1" outlineLevel="3">
      <c r="A852" s="1"/>
      <c r="B852" s="4072"/>
      <c r="C852" s="4072"/>
      <c r="D852" s="4072"/>
      <c r="E852" s="2118"/>
      <c r="F852" s="1189"/>
      <c r="G852" s="4073"/>
      <c r="H852" s="3887"/>
      <c r="I852" s="3887"/>
      <c r="J852" s="4074"/>
      <c r="K852" s="4075"/>
    </row>
    <row r="853" spans="1:11" s="10" customFormat="1" outlineLevel="3">
      <c r="A853" s="1"/>
      <c r="B853" s="4072"/>
      <c r="C853" s="4072"/>
      <c r="D853" s="4072"/>
      <c r="E853" s="2118"/>
      <c r="F853" s="1189"/>
      <c r="G853" s="4073"/>
      <c r="H853" s="3887"/>
      <c r="I853" s="3887"/>
      <c r="J853" s="4074"/>
      <c r="K853" s="4075"/>
    </row>
    <row r="854" spans="1:11" s="10" customFormat="1" outlineLevel="3">
      <c r="A854" s="1"/>
      <c r="B854" s="4072"/>
      <c r="C854" s="4072"/>
      <c r="D854" s="4072"/>
      <c r="E854" s="2118"/>
      <c r="F854" s="1189"/>
      <c r="G854" s="4073"/>
      <c r="H854" s="3887"/>
      <c r="I854" s="3887"/>
      <c r="J854" s="4074"/>
      <c r="K854" s="4075"/>
    </row>
    <row r="855" spans="1:11" s="10" customFormat="1" outlineLevel="3">
      <c r="A855" s="1"/>
      <c r="B855" s="4072"/>
      <c r="C855" s="4072"/>
      <c r="D855" s="4072"/>
      <c r="E855" s="2118"/>
      <c r="F855" s="1189"/>
      <c r="G855" s="4073"/>
      <c r="H855" s="3887"/>
      <c r="I855" s="3887"/>
      <c r="J855" s="4074"/>
      <c r="K855" s="4075"/>
    </row>
    <row r="856" spans="1:11" s="10" customFormat="1" outlineLevel="3">
      <c r="A856" s="1"/>
      <c r="B856" s="4072"/>
      <c r="C856" s="4072"/>
      <c r="D856" s="4072"/>
      <c r="E856" s="2118"/>
      <c r="F856" s="1189"/>
      <c r="G856" s="4073"/>
      <c r="H856" s="3887"/>
      <c r="I856" s="3887"/>
      <c r="J856" s="4074"/>
      <c r="K856" s="4075"/>
    </row>
    <row r="857" spans="1:11" s="10" customFormat="1" outlineLevel="3">
      <c r="A857" s="1"/>
      <c r="B857" s="4072"/>
      <c r="C857" s="4072"/>
      <c r="D857" s="4072"/>
      <c r="E857" s="2118"/>
      <c r="F857" s="1189"/>
      <c r="G857" s="4073"/>
      <c r="H857" s="3887"/>
      <c r="I857" s="3887"/>
      <c r="J857" s="4074"/>
      <c r="K857" s="4075"/>
    </row>
    <row r="858" spans="1:11" s="10" customFormat="1" outlineLevel="3">
      <c r="A858" s="1"/>
      <c r="B858" s="4072"/>
      <c r="C858" s="4072"/>
      <c r="D858" s="4072"/>
      <c r="E858" s="2118"/>
      <c r="F858" s="1189"/>
      <c r="G858" s="4073"/>
      <c r="H858" s="3887"/>
      <c r="I858" s="3887"/>
      <c r="J858" s="4074"/>
      <c r="K858" s="4075"/>
    </row>
    <row r="859" spans="1:11" s="10" customFormat="1" ht="8.25" customHeight="1" outlineLevel="2">
      <c r="A859" s="1"/>
      <c r="B859" s="4072"/>
      <c r="C859" s="4072"/>
      <c r="D859" s="4072"/>
      <c r="E859" s="2118"/>
      <c r="F859" s="1189"/>
      <c r="G859" s="4073"/>
      <c r="H859" s="3887"/>
      <c r="I859" s="3887"/>
      <c r="J859" s="4074"/>
      <c r="K859" s="4075"/>
    </row>
    <row r="860" spans="1:11" s="10" customFormat="1" ht="8.25" customHeight="1">
      <c r="A860" s="1"/>
      <c r="B860" s="4072"/>
      <c r="C860" s="4072"/>
      <c r="D860" s="4072"/>
      <c r="E860" s="2118"/>
      <c r="F860" s="1189"/>
      <c r="G860" s="4073"/>
      <c r="H860" s="3887"/>
      <c r="I860" s="3887"/>
      <c r="J860" s="4074"/>
      <c r="K860" s="4075"/>
    </row>
    <row r="861" spans="1:11" ht="24" customHeight="1" thickBot="1">
      <c r="A861" s="2948"/>
      <c r="B861" s="1049" t="s">
        <v>1414</v>
      </c>
      <c r="C861" s="1049"/>
      <c r="D861" s="1049"/>
      <c r="E861" s="1049"/>
      <c r="F861" s="1049"/>
      <c r="G861" s="3892"/>
      <c r="H861" s="4076">
        <f>SUM(H56:H860)</f>
        <v>-769189443.30000019</v>
      </c>
      <c r="I861" s="4076">
        <f>SUM(I56:I860)</f>
        <v>1037499873.6500002</v>
      </c>
      <c r="J861" s="1050"/>
      <c r="K861" s="2953"/>
    </row>
    <row r="862" spans="1:11">
      <c r="I862" s="3875">
        <f>+I861+H861</f>
        <v>268310430.35000002</v>
      </c>
      <c r="J862" s="2820">
        <v>206221318.34999999</v>
      </c>
    </row>
    <row r="863" spans="1:11">
      <c r="I863" s="3875">
        <f>+'Schedule B'!F268</f>
        <v>267501065.60999978</v>
      </c>
      <c r="J863" s="3875"/>
    </row>
    <row r="864" spans="1:11">
      <c r="I864" s="3875">
        <f>+I863-I862</f>
        <v>-809364.74000024796</v>
      </c>
    </row>
    <row r="865" spans="8:9">
      <c r="I865" s="3875">
        <f>+I203</f>
        <v>44069.59</v>
      </c>
    </row>
    <row r="867" spans="8:9">
      <c r="H867" s="3875">
        <f>+'Schedule B'!H256</f>
        <v>29136815.429999799</v>
      </c>
      <c r="I867" s="3879">
        <f>+I328+I127</f>
        <v>19677959.469999999</v>
      </c>
    </row>
    <row r="868" spans="8:9">
      <c r="H868" s="3875">
        <v>12298951.390000001</v>
      </c>
      <c r="I868" s="3875">
        <v>54758986.329999998</v>
      </c>
    </row>
    <row r="869" spans="8:9">
      <c r="H869" s="3875">
        <f>+H868-H867</f>
        <v>-16837864.039999798</v>
      </c>
      <c r="I869" s="3875">
        <f>+I868-I867</f>
        <v>35081026.859999999</v>
      </c>
    </row>
    <row r="870" spans="8:9">
      <c r="I870" s="3875">
        <f>+I868-I328</f>
        <v>45888756.060000002</v>
      </c>
    </row>
    <row r="871" spans="8:9">
      <c r="H871" s="3875">
        <f>+H168+H166+H163+H162+H155+H153</f>
        <v>-46073513.670000002</v>
      </c>
      <c r="I871" s="3875">
        <f>+I153+I155+I162+I163+I166+I168</f>
        <v>46073513.670000002</v>
      </c>
    </row>
    <row r="872" spans="8:9">
      <c r="H872" s="3875">
        <f>+'Schedule B'!I151</f>
        <v>2312919.1399999997</v>
      </c>
      <c r="I872" s="3875">
        <f>-'Schedule B'!J79</f>
        <v>0</v>
      </c>
    </row>
    <row r="873" spans="8:9">
      <c r="H873" s="3875">
        <f>+H871-H872</f>
        <v>-48386432.810000002</v>
      </c>
      <c r="I873" s="3875">
        <f>+I871-I872</f>
        <v>46073513.670000002</v>
      </c>
    </row>
    <row r="877" spans="8:9">
      <c r="H877" s="3875">
        <f>'Schedule B'!F268-'Schedule J'!H861-'Schedule J'!I861</f>
        <v>-809364.74000024796</v>
      </c>
    </row>
  </sheetData>
  <autoFilter ref="A55:L861" xr:uid="{D73F0A28-0447-44B3-8D22-BE5884CE9180}"/>
  <dataValidations count="1">
    <dataValidation showInputMessage="1" showErrorMessage="1" sqref="H31:H41 I22:I24 I26 H13:H29 G49:I50 I34:I40 I88:I122 G22:G24 G26 G34:G40 I57:I65 I67 I76 I79:I86 I125:I134 I136:I157 I160:I169 I172:I860 H56:H860" xr:uid="{B1C8C811-2A69-4223-BCDA-AB293FCF8757}"/>
  </dataValidations>
  <printOptions horizontalCentered="1"/>
  <pageMargins left="0.25" right="0.25" top="0.75" bottom="0.75" header="0.3" footer="0.3"/>
  <pageSetup paperSize="8" scale="86" fitToHeight="2" orientation="landscape" r:id="rId1"/>
  <headerFooter>
    <oddHeader>&amp;C&amp;"Calibri,Bold"&amp;18MONTHLY REPORT - BUDGET TRANSFER TRACKER</oddHeader>
    <oddFooter>&amp;L1TB.01.003.01 - AYC 
MARCH'26 REPORT&amp;C&amp;A&amp;RPage &amp;P of &amp;N</oddFooter>
  </headerFooter>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8CF466D6-9E0F-4350-90DB-510775AB0FEB}">
          <x14:formula1>
            <xm:f>dropdowns!$O$3:$O$63</xm:f>
          </x14:formula1>
          <xm:sqref>K13:K32 K38:K40 K56:K860</xm:sqref>
        </x14:dataValidation>
        <x14:dataValidation type="list" allowBlank="1" showInputMessage="1" showErrorMessage="1" xr:uid="{C22454CF-8D6B-4492-97B3-47D8BBFF7406}">
          <x14:formula1>
            <xm:f>dropdowns!$I$3:$I$157</xm:f>
          </x14:formula1>
          <xm:sqref>E37:F41 F257 F260:F573 E13:F33 E576:F576 E56:E573 F56:F224 F583:F584 E581:E589 F586:F589 E613:F860 F605:F611 E596:E611 F603 F600</xm:sqref>
        </x14:dataValidation>
        <x14:dataValidation type="list" allowBlank="1" showInputMessage="1" showErrorMessage="1" xr:uid="{39C429BB-3AA6-48B9-8C86-6BBE5E8D7113}">
          <x14:formula1>
            <xm:f>dropdowns!$I$3:$I$161</xm:f>
          </x14:formula1>
          <xm:sqref>F596 F599</xm:sqref>
        </x14:dataValidation>
      </x14:dataValidations>
    </ext>
  </extLst>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0FE6C-A7C9-462D-9997-43E9FB5BB6B4}">
  <sheetPr codeName="Sheet8">
    <tabColor rgb="FF00B050"/>
    <pageSetUpPr fitToPage="1"/>
  </sheetPr>
  <dimension ref="A1:BN597"/>
  <sheetViews>
    <sheetView view="pageBreakPreview" topLeftCell="B1" zoomScale="70" zoomScaleNormal="70" zoomScaleSheetLayoutView="70" zoomScalePageLayoutView="130" workbookViewId="0">
      <pane ySplit="20" topLeftCell="A308" activePane="bottomLeft" state="frozen"/>
      <selection activeCell="C43" sqref="C43"/>
      <selection pane="bottomLeft" activeCell="I9" sqref="I9"/>
    </sheetView>
  </sheetViews>
  <sheetFormatPr defaultColWidth="10" defaultRowHeight="12.75" outlineLevelRow="2" outlineLevelCol="1"/>
  <cols>
    <col min="1" max="1" width="10" style="414" customWidth="1"/>
    <col min="2" max="2" width="39.5703125" style="414" customWidth="1"/>
    <col min="3" max="3" width="11.85546875" style="414" customWidth="1"/>
    <col min="4" max="4" width="13.5703125" style="690" customWidth="1"/>
    <col min="5" max="5" width="10.5703125" style="414" customWidth="1" outlineLevel="1"/>
    <col min="6" max="6" width="14" style="414" customWidth="1" outlineLevel="1"/>
    <col min="7" max="7" width="17.42578125" style="690" customWidth="1" outlineLevel="1"/>
    <col min="8" max="8" width="12.85546875" style="414" customWidth="1" outlineLevel="1" collapsed="1"/>
    <col min="9" max="9" width="23" style="414" customWidth="1" outlineLevel="1"/>
    <col min="10" max="10" width="11.42578125" style="414" customWidth="1" outlineLevel="1"/>
    <col min="11" max="11" width="20.42578125" style="414" customWidth="1" outlineLevel="1"/>
    <col min="12" max="12" width="14.85546875" style="414" customWidth="1" outlineLevel="1"/>
    <col min="13" max="13" width="13" style="414" customWidth="1" outlineLevel="1"/>
    <col min="14" max="14" width="10.5703125" style="414" customWidth="1"/>
    <col min="15" max="15" width="16.5703125" style="414" bestFit="1" customWidth="1"/>
    <col min="16" max="16" width="20" style="414" customWidth="1"/>
    <col min="17" max="17" width="18" style="3927" bestFit="1" customWidth="1"/>
    <col min="18" max="18" width="12" style="414" customWidth="1"/>
    <col min="19" max="19" width="6" style="414" customWidth="1"/>
    <col min="20" max="20" width="13" style="414" customWidth="1"/>
    <col min="21" max="21" width="17.140625" style="690" bestFit="1" customWidth="1"/>
    <col min="22" max="22" width="14.85546875" style="690" customWidth="1"/>
    <col min="23" max="23" width="6.5703125" style="690" customWidth="1"/>
    <col min="24" max="24" width="13.42578125" style="414" customWidth="1" outlineLevel="1"/>
    <col min="25" max="25" width="20.5703125" style="3365" bestFit="1" customWidth="1"/>
    <col min="26" max="26" width="12" style="414" customWidth="1"/>
    <col min="27" max="27" width="6" style="414" customWidth="1"/>
    <col min="28" max="28" width="12" style="414" customWidth="1"/>
    <col min="29" max="29" width="14.42578125" style="414" bestFit="1" customWidth="1"/>
    <col min="30" max="30" width="13.42578125" style="690" customWidth="1"/>
    <col min="31" max="31" width="6.85546875" style="414" customWidth="1"/>
    <col min="32" max="32" width="12.85546875" style="414" customWidth="1" outlineLevel="1"/>
    <col min="33" max="33" width="19.85546875" style="414" bestFit="1" customWidth="1"/>
    <col min="34" max="34" width="8" style="414" customWidth="1"/>
    <col min="35" max="35" width="11" style="414" customWidth="1"/>
    <col min="36" max="36" width="14.42578125" style="414" bestFit="1" customWidth="1"/>
    <col min="37" max="37" width="14" style="414" customWidth="1"/>
    <col min="38" max="38" width="7.85546875" style="414" customWidth="1"/>
    <col min="39" max="39" width="11" style="414" customWidth="1"/>
    <col min="40" max="40" width="21.7109375" style="690" bestFit="1" customWidth="1"/>
    <col min="41" max="41" width="10" style="414" customWidth="1"/>
    <col min="42" max="42" width="9.85546875" style="414" customWidth="1"/>
    <col min="43" max="43" width="13.85546875" style="414" hidden="1" customWidth="1" outlineLevel="1"/>
    <col min="44" max="44" width="10.5703125" style="414" hidden="1" customWidth="1" outlineLevel="1"/>
    <col min="45" max="45" width="18.42578125" style="414" hidden="1" customWidth="1" outlineLevel="1"/>
    <col min="46" max="46" width="13.5703125" style="414" hidden="1" customWidth="1" outlineLevel="1"/>
    <col min="47" max="47" width="13" style="414" hidden="1" customWidth="1" outlineLevel="1"/>
    <col min="48" max="48" width="16" style="414" hidden="1" customWidth="1" outlineLevel="1"/>
    <col min="49" max="49" width="21.7109375" style="414" bestFit="1" customWidth="1" collapsed="1"/>
    <col min="50" max="50" width="16" style="414" customWidth="1"/>
    <col min="51" max="51" width="17.5703125" style="414" customWidth="1" outlineLevel="1"/>
    <col min="52" max="52" width="22.85546875" style="414" bestFit="1" customWidth="1"/>
    <col min="53" max="53" width="12" style="414" customWidth="1"/>
    <col min="54" max="54" width="13.85546875" style="691" customWidth="1"/>
    <col min="55" max="55" width="17" style="691" customWidth="1"/>
    <col min="56" max="56" width="42" style="414" customWidth="1"/>
    <col min="57" max="57" width="22.5703125" style="414" hidden="1" customWidth="1" outlineLevel="1"/>
    <col min="58" max="58" width="19" style="414" customWidth="1" collapsed="1"/>
    <col min="59" max="59" width="22.5703125" style="4303" customWidth="1"/>
    <col min="60" max="60" width="32.85546875" style="414" customWidth="1"/>
    <col min="61" max="61" width="14.85546875" style="414" bestFit="1" customWidth="1"/>
    <col min="62" max="62" width="10" style="414"/>
    <col min="63" max="63" width="14.42578125" style="414" bestFit="1" customWidth="1"/>
    <col min="64" max="64" width="10" style="414"/>
    <col min="65" max="65" width="13.85546875" style="414" bestFit="1" customWidth="1"/>
    <col min="66" max="66" width="10" style="414" bestFit="1" customWidth="1"/>
    <col min="67" max="16384" width="10" style="414"/>
  </cols>
  <sheetData>
    <row r="1" spans="1:59" ht="12.75" customHeight="1" outlineLevel="2">
      <c r="A1" s="812"/>
      <c r="B1" s="812"/>
      <c r="C1" s="812"/>
      <c r="D1" s="1091"/>
      <c r="E1" s="812"/>
      <c r="F1" s="812"/>
      <c r="G1" s="812"/>
      <c r="H1" s="812"/>
      <c r="I1" s="812"/>
      <c r="J1" s="812"/>
      <c r="K1" s="812"/>
      <c r="L1" s="812"/>
      <c r="M1" s="812"/>
      <c r="N1" s="812"/>
      <c r="O1" s="812"/>
      <c r="P1" s="812"/>
      <c r="Q1" s="3923"/>
      <c r="R1" s="812"/>
      <c r="S1" s="812"/>
      <c r="T1" s="812"/>
      <c r="U1" s="812"/>
      <c r="V1" s="812"/>
      <c r="W1" s="812"/>
      <c r="X1" s="812"/>
      <c r="Y1" s="3344"/>
      <c r="Z1" s="812"/>
      <c r="AA1" s="812"/>
      <c r="AB1" s="812"/>
      <c r="AC1" s="812"/>
      <c r="AD1" s="812"/>
      <c r="AE1" s="812"/>
      <c r="AF1" s="812"/>
      <c r="AG1" s="812"/>
      <c r="AH1" s="812"/>
      <c r="AI1" s="812"/>
      <c r="AJ1" s="812"/>
      <c r="AK1" s="812"/>
      <c r="AL1" s="812"/>
      <c r="AM1" s="812"/>
      <c r="AN1" s="812"/>
      <c r="AO1" s="812"/>
      <c r="AP1" s="812"/>
      <c r="AQ1" s="812"/>
      <c r="AR1" s="812"/>
      <c r="AS1" s="812"/>
      <c r="AT1" s="812"/>
      <c r="AU1" s="812"/>
      <c r="AV1" s="812"/>
      <c r="AW1" s="812"/>
      <c r="AX1" s="812"/>
      <c r="AY1" s="812"/>
      <c r="AZ1" s="812"/>
      <c r="BA1" s="812"/>
      <c r="BB1" s="815"/>
      <c r="BC1" s="815"/>
      <c r="BD1" s="813"/>
    </row>
    <row r="2" spans="1:59" ht="21.75" customHeight="1" outlineLevel="1">
      <c r="A2" s="157" t="str">
        <f>'Data Input'!A1&amp;" - "&amp;'Data Input'!B1</f>
        <v>PROGRAMME: - MARINA VILLAGE (PROGRAMME 1_TRIPLE BAY)</v>
      </c>
      <c r="B2" s="812"/>
      <c r="C2" s="812"/>
      <c r="D2" s="1091"/>
      <c r="E2" s="812"/>
      <c r="F2" s="812"/>
      <c r="G2" s="1091"/>
      <c r="H2" s="812"/>
      <c r="I2" s="3928"/>
      <c r="J2" s="813"/>
      <c r="K2" s="813"/>
      <c r="L2" s="813"/>
      <c r="M2" s="813"/>
      <c r="N2" s="813"/>
      <c r="O2" s="812"/>
      <c r="P2" s="813"/>
      <c r="Q2" s="3924"/>
      <c r="R2" s="812"/>
      <c r="S2" s="812"/>
      <c r="T2" s="813"/>
      <c r="U2" s="814"/>
      <c r="V2" s="814"/>
      <c r="W2" s="814"/>
      <c r="X2" s="861"/>
      <c r="Y2" s="3345"/>
      <c r="Z2" s="812"/>
      <c r="AA2" s="812"/>
      <c r="AB2" s="813"/>
      <c r="AC2" s="813"/>
      <c r="AD2" s="814"/>
      <c r="AE2" s="813"/>
      <c r="AF2" s="861"/>
      <c r="AG2" s="813"/>
      <c r="AH2" s="812"/>
      <c r="AI2" s="813"/>
      <c r="AJ2" s="813"/>
      <c r="AK2" s="813"/>
      <c r="AL2" s="813"/>
      <c r="AM2" s="813"/>
      <c r="AN2" s="814"/>
      <c r="AO2" s="812"/>
      <c r="AP2" s="812"/>
      <c r="AQ2" s="812"/>
      <c r="AR2" s="812"/>
      <c r="AS2" s="812"/>
      <c r="AT2" s="812"/>
      <c r="AU2" s="812"/>
      <c r="AV2" s="812"/>
      <c r="AW2" s="812"/>
      <c r="AX2" s="812"/>
      <c r="AY2" s="812"/>
      <c r="AZ2" s="812"/>
      <c r="BA2" s="813"/>
      <c r="BB2" s="815"/>
      <c r="BC2" s="815"/>
      <c r="BD2" s="813"/>
    </row>
    <row r="3" spans="1:59" ht="17.25" customHeight="1" outlineLevel="1">
      <c r="A3" s="157" t="str">
        <f>'Data Input'!A2&amp;" - "&amp;'Data Input'!B2</f>
        <v>PROGRAMME CODE: - 1TB01003</v>
      </c>
      <c r="B3" s="812"/>
      <c r="C3" s="812"/>
      <c r="D3" s="1091"/>
      <c r="E3" s="812"/>
      <c r="F3" s="812"/>
      <c r="G3" s="1091"/>
      <c r="H3" s="812"/>
      <c r="I3" s="3928"/>
      <c r="J3" s="812"/>
      <c r="K3" s="812"/>
      <c r="L3" s="813"/>
      <c r="M3" s="813"/>
      <c r="N3" s="813"/>
      <c r="O3" s="812"/>
      <c r="P3" s="813"/>
      <c r="Q3" s="3924"/>
      <c r="R3" s="812"/>
      <c r="S3" s="812"/>
      <c r="T3" s="813"/>
      <c r="U3" s="814"/>
      <c r="V3" s="814"/>
      <c r="W3" s="814"/>
      <c r="X3" s="861"/>
      <c r="Y3" s="3345"/>
      <c r="Z3" s="812"/>
      <c r="AA3" s="812"/>
      <c r="AB3" s="813"/>
      <c r="AC3" s="813"/>
      <c r="AD3" s="814"/>
      <c r="AE3" s="813"/>
      <c r="AF3" s="861"/>
      <c r="AG3" s="813"/>
      <c r="AH3" s="812"/>
      <c r="AI3" s="813"/>
      <c r="AJ3" s="813"/>
      <c r="AK3" s="813"/>
      <c r="AL3" s="813"/>
      <c r="AM3" s="813"/>
      <c r="AN3" s="3595"/>
      <c r="AO3" s="812"/>
      <c r="AP3" s="812"/>
      <c r="AQ3" s="812"/>
      <c r="AR3" s="812"/>
      <c r="AS3" s="812"/>
      <c r="AT3" s="812"/>
      <c r="AU3" s="812"/>
      <c r="AV3" s="812"/>
      <c r="AW3" s="812"/>
      <c r="AX3" s="812"/>
      <c r="AY3" s="812"/>
      <c r="AZ3" s="812"/>
      <c r="BA3" s="813"/>
      <c r="BB3" s="815"/>
      <c r="BC3" s="815"/>
      <c r="BD3" s="813"/>
    </row>
    <row r="4" spans="1:59" ht="17.25" customHeight="1" outlineLevel="1">
      <c r="A4" s="157" t="str">
        <f>'Data Input'!A3&amp;" - "&amp;'Data Input'!B3</f>
        <v>ASSET NAME: - AMAALA YACHT CLUB</v>
      </c>
      <c r="B4" s="812"/>
      <c r="C4" s="812"/>
      <c r="D4" s="1091"/>
      <c r="E4" s="812"/>
      <c r="F4" s="812"/>
      <c r="G4" s="1091"/>
      <c r="H4" s="812"/>
      <c r="I4" s="3929"/>
      <c r="J4" s="859"/>
      <c r="K4" s="859"/>
      <c r="L4" s="813"/>
      <c r="M4" s="813"/>
      <c r="N4" s="813"/>
      <c r="O4" s="812"/>
      <c r="P4" s="813"/>
      <c r="Q4" s="3924"/>
      <c r="R4" s="812"/>
      <c r="S4" s="812"/>
      <c r="T4" s="813"/>
      <c r="U4" s="814"/>
      <c r="V4" s="814"/>
      <c r="W4" s="814"/>
      <c r="X4" s="860"/>
      <c r="Y4" s="3345"/>
      <c r="Z4" s="812"/>
      <c r="AA4" s="812"/>
      <c r="AB4" s="813"/>
      <c r="AC4" s="813"/>
      <c r="AD4" s="814"/>
      <c r="AE4" s="813"/>
      <c r="AF4" s="860"/>
      <c r="AG4" s="813"/>
      <c r="AH4" s="812"/>
      <c r="AI4" s="813"/>
      <c r="AJ4" s="813"/>
      <c r="AK4" s="813"/>
      <c r="AL4" s="813"/>
      <c r="AM4" s="813"/>
      <c r="AN4" s="814"/>
      <c r="AO4" s="812"/>
      <c r="AP4" s="812"/>
      <c r="AQ4" s="812"/>
      <c r="AR4" s="812"/>
      <c r="AS4" s="812"/>
      <c r="AT4" s="812"/>
      <c r="AU4" s="812"/>
      <c r="AV4" s="812"/>
      <c r="AW4" s="812"/>
      <c r="AX4" s="812"/>
      <c r="AY4" s="812"/>
      <c r="AZ4" s="812"/>
      <c r="BA4" s="813"/>
      <c r="BB4" s="815"/>
      <c r="BC4" s="815"/>
      <c r="BD4" s="813"/>
    </row>
    <row r="5" spans="1:59" ht="18" customHeight="1" outlineLevel="1">
      <c r="A5" s="157" t="str">
        <f>'Data Input'!A4&amp;" - "&amp;'Data Input'!B4</f>
        <v>ASSET CODE: - 1TB01003.01</v>
      </c>
      <c r="B5" s="812"/>
      <c r="C5" s="812"/>
      <c r="D5" s="1091"/>
      <c r="E5" s="812"/>
      <c r="F5" s="812"/>
      <c r="G5" s="1091"/>
      <c r="H5" s="812"/>
      <c r="I5" s="3929"/>
      <c r="J5" s="859"/>
      <c r="K5" s="859"/>
      <c r="L5" s="813"/>
      <c r="M5" s="813"/>
      <c r="N5" s="813"/>
      <c r="O5" s="812"/>
      <c r="P5" s="150"/>
      <c r="Q5" s="3924"/>
      <c r="R5" s="812"/>
      <c r="S5" s="150" t="s">
        <v>549</v>
      </c>
      <c r="T5" s="150"/>
      <c r="U5" s="29"/>
      <c r="V5" s="5300">
        <f>Y370</f>
        <v>-6935613.6450000051</v>
      </c>
      <c r="W5" s="5301"/>
      <c r="X5" s="860"/>
      <c r="Y5" s="3345"/>
      <c r="Z5" s="812"/>
      <c r="AA5" s="150" t="s">
        <v>550</v>
      </c>
      <c r="AB5" s="150"/>
      <c r="AC5" s="29"/>
      <c r="AD5" s="29"/>
      <c r="AE5" s="29"/>
      <c r="AF5" s="860"/>
      <c r="AG5" s="813"/>
      <c r="AH5" s="5303" t="s">
        <v>551</v>
      </c>
      <c r="AI5" s="5303"/>
      <c r="AJ5" s="5303"/>
      <c r="AK5" s="5303"/>
      <c r="AL5" s="813"/>
      <c r="AM5" s="813"/>
      <c r="AN5" s="814"/>
      <c r="AO5" s="812"/>
      <c r="AP5" s="812"/>
      <c r="AQ5" s="812"/>
      <c r="AR5" s="812"/>
      <c r="AS5" s="812"/>
      <c r="AT5" s="812"/>
      <c r="AU5" s="5303" t="s">
        <v>353</v>
      </c>
      <c r="AV5" s="5303"/>
      <c r="AW5" s="5303"/>
      <c r="AX5" s="5303"/>
      <c r="AY5" s="812"/>
      <c r="AZ5" s="812"/>
      <c r="BA5" s="813"/>
      <c r="BB5" s="815"/>
      <c r="BC5" s="815"/>
      <c r="BD5" s="813"/>
    </row>
    <row r="6" spans="1:59" ht="17.25" customHeight="1" outlineLevel="1">
      <c r="A6" s="157" t="str">
        <f>'Data Input'!A7&amp;" - "&amp;'Data Input'!B7</f>
        <v>REPORT NO: - MONTHLY REPORT NO. 49</v>
      </c>
      <c r="B6" s="812"/>
      <c r="C6" s="812"/>
      <c r="D6" s="1091"/>
      <c r="E6" s="812"/>
      <c r="F6" s="812"/>
      <c r="G6" s="1091"/>
      <c r="H6" s="812"/>
      <c r="I6" s="3929"/>
      <c r="J6" s="859"/>
      <c r="K6" s="859"/>
      <c r="L6" s="813"/>
      <c r="M6" s="813"/>
      <c r="N6" s="813"/>
      <c r="O6" s="812"/>
      <c r="P6" s="66"/>
      <c r="Q6" s="3924"/>
      <c r="R6" s="812"/>
      <c r="S6" s="692" t="s">
        <v>552</v>
      </c>
      <c r="T6" s="693"/>
      <c r="U6" s="693"/>
      <c r="V6" s="693"/>
      <c r="W6" s="2589">
        <f>COUNTIF($U$34:$U$369,S6)</f>
        <v>37</v>
      </c>
      <c r="X6" s="860"/>
      <c r="Y6" s="3345"/>
      <c r="Z6" s="812"/>
      <c r="AA6" s="694" t="s">
        <v>552</v>
      </c>
      <c r="AB6" s="695"/>
      <c r="AC6" s="695"/>
      <c r="AD6" s="695"/>
      <c r="AE6" s="2590">
        <f>COUNTIF($AC$19:$AC$369,AA6)</f>
        <v>16</v>
      </c>
      <c r="AF6" s="860"/>
      <c r="AG6" s="813"/>
      <c r="AH6" s="5304" t="s">
        <v>552</v>
      </c>
      <c r="AI6" s="5304"/>
      <c r="AJ6" s="5304"/>
      <c r="AK6" s="2591">
        <f>COUNTIF($AJ$19:$AJ$369,AH6)</f>
        <v>13</v>
      </c>
      <c r="AL6" s="813"/>
      <c r="AM6" s="813"/>
      <c r="AN6" s="3595"/>
      <c r="AO6" s="812"/>
      <c r="AP6" s="812"/>
      <c r="AQ6" s="812"/>
      <c r="AR6" s="812"/>
      <c r="AS6" s="812"/>
      <c r="AT6" s="812"/>
      <c r="AU6" s="5310" t="s">
        <v>552</v>
      </c>
      <c r="AV6" s="5310"/>
      <c r="AW6" s="5310"/>
      <c r="AX6" s="2592">
        <f>COUNTIF($BA$19:$BA$369,AU6)</f>
        <v>8</v>
      </c>
      <c r="AY6" s="812"/>
      <c r="AZ6" s="812"/>
      <c r="BA6" s="813"/>
      <c r="BB6" s="815"/>
      <c r="BC6" s="815"/>
      <c r="BD6" s="813"/>
    </row>
    <row r="7" spans="1:59" ht="17.25" customHeight="1" outlineLevel="1">
      <c r="A7" s="157" t="str">
        <f>'Data Input'!A8&amp;" - "&amp;'Data Input'!B8</f>
        <v>REPORTING PERIOD: - OCTOBER 2026</v>
      </c>
      <c r="B7" s="812"/>
      <c r="C7" s="812"/>
      <c r="D7" s="1091"/>
      <c r="E7" s="812"/>
      <c r="F7" s="812"/>
      <c r="G7" s="1091"/>
      <c r="H7" s="812"/>
      <c r="I7" s="3929"/>
      <c r="J7" s="859"/>
      <c r="K7" s="859"/>
      <c r="L7" s="813"/>
      <c r="M7" s="813"/>
      <c r="N7" s="813"/>
      <c r="O7" s="812"/>
      <c r="P7" s="66"/>
      <c r="Q7" s="3924"/>
      <c r="R7" s="812"/>
      <c r="S7" s="692" t="s">
        <v>95</v>
      </c>
      <c r="T7" s="693"/>
      <c r="U7" s="693"/>
      <c r="V7" s="693"/>
      <c r="W7" s="2589">
        <f>COUNTIF($U$34:$U$369,S7)</f>
        <v>163</v>
      </c>
      <c r="X7" s="860"/>
      <c r="Y7" s="3345"/>
      <c r="Z7" s="812"/>
      <c r="AA7" s="694" t="s">
        <v>95</v>
      </c>
      <c r="AB7" s="695"/>
      <c r="AC7" s="695"/>
      <c r="AD7" s="695"/>
      <c r="AE7" s="2590">
        <f>COUNTIF($AC$19:$AC$369,AA7)</f>
        <v>144</v>
      </c>
      <c r="AF7" s="860"/>
      <c r="AG7" s="813"/>
      <c r="AH7" s="5304" t="s">
        <v>95</v>
      </c>
      <c r="AI7" s="5304"/>
      <c r="AJ7" s="5304"/>
      <c r="AK7" s="2591">
        <f>COUNTIF($AJ$19:$AJ$369,AH7)</f>
        <v>139</v>
      </c>
      <c r="AL7" s="813"/>
      <c r="AM7" s="813"/>
      <c r="AN7" s="814"/>
      <c r="AO7" s="812"/>
      <c r="AP7" s="812"/>
      <c r="AQ7" s="812"/>
      <c r="AR7" s="812"/>
      <c r="AS7" s="812"/>
      <c r="AT7" s="812"/>
      <c r="AU7" s="5310" t="s">
        <v>95</v>
      </c>
      <c r="AV7" s="5310"/>
      <c r="AW7" s="5310"/>
      <c r="AX7" s="2592">
        <f>COUNTIF($BA$19:$BA$369,AU7)</f>
        <v>118</v>
      </c>
      <c r="AY7" s="812"/>
      <c r="AZ7" s="812"/>
      <c r="BA7" s="813"/>
      <c r="BB7" s="815"/>
      <c r="BC7" s="815"/>
      <c r="BD7" s="813"/>
    </row>
    <row r="8" spans="1:59" ht="15" customHeight="1" outlineLevel="1">
      <c r="A8" s="812"/>
      <c r="B8" s="812"/>
      <c r="C8" s="812"/>
      <c r="D8" s="1091"/>
      <c r="E8" s="812"/>
      <c r="F8" s="812"/>
      <c r="G8" s="1091"/>
      <c r="H8" s="812"/>
      <c r="I8" s="3929"/>
      <c r="J8" s="859"/>
      <c r="K8" s="859"/>
      <c r="L8" s="813"/>
      <c r="M8" s="813"/>
      <c r="N8" s="813"/>
      <c r="O8" s="812"/>
      <c r="P8" s="4261"/>
      <c r="Q8" s="3924"/>
      <c r="R8" s="812"/>
      <c r="S8" s="692" t="s">
        <v>105</v>
      </c>
      <c r="T8" s="693"/>
      <c r="U8" s="693"/>
      <c r="V8" s="693"/>
      <c r="W8" s="2589">
        <f>COUNTIF($U$34:$U$369,S8)</f>
        <v>3</v>
      </c>
      <c r="X8" s="860"/>
      <c r="Y8" s="3345"/>
      <c r="Z8" s="812"/>
      <c r="AA8" s="694" t="s">
        <v>105</v>
      </c>
      <c r="AB8" s="695"/>
      <c r="AC8" s="695"/>
      <c r="AD8" s="695"/>
      <c r="AE8" s="2590">
        <f>COUNTIF($AC$19:$AC$369,AA8)</f>
        <v>24</v>
      </c>
      <c r="AF8" s="860"/>
      <c r="AG8" s="813"/>
      <c r="AH8" s="5304" t="s">
        <v>105</v>
      </c>
      <c r="AI8" s="5304"/>
      <c r="AJ8" s="5304"/>
      <c r="AK8" s="2591">
        <f>COUNTIF($AJ$19:$AJ$369,AH8)</f>
        <v>14</v>
      </c>
      <c r="AL8" s="813"/>
      <c r="AM8" s="813"/>
      <c r="AN8" s="814"/>
      <c r="AO8" s="812"/>
      <c r="AP8" s="812"/>
      <c r="AQ8" s="812"/>
      <c r="AR8" s="812"/>
      <c r="AS8" s="812"/>
      <c r="AT8" s="812"/>
      <c r="AU8" s="5310" t="s">
        <v>105</v>
      </c>
      <c r="AV8" s="5310"/>
      <c r="AW8" s="5310"/>
      <c r="AX8" s="2592">
        <f>COUNTIF($BA$19:$BA$369,AU8)</f>
        <v>20</v>
      </c>
      <c r="AY8" s="812"/>
      <c r="AZ8" s="4223"/>
      <c r="BA8" s="4224"/>
      <c r="BB8" s="815"/>
      <c r="BC8" s="815"/>
      <c r="BD8" s="813"/>
    </row>
    <row r="9" spans="1:59" ht="15" customHeight="1" outlineLevel="1">
      <c r="A9" s="812"/>
      <c r="B9" s="812"/>
      <c r="C9" s="812"/>
      <c r="D9" s="1091"/>
      <c r="E9" s="812"/>
      <c r="F9" s="812"/>
      <c r="G9" s="1091"/>
      <c r="H9" s="812"/>
      <c r="I9" s="3929"/>
      <c r="J9" s="859"/>
      <c r="K9" s="859"/>
      <c r="L9" s="813"/>
      <c r="M9" s="813"/>
      <c r="N9" s="813"/>
      <c r="O9" s="812"/>
      <c r="P9" s="1034" t="s">
        <v>4678</v>
      </c>
      <c r="Q9" s="3924"/>
      <c r="R9" s="812"/>
      <c r="S9" s="692" t="s">
        <v>553</v>
      </c>
      <c r="T9" s="693"/>
      <c r="U9" s="693"/>
      <c r="V9" s="693"/>
      <c r="W9" s="2589">
        <f>COUNTIF($U$34:$U$369,S9)</f>
        <v>0</v>
      </c>
      <c r="X9" s="5302" t="s">
        <v>554</v>
      </c>
      <c r="Y9" s="3345"/>
      <c r="Z9" s="812"/>
      <c r="AA9" s="694" t="s">
        <v>553</v>
      </c>
      <c r="AB9" s="695"/>
      <c r="AC9" s="695"/>
      <c r="AD9" s="695"/>
      <c r="AE9" s="2590">
        <f>COUNTIF($AC$19:$AC$369,AA9)</f>
        <v>0</v>
      </c>
      <c r="AF9" s="5302" t="s">
        <v>554</v>
      </c>
      <c r="AG9" s="813"/>
      <c r="AH9" s="5322" t="s">
        <v>553</v>
      </c>
      <c r="AI9" s="5304"/>
      <c r="AJ9" s="5304"/>
      <c r="AK9" s="2591">
        <f>COUNTIF($AJ$19:$AJ$369,AH9)</f>
        <v>0</v>
      </c>
      <c r="AL9" s="813"/>
      <c r="AM9" s="813"/>
      <c r="AN9" s="814"/>
      <c r="AO9" s="812"/>
      <c r="AP9" s="812"/>
      <c r="AQ9" s="812"/>
      <c r="AR9" s="812"/>
      <c r="AS9" s="812"/>
      <c r="AT9" s="812"/>
      <c r="AU9" s="5311" t="s">
        <v>553</v>
      </c>
      <c r="AV9" s="5310"/>
      <c r="AW9" s="5310"/>
      <c r="AX9" s="2592">
        <f>COUNTIF($BA$19:$BA$369,AU9)</f>
        <v>0</v>
      </c>
      <c r="AY9" s="5312" t="s">
        <v>554</v>
      </c>
      <c r="AZ9" s="4226"/>
      <c r="BA9" s="4224"/>
      <c r="BB9" s="815"/>
      <c r="BC9" s="815"/>
      <c r="BD9" s="813"/>
    </row>
    <row r="10" spans="1:59" ht="15" customHeight="1" outlineLevel="1">
      <c r="A10" s="812"/>
      <c r="B10" s="2593"/>
      <c r="C10" s="850" t="s">
        <v>555</v>
      </c>
      <c r="D10" s="1091"/>
      <c r="E10" s="812"/>
      <c r="F10" s="812"/>
      <c r="G10" s="1091"/>
      <c r="H10" s="812"/>
      <c r="I10" s="3929"/>
      <c r="J10" s="859"/>
      <c r="K10" s="859"/>
      <c r="L10" s="813"/>
      <c r="M10" s="813"/>
      <c r="N10" s="813"/>
      <c r="O10" s="812"/>
      <c r="P10" s="1034"/>
      <c r="Q10" s="3924"/>
      <c r="R10" s="812"/>
      <c r="S10" s="692" t="s">
        <v>556</v>
      </c>
      <c r="T10" s="693"/>
      <c r="U10" s="693"/>
      <c r="V10" s="693"/>
      <c r="W10" s="2589">
        <f>COUNTIF($U$34:$U$369,S10)</f>
        <v>3</v>
      </c>
      <c r="X10" s="5302"/>
      <c r="Y10" s="3345"/>
      <c r="Z10" s="812"/>
      <c r="AA10" s="694" t="s">
        <v>556</v>
      </c>
      <c r="AB10" s="695"/>
      <c r="AC10" s="695"/>
      <c r="AD10" s="695"/>
      <c r="AE10" s="2590">
        <f>COUNTIF($AC$19:$AC$369,AA10)</f>
        <v>0</v>
      </c>
      <c r="AF10" s="5302"/>
      <c r="AG10" s="813"/>
      <c r="AH10" s="5323"/>
      <c r="AI10" s="5324"/>
      <c r="AJ10" s="5324"/>
      <c r="AK10" s="2594">
        <f>SUM(AK6:AK9)</f>
        <v>166</v>
      </c>
      <c r="AL10" s="813"/>
      <c r="AM10" s="813"/>
      <c r="AN10" s="814"/>
      <c r="AO10" s="812"/>
      <c r="AP10" s="812"/>
      <c r="AQ10" s="812"/>
      <c r="AR10" s="812"/>
      <c r="AS10" s="812"/>
      <c r="AT10" s="812"/>
      <c r="AU10" s="5311" t="s">
        <v>557</v>
      </c>
      <c r="AV10" s="5310"/>
      <c r="AW10" s="5310"/>
      <c r="AX10" s="2592">
        <f>COUNTIF($BA$19:$BA$369,AU10)</f>
        <v>0</v>
      </c>
      <c r="AY10" s="5312"/>
      <c r="AZ10" s="4223"/>
      <c r="BA10" s="4224"/>
      <c r="BB10" s="815"/>
      <c r="BC10" s="815"/>
      <c r="BD10" s="813"/>
    </row>
    <row r="11" spans="1:59" ht="15" customHeight="1" outlineLevel="1">
      <c r="A11" s="812"/>
      <c r="B11" s="1073"/>
      <c r="C11" s="1074" t="s">
        <v>372</v>
      </c>
      <c r="D11" s="1091"/>
      <c r="E11" s="812"/>
      <c r="F11" s="812"/>
      <c r="G11" s="1091"/>
      <c r="H11" s="812"/>
      <c r="I11" s="3929"/>
      <c r="J11" s="859"/>
      <c r="K11" s="859"/>
      <c r="L11" s="813"/>
      <c r="M11" s="813"/>
      <c r="N11" s="813"/>
      <c r="O11" s="812"/>
      <c r="P11" s="655"/>
      <c r="Q11" s="3924"/>
      <c r="R11" s="812"/>
      <c r="S11" s="654"/>
      <c r="T11" s="655"/>
      <c r="U11" s="656"/>
      <c r="V11" s="656"/>
      <c r="W11" s="2589">
        <f>SUM(W6:W10)</f>
        <v>206</v>
      </c>
      <c r="X11" s="5302"/>
      <c r="Y11" s="3345"/>
      <c r="Z11" s="812"/>
      <c r="AA11" s="812"/>
      <c r="AB11" s="813"/>
      <c r="AC11" s="813"/>
      <c r="AD11" s="814"/>
      <c r="AE11" s="2595">
        <f>SUM(AE7:AE10)</f>
        <v>168</v>
      </c>
      <c r="AF11" s="5302"/>
      <c r="AG11" s="813"/>
      <c r="AH11" s="812"/>
      <c r="AI11" s="813"/>
      <c r="AJ11" s="813"/>
      <c r="AK11" s="813"/>
      <c r="AL11" s="813"/>
      <c r="AM11" s="813"/>
      <c r="AN11" s="814"/>
      <c r="AO11" s="812"/>
      <c r="AP11" s="812"/>
      <c r="AQ11" s="812"/>
      <c r="AR11" s="812"/>
      <c r="AS11" s="812"/>
      <c r="AT11" s="812"/>
      <c r="AU11" s="812"/>
      <c r="AV11" s="812"/>
      <c r="AW11" s="812"/>
      <c r="AX11" s="2596">
        <f>SUM(AX6:AX10)</f>
        <v>146</v>
      </c>
      <c r="AY11" s="5312"/>
      <c r="AZ11" s="4227"/>
      <c r="BA11" s="4224"/>
      <c r="BB11" s="815"/>
      <c r="BC11" s="815"/>
      <c r="BD11" s="813"/>
    </row>
    <row r="12" spans="1:59" outlineLevel="1">
      <c r="A12" s="816"/>
      <c r="B12" s="1075"/>
      <c r="C12" s="1074" t="s">
        <v>558</v>
      </c>
      <c r="D12" s="1091"/>
      <c r="E12" s="812"/>
      <c r="F12" s="812"/>
      <c r="G12" s="1091"/>
      <c r="H12" s="812"/>
      <c r="I12" s="3928"/>
      <c r="J12" s="813"/>
      <c r="K12" s="813"/>
      <c r="L12" s="813"/>
      <c r="M12" s="813"/>
      <c r="N12" s="813"/>
      <c r="O12" s="812"/>
      <c r="P12" s="813"/>
      <c r="Q12" s="3924"/>
      <c r="R12" s="812"/>
      <c r="S12" s="812"/>
      <c r="T12" s="813"/>
      <c r="U12" s="814"/>
      <c r="V12" s="814"/>
      <c r="W12" s="814"/>
      <c r="X12" s="813"/>
      <c r="Y12" s="3345"/>
      <c r="Z12" s="812"/>
      <c r="AA12" s="812"/>
      <c r="AB12" s="813"/>
      <c r="AC12" s="813"/>
      <c r="AD12" s="814"/>
      <c r="AE12" s="813"/>
      <c r="AF12" s="813"/>
      <c r="AG12" s="813"/>
      <c r="AH12" s="812"/>
      <c r="AI12" s="813"/>
      <c r="AJ12" s="813"/>
      <c r="AK12" s="813"/>
      <c r="AL12" s="813"/>
      <c r="AM12" s="813"/>
      <c r="AN12" s="814"/>
      <c r="AO12" s="812"/>
      <c r="AP12" s="812"/>
      <c r="AQ12" s="812"/>
      <c r="AR12" s="812"/>
      <c r="AS12" s="812"/>
      <c r="AT12" s="812"/>
      <c r="AU12" s="812"/>
      <c r="AV12" s="812"/>
      <c r="AW12" s="812"/>
      <c r="AX12" s="812"/>
      <c r="AY12" s="813"/>
      <c r="AZ12" s="4225"/>
      <c r="BA12" s="4228"/>
      <c r="BB12" s="815"/>
      <c r="BC12" s="815"/>
      <c r="BD12" s="813"/>
      <c r="BF12" s="771"/>
      <c r="BG12" s="4304"/>
    </row>
    <row r="13" spans="1:59" ht="12.75" customHeight="1" outlineLevel="1">
      <c r="A13" s="812"/>
      <c r="B13" s="1534"/>
      <c r="C13" s="1197" t="s">
        <v>559</v>
      </c>
      <c r="D13" s="1091"/>
      <c r="E13" s="817"/>
      <c r="F13" s="812"/>
      <c r="G13" s="1091"/>
      <c r="H13" s="817"/>
      <c r="I13" s="3928"/>
      <c r="J13" s="813"/>
      <c r="K13" s="813"/>
      <c r="L13" s="818"/>
      <c r="M13" s="818"/>
      <c r="N13" s="819"/>
      <c r="O13" s="812"/>
      <c r="P13" s="813"/>
      <c r="Q13" s="3924"/>
      <c r="R13" s="812"/>
      <c r="S13" s="812"/>
      <c r="T13" s="813"/>
      <c r="U13" s="814"/>
      <c r="V13" s="814"/>
      <c r="W13" s="814"/>
      <c r="X13" s="813"/>
      <c r="Y13" s="4222"/>
      <c r="Z13" s="812"/>
      <c r="AA13" s="812"/>
      <c r="AB13" s="813"/>
      <c r="AC13" s="813"/>
      <c r="AD13" s="814"/>
      <c r="AE13" s="813"/>
      <c r="AF13" s="813"/>
      <c r="AG13" s="4222"/>
      <c r="AH13" s="812"/>
      <c r="AI13" s="813"/>
      <c r="AJ13" s="813"/>
      <c r="AK13" s="818"/>
      <c r="AL13" s="813"/>
      <c r="AM13" s="813"/>
      <c r="AN13" s="820"/>
      <c r="AO13" s="812"/>
      <c r="AP13" s="812"/>
      <c r="AQ13" s="812"/>
      <c r="AR13" s="812"/>
      <c r="AS13" s="812"/>
      <c r="AT13" s="812"/>
      <c r="AU13" s="812"/>
      <c r="AV13" s="812"/>
      <c r="AW13" s="812"/>
      <c r="AX13" s="812"/>
      <c r="AY13" s="813"/>
      <c r="AZ13" s="4222"/>
      <c r="BA13" s="813"/>
      <c r="BB13" s="821"/>
      <c r="BC13" s="815"/>
      <c r="BD13" s="813"/>
    </row>
    <row r="14" spans="1:59" ht="12.75" customHeight="1" outlineLevel="1">
      <c r="A14" s="812"/>
      <c r="B14" s="1535"/>
      <c r="C14" s="1074" t="s">
        <v>560</v>
      </c>
      <c r="D14" s="1091"/>
      <c r="E14" s="817"/>
      <c r="F14" s="812"/>
      <c r="G14" s="1091"/>
      <c r="H14" s="817"/>
      <c r="I14" s="3928"/>
      <c r="J14" s="813"/>
      <c r="K14" s="813"/>
      <c r="L14" s="818"/>
      <c r="M14" s="818"/>
      <c r="N14" s="819"/>
      <c r="O14" s="812"/>
      <c r="P14" s="813"/>
      <c r="Q14" s="3924"/>
      <c r="R14" s="812"/>
      <c r="S14" s="812"/>
      <c r="T14" s="813"/>
      <c r="U14" s="814"/>
      <c r="V14" s="814"/>
      <c r="W14" s="814"/>
      <c r="X14" s="813"/>
      <c r="Y14" s="3345"/>
      <c r="Z14" s="812"/>
      <c r="AA14" s="812"/>
      <c r="AB14" s="813"/>
      <c r="AC14" s="813"/>
      <c r="AD14" s="814"/>
      <c r="AE14" s="813"/>
      <c r="AF14" s="813"/>
      <c r="AG14" s="813"/>
      <c r="AH14" s="812"/>
      <c r="AI14" s="813"/>
      <c r="AJ14" s="813"/>
      <c r="AK14" s="818"/>
      <c r="AL14" s="813"/>
      <c r="AM14" s="813"/>
      <c r="AN14" s="820"/>
      <c r="AO14" s="812"/>
      <c r="AP14" s="812"/>
      <c r="AQ14" s="812"/>
      <c r="AR14" s="812"/>
      <c r="AS14" s="812"/>
      <c r="AT14" s="812"/>
      <c r="AU14" s="812"/>
      <c r="AV14" s="812"/>
      <c r="AW14" s="812"/>
      <c r="AX14" s="812"/>
      <c r="AY14" s="813"/>
      <c r="AZ14" s="812"/>
      <c r="BA14" s="813"/>
      <c r="BB14" s="821"/>
      <c r="BC14" s="815"/>
      <c r="BD14" s="813"/>
    </row>
    <row r="15" spans="1:59" ht="13.5" customHeight="1" outlineLevel="1" thickBot="1">
      <c r="A15" s="822"/>
      <c r="B15" s="822"/>
      <c r="C15" s="822"/>
      <c r="D15" s="826"/>
      <c r="E15" s="823"/>
      <c r="F15" s="822"/>
      <c r="G15" s="826"/>
      <c r="H15" s="823"/>
      <c r="I15" s="2597"/>
      <c r="J15" s="2597"/>
      <c r="K15" s="2597"/>
      <c r="L15" s="824"/>
      <c r="M15" s="824"/>
      <c r="N15" s="825"/>
      <c r="O15" s="2597"/>
      <c r="P15" s="822"/>
      <c r="Q15" s="3922"/>
      <c r="R15" s="2597"/>
      <c r="S15" s="822"/>
      <c r="T15" s="822"/>
      <c r="U15" s="826"/>
      <c r="V15" s="826"/>
      <c r="W15" s="826"/>
      <c r="X15" s="822"/>
      <c r="Y15" s="3346"/>
      <c r="Z15" s="822"/>
      <c r="AA15" s="822"/>
      <c r="AB15" s="822"/>
      <c r="AC15" s="822"/>
      <c r="AD15" s="826"/>
      <c r="AE15" s="822"/>
      <c r="AF15" s="822"/>
      <c r="AG15" s="2597"/>
      <c r="AH15" s="822"/>
      <c r="AI15" s="822"/>
      <c r="AJ15" s="2597"/>
      <c r="AK15" s="827"/>
      <c r="AL15" s="822"/>
      <c r="AM15" s="2597"/>
      <c r="AN15" s="828"/>
      <c r="AO15" s="822"/>
      <c r="AP15" s="822"/>
      <c r="AQ15" s="822"/>
      <c r="AR15" s="822"/>
      <c r="AS15" s="822"/>
      <c r="AT15" s="822"/>
      <c r="AU15" s="822"/>
      <c r="AV15" s="822"/>
      <c r="AW15" s="822"/>
      <c r="AX15" s="822"/>
      <c r="AY15" s="822"/>
      <c r="AZ15" s="822"/>
      <c r="BA15" s="822"/>
      <c r="BB15" s="829"/>
      <c r="BC15" s="830"/>
      <c r="BD15" s="822"/>
    </row>
    <row r="16" spans="1:59" ht="15" customHeight="1" thickBot="1">
      <c r="A16" s="5238" t="s">
        <v>1289</v>
      </c>
      <c r="B16" s="5241" t="s">
        <v>562</v>
      </c>
      <c r="C16" s="5244" t="s">
        <v>157</v>
      </c>
      <c r="D16" s="5247" t="s">
        <v>563</v>
      </c>
      <c r="E16" s="5231" t="s">
        <v>158</v>
      </c>
      <c r="F16" s="5231" t="s">
        <v>564</v>
      </c>
      <c r="G16" s="5231" t="s">
        <v>159</v>
      </c>
      <c r="H16" s="657" t="s">
        <v>565</v>
      </c>
      <c r="I16" s="658"/>
      <c r="J16" s="658"/>
      <c r="K16" s="658"/>
      <c r="L16" s="659"/>
      <c r="M16" s="1115"/>
      <c r="N16" s="660"/>
      <c r="O16" s="1033" t="s">
        <v>566</v>
      </c>
      <c r="P16" s="1033"/>
      <c r="Q16" s="3925"/>
      <c r="R16" s="661" t="s">
        <v>567</v>
      </c>
      <c r="S16" s="661"/>
      <c r="T16" s="661"/>
      <c r="U16" s="662"/>
      <c r="V16" s="662"/>
      <c r="W16" s="662"/>
      <c r="X16" s="663"/>
      <c r="Y16" s="3347"/>
      <c r="Z16" s="664" t="s">
        <v>568</v>
      </c>
      <c r="AA16" s="665"/>
      <c r="AB16" s="665"/>
      <c r="AC16" s="665"/>
      <c r="AD16" s="666"/>
      <c r="AE16" s="665"/>
      <c r="AF16" s="663"/>
      <c r="AG16" s="667"/>
      <c r="AH16" s="668" t="s">
        <v>569</v>
      </c>
      <c r="AI16" s="669"/>
      <c r="AJ16" s="669"/>
      <c r="AK16" s="670"/>
      <c r="AL16" s="671" t="s">
        <v>570</v>
      </c>
      <c r="AM16" s="672"/>
      <c r="AN16" s="673"/>
      <c r="AO16" s="674" t="s">
        <v>571</v>
      </c>
      <c r="AP16" s="674"/>
      <c r="AQ16" s="674"/>
      <c r="AR16" s="674"/>
      <c r="AS16" s="674"/>
      <c r="AT16" s="674"/>
      <c r="AU16" s="674"/>
      <c r="AV16" s="674"/>
      <c r="AW16" s="674"/>
      <c r="AX16" s="674"/>
      <c r="AY16" s="663"/>
      <c r="AZ16" s="674"/>
      <c r="BA16" s="674"/>
      <c r="BB16" s="675" t="s">
        <v>572</v>
      </c>
      <c r="BC16" s="676"/>
      <c r="BD16" s="5260" t="s">
        <v>573</v>
      </c>
      <c r="BF16" s="5283" t="s">
        <v>574</v>
      </c>
      <c r="BG16" s="4305"/>
    </row>
    <row r="17" spans="1:59" ht="24" customHeight="1">
      <c r="A17" s="5239"/>
      <c r="B17" s="5242"/>
      <c r="C17" s="5245"/>
      <c r="D17" s="5248"/>
      <c r="E17" s="5232"/>
      <c r="F17" s="5232"/>
      <c r="G17" s="5232"/>
      <c r="H17" s="5234" t="s">
        <v>5121</v>
      </c>
      <c r="I17" s="5236" t="s">
        <v>576</v>
      </c>
      <c r="J17" s="5229" t="s">
        <v>577</v>
      </c>
      <c r="K17" s="5228" t="s">
        <v>578</v>
      </c>
      <c r="L17" s="5250" t="s">
        <v>579</v>
      </c>
      <c r="M17" s="5272" t="s">
        <v>580</v>
      </c>
      <c r="N17" s="5253" t="s">
        <v>581</v>
      </c>
      <c r="O17" s="5315" t="s">
        <v>582</v>
      </c>
      <c r="P17" s="5317" t="s">
        <v>583</v>
      </c>
      <c r="Q17" s="5313" t="s">
        <v>584</v>
      </c>
      <c r="R17" s="5256" t="s">
        <v>582</v>
      </c>
      <c r="S17" s="5258" t="s">
        <v>585</v>
      </c>
      <c r="T17" s="5258" t="s">
        <v>583</v>
      </c>
      <c r="U17" s="5258" t="s">
        <v>159</v>
      </c>
      <c r="V17" s="5258" t="s">
        <v>586</v>
      </c>
      <c r="W17" s="5258" t="s">
        <v>587</v>
      </c>
      <c r="X17" s="5281" t="s">
        <v>588</v>
      </c>
      <c r="Y17" s="5263" t="s">
        <v>589</v>
      </c>
      <c r="Z17" s="5319" t="s">
        <v>582</v>
      </c>
      <c r="AA17" s="5305" t="s">
        <v>585</v>
      </c>
      <c r="AB17" s="5305" t="s">
        <v>583</v>
      </c>
      <c r="AC17" s="5305" t="s">
        <v>159</v>
      </c>
      <c r="AD17" s="5305" t="s">
        <v>586</v>
      </c>
      <c r="AE17" s="5305" t="s">
        <v>587</v>
      </c>
      <c r="AF17" s="5280" t="s">
        <v>588</v>
      </c>
      <c r="AG17" s="5305" t="s">
        <v>590</v>
      </c>
      <c r="AH17" s="5325" t="s">
        <v>582</v>
      </c>
      <c r="AI17" s="5307" t="s">
        <v>296</v>
      </c>
      <c r="AJ17" s="5307" t="s">
        <v>159</v>
      </c>
      <c r="AK17" s="5307" t="s">
        <v>586</v>
      </c>
      <c r="AL17" s="5329" t="s">
        <v>582</v>
      </c>
      <c r="AM17" s="5332" t="s">
        <v>583</v>
      </c>
      <c r="AN17" s="5335" t="s">
        <v>591</v>
      </c>
      <c r="AO17" s="5275" t="s">
        <v>582</v>
      </c>
      <c r="AP17" s="5277" t="s">
        <v>585</v>
      </c>
      <c r="AQ17" s="831" t="s">
        <v>592</v>
      </c>
      <c r="AR17" s="832"/>
      <c r="AS17" s="960"/>
      <c r="AT17" s="958" t="s">
        <v>593</v>
      </c>
      <c r="AU17" s="833"/>
      <c r="AV17" s="962"/>
      <c r="AW17" s="961" t="s">
        <v>594</v>
      </c>
      <c r="AX17" s="834"/>
      <c r="AY17" s="5280" t="s">
        <v>588</v>
      </c>
      <c r="AZ17" s="835"/>
      <c r="BA17" s="5265" t="s">
        <v>159</v>
      </c>
      <c r="BB17" s="5268" t="s">
        <v>595</v>
      </c>
      <c r="BC17" s="5269"/>
      <c r="BD17" s="5261"/>
      <c r="BF17" s="5284"/>
      <c r="BG17" s="4305"/>
    </row>
    <row r="18" spans="1:59" ht="15.75" customHeight="1">
      <c r="A18" s="5239"/>
      <c r="B18" s="5242"/>
      <c r="C18" s="5245"/>
      <c r="D18" s="5248"/>
      <c r="E18" s="5232"/>
      <c r="F18" s="5232"/>
      <c r="G18" s="5232"/>
      <c r="H18" s="5234"/>
      <c r="I18" s="5236"/>
      <c r="J18" s="5229"/>
      <c r="K18" s="5229"/>
      <c r="L18" s="5251"/>
      <c r="M18" s="5273"/>
      <c r="N18" s="5254"/>
      <c r="O18" s="5315"/>
      <c r="P18" s="5317"/>
      <c r="Q18" s="5313"/>
      <c r="R18" s="5256"/>
      <c r="S18" s="5258"/>
      <c r="T18" s="5258"/>
      <c r="U18" s="5258"/>
      <c r="V18" s="5258"/>
      <c r="W18" s="5258"/>
      <c r="X18" s="5281"/>
      <c r="Y18" s="5263"/>
      <c r="Z18" s="5320"/>
      <c r="AA18" s="5305"/>
      <c r="AB18" s="5305"/>
      <c r="AC18" s="5305"/>
      <c r="AD18" s="5305"/>
      <c r="AE18" s="5305"/>
      <c r="AF18" s="5281"/>
      <c r="AG18" s="5305"/>
      <c r="AH18" s="5325"/>
      <c r="AI18" s="5308"/>
      <c r="AJ18" s="5308"/>
      <c r="AK18" s="5308"/>
      <c r="AL18" s="5330"/>
      <c r="AM18" s="5333"/>
      <c r="AN18" s="5336"/>
      <c r="AO18" s="5275"/>
      <c r="AP18" s="5278"/>
      <c r="AQ18" s="5286" t="s">
        <v>591</v>
      </c>
      <c r="AR18" s="5288" t="s">
        <v>296</v>
      </c>
      <c r="AS18" s="5290" t="s">
        <v>596</v>
      </c>
      <c r="AT18" s="5292" t="s">
        <v>591</v>
      </c>
      <c r="AU18" s="5327" t="s">
        <v>296</v>
      </c>
      <c r="AV18" s="5298" t="s">
        <v>596</v>
      </c>
      <c r="AW18" s="5296" t="s">
        <v>591</v>
      </c>
      <c r="AX18" s="5294" t="s">
        <v>296</v>
      </c>
      <c r="AY18" s="5281"/>
      <c r="AZ18" s="5294" t="s">
        <v>596</v>
      </c>
      <c r="BA18" s="5266"/>
      <c r="BB18" s="5270"/>
      <c r="BC18" s="5271"/>
      <c r="BD18" s="5261"/>
      <c r="BF18" s="5284"/>
      <c r="BG18" s="4305"/>
    </row>
    <row r="19" spans="1:59" ht="9" customHeight="1" thickBot="1">
      <c r="A19" s="5240"/>
      <c r="B19" s="5243"/>
      <c r="C19" s="5246"/>
      <c r="D19" s="5249"/>
      <c r="E19" s="5233"/>
      <c r="F19" s="5233"/>
      <c r="G19" s="5233"/>
      <c r="H19" s="5235"/>
      <c r="I19" s="5237"/>
      <c r="J19" s="5230"/>
      <c r="K19" s="5230"/>
      <c r="L19" s="5252"/>
      <c r="M19" s="5274"/>
      <c r="N19" s="5255"/>
      <c r="O19" s="5316"/>
      <c r="P19" s="5318"/>
      <c r="Q19" s="5314"/>
      <c r="R19" s="5257"/>
      <c r="S19" s="5259"/>
      <c r="T19" s="5259"/>
      <c r="U19" s="5259"/>
      <c r="V19" s="5259"/>
      <c r="W19" s="5259"/>
      <c r="X19" s="5282"/>
      <c r="Y19" s="5264"/>
      <c r="Z19" s="5321"/>
      <c r="AA19" s="5306"/>
      <c r="AB19" s="5306"/>
      <c r="AC19" s="5306"/>
      <c r="AD19" s="5306"/>
      <c r="AE19" s="5306"/>
      <c r="AF19" s="5282"/>
      <c r="AG19" s="5306"/>
      <c r="AH19" s="5326"/>
      <c r="AI19" s="5309"/>
      <c r="AJ19" s="5309"/>
      <c r="AK19" s="5309"/>
      <c r="AL19" s="5331"/>
      <c r="AM19" s="5334"/>
      <c r="AN19" s="5337"/>
      <c r="AO19" s="5276"/>
      <c r="AP19" s="5279"/>
      <c r="AQ19" s="5287"/>
      <c r="AR19" s="5289"/>
      <c r="AS19" s="5291"/>
      <c r="AT19" s="5293"/>
      <c r="AU19" s="5328"/>
      <c r="AV19" s="5299"/>
      <c r="AW19" s="5297"/>
      <c r="AX19" s="5295"/>
      <c r="AY19" s="5282"/>
      <c r="AZ19" s="5295"/>
      <c r="BA19" s="5267"/>
      <c r="BB19" s="836" t="s">
        <v>597</v>
      </c>
      <c r="BC19" s="837" t="s">
        <v>159</v>
      </c>
      <c r="BD19" s="5262"/>
      <c r="BF19" s="5285"/>
      <c r="BG19" s="4305"/>
    </row>
    <row r="20" spans="1:59" s="685" customFormat="1" ht="23.25" customHeight="1">
      <c r="A20" s="677" t="s">
        <v>598</v>
      </c>
      <c r="B20" s="838" t="s">
        <v>599</v>
      </c>
      <c r="C20" s="838" t="s">
        <v>600</v>
      </c>
      <c r="D20" s="839" t="s">
        <v>601</v>
      </c>
      <c r="E20" s="840"/>
      <c r="F20" s="841"/>
      <c r="G20" s="842"/>
      <c r="H20" s="843" t="s">
        <v>602</v>
      </c>
      <c r="I20" s="679"/>
      <c r="J20" s="679"/>
      <c r="K20" s="680"/>
      <c r="L20" s="678"/>
      <c r="M20" s="1114"/>
      <c r="N20" s="681"/>
      <c r="O20" s="682" t="s">
        <v>603</v>
      </c>
      <c r="P20" s="679" t="s">
        <v>604</v>
      </c>
      <c r="Q20" s="3912" t="s">
        <v>605</v>
      </c>
      <c r="R20" s="682" t="s">
        <v>606</v>
      </c>
      <c r="S20" s="679" t="s">
        <v>607</v>
      </c>
      <c r="T20" s="679" t="s">
        <v>608</v>
      </c>
      <c r="U20" s="679" t="s">
        <v>609</v>
      </c>
      <c r="V20" s="679"/>
      <c r="W20" s="679" t="s">
        <v>610</v>
      </c>
      <c r="X20" s="857" t="s">
        <v>611</v>
      </c>
      <c r="Y20" s="3348" t="s">
        <v>605</v>
      </c>
      <c r="Z20" s="683" t="s">
        <v>612</v>
      </c>
      <c r="AA20" s="679" t="s">
        <v>607</v>
      </c>
      <c r="AB20" s="679" t="s">
        <v>613</v>
      </c>
      <c r="AC20" s="679" t="s">
        <v>609</v>
      </c>
      <c r="AD20" s="679"/>
      <c r="AE20" s="679" t="s">
        <v>610</v>
      </c>
      <c r="AF20" s="857" t="s">
        <v>611</v>
      </c>
      <c r="AG20" s="679" t="s">
        <v>605</v>
      </c>
      <c r="AH20" s="683" t="s">
        <v>614</v>
      </c>
      <c r="AI20" s="679" t="s">
        <v>615</v>
      </c>
      <c r="AJ20" s="679" t="s">
        <v>609</v>
      </c>
      <c r="AK20" s="682"/>
      <c r="AL20" s="683" t="s">
        <v>616</v>
      </c>
      <c r="AM20" s="679" t="s">
        <v>617</v>
      </c>
      <c r="AN20" s="678"/>
      <c r="AO20" s="1491" t="s">
        <v>618</v>
      </c>
      <c r="AP20" s="1492" t="s">
        <v>607</v>
      </c>
      <c r="AQ20" s="682"/>
      <c r="AR20" s="679" t="s">
        <v>619</v>
      </c>
      <c r="AS20" s="678" t="s">
        <v>620</v>
      </c>
      <c r="AT20" s="682"/>
      <c r="AU20" s="679" t="s">
        <v>619</v>
      </c>
      <c r="AV20" s="678" t="s">
        <v>620</v>
      </c>
      <c r="AW20" s="682"/>
      <c r="AX20" s="679" t="s">
        <v>619</v>
      </c>
      <c r="AY20" s="857" t="s">
        <v>611</v>
      </c>
      <c r="AZ20" s="678" t="s">
        <v>620</v>
      </c>
      <c r="BA20" s="679" t="s">
        <v>609</v>
      </c>
      <c r="BB20" s="680" t="s">
        <v>621</v>
      </c>
      <c r="BC20" s="684" t="s">
        <v>622</v>
      </c>
      <c r="BD20" s="844" t="s">
        <v>623</v>
      </c>
      <c r="BF20" s="1373"/>
      <c r="BG20" s="4306"/>
    </row>
    <row r="21" spans="1:59" s="686" customFormat="1" ht="25.5">
      <c r="A21" s="1234" t="s">
        <v>624</v>
      </c>
      <c r="B21" s="1884" t="s">
        <v>625</v>
      </c>
      <c r="C21" s="1474" t="s">
        <v>161</v>
      </c>
      <c r="D21" s="1475" t="s">
        <v>78</v>
      </c>
      <c r="E21" s="1476"/>
      <c r="F21" s="1477"/>
      <c r="G21" s="1478"/>
      <c r="H21" s="1479" t="s">
        <v>82</v>
      </c>
      <c r="I21" s="1885" t="s">
        <v>244</v>
      </c>
      <c r="J21" s="1480" t="str">
        <f>IFERROR(VLOOKUP(I21,dropdowns!$E$45:$I$56,2,FALSE)," ")</f>
        <v>1.TB.01.003</v>
      </c>
      <c r="K21" s="1886" t="s">
        <v>244</v>
      </c>
      <c r="L21" s="1481" t="str">
        <f>IFERROR(VLOOKUP(K21,dropdowns!$G$45:$H$56,2,FALSE)," ")</f>
        <v>1.TB.01.003.01</v>
      </c>
      <c r="M21" s="1251"/>
      <c r="N21" s="1482"/>
      <c r="O21" s="1231"/>
      <c r="P21" s="1218"/>
      <c r="Q21" s="3913">
        <v>0</v>
      </c>
      <c r="R21" s="1216"/>
      <c r="S21" s="1217"/>
      <c r="T21" s="1728"/>
      <c r="U21" s="1219"/>
      <c r="V21" s="1219"/>
      <c r="W21" s="1219"/>
      <c r="X21" s="1093" t="str">
        <f>IF(U21="APPROVED","ACTIVE",IF(U21="PENDING","ACTIVE","NOT ACTIVE"))</f>
        <v>NOT ACTIVE</v>
      </c>
      <c r="Y21" s="3349"/>
      <c r="Z21" s="1221"/>
      <c r="AA21" s="1217"/>
      <c r="AB21" s="1728"/>
      <c r="AC21" s="1222"/>
      <c r="AD21" s="1219"/>
      <c r="AE21" s="1222"/>
      <c r="AF21" s="1093" t="str">
        <f t="shared" ref="AF21:AF32" si="0">IF(AC21="APPROVED","ACTIVE","NOT ACTIVE")</f>
        <v>NOT ACTIVE</v>
      </c>
      <c r="AG21" s="1220"/>
      <c r="AH21" s="1223"/>
      <c r="AI21" s="1728"/>
      <c r="AJ21" s="1222"/>
      <c r="AK21" s="1222"/>
      <c r="AL21" s="1223"/>
      <c r="AM21" s="1735"/>
      <c r="AN21" s="1225"/>
      <c r="AO21" s="1226"/>
      <c r="AP21" s="1493"/>
      <c r="AQ21" s="1227"/>
      <c r="AR21" s="1728"/>
      <c r="AS21" s="1220"/>
      <c r="AT21" s="1217"/>
      <c r="AU21" s="1224"/>
      <c r="AV21" s="1220"/>
      <c r="AW21" s="1217"/>
      <c r="AX21" s="1728"/>
      <c r="AY21" s="1093" t="str">
        <f t="shared" ref="AY21:AY32" si="1">IF(BA21="APPROVED","ACTIVE","NOT ACTIVE")</f>
        <v>NOT ACTIVE</v>
      </c>
      <c r="AZ21" s="1220"/>
      <c r="BA21" s="1222"/>
      <c r="BB21" s="1228"/>
      <c r="BC21" s="1229"/>
      <c r="BD21" s="1230"/>
      <c r="BF21" s="1374"/>
    </row>
    <row r="22" spans="1:59" s="686" customFormat="1" ht="27.75" customHeight="1">
      <c r="A22" s="1234" t="s">
        <v>626</v>
      </c>
      <c r="B22" s="1884" t="s">
        <v>627</v>
      </c>
      <c r="C22" s="1474" t="s">
        <v>161</v>
      </c>
      <c r="D22" s="1475" t="s">
        <v>78</v>
      </c>
      <c r="E22" s="1499"/>
      <c r="F22" s="1500"/>
      <c r="G22" s="1501"/>
      <c r="H22" s="1479" t="s">
        <v>82</v>
      </c>
      <c r="I22" s="1885" t="s">
        <v>244</v>
      </c>
      <c r="J22" s="1480" t="str">
        <f>IFERROR(VLOOKUP(I22,dropdowns!$E$45:$I$56,2,FALSE)," ")</f>
        <v>1.TB.01.003</v>
      </c>
      <c r="K22" s="1886" t="s">
        <v>244</v>
      </c>
      <c r="L22" s="1481" t="str">
        <f>IFERROR(VLOOKUP(K22,dropdowns!$G$45:$H$56,2,FALSE)," ")</f>
        <v>1.TB.01.003.01</v>
      </c>
      <c r="M22" s="1502" t="s">
        <v>628</v>
      </c>
      <c r="N22" s="1503" t="s">
        <v>152</v>
      </c>
      <c r="O22" s="1231">
        <v>1</v>
      </c>
      <c r="P22" s="1887">
        <v>44852</v>
      </c>
      <c r="Q22" s="3913"/>
      <c r="R22" s="1216"/>
      <c r="S22" s="1231"/>
      <c r="T22" s="1728"/>
      <c r="U22" s="1219"/>
      <c r="V22" s="1233"/>
      <c r="W22" s="1233"/>
      <c r="X22" s="1093" t="str">
        <f t="shared" ref="X22:X82" si="2">IF(U22="APPROVED","ACTIVE",IF(U22="PENDING","ACTIVE","NOT ACTIVE"))</f>
        <v>NOT ACTIVE</v>
      </c>
      <c r="Y22" s="3349"/>
      <c r="Z22" s="1234"/>
      <c r="AA22" s="1231"/>
      <c r="AB22" s="1728"/>
      <c r="AC22" s="1232"/>
      <c r="AD22" s="1233"/>
      <c r="AE22" s="1232"/>
      <c r="AF22" s="1093" t="str">
        <f t="shared" si="0"/>
        <v>NOT ACTIVE</v>
      </c>
      <c r="AG22" s="1220"/>
      <c r="AH22" s="1234"/>
      <c r="AI22" s="1728"/>
      <c r="AJ22" s="1232"/>
      <c r="AK22" s="1232"/>
      <c r="AL22" s="1234"/>
      <c r="AM22" s="1735"/>
      <c r="AN22" s="1235"/>
      <c r="AO22" s="1226"/>
      <c r="AP22" s="1494"/>
      <c r="AQ22" s="1236"/>
      <c r="AR22" s="1728"/>
      <c r="AS22" s="1220"/>
      <c r="AT22" s="1231"/>
      <c r="AU22" s="1232"/>
      <c r="AV22" s="1220"/>
      <c r="AW22" s="1231"/>
      <c r="AX22" s="1728"/>
      <c r="AY22" s="1093" t="str">
        <f t="shared" si="1"/>
        <v>NOT ACTIVE</v>
      </c>
      <c r="AZ22" s="1220"/>
      <c r="BA22" s="1232"/>
      <c r="BB22" s="1237"/>
      <c r="BC22" s="1238"/>
      <c r="BD22" s="1230" t="s">
        <v>629</v>
      </c>
      <c r="BF22" s="845">
        <f ca="1">IF(BA22="PENDING",TODAY()-AM22,0)</f>
        <v>0</v>
      </c>
      <c r="BG22" s="1377"/>
    </row>
    <row r="23" spans="1:59" s="686" customFormat="1" ht="28.5" customHeight="1">
      <c r="A23" s="1234" t="s">
        <v>630</v>
      </c>
      <c r="B23" s="1498" t="s">
        <v>631</v>
      </c>
      <c r="C23" s="1474" t="s">
        <v>161</v>
      </c>
      <c r="D23" s="1475" t="s">
        <v>78</v>
      </c>
      <c r="E23" s="1476"/>
      <c r="F23" s="1477"/>
      <c r="G23" s="1478"/>
      <c r="H23" s="1479" t="s">
        <v>82</v>
      </c>
      <c r="I23" s="1885" t="s">
        <v>244</v>
      </c>
      <c r="J23" s="1480" t="str">
        <f>IFERROR(VLOOKUP(I23,dropdowns!$E$45:$I$56,2,FALSE)," ")</f>
        <v>1.TB.01.003</v>
      </c>
      <c r="K23" s="1886" t="s">
        <v>244</v>
      </c>
      <c r="L23" s="1481" t="str">
        <f>IFERROR(VLOOKUP(K23,dropdowns!$G$45:$H$56,2,FALSE)," ")</f>
        <v>1.TB.01.003.01</v>
      </c>
      <c r="M23" s="1251" t="s">
        <v>632</v>
      </c>
      <c r="N23" s="1503" t="s">
        <v>152</v>
      </c>
      <c r="O23" s="1231">
        <v>2</v>
      </c>
      <c r="P23" s="1887">
        <v>44852</v>
      </c>
      <c r="Q23" s="3913"/>
      <c r="R23" s="1216"/>
      <c r="S23" s="1217"/>
      <c r="T23" s="1728"/>
      <c r="U23" s="1219"/>
      <c r="V23" s="1219"/>
      <c r="W23" s="1219"/>
      <c r="X23" s="1093" t="str">
        <f t="shared" si="2"/>
        <v>NOT ACTIVE</v>
      </c>
      <c r="Y23" s="3349"/>
      <c r="Z23" s="1221"/>
      <c r="AA23" s="1217"/>
      <c r="AB23" s="1728"/>
      <c r="AC23" s="1222"/>
      <c r="AD23" s="1219"/>
      <c r="AE23" s="1222"/>
      <c r="AF23" s="1093" t="str">
        <f t="shared" si="0"/>
        <v>NOT ACTIVE</v>
      </c>
      <c r="AG23" s="1220"/>
      <c r="AH23" s="1223"/>
      <c r="AI23" s="1728"/>
      <c r="AJ23" s="1222"/>
      <c r="AK23" s="1222"/>
      <c r="AL23" s="1223"/>
      <c r="AM23" s="1735"/>
      <c r="AN23" s="1239"/>
      <c r="AO23" s="1226"/>
      <c r="AP23" s="1493"/>
      <c r="AQ23" s="1227"/>
      <c r="AR23" s="1728"/>
      <c r="AS23" s="1220"/>
      <c r="AT23" s="1217"/>
      <c r="AU23" s="1224"/>
      <c r="AV23" s="1220"/>
      <c r="AW23" s="1217"/>
      <c r="AX23" s="1728"/>
      <c r="AY23" s="1093" t="str">
        <f t="shared" si="1"/>
        <v>NOT ACTIVE</v>
      </c>
      <c r="AZ23" s="1220"/>
      <c r="BA23" s="1222"/>
      <c r="BB23" s="1228"/>
      <c r="BC23" s="1229"/>
      <c r="BD23" s="1230" t="s">
        <v>629</v>
      </c>
      <c r="BE23" s="846"/>
      <c r="BF23" s="845">
        <f ca="1">IF(BA23="PENDING",TODAY()-AM23,0)</f>
        <v>0</v>
      </c>
      <c r="BG23" s="1377"/>
    </row>
    <row r="24" spans="1:59" s="686" customFormat="1" ht="27.75" customHeight="1">
      <c r="A24" s="1234" t="s">
        <v>633</v>
      </c>
      <c r="B24" s="1884" t="s">
        <v>634</v>
      </c>
      <c r="C24" s="1474" t="s">
        <v>161</v>
      </c>
      <c r="D24" s="1475" t="s">
        <v>78</v>
      </c>
      <c r="E24" s="1476"/>
      <c r="F24" s="1477"/>
      <c r="G24" s="1478"/>
      <c r="H24" s="1479" t="s">
        <v>82</v>
      </c>
      <c r="I24" s="1885" t="s">
        <v>244</v>
      </c>
      <c r="J24" s="1480" t="str">
        <f>IFERROR(VLOOKUP(I24,dropdowns!$E$45:$I$56,2,FALSE)," ")</f>
        <v>1.TB.01.003</v>
      </c>
      <c r="K24" s="1886" t="s">
        <v>244</v>
      </c>
      <c r="L24" s="1481" t="str">
        <f>IFERROR(VLOOKUP(K24,dropdowns!$G$45:$H$56,2,FALSE)," ")</f>
        <v>1.TB.01.003.01</v>
      </c>
      <c r="M24" s="1251" t="s">
        <v>635</v>
      </c>
      <c r="N24" s="1503" t="s">
        <v>152</v>
      </c>
      <c r="O24" s="1231">
        <v>3</v>
      </c>
      <c r="P24" s="1887">
        <v>44852</v>
      </c>
      <c r="Q24" s="3913"/>
      <c r="R24" s="1216"/>
      <c r="S24" s="1217"/>
      <c r="T24" s="1728"/>
      <c r="U24" s="1219"/>
      <c r="V24" s="1219"/>
      <c r="W24" s="1219"/>
      <c r="X24" s="1093" t="str">
        <f t="shared" si="2"/>
        <v>NOT ACTIVE</v>
      </c>
      <c r="Y24" s="3349"/>
      <c r="Z24" s="1221"/>
      <c r="AA24" s="1217"/>
      <c r="AB24" s="1728"/>
      <c r="AC24" s="1222"/>
      <c r="AD24" s="1219"/>
      <c r="AE24" s="1222"/>
      <c r="AF24" s="1093" t="str">
        <f t="shared" si="0"/>
        <v>NOT ACTIVE</v>
      </c>
      <c r="AG24" s="1220"/>
      <c r="AH24" s="1223"/>
      <c r="AI24" s="1735"/>
      <c r="AJ24" s="1222"/>
      <c r="AK24" s="1219"/>
      <c r="AL24" s="1223"/>
      <c r="AM24" s="1735"/>
      <c r="AN24" s="1239"/>
      <c r="AO24" s="1226"/>
      <c r="AP24" s="1493"/>
      <c r="AQ24" s="1227"/>
      <c r="AR24" s="1240"/>
      <c r="AS24" s="1241"/>
      <c r="AT24" s="1227"/>
      <c r="AU24" s="1240"/>
      <c r="AV24" s="1241"/>
      <c r="AW24" s="1227"/>
      <c r="AX24" s="1240"/>
      <c r="AY24" s="1093" t="str">
        <f t="shared" si="1"/>
        <v>NOT ACTIVE</v>
      </c>
      <c r="AZ24" s="1241"/>
      <c r="BA24" s="1242"/>
      <c r="BB24" s="1228"/>
      <c r="BC24" s="1229"/>
      <c r="BD24" s="1230" t="s">
        <v>629</v>
      </c>
      <c r="BE24" s="846"/>
      <c r="BF24" s="845">
        <f ca="1">IF(BA24="PENDING",TODAY()-AM24,0)</f>
        <v>0</v>
      </c>
      <c r="BG24" s="1377"/>
    </row>
    <row r="25" spans="1:59" s="687" customFormat="1" ht="25.5">
      <c r="A25" s="1234" t="s">
        <v>636</v>
      </c>
      <c r="B25" s="1884" t="s">
        <v>637</v>
      </c>
      <c r="C25" s="1474" t="s">
        <v>161</v>
      </c>
      <c r="D25" s="1475" t="s">
        <v>78</v>
      </c>
      <c r="E25" s="1476"/>
      <c r="F25" s="1477"/>
      <c r="G25" s="1478"/>
      <c r="H25" s="1479" t="s">
        <v>82</v>
      </c>
      <c r="I25" s="1885" t="s">
        <v>244</v>
      </c>
      <c r="J25" s="1480" t="str">
        <f>IFERROR(VLOOKUP(I25,dropdowns!$E$45:$I$56,2,FALSE)," ")</f>
        <v>1.TB.01.003</v>
      </c>
      <c r="K25" s="1886" t="s">
        <v>244</v>
      </c>
      <c r="L25" s="1481" t="str">
        <f>IFERROR(VLOOKUP(K25,dropdowns!$G$45:$H$56,2,FALSE)," ")</f>
        <v>1.TB.01.003.01</v>
      </c>
      <c r="M25" s="1251" t="s">
        <v>180</v>
      </c>
      <c r="N25" s="1482" t="s">
        <v>155</v>
      </c>
      <c r="O25" s="1231">
        <v>4</v>
      </c>
      <c r="P25" s="1887">
        <v>44852</v>
      </c>
      <c r="Q25" s="3913"/>
      <c r="R25" s="1216"/>
      <c r="S25" s="1217"/>
      <c r="T25" s="1728"/>
      <c r="U25" s="1219"/>
      <c r="V25" s="1218"/>
      <c r="W25" s="1219"/>
      <c r="X25" s="1093" t="str">
        <f t="shared" si="2"/>
        <v>NOT ACTIVE</v>
      </c>
      <c r="Y25" s="3349"/>
      <c r="Z25" s="1221"/>
      <c r="AA25" s="1217"/>
      <c r="AB25" s="1728"/>
      <c r="AC25" s="1222"/>
      <c r="AD25" s="1219"/>
      <c r="AE25" s="1222"/>
      <c r="AF25" s="1093" t="str">
        <f t="shared" si="0"/>
        <v>NOT ACTIVE</v>
      </c>
      <c r="AG25" s="1220"/>
      <c r="AH25" s="1223"/>
      <c r="AI25" s="1728"/>
      <c r="AJ25" s="1222"/>
      <c r="AK25" s="1222"/>
      <c r="AL25" s="1223"/>
      <c r="AM25" s="1735"/>
      <c r="AN25" s="1239"/>
      <c r="AO25" s="1226"/>
      <c r="AP25" s="1493"/>
      <c r="AQ25" s="1227"/>
      <c r="AR25" s="1728"/>
      <c r="AS25" s="1220"/>
      <c r="AT25" s="1217"/>
      <c r="AU25" s="1224"/>
      <c r="AV25" s="1220"/>
      <c r="AW25" s="1217"/>
      <c r="AX25" s="1728"/>
      <c r="AY25" s="1093" t="str">
        <f t="shared" si="1"/>
        <v>NOT ACTIVE</v>
      </c>
      <c r="AZ25" s="1220"/>
      <c r="BA25" s="1222"/>
      <c r="BB25" s="1228"/>
      <c r="BC25" s="1229"/>
      <c r="BD25" s="1230"/>
      <c r="BE25" s="686"/>
      <c r="BF25" s="845">
        <f ca="1">IF(BA25="PENDING",TODAY()-AM25,0)</f>
        <v>0</v>
      </c>
      <c r="BG25" s="1377"/>
    </row>
    <row r="26" spans="1:59" s="687" customFormat="1" ht="28.5" customHeight="1">
      <c r="A26" s="1234" t="s">
        <v>638</v>
      </c>
      <c r="B26" s="1884" t="s">
        <v>639</v>
      </c>
      <c r="C26" s="1474" t="s">
        <v>161</v>
      </c>
      <c r="D26" s="1475" t="s">
        <v>78</v>
      </c>
      <c r="E26" s="1476"/>
      <c r="F26" s="1477"/>
      <c r="H26" s="1479" t="s">
        <v>82</v>
      </c>
      <c r="I26" s="1885" t="s">
        <v>244</v>
      </c>
      <c r="J26" s="1480" t="str">
        <f>IFERROR(VLOOKUP(I26,dropdowns!$E$45:$I$56,2,FALSE)," ")</f>
        <v>1.TB.01.003</v>
      </c>
      <c r="K26" s="1886" t="s">
        <v>244</v>
      </c>
      <c r="L26" s="1481" t="str">
        <f>IFERROR(VLOOKUP(K26,dropdowns!$G$45:$H$56,2,FALSE)," ")</f>
        <v>1.TB.01.003.01</v>
      </c>
      <c r="M26" s="1251" t="s">
        <v>183</v>
      </c>
      <c r="N26" s="1482"/>
      <c r="O26" s="1231">
        <v>5</v>
      </c>
      <c r="P26" s="1887">
        <v>44852</v>
      </c>
      <c r="Q26" s="3913">
        <f>'Schedule K'!G18</f>
        <v>0</v>
      </c>
      <c r="R26" s="1216"/>
      <c r="S26" s="1217"/>
      <c r="T26" s="1728"/>
      <c r="U26" s="1219"/>
      <c r="V26" s="1218"/>
      <c r="W26" s="1219"/>
      <c r="X26" s="1093" t="str">
        <f t="shared" si="2"/>
        <v>NOT ACTIVE</v>
      </c>
      <c r="Y26" s="3349"/>
      <c r="Z26" s="1221"/>
      <c r="AA26" s="1217"/>
      <c r="AB26" s="1728"/>
      <c r="AC26" s="1222"/>
      <c r="AD26" s="1219"/>
      <c r="AE26" s="1222"/>
      <c r="AF26" s="1093" t="str">
        <f t="shared" si="0"/>
        <v>NOT ACTIVE</v>
      </c>
      <c r="AG26" s="1220"/>
      <c r="AH26" s="1223"/>
      <c r="AI26" s="1728"/>
      <c r="AJ26" s="1222"/>
      <c r="AK26" s="1222"/>
      <c r="AL26" s="1223"/>
      <c r="AM26" s="1735"/>
      <c r="AN26" s="1239"/>
      <c r="AO26" s="1226"/>
      <c r="AP26" s="1493"/>
      <c r="AQ26" s="1227"/>
      <c r="AR26" s="1728"/>
      <c r="AS26" s="1220"/>
      <c r="AT26" s="1217"/>
      <c r="AU26" s="1224"/>
      <c r="AV26" s="1220"/>
      <c r="AW26" s="1217"/>
      <c r="AX26" s="1728"/>
      <c r="AY26" s="1093" t="str">
        <f t="shared" si="1"/>
        <v>NOT ACTIVE</v>
      </c>
      <c r="AZ26" s="1220"/>
      <c r="BA26" s="1222"/>
      <c r="BB26" s="1228"/>
      <c r="BC26" s="1229"/>
      <c r="BD26" s="1230" t="s">
        <v>2556</v>
      </c>
      <c r="BE26" s="686"/>
      <c r="BF26" s="845">
        <f ca="1">IF(BA26="PENDING",TODAY()-AM26,0)</f>
        <v>0</v>
      </c>
      <c r="BG26" s="1377"/>
    </row>
    <row r="27" spans="1:59" s="687" customFormat="1" ht="57.75" customHeight="1">
      <c r="A27" s="1234" t="s">
        <v>640</v>
      </c>
      <c r="B27" s="1884" t="s">
        <v>641</v>
      </c>
      <c r="C27" s="1474" t="s">
        <v>161</v>
      </c>
      <c r="D27" s="1475" t="s">
        <v>78</v>
      </c>
      <c r="E27" s="1476"/>
      <c r="F27" s="1477"/>
      <c r="G27" s="1478"/>
      <c r="H27" s="1479" t="s">
        <v>82</v>
      </c>
      <c r="I27" s="1885" t="s">
        <v>244</v>
      </c>
      <c r="J27" s="1480" t="str">
        <f>IFERROR(VLOOKUP(I27,dropdowns!$E$45:$I$56,2,FALSE)," ")</f>
        <v>1.TB.01.003</v>
      </c>
      <c r="K27" s="1886" t="s">
        <v>244</v>
      </c>
      <c r="L27" s="1481" t="str">
        <f>IFERROR(VLOOKUP(K27,dropdowns!$G$45:$H$56,2,FALSE)," ")</f>
        <v>1.TB.01.003.01</v>
      </c>
      <c r="M27" s="1251" t="s">
        <v>183</v>
      </c>
      <c r="N27" s="1482"/>
      <c r="O27" s="1231">
        <v>5.0999999999999996</v>
      </c>
      <c r="P27" s="1887">
        <v>45001</v>
      </c>
      <c r="Q27" s="3913">
        <f>-310140*0</f>
        <v>0</v>
      </c>
      <c r="R27" s="1216"/>
      <c r="S27" s="1217"/>
      <c r="T27" s="1728"/>
      <c r="U27" s="1219"/>
      <c r="V27" s="1218"/>
      <c r="W27" s="1219"/>
      <c r="X27" s="1093" t="str">
        <f t="shared" si="2"/>
        <v>NOT ACTIVE</v>
      </c>
      <c r="Y27" s="3349"/>
      <c r="Z27" s="1221"/>
      <c r="AA27" s="1217"/>
      <c r="AB27" s="1728"/>
      <c r="AC27" s="1222"/>
      <c r="AD27" s="1219"/>
      <c r="AE27" s="1222"/>
      <c r="AF27" s="1093" t="str">
        <f t="shared" si="0"/>
        <v>NOT ACTIVE</v>
      </c>
      <c r="AG27" s="1220"/>
      <c r="AH27" s="1223"/>
      <c r="AI27" s="1728"/>
      <c r="AJ27" s="1222"/>
      <c r="AK27" s="1222"/>
      <c r="AL27" s="1223"/>
      <c r="AM27" s="1735"/>
      <c r="AN27" s="1239"/>
      <c r="AO27" s="1226"/>
      <c r="AP27" s="1493"/>
      <c r="AQ27" s="1227"/>
      <c r="AR27" s="1728"/>
      <c r="AS27" s="1220"/>
      <c r="AT27" s="1217"/>
      <c r="AU27" s="1224"/>
      <c r="AV27" s="1220"/>
      <c r="AW27" s="1217"/>
      <c r="AX27" s="1728"/>
      <c r="AY27" s="1093" t="str">
        <f t="shared" si="1"/>
        <v>NOT ACTIVE</v>
      </c>
      <c r="AZ27" s="1220"/>
      <c r="BA27" s="1222"/>
      <c r="BB27" s="1228"/>
      <c r="BC27" s="1229"/>
      <c r="BD27" s="1230"/>
      <c r="BE27" s="686"/>
      <c r="BF27" s="845"/>
      <c r="BG27" s="1377"/>
    </row>
    <row r="28" spans="1:59" s="687" customFormat="1" ht="25.5">
      <c r="A28" s="1234" t="s">
        <v>642</v>
      </c>
      <c r="B28" s="1884" t="s">
        <v>643</v>
      </c>
      <c r="C28" s="1474" t="s">
        <v>161</v>
      </c>
      <c r="D28" s="1475" t="s">
        <v>78</v>
      </c>
      <c r="E28" s="1476"/>
      <c r="F28" s="1477"/>
      <c r="G28" s="1478"/>
      <c r="H28" s="1479" t="s">
        <v>82</v>
      </c>
      <c r="I28" s="1885" t="s">
        <v>244</v>
      </c>
      <c r="J28" s="1480" t="str">
        <f>IFERROR(VLOOKUP(I28,dropdowns!$E$45:$I$56,2,FALSE)," ")</f>
        <v>1.TB.01.003</v>
      </c>
      <c r="K28" s="1886" t="s">
        <v>244</v>
      </c>
      <c r="L28" s="1481" t="str">
        <f>IFERROR(VLOOKUP(K28,dropdowns!$G$45:$H$56,2,FALSE)," ")</f>
        <v>1.TB.01.003.01</v>
      </c>
      <c r="M28" s="1251" t="s">
        <v>186</v>
      </c>
      <c r="N28" s="1482"/>
      <c r="O28" s="1231">
        <v>6</v>
      </c>
      <c r="P28" s="1887">
        <v>44852</v>
      </c>
      <c r="Q28" s="3913">
        <f>'Schedule K'!G19</f>
        <v>0</v>
      </c>
      <c r="R28" s="1216"/>
      <c r="S28" s="1217"/>
      <c r="T28" s="1728"/>
      <c r="U28" s="1219"/>
      <c r="V28" s="1218"/>
      <c r="W28" s="1219"/>
      <c r="X28" s="1093" t="str">
        <f t="shared" si="2"/>
        <v>NOT ACTIVE</v>
      </c>
      <c r="Y28" s="3349"/>
      <c r="Z28" s="1221"/>
      <c r="AA28" s="1217"/>
      <c r="AB28" s="1728"/>
      <c r="AC28" s="1222"/>
      <c r="AD28" s="1219"/>
      <c r="AE28" s="1222"/>
      <c r="AF28" s="1093" t="str">
        <f t="shared" si="0"/>
        <v>NOT ACTIVE</v>
      </c>
      <c r="AG28" s="1220"/>
      <c r="AH28" s="1223"/>
      <c r="AI28" s="1728"/>
      <c r="AJ28" s="1222"/>
      <c r="AK28" s="1222"/>
      <c r="AL28" s="1223"/>
      <c r="AM28" s="1735"/>
      <c r="AN28" s="1239"/>
      <c r="AO28" s="1226"/>
      <c r="AP28" s="1493"/>
      <c r="AQ28" s="1227"/>
      <c r="AR28" s="1728"/>
      <c r="AS28" s="1220"/>
      <c r="AT28" s="1217"/>
      <c r="AU28" s="1224"/>
      <c r="AV28" s="1220"/>
      <c r="AW28" s="1217"/>
      <c r="AX28" s="1728"/>
      <c r="AY28" s="1093" t="str">
        <f t="shared" si="1"/>
        <v>NOT ACTIVE</v>
      </c>
      <c r="AZ28" s="1220"/>
      <c r="BA28" s="1222"/>
      <c r="BB28" s="1228"/>
      <c r="BC28" s="1229"/>
      <c r="BD28" s="1230"/>
      <c r="BE28" s="686"/>
      <c r="BF28" s="845">
        <f ca="1">IF(BA28="PENDING",TODAY()-AM28,0)</f>
        <v>0</v>
      </c>
      <c r="BG28" s="1377"/>
    </row>
    <row r="29" spans="1:59" s="686" customFormat="1" ht="25.5">
      <c r="A29" s="1234" t="s">
        <v>644</v>
      </c>
      <c r="B29" s="1884" t="s">
        <v>645</v>
      </c>
      <c r="C29" s="1474" t="s">
        <v>161</v>
      </c>
      <c r="D29" s="1475" t="s">
        <v>78</v>
      </c>
      <c r="E29" s="1476"/>
      <c r="F29" s="1477"/>
      <c r="G29" s="1478"/>
      <c r="H29" s="1479" t="s">
        <v>82</v>
      </c>
      <c r="I29" s="1885" t="s">
        <v>244</v>
      </c>
      <c r="J29" s="1480" t="str">
        <f>IFERROR(VLOOKUP(I29,dropdowns!$E$45:$I$56,2,FALSE)," ")</f>
        <v>1.TB.01.003</v>
      </c>
      <c r="K29" s="1886" t="s">
        <v>244</v>
      </c>
      <c r="L29" s="1481" t="str">
        <f>IFERROR(VLOOKUP(K29,dropdowns!$G$45:$H$56,2,FALSE)," ")</f>
        <v>1.TB.01.003.01</v>
      </c>
      <c r="M29" s="1251" t="s">
        <v>189</v>
      </c>
      <c r="N29" s="1482"/>
      <c r="O29" s="1231">
        <v>7</v>
      </c>
      <c r="P29" s="1887">
        <v>44852</v>
      </c>
      <c r="Q29" s="3913">
        <f>-522340*0</f>
        <v>0</v>
      </c>
      <c r="R29" s="1216"/>
      <c r="S29" s="1217"/>
      <c r="T29" s="1728"/>
      <c r="U29" s="1219"/>
      <c r="V29" s="1219"/>
      <c r="W29" s="1219"/>
      <c r="X29" s="1093" t="str">
        <f t="shared" si="2"/>
        <v>NOT ACTIVE</v>
      </c>
      <c r="Y29" s="3349"/>
      <c r="Z29" s="1221"/>
      <c r="AA29" s="1217"/>
      <c r="AB29" s="1728"/>
      <c r="AC29" s="1222"/>
      <c r="AD29" s="1219"/>
      <c r="AE29" s="1222"/>
      <c r="AF29" s="1093" t="str">
        <f t="shared" si="0"/>
        <v>NOT ACTIVE</v>
      </c>
      <c r="AG29" s="1220"/>
      <c r="AH29" s="1223"/>
      <c r="AI29" s="1728"/>
      <c r="AJ29" s="1222"/>
      <c r="AK29" s="1222"/>
      <c r="AL29" s="1223"/>
      <c r="AM29" s="1735"/>
      <c r="AN29" s="1239"/>
      <c r="AO29" s="1226"/>
      <c r="AP29" s="1493"/>
      <c r="AQ29" s="1227"/>
      <c r="AR29" s="1728"/>
      <c r="AS29" s="1220"/>
      <c r="AT29" s="1227"/>
      <c r="AU29" s="1218"/>
      <c r="AV29" s="1220"/>
      <c r="AW29" s="1227"/>
      <c r="AX29" s="1728"/>
      <c r="AY29" s="1093" t="str">
        <f t="shared" si="1"/>
        <v>NOT ACTIVE</v>
      </c>
      <c r="AZ29" s="1220"/>
      <c r="BA29" s="1222"/>
      <c r="BB29" s="1228"/>
      <c r="BC29" s="1229"/>
      <c r="BD29" s="1243"/>
      <c r="BF29" s="845">
        <f ca="1">IF(BA29="PENDING",TODAY()-AM29,0)</f>
        <v>0</v>
      </c>
      <c r="BG29" s="1377"/>
    </row>
    <row r="30" spans="1:59" s="686" customFormat="1" ht="53.45" customHeight="1">
      <c r="A30" s="1234" t="s">
        <v>646</v>
      </c>
      <c r="B30" s="1884" t="s">
        <v>647</v>
      </c>
      <c r="C30" s="1474" t="s">
        <v>161</v>
      </c>
      <c r="D30" s="1475" t="s">
        <v>78</v>
      </c>
      <c r="E30" s="1476"/>
      <c r="F30" s="1477"/>
      <c r="G30" s="1478"/>
      <c r="H30" s="1479" t="s">
        <v>82</v>
      </c>
      <c r="I30" s="1885" t="s">
        <v>244</v>
      </c>
      <c r="J30" s="1480" t="str">
        <f>IFERROR(VLOOKUP(I30,dropdowns!$E$45:$I$56,2,FALSE)," ")</f>
        <v>1.TB.01.003</v>
      </c>
      <c r="K30" s="1886" t="s">
        <v>244</v>
      </c>
      <c r="L30" s="1481" t="str">
        <f>IFERROR(VLOOKUP(K30,dropdowns!$G$45:$H$56,2,FALSE)," ")</f>
        <v>1.TB.01.003.01</v>
      </c>
      <c r="M30" s="1251" t="s">
        <v>189</v>
      </c>
      <c r="N30" s="1482"/>
      <c r="O30" s="1231">
        <v>7</v>
      </c>
      <c r="P30" s="1887">
        <v>45001</v>
      </c>
      <c r="Q30" s="3913">
        <v>0</v>
      </c>
      <c r="R30" s="1216"/>
      <c r="S30" s="1217"/>
      <c r="T30" s="1728"/>
      <c r="U30" s="1219"/>
      <c r="V30" s="1219"/>
      <c r="W30" s="1219"/>
      <c r="X30" s="1093" t="str">
        <f t="shared" si="2"/>
        <v>NOT ACTIVE</v>
      </c>
      <c r="Y30" s="3349"/>
      <c r="Z30" s="1221"/>
      <c r="AA30" s="1217"/>
      <c r="AB30" s="1728"/>
      <c r="AC30" s="1222"/>
      <c r="AD30" s="1219"/>
      <c r="AE30" s="1222"/>
      <c r="AF30" s="1093" t="str">
        <f>IF(AC30="APPROVED","ACTIVE","NOT ACTIVE")</f>
        <v>NOT ACTIVE</v>
      </c>
      <c r="AG30" s="1220"/>
      <c r="AH30" s="1223"/>
      <c r="AI30" s="1728"/>
      <c r="AJ30" s="1222"/>
      <c r="AK30" s="1222"/>
      <c r="AL30" s="1223"/>
      <c r="AM30" s="1735"/>
      <c r="AN30" s="1239"/>
      <c r="AO30" s="1226"/>
      <c r="AP30" s="1493"/>
      <c r="AQ30" s="1227"/>
      <c r="AR30" s="1728"/>
      <c r="AS30" s="1220"/>
      <c r="AT30" s="1227"/>
      <c r="AU30" s="1218"/>
      <c r="AV30" s="1220"/>
      <c r="AW30" s="1227"/>
      <c r="AX30" s="1728"/>
      <c r="AY30" s="1093" t="str">
        <f>IF(BA30="APPROVED","ACTIVE","NOT ACTIVE")</f>
        <v>NOT ACTIVE</v>
      </c>
      <c r="AZ30" s="1220"/>
      <c r="BA30" s="1222"/>
      <c r="BB30" s="1228"/>
      <c r="BC30" s="1229"/>
      <c r="BD30" s="1243"/>
      <c r="BF30" s="845"/>
      <c r="BG30" s="1377"/>
    </row>
    <row r="31" spans="1:59" s="686" customFormat="1" ht="25.5">
      <c r="A31" s="1234" t="s">
        <v>648</v>
      </c>
      <c r="B31" s="1884" t="s">
        <v>649</v>
      </c>
      <c r="C31" s="1474" t="s">
        <v>161</v>
      </c>
      <c r="D31" s="1475" t="s">
        <v>78</v>
      </c>
      <c r="E31" s="1476"/>
      <c r="F31" s="1477"/>
      <c r="G31" s="1478"/>
      <c r="H31" s="1479" t="s">
        <v>82</v>
      </c>
      <c r="I31" s="1885" t="s">
        <v>244</v>
      </c>
      <c r="J31" s="1480" t="str">
        <f>IFERROR(VLOOKUP(I31,dropdowns!$E$45:$I$56,2,FALSE)," ")</f>
        <v>1.TB.01.003</v>
      </c>
      <c r="K31" s="1886" t="s">
        <v>244</v>
      </c>
      <c r="L31" s="1481" t="str">
        <f>IFERROR(VLOOKUP(K31,dropdowns!$G$45:$H$56,2,FALSE)," ")</f>
        <v>1.TB.01.003.01</v>
      </c>
      <c r="M31" s="1251" t="s">
        <v>192</v>
      </c>
      <c r="N31" s="1482"/>
      <c r="O31" s="1231">
        <v>9</v>
      </c>
      <c r="P31" s="1887">
        <v>44990</v>
      </c>
      <c r="Q31" s="3913">
        <f>+'Schedule K'!G22</f>
        <v>0</v>
      </c>
      <c r="R31" s="1216"/>
      <c r="S31" s="1217"/>
      <c r="T31" s="1728"/>
      <c r="U31" s="1219"/>
      <c r="V31" s="1219"/>
      <c r="W31" s="1219"/>
      <c r="X31" s="1093" t="str">
        <f t="shared" si="2"/>
        <v>NOT ACTIVE</v>
      </c>
      <c r="Y31" s="3349"/>
      <c r="Z31" s="1221"/>
      <c r="AA31" s="1217"/>
      <c r="AB31" s="1728"/>
      <c r="AC31" s="1222"/>
      <c r="AD31" s="1219"/>
      <c r="AE31" s="1222"/>
      <c r="AF31" s="1093" t="str">
        <f>IF(AC31="APPROVED","ACTIVE","NOT ACTIVE")</f>
        <v>NOT ACTIVE</v>
      </c>
      <c r="AG31" s="1220"/>
      <c r="AH31" s="1223"/>
      <c r="AI31" s="1728"/>
      <c r="AJ31" s="1222"/>
      <c r="AK31" s="1222"/>
      <c r="AL31" s="1223"/>
      <c r="AM31" s="1735"/>
      <c r="AN31" s="1239"/>
      <c r="AO31" s="1226"/>
      <c r="AP31" s="1493"/>
      <c r="AQ31" s="1227"/>
      <c r="AR31" s="1728"/>
      <c r="AS31" s="1220"/>
      <c r="AT31" s="1227"/>
      <c r="AU31" s="1218"/>
      <c r="AV31" s="1220"/>
      <c r="AW31" s="1227"/>
      <c r="AX31" s="1728"/>
      <c r="AY31" s="1093" t="str">
        <f>IF(BA31="APPROVED","ACTIVE","NOT ACTIVE")</f>
        <v>NOT ACTIVE</v>
      </c>
      <c r="AZ31" s="1220"/>
      <c r="BA31" s="1222"/>
      <c r="BB31" s="1228"/>
      <c r="BC31" s="1229"/>
      <c r="BD31" s="1243"/>
      <c r="BF31" s="845"/>
      <c r="BG31" s="1377"/>
    </row>
    <row r="32" spans="1:59" s="686" customFormat="1" ht="41.25" customHeight="1">
      <c r="A32" s="1234" t="s">
        <v>650</v>
      </c>
      <c r="B32" s="1884" t="s">
        <v>651</v>
      </c>
      <c r="C32" s="1474" t="s">
        <v>161</v>
      </c>
      <c r="D32" s="1475" t="s">
        <v>78</v>
      </c>
      <c r="E32" s="1476"/>
      <c r="F32" s="1477"/>
      <c r="G32" s="1478"/>
      <c r="H32" s="1479" t="s">
        <v>82</v>
      </c>
      <c r="I32" s="1885" t="s">
        <v>244</v>
      </c>
      <c r="J32" s="1480" t="str">
        <f>IFERROR(VLOOKUP(I32,dropdowns!$E$45:$I$56,2,FALSE)," ")</f>
        <v>1.TB.01.003</v>
      </c>
      <c r="K32" s="1886" t="s">
        <v>244</v>
      </c>
      <c r="L32" s="1481" t="str">
        <f>IFERROR(VLOOKUP(K32,dropdowns!$G$45:$H$56,2,FALSE)," ")</f>
        <v>1.TB.01.003.01</v>
      </c>
      <c r="M32" s="1251" t="s">
        <v>195</v>
      </c>
      <c r="N32" s="1482"/>
      <c r="O32" s="1231">
        <v>8</v>
      </c>
      <c r="P32" s="1887">
        <v>44852</v>
      </c>
      <c r="Q32" s="3913">
        <f>'Schedule K'!G23</f>
        <v>0</v>
      </c>
      <c r="R32" s="1216"/>
      <c r="S32" s="1217"/>
      <c r="T32" s="1728"/>
      <c r="U32" s="1219"/>
      <c r="V32" s="1219"/>
      <c r="W32" s="1219"/>
      <c r="X32" s="1093" t="str">
        <f t="shared" si="2"/>
        <v>NOT ACTIVE</v>
      </c>
      <c r="Y32" s="3350"/>
      <c r="Z32" s="1244"/>
      <c r="AA32" s="1245"/>
      <c r="AB32" s="1728"/>
      <c r="AC32" s="1222"/>
      <c r="AD32" s="1219"/>
      <c r="AE32" s="1222"/>
      <c r="AF32" s="1093" t="str">
        <f t="shared" si="0"/>
        <v>NOT ACTIVE</v>
      </c>
      <c r="AG32" s="1248"/>
      <c r="AH32" s="1223"/>
      <c r="AI32" s="1735"/>
      <c r="AJ32" s="1222"/>
      <c r="AK32" s="1219"/>
      <c r="AL32" s="1246"/>
      <c r="AM32" s="1735"/>
      <c r="AN32" s="1239"/>
      <c r="AO32" s="1226"/>
      <c r="AP32" s="1495"/>
      <c r="AQ32" s="1247"/>
      <c r="AR32" s="1728"/>
      <c r="AS32" s="1248"/>
      <c r="AT32" s="1227"/>
      <c r="AU32" s="1218"/>
      <c r="AV32" s="1248"/>
      <c r="AW32" s="1247"/>
      <c r="AX32" s="1728"/>
      <c r="AY32" s="1093" t="str">
        <f t="shared" si="1"/>
        <v>NOT ACTIVE</v>
      </c>
      <c r="AZ32" s="1220"/>
      <c r="BA32" s="1222"/>
      <c r="BB32" s="1228"/>
      <c r="BC32" s="1229"/>
      <c r="BD32" s="1249"/>
      <c r="BF32" s="845">
        <f t="shared" ref="BF32:BF50" ca="1" si="3">IF(BA32="PENDING",TODAY()-AM32,0)</f>
        <v>0</v>
      </c>
      <c r="BG32" s="1377"/>
    </row>
    <row r="33" spans="1:59" s="686" customFormat="1" ht="25.5">
      <c r="A33" s="1234" t="s">
        <v>652</v>
      </c>
      <c r="B33" s="1884" t="s">
        <v>653</v>
      </c>
      <c r="C33" s="1474" t="s">
        <v>161</v>
      </c>
      <c r="D33" s="1475" t="s">
        <v>78</v>
      </c>
      <c r="E33" s="1476"/>
      <c r="F33" s="1477"/>
      <c r="G33" s="1478"/>
      <c r="H33" s="1479" t="s">
        <v>82</v>
      </c>
      <c r="I33" s="1885" t="s">
        <v>244</v>
      </c>
      <c r="J33" s="1480" t="str">
        <f>IFERROR(VLOOKUP(I33,dropdowns!$E$45:$I$56,2,FALSE)," ")</f>
        <v>1.TB.01.003</v>
      </c>
      <c r="K33" s="1886" t="s">
        <v>244</v>
      </c>
      <c r="L33" s="1481" t="str">
        <f>IFERROR(VLOOKUP(K33,dropdowns!$G$45:$H$56,2,FALSE)," ")</f>
        <v>1.TB.01.003.01</v>
      </c>
      <c r="M33" s="1251" t="s">
        <v>200</v>
      </c>
      <c r="N33" s="1482"/>
      <c r="O33" s="1231">
        <v>10</v>
      </c>
      <c r="P33" s="1887">
        <v>44990</v>
      </c>
      <c r="Q33" s="3913">
        <f>+'Schedule K'!G25</f>
        <v>0</v>
      </c>
      <c r="R33" s="1216"/>
      <c r="S33" s="1217"/>
      <c r="T33" s="1728"/>
      <c r="U33" s="1219"/>
      <c r="V33" s="1219"/>
      <c r="W33" s="1219"/>
      <c r="X33" s="1093" t="str">
        <f t="shared" si="2"/>
        <v>NOT ACTIVE</v>
      </c>
      <c r="Y33" s="3349"/>
      <c r="Z33" s="1221"/>
      <c r="AA33" s="1217"/>
      <c r="AB33" s="1728"/>
      <c r="AC33" s="1222"/>
      <c r="AD33" s="1219"/>
      <c r="AE33" s="1222"/>
      <c r="AF33" s="1093" t="str">
        <f>IF(AC33="APPROVED","ACTIVE","NOT ACTIVE")</f>
        <v>NOT ACTIVE</v>
      </c>
      <c r="AG33" s="1220"/>
      <c r="AH33" s="1223"/>
      <c r="AI33" s="1728"/>
      <c r="AJ33" s="1222"/>
      <c r="AK33" s="1222"/>
      <c r="AL33" s="1223"/>
      <c r="AM33" s="1735"/>
      <c r="AN33" s="1239"/>
      <c r="AO33" s="1226"/>
      <c r="AP33" s="1493"/>
      <c r="AQ33" s="1227"/>
      <c r="AR33" s="1728"/>
      <c r="AS33" s="1220"/>
      <c r="AT33" s="1217"/>
      <c r="AU33" s="1224"/>
      <c r="AV33" s="1220"/>
      <c r="AW33" s="1217"/>
      <c r="AX33" s="1728"/>
      <c r="AY33" s="1093" t="str">
        <f>IF(BA33="APPROVED","ACTIVE","NOT ACTIVE")</f>
        <v>NOT ACTIVE</v>
      </c>
      <c r="AZ33" s="1220"/>
      <c r="BA33" s="1222"/>
      <c r="BB33" s="1228"/>
      <c r="BC33" s="1229"/>
      <c r="BD33" s="1230"/>
      <c r="BE33" s="846"/>
      <c r="BF33" s="845">
        <f t="shared" ca="1" si="3"/>
        <v>0</v>
      </c>
      <c r="BG33" s="1377"/>
    </row>
    <row r="34" spans="1:59" s="686" customFormat="1" ht="38.25">
      <c r="A34" s="1132" t="s">
        <v>654</v>
      </c>
      <c r="B34" s="1946" t="s">
        <v>655</v>
      </c>
      <c r="C34" s="1947" t="s">
        <v>165</v>
      </c>
      <c r="D34" s="4498" t="s">
        <v>5122</v>
      </c>
      <c r="E34" s="1948" t="s">
        <v>170</v>
      </c>
      <c r="F34" s="1949" t="s">
        <v>193</v>
      </c>
      <c r="G34" s="1950" t="s">
        <v>191</v>
      </c>
      <c r="H34" s="1951" t="s">
        <v>91</v>
      </c>
      <c r="I34" s="1952" t="s">
        <v>244</v>
      </c>
      <c r="J34" s="1233" t="str">
        <f>IFERROR(VLOOKUP(I34,dropdowns!$E$45:$I$56,2,FALSE)," ")</f>
        <v>1.TB.01.003</v>
      </c>
      <c r="K34" s="1953" t="s">
        <v>244</v>
      </c>
      <c r="L34" s="1954" t="str">
        <f>IFERROR(VLOOKUP(K34,dropdowns!$G$45:$H$56,2,FALSE)," ")</f>
        <v>1.TB.01.003.01</v>
      </c>
      <c r="M34" s="1502" t="s">
        <v>147</v>
      </c>
      <c r="N34" s="1955" t="s">
        <v>135</v>
      </c>
      <c r="O34" s="1231"/>
      <c r="P34" s="1232"/>
      <c r="Q34" s="3913"/>
      <c r="R34" s="1956" t="s">
        <v>2107</v>
      </c>
      <c r="S34" s="1956"/>
      <c r="T34" s="1730">
        <v>44769</v>
      </c>
      <c r="U34" s="1957" t="s">
        <v>79</v>
      </c>
      <c r="V34" s="1958" t="s">
        <v>656</v>
      </c>
      <c r="W34" s="1958" t="s">
        <v>80</v>
      </c>
      <c r="X34" s="1093" t="str">
        <f t="shared" si="2"/>
        <v>ACTIVE</v>
      </c>
      <c r="Y34" s="3352">
        <v>0</v>
      </c>
      <c r="Z34" s="1141" t="s">
        <v>2108</v>
      </c>
      <c r="AA34" s="1956"/>
      <c r="AB34" s="1730">
        <v>44783</v>
      </c>
      <c r="AC34" s="1957" t="s">
        <v>79</v>
      </c>
      <c r="AD34" s="1958" t="s">
        <v>657</v>
      </c>
      <c r="AE34" s="1957" t="s">
        <v>80</v>
      </c>
      <c r="AF34" s="1094" t="str">
        <f>IF(AC34="APPROVED","ACTIVE","NOT ACTIVE")</f>
        <v>ACTIVE</v>
      </c>
      <c r="AG34" s="1180">
        <v>-3634284.17</v>
      </c>
      <c r="AH34" s="1141" t="s">
        <v>658</v>
      </c>
      <c r="AI34" s="1728">
        <v>44783</v>
      </c>
      <c r="AJ34" s="1957" t="s">
        <v>79</v>
      </c>
      <c r="AK34" s="1958" t="s">
        <v>659</v>
      </c>
      <c r="AL34" s="1959" t="s">
        <v>660</v>
      </c>
      <c r="AM34" s="1738">
        <v>44854</v>
      </c>
      <c r="AN34" s="1960" t="s">
        <v>661</v>
      </c>
      <c r="AO34" s="1524"/>
      <c r="AP34" s="2134"/>
      <c r="AQ34" s="2135"/>
      <c r="AR34" s="2136"/>
      <c r="AS34" s="2137"/>
      <c r="AT34" s="2138"/>
      <c r="AU34" s="2136"/>
      <c r="AV34" s="2137"/>
      <c r="AW34" s="1227" t="s">
        <v>2101</v>
      </c>
      <c r="AX34" s="1728">
        <v>45097</v>
      </c>
      <c r="AY34" s="1093" t="str">
        <f>IF(BA34="APPROVED","ACTIVE","NOT ACTIVE")</f>
        <v>ACTIVE</v>
      </c>
      <c r="AZ34" s="1220"/>
      <c r="BA34" s="1222" t="s">
        <v>79</v>
      </c>
      <c r="BB34" s="2843"/>
      <c r="BC34" s="2844"/>
      <c r="BD34" s="2845" t="s">
        <v>2102</v>
      </c>
      <c r="BF34" s="845">
        <f t="shared" ca="1" si="3"/>
        <v>0</v>
      </c>
      <c r="BG34" s="1377"/>
    </row>
    <row r="35" spans="1:59" s="686" customFormat="1" ht="51">
      <c r="A35" s="1132">
        <v>1</v>
      </c>
      <c r="B35" s="1250" t="s">
        <v>662</v>
      </c>
      <c r="C35" s="2101" t="s">
        <v>177</v>
      </c>
      <c r="D35" s="4499" t="s">
        <v>5113</v>
      </c>
      <c r="E35" s="1142" t="s">
        <v>190</v>
      </c>
      <c r="F35" s="1149" t="s">
        <v>190</v>
      </c>
      <c r="G35" s="1143"/>
      <c r="H35" s="1144" t="s">
        <v>82</v>
      </c>
      <c r="I35" s="1138" t="s">
        <v>244</v>
      </c>
      <c r="J35" s="1480" t="str">
        <f>IFERROR(VLOOKUP(I35,dropdowns!$E$45:$I$56,2,FALSE)," ")</f>
        <v>1.TB.01.003</v>
      </c>
      <c r="K35" s="1140" t="s">
        <v>244</v>
      </c>
      <c r="L35" s="1481" t="str">
        <f>IFERROR(VLOOKUP(K35,dropdowns!$G$45:$H$56,2,FALSE)," ")</f>
        <v>1.TB.01.003.01</v>
      </c>
      <c r="M35" s="1251" t="s">
        <v>85</v>
      </c>
      <c r="N35" s="1150" t="s">
        <v>86</v>
      </c>
      <c r="O35" s="1231"/>
      <c r="P35" s="1472"/>
      <c r="Q35" s="3913"/>
      <c r="R35" s="1152">
        <v>2</v>
      </c>
      <c r="S35" s="1153" t="s">
        <v>663</v>
      </c>
      <c r="T35" s="1730">
        <v>44419</v>
      </c>
      <c r="U35" s="1155" t="s">
        <v>79</v>
      </c>
      <c r="V35" s="1156" t="s">
        <v>664</v>
      </c>
      <c r="W35" s="1156" t="s">
        <v>94</v>
      </c>
      <c r="X35" s="1093" t="str">
        <f t="shared" si="2"/>
        <v>ACTIVE</v>
      </c>
      <c r="Y35" s="3352">
        <v>197496.2</v>
      </c>
      <c r="Z35" s="1166" t="s">
        <v>665</v>
      </c>
      <c r="AA35" s="1153"/>
      <c r="AB35" s="1730">
        <v>44419</v>
      </c>
      <c r="AC35" s="1155" t="s">
        <v>79</v>
      </c>
      <c r="AD35" s="1156" t="s">
        <v>664</v>
      </c>
      <c r="AE35" s="1155" t="s">
        <v>94</v>
      </c>
      <c r="AF35" s="1094" t="str">
        <f t="shared" ref="AF35:AF110" si="4">IF(AC35="APPROVED","ACTIVE","NOT ACTIVE")</f>
        <v>ACTIVE</v>
      </c>
      <c r="AG35" s="1180">
        <v>197496.2</v>
      </c>
      <c r="AH35" s="1368" t="s">
        <v>666</v>
      </c>
      <c r="AI35" s="1728">
        <v>44452</v>
      </c>
      <c r="AJ35" s="1155" t="s">
        <v>79</v>
      </c>
      <c r="AK35" s="1156" t="s">
        <v>667</v>
      </c>
      <c r="AL35" s="1368"/>
      <c r="AM35" s="1738"/>
      <c r="AN35" s="1369"/>
      <c r="AO35" s="1368" t="s">
        <v>668</v>
      </c>
      <c r="AP35" s="1169"/>
      <c r="AQ35" s="1170" t="s">
        <v>669</v>
      </c>
      <c r="AR35" s="1730">
        <v>44535</v>
      </c>
      <c r="AS35" s="1180">
        <v>197496.2</v>
      </c>
      <c r="AT35" s="1368"/>
      <c r="AU35" s="1159"/>
      <c r="AV35" s="1180"/>
      <c r="AW35" s="1171" t="s">
        <v>670</v>
      </c>
      <c r="AX35" s="1730">
        <v>44544</v>
      </c>
      <c r="AY35" s="1096" t="str">
        <f t="shared" ref="AY35:AY110" si="5">IF(BA35="APPROVED","ACTIVE","NOT ACTIVE")</f>
        <v>ACTIVE</v>
      </c>
      <c r="AZ35" s="1180">
        <v>197496.2</v>
      </c>
      <c r="BA35" s="1155" t="s">
        <v>79</v>
      </c>
      <c r="BB35" s="1174"/>
      <c r="BC35" s="1175"/>
      <c r="BD35" s="1178"/>
      <c r="BF35" s="845">
        <f t="shared" ca="1" si="3"/>
        <v>0</v>
      </c>
      <c r="BG35" s="1377"/>
    </row>
    <row r="36" spans="1:59" s="686" customFormat="1" ht="51">
      <c r="A36" s="1132">
        <v>2</v>
      </c>
      <c r="B36" s="1250" t="s">
        <v>671</v>
      </c>
      <c r="C36" s="1133" t="s">
        <v>177</v>
      </c>
      <c r="D36" s="4499" t="s">
        <v>5122</v>
      </c>
      <c r="E36" s="1142" t="s">
        <v>190</v>
      </c>
      <c r="F36" s="1135" t="s">
        <v>190</v>
      </c>
      <c r="G36" s="1143"/>
      <c r="H36" s="1144" t="s">
        <v>82</v>
      </c>
      <c r="I36" s="1138" t="s">
        <v>244</v>
      </c>
      <c r="J36" s="1480" t="str">
        <f>IFERROR(VLOOKUP(I36,dropdowns!$E$45:$I$56,2,FALSE)," ")</f>
        <v>1.TB.01.003</v>
      </c>
      <c r="K36" s="1140" t="s">
        <v>244</v>
      </c>
      <c r="L36" s="1481" t="str">
        <f>IFERROR(VLOOKUP(K36,dropdowns!$G$45:$H$56,2,FALSE)," ")</f>
        <v>1.TB.01.003.01</v>
      </c>
      <c r="M36" s="1251" t="s">
        <v>85</v>
      </c>
      <c r="N36" s="1150" t="s">
        <v>86</v>
      </c>
      <c r="O36" s="1231"/>
      <c r="P36" s="1252"/>
      <c r="Q36" s="3913"/>
      <c r="R36" s="1152">
        <v>3</v>
      </c>
      <c r="S36" s="1153" t="s">
        <v>663</v>
      </c>
      <c r="T36" s="1730">
        <v>44419</v>
      </c>
      <c r="U36" s="1155" t="s">
        <v>79</v>
      </c>
      <c r="V36" s="1156" t="s">
        <v>672</v>
      </c>
      <c r="W36" s="1156" t="s">
        <v>80</v>
      </c>
      <c r="X36" s="1093" t="str">
        <f t="shared" si="2"/>
        <v>ACTIVE</v>
      </c>
      <c r="Y36" s="3352">
        <v>138200</v>
      </c>
      <c r="Z36" s="1166" t="s">
        <v>673</v>
      </c>
      <c r="AA36" s="1153"/>
      <c r="AB36" s="1730">
        <v>44419</v>
      </c>
      <c r="AC36" s="1155" t="s">
        <v>79</v>
      </c>
      <c r="AD36" s="1156" t="s">
        <v>672</v>
      </c>
      <c r="AE36" s="1155" t="s">
        <v>80</v>
      </c>
      <c r="AF36" s="1094" t="str">
        <f t="shared" si="4"/>
        <v>ACTIVE</v>
      </c>
      <c r="AG36" s="1180">
        <v>138200</v>
      </c>
      <c r="AH36" s="1141" t="s">
        <v>674</v>
      </c>
      <c r="AI36" s="1728">
        <v>44452</v>
      </c>
      <c r="AJ36" s="1154" t="s">
        <v>79</v>
      </c>
      <c r="AK36" s="1156" t="s">
        <v>675</v>
      </c>
      <c r="AL36" s="1141"/>
      <c r="AM36" s="1730"/>
      <c r="AN36" s="1156"/>
      <c r="AO36" s="1168" t="s">
        <v>676</v>
      </c>
      <c r="AP36" s="1169"/>
      <c r="AQ36" s="1170" t="s">
        <v>677</v>
      </c>
      <c r="AR36" s="1730">
        <v>44545</v>
      </c>
      <c r="AS36" s="1180">
        <v>138200</v>
      </c>
      <c r="AT36" s="1170"/>
      <c r="AU36" s="1159"/>
      <c r="AV36" s="1180"/>
      <c r="AW36" s="1171" t="s">
        <v>678</v>
      </c>
      <c r="AX36" s="1730">
        <v>44544</v>
      </c>
      <c r="AY36" s="1094" t="str">
        <f t="shared" si="5"/>
        <v>ACTIVE</v>
      </c>
      <c r="AZ36" s="1180">
        <v>138200</v>
      </c>
      <c r="BA36" s="1155" t="s">
        <v>79</v>
      </c>
      <c r="BB36" s="1174"/>
      <c r="BC36" s="1175"/>
      <c r="BD36" s="1178" t="s">
        <v>679</v>
      </c>
      <c r="BF36" s="1376">
        <f t="shared" ca="1" si="3"/>
        <v>0</v>
      </c>
      <c r="BG36" s="1378"/>
    </row>
    <row r="37" spans="1:59" s="686" customFormat="1" ht="51">
      <c r="A37" s="1132">
        <v>3</v>
      </c>
      <c r="B37" s="1250" t="s">
        <v>680</v>
      </c>
      <c r="C37" s="1133" t="s">
        <v>177</v>
      </c>
      <c r="D37" s="4499" t="s">
        <v>5122</v>
      </c>
      <c r="E37" s="1142" t="s">
        <v>190</v>
      </c>
      <c r="F37" s="1135" t="s">
        <v>190</v>
      </c>
      <c r="G37" s="1143"/>
      <c r="H37" s="1144" t="s">
        <v>82</v>
      </c>
      <c r="I37" s="1138" t="s">
        <v>244</v>
      </c>
      <c r="J37" s="1480" t="str">
        <f>IFERROR(VLOOKUP(I37,dropdowns!$E$45:$I$56,2,FALSE)," ")</f>
        <v>1.TB.01.003</v>
      </c>
      <c r="K37" s="1140" t="s">
        <v>244</v>
      </c>
      <c r="L37" s="1481" t="str">
        <f>IFERROR(VLOOKUP(K37,dropdowns!$G$45:$H$56,2,FALSE)," ")</f>
        <v>1.TB.01.003.01</v>
      </c>
      <c r="M37" s="1251" t="s">
        <v>85</v>
      </c>
      <c r="N37" s="1150" t="s">
        <v>86</v>
      </c>
      <c r="O37" s="1231"/>
      <c r="P37" s="1252"/>
      <c r="Q37" s="3913"/>
      <c r="R37" s="1152">
        <v>4</v>
      </c>
      <c r="S37" s="1153" t="s">
        <v>663</v>
      </c>
      <c r="T37" s="1730">
        <v>44541</v>
      </c>
      <c r="U37" s="1155" t="s">
        <v>79</v>
      </c>
      <c r="V37" s="1156" t="s">
        <v>681</v>
      </c>
      <c r="W37" s="1156" t="s">
        <v>94</v>
      </c>
      <c r="X37" s="1093" t="str">
        <f t="shared" si="2"/>
        <v>ACTIVE</v>
      </c>
      <c r="Y37" s="3352">
        <v>550000</v>
      </c>
      <c r="Z37" s="1167" t="s">
        <v>682</v>
      </c>
      <c r="AA37" s="1157"/>
      <c r="AB37" s="1730">
        <v>44541</v>
      </c>
      <c r="AC37" s="1155" t="s">
        <v>79</v>
      </c>
      <c r="AD37" s="1156" t="s">
        <v>681</v>
      </c>
      <c r="AE37" s="1155" t="s">
        <v>94</v>
      </c>
      <c r="AF37" s="1094" t="str">
        <f t="shared" si="4"/>
        <v>ACTIVE</v>
      </c>
      <c r="AG37" s="1180">
        <v>550000</v>
      </c>
      <c r="AH37" s="1141" t="s">
        <v>683</v>
      </c>
      <c r="AI37" s="1728">
        <v>44548</v>
      </c>
      <c r="AJ37" s="1154" t="s">
        <v>79</v>
      </c>
      <c r="AK37" s="1156" t="s">
        <v>684</v>
      </c>
      <c r="AL37" s="1141"/>
      <c r="AM37" s="1730"/>
      <c r="AN37" s="1156"/>
      <c r="AO37" s="1168" t="s">
        <v>685</v>
      </c>
      <c r="AP37" s="1172"/>
      <c r="AQ37" s="1170" t="s">
        <v>686</v>
      </c>
      <c r="AR37" s="1730">
        <v>44504</v>
      </c>
      <c r="AS37" s="1180">
        <v>550000</v>
      </c>
      <c r="AT37" s="1170"/>
      <c r="AU37" s="1159"/>
      <c r="AV37" s="1180"/>
      <c r="AW37" s="1171" t="s">
        <v>687</v>
      </c>
      <c r="AX37" s="1730">
        <v>44586</v>
      </c>
      <c r="AY37" s="1094" t="str">
        <f t="shared" si="5"/>
        <v>ACTIVE</v>
      </c>
      <c r="AZ37" s="1180">
        <v>550000</v>
      </c>
      <c r="BA37" s="1155" t="s">
        <v>79</v>
      </c>
      <c r="BB37" s="1174"/>
      <c r="BC37" s="1175"/>
      <c r="BD37" s="1178" t="s">
        <v>679</v>
      </c>
      <c r="BF37" s="845">
        <f t="shared" ca="1" si="3"/>
        <v>0</v>
      </c>
      <c r="BG37" s="1377"/>
    </row>
    <row r="38" spans="1:59" s="686" customFormat="1" ht="51">
      <c r="A38" s="1132">
        <v>4</v>
      </c>
      <c r="B38" s="1250" t="s">
        <v>688</v>
      </c>
      <c r="C38" s="1133" t="s">
        <v>177</v>
      </c>
      <c r="D38" s="4499" t="s">
        <v>5122</v>
      </c>
      <c r="E38" s="1142" t="s">
        <v>181</v>
      </c>
      <c r="F38" s="1135" t="s">
        <v>190</v>
      </c>
      <c r="G38" s="1143"/>
      <c r="H38" s="1144" t="s">
        <v>82</v>
      </c>
      <c r="I38" s="1138" t="s">
        <v>244</v>
      </c>
      <c r="J38" s="1480" t="str">
        <f>IFERROR(VLOOKUP(I38,dropdowns!$E$45:$I$56,2,FALSE)," ")</f>
        <v>1.TB.01.003</v>
      </c>
      <c r="K38" s="1140" t="s">
        <v>244</v>
      </c>
      <c r="L38" s="1481" t="str">
        <f>IFERROR(VLOOKUP(K38,dropdowns!$G$45:$H$56,2,FALSE)," ")</f>
        <v>1.TB.01.003.01</v>
      </c>
      <c r="M38" s="1251" t="s">
        <v>85</v>
      </c>
      <c r="N38" s="1150" t="s">
        <v>86</v>
      </c>
      <c r="O38" s="1231"/>
      <c r="P38" s="1218"/>
      <c r="Q38" s="3913"/>
      <c r="R38" s="1152">
        <v>5</v>
      </c>
      <c r="S38" s="1153" t="s">
        <v>663</v>
      </c>
      <c r="T38" s="1730">
        <v>44548</v>
      </c>
      <c r="U38" s="1155" t="s">
        <v>79</v>
      </c>
      <c r="V38" s="1156" t="s">
        <v>689</v>
      </c>
      <c r="W38" s="1156" t="s">
        <v>94</v>
      </c>
      <c r="X38" s="1093" t="str">
        <f t="shared" si="2"/>
        <v>ACTIVE</v>
      </c>
      <c r="Y38" s="3353">
        <v>350000</v>
      </c>
      <c r="Z38" s="1167" t="s">
        <v>690</v>
      </c>
      <c r="AA38" s="1157"/>
      <c r="AB38" s="1734">
        <v>44548</v>
      </c>
      <c r="AC38" s="1158" t="s">
        <v>79</v>
      </c>
      <c r="AD38" s="1165" t="s">
        <v>689</v>
      </c>
      <c r="AE38" s="1155" t="s">
        <v>94</v>
      </c>
      <c r="AF38" s="1094" t="str">
        <f t="shared" si="4"/>
        <v>ACTIVE</v>
      </c>
      <c r="AG38" s="1181">
        <v>350000</v>
      </c>
      <c r="AH38" s="1141" t="s">
        <v>691</v>
      </c>
      <c r="AI38" s="1728">
        <v>44559</v>
      </c>
      <c r="AJ38" s="1154" t="s">
        <v>79</v>
      </c>
      <c r="AK38" s="1156" t="s">
        <v>692</v>
      </c>
      <c r="AL38" s="1141"/>
      <c r="AM38" s="1730"/>
      <c r="AN38" s="1156"/>
      <c r="AO38" s="1168" t="s">
        <v>693</v>
      </c>
      <c r="AP38" s="1172"/>
      <c r="AQ38" s="1170"/>
      <c r="AR38" s="1730"/>
      <c r="AS38" s="1181">
        <v>261030</v>
      </c>
      <c r="AT38" s="1170"/>
      <c r="AU38" s="1159"/>
      <c r="AV38" s="1181"/>
      <c r="AW38" s="1171" t="s">
        <v>694</v>
      </c>
      <c r="AX38" s="1730">
        <v>44773</v>
      </c>
      <c r="AY38" s="1096" t="str">
        <f t="shared" si="5"/>
        <v>ACTIVE</v>
      </c>
      <c r="AZ38" s="1181">
        <v>261030</v>
      </c>
      <c r="BA38" s="1155" t="s">
        <v>79</v>
      </c>
      <c r="BB38" s="1174"/>
      <c r="BC38" s="1175"/>
      <c r="BD38" s="1178" t="s">
        <v>679</v>
      </c>
      <c r="BF38" s="845">
        <f t="shared" ca="1" si="3"/>
        <v>0</v>
      </c>
      <c r="BG38" s="1377"/>
    </row>
    <row r="39" spans="1:59" s="686" customFormat="1" ht="51">
      <c r="A39" s="1132">
        <v>5</v>
      </c>
      <c r="B39" s="1250" t="s">
        <v>695</v>
      </c>
      <c r="C39" s="1133" t="s">
        <v>177</v>
      </c>
      <c r="D39" s="4499" t="s">
        <v>5122</v>
      </c>
      <c r="E39" s="1142" t="s">
        <v>181</v>
      </c>
      <c r="F39" s="1135" t="s">
        <v>190</v>
      </c>
      <c r="G39" s="1143"/>
      <c r="H39" s="1144" t="s">
        <v>82</v>
      </c>
      <c r="I39" s="1138" t="s">
        <v>244</v>
      </c>
      <c r="J39" s="1480" t="str">
        <f>IFERROR(VLOOKUP(I39,dropdowns!$E$45:$I$56,2,FALSE)," ")</f>
        <v>1.TB.01.003</v>
      </c>
      <c r="K39" s="1140" t="s">
        <v>244</v>
      </c>
      <c r="L39" s="1481" t="str">
        <f>IFERROR(VLOOKUP(K39,dropdowns!$G$45:$H$56,2,FALSE)," ")</f>
        <v>1.TB.01.003.01</v>
      </c>
      <c r="M39" s="1251" t="s">
        <v>85</v>
      </c>
      <c r="N39" s="1150" t="s">
        <v>86</v>
      </c>
      <c r="O39" s="1231"/>
      <c r="P39" s="1218"/>
      <c r="Q39" s="3913"/>
      <c r="R39" s="1152">
        <v>6</v>
      </c>
      <c r="S39" s="1157" t="s">
        <v>696</v>
      </c>
      <c r="T39" s="1730">
        <v>44585</v>
      </c>
      <c r="U39" s="1155" t="s">
        <v>79</v>
      </c>
      <c r="V39" s="1156" t="s">
        <v>697</v>
      </c>
      <c r="W39" s="1156" t="s">
        <v>94</v>
      </c>
      <c r="X39" s="1093" t="str">
        <f t="shared" si="2"/>
        <v>ACTIVE</v>
      </c>
      <c r="Y39" s="3353">
        <v>275000</v>
      </c>
      <c r="Z39" s="1167" t="s">
        <v>698</v>
      </c>
      <c r="AA39" s="1157"/>
      <c r="AB39" s="1734">
        <v>44585</v>
      </c>
      <c r="AC39" s="1158" t="s">
        <v>79</v>
      </c>
      <c r="AD39" s="1165" t="s">
        <v>697</v>
      </c>
      <c r="AE39" s="1155" t="s">
        <v>94</v>
      </c>
      <c r="AF39" s="1094" t="str">
        <f t="shared" si="4"/>
        <v>ACTIVE</v>
      </c>
      <c r="AG39" s="1181">
        <v>275000</v>
      </c>
      <c r="AH39" s="1141" t="s">
        <v>699</v>
      </c>
      <c r="AI39" s="1730"/>
      <c r="AJ39" s="1154" t="s">
        <v>79</v>
      </c>
      <c r="AK39" s="1156"/>
      <c r="AL39" s="1141"/>
      <c r="AM39" s="1730"/>
      <c r="AN39" s="1156"/>
      <c r="AO39" s="1168" t="s">
        <v>700</v>
      </c>
      <c r="AP39" s="1172"/>
      <c r="AQ39" s="1170" t="s">
        <v>701</v>
      </c>
      <c r="AR39" s="1730">
        <v>44795</v>
      </c>
      <c r="AS39" s="1181">
        <v>275000</v>
      </c>
      <c r="AT39" s="1170"/>
      <c r="AU39" s="1159"/>
      <c r="AV39" s="1181"/>
      <c r="AW39" s="1171" t="s">
        <v>702</v>
      </c>
      <c r="AX39" s="1730">
        <v>44810</v>
      </c>
      <c r="AY39" s="1094" t="str">
        <f t="shared" si="5"/>
        <v>ACTIVE</v>
      </c>
      <c r="AZ39" s="1181">
        <v>275000</v>
      </c>
      <c r="BA39" s="1155" t="s">
        <v>79</v>
      </c>
      <c r="BB39" s="1174"/>
      <c r="BC39" s="1175"/>
      <c r="BD39" s="1178" t="s">
        <v>679</v>
      </c>
      <c r="BF39" s="845">
        <f t="shared" ca="1" si="3"/>
        <v>0</v>
      </c>
      <c r="BG39" s="1377"/>
    </row>
    <row r="40" spans="1:59" s="686" customFormat="1" ht="51">
      <c r="A40" s="1132">
        <v>6</v>
      </c>
      <c r="B40" s="1250" t="s">
        <v>703</v>
      </c>
      <c r="C40" s="1133" t="s">
        <v>177</v>
      </c>
      <c r="D40" s="4499" t="s">
        <v>5122</v>
      </c>
      <c r="E40" s="1142" t="s">
        <v>181</v>
      </c>
      <c r="F40" s="1135" t="s">
        <v>190</v>
      </c>
      <c r="G40" s="1136"/>
      <c r="H40" s="1144" t="s">
        <v>82</v>
      </c>
      <c r="I40" s="1138" t="s">
        <v>244</v>
      </c>
      <c r="J40" s="1480" t="str">
        <f>IFERROR(VLOOKUP(I40,dropdowns!$E$45:$I$56,2,FALSE)," ")</f>
        <v>1.TB.01.003</v>
      </c>
      <c r="K40" s="1140" t="s">
        <v>244</v>
      </c>
      <c r="L40" s="1481" t="str">
        <f>IFERROR(VLOOKUP(K40,dropdowns!$G$45:$H$56,2,FALSE)," ")</f>
        <v>1.TB.01.003.01</v>
      </c>
      <c r="M40" s="1251" t="s">
        <v>85</v>
      </c>
      <c r="N40" s="1150" t="s">
        <v>86</v>
      </c>
      <c r="O40" s="1231"/>
      <c r="P40" s="1218"/>
      <c r="Q40" s="3913"/>
      <c r="R40" s="1152">
        <v>7</v>
      </c>
      <c r="S40" s="1157" t="s">
        <v>663</v>
      </c>
      <c r="T40" s="1730">
        <v>44585</v>
      </c>
      <c r="U40" s="1158" t="s">
        <v>79</v>
      </c>
      <c r="V40" s="1156" t="s">
        <v>704</v>
      </c>
      <c r="W40" s="1156" t="s">
        <v>94</v>
      </c>
      <c r="X40" s="1093" t="str">
        <f t="shared" si="2"/>
        <v>ACTIVE</v>
      </c>
      <c r="Y40" s="3353">
        <v>60500</v>
      </c>
      <c r="Z40" s="1167" t="s">
        <v>705</v>
      </c>
      <c r="AA40" s="1157"/>
      <c r="AB40" s="1734">
        <v>44585</v>
      </c>
      <c r="AC40" s="1158" t="s">
        <v>79</v>
      </c>
      <c r="AD40" s="1165" t="s">
        <v>704</v>
      </c>
      <c r="AE40" s="1155" t="s">
        <v>94</v>
      </c>
      <c r="AF40" s="1094" t="str">
        <f t="shared" si="4"/>
        <v>ACTIVE</v>
      </c>
      <c r="AG40" s="1181">
        <v>60500</v>
      </c>
      <c r="AH40" s="1141" t="s">
        <v>706</v>
      </c>
      <c r="AI40" s="1728">
        <v>44590</v>
      </c>
      <c r="AJ40" s="1154" t="s">
        <v>79</v>
      </c>
      <c r="AK40" s="1156" t="s">
        <v>707</v>
      </c>
      <c r="AL40" s="1141"/>
      <c r="AM40" s="1730"/>
      <c r="AN40" s="1156"/>
      <c r="AO40" s="1168" t="s">
        <v>708</v>
      </c>
      <c r="AP40" s="1172"/>
      <c r="AQ40" s="1379" t="s">
        <v>709</v>
      </c>
      <c r="AR40" s="1730">
        <v>44784</v>
      </c>
      <c r="AS40" s="1181">
        <v>60500</v>
      </c>
      <c r="AT40" s="1173"/>
      <c r="AU40" s="1164"/>
      <c r="AV40" s="1184"/>
      <c r="AW40" s="1380" t="s">
        <v>710</v>
      </c>
      <c r="AX40" s="1734">
        <v>44812</v>
      </c>
      <c r="AY40" s="1094" t="str">
        <f t="shared" si="5"/>
        <v>ACTIVE</v>
      </c>
      <c r="AZ40" s="1184">
        <v>60500</v>
      </c>
      <c r="BA40" s="1158" t="s">
        <v>79</v>
      </c>
      <c r="BB40" s="1176"/>
      <c r="BC40" s="1177"/>
      <c r="BD40" s="1179"/>
      <c r="BF40" s="845">
        <f t="shared" ca="1" si="3"/>
        <v>0</v>
      </c>
      <c r="BG40" s="1377"/>
    </row>
    <row r="41" spans="1:59" s="687" customFormat="1" ht="51">
      <c r="A41" s="1132">
        <v>7</v>
      </c>
      <c r="B41" s="1250" t="s">
        <v>711</v>
      </c>
      <c r="C41" s="1133" t="s">
        <v>177</v>
      </c>
      <c r="D41" s="4499" t="s">
        <v>5122</v>
      </c>
      <c r="E41" s="1142" t="s">
        <v>181</v>
      </c>
      <c r="F41" s="1135" t="s">
        <v>190</v>
      </c>
      <c r="G41" s="1136"/>
      <c r="H41" s="1144" t="s">
        <v>82</v>
      </c>
      <c r="I41" s="1138" t="s">
        <v>244</v>
      </c>
      <c r="J41" s="1480" t="str">
        <f>IFERROR(VLOOKUP(I41,dropdowns!$E$45:$I$56,2,FALSE)," ")</f>
        <v>1.TB.01.003</v>
      </c>
      <c r="K41" s="1140" t="s">
        <v>244</v>
      </c>
      <c r="L41" s="1481" t="str">
        <f>IFERROR(VLOOKUP(K41,dropdowns!$G$45:$H$56,2,FALSE)," ")</f>
        <v>1.TB.01.003.01</v>
      </c>
      <c r="M41" s="1251" t="s">
        <v>85</v>
      </c>
      <c r="N41" s="1150" t="s">
        <v>86</v>
      </c>
      <c r="O41" s="1231"/>
      <c r="P41" s="1252"/>
      <c r="Q41" s="3913"/>
      <c r="R41" s="1152">
        <v>8</v>
      </c>
      <c r="S41" s="1157" t="s">
        <v>663</v>
      </c>
      <c r="T41" s="1730">
        <v>44571</v>
      </c>
      <c r="U41" s="1155" t="s">
        <v>79</v>
      </c>
      <c r="V41" s="1156" t="s">
        <v>712</v>
      </c>
      <c r="W41" s="1156" t="s">
        <v>94</v>
      </c>
      <c r="X41" s="1093" t="str">
        <f t="shared" si="2"/>
        <v>ACTIVE</v>
      </c>
      <c r="Y41" s="3353">
        <v>47243.519999999997</v>
      </c>
      <c r="Z41" s="1167" t="s">
        <v>713</v>
      </c>
      <c r="AA41" s="1157"/>
      <c r="AB41" s="1734">
        <v>44571</v>
      </c>
      <c r="AC41" s="1158" t="s">
        <v>79</v>
      </c>
      <c r="AD41" s="1165" t="s">
        <v>712</v>
      </c>
      <c r="AE41" s="1155" t="s">
        <v>94</v>
      </c>
      <c r="AF41" s="1094" t="str">
        <f t="shared" si="4"/>
        <v>ACTIVE</v>
      </c>
      <c r="AG41" s="1181">
        <v>47243.519999999997</v>
      </c>
      <c r="AH41" s="1141" t="s">
        <v>714</v>
      </c>
      <c r="AI41" s="1730"/>
      <c r="AJ41" s="1154" t="s">
        <v>79</v>
      </c>
      <c r="AK41" s="1156"/>
      <c r="AL41" s="1141"/>
      <c r="AM41" s="1730"/>
      <c r="AN41" s="1156"/>
      <c r="AO41" s="1168" t="s">
        <v>715</v>
      </c>
      <c r="AP41" s="1172"/>
      <c r="AQ41" s="1447"/>
      <c r="AR41" s="1730"/>
      <c r="AS41" s="1181">
        <f>47244*0+45604.9</f>
        <v>45604.9</v>
      </c>
      <c r="AT41" s="1447"/>
      <c r="AU41" s="1159"/>
      <c r="AV41" s="1181"/>
      <c r="AW41" s="1483" t="s">
        <v>716</v>
      </c>
      <c r="AX41" s="1730">
        <v>44815</v>
      </c>
      <c r="AY41" s="1093" t="str">
        <f t="shared" si="5"/>
        <v>ACTIVE</v>
      </c>
      <c r="AZ41" s="1181">
        <f>47244*0+45604.9</f>
        <v>45604.9</v>
      </c>
      <c r="BA41" s="1155" t="s">
        <v>79</v>
      </c>
      <c r="BB41" s="1174"/>
      <c r="BC41" s="1175"/>
      <c r="BD41" s="1179"/>
      <c r="BE41" s="686"/>
      <c r="BF41" s="845">
        <f t="shared" ca="1" si="3"/>
        <v>0</v>
      </c>
      <c r="BG41" s="1377"/>
    </row>
    <row r="42" spans="1:59" s="687" customFormat="1" ht="38.25">
      <c r="A42" s="2138" t="s">
        <v>717</v>
      </c>
      <c r="B42" s="1515" t="s">
        <v>718</v>
      </c>
      <c r="C42" s="1145" t="s">
        <v>169</v>
      </c>
      <c r="D42" s="1516" t="s">
        <v>92</v>
      </c>
      <c r="E42" s="1517" t="s">
        <v>181</v>
      </c>
      <c r="F42" s="2821" t="s">
        <v>181</v>
      </c>
      <c r="G42" s="1519" t="s">
        <v>182</v>
      </c>
      <c r="H42" s="1146" t="s">
        <v>104</v>
      </c>
      <c r="I42" s="1147" t="s">
        <v>244</v>
      </c>
      <c r="J42" s="1922" t="str">
        <f>IFERROR(VLOOKUP(I42,dropdowns!$E$45:$I$56,2,FALSE)," ")</f>
        <v>1.TB.01.003</v>
      </c>
      <c r="K42" s="1148" t="s">
        <v>244</v>
      </c>
      <c r="L42" s="1923" t="str">
        <f>IFERROR(VLOOKUP(K42,dropdowns!$G$45:$H$56,2,FALSE)," ")</f>
        <v>1.TB.01.003.01</v>
      </c>
      <c r="M42" s="1456" t="s">
        <v>121</v>
      </c>
      <c r="N42" s="1151" t="s">
        <v>719</v>
      </c>
      <c r="O42" s="1253"/>
      <c r="P42" s="1252"/>
      <c r="Q42" s="3915"/>
      <c r="R42" s="1160">
        <v>2</v>
      </c>
      <c r="S42" s="1161" t="s">
        <v>663</v>
      </c>
      <c r="T42" s="1732">
        <v>44773</v>
      </c>
      <c r="U42" s="1520" t="s">
        <v>125</v>
      </c>
      <c r="V42" s="1163" t="s">
        <v>720</v>
      </c>
      <c r="W42" s="1163" t="s">
        <v>94</v>
      </c>
      <c r="X42" s="1100" t="str">
        <f t="shared" si="2"/>
        <v>NOT ACTIVE</v>
      </c>
      <c r="Y42" s="3354">
        <v>0</v>
      </c>
      <c r="Z42" s="1167"/>
      <c r="AA42" s="1157"/>
      <c r="AB42" s="1730"/>
      <c r="AC42" s="1155"/>
      <c r="AD42" s="1156"/>
      <c r="AE42" s="1155"/>
      <c r="AF42" s="1093" t="str">
        <f t="shared" si="4"/>
        <v>NOT ACTIVE</v>
      </c>
      <c r="AG42" s="1181"/>
      <c r="AH42" s="1141"/>
      <c r="AI42" s="1730"/>
      <c r="AJ42" s="1154"/>
      <c r="AK42" s="1156"/>
      <c r="AL42" s="1141"/>
      <c r="AM42" s="1730"/>
      <c r="AN42" s="1156"/>
      <c r="AO42" s="1168"/>
      <c r="AP42" s="1172"/>
      <c r="AQ42" s="1170"/>
      <c r="AR42" s="1730"/>
      <c r="AS42" s="1181"/>
      <c r="AT42" s="1170"/>
      <c r="AU42" s="1159"/>
      <c r="AV42" s="1181"/>
      <c r="AW42" s="1171"/>
      <c r="AX42" s="1730"/>
      <c r="AY42" s="1093" t="str">
        <f t="shared" si="5"/>
        <v>NOT ACTIVE</v>
      </c>
      <c r="AZ42" s="1181"/>
      <c r="BA42" s="1155"/>
      <c r="BB42" s="1174"/>
      <c r="BC42" s="1175"/>
      <c r="BD42" s="1178" t="s">
        <v>2020</v>
      </c>
      <c r="BE42" s="846"/>
      <c r="BF42" s="845">
        <f t="shared" ca="1" si="3"/>
        <v>0</v>
      </c>
      <c r="BG42" s="1377"/>
    </row>
    <row r="43" spans="1:59" s="686" customFormat="1" ht="38.25">
      <c r="A43" s="1132">
        <v>8</v>
      </c>
      <c r="B43" s="1250" t="s">
        <v>721</v>
      </c>
      <c r="C43" s="1133" t="s">
        <v>165</v>
      </c>
      <c r="D43" s="1140" t="s">
        <v>5122</v>
      </c>
      <c r="E43" s="1142" t="s">
        <v>181</v>
      </c>
      <c r="F43" s="1135" t="s">
        <v>190</v>
      </c>
      <c r="G43" s="1143" t="s">
        <v>218</v>
      </c>
      <c r="H43" s="1144" t="s">
        <v>82</v>
      </c>
      <c r="I43" s="1138" t="s">
        <v>244</v>
      </c>
      <c r="J43" s="1480" t="str">
        <f>IFERROR(VLOOKUP(I43,dropdowns!$E$45:$I$56,2,FALSE)," ")</f>
        <v>1.TB.01.003</v>
      </c>
      <c r="K43" s="1140" t="s">
        <v>244</v>
      </c>
      <c r="L43" s="1481" t="str">
        <f>IFERROR(VLOOKUP(K43,dropdowns!$G$45:$H$56,2,FALSE)," ")</f>
        <v>1.TB.01.003.01</v>
      </c>
      <c r="M43" s="1251" t="s">
        <v>85</v>
      </c>
      <c r="N43" s="1150" t="s">
        <v>86</v>
      </c>
      <c r="O43" s="1231"/>
      <c r="P43" s="1218"/>
      <c r="Q43" s="3913"/>
      <c r="R43" s="1152">
        <v>10</v>
      </c>
      <c r="S43" s="1157" t="s">
        <v>696</v>
      </c>
      <c r="T43" s="1730">
        <v>44833</v>
      </c>
      <c r="U43" s="1155" t="s">
        <v>79</v>
      </c>
      <c r="V43" s="1156" t="s">
        <v>722</v>
      </c>
      <c r="W43" s="1156" t="s">
        <v>94</v>
      </c>
      <c r="X43" s="1093" t="str">
        <f t="shared" si="2"/>
        <v>ACTIVE</v>
      </c>
      <c r="Y43" s="3353">
        <v>0</v>
      </c>
      <c r="Z43" s="1166">
        <v>2</v>
      </c>
      <c r="AA43" s="1217" t="s">
        <v>663</v>
      </c>
      <c r="AB43" s="1728">
        <v>44859</v>
      </c>
      <c r="AC43" s="1154" t="s">
        <v>79</v>
      </c>
      <c r="AD43" s="1139" t="s">
        <v>723</v>
      </c>
      <c r="AE43" s="1154" t="s">
        <v>94</v>
      </c>
      <c r="AF43" s="1093" t="str">
        <f t="shared" si="4"/>
        <v>ACTIVE</v>
      </c>
      <c r="AG43" s="1181">
        <v>16000</v>
      </c>
      <c r="AH43" s="1141" t="s">
        <v>658</v>
      </c>
      <c r="AI43" s="1728">
        <v>44886</v>
      </c>
      <c r="AJ43" s="1154" t="s">
        <v>79</v>
      </c>
      <c r="AK43" s="1156" t="s">
        <v>724</v>
      </c>
      <c r="AL43" s="1141"/>
      <c r="AM43" s="1730"/>
      <c r="AN43" s="1155"/>
      <c r="AO43" s="1168" t="s">
        <v>725</v>
      </c>
      <c r="AP43" s="1169"/>
      <c r="AQ43" s="1170" t="s">
        <v>726</v>
      </c>
      <c r="AR43" s="1880">
        <v>44903</v>
      </c>
      <c r="AS43" s="1881">
        <v>16000</v>
      </c>
      <c r="AT43" s="1368"/>
      <c r="AU43" s="1153"/>
      <c r="AV43" s="1881"/>
      <c r="AW43" s="1171" t="s">
        <v>727</v>
      </c>
      <c r="AX43" s="1880">
        <v>44911</v>
      </c>
      <c r="AY43" s="1093" t="str">
        <f t="shared" si="5"/>
        <v>ACTIVE</v>
      </c>
      <c r="AZ43" s="1181">
        <v>16000</v>
      </c>
      <c r="BA43" s="1153" t="s">
        <v>79</v>
      </c>
      <c r="BB43" s="1174"/>
      <c r="BC43" s="1175"/>
      <c r="BD43" s="1883"/>
      <c r="BE43" s="846"/>
      <c r="BF43" s="845">
        <f t="shared" ca="1" si="3"/>
        <v>0</v>
      </c>
      <c r="BG43" s="1377"/>
    </row>
    <row r="44" spans="1:59" s="686" customFormat="1" ht="51">
      <c r="A44" s="1915">
        <v>9</v>
      </c>
      <c r="B44" s="1515" t="s">
        <v>728</v>
      </c>
      <c r="C44" s="1455" t="s">
        <v>177</v>
      </c>
      <c r="D44" s="1473" t="s">
        <v>78</v>
      </c>
      <c r="E44" s="1142" t="s">
        <v>181</v>
      </c>
      <c r="F44" s="1135" t="s">
        <v>190</v>
      </c>
      <c r="G44" s="1136" t="s">
        <v>179</v>
      </c>
      <c r="H44" s="1146" t="s">
        <v>104</v>
      </c>
      <c r="I44" s="1147" t="s">
        <v>244</v>
      </c>
      <c r="J44" s="1480" t="str">
        <f>IFERROR(VLOOKUP(I44,dropdowns!$E$45:$I$56,2,FALSE)," ")</f>
        <v>1.TB.01.003</v>
      </c>
      <c r="K44" s="1148" t="s">
        <v>244</v>
      </c>
      <c r="L44" s="1481" t="str">
        <f>IFERROR(VLOOKUP(K44,dropdowns!$G$45:$H$56,2,FALSE)," ")</f>
        <v>1.TB.01.003.01</v>
      </c>
      <c r="M44" s="1456" t="s">
        <v>85</v>
      </c>
      <c r="N44" s="1151" t="s">
        <v>86</v>
      </c>
      <c r="O44" s="1253"/>
      <c r="P44" s="1252"/>
      <c r="Q44" s="3913"/>
      <c r="R44" s="1160">
        <v>9</v>
      </c>
      <c r="S44" s="1161" t="s">
        <v>663</v>
      </c>
      <c r="T44" s="1731">
        <v>44628</v>
      </c>
      <c r="U44" s="1162" t="s">
        <v>125</v>
      </c>
      <c r="V44" s="1163" t="s">
        <v>729</v>
      </c>
      <c r="W44" s="1163" t="s">
        <v>80</v>
      </c>
      <c r="X44" s="1093" t="str">
        <f t="shared" si="2"/>
        <v>NOT ACTIVE</v>
      </c>
      <c r="Y44" s="3353"/>
      <c r="Z44" s="1166"/>
      <c r="AA44" s="1157"/>
      <c r="AB44" s="1734"/>
      <c r="AC44" s="1158"/>
      <c r="AD44" s="1165"/>
      <c r="AE44" s="1155"/>
      <c r="AF44" s="1100" t="str">
        <f t="shared" si="4"/>
        <v>NOT ACTIVE</v>
      </c>
      <c r="AG44" s="1181"/>
      <c r="AH44" s="1141"/>
      <c r="AI44" s="1730"/>
      <c r="AJ44" s="1154"/>
      <c r="AK44" s="1156"/>
      <c r="AL44" s="1141"/>
      <c r="AM44" s="1730"/>
      <c r="AN44" s="1156"/>
      <c r="AO44" s="1168"/>
      <c r="AP44" s="1172"/>
      <c r="AQ44" s="1170"/>
      <c r="AR44" s="1730"/>
      <c r="AS44" s="1180"/>
      <c r="AT44" s="1170"/>
      <c r="AU44" s="1159"/>
      <c r="AV44" s="1180"/>
      <c r="AW44" s="1171"/>
      <c r="AX44" s="1730"/>
      <c r="AY44" s="1100" t="str">
        <f t="shared" si="5"/>
        <v>NOT ACTIVE</v>
      </c>
      <c r="AZ44" s="1185"/>
      <c r="BA44" s="1155"/>
      <c r="BB44" s="1174"/>
      <c r="BC44" s="1175"/>
      <c r="BD44" s="1486" t="s">
        <v>730</v>
      </c>
      <c r="BE44" s="846"/>
      <c r="BF44" s="845">
        <f t="shared" ca="1" si="3"/>
        <v>0</v>
      </c>
      <c r="BG44" s="1377"/>
    </row>
    <row r="45" spans="1:59" s="687" customFormat="1" ht="25.5">
      <c r="A45" s="1524">
        <v>10</v>
      </c>
      <c r="B45" s="1515" t="s">
        <v>731</v>
      </c>
      <c r="C45" s="1145" t="s">
        <v>161</v>
      </c>
      <c r="D45" s="1516" t="s">
        <v>78</v>
      </c>
      <c r="E45" s="1142" t="s">
        <v>181</v>
      </c>
      <c r="F45" s="1149" t="s">
        <v>190</v>
      </c>
      <c r="G45" s="1143"/>
      <c r="H45" s="1146" t="s">
        <v>104</v>
      </c>
      <c r="I45" s="1138" t="s">
        <v>244</v>
      </c>
      <c r="J45" s="1480" t="str">
        <f>IFERROR(VLOOKUP(I45,dropdowns!$E$45:$I$56,2,FALSE)," ")</f>
        <v>1.TB.01.003</v>
      </c>
      <c r="K45" s="1140" t="s">
        <v>244</v>
      </c>
      <c r="L45" s="1481" t="str">
        <f>IFERROR(VLOOKUP(K45,dropdowns!$G$45:$H$56,2,FALSE)," ")</f>
        <v>1.TB.01.003.01</v>
      </c>
      <c r="M45" s="1251" t="s">
        <v>85</v>
      </c>
      <c r="N45" s="1151" t="s">
        <v>86</v>
      </c>
      <c r="O45" s="1253"/>
      <c r="P45" s="1252"/>
      <c r="Q45" s="3915"/>
      <c r="R45" s="1160">
        <v>11</v>
      </c>
      <c r="S45" s="2004" t="s">
        <v>663</v>
      </c>
      <c r="T45" s="1732"/>
      <c r="U45" s="1520" t="s">
        <v>125</v>
      </c>
      <c r="V45" s="1520"/>
      <c r="W45" s="1163"/>
      <c r="X45" s="1093" t="str">
        <f t="shared" si="2"/>
        <v>NOT ACTIVE</v>
      </c>
      <c r="Y45" s="3355"/>
      <c r="Z45" s="2005"/>
      <c r="AA45" s="2004"/>
      <c r="AB45" s="1732"/>
      <c r="AC45" s="1520"/>
      <c r="AD45" s="1163"/>
      <c r="AE45" s="1520"/>
      <c r="AF45" s="1093" t="str">
        <f t="shared" si="4"/>
        <v>NOT ACTIVE</v>
      </c>
      <c r="AG45" s="1523"/>
      <c r="AH45" s="1524"/>
      <c r="AI45" s="1732"/>
      <c r="AJ45" s="1520"/>
      <c r="AK45" s="1520"/>
      <c r="AL45" s="1524"/>
      <c r="AM45" s="1732"/>
      <c r="AN45" s="1520"/>
      <c r="AO45" s="2006"/>
      <c r="AP45" s="2007"/>
      <c r="AQ45" s="2008"/>
      <c r="AR45" s="1732"/>
      <c r="AS45" s="1523"/>
      <c r="AT45" s="2008"/>
      <c r="AU45" s="1522"/>
      <c r="AV45" s="1523"/>
      <c r="AW45" s="2008"/>
      <c r="AX45" s="1732"/>
      <c r="AY45" s="1093" t="str">
        <f t="shared" si="5"/>
        <v>NOT ACTIVE</v>
      </c>
      <c r="AZ45" s="1523"/>
      <c r="BA45" s="1520"/>
      <c r="BB45" s="2009"/>
      <c r="BC45" s="2010"/>
      <c r="BD45" s="1178" t="s">
        <v>732</v>
      </c>
      <c r="BE45" s="846"/>
      <c r="BF45" s="845">
        <f t="shared" ca="1" si="3"/>
        <v>0</v>
      </c>
      <c r="BG45" s="1377"/>
    </row>
    <row r="46" spans="1:59" s="687" customFormat="1" ht="38.25">
      <c r="A46" s="1915">
        <v>11</v>
      </c>
      <c r="B46" s="1916" t="s">
        <v>733</v>
      </c>
      <c r="C46" s="1455" t="s">
        <v>161</v>
      </c>
      <c r="D46" s="1917" t="s">
        <v>92</v>
      </c>
      <c r="E46" s="1918" t="s">
        <v>181</v>
      </c>
      <c r="F46" s="1919" t="s">
        <v>181</v>
      </c>
      <c r="G46" s="1920" t="s">
        <v>182</v>
      </c>
      <c r="H46" s="1921" t="s">
        <v>104</v>
      </c>
      <c r="I46" s="1147" t="s">
        <v>244</v>
      </c>
      <c r="J46" s="1922" t="str">
        <f>IFERROR(VLOOKUP(I46,dropdowns!$E$45:$I$56,2,FALSE)," ")</f>
        <v>1.TB.01.003</v>
      </c>
      <c r="K46" s="1148" t="s">
        <v>244</v>
      </c>
      <c r="L46" s="1923" t="str">
        <f>IFERROR(VLOOKUP(K46,dropdowns!$G$45:$H$56,2,FALSE)," ")</f>
        <v>1.TB.01.003.01</v>
      </c>
      <c r="M46" s="1456" t="s">
        <v>85</v>
      </c>
      <c r="N46" s="1924" t="s">
        <v>86</v>
      </c>
      <c r="O46" s="1253"/>
      <c r="P46" s="1252"/>
      <c r="Q46" s="3915"/>
      <c r="R46" s="1925">
        <v>12</v>
      </c>
      <c r="S46" s="1926" t="s">
        <v>663</v>
      </c>
      <c r="T46" s="1732">
        <v>44836</v>
      </c>
      <c r="U46" s="1162" t="s">
        <v>79</v>
      </c>
      <c r="V46" s="1927" t="s">
        <v>734</v>
      </c>
      <c r="W46" s="1163" t="s">
        <v>80</v>
      </c>
      <c r="X46" s="1100" t="str">
        <f t="shared" si="2"/>
        <v>ACTIVE</v>
      </c>
      <c r="Y46" s="3354">
        <v>0</v>
      </c>
      <c r="Z46" s="1167"/>
      <c r="AA46" s="1157"/>
      <c r="AB46" s="1730"/>
      <c r="AC46" s="1155"/>
      <c r="AD46" s="1156"/>
      <c r="AE46" s="1155"/>
      <c r="AF46" s="1093" t="str">
        <f t="shared" si="4"/>
        <v>NOT ACTIVE</v>
      </c>
      <c r="AG46" s="1180"/>
      <c r="AH46" s="1141"/>
      <c r="AI46" s="1730"/>
      <c r="AJ46" s="1155"/>
      <c r="AK46" s="1156"/>
      <c r="AL46" s="1368"/>
      <c r="AM46" s="1738"/>
      <c r="AN46" s="1369"/>
      <c r="AO46" s="1168"/>
      <c r="AP46" s="1172"/>
      <c r="AQ46" s="1928"/>
      <c r="AR46" s="1730"/>
      <c r="AS46" s="1180"/>
      <c r="AT46" s="1447"/>
      <c r="AU46" s="1159"/>
      <c r="AV46" s="1180"/>
      <c r="AW46" s="1447"/>
      <c r="AX46" s="1730"/>
      <c r="AY46" s="1093" t="str">
        <f t="shared" si="5"/>
        <v>NOT ACTIVE</v>
      </c>
      <c r="AZ46" s="1180"/>
      <c r="BA46" s="1222"/>
      <c r="BB46" s="1228"/>
      <c r="BC46" s="1229"/>
      <c r="BD46" s="1178" t="s">
        <v>735</v>
      </c>
      <c r="BE46" s="686"/>
      <c r="BF46" s="845">
        <f t="shared" ca="1" si="3"/>
        <v>0</v>
      </c>
      <c r="BG46" s="1377"/>
    </row>
    <row r="47" spans="1:59" s="687" customFormat="1" ht="51">
      <c r="A47" s="1141" t="s">
        <v>736</v>
      </c>
      <c r="B47" s="1515" t="s">
        <v>737</v>
      </c>
      <c r="C47" s="1145" t="s">
        <v>165</v>
      </c>
      <c r="D47" s="1516" t="s">
        <v>92</v>
      </c>
      <c r="E47" s="1517" t="s">
        <v>184</v>
      </c>
      <c r="F47" s="1518" t="s">
        <v>193</v>
      </c>
      <c r="G47" s="1519" t="s">
        <v>179</v>
      </c>
      <c r="H47" s="1146" t="s">
        <v>104</v>
      </c>
      <c r="I47" s="1147" t="s">
        <v>244</v>
      </c>
      <c r="J47" s="1480" t="str">
        <f>IFERROR(VLOOKUP(I47,dropdowns!$E$45:$I$56,2,FALSE)," ")</f>
        <v>1.TB.01.003</v>
      </c>
      <c r="K47" s="1148" t="s">
        <v>244</v>
      </c>
      <c r="L47" s="1481" t="str">
        <f>IFERROR(VLOOKUP(K47,dropdowns!$G$45:$H$56,2,FALSE)," ")</f>
        <v>1.TB.01.003.01</v>
      </c>
      <c r="M47" s="1456" t="s">
        <v>143</v>
      </c>
      <c r="N47" s="1151" t="s">
        <v>129</v>
      </c>
      <c r="O47" s="1253"/>
      <c r="P47" s="1252"/>
      <c r="Q47" s="3915"/>
      <c r="R47" s="1160"/>
      <c r="S47" s="1161"/>
      <c r="T47" s="1732"/>
      <c r="U47" s="1520" t="s">
        <v>125</v>
      </c>
      <c r="V47" s="1163"/>
      <c r="W47" s="1163"/>
      <c r="X47" s="1093" t="str">
        <f t="shared" si="2"/>
        <v>NOT ACTIVE</v>
      </c>
      <c r="Y47" s="3354"/>
      <c r="Z47" s="1521"/>
      <c r="AA47" s="1161"/>
      <c r="AB47" s="1732"/>
      <c r="AC47" s="1520"/>
      <c r="AD47" s="1163"/>
      <c r="AE47" s="1520"/>
      <c r="AF47" s="1100" t="str">
        <f t="shared" si="4"/>
        <v>NOT ACTIVE</v>
      </c>
      <c r="AG47" s="1523"/>
      <c r="AH47" s="1524"/>
      <c r="AI47" s="1732"/>
      <c r="AJ47" s="1520"/>
      <c r="AK47" s="1163"/>
      <c r="AL47" s="1525"/>
      <c r="AM47" s="1739"/>
      <c r="AN47" s="1526"/>
      <c r="AO47" s="1527"/>
      <c r="AP47" s="1528"/>
      <c r="AQ47" s="1161"/>
      <c r="AR47" s="1732"/>
      <c r="AS47" s="1523"/>
      <c r="AT47" s="1529"/>
      <c r="AU47" s="1522"/>
      <c r="AV47" s="1523"/>
      <c r="AW47" s="1529"/>
      <c r="AX47" s="1732"/>
      <c r="AY47" s="1100" t="str">
        <f t="shared" si="5"/>
        <v>NOT ACTIVE</v>
      </c>
      <c r="AZ47" s="1530"/>
      <c r="BA47" s="1531"/>
      <c r="BB47" s="1532"/>
      <c r="BC47" s="1533"/>
      <c r="BD47" s="1178"/>
      <c r="BE47" s="686"/>
      <c r="BF47" s="845">
        <f t="shared" ca="1" si="3"/>
        <v>0</v>
      </c>
      <c r="BG47" s="1377"/>
    </row>
    <row r="48" spans="1:59" s="3214" customFormat="1" ht="51">
      <c r="A48" s="1524" t="s">
        <v>738</v>
      </c>
      <c r="B48" s="1515" t="s">
        <v>655</v>
      </c>
      <c r="C48" s="1145" t="s">
        <v>165</v>
      </c>
      <c r="D48" s="1516" t="s">
        <v>92</v>
      </c>
      <c r="E48" s="1517"/>
      <c r="F48" s="1518"/>
      <c r="G48" s="1519" t="s">
        <v>182</v>
      </c>
      <c r="H48" s="1146" t="s">
        <v>104</v>
      </c>
      <c r="I48" s="1147" t="s">
        <v>244</v>
      </c>
      <c r="J48" s="1922" t="str">
        <f>IFERROR(VLOOKUP(I48,dropdowns!$E$45:$I$56,2,FALSE)," ")</f>
        <v>1.TB.01.003</v>
      </c>
      <c r="K48" s="1148" t="s">
        <v>244</v>
      </c>
      <c r="L48" s="1923" t="str">
        <f>IFERROR(VLOOKUP(K48,dropdowns!$G$45:$H$56,2,FALSE)," ")</f>
        <v>1.TB.01.003.01</v>
      </c>
      <c r="M48" s="1456" t="s">
        <v>143</v>
      </c>
      <c r="N48" s="1151" t="s">
        <v>129</v>
      </c>
      <c r="O48" s="1253"/>
      <c r="P48" s="1252"/>
      <c r="Q48" s="3915"/>
      <c r="R48" s="1160">
        <v>1</v>
      </c>
      <c r="S48" s="1161"/>
      <c r="T48" s="1732"/>
      <c r="U48" s="1520" t="s">
        <v>125</v>
      </c>
      <c r="V48" s="1163"/>
      <c r="W48" s="1163"/>
      <c r="X48" s="1100" t="str">
        <f t="shared" si="2"/>
        <v>NOT ACTIVE</v>
      </c>
      <c r="Y48" s="3354"/>
      <c r="Z48" s="1521"/>
      <c r="AA48" s="1161"/>
      <c r="AB48" s="1732"/>
      <c r="AC48" s="1520"/>
      <c r="AD48" s="1163"/>
      <c r="AE48" s="1520"/>
      <c r="AF48" s="1100" t="str">
        <f>IF(AC48="APPROVED","ACTIVE","NOT ACTIVE")</f>
        <v>NOT ACTIVE</v>
      </c>
      <c r="AG48" s="1523"/>
      <c r="AH48" s="1524"/>
      <c r="AI48" s="1732"/>
      <c r="AJ48" s="1520"/>
      <c r="AK48" s="1163"/>
      <c r="AL48" s="1525"/>
      <c r="AM48" s="1739"/>
      <c r="AN48" s="1526"/>
      <c r="AO48" s="1527"/>
      <c r="AP48" s="1528"/>
      <c r="AQ48" s="1161"/>
      <c r="AR48" s="1732"/>
      <c r="AS48" s="1523"/>
      <c r="AT48" s="1529"/>
      <c r="AU48" s="1522"/>
      <c r="AV48" s="1523"/>
      <c r="AW48" s="1529"/>
      <c r="AX48" s="1732"/>
      <c r="AY48" s="1100" t="str">
        <f>IF(BA48="APPROVED","ACTIVE","NOT ACTIVE")</f>
        <v>NOT ACTIVE</v>
      </c>
      <c r="AZ48" s="1530"/>
      <c r="BA48" s="1531"/>
      <c r="BB48" s="1532"/>
      <c r="BC48" s="1533"/>
      <c r="BD48" s="1486" t="s">
        <v>739</v>
      </c>
      <c r="BE48" s="3211"/>
      <c r="BF48" s="3212">
        <f t="shared" ca="1" si="3"/>
        <v>0</v>
      </c>
      <c r="BG48" s="3213"/>
    </row>
    <row r="49" spans="1:61" s="687" customFormat="1" ht="51">
      <c r="A49" s="1141" t="s">
        <v>740</v>
      </c>
      <c r="B49" s="1250" t="s">
        <v>741</v>
      </c>
      <c r="C49" s="2101" t="s">
        <v>161</v>
      </c>
      <c r="D49" s="1140" t="s">
        <v>5118</v>
      </c>
      <c r="E49" s="1134" t="s">
        <v>174</v>
      </c>
      <c r="F49" s="1135" t="s">
        <v>174</v>
      </c>
      <c r="G49" s="1136" t="s">
        <v>218</v>
      </c>
      <c r="H49" s="1137" t="s">
        <v>91</v>
      </c>
      <c r="I49" s="1138" t="s">
        <v>244</v>
      </c>
      <c r="J49" s="1480" t="str">
        <f>IFERROR(VLOOKUP(I49,dropdowns!$E$45:$I$56,2,FALSE)," ")</f>
        <v>1.TB.01.003</v>
      </c>
      <c r="K49" s="1140" t="s">
        <v>244</v>
      </c>
      <c r="L49" s="1481" t="str">
        <f>IFERROR(VLOOKUP(K49,dropdowns!$G$45:$H$56,2,FALSE)," ")</f>
        <v>1.TB.01.003.01</v>
      </c>
      <c r="M49" s="1251" t="s">
        <v>143</v>
      </c>
      <c r="N49" s="1150" t="s">
        <v>129</v>
      </c>
      <c r="O49" s="1231"/>
      <c r="P49" s="1252"/>
      <c r="Q49" s="3913"/>
      <c r="R49" s="1152">
        <v>22</v>
      </c>
      <c r="S49" s="1157"/>
      <c r="T49" s="1730">
        <v>44833</v>
      </c>
      <c r="U49" s="1155" t="s">
        <v>79</v>
      </c>
      <c r="V49" s="1156" t="s">
        <v>742</v>
      </c>
      <c r="W49" s="1156" t="s">
        <v>80</v>
      </c>
      <c r="X49" s="1093" t="str">
        <f t="shared" si="2"/>
        <v>ACTIVE</v>
      </c>
      <c r="Y49" s="3352"/>
      <c r="Z49" s="1221">
        <v>14</v>
      </c>
      <c r="AA49" s="1217" t="s">
        <v>663</v>
      </c>
      <c r="AB49" s="1730">
        <v>44971</v>
      </c>
      <c r="AC49" s="1222" t="s">
        <v>79</v>
      </c>
      <c r="AD49" s="1219" t="s">
        <v>743</v>
      </c>
      <c r="AE49" s="1222" t="s">
        <v>80</v>
      </c>
      <c r="AF49" s="1093" t="str">
        <f t="shared" si="4"/>
        <v>ACTIVE</v>
      </c>
      <c r="AG49" s="1220">
        <v>0</v>
      </c>
      <c r="AH49" s="1223" t="s">
        <v>744</v>
      </c>
      <c r="AI49" s="1730">
        <v>44971</v>
      </c>
      <c r="AJ49" s="1222" t="s">
        <v>79</v>
      </c>
      <c r="AK49" s="1219" t="s">
        <v>745</v>
      </c>
      <c r="AL49" s="1170"/>
      <c r="AM49" s="2102"/>
      <c r="AN49" s="1369"/>
      <c r="AO49" s="2103"/>
      <c r="AP49" s="2104"/>
      <c r="AQ49" s="1227"/>
      <c r="AR49" s="2100"/>
      <c r="AS49" s="1933"/>
      <c r="AT49" s="1227"/>
      <c r="AU49" s="1480"/>
      <c r="AV49" s="1933"/>
      <c r="AW49" s="1227" t="s">
        <v>746</v>
      </c>
      <c r="AX49" s="1728">
        <v>45001</v>
      </c>
      <c r="AY49" s="2105" t="str">
        <f t="shared" si="5"/>
        <v>ACTIVE</v>
      </c>
      <c r="AZ49" s="1933">
        <v>0</v>
      </c>
      <c r="BA49" s="1222" t="s">
        <v>79</v>
      </c>
      <c r="BB49" s="1532"/>
      <c r="BC49" s="1533"/>
      <c r="BD49" s="1883" t="s">
        <v>747</v>
      </c>
      <c r="BE49" s="686"/>
      <c r="BF49" s="845">
        <f t="shared" ca="1" si="3"/>
        <v>0</v>
      </c>
      <c r="BG49" s="1377"/>
    </row>
    <row r="50" spans="1:61" s="686" customFormat="1" ht="74.45" customHeight="1">
      <c r="A50" s="1141">
        <v>12</v>
      </c>
      <c r="B50" s="1498" t="s">
        <v>748</v>
      </c>
      <c r="C50" s="1474" t="s">
        <v>169</v>
      </c>
      <c r="D50" s="1886" t="s">
        <v>5122</v>
      </c>
      <c r="E50" s="1476" t="s">
        <v>170</v>
      </c>
      <c r="F50" s="1477" t="s">
        <v>190</v>
      </c>
      <c r="G50" s="1478" t="s">
        <v>218</v>
      </c>
      <c r="H50" s="1479" t="s">
        <v>82</v>
      </c>
      <c r="I50" s="1138" t="s">
        <v>244</v>
      </c>
      <c r="J50" s="1480" t="str">
        <f>IFERROR(VLOOKUP(I50,dropdowns!$E$45:$I$56,2,FALSE)," ")</f>
        <v>1.TB.01.003</v>
      </c>
      <c r="K50" s="1140" t="s">
        <v>244</v>
      </c>
      <c r="L50" s="1481" t="str">
        <f>IFERROR(VLOOKUP(K50,dropdowns!$G$45:$H$56,2,FALSE)," ")</f>
        <v>1.TB.01.003.01</v>
      </c>
      <c r="M50" s="1251" t="s">
        <v>85</v>
      </c>
      <c r="N50" s="1482" t="s">
        <v>86</v>
      </c>
      <c r="O50" s="1231"/>
      <c r="P50" s="1218"/>
      <c r="Q50" s="3913"/>
      <c r="R50" s="1216">
        <v>13</v>
      </c>
      <c r="S50" s="1217" t="s">
        <v>663</v>
      </c>
      <c r="T50" s="1728">
        <v>44851</v>
      </c>
      <c r="U50" s="1219" t="s">
        <v>79</v>
      </c>
      <c r="V50" s="1219" t="s">
        <v>749</v>
      </c>
      <c r="W50" s="1219" t="s">
        <v>80</v>
      </c>
      <c r="X50" s="1093" t="str">
        <f>IF(U50="APPROVED","ACTIVE",IF(U50="PENDING","ACTIVE","NOT ACTIVE"))</f>
        <v>ACTIVE</v>
      </c>
      <c r="Y50" s="3349">
        <v>400000</v>
      </c>
      <c r="Z50" s="1221">
        <v>1</v>
      </c>
      <c r="AA50" s="1217" t="s">
        <v>663</v>
      </c>
      <c r="AB50" s="1728">
        <v>44866</v>
      </c>
      <c r="AC50" s="1222" t="s">
        <v>79</v>
      </c>
      <c r="AD50" s="1219" t="s">
        <v>750</v>
      </c>
      <c r="AE50" s="1222" t="s">
        <v>80</v>
      </c>
      <c r="AF50" s="1093" t="str">
        <f t="shared" si="4"/>
        <v>ACTIVE</v>
      </c>
      <c r="AG50" s="1220">
        <v>351150</v>
      </c>
      <c r="AH50" s="1223" t="s">
        <v>1993</v>
      </c>
      <c r="AI50" s="1728">
        <v>44880</v>
      </c>
      <c r="AJ50" s="1222" t="s">
        <v>79</v>
      </c>
      <c r="AK50" s="1219" t="s">
        <v>751</v>
      </c>
      <c r="AL50" s="1223"/>
      <c r="AM50" s="1735"/>
      <c r="AN50" s="1225"/>
      <c r="AO50" s="1168" t="s">
        <v>752</v>
      </c>
      <c r="AP50" s="1169"/>
      <c r="AQ50" s="1170" t="s">
        <v>753</v>
      </c>
      <c r="AR50" s="1880">
        <v>44914</v>
      </c>
      <c r="AS50" s="1881">
        <v>351150</v>
      </c>
      <c r="AT50" s="1170"/>
      <c r="AU50" s="1880"/>
      <c r="AV50" s="1881"/>
      <c r="AW50" s="1227" t="s">
        <v>754</v>
      </c>
      <c r="AX50" s="1728">
        <v>44931</v>
      </c>
      <c r="AY50" s="1093" t="str">
        <f t="shared" si="5"/>
        <v>ACTIVE</v>
      </c>
      <c r="AZ50" s="1220">
        <v>351150</v>
      </c>
      <c r="BA50" s="1222" t="s">
        <v>79</v>
      </c>
      <c r="BB50" s="1228"/>
      <c r="BC50" s="1229"/>
      <c r="BD50" s="1230" t="s">
        <v>755</v>
      </c>
      <c r="BF50" s="845">
        <f t="shared" ca="1" si="3"/>
        <v>0</v>
      </c>
      <c r="BG50" s="1377"/>
    </row>
    <row r="51" spans="1:61" s="686" customFormat="1" ht="51">
      <c r="A51" s="1524">
        <v>13</v>
      </c>
      <c r="B51" s="1984" t="s">
        <v>756</v>
      </c>
      <c r="C51" s="1962" t="s">
        <v>169</v>
      </c>
      <c r="D51" s="2107" t="s">
        <v>78</v>
      </c>
      <c r="E51" s="1964"/>
      <c r="F51" s="1965"/>
      <c r="G51" s="1966" t="s">
        <v>171</v>
      </c>
      <c r="H51" s="1987" t="s">
        <v>104</v>
      </c>
      <c r="I51" s="1147" t="s">
        <v>244</v>
      </c>
      <c r="J51" s="1922" t="str">
        <f>IFERROR(VLOOKUP(I51,dropdowns!$E$45:$I$56,2,FALSE)," ")</f>
        <v>1.TB.01.003</v>
      </c>
      <c r="K51" s="1148" t="s">
        <v>244</v>
      </c>
      <c r="L51" s="1923" t="str">
        <f>IFERROR(VLOOKUP(K51,dropdowns!$G$45:$H$56,2,FALSE)," ")</f>
        <v>1.TB.01.003.01</v>
      </c>
      <c r="M51" s="1456" t="s">
        <v>85</v>
      </c>
      <c r="N51" s="1151" t="s">
        <v>86</v>
      </c>
      <c r="O51" s="1253"/>
      <c r="P51" s="1252"/>
      <c r="Q51" s="3915"/>
      <c r="R51" s="1971">
        <v>14</v>
      </c>
      <c r="S51" s="1991" t="s">
        <v>663</v>
      </c>
      <c r="T51" s="1973"/>
      <c r="U51" s="1974" t="s">
        <v>125</v>
      </c>
      <c r="V51" s="1974" t="s">
        <v>757</v>
      </c>
      <c r="W51" s="1974"/>
      <c r="X51" s="1100" t="str">
        <f>IF(U51="APPROVED","ACTIVE",IF(U51="PENDING","ACTIVE","NOT ACTIVE"))</f>
        <v>NOT ACTIVE</v>
      </c>
      <c r="Y51" s="3356"/>
      <c r="Z51" s="1992"/>
      <c r="AA51" s="1991"/>
      <c r="AB51" s="1973"/>
      <c r="AC51" s="1531"/>
      <c r="AD51" s="1974"/>
      <c r="AE51" s="1531"/>
      <c r="AF51" s="1100" t="str">
        <f t="shared" si="4"/>
        <v>NOT ACTIVE</v>
      </c>
      <c r="AG51" s="1530"/>
      <c r="AH51" s="1993"/>
      <c r="AI51" s="1973"/>
      <c r="AJ51" s="1531"/>
      <c r="AK51" s="1974"/>
      <c r="AL51" s="1993"/>
      <c r="AM51" s="1977"/>
      <c r="AN51" s="2108"/>
      <c r="AO51" s="2006"/>
      <c r="AP51" s="2007"/>
      <c r="AQ51" s="2109"/>
      <c r="AR51" s="2110"/>
      <c r="AS51" s="2111"/>
      <c r="AT51" s="2112"/>
      <c r="AU51" s="2110"/>
      <c r="AV51" s="2111"/>
      <c r="AW51" s="1995"/>
      <c r="AX51" s="1973"/>
      <c r="AY51" s="1100" t="str">
        <f t="shared" si="5"/>
        <v>NOT ACTIVE</v>
      </c>
      <c r="AZ51" s="1530"/>
      <c r="BA51" s="1531"/>
      <c r="BB51" s="1532"/>
      <c r="BC51" s="1533"/>
      <c r="BD51" s="1230" t="s">
        <v>758</v>
      </c>
      <c r="BF51" s="845"/>
      <c r="BG51" s="1377"/>
    </row>
    <row r="52" spans="1:61" s="686" customFormat="1" ht="38.25">
      <c r="A52" s="1141">
        <v>13</v>
      </c>
      <c r="B52" s="1498" t="s">
        <v>759</v>
      </c>
      <c r="C52" s="1474" t="s">
        <v>169</v>
      </c>
      <c r="D52" s="1886" t="s">
        <v>5122</v>
      </c>
      <c r="E52" s="1476"/>
      <c r="F52" s="1477"/>
      <c r="G52" s="1478" t="s">
        <v>218</v>
      </c>
      <c r="H52" s="1479" t="s">
        <v>82</v>
      </c>
      <c r="I52" s="1138" t="s">
        <v>244</v>
      </c>
      <c r="J52" s="1480" t="str">
        <f>IFERROR(VLOOKUP(I52,dropdowns!$E$45:$I$56,2,FALSE)," ")</f>
        <v>1.TB.01.003</v>
      </c>
      <c r="K52" s="1140" t="s">
        <v>244</v>
      </c>
      <c r="L52" s="1481" t="str">
        <f>IFERROR(VLOOKUP(K52,dropdowns!$G$45:$H$56,2,FALSE)," ")</f>
        <v>1.TB.01.003.01</v>
      </c>
      <c r="M52" s="1251" t="s">
        <v>85</v>
      </c>
      <c r="N52" s="1150" t="s">
        <v>86</v>
      </c>
      <c r="O52" s="1231"/>
      <c r="P52" s="1218"/>
      <c r="Q52" s="3913"/>
      <c r="R52" s="1216">
        <v>14</v>
      </c>
      <c r="S52" s="1217" t="s">
        <v>663</v>
      </c>
      <c r="T52" s="1728">
        <v>45032</v>
      </c>
      <c r="U52" s="1219" t="s">
        <v>79</v>
      </c>
      <c r="V52" s="1219" t="s">
        <v>760</v>
      </c>
      <c r="W52" s="1219"/>
      <c r="X52" s="1093" t="str">
        <f>IF(U52="APPROVED","ACTIVE",IF(U52="PENDING","ACTIVE","NOT ACTIVE"))</f>
        <v>ACTIVE</v>
      </c>
      <c r="Y52" s="3349">
        <v>439201</v>
      </c>
      <c r="Z52" s="1221" t="s">
        <v>761</v>
      </c>
      <c r="AA52" s="1217"/>
      <c r="AB52" s="1728">
        <v>45068</v>
      </c>
      <c r="AC52" s="1222" t="s">
        <v>79</v>
      </c>
      <c r="AD52" s="1219" t="s">
        <v>1992</v>
      </c>
      <c r="AE52" s="1222" t="s">
        <v>94</v>
      </c>
      <c r="AF52" s="1093" t="str">
        <f>IF(AC52="APPROVED","ACTIVE","NOT ACTIVE")</f>
        <v>ACTIVE</v>
      </c>
      <c r="AG52" s="1220">
        <v>493201</v>
      </c>
      <c r="AH52" s="1223" t="s">
        <v>1994</v>
      </c>
      <c r="AI52" s="1728">
        <v>45074</v>
      </c>
      <c r="AJ52" s="1222" t="s">
        <v>79</v>
      </c>
      <c r="AK52" s="1219" t="s">
        <v>2034</v>
      </c>
      <c r="AL52" s="1223" t="s">
        <v>1994</v>
      </c>
      <c r="AM52" s="1735">
        <v>45075</v>
      </c>
      <c r="AN52" s="1239" t="s">
        <v>2042</v>
      </c>
      <c r="AO52" s="1168" t="s">
        <v>2044</v>
      </c>
      <c r="AP52" s="1169"/>
      <c r="AQ52" s="2124" t="s">
        <v>2045</v>
      </c>
      <c r="AR52" s="1880">
        <v>45077</v>
      </c>
      <c r="AS52" s="1881">
        <v>413183</v>
      </c>
      <c r="AT52" s="1171"/>
      <c r="AU52" s="1880"/>
      <c r="AV52" s="1881"/>
      <c r="AW52" s="1227" t="s">
        <v>2100</v>
      </c>
      <c r="AX52" s="1728">
        <v>45096</v>
      </c>
      <c r="AY52" s="1093" t="str">
        <f>IF(BA52="APPROVED","ACTIVE","NOT ACTIVE")</f>
        <v>ACTIVE</v>
      </c>
      <c r="AZ52" s="1220">
        <v>413183</v>
      </c>
      <c r="BA52" s="1222" t="s">
        <v>79</v>
      </c>
      <c r="BB52" s="1228"/>
      <c r="BC52" s="1229"/>
      <c r="BD52" s="1230" t="s">
        <v>2793</v>
      </c>
      <c r="BF52" s="845"/>
      <c r="BG52" s="1377"/>
    </row>
    <row r="53" spans="1:61" s="686" customFormat="1" ht="38.25">
      <c r="A53" s="1524">
        <v>13</v>
      </c>
      <c r="B53" s="1984" t="s">
        <v>2046</v>
      </c>
      <c r="C53" s="1962" t="s">
        <v>165</v>
      </c>
      <c r="D53" s="2107" t="s">
        <v>78</v>
      </c>
      <c r="E53" s="1964"/>
      <c r="F53" s="1965"/>
      <c r="G53" s="1966" t="s">
        <v>188</v>
      </c>
      <c r="H53" s="1987" t="s">
        <v>104</v>
      </c>
      <c r="I53" s="1147" t="s">
        <v>244</v>
      </c>
      <c r="J53" s="1922" t="str">
        <f>IFERROR(VLOOKUP(I53,dropdowns!$E$45:$I$56,2,FALSE)," ")</f>
        <v>1.TB.01.003</v>
      </c>
      <c r="K53" s="1148" t="s">
        <v>244</v>
      </c>
      <c r="L53" s="1923" t="str">
        <f>IFERROR(VLOOKUP(K53,dropdowns!$G$45:$H$56,2,FALSE)," ")</f>
        <v>1.TB.01.003.01</v>
      </c>
      <c r="M53" s="1456" t="s">
        <v>189</v>
      </c>
      <c r="N53" s="1970" t="s">
        <v>2043</v>
      </c>
      <c r="O53" s="1253"/>
      <c r="P53" s="1252"/>
      <c r="Q53" s="3915"/>
      <c r="R53" s="1971">
        <v>14</v>
      </c>
      <c r="S53" s="1991" t="s">
        <v>663</v>
      </c>
      <c r="T53" s="1973">
        <v>45032</v>
      </c>
      <c r="U53" s="1974" t="s">
        <v>125</v>
      </c>
      <c r="V53" s="1974" t="s">
        <v>760</v>
      </c>
      <c r="W53" s="1974"/>
      <c r="X53" s="1100" t="str">
        <f>IF(U53="APPROVED","ACTIVE",IF(U53="PENDING","ACTIVE","NOT ACTIVE"))</f>
        <v>NOT ACTIVE</v>
      </c>
      <c r="Y53" s="3356">
        <v>400000</v>
      </c>
      <c r="Z53" s="1992" t="s">
        <v>761</v>
      </c>
      <c r="AA53" s="1991"/>
      <c r="AB53" s="1973"/>
      <c r="AC53" s="1531"/>
      <c r="AD53" s="1974"/>
      <c r="AE53" s="1531"/>
      <c r="AF53" s="1100" t="str">
        <f>IF(AC53="APPROVED","ACTIVE","NOT ACTIVE")</f>
        <v>NOT ACTIVE</v>
      </c>
      <c r="AG53" s="1530"/>
      <c r="AH53" s="1993"/>
      <c r="AI53" s="1973"/>
      <c r="AJ53" s="1531"/>
      <c r="AK53" s="1974"/>
      <c r="AL53" s="1993"/>
      <c r="AM53" s="1977"/>
      <c r="AN53" s="2108"/>
      <c r="AO53" s="2006"/>
      <c r="AP53" s="2007"/>
      <c r="AQ53" s="3220"/>
      <c r="AR53" s="2110"/>
      <c r="AS53" s="2111"/>
      <c r="AT53" s="2112"/>
      <c r="AU53" s="2110"/>
      <c r="AV53" s="2111"/>
      <c r="AW53" s="1995"/>
      <c r="AX53" s="1973"/>
      <c r="AY53" s="1100" t="str">
        <f>IF(BA53="APPROVED","ACTIVE","NOT ACTIVE")</f>
        <v>NOT ACTIVE</v>
      </c>
      <c r="AZ53" s="1530"/>
      <c r="BA53" s="1531"/>
      <c r="BB53" s="1532"/>
      <c r="BC53" s="1533"/>
      <c r="BD53" s="1230" t="s">
        <v>2792</v>
      </c>
      <c r="BF53" s="845"/>
      <c r="BG53" s="1377"/>
    </row>
    <row r="54" spans="1:61" s="686" customFormat="1" ht="51">
      <c r="A54" s="1524">
        <v>13</v>
      </c>
      <c r="B54" s="1984" t="s">
        <v>762</v>
      </c>
      <c r="C54" s="1962" t="s">
        <v>165</v>
      </c>
      <c r="D54" s="2107" t="s">
        <v>78</v>
      </c>
      <c r="E54" s="1964"/>
      <c r="F54" s="1965"/>
      <c r="G54" s="1966" t="s">
        <v>188</v>
      </c>
      <c r="H54" s="1987" t="s">
        <v>104</v>
      </c>
      <c r="I54" s="1147" t="s">
        <v>244</v>
      </c>
      <c r="J54" s="1922" t="str">
        <f>IFERROR(VLOOKUP(I54,dropdowns!$E$45:$I$56,2,FALSE)," ")</f>
        <v>1.TB.01.003</v>
      </c>
      <c r="K54" s="1148" t="s">
        <v>244</v>
      </c>
      <c r="L54" s="1923" t="str">
        <f>IFERROR(VLOOKUP(K54,dropdowns!$G$45:$H$56,2,FALSE)," ")</f>
        <v>1.TB.01.003.01</v>
      </c>
      <c r="M54" s="1456" t="s">
        <v>2269</v>
      </c>
      <c r="N54" s="1970" t="s">
        <v>152</v>
      </c>
      <c r="O54" s="1253"/>
      <c r="P54" s="1252"/>
      <c r="Q54" s="3915"/>
      <c r="R54" s="1971">
        <v>14</v>
      </c>
      <c r="S54" s="1991" t="s">
        <v>663</v>
      </c>
      <c r="T54" s="1973">
        <v>45032</v>
      </c>
      <c r="U54" s="1974" t="s">
        <v>125</v>
      </c>
      <c r="V54" s="1974" t="s">
        <v>760</v>
      </c>
      <c r="W54" s="1974"/>
      <c r="X54" s="1100" t="str">
        <f>IF(U54="APPROVED","ACTIVE",IF(U54="PENDING","ACTIVE","NOT ACTIVE"))</f>
        <v>NOT ACTIVE</v>
      </c>
      <c r="Y54" s="3356">
        <f>2560799-400000</f>
        <v>2160799</v>
      </c>
      <c r="Z54" s="1992" t="s">
        <v>761</v>
      </c>
      <c r="AA54" s="1991"/>
      <c r="AB54" s="1973"/>
      <c r="AC54" s="1531"/>
      <c r="AD54" s="1974"/>
      <c r="AE54" s="1531"/>
      <c r="AF54" s="1100" t="str">
        <f>IF(AC54="APPROVED","ACTIVE","NOT ACTIVE")</f>
        <v>NOT ACTIVE</v>
      </c>
      <c r="AG54" s="1530"/>
      <c r="AH54" s="1993"/>
      <c r="AI54" s="1973"/>
      <c r="AJ54" s="1531"/>
      <c r="AK54" s="1974"/>
      <c r="AL54" s="1993"/>
      <c r="AM54" s="1977"/>
      <c r="AN54" s="2108"/>
      <c r="AO54" s="2006"/>
      <c r="AP54" s="2007"/>
      <c r="AQ54" s="3220"/>
      <c r="AR54" s="2110"/>
      <c r="AS54" s="2111"/>
      <c r="AT54" s="2112"/>
      <c r="AU54" s="2110"/>
      <c r="AV54" s="2111"/>
      <c r="AW54" s="1995"/>
      <c r="AX54" s="1973"/>
      <c r="AY54" s="1100" t="str">
        <f>IF(BA54="APPROVED","ACTIVE","NOT ACTIVE")</f>
        <v>NOT ACTIVE</v>
      </c>
      <c r="AZ54" s="1530"/>
      <c r="BA54" s="1531"/>
      <c r="BB54" s="1532"/>
      <c r="BC54" s="1533"/>
      <c r="BD54" s="1230" t="s">
        <v>2792</v>
      </c>
      <c r="BF54" s="845"/>
      <c r="BG54" s="1377"/>
    </row>
    <row r="55" spans="1:61" s="686" customFormat="1" ht="38.25">
      <c r="A55" s="1141" t="s">
        <v>763</v>
      </c>
      <c r="B55" s="1498" t="s">
        <v>764</v>
      </c>
      <c r="C55" s="1233" t="s">
        <v>165</v>
      </c>
      <c r="D55" s="4500" t="s">
        <v>5122</v>
      </c>
      <c r="E55" s="1499" t="s">
        <v>174</v>
      </c>
      <c r="F55" s="1500" t="s">
        <v>174</v>
      </c>
      <c r="G55" s="1136" t="s">
        <v>218</v>
      </c>
      <c r="H55" s="1479" t="s">
        <v>91</v>
      </c>
      <c r="I55" s="1138" t="s">
        <v>244</v>
      </c>
      <c r="J55" s="1480" t="str">
        <f>IFERROR(VLOOKUP(I55,dropdowns!$E$45:$I$56,2,FALSE)," ")</f>
        <v>1.TB.01.003</v>
      </c>
      <c r="K55" s="1140" t="s">
        <v>244</v>
      </c>
      <c r="L55" s="1481" t="str">
        <f>IFERROR(VLOOKUP(K55,dropdowns!$G$45:$H$56,2,FALSE)," ")</f>
        <v>1.TB.01.003.01</v>
      </c>
      <c r="M55" s="1502" t="s">
        <v>147</v>
      </c>
      <c r="N55" s="1503" t="s">
        <v>135</v>
      </c>
      <c r="O55" s="1231"/>
      <c r="P55" s="1232"/>
      <c r="Q55" s="3913"/>
      <c r="R55" s="1216">
        <v>3</v>
      </c>
      <c r="S55" s="1217" t="s">
        <v>663</v>
      </c>
      <c r="T55" s="1728">
        <v>44851</v>
      </c>
      <c r="U55" s="1219" t="s">
        <v>79</v>
      </c>
      <c r="V55" s="1219" t="s">
        <v>749</v>
      </c>
      <c r="W55" s="1219" t="s">
        <v>80</v>
      </c>
      <c r="X55" s="1093" t="str">
        <f t="shared" si="2"/>
        <v>ACTIVE</v>
      </c>
      <c r="Y55" s="3349">
        <v>3634284</v>
      </c>
      <c r="Z55" s="1221">
        <v>4</v>
      </c>
      <c r="AA55" s="1231">
        <v>0</v>
      </c>
      <c r="AB55" s="1728">
        <v>44866</v>
      </c>
      <c r="AC55" s="1222" t="s">
        <v>79</v>
      </c>
      <c r="AD55" s="1233" t="s">
        <v>765</v>
      </c>
      <c r="AE55" s="1232" t="s">
        <v>80</v>
      </c>
      <c r="AF55" s="1093" t="str">
        <f t="shared" si="4"/>
        <v>ACTIVE</v>
      </c>
      <c r="AG55" s="1220">
        <v>3634284.17</v>
      </c>
      <c r="AH55" s="1234" t="s">
        <v>776</v>
      </c>
      <c r="AI55" s="1728">
        <v>44909</v>
      </c>
      <c r="AJ55" s="1232" t="s">
        <v>79</v>
      </c>
      <c r="AK55" s="1233" t="s">
        <v>766</v>
      </c>
      <c r="AL55" s="1170" t="s">
        <v>767</v>
      </c>
      <c r="AM55" s="1738">
        <v>44931</v>
      </c>
      <c r="AN55" s="1369" t="s">
        <v>768</v>
      </c>
      <c r="AO55" s="1226" t="s">
        <v>3375</v>
      </c>
      <c r="AP55" s="2123"/>
      <c r="AQ55" s="2124" t="s">
        <v>769</v>
      </c>
      <c r="AR55" s="1880">
        <v>44999</v>
      </c>
      <c r="AS55" s="3010">
        <v>-3237183.47</v>
      </c>
      <c r="AT55" s="1236" t="s">
        <v>770</v>
      </c>
      <c r="AU55" s="1880">
        <v>45008</v>
      </c>
      <c r="AV55" s="1881">
        <v>-3801279.3</v>
      </c>
      <c r="AW55" s="1227" t="s">
        <v>2101</v>
      </c>
      <c r="AX55" s="1728">
        <v>45097</v>
      </c>
      <c r="AY55" s="1093" t="str">
        <f>IF(BA55="APPROVED","ACTIVE","NOT ACTIVE")</f>
        <v>ACTIVE</v>
      </c>
      <c r="AZ55" s="1248">
        <v>-3801279.3</v>
      </c>
      <c r="BA55" s="1222" t="s">
        <v>79</v>
      </c>
      <c r="BB55" s="1237"/>
      <c r="BC55" s="1238"/>
      <c r="BD55" s="1230" t="s">
        <v>771</v>
      </c>
      <c r="BF55" s="845">
        <f ca="1">IF(BA55="PENDING",TODAY()-AM55,0)</f>
        <v>0</v>
      </c>
      <c r="BG55" s="1377"/>
    </row>
    <row r="56" spans="1:61" s="686" customFormat="1" ht="38.25">
      <c r="A56" s="1537" t="s">
        <v>772</v>
      </c>
      <c r="B56" s="1536" t="s">
        <v>773</v>
      </c>
      <c r="C56" s="1544" t="s">
        <v>165</v>
      </c>
      <c r="D56" s="1551" t="s">
        <v>5122</v>
      </c>
      <c r="E56" s="1545" t="s">
        <v>187</v>
      </c>
      <c r="F56" s="1546" t="s">
        <v>190</v>
      </c>
      <c r="G56" s="1547" t="s">
        <v>218</v>
      </c>
      <c r="H56" s="1548" t="s">
        <v>82</v>
      </c>
      <c r="I56" s="1549" t="s">
        <v>244</v>
      </c>
      <c r="J56" s="1550" t="str">
        <f>IFERROR(VLOOKUP(I56,dropdowns!$E$45:$I$56,2,FALSE)," ")</f>
        <v>1.TB.01.003</v>
      </c>
      <c r="K56" s="1551" t="s">
        <v>244</v>
      </c>
      <c r="L56" s="1552" t="str">
        <f>IFERROR(VLOOKUP(K56,dropdowns!$G$45:$H$56,2,FALSE)," ")</f>
        <v>1.TB.01.003.01</v>
      </c>
      <c r="M56" s="1553" t="s">
        <v>156</v>
      </c>
      <c r="N56" s="1554" t="s">
        <v>144</v>
      </c>
      <c r="O56" s="1555"/>
      <c r="P56" s="1733"/>
      <c r="Q56" s="3916"/>
      <c r="R56" s="1882">
        <v>10</v>
      </c>
      <c r="S56" s="1556" t="s">
        <v>663</v>
      </c>
      <c r="T56" s="1733">
        <v>44643</v>
      </c>
      <c r="U56" s="1541" t="s">
        <v>79</v>
      </c>
      <c r="V56" s="1541" t="s">
        <v>774</v>
      </c>
      <c r="W56" s="1541" t="s">
        <v>94</v>
      </c>
      <c r="X56" s="1093" t="str">
        <f t="shared" si="2"/>
        <v>ACTIVE</v>
      </c>
      <c r="Y56" s="3357">
        <f>(21649*4.91*0.5)*1</f>
        <v>53148.294999999998</v>
      </c>
      <c r="Z56" s="1539">
        <v>8</v>
      </c>
      <c r="AA56" s="1914">
        <v>0</v>
      </c>
      <c r="AB56" s="1733">
        <v>44666</v>
      </c>
      <c r="AC56" s="1557" t="s">
        <v>79</v>
      </c>
      <c r="AD56" s="1541" t="s">
        <v>775</v>
      </c>
      <c r="AE56" s="1557" t="s">
        <v>94</v>
      </c>
      <c r="AF56" s="1538" t="str">
        <f t="shared" si="4"/>
        <v>ACTIVE</v>
      </c>
      <c r="AG56" s="1538">
        <f>(21649*4.91*0.5)</f>
        <v>53148.294999999998</v>
      </c>
      <c r="AH56" s="1540" t="s">
        <v>776</v>
      </c>
      <c r="AI56" s="1737">
        <v>44666</v>
      </c>
      <c r="AJ56" s="1557" t="s">
        <v>79</v>
      </c>
      <c r="AK56" s="1541" t="s">
        <v>777</v>
      </c>
      <c r="AL56" s="1540"/>
      <c r="AM56" s="1737"/>
      <c r="AN56" s="1558"/>
      <c r="AO56" s="1559"/>
      <c r="AP56" s="1560"/>
      <c r="AQ56" s="1561"/>
      <c r="AR56" s="1733"/>
      <c r="AS56" s="1563">
        <v>53148.294999999998</v>
      </c>
      <c r="AT56" s="1556"/>
      <c r="AU56" s="1562"/>
      <c r="AV56" s="1563"/>
      <c r="AW56" s="1542" t="s">
        <v>778</v>
      </c>
      <c r="AX56" s="1543">
        <v>44763</v>
      </c>
      <c r="AY56" s="1538" t="str">
        <f t="shared" si="5"/>
        <v>ACTIVE</v>
      </c>
      <c r="AZ56" s="1538">
        <f>(21649*4.91*0.5)</f>
        <v>53148.294999999998</v>
      </c>
      <c r="BA56" s="1557" t="s">
        <v>79</v>
      </c>
      <c r="BB56" s="1564"/>
      <c r="BC56" s="1565"/>
      <c r="BD56" s="1566" t="s">
        <v>779</v>
      </c>
      <c r="BE56" s="846"/>
      <c r="BF56" s="845">
        <f ca="1">IF(BA56="PENDING",TODAY()-AM56,0)</f>
        <v>0</v>
      </c>
      <c r="BG56" s="1538">
        <f>(21649*4.91*0.5)</f>
        <v>53148.294999999998</v>
      </c>
    </row>
    <row r="57" spans="1:61" s="686" customFormat="1" ht="129" customHeight="1">
      <c r="A57" s="1524" t="s">
        <v>780</v>
      </c>
      <c r="B57" s="1984" t="s">
        <v>781</v>
      </c>
      <c r="C57" s="1985" t="s">
        <v>169</v>
      </c>
      <c r="D57" s="1986" t="s">
        <v>92</v>
      </c>
      <c r="E57" s="1964"/>
      <c r="F57" s="1965"/>
      <c r="G57" s="1966"/>
      <c r="H57" s="1987" t="s">
        <v>104</v>
      </c>
      <c r="I57" s="1147" t="s">
        <v>244</v>
      </c>
      <c r="J57" s="1922" t="str">
        <f>IFERROR(VLOOKUP(I57,dropdowns!$E$45:$I$56,2,FALSE)," ")</f>
        <v>1.TB.01.003</v>
      </c>
      <c r="K57" s="1148" t="s">
        <v>244</v>
      </c>
      <c r="L57" s="1923" t="str">
        <f>IFERROR(VLOOKUP(K57,dropdowns!$G$45:$H$56,2,FALSE)," ")</f>
        <v>1.TB.01.003.01</v>
      </c>
      <c r="M57" s="1988" t="s">
        <v>147</v>
      </c>
      <c r="N57" s="1989" t="s">
        <v>135</v>
      </c>
      <c r="O57" s="1253"/>
      <c r="P57" s="1990"/>
      <c r="Q57" s="3915"/>
      <c r="R57" s="1971" t="s">
        <v>782</v>
      </c>
      <c r="S57" s="1991" t="s">
        <v>663</v>
      </c>
      <c r="T57" s="1973">
        <v>44915</v>
      </c>
      <c r="U57" s="1974" t="s">
        <v>125</v>
      </c>
      <c r="V57" s="1974" t="s">
        <v>783</v>
      </c>
      <c r="W57" s="1974" t="s">
        <v>80</v>
      </c>
      <c r="X57" s="1100" t="str">
        <f>IF(U57="APPROVED","ACTIVE",IF(U57="PENDING","ACTIVE","NOT ACTIVE"))</f>
        <v>NOT ACTIVE</v>
      </c>
      <c r="Y57" s="3356">
        <v>7000000</v>
      </c>
      <c r="Z57" s="1992">
        <v>14</v>
      </c>
      <c r="AA57" s="1991" t="s">
        <v>663</v>
      </c>
      <c r="AB57" s="1973">
        <v>44931</v>
      </c>
      <c r="AC57" s="1974" t="s">
        <v>125</v>
      </c>
      <c r="AD57" s="1974" t="s">
        <v>784</v>
      </c>
      <c r="AE57" s="1531" t="s">
        <v>94</v>
      </c>
      <c r="AF57" s="1100" t="str">
        <f t="shared" si="4"/>
        <v>NOT ACTIVE</v>
      </c>
      <c r="AG57" s="1530">
        <v>7689931.4100000001</v>
      </c>
      <c r="AH57" s="1993"/>
      <c r="AI57" s="1977"/>
      <c r="AJ57" s="1531"/>
      <c r="AK57" s="1974"/>
      <c r="AL57" s="1993"/>
      <c r="AM57" s="1977"/>
      <c r="AN57" s="1978"/>
      <c r="AO57" s="1979"/>
      <c r="AP57" s="1994"/>
      <c r="AQ57" s="1995"/>
      <c r="AR57" s="1996"/>
      <c r="AS57" s="1997"/>
      <c r="AT57" s="1995"/>
      <c r="AU57" s="1996"/>
      <c r="AV57" s="1997"/>
      <c r="AW57" s="1995"/>
      <c r="AX57" s="1996"/>
      <c r="AY57" s="1100" t="str">
        <f t="shared" si="5"/>
        <v>NOT ACTIVE</v>
      </c>
      <c r="AZ57" s="1997"/>
      <c r="BA57" s="1998"/>
      <c r="BB57" s="1532"/>
      <c r="BC57" s="1533"/>
      <c r="BD57" s="1999" t="s">
        <v>785</v>
      </c>
      <c r="BE57" s="846"/>
      <c r="BF57" s="845">
        <f ca="1">IF(BA57="PENDING",TODAY()-AM57,0)</f>
        <v>0</v>
      </c>
      <c r="BG57" s="1377"/>
    </row>
    <row r="58" spans="1:61" s="687" customFormat="1" ht="38.25">
      <c r="A58" s="1141" t="s">
        <v>2033</v>
      </c>
      <c r="B58" s="1884" t="s">
        <v>2028</v>
      </c>
      <c r="C58" s="1474" t="s">
        <v>165</v>
      </c>
      <c r="D58" s="1886" t="s">
        <v>3337</v>
      </c>
      <c r="E58" s="1476"/>
      <c r="F58" s="1477"/>
      <c r="G58" s="1478" t="s">
        <v>217</v>
      </c>
      <c r="H58" s="1479" t="s">
        <v>91</v>
      </c>
      <c r="I58" s="1885" t="s">
        <v>244</v>
      </c>
      <c r="J58" s="1480" t="str">
        <f>IFERROR(VLOOKUP(I58,dropdowns!$E$45:$I$56,2,FALSE)," ")</f>
        <v>1.TB.01.003</v>
      </c>
      <c r="K58" s="1886" t="s">
        <v>244</v>
      </c>
      <c r="L58" s="1481" t="str">
        <f>IFERROR(VLOOKUP(K58,dropdowns!$G$45:$H$56,2,FALSE)," ")</f>
        <v>1.TB.01.003.01</v>
      </c>
      <c r="M58" s="1251" t="s">
        <v>147</v>
      </c>
      <c r="N58" s="1482" t="s">
        <v>135</v>
      </c>
      <c r="O58" s="1231" t="s">
        <v>6172</v>
      </c>
      <c r="P58" s="1218">
        <v>45107</v>
      </c>
      <c r="Q58" s="3913">
        <f>1491099.05*0</f>
        <v>0</v>
      </c>
      <c r="R58" s="1216"/>
      <c r="S58" s="1217"/>
      <c r="T58" s="1728"/>
      <c r="U58" s="1219" t="s">
        <v>79</v>
      </c>
      <c r="V58" s="1218"/>
      <c r="W58" s="1219"/>
      <c r="X58" s="1093" t="str">
        <f t="shared" si="2"/>
        <v>ACTIVE</v>
      </c>
      <c r="Y58" s="3349"/>
      <c r="Z58" s="1221"/>
      <c r="AA58" s="1217"/>
      <c r="AB58" s="1728"/>
      <c r="AC58" s="1219" t="s">
        <v>79</v>
      </c>
      <c r="AD58" s="1219"/>
      <c r="AE58" s="1222"/>
      <c r="AF58" s="1093" t="str">
        <f t="shared" si="4"/>
        <v>ACTIVE</v>
      </c>
      <c r="AG58" s="1220"/>
      <c r="AH58" s="1223"/>
      <c r="AI58" s="1728"/>
      <c r="AJ58" s="1222" t="s">
        <v>79</v>
      </c>
      <c r="AK58" s="1222"/>
      <c r="AL58" s="1223"/>
      <c r="AM58" s="1735"/>
      <c r="AN58" s="1239"/>
      <c r="AO58" s="1226" t="s">
        <v>3225</v>
      </c>
      <c r="AP58" s="1493"/>
      <c r="AQ58" s="1227"/>
      <c r="AR58" s="1728"/>
      <c r="AS58" s="1220"/>
      <c r="AT58" s="1217"/>
      <c r="AU58" s="1224"/>
      <c r="AV58" s="1220"/>
      <c r="AW58" s="1227" t="s">
        <v>3226</v>
      </c>
      <c r="AX58" s="1728">
        <v>45591</v>
      </c>
      <c r="AY58" s="1093" t="str">
        <f t="shared" si="5"/>
        <v>ACTIVE</v>
      </c>
      <c r="AZ58" s="1220">
        <v>1491099.05</v>
      </c>
      <c r="BA58" s="1222" t="s">
        <v>79</v>
      </c>
      <c r="BB58" s="1228"/>
      <c r="BC58" s="1229"/>
      <c r="BD58" s="1230" t="s">
        <v>3227</v>
      </c>
      <c r="BE58" s="686"/>
      <c r="BF58" s="845">
        <f ca="1">IF(BA58="PENDING",TODAY()-AM58,0)</f>
        <v>0</v>
      </c>
      <c r="BG58" s="1377"/>
    </row>
    <row r="59" spans="1:61" s="687" customFormat="1" ht="38.25">
      <c r="A59" s="1524" t="s">
        <v>786</v>
      </c>
      <c r="B59" s="1961" t="s">
        <v>787</v>
      </c>
      <c r="C59" s="1962" t="s">
        <v>165</v>
      </c>
      <c r="D59" s="2107" t="s">
        <v>78</v>
      </c>
      <c r="E59" s="1964"/>
      <c r="F59" s="1965"/>
      <c r="G59" s="1966"/>
      <c r="H59" s="1987" t="s">
        <v>91</v>
      </c>
      <c r="I59" s="1968" t="s">
        <v>244</v>
      </c>
      <c r="J59" s="1922" t="str">
        <f>IFERROR(VLOOKUP(I59,dropdowns!$E$45:$I$56,2,FALSE)," ")</f>
        <v>1.TB.01.003</v>
      </c>
      <c r="K59" s="1969" t="s">
        <v>244</v>
      </c>
      <c r="L59" s="1923" t="str">
        <f>IFERROR(VLOOKUP(K59,dropdowns!$G$45:$H$56,2,FALSE)," ")</f>
        <v>1.TB.01.003.01</v>
      </c>
      <c r="M59" s="1456" t="s">
        <v>147</v>
      </c>
      <c r="N59" s="1970" t="s">
        <v>135</v>
      </c>
      <c r="O59" s="1253">
        <v>12</v>
      </c>
      <c r="P59" s="1252">
        <v>45001</v>
      </c>
      <c r="Q59" s="3915">
        <f>+'Schedule E(ss)'!AB23*0</f>
        <v>0</v>
      </c>
      <c r="R59" s="1971"/>
      <c r="S59" s="1217"/>
      <c r="T59" s="1728"/>
      <c r="U59" s="1219"/>
      <c r="V59" s="1218"/>
      <c r="W59" s="1219"/>
      <c r="X59" s="1093" t="str">
        <f>IF(U59="APPROVED","ACTIVE",IF(U59="PENDING","ACTIVE","NOT ACTIVE"))</f>
        <v>NOT ACTIVE</v>
      </c>
      <c r="Y59" s="3349"/>
      <c r="Z59" s="1221"/>
      <c r="AA59" s="1217"/>
      <c r="AB59" s="1728"/>
      <c r="AC59" s="1222"/>
      <c r="AD59" s="1219"/>
      <c r="AE59" s="1222"/>
      <c r="AF59" s="1093" t="str">
        <f>IF(AC59="APPROVED","ACTIVE","NOT ACTIVE")</f>
        <v>NOT ACTIVE</v>
      </c>
      <c r="AG59" s="1220"/>
      <c r="AH59" s="1223"/>
      <c r="AI59" s="1728"/>
      <c r="AJ59" s="1222"/>
      <c r="AK59" s="1222"/>
      <c r="AL59" s="1223"/>
      <c r="AM59" s="1735"/>
      <c r="AN59" s="1239"/>
      <c r="AO59" s="1226"/>
      <c r="AP59" s="1493"/>
      <c r="AQ59" s="1227"/>
      <c r="AR59" s="1728"/>
      <c r="AS59" s="1220"/>
      <c r="AT59" s="1217"/>
      <c r="AU59" s="1224"/>
      <c r="AV59" s="1220"/>
      <c r="AW59" s="1217"/>
      <c r="AX59" s="1728"/>
      <c r="AY59" s="1093" t="str">
        <f>IF(BA59="APPROVED","ACTIVE","NOT ACTIVE")</f>
        <v>NOT ACTIVE</v>
      </c>
      <c r="AZ59" s="1220"/>
      <c r="BA59" s="1222"/>
      <c r="BB59" s="1228"/>
      <c r="BC59" s="1229"/>
      <c r="BD59" s="1230"/>
      <c r="BE59" s="686"/>
      <c r="BF59" s="845"/>
      <c r="BG59" s="1377"/>
    </row>
    <row r="60" spans="1:61" s="687" customFormat="1" ht="51">
      <c r="A60" s="1524">
        <v>14</v>
      </c>
      <c r="B60" s="1961" t="s">
        <v>2049</v>
      </c>
      <c r="C60" s="1962" t="s">
        <v>165</v>
      </c>
      <c r="D60" s="2107" t="s">
        <v>92</v>
      </c>
      <c r="E60" s="1964"/>
      <c r="F60" s="1965"/>
      <c r="G60" s="1966" t="s">
        <v>191</v>
      </c>
      <c r="H60" s="1987" t="s">
        <v>104</v>
      </c>
      <c r="I60" s="1968" t="s">
        <v>244</v>
      </c>
      <c r="J60" s="1922" t="str">
        <f>IFERROR(VLOOKUP(I60,dropdowns!$E$45:$I$56,2,FALSE)," ")</f>
        <v>1.TB.01.003</v>
      </c>
      <c r="K60" s="1969" t="s">
        <v>244</v>
      </c>
      <c r="L60" s="1923" t="str">
        <f>IFERROR(VLOOKUP(K60,dropdowns!$G$45:$H$56,2,FALSE)," ")</f>
        <v>1.TB.01.003.01</v>
      </c>
      <c r="M60" s="1456" t="s">
        <v>2269</v>
      </c>
      <c r="N60" s="1970" t="s">
        <v>152</v>
      </c>
      <c r="O60" s="1253"/>
      <c r="P60" s="1252"/>
      <c r="Q60" s="3915"/>
      <c r="R60" s="1971">
        <v>10</v>
      </c>
      <c r="S60" s="1991"/>
      <c r="T60" s="1973">
        <v>45090</v>
      </c>
      <c r="U60" s="1974" t="s">
        <v>125</v>
      </c>
      <c r="V60" s="3023" t="s">
        <v>2052</v>
      </c>
      <c r="W60" s="1974" t="s">
        <v>94</v>
      </c>
      <c r="X60" s="1100" t="str">
        <f>IF(U60="APPROVED","ACTIVE",IF(U60="PENDING","ACTIVE","NOT ACTIVE"))</f>
        <v>NOT ACTIVE</v>
      </c>
      <c r="Y60" s="3356">
        <v>-17992</v>
      </c>
      <c r="Z60" s="1992" t="s">
        <v>2126</v>
      </c>
      <c r="AA60" s="1991"/>
      <c r="AB60" s="1973">
        <v>45141</v>
      </c>
      <c r="AC60" s="1974" t="s">
        <v>125</v>
      </c>
      <c r="AD60" s="1974" t="s">
        <v>2286</v>
      </c>
      <c r="AE60" s="1531" t="s">
        <v>94</v>
      </c>
      <c r="AF60" s="1100" t="str">
        <f>IF(AC60="APPROVED","ACTIVE","NOT ACTIVE")</f>
        <v>NOT ACTIVE</v>
      </c>
      <c r="AG60" s="1530">
        <v>-17992</v>
      </c>
      <c r="AH60" s="1993"/>
      <c r="AI60" s="1973"/>
      <c r="AJ60" s="1531" t="s">
        <v>125</v>
      </c>
      <c r="AK60" s="1531"/>
      <c r="AL60" s="1993"/>
      <c r="AM60" s="1977"/>
      <c r="AN60" s="1978"/>
      <c r="AO60" s="1979"/>
      <c r="AP60" s="1994"/>
      <c r="AQ60" s="1995"/>
      <c r="AR60" s="1973"/>
      <c r="AS60" s="1530"/>
      <c r="AT60" s="1991"/>
      <c r="AU60" s="1982"/>
      <c r="AV60" s="1530"/>
      <c r="AW60" s="1991"/>
      <c r="AX60" s="1973"/>
      <c r="AY60" s="1100" t="str">
        <f>IF(BA60="APPROVED","ACTIVE","NOT ACTIVE")</f>
        <v>NOT ACTIVE</v>
      </c>
      <c r="AZ60" s="1530"/>
      <c r="BA60" s="1531" t="s">
        <v>125</v>
      </c>
      <c r="BB60" s="1532"/>
      <c r="BC60" s="1533"/>
      <c r="BD60" s="1999" t="s">
        <v>2669</v>
      </c>
      <c r="BE60" s="686"/>
      <c r="BF60" s="845">
        <f t="shared" ref="BF60:BF91" ca="1" si="6">IF(BA60="PENDING",TODAY()-AM60,0)</f>
        <v>0</v>
      </c>
      <c r="BG60" s="1377"/>
    </row>
    <row r="61" spans="1:61" s="687" customFormat="1" ht="51">
      <c r="A61" s="1141">
        <v>15</v>
      </c>
      <c r="B61" s="1884" t="s">
        <v>788</v>
      </c>
      <c r="C61" s="1474" t="s">
        <v>165</v>
      </c>
      <c r="D61" s="1886" t="s">
        <v>5122</v>
      </c>
      <c r="E61" s="1476"/>
      <c r="F61" s="1477"/>
      <c r="G61" s="1478" t="s">
        <v>218</v>
      </c>
      <c r="H61" s="1479" t="s">
        <v>91</v>
      </c>
      <c r="I61" s="1885" t="s">
        <v>244</v>
      </c>
      <c r="J61" s="1480" t="str">
        <f>IFERROR(VLOOKUP(I61,dropdowns!$E$45:$I$56,2,FALSE)," ")</f>
        <v>1.TB.01.003</v>
      </c>
      <c r="K61" s="1886" t="s">
        <v>244</v>
      </c>
      <c r="L61" s="1481" t="str">
        <f>IFERROR(VLOOKUP(K61,dropdowns!$G$45:$H$56,2,FALSE)," ")</f>
        <v>1.TB.01.003.01</v>
      </c>
      <c r="M61" s="1251" t="s">
        <v>2269</v>
      </c>
      <c r="N61" s="1482" t="s">
        <v>152</v>
      </c>
      <c r="O61" s="1231"/>
      <c r="P61" s="1218"/>
      <c r="Q61" s="3913"/>
      <c r="R61" s="1216">
        <v>1</v>
      </c>
      <c r="S61" s="1217"/>
      <c r="T61" s="1728">
        <v>45740</v>
      </c>
      <c r="U61" s="1219" t="s">
        <v>79</v>
      </c>
      <c r="V61" s="2116" t="s">
        <v>789</v>
      </c>
      <c r="W61" s="1219" t="s">
        <v>94</v>
      </c>
      <c r="X61" s="1093" t="str">
        <f t="shared" si="2"/>
        <v>ACTIVE</v>
      </c>
      <c r="Y61" s="3349">
        <v>4745791</v>
      </c>
      <c r="Z61" s="1221">
        <v>2</v>
      </c>
      <c r="AA61" s="1217"/>
      <c r="AB61" s="1728">
        <v>45018</v>
      </c>
      <c r="AC61" s="1219" t="s">
        <v>79</v>
      </c>
      <c r="AD61" s="1219" t="s">
        <v>790</v>
      </c>
      <c r="AE61" s="1222" t="s">
        <v>94</v>
      </c>
      <c r="AF61" s="1093" t="str">
        <f t="shared" si="4"/>
        <v>ACTIVE</v>
      </c>
      <c r="AG61" s="1220">
        <v>4745791</v>
      </c>
      <c r="AH61" s="1223" t="s">
        <v>1984</v>
      </c>
      <c r="AI61" s="1728">
        <v>45063</v>
      </c>
      <c r="AJ61" s="1219" t="s">
        <v>79</v>
      </c>
      <c r="AK61" s="1219" t="s">
        <v>1983</v>
      </c>
      <c r="AL61" s="2855" t="s">
        <v>1986</v>
      </c>
      <c r="AM61" s="1728">
        <v>45063</v>
      </c>
      <c r="AN61" s="1239" t="s">
        <v>1985</v>
      </c>
      <c r="AO61" s="1226" t="s">
        <v>2342</v>
      </c>
      <c r="AP61" s="1493"/>
      <c r="AQ61" s="1227" t="s">
        <v>2278</v>
      </c>
      <c r="AR61" s="1728">
        <v>45148</v>
      </c>
      <c r="AS61" s="1220">
        <v>6668888.2699999996</v>
      </c>
      <c r="AT61" s="1217"/>
      <c r="AU61" s="1224"/>
      <c r="AV61" s="1220"/>
      <c r="AW61" s="1227" t="s">
        <v>2347</v>
      </c>
      <c r="AX61" s="1728">
        <v>45189</v>
      </c>
      <c r="AY61" s="1093" t="str">
        <f t="shared" si="5"/>
        <v>ACTIVE</v>
      </c>
      <c r="AZ61" s="1220">
        <v>2458484</v>
      </c>
      <c r="BA61" s="1222" t="s">
        <v>79</v>
      </c>
      <c r="BB61" s="1228"/>
      <c r="BC61" s="1229"/>
      <c r="BD61" s="1249" t="s">
        <v>1277</v>
      </c>
      <c r="BE61" s="686"/>
      <c r="BF61" s="845">
        <f t="shared" ca="1" si="6"/>
        <v>0</v>
      </c>
      <c r="BG61" s="1377">
        <f>+AX61-AM61</f>
        <v>126</v>
      </c>
      <c r="BH61" s="3522">
        <f>+BG61-90</f>
        <v>36</v>
      </c>
      <c r="BI61" s="3523">
        <f>+AG61-AZ61</f>
        <v>2287307</v>
      </c>
    </row>
    <row r="62" spans="1:61" s="686" customFormat="1" ht="51">
      <c r="A62" s="1141">
        <v>16</v>
      </c>
      <c r="B62" s="1884" t="s">
        <v>791</v>
      </c>
      <c r="C62" s="1474" t="s">
        <v>165</v>
      </c>
      <c r="D62" s="1886" t="s">
        <v>5123</v>
      </c>
      <c r="E62" s="1476"/>
      <c r="F62" s="1477"/>
      <c r="G62" s="1478" t="s">
        <v>218</v>
      </c>
      <c r="H62" s="1479" t="s">
        <v>91</v>
      </c>
      <c r="I62" s="1885" t="s">
        <v>244</v>
      </c>
      <c r="J62" s="1480" t="str">
        <f>IFERROR(VLOOKUP(I62,dropdowns!$E$45:$I$56,2,FALSE)," ")</f>
        <v>1.TB.01.003</v>
      </c>
      <c r="K62" s="1886" t="s">
        <v>244</v>
      </c>
      <c r="L62" s="1481" t="str">
        <f>IFERROR(VLOOKUP(K62,dropdowns!$G$45:$H$56,2,FALSE)," ")</f>
        <v>1.TB.01.003.01</v>
      </c>
      <c r="M62" s="1251" t="s">
        <v>2269</v>
      </c>
      <c r="N62" s="1482" t="s">
        <v>152</v>
      </c>
      <c r="O62" s="1231"/>
      <c r="P62" s="1218"/>
      <c r="Q62" s="3913"/>
      <c r="R62" s="1216">
        <v>18</v>
      </c>
      <c r="S62" s="1217"/>
      <c r="T62" s="1728">
        <v>45133</v>
      </c>
      <c r="U62" s="1219" t="s">
        <v>79</v>
      </c>
      <c r="V62" s="1219" t="s">
        <v>2165</v>
      </c>
      <c r="W62" s="1219" t="s">
        <v>94</v>
      </c>
      <c r="X62" s="1093" t="str">
        <f t="shared" si="2"/>
        <v>ACTIVE</v>
      </c>
      <c r="Y62" s="3350">
        <f>-725477*0-834298.55</f>
        <v>-834298.55</v>
      </c>
      <c r="Z62" s="1221" t="s">
        <v>2285</v>
      </c>
      <c r="AA62" s="1217"/>
      <c r="AB62" s="1728">
        <v>45160</v>
      </c>
      <c r="AC62" s="1222" t="s">
        <v>79</v>
      </c>
      <c r="AD62" s="1219" t="s">
        <v>2306</v>
      </c>
      <c r="AE62" s="1222"/>
      <c r="AF62" s="1093" t="str">
        <f t="shared" si="4"/>
        <v>ACTIVE</v>
      </c>
      <c r="AG62" s="1248">
        <v>-848556</v>
      </c>
      <c r="AH62" s="1223" t="s">
        <v>2317</v>
      </c>
      <c r="AI62" s="1728">
        <v>45165</v>
      </c>
      <c r="AJ62" s="1222" t="s">
        <v>79</v>
      </c>
      <c r="AK62" s="1219" t="s">
        <v>2316</v>
      </c>
      <c r="AL62" s="1223" t="s">
        <v>2318</v>
      </c>
      <c r="AM62" s="1728">
        <v>45166</v>
      </c>
      <c r="AN62" s="1239" t="s">
        <v>2319</v>
      </c>
      <c r="AO62" s="1226" t="s">
        <v>2515</v>
      </c>
      <c r="AP62" s="1493"/>
      <c r="AQ62" s="1227"/>
      <c r="AR62" s="1728"/>
      <c r="AS62" s="1220"/>
      <c r="AT62" s="1227"/>
      <c r="AU62" s="1218"/>
      <c r="AV62" s="1220"/>
      <c r="AW62" s="1227" t="s">
        <v>2568</v>
      </c>
      <c r="AX62" s="1728">
        <v>45252</v>
      </c>
      <c r="AY62" s="1093" t="str">
        <f t="shared" si="5"/>
        <v>ACTIVE</v>
      </c>
      <c r="AZ62" s="1248">
        <v>-848556</v>
      </c>
      <c r="BA62" s="1222" t="s">
        <v>79</v>
      </c>
      <c r="BB62" s="1228"/>
      <c r="BC62" s="1229"/>
      <c r="BD62" s="1249" t="s">
        <v>2569</v>
      </c>
      <c r="BF62" s="845">
        <f t="shared" ca="1" si="6"/>
        <v>0</v>
      </c>
      <c r="BG62" s="1377">
        <f>+AX62-AM62</f>
        <v>86</v>
      </c>
      <c r="BI62" s="3523"/>
    </row>
    <row r="63" spans="1:61" s="686" customFormat="1" ht="51">
      <c r="A63" s="1141">
        <v>17</v>
      </c>
      <c r="B63" s="1884" t="s">
        <v>792</v>
      </c>
      <c r="C63" s="1474" t="s">
        <v>165</v>
      </c>
      <c r="D63" s="4501" t="s">
        <v>5126</v>
      </c>
      <c r="E63" s="1476"/>
      <c r="F63" s="1477"/>
      <c r="G63" s="1478" t="s">
        <v>210</v>
      </c>
      <c r="H63" s="1932" t="s">
        <v>91</v>
      </c>
      <c r="I63" s="1885" t="s">
        <v>244</v>
      </c>
      <c r="J63" s="1480" t="str">
        <f>IFERROR(VLOOKUP(I63,dropdowns!$E$45:$I$56,2,FALSE)," ")</f>
        <v>1.TB.01.003</v>
      </c>
      <c r="K63" s="1886" t="s">
        <v>244</v>
      </c>
      <c r="L63" s="1481" t="str">
        <f>IFERROR(VLOOKUP(K63,dropdowns!$G$45:$H$56,2,FALSE)," ")</f>
        <v>1.TB.01.003.01</v>
      </c>
      <c r="M63" s="1251" t="s">
        <v>2269</v>
      </c>
      <c r="N63" s="1482" t="s">
        <v>152</v>
      </c>
      <c r="O63" s="1231"/>
      <c r="P63" s="1218"/>
      <c r="Q63" s="3913"/>
      <c r="R63" s="1216">
        <v>3</v>
      </c>
      <c r="S63" s="1217"/>
      <c r="T63" s="1728">
        <v>44951</v>
      </c>
      <c r="U63" s="1219" t="s">
        <v>79</v>
      </c>
      <c r="V63" s="1219" t="s">
        <v>793</v>
      </c>
      <c r="W63" s="1219" t="s">
        <v>94</v>
      </c>
      <c r="X63" s="1093" t="str">
        <f t="shared" si="2"/>
        <v>ACTIVE</v>
      </c>
      <c r="Y63" s="3358">
        <v>12500000</v>
      </c>
      <c r="Z63" s="1244" t="s">
        <v>2126</v>
      </c>
      <c r="AA63" s="1245"/>
      <c r="AB63" s="1728">
        <v>45311</v>
      </c>
      <c r="AC63" s="1219" t="s">
        <v>79</v>
      </c>
      <c r="AD63" s="1219" t="s">
        <v>2632</v>
      </c>
      <c r="AE63" s="1222"/>
      <c r="AF63" s="1093" t="str">
        <f>IF(AC63="APPROVED","ACTIVE","NOT ACTIVE")</f>
        <v>ACTIVE</v>
      </c>
      <c r="AG63" s="1220">
        <v>1518989</v>
      </c>
      <c r="AH63" s="1223" t="s">
        <v>2628</v>
      </c>
      <c r="AI63" s="1735">
        <v>45311</v>
      </c>
      <c r="AJ63" s="1222" t="s">
        <v>79</v>
      </c>
      <c r="AK63" s="1219" t="s">
        <v>2633</v>
      </c>
      <c r="AL63" s="1246" t="s">
        <v>2516</v>
      </c>
      <c r="AM63" s="1735">
        <v>45319</v>
      </c>
      <c r="AN63" s="1239" t="s">
        <v>2705</v>
      </c>
      <c r="AO63" s="1226" t="s">
        <v>2514</v>
      </c>
      <c r="AP63" s="1495"/>
      <c r="AQ63" s="1247"/>
      <c r="AR63" s="1728"/>
      <c r="AS63" s="1220"/>
      <c r="AT63" s="2855"/>
      <c r="AU63" s="2856"/>
      <c r="AV63" s="1220"/>
      <c r="AW63" s="1247" t="s">
        <v>2769</v>
      </c>
      <c r="AX63" s="1728">
        <v>45438</v>
      </c>
      <c r="AY63" s="1093" t="str">
        <f t="shared" si="5"/>
        <v>ACTIVE</v>
      </c>
      <c r="AZ63" s="1220">
        <v>221724</v>
      </c>
      <c r="BA63" s="1222" t="s">
        <v>79</v>
      </c>
      <c r="BB63" s="1228"/>
      <c r="BC63" s="1229"/>
      <c r="BD63" s="1230" t="s">
        <v>2770</v>
      </c>
      <c r="BF63" s="845">
        <f t="shared" ca="1" si="6"/>
        <v>0</v>
      </c>
      <c r="BG63" s="1377">
        <f>+AX63-AM63</f>
        <v>119</v>
      </c>
      <c r="BH63" s="3522">
        <f>+BG63-90</f>
        <v>29</v>
      </c>
      <c r="BI63" s="3523">
        <f>+AG63-AZ63</f>
        <v>1297265</v>
      </c>
    </row>
    <row r="64" spans="1:61" s="686" customFormat="1" ht="51">
      <c r="A64" s="1141">
        <v>18</v>
      </c>
      <c r="B64" s="1884" t="s">
        <v>794</v>
      </c>
      <c r="C64" s="1474" t="s">
        <v>165</v>
      </c>
      <c r="D64" s="4501" t="s">
        <v>5123</v>
      </c>
      <c r="E64" s="1476"/>
      <c r="F64" s="1477"/>
      <c r="G64" s="1478" t="s">
        <v>218</v>
      </c>
      <c r="H64" s="1932" t="s">
        <v>91</v>
      </c>
      <c r="I64" s="1885" t="s">
        <v>244</v>
      </c>
      <c r="J64" s="1480" t="str">
        <f>IFERROR(VLOOKUP(I64,dropdowns!$E$45:$I$56,2,FALSE)," ")</f>
        <v>1.TB.01.003</v>
      </c>
      <c r="K64" s="1886" t="s">
        <v>244</v>
      </c>
      <c r="L64" s="1481" t="str">
        <f>IFERROR(VLOOKUP(K64,dropdowns!$G$45:$H$56,2,FALSE)," ")</f>
        <v>1.TB.01.003.01</v>
      </c>
      <c r="M64" s="1251" t="s">
        <v>2269</v>
      </c>
      <c r="N64" s="1482" t="s">
        <v>152</v>
      </c>
      <c r="O64" s="1231"/>
      <c r="P64" s="1218"/>
      <c r="Q64" s="3913"/>
      <c r="R64" s="1216">
        <v>5</v>
      </c>
      <c r="S64" s="1217"/>
      <c r="T64" s="1728">
        <v>44976</v>
      </c>
      <c r="U64" s="1219" t="s">
        <v>79</v>
      </c>
      <c r="V64" s="1219" t="s">
        <v>795</v>
      </c>
      <c r="W64" s="1219" t="s">
        <v>94</v>
      </c>
      <c r="X64" s="1093" t="str">
        <f t="shared" si="2"/>
        <v>ACTIVE</v>
      </c>
      <c r="Y64" s="3349">
        <v>543269</v>
      </c>
      <c r="Z64" s="1244">
        <v>1</v>
      </c>
      <c r="AA64" s="1245"/>
      <c r="AB64" s="1728">
        <v>45001</v>
      </c>
      <c r="AC64" s="1219" t="s">
        <v>79</v>
      </c>
      <c r="AD64" s="1219" t="s">
        <v>796</v>
      </c>
      <c r="AE64" s="1222" t="s">
        <v>94</v>
      </c>
      <c r="AF64" s="1093" t="str">
        <f>IF(AC64="APPROVED","ACTIVE","NOT ACTIVE")</f>
        <v>ACTIVE</v>
      </c>
      <c r="AG64" s="1220">
        <v>543269</v>
      </c>
      <c r="AH64" s="1223" t="s">
        <v>658</v>
      </c>
      <c r="AI64" s="1728">
        <v>45008</v>
      </c>
      <c r="AJ64" s="1222" t="s">
        <v>79</v>
      </c>
      <c r="AK64" s="1219" t="s">
        <v>797</v>
      </c>
      <c r="AL64" s="1170" t="s">
        <v>798</v>
      </c>
      <c r="AM64" s="1735">
        <v>45021</v>
      </c>
      <c r="AN64" s="1239" t="s">
        <v>799</v>
      </c>
      <c r="AO64" s="1226" t="s">
        <v>2343</v>
      </c>
      <c r="AP64" s="1495" t="s">
        <v>939</v>
      </c>
      <c r="AQ64" s="1247" t="s">
        <v>2050</v>
      </c>
      <c r="AR64" s="1728">
        <v>45090</v>
      </c>
      <c r="AS64" s="1220">
        <v>1119159.1200000001</v>
      </c>
      <c r="AT64" s="2855"/>
      <c r="AU64" s="2856"/>
      <c r="AV64" s="1220"/>
      <c r="AW64" s="1247" t="s">
        <v>2138</v>
      </c>
      <c r="AX64" s="1728">
        <v>45127</v>
      </c>
      <c r="AY64" s="1093" t="str">
        <f t="shared" ref="AY64:AY71" si="7">IF(BA64="APPROVED","ACTIVE","NOT ACTIVE")</f>
        <v>ACTIVE</v>
      </c>
      <c r="AZ64" s="1220">
        <v>343524.99</v>
      </c>
      <c r="BA64" s="1222" t="s">
        <v>79</v>
      </c>
      <c r="BB64" s="1228"/>
      <c r="BC64" s="1229"/>
      <c r="BD64" s="1230"/>
      <c r="BF64" s="845">
        <f t="shared" ca="1" si="6"/>
        <v>0</v>
      </c>
      <c r="BG64" s="1377"/>
    </row>
    <row r="65" spans="1:61" s="686" customFormat="1" ht="51">
      <c r="A65" s="1141">
        <v>20</v>
      </c>
      <c r="B65" s="1498" t="s">
        <v>1996</v>
      </c>
      <c r="C65" s="1474" t="s">
        <v>165</v>
      </c>
      <c r="D65" s="1886" t="s">
        <v>5123</v>
      </c>
      <c r="E65" s="1476"/>
      <c r="F65" s="1477"/>
      <c r="G65" s="1478" t="s">
        <v>218</v>
      </c>
      <c r="H65" s="1479" t="s">
        <v>91</v>
      </c>
      <c r="I65" s="1138" t="s">
        <v>244</v>
      </c>
      <c r="J65" s="1480" t="str">
        <f>IFERROR(VLOOKUP(I65,dropdowns!$E$45:$I$56,2,FALSE)," ")</f>
        <v>1.TB.01.003</v>
      </c>
      <c r="K65" s="1140" t="s">
        <v>244</v>
      </c>
      <c r="L65" s="1481" t="str">
        <f>IFERROR(VLOOKUP(K65,dropdowns!$G$45:$H$56,2,FALSE)," ")</f>
        <v>1.TB.01.003.01</v>
      </c>
      <c r="M65" s="1251" t="s">
        <v>2269</v>
      </c>
      <c r="N65" s="1482" t="s">
        <v>152</v>
      </c>
      <c r="O65" s="1231" t="s">
        <v>6173</v>
      </c>
      <c r="P65" s="1218">
        <v>45069</v>
      </c>
      <c r="Q65" s="3913">
        <f>(-2620800-2340000+160800)*0</f>
        <v>0</v>
      </c>
      <c r="R65" s="1216" t="s">
        <v>2117</v>
      </c>
      <c r="S65" s="1217"/>
      <c r="T65" s="1728">
        <v>45098</v>
      </c>
      <c r="U65" s="1219" t="s">
        <v>79</v>
      </c>
      <c r="V65" s="1219" t="s">
        <v>2118</v>
      </c>
      <c r="W65" s="1219" t="s">
        <v>94</v>
      </c>
      <c r="X65" s="1093" t="s">
        <v>89</v>
      </c>
      <c r="Y65" s="3350">
        <v>-4800000</v>
      </c>
      <c r="Z65" s="1244">
        <v>5</v>
      </c>
      <c r="AA65" s="1217"/>
      <c r="AB65" s="1728">
        <v>45127</v>
      </c>
      <c r="AC65" s="1219" t="s">
        <v>79</v>
      </c>
      <c r="AD65" s="1219" t="s">
        <v>2139</v>
      </c>
      <c r="AE65" s="1222" t="s">
        <v>94</v>
      </c>
      <c r="AF65" s="1093" t="str">
        <f>IF(AC65="APPROVED","ACTIVE","NOT ACTIVE")</f>
        <v>ACTIVE</v>
      </c>
      <c r="AG65" s="1248">
        <v>-4907800</v>
      </c>
      <c r="AH65" s="1223" t="s">
        <v>1994</v>
      </c>
      <c r="AI65" s="1728">
        <v>45133</v>
      </c>
      <c r="AJ65" s="1222" t="s">
        <v>79</v>
      </c>
      <c r="AK65" s="1219" t="s">
        <v>2166</v>
      </c>
      <c r="AL65" s="1170" t="s">
        <v>2279</v>
      </c>
      <c r="AM65" s="1735">
        <v>45134</v>
      </c>
      <c r="AN65" s="1239" t="s">
        <v>2167</v>
      </c>
      <c r="AO65" s="1226" t="s">
        <v>2344</v>
      </c>
      <c r="AP65" s="1169"/>
      <c r="AQ65" s="2124" t="s">
        <v>2284</v>
      </c>
      <c r="AR65" s="1728">
        <v>45146</v>
      </c>
      <c r="AS65" s="3010">
        <f>53300-2620800</f>
        <v>-2567500</v>
      </c>
      <c r="AT65" s="1171"/>
      <c r="AU65" s="1880"/>
      <c r="AV65" s="1881"/>
      <c r="AW65" s="1227" t="s">
        <v>2341</v>
      </c>
      <c r="AX65" s="1728">
        <v>45183</v>
      </c>
      <c r="AY65" s="1093" t="str">
        <f t="shared" si="7"/>
        <v>ACTIVE</v>
      </c>
      <c r="AZ65" s="1248">
        <v>-4902500</v>
      </c>
      <c r="BA65" s="1222" t="s">
        <v>79</v>
      </c>
      <c r="BB65" s="1228"/>
      <c r="BC65" s="1229"/>
      <c r="BD65" s="1230" t="s">
        <v>1277</v>
      </c>
      <c r="BF65" s="845">
        <f t="shared" ca="1" si="6"/>
        <v>0</v>
      </c>
      <c r="BG65" s="1377">
        <f>+AX65-AM65</f>
        <v>49</v>
      </c>
      <c r="BI65" s="3523">
        <f>+AG65-AZ65</f>
        <v>-5300</v>
      </c>
    </row>
    <row r="66" spans="1:61" s="686" customFormat="1" ht="51">
      <c r="A66" s="1141">
        <v>21</v>
      </c>
      <c r="B66" s="1498" t="s">
        <v>2106</v>
      </c>
      <c r="C66" s="1474" t="s">
        <v>165</v>
      </c>
      <c r="D66" s="1886" t="s">
        <v>5122</v>
      </c>
      <c r="E66" s="1476"/>
      <c r="F66" s="1477"/>
      <c r="G66" s="1478" t="s">
        <v>218</v>
      </c>
      <c r="H66" s="1479" t="s">
        <v>91</v>
      </c>
      <c r="I66" s="1138" t="s">
        <v>244</v>
      </c>
      <c r="J66" s="1480" t="str">
        <f>IFERROR(VLOOKUP(I66,dropdowns!$E$45:$I$56,2,FALSE)," ")</f>
        <v>1.TB.01.003</v>
      </c>
      <c r="K66" s="1140" t="s">
        <v>244</v>
      </c>
      <c r="L66" s="1481" t="str">
        <f>IFERROR(VLOOKUP(K66,dropdowns!$G$45:$H$56,2,FALSE)," ")</f>
        <v>1.TB.01.003.01</v>
      </c>
      <c r="M66" s="1251" t="s">
        <v>2269</v>
      </c>
      <c r="N66" s="1482" t="s">
        <v>152</v>
      </c>
      <c r="O66" s="1231" t="s">
        <v>6174</v>
      </c>
      <c r="P66" s="1218">
        <v>45069</v>
      </c>
      <c r="Q66" s="3913">
        <f>(-11961758+3477241.44)*0</f>
        <v>0</v>
      </c>
      <c r="R66" s="1216" t="s">
        <v>782</v>
      </c>
      <c r="S66" s="1217"/>
      <c r="T66" s="1728">
        <v>45098</v>
      </c>
      <c r="U66" s="1219" t="s">
        <v>79</v>
      </c>
      <c r="V66" s="1219" t="s">
        <v>2105</v>
      </c>
      <c r="W66" s="1219" t="s">
        <v>94</v>
      </c>
      <c r="X66" s="1093" t="s">
        <v>89</v>
      </c>
      <c r="Y66" s="3350">
        <v>-9961758.4000000004</v>
      </c>
      <c r="Z66" s="1221">
        <v>6</v>
      </c>
      <c r="AA66" s="1217"/>
      <c r="AB66" s="1728">
        <v>45141</v>
      </c>
      <c r="AC66" s="1222" t="s">
        <v>79</v>
      </c>
      <c r="AD66" s="1219" t="s">
        <v>2282</v>
      </c>
      <c r="AE66" s="1222" t="s">
        <v>94</v>
      </c>
      <c r="AF66" s="1093" t="str">
        <f>IF(AC66="APPROVED","ACTIVE","NOT ACTIVE")</f>
        <v>ACTIVE</v>
      </c>
      <c r="AG66" s="1248">
        <v>-11148179.01</v>
      </c>
      <c r="AH66" s="1223" t="s">
        <v>2283</v>
      </c>
      <c r="AI66" s="1728">
        <v>45146</v>
      </c>
      <c r="AJ66" s="1222" t="s">
        <v>79</v>
      </c>
      <c r="AK66" s="1219" t="s">
        <v>2282</v>
      </c>
      <c r="AL66" s="1170" t="s">
        <v>2280</v>
      </c>
      <c r="AM66" s="1735">
        <v>45147</v>
      </c>
      <c r="AN66" s="1239" t="s">
        <v>2281</v>
      </c>
      <c r="AO66" s="1168" t="s">
        <v>2514</v>
      </c>
      <c r="AP66" s="1169"/>
      <c r="AQ66" s="2124"/>
      <c r="AR66" s="1880"/>
      <c r="AS66" s="1881"/>
      <c r="AT66" s="1171"/>
      <c r="AU66" s="1880"/>
      <c r="AV66" s="1881"/>
      <c r="AW66" s="1227" t="s">
        <v>2553</v>
      </c>
      <c r="AX66" s="1728">
        <v>45228</v>
      </c>
      <c r="AY66" s="1093" t="str">
        <f t="shared" si="7"/>
        <v>ACTIVE</v>
      </c>
      <c r="AZ66" s="1248">
        <v>-11545998.09</v>
      </c>
      <c r="BA66" s="1222" t="s">
        <v>79</v>
      </c>
      <c r="BB66" s="1228"/>
      <c r="BC66" s="1229"/>
      <c r="BD66" s="1230" t="s">
        <v>1277</v>
      </c>
      <c r="BF66" s="845">
        <f t="shared" ca="1" si="6"/>
        <v>0</v>
      </c>
      <c r="BG66" s="1377">
        <f>+AX66-AM66</f>
        <v>81</v>
      </c>
      <c r="BI66" s="3523">
        <f>+AG66-AZ66</f>
        <v>397819.08000000007</v>
      </c>
    </row>
    <row r="67" spans="1:61" s="686" customFormat="1" ht="51">
      <c r="A67" s="1141">
        <v>22</v>
      </c>
      <c r="B67" s="1498" t="s">
        <v>1997</v>
      </c>
      <c r="C67" s="1474" t="s">
        <v>165</v>
      </c>
      <c r="D67" s="1475" t="s">
        <v>92</v>
      </c>
      <c r="E67" s="1476"/>
      <c r="F67" s="1477"/>
      <c r="G67" s="1478" t="s">
        <v>171</v>
      </c>
      <c r="H67" s="1479" t="s">
        <v>104</v>
      </c>
      <c r="I67" s="1138" t="s">
        <v>244</v>
      </c>
      <c r="J67" s="1480" t="str">
        <f>IFERROR(VLOOKUP(I67,dropdowns!$E$45:$I$56,2,FALSE)," ")</f>
        <v>1.TB.01.003</v>
      </c>
      <c r="K67" s="1140" t="s">
        <v>244</v>
      </c>
      <c r="L67" s="1481" t="str">
        <f>IFERROR(VLOOKUP(K67,dropdowns!$G$45:$H$56,2,FALSE)," ")</f>
        <v>1.TB.01.003.01</v>
      </c>
      <c r="M67" s="1251" t="s">
        <v>2269</v>
      </c>
      <c r="N67" s="1482" t="s">
        <v>152</v>
      </c>
      <c r="O67" s="2000" t="s">
        <v>2923</v>
      </c>
      <c r="P67" s="2001">
        <v>45069</v>
      </c>
      <c r="Q67" s="3917">
        <v>-7890</v>
      </c>
      <c r="R67" s="1103"/>
      <c r="S67" s="1109"/>
      <c r="T67" s="1729"/>
      <c r="U67" s="1105"/>
      <c r="V67" s="1105"/>
      <c r="W67" s="1105"/>
      <c r="X67" s="1093" t="str">
        <f t="shared" si="2"/>
        <v>NOT ACTIVE</v>
      </c>
      <c r="Y67" s="3351"/>
      <c r="Z67" s="1111"/>
      <c r="AA67" s="1109"/>
      <c r="AB67" s="1729"/>
      <c r="AC67" s="1097"/>
      <c r="AD67" s="1105"/>
      <c r="AE67" s="1097"/>
      <c r="AF67" s="1093" t="str">
        <f t="shared" si="4"/>
        <v>NOT ACTIVE</v>
      </c>
      <c r="AG67" s="1182"/>
      <c r="AH67" s="1110"/>
      <c r="AI67" s="1729"/>
      <c r="AJ67" s="1097"/>
      <c r="AK67" s="1105"/>
      <c r="AL67" s="1110"/>
      <c r="AM67" s="1736"/>
      <c r="AN67" s="2088"/>
      <c r="AO67" s="1484"/>
      <c r="AP67" s="2089"/>
      <c r="AQ67" s="2106"/>
      <c r="AR67" s="2090"/>
      <c r="AS67" s="2091"/>
      <c r="AT67" s="1485"/>
      <c r="AU67" s="2090"/>
      <c r="AV67" s="2091"/>
      <c r="AW67" s="1117"/>
      <c r="AX67" s="1729"/>
      <c r="AY67" s="1096" t="str">
        <f t="shared" si="7"/>
        <v>NOT ACTIVE</v>
      </c>
      <c r="AZ67" s="1182"/>
      <c r="BA67" s="1097"/>
      <c r="BB67" s="1098"/>
      <c r="BC67" s="1099"/>
      <c r="BD67" s="1230" t="s">
        <v>4871</v>
      </c>
      <c r="BF67" s="845">
        <f t="shared" ca="1" si="6"/>
        <v>0</v>
      </c>
      <c r="BG67" s="1377"/>
    </row>
    <row r="68" spans="1:61" s="686" customFormat="1" ht="51">
      <c r="A68" s="1141">
        <v>23</v>
      </c>
      <c r="B68" s="1498" t="s">
        <v>5128</v>
      </c>
      <c r="C68" s="1474" t="s">
        <v>165</v>
      </c>
      <c r="D68" s="1886" t="s">
        <v>5126</v>
      </c>
      <c r="E68" s="1476"/>
      <c r="F68" s="1477"/>
      <c r="G68" s="1478" t="s">
        <v>218</v>
      </c>
      <c r="H68" s="1479" t="s">
        <v>91</v>
      </c>
      <c r="I68" s="1138" t="s">
        <v>244</v>
      </c>
      <c r="J68" s="1480" t="str">
        <f>IFERROR(VLOOKUP(I68,dropdowns!$E$45:$I$56,2,FALSE)," ")</f>
        <v>1.TB.01.003</v>
      </c>
      <c r="K68" s="1140" t="s">
        <v>244</v>
      </c>
      <c r="L68" s="1481" t="str">
        <f>IFERROR(VLOOKUP(K68,dropdowns!$G$45:$H$56,2,FALSE)," ")</f>
        <v>1.TB.01.003.01</v>
      </c>
      <c r="M68" s="1251" t="s">
        <v>2269</v>
      </c>
      <c r="N68" s="1482" t="s">
        <v>152</v>
      </c>
      <c r="O68" s="1231">
        <v>16</v>
      </c>
      <c r="P68" s="1218">
        <v>45069</v>
      </c>
      <c r="Q68" s="3913">
        <f>-2552*0</f>
        <v>0</v>
      </c>
      <c r="R68" s="1216" t="s">
        <v>2332</v>
      </c>
      <c r="S68" s="1217"/>
      <c r="T68" s="1728">
        <v>45168</v>
      </c>
      <c r="U68" s="1219" t="s">
        <v>79</v>
      </c>
      <c r="V68" s="1219" t="s">
        <v>2333</v>
      </c>
      <c r="W68" s="1219" t="s">
        <v>94</v>
      </c>
      <c r="X68" s="1093" t="s">
        <v>89</v>
      </c>
      <c r="Y68" s="3350">
        <v>-742815.79</v>
      </c>
      <c r="Z68" s="1221">
        <v>8</v>
      </c>
      <c r="AA68" s="1217"/>
      <c r="AB68" s="1728">
        <v>45186</v>
      </c>
      <c r="AC68" s="1222" t="s">
        <v>79</v>
      </c>
      <c r="AD68" s="1219" t="s">
        <v>2346</v>
      </c>
      <c r="AE68" s="1222" t="s">
        <v>94</v>
      </c>
      <c r="AF68" s="1093" t="str">
        <f>IF(AC68="APPROVED","ACTIVE","NOT ACTIVE")</f>
        <v>ACTIVE</v>
      </c>
      <c r="AG68" s="1248">
        <v>-742815.79</v>
      </c>
      <c r="AH68" s="1223" t="s">
        <v>2348</v>
      </c>
      <c r="AI68" s="1728">
        <v>45190</v>
      </c>
      <c r="AJ68" s="1222" t="s">
        <v>79</v>
      </c>
      <c r="AK68" s="1219" t="s">
        <v>2349</v>
      </c>
      <c r="AL68" s="1170" t="s">
        <v>2350</v>
      </c>
      <c r="AM68" s="1735">
        <v>45190</v>
      </c>
      <c r="AN68" s="3022" t="s">
        <v>2351</v>
      </c>
      <c r="AO68" s="1168" t="s">
        <v>2571</v>
      </c>
      <c r="AP68" s="1169"/>
      <c r="AQ68" s="2124"/>
      <c r="AR68" s="1880"/>
      <c r="AS68" s="1881"/>
      <c r="AT68" s="1171"/>
      <c r="AU68" s="1880"/>
      <c r="AV68" s="1881"/>
      <c r="AW68" s="1227" t="s">
        <v>2570</v>
      </c>
      <c r="AX68" s="1728">
        <v>45252</v>
      </c>
      <c r="AY68" s="1093" t="str">
        <f t="shared" si="7"/>
        <v>ACTIVE</v>
      </c>
      <c r="AZ68" s="1248">
        <v>-774075.97</v>
      </c>
      <c r="BA68" s="1222" t="s">
        <v>79</v>
      </c>
      <c r="BB68" s="1228"/>
      <c r="BC68" s="1229"/>
      <c r="BD68" s="1230" t="s">
        <v>1277</v>
      </c>
      <c r="BF68" s="845">
        <f t="shared" ca="1" si="6"/>
        <v>0</v>
      </c>
      <c r="BG68" s="1377">
        <f>+AX68-AM68</f>
        <v>62</v>
      </c>
      <c r="BI68" s="3523">
        <f>+AG68-AZ68</f>
        <v>31260.179999999935</v>
      </c>
    </row>
    <row r="69" spans="1:61" s="686" customFormat="1" ht="51">
      <c r="A69" s="1141">
        <v>24</v>
      </c>
      <c r="B69" s="1498" t="s">
        <v>1995</v>
      </c>
      <c r="C69" s="1474" t="s">
        <v>165</v>
      </c>
      <c r="D69" s="1475" t="s">
        <v>92</v>
      </c>
      <c r="E69" s="1476"/>
      <c r="F69" s="1477"/>
      <c r="G69" s="1478" t="s">
        <v>171</v>
      </c>
      <c r="H69" s="1479" t="s">
        <v>104</v>
      </c>
      <c r="I69" s="1138" t="s">
        <v>244</v>
      </c>
      <c r="J69" s="1480" t="str">
        <f>IFERROR(VLOOKUP(I69,dropdowns!$E$45:$I$56,2,FALSE)," ")</f>
        <v>1.TB.01.003</v>
      </c>
      <c r="K69" s="1140" t="s">
        <v>244</v>
      </c>
      <c r="L69" s="1481" t="str">
        <f>IFERROR(VLOOKUP(K69,dropdowns!$G$45:$H$56,2,FALSE)," ")</f>
        <v>1.TB.01.003.01</v>
      </c>
      <c r="M69" s="1251" t="s">
        <v>2269</v>
      </c>
      <c r="N69" s="1482" t="s">
        <v>152</v>
      </c>
      <c r="O69" s="2000" t="s">
        <v>2924</v>
      </c>
      <c r="P69" s="2001">
        <v>45069</v>
      </c>
      <c r="Q69" s="3917">
        <v>-90000</v>
      </c>
      <c r="R69" s="1103"/>
      <c r="S69" s="1109"/>
      <c r="T69" s="1729"/>
      <c r="U69" s="1105"/>
      <c r="V69" s="1105"/>
      <c r="W69" s="1105"/>
      <c r="X69" s="1093" t="str">
        <f t="shared" si="2"/>
        <v>NOT ACTIVE</v>
      </c>
      <c r="Y69" s="3351"/>
      <c r="Z69" s="1111"/>
      <c r="AA69" s="1109"/>
      <c r="AB69" s="1729"/>
      <c r="AC69" s="1097"/>
      <c r="AD69" s="1105"/>
      <c r="AE69" s="1097"/>
      <c r="AF69" s="1093" t="str">
        <f t="shared" si="4"/>
        <v>NOT ACTIVE</v>
      </c>
      <c r="AG69" s="1182"/>
      <c r="AH69" s="1110"/>
      <c r="AI69" s="1729"/>
      <c r="AJ69" s="1097"/>
      <c r="AK69" s="1105"/>
      <c r="AL69" s="1110"/>
      <c r="AM69" s="1736"/>
      <c r="AN69" s="2088"/>
      <c r="AO69" s="1484"/>
      <c r="AP69" s="2089"/>
      <c r="AQ69" s="2106"/>
      <c r="AR69" s="2090"/>
      <c r="AS69" s="2091"/>
      <c r="AT69" s="1485"/>
      <c r="AU69" s="2090"/>
      <c r="AV69" s="2091"/>
      <c r="AW69" s="1117"/>
      <c r="AX69" s="1729"/>
      <c r="AY69" s="1096" t="str">
        <f t="shared" si="7"/>
        <v>NOT ACTIVE</v>
      </c>
      <c r="AZ69" s="1182"/>
      <c r="BA69" s="1097"/>
      <c r="BB69" s="1098"/>
      <c r="BC69" s="1099"/>
      <c r="BD69" s="1230" t="s">
        <v>4871</v>
      </c>
      <c r="BF69" s="845">
        <f t="shared" ca="1" si="6"/>
        <v>0</v>
      </c>
      <c r="BG69" s="1377"/>
    </row>
    <row r="70" spans="1:61" s="686" customFormat="1" ht="51">
      <c r="A70" s="1141">
        <v>25</v>
      </c>
      <c r="B70" s="1498" t="s">
        <v>1998</v>
      </c>
      <c r="C70" s="1474" t="s">
        <v>165</v>
      </c>
      <c r="D70" s="1475" t="s">
        <v>92</v>
      </c>
      <c r="E70" s="1476"/>
      <c r="F70" s="1477"/>
      <c r="G70" s="1478" t="s">
        <v>171</v>
      </c>
      <c r="H70" s="1479" t="s">
        <v>104</v>
      </c>
      <c r="I70" s="1138" t="s">
        <v>244</v>
      </c>
      <c r="J70" s="1480" t="str">
        <f>IFERROR(VLOOKUP(I70,dropdowns!$E$45:$I$56,2,FALSE)," ")</f>
        <v>1.TB.01.003</v>
      </c>
      <c r="K70" s="1140" t="s">
        <v>244</v>
      </c>
      <c r="L70" s="1481" t="str">
        <f>IFERROR(VLOOKUP(K70,dropdowns!$G$45:$H$56,2,FALSE)," ")</f>
        <v>1.TB.01.003.01</v>
      </c>
      <c r="M70" s="1251" t="s">
        <v>2269</v>
      </c>
      <c r="N70" s="1482" t="s">
        <v>152</v>
      </c>
      <c r="O70" s="2000" t="s">
        <v>2924</v>
      </c>
      <c r="P70" s="2001">
        <v>45069</v>
      </c>
      <c r="Q70" s="3917">
        <v>-200000</v>
      </c>
      <c r="R70" s="1103"/>
      <c r="S70" s="1109"/>
      <c r="T70" s="1729"/>
      <c r="U70" s="1105"/>
      <c r="V70" s="1105"/>
      <c r="W70" s="1105"/>
      <c r="X70" s="1093" t="str">
        <f t="shared" si="2"/>
        <v>NOT ACTIVE</v>
      </c>
      <c r="Y70" s="3351"/>
      <c r="Z70" s="1111"/>
      <c r="AA70" s="1109"/>
      <c r="AB70" s="1729"/>
      <c r="AC70" s="1097"/>
      <c r="AD70" s="1105"/>
      <c r="AE70" s="1097"/>
      <c r="AF70" s="1093" t="str">
        <f t="shared" si="4"/>
        <v>NOT ACTIVE</v>
      </c>
      <c r="AG70" s="1182"/>
      <c r="AH70" s="1110"/>
      <c r="AI70" s="1729"/>
      <c r="AJ70" s="1097"/>
      <c r="AK70" s="1105"/>
      <c r="AL70" s="1110"/>
      <c r="AM70" s="1736"/>
      <c r="AN70" s="2088"/>
      <c r="AO70" s="1484"/>
      <c r="AP70" s="2089"/>
      <c r="AQ70" s="2106"/>
      <c r="AR70" s="2090"/>
      <c r="AS70" s="2091"/>
      <c r="AT70" s="1485"/>
      <c r="AU70" s="2090"/>
      <c r="AV70" s="2091"/>
      <c r="AW70" s="1117"/>
      <c r="AX70" s="1729"/>
      <c r="AY70" s="1096" t="str">
        <f t="shared" si="7"/>
        <v>NOT ACTIVE</v>
      </c>
      <c r="AZ70" s="1182"/>
      <c r="BA70" s="1097"/>
      <c r="BB70" s="1098"/>
      <c r="BC70" s="1099"/>
      <c r="BD70" s="1230" t="s">
        <v>4871</v>
      </c>
      <c r="BF70" s="845">
        <f t="shared" ca="1" si="6"/>
        <v>0</v>
      </c>
      <c r="BG70" s="1377"/>
    </row>
    <row r="71" spans="1:61" s="686" customFormat="1" ht="38.25">
      <c r="A71" s="1524" t="s">
        <v>800</v>
      </c>
      <c r="B71" s="1961" t="s">
        <v>801</v>
      </c>
      <c r="C71" s="1962" t="s">
        <v>161</v>
      </c>
      <c r="D71" s="1963" t="s">
        <v>92</v>
      </c>
      <c r="E71" s="1964" t="s">
        <v>193</v>
      </c>
      <c r="F71" s="1965" t="s">
        <v>193</v>
      </c>
      <c r="G71" s="1966" t="s">
        <v>163</v>
      </c>
      <c r="H71" s="1967" t="s">
        <v>104</v>
      </c>
      <c r="I71" s="1968" t="s">
        <v>244</v>
      </c>
      <c r="J71" s="1922" t="str">
        <f>IFERROR(VLOOKUP(I71,dropdowns!$E$45:$I$56,2,FALSE)," ")</f>
        <v>1.TB.01.003</v>
      </c>
      <c r="K71" s="1969" t="s">
        <v>244</v>
      </c>
      <c r="L71" s="1923" t="str">
        <f>IFERROR(VLOOKUP(K71,dropdowns!$G$45:$H$56,2,FALSE)," ")</f>
        <v>1.TB.01.003.01</v>
      </c>
      <c r="M71" s="1456" t="s">
        <v>147</v>
      </c>
      <c r="N71" s="1970" t="s">
        <v>135</v>
      </c>
      <c r="O71" s="1253"/>
      <c r="P71" s="1252"/>
      <c r="Q71" s="3915"/>
      <c r="R71" s="1971"/>
      <c r="S71" s="1991"/>
      <c r="T71" s="1973"/>
      <c r="U71" s="1974" t="s">
        <v>125</v>
      </c>
      <c r="V71" s="1974"/>
      <c r="W71" s="1974"/>
      <c r="X71" s="1100" t="str">
        <f t="shared" si="2"/>
        <v>NOT ACTIVE</v>
      </c>
      <c r="Y71" s="3359"/>
      <c r="Z71" s="1975"/>
      <c r="AA71" s="1972"/>
      <c r="AB71" s="1973"/>
      <c r="AC71" s="1531"/>
      <c r="AD71" s="1974"/>
      <c r="AE71" s="1531"/>
      <c r="AF71" s="1100" t="str">
        <f>IF(AC71="APPROVED","ACTIVE","NOT ACTIVE")</f>
        <v>NOT ACTIVE</v>
      </c>
      <c r="AG71" s="2077"/>
      <c r="AH71" s="1993"/>
      <c r="AI71" s="1977"/>
      <c r="AJ71" s="1531"/>
      <c r="AK71" s="1974"/>
      <c r="AL71" s="1976"/>
      <c r="AM71" s="1977"/>
      <c r="AN71" s="1978"/>
      <c r="AO71" s="1979"/>
      <c r="AP71" s="1980"/>
      <c r="AQ71" s="1981"/>
      <c r="AR71" s="1973"/>
      <c r="AS71" s="2077"/>
      <c r="AT71" s="1995"/>
      <c r="AU71" s="1252"/>
      <c r="AV71" s="2077"/>
      <c r="AW71" s="1981"/>
      <c r="AX71" s="1973"/>
      <c r="AY71" s="1100" t="str">
        <f t="shared" si="7"/>
        <v>NOT ACTIVE</v>
      </c>
      <c r="AZ71" s="1530"/>
      <c r="BA71" s="1531"/>
      <c r="BB71" s="1532"/>
      <c r="BC71" s="1533"/>
      <c r="BD71" s="1249" t="s">
        <v>802</v>
      </c>
      <c r="BF71" s="845">
        <f t="shared" ca="1" si="6"/>
        <v>0</v>
      </c>
      <c r="BG71" s="1377"/>
    </row>
    <row r="72" spans="1:61" s="686" customFormat="1" ht="38.25">
      <c r="A72" s="1141" t="s">
        <v>803</v>
      </c>
      <c r="B72" s="1884" t="s">
        <v>804</v>
      </c>
      <c r="C72" s="1474" t="s">
        <v>161</v>
      </c>
      <c r="D72" s="4501" t="s">
        <v>5122</v>
      </c>
      <c r="E72" s="1476" t="s">
        <v>193</v>
      </c>
      <c r="F72" s="1477" t="s">
        <v>193</v>
      </c>
      <c r="G72" s="1478" t="s">
        <v>218</v>
      </c>
      <c r="H72" s="1932" t="s">
        <v>91</v>
      </c>
      <c r="I72" s="1885" t="s">
        <v>244</v>
      </c>
      <c r="J72" s="1480" t="str">
        <f>IFERROR(VLOOKUP(I72,dropdowns!$E$45:$I$56,2,FALSE)," ")</f>
        <v>1.TB.01.003</v>
      </c>
      <c r="K72" s="1886" t="s">
        <v>244</v>
      </c>
      <c r="L72" s="1481" t="str">
        <f>IFERROR(VLOOKUP(K72,dropdowns!$G$45:$H$56,2,FALSE)," ")</f>
        <v>1.TB.01.003.01</v>
      </c>
      <c r="M72" s="1251" t="s">
        <v>147</v>
      </c>
      <c r="N72" s="1482" t="s">
        <v>135</v>
      </c>
      <c r="O72" s="1231"/>
      <c r="P72" s="1942"/>
      <c r="Q72" s="3913"/>
      <c r="R72" s="1216" t="s">
        <v>805</v>
      </c>
      <c r="S72" s="1943"/>
      <c r="T72" s="1728">
        <v>44909</v>
      </c>
      <c r="U72" s="1944" t="s">
        <v>79</v>
      </c>
      <c r="V72" s="1944" t="s">
        <v>806</v>
      </c>
      <c r="W72" s="1944" t="s">
        <v>94</v>
      </c>
      <c r="X72" s="1093" t="str">
        <f t="shared" si="2"/>
        <v>ACTIVE</v>
      </c>
      <c r="Y72" s="3349">
        <v>70028</v>
      </c>
      <c r="Z72" s="1945" t="s">
        <v>807</v>
      </c>
      <c r="AA72" s="1943"/>
      <c r="AB72" s="1728">
        <v>44934</v>
      </c>
      <c r="AC72" s="1942" t="s">
        <v>79</v>
      </c>
      <c r="AD72" s="1944" t="s">
        <v>808</v>
      </c>
      <c r="AE72" s="1942" t="s">
        <v>94</v>
      </c>
      <c r="AF72" s="1093" t="str">
        <f t="shared" si="4"/>
        <v>ACTIVE</v>
      </c>
      <c r="AG72" s="1220">
        <v>70028</v>
      </c>
      <c r="AH72" s="1945" t="s">
        <v>809</v>
      </c>
      <c r="AI72" s="1728">
        <v>44934</v>
      </c>
      <c r="AJ72" s="1942" t="s">
        <v>79</v>
      </c>
      <c r="AK72" s="1944" t="s">
        <v>810</v>
      </c>
      <c r="AL72" s="1945"/>
      <c r="AM72" s="1735"/>
      <c r="AN72" s="2128"/>
      <c r="AO72" s="1226" t="s">
        <v>3074</v>
      </c>
      <c r="AP72" s="2129"/>
      <c r="AQ72" s="2130" t="s">
        <v>811</v>
      </c>
      <c r="AR72" s="1728">
        <v>44840</v>
      </c>
      <c r="AS72" s="1220">
        <v>70027.759999999995</v>
      </c>
      <c r="AT72" s="1943"/>
      <c r="AU72" s="1942"/>
      <c r="AV72" s="1220">
        <v>70027.759999999995</v>
      </c>
      <c r="AW72" s="2130" t="s">
        <v>812</v>
      </c>
      <c r="AX72" s="1728">
        <v>45025</v>
      </c>
      <c r="AY72" s="1093" t="str">
        <f t="shared" si="5"/>
        <v>ACTIVE</v>
      </c>
      <c r="AZ72" s="1220">
        <v>70027.759999999995</v>
      </c>
      <c r="BA72" s="1942" t="s">
        <v>79</v>
      </c>
      <c r="BB72" s="2131"/>
      <c r="BC72" s="2132"/>
      <c r="BD72" s="2133" t="s">
        <v>813</v>
      </c>
      <c r="BF72" s="845">
        <f t="shared" ca="1" si="6"/>
        <v>0</v>
      </c>
      <c r="BG72" s="1377">
        <f>+AZ72-AV72</f>
        <v>0</v>
      </c>
    </row>
    <row r="73" spans="1:61" s="686" customFormat="1" ht="38.25">
      <c r="A73" s="1524" t="s">
        <v>814</v>
      </c>
      <c r="B73" s="1961" t="s">
        <v>815</v>
      </c>
      <c r="C73" s="1962" t="s">
        <v>161</v>
      </c>
      <c r="D73" s="1963" t="s">
        <v>92</v>
      </c>
      <c r="E73" s="1964" t="s">
        <v>193</v>
      </c>
      <c r="F73" s="1965" t="s">
        <v>193</v>
      </c>
      <c r="G73" s="1966" t="s">
        <v>188</v>
      </c>
      <c r="H73" s="1967" t="s">
        <v>104</v>
      </c>
      <c r="I73" s="1968" t="s">
        <v>244</v>
      </c>
      <c r="J73" s="1922" t="str">
        <f>IFERROR(VLOOKUP(I73,dropdowns!$E$45:$I$56,2,FALSE)," ")</f>
        <v>1.TB.01.003</v>
      </c>
      <c r="K73" s="1969" t="s">
        <v>244</v>
      </c>
      <c r="L73" s="1923" t="str">
        <f>IFERROR(VLOOKUP(K73,dropdowns!$G$45:$H$56,2,FALSE)," ")</f>
        <v>1.TB.01.003.01</v>
      </c>
      <c r="M73" s="1456" t="s">
        <v>147</v>
      </c>
      <c r="N73" s="1970" t="s">
        <v>135</v>
      </c>
      <c r="O73" s="1253"/>
      <c r="P73" s="1252"/>
      <c r="Q73" s="3915"/>
      <c r="R73" s="1971">
        <v>12</v>
      </c>
      <c r="S73" s="1972"/>
      <c r="T73" s="1973"/>
      <c r="U73" s="1974" t="s">
        <v>125</v>
      </c>
      <c r="V73" s="1974" t="s">
        <v>816</v>
      </c>
      <c r="W73" s="1974" t="s">
        <v>94</v>
      </c>
      <c r="X73" s="1100" t="str">
        <f t="shared" si="2"/>
        <v>NOT ACTIVE</v>
      </c>
      <c r="Y73" s="3356">
        <v>-383400</v>
      </c>
      <c r="Z73" s="1975">
        <v>13</v>
      </c>
      <c r="AA73" s="1972" t="s">
        <v>663</v>
      </c>
      <c r="AB73" s="1973">
        <v>44939</v>
      </c>
      <c r="AC73" s="1531" t="s">
        <v>125</v>
      </c>
      <c r="AD73" s="1974" t="s">
        <v>817</v>
      </c>
      <c r="AE73" s="1531" t="s">
        <v>94</v>
      </c>
      <c r="AF73" s="1100" t="str">
        <f t="shared" si="4"/>
        <v>NOT ACTIVE</v>
      </c>
      <c r="AG73" s="1530">
        <v>-383400</v>
      </c>
      <c r="AH73" s="1976" t="s">
        <v>818</v>
      </c>
      <c r="AI73" s="1977">
        <v>44930</v>
      </c>
      <c r="AJ73" s="1531" t="s">
        <v>125</v>
      </c>
      <c r="AK73" s="1974" t="s">
        <v>819</v>
      </c>
      <c r="AL73" s="1976"/>
      <c r="AM73" s="1977"/>
      <c r="AN73" s="1978"/>
      <c r="AO73" s="1979"/>
      <c r="AP73" s="1980"/>
      <c r="AQ73" s="1981"/>
      <c r="AR73" s="1973"/>
      <c r="AS73" s="1530"/>
      <c r="AT73" s="1981"/>
      <c r="AU73" s="1982"/>
      <c r="AV73" s="1530"/>
      <c r="AW73" s="1981"/>
      <c r="AX73" s="1973"/>
      <c r="AY73" s="1100" t="str">
        <f t="shared" si="5"/>
        <v>NOT ACTIVE</v>
      </c>
      <c r="AZ73" s="1530"/>
      <c r="BA73" s="1531"/>
      <c r="BB73" s="1532"/>
      <c r="BC73" s="1533"/>
      <c r="BD73" s="1983" t="s">
        <v>820</v>
      </c>
      <c r="BF73" s="845">
        <f t="shared" ca="1" si="6"/>
        <v>0</v>
      </c>
      <c r="BG73" s="1377"/>
    </row>
    <row r="74" spans="1:61" s="686" customFormat="1" ht="38.25">
      <c r="A74" s="1524">
        <v>26</v>
      </c>
      <c r="B74" s="1984" t="s">
        <v>2051</v>
      </c>
      <c r="C74" s="1962" t="s">
        <v>169</v>
      </c>
      <c r="D74" s="2107" t="s">
        <v>78</v>
      </c>
      <c r="E74" s="1964"/>
      <c r="F74" s="1965"/>
      <c r="G74" s="1966" t="s">
        <v>194</v>
      </c>
      <c r="H74" s="1987" t="s">
        <v>104</v>
      </c>
      <c r="I74" s="1147" t="s">
        <v>244</v>
      </c>
      <c r="J74" s="1922" t="str">
        <f>IFERROR(VLOOKUP(I74,dropdowns!$E$45:$I$56,2,FALSE)," ")</f>
        <v>1.TB.01.003</v>
      </c>
      <c r="K74" s="1148" t="s">
        <v>244</v>
      </c>
      <c r="L74" s="1923" t="str">
        <f>IFERROR(VLOOKUP(K74,dropdowns!$G$45:$H$56,2,FALSE)," ")</f>
        <v>1.TB.01.003.01</v>
      </c>
      <c r="M74" s="1456" t="s">
        <v>85</v>
      </c>
      <c r="N74" s="1151" t="s">
        <v>86</v>
      </c>
      <c r="O74" s="1253"/>
      <c r="P74" s="1252"/>
      <c r="Q74" s="3915"/>
      <c r="R74" s="1971">
        <v>11</v>
      </c>
      <c r="S74" s="1991"/>
      <c r="T74" s="1973">
        <v>45124</v>
      </c>
      <c r="U74" s="1974" t="s">
        <v>125</v>
      </c>
      <c r="V74" s="1974" t="s">
        <v>2132</v>
      </c>
      <c r="W74" s="1974"/>
      <c r="X74" s="1100" t="str">
        <f>IF(U74="APPROVED","ACTIVE",IF(U74="PENDING","ACTIVE","NOT ACTIVE"))</f>
        <v>NOT ACTIVE</v>
      </c>
      <c r="Y74" s="3356">
        <v>536281</v>
      </c>
      <c r="Z74" s="1992">
        <v>4</v>
      </c>
      <c r="AA74" s="1991"/>
      <c r="AB74" s="1973">
        <v>45170</v>
      </c>
      <c r="AC74" s="1974" t="s">
        <v>125</v>
      </c>
      <c r="AD74" s="1974" t="s">
        <v>2336</v>
      </c>
      <c r="AE74" s="1531" t="s">
        <v>94</v>
      </c>
      <c r="AF74" s="1100" t="str">
        <f>IF(AC74="APPROVED","ACTIVE","NOT ACTIVE")</f>
        <v>NOT ACTIVE</v>
      </c>
      <c r="AG74" s="1530">
        <v>248219</v>
      </c>
      <c r="AH74" s="1993" t="s">
        <v>2317</v>
      </c>
      <c r="AI74" s="1973">
        <v>45172</v>
      </c>
      <c r="AJ74" s="1974" t="s">
        <v>125</v>
      </c>
      <c r="AK74" s="1974" t="s">
        <v>2337</v>
      </c>
      <c r="AL74" s="1993" t="s">
        <v>2318</v>
      </c>
      <c r="AM74" s="1977">
        <v>45173</v>
      </c>
      <c r="AN74" s="1978" t="s">
        <v>2338</v>
      </c>
      <c r="AO74" s="2006"/>
      <c r="AP74" s="2007"/>
      <c r="AQ74" s="3220" t="s">
        <v>2339</v>
      </c>
      <c r="AR74" s="2110">
        <v>45180</v>
      </c>
      <c r="AS74" s="2111">
        <v>248219</v>
      </c>
      <c r="AT74" s="2112"/>
      <c r="AU74" s="2110"/>
      <c r="AV74" s="2111"/>
      <c r="AW74" s="1995"/>
      <c r="AX74" s="1973"/>
      <c r="AY74" s="1100" t="str">
        <f>IF(BA74="APPROVED","ACTIVE","NOT ACTIVE")</f>
        <v>NOT ACTIVE</v>
      </c>
      <c r="AZ74" s="1530"/>
      <c r="BA74" s="1974" t="s">
        <v>125</v>
      </c>
      <c r="BB74" s="1532"/>
      <c r="BC74" s="1533"/>
      <c r="BD74" s="1999" t="s">
        <v>2641</v>
      </c>
      <c r="BF74" s="845">
        <f t="shared" ca="1" si="6"/>
        <v>0</v>
      </c>
      <c r="BG74" s="1377"/>
    </row>
    <row r="75" spans="1:61" s="686" customFormat="1" ht="51">
      <c r="A75" s="1524">
        <v>26</v>
      </c>
      <c r="B75" s="1984" t="s">
        <v>2053</v>
      </c>
      <c r="C75" s="1962" t="s">
        <v>165</v>
      </c>
      <c r="D75" s="2107" t="s">
        <v>78</v>
      </c>
      <c r="E75" s="1964"/>
      <c r="F75" s="1965"/>
      <c r="G75" s="1966" t="s">
        <v>202</v>
      </c>
      <c r="H75" s="1987" t="s">
        <v>104</v>
      </c>
      <c r="I75" s="1147" t="s">
        <v>244</v>
      </c>
      <c r="J75" s="1922" t="str">
        <f>IFERROR(VLOOKUP(I75,dropdowns!$E$45:$I$56,2,FALSE)," ")</f>
        <v>1.TB.01.003</v>
      </c>
      <c r="K75" s="1148" t="s">
        <v>244</v>
      </c>
      <c r="L75" s="1923" t="str">
        <f>IFERROR(VLOOKUP(K75,dropdowns!$G$45:$H$56,2,FALSE)," ")</f>
        <v>1.TB.01.003.01</v>
      </c>
      <c r="M75" s="1456" t="s">
        <v>2269</v>
      </c>
      <c r="N75" s="1970" t="s">
        <v>152</v>
      </c>
      <c r="O75" s="1253"/>
      <c r="P75" s="1252"/>
      <c r="Q75" s="3915"/>
      <c r="R75" s="1971">
        <v>11</v>
      </c>
      <c r="S75" s="1991"/>
      <c r="T75" s="1973">
        <v>45124</v>
      </c>
      <c r="U75" s="1974" t="s">
        <v>125</v>
      </c>
      <c r="V75" s="1974" t="s">
        <v>2132</v>
      </c>
      <c r="W75" s="1974"/>
      <c r="X75" s="1100" t="str">
        <f>IF(U75="APPROVED","ACTIVE",IF(U75="PENDING","ACTIVE","NOT ACTIVE"))</f>
        <v>NOT ACTIVE</v>
      </c>
      <c r="Y75" s="3356">
        <v>1454026.96</v>
      </c>
      <c r="Z75" s="1992"/>
      <c r="AA75" s="1991"/>
      <c r="AB75" s="1973"/>
      <c r="AC75" s="1531"/>
      <c r="AD75" s="1974"/>
      <c r="AE75" s="1531"/>
      <c r="AF75" s="1100" t="str">
        <f>IF(AC75="APPROVED","ACTIVE","NOT ACTIVE")</f>
        <v>NOT ACTIVE</v>
      </c>
      <c r="AG75" s="1530"/>
      <c r="AH75" s="1993"/>
      <c r="AI75" s="1973"/>
      <c r="AJ75" s="1531"/>
      <c r="AK75" s="1974"/>
      <c r="AL75" s="1993"/>
      <c r="AM75" s="1977"/>
      <c r="AN75" s="2108"/>
      <c r="AO75" s="2006"/>
      <c r="AP75" s="2007"/>
      <c r="AQ75" s="3220"/>
      <c r="AR75" s="2110"/>
      <c r="AS75" s="2111"/>
      <c r="AT75" s="2112"/>
      <c r="AU75" s="2110"/>
      <c r="AV75" s="2111"/>
      <c r="AW75" s="1995"/>
      <c r="AX75" s="1973"/>
      <c r="AY75" s="1100" t="str">
        <f t="shared" si="5"/>
        <v>NOT ACTIVE</v>
      </c>
      <c r="AZ75" s="1530"/>
      <c r="BA75" s="1531"/>
      <c r="BB75" s="1532"/>
      <c r="BC75" s="1533"/>
      <c r="BD75" s="1999" t="s">
        <v>2641</v>
      </c>
      <c r="BF75" s="845">
        <f t="shared" ca="1" si="6"/>
        <v>0</v>
      </c>
      <c r="BG75" s="1377"/>
    </row>
    <row r="76" spans="1:61" s="686" customFormat="1" ht="51">
      <c r="A76" s="1141">
        <v>27</v>
      </c>
      <c r="B76" s="1498" t="s">
        <v>2634</v>
      </c>
      <c r="C76" s="1474" t="s">
        <v>165</v>
      </c>
      <c r="D76" s="1886" t="s">
        <v>5126</v>
      </c>
      <c r="E76" s="1476"/>
      <c r="F76" s="1477"/>
      <c r="G76" s="1478" t="s">
        <v>191</v>
      </c>
      <c r="H76" s="1479" t="s">
        <v>91</v>
      </c>
      <c r="I76" s="1138" t="s">
        <v>244</v>
      </c>
      <c r="J76" s="1480" t="str">
        <f>IFERROR(VLOOKUP(I76,dropdowns!$E$45:$I$56,2,FALSE)," ")</f>
        <v>1.TB.01.003</v>
      </c>
      <c r="K76" s="1140" t="s">
        <v>244</v>
      </c>
      <c r="L76" s="1481" t="str">
        <f>IFERROR(VLOOKUP(K76,dropdowns!$G$45:$H$56,2,FALSE)," ")</f>
        <v>1.TB.01.003.01</v>
      </c>
      <c r="M76" s="1251" t="s">
        <v>2269</v>
      </c>
      <c r="N76" s="1482" t="s">
        <v>152</v>
      </c>
      <c r="O76" s="1231"/>
      <c r="P76" s="1218"/>
      <c r="Q76" s="3913"/>
      <c r="R76" s="1216" t="s">
        <v>2916</v>
      </c>
      <c r="S76" s="1217" t="s">
        <v>663</v>
      </c>
      <c r="T76" s="1728">
        <v>45316</v>
      </c>
      <c r="U76" s="1219" t="s">
        <v>79</v>
      </c>
      <c r="V76" s="1219" t="s">
        <v>2642</v>
      </c>
      <c r="W76" s="1219" t="s">
        <v>94</v>
      </c>
      <c r="X76" s="1093" t="str">
        <f>IF(U76="APPROVED","ACTIVE",IF(U76="PENDING","ACTIVE","NOT ACTIVE"))</f>
        <v>ACTIVE</v>
      </c>
      <c r="Y76" s="3349">
        <v>4289868.5</v>
      </c>
      <c r="Z76" s="1221" t="s">
        <v>2671</v>
      </c>
      <c r="AA76" s="1217"/>
      <c r="AB76" s="1728">
        <v>45510</v>
      </c>
      <c r="AC76" s="1222" t="s">
        <v>79</v>
      </c>
      <c r="AD76" s="1219" t="s">
        <v>2953</v>
      </c>
      <c r="AE76" s="1222"/>
      <c r="AF76" s="1093" t="str">
        <f>IF(AC76="APPROVED","ACTIVE","NOT ACTIVE")</f>
        <v>ACTIVE</v>
      </c>
      <c r="AG76" s="1220">
        <v>3013648.7</v>
      </c>
      <c r="AH76" s="1223" t="s">
        <v>2957</v>
      </c>
      <c r="AI76" s="1728">
        <v>45522</v>
      </c>
      <c r="AJ76" s="1222" t="s">
        <v>79</v>
      </c>
      <c r="AK76" s="1219" t="s">
        <v>3000</v>
      </c>
      <c r="AL76" s="1223" t="s">
        <v>809</v>
      </c>
      <c r="AM76" s="1735">
        <v>45523</v>
      </c>
      <c r="AN76" s="1239" t="s">
        <v>3001</v>
      </c>
      <c r="AO76" s="1168" t="s">
        <v>3002</v>
      </c>
      <c r="AP76" s="1169"/>
      <c r="AQ76" s="2124"/>
      <c r="AR76" s="1880"/>
      <c r="AS76" s="1881"/>
      <c r="AT76" s="1171"/>
      <c r="AU76" s="1880"/>
      <c r="AV76" s="1881"/>
      <c r="AW76" s="1227" t="s">
        <v>2999</v>
      </c>
      <c r="AX76" s="1728">
        <v>45532</v>
      </c>
      <c r="AY76" s="1093" t="str">
        <f>IF(BA76="APPROVED","ACTIVE","NOT ACTIVE")</f>
        <v>ACTIVE</v>
      </c>
      <c r="AZ76" s="1220">
        <v>3013648.7</v>
      </c>
      <c r="BA76" s="1222" t="s">
        <v>79</v>
      </c>
      <c r="BB76" s="1228"/>
      <c r="BC76" s="1229"/>
      <c r="BD76" s="1230"/>
      <c r="BF76" s="845">
        <f t="shared" ca="1" si="6"/>
        <v>0</v>
      </c>
      <c r="BG76" s="1377">
        <f>+AX76-AM76</f>
        <v>9</v>
      </c>
      <c r="BI76" s="3523">
        <f>+AG76-AZ76</f>
        <v>0</v>
      </c>
    </row>
    <row r="77" spans="1:61" s="686" customFormat="1" ht="51">
      <c r="A77" s="1524">
        <v>28</v>
      </c>
      <c r="B77" s="1961" t="s">
        <v>2121</v>
      </c>
      <c r="C77" s="1962" t="s">
        <v>165</v>
      </c>
      <c r="D77" s="2107" t="s">
        <v>92</v>
      </c>
      <c r="E77" s="1964"/>
      <c r="F77" s="1965"/>
      <c r="G77" s="1966" t="s">
        <v>175</v>
      </c>
      <c r="H77" s="1987" t="s">
        <v>104</v>
      </c>
      <c r="I77" s="1147" t="s">
        <v>244</v>
      </c>
      <c r="J77" s="1922" t="str">
        <f>IFERROR(VLOOKUP(I77,dropdowns!$E$45:$I$56,2,FALSE)," ")</f>
        <v>1.TB.01.003</v>
      </c>
      <c r="K77" s="1148" t="s">
        <v>244</v>
      </c>
      <c r="L77" s="1923" t="str">
        <f>IFERROR(VLOOKUP(K77,dropdowns!$G$45:$H$56,2,FALSE)," ")</f>
        <v>1.TB.01.003.01</v>
      </c>
      <c r="M77" s="1456" t="s">
        <v>2269</v>
      </c>
      <c r="N77" s="1970" t="s">
        <v>152</v>
      </c>
      <c r="O77" s="1253"/>
      <c r="P77" s="1252"/>
      <c r="Q77" s="3915"/>
      <c r="R77" s="1971" t="s">
        <v>2111</v>
      </c>
      <c r="S77" s="1991" t="s">
        <v>663</v>
      </c>
      <c r="T77" s="1973">
        <v>45118</v>
      </c>
      <c r="U77" s="1974" t="s">
        <v>125</v>
      </c>
      <c r="V77" s="1974" t="s">
        <v>2122</v>
      </c>
      <c r="W77" s="1974" t="s">
        <v>94</v>
      </c>
      <c r="X77" s="1100" t="str">
        <f t="shared" si="2"/>
        <v>NOT ACTIVE</v>
      </c>
      <c r="Y77" s="3356">
        <v>4000953.59</v>
      </c>
      <c r="Z77" s="1975"/>
      <c r="AA77" s="1972"/>
      <c r="AB77" s="1973"/>
      <c r="AC77" s="1531"/>
      <c r="AD77" s="1974"/>
      <c r="AE77" s="1531"/>
      <c r="AF77" s="1100" t="str">
        <f t="shared" si="4"/>
        <v>NOT ACTIVE</v>
      </c>
      <c r="AG77" s="1530"/>
      <c r="AH77" s="1976"/>
      <c r="AI77" s="1973"/>
      <c r="AJ77" s="1531"/>
      <c r="AK77" s="1531"/>
      <c r="AL77" s="1976"/>
      <c r="AM77" s="1977"/>
      <c r="AN77" s="1978"/>
      <c r="AO77" s="1979"/>
      <c r="AP77" s="1980"/>
      <c r="AQ77" s="1981"/>
      <c r="AR77" s="1973"/>
      <c r="AS77" s="1530"/>
      <c r="AT77" s="1972"/>
      <c r="AU77" s="1982"/>
      <c r="AV77" s="1530"/>
      <c r="AW77" s="1972"/>
      <c r="AX77" s="1973"/>
      <c r="AY77" s="1100" t="str">
        <f t="shared" si="5"/>
        <v>NOT ACTIVE</v>
      </c>
      <c r="AZ77" s="1530"/>
      <c r="BA77" s="1531"/>
      <c r="BB77" s="1532"/>
      <c r="BC77" s="1533"/>
      <c r="BD77" s="1999"/>
      <c r="BF77" s="845">
        <f t="shared" ca="1" si="6"/>
        <v>0</v>
      </c>
      <c r="BG77" s="1377"/>
    </row>
    <row r="78" spans="1:61" s="686" customFormat="1" ht="51">
      <c r="A78" s="1524">
        <v>29</v>
      </c>
      <c r="B78" s="1961" t="s">
        <v>2110</v>
      </c>
      <c r="C78" s="1962" t="s">
        <v>165</v>
      </c>
      <c r="D78" s="2107" t="s">
        <v>92</v>
      </c>
      <c r="E78" s="1964"/>
      <c r="F78" s="1965"/>
      <c r="G78" s="1966" t="s">
        <v>175</v>
      </c>
      <c r="H78" s="1987" t="s">
        <v>104</v>
      </c>
      <c r="I78" s="1147" t="s">
        <v>244</v>
      </c>
      <c r="J78" s="1922" t="str">
        <f>IFERROR(VLOOKUP(I78,dropdowns!$E$45:$I$56,2,FALSE)," ")</f>
        <v>1.TB.01.003</v>
      </c>
      <c r="K78" s="1148" t="s">
        <v>244</v>
      </c>
      <c r="L78" s="1923" t="str">
        <f>IFERROR(VLOOKUP(K78,dropdowns!$G$45:$H$56,2,FALSE)," ")</f>
        <v>1.TB.01.003.01</v>
      </c>
      <c r="M78" s="1456" t="s">
        <v>2269</v>
      </c>
      <c r="N78" s="1970" t="s">
        <v>152</v>
      </c>
      <c r="O78" s="1253"/>
      <c r="P78" s="1252"/>
      <c r="Q78" s="3915"/>
      <c r="R78" s="1971" t="s">
        <v>2123</v>
      </c>
      <c r="S78" s="1991" t="s">
        <v>663</v>
      </c>
      <c r="T78" s="1973">
        <v>45116</v>
      </c>
      <c r="U78" s="1974" t="s">
        <v>125</v>
      </c>
      <c r="V78" s="1974" t="s">
        <v>2112</v>
      </c>
      <c r="W78" s="1974" t="s">
        <v>94</v>
      </c>
      <c r="X78" s="1100" t="str">
        <f t="shared" si="2"/>
        <v>NOT ACTIVE</v>
      </c>
      <c r="Y78" s="3356">
        <v>0</v>
      </c>
      <c r="Z78" s="1975"/>
      <c r="AA78" s="1972"/>
      <c r="AB78" s="1973"/>
      <c r="AC78" s="1531"/>
      <c r="AD78" s="1974"/>
      <c r="AE78" s="1531"/>
      <c r="AF78" s="1100" t="str">
        <f t="shared" si="4"/>
        <v>NOT ACTIVE</v>
      </c>
      <c r="AG78" s="1530"/>
      <c r="AH78" s="1976"/>
      <c r="AI78" s="1973"/>
      <c r="AJ78" s="1531"/>
      <c r="AK78" s="1531"/>
      <c r="AL78" s="1976"/>
      <c r="AM78" s="1977"/>
      <c r="AN78" s="1978"/>
      <c r="AO78" s="1979"/>
      <c r="AP78" s="1980"/>
      <c r="AQ78" s="1981"/>
      <c r="AR78" s="1973"/>
      <c r="AS78" s="1530"/>
      <c r="AT78" s="1972"/>
      <c r="AU78" s="1252"/>
      <c r="AV78" s="1530"/>
      <c r="AW78" s="1972"/>
      <c r="AX78" s="1973"/>
      <c r="AY78" s="1100" t="str">
        <f t="shared" si="5"/>
        <v>NOT ACTIVE</v>
      </c>
      <c r="AZ78" s="1530"/>
      <c r="BA78" s="1531"/>
      <c r="BB78" s="1532"/>
      <c r="BC78" s="1533"/>
      <c r="BD78" s="1983"/>
      <c r="BF78" s="845">
        <f t="shared" ca="1" si="6"/>
        <v>0</v>
      </c>
      <c r="BG78" s="1377"/>
    </row>
    <row r="79" spans="1:61" s="686" customFormat="1" ht="51">
      <c r="A79" s="1524">
        <v>30</v>
      </c>
      <c r="B79" s="1961" t="s">
        <v>2120</v>
      </c>
      <c r="C79" s="1962" t="s">
        <v>165</v>
      </c>
      <c r="D79" s="1963" t="s">
        <v>92</v>
      </c>
      <c r="E79" s="3011"/>
      <c r="F79" s="3012"/>
      <c r="G79" s="1966" t="s">
        <v>175</v>
      </c>
      <c r="H79" s="1967" t="s">
        <v>104</v>
      </c>
      <c r="I79" s="1147" t="s">
        <v>244</v>
      </c>
      <c r="J79" s="1922" t="str">
        <f>IFERROR(VLOOKUP(I79,dropdowns!$E$45:$I$56,2,FALSE)," ")</f>
        <v>1.TB.01.003</v>
      </c>
      <c r="K79" s="1148" t="s">
        <v>244</v>
      </c>
      <c r="L79" s="1923" t="str">
        <f>IFERROR(VLOOKUP(K79,dropdowns!$G$45:$H$56,2,FALSE)," ")</f>
        <v>1.TB.01.003.01</v>
      </c>
      <c r="M79" s="1456" t="s">
        <v>2269</v>
      </c>
      <c r="N79" s="1970" t="s">
        <v>152</v>
      </c>
      <c r="O79" s="1253"/>
      <c r="P79" s="1252"/>
      <c r="Q79" s="3915"/>
      <c r="R79" s="1971" t="s">
        <v>2124</v>
      </c>
      <c r="S79" s="1972" t="s">
        <v>663</v>
      </c>
      <c r="T79" s="1973">
        <v>45118</v>
      </c>
      <c r="U79" s="1974" t="s">
        <v>125</v>
      </c>
      <c r="V79" s="1974" t="s">
        <v>2125</v>
      </c>
      <c r="W79" s="1974" t="s">
        <v>94</v>
      </c>
      <c r="X79" s="1100" t="str">
        <f t="shared" si="2"/>
        <v>NOT ACTIVE</v>
      </c>
      <c r="Y79" s="3359">
        <v>-8458954.7200000007</v>
      </c>
      <c r="Z79" s="1992"/>
      <c r="AA79" s="1991"/>
      <c r="AB79" s="1973"/>
      <c r="AC79" s="1531"/>
      <c r="AD79" s="1974"/>
      <c r="AE79" s="1531"/>
      <c r="AF79" s="1100" t="str">
        <f t="shared" si="4"/>
        <v>NOT ACTIVE</v>
      </c>
      <c r="AG79" s="1530"/>
      <c r="AH79" s="1993" t="s">
        <v>1994</v>
      </c>
      <c r="AI79" s="1977"/>
      <c r="AJ79" s="1531"/>
      <c r="AK79" s="1974"/>
      <c r="AL79" s="1976"/>
      <c r="AM79" s="1977"/>
      <c r="AN79" s="1978"/>
      <c r="AO79" s="1979"/>
      <c r="AP79" s="1980"/>
      <c r="AQ79" s="1981"/>
      <c r="AR79" s="1973"/>
      <c r="AS79" s="1530"/>
      <c r="AT79" s="1991"/>
      <c r="AU79" s="1252"/>
      <c r="AV79" s="1530"/>
      <c r="AW79" s="1991"/>
      <c r="AX79" s="1973"/>
      <c r="AY79" s="1100" t="str">
        <f t="shared" si="5"/>
        <v>NOT ACTIVE</v>
      </c>
      <c r="AZ79" s="1530"/>
      <c r="BA79" s="1531"/>
      <c r="BB79" s="1532"/>
      <c r="BC79" s="1533"/>
      <c r="BD79" s="1983"/>
      <c r="BF79" s="845">
        <f t="shared" ca="1" si="6"/>
        <v>0</v>
      </c>
      <c r="BG79" s="1377"/>
    </row>
    <row r="80" spans="1:61" s="686" customFormat="1" ht="38.25">
      <c r="A80" s="1141">
        <v>30</v>
      </c>
      <c r="B80" s="1498" t="s">
        <v>2136</v>
      </c>
      <c r="C80" s="1474" t="s">
        <v>169</v>
      </c>
      <c r="D80" s="1886" t="s">
        <v>5122</v>
      </c>
      <c r="E80" s="1476"/>
      <c r="F80" s="1477"/>
      <c r="G80" s="1478" t="s">
        <v>218</v>
      </c>
      <c r="H80" s="1479" t="s">
        <v>82</v>
      </c>
      <c r="I80" s="1138" t="s">
        <v>244</v>
      </c>
      <c r="J80" s="1480" t="str">
        <f>IFERROR(VLOOKUP(I80,dropdowns!$E$45:$I$56,2,FALSE)," ")</f>
        <v>1.TB.01.003</v>
      </c>
      <c r="K80" s="1140" t="s">
        <v>244</v>
      </c>
      <c r="L80" s="1481" t="str">
        <f>IFERROR(VLOOKUP(K80,dropdowns!$G$45:$H$56,2,FALSE)," ")</f>
        <v>1.TB.01.003.01</v>
      </c>
      <c r="M80" s="1251" t="s">
        <v>85</v>
      </c>
      <c r="N80" s="1150" t="s">
        <v>86</v>
      </c>
      <c r="O80" s="1231"/>
      <c r="P80" s="1218"/>
      <c r="Q80" s="3913"/>
      <c r="R80" s="1216">
        <v>17</v>
      </c>
      <c r="S80" s="1217" t="s">
        <v>663</v>
      </c>
      <c r="T80" s="1728">
        <v>45032</v>
      </c>
      <c r="U80" s="1219" t="s">
        <v>79</v>
      </c>
      <c r="V80" s="1219" t="s">
        <v>2137</v>
      </c>
      <c r="W80" s="1219" t="s">
        <v>94</v>
      </c>
      <c r="X80" s="1093" t="str">
        <f>IF(U80="APPROVED","ACTIVE",IF(U80="PENDING","ACTIVE","NOT ACTIVE"))</f>
        <v>ACTIVE</v>
      </c>
      <c r="Y80" s="3349">
        <v>224020</v>
      </c>
      <c r="Z80" s="1221">
        <v>5</v>
      </c>
      <c r="AA80" s="1217"/>
      <c r="AB80" s="1728">
        <v>45141</v>
      </c>
      <c r="AC80" s="1222" t="s">
        <v>79</v>
      </c>
      <c r="AD80" s="1219" t="s">
        <v>2306</v>
      </c>
      <c r="AE80" s="1222" t="s">
        <v>94</v>
      </c>
      <c r="AF80" s="1093" t="str">
        <f>IF(AC80="APPROVED","ACTIVE","NOT ACTIVE")</f>
        <v>ACTIVE</v>
      </c>
      <c r="AG80" s="1220">
        <v>194800</v>
      </c>
      <c r="AH80" s="1223" t="s">
        <v>2283</v>
      </c>
      <c r="AI80" s="1728">
        <v>45164</v>
      </c>
      <c r="AJ80" s="3017" t="s">
        <v>79</v>
      </c>
      <c r="AK80" s="1219" t="s">
        <v>2311</v>
      </c>
      <c r="AL80" s="1223" t="s">
        <v>2315</v>
      </c>
      <c r="AM80" s="1735">
        <v>45165</v>
      </c>
      <c r="AN80" s="1239" t="s">
        <v>2314</v>
      </c>
      <c r="AO80" s="1168" t="s">
        <v>2514</v>
      </c>
      <c r="AP80" s="1169"/>
      <c r="AQ80" s="2124" t="s">
        <v>2340</v>
      </c>
      <c r="AR80" s="1880">
        <v>45180</v>
      </c>
      <c r="AS80" s="3021">
        <v>194800</v>
      </c>
      <c r="AT80" s="1171"/>
      <c r="AU80" s="1880"/>
      <c r="AV80" s="1881"/>
      <c r="AW80" s="1227" t="s">
        <v>2513</v>
      </c>
      <c r="AX80" s="1728">
        <v>45209</v>
      </c>
      <c r="AY80" s="1093" t="str">
        <f>IF(BA80="APPROVED","ACTIVE","NOT ACTIVE")</f>
        <v>ACTIVE</v>
      </c>
      <c r="AZ80" s="1220">
        <v>194800</v>
      </c>
      <c r="BA80" s="1222" t="s">
        <v>79</v>
      </c>
      <c r="BB80" s="1228"/>
      <c r="BC80" s="1229"/>
      <c r="BD80" s="1249" t="s">
        <v>1277</v>
      </c>
      <c r="BF80" s="845">
        <f t="shared" ca="1" si="6"/>
        <v>0</v>
      </c>
      <c r="BG80" s="1377">
        <f>+AX80-AM80</f>
        <v>44</v>
      </c>
      <c r="BI80" s="3523">
        <f>+AG80-AZ80</f>
        <v>0</v>
      </c>
    </row>
    <row r="81" spans="1:61" s="686" customFormat="1" ht="38.25">
      <c r="A81" s="1524">
        <v>31</v>
      </c>
      <c r="B81" s="1961" t="s">
        <v>2560</v>
      </c>
      <c r="C81" s="1962" t="s">
        <v>165</v>
      </c>
      <c r="D81" s="1963" t="s">
        <v>92</v>
      </c>
      <c r="E81" s="3011"/>
      <c r="F81" s="3012"/>
      <c r="G81" s="3221" t="s">
        <v>2565</v>
      </c>
      <c r="H81" s="1967" t="s">
        <v>104</v>
      </c>
      <c r="I81" s="1147" t="s">
        <v>244</v>
      </c>
      <c r="J81" s="1922" t="str">
        <f>IFERROR(VLOOKUP(I81,dropdowns!$E$45:$I$56,2,FALSE)," ")</f>
        <v>1.TB.01.003</v>
      </c>
      <c r="K81" s="1148" t="s">
        <v>244</v>
      </c>
      <c r="L81" s="1923" t="str">
        <f>IFERROR(VLOOKUP(K81,dropdowns!$G$45:$H$56,2,FALSE)," ")</f>
        <v>1.TB.01.003.01</v>
      </c>
      <c r="M81" s="1456" t="s">
        <v>3930</v>
      </c>
      <c r="N81" s="1970" t="s">
        <v>2558</v>
      </c>
      <c r="O81" s="1253"/>
      <c r="P81" s="1252"/>
      <c r="Q81" s="3915"/>
      <c r="R81" s="3239">
        <v>20</v>
      </c>
      <c r="S81" s="1972" t="s">
        <v>663</v>
      </c>
      <c r="T81" s="1973">
        <v>45236</v>
      </c>
      <c r="U81" s="1974" t="s">
        <v>79</v>
      </c>
      <c r="V81" s="1974" t="s">
        <v>2561</v>
      </c>
      <c r="W81" s="1974" t="s">
        <v>94</v>
      </c>
      <c r="X81" s="1100" t="str">
        <f t="shared" si="2"/>
        <v>ACTIVE</v>
      </c>
      <c r="Y81" s="3360">
        <v>0</v>
      </c>
      <c r="Z81" s="1992"/>
      <c r="AA81" s="1991"/>
      <c r="AB81" s="1973"/>
      <c r="AC81" s="1531"/>
      <c r="AD81" s="1974"/>
      <c r="AE81" s="1531"/>
      <c r="AF81" s="1100" t="str">
        <f t="shared" si="4"/>
        <v>NOT ACTIVE</v>
      </c>
      <c r="AG81" s="1220"/>
      <c r="AH81" s="1223"/>
      <c r="AI81" s="1728"/>
      <c r="AJ81" s="1222"/>
      <c r="AK81" s="1222"/>
      <c r="AL81" s="1223"/>
      <c r="AM81" s="1735"/>
      <c r="AN81" s="1239"/>
      <c r="AO81" s="1226"/>
      <c r="AP81" s="1493"/>
      <c r="AQ81" s="1227"/>
      <c r="AR81" s="1728"/>
      <c r="AS81" s="1220"/>
      <c r="AT81" s="1217"/>
      <c r="AU81" s="1218"/>
      <c r="AV81" s="1220"/>
      <c r="AW81" s="1217"/>
      <c r="AX81" s="1728"/>
      <c r="AY81" s="1093" t="str">
        <f t="shared" si="5"/>
        <v>NOT ACTIVE</v>
      </c>
      <c r="AZ81" s="1220"/>
      <c r="BA81" s="1222"/>
      <c r="BB81" s="1228"/>
      <c r="BC81" s="1229"/>
      <c r="BD81" s="3287"/>
      <c r="BF81" s="845">
        <f t="shared" ca="1" si="6"/>
        <v>0</v>
      </c>
      <c r="BG81" s="1377"/>
    </row>
    <row r="82" spans="1:61" s="3215" customFormat="1" ht="51">
      <c r="A82" s="1524">
        <v>32</v>
      </c>
      <c r="B82" s="1961" t="s">
        <v>2562</v>
      </c>
      <c r="C82" s="1962" t="s">
        <v>165</v>
      </c>
      <c r="D82" s="1963" t="s">
        <v>92</v>
      </c>
      <c r="E82" s="3011"/>
      <c r="F82" s="3012"/>
      <c r="G82" s="3221" t="s">
        <v>2565</v>
      </c>
      <c r="H82" s="1967" t="s">
        <v>104</v>
      </c>
      <c r="I82" s="1968" t="s">
        <v>244</v>
      </c>
      <c r="J82" s="1922" t="str">
        <f>IFERROR(VLOOKUP(I82,dropdowns!$E$45:$I$56,2,FALSE)," ")</f>
        <v>1.TB.01.003</v>
      </c>
      <c r="K82" s="1969" t="s">
        <v>244</v>
      </c>
      <c r="L82" s="1923" t="str">
        <f>IFERROR(VLOOKUP(K82,dropdowns!$G$45:$H$56,2,FALSE)," ")</f>
        <v>1.TB.01.003.01</v>
      </c>
      <c r="M82" s="1456" t="s">
        <v>2269</v>
      </c>
      <c r="N82" s="1970" t="s">
        <v>152</v>
      </c>
      <c r="O82" s="1253"/>
      <c r="P82" s="1252"/>
      <c r="Q82" s="3915"/>
      <c r="R82" s="1971"/>
      <c r="S82" s="1991"/>
      <c r="T82" s="1973"/>
      <c r="U82" s="1974"/>
      <c r="V82" s="1974"/>
      <c r="W82" s="1974" t="s">
        <v>94</v>
      </c>
      <c r="X82" s="1100" t="str">
        <f t="shared" si="2"/>
        <v>NOT ACTIVE</v>
      </c>
      <c r="Y82" s="3356"/>
      <c r="Z82" s="1992"/>
      <c r="AA82" s="1991"/>
      <c r="AB82" s="1973"/>
      <c r="AC82" s="1531"/>
      <c r="AD82" s="1974"/>
      <c r="AE82" s="1531"/>
      <c r="AF82" s="1100" t="str">
        <f t="shared" si="4"/>
        <v>NOT ACTIVE</v>
      </c>
      <c r="AG82" s="1530"/>
      <c r="AH82" s="1993"/>
      <c r="AI82" s="1973"/>
      <c r="AJ82" s="1531"/>
      <c r="AK82" s="1531"/>
      <c r="AL82" s="1976"/>
      <c r="AM82" s="3222"/>
      <c r="AN82" s="3223"/>
      <c r="AO82" s="1979"/>
      <c r="AP82" s="1994"/>
      <c r="AQ82" s="1995"/>
      <c r="AR82" s="1973"/>
      <c r="AS82" s="1530"/>
      <c r="AT82" s="1991"/>
      <c r="AU82" s="1252"/>
      <c r="AV82" s="1530"/>
      <c r="AW82" s="1991"/>
      <c r="AX82" s="1973"/>
      <c r="AY82" s="1100" t="str">
        <f t="shared" si="5"/>
        <v>NOT ACTIVE</v>
      </c>
      <c r="AZ82" s="1530"/>
      <c r="BA82" s="1531"/>
      <c r="BB82" s="1532"/>
      <c r="BC82" s="1533"/>
      <c r="BD82" s="1983"/>
      <c r="BF82" s="3212">
        <f t="shared" ca="1" si="6"/>
        <v>0</v>
      </c>
      <c r="BG82" s="3213"/>
    </row>
    <row r="83" spans="1:61" s="686" customFormat="1" ht="38.25">
      <c r="A83" s="1141">
        <v>33</v>
      </c>
      <c r="B83" s="1884" t="s">
        <v>2563</v>
      </c>
      <c r="C83" s="1474" t="s">
        <v>165</v>
      </c>
      <c r="D83" s="1886" t="s">
        <v>5123</v>
      </c>
      <c r="E83" s="1476"/>
      <c r="F83" s="1477"/>
      <c r="G83" s="1478" t="s">
        <v>218</v>
      </c>
      <c r="H83" s="1479" t="s">
        <v>82</v>
      </c>
      <c r="I83" s="1885" t="s">
        <v>244</v>
      </c>
      <c r="J83" s="1480" t="str">
        <f>IFERROR(VLOOKUP(I83,dropdowns!$E$45:$I$56,2,FALSE)," ")</f>
        <v>1.TB.01.003</v>
      </c>
      <c r="K83" s="1886" t="s">
        <v>244</v>
      </c>
      <c r="L83" s="1481" t="str">
        <f>IFERROR(VLOOKUP(K83,dropdowns!$G$45:$H$56,2,FALSE)," ")</f>
        <v>1.TB.01.003.01</v>
      </c>
      <c r="M83" s="1251" t="s">
        <v>139</v>
      </c>
      <c r="N83" s="1482" t="s">
        <v>2564</v>
      </c>
      <c r="O83" s="1231"/>
      <c r="P83" s="1218"/>
      <c r="Q83" s="3913"/>
      <c r="R83" s="1216" t="s">
        <v>2566</v>
      </c>
      <c r="S83" s="1217" t="s">
        <v>663</v>
      </c>
      <c r="T83" s="1728">
        <v>45245</v>
      </c>
      <c r="U83" s="1219" t="s">
        <v>79</v>
      </c>
      <c r="V83" s="1219" t="s">
        <v>2567</v>
      </c>
      <c r="W83" s="1219" t="s">
        <v>94</v>
      </c>
      <c r="X83" s="1093" t="str">
        <f t="shared" ref="X83:X115" si="8">IF(U83="APPROVED","ACTIVE",IF(U83="PENDING","ACTIVE","NOT ACTIVE"))</f>
        <v>ACTIVE</v>
      </c>
      <c r="Y83" s="3350">
        <v>-958333.33</v>
      </c>
      <c r="Z83" s="1221" t="s">
        <v>2108</v>
      </c>
      <c r="AA83" s="1217" t="s">
        <v>663</v>
      </c>
      <c r="AB83" s="1728">
        <v>45266</v>
      </c>
      <c r="AC83" s="1222" t="s">
        <v>79</v>
      </c>
      <c r="AD83" s="1219" t="s">
        <v>2584</v>
      </c>
      <c r="AE83" s="1222" t="s">
        <v>94</v>
      </c>
      <c r="AF83" s="1093" t="str">
        <f t="shared" si="4"/>
        <v>ACTIVE</v>
      </c>
      <c r="AG83" s="1248">
        <v>-881666.67</v>
      </c>
      <c r="AH83" s="1223" t="s">
        <v>658</v>
      </c>
      <c r="AI83" s="1728">
        <v>45266</v>
      </c>
      <c r="AJ83" s="1222" t="s">
        <v>79</v>
      </c>
      <c r="AK83" s="1219" t="s">
        <v>2585</v>
      </c>
      <c r="AL83" s="1223" t="s">
        <v>2586</v>
      </c>
      <c r="AM83" s="1735">
        <v>45269</v>
      </c>
      <c r="AN83" s="1239" t="s">
        <v>2590</v>
      </c>
      <c r="AO83" s="1226" t="s">
        <v>2343</v>
      </c>
      <c r="AP83" s="1493"/>
      <c r="AQ83" s="1227" t="s">
        <v>2688</v>
      </c>
      <c r="AR83" s="1728">
        <v>45321</v>
      </c>
      <c r="AS83" s="1248">
        <v>-922422.8</v>
      </c>
      <c r="AT83" s="1217"/>
      <c r="AU83" s="1218"/>
      <c r="AV83" s="1220"/>
      <c r="AW83" s="1227" t="s">
        <v>2689</v>
      </c>
      <c r="AX83" s="1728">
        <v>45342</v>
      </c>
      <c r="AY83" s="1093" t="str">
        <f t="shared" si="5"/>
        <v>ACTIVE</v>
      </c>
      <c r="AZ83" s="1248">
        <v>-977022.8</v>
      </c>
      <c r="BA83" s="1222" t="s">
        <v>79</v>
      </c>
      <c r="BB83" s="1228"/>
      <c r="BC83" s="1229"/>
      <c r="BD83" s="1230"/>
      <c r="BF83" s="845">
        <f t="shared" ca="1" si="6"/>
        <v>0</v>
      </c>
      <c r="BG83" s="1377">
        <f>+AX83-AM83</f>
        <v>73</v>
      </c>
      <c r="BI83" s="3523"/>
    </row>
    <row r="84" spans="1:61" s="686" customFormat="1" ht="55.5" customHeight="1">
      <c r="A84" s="1141">
        <v>34</v>
      </c>
      <c r="B84" s="1884" t="s">
        <v>2588</v>
      </c>
      <c r="C84" s="1474" t="s">
        <v>165</v>
      </c>
      <c r="D84" s="1886" t="s">
        <v>5123</v>
      </c>
      <c r="E84" s="1476"/>
      <c r="F84" s="1477"/>
      <c r="G84" s="1478" t="s">
        <v>210</v>
      </c>
      <c r="H84" s="1479" t="s">
        <v>91</v>
      </c>
      <c r="I84" s="1885" t="s">
        <v>244</v>
      </c>
      <c r="J84" s="1480" t="str">
        <f>IFERROR(VLOOKUP(I84,dropdowns!$E$45:$I$56,2,FALSE)," ")</f>
        <v>1.TB.01.003</v>
      </c>
      <c r="K84" s="1886" t="s">
        <v>244</v>
      </c>
      <c r="L84" s="1481" t="str">
        <f>IFERROR(VLOOKUP(K84,dropdowns!$G$45:$H$56,2,FALSE)," ")</f>
        <v>1.TB.01.003.01</v>
      </c>
      <c r="M84" s="1251" t="s">
        <v>3930</v>
      </c>
      <c r="N84" s="1482" t="s">
        <v>2558</v>
      </c>
      <c r="O84" s="1231"/>
      <c r="P84" s="1218"/>
      <c r="Q84" s="3913"/>
      <c r="R84" s="1216" t="s">
        <v>2587</v>
      </c>
      <c r="S84" s="1217" t="s">
        <v>663</v>
      </c>
      <c r="T84" s="1728">
        <v>45283</v>
      </c>
      <c r="U84" s="1219" t="s">
        <v>79</v>
      </c>
      <c r="V84" s="1219" t="s">
        <v>2626</v>
      </c>
      <c r="W84" s="1219" t="s">
        <v>94</v>
      </c>
      <c r="X84" s="1093" t="str">
        <f t="shared" si="8"/>
        <v>ACTIVE</v>
      </c>
      <c r="Y84" s="3350">
        <v>-336713.1</v>
      </c>
      <c r="Z84" s="1221" t="s">
        <v>2108</v>
      </c>
      <c r="AA84" s="1217" t="s">
        <v>663</v>
      </c>
      <c r="AB84" s="1728">
        <v>45533</v>
      </c>
      <c r="AC84" s="1222" t="s">
        <v>79</v>
      </c>
      <c r="AD84" s="1219" t="s">
        <v>2997</v>
      </c>
      <c r="AE84" s="1222" t="s">
        <v>94</v>
      </c>
      <c r="AF84" s="1093" t="str">
        <f t="shared" si="4"/>
        <v>ACTIVE</v>
      </c>
      <c r="AG84" s="1248">
        <v>-1033199.1</v>
      </c>
      <c r="AH84" s="1223" t="s">
        <v>658</v>
      </c>
      <c r="AI84" s="1728">
        <v>45533</v>
      </c>
      <c r="AJ84" s="1222" t="s">
        <v>79</v>
      </c>
      <c r="AK84" s="1219" t="s">
        <v>2998</v>
      </c>
      <c r="AL84" s="3520" t="s">
        <v>3005</v>
      </c>
      <c r="AM84" s="1735">
        <v>45537</v>
      </c>
      <c r="AN84" s="1239" t="s">
        <v>3014</v>
      </c>
      <c r="AO84" s="3570" t="s">
        <v>2343</v>
      </c>
      <c r="AP84" s="3571"/>
      <c r="AQ84" s="3572" t="s">
        <v>3078</v>
      </c>
      <c r="AR84" s="3561">
        <v>45565</v>
      </c>
      <c r="AS84" s="3574">
        <v>-1090593</v>
      </c>
      <c r="AT84" s="1227"/>
      <c r="AU84" s="1728"/>
      <c r="AV84" s="1248"/>
      <c r="AW84" s="1227" t="s">
        <v>3377</v>
      </c>
      <c r="AX84" s="1728"/>
      <c r="AY84" s="1096" t="str">
        <f t="shared" si="5"/>
        <v>ACTIVE</v>
      </c>
      <c r="AZ84" s="1248">
        <v>-1255596.1299999999</v>
      </c>
      <c r="BA84" s="1222" t="s">
        <v>79</v>
      </c>
      <c r="BB84" s="1228"/>
      <c r="BC84" s="1229"/>
      <c r="BD84" s="1230"/>
      <c r="BF84" s="3525">
        <f t="shared" ca="1" si="6"/>
        <v>0</v>
      </c>
      <c r="BG84" s="1377"/>
    </row>
    <row r="85" spans="1:61" s="686" customFormat="1" ht="51">
      <c r="A85" s="1524">
        <v>34</v>
      </c>
      <c r="B85" s="1961" t="s">
        <v>2589</v>
      </c>
      <c r="C85" s="1962" t="s">
        <v>165</v>
      </c>
      <c r="D85" s="2107" t="s">
        <v>92</v>
      </c>
      <c r="E85" s="1964"/>
      <c r="F85" s="1965"/>
      <c r="G85" s="1966" t="s">
        <v>210</v>
      </c>
      <c r="H85" s="1987" t="s">
        <v>104</v>
      </c>
      <c r="I85" s="1968" t="s">
        <v>244</v>
      </c>
      <c r="J85" s="1922" t="str">
        <f>IFERROR(VLOOKUP(I85,dropdowns!$E$45:$I$56,2,FALSE)," ")</f>
        <v>1.TB.01.003</v>
      </c>
      <c r="K85" s="1969" t="s">
        <v>244</v>
      </c>
      <c r="L85" s="1923" t="str">
        <f>IFERROR(VLOOKUP(K85,dropdowns!$G$45:$H$56,2,FALSE)," ")</f>
        <v>1.TB.01.003.01</v>
      </c>
      <c r="M85" s="1456" t="s">
        <v>2269</v>
      </c>
      <c r="N85" s="1970" t="s">
        <v>152</v>
      </c>
      <c r="O85" s="1253"/>
      <c r="P85" s="1252"/>
      <c r="Q85" s="3915"/>
      <c r="R85" s="1971" t="s">
        <v>2587</v>
      </c>
      <c r="S85" s="1991" t="s">
        <v>663</v>
      </c>
      <c r="T85" s="1973">
        <v>45283</v>
      </c>
      <c r="U85" s="1974" t="s">
        <v>125</v>
      </c>
      <c r="V85" s="1974" t="s">
        <v>2626</v>
      </c>
      <c r="W85" s="1974" t="s">
        <v>94</v>
      </c>
      <c r="X85" s="1100" t="str">
        <f t="shared" si="8"/>
        <v>NOT ACTIVE</v>
      </c>
      <c r="Y85" s="3356">
        <v>249378.75</v>
      </c>
      <c r="Z85" s="1992" t="s">
        <v>2627</v>
      </c>
      <c r="AA85" s="1991" t="s">
        <v>663</v>
      </c>
      <c r="AB85" s="1973">
        <v>45314</v>
      </c>
      <c r="AC85" s="1531" t="s">
        <v>125</v>
      </c>
      <c r="AD85" s="1974" t="s">
        <v>2638</v>
      </c>
      <c r="AE85" s="1531" t="s">
        <v>94</v>
      </c>
      <c r="AF85" s="1100" t="str">
        <f t="shared" si="4"/>
        <v>NOT ACTIVE</v>
      </c>
      <c r="AG85" s="1530">
        <v>452337.15</v>
      </c>
      <c r="AH85" s="1993" t="s">
        <v>2639</v>
      </c>
      <c r="AI85" s="1973">
        <v>45314</v>
      </c>
      <c r="AJ85" s="1531" t="s">
        <v>125</v>
      </c>
      <c r="AK85" s="1974" t="s">
        <v>2637</v>
      </c>
      <c r="AL85" s="1976" t="s">
        <v>2701</v>
      </c>
      <c r="AM85" s="1977">
        <v>45327</v>
      </c>
      <c r="AN85" s="1978" t="s">
        <v>2704</v>
      </c>
      <c r="AO85" s="1979"/>
      <c r="AP85" s="1994"/>
      <c r="AQ85" s="1995"/>
      <c r="AR85" s="1973"/>
      <c r="AS85" s="1530"/>
      <c r="AT85" s="1995" t="s">
        <v>2732</v>
      </c>
      <c r="AU85" s="1973">
        <v>45364</v>
      </c>
      <c r="AV85" s="1530">
        <v>139409.12700000001</v>
      </c>
      <c r="AW85" s="1991"/>
      <c r="AX85" s="1973"/>
      <c r="AY85" s="1100" t="str">
        <f t="shared" si="5"/>
        <v>NOT ACTIVE</v>
      </c>
      <c r="AZ85" s="1530"/>
      <c r="BA85" s="1531" t="s">
        <v>125</v>
      </c>
      <c r="BB85" s="1532"/>
      <c r="BC85" s="1533"/>
      <c r="BD85" s="1230" t="s">
        <v>2783</v>
      </c>
      <c r="BF85" s="845">
        <f t="shared" ca="1" si="6"/>
        <v>0</v>
      </c>
      <c r="BG85" s="1377"/>
    </row>
    <row r="86" spans="1:61" s="686" customFormat="1" ht="57.75" customHeight="1">
      <c r="A86" s="1141">
        <v>35</v>
      </c>
      <c r="B86" s="1884" t="s">
        <v>2591</v>
      </c>
      <c r="C86" s="1474" t="s">
        <v>165</v>
      </c>
      <c r="D86" s="1886" t="s">
        <v>5123</v>
      </c>
      <c r="E86" s="1476"/>
      <c r="F86" s="1477"/>
      <c r="G86" s="1478" t="s">
        <v>210</v>
      </c>
      <c r="H86" s="1479" t="s">
        <v>91</v>
      </c>
      <c r="I86" s="1885" t="s">
        <v>244</v>
      </c>
      <c r="J86" s="1480" t="str">
        <f>IFERROR(VLOOKUP(I86,dropdowns!$E$45:$I$56,2,FALSE)," ")</f>
        <v>1.TB.01.003</v>
      </c>
      <c r="K86" s="1886" t="s">
        <v>244</v>
      </c>
      <c r="L86" s="1481" t="str">
        <f>IFERROR(VLOOKUP(K86,dropdowns!$G$45:$H$56,2,FALSE)," ")</f>
        <v>1.TB.01.003.01</v>
      </c>
      <c r="M86" s="1251" t="s">
        <v>3930</v>
      </c>
      <c r="N86" s="1482" t="s">
        <v>2558</v>
      </c>
      <c r="O86" s="1231"/>
      <c r="P86" s="1218"/>
      <c r="Q86" s="3913"/>
      <c r="R86" s="1216" t="s">
        <v>2592</v>
      </c>
      <c r="S86" s="1217" t="s">
        <v>663</v>
      </c>
      <c r="T86" s="1728">
        <v>45291</v>
      </c>
      <c r="U86" s="1219" t="s">
        <v>79</v>
      </c>
      <c r="V86" s="1219" t="s">
        <v>2630</v>
      </c>
      <c r="W86" s="1219" t="s">
        <v>94</v>
      </c>
      <c r="X86" s="1093" t="str">
        <f t="shared" si="8"/>
        <v>ACTIVE</v>
      </c>
      <c r="Y86" s="3350">
        <v>-212913.4</v>
      </c>
      <c r="Z86" s="1221" t="s">
        <v>2629</v>
      </c>
      <c r="AA86" s="1217" t="s">
        <v>663</v>
      </c>
      <c r="AB86" s="1728">
        <v>45531</v>
      </c>
      <c r="AC86" s="1222" t="s">
        <v>79</v>
      </c>
      <c r="AD86" s="1219" t="s">
        <v>2995</v>
      </c>
      <c r="AE86" s="1222" t="s">
        <v>94</v>
      </c>
      <c r="AF86" s="1093" t="str">
        <f t="shared" si="4"/>
        <v>ACTIVE</v>
      </c>
      <c r="AG86" s="1248">
        <v>-267350.40000000002</v>
      </c>
      <c r="AH86" s="1223" t="s">
        <v>1984</v>
      </c>
      <c r="AI86" s="1728">
        <v>45531</v>
      </c>
      <c r="AJ86" s="1222" t="s">
        <v>79</v>
      </c>
      <c r="AK86" s="1219" t="s">
        <v>2996</v>
      </c>
      <c r="AL86" s="3520" t="s">
        <v>3006</v>
      </c>
      <c r="AM86" s="1735">
        <v>45537</v>
      </c>
      <c r="AN86" s="1239" t="s">
        <v>3015</v>
      </c>
      <c r="AO86" s="3570" t="s">
        <v>3077</v>
      </c>
      <c r="AP86" s="3571"/>
      <c r="AQ86" s="3572" t="s">
        <v>3076</v>
      </c>
      <c r="AR86" s="3561">
        <v>45565</v>
      </c>
      <c r="AS86" s="3574">
        <v>-568990.79</v>
      </c>
      <c r="AT86" s="1227"/>
      <c r="AU86" s="1218"/>
      <c r="AV86" s="1248"/>
      <c r="AW86" s="1227" t="s">
        <v>3376</v>
      </c>
      <c r="AX86" s="1728">
        <v>45621</v>
      </c>
      <c r="AY86" s="1096" t="str">
        <f t="shared" si="5"/>
        <v>ACTIVE</v>
      </c>
      <c r="AZ86" s="1248">
        <v>-579997.48</v>
      </c>
      <c r="BA86" s="1222" t="s">
        <v>79</v>
      </c>
      <c r="BB86" s="1228"/>
      <c r="BC86" s="1229"/>
      <c r="BD86" s="1230"/>
      <c r="BF86" s="3525">
        <f t="shared" ca="1" si="6"/>
        <v>0</v>
      </c>
      <c r="BG86" s="5174"/>
    </row>
    <row r="87" spans="1:61" s="686" customFormat="1" ht="51">
      <c r="A87" s="1524">
        <v>35</v>
      </c>
      <c r="B87" s="1961" t="s">
        <v>2710</v>
      </c>
      <c r="C87" s="1962" t="s">
        <v>165</v>
      </c>
      <c r="D87" s="2107" t="s">
        <v>92</v>
      </c>
      <c r="E87" s="1964"/>
      <c r="F87" s="1965"/>
      <c r="G87" s="1966" t="s">
        <v>210</v>
      </c>
      <c r="H87" s="1987" t="s">
        <v>104</v>
      </c>
      <c r="I87" s="1968" t="s">
        <v>244</v>
      </c>
      <c r="J87" s="1922" t="str">
        <f>IFERROR(VLOOKUP(I87,dropdowns!$E$45:$I$56,2,FALSE)," ")</f>
        <v>1.TB.01.003</v>
      </c>
      <c r="K87" s="1969" t="s">
        <v>244</v>
      </c>
      <c r="L87" s="1923" t="str">
        <f>IFERROR(VLOOKUP(K87,dropdowns!$G$45:$H$56,2,FALSE)," ")</f>
        <v>1.TB.01.003.01</v>
      </c>
      <c r="M87" s="1456" t="s">
        <v>2269</v>
      </c>
      <c r="N87" s="1970" t="s">
        <v>152</v>
      </c>
      <c r="O87" s="1253"/>
      <c r="P87" s="1252"/>
      <c r="Q87" s="3915"/>
      <c r="R87" s="1971" t="s">
        <v>2592</v>
      </c>
      <c r="S87" s="1991" t="s">
        <v>663</v>
      </c>
      <c r="T87" s="1973">
        <v>45291</v>
      </c>
      <c r="U87" s="1974" t="s">
        <v>125</v>
      </c>
      <c r="V87" s="1974" t="s">
        <v>2630</v>
      </c>
      <c r="W87" s="1974" t="s">
        <v>94</v>
      </c>
      <c r="X87" s="1100" t="str">
        <f t="shared" si="8"/>
        <v>NOT ACTIVE</v>
      </c>
      <c r="Y87" s="3356">
        <v>56240.63</v>
      </c>
      <c r="Z87" s="1992" t="s">
        <v>807</v>
      </c>
      <c r="AA87" s="1991" t="s">
        <v>663</v>
      </c>
      <c r="AB87" s="1973">
        <v>45322</v>
      </c>
      <c r="AC87" s="1531" t="s">
        <v>125</v>
      </c>
      <c r="AD87" s="1974" t="s">
        <v>2668</v>
      </c>
      <c r="AE87" s="1531" t="s">
        <v>94</v>
      </c>
      <c r="AF87" s="1100" t="str">
        <f t="shared" si="4"/>
        <v>NOT ACTIVE</v>
      </c>
      <c r="AG87" s="1530">
        <v>56240.63</v>
      </c>
      <c r="AH87" s="1993" t="s">
        <v>776</v>
      </c>
      <c r="AI87" s="1973">
        <v>45322</v>
      </c>
      <c r="AJ87" s="1531" t="s">
        <v>125</v>
      </c>
      <c r="AK87" s="1974" t="s">
        <v>2668</v>
      </c>
      <c r="AL87" s="1976" t="s">
        <v>2702</v>
      </c>
      <c r="AM87" s="1977">
        <v>45334</v>
      </c>
      <c r="AN87" s="1978" t="s">
        <v>2703</v>
      </c>
      <c r="AO87" s="1979"/>
      <c r="AP87" s="1994"/>
      <c r="AQ87" s="1995"/>
      <c r="AR87" s="1973"/>
      <c r="AS87" s="1530"/>
      <c r="AT87" s="1995" t="s">
        <v>2733</v>
      </c>
      <c r="AU87" s="1973">
        <v>45364</v>
      </c>
      <c r="AV87" s="1530">
        <v>0</v>
      </c>
      <c r="AW87" s="1991"/>
      <c r="AX87" s="1973"/>
      <c r="AY87" s="1100" t="str">
        <f t="shared" si="5"/>
        <v>NOT ACTIVE</v>
      </c>
      <c r="AZ87" s="1530"/>
      <c r="BA87" s="1531" t="s">
        <v>125</v>
      </c>
      <c r="BB87" s="1532"/>
      <c r="BC87" s="1533"/>
      <c r="BD87" s="1230" t="s">
        <v>2782</v>
      </c>
      <c r="BF87" s="845">
        <f t="shared" ca="1" si="6"/>
        <v>0</v>
      </c>
      <c r="BG87" s="1377"/>
    </row>
    <row r="88" spans="1:61" s="686" customFormat="1" ht="38.25">
      <c r="A88" s="1141">
        <v>36</v>
      </c>
      <c r="B88" s="1884" t="s">
        <v>2624</v>
      </c>
      <c r="C88" s="1474" t="s">
        <v>165</v>
      </c>
      <c r="D88" s="1886" t="s">
        <v>3337</v>
      </c>
      <c r="E88" s="1476"/>
      <c r="F88" s="1477"/>
      <c r="G88" s="1478" t="s">
        <v>218</v>
      </c>
      <c r="H88" s="1479" t="s">
        <v>82</v>
      </c>
      <c r="I88" s="1885" t="s">
        <v>244</v>
      </c>
      <c r="J88" s="1480" t="str">
        <f>IFERROR(VLOOKUP(I88,dropdowns!$E$45:$I$56,2,FALSE)," ")</f>
        <v>1.TB.01.003</v>
      </c>
      <c r="K88" s="1886" t="s">
        <v>244</v>
      </c>
      <c r="L88" s="1481" t="str">
        <f>IFERROR(VLOOKUP(K88,dropdowns!$G$45:$H$56,2,FALSE)," ")</f>
        <v>1.TB.01.003.01</v>
      </c>
      <c r="M88" s="1251" t="s">
        <v>107</v>
      </c>
      <c r="N88" s="1482" t="s">
        <v>98</v>
      </c>
      <c r="O88" s="1231"/>
      <c r="P88" s="1218"/>
      <c r="Q88" s="3913"/>
      <c r="R88" s="1216" t="s">
        <v>2142</v>
      </c>
      <c r="S88" s="1217"/>
      <c r="T88" s="1728"/>
      <c r="U88" s="1222" t="s">
        <v>79</v>
      </c>
      <c r="V88" s="1219"/>
      <c r="W88" s="1219"/>
      <c r="X88" s="1093" t="str">
        <f t="shared" si="8"/>
        <v>ACTIVE</v>
      </c>
      <c r="Y88" s="3349"/>
      <c r="Z88" s="1221"/>
      <c r="AA88" s="1217"/>
      <c r="AB88" s="1728"/>
      <c r="AC88" s="1219" t="s">
        <v>79</v>
      </c>
      <c r="AD88" s="1219"/>
      <c r="AE88" s="1222"/>
      <c r="AF88" s="1093" t="str">
        <f t="shared" si="4"/>
        <v>ACTIVE</v>
      </c>
      <c r="AG88" s="1220"/>
      <c r="AH88" s="1223"/>
      <c r="AI88" s="1728"/>
      <c r="AJ88" s="1222" t="s">
        <v>79</v>
      </c>
      <c r="AK88" s="1219"/>
      <c r="AL88" s="1223"/>
      <c r="AM88" s="1735"/>
      <c r="AN88" s="3234"/>
      <c r="AO88" s="1226"/>
      <c r="AP88" s="1493"/>
      <c r="AQ88" s="1227"/>
      <c r="AR88" s="1728"/>
      <c r="AS88" s="1220"/>
      <c r="AT88" s="1227"/>
      <c r="AU88" s="1218"/>
      <c r="AV88" s="1220"/>
      <c r="AW88" s="1227" t="s">
        <v>2622</v>
      </c>
      <c r="AX88" s="1728">
        <v>45153</v>
      </c>
      <c r="AY88" s="1093" t="str">
        <f t="shared" si="5"/>
        <v>ACTIVE</v>
      </c>
      <c r="AZ88" s="1248">
        <v>-89775</v>
      </c>
      <c r="BA88" s="1222" t="s">
        <v>79</v>
      </c>
      <c r="BB88" s="1228"/>
      <c r="BC88" s="1229"/>
      <c r="BD88" s="3235" t="s">
        <v>2621</v>
      </c>
      <c r="BF88" s="845">
        <f t="shared" ca="1" si="6"/>
        <v>0</v>
      </c>
      <c r="BG88" s="1377"/>
    </row>
    <row r="89" spans="1:61" s="686" customFormat="1" ht="51">
      <c r="A89" s="1141">
        <v>37</v>
      </c>
      <c r="B89" s="1498" t="s">
        <v>2625</v>
      </c>
      <c r="C89" s="1474" t="s">
        <v>165</v>
      </c>
      <c r="D89" s="1886" t="s">
        <v>5124</v>
      </c>
      <c r="E89" s="1476"/>
      <c r="F89" s="1477"/>
      <c r="G89" s="1478" t="s">
        <v>171</v>
      </c>
      <c r="H89" s="1479" t="s">
        <v>91</v>
      </c>
      <c r="I89" s="1138" t="s">
        <v>244</v>
      </c>
      <c r="J89" s="1480" t="str">
        <f>IFERROR(VLOOKUP(I89,dropdowns!$E$45:$I$56,2,FALSE)," ")</f>
        <v>1.TB.01.003</v>
      </c>
      <c r="K89" s="1140" t="s">
        <v>244</v>
      </c>
      <c r="L89" s="1481" t="str">
        <f>IFERROR(VLOOKUP(K89,dropdowns!$G$45:$H$56,2,FALSE)," ")</f>
        <v>1.TB.01.003.01</v>
      </c>
      <c r="M89" s="1251" t="s">
        <v>2269</v>
      </c>
      <c r="N89" s="1482" t="s">
        <v>152</v>
      </c>
      <c r="O89" s="1231">
        <v>18</v>
      </c>
      <c r="P89" s="1218">
        <v>45278</v>
      </c>
      <c r="Q89" s="3918">
        <f>22328372*0+19067463.27*0-10832207.28*0</f>
        <v>0</v>
      </c>
      <c r="R89" s="1216"/>
      <c r="S89" s="1217"/>
      <c r="T89" s="1728"/>
      <c r="U89" s="1222" t="s">
        <v>79</v>
      </c>
      <c r="V89" s="1219"/>
      <c r="W89" s="1219"/>
      <c r="X89" s="1093" t="str">
        <f t="shared" si="8"/>
        <v>ACTIVE</v>
      </c>
      <c r="Y89" s="3349"/>
      <c r="Z89" s="1221" t="s">
        <v>2854</v>
      </c>
      <c r="AA89" s="1217" t="s">
        <v>663</v>
      </c>
      <c r="AB89" s="1728">
        <v>45521</v>
      </c>
      <c r="AC89" s="1222" t="s">
        <v>79</v>
      </c>
      <c r="AD89" s="1219" t="s">
        <v>2994</v>
      </c>
      <c r="AE89" s="1222"/>
      <c r="AF89" s="1093" t="str">
        <f t="shared" si="4"/>
        <v>ACTIVE</v>
      </c>
      <c r="AG89" s="1248">
        <v>-10807729.199999999</v>
      </c>
      <c r="AH89" s="1223" t="s">
        <v>3011</v>
      </c>
      <c r="AI89" s="1735">
        <v>45539</v>
      </c>
      <c r="AJ89" s="1222" t="s">
        <v>79</v>
      </c>
      <c r="AK89" s="3234" t="s">
        <v>3021</v>
      </c>
      <c r="AL89" s="1223" t="s">
        <v>3012</v>
      </c>
      <c r="AM89" s="1735">
        <v>45540</v>
      </c>
      <c r="AN89" s="3234" t="s">
        <v>3022</v>
      </c>
      <c r="AO89" s="1226" t="s">
        <v>3225</v>
      </c>
      <c r="AP89" s="1493"/>
      <c r="AQ89" s="1227"/>
      <c r="AR89" s="1728"/>
      <c r="AS89" s="1220"/>
      <c r="AT89" s="1227"/>
      <c r="AU89" s="1218"/>
      <c r="AV89" s="1220"/>
      <c r="AW89" s="1227" t="s">
        <v>3689</v>
      </c>
      <c r="AX89" s="1728">
        <v>45716</v>
      </c>
      <c r="AY89" s="1094" t="str">
        <f t="shared" si="5"/>
        <v>ACTIVE</v>
      </c>
      <c r="AZ89" s="1248">
        <v>-10808089.199999999</v>
      </c>
      <c r="BA89" s="1222" t="s">
        <v>79</v>
      </c>
      <c r="BB89" s="1228"/>
      <c r="BC89" s="1229"/>
      <c r="BD89" s="3336" t="s">
        <v>3434</v>
      </c>
      <c r="BF89" s="3525">
        <f t="shared" ca="1" si="6"/>
        <v>0</v>
      </c>
      <c r="BG89" s="1377"/>
    </row>
    <row r="90" spans="1:61" s="686" customFormat="1" ht="63" customHeight="1">
      <c r="A90" s="1141">
        <v>38</v>
      </c>
      <c r="B90" s="1884" t="s">
        <v>2635</v>
      </c>
      <c r="C90" s="1474" t="s">
        <v>165</v>
      </c>
      <c r="D90" s="1475" t="s">
        <v>92</v>
      </c>
      <c r="E90" s="1476"/>
      <c r="F90" s="1477"/>
      <c r="G90" s="1478" t="s">
        <v>191</v>
      </c>
      <c r="H90" s="1479" t="s">
        <v>104</v>
      </c>
      <c r="I90" s="1885" t="s">
        <v>244</v>
      </c>
      <c r="J90" s="1480" t="str">
        <f>IFERROR(VLOOKUP(I90,dropdowns!$E$45:$I$56,2,FALSE)," ")</f>
        <v>1.TB.01.003</v>
      </c>
      <c r="K90" s="1886" t="s">
        <v>244</v>
      </c>
      <c r="L90" s="1481" t="str">
        <f>IFERROR(VLOOKUP(K90,dropdowns!$G$45:$H$56,2,FALSE)," ")</f>
        <v>1.TB.01.003.01</v>
      </c>
      <c r="M90" s="1251" t="s">
        <v>2269</v>
      </c>
      <c r="N90" s="1482" t="s">
        <v>152</v>
      </c>
      <c r="O90" s="1231"/>
      <c r="P90" s="1218"/>
      <c r="Q90" s="3913"/>
      <c r="R90" s="1216" t="s">
        <v>2917</v>
      </c>
      <c r="S90" s="1245" t="s">
        <v>663</v>
      </c>
      <c r="T90" s="1728">
        <v>45334</v>
      </c>
      <c r="U90" s="1222" t="s">
        <v>79</v>
      </c>
      <c r="V90" s="1219" t="s">
        <v>2670</v>
      </c>
      <c r="W90" s="1219" t="s">
        <v>94</v>
      </c>
      <c r="X90" s="1093" t="str">
        <f t="shared" si="8"/>
        <v>ACTIVE</v>
      </c>
      <c r="Y90" s="3349">
        <v>166610</v>
      </c>
      <c r="Z90" s="1111" t="s">
        <v>5065</v>
      </c>
      <c r="AA90" s="1104"/>
      <c r="AB90" s="1729"/>
      <c r="AC90" s="1097"/>
      <c r="AD90" s="1105"/>
      <c r="AE90" s="1097"/>
      <c r="AF90" s="1094" t="str">
        <f t="shared" si="4"/>
        <v>NOT ACTIVE</v>
      </c>
      <c r="AH90" s="1106"/>
      <c r="AI90" s="1729"/>
      <c r="AJ90" s="1097"/>
      <c r="AK90" s="1105"/>
      <c r="AL90" s="1106"/>
      <c r="AM90" s="1729"/>
      <c r="AN90" s="1097"/>
      <c r="AO90" s="1113"/>
      <c r="AP90" s="1488"/>
      <c r="AQ90" s="1116"/>
      <c r="AR90" s="1729"/>
      <c r="AS90" s="1182"/>
      <c r="AT90" s="1104"/>
      <c r="AU90" s="1095"/>
      <c r="AV90" s="1182"/>
      <c r="AW90" s="1117"/>
      <c r="AX90" s="1729"/>
      <c r="AY90" s="1096" t="str">
        <f t="shared" si="5"/>
        <v>NOT ACTIVE</v>
      </c>
      <c r="AZ90" s="1182"/>
      <c r="BA90" s="1097"/>
      <c r="BB90" s="1098"/>
      <c r="BC90" s="1099"/>
      <c r="BD90" s="3235" t="s">
        <v>4868</v>
      </c>
      <c r="BF90" s="845">
        <f t="shared" ca="1" si="6"/>
        <v>0</v>
      </c>
      <c r="BG90" s="1377"/>
    </row>
    <row r="91" spans="1:61" s="686" customFormat="1" ht="51">
      <c r="A91" s="1141">
        <v>39</v>
      </c>
      <c r="B91" s="1884" t="s">
        <v>2636</v>
      </c>
      <c r="C91" s="1474" t="s">
        <v>165</v>
      </c>
      <c r="D91" s="1886" t="s">
        <v>5114</v>
      </c>
      <c r="E91" s="1476"/>
      <c r="F91" s="1477"/>
      <c r="G91" s="1478" t="s">
        <v>202</v>
      </c>
      <c r="H91" s="1479" t="s">
        <v>91</v>
      </c>
      <c r="I91" s="1885" t="s">
        <v>244</v>
      </c>
      <c r="J91" s="1480" t="str">
        <f>IFERROR(VLOOKUP(I91,dropdowns!$E$45:$I$56,2,FALSE)," ")</f>
        <v>1.TB.01.003</v>
      </c>
      <c r="K91" s="1886" t="s">
        <v>244</v>
      </c>
      <c r="L91" s="1481" t="str">
        <f>IFERROR(VLOOKUP(K91,dropdowns!$G$45:$H$56,2,FALSE)," ")</f>
        <v>1.TB.01.003.01</v>
      </c>
      <c r="M91" s="1251" t="s">
        <v>2269</v>
      </c>
      <c r="N91" s="1482" t="s">
        <v>152</v>
      </c>
      <c r="O91" s="1231"/>
      <c r="P91" s="1224"/>
      <c r="Q91" s="3913"/>
      <c r="R91" s="1216">
        <v>27</v>
      </c>
      <c r="S91" s="1245" t="s">
        <v>663</v>
      </c>
      <c r="T91" s="1728">
        <v>45347</v>
      </c>
      <c r="U91" s="1222" t="s">
        <v>79</v>
      </c>
      <c r="V91" s="1219" t="s">
        <v>2691</v>
      </c>
      <c r="W91" s="1219" t="s">
        <v>94</v>
      </c>
      <c r="X91" s="1093" t="str">
        <f t="shared" si="8"/>
        <v>ACTIVE</v>
      </c>
      <c r="Y91" s="3350">
        <v>-139212.69</v>
      </c>
      <c r="Z91" s="1221" t="s">
        <v>2692</v>
      </c>
      <c r="AA91" s="1217"/>
      <c r="AB91" s="1728">
        <v>45379</v>
      </c>
      <c r="AC91" s="1222" t="s">
        <v>79</v>
      </c>
      <c r="AD91" s="1219" t="s">
        <v>2736</v>
      </c>
      <c r="AE91" s="1222"/>
      <c r="AF91" s="1093" t="str">
        <f t="shared" si="4"/>
        <v>ACTIVE</v>
      </c>
      <c r="AG91" s="1248">
        <v>-139212.69</v>
      </c>
      <c r="AH91" s="1234" t="s">
        <v>2747</v>
      </c>
      <c r="AI91" s="1728">
        <v>45410</v>
      </c>
      <c r="AJ91" s="1222" t="s">
        <v>79</v>
      </c>
      <c r="AK91" s="1219" t="s">
        <v>2748</v>
      </c>
      <c r="AL91" s="1246" t="s">
        <v>2750</v>
      </c>
      <c r="AM91" s="1735">
        <v>45410</v>
      </c>
      <c r="AN91" s="1239" t="s">
        <v>2749</v>
      </c>
      <c r="AO91" s="1226" t="s">
        <v>3049</v>
      </c>
      <c r="AP91" s="1493"/>
      <c r="AQ91" s="1227"/>
      <c r="AR91" s="1728"/>
      <c r="AS91" s="1220"/>
      <c r="AT91" s="1217"/>
      <c r="AU91" s="1218"/>
      <c r="AV91" s="1220"/>
      <c r="AW91" s="1227" t="s">
        <v>2987</v>
      </c>
      <c r="AX91" s="1728">
        <v>45526</v>
      </c>
      <c r="AY91" s="1093" t="str">
        <f t="shared" si="5"/>
        <v>ACTIVE</v>
      </c>
      <c r="AZ91" s="1248">
        <v>-109949.92</v>
      </c>
      <c r="BA91" s="1222" t="s">
        <v>79</v>
      </c>
      <c r="BB91" s="1228"/>
      <c r="BC91" s="1229"/>
      <c r="BD91" s="3517"/>
      <c r="BF91" s="845">
        <f t="shared" ca="1" si="6"/>
        <v>0</v>
      </c>
      <c r="BG91" s="1377">
        <f>+AX91-AM91</f>
        <v>116</v>
      </c>
      <c r="BH91" s="3522">
        <f>+BG91-90</f>
        <v>26</v>
      </c>
      <c r="BI91" s="3523">
        <f>+AG91-AZ91</f>
        <v>-29262.770000000004</v>
      </c>
    </row>
    <row r="92" spans="1:61" s="686" customFormat="1" ht="51.75" customHeight="1">
      <c r="A92" s="1141">
        <v>40</v>
      </c>
      <c r="B92" s="1884" t="s">
        <v>2844</v>
      </c>
      <c r="C92" s="1474" t="s">
        <v>165</v>
      </c>
      <c r="D92" s="1886" t="s">
        <v>5122</v>
      </c>
      <c r="E92" s="1476"/>
      <c r="F92" s="1477"/>
      <c r="G92" s="1478" t="s">
        <v>202</v>
      </c>
      <c r="H92" s="1479" t="s">
        <v>91</v>
      </c>
      <c r="I92" s="1885" t="s">
        <v>244</v>
      </c>
      <c r="J92" s="1480" t="str">
        <f>IFERROR(VLOOKUP(I92,dropdowns!$E$45:$I$56,2,FALSE)," ")</f>
        <v>1.TB.01.003</v>
      </c>
      <c r="K92" s="1886" t="s">
        <v>244</v>
      </c>
      <c r="L92" s="1481" t="str">
        <f>IFERROR(VLOOKUP(K92,dropdowns!$G$45:$H$56,2,FALSE)," ")</f>
        <v>1.TB.01.003.01</v>
      </c>
      <c r="M92" s="1251" t="s">
        <v>2269</v>
      </c>
      <c r="N92" s="1482" t="s">
        <v>152</v>
      </c>
      <c r="O92" s="1231"/>
      <c r="P92" s="1218"/>
      <c r="Q92" s="3913"/>
      <c r="R92" s="1216">
        <v>28</v>
      </c>
      <c r="S92" s="1245" t="s">
        <v>663</v>
      </c>
      <c r="T92" s="1728">
        <v>45333</v>
      </c>
      <c r="U92" s="1222" t="s">
        <v>79</v>
      </c>
      <c r="V92" s="1219" t="s">
        <v>2667</v>
      </c>
      <c r="W92" s="1219" t="s">
        <v>94</v>
      </c>
      <c r="X92" s="1093" t="str">
        <f t="shared" si="8"/>
        <v>ACTIVE</v>
      </c>
      <c r="Y92" s="3349">
        <v>-14163.45</v>
      </c>
      <c r="Z92" s="1221" t="s">
        <v>2847</v>
      </c>
      <c r="AA92" s="1217"/>
      <c r="AB92" s="1728">
        <v>45379</v>
      </c>
      <c r="AC92" s="1222" t="s">
        <v>79</v>
      </c>
      <c r="AD92" s="1219" t="s">
        <v>2846</v>
      </c>
      <c r="AE92" s="1222"/>
      <c r="AF92" s="1093" t="str">
        <f t="shared" si="4"/>
        <v>ACTIVE</v>
      </c>
      <c r="AG92" s="1248">
        <v>-12334.95</v>
      </c>
      <c r="AH92" s="1234" t="s">
        <v>2767</v>
      </c>
      <c r="AI92" s="1728">
        <v>45509</v>
      </c>
      <c r="AJ92" s="1222" t="s">
        <v>79</v>
      </c>
      <c r="AK92" s="1219" t="s">
        <v>2951</v>
      </c>
      <c r="AL92" s="1246" t="s">
        <v>818</v>
      </c>
      <c r="AM92" s="1728">
        <v>45510</v>
      </c>
      <c r="AN92" s="1239" t="s">
        <v>2952</v>
      </c>
      <c r="AO92" s="3570" t="s">
        <v>3067</v>
      </c>
      <c r="AP92" s="3571"/>
      <c r="AQ92" s="3572" t="s">
        <v>3068</v>
      </c>
      <c r="AR92" s="3561">
        <v>45570</v>
      </c>
      <c r="AS92" s="3574">
        <v>-14163.45</v>
      </c>
      <c r="AT92" s="1217"/>
      <c r="AU92" s="1218"/>
      <c r="AV92" s="1220"/>
      <c r="AW92" s="1227" t="s">
        <v>3143</v>
      </c>
      <c r="AX92" s="1728">
        <v>45579</v>
      </c>
      <c r="AY92" s="1094" t="str">
        <f t="shared" si="5"/>
        <v>ACTIVE</v>
      </c>
      <c r="AZ92" s="3583">
        <v>-14163.45</v>
      </c>
      <c r="BA92" s="1222" t="s">
        <v>79</v>
      </c>
      <c r="BB92" s="1228"/>
      <c r="BC92" s="1229"/>
      <c r="BD92" s="1249"/>
      <c r="BF92" s="3525">
        <f t="shared" ref="BF92:BF123" ca="1" si="9">IF(BA92="PENDING",TODAY()-AM92,0)</f>
        <v>0</v>
      </c>
      <c r="BG92" s="1377">
        <f>+AX92-AM92</f>
        <v>69</v>
      </c>
      <c r="BH92" s="3592">
        <f>+AZ92-AG92</f>
        <v>-1828.5</v>
      </c>
    </row>
    <row r="93" spans="1:61" s="686" customFormat="1" ht="51.75" customHeight="1">
      <c r="A93" s="1141">
        <v>40</v>
      </c>
      <c r="B93" s="1884" t="s">
        <v>2845</v>
      </c>
      <c r="C93" s="1474" t="s">
        <v>165</v>
      </c>
      <c r="D93" s="1886" t="s">
        <v>5122</v>
      </c>
      <c r="E93" s="1476"/>
      <c r="F93" s="1477"/>
      <c r="G93" s="1478" t="s">
        <v>191</v>
      </c>
      <c r="H93" s="1479" t="s">
        <v>91</v>
      </c>
      <c r="I93" s="1885" t="s">
        <v>244</v>
      </c>
      <c r="J93" s="1480" t="str">
        <f>IFERROR(VLOOKUP(I93,dropdowns!$E$45:$I$56,2,FALSE)," ")</f>
        <v>1.TB.01.003</v>
      </c>
      <c r="K93" s="1886" t="s">
        <v>244</v>
      </c>
      <c r="L93" s="1481" t="str">
        <f>IFERROR(VLOOKUP(K93,dropdowns!$G$45:$H$56,2,FALSE)," ")</f>
        <v>1.TB.01.003.01</v>
      </c>
      <c r="M93" s="1251" t="s">
        <v>3930</v>
      </c>
      <c r="N93" s="1482" t="s">
        <v>2558</v>
      </c>
      <c r="O93" s="1231"/>
      <c r="P93" s="1218"/>
      <c r="Q93" s="3913"/>
      <c r="R93" s="1216">
        <v>28</v>
      </c>
      <c r="S93" s="1245" t="s">
        <v>663</v>
      </c>
      <c r="T93" s="1728">
        <v>45333</v>
      </c>
      <c r="U93" s="1222" t="s">
        <v>79</v>
      </c>
      <c r="V93" s="1219" t="s">
        <v>2667</v>
      </c>
      <c r="W93" s="1219" t="s">
        <v>94</v>
      </c>
      <c r="X93" s="1093" t="str">
        <f>IF(U93="APPROVED","ACTIVE",IF(U93="PENDING","ACTIVE","NOT ACTIVE"))</f>
        <v>ACTIVE</v>
      </c>
      <c r="Y93" s="3349">
        <f>188960.93+14163.45</f>
        <v>203124.38</v>
      </c>
      <c r="Z93" s="1221">
        <v>4</v>
      </c>
      <c r="AA93" s="1217"/>
      <c r="AB93" s="1728">
        <v>45521</v>
      </c>
      <c r="AC93" s="1222" t="s">
        <v>79</v>
      </c>
      <c r="AD93" s="1219" t="s">
        <v>2992</v>
      </c>
      <c r="AE93" s="1222"/>
      <c r="AF93" s="1093" t="str">
        <f>IF(AC93="APPROVED","ACTIVE","NOT ACTIVE")</f>
        <v>ACTIVE</v>
      </c>
      <c r="AG93" s="1220">
        <v>72215.12</v>
      </c>
      <c r="AH93" s="1234" t="s">
        <v>2283</v>
      </c>
      <c r="AI93" s="1728">
        <v>45541</v>
      </c>
      <c r="AJ93" s="1222" t="s">
        <v>79</v>
      </c>
      <c r="AK93" s="1219" t="s">
        <v>3027</v>
      </c>
      <c r="AL93" s="1223" t="s">
        <v>2283</v>
      </c>
      <c r="AM93" s="1735">
        <v>45542</v>
      </c>
      <c r="AN93" s="1239" t="s">
        <v>3028</v>
      </c>
      <c r="AO93" s="1226"/>
      <c r="AP93" s="1493"/>
      <c r="AQ93" s="1227"/>
      <c r="AR93" s="1728"/>
      <c r="AS93" s="1220"/>
      <c r="AT93" s="1217"/>
      <c r="AU93" s="1218"/>
      <c r="AV93" s="1220"/>
      <c r="AW93" s="1227" t="s">
        <v>3667</v>
      </c>
      <c r="AX93" s="1728">
        <v>45710</v>
      </c>
      <c r="AY93" s="1094" t="str">
        <f>IF(BA93="APPROVED","ACTIVE","NOT ACTIVE")</f>
        <v>ACTIVE</v>
      </c>
      <c r="AZ93" s="3521">
        <v>66509.75</v>
      </c>
      <c r="BA93" s="1222" t="s">
        <v>79</v>
      </c>
      <c r="BB93" s="1228"/>
      <c r="BC93" s="1229"/>
      <c r="BD93" s="1249" t="s">
        <v>3670</v>
      </c>
      <c r="BF93" s="3525">
        <f t="shared" ca="1" si="9"/>
        <v>0</v>
      </c>
      <c r="BG93" s="1377"/>
    </row>
    <row r="94" spans="1:61" s="686" customFormat="1" ht="39.75" customHeight="1">
      <c r="A94" s="1524">
        <v>41</v>
      </c>
      <c r="B94" s="1984" t="s">
        <v>2643</v>
      </c>
      <c r="C94" s="1962" t="s">
        <v>169</v>
      </c>
      <c r="D94" s="2107" t="s">
        <v>78</v>
      </c>
      <c r="E94" s="1964"/>
      <c r="F94" s="1965"/>
      <c r="G94" s="1966" t="s">
        <v>175</v>
      </c>
      <c r="H94" s="1987" t="s">
        <v>104</v>
      </c>
      <c r="I94" s="1147" t="s">
        <v>244</v>
      </c>
      <c r="J94" s="1922" t="str">
        <f>IFERROR(VLOOKUP(I94,dropdowns!$E$45:$I$56,2,FALSE)," ")</f>
        <v>1.TB.01.003</v>
      </c>
      <c r="K94" s="1148" t="s">
        <v>244</v>
      </c>
      <c r="L94" s="1923" t="str">
        <f>IFERROR(VLOOKUP(K94,dropdowns!$G$45:$H$56,2,FALSE)," ")</f>
        <v>1.TB.01.003.01</v>
      </c>
      <c r="M94" s="1456" t="s">
        <v>85</v>
      </c>
      <c r="N94" s="1151" t="s">
        <v>86</v>
      </c>
      <c r="O94" s="1253"/>
      <c r="P94" s="1982"/>
      <c r="Q94" s="3915"/>
      <c r="R94" s="1971">
        <v>29</v>
      </c>
      <c r="S94" s="1972" t="s">
        <v>663</v>
      </c>
      <c r="T94" s="1973"/>
      <c r="U94" s="1531" t="s">
        <v>125</v>
      </c>
      <c r="V94" s="1974" t="s">
        <v>2640</v>
      </c>
      <c r="W94" s="1974" t="s">
        <v>94</v>
      </c>
      <c r="X94" s="1100" t="str">
        <f t="shared" si="8"/>
        <v>NOT ACTIVE</v>
      </c>
      <c r="Y94" s="3356">
        <v>248219</v>
      </c>
      <c r="Z94" s="1992"/>
      <c r="AA94" s="1991"/>
      <c r="AB94" s="1973"/>
      <c r="AC94" s="1531"/>
      <c r="AD94" s="1531"/>
      <c r="AE94" s="1531"/>
      <c r="AF94" s="1100" t="str">
        <f t="shared" si="4"/>
        <v>NOT ACTIVE</v>
      </c>
      <c r="AG94" s="1530"/>
      <c r="AH94" s="3325"/>
      <c r="AI94" s="1973"/>
      <c r="AJ94" s="1531"/>
      <c r="AK94" s="1531"/>
      <c r="AL94" s="1993"/>
      <c r="AM94" s="1977"/>
      <c r="AN94" s="3326"/>
      <c r="AO94" s="1979"/>
      <c r="AP94" s="1994"/>
      <c r="AQ94" s="1995"/>
      <c r="AR94" s="1973"/>
      <c r="AS94" s="1530"/>
      <c r="AT94" s="1991"/>
      <c r="AU94" s="1252"/>
      <c r="AV94" s="1530"/>
      <c r="AW94" s="1991"/>
      <c r="AX94" s="1973"/>
      <c r="AY94" s="1100" t="str">
        <f t="shared" si="5"/>
        <v>NOT ACTIVE</v>
      </c>
      <c r="AZ94" s="3327"/>
      <c r="BA94" s="1531"/>
      <c r="BB94" s="1532"/>
      <c r="BC94" s="1533"/>
      <c r="BD94" s="1230" t="s">
        <v>2792</v>
      </c>
      <c r="BF94" s="845">
        <f t="shared" ca="1" si="9"/>
        <v>0</v>
      </c>
      <c r="BG94" s="1377"/>
    </row>
    <row r="95" spans="1:61" s="686" customFormat="1" ht="51">
      <c r="A95" s="1524">
        <v>41</v>
      </c>
      <c r="B95" s="1984" t="s">
        <v>2644</v>
      </c>
      <c r="C95" s="1962" t="s">
        <v>169</v>
      </c>
      <c r="D95" s="2107" t="s">
        <v>78</v>
      </c>
      <c r="E95" s="1964"/>
      <c r="F95" s="1965"/>
      <c r="G95" s="1966" t="s">
        <v>175</v>
      </c>
      <c r="H95" s="1987" t="s">
        <v>104</v>
      </c>
      <c r="I95" s="1968" t="s">
        <v>244</v>
      </c>
      <c r="J95" s="1922" t="str">
        <f>IFERROR(VLOOKUP(I95,dropdowns!$E$45:$I$56,2,FALSE)," ")</f>
        <v>1.TB.01.003</v>
      </c>
      <c r="K95" s="1969" t="s">
        <v>244</v>
      </c>
      <c r="L95" s="1923" t="str">
        <f>IFERROR(VLOOKUP(K95,dropdowns!$G$45:$H$56,2,FALSE)," ")</f>
        <v>1.TB.01.003.01</v>
      </c>
      <c r="M95" s="1456" t="s">
        <v>2269</v>
      </c>
      <c r="N95" s="1970" t="s">
        <v>152</v>
      </c>
      <c r="O95" s="1253"/>
      <c r="P95" s="1982"/>
      <c r="Q95" s="3915"/>
      <c r="R95" s="1971">
        <v>29</v>
      </c>
      <c r="S95" s="1972" t="s">
        <v>663</v>
      </c>
      <c r="T95" s="1973"/>
      <c r="U95" s="1531" t="s">
        <v>125</v>
      </c>
      <c r="V95" s="1974" t="s">
        <v>2640</v>
      </c>
      <c r="W95" s="1974" t="s">
        <v>94</v>
      </c>
      <c r="X95" s="1100" t="str">
        <f>IF(U95="APPROVED","ACTIVE",IF(U95="PENDING","ACTIVE","NOT ACTIVE"))</f>
        <v>NOT ACTIVE</v>
      </c>
      <c r="Y95" s="3356">
        <f>1009618.15-248219</f>
        <v>761399.15</v>
      </c>
      <c r="Z95" s="1992"/>
      <c r="AA95" s="1991"/>
      <c r="AB95" s="1973"/>
      <c r="AC95" s="1531"/>
      <c r="AD95" s="1531"/>
      <c r="AE95" s="1531"/>
      <c r="AF95" s="1100" t="str">
        <f>IF(AC95="APPROVED","ACTIVE","NOT ACTIVE")</f>
        <v>NOT ACTIVE</v>
      </c>
      <c r="AG95" s="1530"/>
      <c r="AH95" s="3325"/>
      <c r="AI95" s="1973"/>
      <c r="AJ95" s="1531"/>
      <c r="AK95" s="1531"/>
      <c r="AL95" s="1993"/>
      <c r="AM95" s="1977"/>
      <c r="AN95" s="3326"/>
      <c r="AO95" s="1979"/>
      <c r="AP95" s="1994"/>
      <c r="AQ95" s="1995"/>
      <c r="AR95" s="1973"/>
      <c r="AS95" s="1530"/>
      <c r="AT95" s="1991"/>
      <c r="AU95" s="1252"/>
      <c r="AV95" s="1530"/>
      <c r="AW95" s="1991"/>
      <c r="AX95" s="1973"/>
      <c r="AY95" s="1100" t="str">
        <f>IF(BA95="APPROVED","ACTIVE","NOT ACTIVE")</f>
        <v>NOT ACTIVE</v>
      </c>
      <c r="AZ95" s="3327"/>
      <c r="BA95" s="1531"/>
      <c r="BB95" s="1532"/>
      <c r="BC95" s="1533"/>
      <c r="BD95" s="1230" t="s">
        <v>2792</v>
      </c>
      <c r="BF95" s="845">
        <f t="shared" ca="1" si="9"/>
        <v>0</v>
      </c>
      <c r="BG95" s="1377"/>
    </row>
    <row r="96" spans="1:61" s="686" customFormat="1" ht="38.25">
      <c r="A96" s="1141">
        <v>42</v>
      </c>
      <c r="B96" s="1884" t="s">
        <v>2696</v>
      </c>
      <c r="C96" s="1474" t="s">
        <v>165</v>
      </c>
      <c r="D96" s="1886" t="s">
        <v>5113</v>
      </c>
      <c r="E96" s="1476"/>
      <c r="F96" s="1477"/>
      <c r="G96" s="1478" t="s">
        <v>202</v>
      </c>
      <c r="H96" s="1479" t="s">
        <v>91</v>
      </c>
      <c r="I96" s="1885" t="s">
        <v>244</v>
      </c>
      <c r="J96" s="1480" t="str">
        <f>IFERROR(VLOOKUP(I96,dropdowns!$E$45:$I$56,2,FALSE)," ")</f>
        <v>1.TB.01.003</v>
      </c>
      <c r="K96" s="1886" t="s">
        <v>244</v>
      </c>
      <c r="L96" s="1481" t="str">
        <f>IFERROR(VLOOKUP(K96,dropdowns!$G$45:$H$56,2,FALSE)," ")</f>
        <v>1.TB.01.003.01</v>
      </c>
      <c r="M96" s="1251" t="s">
        <v>3930</v>
      </c>
      <c r="N96" s="1482" t="s">
        <v>2558</v>
      </c>
      <c r="O96" s="1231"/>
      <c r="P96" s="1224"/>
      <c r="Q96" s="3913"/>
      <c r="R96" s="1216">
        <v>30</v>
      </c>
      <c r="S96" s="1217"/>
      <c r="T96" s="1728">
        <v>45379</v>
      </c>
      <c r="U96" s="1222" t="s">
        <v>79</v>
      </c>
      <c r="V96" s="1219" t="s">
        <v>2739</v>
      </c>
      <c r="W96" s="1219" t="s">
        <v>94</v>
      </c>
      <c r="X96" s="1093" t="str">
        <f t="shared" si="8"/>
        <v>ACTIVE</v>
      </c>
      <c r="Y96" s="3349">
        <v>202735.84</v>
      </c>
      <c r="Z96" s="1221" t="s">
        <v>761</v>
      </c>
      <c r="AA96" s="1217"/>
      <c r="AB96" s="1728">
        <v>45525</v>
      </c>
      <c r="AC96" s="1222" t="s">
        <v>79</v>
      </c>
      <c r="AD96" s="1219" t="s">
        <v>2988</v>
      </c>
      <c r="AE96" s="1222"/>
      <c r="AF96" s="1093" t="str">
        <f t="shared" si="4"/>
        <v>ACTIVE</v>
      </c>
      <c r="AG96" s="1248">
        <v>-122736.16</v>
      </c>
      <c r="AH96" s="1234" t="s">
        <v>2751</v>
      </c>
      <c r="AI96" s="1728">
        <v>45541</v>
      </c>
      <c r="AJ96" s="1222" t="s">
        <v>79</v>
      </c>
      <c r="AK96" s="1219" t="s">
        <v>3025</v>
      </c>
      <c r="AL96" s="1223" t="s">
        <v>1994</v>
      </c>
      <c r="AM96" s="1735">
        <v>45542</v>
      </c>
      <c r="AN96" s="1239" t="s">
        <v>3026</v>
      </c>
      <c r="AO96" s="1226" t="s">
        <v>2344</v>
      </c>
      <c r="AP96" s="1493"/>
      <c r="AQ96" s="1227"/>
      <c r="AR96" s="1728"/>
      <c r="AS96" s="1220"/>
      <c r="AT96" s="1217"/>
      <c r="AU96" s="1218"/>
      <c r="AV96" s="1220"/>
      <c r="AW96" s="1227" t="s">
        <v>3441</v>
      </c>
      <c r="AX96" s="1728">
        <v>45641</v>
      </c>
      <c r="AY96" s="1096" t="str">
        <f t="shared" si="5"/>
        <v>ACTIVE</v>
      </c>
      <c r="AZ96" s="3583">
        <v>-806974.47</v>
      </c>
      <c r="BA96" s="1222" t="s">
        <v>79</v>
      </c>
      <c r="BB96" s="1228"/>
      <c r="BC96" s="1229"/>
      <c r="BD96" s="1230"/>
      <c r="BF96" s="3525">
        <f t="shared" ca="1" si="9"/>
        <v>0</v>
      </c>
      <c r="BG96" s="1377"/>
    </row>
    <row r="97" spans="1:61" s="686" customFormat="1" ht="51">
      <c r="A97" s="1141">
        <v>42</v>
      </c>
      <c r="B97" s="1884" t="s">
        <v>2738</v>
      </c>
      <c r="C97" s="1474" t="s">
        <v>165</v>
      </c>
      <c r="D97" s="1886" t="s">
        <v>5113</v>
      </c>
      <c r="E97" s="1476"/>
      <c r="F97" s="1477"/>
      <c r="G97" s="1478" t="s">
        <v>175</v>
      </c>
      <c r="H97" s="1479" t="s">
        <v>91</v>
      </c>
      <c r="I97" s="1885" t="s">
        <v>244</v>
      </c>
      <c r="J97" s="1480" t="str">
        <f>IFERROR(VLOOKUP(I97,dropdowns!$E$45:$I$56,2,FALSE)," ")</f>
        <v>1.TB.01.003</v>
      </c>
      <c r="K97" s="1886" t="s">
        <v>244</v>
      </c>
      <c r="L97" s="1481" t="str">
        <f>IFERROR(VLOOKUP(K97,dropdowns!$G$45:$H$56,2,FALSE)," ")</f>
        <v>1.TB.01.003.01</v>
      </c>
      <c r="M97" s="1251" t="s">
        <v>2269</v>
      </c>
      <c r="N97" s="1482" t="s">
        <v>152</v>
      </c>
      <c r="O97" s="1231"/>
      <c r="P97" s="1224"/>
      <c r="Q97" s="3913"/>
      <c r="R97" s="1216">
        <v>30</v>
      </c>
      <c r="S97" s="1217"/>
      <c r="T97" s="1728">
        <v>45379</v>
      </c>
      <c r="U97" s="1222" t="s">
        <v>79</v>
      </c>
      <c r="V97" s="1219" t="s">
        <v>2739</v>
      </c>
      <c r="W97" s="1219" t="s">
        <v>94</v>
      </c>
      <c r="X97" s="1093" t="str">
        <f t="shared" si="8"/>
        <v>ACTIVE</v>
      </c>
      <c r="Y97" s="3350">
        <v>-349595.15</v>
      </c>
      <c r="Z97" s="1221" t="s">
        <v>2746</v>
      </c>
      <c r="AA97" s="1217"/>
      <c r="AB97" s="1728">
        <v>45583</v>
      </c>
      <c r="AC97" s="1219" t="s">
        <v>79</v>
      </c>
      <c r="AD97" s="1219" t="s">
        <v>3173</v>
      </c>
      <c r="AE97" s="1222" t="s">
        <v>94</v>
      </c>
      <c r="AF97" s="1093" t="str">
        <f t="shared" si="4"/>
        <v>ACTIVE</v>
      </c>
      <c r="AG97" s="1248">
        <v>-349595.15</v>
      </c>
      <c r="AH97" s="1234" t="s">
        <v>3179</v>
      </c>
      <c r="AI97" s="1728">
        <v>45589</v>
      </c>
      <c r="AJ97" s="1222" t="s">
        <v>79</v>
      </c>
      <c r="AK97" s="1219" t="s">
        <v>3177</v>
      </c>
      <c r="AL97" s="1223" t="s">
        <v>3179</v>
      </c>
      <c r="AM97" s="1735">
        <v>45589</v>
      </c>
      <c r="AN97" s="1239" t="s">
        <v>3178</v>
      </c>
      <c r="AO97" s="1226" t="s">
        <v>4296</v>
      </c>
      <c r="AP97" s="1493"/>
      <c r="AQ97" s="1227"/>
      <c r="AR97" s="1728"/>
      <c r="AS97" s="1220"/>
      <c r="AT97" s="1217"/>
      <c r="AU97" s="1218"/>
      <c r="AV97" s="1220"/>
      <c r="AW97" s="1227" t="s">
        <v>3660</v>
      </c>
      <c r="AX97" s="1728">
        <v>45685</v>
      </c>
      <c r="AY97" s="1096" t="str">
        <f t="shared" si="5"/>
        <v>ACTIVE</v>
      </c>
      <c r="AZ97" s="3583">
        <v>-400630.49</v>
      </c>
      <c r="BA97" s="1222" t="s">
        <v>79</v>
      </c>
      <c r="BB97" s="1228"/>
      <c r="BC97" s="1229"/>
      <c r="BD97" s="1249" t="s">
        <v>3433</v>
      </c>
      <c r="BF97" s="845">
        <f t="shared" ca="1" si="9"/>
        <v>0</v>
      </c>
      <c r="BG97" s="1377"/>
    </row>
    <row r="98" spans="1:61" s="686" customFormat="1" ht="38.25">
      <c r="A98" s="1141">
        <v>43</v>
      </c>
      <c r="B98" s="1884" t="s">
        <v>2717</v>
      </c>
      <c r="C98" s="1474" t="s">
        <v>165</v>
      </c>
      <c r="D98" s="1886" t="s">
        <v>5113</v>
      </c>
      <c r="E98" s="1476"/>
      <c r="F98" s="1477"/>
      <c r="G98" s="1478" t="s">
        <v>188</v>
      </c>
      <c r="H98" s="1479" t="s">
        <v>91</v>
      </c>
      <c r="I98" s="1885" t="s">
        <v>244</v>
      </c>
      <c r="J98" s="1480" t="str">
        <f>IFERROR(VLOOKUP(I98,dropdowns!$E$45:$I$56,2,FALSE)," ")</f>
        <v>1.TB.01.003</v>
      </c>
      <c r="K98" s="1886" t="s">
        <v>244</v>
      </c>
      <c r="L98" s="1481" t="str">
        <f>IFERROR(VLOOKUP(K98,dropdowns!$G$45:$H$56,2,FALSE)," ")</f>
        <v>1.TB.01.003.01</v>
      </c>
      <c r="M98" s="1251" t="s">
        <v>3930</v>
      </c>
      <c r="N98" s="1482" t="s">
        <v>2558</v>
      </c>
      <c r="O98" s="1231"/>
      <c r="P98" s="1224"/>
      <c r="Q98" s="3913"/>
      <c r="R98" s="1216">
        <v>34</v>
      </c>
      <c r="S98" s="1217"/>
      <c r="T98" s="1728">
        <v>45379</v>
      </c>
      <c r="U98" s="1222" t="s">
        <v>79</v>
      </c>
      <c r="V98" s="1219" t="s">
        <v>2737</v>
      </c>
      <c r="W98" s="1219" t="s">
        <v>94</v>
      </c>
      <c r="X98" s="1093" t="str">
        <f t="shared" si="8"/>
        <v>ACTIVE</v>
      </c>
      <c r="Y98" s="3349">
        <v>136931.74</v>
      </c>
      <c r="Z98" s="1221">
        <v>5</v>
      </c>
      <c r="AA98" s="1217"/>
      <c r="AB98" s="1728">
        <v>45442</v>
      </c>
      <c r="AC98" s="1222" t="s">
        <v>79</v>
      </c>
      <c r="AD98" s="1219" t="s">
        <v>2781</v>
      </c>
      <c r="AE98" s="1222"/>
      <c r="AF98" s="1093" t="str">
        <f t="shared" si="4"/>
        <v>ACTIVE</v>
      </c>
      <c r="AG98" s="1220">
        <v>131832.79999999999</v>
      </c>
      <c r="AH98" s="1234" t="s">
        <v>2317</v>
      </c>
      <c r="AI98" s="1728">
        <v>45449</v>
      </c>
      <c r="AJ98" s="1222" t="s">
        <v>79</v>
      </c>
      <c r="AK98" s="1219" t="s">
        <v>2787</v>
      </c>
      <c r="AL98" s="1223" t="s">
        <v>2317</v>
      </c>
      <c r="AM98" s="1735">
        <v>45451</v>
      </c>
      <c r="AN98" s="1239" t="s">
        <v>2788</v>
      </c>
      <c r="AO98" s="1226" t="s">
        <v>2515</v>
      </c>
      <c r="AP98" s="1493"/>
      <c r="AQ98" s="1227"/>
      <c r="AR98" s="1728"/>
      <c r="AS98" s="1220"/>
      <c r="AT98" s="1217"/>
      <c r="AU98" s="1218"/>
      <c r="AV98" s="1220"/>
      <c r="AW98" s="1227" t="s">
        <v>3016</v>
      </c>
      <c r="AX98" s="1728">
        <v>45538</v>
      </c>
      <c r="AY98" s="1093" t="str">
        <f t="shared" si="5"/>
        <v>ACTIVE</v>
      </c>
      <c r="AZ98" s="3521">
        <v>79197.8</v>
      </c>
      <c r="BA98" s="1222" t="s">
        <v>79</v>
      </c>
      <c r="BB98" s="1228"/>
      <c r="BC98" s="1229"/>
      <c r="BD98" s="1230"/>
      <c r="BF98" s="845">
        <f t="shared" ca="1" si="9"/>
        <v>0</v>
      </c>
      <c r="BG98" s="1377">
        <f>+AX98-AM98</f>
        <v>87</v>
      </c>
      <c r="BH98" s="3592">
        <f>+AZ98-AG98</f>
        <v>-52634.999999999985</v>
      </c>
      <c r="BI98" s="3523">
        <f>+AG98-AZ98</f>
        <v>52634.999999999985</v>
      </c>
    </row>
    <row r="99" spans="1:61" s="686" customFormat="1" ht="38.25">
      <c r="A99" s="1524">
        <v>44</v>
      </c>
      <c r="B99" s="1961" t="s">
        <v>2735</v>
      </c>
      <c r="C99" s="1962" t="s">
        <v>165</v>
      </c>
      <c r="D99" s="2107" t="s">
        <v>92</v>
      </c>
      <c r="E99" s="1964"/>
      <c r="F99" s="1965"/>
      <c r="G99" s="1966" t="s">
        <v>175</v>
      </c>
      <c r="H99" s="1987" t="s">
        <v>104</v>
      </c>
      <c r="I99" s="1968" t="s">
        <v>244</v>
      </c>
      <c r="J99" s="1922" t="str">
        <f>IFERROR(VLOOKUP(I99,dropdowns!$E$45:$I$56,2,FALSE)," ")</f>
        <v>1.TB.01.003</v>
      </c>
      <c r="K99" s="1969" t="s">
        <v>244</v>
      </c>
      <c r="L99" s="1923" t="str">
        <f>IFERROR(VLOOKUP(K99,dropdowns!$G$45:$H$56,2,FALSE)," ")</f>
        <v>1.TB.01.003.01</v>
      </c>
      <c r="M99" s="1456" t="s">
        <v>3930</v>
      </c>
      <c r="N99" s="1970" t="s">
        <v>2558</v>
      </c>
      <c r="O99" s="1253"/>
      <c r="P99" s="1982"/>
      <c r="Q99" s="3915"/>
      <c r="R99" s="1971">
        <v>35</v>
      </c>
      <c r="S99" s="1991"/>
      <c r="T99" s="1973">
        <v>45411</v>
      </c>
      <c r="U99" s="1531" t="s">
        <v>125</v>
      </c>
      <c r="V99" s="1974" t="s">
        <v>2752</v>
      </c>
      <c r="W99" s="1974" t="s">
        <v>94</v>
      </c>
      <c r="X99" s="1100" t="str">
        <f t="shared" si="8"/>
        <v>NOT ACTIVE</v>
      </c>
      <c r="Y99" s="3356">
        <v>278057</v>
      </c>
      <c r="Z99" s="1992"/>
      <c r="AA99" s="1991"/>
      <c r="AB99" s="1973"/>
      <c r="AC99" s="1531"/>
      <c r="AD99" s="1531"/>
      <c r="AE99" s="1531"/>
      <c r="AF99" s="1100" t="str">
        <f t="shared" si="4"/>
        <v>NOT ACTIVE</v>
      </c>
      <c r="AG99" s="1530"/>
      <c r="AH99" s="3325"/>
      <c r="AI99" s="1973"/>
      <c r="AJ99" s="1531"/>
      <c r="AK99" s="1531"/>
      <c r="AL99" s="1993"/>
      <c r="AM99" s="1977"/>
      <c r="AN99" s="3326"/>
      <c r="AO99" s="1979"/>
      <c r="AP99" s="1994"/>
      <c r="AQ99" s="1995"/>
      <c r="AR99" s="1973"/>
      <c r="AS99" s="1530"/>
      <c r="AT99" s="1991"/>
      <c r="AU99" s="1252"/>
      <c r="AV99" s="1530"/>
      <c r="AW99" s="1991"/>
      <c r="AX99" s="1973"/>
      <c r="AY99" s="1100" t="str">
        <f t="shared" si="5"/>
        <v>NOT ACTIVE</v>
      </c>
      <c r="AZ99" s="3327"/>
      <c r="BA99" s="1531"/>
      <c r="BB99" s="1532"/>
      <c r="BC99" s="1533"/>
      <c r="BD99" s="1230" t="s">
        <v>2853</v>
      </c>
      <c r="BF99" s="845">
        <f t="shared" ca="1" si="9"/>
        <v>0</v>
      </c>
      <c r="BG99" s="1377"/>
    </row>
    <row r="100" spans="1:61" s="686" customFormat="1" ht="56.25" customHeight="1">
      <c r="A100" s="1141">
        <v>45</v>
      </c>
      <c r="B100" s="1884" t="s">
        <v>2734</v>
      </c>
      <c r="C100" s="1474" t="s">
        <v>165</v>
      </c>
      <c r="D100" s="1886" t="s">
        <v>5122</v>
      </c>
      <c r="E100" s="1476"/>
      <c r="F100" s="1477"/>
      <c r="G100" s="1478" t="s">
        <v>175</v>
      </c>
      <c r="H100" s="1479" t="s">
        <v>91</v>
      </c>
      <c r="I100" s="1885" t="s">
        <v>244</v>
      </c>
      <c r="J100" s="1480" t="str">
        <f>IFERROR(VLOOKUP(I100,dropdowns!$E$45:$I$56,2,FALSE)," ")</f>
        <v>1.TB.01.003</v>
      </c>
      <c r="K100" s="1886" t="s">
        <v>244</v>
      </c>
      <c r="L100" s="1481" t="str">
        <f>IFERROR(VLOOKUP(K100,dropdowns!$G$45:$H$56,2,FALSE)," ")</f>
        <v>1.TB.01.003.01</v>
      </c>
      <c r="M100" s="1251" t="s">
        <v>2269</v>
      </c>
      <c r="N100" s="1482" t="s">
        <v>152</v>
      </c>
      <c r="O100" s="1231"/>
      <c r="P100" s="1224"/>
      <c r="Q100" s="3913"/>
      <c r="R100" s="1216">
        <v>36</v>
      </c>
      <c r="S100" s="1217"/>
      <c r="T100" s="1728">
        <v>45420</v>
      </c>
      <c r="U100" s="1222" t="s">
        <v>79</v>
      </c>
      <c r="V100" s="1219" t="s">
        <v>2800</v>
      </c>
      <c r="W100" s="1219" t="s">
        <v>94</v>
      </c>
      <c r="X100" s="1093" t="str">
        <f>IF(U100="APPROVED","ACTIVE",IF(U100="PENDING","ACTIVE","NOT ACTIVE"))</f>
        <v>ACTIVE</v>
      </c>
      <c r="Y100" s="3349">
        <v>140560.76</v>
      </c>
      <c r="Z100" s="1221" t="s">
        <v>2862</v>
      </c>
      <c r="AA100" s="1217"/>
      <c r="AB100" s="1728">
        <v>45521</v>
      </c>
      <c r="AC100" s="1219" t="s">
        <v>79</v>
      </c>
      <c r="AD100" s="1219" t="s">
        <v>2993</v>
      </c>
      <c r="AE100" s="1222" t="s">
        <v>94</v>
      </c>
      <c r="AF100" s="1093" t="str">
        <f t="shared" si="4"/>
        <v>ACTIVE</v>
      </c>
      <c r="AG100" s="1220">
        <v>140560.76</v>
      </c>
      <c r="AH100" s="1234" t="s">
        <v>744</v>
      </c>
      <c r="AI100" s="1728">
        <v>45532</v>
      </c>
      <c r="AJ100" s="1222" t="s">
        <v>79</v>
      </c>
      <c r="AK100" s="1219" t="s">
        <v>3010</v>
      </c>
      <c r="AL100" s="1223" t="s">
        <v>3009</v>
      </c>
      <c r="AM100" s="1735">
        <v>45532</v>
      </c>
      <c r="AN100" s="1239" t="s">
        <v>3008</v>
      </c>
      <c r="AO100" s="3570" t="s">
        <v>3036</v>
      </c>
      <c r="AP100" s="3571"/>
      <c r="AQ100" s="3572" t="s">
        <v>3066</v>
      </c>
      <c r="AR100" s="3561">
        <v>45568</v>
      </c>
      <c r="AS100" s="3573">
        <v>140560.76</v>
      </c>
      <c r="AT100" s="1217"/>
      <c r="AU100" s="1218"/>
      <c r="AV100" s="1220"/>
      <c r="AW100" s="1227" t="s">
        <v>3144</v>
      </c>
      <c r="AX100" s="1728">
        <v>45579</v>
      </c>
      <c r="AY100" s="1094" t="str">
        <f t="shared" si="5"/>
        <v>ACTIVE</v>
      </c>
      <c r="AZ100" s="3521">
        <v>140560.76</v>
      </c>
      <c r="BA100" s="1222" t="s">
        <v>79</v>
      </c>
      <c r="BB100" s="1228"/>
      <c r="BC100" s="1229"/>
      <c r="BD100" s="1249"/>
      <c r="BF100" s="3525">
        <f t="shared" ca="1" si="9"/>
        <v>0</v>
      </c>
      <c r="BG100" s="1377"/>
      <c r="BH100" s="3592">
        <f>+AZ100-AG100</f>
        <v>0</v>
      </c>
    </row>
    <row r="101" spans="1:61" s="686" customFormat="1" ht="38.25">
      <c r="A101" s="1141">
        <v>46</v>
      </c>
      <c r="B101" s="1884" t="s">
        <v>2753</v>
      </c>
      <c r="C101" s="1474" t="s">
        <v>165</v>
      </c>
      <c r="D101" s="1886" t="s">
        <v>5126</v>
      </c>
      <c r="E101" s="1476"/>
      <c r="F101" s="1477"/>
      <c r="G101" s="1478" t="s">
        <v>2690</v>
      </c>
      <c r="H101" s="1479" t="s">
        <v>91</v>
      </c>
      <c r="I101" s="1885" t="s">
        <v>244</v>
      </c>
      <c r="J101" s="1480" t="str">
        <f>IFERROR(VLOOKUP(I101,dropdowns!$E$45:$I$56,2,FALSE)," ")</f>
        <v>1.TB.01.003</v>
      </c>
      <c r="K101" s="1886" t="s">
        <v>244</v>
      </c>
      <c r="L101" s="1481" t="str">
        <f>IFERROR(VLOOKUP(K101,dropdowns!$G$45:$H$56,2,FALSE)," ")</f>
        <v>1.TB.01.003.01</v>
      </c>
      <c r="M101" s="1251" t="s">
        <v>3930</v>
      </c>
      <c r="N101" s="1482" t="s">
        <v>2558</v>
      </c>
      <c r="O101" s="1231"/>
      <c r="P101" s="1224"/>
      <c r="Q101" s="3913"/>
      <c r="R101" s="1216">
        <v>37</v>
      </c>
      <c r="S101" s="1217"/>
      <c r="T101" s="1728">
        <v>45474</v>
      </c>
      <c r="U101" s="1222" t="s">
        <v>79</v>
      </c>
      <c r="V101" s="1219" t="s">
        <v>2837</v>
      </c>
      <c r="W101" s="1219" t="s">
        <v>94</v>
      </c>
      <c r="X101" s="1093" t="str">
        <f t="shared" si="8"/>
        <v>ACTIVE</v>
      </c>
      <c r="Y101" s="3349">
        <v>1341633</v>
      </c>
      <c r="Z101" s="1221">
        <v>7</v>
      </c>
      <c r="AA101" s="1217" t="s">
        <v>663</v>
      </c>
      <c r="AB101" s="1728">
        <v>45525</v>
      </c>
      <c r="AC101" s="1222" t="s">
        <v>79</v>
      </c>
      <c r="AD101" s="1219" t="s">
        <v>2989</v>
      </c>
      <c r="AE101" s="1222" t="s">
        <v>94</v>
      </c>
      <c r="AF101" s="1093" t="str">
        <f t="shared" si="4"/>
        <v>ACTIVE</v>
      </c>
      <c r="AG101" s="1220">
        <v>288500</v>
      </c>
      <c r="AH101" s="1234" t="s">
        <v>2628</v>
      </c>
      <c r="AI101" s="1728">
        <v>45539</v>
      </c>
      <c r="AJ101" s="1222" t="s">
        <v>79</v>
      </c>
      <c r="AK101" s="1219" t="s">
        <v>3023</v>
      </c>
      <c r="AL101" s="1223" t="s">
        <v>2628</v>
      </c>
      <c r="AM101" s="1728">
        <v>45540</v>
      </c>
      <c r="AN101" s="1239" t="s">
        <v>3024</v>
      </c>
      <c r="AO101" s="3570" t="s">
        <v>3074</v>
      </c>
      <c r="AP101" s="3571"/>
      <c r="AQ101" s="3572" t="s">
        <v>3075</v>
      </c>
      <c r="AR101" s="3561">
        <v>45567</v>
      </c>
      <c r="AS101" s="3573">
        <v>454577.38</v>
      </c>
      <c r="AT101" s="1217"/>
      <c r="AU101" s="1218"/>
      <c r="AV101" s="1220"/>
      <c r="AW101" s="1227" t="s">
        <v>3668</v>
      </c>
      <c r="AX101" s="1728">
        <v>45708</v>
      </c>
      <c r="AY101" s="1094" t="str">
        <f t="shared" si="5"/>
        <v>ACTIVE</v>
      </c>
      <c r="AZ101" s="3521">
        <v>182428.13</v>
      </c>
      <c r="BA101" s="1222" t="s">
        <v>79</v>
      </c>
      <c r="BB101" s="1228"/>
      <c r="BC101" s="1229"/>
      <c r="BD101" s="1230" t="s">
        <v>3669</v>
      </c>
      <c r="BF101" s="3525">
        <f t="shared" ca="1" si="9"/>
        <v>0</v>
      </c>
      <c r="BG101" s="1377"/>
    </row>
    <row r="102" spans="1:61" s="686" customFormat="1" ht="51">
      <c r="A102" s="1524">
        <v>47</v>
      </c>
      <c r="B102" s="1984" t="s">
        <v>2835</v>
      </c>
      <c r="C102" s="1962" t="s">
        <v>165</v>
      </c>
      <c r="D102" s="2107" t="s">
        <v>92</v>
      </c>
      <c r="E102" s="1964"/>
      <c r="F102" s="1965"/>
      <c r="G102" s="1966" t="s">
        <v>171</v>
      </c>
      <c r="H102" s="1987" t="s">
        <v>104</v>
      </c>
      <c r="I102" s="1147" t="s">
        <v>244</v>
      </c>
      <c r="J102" s="1922" t="str">
        <f>IFERROR(VLOOKUP(I102,dropdowns!$E$45:$I$56,2,FALSE)," ")</f>
        <v>1.TB.01.003</v>
      </c>
      <c r="K102" s="1148" t="s">
        <v>244</v>
      </c>
      <c r="L102" s="1923" t="str">
        <f>IFERROR(VLOOKUP(K102,dropdowns!$G$45:$H$56,2,FALSE)," ")</f>
        <v>1.TB.01.003.01</v>
      </c>
      <c r="M102" s="1456" t="s">
        <v>2269</v>
      </c>
      <c r="N102" s="1970" t="s">
        <v>152</v>
      </c>
      <c r="O102" s="1253">
        <v>19</v>
      </c>
      <c r="P102" s="1252">
        <v>45414</v>
      </c>
      <c r="Q102" s="3919">
        <f>(-119000000-5069702.28300004*0)*0</f>
        <v>0</v>
      </c>
      <c r="R102" s="1971"/>
      <c r="S102" s="1991"/>
      <c r="T102" s="1973"/>
      <c r="U102" s="1531"/>
      <c r="V102" s="1531"/>
      <c r="W102" s="1974"/>
      <c r="X102" s="1100" t="str">
        <f t="shared" si="8"/>
        <v>NOT ACTIVE</v>
      </c>
      <c r="Y102" s="3356"/>
      <c r="Z102" s="1992"/>
      <c r="AA102" s="1991"/>
      <c r="AB102" s="1973"/>
      <c r="AC102" s="1531"/>
      <c r="AD102" s="1531"/>
      <c r="AE102" s="1531"/>
      <c r="AF102" s="1100" t="str">
        <f t="shared" si="4"/>
        <v>NOT ACTIVE</v>
      </c>
      <c r="AG102" s="1530"/>
      <c r="AH102" s="3325"/>
      <c r="AI102" s="1973"/>
      <c r="AJ102" s="1531"/>
      <c r="AK102" s="1531"/>
      <c r="AL102" s="1993"/>
      <c r="AM102" s="1977"/>
      <c r="AN102" s="3326"/>
      <c r="AO102" s="1979"/>
      <c r="AP102" s="1994"/>
      <c r="AQ102" s="1995"/>
      <c r="AR102" s="1973"/>
      <c r="AS102" s="1530"/>
      <c r="AT102" s="1991"/>
      <c r="AU102" s="1252"/>
      <c r="AV102" s="1530"/>
      <c r="AW102" s="1991"/>
      <c r="AX102" s="1973"/>
      <c r="AY102" s="1100" t="str">
        <f t="shared" si="5"/>
        <v>NOT ACTIVE</v>
      </c>
      <c r="AZ102" s="3327"/>
      <c r="BA102" s="1531"/>
      <c r="BB102" s="1532"/>
      <c r="BC102" s="1533"/>
      <c r="BD102" s="1999"/>
      <c r="BF102" s="845">
        <f t="shared" ca="1" si="9"/>
        <v>0</v>
      </c>
      <c r="BG102" s="1377"/>
    </row>
    <row r="103" spans="1:61" s="686" customFormat="1" ht="63.75">
      <c r="A103" s="1524">
        <v>48</v>
      </c>
      <c r="B103" s="1984" t="s">
        <v>2757</v>
      </c>
      <c r="C103" s="1962" t="s">
        <v>165</v>
      </c>
      <c r="D103" s="2107" t="s">
        <v>92</v>
      </c>
      <c r="E103" s="1964"/>
      <c r="F103" s="1965"/>
      <c r="G103" s="1966" t="s">
        <v>171</v>
      </c>
      <c r="H103" s="1987" t="s">
        <v>104</v>
      </c>
      <c r="I103" s="1147" t="s">
        <v>244</v>
      </c>
      <c r="J103" s="1922" t="str">
        <f>IFERROR(VLOOKUP(I103,dropdowns!$E$45:$I$56,2,FALSE)," ")</f>
        <v>1.TB.01.003</v>
      </c>
      <c r="K103" s="1148" t="s">
        <v>244</v>
      </c>
      <c r="L103" s="1923" t="str">
        <f>IFERROR(VLOOKUP(K103,dropdowns!$G$45:$H$56,2,FALSE)," ")</f>
        <v>1.TB.01.003.01</v>
      </c>
      <c r="M103" s="1456" t="s">
        <v>2756</v>
      </c>
      <c r="N103" s="1970" t="s">
        <v>2758</v>
      </c>
      <c r="O103" s="1253">
        <v>20</v>
      </c>
      <c r="P103" s="1252">
        <v>45414</v>
      </c>
      <c r="Q103" s="3915">
        <f>183172373.38*0</f>
        <v>0</v>
      </c>
      <c r="R103" s="1971"/>
      <c r="S103" s="1991"/>
      <c r="T103" s="1973"/>
      <c r="U103" s="1531"/>
      <c r="V103" s="1531"/>
      <c r="W103" s="1974"/>
      <c r="X103" s="1100" t="str">
        <f t="shared" si="8"/>
        <v>NOT ACTIVE</v>
      </c>
      <c r="Y103" s="3356"/>
      <c r="Z103" s="1992"/>
      <c r="AA103" s="1991"/>
      <c r="AB103" s="1973"/>
      <c r="AC103" s="1531"/>
      <c r="AD103" s="1531"/>
      <c r="AE103" s="1531"/>
      <c r="AF103" s="1100" t="str">
        <f t="shared" si="4"/>
        <v>NOT ACTIVE</v>
      </c>
      <c r="AG103" s="1530"/>
      <c r="AH103" s="3325"/>
      <c r="AI103" s="1973"/>
      <c r="AJ103" s="1531"/>
      <c r="AK103" s="1531"/>
      <c r="AL103" s="1993"/>
      <c r="AM103" s="1977"/>
      <c r="AN103" s="3326"/>
      <c r="AO103" s="1979"/>
      <c r="AP103" s="1994"/>
      <c r="AQ103" s="1995"/>
      <c r="AR103" s="1973"/>
      <c r="AS103" s="1530"/>
      <c r="AT103" s="1991"/>
      <c r="AU103" s="1252"/>
      <c r="AV103" s="1530"/>
      <c r="AW103" s="1991"/>
      <c r="AX103" s="1973"/>
      <c r="AY103" s="1100" t="str">
        <f t="shared" si="5"/>
        <v>NOT ACTIVE</v>
      </c>
      <c r="AZ103" s="3327"/>
      <c r="BA103" s="1531"/>
      <c r="BB103" s="1532"/>
      <c r="BC103" s="1533"/>
      <c r="BD103" s="1999"/>
      <c r="BF103" s="845">
        <f t="shared" ca="1" si="9"/>
        <v>0</v>
      </c>
      <c r="BG103" s="1377"/>
    </row>
    <row r="104" spans="1:61" s="686" customFormat="1" ht="45" customHeight="1">
      <c r="A104" s="1141">
        <v>49</v>
      </c>
      <c r="B104" s="1884" t="s">
        <v>2765</v>
      </c>
      <c r="C104" s="1474" t="s">
        <v>165</v>
      </c>
      <c r="D104" s="1886" t="s">
        <v>5113</v>
      </c>
      <c r="E104" s="1476"/>
      <c r="F104" s="1477"/>
      <c r="G104" s="1478" t="s">
        <v>188</v>
      </c>
      <c r="H104" s="1479" t="s">
        <v>91</v>
      </c>
      <c r="I104" s="1885" t="s">
        <v>244</v>
      </c>
      <c r="J104" s="1480" t="str">
        <f>IFERROR(VLOOKUP(I104,dropdowns!$E$45:$I$56,2,FALSE)," ")</f>
        <v>1.TB.01.003</v>
      </c>
      <c r="K104" s="1886" t="s">
        <v>244</v>
      </c>
      <c r="L104" s="1481" t="str">
        <f>IFERROR(VLOOKUP(K104,dropdowns!$G$45:$H$56,2,FALSE)," ")</f>
        <v>1.TB.01.003.01</v>
      </c>
      <c r="M104" s="1251" t="s">
        <v>3930</v>
      </c>
      <c r="N104" s="1482" t="s">
        <v>2558</v>
      </c>
      <c r="O104" s="1231"/>
      <c r="P104" s="1224"/>
      <c r="Q104" s="3913"/>
      <c r="R104" s="1216">
        <v>38</v>
      </c>
      <c r="S104" s="1217"/>
      <c r="T104" s="1728">
        <v>45453</v>
      </c>
      <c r="U104" s="1222" t="s">
        <v>79</v>
      </c>
      <c r="V104" s="1219" t="s">
        <v>2803</v>
      </c>
      <c r="W104" s="1219" t="s">
        <v>94</v>
      </c>
      <c r="X104" s="1093" t="str">
        <f t="shared" si="8"/>
        <v>ACTIVE</v>
      </c>
      <c r="Y104" s="3349">
        <v>1021958</v>
      </c>
      <c r="Z104" s="1221">
        <v>6</v>
      </c>
      <c r="AA104" s="1217" t="s">
        <v>663</v>
      </c>
      <c r="AB104" s="1728">
        <v>45491</v>
      </c>
      <c r="AC104" s="1222" t="s">
        <v>79</v>
      </c>
      <c r="AD104" s="1219" t="s">
        <v>2855</v>
      </c>
      <c r="AE104" s="1222" t="s">
        <v>80</v>
      </c>
      <c r="AF104" s="1094" t="str">
        <f t="shared" si="4"/>
        <v>ACTIVE</v>
      </c>
      <c r="AG104" s="1220">
        <v>1021958</v>
      </c>
      <c r="AH104" s="1234" t="s">
        <v>2348</v>
      </c>
      <c r="AI104" s="1728">
        <v>45509</v>
      </c>
      <c r="AJ104" s="1222" t="s">
        <v>79</v>
      </c>
      <c r="AK104" s="1219" t="s">
        <v>2949</v>
      </c>
      <c r="AL104" s="1223" t="s">
        <v>2348</v>
      </c>
      <c r="AM104" s="1728">
        <v>45510</v>
      </c>
      <c r="AN104" s="1239" t="s">
        <v>2950</v>
      </c>
      <c r="AO104" s="1226" t="s">
        <v>2571</v>
      </c>
      <c r="AP104" s="1493"/>
      <c r="AQ104" s="1227"/>
      <c r="AR104" s="1728"/>
      <c r="AS104" s="1220"/>
      <c r="AT104" s="1217"/>
      <c r="AU104" s="1218"/>
      <c r="AV104" s="1220"/>
      <c r="AW104" s="1227" t="s">
        <v>3185</v>
      </c>
      <c r="AX104" s="1728">
        <v>45591</v>
      </c>
      <c r="AY104" s="1093" t="str">
        <f t="shared" si="5"/>
        <v>ACTIVE</v>
      </c>
      <c r="AZ104" s="3521">
        <v>823315.11</v>
      </c>
      <c r="BA104" s="1222" t="s">
        <v>79</v>
      </c>
      <c r="BB104" s="1228"/>
      <c r="BC104" s="1229"/>
      <c r="BD104" s="1230"/>
      <c r="BF104" s="3525">
        <f t="shared" ca="1" si="9"/>
        <v>0</v>
      </c>
      <c r="BG104" s="1377"/>
    </row>
    <row r="105" spans="1:61" s="686" customFormat="1" ht="38.25">
      <c r="A105" s="1524">
        <v>50</v>
      </c>
      <c r="B105" s="1961" t="s">
        <v>2766</v>
      </c>
      <c r="C105" s="1962" t="s">
        <v>165</v>
      </c>
      <c r="D105" s="2107" t="s">
        <v>92</v>
      </c>
      <c r="E105" s="1964"/>
      <c r="F105" s="1965"/>
      <c r="G105" s="1966" t="s">
        <v>171</v>
      </c>
      <c r="H105" s="1987" t="s">
        <v>104</v>
      </c>
      <c r="I105" s="1968" t="s">
        <v>244</v>
      </c>
      <c r="J105" s="1922" t="str">
        <f>IFERROR(VLOOKUP(I105,dropdowns!$E$45:$I$56,2,FALSE)," ")</f>
        <v>1.TB.01.003</v>
      </c>
      <c r="K105" s="1969" t="s">
        <v>244</v>
      </c>
      <c r="L105" s="1923" t="str">
        <f>IFERROR(VLOOKUP(K105,dropdowns!$G$45:$H$56,2,FALSE)," ")</f>
        <v>1.TB.01.003.01</v>
      </c>
      <c r="M105" s="1456" t="s">
        <v>3930</v>
      </c>
      <c r="N105" s="1970" t="s">
        <v>2558</v>
      </c>
      <c r="O105" s="1253"/>
      <c r="P105" s="1982"/>
      <c r="Q105" s="3915"/>
      <c r="R105" s="1971"/>
      <c r="S105" s="1991"/>
      <c r="T105" s="1973"/>
      <c r="U105" s="1531"/>
      <c r="V105" s="1531"/>
      <c r="W105" s="1974"/>
      <c r="X105" s="1100" t="str">
        <f t="shared" si="8"/>
        <v>NOT ACTIVE</v>
      </c>
      <c r="Y105" s="3356"/>
      <c r="Z105" s="1992"/>
      <c r="AA105" s="1991"/>
      <c r="AB105" s="1973"/>
      <c r="AC105" s="1531"/>
      <c r="AD105" s="1531"/>
      <c r="AE105" s="1531"/>
      <c r="AF105" s="1100" t="str">
        <f t="shared" si="4"/>
        <v>NOT ACTIVE</v>
      </c>
      <c r="AG105" s="1530"/>
      <c r="AH105" s="3325"/>
      <c r="AI105" s="1973"/>
      <c r="AJ105" s="1531"/>
      <c r="AK105" s="1531"/>
      <c r="AL105" s="1993"/>
      <c r="AM105" s="1977"/>
      <c r="AN105" s="3326"/>
      <c r="AO105" s="1979"/>
      <c r="AP105" s="1994"/>
      <c r="AQ105" s="1995"/>
      <c r="AR105" s="1973"/>
      <c r="AS105" s="1530"/>
      <c r="AT105" s="1991"/>
      <c r="AU105" s="1252"/>
      <c r="AV105" s="1530"/>
      <c r="AW105" s="1991"/>
      <c r="AX105" s="1973"/>
      <c r="AY105" s="1100" t="str">
        <f t="shared" si="5"/>
        <v>NOT ACTIVE</v>
      </c>
      <c r="AZ105" s="3327"/>
      <c r="BA105" s="1531"/>
      <c r="BB105" s="1532"/>
      <c r="BC105" s="1533"/>
      <c r="BD105" s="1230" t="s">
        <v>552</v>
      </c>
      <c r="BF105" s="845">
        <f t="shared" ca="1" si="9"/>
        <v>0</v>
      </c>
      <c r="BG105" s="1377"/>
    </row>
    <row r="106" spans="1:61" s="686" customFormat="1" ht="51">
      <c r="A106" s="1524">
        <v>51</v>
      </c>
      <c r="B106" s="1961" t="s">
        <v>2766</v>
      </c>
      <c r="C106" s="1962" t="s">
        <v>165</v>
      </c>
      <c r="D106" s="2107" t="s">
        <v>92</v>
      </c>
      <c r="E106" s="1964"/>
      <c r="F106" s="1965"/>
      <c r="G106" s="1966" t="s">
        <v>171</v>
      </c>
      <c r="H106" s="1987" t="s">
        <v>104</v>
      </c>
      <c r="I106" s="1968" t="s">
        <v>244</v>
      </c>
      <c r="J106" s="1922" t="str">
        <f>IFERROR(VLOOKUP(I106,dropdowns!$E$45:$I$56,2,FALSE)," ")</f>
        <v>1.TB.01.003</v>
      </c>
      <c r="K106" s="1969" t="s">
        <v>244</v>
      </c>
      <c r="L106" s="1923" t="str">
        <f>IFERROR(VLOOKUP(K106,dropdowns!$G$45:$H$56,2,FALSE)," ")</f>
        <v>1.TB.01.003.01</v>
      </c>
      <c r="M106" s="1456" t="s">
        <v>2269</v>
      </c>
      <c r="N106" s="1970" t="s">
        <v>152</v>
      </c>
      <c r="O106" s="1253"/>
      <c r="P106" s="1982"/>
      <c r="Q106" s="3915"/>
      <c r="R106" s="1971"/>
      <c r="S106" s="1991"/>
      <c r="T106" s="1973"/>
      <c r="U106" s="1531"/>
      <c r="V106" s="1531"/>
      <c r="W106" s="1974"/>
      <c r="X106" s="1100" t="str">
        <f t="shared" si="8"/>
        <v>NOT ACTIVE</v>
      </c>
      <c r="Y106" s="3356"/>
      <c r="Z106" s="1992"/>
      <c r="AA106" s="1991"/>
      <c r="AB106" s="1973"/>
      <c r="AC106" s="1531"/>
      <c r="AD106" s="1531"/>
      <c r="AE106" s="1531"/>
      <c r="AF106" s="1100" t="str">
        <f t="shared" si="4"/>
        <v>NOT ACTIVE</v>
      </c>
      <c r="AG106" s="1530"/>
      <c r="AH106" s="3325" t="s">
        <v>2767</v>
      </c>
      <c r="AI106" s="1973">
        <v>45434</v>
      </c>
      <c r="AJ106" s="1531"/>
      <c r="AK106" s="1531"/>
      <c r="AL106" s="1993"/>
      <c r="AM106" s="1977"/>
      <c r="AN106" s="3326"/>
      <c r="AO106" s="1979"/>
      <c r="AP106" s="1994"/>
      <c r="AQ106" s="1995"/>
      <c r="AR106" s="1973"/>
      <c r="AS106" s="1530"/>
      <c r="AT106" s="1991"/>
      <c r="AU106" s="1252"/>
      <c r="AV106" s="1530"/>
      <c r="AW106" s="1991"/>
      <c r="AX106" s="1973"/>
      <c r="AY106" s="1100" t="str">
        <f t="shared" si="5"/>
        <v>NOT ACTIVE</v>
      </c>
      <c r="AZ106" s="3327"/>
      <c r="BA106" s="1531"/>
      <c r="BB106" s="1532"/>
      <c r="BC106" s="1533"/>
      <c r="BD106" s="1230" t="s">
        <v>552</v>
      </c>
      <c r="BF106" s="845">
        <f t="shared" ca="1" si="9"/>
        <v>0</v>
      </c>
      <c r="BG106" s="1377"/>
    </row>
    <row r="107" spans="1:61" s="686" customFormat="1" ht="51">
      <c r="A107" s="1524">
        <v>52</v>
      </c>
      <c r="B107" s="1961" t="s">
        <v>2768</v>
      </c>
      <c r="C107" s="1962" t="s">
        <v>165</v>
      </c>
      <c r="D107" s="2107" t="s">
        <v>92</v>
      </c>
      <c r="E107" s="1964"/>
      <c r="F107" s="1965"/>
      <c r="G107" s="1966" t="s">
        <v>2690</v>
      </c>
      <c r="H107" s="1987" t="s">
        <v>104</v>
      </c>
      <c r="I107" s="1968" t="s">
        <v>244</v>
      </c>
      <c r="J107" s="1922" t="str">
        <f>IFERROR(VLOOKUP(I107,dropdowns!$E$45:$I$56,2,FALSE)," ")</f>
        <v>1.TB.01.003</v>
      </c>
      <c r="K107" s="1969" t="s">
        <v>244</v>
      </c>
      <c r="L107" s="1923" t="str">
        <f>IFERROR(VLOOKUP(K107,dropdowns!$G$45:$H$56,2,FALSE)," ")</f>
        <v>1.TB.01.003.01</v>
      </c>
      <c r="M107" s="1456" t="s">
        <v>2269</v>
      </c>
      <c r="N107" s="1970" t="s">
        <v>152</v>
      </c>
      <c r="O107" s="1253"/>
      <c r="P107" s="1982"/>
      <c r="Q107" s="3915"/>
      <c r="R107" s="1971">
        <v>39</v>
      </c>
      <c r="S107" s="1991"/>
      <c r="T107" s="1973">
        <v>45453</v>
      </c>
      <c r="U107" s="1531" t="s">
        <v>125</v>
      </c>
      <c r="V107" s="1974" t="s">
        <v>2804</v>
      </c>
      <c r="W107" s="1974" t="s">
        <v>80</v>
      </c>
      <c r="X107" s="1100" t="str">
        <f t="shared" si="8"/>
        <v>NOT ACTIVE</v>
      </c>
      <c r="Y107" s="3356">
        <v>308222</v>
      </c>
      <c r="Z107" s="1992" t="s">
        <v>5052</v>
      </c>
      <c r="AA107" s="1991"/>
      <c r="AB107" s="1973">
        <v>45588</v>
      </c>
      <c r="AC107" s="1974" t="s">
        <v>125</v>
      </c>
      <c r="AD107" s="1974" t="s">
        <v>3174</v>
      </c>
      <c r="AE107" s="1531"/>
      <c r="AF107" s="1100" t="str">
        <f>IF(AC107="APPROVED","ACTIVE","NOT ACTIVE")</f>
        <v>NOT ACTIVE</v>
      </c>
      <c r="AG107" s="1530">
        <v>1017433</v>
      </c>
      <c r="AH107" s="3325" t="s">
        <v>3195</v>
      </c>
      <c r="AI107" s="1973">
        <v>45599</v>
      </c>
      <c r="AJ107" s="1531" t="s">
        <v>125</v>
      </c>
      <c r="AK107" s="1974" t="s">
        <v>3190</v>
      </c>
      <c r="AL107" s="1993" t="s">
        <v>3080</v>
      </c>
      <c r="AM107" s="1977">
        <v>45600</v>
      </c>
      <c r="AN107" s="1978" t="s">
        <v>3191</v>
      </c>
      <c r="AO107" s="1979"/>
      <c r="AP107" s="1994"/>
      <c r="AQ107" s="1995"/>
      <c r="AR107" s="1973"/>
      <c r="AS107" s="1530"/>
      <c r="AT107" s="1991"/>
      <c r="AU107" s="1252"/>
      <c r="AV107" s="1530"/>
      <c r="AW107" s="1991"/>
      <c r="AX107" s="1973"/>
      <c r="AY107" s="1100" t="str">
        <f>IF(BA107="APPROVED","ACTIVE","NOT ACTIVE")</f>
        <v>NOT ACTIVE</v>
      </c>
      <c r="AZ107" s="3327"/>
      <c r="BA107" s="1531" t="s">
        <v>125</v>
      </c>
      <c r="BB107" s="1532"/>
      <c r="BC107" s="1533"/>
      <c r="BD107" s="1999"/>
      <c r="BF107" s="845">
        <f t="shared" ca="1" si="9"/>
        <v>0</v>
      </c>
      <c r="BG107" s="1377"/>
    </row>
    <row r="108" spans="1:61" s="686" customFormat="1" ht="38.25" customHeight="1">
      <c r="A108" s="1141">
        <v>53</v>
      </c>
      <c r="B108" s="1884" t="s">
        <v>2771</v>
      </c>
      <c r="C108" s="1474" t="s">
        <v>161</v>
      </c>
      <c r="D108" s="1475" t="s">
        <v>92</v>
      </c>
      <c r="E108" s="1476"/>
      <c r="F108" s="1477"/>
      <c r="G108" s="1478"/>
      <c r="H108" s="1479" t="s">
        <v>104</v>
      </c>
      <c r="I108" s="1885" t="s">
        <v>244</v>
      </c>
      <c r="J108" s="1480" t="str">
        <f>IFERROR(VLOOKUP(I108,dropdowns!$E$45:$I$56,2,FALSE)," ")</f>
        <v>1.TB.01.003</v>
      </c>
      <c r="K108" s="1886" t="s">
        <v>244</v>
      </c>
      <c r="L108" s="1481" t="str">
        <f>IFERROR(VLOOKUP(K108,dropdowns!$G$45:$H$56,2,FALSE)," ")</f>
        <v>1.TB.01.003.01</v>
      </c>
      <c r="M108" s="1251" t="s">
        <v>183</v>
      </c>
      <c r="N108" s="1482"/>
      <c r="O108" s="1231">
        <v>21</v>
      </c>
      <c r="P108" s="1887">
        <v>45075</v>
      </c>
      <c r="Q108" s="3913">
        <f>19746260.64*0</f>
        <v>0</v>
      </c>
      <c r="R108" s="1216"/>
      <c r="S108" s="1217"/>
      <c r="T108" s="1728"/>
      <c r="U108" s="1222"/>
      <c r="V108" s="1222"/>
      <c r="W108" s="1219"/>
      <c r="X108" s="1093" t="str">
        <f t="shared" si="8"/>
        <v>NOT ACTIVE</v>
      </c>
      <c r="Y108" s="3349"/>
      <c r="Z108" s="1221"/>
      <c r="AA108" s="1217"/>
      <c r="AB108" s="1728"/>
      <c r="AC108" s="1222"/>
      <c r="AD108" s="1222"/>
      <c r="AE108" s="1222"/>
      <c r="AF108" s="1093" t="str">
        <f>IF(AC108="APPROVED","ACTIVE","NOT ACTIVE")</f>
        <v>NOT ACTIVE</v>
      </c>
      <c r="AG108" s="1220"/>
      <c r="AH108" s="1234"/>
      <c r="AI108" s="1728"/>
      <c r="AJ108" s="1222"/>
      <c r="AK108" s="1222"/>
      <c r="AL108" s="1223"/>
      <c r="AM108" s="1735"/>
      <c r="AN108" s="3339"/>
      <c r="AO108" s="1226"/>
      <c r="AP108" s="1493"/>
      <c r="AQ108" s="1227"/>
      <c r="AR108" s="1728"/>
      <c r="AS108" s="1220"/>
      <c r="AT108" s="1217"/>
      <c r="AU108" s="1218"/>
      <c r="AV108" s="1220"/>
      <c r="AW108" s="1217"/>
      <c r="AX108" s="1728"/>
      <c r="AY108" s="1093" t="str">
        <f>IF(BA108="APPROVED","ACTIVE","NOT ACTIVE")</f>
        <v>NOT ACTIVE</v>
      </c>
      <c r="AZ108" s="3607"/>
      <c r="BA108" s="3017"/>
      <c r="BB108" s="1228"/>
      <c r="BC108" s="1229"/>
      <c r="BD108" s="1230" t="s">
        <v>3228</v>
      </c>
      <c r="BF108" s="845">
        <f t="shared" ca="1" si="9"/>
        <v>0</v>
      </c>
      <c r="BG108" s="1377"/>
    </row>
    <row r="109" spans="1:61" s="686" customFormat="1" ht="38.25">
      <c r="A109" s="1141">
        <v>54</v>
      </c>
      <c r="B109" s="1884" t="s">
        <v>2776</v>
      </c>
      <c r="C109" s="1474" t="s">
        <v>165</v>
      </c>
      <c r="D109" s="1886" t="s">
        <v>3337</v>
      </c>
      <c r="E109" s="1476"/>
      <c r="F109" s="1477"/>
      <c r="G109" s="1478" t="s">
        <v>218</v>
      </c>
      <c r="H109" s="1479" t="s">
        <v>91</v>
      </c>
      <c r="I109" s="1885" t="s">
        <v>244</v>
      </c>
      <c r="J109" s="1480" t="str">
        <f>IFERROR(VLOOKUP(I109,dropdowns!$E$45:$I$56,2,FALSE)," ")</f>
        <v>1.TB.01.003</v>
      </c>
      <c r="K109" s="1886" t="s">
        <v>244</v>
      </c>
      <c r="L109" s="1481" t="str">
        <f>IFERROR(VLOOKUP(K109,dropdowns!$G$45:$H$56,2,FALSE)," ")</f>
        <v>1.TB.01.003.01</v>
      </c>
      <c r="M109" s="1251" t="s">
        <v>176</v>
      </c>
      <c r="N109" s="1482" t="s">
        <v>2777</v>
      </c>
      <c r="O109" s="1231"/>
      <c r="P109" s="1224"/>
      <c r="Q109" s="3913"/>
      <c r="R109" s="1216" t="s">
        <v>2142</v>
      </c>
      <c r="S109" s="1217"/>
      <c r="T109" s="1728"/>
      <c r="U109" s="1222" t="s">
        <v>79</v>
      </c>
      <c r="V109" s="1222"/>
      <c r="W109" s="1219"/>
      <c r="X109" s="1093" t="str">
        <f t="shared" si="8"/>
        <v>ACTIVE</v>
      </c>
      <c r="Y109" s="3349"/>
      <c r="Z109" s="1221"/>
      <c r="AA109" s="1217"/>
      <c r="AB109" s="1728"/>
      <c r="AC109" s="1222" t="s">
        <v>79</v>
      </c>
      <c r="AD109" s="1222"/>
      <c r="AE109" s="1222"/>
      <c r="AF109" s="1093" t="str">
        <f t="shared" si="4"/>
        <v>ACTIVE</v>
      </c>
      <c r="AG109" s="1220"/>
      <c r="AH109" s="1234"/>
      <c r="AI109" s="1728"/>
      <c r="AJ109" s="1222" t="s">
        <v>79</v>
      </c>
      <c r="AK109" s="1222"/>
      <c r="AL109" s="1223"/>
      <c r="AM109" s="1735"/>
      <c r="AN109" s="3339"/>
      <c r="AO109" s="1226"/>
      <c r="AP109" s="1493"/>
      <c r="AQ109" s="1227"/>
      <c r="AR109" s="1728"/>
      <c r="AS109" s="1220"/>
      <c r="AT109" s="1217"/>
      <c r="AU109" s="1218"/>
      <c r="AV109" s="1220"/>
      <c r="AW109" s="1227" t="s">
        <v>2778</v>
      </c>
      <c r="AX109" s="1728">
        <v>45410</v>
      </c>
      <c r="AY109" s="1093" t="str">
        <f>IF(BA109="APPROVED","ACTIVE","NOT ACTIVE")</f>
        <v>ACTIVE</v>
      </c>
      <c r="AZ109" s="3337">
        <v>-15000</v>
      </c>
      <c r="BA109" s="3338" t="s">
        <v>79</v>
      </c>
      <c r="BB109" s="1228"/>
      <c r="BC109" s="1229"/>
      <c r="BD109" s="3336" t="s">
        <v>2621</v>
      </c>
      <c r="BF109" s="845">
        <f t="shared" ca="1" si="9"/>
        <v>0</v>
      </c>
      <c r="BG109" s="1377"/>
      <c r="BI109" s="3524">
        <f>SUBTOTAL(9,BI61:BI98)</f>
        <v>4031723.4899999998</v>
      </c>
    </row>
    <row r="110" spans="1:61" s="686" customFormat="1" ht="42" customHeight="1">
      <c r="A110" s="1141">
        <v>55</v>
      </c>
      <c r="B110" s="1884" t="s">
        <v>2790</v>
      </c>
      <c r="C110" s="1474" t="s">
        <v>165</v>
      </c>
      <c r="D110" s="1886" t="s">
        <v>5122</v>
      </c>
      <c r="E110" s="1476"/>
      <c r="F110" s="1477"/>
      <c r="G110" s="1478" t="s">
        <v>188</v>
      </c>
      <c r="H110" s="1479" t="s">
        <v>91</v>
      </c>
      <c r="I110" s="1885" t="s">
        <v>244</v>
      </c>
      <c r="J110" s="1480" t="str">
        <f>IFERROR(VLOOKUP(I110,dropdowns!$E$45:$I$56,2,FALSE)," ")</f>
        <v>1.TB.01.003</v>
      </c>
      <c r="K110" s="1886" t="s">
        <v>244</v>
      </c>
      <c r="L110" s="1481" t="str">
        <f>IFERROR(VLOOKUP(K110,dropdowns!$G$45:$H$56,2,FALSE)," ")</f>
        <v>1.TB.01.003.01</v>
      </c>
      <c r="M110" s="1251" t="s">
        <v>85</v>
      </c>
      <c r="N110" s="1150" t="s">
        <v>86</v>
      </c>
      <c r="O110" s="1231"/>
      <c r="P110" s="1224"/>
      <c r="Q110" s="3913"/>
      <c r="R110" s="1216">
        <v>32</v>
      </c>
      <c r="S110" s="1217"/>
      <c r="T110" s="1728">
        <v>45420</v>
      </c>
      <c r="U110" s="1222" t="s">
        <v>79</v>
      </c>
      <c r="V110" s="1219" t="s">
        <v>2789</v>
      </c>
      <c r="W110" s="1219"/>
      <c r="X110" s="1093" t="str">
        <f t="shared" si="8"/>
        <v>ACTIVE</v>
      </c>
      <c r="Y110" s="3349">
        <f>400000+248219+250000</f>
        <v>898219</v>
      </c>
      <c r="Z110" s="1221" t="s">
        <v>2842</v>
      </c>
      <c r="AA110" s="1217"/>
      <c r="AB110" s="1728">
        <v>45510</v>
      </c>
      <c r="AC110" s="1222" t="s">
        <v>79</v>
      </c>
      <c r="AD110" s="1219" t="s">
        <v>2956</v>
      </c>
      <c r="AE110" s="1222" t="s">
        <v>94</v>
      </c>
      <c r="AF110" s="1093" t="str">
        <f t="shared" si="4"/>
        <v>ACTIVE</v>
      </c>
      <c r="AG110" s="1220">
        <v>319588</v>
      </c>
      <c r="AH110" s="3560" t="s">
        <v>2639</v>
      </c>
      <c r="AI110" s="3561">
        <v>45551</v>
      </c>
      <c r="AJ110" s="3562" t="s">
        <v>79</v>
      </c>
      <c r="AK110" s="3563" t="s">
        <v>3063</v>
      </c>
      <c r="AL110" s="3564" t="s">
        <v>2639</v>
      </c>
      <c r="AM110" s="3561">
        <v>45551</v>
      </c>
      <c r="AN110" s="3565" t="s">
        <v>3064</v>
      </c>
      <c r="AO110" s="3570" t="s">
        <v>3494</v>
      </c>
      <c r="AP110" s="3571"/>
      <c r="AQ110" s="3572" t="s">
        <v>3070</v>
      </c>
      <c r="AR110" s="3561">
        <v>45569</v>
      </c>
      <c r="AS110" s="3573">
        <v>234500</v>
      </c>
      <c r="AT110" s="1217"/>
      <c r="AU110" s="1218"/>
      <c r="AV110" s="1220"/>
      <c r="AW110" s="1227" t="s">
        <v>3440</v>
      </c>
      <c r="AX110" s="1728">
        <v>45641</v>
      </c>
      <c r="AY110" s="1094" t="str">
        <f t="shared" si="5"/>
        <v>ACTIVE</v>
      </c>
      <c r="AZ110" s="3607">
        <v>482719</v>
      </c>
      <c r="BA110" s="3338" t="s">
        <v>79</v>
      </c>
      <c r="BB110" s="1228"/>
      <c r="BC110" s="1229"/>
      <c r="BD110" s="1230"/>
      <c r="BF110" s="845">
        <f t="shared" ca="1" si="9"/>
        <v>0</v>
      </c>
      <c r="BG110" s="1377"/>
    </row>
    <row r="111" spans="1:61" s="686" customFormat="1" ht="63" customHeight="1">
      <c r="A111" s="1141">
        <v>55</v>
      </c>
      <c r="B111" s="1884" t="s">
        <v>2791</v>
      </c>
      <c r="C111" s="1474" t="s">
        <v>165</v>
      </c>
      <c r="D111" s="1475" t="s">
        <v>92</v>
      </c>
      <c r="E111" s="1476"/>
      <c r="F111" s="1477"/>
      <c r="G111" s="1478" t="s">
        <v>2690</v>
      </c>
      <c r="H111" s="1479" t="s">
        <v>104</v>
      </c>
      <c r="I111" s="1885" t="s">
        <v>244</v>
      </c>
      <c r="J111" s="1480" t="str">
        <f>IFERROR(VLOOKUP(I111,dropdowns!$E$45:$I$56,2,FALSE)," ")</f>
        <v>1.TB.01.003</v>
      </c>
      <c r="K111" s="1886" t="s">
        <v>244</v>
      </c>
      <c r="L111" s="1481" t="str">
        <f>IFERROR(VLOOKUP(K111,dropdowns!$G$45:$H$56,2,FALSE)," ")</f>
        <v>1.TB.01.003.01</v>
      </c>
      <c r="M111" s="1251" t="s">
        <v>189</v>
      </c>
      <c r="N111" s="1482" t="s">
        <v>2043</v>
      </c>
      <c r="O111" s="1231"/>
      <c r="P111" s="1224"/>
      <c r="Q111" s="3913"/>
      <c r="R111" s="1216">
        <v>32</v>
      </c>
      <c r="S111" s="1217"/>
      <c r="T111" s="1728">
        <v>45420</v>
      </c>
      <c r="U111" s="1222" t="s">
        <v>79</v>
      </c>
      <c r="V111" s="1219" t="s">
        <v>2789</v>
      </c>
      <c r="W111" s="1219"/>
      <c r="X111" s="1093" t="str">
        <f t="shared" si="8"/>
        <v>ACTIVE</v>
      </c>
      <c r="Y111" s="3349">
        <f>1109644.6</f>
        <v>1109644.6000000001</v>
      </c>
      <c r="Z111" s="1111"/>
      <c r="AA111" s="1109"/>
      <c r="AB111" s="1729"/>
      <c r="AC111" s="1097"/>
      <c r="AD111" s="1097"/>
      <c r="AE111" s="1097"/>
      <c r="AF111" s="1094" t="str">
        <f>IF(AC111="APPROVED","ACTIVE","NOT ACTIVE")</f>
        <v>NOT ACTIVE</v>
      </c>
      <c r="AG111" s="1182"/>
      <c r="AH111" s="1101"/>
      <c r="AI111" s="1729"/>
      <c r="AJ111" s="1097"/>
      <c r="AK111" s="1097"/>
      <c r="AL111" s="1110"/>
      <c r="AM111" s="1736"/>
      <c r="AN111" s="1112"/>
      <c r="AO111" s="1113"/>
      <c r="AP111" s="1487"/>
      <c r="AQ111" s="1117"/>
      <c r="AR111" s="1729"/>
      <c r="AS111" s="1182"/>
      <c r="AT111" s="1109"/>
      <c r="AU111" s="1095"/>
      <c r="AV111" s="1182"/>
      <c r="AW111" s="1109"/>
      <c r="AX111" s="1729"/>
      <c r="AY111" s="1094" t="str">
        <f>IF(BA111="APPROVED","ACTIVE","NOT ACTIVE")</f>
        <v>NOT ACTIVE</v>
      </c>
      <c r="AZ111" s="1186"/>
      <c r="BA111" s="1097"/>
      <c r="BB111" s="1098"/>
      <c r="BC111" s="1099"/>
      <c r="BD111" s="1230" t="s">
        <v>4869</v>
      </c>
      <c r="BF111" s="845">
        <f t="shared" ca="1" si="9"/>
        <v>0</v>
      </c>
      <c r="BG111" s="1377"/>
    </row>
    <row r="112" spans="1:61" s="686" customFormat="1" ht="66.75" customHeight="1">
      <c r="A112" s="1915">
        <v>55</v>
      </c>
      <c r="B112" s="4725" t="s">
        <v>2799</v>
      </c>
      <c r="C112" s="4726" t="s">
        <v>165</v>
      </c>
      <c r="D112" s="4727" t="s">
        <v>92</v>
      </c>
      <c r="E112" s="4728"/>
      <c r="F112" s="4729"/>
      <c r="G112" s="4730" t="s">
        <v>2690</v>
      </c>
      <c r="H112" s="4731" t="s">
        <v>104</v>
      </c>
      <c r="I112" s="4732" t="s">
        <v>244</v>
      </c>
      <c r="J112" s="4733" t="str">
        <f>IFERROR(VLOOKUP(I112,dropdowns!$E$45:$I$56,2,FALSE)," ")</f>
        <v>1.TB.01.003</v>
      </c>
      <c r="K112" s="4734" t="s">
        <v>244</v>
      </c>
      <c r="L112" s="4735" t="str">
        <f>IFERROR(VLOOKUP(K112,dropdowns!$G$45:$H$56,2,FALSE)," ")</f>
        <v>1.TB.01.003.01</v>
      </c>
      <c r="M112" s="4736" t="s">
        <v>2269</v>
      </c>
      <c r="N112" s="4737" t="s">
        <v>152</v>
      </c>
      <c r="O112" s="4738"/>
      <c r="P112" s="4739"/>
      <c r="Q112" s="4740"/>
      <c r="R112" s="4741">
        <v>32</v>
      </c>
      <c r="S112" s="4742"/>
      <c r="T112" s="4743">
        <v>45420</v>
      </c>
      <c r="U112" s="4744" t="s">
        <v>125</v>
      </c>
      <c r="V112" s="4745" t="s">
        <v>2789</v>
      </c>
      <c r="W112" s="4745"/>
      <c r="X112" s="1093" t="str">
        <f t="shared" si="8"/>
        <v>NOT ACTIVE</v>
      </c>
      <c r="Y112" s="4746">
        <f>552159.8+1024319.6+26553.25+337713.73+253564.2+35832.41</f>
        <v>2230142.9900000002</v>
      </c>
      <c r="Z112" s="4747"/>
      <c r="AA112" s="4742"/>
      <c r="AB112" s="4743"/>
      <c r="AC112" s="4744"/>
      <c r="AD112" s="4744"/>
      <c r="AE112" s="4744"/>
      <c r="AF112" s="1094" t="str">
        <f>IF(AC112="APPROVED","ACTIVE","NOT ACTIVE")</f>
        <v>NOT ACTIVE</v>
      </c>
      <c r="AG112" s="4748"/>
      <c r="AH112" s="4749"/>
      <c r="AI112" s="4743"/>
      <c r="AJ112" s="4744"/>
      <c r="AK112" s="4744"/>
      <c r="AL112" s="4750"/>
      <c r="AM112" s="4751"/>
      <c r="AN112" s="4752"/>
      <c r="AO112" s="4753"/>
      <c r="AP112" s="4754"/>
      <c r="AQ112" s="4755"/>
      <c r="AR112" s="4743"/>
      <c r="AS112" s="4748"/>
      <c r="AT112" s="4742"/>
      <c r="AU112" s="4756"/>
      <c r="AV112" s="4748"/>
      <c r="AW112" s="4742"/>
      <c r="AX112" s="4743"/>
      <c r="AY112" s="1094" t="str">
        <f>IF(BA112="APPROVED","ACTIVE","NOT ACTIVE")</f>
        <v>NOT ACTIVE</v>
      </c>
      <c r="AZ112" s="4757"/>
      <c r="BA112" s="4744"/>
      <c r="BB112" s="4758"/>
      <c r="BC112" s="4759"/>
      <c r="BD112" s="4760" t="s">
        <v>5589</v>
      </c>
      <c r="BF112" s="845">
        <f t="shared" ca="1" si="9"/>
        <v>0</v>
      </c>
      <c r="BG112" s="1377"/>
    </row>
    <row r="113" spans="1:59" s="686" customFormat="1" ht="50.25" customHeight="1">
      <c r="A113" s="1141">
        <v>56</v>
      </c>
      <c r="B113" s="1884" t="s">
        <v>2794</v>
      </c>
      <c r="C113" s="1474" t="s">
        <v>165</v>
      </c>
      <c r="D113" s="1886" t="s">
        <v>5122</v>
      </c>
      <c r="E113" s="1476"/>
      <c r="F113" s="1477"/>
      <c r="G113" s="1478" t="s">
        <v>175</v>
      </c>
      <c r="H113" s="1479" t="s">
        <v>91</v>
      </c>
      <c r="I113" s="1885" t="s">
        <v>244</v>
      </c>
      <c r="J113" s="1480" t="str">
        <f>IFERROR(VLOOKUP(I113,dropdowns!$E$45:$I$56,2,FALSE)," ")</f>
        <v>1.TB.01.003</v>
      </c>
      <c r="K113" s="1886" t="s">
        <v>244</v>
      </c>
      <c r="L113" s="1481" t="str">
        <f>IFERROR(VLOOKUP(K113,dropdowns!$G$45:$H$56,2,FALSE)," ")</f>
        <v>1.TB.01.003.01</v>
      </c>
      <c r="M113" s="1251" t="s">
        <v>85</v>
      </c>
      <c r="N113" s="1150" t="s">
        <v>86</v>
      </c>
      <c r="O113" s="1231"/>
      <c r="P113" s="1224"/>
      <c r="Q113" s="3913"/>
      <c r="R113" s="1216">
        <v>41</v>
      </c>
      <c r="S113" s="1217"/>
      <c r="T113" s="1728">
        <v>45474</v>
      </c>
      <c r="U113" s="1222" t="s">
        <v>79</v>
      </c>
      <c r="V113" s="1219" t="s">
        <v>2838</v>
      </c>
      <c r="W113" s="1219"/>
      <c r="X113" s="1093" t="str">
        <f t="shared" si="8"/>
        <v>ACTIVE</v>
      </c>
      <c r="Y113" s="3349">
        <v>75000</v>
      </c>
      <c r="Z113" s="1221" t="s">
        <v>2843</v>
      </c>
      <c r="AA113" s="1217"/>
      <c r="AB113" s="1728">
        <v>45510</v>
      </c>
      <c r="AC113" s="1222" t="s">
        <v>79</v>
      </c>
      <c r="AD113" s="1219" t="s">
        <v>2955</v>
      </c>
      <c r="AE113" s="1222" t="s">
        <v>94</v>
      </c>
      <c r="AF113" s="1093" t="str">
        <f>IF(AC113="APPROVED","ACTIVE","NOT ACTIVE")</f>
        <v>ACTIVE</v>
      </c>
      <c r="AG113" s="1220">
        <v>75000</v>
      </c>
      <c r="AH113" s="1234" t="s">
        <v>2348</v>
      </c>
      <c r="AI113" s="1728">
        <v>45533</v>
      </c>
      <c r="AJ113" s="1222" t="s">
        <v>79</v>
      </c>
      <c r="AK113" s="1219" t="s">
        <v>3003</v>
      </c>
      <c r="AL113" s="1223" t="s">
        <v>2348</v>
      </c>
      <c r="AM113" s="1735">
        <v>45539</v>
      </c>
      <c r="AN113" s="1239" t="s">
        <v>3013</v>
      </c>
      <c r="AO113" s="3570" t="s">
        <v>3002</v>
      </c>
      <c r="AP113" s="3571"/>
      <c r="AQ113" s="3572" t="s">
        <v>3071</v>
      </c>
      <c r="AR113" s="3561">
        <v>45566</v>
      </c>
      <c r="AS113" s="3573">
        <v>65793</v>
      </c>
      <c r="AT113" s="1217"/>
      <c r="AU113" s="1218"/>
      <c r="AV113" s="1220"/>
      <c r="AW113" s="1227" t="s">
        <v>3184</v>
      </c>
      <c r="AX113" s="1728">
        <v>45591</v>
      </c>
      <c r="AY113" s="1093" t="str">
        <f>IF(BA113="APPROVED","ACTIVE","NOT ACTIVE")</f>
        <v>ACTIVE</v>
      </c>
      <c r="AZ113" s="3521">
        <v>65793</v>
      </c>
      <c r="BA113" s="1222" t="s">
        <v>79</v>
      </c>
      <c r="BB113" s="1228"/>
      <c r="BC113" s="1229"/>
      <c r="BD113" s="1230"/>
      <c r="BF113" s="845">
        <f t="shared" ca="1" si="9"/>
        <v>0</v>
      </c>
      <c r="BG113" s="1377"/>
    </row>
    <row r="114" spans="1:59" s="686" customFormat="1" ht="39" customHeight="1">
      <c r="A114" s="1524">
        <v>56</v>
      </c>
      <c r="B114" s="1961" t="s">
        <v>2795</v>
      </c>
      <c r="C114" s="1962" t="s">
        <v>165</v>
      </c>
      <c r="D114" s="2107" t="s">
        <v>92</v>
      </c>
      <c r="E114" s="1476"/>
      <c r="F114" s="1477"/>
      <c r="G114" s="1478" t="s">
        <v>175</v>
      </c>
      <c r="H114" s="1987" t="s">
        <v>104</v>
      </c>
      <c r="I114" s="1885" t="s">
        <v>244</v>
      </c>
      <c r="J114" s="1480" t="str">
        <f>IFERROR(VLOOKUP(I114,dropdowns!$E$45:$I$56,2,FALSE)," ")</f>
        <v>1.TB.01.003</v>
      </c>
      <c r="K114" s="1886" t="s">
        <v>244</v>
      </c>
      <c r="L114" s="1481" t="str">
        <f>IFERROR(VLOOKUP(K114,dropdowns!$G$45:$H$56,2,FALSE)," ")</f>
        <v>1.TB.01.003.01</v>
      </c>
      <c r="M114" s="1251" t="s">
        <v>3930</v>
      </c>
      <c r="N114" s="1970" t="s">
        <v>2558</v>
      </c>
      <c r="O114" s="1253"/>
      <c r="P114" s="1982"/>
      <c r="Q114" s="3915"/>
      <c r="R114" s="1971">
        <v>41</v>
      </c>
      <c r="S114" s="1991"/>
      <c r="T114" s="1973">
        <v>45474</v>
      </c>
      <c r="U114" s="1531" t="s">
        <v>125</v>
      </c>
      <c r="V114" s="1974" t="s">
        <v>2838</v>
      </c>
      <c r="W114" s="1974"/>
      <c r="X114" s="1093" t="str">
        <f t="shared" si="8"/>
        <v>NOT ACTIVE</v>
      </c>
      <c r="Y114" s="3356">
        <f>21868*0</f>
        <v>0</v>
      </c>
      <c r="Z114" s="1992"/>
      <c r="AA114" s="1991"/>
      <c r="AB114" s="1973"/>
      <c r="AC114" s="1531"/>
      <c r="AD114" s="1531"/>
      <c r="AE114" s="1531"/>
      <c r="AF114" s="1094" t="str">
        <f>IF(AC114="APPROVED","ACTIVE","NOT ACTIVE")</f>
        <v>NOT ACTIVE</v>
      </c>
      <c r="AG114" s="1530"/>
      <c r="AH114" s="3325"/>
      <c r="AI114" s="1973"/>
      <c r="AJ114" s="1531"/>
      <c r="AK114" s="1531"/>
      <c r="AL114" s="1993"/>
      <c r="AM114" s="1977"/>
      <c r="AN114" s="3326"/>
      <c r="AO114" s="1979"/>
      <c r="AP114" s="1994"/>
      <c r="AQ114" s="1995"/>
      <c r="AR114" s="1973"/>
      <c r="AS114" s="1530"/>
      <c r="AT114" s="1991"/>
      <c r="AU114" s="1252"/>
      <c r="AV114" s="1530"/>
      <c r="AW114" s="1991"/>
      <c r="AX114" s="1973"/>
      <c r="AY114" s="1093" t="str">
        <f>IF(BA114="APPROVED","ACTIVE","NOT ACTIVE")</f>
        <v>NOT ACTIVE</v>
      </c>
      <c r="AZ114" s="3327"/>
      <c r="BA114" s="1531"/>
      <c r="BB114" s="1532"/>
      <c r="BC114" s="1533"/>
      <c r="BD114" s="1230" t="s">
        <v>3723</v>
      </c>
      <c r="BF114" s="845">
        <f t="shared" ca="1" si="9"/>
        <v>0</v>
      </c>
      <c r="BG114" s="1377"/>
    </row>
    <row r="115" spans="1:59" s="686" customFormat="1" ht="40.5" customHeight="1">
      <c r="A115" s="1524">
        <v>57</v>
      </c>
      <c r="B115" s="1961" t="s">
        <v>2796</v>
      </c>
      <c r="C115" s="1962" t="s">
        <v>165</v>
      </c>
      <c r="D115" s="2107" t="s">
        <v>92</v>
      </c>
      <c r="E115" s="1964"/>
      <c r="F115" s="1965"/>
      <c r="G115" s="1966" t="s">
        <v>2690</v>
      </c>
      <c r="H115" s="1987" t="s">
        <v>104</v>
      </c>
      <c r="I115" s="1968" t="s">
        <v>244</v>
      </c>
      <c r="J115" s="1922" t="str">
        <f>IFERROR(VLOOKUP(I115,dropdowns!$E$45:$I$56,2,FALSE)," ")</f>
        <v>1.TB.01.003</v>
      </c>
      <c r="K115" s="1969" t="s">
        <v>244</v>
      </c>
      <c r="L115" s="1923" t="str">
        <f>IFERROR(VLOOKUP(K115,dropdowns!$G$45:$H$56,2,FALSE)," ")</f>
        <v>1.TB.01.003.01</v>
      </c>
      <c r="M115" s="1456" t="s">
        <v>85</v>
      </c>
      <c r="N115" s="1151" t="s">
        <v>86</v>
      </c>
      <c r="O115" s="1253"/>
      <c r="P115" s="1982"/>
      <c r="Q115" s="3915"/>
      <c r="R115" s="1971">
        <v>42</v>
      </c>
      <c r="S115" s="1991"/>
      <c r="T115" s="1973">
        <v>45474</v>
      </c>
      <c r="U115" s="1531" t="s">
        <v>125</v>
      </c>
      <c r="V115" s="1974" t="s">
        <v>2836</v>
      </c>
      <c r="W115" s="1974" t="s">
        <v>94</v>
      </c>
      <c r="X115" s="1100" t="str">
        <f t="shared" si="8"/>
        <v>NOT ACTIVE</v>
      </c>
      <c r="Y115" s="3356">
        <v>84501</v>
      </c>
      <c r="Z115" s="1992"/>
      <c r="AA115" s="1991"/>
      <c r="AB115" s="1973"/>
      <c r="AC115" s="1531" t="s">
        <v>125</v>
      </c>
      <c r="AD115" s="1531"/>
      <c r="AE115" s="1531"/>
      <c r="AF115" s="1100" t="str">
        <f>IF(AC115="APPROVED","ACTIVE","NOT ACTIVE")</f>
        <v>NOT ACTIVE</v>
      </c>
      <c r="AG115" s="1530"/>
      <c r="AH115" s="3325"/>
      <c r="AI115" s="1973"/>
      <c r="AJ115" s="1531" t="s">
        <v>125</v>
      </c>
      <c r="AK115" s="1531"/>
      <c r="AL115" s="1993"/>
      <c r="AM115" s="1977"/>
      <c r="AN115" s="3326"/>
      <c r="AO115" s="1979"/>
      <c r="AP115" s="1994"/>
      <c r="AQ115" s="1995"/>
      <c r="AR115" s="1973"/>
      <c r="AS115" s="1530"/>
      <c r="AT115" s="1991"/>
      <c r="AU115" s="1252"/>
      <c r="AV115" s="1530"/>
      <c r="AW115" s="1991"/>
      <c r="AX115" s="1973"/>
      <c r="AY115" s="1100" t="str">
        <f>IF(BA115="APPROVED","ACTIVE","NOT ACTIVE")</f>
        <v>NOT ACTIVE</v>
      </c>
      <c r="AZ115" s="3327"/>
      <c r="BA115" s="1531" t="s">
        <v>125</v>
      </c>
      <c r="BB115" s="1532"/>
      <c r="BC115" s="1533"/>
      <c r="BD115" s="1230" t="s">
        <v>2960</v>
      </c>
      <c r="BF115" s="845">
        <f t="shared" ca="1" si="9"/>
        <v>0</v>
      </c>
      <c r="BG115" s="1377"/>
    </row>
    <row r="116" spans="1:59" s="686" customFormat="1" ht="45.75" customHeight="1">
      <c r="A116" s="1141">
        <v>57</v>
      </c>
      <c r="B116" s="1884" t="s">
        <v>2797</v>
      </c>
      <c r="C116" s="1474" t="s">
        <v>165</v>
      </c>
      <c r="D116" s="1886" t="s">
        <v>5117</v>
      </c>
      <c r="E116" s="1476"/>
      <c r="F116" s="1477"/>
      <c r="G116" s="1478" t="s">
        <v>2690</v>
      </c>
      <c r="H116" s="1479" t="s">
        <v>91</v>
      </c>
      <c r="I116" s="1885" t="s">
        <v>244</v>
      </c>
      <c r="J116" s="1480" t="str">
        <f>IFERROR(VLOOKUP(I116,dropdowns!$E$45:$I$56,2,FALSE)," ")</f>
        <v>1.TB.01.003</v>
      </c>
      <c r="K116" s="1886" t="s">
        <v>244</v>
      </c>
      <c r="L116" s="1481" t="str">
        <f>IFERROR(VLOOKUP(K116,dropdowns!$G$45:$H$56,2,FALSE)," ")</f>
        <v>1.TB.01.003.01</v>
      </c>
      <c r="M116" s="1251" t="s">
        <v>2269</v>
      </c>
      <c r="N116" s="1482" t="s">
        <v>152</v>
      </c>
      <c r="O116" s="1231"/>
      <c r="P116" s="1224"/>
      <c r="Q116" s="3913"/>
      <c r="R116" s="1216">
        <v>42</v>
      </c>
      <c r="S116" s="1217"/>
      <c r="T116" s="1728">
        <v>45474</v>
      </c>
      <c r="U116" s="1222" t="s">
        <v>79</v>
      </c>
      <c r="V116" s="1219" t="s">
        <v>2836</v>
      </c>
      <c r="W116" s="1219" t="s">
        <v>94</v>
      </c>
      <c r="X116" s="1093" t="str">
        <f t="shared" ref="X116:X172" si="10">IF(U116="APPROVED","ACTIVE",IF(U116="PENDING","ACTIVE","NOT ACTIVE"))</f>
        <v>ACTIVE</v>
      </c>
      <c r="Y116" s="3349">
        <v>236632.77</v>
      </c>
      <c r="Z116" s="1221" t="s">
        <v>5066</v>
      </c>
      <c r="AA116" s="1217"/>
      <c r="AB116" s="1728">
        <v>45517</v>
      </c>
      <c r="AC116" s="1222" t="s">
        <v>79</v>
      </c>
      <c r="AD116" s="1219" t="s">
        <v>2959</v>
      </c>
      <c r="AE116" s="1222" t="s">
        <v>94</v>
      </c>
      <c r="AF116" s="1094" t="str">
        <f t="shared" ref="AF116:AF172" si="11">IF(AC116="APPROVED","ACTIVE","NOT ACTIVE")</f>
        <v>ACTIVE</v>
      </c>
      <c r="AG116" s="1220">
        <v>0</v>
      </c>
      <c r="AH116" s="1234" t="s">
        <v>3196</v>
      </c>
      <c r="AI116" s="1728">
        <v>45544</v>
      </c>
      <c r="AJ116" s="1222" t="s">
        <v>79</v>
      </c>
      <c r="AK116" s="1219" t="s">
        <v>3033</v>
      </c>
      <c r="AL116" s="1223" t="s">
        <v>3007</v>
      </c>
      <c r="AM116" s="1735">
        <v>45545</v>
      </c>
      <c r="AN116" s="1239" t="s">
        <v>3034</v>
      </c>
      <c r="AO116" s="1226" t="s">
        <v>3188</v>
      </c>
      <c r="AP116" s="1493"/>
      <c r="AQ116" s="1227" t="s">
        <v>3189</v>
      </c>
      <c r="AR116" s="1728">
        <v>45591</v>
      </c>
      <c r="AS116" s="1220">
        <v>0</v>
      </c>
      <c r="AT116" s="1217"/>
      <c r="AU116" s="1218"/>
      <c r="AV116" s="1220"/>
      <c r="AW116" s="1227" t="s">
        <v>3192</v>
      </c>
      <c r="AX116" s="1728">
        <v>45599</v>
      </c>
      <c r="AY116" s="1093" t="str">
        <f t="shared" ref="AY116:AY172" si="12">IF(BA116="APPROVED","ACTIVE","NOT ACTIVE")</f>
        <v>ACTIVE</v>
      </c>
      <c r="AZ116" s="3521">
        <v>0</v>
      </c>
      <c r="BA116" s="1222" t="s">
        <v>79</v>
      </c>
      <c r="BB116" s="1228"/>
      <c r="BC116" s="1229"/>
      <c r="BD116" s="1230" t="s">
        <v>2960</v>
      </c>
      <c r="BF116" s="845">
        <f t="shared" ca="1" si="9"/>
        <v>0</v>
      </c>
      <c r="BG116" s="1377"/>
    </row>
    <row r="117" spans="1:59" s="686" customFormat="1" ht="63" customHeight="1">
      <c r="A117" s="1141">
        <v>58</v>
      </c>
      <c r="B117" s="1884" t="s">
        <v>2798</v>
      </c>
      <c r="C117" s="1474" t="s">
        <v>165</v>
      </c>
      <c r="D117" s="1886" t="s">
        <v>5122</v>
      </c>
      <c r="E117" s="1476"/>
      <c r="F117" s="1477"/>
      <c r="G117" s="1478" t="s">
        <v>175</v>
      </c>
      <c r="H117" s="1479" t="s">
        <v>82</v>
      </c>
      <c r="I117" s="1885" t="s">
        <v>244</v>
      </c>
      <c r="J117" s="1480" t="str">
        <f>IFERROR(VLOOKUP(I117,dropdowns!$E$45:$I$56,2,FALSE)," ")</f>
        <v>1.TB.01.003</v>
      </c>
      <c r="K117" s="1886" t="s">
        <v>244</v>
      </c>
      <c r="L117" s="1481" t="str">
        <f>IFERROR(VLOOKUP(K117,dropdowns!$G$45:$H$56,2,FALSE)," ")</f>
        <v>1.TB.01.003.01</v>
      </c>
      <c r="M117" s="1251" t="s">
        <v>85</v>
      </c>
      <c r="N117" s="1150" t="s">
        <v>86</v>
      </c>
      <c r="O117" s="1231"/>
      <c r="P117" s="1224"/>
      <c r="Q117" s="3913"/>
      <c r="R117" s="1216">
        <v>43</v>
      </c>
      <c r="S117" s="1217"/>
      <c r="T117" s="1728">
        <v>45475</v>
      </c>
      <c r="U117" s="1222" t="s">
        <v>79</v>
      </c>
      <c r="V117" s="1219" t="s">
        <v>2839</v>
      </c>
      <c r="W117" s="1219"/>
      <c r="X117" s="1093" t="str">
        <f t="shared" si="10"/>
        <v>ACTIVE</v>
      </c>
      <c r="Y117" s="3349">
        <v>75000</v>
      </c>
      <c r="Z117" s="1221" t="s">
        <v>2285</v>
      </c>
      <c r="AA117" s="1217"/>
      <c r="AB117" s="1728">
        <v>45510</v>
      </c>
      <c r="AC117" s="1222" t="s">
        <v>79</v>
      </c>
      <c r="AD117" s="1219" t="s">
        <v>2954</v>
      </c>
      <c r="AE117" s="1222" t="s">
        <v>94</v>
      </c>
      <c r="AF117" s="1093" t="str">
        <f t="shared" si="11"/>
        <v>ACTIVE</v>
      </c>
      <c r="AG117" s="1220">
        <v>75000</v>
      </c>
      <c r="AH117" s="1234" t="s">
        <v>2628</v>
      </c>
      <c r="AI117" s="1728">
        <v>45545</v>
      </c>
      <c r="AJ117" s="1222" t="s">
        <v>79</v>
      </c>
      <c r="AK117" s="1219" t="s">
        <v>3031</v>
      </c>
      <c r="AL117" s="1223" t="s">
        <v>2628</v>
      </c>
      <c r="AM117" s="1735">
        <v>45545</v>
      </c>
      <c r="AN117" s="1239" t="s">
        <v>3032</v>
      </c>
      <c r="AO117" s="3570" t="s">
        <v>3375</v>
      </c>
      <c r="AP117" s="3571"/>
      <c r="AQ117" s="3572" t="s">
        <v>3072</v>
      </c>
      <c r="AR117" s="3561">
        <v>45566</v>
      </c>
      <c r="AS117" s="3573">
        <v>65793</v>
      </c>
      <c r="AT117" s="1217"/>
      <c r="AU117" s="1218"/>
      <c r="AV117" s="1220"/>
      <c r="AW117" s="1227" t="s">
        <v>3183</v>
      </c>
      <c r="AX117" s="1728">
        <v>45591</v>
      </c>
      <c r="AY117" s="1093" t="str">
        <f t="shared" si="12"/>
        <v>ACTIVE</v>
      </c>
      <c r="AZ117" s="3521">
        <v>65793</v>
      </c>
      <c r="BA117" s="1222" t="s">
        <v>79</v>
      </c>
      <c r="BB117" s="1228"/>
      <c r="BC117" s="1229"/>
      <c r="BD117" s="1230"/>
      <c r="BF117" s="845">
        <f t="shared" ca="1" si="9"/>
        <v>0</v>
      </c>
      <c r="BG117" s="1377"/>
    </row>
    <row r="118" spans="1:59" s="686" customFormat="1" ht="51.75" customHeight="1">
      <c r="A118" s="1141">
        <v>58</v>
      </c>
      <c r="B118" s="1884" t="s">
        <v>3724</v>
      </c>
      <c r="C118" s="1474" t="s">
        <v>165</v>
      </c>
      <c r="D118" s="1475" t="s">
        <v>92</v>
      </c>
      <c r="E118" s="1476"/>
      <c r="F118" s="1477"/>
      <c r="G118" s="1478" t="s">
        <v>175</v>
      </c>
      <c r="H118" s="1479" t="s">
        <v>104</v>
      </c>
      <c r="I118" s="1885" t="s">
        <v>244</v>
      </c>
      <c r="J118" s="1480" t="str">
        <f>IFERROR(VLOOKUP(I118,dropdowns!$E$45:$I$56,2,FALSE)," ")</f>
        <v>1.TB.01.003</v>
      </c>
      <c r="K118" s="1886" t="s">
        <v>244</v>
      </c>
      <c r="L118" s="1481" t="str">
        <f>IFERROR(VLOOKUP(K118,dropdowns!$G$45:$H$56,2,FALSE)," ")</f>
        <v>1.TB.01.003.01</v>
      </c>
      <c r="M118" s="1251" t="s">
        <v>3930</v>
      </c>
      <c r="N118" s="1482" t="s">
        <v>2558</v>
      </c>
      <c r="O118" s="1231"/>
      <c r="P118" s="1224"/>
      <c r="Q118" s="3913"/>
      <c r="R118" s="1216">
        <v>43</v>
      </c>
      <c r="S118" s="1217"/>
      <c r="T118" s="1728">
        <v>45475</v>
      </c>
      <c r="U118" s="1222" t="s">
        <v>79</v>
      </c>
      <c r="V118" s="1219" t="s">
        <v>2839</v>
      </c>
      <c r="W118" s="1219"/>
      <c r="X118" s="1093" t="str">
        <f t="shared" si="10"/>
        <v>ACTIVE</v>
      </c>
      <c r="Y118" s="3349">
        <v>27201.54</v>
      </c>
      <c r="Z118" s="1111"/>
      <c r="AA118" s="1109"/>
      <c r="AB118" s="1729"/>
      <c r="AC118" s="1097"/>
      <c r="AD118" s="1097"/>
      <c r="AE118" s="1097"/>
      <c r="AF118" s="1094" t="str">
        <f t="shared" si="11"/>
        <v>NOT ACTIVE</v>
      </c>
      <c r="AG118" s="1182"/>
      <c r="AH118" s="1101"/>
      <c r="AI118" s="1729"/>
      <c r="AJ118" s="1097"/>
      <c r="AK118" s="1097"/>
      <c r="AL118" s="1110"/>
      <c r="AM118" s="1736"/>
      <c r="AN118" s="1112"/>
      <c r="AO118" s="1113"/>
      <c r="AP118" s="1487"/>
      <c r="AQ118" s="1117"/>
      <c r="AR118" s="1729"/>
      <c r="AS118" s="1182"/>
      <c r="AT118" s="1109"/>
      <c r="AU118" s="1095"/>
      <c r="AV118" s="1182"/>
      <c r="AW118" s="1109"/>
      <c r="AX118" s="1729"/>
      <c r="AY118" s="1094" t="str">
        <f t="shared" si="12"/>
        <v>NOT ACTIVE</v>
      </c>
      <c r="AZ118" s="1186"/>
      <c r="BA118" s="1097"/>
      <c r="BB118" s="1098"/>
      <c r="BC118" s="1099"/>
      <c r="BD118" s="1230" t="s">
        <v>4870</v>
      </c>
      <c r="BF118" s="845">
        <f t="shared" ca="1" si="9"/>
        <v>0</v>
      </c>
      <c r="BG118" s="1377"/>
    </row>
    <row r="119" spans="1:59" s="686" customFormat="1" ht="47.25" customHeight="1">
      <c r="A119" s="1141">
        <v>59</v>
      </c>
      <c r="B119" s="1884" t="s">
        <v>2801</v>
      </c>
      <c r="C119" s="1474" t="s">
        <v>165</v>
      </c>
      <c r="D119" s="1886" t="s">
        <v>5122</v>
      </c>
      <c r="E119" s="1476"/>
      <c r="F119" s="1477"/>
      <c r="G119" s="1478" t="s">
        <v>175</v>
      </c>
      <c r="H119" s="1479" t="s">
        <v>82</v>
      </c>
      <c r="I119" s="1885" t="s">
        <v>244</v>
      </c>
      <c r="J119" s="1480" t="str">
        <f>IFERROR(VLOOKUP(I119,dropdowns!$E$45:$I$56,2,FALSE)," ")</f>
        <v>1.TB.01.003</v>
      </c>
      <c r="K119" s="1886" t="s">
        <v>244</v>
      </c>
      <c r="L119" s="1481" t="str">
        <f>IFERROR(VLOOKUP(K119,dropdowns!$G$45:$H$56,2,FALSE)," ")</f>
        <v>1.TB.01.003.01</v>
      </c>
      <c r="M119" s="1251" t="s">
        <v>85</v>
      </c>
      <c r="N119" s="1150" t="s">
        <v>86</v>
      </c>
      <c r="O119" s="1231"/>
      <c r="P119" s="1224"/>
      <c r="Q119" s="3913"/>
      <c r="R119" s="1216">
        <v>44</v>
      </c>
      <c r="S119" s="1217"/>
      <c r="T119" s="1728">
        <v>45476</v>
      </c>
      <c r="U119" s="1222" t="s">
        <v>79</v>
      </c>
      <c r="V119" s="1219" t="s">
        <v>2840</v>
      </c>
      <c r="W119" s="1219"/>
      <c r="X119" s="1093" t="str">
        <f t="shared" si="10"/>
        <v>ACTIVE</v>
      </c>
      <c r="Y119" s="3349">
        <v>75000</v>
      </c>
      <c r="Z119" s="1221">
        <v>12</v>
      </c>
      <c r="AA119" s="1217"/>
      <c r="AB119" s="1728">
        <v>45517</v>
      </c>
      <c r="AC119" s="1222" t="s">
        <v>79</v>
      </c>
      <c r="AD119" s="1219" t="s">
        <v>2958</v>
      </c>
      <c r="AE119" s="1222"/>
      <c r="AF119" s="1093" t="str">
        <f t="shared" si="11"/>
        <v>ACTIVE</v>
      </c>
      <c r="AG119" s="1220">
        <v>75000</v>
      </c>
      <c r="AH119" s="1234" t="s">
        <v>776</v>
      </c>
      <c r="AI119" s="1728">
        <v>45543</v>
      </c>
      <c r="AJ119" s="1222" t="s">
        <v>79</v>
      </c>
      <c r="AK119" s="1219" t="s">
        <v>3030</v>
      </c>
      <c r="AL119" s="1223" t="s">
        <v>776</v>
      </c>
      <c r="AM119" s="1735">
        <v>45543</v>
      </c>
      <c r="AN119" s="1239" t="s">
        <v>3029</v>
      </c>
      <c r="AO119" s="3570" t="s">
        <v>3049</v>
      </c>
      <c r="AP119" s="3571"/>
      <c r="AQ119" s="3572" t="s">
        <v>3073</v>
      </c>
      <c r="AR119" s="3561">
        <v>45566</v>
      </c>
      <c r="AS119" s="3573">
        <v>69099</v>
      </c>
      <c r="AT119" s="1217"/>
      <c r="AU119" s="1218"/>
      <c r="AV119" s="1220"/>
      <c r="AW119" s="1227" t="s">
        <v>3194</v>
      </c>
      <c r="AX119" s="1728">
        <v>45599</v>
      </c>
      <c r="AY119" s="1093" t="str">
        <f t="shared" si="12"/>
        <v>ACTIVE</v>
      </c>
      <c r="AZ119" s="3521">
        <v>69099</v>
      </c>
      <c r="BA119" s="1222" t="s">
        <v>79</v>
      </c>
      <c r="BB119" s="1228"/>
      <c r="BC119" s="1229"/>
      <c r="BD119" s="1230"/>
      <c r="BF119" s="845">
        <f t="shared" ca="1" si="9"/>
        <v>0</v>
      </c>
      <c r="BG119" s="1377"/>
    </row>
    <row r="120" spans="1:59" s="686" customFormat="1" ht="37.5" customHeight="1">
      <c r="A120" s="1141">
        <v>59</v>
      </c>
      <c r="B120" s="1884" t="s">
        <v>2802</v>
      </c>
      <c r="C120" s="1474" t="s">
        <v>165</v>
      </c>
      <c r="D120" s="1475" t="s">
        <v>92</v>
      </c>
      <c r="E120" s="1476"/>
      <c r="F120" s="1477"/>
      <c r="G120" s="1478" t="s">
        <v>175</v>
      </c>
      <c r="H120" s="1479" t="s">
        <v>104</v>
      </c>
      <c r="I120" s="1885" t="s">
        <v>244</v>
      </c>
      <c r="J120" s="1480" t="str">
        <f>IFERROR(VLOOKUP(I120,dropdowns!$E$45:$I$56,2,FALSE)," ")</f>
        <v>1.TB.01.003</v>
      </c>
      <c r="K120" s="1886" t="s">
        <v>244</v>
      </c>
      <c r="L120" s="1481" t="str">
        <f>IFERROR(VLOOKUP(K120,dropdowns!$G$45:$H$56,2,FALSE)," ")</f>
        <v>1.TB.01.003.01</v>
      </c>
      <c r="M120" s="1251" t="s">
        <v>2269</v>
      </c>
      <c r="N120" s="1482" t="s">
        <v>152</v>
      </c>
      <c r="O120" s="1231"/>
      <c r="P120" s="1224"/>
      <c r="Q120" s="3913"/>
      <c r="R120" s="1216">
        <v>44</v>
      </c>
      <c r="S120" s="1217"/>
      <c r="T120" s="1728">
        <v>45476</v>
      </c>
      <c r="U120" s="1222" t="s">
        <v>79</v>
      </c>
      <c r="V120" s="1219" t="s">
        <v>2840</v>
      </c>
      <c r="W120" s="1219"/>
      <c r="X120" s="1093" t="str">
        <f t="shared" si="10"/>
        <v>ACTIVE</v>
      </c>
      <c r="Y120" s="3349">
        <v>180170</v>
      </c>
      <c r="Z120" s="1111"/>
      <c r="AA120" s="1109"/>
      <c r="AB120" s="1729"/>
      <c r="AC120" s="1097"/>
      <c r="AD120" s="1097"/>
      <c r="AE120" s="1097"/>
      <c r="AF120" s="1094" t="str">
        <f t="shared" si="11"/>
        <v>NOT ACTIVE</v>
      </c>
      <c r="AG120" s="1182"/>
      <c r="AH120" s="1101"/>
      <c r="AI120" s="1729"/>
      <c r="AJ120" s="1097"/>
      <c r="AK120" s="1097"/>
      <c r="AL120" s="1110"/>
      <c r="AM120" s="1736"/>
      <c r="AN120" s="1112"/>
      <c r="AO120" s="1113"/>
      <c r="AP120" s="1487"/>
      <c r="AQ120" s="1117"/>
      <c r="AR120" s="1729"/>
      <c r="AS120" s="1182"/>
      <c r="AT120" s="1109"/>
      <c r="AU120" s="1095"/>
      <c r="AV120" s="1182"/>
      <c r="AW120" s="1109"/>
      <c r="AX120" s="1729"/>
      <c r="AY120" s="1094" t="str">
        <f t="shared" si="12"/>
        <v>NOT ACTIVE</v>
      </c>
      <c r="AZ120" s="1186"/>
      <c r="BA120" s="1097"/>
      <c r="BB120" s="1098"/>
      <c r="BC120" s="1099"/>
      <c r="BD120" s="1108"/>
      <c r="BF120" s="845">
        <f t="shared" ca="1" si="9"/>
        <v>0</v>
      </c>
      <c r="BG120" s="1377"/>
    </row>
    <row r="121" spans="1:59" s="686" customFormat="1" ht="42" customHeight="1">
      <c r="A121" s="1524">
        <v>60</v>
      </c>
      <c r="B121" s="1961" t="s">
        <v>2806</v>
      </c>
      <c r="C121" s="1962" t="s">
        <v>165</v>
      </c>
      <c r="D121" s="2107" t="s">
        <v>92</v>
      </c>
      <c r="E121" s="1964"/>
      <c r="F121" s="1965"/>
      <c r="G121" s="1966"/>
      <c r="H121" s="1987" t="s">
        <v>104</v>
      </c>
      <c r="I121" s="1968" t="s">
        <v>244</v>
      </c>
      <c r="J121" s="1922" t="str">
        <f>IFERROR(VLOOKUP(I121,dropdowns!$E$45:$I$56,2,FALSE)," ")</f>
        <v>1.TB.01.003</v>
      </c>
      <c r="K121" s="1969" t="s">
        <v>244</v>
      </c>
      <c r="L121" s="1923" t="str">
        <f>IFERROR(VLOOKUP(K121,dropdowns!$G$45:$H$56,2,FALSE)," ")</f>
        <v>1.TB.01.003.01</v>
      </c>
      <c r="M121" s="1456" t="s">
        <v>2269</v>
      </c>
      <c r="N121" s="1970" t="s">
        <v>152</v>
      </c>
      <c r="O121" s="1253"/>
      <c r="P121" s="1982"/>
      <c r="Q121" s="3915"/>
      <c r="R121" s="1971"/>
      <c r="S121" s="1991"/>
      <c r="T121" s="1973">
        <v>45461</v>
      </c>
      <c r="U121" s="1531" t="s">
        <v>125</v>
      </c>
      <c r="V121" s="1974" t="s">
        <v>2805</v>
      </c>
      <c r="W121" s="1974"/>
      <c r="X121" s="1100" t="str">
        <f t="shared" si="10"/>
        <v>NOT ACTIVE</v>
      </c>
      <c r="Y121" s="3356">
        <v>-11230418.75</v>
      </c>
      <c r="Z121" s="1992"/>
      <c r="AA121" s="1991"/>
      <c r="AB121" s="1973"/>
      <c r="AC121" s="1531"/>
      <c r="AD121" s="1531"/>
      <c r="AE121" s="1531"/>
      <c r="AF121" s="1100" t="str">
        <f t="shared" si="11"/>
        <v>NOT ACTIVE</v>
      </c>
      <c r="AG121" s="1530"/>
      <c r="AH121" s="3325"/>
      <c r="AI121" s="1973"/>
      <c r="AJ121" s="1531"/>
      <c r="AK121" s="1531"/>
      <c r="AL121" s="1993"/>
      <c r="AM121" s="1977"/>
      <c r="AN121" s="3326"/>
      <c r="AO121" s="1979"/>
      <c r="AP121" s="1994"/>
      <c r="AQ121" s="1995"/>
      <c r="AR121" s="1973"/>
      <c r="AS121" s="1530"/>
      <c r="AT121" s="1991"/>
      <c r="AU121" s="1252"/>
      <c r="AV121" s="1530"/>
      <c r="AW121" s="1991"/>
      <c r="AX121" s="1973"/>
      <c r="AY121" s="1100" t="str">
        <f t="shared" si="12"/>
        <v>NOT ACTIVE</v>
      </c>
      <c r="AZ121" s="3327"/>
      <c r="BA121" s="1531"/>
      <c r="BB121" s="1532"/>
      <c r="BC121" s="1533"/>
      <c r="BD121" s="1999"/>
      <c r="BF121" s="845">
        <f t="shared" ca="1" si="9"/>
        <v>0</v>
      </c>
      <c r="BG121" s="1377"/>
    </row>
    <row r="122" spans="1:59" s="687" customFormat="1" ht="38.25">
      <c r="A122" s="1524" t="s">
        <v>786</v>
      </c>
      <c r="B122" s="1961" t="s">
        <v>2833</v>
      </c>
      <c r="C122" s="1962" t="s">
        <v>165</v>
      </c>
      <c r="D122" s="2107" t="s">
        <v>78</v>
      </c>
      <c r="E122" s="1964"/>
      <c r="F122" s="1965"/>
      <c r="G122" s="1966"/>
      <c r="H122" s="1987" t="s">
        <v>104</v>
      </c>
      <c r="I122" s="1968" t="s">
        <v>244</v>
      </c>
      <c r="J122" s="1922" t="str">
        <f>IFERROR(VLOOKUP(I122,dropdowns!$E$45:$I$56,2,FALSE)," ")</f>
        <v>1.TB.01.003</v>
      </c>
      <c r="K122" s="1969" t="s">
        <v>244</v>
      </c>
      <c r="L122" s="1923" t="str">
        <f>IFERROR(VLOOKUP(K122,dropdowns!$G$45:$H$56,2,FALSE)," ")</f>
        <v>1.TB.01.003.01</v>
      </c>
      <c r="M122" s="1456" t="s">
        <v>147</v>
      </c>
      <c r="N122" s="1970" t="s">
        <v>135</v>
      </c>
      <c r="O122" s="1253">
        <v>22</v>
      </c>
      <c r="P122" s="1252">
        <v>45473</v>
      </c>
      <c r="Q122" s="3919">
        <f>-1474510.6*0</f>
        <v>0</v>
      </c>
      <c r="R122" s="1971"/>
      <c r="S122" s="1991"/>
      <c r="T122" s="1973"/>
      <c r="U122" s="1974"/>
      <c r="V122" s="1252"/>
      <c r="W122" s="1974"/>
      <c r="X122" s="1100" t="str">
        <f t="shared" si="10"/>
        <v>NOT ACTIVE</v>
      </c>
      <c r="Y122" s="3356"/>
      <c r="Z122" s="1992"/>
      <c r="AA122" s="1991"/>
      <c r="AB122" s="1973"/>
      <c r="AC122" s="1531"/>
      <c r="AD122" s="1974"/>
      <c r="AE122" s="1531"/>
      <c r="AF122" s="1100" t="str">
        <f t="shared" si="11"/>
        <v>NOT ACTIVE</v>
      </c>
      <c r="AG122" s="1530"/>
      <c r="AH122" s="1993"/>
      <c r="AI122" s="1973"/>
      <c r="AJ122" s="1531"/>
      <c r="AK122" s="1531"/>
      <c r="AL122" s="1993"/>
      <c r="AM122" s="1977"/>
      <c r="AN122" s="1978"/>
      <c r="AO122" s="1979"/>
      <c r="AP122" s="1994"/>
      <c r="AQ122" s="1995"/>
      <c r="AR122" s="1973"/>
      <c r="AS122" s="1530"/>
      <c r="AT122" s="1991"/>
      <c r="AU122" s="1982"/>
      <c r="AV122" s="1530"/>
      <c r="AW122" s="1991"/>
      <c r="AX122" s="1973"/>
      <c r="AY122" s="1100" t="str">
        <f t="shared" si="12"/>
        <v>NOT ACTIVE</v>
      </c>
      <c r="AZ122" s="1530"/>
      <c r="BA122" s="1531"/>
      <c r="BB122" s="1532"/>
      <c r="BC122" s="1533"/>
      <c r="BD122" s="1999"/>
      <c r="BE122" s="686"/>
      <c r="BF122" s="845">
        <f t="shared" ca="1" si="9"/>
        <v>0</v>
      </c>
      <c r="BG122" s="1377"/>
    </row>
    <row r="123" spans="1:59" s="687" customFormat="1" ht="38.25">
      <c r="A123" s="1524" t="s">
        <v>2832</v>
      </c>
      <c r="B123" s="1961" t="s">
        <v>2834</v>
      </c>
      <c r="C123" s="1962" t="s">
        <v>165</v>
      </c>
      <c r="D123" s="2107" t="s">
        <v>78</v>
      </c>
      <c r="E123" s="1964"/>
      <c r="F123" s="1965"/>
      <c r="G123" s="1966"/>
      <c r="H123" s="1987" t="s">
        <v>104</v>
      </c>
      <c r="I123" s="1968" t="s">
        <v>244</v>
      </c>
      <c r="J123" s="1922" t="str">
        <f>IFERROR(VLOOKUP(I123,dropdowns!$E$45:$I$56,2,FALSE)," ")</f>
        <v>1.TB.01.003</v>
      </c>
      <c r="K123" s="1969" t="s">
        <v>244</v>
      </c>
      <c r="L123" s="1923" t="str">
        <f>IFERROR(VLOOKUP(K123,dropdowns!$G$45:$H$56,2,FALSE)," ")</f>
        <v>1.TB.01.003.01</v>
      </c>
      <c r="M123" s="1456" t="s">
        <v>147</v>
      </c>
      <c r="N123" s="1970" t="s">
        <v>135</v>
      </c>
      <c r="O123" s="1253">
        <v>23</v>
      </c>
      <c r="P123" s="1252">
        <v>45473</v>
      </c>
      <c r="Q123" s="3919">
        <f>(-74737.93-42233.48)*0</f>
        <v>0</v>
      </c>
      <c r="R123" s="1971"/>
      <c r="S123" s="1991"/>
      <c r="T123" s="1973"/>
      <c r="U123" s="1974"/>
      <c r="V123" s="1252"/>
      <c r="W123" s="1974"/>
      <c r="X123" s="1100" t="str">
        <f>IF(U123="APPROVED","ACTIVE",IF(U123="PENDING","ACTIVE","NOT ACTIVE"))</f>
        <v>NOT ACTIVE</v>
      </c>
      <c r="Y123" s="3356"/>
      <c r="Z123" s="1992"/>
      <c r="AA123" s="1991"/>
      <c r="AB123" s="1973"/>
      <c r="AC123" s="1531"/>
      <c r="AD123" s="1974"/>
      <c r="AE123" s="1531"/>
      <c r="AF123" s="1100" t="str">
        <f>IF(AC123="APPROVED","ACTIVE","NOT ACTIVE")</f>
        <v>NOT ACTIVE</v>
      </c>
      <c r="AG123" s="1530"/>
      <c r="AH123" s="1993"/>
      <c r="AI123" s="1973"/>
      <c r="AJ123" s="1531"/>
      <c r="AK123" s="1531"/>
      <c r="AL123" s="1993"/>
      <c r="AM123" s="1977"/>
      <c r="AN123" s="1978"/>
      <c r="AO123" s="1979"/>
      <c r="AP123" s="1994"/>
      <c r="AQ123" s="1995"/>
      <c r="AR123" s="1973"/>
      <c r="AS123" s="1530"/>
      <c r="AT123" s="1991"/>
      <c r="AU123" s="1982"/>
      <c r="AV123" s="1530"/>
      <c r="AW123" s="1991"/>
      <c r="AX123" s="1973"/>
      <c r="AY123" s="1100" t="str">
        <f>IF(BA123="APPROVED","ACTIVE","NOT ACTIVE")</f>
        <v>NOT ACTIVE</v>
      </c>
      <c r="AZ123" s="1530"/>
      <c r="BA123" s="1531"/>
      <c r="BB123" s="1532"/>
      <c r="BC123" s="1533"/>
      <c r="BD123" s="1999"/>
      <c r="BE123" s="686"/>
      <c r="BF123" s="845">
        <f t="shared" ca="1" si="9"/>
        <v>0</v>
      </c>
      <c r="BG123" s="1377"/>
    </row>
    <row r="124" spans="1:59" s="687" customFormat="1" ht="36" customHeight="1">
      <c r="A124" s="1141">
        <v>61</v>
      </c>
      <c r="B124" s="1884" t="s">
        <v>2848</v>
      </c>
      <c r="C124" s="1474" t="s">
        <v>165</v>
      </c>
      <c r="D124" s="1886" t="s">
        <v>5113</v>
      </c>
      <c r="E124" s="1476"/>
      <c r="F124" s="1477"/>
      <c r="G124" s="1478" t="s">
        <v>188</v>
      </c>
      <c r="H124" s="1479" t="s">
        <v>82</v>
      </c>
      <c r="I124" s="1885" t="s">
        <v>244</v>
      </c>
      <c r="J124" s="1480" t="str">
        <f>IFERROR(VLOOKUP(I124,dropdowns!$E$45:$I$56,2,FALSE)," ")</f>
        <v>1.TB.01.003</v>
      </c>
      <c r="K124" s="1886" t="s">
        <v>244</v>
      </c>
      <c r="L124" s="1481" t="str">
        <f>IFERROR(VLOOKUP(K124,dropdowns!$G$45:$H$56,2,FALSE)," ")</f>
        <v>1.TB.01.003.01</v>
      </c>
      <c r="M124" s="1251" t="s">
        <v>85</v>
      </c>
      <c r="N124" s="1150" t="s">
        <v>86</v>
      </c>
      <c r="O124" s="1231"/>
      <c r="P124" s="1218"/>
      <c r="Q124" s="3918"/>
      <c r="R124" s="1216">
        <v>45</v>
      </c>
      <c r="S124" s="1217"/>
      <c r="T124" s="1728">
        <v>45486</v>
      </c>
      <c r="U124" s="1222" t="s">
        <v>79</v>
      </c>
      <c r="V124" s="2116" t="s">
        <v>2841</v>
      </c>
      <c r="W124" s="1219"/>
      <c r="X124" s="1093" t="str">
        <f>IF(U124="APPROVED","ACTIVE",IF(U124="PENDING","ACTIVE","NOT ACTIVE"))</f>
        <v>ACTIVE</v>
      </c>
      <c r="Y124" s="3349">
        <v>118500</v>
      </c>
      <c r="Z124" s="3575">
        <v>13</v>
      </c>
      <c r="AA124" s="3567"/>
      <c r="AB124" s="3561">
        <v>45568</v>
      </c>
      <c r="AC124" s="3562" t="s">
        <v>79</v>
      </c>
      <c r="AD124" s="3563" t="s">
        <v>3069</v>
      </c>
      <c r="AE124" s="3562" t="s">
        <v>94</v>
      </c>
      <c r="AF124" s="1094" t="str">
        <f>IF(AC124="APPROVED","ACTIVE","NOT ACTIVE")</f>
        <v>ACTIVE</v>
      </c>
      <c r="AG124" s="3573">
        <v>130350</v>
      </c>
      <c r="AH124" s="1223" t="s">
        <v>2957</v>
      </c>
      <c r="AI124" s="1728">
        <v>45577</v>
      </c>
      <c r="AJ124" s="1222" t="s">
        <v>79</v>
      </c>
      <c r="AK124" s="1219" t="s">
        <v>3082</v>
      </c>
      <c r="AL124" s="1223" t="s">
        <v>2957</v>
      </c>
      <c r="AM124" s="1735">
        <v>45578</v>
      </c>
      <c r="AN124" s="1239" t="s">
        <v>3083</v>
      </c>
      <c r="AO124" s="1226" t="s">
        <v>3186</v>
      </c>
      <c r="AP124" s="1493"/>
      <c r="AQ124" s="1227" t="s">
        <v>3187</v>
      </c>
      <c r="AR124" s="1728">
        <v>45579</v>
      </c>
      <c r="AS124" s="1220">
        <v>130350</v>
      </c>
      <c r="AT124" s="1217"/>
      <c r="AU124" s="1224"/>
      <c r="AV124" s="1220"/>
      <c r="AW124" s="1227" t="s">
        <v>3193</v>
      </c>
      <c r="AX124" s="1728">
        <v>45599</v>
      </c>
      <c r="AY124" s="1093" t="str">
        <f>IF(BA124="APPROVED","ACTIVE","NOT ACTIVE")</f>
        <v>ACTIVE</v>
      </c>
      <c r="AZ124" s="1220">
        <v>130350</v>
      </c>
      <c r="BA124" s="1222" t="s">
        <v>79</v>
      </c>
      <c r="BB124" s="1228"/>
      <c r="BC124" s="1229"/>
      <c r="BD124" s="1230"/>
      <c r="BE124" s="686"/>
      <c r="BF124" s="845">
        <f t="shared" ref="BF124:BF155" ca="1" si="13">IF(BA124="PENDING",TODAY()-AM124,0)</f>
        <v>0</v>
      </c>
      <c r="BG124" s="1377"/>
    </row>
    <row r="125" spans="1:59" s="686" customFormat="1" ht="57" customHeight="1">
      <c r="A125" s="1141">
        <v>61</v>
      </c>
      <c r="B125" s="1884" t="s">
        <v>2849</v>
      </c>
      <c r="C125" s="1474" t="s">
        <v>165</v>
      </c>
      <c r="D125" s="1475" t="s">
        <v>78</v>
      </c>
      <c r="E125" s="1476"/>
      <c r="F125" s="1477"/>
      <c r="G125" s="1478" t="s">
        <v>188</v>
      </c>
      <c r="H125" s="1479" t="s">
        <v>104</v>
      </c>
      <c r="I125" s="1885" t="s">
        <v>244</v>
      </c>
      <c r="J125" s="1480" t="str">
        <f>IFERROR(VLOOKUP(I125,dropdowns!$E$45:$I$56,2,FALSE)," ")</f>
        <v>1.TB.01.003</v>
      </c>
      <c r="K125" s="1886" t="s">
        <v>244</v>
      </c>
      <c r="L125" s="1481" t="str">
        <f>IFERROR(VLOOKUP(K125,dropdowns!$G$45:$H$56,2,FALSE)," ")</f>
        <v>1.TB.01.003.01</v>
      </c>
      <c r="M125" s="1251" t="s">
        <v>197</v>
      </c>
      <c r="N125" s="1482" t="s">
        <v>2966</v>
      </c>
      <c r="O125" s="1231"/>
      <c r="P125" s="1224"/>
      <c r="Q125" s="3913"/>
      <c r="R125" s="1216">
        <v>45</v>
      </c>
      <c r="S125" s="1217"/>
      <c r="T125" s="1728">
        <v>45486</v>
      </c>
      <c r="U125" s="1222" t="s">
        <v>79</v>
      </c>
      <c r="V125" s="2116" t="s">
        <v>2841</v>
      </c>
      <c r="W125" s="1219"/>
      <c r="X125" s="1093" t="str">
        <f t="shared" si="10"/>
        <v>ACTIVE</v>
      </c>
      <c r="Y125" s="3349">
        <v>429156</v>
      </c>
      <c r="Z125" s="1111"/>
      <c r="AA125" s="1109"/>
      <c r="AB125" s="1729"/>
      <c r="AC125" s="1097"/>
      <c r="AD125" s="1097"/>
      <c r="AE125" s="1097"/>
      <c r="AF125" s="1094" t="str">
        <f t="shared" si="11"/>
        <v>NOT ACTIVE</v>
      </c>
      <c r="AG125" s="1182"/>
      <c r="AH125" s="1101"/>
      <c r="AI125" s="1729"/>
      <c r="AJ125" s="1097"/>
      <c r="AK125" s="1097"/>
      <c r="AL125" s="1110"/>
      <c r="AM125" s="1736"/>
      <c r="AN125" s="1112"/>
      <c r="AO125" s="1113"/>
      <c r="AP125" s="1487"/>
      <c r="AQ125" s="1117"/>
      <c r="AR125" s="1729"/>
      <c r="AS125" s="1182"/>
      <c r="AT125" s="1109"/>
      <c r="AU125" s="1095"/>
      <c r="AV125" s="1182"/>
      <c r="AW125" s="1109"/>
      <c r="AX125" s="1729"/>
      <c r="AY125" s="1094" t="str">
        <f t="shared" si="12"/>
        <v>NOT ACTIVE</v>
      </c>
      <c r="AZ125" s="1186"/>
      <c r="BA125" s="1097"/>
      <c r="BB125" s="1098"/>
      <c r="BC125" s="1099"/>
      <c r="BD125" s="1108"/>
      <c r="BF125" s="845">
        <f t="shared" ca="1" si="13"/>
        <v>0</v>
      </c>
      <c r="BG125" s="1377"/>
    </row>
    <row r="126" spans="1:59" s="686" customFormat="1" ht="49.5" customHeight="1">
      <c r="A126" s="1168">
        <v>62</v>
      </c>
      <c r="B126" s="1884" t="s">
        <v>2851</v>
      </c>
      <c r="C126" s="1474" t="s">
        <v>165</v>
      </c>
      <c r="D126" s="3374" t="s">
        <v>92</v>
      </c>
      <c r="E126" s="1476"/>
      <c r="F126" s="1477"/>
      <c r="G126" s="1478"/>
      <c r="H126" s="3375" t="s">
        <v>104</v>
      </c>
      <c r="I126" s="3376" t="s">
        <v>244</v>
      </c>
      <c r="J126" s="3377" t="str">
        <f>IFERROR(VLOOKUP(I126,dropdowns!$E$45:$I$56,2,FALSE)," ")</f>
        <v>1.TB.01.003</v>
      </c>
      <c r="K126" s="3378" t="s">
        <v>244</v>
      </c>
      <c r="L126" s="3379" t="str">
        <f>IFERROR(VLOOKUP(K126,dropdowns!$G$45:$H$56,2,FALSE)," ")</f>
        <v>1.TB.01.003.01</v>
      </c>
      <c r="M126" s="1251" t="s">
        <v>197</v>
      </c>
      <c r="N126" s="1482" t="s">
        <v>2966</v>
      </c>
      <c r="O126" s="3608">
        <v>24</v>
      </c>
      <c r="P126" s="1224">
        <v>45504</v>
      </c>
      <c r="Q126" s="3918">
        <f>(22998647.56-24451284.12)*0</f>
        <v>0</v>
      </c>
      <c r="R126" s="1216"/>
      <c r="S126" s="1217"/>
      <c r="T126" s="1728"/>
      <c r="U126" s="1222"/>
      <c r="V126" s="1222"/>
      <c r="W126" s="1219"/>
      <c r="X126" s="1093" t="str">
        <f t="shared" si="10"/>
        <v>NOT ACTIVE</v>
      </c>
      <c r="Y126" s="3349"/>
      <c r="Z126" s="1221"/>
      <c r="AA126" s="1217"/>
      <c r="AB126" s="1728"/>
      <c r="AC126" s="1222"/>
      <c r="AD126" s="1222"/>
      <c r="AE126" s="1222"/>
      <c r="AF126" s="1093" t="str">
        <f t="shared" si="11"/>
        <v>NOT ACTIVE</v>
      </c>
      <c r="AG126" s="1220"/>
      <c r="AH126" s="1234"/>
      <c r="AI126" s="1728"/>
      <c r="AJ126" s="1222"/>
      <c r="AK126" s="1222"/>
      <c r="AL126" s="1223"/>
      <c r="AM126" s="1735"/>
      <c r="AN126" s="3339"/>
      <c r="AO126" s="1226"/>
      <c r="AP126" s="1493"/>
      <c r="AQ126" s="1227"/>
      <c r="AR126" s="1728"/>
      <c r="AS126" s="1220"/>
      <c r="AT126" s="1217"/>
      <c r="AU126" s="1218"/>
      <c r="AV126" s="1220"/>
      <c r="AW126" s="1217"/>
      <c r="AX126" s="1728"/>
      <c r="AY126" s="1093" t="str">
        <f t="shared" si="12"/>
        <v>NOT ACTIVE</v>
      </c>
      <c r="AZ126" s="3521"/>
      <c r="BA126" s="1222"/>
      <c r="BB126" s="1228"/>
      <c r="BC126" s="1229"/>
      <c r="BD126" s="1230" t="s">
        <v>2850</v>
      </c>
      <c r="BF126" s="845">
        <f t="shared" ca="1" si="13"/>
        <v>0</v>
      </c>
      <c r="BG126" s="1377"/>
    </row>
    <row r="127" spans="1:59" s="686" customFormat="1" ht="42" customHeight="1">
      <c r="A127" s="1168">
        <v>63</v>
      </c>
      <c r="B127" s="3380" t="s">
        <v>2852</v>
      </c>
      <c r="C127" s="1474" t="s">
        <v>165</v>
      </c>
      <c r="D127" s="3374" t="s">
        <v>92</v>
      </c>
      <c r="E127" s="1476"/>
      <c r="F127" s="1477"/>
      <c r="G127" s="1478"/>
      <c r="H127" s="3375" t="s">
        <v>104</v>
      </c>
      <c r="I127" s="3376" t="s">
        <v>244</v>
      </c>
      <c r="J127" s="3377" t="str">
        <f>IFERROR(VLOOKUP(I127,dropdowns!$E$45:$I$56,2,FALSE)," ")</f>
        <v>1.TB.01.003</v>
      </c>
      <c r="K127" s="3378" t="s">
        <v>244</v>
      </c>
      <c r="L127" s="3379" t="str">
        <f>IFERROR(VLOOKUP(K127,dropdowns!$G$45:$H$56,2,FALSE)," ")</f>
        <v>1.TB.01.003.01</v>
      </c>
      <c r="M127" s="1251" t="s">
        <v>197</v>
      </c>
      <c r="N127" s="1482" t="s">
        <v>2966</v>
      </c>
      <c r="O127" s="3608">
        <v>25</v>
      </c>
      <c r="P127" s="1224">
        <v>45504</v>
      </c>
      <c r="Q127" s="3913">
        <f>(14586000-3543829)*0</f>
        <v>0</v>
      </c>
      <c r="R127" s="1216"/>
      <c r="S127" s="1217"/>
      <c r="T127" s="1728"/>
      <c r="U127" s="1222"/>
      <c r="V127" s="1222"/>
      <c r="W127" s="1219"/>
      <c r="X127" s="1093" t="str">
        <f t="shared" si="10"/>
        <v>NOT ACTIVE</v>
      </c>
      <c r="Y127" s="3349"/>
      <c r="Z127" s="1221"/>
      <c r="AA127" s="1217"/>
      <c r="AB127" s="1728"/>
      <c r="AC127" s="1222"/>
      <c r="AD127" s="1222"/>
      <c r="AE127" s="1222"/>
      <c r="AF127" s="1093" t="str">
        <f t="shared" si="11"/>
        <v>NOT ACTIVE</v>
      </c>
      <c r="AG127" s="1220"/>
      <c r="AH127" s="1234"/>
      <c r="AI127" s="1728"/>
      <c r="AJ127" s="1222"/>
      <c r="AK127" s="1222"/>
      <c r="AL127" s="1223"/>
      <c r="AM127" s="1735"/>
      <c r="AN127" s="3339"/>
      <c r="AO127" s="1226"/>
      <c r="AP127" s="1493"/>
      <c r="AQ127" s="1227"/>
      <c r="AR127" s="1728"/>
      <c r="AS127" s="1220"/>
      <c r="AT127" s="1217"/>
      <c r="AU127" s="1218"/>
      <c r="AV127" s="1220"/>
      <c r="AW127" s="1217"/>
      <c r="AX127" s="1728"/>
      <c r="AY127" s="1093" t="str">
        <f t="shared" si="12"/>
        <v>NOT ACTIVE</v>
      </c>
      <c r="AZ127" s="3521"/>
      <c r="BA127" s="1222"/>
      <c r="BB127" s="1228"/>
      <c r="BC127" s="1229"/>
      <c r="BD127" s="1230" t="s">
        <v>2850</v>
      </c>
      <c r="BF127" s="845">
        <f t="shared" ca="1" si="13"/>
        <v>0</v>
      </c>
      <c r="BG127" s="1377"/>
    </row>
    <row r="128" spans="1:59" s="686" customFormat="1" ht="56.25" customHeight="1">
      <c r="A128" s="1524">
        <v>64</v>
      </c>
      <c r="B128" s="1984" t="s">
        <v>2856</v>
      </c>
      <c r="C128" s="1962" t="s">
        <v>165</v>
      </c>
      <c r="D128" s="2107" t="s">
        <v>92</v>
      </c>
      <c r="E128" s="1476"/>
      <c r="F128" s="1477"/>
      <c r="G128" s="1478" t="s">
        <v>171</v>
      </c>
      <c r="H128" s="1987" t="s">
        <v>104</v>
      </c>
      <c r="I128" s="1138" t="s">
        <v>244</v>
      </c>
      <c r="J128" s="1480" t="str">
        <f>IFERROR(VLOOKUP(I128,dropdowns!$E$45:$I$56,2,FALSE)," ")</f>
        <v>1.TB.01.003</v>
      </c>
      <c r="K128" s="1140" t="s">
        <v>244</v>
      </c>
      <c r="L128" s="1481" t="str">
        <f>IFERROR(VLOOKUP(K128,dropdowns!$G$45:$H$56,2,FALSE)," ")</f>
        <v>1.TB.01.003.01</v>
      </c>
      <c r="M128" s="1251" t="s">
        <v>2269</v>
      </c>
      <c r="N128" s="1970" t="s">
        <v>152</v>
      </c>
      <c r="O128" s="1253">
        <v>26</v>
      </c>
      <c r="P128" s="1982">
        <v>45504</v>
      </c>
      <c r="Q128" s="3915">
        <f>(40000000*0+75596925.53)*0</f>
        <v>0</v>
      </c>
      <c r="R128" s="1971"/>
      <c r="S128" s="1991"/>
      <c r="T128" s="1973"/>
      <c r="U128" s="1974"/>
      <c r="V128" s="1531"/>
      <c r="W128" s="1974"/>
      <c r="X128" s="1093" t="str">
        <f t="shared" si="10"/>
        <v>NOT ACTIVE</v>
      </c>
      <c r="Y128" s="3356"/>
      <c r="Z128" s="1992"/>
      <c r="AA128" s="1991"/>
      <c r="AB128" s="1973"/>
      <c r="AC128" s="1531"/>
      <c r="AD128" s="1531"/>
      <c r="AE128" s="1531"/>
      <c r="AF128" s="1094" t="str">
        <f t="shared" si="11"/>
        <v>NOT ACTIVE</v>
      </c>
      <c r="AG128" s="1530"/>
      <c r="AH128" s="3325"/>
      <c r="AI128" s="1973"/>
      <c r="AJ128" s="1531"/>
      <c r="AK128" s="1531"/>
      <c r="AL128" s="1993"/>
      <c r="AM128" s="1977"/>
      <c r="AN128" s="3326"/>
      <c r="AO128" s="1979"/>
      <c r="AP128" s="1994"/>
      <c r="AQ128" s="1995"/>
      <c r="AR128" s="1973"/>
      <c r="AS128" s="1530"/>
      <c r="AT128" s="1991"/>
      <c r="AU128" s="1252"/>
      <c r="AV128" s="1530"/>
      <c r="AW128" s="1991"/>
      <c r="AX128" s="1973"/>
      <c r="AY128" s="1094" t="str">
        <f t="shared" si="12"/>
        <v>NOT ACTIVE</v>
      </c>
      <c r="AZ128" s="3327"/>
      <c r="BA128" s="1531"/>
      <c r="BB128" s="1532"/>
      <c r="BC128" s="1533"/>
      <c r="BD128" s="1999"/>
      <c r="BF128" s="845">
        <f t="shared" ca="1" si="13"/>
        <v>0</v>
      </c>
      <c r="BG128" s="1377"/>
    </row>
    <row r="129" spans="1:64" s="686" customFormat="1" ht="38.25">
      <c r="A129" s="1141">
        <v>65</v>
      </c>
      <c r="B129" s="1884" t="s">
        <v>2937</v>
      </c>
      <c r="C129" s="1474" t="s">
        <v>165</v>
      </c>
      <c r="D129" s="1886" t="s">
        <v>3337</v>
      </c>
      <c r="E129" s="1476"/>
      <c r="F129" s="1477"/>
      <c r="G129" s="1478" t="s">
        <v>218</v>
      </c>
      <c r="H129" s="1479" t="s">
        <v>82</v>
      </c>
      <c r="I129" s="1885" t="s">
        <v>244</v>
      </c>
      <c r="J129" s="1480" t="str">
        <f>IFERROR(VLOOKUP(I129,dropdowns!$E$45:$I$56,2,FALSE)," ")</f>
        <v>1.TB.01.003</v>
      </c>
      <c r="K129" s="1886" t="s">
        <v>244</v>
      </c>
      <c r="L129" s="1481" t="str">
        <f>IFERROR(VLOOKUP(K129,dropdowns!$G$45:$H$56,2,FALSE)," ")</f>
        <v>1.TB.01.003.01</v>
      </c>
      <c r="M129" s="1251" t="s">
        <v>128</v>
      </c>
      <c r="N129" s="1482" t="s">
        <v>148</v>
      </c>
      <c r="O129" s="1231"/>
      <c r="P129" s="1218"/>
      <c r="Q129" s="3913"/>
      <c r="R129" s="1216" t="s">
        <v>2142</v>
      </c>
      <c r="S129" s="1217"/>
      <c r="T129" s="1728"/>
      <c r="U129" s="1222" t="s">
        <v>79</v>
      </c>
      <c r="V129" s="1219"/>
      <c r="W129" s="1219"/>
      <c r="X129" s="1093" t="str">
        <f t="shared" si="10"/>
        <v>ACTIVE</v>
      </c>
      <c r="Y129" s="3349"/>
      <c r="Z129" s="1221"/>
      <c r="AA129" s="1217"/>
      <c r="AB129" s="1728"/>
      <c r="AC129" s="1219" t="s">
        <v>79</v>
      </c>
      <c r="AD129" s="1219"/>
      <c r="AE129" s="1222"/>
      <c r="AF129" s="1093" t="str">
        <f t="shared" si="11"/>
        <v>ACTIVE</v>
      </c>
      <c r="AG129" s="1220"/>
      <c r="AH129" s="1223"/>
      <c r="AI129" s="1728"/>
      <c r="AJ129" s="1222" t="s">
        <v>79</v>
      </c>
      <c r="AK129" s="1219"/>
      <c r="AL129" s="1223"/>
      <c r="AM129" s="1735"/>
      <c r="AN129" s="3234"/>
      <c r="AO129" s="1226"/>
      <c r="AP129" s="1493"/>
      <c r="AQ129" s="1227"/>
      <c r="AR129" s="1728"/>
      <c r="AS129" s="1220"/>
      <c r="AT129" s="1227"/>
      <c r="AU129" s="1218"/>
      <c r="AV129" s="1220"/>
      <c r="AW129" s="1227" t="s">
        <v>2938</v>
      </c>
      <c r="AX129" s="1728">
        <v>45507</v>
      </c>
      <c r="AY129" s="1093" t="str">
        <f t="shared" si="12"/>
        <v>ACTIVE</v>
      </c>
      <c r="AZ129" s="1248">
        <v>-1898.52</v>
      </c>
      <c r="BA129" s="1222" t="s">
        <v>79</v>
      </c>
      <c r="BB129" s="1228"/>
      <c r="BC129" s="1229"/>
      <c r="BD129" s="3235" t="s">
        <v>2621</v>
      </c>
      <c r="BF129" s="845">
        <f t="shared" ca="1" si="13"/>
        <v>0</v>
      </c>
      <c r="BG129" s="1377"/>
    </row>
    <row r="130" spans="1:64" s="686" customFormat="1" ht="46.5" customHeight="1">
      <c r="A130" s="1524">
        <v>66</v>
      </c>
      <c r="B130" s="1961" t="s">
        <v>2961</v>
      </c>
      <c r="C130" s="1962" t="s">
        <v>165</v>
      </c>
      <c r="D130" s="2107" t="s">
        <v>78</v>
      </c>
      <c r="E130" s="1964"/>
      <c r="F130" s="1965"/>
      <c r="G130" s="1966" t="s">
        <v>210</v>
      </c>
      <c r="H130" s="1987" t="s">
        <v>104</v>
      </c>
      <c r="I130" s="1147" t="s">
        <v>244</v>
      </c>
      <c r="J130" s="1922" t="str">
        <f>IFERROR(VLOOKUP(I130,dropdowns!$E$45:$I$56,2,FALSE)," ")</f>
        <v>1.TB.01.003</v>
      </c>
      <c r="K130" s="1148" t="s">
        <v>244</v>
      </c>
      <c r="L130" s="1923" t="str">
        <f>IFERROR(VLOOKUP(K130,dropdowns!$G$45:$H$56,2,FALSE)," ")</f>
        <v>1.TB.01.003.01</v>
      </c>
      <c r="M130" s="1456" t="s">
        <v>2269</v>
      </c>
      <c r="N130" s="1970" t="s">
        <v>152</v>
      </c>
      <c r="O130" s="1253"/>
      <c r="P130" s="1982"/>
      <c r="Q130" s="3915"/>
      <c r="R130" s="1971">
        <v>47</v>
      </c>
      <c r="S130" s="1991"/>
      <c r="T130" s="1973">
        <v>45545</v>
      </c>
      <c r="U130" s="1531" t="s">
        <v>125</v>
      </c>
      <c r="V130" s="1974" t="s">
        <v>3035</v>
      </c>
      <c r="W130" s="1974"/>
      <c r="X130" s="1100" t="str">
        <f t="shared" si="10"/>
        <v>NOT ACTIVE</v>
      </c>
      <c r="Y130" s="3356">
        <v>99419.13</v>
      </c>
      <c r="Z130" s="1992" t="s">
        <v>5062</v>
      </c>
      <c r="AA130" s="1991"/>
      <c r="AB130" s="1973">
        <v>45583</v>
      </c>
      <c r="AC130" s="1974" t="s">
        <v>125</v>
      </c>
      <c r="AD130" s="1974" t="s">
        <v>3172</v>
      </c>
      <c r="AE130" s="1531"/>
      <c r="AF130" s="1100" t="str">
        <f t="shared" si="11"/>
        <v>NOT ACTIVE</v>
      </c>
      <c r="AG130" s="1530">
        <v>110148.84</v>
      </c>
      <c r="AH130" s="3325" t="s">
        <v>3181</v>
      </c>
      <c r="AI130" s="1973">
        <v>45589</v>
      </c>
      <c r="AJ130" s="1531" t="s">
        <v>125</v>
      </c>
      <c r="AK130" s="1974" t="s">
        <v>3180</v>
      </c>
      <c r="AL130" s="1993" t="s">
        <v>3181</v>
      </c>
      <c r="AM130" s="1977">
        <v>45589</v>
      </c>
      <c r="AN130" s="1978" t="s">
        <v>3182</v>
      </c>
      <c r="AO130" s="1979"/>
      <c r="AP130" s="1994"/>
      <c r="AQ130" s="1995"/>
      <c r="AR130" s="1973"/>
      <c r="AS130" s="1530"/>
      <c r="AT130" s="1991"/>
      <c r="AU130" s="1252"/>
      <c r="AV130" s="1530"/>
      <c r="AW130" s="1991"/>
      <c r="AX130" s="1973"/>
      <c r="AY130" s="1100" t="str">
        <f t="shared" si="12"/>
        <v>NOT ACTIVE</v>
      </c>
      <c r="AZ130" s="3327"/>
      <c r="BA130" s="1531" t="s">
        <v>125</v>
      </c>
      <c r="BB130" s="1532"/>
      <c r="BC130" s="1533"/>
      <c r="BD130" s="1999" t="s">
        <v>3432</v>
      </c>
      <c r="BF130" s="3846">
        <f t="shared" ca="1" si="13"/>
        <v>0</v>
      </c>
      <c r="BG130" s="1377"/>
    </row>
    <row r="131" spans="1:64" s="686" customFormat="1" ht="44.25" customHeight="1">
      <c r="A131" s="1141">
        <v>67</v>
      </c>
      <c r="B131" s="1884" t="s">
        <v>2967</v>
      </c>
      <c r="C131" s="1474" t="s">
        <v>161</v>
      </c>
      <c r="D131" s="1475" t="s">
        <v>92</v>
      </c>
      <c r="E131" s="1476"/>
      <c r="F131" s="1477"/>
      <c r="G131" s="1478"/>
      <c r="H131" s="1479" t="s">
        <v>104</v>
      </c>
      <c r="I131" s="1885" t="s">
        <v>244</v>
      </c>
      <c r="J131" s="1480" t="str">
        <f>IFERROR(VLOOKUP(I131,dropdowns!$E$45:$I$56,2,FALSE)," ")</f>
        <v>1.TB.01.003</v>
      </c>
      <c r="K131" s="1886" t="s">
        <v>244</v>
      </c>
      <c r="L131" s="1481" t="str">
        <f>IFERROR(VLOOKUP(K131,dropdowns!$G$45:$H$56,2,FALSE)," ")</f>
        <v>1.TB.01.003.01</v>
      </c>
      <c r="M131" s="1251" t="s">
        <v>2964</v>
      </c>
      <c r="N131" s="1482" t="s">
        <v>2965</v>
      </c>
      <c r="O131" s="1231">
        <v>27</v>
      </c>
      <c r="P131" s="1887">
        <v>45075</v>
      </c>
      <c r="Q131" s="3913">
        <f>2406500*0</f>
        <v>0</v>
      </c>
      <c r="R131" s="1216"/>
      <c r="S131" s="1217"/>
      <c r="T131" s="1728"/>
      <c r="U131" s="1222"/>
      <c r="V131" s="1222"/>
      <c r="W131" s="1219"/>
      <c r="X131" s="1093" t="str">
        <f t="shared" si="10"/>
        <v>NOT ACTIVE</v>
      </c>
      <c r="Y131" s="3349"/>
      <c r="Z131" s="1221"/>
      <c r="AA131" s="1217"/>
      <c r="AB131" s="1728"/>
      <c r="AC131" s="1222"/>
      <c r="AD131" s="1222"/>
      <c r="AE131" s="1222"/>
      <c r="AF131" s="1093" t="str">
        <f t="shared" si="11"/>
        <v>NOT ACTIVE</v>
      </c>
      <c r="AG131" s="1220"/>
      <c r="AH131" s="1234"/>
      <c r="AI131" s="1728"/>
      <c r="AJ131" s="1222"/>
      <c r="AK131" s="1222"/>
      <c r="AL131" s="1223"/>
      <c r="AM131" s="1735"/>
      <c r="AN131" s="3339"/>
      <c r="AO131" s="1226"/>
      <c r="AP131" s="1493"/>
      <c r="AQ131" s="1227"/>
      <c r="AR131" s="1728"/>
      <c r="AS131" s="1220"/>
      <c r="AT131" s="1217"/>
      <c r="AU131" s="1218"/>
      <c r="AV131" s="1220"/>
      <c r="AW131" s="1217"/>
      <c r="AX131" s="1728"/>
      <c r="AY131" s="1093" t="str">
        <f t="shared" si="12"/>
        <v>NOT ACTIVE</v>
      </c>
      <c r="AZ131" s="3521"/>
      <c r="BA131" s="1222"/>
      <c r="BB131" s="1228"/>
      <c r="BC131" s="1229"/>
      <c r="BD131" s="1230"/>
      <c r="BF131" s="845">
        <f t="shared" ca="1" si="13"/>
        <v>0</v>
      </c>
      <c r="BG131" s="1377"/>
    </row>
    <row r="132" spans="1:64" s="686" customFormat="1" ht="34.5" customHeight="1">
      <c r="A132" s="1141">
        <v>68</v>
      </c>
      <c r="B132" s="3545" t="s">
        <v>3017</v>
      </c>
      <c r="C132" s="1474" t="s">
        <v>165</v>
      </c>
      <c r="D132" s="1886" t="s">
        <v>5122</v>
      </c>
      <c r="E132" s="1476"/>
      <c r="F132" s="1477"/>
      <c r="G132" s="1478" t="s">
        <v>218</v>
      </c>
      <c r="H132" s="1479" t="s">
        <v>91</v>
      </c>
      <c r="I132" s="1885"/>
      <c r="J132" s="1480" t="str">
        <f>IFERROR(VLOOKUP(I132,dropdowns!$E$45:$I$56,2,FALSE)," ")</f>
        <v xml:space="preserve"> </v>
      </c>
      <c r="K132" s="1886"/>
      <c r="L132" s="1481" t="str">
        <f>IFERROR(VLOOKUP(K132,dropdowns!$G$45:$H$56,2,FALSE)," ")</f>
        <v xml:space="preserve"> </v>
      </c>
      <c r="M132" s="1251"/>
      <c r="N132" s="1482" t="s">
        <v>152</v>
      </c>
      <c r="O132" s="1231"/>
      <c r="P132" s="1224"/>
      <c r="Q132" s="3913"/>
      <c r="R132" s="1216"/>
      <c r="S132" s="1217"/>
      <c r="T132" s="1728"/>
      <c r="U132" s="1222" t="s">
        <v>79</v>
      </c>
      <c r="V132" s="1219" t="s">
        <v>2991</v>
      </c>
      <c r="W132" s="1219"/>
      <c r="X132" s="1093" t="str">
        <f t="shared" si="10"/>
        <v>ACTIVE</v>
      </c>
      <c r="Y132" s="3349"/>
      <c r="Z132" s="1221" t="s">
        <v>5063</v>
      </c>
      <c r="AA132" s="1217" t="s">
        <v>696</v>
      </c>
      <c r="AB132" s="1728">
        <v>45521</v>
      </c>
      <c r="AC132" s="1219" t="s">
        <v>79</v>
      </c>
      <c r="AD132" s="1219" t="s">
        <v>2990</v>
      </c>
      <c r="AE132" s="1222"/>
      <c r="AF132" s="1093" t="str">
        <f t="shared" si="11"/>
        <v>ACTIVE</v>
      </c>
      <c r="AG132" s="1220">
        <v>0</v>
      </c>
      <c r="AH132" s="1234" t="s">
        <v>3004</v>
      </c>
      <c r="AI132" s="1728">
        <v>45536</v>
      </c>
      <c r="AJ132" s="1222" t="s">
        <v>79</v>
      </c>
      <c r="AK132" s="1219" t="s">
        <v>3020</v>
      </c>
      <c r="AL132" s="1223" t="s">
        <v>3019</v>
      </c>
      <c r="AM132" s="1735">
        <v>45539</v>
      </c>
      <c r="AN132" s="1239" t="s">
        <v>3018</v>
      </c>
      <c r="AO132" s="1226" t="s">
        <v>3496</v>
      </c>
      <c r="AP132" s="1493"/>
      <c r="AQ132" s="1227"/>
      <c r="AR132" s="1728"/>
      <c r="AS132" s="1220"/>
      <c r="AT132" s="1217"/>
      <c r="AU132" s="1218"/>
      <c r="AV132" s="1220"/>
      <c r="AW132" s="1227" t="s">
        <v>3428</v>
      </c>
      <c r="AX132" s="1728">
        <v>45634</v>
      </c>
      <c r="AY132" s="1093" t="str">
        <f t="shared" si="12"/>
        <v>ACTIVE</v>
      </c>
      <c r="AZ132" s="3521">
        <v>0</v>
      </c>
      <c r="BA132" s="1222" t="s">
        <v>79</v>
      </c>
      <c r="BB132" s="1228"/>
      <c r="BC132" s="1229"/>
      <c r="BD132" s="1230"/>
      <c r="BF132" s="3525">
        <f t="shared" ca="1" si="13"/>
        <v>0</v>
      </c>
      <c r="BG132" s="1377"/>
    </row>
    <row r="133" spans="1:64" s="686" customFormat="1" ht="66" customHeight="1">
      <c r="A133" s="1524">
        <v>69</v>
      </c>
      <c r="B133" s="1961" t="s">
        <v>3052</v>
      </c>
      <c r="C133" s="1962" t="s">
        <v>165</v>
      </c>
      <c r="D133" s="2107" t="s">
        <v>92</v>
      </c>
      <c r="E133" s="1964"/>
      <c r="F133" s="1965"/>
      <c r="G133" s="1966" t="s">
        <v>175</v>
      </c>
      <c r="H133" s="1987" t="s">
        <v>104</v>
      </c>
      <c r="I133" s="1968" t="s">
        <v>244</v>
      </c>
      <c r="J133" s="1922" t="str">
        <f>IFERROR(VLOOKUP(I133,dropdowns!$E$45:$I$56,2,FALSE)," ")</f>
        <v>1.TB.01.003</v>
      </c>
      <c r="K133" s="1969" t="s">
        <v>244</v>
      </c>
      <c r="L133" s="1923" t="str">
        <f>IFERROR(VLOOKUP(K133,dropdowns!$G$45:$H$56,2,FALSE)," ")</f>
        <v>1.TB.01.003.01</v>
      </c>
      <c r="M133" s="1456" t="s">
        <v>2269</v>
      </c>
      <c r="N133" s="1970" t="s">
        <v>152</v>
      </c>
      <c r="O133" s="1253"/>
      <c r="P133" s="1982"/>
      <c r="Q133" s="3915"/>
      <c r="R133" s="1971">
        <v>48</v>
      </c>
      <c r="S133" s="1991" t="s">
        <v>663</v>
      </c>
      <c r="T133" s="1973">
        <v>45563</v>
      </c>
      <c r="U133" s="1531" t="s">
        <v>125</v>
      </c>
      <c r="V133" s="1974" t="s">
        <v>3065</v>
      </c>
      <c r="W133" s="1974" t="s">
        <v>94</v>
      </c>
      <c r="X133" s="1100" t="str">
        <f t="shared" si="10"/>
        <v>NOT ACTIVE</v>
      </c>
      <c r="Y133" s="3356">
        <v>223236</v>
      </c>
      <c r="Z133" s="1992" t="s">
        <v>5064</v>
      </c>
      <c r="AA133" s="1991"/>
      <c r="AB133" s="1973">
        <v>45588</v>
      </c>
      <c r="AC133" s="1974" t="s">
        <v>125</v>
      </c>
      <c r="AD133" s="1974" t="s">
        <v>3175</v>
      </c>
      <c r="AE133" s="1531"/>
      <c r="AF133" s="1100" t="str">
        <f t="shared" si="11"/>
        <v>NOT ACTIVE</v>
      </c>
      <c r="AG133" s="1530">
        <v>223236</v>
      </c>
      <c r="AH133" s="3325" t="s">
        <v>3197</v>
      </c>
      <c r="AI133" s="1973">
        <v>45614</v>
      </c>
      <c r="AJ133" s="1531" t="s">
        <v>125</v>
      </c>
      <c r="AK133" s="1974" t="s">
        <v>3383</v>
      </c>
      <c r="AL133" s="1993" t="s">
        <v>3382</v>
      </c>
      <c r="AM133" s="1977">
        <v>45615</v>
      </c>
      <c r="AN133" s="1978" t="s">
        <v>3381</v>
      </c>
      <c r="AO133" s="1979"/>
      <c r="AP133" s="1994"/>
      <c r="AQ133" s="1995"/>
      <c r="AR133" s="1973"/>
      <c r="AS133" s="1530"/>
      <c r="AT133" s="1991"/>
      <c r="AU133" s="1252"/>
      <c r="AV133" s="1530"/>
      <c r="AW133" s="1991"/>
      <c r="AX133" s="1973"/>
      <c r="AY133" s="1100" t="str">
        <f t="shared" si="12"/>
        <v>NOT ACTIVE</v>
      </c>
      <c r="AZ133" s="3327"/>
      <c r="BA133" s="1531" t="s">
        <v>125</v>
      </c>
      <c r="BB133" s="1532"/>
      <c r="BC133" s="1533"/>
      <c r="BD133" s="1999" t="s">
        <v>3435</v>
      </c>
      <c r="BF133" s="845">
        <f t="shared" ca="1" si="13"/>
        <v>0</v>
      </c>
      <c r="BG133" s="1377"/>
    </row>
    <row r="134" spans="1:64" s="686" customFormat="1" ht="38.25">
      <c r="A134" s="1141" t="s">
        <v>3056</v>
      </c>
      <c r="B134" s="1884" t="s">
        <v>3054</v>
      </c>
      <c r="C134" s="1474" t="s">
        <v>165</v>
      </c>
      <c r="D134" s="1475" t="s">
        <v>92</v>
      </c>
      <c r="E134" s="1476"/>
      <c r="F134" s="1477"/>
      <c r="G134" s="1478"/>
      <c r="H134" s="1479" t="s">
        <v>104</v>
      </c>
      <c r="I134" s="1885" t="s">
        <v>244</v>
      </c>
      <c r="J134" s="1480" t="str">
        <f>IFERROR(VLOOKUP(I134,dropdowns!$E$45:$I$56,2,FALSE)," ")</f>
        <v>1.TB.01.003</v>
      </c>
      <c r="K134" s="1886" t="s">
        <v>244</v>
      </c>
      <c r="L134" s="1481" t="str">
        <f>IFERROR(VLOOKUP(K134,dropdowns!$G$45:$H$56,2,FALSE)," ")</f>
        <v>1.TB.01.003.01</v>
      </c>
      <c r="M134" s="1251" t="s">
        <v>3206</v>
      </c>
      <c r="N134" s="1482" t="s">
        <v>3128</v>
      </c>
      <c r="O134" s="1231" t="s">
        <v>3053</v>
      </c>
      <c r="P134" s="1887">
        <v>45185</v>
      </c>
      <c r="Q134" s="3913">
        <f>1300000*0</f>
        <v>0</v>
      </c>
      <c r="R134" s="1216"/>
      <c r="S134" s="1217"/>
      <c r="T134" s="1728"/>
      <c r="U134" s="1222"/>
      <c r="V134" s="1222"/>
      <c r="W134" s="1219"/>
      <c r="X134" s="1093" t="str">
        <f t="shared" si="10"/>
        <v>NOT ACTIVE</v>
      </c>
      <c r="Y134" s="3349"/>
      <c r="Z134" s="1221"/>
      <c r="AA134" s="1217"/>
      <c r="AB134" s="1728"/>
      <c r="AC134" s="1222"/>
      <c r="AD134" s="1222"/>
      <c r="AE134" s="1222"/>
      <c r="AF134" s="1093" t="str">
        <f t="shared" si="11"/>
        <v>NOT ACTIVE</v>
      </c>
      <c r="AG134" s="1220"/>
      <c r="AH134" s="1234"/>
      <c r="AI134" s="1728"/>
      <c r="AJ134" s="1222"/>
      <c r="AK134" s="1222"/>
      <c r="AL134" s="1223"/>
      <c r="AM134" s="1735"/>
      <c r="AN134" s="3339"/>
      <c r="AO134" s="1226"/>
      <c r="AP134" s="1493"/>
      <c r="AQ134" s="1227"/>
      <c r="AR134" s="1728"/>
      <c r="AS134" s="1220"/>
      <c r="AT134" s="1217"/>
      <c r="AU134" s="1218"/>
      <c r="AV134" s="1220"/>
      <c r="AW134" s="1217"/>
      <c r="AX134" s="1728"/>
      <c r="AY134" s="1093" t="str">
        <f t="shared" si="12"/>
        <v>NOT ACTIVE</v>
      </c>
      <c r="AZ134" s="3521"/>
      <c r="BA134" s="1222"/>
      <c r="BB134" s="1228"/>
      <c r="BC134" s="1229"/>
      <c r="BD134" s="1230" t="s">
        <v>3208</v>
      </c>
      <c r="BF134" s="845">
        <f t="shared" ca="1" si="13"/>
        <v>0</v>
      </c>
      <c r="BG134" s="1377"/>
    </row>
    <row r="135" spans="1:64" s="686" customFormat="1" ht="62.25" customHeight="1">
      <c r="A135" s="1132" t="s">
        <v>3057</v>
      </c>
      <c r="B135" s="3545" t="s">
        <v>3058</v>
      </c>
      <c r="C135" s="3546" t="s">
        <v>165</v>
      </c>
      <c r="D135" s="3547" t="s">
        <v>92</v>
      </c>
      <c r="E135" s="3548"/>
      <c r="F135" s="3549"/>
      <c r="G135" s="3550"/>
      <c r="H135" s="3551" t="s">
        <v>104</v>
      </c>
      <c r="I135" s="3552" t="s">
        <v>244</v>
      </c>
      <c r="J135" s="3553" t="str">
        <f>IFERROR(VLOOKUP(I135,dropdowns!$E$45:$I$56,2,FALSE)," ")</f>
        <v>1.TB.01.003</v>
      </c>
      <c r="K135" s="3554" t="s">
        <v>244</v>
      </c>
      <c r="L135" s="3555" t="str">
        <f>IFERROR(VLOOKUP(K135,dropdowns!$G$45:$H$56,2,FALSE)," ")</f>
        <v>1.TB.01.003.01</v>
      </c>
      <c r="M135" s="3556" t="s">
        <v>2269</v>
      </c>
      <c r="N135" s="3557" t="s">
        <v>152</v>
      </c>
      <c r="O135" s="2000" t="s">
        <v>3059</v>
      </c>
      <c r="P135" s="5194">
        <v>45185</v>
      </c>
      <c r="Q135" s="3917">
        <v>-1108000</v>
      </c>
      <c r="R135" s="1103"/>
      <c r="S135" s="1109"/>
      <c r="T135" s="1729"/>
      <c r="U135" s="1097"/>
      <c r="V135" s="1097"/>
      <c r="W135" s="1105"/>
      <c r="X135" s="1093" t="str">
        <f>IF(U135="APPROVED","ACTIVE",IF(U135="PENDING","ACTIVE","NOT ACTIVE"))</f>
        <v>NOT ACTIVE</v>
      </c>
      <c r="Y135" s="3351"/>
      <c r="Z135" s="1111" t="s">
        <v>5053</v>
      </c>
      <c r="AA135" s="1109"/>
      <c r="AB135" s="1729"/>
      <c r="AC135" s="1097"/>
      <c r="AD135" s="1097"/>
      <c r="AE135" s="1097"/>
      <c r="AF135" s="1094" t="str">
        <f>IF(AC135="APPROVED","ACTIVE","NOT ACTIVE")</f>
        <v>NOT ACTIVE</v>
      </c>
      <c r="AG135" s="1182"/>
      <c r="AH135" s="1101"/>
      <c r="AI135" s="1729"/>
      <c r="AJ135" s="1097"/>
      <c r="AK135" s="1097"/>
      <c r="AL135" s="1110"/>
      <c r="AM135" s="1736"/>
      <c r="AN135" s="1112"/>
      <c r="AO135" s="1113"/>
      <c r="AP135" s="1487"/>
      <c r="AQ135" s="1117"/>
      <c r="AR135" s="1729"/>
      <c r="AS135" s="1182"/>
      <c r="AT135" s="1109"/>
      <c r="AU135" s="1095"/>
      <c r="AV135" s="1182"/>
      <c r="AW135" s="1109"/>
      <c r="AX135" s="1729"/>
      <c r="AY135" s="1094" t="str">
        <f>IF(BA135="APPROVED","ACTIVE","NOT ACTIVE")</f>
        <v>NOT ACTIVE</v>
      </c>
      <c r="AZ135" s="1186"/>
      <c r="BA135" s="1097"/>
      <c r="BB135" s="1098"/>
      <c r="BC135" s="1099"/>
      <c r="BD135" s="1230" t="s">
        <v>4871</v>
      </c>
      <c r="BF135" s="845">
        <f t="shared" ca="1" si="13"/>
        <v>0</v>
      </c>
      <c r="BG135" s="1377"/>
    </row>
    <row r="136" spans="1:64" s="686" customFormat="1" ht="54" customHeight="1">
      <c r="A136" s="1141" t="s">
        <v>3060</v>
      </c>
      <c r="B136" s="1884" t="s">
        <v>3055</v>
      </c>
      <c r="C136" s="1474"/>
      <c r="D136" s="1475"/>
      <c r="E136" s="1476"/>
      <c r="F136" s="1477"/>
      <c r="G136" s="1478"/>
      <c r="H136" s="1479" t="s">
        <v>104</v>
      </c>
      <c r="I136" s="1885" t="s">
        <v>244</v>
      </c>
      <c r="J136" s="1480" t="str">
        <f>IFERROR(VLOOKUP(I136,dropdowns!$E$45:$I$56,2,FALSE)," ")</f>
        <v>1.TB.01.003</v>
      </c>
      <c r="K136" s="1886" t="s">
        <v>244</v>
      </c>
      <c r="L136" s="1481" t="str">
        <f>IFERROR(VLOOKUP(K136,dropdowns!$G$45:$H$56,2,FALSE)," ")</f>
        <v>1.TB.01.003.01</v>
      </c>
      <c r="M136" s="1251" t="s">
        <v>3204</v>
      </c>
      <c r="N136" s="1482" t="s">
        <v>3128</v>
      </c>
      <c r="O136" s="1231" t="s">
        <v>3131</v>
      </c>
      <c r="P136" s="1887">
        <v>45578</v>
      </c>
      <c r="Q136" s="3913">
        <f>4004000*0</f>
        <v>0</v>
      </c>
      <c r="R136" s="1216"/>
      <c r="S136" s="1217"/>
      <c r="T136" s="1728"/>
      <c r="U136" s="1222"/>
      <c r="V136" s="1222"/>
      <c r="W136" s="1219"/>
      <c r="X136" s="1093" t="str">
        <f t="shared" si="10"/>
        <v>NOT ACTIVE</v>
      </c>
      <c r="Y136" s="3349"/>
      <c r="Z136" s="1221"/>
      <c r="AA136" s="1217"/>
      <c r="AB136" s="1728"/>
      <c r="AC136" s="1222"/>
      <c r="AD136" s="1222"/>
      <c r="AE136" s="1222"/>
      <c r="AF136" s="1093" t="str">
        <f t="shared" si="11"/>
        <v>NOT ACTIVE</v>
      </c>
      <c r="AG136" s="1220"/>
      <c r="AH136" s="1234"/>
      <c r="AI136" s="1728"/>
      <c r="AJ136" s="1222"/>
      <c r="AK136" s="1222"/>
      <c r="AL136" s="1223"/>
      <c r="AM136" s="1735"/>
      <c r="AN136" s="3339"/>
      <c r="AO136" s="1226"/>
      <c r="AP136" s="1493"/>
      <c r="AQ136" s="1227"/>
      <c r="AR136" s="1728"/>
      <c r="AS136" s="1220"/>
      <c r="AT136" s="1217"/>
      <c r="AU136" s="1218"/>
      <c r="AV136" s="1220"/>
      <c r="AW136" s="1217"/>
      <c r="AX136" s="1728"/>
      <c r="AY136" s="1093" t="str">
        <f t="shared" si="12"/>
        <v>NOT ACTIVE</v>
      </c>
      <c r="AZ136" s="3521"/>
      <c r="BA136" s="1222"/>
      <c r="BB136" s="1228"/>
      <c r="BC136" s="1229"/>
      <c r="BD136" s="1230" t="s">
        <v>4871</v>
      </c>
      <c r="BF136" s="845">
        <f t="shared" ca="1" si="13"/>
        <v>0</v>
      </c>
      <c r="BG136" s="1377"/>
    </row>
    <row r="137" spans="1:64" s="686" customFormat="1" ht="64.5" customHeight="1">
      <c r="A137" s="1132" t="s">
        <v>3061</v>
      </c>
      <c r="B137" s="3545" t="s">
        <v>3062</v>
      </c>
      <c r="C137" s="3546"/>
      <c r="D137" s="3547"/>
      <c r="E137" s="3548"/>
      <c r="F137" s="3549"/>
      <c r="G137" s="3550"/>
      <c r="H137" s="3551" t="s">
        <v>104</v>
      </c>
      <c r="I137" s="3552" t="s">
        <v>244</v>
      </c>
      <c r="J137" s="3553" t="str">
        <f>IFERROR(VLOOKUP(I137,dropdowns!$E$45:$I$56,2,FALSE)," ")</f>
        <v>1.TB.01.003</v>
      </c>
      <c r="K137" s="3554" t="s">
        <v>244</v>
      </c>
      <c r="L137" s="3555" t="str">
        <f>IFERROR(VLOOKUP(K137,dropdowns!$G$45:$H$56,2,FALSE)," ")</f>
        <v>1.TB.01.003.01</v>
      </c>
      <c r="M137" s="3556" t="s">
        <v>2269</v>
      </c>
      <c r="N137" s="3557" t="s">
        <v>152</v>
      </c>
      <c r="O137" s="2000" t="s">
        <v>3130</v>
      </c>
      <c r="P137" s="5194">
        <v>45578</v>
      </c>
      <c r="Q137" s="3917">
        <v>-4004000</v>
      </c>
      <c r="R137" s="1103"/>
      <c r="S137" s="1109"/>
      <c r="T137" s="1729"/>
      <c r="U137" s="1097"/>
      <c r="V137" s="1097"/>
      <c r="W137" s="1105"/>
      <c r="X137" s="1093" t="str">
        <f>IF(U137="APPROVED","ACTIVE",IF(U137="PENDING","ACTIVE","NOT ACTIVE"))</f>
        <v>NOT ACTIVE</v>
      </c>
      <c r="Y137" s="3351"/>
      <c r="Z137" s="1111" t="s">
        <v>5054</v>
      </c>
      <c r="AA137" s="1109"/>
      <c r="AB137" s="1729"/>
      <c r="AC137" s="1097"/>
      <c r="AD137" s="1097"/>
      <c r="AE137" s="1097"/>
      <c r="AF137" s="1094" t="str">
        <f>IF(AC137="APPROVED","ACTIVE","NOT ACTIVE")</f>
        <v>NOT ACTIVE</v>
      </c>
      <c r="AG137" s="1182"/>
      <c r="AH137" s="1101"/>
      <c r="AI137" s="1729"/>
      <c r="AJ137" s="1097"/>
      <c r="AK137" s="1097"/>
      <c r="AL137" s="1110"/>
      <c r="AM137" s="1736"/>
      <c r="AN137" s="1112"/>
      <c r="AO137" s="1113"/>
      <c r="AP137" s="1487"/>
      <c r="AQ137" s="1117"/>
      <c r="AR137" s="1729"/>
      <c r="AS137" s="1182"/>
      <c r="AT137" s="1109"/>
      <c r="AU137" s="1095"/>
      <c r="AV137" s="1182"/>
      <c r="AW137" s="1109"/>
      <c r="AX137" s="1729"/>
      <c r="AY137" s="1094" t="str">
        <f>IF(BA137="APPROVED","ACTIVE","NOT ACTIVE")</f>
        <v>NOT ACTIVE</v>
      </c>
      <c r="AZ137" s="1186"/>
      <c r="BA137" s="1097"/>
      <c r="BB137" s="1098"/>
      <c r="BC137" s="1099"/>
      <c r="BD137" s="1108" t="s">
        <v>4808</v>
      </c>
      <c r="BF137" s="845">
        <f t="shared" ca="1" si="13"/>
        <v>0</v>
      </c>
      <c r="BG137" s="1377"/>
    </row>
    <row r="138" spans="1:64" s="686" customFormat="1" ht="72.75" customHeight="1">
      <c r="A138" s="1132">
        <v>72</v>
      </c>
      <c r="B138" s="3545" t="s">
        <v>3334</v>
      </c>
      <c r="C138" s="3546" t="s">
        <v>165</v>
      </c>
      <c r="D138" s="3547" t="s">
        <v>92</v>
      </c>
      <c r="E138" s="3548"/>
      <c r="F138" s="3549"/>
      <c r="G138" s="3550"/>
      <c r="H138" s="3551" t="s">
        <v>104</v>
      </c>
      <c r="I138" s="3552" t="s">
        <v>244</v>
      </c>
      <c r="J138" s="3553" t="str">
        <f>IFERROR(VLOOKUP(I138,dropdowns!$E$45:$I$56,2,FALSE)," ")</f>
        <v>1.TB.01.003</v>
      </c>
      <c r="K138" s="3554" t="s">
        <v>244</v>
      </c>
      <c r="L138" s="3555" t="str">
        <f>IFERROR(VLOOKUP(K138,dropdowns!$G$45:$H$56,2,FALSE)," ")</f>
        <v>1.TB.01.003.01</v>
      </c>
      <c r="M138" s="1251" t="s">
        <v>3930</v>
      </c>
      <c r="N138" s="3557" t="s">
        <v>2558</v>
      </c>
      <c r="O138" s="2000" t="s">
        <v>3132</v>
      </c>
      <c r="P138" s="5194">
        <v>45185</v>
      </c>
      <c r="Q138" s="5195">
        <v>69000</v>
      </c>
      <c r="R138" s="1103"/>
      <c r="S138" s="1109"/>
      <c r="T138" s="1729"/>
      <c r="U138" s="1097"/>
      <c r="V138" s="1097"/>
      <c r="W138" s="1105"/>
      <c r="X138" s="1093" t="str">
        <f t="shared" si="10"/>
        <v>NOT ACTIVE</v>
      </c>
      <c r="Y138" s="3351"/>
      <c r="Z138" s="1111"/>
      <c r="AA138" s="1109"/>
      <c r="AB138" s="1729"/>
      <c r="AC138" s="1097"/>
      <c r="AD138" s="1105"/>
      <c r="AE138" s="1097"/>
      <c r="AF138" s="1094" t="str">
        <f t="shared" si="11"/>
        <v>NOT ACTIVE</v>
      </c>
      <c r="AG138" s="1182"/>
      <c r="AH138" s="1101"/>
      <c r="AI138" s="1729"/>
      <c r="AJ138" s="1097"/>
      <c r="AK138" s="1097"/>
      <c r="AL138" s="1110"/>
      <c r="AM138" s="1736"/>
      <c r="AN138" s="1112"/>
      <c r="AO138" s="1113"/>
      <c r="AP138" s="1487"/>
      <c r="AQ138" s="1117"/>
      <c r="AR138" s="1729"/>
      <c r="AS138" s="1182"/>
      <c r="AT138" s="1109"/>
      <c r="AU138" s="1095"/>
      <c r="AV138" s="1182"/>
      <c r="AW138" s="1109"/>
      <c r="AX138" s="1729"/>
      <c r="AY138" s="1094" t="str">
        <f t="shared" si="12"/>
        <v>NOT ACTIVE</v>
      </c>
      <c r="AZ138" s="1186"/>
      <c r="BA138" s="1097"/>
      <c r="BB138" s="1098"/>
      <c r="BC138" s="1099"/>
      <c r="BD138" s="1230" t="s">
        <v>4872</v>
      </c>
      <c r="BF138" s="845">
        <f t="shared" ca="1" si="13"/>
        <v>0</v>
      </c>
      <c r="BG138" s="1377"/>
    </row>
    <row r="139" spans="1:64" s="686" customFormat="1" ht="45" customHeight="1">
      <c r="A139" s="1141">
        <v>73</v>
      </c>
      <c r="B139" s="1884" t="s">
        <v>3169</v>
      </c>
      <c r="C139" s="1474" t="s">
        <v>165</v>
      </c>
      <c r="D139" s="1886" t="s">
        <v>5113</v>
      </c>
      <c r="E139" s="1476"/>
      <c r="F139" s="1477"/>
      <c r="G139" s="1478"/>
      <c r="H139" s="1479" t="s">
        <v>91</v>
      </c>
      <c r="I139" s="1885" t="s">
        <v>244</v>
      </c>
      <c r="J139" s="1480" t="str">
        <f>IFERROR(VLOOKUP(I139,dropdowns!$E$45:$I$56,2,FALSE)," ")</f>
        <v>1.TB.01.003</v>
      </c>
      <c r="K139" s="1886" t="s">
        <v>244</v>
      </c>
      <c r="L139" s="1481" t="str">
        <f>IFERROR(VLOOKUP(K139,dropdowns!$G$45:$H$56,2,FALSE)," ")</f>
        <v>1.TB.01.003.01</v>
      </c>
      <c r="M139" s="1251" t="s">
        <v>3206</v>
      </c>
      <c r="N139" s="1482" t="s">
        <v>3128</v>
      </c>
      <c r="O139" s="1231" t="s">
        <v>3129</v>
      </c>
      <c r="P139" s="1887">
        <v>45578</v>
      </c>
      <c r="Q139" s="3913">
        <f>205658.08*0</f>
        <v>0</v>
      </c>
      <c r="R139" s="1216"/>
      <c r="S139" s="1217"/>
      <c r="T139" s="1728"/>
      <c r="U139" s="1222" t="s">
        <v>79</v>
      </c>
      <c r="V139" s="1222"/>
      <c r="W139" s="1219"/>
      <c r="X139" s="1093" t="str">
        <f t="shared" si="10"/>
        <v>ACTIVE</v>
      </c>
      <c r="Y139" s="3349"/>
      <c r="Z139" s="1221" t="s">
        <v>3498</v>
      </c>
      <c r="AA139" s="4064"/>
      <c r="AB139" s="1728">
        <v>45712</v>
      </c>
      <c r="AC139" s="1222" t="s">
        <v>79</v>
      </c>
      <c r="AD139" s="1219" t="s">
        <v>3685</v>
      </c>
      <c r="AE139" s="4065"/>
      <c r="AF139" s="1093" t="str">
        <f t="shared" si="11"/>
        <v>ACTIVE</v>
      </c>
      <c r="AG139" s="1220">
        <v>249727.67</v>
      </c>
      <c r="AH139" s="1234"/>
      <c r="AI139" s="1728"/>
      <c r="AJ139" s="1222"/>
      <c r="AK139" s="1222"/>
      <c r="AL139" s="1223"/>
      <c r="AM139" s="1735"/>
      <c r="AN139" s="3339"/>
      <c r="AO139" s="1226"/>
      <c r="AP139" s="1493"/>
      <c r="AQ139" s="1227"/>
      <c r="AR139" s="1728"/>
      <c r="AS139" s="1220"/>
      <c r="AT139" s="1217"/>
      <c r="AU139" s="1218"/>
      <c r="AV139" s="1220"/>
      <c r="AW139" s="1227" t="s">
        <v>4116</v>
      </c>
      <c r="AX139" s="1728">
        <v>45755</v>
      </c>
      <c r="AY139" s="1093" t="str">
        <f t="shared" si="12"/>
        <v>ACTIVE</v>
      </c>
      <c r="AZ139" s="3521">
        <v>205658.08</v>
      </c>
      <c r="BA139" s="1222" t="s">
        <v>79</v>
      </c>
      <c r="BB139" s="1228"/>
      <c r="BC139" s="1229"/>
      <c r="BD139" s="1230" t="s">
        <v>3215</v>
      </c>
      <c r="BF139" s="845">
        <f t="shared" ca="1" si="13"/>
        <v>0</v>
      </c>
      <c r="BG139" s="1377"/>
    </row>
    <row r="140" spans="1:64" s="686" customFormat="1" ht="38.25" customHeight="1">
      <c r="A140" s="1141">
        <v>74</v>
      </c>
      <c r="B140" s="1884" t="s">
        <v>3176</v>
      </c>
      <c r="C140" s="1474"/>
      <c r="D140" s="1886" t="s">
        <v>5124</v>
      </c>
      <c r="E140" s="1476"/>
      <c r="F140" s="1477"/>
      <c r="G140" s="1478"/>
      <c r="H140" s="1479" t="s">
        <v>91</v>
      </c>
      <c r="I140" s="3552" t="s">
        <v>244</v>
      </c>
      <c r="J140" s="3553" t="str">
        <f>IFERROR(VLOOKUP(I140,dropdowns!$E$45:$I$56,2,FALSE)," ")</f>
        <v>1.TB.01.003</v>
      </c>
      <c r="K140" s="3554" t="s">
        <v>244</v>
      </c>
      <c r="L140" s="3555" t="str">
        <f>IFERROR(VLOOKUP(K140,dropdowns!$G$45:$H$56,2,FALSE)," ")</f>
        <v>1.TB.01.003.01</v>
      </c>
      <c r="M140" s="3556" t="s">
        <v>2269</v>
      </c>
      <c r="N140" s="3557" t="s">
        <v>152</v>
      </c>
      <c r="O140" s="1231" t="s">
        <v>3240</v>
      </c>
      <c r="P140" s="1224"/>
      <c r="Q140" s="3913"/>
      <c r="R140" s="1216"/>
      <c r="S140" s="1217"/>
      <c r="T140" s="1728"/>
      <c r="U140" s="1222" t="s">
        <v>79</v>
      </c>
      <c r="V140" s="1222"/>
      <c r="W140" s="1219"/>
      <c r="X140" s="1093" t="str">
        <f t="shared" si="10"/>
        <v>ACTIVE</v>
      </c>
      <c r="Y140" s="3349">
        <v>-23125000</v>
      </c>
      <c r="Z140" s="1221" t="s">
        <v>5055</v>
      </c>
      <c r="AA140" s="1217"/>
      <c r="AB140" s="1728">
        <v>45608</v>
      </c>
      <c r="AC140" s="1222" t="s">
        <v>79</v>
      </c>
      <c r="AD140" s="1219" t="s">
        <v>3359</v>
      </c>
      <c r="AE140" s="1222" t="s">
        <v>94</v>
      </c>
      <c r="AF140" s="1093" t="str">
        <f t="shared" si="11"/>
        <v>ACTIVE</v>
      </c>
      <c r="AG140" s="1248">
        <v>-23125000</v>
      </c>
      <c r="AH140" s="1234" t="s">
        <v>3199</v>
      </c>
      <c r="AI140" s="1728">
        <v>45620</v>
      </c>
      <c r="AJ140" s="1222" t="s">
        <v>79</v>
      </c>
      <c r="AK140" s="1219" t="s">
        <v>3380</v>
      </c>
      <c r="AL140" s="1223" t="s">
        <v>3378</v>
      </c>
      <c r="AM140" s="1735">
        <v>45620</v>
      </c>
      <c r="AN140" s="1239" t="s">
        <v>3379</v>
      </c>
      <c r="AO140" s="1226" t="s">
        <v>3617</v>
      </c>
      <c r="AP140" s="1493"/>
      <c r="AQ140" s="1227"/>
      <c r="AR140" s="1728"/>
      <c r="AS140" s="1220"/>
      <c r="AT140" s="1217"/>
      <c r="AU140" s="1218"/>
      <c r="AV140" s="1220"/>
      <c r="AW140" s="1227" t="s">
        <v>3502</v>
      </c>
      <c r="AX140" s="1728">
        <v>45663</v>
      </c>
      <c r="AY140" s="1093" t="str">
        <f t="shared" si="12"/>
        <v>ACTIVE</v>
      </c>
      <c r="AZ140" s="3583">
        <v>-23125000</v>
      </c>
      <c r="BA140" s="1222" t="s">
        <v>79</v>
      </c>
      <c r="BB140" s="1228"/>
      <c r="BC140" s="1229"/>
      <c r="BD140" s="1230" t="s">
        <v>3431</v>
      </c>
      <c r="BF140" s="845">
        <f t="shared" ca="1" si="13"/>
        <v>0</v>
      </c>
      <c r="BG140" s="1377"/>
    </row>
    <row r="141" spans="1:64" s="686" customFormat="1" ht="63.75" customHeight="1">
      <c r="A141" s="1141">
        <v>75</v>
      </c>
      <c r="B141" s="1884" t="s">
        <v>3198</v>
      </c>
      <c r="C141" s="1474"/>
      <c r="D141" s="1475"/>
      <c r="E141" s="1476"/>
      <c r="F141" s="1477"/>
      <c r="G141" s="1478"/>
      <c r="H141" s="3551" t="s">
        <v>104</v>
      </c>
      <c r="I141" s="3552" t="s">
        <v>244</v>
      </c>
      <c r="J141" s="3553" t="str">
        <f>IFERROR(VLOOKUP(I141,dropdowns!$E$45:$I$56,2,FALSE)," ")</f>
        <v>1.TB.01.003</v>
      </c>
      <c r="K141" s="3554" t="s">
        <v>244</v>
      </c>
      <c r="L141" s="3555" t="str">
        <f>IFERROR(VLOOKUP(K141,dropdowns!$G$45:$H$56,2,FALSE)," ")</f>
        <v>1.TB.01.003.01</v>
      </c>
      <c r="M141" s="3556" t="s">
        <v>2269</v>
      </c>
      <c r="N141" s="3557" t="s">
        <v>152</v>
      </c>
      <c r="O141" s="2000" t="s">
        <v>3219</v>
      </c>
      <c r="P141" s="5194"/>
      <c r="Q141" s="5195">
        <v>201600</v>
      </c>
      <c r="R141" s="1103"/>
      <c r="S141" s="1109"/>
      <c r="T141" s="1729"/>
      <c r="U141" s="4389"/>
      <c r="V141" s="1097"/>
      <c r="W141" s="1105"/>
      <c r="X141" s="1093" t="str">
        <f t="shared" si="10"/>
        <v>NOT ACTIVE</v>
      </c>
      <c r="Y141" s="3351"/>
      <c r="Z141" s="1111"/>
      <c r="AA141" s="1109"/>
      <c r="AB141" s="1729"/>
      <c r="AC141" s="1097"/>
      <c r="AD141" s="1097"/>
      <c r="AE141" s="1097"/>
      <c r="AF141" s="1094" t="str">
        <f t="shared" si="11"/>
        <v>NOT ACTIVE</v>
      </c>
      <c r="AG141" s="1182"/>
      <c r="AH141" s="1101"/>
      <c r="AI141" s="1729"/>
      <c r="AJ141" s="1097"/>
      <c r="AK141" s="1097"/>
      <c r="AL141" s="1110"/>
      <c r="AM141" s="1736"/>
      <c r="AN141" s="1112"/>
      <c r="AO141" s="1113"/>
      <c r="AP141" s="1487"/>
      <c r="AQ141" s="1117"/>
      <c r="AR141" s="1729"/>
      <c r="AS141" s="1182"/>
      <c r="AT141" s="1109"/>
      <c r="AU141" s="1095"/>
      <c r="AV141" s="1182"/>
      <c r="AW141" s="1109"/>
      <c r="AX141" s="1729"/>
      <c r="AY141" s="1094" t="str">
        <f t="shared" si="12"/>
        <v>NOT ACTIVE</v>
      </c>
      <c r="AZ141" s="1186"/>
      <c r="BA141" s="1097"/>
      <c r="BB141" s="1098"/>
      <c r="BC141" s="1099"/>
      <c r="BD141" s="1230" t="s">
        <v>4868</v>
      </c>
      <c r="BF141" s="845">
        <f t="shared" ca="1" si="13"/>
        <v>0</v>
      </c>
      <c r="BG141" s="1377"/>
    </row>
    <row r="142" spans="1:64" s="686" customFormat="1" ht="42" customHeight="1">
      <c r="A142" s="1132">
        <v>76</v>
      </c>
      <c r="B142" s="3545" t="s">
        <v>3200</v>
      </c>
      <c r="C142" s="3546" t="s">
        <v>165</v>
      </c>
      <c r="D142" s="3554" t="s">
        <v>5122</v>
      </c>
      <c r="E142" s="3548"/>
      <c r="F142" s="3549"/>
      <c r="G142" s="3550"/>
      <c r="H142" s="3551" t="s">
        <v>104</v>
      </c>
      <c r="I142" s="3552" t="s">
        <v>244</v>
      </c>
      <c r="J142" s="3553" t="str">
        <f>IFERROR(VLOOKUP(I142,dropdowns!$E$45:$I$56,2,FALSE)," ")</f>
        <v>1.TB.01.003</v>
      </c>
      <c r="K142" s="3554" t="s">
        <v>244</v>
      </c>
      <c r="L142" s="3555" t="str">
        <f>IFERROR(VLOOKUP(K142,dropdowns!$G$45:$H$56,2,FALSE)," ")</f>
        <v>1.TB.01.003.01</v>
      </c>
      <c r="M142" s="1251" t="s">
        <v>3930</v>
      </c>
      <c r="N142" s="3557" t="s">
        <v>2558</v>
      </c>
      <c r="O142" s="1231" t="s">
        <v>3221</v>
      </c>
      <c r="P142" s="1224"/>
      <c r="Q142" s="3921">
        <f>330452.5*0</f>
        <v>0</v>
      </c>
      <c r="R142" s="1216"/>
      <c r="S142" s="1217"/>
      <c r="T142" s="1728"/>
      <c r="U142" s="1222" t="s">
        <v>79</v>
      </c>
      <c r="V142" s="1222"/>
      <c r="W142" s="1219"/>
      <c r="X142" s="1093" t="str">
        <f t="shared" si="10"/>
        <v>ACTIVE</v>
      </c>
      <c r="Y142" s="3349"/>
      <c r="Z142" s="1221" t="s">
        <v>3442</v>
      </c>
      <c r="AA142" s="1217"/>
      <c r="AB142" s="1728">
        <v>45649</v>
      </c>
      <c r="AC142" s="1222" t="s">
        <v>79</v>
      </c>
      <c r="AD142" s="1219" t="s">
        <v>3500</v>
      </c>
      <c r="AE142" s="1222"/>
      <c r="AF142" s="1093" t="str">
        <f t="shared" si="11"/>
        <v>ACTIVE</v>
      </c>
      <c r="AG142" s="1220">
        <v>370875</v>
      </c>
      <c r="AH142" s="1234" t="s">
        <v>776</v>
      </c>
      <c r="AI142" s="1728">
        <v>45675</v>
      </c>
      <c r="AJ142" s="1222" t="s">
        <v>79</v>
      </c>
      <c r="AK142" s="1219" t="s">
        <v>3674</v>
      </c>
      <c r="AL142" s="1223" t="s">
        <v>776</v>
      </c>
      <c r="AM142" s="1735">
        <v>45677</v>
      </c>
      <c r="AN142" s="1239" t="s">
        <v>3675</v>
      </c>
      <c r="AO142" s="1113"/>
      <c r="AP142" s="1487"/>
      <c r="AQ142" s="1117"/>
      <c r="AR142" s="1729"/>
      <c r="AS142" s="1182"/>
      <c r="AT142" s="1109"/>
      <c r="AU142" s="1095"/>
      <c r="AV142" s="1182"/>
      <c r="AW142" s="1109"/>
      <c r="AX142" s="1729"/>
      <c r="AY142" s="1094" t="str">
        <f t="shared" si="12"/>
        <v>NOT ACTIVE</v>
      </c>
      <c r="AZ142" s="3521"/>
      <c r="BA142" s="1097" t="s">
        <v>87</v>
      </c>
      <c r="BB142" s="1098"/>
      <c r="BC142" s="1099"/>
      <c r="BD142" s="1108"/>
      <c r="BF142" s="3525">
        <f t="shared" ca="1" si="13"/>
        <v>622</v>
      </c>
      <c r="BG142" s="4307"/>
      <c r="BH142" s="4254">
        <f>+AM142+90</f>
        <v>45767</v>
      </c>
      <c r="BK142" s="4279">
        <f ca="1">NOW()</f>
        <v>46299.665468981482</v>
      </c>
      <c r="BL142" s="4280">
        <f ca="1">+BH142-BK142</f>
        <v>-532.66546898148226</v>
      </c>
    </row>
    <row r="143" spans="1:64" s="686" customFormat="1" ht="38.25" customHeight="1">
      <c r="A143" s="1141">
        <v>77</v>
      </c>
      <c r="B143" s="1884" t="s">
        <v>3201</v>
      </c>
      <c r="C143" s="1474" t="s">
        <v>165</v>
      </c>
      <c r="D143" s="1886" t="s">
        <v>5125</v>
      </c>
      <c r="E143" s="1476"/>
      <c r="F143" s="1477"/>
      <c r="G143" s="1478"/>
      <c r="H143" s="1479" t="s">
        <v>91</v>
      </c>
      <c r="I143" s="1885" t="s">
        <v>244</v>
      </c>
      <c r="J143" s="1480" t="str">
        <f>IFERROR(VLOOKUP(I143,dropdowns!$E$45:$I$56,2,FALSE)," ")</f>
        <v>1.TB.01.003</v>
      </c>
      <c r="K143" s="1886" t="s">
        <v>244</v>
      </c>
      <c r="L143" s="1481" t="str">
        <f>IFERROR(VLOOKUP(K143,dropdowns!$G$45:$H$56,2,FALSE)," ")</f>
        <v>1.TB.01.003.01</v>
      </c>
      <c r="M143" s="1251" t="s">
        <v>2237</v>
      </c>
      <c r="N143" s="1482" t="s">
        <v>155</v>
      </c>
      <c r="O143" s="1231" t="s">
        <v>3232</v>
      </c>
      <c r="P143" s="1224"/>
      <c r="Q143" s="3921">
        <f>(75000+48400)*0</f>
        <v>0</v>
      </c>
      <c r="R143" s="1216"/>
      <c r="S143" s="1217"/>
      <c r="T143" s="1728"/>
      <c r="U143" s="1222" t="s">
        <v>79</v>
      </c>
      <c r="V143" s="1222"/>
      <c r="W143" s="1219"/>
      <c r="X143" s="1093" t="str">
        <f t="shared" si="10"/>
        <v>ACTIVE</v>
      </c>
      <c r="Y143" s="3349"/>
      <c r="Z143" s="1221" t="s">
        <v>3498</v>
      </c>
      <c r="AA143" s="1217"/>
      <c r="AB143" s="1728">
        <v>45656</v>
      </c>
      <c r="AC143" s="1222" t="s">
        <v>79</v>
      </c>
      <c r="AD143" s="1219" t="s">
        <v>3499</v>
      </c>
      <c r="AE143" s="1222"/>
      <c r="AF143" s="1093" t="str">
        <f t="shared" si="11"/>
        <v>ACTIVE</v>
      </c>
      <c r="AG143" s="1220">
        <v>123400</v>
      </c>
      <c r="AH143" s="1234" t="s">
        <v>658</v>
      </c>
      <c r="AI143" s="1728">
        <v>45676</v>
      </c>
      <c r="AJ143" s="1222" t="s">
        <v>79</v>
      </c>
      <c r="AK143" s="1219" t="s">
        <v>3679</v>
      </c>
      <c r="AL143" s="1223" t="s">
        <v>658</v>
      </c>
      <c r="AM143" s="1735">
        <v>45677</v>
      </c>
      <c r="AN143" s="1239" t="s">
        <v>3678</v>
      </c>
      <c r="AO143" s="1226"/>
      <c r="AP143" s="1493"/>
      <c r="AQ143" s="1227"/>
      <c r="AR143" s="1728"/>
      <c r="AS143" s="1220"/>
      <c r="AT143" s="1217"/>
      <c r="AU143" s="1218"/>
      <c r="AV143" s="1220"/>
      <c r="AW143" s="1227" t="s">
        <v>4209</v>
      </c>
      <c r="AX143" s="1728">
        <v>45772</v>
      </c>
      <c r="AY143" s="1093" t="str">
        <f t="shared" si="12"/>
        <v>ACTIVE</v>
      </c>
      <c r="AZ143" s="3521">
        <v>77425</v>
      </c>
      <c r="BA143" s="1222" t="s">
        <v>79</v>
      </c>
      <c r="BB143" s="1228"/>
      <c r="BC143" s="1229"/>
      <c r="BD143" s="1230"/>
      <c r="BF143" s="845">
        <f t="shared" ca="1" si="13"/>
        <v>0</v>
      </c>
      <c r="BG143" s="1377"/>
    </row>
    <row r="144" spans="1:64" s="686" customFormat="1" ht="63.75" customHeight="1">
      <c r="A144" s="1141">
        <v>78</v>
      </c>
      <c r="B144" s="1884" t="s">
        <v>3202</v>
      </c>
      <c r="C144" s="1474"/>
      <c r="D144" s="1475"/>
      <c r="E144" s="1476"/>
      <c r="F144" s="1477"/>
      <c r="G144" s="1478"/>
      <c r="H144" s="3551" t="s">
        <v>104</v>
      </c>
      <c r="I144" s="3552" t="s">
        <v>244</v>
      </c>
      <c r="J144" s="3553" t="str">
        <f>IFERROR(VLOOKUP(I144,dropdowns!$E$45:$I$56,2,FALSE)," ")</f>
        <v>1.TB.01.003</v>
      </c>
      <c r="K144" s="3554" t="s">
        <v>244</v>
      </c>
      <c r="L144" s="3555" t="str">
        <f>IFERROR(VLOOKUP(K144,dropdowns!$G$45:$H$56,2,FALSE)," ")</f>
        <v>1.TB.01.003.01</v>
      </c>
      <c r="M144" s="3556" t="s">
        <v>2269</v>
      </c>
      <c r="N144" s="3557" t="s">
        <v>152</v>
      </c>
      <c r="O144" s="2000" t="s">
        <v>3233</v>
      </c>
      <c r="P144" s="5194"/>
      <c r="Q144" s="5195">
        <v>75000</v>
      </c>
      <c r="R144" s="1103"/>
      <c r="S144" s="1109"/>
      <c r="T144" s="1729"/>
      <c r="U144" s="4389"/>
      <c r="V144" s="1097"/>
      <c r="W144" s="1105"/>
      <c r="X144" s="1093" t="str">
        <f t="shared" si="10"/>
        <v>NOT ACTIVE</v>
      </c>
      <c r="Y144" s="3351"/>
      <c r="Z144" s="1111"/>
      <c r="AA144" s="1109"/>
      <c r="AB144" s="1729"/>
      <c r="AC144" s="1097"/>
      <c r="AD144" s="1097"/>
      <c r="AE144" s="1097"/>
      <c r="AF144" s="1094" t="str">
        <f t="shared" si="11"/>
        <v>NOT ACTIVE</v>
      </c>
      <c r="AG144" s="1182"/>
      <c r="AH144" s="1101" t="s">
        <v>3360</v>
      </c>
      <c r="AI144" s="1729"/>
      <c r="AJ144" s="1097"/>
      <c r="AK144" s="1097"/>
      <c r="AL144" s="1110"/>
      <c r="AM144" s="1736"/>
      <c r="AN144" s="1112"/>
      <c r="AO144" s="1113"/>
      <c r="AP144" s="1487"/>
      <c r="AQ144" s="1117"/>
      <c r="AR144" s="1729"/>
      <c r="AS144" s="1182"/>
      <c r="AT144" s="1109"/>
      <c r="AU144" s="1095"/>
      <c r="AV144" s="1182"/>
      <c r="AW144" s="1109"/>
      <c r="AX144" s="1729"/>
      <c r="AY144" s="1094" t="str">
        <f t="shared" si="12"/>
        <v>NOT ACTIVE</v>
      </c>
      <c r="AZ144" s="1186"/>
      <c r="BA144" s="1097"/>
      <c r="BB144" s="1098"/>
      <c r="BC144" s="1099"/>
      <c r="BD144" s="1230" t="s">
        <v>4868</v>
      </c>
      <c r="BF144" s="845">
        <f t="shared" ca="1" si="13"/>
        <v>0</v>
      </c>
      <c r="BG144" s="1377"/>
    </row>
    <row r="145" spans="1:59" s="686" customFormat="1" ht="41.25" customHeight="1">
      <c r="A145" s="1524">
        <v>79</v>
      </c>
      <c r="B145" s="1961" t="s">
        <v>3218</v>
      </c>
      <c r="C145" s="1962"/>
      <c r="D145" s="2107"/>
      <c r="E145" s="1964"/>
      <c r="F145" s="1965"/>
      <c r="G145" s="1966"/>
      <c r="H145" s="1987" t="s">
        <v>104</v>
      </c>
      <c r="I145" s="1968" t="s">
        <v>244</v>
      </c>
      <c r="J145" s="1922" t="str">
        <f>IFERROR(VLOOKUP(I145,dropdowns!$E$45:$I$56,2,FALSE)," ")</f>
        <v>1.TB.01.003</v>
      </c>
      <c r="K145" s="1969" t="s">
        <v>244</v>
      </c>
      <c r="L145" s="1923" t="str">
        <f>IFERROR(VLOOKUP(K145,dropdowns!$G$45:$H$56,2,FALSE)," ")</f>
        <v>1.TB.01.003.01</v>
      </c>
      <c r="M145" s="1456" t="s">
        <v>3217</v>
      </c>
      <c r="N145" s="1970" t="s">
        <v>3216</v>
      </c>
      <c r="O145" s="1253" t="s">
        <v>3234</v>
      </c>
      <c r="P145" s="4148">
        <v>45603</v>
      </c>
      <c r="Q145" s="4149">
        <f>7129950*0</f>
        <v>0</v>
      </c>
      <c r="R145" s="1971"/>
      <c r="S145" s="1991"/>
      <c r="T145" s="1973"/>
      <c r="U145" s="1531"/>
      <c r="V145" s="1531"/>
      <c r="W145" s="1974"/>
      <c r="X145" s="1093" t="str">
        <f t="shared" si="10"/>
        <v>NOT ACTIVE</v>
      </c>
      <c r="Y145" s="3356"/>
      <c r="Z145" s="1992"/>
      <c r="AA145" s="1991"/>
      <c r="AB145" s="1973"/>
      <c r="AC145" s="1531"/>
      <c r="AD145" s="1531"/>
      <c r="AE145" s="1531"/>
      <c r="AF145" s="1094" t="str">
        <f t="shared" si="11"/>
        <v>NOT ACTIVE</v>
      </c>
      <c r="AG145" s="1530"/>
      <c r="AH145" s="3325"/>
      <c r="AI145" s="1973"/>
      <c r="AJ145" s="1531"/>
      <c r="AK145" s="1531"/>
      <c r="AL145" s="1993"/>
      <c r="AM145" s="1977"/>
      <c r="AN145" s="3326"/>
      <c r="AO145" s="1979"/>
      <c r="AP145" s="1994"/>
      <c r="AQ145" s="1995"/>
      <c r="AR145" s="1973"/>
      <c r="AS145" s="1530"/>
      <c r="AT145" s="1991"/>
      <c r="AU145" s="1252"/>
      <c r="AV145" s="1530"/>
      <c r="AW145" s="1991"/>
      <c r="AX145" s="1973"/>
      <c r="AY145" s="1094" t="str">
        <f t="shared" si="12"/>
        <v>NOT ACTIVE</v>
      </c>
      <c r="AZ145" s="3327"/>
      <c r="BA145" s="1531"/>
      <c r="BB145" s="1532"/>
      <c r="BC145" s="1533"/>
      <c r="BD145" s="1999" t="s">
        <v>3984</v>
      </c>
      <c r="BF145" s="845">
        <f t="shared" ca="1" si="13"/>
        <v>0</v>
      </c>
      <c r="BG145" s="1377"/>
    </row>
    <row r="146" spans="1:59" s="686" customFormat="1" ht="36.75" customHeight="1">
      <c r="A146" s="1141">
        <v>80</v>
      </c>
      <c r="B146" s="1884" t="s">
        <v>3220</v>
      </c>
      <c r="C146" s="1474"/>
      <c r="D146" s="1886" t="s">
        <v>5125</v>
      </c>
      <c r="E146" s="1476"/>
      <c r="F146" s="1477"/>
      <c r="G146" s="1478"/>
      <c r="H146" s="1479" t="s">
        <v>91</v>
      </c>
      <c r="I146" s="3552" t="s">
        <v>244</v>
      </c>
      <c r="J146" s="3553" t="str">
        <f>IFERROR(VLOOKUP(I146,dropdowns!$E$45:$I$56,2,FALSE)," ")</f>
        <v>1.TB.01.003</v>
      </c>
      <c r="K146" s="3554" t="s">
        <v>244</v>
      </c>
      <c r="L146" s="3555" t="str">
        <f>IFERROR(VLOOKUP(K146,dropdowns!$G$45:$H$56,2,FALSE)," ")</f>
        <v>1.TB.01.003.01</v>
      </c>
      <c r="M146" s="3556" t="s">
        <v>2269</v>
      </c>
      <c r="N146" s="3557" t="s">
        <v>152</v>
      </c>
      <c r="O146" s="1231" t="s">
        <v>3235</v>
      </c>
      <c r="P146" s="1887">
        <v>45603</v>
      </c>
      <c r="Q146" s="3921">
        <f>-1457002.08*0</f>
        <v>0</v>
      </c>
      <c r="R146" s="1216"/>
      <c r="S146" s="1217"/>
      <c r="T146" s="1728"/>
      <c r="U146" s="1222" t="s">
        <v>79</v>
      </c>
      <c r="V146" s="1222"/>
      <c r="W146" s="1219"/>
      <c r="X146" s="1093" t="str">
        <f t="shared" si="10"/>
        <v>ACTIVE</v>
      </c>
      <c r="Y146" s="3349"/>
      <c r="Z146" s="1221" t="s">
        <v>5056</v>
      </c>
      <c r="AA146" s="1217"/>
      <c r="AB146" s="1728">
        <v>45649</v>
      </c>
      <c r="AC146" s="1222" t="s">
        <v>79</v>
      </c>
      <c r="AD146" s="1219" t="s">
        <v>3501</v>
      </c>
      <c r="AE146" s="1222"/>
      <c r="AF146" s="1093" t="str">
        <f t="shared" si="11"/>
        <v>ACTIVE</v>
      </c>
      <c r="AG146" s="1248">
        <v>-1457002.08</v>
      </c>
      <c r="AH146" s="1234" t="s">
        <v>3503</v>
      </c>
      <c r="AI146" s="1728">
        <v>45675</v>
      </c>
      <c r="AJ146" s="1222" t="s">
        <v>79</v>
      </c>
      <c r="AK146" s="1219" t="s">
        <v>3679</v>
      </c>
      <c r="AL146" s="1223" t="s">
        <v>3503</v>
      </c>
      <c r="AM146" s="1735">
        <v>45677</v>
      </c>
      <c r="AN146" s="1239" t="s">
        <v>3680</v>
      </c>
      <c r="AO146" s="1226"/>
      <c r="AP146" s="1493"/>
      <c r="AQ146" s="1227"/>
      <c r="AR146" s="1728"/>
      <c r="AS146" s="1220"/>
      <c r="AT146" s="1217"/>
      <c r="AU146" s="1218"/>
      <c r="AV146" s="1220"/>
      <c r="AW146" s="1227" t="s">
        <v>4415</v>
      </c>
      <c r="AX146" s="1728">
        <v>45833</v>
      </c>
      <c r="AY146" s="1094" t="str">
        <f t="shared" si="12"/>
        <v>ACTIVE</v>
      </c>
      <c r="AZ146" s="3583">
        <v>-1402364.5</v>
      </c>
      <c r="BA146" s="1222" t="s">
        <v>79</v>
      </c>
      <c r="BB146" s="1228"/>
      <c r="BC146" s="1229"/>
      <c r="BD146" s="1230" t="s">
        <v>3669</v>
      </c>
      <c r="BF146" s="845">
        <f t="shared" ca="1" si="13"/>
        <v>0</v>
      </c>
      <c r="BG146" s="1377"/>
    </row>
    <row r="147" spans="1:59" s="686" customFormat="1" ht="38.25" customHeight="1">
      <c r="A147" s="1141">
        <v>81</v>
      </c>
      <c r="B147" s="1884" t="s">
        <v>3241</v>
      </c>
      <c r="C147" s="1474"/>
      <c r="D147" s="1475"/>
      <c r="E147" s="1476"/>
      <c r="F147" s="1477"/>
      <c r="G147" s="1478"/>
      <c r="H147" s="1479" t="s">
        <v>104</v>
      </c>
      <c r="I147" s="1885" t="s">
        <v>244</v>
      </c>
      <c r="J147" s="1480" t="str">
        <f>IFERROR(VLOOKUP(I147,dropdowns!$E$45:$I$56,2,FALSE)," ")</f>
        <v>1.TB.01.003</v>
      </c>
      <c r="K147" s="1886" t="s">
        <v>244</v>
      </c>
      <c r="L147" s="1481" t="str">
        <f>IFERROR(VLOOKUP(K147,dropdowns!$G$45:$H$56,2,FALSE)," ")</f>
        <v>1.TB.01.003.01</v>
      </c>
      <c r="M147" s="1251" t="s">
        <v>3205</v>
      </c>
      <c r="N147" s="1482" t="s">
        <v>3207</v>
      </c>
      <c r="O147" s="1231" t="s">
        <v>3242</v>
      </c>
      <c r="P147" s="1887">
        <v>45603</v>
      </c>
      <c r="Q147" s="3921">
        <f>23125000*0</f>
        <v>0</v>
      </c>
      <c r="R147" s="1216"/>
      <c r="S147" s="1217"/>
      <c r="T147" s="1728"/>
      <c r="U147" s="1222"/>
      <c r="V147" s="1222"/>
      <c r="W147" s="1219"/>
      <c r="X147" s="1093" t="str">
        <f t="shared" si="10"/>
        <v>NOT ACTIVE</v>
      </c>
      <c r="Y147" s="3349"/>
      <c r="Z147" s="1221"/>
      <c r="AA147" s="1217"/>
      <c r="AB147" s="1728"/>
      <c r="AC147" s="1222"/>
      <c r="AD147" s="1222"/>
      <c r="AE147" s="1222"/>
      <c r="AF147" s="1093" t="str">
        <f t="shared" si="11"/>
        <v>NOT ACTIVE</v>
      </c>
      <c r="AG147" s="1220"/>
      <c r="AH147" s="1234"/>
      <c r="AI147" s="1728"/>
      <c r="AJ147" s="1222"/>
      <c r="AK147" s="1222"/>
      <c r="AL147" s="1223"/>
      <c r="AM147" s="1735"/>
      <c r="AN147" s="3339"/>
      <c r="AO147" s="1226"/>
      <c r="AP147" s="1493"/>
      <c r="AQ147" s="1227"/>
      <c r="AR147" s="1728"/>
      <c r="AS147" s="1220"/>
      <c r="AT147" s="1217"/>
      <c r="AU147" s="1218"/>
      <c r="AV147" s="1220"/>
      <c r="AW147" s="1217"/>
      <c r="AX147" s="1728"/>
      <c r="AY147" s="1093" t="str">
        <f t="shared" si="12"/>
        <v>NOT ACTIVE</v>
      </c>
      <c r="AZ147" s="3521"/>
      <c r="BA147" s="1222"/>
      <c r="BB147" s="1228"/>
      <c r="BC147" s="1229"/>
      <c r="BD147" s="1230" t="s">
        <v>3386</v>
      </c>
      <c r="BF147" s="845">
        <f t="shared" ca="1" si="13"/>
        <v>0</v>
      </c>
      <c r="BG147" s="1377"/>
    </row>
    <row r="148" spans="1:59" s="686" customFormat="1" ht="42" customHeight="1">
      <c r="A148" s="1141">
        <v>82</v>
      </c>
      <c r="B148" s="1884" t="s">
        <v>3387</v>
      </c>
      <c r="C148" s="1474" t="s">
        <v>165</v>
      </c>
      <c r="D148" s="1886" t="s">
        <v>5122</v>
      </c>
      <c r="E148" s="3548"/>
      <c r="F148" s="3549"/>
      <c r="G148" s="3550"/>
      <c r="H148" s="1479" t="s">
        <v>91</v>
      </c>
      <c r="I148" s="3552" t="s">
        <v>244</v>
      </c>
      <c r="J148" s="3553" t="str">
        <f>IFERROR(VLOOKUP(I148,dropdowns!$E$45:$I$56,2,FALSE)," ")</f>
        <v>1.TB.01.003</v>
      </c>
      <c r="K148" s="3554" t="s">
        <v>244</v>
      </c>
      <c r="L148" s="3555" t="str">
        <f>IFERROR(VLOOKUP(K148,dropdowns!$G$45:$H$56,2,FALSE)," ")</f>
        <v>1.TB.01.003.01</v>
      </c>
      <c r="M148" s="1251" t="s">
        <v>3930</v>
      </c>
      <c r="N148" s="3557" t="s">
        <v>2558</v>
      </c>
      <c r="O148" s="1231" t="s">
        <v>3388</v>
      </c>
      <c r="P148" s="1224"/>
      <c r="Q148" s="3921">
        <f>253400*0</f>
        <v>0</v>
      </c>
      <c r="R148" s="1216"/>
      <c r="S148" s="1217"/>
      <c r="T148" s="1728"/>
      <c r="U148" s="1222" t="s">
        <v>79</v>
      </c>
      <c r="V148" s="1222"/>
      <c r="W148" s="1219"/>
      <c r="X148" s="1093" t="str">
        <f t="shared" ref="X148:X160" si="14">IF(U148="APPROVED","ACTIVE",IF(U148="PENDING","ACTIVE","NOT ACTIVE"))</f>
        <v>ACTIVE</v>
      </c>
      <c r="Y148" s="3349"/>
      <c r="Z148" s="1221">
        <v>9</v>
      </c>
      <c r="AA148" s="1217"/>
      <c r="AB148" s="1728">
        <v>45694</v>
      </c>
      <c r="AC148" s="1222" t="s">
        <v>79</v>
      </c>
      <c r="AD148" s="1219" t="s">
        <v>3662</v>
      </c>
      <c r="AE148" s="1222"/>
      <c r="AF148" s="1094" t="str">
        <f t="shared" ref="AF148:AF160" si="15">IF(AC148="APPROVED","ACTIVE","NOT ACTIVE")</f>
        <v>ACTIVE</v>
      </c>
      <c r="AG148" s="1220">
        <v>296700</v>
      </c>
      <c r="AH148" s="1234" t="s">
        <v>2639</v>
      </c>
      <c r="AI148" s="1728">
        <v>45707</v>
      </c>
      <c r="AJ148" s="1222" t="s">
        <v>79</v>
      </c>
      <c r="AK148" s="1219" t="s">
        <v>3672</v>
      </c>
      <c r="AL148" s="1223" t="s">
        <v>2639</v>
      </c>
      <c r="AM148" s="1735">
        <v>45710</v>
      </c>
      <c r="AN148" s="1239" t="s">
        <v>3677</v>
      </c>
      <c r="AO148" s="1226"/>
      <c r="AP148" s="1493"/>
      <c r="AQ148" s="1227"/>
      <c r="AR148" s="1728"/>
      <c r="AS148" s="1220"/>
      <c r="AT148" s="1217"/>
      <c r="AU148" s="1218"/>
      <c r="AV148" s="1220"/>
      <c r="AW148" s="1227" t="s">
        <v>4292</v>
      </c>
      <c r="AX148" s="1728">
        <v>45797</v>
      </c>
      <c r="AY148" s="1093" t="str">
        <f t="shared" ref="AY148:AY160" si="16">IF(BA148="APPROVED","ACTIVE","NOT ACTIVE")</f>
        <v>ACTIVE</v>
      </c>
      <c r="AZ148" s="3521">
        <v>291410</v>
      </c>
      <c r="BA148" s="1222" t="s">
        <v>79</v>
      </c>
      <c r="BB148" s="1228"/>
      <c r="BC148" s="1229"/>
      <c r="BD148" s="1230"/>
      <c r="BF148" s="845">
        <f t="shared" ca="1" si="13"/>
        <v>0</v>
      </c>
      <c r="BG148" s="1377"/>
    </row>
    <row r="149" spans="1:59" s="686" customFormat="1" ht="34.5" customHeight="1">
      <c r="A149" s="1132">
        <v>83</v>
      </c>
      <c r="B149" s="1884" t="s">
        <v>3389</v>
      </c>
      <c r="C149" s="1474" t="s">
        <v>165</v>
      </c>
      <c r="D149" s="1886" t="s">
        <v>5125</v>
      </c>
      <c r="E149" s="3548"/>
      <c r="F149" s="3549"/>
      <c r="G149" s="3550"/>
      <c r="H149" s="1479" t="s">
        <v>91</v>
      </c>
      <c r="I149" s="3552" t="s">
        <v>244</v>
      </c>
      <c r="J149" s="3553" t="str">
        <f>IFERROR(VLOOKUP(I149,dropdowns!$E$45:$I$56,2,FALSE)," ")</f>
        <v>1.TB.01.003</v>
      </c>
      <c r="K149" s="3554" t="s">
        <v>244</v>
      </c>
      <c r="L149" s="3555" t="str">
        <f>IFERROR(VLOOKUP(K149,dropdowns!$G$45:$H$56,2,FALSE)," ")</f>
        <v>1.TB.01.003.01</v>
      </c>
      <c r="M149" s="1251" t="s">
        <v>3930</v>
      </c>
      <c r="N149" s="3557" t="s">
        <v>2558</v>
      </c>
      <c r="O149" s="1231" t="s">
        <v>3391</v>
      </c>
      <c r="P149" s="1224"/>
      <c r="Q149" s="3921">
        <f>24255*0</f>
        <v>0</v>
      </c>
      <c r="R149" s="1216"/>
      <c r="S149" s="1217"/>
      <c r="T149" s="1728"/>
      <c r="U149" s="1222" t="s">
        <v>79</v>
      </c>
      <c r="V149" s="1222"/>
      <c r="W149" s="1219"/>
      <c r="X149" s="1093" t="str">
        <f t="shared" si="14"/>
        <v>ACTIVE</v>
      </c>
      <c r="Y149" s="3349"/>
      <c r="Z149" s="1221">
        <v>10</v>
      </c>
      <c r="AA149" s="1217"/>
      <c r="AB149" s="1728">
        <v>45694</v>
      </c>
      <c r="AC149" s="1222" t="s">
        <v>79</v>
      </c>
      <c r="AD149" s="1219" t="s">
        <v>3661</v>
      </c>
      <c r="AE149" s="1222"/>
      <c r="AF149" s="1094" t="str">
        <f t="shared" si="15"/>
        <v>ACTIVE</v>
      </c>
      <c r="AG149" s="1220">
        <v>24255</v>
      </c>
      <c r="AH149" s="1234" t="s">
        <v>2957</v>
      </c>
      <c r="AI149" s="1728">
        <v>45707</v>
      </c>
      <c r="AJ149" s="1222" t="s">
        <v>79</v>
      </c>
      <c r="AK149" s="1219" t="s">
        <v>3673</v>
      </c>
      <c r="AL149" s="1223" t="s">
        <v>2957</v>
      </c>
      <c r="AM149" s="1735">
        <v>45713</v>
      </c>
      <c r="AN149" s="1239" t="s">
        <v>3686</v>
      </c>
      <c r="AO149" s="1226"/>
      <c r="AP149" s="1493"/>
      <c r="AQ149" s="1227"/>
      <c r="AR149" s="1728"/>
      <c r="AS149" s="1220"/>
      <c r="AT149" s="1217"/>
      <c r="AU149" s="1218"/>
      <c r="AV149" s="1220"/>
      <c r="AW149" s="1227" t="s">
        <v>4417</v>
      </c>
      <c r="AX149" s="1728">
        <v>45834</v>
      </c>
      <c r="AY149" s="1094" t="str">
        <f t="shared" si="16"/>
        <v>ACTIVE</v>
      </c>
      <c r="AZ149" s="3521">
        <v>76534.98</v>
      </c>
      <c r="BA149" s="1222" t="s">
        <v>79</v>
      </c>
      <c r="BB149" s="1228"/>
      <c r="BC149" s="1229"/>
      <c r="BD149" s="1230"/>
      <c r="BF149" s="845">
        <f t="shared" ca="1" si="13"/>
        <v>0</v>
      </c>
      <c r="BG149" s="1377">
        <f>+AZ149-AG149</f>
        <v>52279.979999999996</v>
      </c>
    </row>
    <row r="150" spans="1:59" s="686" customFormat="1" ht="52.5" customHeight="1">
      <c r="A150" s="1141">
        <v>84</v>
      </c>
      <c r="B150" s="3545" t="s">
        <v>3392</v>
      </c>
      <c r="C150" s="1474"/>
      <c r="D150" s="1475"/>
      <c r="E150" s="1476"/>
      <c r="F150" s="1477"/>
      <c r="G150" s="1478"/>
      <c r="H150" s="3551" t="s">
        <v>104</v>
      </c>
      <c r="I150" s="3552" t="s">
        <v>244</v>
      </c>
      <c r="J150" s="3553" t="str">
        <f>IFERROR(VLOOKUP(I150,dropdowns!$E$45:$I$56,2,FALSE)," ")</f>
        <v>1.TB.01.003</v>
      </c>
      <c r="K150" s="3554" t="s">
        <v>244</v>
      </c>
      <c r="L150" s="3555" t="str">
        <f>IFERROR(VLOOKUP(K150,dropdowns!$G$45:$H$56,2,FALSE)," ")</f>
        <v>1.TB.01.003.01</v>
      </c>
      <c r="M150" s="3556" t="s">
        <v>2269</v>
      </c>
      <c r="N150" s="3557" t="s">
        <v>152</v>
      </c>
      <c r="O150" s="2000" t="s">
        <v>3393</v>
      </c>
      <c r="P150" s="5194"/>
      <c r="Q150" s="5195">
        <v>-9180</v>
      </c>
      <c r="R150" s="1103"/>
      <c r="S150" s="1109"/>
      <c r="T150" s="1729"/>
      <c r="U150" s="4389"/>
      <c r="V150" s="1097"/>
      <c r="W150" s="1105"/>
      <c r="X150" s="1093" t="str">
        <f t="shared" si="14"/>
        <v>NOT ACTIVE</v>
      </c>
      <c r="Y150" s="3351"/>
      <c r="Z150" s="1111"/>
      <c r="AA150" s="1109"/>
      <c r="AB150" s="1729"/>
      <c r="AC150" s="1097"/>
      <c r="AD150" s="1097"/>
      <c r="AE150" s="1097"/>
      <c r="AF150" s="1094" t="str">
        <f t="shared" si="15"/>
        <v>NOT ACTIVE</v>
      </c>
      <c r="AG150" s="1182"/>
      <c r="AH150" s="1101"/>
      <c r="AI150" s="1729"/>
      <c r="AJ150" s="1097"/>
      <c r="AK150" s="1097"/>
      <c r="AL150" s="1110"/>
      <c r="AM150" s="1736"/>
      <c r="AN150" s="1112"/>
      <c r="AO150" s="1113"/>
      <c r="AP150" s="1487"/>
      <c r="AQ150" s="1117"/>
      <c r="AR150" s="1729"/>
      <c r="AS150" s="1182"/>
      <c r="AT150" s="1109"/>
      <c r="AU150" s="1095"/>
      <c r="AV150" s="1182"/>
      <c r="AW150" s="1109"/>
      <c r="AX150" s="1729"/>
      <c r="AY150" s="1094" t="str">
        <f t="shared" si="16"/>
        <v>NOT ACTIVE</v>
      </c>
      <c r="AZ150" s="1186"/>
      <c r="BA150" s="1097"/>
      <c r="BB150" s="1098"/>
      <c r="BC150" s="1099"/>
      <c r="BD150" s="1230" t="s">
        <v>4871</v>
      </c>
      <c r="BF150" s="845">
        <f t="shared" ca="1" si="13"/>
        <v>0</v>
      </c>
      <c r="BG150" s="1377"/>
    </row>
    <row r="151" spans="1:59" s="686" customFormat="1" ht="64.5" customHeight="1">
      <c r="A151" s="1524">
        <v>85</v>
      </c>
      <c r="B151" s="1961" t="s">
        <v>3394</v>
      </c>
      <c r="C151" s="1962"/>
      <c r="D151" s="2107"/>
      <c r="E151" s="1476"/>
      <c r="F151" s="1477"/>
      <c r="G151" s="1478"/>
      <c r="H151" s="1987" t="s">
        <v>104</v>
      </c>
      <c r="I151" s="1885" t="s">
        <v>244</v>
      </c>
      <c r="J151" s="1480" t="str">
        <f>IFERROR(VLOOKUP(I151,dropdowns!$E$45:$I$56,2,FALSE)," ")</f>
        <v>1.TB.01.003</v>
      </c>
      <c r="K151" s="1886" t="s">
        <v>244</v>
      </c>
      <c r="L151" s="1481" t="str">
        <f>IFERROR(VLOOKUP(K151,dropdowns!$G$45:$H$56,2,FALSE)," ")</f>
        <v>1.TB.01.003.01</v>
      </c>
      <c r="M151" s="1251" t="s">
        <v>3205</v>
      </c>
      <c r="N151" s="4251" t="s">
        <v>3207</v>
      </c>
      <c r="O151" s="1253" t="s">
        <v>3396</v>
      </c>
      <c r="P151" s="4148"/>
      <c r="Q151" s="4149">
        <f>403682*0</f>
        <v>0</v>
      </c>
      <c r="R151" s="1971"/>
      <c r="S151" s="1991"/>
      <c r="T151" s="1973"/>
      <c r="U151" s="1531" t="s">
        <v>132</v>
      </c>
      <c r="V151" s="1531"/>
      <c r="W151" s="1974"/>
      <c r="X151" s="1096" t="str">
        <f t="shared" si="14"/>
        <v>NOT ACTIVE</v>
      </c>
      <c r="Y151" s="3356"/>
      <c r="Z151" s="1992"/>
      <c r="AA151" s="1991"/>
      <c r="AB151" s="1973"/>
      <c r="AC151" s="1531"/>
      <c r="AD151" s="1531"/>
      <c r="AE151" s="1531"/>
      <c r="AF151" s="1096" t="str">
        <f t="shared" si="15"/>
        <v>NOT ACTIVE</v>
      </c>
      <c r="AG151" s="1530"/>
      <c r="AH151" s="3325"/>
      <c r="AI151" s="1973"/>
      <c r="AJ151" s="1531"/>
      <c r="AK151" s="1531"/>
      <c r="AL151" s="1993"/>
      <c r="AM151" s="1977"/>
      <c r="AN151" s="3326"/>
      <c r="AO151" s="1979"/>
      <c r="AP151" s="1994"/>
      <c r="AQ151" s="1995"/>
      <c r="AR151" s="1973"/>
      <c r="AS151" s="1530"/>
      <c r="AT151" s="1991"/>
      <c r="AU151" s="1252"/>
      <c r="AV151" s="1530"/>
      <c r="AW151" s="1991"/>
      <c r="AX151" s="1973"/>
      <c r="AY151" s="1096" t="str">
        <f t="shared" si="16"/>
        <v>NOT ACTIVE</v>
      </c>
      <c r="AZ151" s="3327"/>
      <c r="BA151" s="1531"/>
      <c r="BB151" s="1532"/>
      <c r="BC151" s="1533"/>
      <c r="BD151" s="1999"/>
      <c r="BF151" s="845">
        <f t="shared" ca="1" si="13"/>
        <v>0</v>
      </c>
      <c r="BG151" s="1377"/>
    </row>
    <row r="152" spans="1:59" s="686" customFormat="1" ht="54.75" customHeight="1">
      <c r="A152" s="1141">
        <v>86</v>
      </c>
      <c r="B152" s="1884" t="s">
        <v>3395</v>
      </c>
      <c r="C152" s="1474"/>
      <c r="D152" s="1475"/>
      <c r="E152" s="1476"/>
      <c r="F152" s="1477"/>
      <c r="G152" s="1478"/>
      <c r="H152" s="3551" t="s">
        <v>104</v>
      </c>
      <c r="I152" s="3552" t="s">
        <v>244</v>
      </c>
      <c r="J152" s="3553" t="str">
        <f>IFERROR(VLOOKUP(I152,dropdowns!$E$45:$I$56,2,FALSE)," ")</f>
        <v>1.TB.01.003</v>
      </c>
      <c r="K152" s="3554" t="s">
        <v>244</v>
      </c>
      <c r="L152" s="3555" t="str">
        <f>IFERROR(VLOOKUP(K152,dropdowns!$G$45:$H$56,2,FALSE)," ")</f>
        <v>1.TB.01.003.01</v>
      </c>
      <c r="M152" s="3556" t="s">
        <v>2269</v>
      </c>
      <c r="N152" s="3557" t="s">
        <v>152</v>
      </c>
      <c r="O152" s="2000" t="s">
        <v>3397</v>
      </c>
      <c r="P152" s="5194"/>
      <c r="Q152" s="5195">
        <v>-68541</v>
      </c>
      <c r="R152" s="1103"/>
      <c r="S152" s="1109"/>
      <c r="T152" s="1729"/>
      <c r="U152" s="4389"/>
      <c r="V152" s="1097"/>
      <c r="W152" s="1105"/>
      <c r="X152" s="1093" t="str">
        <f t="shared" si="14"/>
        <v>NOT ACTIVE</v>
      </c>
      <c r="Y152" s="3351"/>
      <c r="Z152" s="1111"/>
      <c r="AA152" s="1109"/>
      <c r="AB152" s="1729"/>
      <c r="AC152" s="1097"/>
      <c r="AD152" s="1097"/>
      <c r="AE152" s="1097"/>
      <c r="AF152" s="1094" t="str">
        <f t="shared" si="15"/>
        <v>NOT ACTIVE</v>
      </c>
      <c r="AG152" s="1182"/>
      <c r="AH152" s="1101"/>
      <c r="AI152" s="1729"/>
      <c r="AJ152" s="1097"/>
      <c r="AK152" s="1097"/>
      <c r="AL152" s="1110"/>
      <c r="AM152" s="1736"/>
      <c r="AN152" s="1112"/>
      <c r="AO152" s="1113"/>
      <c r="AP152" s="1487"/>
      <c r="AQ152" s="1117"/>
      <c r="AR152" s="1729"/>
      <c r="AS152" s="1182"/>
      <c r="AT152" s="1109"/>
      <c r="AU152" s="1095"/>
      <c r="AV152" s="1182"/>
      <c r="AW152" s="1109"/>
      <c r="AX152" s="1729"/>
      <c r="AY152" s="1094" t="str">
        <f t="shared" si="16"/>
        <v>NOT ACTIVE</v>
      </c>
      <c r="AZ152" s="1186"/>
      <c r="BA152" s="1097"/>
      <c r="BB152" s="1098"/>
      <c r="BC152" s="1099"/>
      <c r="BD152" s="1230" t="s">
        <v>4871</v>
      </c>
      <c r="BF152" s="845">
        <f t="shared" ca="1" si="13"/>
        <v>0</v>
      </c>
      <c r="BG152" s="1377"/>
    </row>
    <row r="153" spans="1:59" s="686" customFormat="1" ht="65.25" customHeight="1">
      <c r="A153" s="1524">
        <v>87</v>
      </c>
      <c r="B153" s="1961" t="s">
        <v>3398</v>
      </c>
      <c r="C153" s="1962"/>
      <c r="D153" s="2107"/>
      <c r="E153" s="1476"/>
      <c r="F153" s="1477"/>
      <c r="G153" s="1478"/>
      <c r="H153" s="1987" t="s">
        <v>104</v>
      </c>
      <c r="I153" s="1885" t="s">
        <v>244</v>
      </c>
      <c r="J153" s="1480" t="str">
        <f>IFERROR(VLOOKUP(I153,dropdowns!$E$45:$I$56,2,FALSE)," ")</f>
        <v>1.TB.01.003</v>
      </c>
      <c r="K153" s="1886" t="s">
        <v>244</v>
      </c>
      <c r="L153" s="1481" t="str">
        <f>IFERROR(VLOOKUP(K153,dropdowns!$G$45:$H$56,2,FALSE)," ")</f>
        <v>1.TB.01.003.01</v>
      </c>
      <c r="M153" s="1251" t="s">
        <v>3205</v>
      </c>
      <c r="N153" s="4251" t="s">
        <v>3207</v>
      </c>
      <c r="O153" s="1253" t="s">
        <v>3401</v>
      </c>
      <c r="P153" s="4148"/>
      <c r="Q153" s="4149">
        <f>603698*0</f>
        <v>0</v>
      </c>
      <c r="R153" s="1971"/>
      <c r="S153" s="1991"/>
      <c r="T153" s="1973"/>
      <c r="U153" s="1531" t="s">
        <v>132</v>
      </c>
      <c r="V153" s="1531"/>
      <c r="W153" s="1974"/>
      <c r="X153" s="1096" t="str">
        <f t="shared" si="14"/>
        <v>NOT ACTIVE</v>
      </c>
      <c r="Y153" s="3356"/>
      <c r="Z153" s="1992"/>
      <c r="AA153" s="1991"/>
      <c r="AB153" s="1973"/>
      <c r="AC153" s="1531"/>
      <c r="AD153" s="1531"/>
      <c r="AE153" s="1531"/>
      <c r="AF153" s="1096" t="str">
        <f t="shared" si="15"/>
        <v>NOT ACTIVE</v>
      </c>
      <c r="AG153" s="1530"/>
      <c r="AH153" s="3325"/>
      <c r="AI153" s="1973"/>
      <c r="AJ153" s="1531"/>
      <c r="AK153" s="1531"/>
      <c r="AL153" s="1993"/>
      <c r="AM153" s="1977"/>
      <c r="AN153" s="3326"/>
      <c r="AO153" s="1979"/>
      <c r="AP153" s="1994"/>
      <c r="AQ153" s="1995"/>
      <c r="AR153" s="1973"/>
      <c r="AS153" s="1530"/>
      <c r="AT153" s="1991"/>
      <c r="AU153" s="1252"/>
      <c r="AV153" s="1530"/>
      <c r="AW153" s="1991"/>
      <c r="AX153" s="1973"/>
      <c r="AY153" s="1096" t="str">
        <f t="shared" si="16"/>
        <v>NOT ACTIVE</v>
      </c>
      <c r="AZ153" s="3327"/>
      <c r="BA153" s="1531"/>
      <c r="BB153" s="1532"/>
      <c r="BC153" s="1533"/>
      <c r="BD153" s="1999"/>
      <c r="BF153" s="845">
        <f t="shared" ca="1" si="13"/>
        <v>0</v>
      </c>
      <c r="BG153" s="1377"/>
    </row>
    <row r="154" spans="1:59" s="686" customFormat="1" ht="60" customHeight="1">
      <c r="A154" s="1141">
        <v>88</v>
      </c>
      <c r="B154" s="1884" t="s">
        <v>3399</v>
      </c>
      <c r="C154" s="1474"/>
      <c r="D154" s="1475"/>
      <c r="E154" s="1476"/>
      <c r="F154" s="1477"/>
      <c r="G154" s="1478"/>
      <c r="H154" s="3551" t="s">
        <v>104</v>
      </c>
      <c r="I154" s="3552" t="s">
        <v>244</v>
      </c>
      <c r="J154" s="3553" t="str">
        <f>IFERROR(VLOOKUP(I154,dropdowns!$E$45:$I$56,2,FALSE)," ")</f>
        <v>1.TB.01.003</v>
      </c>
      <c r="K154" s="3554" t="s">
        <v>244</v>
      </c>
      <c r="L154" s="3555" t="str">
        <f>IFERROR(VLOOKUP(K154,dropdowns!$G$45:$H$56,2,FALSE)," ")</f>
        <v>1.TB.01.003.01</v>
      </c>
      <c r="M154" s="3556" t="s">
        <v>2269</v>
      </c>
      <c r="N154" s="3557" t="s">
        <v>152</v>
      </c>
      <c r="O154" s="2000" t="s">
        <v>3402</v>
      </c>
      <c r="P154" s="5194"/>
      <c r="Q154" s="5195">
        <v>-582220</v>
      </c>
      <c r="R154" s="1103"/>
      <c r="S154" s="1109"/>
      <c r="T154" s="1729"/>
      <c r="U154" s="4389"/>
      <c r="V154" s="1097"/>
      <c r="W154" s="1105"/>
      <c r="X154" s="1093" t="str">
        <f t="shared" si="14"/>
        <v>NOT ACTIVE</v>
      </c>
      <c r="Y154" s="3351"/>
      <c r="Z154" s="1111"/>
      <c r="AA154" s="1109"/>
      <c r="AB154" s="1729"/>
      <c r="AC154" s="1097"/>
      <c r="AD154" s="1097"/>
      <c r="AE154" s="1097"/>
      <c r="AF154" s="1094" t="str">
        <f t="shared" si="15"/>
        <v>NOT ACTIVE</v>
      </c>
      <c r="AG154" s="1182"/>
      <c r="AH154" s="1101"/>
      <c r="AI154" s="1729"/>
      <c r="AJ154" s="1097"/>
      <c r="AK154" s="1097"/>
      <c r="AL154" s="1110"/>
      <c r="AM154" s="1736"/>
      <c r="AN154" s="1112"/>
      <c r="AO154" s="1113"/>
      <c r="AP154" s="1487"/>
      <c r="AQ154" s="1117"/>
      <c r="AR154" s="1729"/>
      <c r="AS154" s="1182"/>
      <c r="AT154" s="1109"/>
      <c r="AU154" s="1095"/>
      <c r="AV154" s="1182"/>
      <c r="AW154" s="1109"/>
      <c r="AX154" s="1729"/>
      <c r="AY154" s="1094" t="str">
        <f t="shared" si="16"/>
        <v>NOT ACTIVE</v>
      </c>
      <c r="AZ154" s="1186"/>
      <c r="BA154" s="1097"/>
      <c r="BB154" s="1098"/>
      <c r="BC154" s="1099"/>
      <c r="BD154" s="1230" t="s">
        <v>4871</v>
      </c>
      <c r="BF154" s="845">
        <f t="shared" ca="1" si="13"/>
        <v>0</v>
      </c>
      <c r="BG154" s="1377"/>
    </row>
    <row r="155" spans="1:59" s="686" customFormat="1" ht="65.25" customHeight="1">
      <c r="A155" s="1141">
        <v>89</v>
      </c>
      <c r="B155" s="1884" t="s">
        <v>3400</v>
      </c>
      <c r="C155" s="1474"/>
      <c r="D155" s="1886" t="s">
        <v>5125</v>
      </c>
      <c r="E155" s="1476"/>
      <c r="F155" s="1477"/>
      <c r="G155" s="1478"/>
      <c r="H155" s="1479" t="s">
        <v>91</v>
      </c>
      <c r="I155" s="1885" t="s">
        <v>244</v>
      </c>
      <c r="J155" s="1480" t="str">
        <f>IFERROR(VLOOKUP(I155,dropdowns!$E$45:$I$56,2,FALSE)," ")</f>
        <v>1.TB.01.003</v>
      </c>
      <c r="K155" s="1886" t="s">
        <v>244</v>
      </c>
      <c r="L155" s="1481" t="str">
        <f>IFERROR(VLOOKUP(K155,dropdowns!$G$45:$H$56,2,FALSE)," ")</f>
        <v>1.TB.01.003.01</v>
      </c>
      <c r="M155" s="1251" t="s">
        <v>3205</v>
      </c>
      <c r="N155" s="1482" t="s">
        <v>3207</v>
      </c>
      <c r="O155" s="1231" t="s">
        <v>3403</v>
      </c>
      <c r="P155" s="1887"/>
      <c r="Q155" s="3921">
        <f>8124930*0+31270936*0</f>
        <v>0</v>
      </c>
      <c r="R155" s="1216"/>
      <c r="S155" s="1217"/>
      <c r="T155" s="1728"/>
      <c r="U155" s="1222" t="s">
        <v>79</v>
      </c>
      <c r="V155" s="1222"/>
      <c r="W155" s="1219"/>
      <c r="X155" s="1096" t="str">
        <f t="shared" si="14"/>
        <v>ACTIVE</v>
      </c>
      <c r="Y155" s="3349"/>
      <c r="Z155" s="1221">
        <v>1</v>
      </c>
      <c r="AA155" s="1217"/>
      <c r="AB155" s="1728">
        <v>45694</v>
      </c>
      <c r="AC155" s="1222" t="s">
        <v>79</v>
      </c>
      <c r="AD155" s="1219" t="s">
        <v>3663</v>
      </c>
      <c r="AE155" s="1222"/>
      <c r="AF155" s="1096" t="str">
        <f t="shared" si="15"/>
        <v>ACTIVE</v>
      </c>
      <c r="AG155" s="1220">
        <v>31270936</v>
      </c>
      <c r="AH155" s="1234" t="s">
        <v>658</v>
      </c>
      <c r="AI155" s="1728">
        <v>45704</v>
      </c>
      <c r="AJ155" s="1222" t="s">
        <v>79</v>
      </c>
      <c r="AK155" s="1219" t="s">
        <v>3664</v>
      </c>
      <c r="AL155" s="1223" t="s">
        <v>658</v>
      </c>
      <c r="AM155" s="1735">
        <v>45705</v>
      </c>
      <c r="AN155" s="1239" t="s">
        <v>3665</v>
      </c>
      <c r="AO155" s="1226" t="s">
        <v>4605</v>
      </c>
      <c r="AP155" s="1493"/>
      <c r="AQ155" s="1227"/>
      <c r="AR155" s="1728"/>
      <c r="AS155" s="1220"/>
      <c r="AT155" s="1217"/>
      <c r="AU155" s="1218"/>
      <c r="AV155" s="1220"/>
      <c r="AW155" s="1227" t="s">
        <v>4115</v>
      </c>
      <c r="AX155" s="2100">
        <v>45755</v>
      </c>
      <c r="AY155" s="1093" t="str">
        <f t="shared" si="16"/>
        <v>ACTIVE</v>
      </c>
      <c r="AZ155" s="3521">
        <v>31270936</v>
      </c>
      <c r="BA155" s="1222" t="s">
        <v>79</v>
      </c>
      <c r="BB155" s="1228"/>
      <c r="BC155" s="1229"/>
      <c r="BD155" s="1230"/>
      <c r="BF155" s="845">
        <f t="shared" ca="1" si="13"/>
        <v>0</v>
      </c>
      <c r="BG155" s="1377"/>
    </row>
    <row r="156" spans="1:59" s="686" customFormat="1" ht="46.5" customHeight="1">
      <c r="A156" s="1141">
        <v>90</v>
      </c>
      <c r="B156" s="1884" t="s">
        <v>3404</v>
      </c>
      <c r="C156" s="1474"/>
      <c r="D156" s="1886" t="s">
        <v>5125</v>
      </c>
      <c r="E156" s="1476"/>
      <c r="F156" s="1477"/>
      <c r="G156" s="1478"/>
      <c r="H156" s="1479" t="s">
        <v>91</v>
      </c>
      <c r="I156" s="1885" t="s">
        <v>244</v>
      </c>
      <c r="J156" s="1480" t="str">
        <f>IFERROR(VLOOKUP(I156,dropdowns!$E$45:$I$56,2,FALSE)," ")</f>
        <v>1.TB.01.003</v>
      </c>
      <c r="K156" s="1886" t="s">
        <v>244</v>
      </c>
      <c r="L156" s="1481" t="str">
        <f>IFERROR(VLOOKUP(K156,dropdowns!$G$45:$H$56,2,FALSE)," ")</f>
        <v>1.TB.01.003.01</v>
      </c>
      <c r="M156" s="1251" t="s">
        <v>3205</v>
      </c>
      <c r="N156" s="1482" t="s">
        <v>3207</v>
      </c>
      <c r="O156" s="1231" t="s">
        <v>3406</v>
      </c>
      <c r="P156" s="1887"/>
      <c r="Q156" s="3921">
        <f>(8000000*0+3000000+403682+603698+5181058.51)*0</f>
        <v>0</v>
      </c>
      <c r="R156" s="1216"/>
      <c r="S156" s="1217"/>
      <c r="T156" s="1728"/>
      <c r="U156" s="1222" t="s">
        <v>79</v>
      </c>
      <c r="V156" s="1222"/>
      <c r="W156" s="1219"/>
      <c r="X156" s="1093" t="str">
        <f t="shared" si="14"/>
        <v>ACTIVE</v>
      </c>
      <c r="Y156" s="3349"/>
      <c r="Z156" s="1221">
        <v>2</v>
      </c>
      <c r="AA156" s="1217"/>
      <c r="AB156" s="1728">
        <v>45811</v>
      </c>
      <c r="AC156" s="1222" t="s">
        <v>79</v>
      </c>
      <c r="AD156" s="1219" t="s">
        <v>4368</v>
      </c>
      <c r="AE156" s="1222"/>
      <c r="AF156" s="1093" t="str">
        <f t="shared" si="15"/>
        <v>ACTIVE</v>
      </c>
      <c r="AG156" s="1220">
        <v>9188438.5099999998</v>
      </c>
      <c r="AH156" s="1234" t="s">
        <v>1984</v>
      </c>
      <c r="AI156" s="1728">
        <v>45812</v>
      </c>
      <c r="AJ156" s="1222" t="s">
        <v>79</v>
      </c>
      <c r="AK156" s="1219" t="s">
        <v>4406</v>
      </c>
      <c r="AL156" s="1223" t="s">
        <v>1984</v>
      </c>
      <c r="AM156" s="1735">
        <v>45809</v>
      </c>
      <c r="AN156" s="1239" t="s">
        <v>4407</v>
      </c>
      <c r="AO156" s="1226" t="s">
        <v>4604</v>
      </c>
      <c r="AP156" s="1493"/>
      <c r="AQ156" s="1227"/>
      <c r="AR156" s="1728"/>
      <c r="AS156" s="1220"/>
      <c r="AT156" s="1217"/>
      <c r="AU156" s="1218"/>
      <c r="AV156" s="1220"/>
      <c r="AW156" s="1227" t="s">
        <v>4405</v>
      </c>
      <c r="AX156" s="1728">
        <v>45833</v>
      </c>
      <c r="AY156" s="1093" t="str">
        <f t="shared" si="16"/>
        <v>ACTIVE</v>
      </c>
      <c r="AZ156" s="3521">
        <v>9188438.5099999998</v>
      </c>
      <c r="BA156" s="1222" t="s">
        <v>79</v>
      </c>
      <c r="BB156" s="1228"/>
      <c r="BC156" s="1229"/>
      <c r="BD156" s="1230"/>
      <c r="BF156" s="845">
        <f t="shared" ref="BF156:BF188" ca="1" si="17">IF(BA156="PENDING",TODAY()-AM156,0)</f>
        <v>0</v>
      </c>
      <c r="BG156" s="1377"/>
    </row>
    <row r="157" spans="1:59" s="686" customFormat="1" ht="88.5" customHeight="1">
      <c r="A157" s="1141">
        <v>91</v>
      </c>
      <c r="B157" s="1884" t="s">
        <v>3405</v>
      </c>
      <c r="C157" s="1474"/>
      <c r="D157" s="1475"/>
      <c r="E157" s="1476"/>
      <c r="F157" s="1477"/>
      <c r="G157" s="1478"/>
      <c r="H157" s="3551" t="s">
        <v>104</v>
      </c>
      <c r="I157" s="3552" t="s">
        <v>244</v>
      </c>
      <c r="J157" s="3553" t="str">
        <f>IFERROR(VLOOKUP(I157,dropdowns!$E$45:$I$56,2,FALSE)," ")</f>
        <v>1.TB.01.003</v>
      </c>
      <c r="K157" s="3554" t="s">
        <v>244</v>
      </c>
      <c r="L157" s="3555" t="str">
        <f>IFERROR(VLOOKUP(K157,dropdowns!$G$45:$H$56,2,FALSE)," ")</f>
        <v>1.TB.01.003.01</v>
      </c>
      <c r="M157" s="3556" t="s">
        <v>2269</v>
      </c>
      <c r="N157" s="3557" t="s">
        <v>152</v>
      </c>
      <c r="O157" s="2000" t="s">
        <v>3408</v>
      </c>
      <c r="P157" s="5194"/>
      <c r="Q157" s="5195">
        <f>980000/1.15</f>
        <v>852173.91304347827</v>
      </c>
      <c r="R157" s="1103"/>
      <c r="S157" s="1109"/>
      <c r="T157" s="1729"/>
      <c r="U157" s="4389"/>
      <c r="V157" s="1097"/>
      <c r="W157" s="1105"/>
      <c r="X157" s="1093" t="str">
        <f t="shared" si="14"/>
        <v>NOT ACTIVE</v>
      </c>
      <c r="Y157" s="3351"/>
      <c r="Z157" s="1111"/>
      <c r="AA157" s="1109"/>
      <c r="AB157" s="1729"/>
      <c r="AC157" s="1097"/>
      <c r="AD157" s="1097"/>
      <c r="AE157" s="1097"/>
      <c r="AF157" s="1094" t="str">
        <f t="shared" si="15"/>
        <v>NOT ACTIVE</v>
      </c>
      <c r="AG157" s="1182"/>
      <c r="AH157" s="1101"/>
      <c r="AI157" s="1729"/>
      <c r="AJ157" s="1097"/>
      <c r="AK157" s="1097"/>
      <c r="AL157" s="1110"/>
      <c r="AM157" s="1736"/>
      <c r="AN157" s="1112"/>
      <c r="AO157" s="1113"/>
      <c r="AP157" s="1487"/>
      <c r="AQ157" s="1117"/>
      <c r="AR157" s="1729"/>
      <c r="AS157" s="1182"/>
      <c r="AT157" s="1109"/>
      <c r="AU157" s="1095"/>
      <c r="AV157" s="1182"/>
      <c r="AW157" s="1109"/>
      <c r="AX157" s="1729"/>
      <c r="AY157" s="1094" t="str">
        <f t="shared" si="16"/>
        <v>NOT ACTIVE</v>
      </c>
      <c r="AZ157" s="1186"/>
      <c r="BA157" s="1097"/>
      <c r="BB157" s="1098"/>
      <c r="BC157" s="1099"/>
      <c r="BD157" s="1230" t="s">
        <v>4874</v>
      </c>
      <c r="BF157" s="845">
        <f t="shared" ca="1" si="17"/>
        <v>0</v>
      </c>
      <c r="BG157" s="1377"/>
    </row>
    <row r="158" spans="1:59" s="686" customFormat="1" ht="86.25" customHeight="1">
      <c r="A158" s="1141">
        <v>92</v>
      </c>
      <c r="B158" s="1884" t="s">
        <v>3407</v>
      </c>
      <c r="C158" s="1474"/>
      <c r="D158" s="1475"/>
      <c r="E158" s="1476"/>
      <c r="F158" s="1477"/>
      <c r="G158" s="1478"/>
      <c r="H158" s="3551" t="s">
        <v>104</v>
      </c>
      <c r="I158" s="3552" t="s">
        <v>244</v>
      </c>
      <c r="J158" s="3553" t="str">
        <f>IFERROR(VLOOKUP(I158,dropdowns!$E$45:$I$56,2,FALSE)," ")</f>
        <v>1.TB.01.003</v>
      </c>
      <c r="K158" s="3554" t="s">
        <v>244</v>
      </c>
      <c r="L158" s="3555" t="str">
        <f>IFERROR(VLOOKUP(K158,dropdowns!$G$45:$H$56,2,FALSE)," ")</f>
        <v>1.TB.01.003.01</v>
      </c>
      <c r="M158" s="3556" t="s">
        <v>2269</v>
      </c>
      <c r="N158" s="3557" t="s">
        <v>152</v>
      </c>
      <c r="O158" s="2000" t="s">
        <v>3409</v>
      </c>
      <c r="P158" s="5194"/>
      <c r="Q158" s="5195">
        <v>1026091</v>
      </c>
      <c r="R158" s="1103"/>
      <c r="S158" s="1109"/>
      <c r="T158" s="1729"/>
      <c r="U158" s="1097"/>
      <c r="V158" s="1097"/>
      <c r="W158" s="1105"/>
      <c r="X158" s="1093" t="str">
        <f t="shared" si="14"/>
        <v>NOT ACTIVE</v>
      </c>
      <c r="Y158" s="3351"/>
      <c r="Z158" s="1111"/>
      <c r="AA158" s="1109"/>
      <c r="AB158" s="1729"/>
      <c r="AC158" s="1097"/>
      <c r="AD158" s="1097"/>
      <c r="AE158" s="1097"/>
      <c r="AF158" s="1094" t="str">
        <f t="shared" si="15"/>
        <v>NOT ACTIVE</v>
      </c>
      <c r="AG158" s="1182"/>
      <c r="AH158" s="1101"/>
      <c r="AI158" s="1729"/>
      <c r="AJ158" s="1097"/>
      <c r="AK158" s="1097"/>
      <c r="AL158" s="1110"/>
      <c r="AM158" s="1736"/>
      <c r="AN158" s="1112"/>
      <c r="AO158" s="1113"/>
      <c r="AP158" s="1487"/>
      <c r="AQ158" s="1117"/>
      <c r="AR158" s="1729"/>
      <c r="AS158" s="1182"/>
      <c r="AT158" s="1109"/>
      <c r="AU158" s="1095"/>
      <c r="AV158" s="1182"/>
      <c r="AW158" s="1109"/>
      <c r="AX158" s="1729"/>
      <c r="AY158" s="1094" t="str">
        <f t="shared" si="16"/>
        <v>NOT ACTIVE</v>
      </c>
      <c r="AZ158" s="1186"/>
      <c r="BA158" s="1097"/>
      <c r="BB158" s="1098"/>
      <c r="BC158" s="1099"/>
      <c r="BD158" s="1230" t="s">
        <v>4875</v>
      </c>
      <c r="BF158" s="845">
        <f t="shared" ca="1" si="17"/>
        <v>0</v>
      </c>
      <c r="BG158" s="1377"/>
    </row>
    <row r="159" spans="1:59" s="686" customFormat="1" ht="83.25" customHeight="1">
      <c r="A159" s="1141">
        <v>93</v>
      </c>
      <c r="B159" s="1884" t="s">
        <v>4247</v>
      </c>
      <c r="C159" s="1474"/>
      <c r="D159" s="1475"/>
      <c r="E159" s="1476"/>
      <c r="F159" s="1477"/>
      <c r="G159" s="1478"/>
      <c r="H159" s="3551" t="s">
        <v>104</v>
      </c>
      <c r="I159" s="3552" t="s">
        <v>244</v>
      </c>
      <c r="J159" s="3553" t="str">
        <f>IFERROR(VLOOKUP(I159,dropdowns!$E$45:$I$56,2,FALSE)," ")</f>
        <v>1.TB.01.003</v>
      </c>
      <c r="K159" s="3554" t="s">
        <v>244</v>
      </c>
      <c r="L159" s="3555" t="str">
        <f>IFERROR(VLOOKUP(K159,dropdowns!$G$45:$H$56,2,FALSE)," ")</f>
        <v>1.TB.01.003.01</v>
      </c>
      <c r="M159" s="3556" t="s">
        <v>2269</v>
      </c>
      <c r="N159" s="3557" t="s">
        <v>152</v>
      </c>
      <c r="O159" s="2000" t="s">
        <v>3411</v>
      </c>
      <c r="P159" s="5194"/>
      <c r="Q159" s="5195">
        <f>1529699+2232198</f>
        <v>3761897</v>
      </c>
      <c r="R159" s="1103"/>
      <c r="S159" s="1109"/>
      <c r="T159" s="1729"/>
      <c r="U159" s="1097"/>
      <c r="V159" s="1097"/>
      <c r="W159" s="1105"/>
      <c r="X159" s="1093" t="str">
        <f t="shared" si="14"/>
        <v>NOT ACTIVE</v>
      </c>
      <c r="Y159" s="3351"/>
      <c r="Z159" s="1111"/>
      <c r="AA159" s="1109"/>
      <c r="AB159" s="1729"/>
      <c r="AC159" s="1097"/>
      <c r="AD159" s="1097"/>
      <c r="AE159" s="1097"/>
      <c r="AF159" s="1094" t="str">
        <f t="shared" si="15"/>
        <v>NOT ACTIVE</v>
      </c>
      <c r="AG159" s="1182"/>
      <c r="AH159" s="1101"/>
      <c r="AI159" s="1729"/>
      <c r="AJ159" s="1097"/>
      <c r="AK159" s="1097"/>
      <c r="AL159" s="1110"/>
      <c r="AM159" s="1736"/>
      <c r="AN159" s="1112"/>
      <c r="AO159" s="1113"/>
      <c r="AP159" s="1487"/>
      <c r="AQ159" s="1117"/>
      <c r="AR159" s="1729"/>
      <c r="AS159" s="1182"/>
      <c r="AT159" s="1109"/>
      <c r="AU159" s="1095"/>
      <c r="AV159" s="1182"/>
      <c r="AW159" s="1109"/>
      <c r="AX159" s="1729"/>
      <c r="AY159" s="1094" t="str">
        <f t="shared" si="16"/>
        <v>NOT ACTIVE</v>
      </c>
      <c r="AZ159" s="1186"/>
      <c r="BA159" s="1097"/>
      <c r="BB159" s="1098"/>
      <c r="BC159" s="1099"/>
      <c r="BD159" s="1230" t="s">
        <v>4876</v>
      </c>
      <c r="BF159" s="845">
        <f t="shared" ca="1" si="17"/>
        <v>0</v>
      </c>
      <c r="BG159" s="1377"/>
    </row>
    <row r="160" spans="1:59" s="686" customFormat="1" ht="100.5" customHeight="1">
      <c r="A160" s="1141">
        <v>94</v>
      </c>
      <c r="B160" s="1884" t="s">
        <v>3410</v>
      </c>
      <c r="C160" s="1474"/>
      <c r="D160" s="1475"/>
      <c r="E160" s="1476"/>
      <c r="F160" s="1477"/>
      <c r="G160" s="1478"/>
      <c r="H160" s="3551" t="s">
        <v>104</v>
      </c>
      <c r="I160" s="3552" t="s">
        <v>244</v>
      </c>
      <c r="J160" s="3553" t="str">
        <f>IFERROR(VLOOKUP(I160,dropdowns!$E$45:$I$56,2,FALSE)," ")</f>
        <v>1.TB.01.003</v>
      </c>
      <c r="K160" s="3554" t="s">
        <v>244</v>
      </c>
      <c r="L160" s="3555" t="str">
        <f>IFERROR(VLOOKUP(K160,dropdowns!$G$45:$H$56,2,FALSE)," ")</f>
        <v>1.TB.01.003.01</v>
      </c>
      <c r="M160" s="3556" t="s">
        <v>2269</v>
      </c>
      <c r="N160" s="3557" t="s">
        <v>152</v>
      </c>
      <c r="O160" s="2000" t="s">
        <v>3412</v>
      </c>
      <c r="P160" s="5194"/>
      <c r="Q160" s="5195">
        <v>4647142</v>
      </c>
      <c r="R160" s="1103"/>
      <c r="S160" s="1109"/>
      <c r="T160" s="1729"/>
      <c r="U160" s="1097"/>
      <c r="V160" s="1097"/>
      <c r="W160" s="1105"/>
      <c r="X160" s="1093" t="str">
        <f t="shared" si="14"/>
        <v>NOT ACTIVE</v>
      </c>
      <c r="Y160" s="3351"/>
      <c r="Z160" s="1111"/>
      <c r="AA160" s="1109"/>
      <c r="AB160" s="1729"/>
      <c r="AC160" s="1097"/>
      <c r="AD160" s="1097"/>
      <c r="AE160" s="1097"/>
      <c r="AF160" s="1094" t="str">
        <f t="shared" si="15"/>
        <v>NOT ACTIVE</v>
      </c>
      <c r="AG160" s="1182"/>
      <c r="AH160" s="1101"/>
      <c r="AI160" s="1729"/>
      <c r="AJ160" s="1097"/>
      <c r="AK160" s="1097"/>
      <c r="AL160" s="1110"/>
      <c r="AM160" s="1736"/>
      <c r="AN160" s="1112"/>
      <c r="AO160" s="1113"/>
      <c r="AP160" s="1487"/>
      <c r="AQ160" s="1117"/>
      <c r="AR160" s="1729"/>
      <c r="AS160" s="1182"/>
      <c r="AT160" s="1109"/>
      <c r="AU160" s="1095"/>
      <c r="AV160" s="1182"/>
      <c r="AW160" s="1109"/>
      <c r="AX160" s="1729"/>
      <c r="AY160" s="1094" t="str">
        <f t="shared" si="16"/>
        <v>NOT ACTIVE</v>
      </c>
      <c r="AZ160" s="1186"/>
      <c r="BA160" s="1097"/>
      <c r="BB160" s="1098"/>
      <c r="BC160" s="1099"/>
      <c r="BD160" s="1230" t="s">
        <v>4877</v>
      </c>
      <c r="BF160" s="845">
        <f t="shared" ca="1" si="17"/>
        <v>0</v>
      </c>
      <c r="BG160" s="1377"/>
    </row>
    <row r="161" spans="1:64" s="686" customFormat="1" ht="42.75" customHeight="1">
      <c r="A161" s="1141">
        <v>95</v>
      </c>
      <c r="B161" s="1884" t="s">
        <v>3429</v>
      </c>
      <c r="C161" s="1474"/>
      <c r="D161" s="1886" t="s">
        <v>5122</v>
      </c>
      <c r="E161" s="1476"/>
      <c r="F161" s="1477"/>
      <c r="G161" s="1478"/>
      <c r="H161" s="1479" t="s">
        <v>91</v>
      </c>
      <c r="I161" s="1885" t="s">
        <v>244</v>
      </c>
      <c r="J161" s="1480" t="str">
        <f>IFERROR(VLOOKUP(I161,dropdowns!$E$45:$I$56,2,FALSE)," ")</f>
        <v>1.TB.01.003</v>
      </c>
      <c r="K161" s="1886" t="s">
        <v>244</v>
      </c>
      <c r="L161" s="1481" t="str">
        <f>IFERROR(VLOOKUP(K161,dropdowns!$G$45:$H$56,2,FALSE)," ")</f>
        <v>1.TB.01.003.01</v>
      </c>
      <c r="M161" s="1251" t="s">
        <v>151</v>
      </c>
      <c r="N161" s="1482" t="s">
        <v>140</v>
      </c>
      <c r="O161" s="1231"/>
      <c r="P161" s="1224"/>
      <c r="Q161" s="3913"/>
      <c r="R161" s="1216"/>
      <c r="S161" s="1217"/>
      <c r="T161" s="1728"/>
      <c r="U161" s="1222" t="s">
        <v>79</v>
      </c>
      <c r="V161" s="1222"/>
      <c r="W161" s="1219"/>
      <c r="X161" s="1093" t="str">
        <f t="shared" si="10"/>
        <v>ACTIVE</v>
      </c>
      <c r="Y161" s="3349"/>
      <c r="Z161" s="1221"/>
      <c r="AA161" s="1217"/>
      <c r="AB161" s="1728"/>
      <c r="AC161" s="1222" t="s">
        <v>79</v>
      </c>
      <c r="AD161" s="1222"/>
      <c r="AE161" s="1222"/>
      <c r="AF161" s="1093" t="str">
        <f t="shared" si="11"/>
        <v>ACTIVE</v>
      </c>
      <c r="AG161" s="1220"/>
      <c r="AH161" s="1234"/>
      <c r="AI161" s="1728"/>
      <c r="AJ161" s="1222" t="s">
        <v>79</v>
      </c>
      <c r="AK161" s="1222"/>
      <c r="AL161" s="1223"/>
      <c r="AM161" s="1735"/>
      <c r="AN161" s="3339"/>
      <c r="AO161" s="1226"/>
      <c r="AP161" s="1493"/>
      <c r="AQ161" s="1227"/>
      <c r="AR161" s="1728"/>
      <c r="AS161" s="1220"/>
      <c r="AT161" s="1217"/>
      <c r="AU161" s="1218"/>
      <c r="AV161" s="1220"/>
      <c r="AW161" s="1217"/>
      <c r="AX161" s="1728"/>
      <c r="AY161" s="1093" t="str">
        <f t="shared" si="12"/>
        <v>ACTIVE</v>
      </c>
      <c r="AZ161" s="3583">
        <v>-509.48</v>
      </c>
      <c r="BA161" s="1222" t="s">
        <v>79</v>
      </c>
      <c r="BB161" s="1228"/>
      <c r="BC161" s="1229"/>
      <c r="BD161" s="1230" t="s">
        <v>3430</v>
      </c>
      <c r="BF161" s="845">
        <f t="shared" ca="1" si="17"/>
        <v>0</v>
      </c>
      <c r="BG161" s="1377"/>
    </row>
    <row r="162" spans="1:64" s="686" customFormat="1" ht="71.25" customHeight="1">
      <c r="A162" s="1141">
        <v>96</v>
      </c>
      <c r="B162" s="1884" t="s">
        <v>3436</v>
      </c>
      <c r="C162" s="1474" t="s">
        <v>165</v>
      </c>
      <c r="D162" s="1475" t="s">
        <v>92</v>
      </c>
      <c r="E162" s="1476"/>
      <c r="F162" s="1477"/>
      <c r="G162" s="1478"/>
      <c r="H162" s="1479" t="s">
        <v>104</v>
      </c>
      <c r="I162" s="1885" t="s">
        <v>244</v>
      </c>
      <c r="J162" s="1480" t="str">
        <f>IFERROR(VLOOKUP(I162,dropdowns!$E$45:$I$56,2,FALSE)," ")</f>
        <v>1.TB.01.003</v>
      </c>
      <c r="K162" s="1886" t="s">
        <v>244</v>
      </c>
      <c r="L162" s="1481" t="str">
        <f>IFERROR(VLOOKUP(K162,dropdowns!$G$45:$H$56,2,FALSE)," ")</f>
        <v>1.TB.01.003.01</v>
      </c>
      <c r="M162" s="1251" t="s">
        <v>189</v>
      </c>
      <c r="N162" s="1482" t="s">
        <v>2043</v>
      </c>
      <c r="O162" s="2000" t="s">
        <v>3437</v>
      </c>
      <c r="P162" s="5194" t="s">
        <v>4807</v>
      </c>
      <c r="Q162" s="5195">
        <v>22250</v>
      </c>
      <c r="R162" s="1103"/>
      <c r="S162" s="1109"/>
      <c r="T162" s="1729"/>
      <c r="U162" s="1097"/>
      <c r="V162" s="1097"/>
      <c r="W162" s="1105"/>
      <c r="X162" s="1093" t="str">
        <f t="shared" si="10"/>
        <v>NOT ACTIVE</v>
      </c>
      <c r="Y162" s="3351"/>
      <c r="Z162" s="1111"/>
      <c r="AA162" s="1109"/>
      <c r="AB162" s="1729"/>
      <c r="AC162" s="1097"/>
      <c r="AD162" s="1097"/>
      <c r="AE162" s="1097"/>
      <c r="AF162" s="1094" t="str">
        <f t="shared" si="11"/>
        <v>NOT ACTIVE</v>
      </c>
      <c r="AG162" s="1182"/>
      <c r="AH162" s="1101"/>
      <c r="AI162" s="1729"/>
      <c r="AJ162" s="1097"/>
      <c r="AK162" s="1097"/>
      <c r="AL162" s="1110"/>
      <c r="AM162" s="1736"/>
      <c r="AN162" s="1112"/>
      <c r="AO162" s="1113"/>
      <c r="AP162" s="1487"/>
      <c r="AQ162" s="1117"/>
      <c r="AR162" s="1729"/>
      <c r="AS162" s="1182"/>
      <c r="AT162" s="1109"/>
      <c r="AU162" s="1095"/>
      <c r="AV162" s="1182"/>
      <c r="AW162" s="1109"/>
      <c r="AX162" s="1729"/>
      <c r="AY162" s="1094" t="str">
        <f t="shared" si="12"/>
        <v>NOT ACTIVE</v>
      </c>
      <c r="AZ162" s="1186"/>
      <c r="BA162" s="1097"/>
      <c r="BB162" s="1098"/>
      <c r="BC162" s="1099"/>
      <c r="BD162" s="1230" t="s">
        <v>4878</v>
      </c>
      <c r="BF162" s="845">
        <f t="shared" ca="1" si="17"/>
        <v>0</v>
      </c>
      <c r="BG162" s="1377"/>
    </row>
    <row r="163" spans="1:64" s="686" customFormat="1" ht="63.75" customHeight="1">
      <c r="A163" s="1141">
        <v>97</v>
      </c>
      <c r="B163" s="1884" t="s">
        <v>3438</v>
      </c>
      <c r="C163" s="1474" t="s">
        <v>165</v>
      </c>
      <c r="D163" s="1475" t="s">
        <v>92</v>
      </c>
      <c r="E163" s="1476"/>
      <c r="F163" s="1477"/>
      <c r="G163" s="1478"/>
      <c r="H163" s="1479" t="s">
        <v>104</v>
      </c>
      <c r="I163" s="1885" t="s">
        <v>244</v>
      </c>
      <c r="J163" s="1480" t="str">
        <f>IFERROR(VLOOKUP(I163,dropdowns!$E$45:$I$56,2,FALSE)," ")</f>
        <v>1.TB.01.003</v>
      </c>
      <c r="K163" s="1886" t="s">
        <v>244</v>
      </c>
      <c r="L163" s="1481" t="str">
        <f>IFERROR(VLOOKUP(K163,dropdowns!$G$45:$H$56,2,FALSE)," ")</f>
        <v>1.TB.01.003.01</v>
      </c>
      <c r="M163" s="3556" t="s">
        <v>2269</v>
      </c>
      <c r="N163" s="1482" t="s">
        <v>152</v>
      </c>
      <c r="O163" s="2000" t="s">
        <v>3439</v>
      </c>
      <c r="P163" s="5194"/>
      <c r="Q163" s="5195">
        <v>-22250</v>
      </c>
      <c r="R163" s="1103"/>
      <c r="S163" s="1109"/>
      <c r="T163" s="1729"/>
      <c r="U163" s="4389"/>
      <c r="V163" s="1097"/>
      <c r="W163" s="1105"/>
      <c r="X163" s="1093" t="str">
        <f t="shared" si="10"/>
        <v>NOT ACTIVE</v>
      </c>
      <c r="Y163" s="3351"/>
      <c r="Z163" s="1111"/>
      <c r="AA163" s="1109"/>
      <c r="AB163" s="1729"/>
      <c r="AC163" s="1097"/>
      <c r="AD163" s="1097"/>
      <c r="AE163" s="1097"/>
      <c r="AF163" s="1094" t="str">
        <f t="shared" si="11"/>
        <v>NOT ACTIVE</v>
      </c>
      <c r="AG163" s="1182"/>
      <c r="AH163" s="1101"/>
      <c r="AI163" s="1729"/>
      <c r="AJ163" s="1097"/>
      <c r="AK163" s="1097"/>
      <c r="AL163" s="1110"/>
      <c r="AM163" s="1736"/>
      <c r="AN163" s="1112"/>
      <c r="AO163" s="1113"/>
      <c r="AP163" s="1487"/>
      <c r="AQ163" s="1117"/>
      <c r="AR163" s="1729"/>
      <c r="AS163" s="1182"/>
      <c r="AT163" s="1109"/>
      <c r="AU163" s="1095"/>
      <c r="AV163" s="1182"/>
      <c r="AW163" s="1109"/>
      <c r="AX163" s="1729"/>
      <c r="AY163" s="1094" t="str">
        <f t="shared" si="12"/>
        <v>NOT ACTIVE</v>
      </c>
      <c r="AZ163" s="1186"/>
      <c r="BA163" s="1097"/>
      <c r="BB163" s="1098"/>
      <c r="BC163" s="1099"/>
      <c r="BD163" s="1230" t="s">
        <v>4871</v>
      </c>
      <c r="BF163" s="845">
        <f t="shared" ca="1" si="17"/>
        <v>0</v>
      </c>
      <c r="BG163" s="1377"/>
    </row>
    <row r="164" spans="1:64" s="686" customFormat="1" ht="49.5" customHeight="1">
      <c r="A164" s="1168">
        <v>98</v>
      </c>
      <c r="B164" s="1884" t="s">
        <v>3590</v>
      </c>
      <c r="C164" s="1474" t="s">
        <v>165</v>
      </c>
      <c r="D164" s="1886" t="s">
        <v>5119</v>
      </c>
      <c r="E164" s="1476"/>
      <c r="F164" s="1477"/>
      <c r="G164" s="1478"/>
      <c r="H164" s="1479" t="s">
        <v>82</v>
      </c>
      <c r="I164" s="1885" t="s">
        <v>244</v>
      </c>
      <c r="J164" s="1480" t="str">
        <f>IFERROR(VLOOKUP(I164,dropdowns!$E$45:$I$56,2,FALSE)," ")</f>
        <v>1.TB.01.003</v>
      </c>
      <c r="K164" s="1886" t="s">
        <v>244</v>
      </c>
      <c r="L164" s="1481" t="str">
        <f>IFERROR(VLOOKUP(K164,dropdowns!$G$45:$H$56,2,FALSE)," ")</f>
        <v>1.TB.01.003.01</v>
      </c>
      <c r="M164" s="1251" t="s">
        <v>139</v>
      </c>
      <c r="N164" s="1482" t="s">
        <v>2564</v>
      </c>
      <c r="O164" s="1231" t="s">
        <v>3505</v>
      </c>
      <c r="P164" s="1224"/>
      <c r="Q164" s="3913">
        <f>3520000*0</f>
        <v>0</v>
      </c>
      <c r="R164" s="1216"/>
      <c r="S164" s="1217"/>
      <c r="T164" s="1728"/>
      <c r="U164" s="1222" t="s">
        <v>79</v>
      </c>
      <c r="V164" s="1222"/>
      <c r="W164" s="1219"/>
      <c r="X164" s="1093" t="str">
        <f t="shared" si="10"/>
        <v>ACTIVE</v>
      </c>
      <c r="Y164" s="3349"/>
      <c r="Z164" s="1221" t="s">
        <v>2629</v>
      </c>
      <c r="AA164" s="1217"/>
      <c r="AB164" s="1728">
        <v>45705</v>
      </c>
      <c r="AC164" s="1222" t="s">
        <v>79</v>
      </c>
      <c r="AD164" s="1219" t="s">
        <v>3666</v>
      </c>
      <c r="AE164" s="1222"/>
      <c r="AF164" s="1094" t="str">
        <f t="shared" si="11"/>
        <v>ACTIVE</v>
      </c>
      <c r="AG164" s="1220">
        <v>0</v>
      </c>
      <c r="AH164" s="1234" t="s">
        <v>1984</v>
      </c>
      <c r="AI164" s="1728">
        <v>45708</v>
      </c>
      <c r="AJ164" s="1222" t="s">
        <v>79</v>
      </c>
      <c r="AK164" s="1219" t="s">
        <v>3671</v>
      </c>
      <c r="AL164" s="4071" t="s">
        <v>1984</v>
      </c>
      <c r="AM164" s="1735">
        <v>45710</v>
      </c>
      <c r="AN164" s="1239" t="s">
        <v>3676</v>
      </c>
      <c r="AO164" s="1226" t="s">
        <v>3077</v>
      </c>
      <c r="AP164" s="1493"/>
      <c r="AQ164" s="1227"/>
      <c r="AR164" s="1728"/>
      <c r="AS164" s="1220"/>
      <c r="AT164" s="1217"/>
      <c r="AU164" s="1218"/>
      <c r="AV164" s="1220"/>
      <c r="AW164" s="1227" t="s">
        <v>3940</v>
      </c>
      <c r="AX164" s="1728">
        <v>45733</v>
      </c>
      <c r="AY164" s="1093" t="str">
        <f t="shared" si="12"/>
        <v>ACTIVE</v>
      </c>
      <c r="AZ164" s="3521">
        <v>0</v>
      </c>
      <c r="BA164" s="1222" t="s">
        <v>79</v>
      </c>
      <c r="BB164" s="1228"/>
      <c r="BC164" s="1229"/>
      <c r="BD164" s="1230"/>
      <c r="BF164" s="845">
        <f t="shared" ca="1" si="17"/>
        <v>0</v>
      </c>
      <c r="BG164" s="1377"/>
    </row>
    <row r="165" spans="1:64" s="686" customFormat="1" ht="42" customHeight="1">
      <c r="A165" s="1141">
        <v>99</v>
      </c>
      <c r="B165" s="1884" t="s">
        <v>3506</v>
      </c>
      <c r="C165" s="1474" t="s">
        <v>165</v>
      </c>
      <c r="D165" s="1475" t="s">
        <v>92</v>
      </c>
      <c r="E165" s="1476"/>
      <c r="F165" s="1477"/>
      <c r="G165" s="1478"/>
      <c r="H165" s="1479" t="s">
        <v>104</v>
      </c>
      <c r="I165" s="1885" t="s">
        <v>244</v>
      </c>
      <c r="J165" s="1480" t="str">
        <f>IFERROR(VLOOKUP(I165,dropdowns!$E$45:$I$56,2,FALSE)," ")</f>
        <v>1.TB.01.003</v>
      </c>
      <c r="K165" s="1886" t="s">
        <v>244</v>
      </c>
      <c r="L165" s="1481" t="str">
        <f>IFERROR(VLOOKUP(K165,dropdowns!$G$45:$H$56,2,FALSE)," ")</f>
        <v>1.TB.01.003.01</v>
      </c>
      <c r="M165" s="1251" t="s">
        <v>2725</v>
      </c>
      <c r="N165" s="1482" t="s">
        <v>2742</v>
      </c>
      <c r="O165" s="1231" t="s">
        <v>3507</v>
      </c>
      <c r="P165" s="1224"/>
      <c r="Q165" s="3913">
        <f>478548*0</f>
        <v>0</v>
      </c>
      <c r="R165" s="1216"/>
      <c r="S165" s="1217"/>
      <c r="T165" s="1728"/>
      <c r="U165" s="1222" t="s">
        <v>79</v>
      </c>
      <c r="V165" s="1222"/>
      <c r="W165" s="1219"/>
      <c r="X165" s="1093" t="str">
        <f t="shared" si="10"/>
        <v>ACTIVE</v>
      </c>
      <c r="Y165" s="3349"/>
      <c r="Z165" s="1221" t="s">
        <v>2108</v>
      </c>
      <c r="AA165" s="1217"/>
      <c r="AB165" s="1728">
        <v>45776</v>
      </c>
      <c r="AC165" s="1222" t="s">
        <v>79</v>
      </c>
      <c r="AD165" s="1219" t="s">
        <v>4217</v>
      </c>
      <c r="AE165" s="1222"/>
      <c r="AF165" s="1094" t="str">
        <f t="shared" si="11"/>
        <v>ACTIVE</v>
      </c>
      <c r="AG165" s="1220">
        <v>478548</v>
      </c>
      <c r="AH165" s="1234" t="s">
        <v>658</v>
      </c>
      <c r="AI165" s="1728">
        <v>45788</v>
      </c>
      <c r="AJ165" s="1222" t="s">
        <v>79</v>
      </c>
      <c r="AK165" s="1219" t="s">
        <v>4267</v>
      </c>
      <c r="AL165" s="1223" t="s">
        <v>658</v>
      </c>
      <c r="AM165" s="1735">
        <v>45789</v>
      </c>
      <c r="AN165" s="1239" t="s">
        <v>4268</v>
      </c>
      <c r="AO165" s="1226"/>
      <c r="AP165" s="1493"/>
      <c r="AQ165" s="1227"/>
      <c r="AR165" s="1728"/>
      <c r="AS165" s="1220"/>
      <c r="AT165" s="1217"/>
      <c r="AU165" s="1218"/>
      <c r="AV165" s="1220"/>
      <c r="AW165" s="1227" t="s">
        <v>5209</v>
      </c>
      <c r="AX165" s="1728">
        <v>45998</v>
      </c>
      <c r="AY165" s="1093" t="str">
        <f t="shared" si="12"/>
        <v>ACTIVE</v>
      </c>
      <c r="AZ165" s="3521">
        <v>256470.07</v>
      </c>
      <c r="BA165" s="1222" t="s">
        <v>79</v>
      </c>
      <c r="BB165" s="1228"/>
      <c r="BC165" s="1229"/>
      <c r="BD165" s="1230"/>
      <c r="BF165" s="3525">
        <f t="shared" ca="1" si="17"/>
        <v>0</v>
      </c>
      <c r="BG165" s="4282" t="s">
        <v>4439</v>
      </c>
      <c r="BH165" s="4253">
        <f>+AM165+90</f>
        <v>45879</v>
      </c>
      <c r="BI165" s="4252">
        <f>+BH165-7</f>
        <v>45872</v>
      </c>
      <c r="BK165" s="4279">
        <f ca="1">NOW()</f>
        <v>46299.665468981482</v>
      </c>
      <c r="BL165" s="4281">
        <f ca="1">+BH165-BK165</f>
        <v>-420.66546898148226</v>
      </c>
    </row>
    <row r="166" spans="1:64" s="686" customFormat="1" ht="42" customHeight="1">
      <c r="A166" s="1141" t="s">
        <v>3591</v>
      </c>
      <c r="B166" s="1250" t="s">
        <v>3592</v>
      </c>
      <c r="C166" s="2101" t="s">
        <v>161</v>
      </c>
      <c r="D166" s="1457" t="s">
        <v>92</v>
      </c>
      <c r="E166" s="1134"/>
      <c r="F166" s="1135"/>
      <c r="G166" s="1136"/>
      <c r="H166" s="1137" t="s">
        <v>104</v>
      </c>
      <c r="I166" s="1138" t="s">
        <v>244</v>
      </c>
      <c r="J166" s="1480" t="str">
        <f>IFERROR(VLOOKUP(I166,dropdowns!$E$45:$I$56,2,FALSE)," ")</f>
        <v>1.TB.01.003</v>
      </c>
      <c r="K166" s="1140" t="s">
        <v>244</v>
      </c>
      <c r="L166" s="1481" t="str">
        <f>IFERROR(VLOOKUP(K166,dropdowns!$G$45:$H$56,2,FALSE)," ")</f>
        <v>1.TB.01.003.01</v>
      </c>
      <c r="M166" s="1251" t="s">
        <v>143</v>
      </c>
      <c r="N166" s="1150" t="s">
        <v>129</v>
      </c>
      <c r="O166" s="2000" t="s">
        <v>3595</v>
      </c>
      <c r="P166" s="5194"/>
      <c r="Q166" s="5195">
        <f>-500000</f>
        <v>-500000</v>
      </c>
      <c r="R166" s="1103"/>
      <c r="S166" s="1109"/>
      <c r="T166" s="1729"/>
      <c r="U166" s="1097"/>
      <c r="V166" s="1097"/>
      <c r="W166" s="1105"/>
      <c r="X166" s="1093" t="str">
        <f t="shared" si="10"/>
        <v>NOT ACTIVE</v>
      </c>
      <c r="Y166" s="3351"/>
      <c r="Z166" s="1111"/>
      <c r="AA166" s="1109"/>
      <c r="AB166" s="1729"/>
      <c r="AC166" s="1097"/>
      <c r="AD166" s="1097"/>
      <c r="AE166" s="1097"/>
      <c r="AF166" s="1094" t="str">
        <f t="shared" si="11"/>
        <v>NOT ACTIVE</v>
      </c>
      <c r="AG166" s="1182"/>
      <c r="AH166" s="1101"/>
      <c r="AI166" s="1729"/>
      <c r="AJ166" s="1097"/>
      <c r="AK166" s="1097"/>
      <c r="AL166" s="1110"/>
      <c r="AM166" s="1736"/>
      <c r="AN166" s="1112"/>
      <c r="AO166" s="1113"/>
      <c r="AP166" s="1487"/>
      <c r="AQ166" s="1117"/>
      <c r="AR166" s="1729"/>
      <c r="AS166" s="1182"/>
      <c r="AT166" s="1109"/>
      <c r="AU166" s="1095"/>
      <c r="AV166" s="1182"/>
      <c r="AW166" s="1109"/>
      <c r="AX166" s="1729"/>
      <c r="AY166" s="1094" t="str">
        <f t="shared" si="12"/>
        <v>NOT ACTIVE</v>
      </c>
      <c r="AZ166" s="1186"/>
      <c r="BA166" s="1097"/>
      <c r="BB166" s="1098"/>
      <c r="BC166" s="1099"/>
      <c r="BD166" s="1230" t="s">
        <v>4239</v>
      </c>
      <c r="BF166" s="845">
        <f t="shared" ca="1" si="17"/>
        <v>0</v>
      </c>
      <c r="BG166" s="1377"/>
    </row>
    <row r="167" spans="1:64" s="686" customFormat="1" ht="37.5" customHeight="1">
      <c r="A167" s="1141" t="s">
        <v>3591</v>
      </c>
      <c r="B167" s="1250" t="s">
        <v>3594</v>
      </c>
      <c r="C167" s="2101" t="s">
        <v>161</v>
      </c>
      <c r="D167" s="1457" t="s">
        <v>92</v>
      </c>
      <c r="E167" s="1134"/>
      <c r="F167" s="1135"/>
      <c r="G167" s="1136"/>
      <c r="H167" s="1137" t="s">
        <v>104</v>
      </c>
      <c r="I167" s="1138" t="s">
        <v>244</v>
      </c>
      <c r="J167" s="1480" t="str">
        <f>IFERROR(VLOOKUP(I167,dropdowns!$E$45:$I$56,2,FALSE)," ")</f>
        <v>1.TB.01.003</v>
      </c>
      <c r="K167" s="1140" t="s">
        <v>244</v>
      </c>
      <c r="L167" s="1481" t="str">
        <f>IFERROR(VLOOKUP(K167,dropdowns!$G$45:$H$56,2,FALSE)," ")</f>
        <v>1.TB.01.003.01</v>
      </c>
      <c r="M167" s="1251" t="s">
        <v>3593</v>
      </c>
      <c r="N167" s="1150" t="s">
        <v>129</v>
      </c>
      <c r="O167" s="2000" t="s">
        <v>3596</v>
      </c>
      <c r="P167" s="5194"/>
      <c r="Q167" s="5195">
        <v>-282972</v>
      </c>
      <c r="R167" s="1103"/>
      <c r="S167" s="1109"/>
      <c r="T167" s="1729"/>
      <c r="U167" s="1097"/>
      <c r="V167" s="1097"/>
      <c r="W167" s="1105"/>
      <c r="X167" s="1093" t="str">
        <f t="shared" si="10"/>
        <v>NOT ACTIVE</v>
      </c>
      <c r="Y167" s="3351"/>
      <c r="Z167" s="1111"/>
      <c r="AA167" s="1109"/>
      <c r="AB167" s="1729"/>
      <c r="AC167" s="1097"/>
      <c r="AD167" s="1097"/>
      <c r="AE167" s="1097"/>
      <c r="AF167" s="1094" t="str">
        <f t="shared" si="11"/>
        <v>NOT ACTIVE</v>
      </c>
      <c r="AG167" s="1182"/>
      <c r="AH167" s="1101"/>
      <c r="AI167" s="1729"/>
      <c r="AJ167" s="1097"/>
      <c r="AK167" s="1097"/>
      <c r="AL167" s="1110"/>
      <c r="AM167" s="1736"/>
      <c r="AN167" s="1112"/>
      <c r="AO167" s="1113"/>
      <c r="AP167" s="1487"/>
      <c r="AQ167" s="1117"/>
      <c r="AR167" s="1729"/>
      <c r="AS167" s="1182"/>
      <c r="AT167" s="1109"/>
      <c r="AU167" s="1095"/>
      <c r="AV167" s="1182"/>
      <c r="AW167" s="1109"/>
      <c r="AX167" s="1729"/>
      <c r="AY167" s="1094" t="str">
        <f t="shared" si="12"/>
        <v>NOT ACTIVE</v>
      </c>
      <c r="AZ167" s="1186"/>
      <c r="BA167" s="1097"/>
      <c r="BB167" s="1098"/>
      <c r="BC167" s="1099"/>
      <c r="BD167" s="1230" t="s">
        <v>4239</v>
      </c>
      <c r="BF167" s="845">
        <f t="shared" ca="1" si="17"/>
        <v>0</v>
      </c>
      <c r="BG167" s="1377"/>
    </row>
    <row r="168" spans="1:64" s="686" customFormat="1" ht="36" customHeight="1">
      <c r="A168" s="1132">
        <v>100</v>
      </c>
      <c r="B168" s="3545" t="s">
        <v>3597</v>
      </c>
      <c r="C168" s="3546" t="s">
        <v>165</v>
      </c>
      <c r="D168" s="3547" t="s">
        <v>92</v>
      </c>
      <c r="E168" s="3548"/>
      <c r="F168" s="3549"/>
      <c r="G168" s="3550"/>
      <c r="H168" s="3551" t="s">
        <v>104</v>
      </c>
      <c r="I168" s="3552" t="s">
        <v>244</v>
      </c>
      <c r="J168" s="3553" t="str">
        <f>IFERROR(VLOOKUP(I168,dropdowns!$E$45:$I$56,2,FALSE)," ")</f>
        <v>1.TB.01.003</v>
      </c>
      <c r="K168" s="3554" t="s">
        <v>244</v>
      </c>
      <c r="L168" s="3555" t="str">
        <f>IFERROR(VLOOKUP(K168,dropdowns!$G$45:$H$56,2,FALSE)," ")</f>
        <v>1.TB.01.003.01</v>
      </c>
      <c r="M168" s="1251" t="s">
        <v>3930</v>
      </c>
      <c r="N168" s="3557" t="s">
        <v>2558</v>
      </c>
      <c r="O168" s="2000" t="s">
        <v>3598</v>
      </c>
      <c r="P168" s="5194"/>
      <c r="Q168" s="5195">
        <f>2000000+6100000</f>
        <v>8100000</v>
      </c>
      <c r="R168" s="1103"/>
      <c r="S168" s="1109"/>
      <c r="T168" s="1729"/>
      <c r="U168" s="1097"/>
      <c r="V168" s="1097"/>
      <c r="W168" s="1105"/>
      <c r="X168" s="1093" t="str">
        <f t="shared" si="10"/>
        <v>NOT ACTIVE</v>
      </c>
      <c r="Y168" s="3351"/>
      <c r="Z168" s="1111"/>
      <c r="AA168" s="1109"/>
      <c r="AB168" s="1729"/>
      <c r="AC168" s="1097"/>
      <c r="AD168" s="1097"/>
      <c r="AE168" s="1097"/>
      <c r="AF168" s="1094" t="str">
        <f t="shared" si="11"/>
        <v>NOT ACTIVE</v>
      </c>
      <c r="AG168" s="1182"/>
      <c r="AH168" s="1101"/>
      <c r="AI168" s="1729"/>
      <c r="AJ168" s="1097"/>
      <c r="AK168" s="1097"/>
      <c r="AL168" s="1110"/>
      <c r="AM168" s="1736"/>
      <c r="AN168" s="1112"/>
      <c r="AO168" s="1113"/>
      <c r="AP168" s="1487"/>
      <c r="AQ168" s="1117"/>
      <c r="AR168" s="1729"/>
      <c r="AS168" s="1182"/>
      <c r="AT168" s="1109"/>
      <c r="AU168" s="1095"/>
      <c r="AV168" s="1182"/>
      <c r="AW168" s="1109"/>
      <c r="AX168" s="1729"/>
      <c r="AY168" s="1094" t="str">
        <f t="shared" si="12"/>
        <v>NOT ACTIVE</v>
      </c>
      <c r="AZ168" s="1186"/>
      <c r="BA168" s="1097"/>
      <c r="BB168" s="1098"/>
      <c r="BC168" s="1099"/>
      <c r="BD168" s="4408" t="s">
        <v>3606</v>
      </c>
      <c r="BF168" s="845">
        <f t="shared" ca="1" si="17"/>
        <v>0</v>
      </c>
      <c r="BG168" s="1377"/>
    </row>
    <row r="169" spans="1:64" s="686" customFormat="1" ht="30" customHeight="1">
      <c r="A169" s="1524">
        <v>101</v>
      </c>
      <c r="B169" s="1961" t="s">
        <v>3601</v>
      </c>
      <c r="C169" s="1962" t="s">
        <v>165</v>
      </c>
      <c r="D169" s="2107" t="s">
        <v>92</v>
      </c>
      <c r="E169" s="3548"/>
      <c r="F169" s="3549"/>
      <c r="G169" s="3550"/>
      <c r="H169" s="1987" t="s">
        <v>104</v>
      </c>
      <c r="I169" s="3552" t="s">
        <v>244</v>
      </c>
      <c r="J169" s="3553" t="str">
        <f>IFERROR(VLOOKUP(I169,dropdowns!$E$45:$I$56,2,FALSE)," ")</f>
        <v>1.TB.01.003</v>
      </c>
      <c r="K169" s="3554" t="s">
        <v>244</v>
      </c>
      <c r="L169" s="3555" t="str">
        <f>IFERROR(VLOOKUP(K169,dropdowns!$G$45:$H$56,2,FALSE)," ")</f>
        <v>1.TB.01.003.01</v>
      </c>
      <c r="M169" s="3556" t="s">
        <v>3599</v>
      </c>
      <c r="N169" s="1970" t="s">
        <v>3600</v>
      </c>
      <c r="O169" s="1253" t="s">
        <v>3602</v>
      </c>
      <c r="P169" s="1982"/>
      <c r="Q169" s="3915">
        <f>7807030*0</f>
        <v>0</v>
      </c>
      <c r="R169" s="1971"/>
      <c r="S169" s="1991"/>
      <c r="T169" s="1973"/>
      <c r="U169" s="1531"/>
      <c r="V169" s="1531"/>
      <c r="W169" s="1974"/>
      <c r="X169" s="1100" t="str">
        <f t="shared" si="10"/>
        <v>NOT ACTIVE</v>
      </c>
      <c r="Y169" s="3356"/>
      <c r="Z169" s="1992"/>
      <c r="AA169" s="1991"/>
      <c r="AB169" s="1973"/>
      <c r="AC169" s="1531"/>
      <c r="AD169" s="1531"/>
      <c r="AE169" s="1531"/>
      <c r="AF169" s="1100" t="str">
        <f t="shared" si="11"/>
        <v>NOT ACTIVE</v>
      </c>
      <c r="AG169" s="1530"/>
      <c r="AH169" s="3325"/>
      <c r="AI169" s="1973"/>
      <c r="AJ169" s="1531"/>
      <c r="AK169" s="1531"/>
      <c r="AL169" s="1993"/>
      <c r="AM169" s="1977"/>
      <c r="AN169" s="3326"/>
      <c r="AO169" s="1979"/>
      <c r="AP169" s="1994"/>
      <c r="AQ169" s="1995"/>
      <c r="AR169" s="1973"/>
      <c r="AS169" s="1530"/>
      <c r="AT169" s="1991"/>
      <c r="AU169" s="1252"/>
      <c r="AV169" s="1530"/>
      <c r="AW169" s="1991"/>
      <c r="AX169" s="1973"/>
      <c r="AY169" s="1100" t="str">
        <f t="shared" si="12"/>
        <v>NOT ACTIVE</v>
      </c>
      <c r="AZ169" s="3327"/>
      <c r="BA169" s="1531"/>
      <c r="BB169" s="1532"/>
      <c r="BC169" s="1533"/>
      <c r="BD169" s="1999" t="s">
        <v>3985</v>
      </c>
      <c r="BF169" s="845">
        <f t="shared" ca="1" si="17"/>
        <v>0</v>
      </c>
      <c r="BG169" s="1377"/>
    </row>
    <row r="170" spans="1:64" s="686" customFormat="1" ht="61.5" customHeight="1">
      <c r="A170" s="1132">
        <v>102</v>
      </c>
      <c r="B170" s="1884" t="s">
        <v>4207</v>
      </c>
      <c r="C170" s="1474" t="s">
        <v>165</v>
      </c>
      <c r="D170" s="1475" t="s">
        <v>92</v>
      </c>
      <c r="E170" s="1476"/>
      <c r="F170" s="1477"/>
      <c r="G170" s="1478"/>
      <c r="H170" s="1479" t="s">
        <v>104</v>
      </c>
      <c r="I170" s="1885" t="s">
        <v>244</v>
      </c>
      <c r="J170" s="1480" t="str">
        <f>IFERROR(VLOOKUP(I170,dropdowns!$E$45:$I$56,2,FALSE)," ")</f>
        <v>1.TB.01.003</v>
      </c>
      <c r="K170" s="1886" t="s">
        <v>244</v>
      </c>
      <c r="L170" s="1481" t="str">
        <f>IFERROR(VLOOKUP(K170,dropdowns!$G$45:$H$56,2,FALSE)," ")</f>
        <v>1.TB.01.003.01</v>
      </c>
      <c r="M170" s="3556" t="s">
        <v>2269</v>
      </c>
      <c r="N170" s="1482" t="s">
        <v>152</v>
      </c>
      <c r="O170" s="2000" t="s">
        <v>3603</v>
      </c>
      <c r="P170" s="5194"/>
      <c r="Q170" s="5195">
        <f>-4179062*0-133949.24</f>
        <v>-133949.24</v>
      </c>
      <c r="R170" s="1103"/>
      <c r="S170" s="1109"/>
      <c r="T170" s="1729"/>
      <c r="U170" s="4389"/>
      <c r="V170" s="1097"/>
      <c r="W170" s="1105"/>
      <c r="X170" s="1093" t="str">
        <f t="shared" si="10"/>
        <v>NOT ACTIVE</v>
      </c>
      <c r="Y170" s="3351"/>
      <c r="Z170" s="1111"/>
      <c r="AA170" s="1109"/>
      <c r="AB170" s="1729"/>
      <c r="AC170" s="1097"/>
      <c r="AD170" s="1097"/>
      <c r="AE170" s="1097"/>
      <c r="AF170" s="1094" t="str">
        <f t="shared" si="11"/>
        <v>NOT ACTIVE</v>
      </c>
      <c r="AG170" s="1182"/>
      <c r="AH170" s="1101"/>
      <c r="AI170" s="1729"/>
      <c r="AJ170" s="1097"/>
      <c r="AK170" s="1097"/>
      <c r="AL170" s="1110"/>
      <c r="AM170" s="1736"/>
      <c r="AN170" s="1112"/>
      <c r="AO170" s="1113"/>
      <c r="AP170" s="1487"/>
      <c r="AQ170" s="1117"/>
      <c r="AR170" s="1729"/>
      <c r="AS170" s="1182"/>
      <c r="AT170" s="1109"/>
      <c r="AU170" s="1095"/>
      <c r="AV170" s="1182"/>
      <c r="AW170" s="1109"/>
      <c r="AX170" s="1729"/>
      <c r="AY170" s="1094" t="str">
        <f t="shared" si="12"/>
        <v>NOT ACTIVE</v>
      </c>
      <c r="AZ170" s="1186"/>
      <c r="BA170" s="1097"/>
      <c r="BB170" s="1098"/>
      <c r="BC170" s="1099"/>
      <c r="BD170" s="1230" t="s">
        <v>4879</v>
      </c>
      <c r="BF170" s="845">
        <f t="shared" ca="1" si="17"/>
        <v>0</v>
      </c>
      <c r="BG170" s="1377"/>
    </row>
    <row r="171" spans="1:64" s="686" customFormat="1" ht="81.75" customHeight="1">
      <c r="A171" s="1132">
        <v>102</v>
      </c>
      <c r="B171" s="4410" t="s">
        <v>3605</v>
      </c>
      <c r="C171" s="1474" t="s">
        <v>165</v>
      </c>
      <c r="D171" s="1475" t="s">
        <v>92</v>
      </c>
      <c r="E171" s="1476"/>
      <c r="F171" s="1477"/>
      <c r="G171" s="1478"/>
      <c r="H171" s="1479" t="s">
        <v>104</v>
      </c>
      <c r="I171" s="1885" t="s">
        <v>244</v>
      </c>
      <c r="J171" s="1480" t="str">
        <f>IFERROR(VLOOKUP(I171,dropdowns!$E$45:$I$56,2,FALSE)," ")</f>
        <v>1.TB.01.003</v>
      </c>
      <c r="K171" s="1886" t="s">
        <v>244</v>
      </c>
      <c r="L171" s="1481" t="str">
        <f>IFERROR(VLOOKUP(K171,dropdowns!$G$45:$H$56,2,FALSE)," ")</f>
        <v>1.TB.01.003.01</v>
      </c>
      <c r="M171" s="3556" t="s">
        <v>2269</v>
      </c>
      <c r="N171" s="1482" t="s">
        <v>152</v>
      </c>
      <c r="O171" s="2000" t="s">
        <v>3604</v>
      </c>
      <c r="P171" s="5194"/>
      <c r="Q171" s="5195">
        <f>75660633.83-(13737620)-(760869.57+612731.57)-4055764.55-(1655399.8-569838*0)-822640.54-519230.25-(158817.97)-(104000)+666280-(21000)-(115000)-(50000)-(8000+72092.72+232000+90000+100000+54000+51000-204382+228070+677313.67+263244.46)-(10000)+(838114.1)+(41010)</f>
        <v>53011624.830000006</v>
      </c>
      <c r="R171" s="1103"/>
      <c r="S171" s="1109"/>
      <c r="T171" s="1729"/>
      <c r="U171" s="1097"/>
      <c r="V171" s="1097"/>
      <c r="W171" s="1105"/>
      <c r="X171" s="1093" t="str">
        <f t="shared" si="10"/>
        <v>NOT ACTIVE</v>
      </c>
      <c r="Y171" s="3351"/>
      <c r="Z171" s="1111"/>
      <c r="AA171" s="1109"/>
      <c r="AB171" s="1729"/>
      <c r="AC171" s="1097"/>
      <c r="AD171" s="1097"/>
      <c r="AE171" s="1097"/>
      <c r="AF171" s="1094" t="str">
        <f t="shared" si="11"/>
        <v>NOT ACTIVE</v>
      </c>
      <c r="AG171" s="1182"/>
      <c r="AH171" s="1101"/>
      <c r="AI171" s="1729"/>
      <c r="AJ171" s="1097"/>
      <c r="AK171" s="1097"/>
      <c r="AL171" s="1110"/>
      <c r="AM171" s="1736"/>
      <c r="AN171" s="1112"/>
      <c r="AO171" s="1113"/>
      <c r="AP171" s="1487"/>
      <c r="AQ171" s="1117"/>
      <c r="AR171" s="1729"/>
      <c r="AS171" s="1182"/>
      <c r="AT171" s="1109"/>
      <c r="AU171" s="1095"/>
      <c r="AV171" s="1182"/>
      <c r="AW171" s="1109"/>
      <c r="AX171" s="1729"/>
      <c r="AY171" s="1094" t="str">
        <f t="shared" si="12"/>
        <v>NOT ACTIVE</v>
      </c>
      <c r="AZ171" s="1186"/>
      <c r="BA171" s="1097"/>
      <c r="BB171" s="1098"/>
      <c r="BC171" s="1099"/>
      <c r="BD171" s="1230" t="s">
        <v>4880</v>
      </c>
      <c r="BF171" s="845">
        <f t="shared" ca="1" si="17"/>
        <v>0</v>
      </c>
      <c r="BG171" s="1377"/>
    </row>
    <row r="172" spans="1:64" s="686" customFormat="1" ht="46.5" customHeight="1">
      <c r="A172" s="1141">
        <v>103</v>
      </c>
      <c r="B172" s="1884" t="s">
        <v>3682</v>
      </c>
      <c r="C172" s="3546" t="s">
        <v>165</v>
      </c>
      <c r="D172" s="3554" t="s">
        <v>5117</v>
      </c>
      <c r="E172" s="3548"/>
      <c r="F172" s="3549"/>
      <c r="G172" s="3550"/>
      <c r="H172" s="3551" t="s">
        <v>104</v>
      </c>
      <c r="I172" s="3552" t="s">
        <v>244</v>
      </c>
      <c r="J172" s="3553" t="str">
        <f>IFERROR(VLOOKUP(I172,dropdowns!$E$45:$I$56,2,FALSE)," ")</f>
        <v>1.TB.01.003</v>
      </c>
      <c r="K172" s="3554" t="s">
        <v>244</v>
      </c>
      <c r="L172" s="3555" t="str">
        <f>IFERROR(VLOOKUP(K172,dropdowns!$G$45:$H$56,2,FALSE)," ")</f>
        <v>1.TB.01.003.01</v>
      </c>
      <c r="M172" s="1251" t="s">
        <v>3930</v>
      </c>
      <c r="N172" s="3557" t="s">
        <v>2558</v>
      </c>
      <c r="O172" s="3558" t="s">
        <v>3681</v>
      </c>
      <c r="P172" s="4724">
        <v>46140</v>
      </c>
      <c r="Q172" s="3920">
        <f>(3102866.04-AG172)*0</f>
        <v>0</v>
      </c>
      <c r="R172" s="1216"/>
      <c r="S172" s="1217"/>
      <c r="T172" s="1728">
        <v>45680</v>
      </c>
      <c r="U172" s="1222" t="s">
        <v>79</v>
      </c>
      <c r="V172" s="1219" t="s">
        <v>6193</v>
      </c>
      <c r="W172" s="1219"/>
      <c r="X172" s="1093" t="str">
        <f t="shared" si="10"/>
        <v>ACTIVE</v>
      </c>
      <c r="Y172" s="3349">
        <f>2010911.37</f>
        <v>2010911.37</v>
      </c>
      <c r="Z172" s="1221" t="s">
        <v>4121</v>
      </c>
      <c r="AA172" s="1217"/>
      <c r="AB172" s="1728">
        <v>45833</v>
      </c>
      <c r="AC172" s="1222" t="s">
        <v>79</v>
      </c>
      <c r="AD172" s="1219" t="s">
        <v>4416</v>
      </c>
      <c r="AE172" s="1222"/>
      <c r="AF172" s="1094" t="str">
        <f t="shared" si="11"/>
        <v>ACTIVE</v>
      </c>
      <c r="AG172" s="1220">
        <v>2521135.52</v>
      </c>
      <c r="AH172" s="1234" t="s">
        <v>3004</v>
      </c>
      <c r="AI172" s="1728">
        <v>45845</v>
      </c>
      <c r="AJ172" s="1222" t="s">
        <v>79</v>
      </c>
      <c r="AK172" s="1219" t="s">
        <v>4428</v>
      </c>
      <c r="AL172" s="1223" t="s">
        <v>3004</v>
      </c>
      <c r="AM172" s="1735">
        <v>45846</v>
      </c>
      <c r="AN172" s="1239" t="s">
        <v>4433</v>
      </c>
      <c r="AO172" s="3570" t="s">
        <v>3496</v>
      </c>
      <c r="AP172" s="3571"/>
      <c r="AQ172" s="3572"/>
      <c r="AR172" s="3561"/>
      <c r="AS172" s="3573"/>
      <c r="AT172" s="3567"/>
      <c r="AU172" s="4391"/>
      <c r="AV172" s="3573"/>
      <c r="AW172" s="3572" t="s">
        <v>6400</v>
      </c>
      <c r="AX172" s="3561">
        <v>46187</v>
      </c>
      <c r="AY172" s="3559" t="str">
        <f t="shared" si="12"/>
        <v>ACTIVE</v>
      </c>
      <c r="AZ172" s="4392">
        <v>2521135.52</v>
      </c>
      <c r="BA172" s="3562" t="s">
        <v>79</v>
      </c>
      <c r="BB172" s="4393"/>
      <c r="BC172" s="4394"/>
      <c r="BD172" s="4395" t="s">
        <v>4871</v>
      </c>
      <c r="BF172" s="845">
        <f t="shared" ca="1" si="17"/>
        <v>0</v>
      </c>
      <c r="BG172" s="4307"/>
      <c r="BH172" s="4253">
        <f>+AM172+90</f>
        <v>45936</v>
      </c>
      <c r="BI172" s="4252">
        <f>+BH172-7</f>
        <v>45929</v>
      </c>
      <c r="BK172" s="4279">
        <f ca="1">NOW()</f>
        <v>46299.665468981482</v>
      </c>
      <c r="BL172" s="4280">
        <f ca="1">+BH172-BK172</f>
        <v>-363.66546898148226</v>
      </c>
    </row>
    <row r="173" spans="1:64" s="686" customFormat="1" ht="46.5" customHeight="1">
      <c r="A173" s="1141" t="s">
        <v>6190</v>
      </c>
      <c r="B173" s="1884" t="s">
        <v>6191</v>
      </c>
      <c r="C173" s="3546" t="s">
        <v>165</v>
      </c>
      <c r="D173" s="3554" t="s">
        <v>5117</v>
      </c>
      <c r="E173" s="3548"/>
      <c r="F173" s="3549"/>
      <c r="G173" s="3550"/>
      <c r="H173" s="3551" t="s">
        <v>104</v>
      </c>
      <c r="I173" s="3552" t="s">
        <v>244</v>
      </c>
      <c r="J173" s="3553" t="str">
        <f>IFERROR(VLOOKUP(I173,dropdowns!$E$45:$I$56,2,FALSE)," ")</f>
        <v>1.TB.01.003</v>
      </c>
      <c r="K173" s="3554" t="s">
        <v>244</v>
      </c>
      <c r="L173" s="3555" t="str">
        <f>IFERROR(VLOOKUP(K173,dropdowns!$G$45:$H$56,2,FALSE)," ")</f>
        <v>1.TB.01.003.01</v>
      </c>
      <c r="M173" s="1251" t="s">
        <v>3930</v>
      </c>
      <c r="N173" s="3557" t="s">
        <v>2558</v>
      </c>
      <c r="O173" s="3558"/>
      <c r="P173" s="4724"/>
      <c r="Q173" s="3920"/>
      <c r="R173" s="1216"/>
      <c r="S173" s="1217"/>
      <c r="T173" s="1728">
        <v>45680</v>
      </c>
      <c r="U173" s="1222" t="s">
        <v>79</v>
      </c>
      <c r="V173" s="1219" t="s">
        <v>6193</v>
      </c>
      <c r="W173" s="1219"/>
      <c r="X173" s="1093" t="str">
        <f t="shared" ref="X173:X204" si="18">IF(U173="APPROVED","ACTIVE",IF(U173="PENDING","ACTIVE","NOT ACTIVE"))</f>
        <v>ACTIVE</v>
      </c>
      <c r="Y173" s="3349">
        <v>521731</v>
      </c>
      <c r="Z173" s="1221" t="s">
        <v>6192</v>
      </c>
      <c r="AA173" s="1217"/>
      <c r="AB173" s="1728">
        <v>46157</v>
      </c>
      <c r="AC173" s="1222" t="s">
        <v>79</v>
      </c>
      <c r="AD173" s="4933" t="s">
        <v>6281</v>
      </c>
      <c r="AE173" s="1222"/>
      <c r="AF173" s="1093" t="str">
        <f t="shared" ref="AF173:AF204" si="19">IF(AC173="APPROVED","ACTIVE","NOT ACTIVE")</f>
        <v>ACTIVE</v>
      </c>
      <c r="AG173" s="1220">
        <v>581730.52</v>
      </c>
      <c r="AH173" s="5036" t="s">
        <v>6194</v>
      </c>
      <c r="AI173" s="5037">
        <v>46177</v>
      </c>
      <c r="AJ173" s="5038" t="s">
        <v>79</v>
      </c>
      <c r="AK173" s="3563" t="s">
        <v>6318</v>
      </c>
      <c r="AL173" s="1223" t="s">
        <v>6401</v>
      </c>
      <c r="AM173" s="1735">
        <v>46144</v>
      </c>
      <c r="AN173" s="1239" t="s">
        <v>6402</v>
      </c>
      <c r="AO173" s="3570" t="s">
        <v>3496</v>
      </c>
      <c r="AP173" s="3571"/>
      <c r="AQ173" s="3572"/>
      <c r="AR173" s="3561"/>
      <c r="AS173" s="3573"/>
      <c r="AT173" s="5092"/>
      <c r="AU173" s="4391"/>
      <c r="AV173" s="3573"/>
      <c r="AW173" s="3572" t="s">
        <v>6400</v>
      </c>
      <c r="AX173" s="3561">
        <v>46187</v>
      </c>
      <c r="AY173" s="3559" t="str">
        <f t="shared" ref="AY173:AY204" si="20">IF(BA173="APPROVED","ACTIVE","NOT ACTIVE")</f>
        <v>ACTIVE</v>
      </c>
      <c r="AZ173" s="4392">
        <v>581730.52</v>
      </c>
      <c r="BA173" s="3562" t="s">
        <v>79</v>
      </c>
      <c r="BB173" s="4393"/>
      <c r="BC173" s="4394"/>
      <c r="BD173" s="4395" t="s">
        <v>4871</v>
      </c>
      <c r="BF173" s="845">
        <f t="shared" ref="BF173" ca="1" si="21">IF(BA173="PENDING",TODAY()-AM173,0)</f>
        <v>0</v>
      </c>
      <c r="BG173" s="4307"/>
      <c r="BH173" s="4253">
        <f>+AM173+90</f>
        <v>46234</v>
      </c>
      <c r="BI173" s="4252">
        <f>+BH173-7</f>
        <v>46227</v>
      </c>
      <c r="BK173" s="4279">
        <f ca="1">NOW()</f>
        <v>46299.665468981482</v>
      </c>
      <c r="BL173" s="4280">
        <f ca="1">+BH173-BK173</f>
        <v>-65.665468981482263</v>
      </c>
    </row>
    <row r="174" spans="1:64" s="686" customFormat="1" ht="62.25" customHeight="1">
      <c r="A174" s="1141">
        <v>104</v>
      </c>
      <c r="B174" s="1884" t="s">
        <v>3683</v>
      </c>
      <c r="C174" s="1474" t="s">
        <v>165</v>
      </c>
      <c r="D174" s="1475" t="s">
        <v>92</v>
      </c>
      <c r="E174" s="1476"/>
      <c r="F174" s="1477"/>
      <c r="G174" s="1478"/>
      <c r="H174" s="1479" t="s">
        <v>104</v>
      </c>
      <c r="I174" s="1885" t="s">
        <v>244</v>
      </c>
      <c r="J174" s="1480" t="str">
        <f>IFERROR(VLOOKUP(I174,dropdowns!$E$45:$I$56,2,FALSE)," ")</f>
        <v>1.TB.01.003</v>
      </c>
      <c r="K174" s="1886" t="s">
        <v>244</v>
      </c>
      <c r="L174" s="1481" t="str">
        <f>IFERROR(VLOOKUP(K174,dropdowns!$G$45:$H$56,2,FALSE)," ")</f>
        <v>1.TB.01.003.01</v>
      </c>
      <c r="M174" s="3556" t="s">
        <v>2269</v>
      </c>
      <c r="N174" s="1482" t="s">
        <v>152</v>
      </c>
      <c r="O174" s="2000" t="s">
        <v>3684</v>
      </c>
      <c r="P174" s="5194"/>
      <c r="Q174" s="5195">
        <v>-701856.29</v>
      </c>
      <c r="R174" s="1103"/>
      <c r="S174" s="1109"/>
      <c r="T174" s="1729"/>
      <c r="U174" s="4389"/>
      <c r="V174" s="1097"/>
      <c r="W174" s="1105"/>
      <c r="X174" s="1093" t="str">
        <f t="shared" si="18"/>
        <v>NOT ACTIVE</v>
      </c>
      <c r="Y174" s="3351"/>
      <c r="Z174" s="1111"/>
      <c r="AA174" s="1109"/>
      <c r="AB174" s="1729"/>
      <c r="AC174" s="1097"/>
      <c r="AD174" s="1097"/>
      <c r="AE174" s="1097"/>
      <c r="AF174" s="1094" t="str">
        <f t="shared" si="19"/>
        <v>NOT ACTIVE</v>
      </c>
      <c r="AG174" s="1182"/>
      <c r="AH174" s="1101"/>
      <c r="AI174" s="1729"/>
      <c r="AJ174" s="1097"/>
      <c r="AK174" s="1097"/>
      <c r="AL174" s="1110"/>
      <c r="AM174" s="1736"/>
      <c r="AN174" s="1112"/>
      <c r="AO174" s="1113"/>
      <c r="AP174" s="1487"/>
      <c r="AQ174" s="1117"/>
      <c r="AR174" s="1729"/>
      <c r="AS174" s="1182"/>
      <c r="AT174" s="1109"/>
      <c r="AU174" s="1095"/>
      <c r="AV174" s="1182"/>
      <c r="AW174" s="1109"/>
      <c r="AX174" s="1729"/>
      <c r="AY174" s="1094" t="str">
        <f t="shared" si="20"/>
        <v>NOT ACTIVE</v>
      </c>
      <c r="AZ174" s="1186"/>
      <c r="BA174" s="1097"/>
      <c r="BB174" s="1098"/>
      <c r="BC174" s="1099"/>
      <c r="BD174" s="1230" t="s">
        <v>4871</v>
      </c>
      <c r="BF174" s="845">
        <f t="shared" ca="1" si="17"/>
        <v>0</v>
      </c>
      <c r="BG174" s="1377"/>
    </row>
    <row r="175" spans="1:64" s="686" customFormat="1" ht="33.75" customHeight="1">
      <c r="A175" s="1141">
        <v>105</v>
      </c>
      <c r="B175" s="1884" t="s">
        <v>3687</v>
      </c>
      <c r="C175" s="1474" t="s">
        <v>165</v>
      </c>
      <c r="D175" s="1886" t="s">
        <v>5125</v>
      </c>
      <c r="E175" s="1476"/>
      <c r="F175" s="1477"/>
      <c r="G175" s="1478"/>
      <c r="H175" s="1479" t="s">
        <v>91</v>
      </c>
      <c r="I175" s="1885" t="s">
        <v>244</v>
      </c>
      <c r="J175" s="1480" t="str">
        <f>IFERROR(VLOOKUP(I175,dropdowns!$E$45:$I$56,2,FALSE)," ")</f>
        <v>1.TB.01.003</v>
      </c>
      <c r="K175" s="1886" t="s">
        <v>244</v>
      </c>
      <c r="L175" s="1481" t="str">
        <f>IFERROR(VLOOKUP(K175,dropdowns!$G$45:$H$56,2,FALSE)," ")</f>
        <v>1.TB.01.003.01</v>
      </c>
      <c r="M175" s="1251" t="s">
        <v>3204</v>
      </c>
      <c r="N175" s="1482" t="s">
        <v>3128</v>
      </c>
      <c r="O175" s="1231"/>
      <c r="P175" s="1224"/>
      <c r="Q175" s="3913"/>
      <c r="R175" s="1216"/>
      <c r="S175" s="1217"/>
      <c r="T175" s="1728"/>
      <c r="U175" s="1222" t="s">
        <v>79</v>
      </c>
      <c r="V175" s="1222"/>
      <c r="W175" s="1219"/>
      <c r="X175" s="1093" t="str">
        <f t="shared" si="18"/>
        <v>ACTIVE</v>
      </c>
      <c r="Y175" s="3349"/>
      <c r="Z175" s="1221" t="s">
        <v>3498</v>
      </c>
      <c r="AA175" s="1217"/>
      <c r="AB175" s="1728">
        <v>45716</v>
      </c>
      <c r="AC175" s="1222" t="s">
        <v>79</v>
      </c>
      <c r="AD175" s="1219" t="s">
        <v>3688</v>
      </c>
      <c r="AE175" s="1222"/>
      <c r="AF175" s="1093" t="str">
        <f t="shared" si="19"/>
        <v>ACTIVE</v>
      </c>
      <c r="AG175" s="1220">
        <v>13737620</v>
      </c>
      <c r="AH175" s="1234">
        <v>1</v>
      </c>
      <c r="AI175" s="1728">
        <v>45726</v>
      </c>
      <c r="AJ175" s="1222" t="s">
        <v>79</v>
      </c>
      <c r="AK175" s="1219" t="s">
        <v>4119</v>
      </c>
      <c r="AL175" s="1223" t="s">
        <v>3991</v>
      </c>
      <c r="AM175" s="1735">
        <v>45727</v>
      </c>
      <c r="AN175" s="1239" t="s">
        <v>3990</v>
      </c>
      <c r="AO175" s="1226"/>
      <c r="AP175" s="1493"/>
      <c r="AQ175" s="1227"/>
      <c r="AR175" s="1728"/>
      <c r="AS175" s="1220"/>
      <c r="AT175" s="1217"/>
      <c r="AU175" s="1218"/>
      <c r="AV175" s="1220"/>
      <c r="AW175" s="1227" t="s">
        <v>4208</v>
      </c>
      <c r="AX175" s="1728">
        <v>45772</v>
      </c>
      <c r="AY175" s="1093" t="str">
        <f t="shared" si="20"/>
        <v>ACTIVE</v>
      </c>
      <c r="AZ175" s="3521">
        <v>13737620</v>
      </c>
      <c r="BA175" s="1222" t="s">
        <v>79</v>
      </c>
      <c r="BB175" s="1228"/>
      <c r="BC175" s="1229"/>
      <c r="BD175" s="1230"/>
      <c r="BF175" s="845">
        <f t="shared" ca="1" si="17"/>
        <v>0</v>
      </c>
      <c r="BG175" s="1377"/>
    </row>
    <row r="176" spans="1:64" s="686" customFormat="1" ht="38.25">
      <c r="A176" s="1524">
        <v>106</v>
      </c>
      <c r="B176" s="1961" t="s">
        <v>3718</v>
      </c>
      <c r="C176" s="1962" t="s">
        <v>165</v>
      </c>
      <c r="D176" s="2107" t="s">
        <v>92</v>
      </c>
      <c r="E176" s="1476"/>
      <c r="F176" s="1477"/>
      <c r="G176" s="1478"/>
      <c r="H176" s="1987" t="s">
        <v>104</v>
      </c>
      <c r="I176" s="1885" t="s">
        <v>244</v>
      </c>
      <c r="J176" s="1480" t="str">
        <f>IFERROR(VLOOKUP(I176,dropdowns!$E$45:$I$56,2,FALSE)," ")</f>
        <v>1.TB.01.003</v>
      </c>
      <c r="K176" s="1886" t="s">
        <v>244</v>
      </c>
      <c r="L176" s="1481" t="str">
        <f>IFERROR(VLOOKUP(K176,dropdowns!$G$45:$H$56,2,FALSE)," ")</f>
        <v>1.TB.01.003.01</v>
      </c>
      <c r="M176" s="1251" t="s">
        <v>3715</v>
      </c>
      <c r="N176" s="1970" t="s">
        <v>3716</v>
      </c>
      <c r="O176" s="1253" t="s">
        <v>3717</v>
      </c>
      <c r="P176" s="1982"/>
      <c r="Q176" s="3915">
        <f>3096124.9*0</f>
        <v>0</v>
      </c>
      <c r="R176" s="1971"/>
      <c r="S176" s="1991"/>
      <c r="T176" s="1973"/>
      <c r="U176" s="1531"/>
      <c r="V176" s="1531"/>
      <c r="W176" s="1974"/>
      <c r="X176" s="1100" t="str">
        <f t="shared" si="18"/>
        <v>NOT ACTIVE</v>
      </c>
      <c r="Y176" s="3356"/>
      <c r="Z176" s="1992"/>
      <c r="AA176" s="1991"/>
      <c r="AB176" s="1973"/>
      <c r="AC176" s="1531"/>
      <c r="AD176" s="1531"/>
      <c r="AE176" s="1531"/>
      <c r="AF176" s="1100" t="str">
        <f t="shared" si="19"/>
        <v>NOT ACTIVE</v>
      </c>
      <c r="AG176" s="1530"/>
      <c r="AH176" s="3325"/>
      <c r="AI176" s="1973"/>
      <c r="AJ176" s="1531"/>
      <c r="AK176" s="1531"/>
      <c r="AL176" s="1993"/>
      <c r="AM176" s="1977"/>
      <c r="AN176" s="3326"/>
      <c r="AO176" s="1979"/>
      <c r="AP176" s="1994"/>
      <c r="AQ176" s="1995"/>
      <c r="AR176" s="1973"/>
      <c r="AS176" s="1530"/>
      <c r="AT176" s="1991"/>
      <c r="AU176" s="1252"/>
      <c r="AV176" s="1530"/>
      <c r="AW176" s="1991"/>
      <c r="AX176" s="1973"/>
      <c r="AY176" s="1100" t="str">
        <f t="shared" si="20"/>
        <v>NOT ACTIVE</v>
      </c>
      <c r="AZ176" s="3327"/>
      <c r="BA176" s="1531"/>
      <c r="BB176" s="1532"/>
      <c r="BC176" s="1533"/>
      <c r="BD176" s="1999" t="s">
        <v>3986</v>
      </c>
      <c r="BF176" s="845">
        <f t="shared" ca="1" si="17"/>
        <v>0</v>
      </c>
      <c r="BG176" s="1377"/>
    </row>
    <row r="177" spans="1:66" s="686" customFormat="1" ht="51">
      <c r="A177" s="1132">
        <v>111</v>
      </c>
      <c r="B177" s="1884" t="s">
        <v>4432</v>
      </c>
      <c r="C177" s="1474" t="s">
        <v>165</v>
      </c>
      <c r="D177" s="1886" t="s">
        <v>5113</v>
      </c>
      <c r="E177" s="1476"/>
      <c r="F177" s="1477"/>
      <c r="G177" s="1478"/>
      <c r="H177" s="1479" t="s">
        <v>91</v>
      </c>
      <c r="I177" s="1885" t="s">
        <v>244</v>
      </c>
      <c r="J177" s="1480" t="str">
        <f>IFERROR(VLOOKUP(I177,dropdowns!$E$45:$I$56,2,FALSE)," ")</f>
        <v>1.TB.01.003</v>
      </c>
      <c r="K177" s="1886" t="s">
        <v>244</v>
      </c>
      <c r="L177" s="1481" t="str">
        <f>IFERROR(VLOOKUP(K177,dropdowns!$G$45:$H$56,2,FALSE)," ")</f>
        <v>1.TB.01.003.01</v>
      </c>
      <c r="M177" s="3556" t="s">
        <v>2269</v>
      </c>
      <c r="N177" s="1482" t="s">
        <v>152</v>
      </c>
      <c r="O177" s="1231"/>
      <c r="P177" s="1224"/>
      <c r="Q177" s="3913"/>
      <c r="R177" s="3566"/>
      <c r="S177" s="3567"/>
      <c r="T177" s="3561"/>
      <c r="U177" s="3562" t="s">
        <v>79</v>
      </c>
      <c r="V177" s="3562"/>
      <c r="W177" s="3563"/>
      <c r="X177" s="3559" t="str">
        <f t="shared" si="18"/>
        <v>ACTIVE</v>
      </c>
      <c r="Y177" s="3568">
        <v>230000</v>
      </c>
      <c r="Z177" s="1221" t="s">
        <v>5057</v>
      </c>
      <c r="AA177" s="1217"/>
      <c r="AB177" s="1728">
        <v>45837</v>
      </c>
      <c r="AC177" s="1222" t="s">
        <v>79</v>
      </c>
      <c r="AD177" s="1219" t="s">
        <v>4431</v>
      </c>
      <c r="AE177" s="1222"/>
      <c r="AF177" s="1094" t="str">
        <f t="shared" si="19"/>
        <v>ACTIVE</v>
      </c>
      <c r="AG177" s="1220">
        <v>275000</v>
      </c>
      <c r="AH177" s="1234" t="s">
        <v>4430</v>
      </c>
      <c r="AI177" s="1728">
        <v>45845</v>
      </c>
      <c r="AJ177" s="1222" t="s">
        <v>79</v>
      </c>
      <c r="AK177" s="1219" t="s">
        <v>4429</v>
      </c>
      <c r="AL177" s="1223" t="s">
        <v>4430</v>
      </c>
      <c r="AM177" s="1735">
        <v>45846</v>
      </c>
      <c r="AN177" s="1239" t="s">
        <v>4435</v>
      </c>
      <c r="AO177" s="1226" t="s">
        <v>5186</v>
      </c>
      <c r="AP177" s="1493"/>
      <c r="AQ177" s="1227"/>
      <c r="AR177" s="1728"/>
      <c r="AS177" s="1220"/>
      <c r="AT177" s="1217"/>
      <c r="AU177" s="1218"/>
      <c r="AV177" s="1220"/>
      <c r="AW177" s="1227" t="s">
        <v>5129</v>
      </c>
      <c r="AX177" s="1728">
        <v>45946</v>
      </c>
      <c r="AY177" s="1093" t="str">
        <f t="shared" si="20"/>
        <v>ACTIVE</v>
      </c>
      <c r="AZ177" s="3521">
        <v>228070</v>
      </c>
      <c r="BA177" s="1222" t="s">
        <v>79</v>
      </c>
      <c r="BB177" s="1228"/>
      <c r="BC177" s="1229"/>
      <c r="BD177" s="1230" t="s">
        <v>4548</v>
      </c>
      <c r="BF177" s="845">
        <f t="shared" ca="1" si="17"/>
        <v>0</v>
      </c>
      <c r="BG177" s="4282" t="s">
        <v>4549</v>
      </c>
      <c r="BH177" s="4253">
        <f t="shared" ref="BH177:BH183" si="22">+AM177+90</f>
        <v>45936</v>
      </c>
      <c r="BI177" s="4252">
        <f t="shared" ref="BI177:BI183" si="23">+BH177-7</f>
        <v>45929</v>
      </c>
      <c r="BK177" s="4279">
        <f t="shared" ref="BK177:BK183" ca="1" si="24">NOW()</f>
        <v>46299.665468981482</v>
      </c>
      <c r="BL177" s="4280">
        <f t="shared" ref="BL177:BL183" ca="1" si="25">+BH177-BK177</f>
        <v>-363.66546898148226</v>
      </c>
    </row>
    <row r="178" spans="1:66" s="686" customFormat="1" ht="38.25">
      <c r="A178" s="1141">
        <v>112</v>
      </c>
      <c r="B178" s="1884" t="s">
        <v>3989</v>
      </c>
      <c r="C178" s="1474" t="s">
        <v>165</v>
      </c>
      <c r="D178" s="1886" t="s">
        <v>5125</v>
      </c>
      <c r="E178" s="1476"/>
      <c r="F178" s="1477"/>
      <c r="G178" s="1478"/>
      <c r="H178" s="1479" t="s">
        <v>91</v>
      </c>
      <c r="I178" s="1885" t="s">
        <v>244</v>
      </c>
      <c r="J178" s="1480" t="str">
        <f>IFERROR(VLOOKUP(I178,dropdowns!$E$45:$I$56,2,FALSE)," ")</f>
        <v>1.TB.01.003</v>
      </c>
      <c r="K178" s="1886" t="s">
        <v>244</v>
      </c>
      <c r="L178" s="1481" t="str">
        <f>IFERROR(VLOOKUP(K178,dropdowns!$G$45:$H$56,2,FALSE)," ")</f>
        <v>1.TB.01.003.01</v>
      </c>
      <c r="M178" s="1251" t="s">
        <v>189</v>
      </c>
      <c r="N178" s="1482" t="s">
        <v>2043</v>
      </c>
      <c r="O178" s="1231" t="s">
        <v>3947</v>
      </c>
      <c r="P178" s="1224"/>
      <c r="Q178" s="3913">
        <f>(7590+6900)*1.1*0</f>
        <v>0</v>
      </c>
      <c r="R178" s="1216"/>
      <c r="S178" s="1217"/>
      <c r="T178" s="1728"/>
      <c r="U178" s="1222" t="s">
        <v>79</v>
      </c>
      <c r="V178" s="1222"/>
      <c r="W178" s="1219"/>
      <c r="X178" s="1093" t="str">
        <f t="shared" si="18"/>
        <v>ACTIVE</v>
      </c>
      <c r="Y178" s="3349"/>
      <c r="Z178" s="1221" t="s">
        <v>3498</v>
      </c>
      <c r="AA178" s="1217"/>
      <c r="AB178" s="1728">
        <v>45794</v>
      </c>
      <c r="AC178" s="1222" t="s">
        <v>79</v>
      </c>
      <c r="AD178" s="1219" t="s">
        <v>4281</v>
      </c>
      <c r="AE178" s="1222"/>
      <c r="AF178" s="1094" t="str">
        <f t="shared" si="19"/>
        <v>ACTIVE</v>
      </c>
      <c r="AG178" s="1220">
        <v>15939</v>
      </c>
      <c r="AH178" s="1234" t="s">
        <v>658</v>
      </c>
      <c r="AI178" s="1728">
        <v>45806</v>
      </c>
      <c r="AJ178" s="1222" t="s">
        <v>79</v>
      </c>
      <c r="AK178" s="1219" t="s">
        <v>4337</v>
      </c>
      <c r="AL178" s="1223" t="s">
        <v>658</v>
      </c>
      <c r="AM178" s="1735">
        <v>45806</v>
      </c>
      <c r="AN178" s="3565" t="s">
        <v>4338</v>
      </c>
      <c r="AO178" s="3570"/>
      <c r="AP178" s="3571"/>
      <c r="AQ178" s="3572"/>
      <c r="AR178" s="3561"/>
      <c r="AS178" s="3573"/>
      <c r="AT178" s="3567"/>
      <c r="AU178" s="4391"/>
      <c r="AV178" s="3573"/>
      <c r="AW178" s="3572" t="s">
        <v>4816</v>
      </c>
      <c r="AX178" s="3561" t="s">
        <v>4817</v>
      </c>
      <c r="AY178" s="1094" t="str">
        <f t="shared" si="20"/>
        <v>ACTIVE</v>
      </c>
      <c r="AZ178" s="4392">
        <v>10143</v>
      </c>
      <c r="BA178" s="3562" t="s">
        <v>79</v>
      </c>
      <c r="BB178" s="4393"/>
      <c r="BC178" s="4394"/>
      <c r="BD178" s="4395"/>
      <c r="BF178" s="3525">
        <f t="shared" ca="1" si="17"/>
        <v>0</v>
      </c>
      <c r="BG178" s="4307"/>
      <c r="BH178" s="4254">
        <f t="shared" si="22"/>
        <v>45896</v>
      </c>
      <c r="BI178" s="4252">
        <f t="shared" si="23"/>
        <v>45889</v>
      </c>
      <c r="BK178" s="4279">
        <f t="shared" ca="1" si="24"/>
        <v>46299.665468981482</v>
      </c>
      <c r="BL178" s="4280">
        <f t="shared" ca="1" si="25"/>
        <v>-403.66546898148226</v>
      </c>
    </row>
    <row r="179" spans="1:66" s="686" customFormat="1" ht="38.25" customHeight="1">
      <c r="A179" s="1141">
        <v>113</v>
      </c>
      <c r="B179" s="1884" t="s">
        <v>3992</v>
      </c>
      <c r="C179" s="1474" t="s">
        <v>165</v>
      </c>
      <c r="D179" s="1475" t="s">
        <v>5113</v>
      </c>
      <c r="E179" s="1476"/>
      <c r="F179" s="1477"/>
      <c r="G179" s="1478"/>
      <c r="H179" s="1479" t="s">
        <v>104</v>
      </c>
      <c r="I179" s="1885" t="s">
        <v>244</v>
      </c>
      <c r="J179" s="1480" t="str">
        <f>IFERROR(VLOOKUP(I179,dropdowns!$E$45:$I$56,2,FALSE)," ")</f>
        <v>1.TB.01.003</v>
      </c>
      <c r="K179" s="1886" t="s">
        <v>244</v>
      </c>
      <c r="L179" s="1481" t="str">
        <f>IFERROR(VLOOKUP(K179,dropdowns!$G$45:$H$56,2,FALSE)," ")</f>
        <v>1.TB.01.003.01</v>
      </c>
      <c r="M179" s="1251" t="s">
        <v>3930</v>
      </c>
      <c r="N179" s="1482" t="s">
        <v>2558</v>
      </c>
      <c r="O179" s="1231" t="s">
        <v>3993</v>
      </c>
      <c r="P179" s="1224"/>
      <c r="Q179" s="3913">
        <f>312470.43*0</f>
        <v>0</v>
      </c>
      <c r="R179" s="1216"/>
      <c r="S179" s="1217"/>
      <c r="T179" s="1728"/>
      <c r="U179" s="1222" t="s">
        <v>79</v>
      </c>
      <c r="V179" s="1222"/>
      <c r="W179" s="1219"/>
      <c r="X179" s="1093" t="str">
        <f t="shared" si="18"/>
        <v>ACTIVE</v>
      </c>
      <c r="Y179" s="3349"/>
      <c r="Z179" s="1221" t="s">
        <v>3134</v>
      </c>
      <c r="AA179" s="1217"/>
      <c r="AB179" s="1728">
        <v>45794</v>
      </c>
      <c r="AC179" s="1222" t="s">
        <v>79</v>
      </c>
      <c r="AD179" s="1219" t="s">
        <v>4280</v>
      </c>
      <c r="AE179" s="1222"/>
      <c r="AF179" s="1094" t="str">
        <f t="shared" si="19"/>
        <v>ACTIVE</v>
      </c>
      <c r="AG179" s="1220">
        <v>312470.43</v>
      </c>
      <c r="AH179" s="1234" t="s">
        <v>2767</v>
      </c>
      <c r="AI179" s="1728">
        <v>45800</v>
      </c>
      <c r="AJ179" s="1222" t="s">
        <v>79</v>
      </c>
      <c r="AK179" s="1219" t="s">
        <v>4294</v>
      </c>
      <c r="AL179" s="1223" t="s">
        <v>2767</v>
      </c>
      <c r="AM179" s="1735">
        <v>45803</v>
      </c>
      <c r="AN179" s="4229" t="s">
        <v>4295</v>
      </c>
      <c r="AO179" s="1226" t="s">
        <v>3067</v>
      </c>
      <c r="AP179" s="1493"/>
      <c r="AQ179" s="1227"/>
      <c r="AR179" s="1728"/>
      <c r="AS179" s="1220"/>
      <c r="AT179" s="1217"/>
      <c r="AU179" s="1218"/>
      <c r="AV179" s="1220"/>
      <c r="AW179" s="1227" t="s">
        <v>6256</v>
      </c>
      <c r="AX179" s="1728">
        <v>46160</v>
      </c>
      <c r="AY179" s="1093" t="str">
        <f t="shared" si="20"/>
        <v>ACTIVE</v>
      </c>
      <c r="AZ179" s="3521">
        <v>0</v>
      </c>
      <c r="BA179" s="1222" t="s">
        <v>79</v>
      </c>
      <c r="BB179" s="1228"/>
      <c r="BC179" s="1229"/>
      <c r="BD179" s="1230" t="s">
        <v>6148</v>
      </c>
      <c r="BF179" s="3525">
        <f t="shared" ca="1" si="17"/>
        <v>0</v>
      </c>
      <c r="BG179" s="4307"/>
      <c r="BH179" s="4254">
        <f t="shared" si="22"/>
        <v>45893</v>
      </c>
      <c r="BI179" s="4252">
        <f t="shared" si="23"/>
        <v>45886</v>
      </c>
      <c r="BK179" s="4279">
        <f t="shared" ca="1" si="24"/>
        <v>46299.665468981482</v>
      </c>
      <c r="BL179" s="4280">
        <f t="shared" ca="1" si="25"/>
        <v>-406.66546898148226</v>
      </c>
    </row>
    <row r="180" spans="1:66" s="686" customFormat="1" ht="49.5" customHeight="1">
      <c r="A180" s="1141">
        <v>114</v>
      </c>
      <c r="B180" s="1884" t="s">
        <v>3994</v>
      </c>
      <c r="C180" s="1474" t="s">
        <v>165</v>
      </c>
      <c r="D180" s="1886" t="s">
        <v>5122</v>
      </c>
      <c r="E180" s="1476"/>
      <c r="F180" s="1477"/>
      <c r="G180" s="1478"/>
      <c r="H180" s="1479" t="s">
        <v>91</v>
      </c>
      <c r="I180" s="1885" t="s">
        <v>244</v>
      </c>
      <c r="J180" s="1480" t="str">
        <f>IFERROR(VLOOKUP(I180,dropdowns!$E$45:$I$56,2,FALSE)," ")</f>
        <v>1.TB.01.003</v>
      </c>
      <c r="K180" s="1886" t="s">
        <v>244</v>
      </c>
      <c r="L180" s="1481" t="str">
        <f>IFERROR(VLOOKUP(K180,dropdowns!$G$45:$H$56,2,FALSE)," ")</f>
        <v>1.TB.01.003.01</v>
      </c>
      <c r="M180" s="1251" t="s">
        <v>3930</v>
      </c>
      <c r="N180" s="1482" t="s">
        <v>2558</v>
      </c>
      <c r="O180" s="1231" t="s">
        <v>3995</v>
      </c>
      <c r="P180" s="1224"/>
      <c r="Q180" s="3913">
        <f>34680*0</f>
        <v>0</v>
      </c>
      <c r="R180" s="1216"/>
      <c r="S180" s="1217"/>
      <c r="T180" s="1728"/>
      <c r="U180" s="1222" t="s">
        <v>79</v>
      </c>
      <c r="V180" s="1222"/>
      <c r="W180" s="1219"/>
      <c r="X180" s="1093" t="str">
        <f t="shared" si="18"/>
        <v>ACTIVE</v>
      </c>
      <c r="Y180" s="3349"/>
      <c r="Z180" s="1221" t="s">
        <v>4120</v>
      </c>
      <c r="AA180" s="1217"/>
      <c r="AB180" s="1728">
        <v>45776</v>
      </c>
      <c r="AC180" s="1222" t="s">
        <v>79</v>
      </c>
      <c r="AD180" s="1219" t="s">
        <v>4218</v>
      </c>
      <c r="AE180" s="1222"/>
      <c r="AF180" s="1093" t="str">
        <f t="shared" si="19"/>
        <v>ACTIVE</v>
      </c>
      <c r="AG180" s="1220">
        <f>34684</f>
        <v>34684</v>
      </c>
      <c r="AH180" s="1234" t="s">
        <v>2747</v>
      </c>
      <c r="AI180" s="1728">
        <v>45788</v>
      </c>
      <c r="AJ180" s="1222" t="s">
        <v>79</v>
      </c>
      <c r="AK180" s="1219" t="s">
        <v>4264</v>
      </c>
      <c r="AL180" s="1223" t="s">
        <v>2747</v>
      </c>
      <c r="AM180" s="1735">
        <v>45789</v>
      </c>
      <c r="AN180" s="4229" t="s">
        <v>4266</v>
      </c>
      <c r="AO180" s="1226" t="s">
        <v>3049</v>
      </c>
      <c r="AP180" s="1493"/>
      <c r="AQ180" s="1227"/>
      <c r="AR180" s="1728"/>
      <c r="AS180" s="1220"/>
      <c r="AT180" s="1217"/>
      <c r="AU180" s="1218"/>
      <c r="AV180" s="1220"/>
      <c r="AW180" s="1227" t="s">
        <v>4639</v>
      </c>
      <c r="AX180" s="1728">
        <v>45890</v>
      </c>
      <c r="AY180" s="1093" t="str">
        <f t="shared" si="20"/>
        <v>ACTIVE</v>
      </c>
      <c r="AZ180" s="3521">
        <v>27249.9</v>
      </c>
      <c r="BA180" s="1222" t="s">
        <v>79</v>
      </c>
      <c r="BB180" s="1228"/>
      <c r="BC180" s="1229"/>
      <c r="BD180" s="1230"/>
      <c r="BF180" s="3525">
        <f t="shared" ca="1" si="17"/>
        <v>0</v>
      </c>
      <c r="BG180" s="4282" t="s">
        <v>4441</v>
      </c>
      <c r="BH180" s="4253">
        <f t="shared" si="22"/>
        <v>45879</v>
      </c>
      <c r="BI180" s="4252">
        <f t="shared" si="23"/>
        <v>45872</v>
      </c>
      <c r="BJ180" s="4255" t="s">
        <v>4440</v>
      </c>
      <c r="BK180" s="4279">
        <f t="shared" ca="1" si="24"/>
        <v>46299.665468981482</v>
      </c>
      <c r="BL180" s="4281">
        <f t="shared" ca="1" si="25"/>
        <v>-420.66546898148226</v>
      </c>
    </row>
    <row r="181" spans="1:66" s="686" customFormat="1" ht="49.5" customHeight="1">
      <c r="A181" s="1141">
        <v>115</v>
      </c>
      <c r="B181" s="1884" t="s">
        <v>3996</v>
      </c>
      <c r="C181" s="1474" t="s">
        <v>165</v>
      </c>
      <c r="D181" s="1886" t="s">
        <v>5125</v>
      </c>
      <c r="E181" s="1476"/>
      <c r="F181" s="1477"/>
      <c r="G181" s="1478"/>
      <c r="H181" s="1479" t="s">
        <v>104</v>
      </c>
      <c r="I181" s="1885" t="s">
        <v>244</v>
      </c>
      <c r="J181" s="1480" t="str">
        <f>IFERROR(VLOOKUP(I181,dropdowns!$E$45:$I$56,2,FALSE)," ")</f>
        <v>1.TB.01.003</v>
      </c>
      <c r="K181" s="1886" t="s">
        <v>244</v>
      </c>
      <c r="L181" s="1481" t="str">
        <f>IFERROR(VLOOKUP(K181,dropdowns!$G$45:$H$56,2,FALSE)," ")</f>
        <v>1.TB.01.003.01</v>
      </c>
      <c r="M181" s="1251" t="s">
        <v>3930</v>
      </c>
      <c r="N181" s="1482" t="s">
        <v>2558</v>
      </c>
      <c r="O181" s="1231" t="s">
        <v>3997</v>
      </c>
      <c r="P181" s="1224"/>
      <c r="Q181" s="3913">
        <f>850370.6*0</f>
        <v>0</v>
      </c>
      <c r="R181" s="1216"/>
      <c r="S181" s="1217"/>
      <c r="T181" s="1728"/>
      <c r="U181" s="1222" t="s">
        <v>79</v>
      </c>
      <c r="V181" s="1222"/>
      <c r="W181" s="1219"/>
      <c r="X181" s="1093" t="str">
        <f t="shared" si="18"/>
        <v>ACTIVE</v>
      </c>
      <c r="Y181" s="3349"/>
      <c r="Z181" s="1221" t="s">
        <v>4122</v>
      </c>
      <c r="AA181" s="1217"/>
      <c r="AB181" s="1728">
        <v>45784</v>
      </c>
      <c r="AC181" s="1222" t="s">
        <v>79</v>
      </c>
      <c r="AD181" s="1219" t="s">
        <v>4261</v>
      </c>
      <c r="AE181" s="1222"/>
      <c r="AF181" s="1093" t="str">
        <f t="shared" si="19"/>
        <v>ACTIVE</v>
      </c>
      <c r="AG181" s="1220">
        <v>850370.6</v>
      </c>
      <c r="AH181" s="1234" t="s">
        <v>3011</v>
      </c>
      <c r="AI181" s="1728">
        <v>45788</v>
      </c>
      <c r="AJ181" s="1222" t="s">
        <v>79</v>
      </c>
      <c r="AK181" s="1219" t="s">
        <v>4264</v>
      </c>
      <c r="AL181" s="1223" t="s">
        <v>3011</v>
      </c>
      <c r="AM181" s="1735">
        <v>45789</v>
      </c>
      <c r="AN181" s="4229" t="s">
        <v>4265</v>
      </c>
      <c r="AO181" s="1113"/>
      <c r="AP181" s="1487"/>
      <c r="AQ181" s="1117"/>
      <c r="AR181" s="1729"/>
      <c r="AS181" s="1182"/>
      <c r="AT181" s="1109"/>
      <c r="AU181" s="1095"/>
      <c r="AV181" s="1182"/>
      <c r="AW181" s="1109"/>
      <c r="AX181" s="1729"/>
      <c r="AY181" s="1094" t="str">
        <f t="shared" si="20"/>
        <v>NOT ACTIVE</v>
      </c>
      <c r="AZ181" s="1186"/>
      <c r="BA181" s="1097" t="s">
        <v>87</v>
      </c>
      <c r="BB181" s="1098"/>
      <c r="BC181" s="1099"/>
      <c r="BD181" s="1108"/>
      <c r="BF181" s="3525">
        <f t="shared" ca="1" si="17"/>
        <v>510</v>
      </c>
      <c r="BG181" s="4282" t="s">
        <v>4439</v>
      </c>
      <c r="BH181" s="4253">
        <f t="shared" si="22"/>
        <v>45879</v>
      </c>
      <c r="BI181" s="4252">
        <f t="shared" si="23"/>
        <v>45872</v>
      </c>
      <c r="BK181" s="4279">
        <f t="shared" ca="1" si="24"/>
        <v>46299.665468981482</v>
      </c>
      <c r="BL181" s="4281">
        <f t="shared" ca="1" si="25"/>
        <v>-420.66546898148226</v>
      </c>
    </row>
    <row r="182" spans="1:66" s="686" customFormat="1" ht="41.25" customHeight="1">
      <c r="A182" s="1141">
        <v>116</v>
      </c>
      <c r="B182" s="1884" t="s">
        <v>3998</v>
      </c>
      <c r="C182" s="1474" t="s">
        <v>165</v>
      </c>
      <c r="D182" s="1886" t="s">
        <v>5122</v>
      </c>
      <c r="E182" s="1476"/>
      <c r="F182" s="1477"/>
      <c r="G182" s="1478"/>
      <c r="H182" s="1479" t="s">
        <v>104</v>
      </c>
      <c r="I182" s="1885" t="s">
        <v>244</v>
      </c>
      <c r="J182" s="1480" t="str">
        <f>IFERROR(VLOOKUP(I182,dropdowns!$E$45:$I$56,2,FALSE)," ")</f>
        <v>1.TB.01.003</v>
      </c>
      <c r="K182" s="1886" t="s">
        <v>244</v>
      </c>
      <c r="L182" s="1481" t="str">
        <f>IFERROR(VLOOKUP(K182,dropdowns!$G$45:$H$56,2,FALSE)," ")</f>
        <v>1.TB.01.003.01</v>
      </c>
      <c r="M182" s="1251" t="s">
        <v>3930</v>
      </c>
      <c r="N182" s="1482" t="s">
        <v>2558</v>
      </c>
      <c r="O182" s="1231" t="s">
        <v>3999</v>
      </c>
      <c r="P182" s="1224"/>
      <c r="Q182" s="3913">
        <f>765844.021825*0</f>
        <v>0</v>
      </c>
      <c r="R182" s="1216"/>
      <c r="S182" s="1217"/>
      <c r="T182" s="1728"/>
      <c r="U182" s="1222" t="s">
        <v>79</v>
      </c>
      <c r="V182" s="1222"/>
      <c r="W182" s="1219"/>
      <c r="X182" s="1093" t="str">
        <f t="shared" si="18"/>
        <v>ACTIVE</v>
      </c>
      <c r="Y182" s="3349"/>
      <c r="Z182" s="1221" t="s">
        <v>4123</v>
      </c>
      <c r="AA182" s="1217"/>
      <c r="AB182" s="1728">
        <v>45794</v>
      </c>
      <c r="AC182" s="1222" t="s">
        <v>79</v>
      </c>
      <c r="AD182" s="1219" t="s">
        <v>4282</v>
      </c>
      <c r="AE182" s="1222"/>
      <c r="AF182" s="1094" t="str">
        <f t="shared" si="19"/>
        <v>ACTIVE</v>
      </c>
      <c r="AG182" s="1220">
        <v>0</v>
      </c>
      <c r="AH182" s="1234" t="s">
        <v>744</v>
      </c>
      <c r="AI182" s="1728">
        <v>45802</v>
      </c>
      <c r="AJ182" s="1222" t="s">
        <v>79</v>
      </c>
      <c r="AK182" s="1219" t="s">
        <v>4298</v>
      </c>
      <c r="AL182" s="1223" t="s">
        <v>5047</v>
      </c>
      <c r="AM182" s="1735">
        <v>45803</v>
      </c>
      <c r="AN182" s="1239" t="s">
        <v>4299</v>
      </c>
      <c r="AO182" s="3570" t="s">
        <v>3036</v>
      </c>
      <c r="AP182" s="3571" t="s">
        <v>663</v>
      </c>
      <c r="AQ182" s="3572"/>
      <c r="AR182" s="3561"/>
      <c r="AS182" s="3573"/>
      <c r="AT182" s="3567"/>
      <c r="AU182" s="4391"/>
      <c r="AV182" s="3573"/>
      <c r="AW182" s="3572" t="s">
        <v>6589</v>
      </c>
      <c r="AX182" s="3561">
        <v>46249</v>
      </c>
      <c r="AY182" s="1094" t="str">
        <f t="shared" si="20"/>
        <v>ACTIVE</v>
      </c>
      <c r="AZ182" s="4392">
        <v>0</v>
      </c>
      <c r="BA182" s="3562" t="s">
        <v>79</v>
      </c>
      <c r="BB182" s="4393"/>
      <c r="BC182" s="4394"/>
      <c r="BD182" s="4395" t="s">
        <v>6572</v>
      </c>
      <c r="BF182" s="3525">
        <f t="shared" ca="1" si="17"/>
        <v>0</v>
      </c>
      <c r="BG182" s="4307"/>
      <c r="BH182" s="4254">
        <f t="shared" si="22"/>
        <v>45893</v>
      </c>
      <c r="BI182" s="4252">
        <f t="shared" si="23"/>
        <v>45886</v>
      </c>
      <c r="BK182" s="4279">
        <f t="shared" ca="1" si="24"/>
        <v>46299.665468981482</v>
      </c>
      <c r="BL182" s="4280">
        <f t="shared" ca="1" si="25"/>
        <v>-406.66546898148226</v>
      </c>
    </row>
    <row r="183" spans="1:66" s="686" customFormat="1" ht="37.5" customHeight="1">
      <c r="A183" s="1141">
        <v>117</v>
      </c>
      <c r="B183" s="1884" t="s">
        <v>4219</v>
      </c>
      <c r="C183" s="1474" t="s">
        <v>165</v>
      </c>
      <c r="D183" s="1886" t="s">
        <v>5122</v>
      </c>
      <c r="E183" s="1476"/>
      <c r="F183" s="1477"/>
      <c r="G183" s="1478"/>
      <c r="H183" s="1479" t="s">
        <v>91</v>
      </c>
      <c r="I183" s="1885" t="s">
        <v>244</v>
      </c>
      <c r="J183" s="1480" t="str">
        <f>IFERROR(VLOOKUP(I183,dropdowns!$E$45:$I$56,2,FALSE)," ")</f>
        <v>1.TB.01.003</v>
      </c>
      <c r="K183" s="1886" t="s">
        <v>244</v>
      </c>
      <c r="L183" s="1481" t="str">
        <f>IFERROR(VLOOKUP(K183,dropdowns!$G$45:$H$56,2,FALSE)," ")</f>
        <v>1.TB.01.003.01</v>
      </c>
      <c r="M183" s="1251" t="s">
        <v>2269</v>
      </c>
      <c r="N183" s="1482" t="s">
        <v>152</v>
      </c>
      <c r="O183" s="1231" t="s">
        <v>4000</v>
      </c>
      <c r="P183" s="1224"/>
      <c r="Q183" s="3913">
        <f>856801.79*0</f>
        <v>0</v>
      </c>
      <c r="R183" s="1216"/>
      <c r="S183" s="1217"/>
      <c r="T183" s="1728"/>
      <c r="U183" s="1222" t="s">
        <v>79</v>
      </c>
      <c r="V183" s="1222"/>
      <c r="W183" s="1219"/>
      <c r="X183" s="1093" t="str">
        <f t="shared" si="18"/>
        <v>ACTIVE</v>
      </c>
      <c r="Y183" s="3349"/>
      <c r="Z183" s="1221" t="s">
        <v>5058</v>
      </c>
      <c r="AA183" s="1217"/>
      <c r="AB183" s="1728">
        <v>45797</v>
      </c>
      <c r="AC183" s="1222" t="s">
        <v>79</v>
      </c>
      <c r="AD183" s="1219" t="s">
        <v>4293</v>
      </c>
      <c r="AE183" s="1222"/>
      <c r="AF183" s="1093" t="str">
        <f t="shared" si="19"/>
        <v>ACTIVE</v>
      </c>
      <c r="AG183" s="1220">
        <v>856801.79</v>
      </c>
      <c r="AH183" s="1234" t="s">
        <v>3360</v>
      </c>
      <c r="AI183" s="1728">
        <v>45826</v>
      </c>
      <c r="AJ183" s="1222" t="s">
        <v>79</v>
      </c>
      <c r="AK183" s="1219" t="s">
        <v>4371</v>
      </c>
      <c r="AL183" s="1223" t="s">
        <v>3360</v>
      </c>
      <c r="AM183" s="1735">
        <v>45826</v>
      </c>
      <c r="AN183" s="1239" t="s">
        <v>4377</v>
      </c>
      <c r="AO183" s="1226"/>
      <c r="AP183" s="1493"/>
      <c r="AQ183" s="1227"/>
      <c r="AR183" s="1728"/>
      <c r="AS183" s="1220"/>
      <c r="AT183" s="1217"/>
      <c r="AU183" s="1218"/>
      <c r="AV183" s="1220"/>
      <c r="AW183" s="1227" t="s">
        <v>4552</v>
      </c>
      <c r="AX183" s="1728">
        <v>45873</v>
      </c>
      <c r="AY183" s="1093" t="str">
        <f t="shared" si="20"/>
        <v>ACTIVE</v>
      </c>
      <c r="AZ183" s="3521">
        <v>677313.67</v>
      </c>
      <c r="BA183" s="1222" t="s">
        <v>79</v>
      </c>
      <c r="BB183" s="1228"/>
      <c r="BC183" s="1229"/>
      <c r="BD183" s="1230"/>
      <c r="BE183" s="3592">
        <f>AZ183-AG183</f>
        <v>-179488.12</v>
      </c>
      <c r="BF183" s="845">
        <f t="shared" ca="1" si="17"/>
        <v>0</v>
      </c>
      <c r="BG183" s="4282" t="s">
        <v>4442</v>
      </c>
      <c r="BH183" s="4253">
        <f t="shared" si="22"/>
        <v>45916</v>
      </c>
      <c r="BI183" s="4252">
        <f t="shared" si="23"/>
        <v>45909</v>
      </c>
      <c r="BJ183" s="4255" t="s">
        <v>4546</v>
      </c>
      <c r="BK183" s="4279">
        <f t="shared" ca="1" si="24"/>
        <v>46299.665468981482</v>
      </c>
      <c r="BL183" s="4280">
        <f t="shared" ca="1" si="25"/>
        <v>-383.66546898148226</v>
      </c>
    </row>
    <row r="184" spans="1:66" s="686" customFormat="1" ht="52.5" customHeight="1">
      <c r="A184" s="1141">
        <v>118</v>
      </c>
      <c r="B184" s="1884" t="s">
        <v>4001</v>
      </c>
      <c r="C184" s="1474" t="s">
        <v>165</v>
      </c>
      <c r="D184" s="1475" t="s">
        <v>92</v>
      </c>
      <c r="E184" s="1476"/>
      <c r="F184" s="1477"/>
      <c r="G184" s="1478"/>
      <c r="H184" s="1479" t="s">
        <v>104</v>
      </c>
      <c r="I184" s="1885" t="s">
        <v>244</v>
      </c>
      <c r="J184" s="1480" t="str">
        <f>IFERROR(VLOOKUP(I184,dropdowns!$E$45:$I$56,2,FALSE)," ")</f>
        <v>1.TB.01.003</v>
      </c>
      <c r="K184" s="1886" t="s">
        <v>244</v>
      </c>
      <c r="L184" s="1481" t="str">
        <f>IFERROR(VLOOKUP(K184,dropdowns!$G$45:$H$56,2,FALSE)," ")</f>
        <v>1.TB.01.003.01</v>
      </c>
      <c r="M184" s="1251" t="s">
        <v>3205</v>
      </c>
      <c r="N184" s="1482" t="s">
        <v>3207</v>
      </c>
      <c r="O184" s="2000" t="s">
        <v>4003</v>
      </c>
      <c r="P184" s="5194"/>
      <c r="Q184" s="5195">
        <v>87285</v>
      </c>
      <c r="R184" s="1103"/>
      <c r="S184" s="1109"/>
      <c r="T184" s="1729"/>
      <c r="U184" s="1097"/>
      <c r="V184" s="1097"/>
      <c r="W184" s="1105"/>
      <c r="X184" s="1093" t="str">
        <f t="shared" si="18"/>
        <v>NOT ACTIVE</v>
      </c>
      <c r="Y184" s="3351"/>
      <c r="Z184" s="1111"/>
      <c r="AA184" s="1109"/>
      <c r="AB184" s="1729"/>
      <c r="AC184" s="1097"/>
      <c r="AD184" s="1097"/>
      <c r="AE184" s="1097"/>
      <c r="AF184" s="1094" t="str">
        <f t="shared" si="19"/>
        <v>NOT ACTIVE</v>
      </c>
      <c r="AG184" s="1182"/>
      <c r="AH184" s="1101"/>
      <c r="AI184" s="1729"/>
      <c r="AJ184" s="1097"/>
      <c r="AK184" s="1097"/>
      <c r="AL184" s="1110"/>
      <c r="AM184" s="1736"/>
      <c r="AN184" s="1112"/>
      <c r="AO184" s="1113"/>
      <c r="AP184" s="1487"/>
      <c r="AQ184" s="1117"/>
      <c r="AR184" s="1729"/>
      <c r="AS184" s="1182"/>
      <c r="AT184" s="1109"/>
      <c r="AU184" s="1095"/>
      <c r="AV184" s="1182"/>
      <c r="AW184" s="1109"/>
      <c r="AX184" s="1729"/>
      <c r="AY184" s="1094" t="str">
        <f t="shared" si="20"/>
        <v>NOT ACTIVE</v>
      </c>
      <c r="AZ184" s="1186"/>
      <c r="BA184" s="1097"/>
      <c r="BB184" s="1098"/>
      <c r="BC184" s="1099"/>
      <c r="BD184" s="4409" t="s">
        <v>4881</v>
      </c>
      <c r="BF184" s="845">
        <f t="shared" ca="1" si="17"/>
        <v>0</v>
      </c>
      <c r="BG184" s="1377"/>
    </row>
    <row r="185" spans="1:66" s="686" customFormat="1" ht="42" customHeight="1">
      <c r="A185" s="1141">
        <v>119</v>
      </c>
      <c r="B185" s="1884" t="s">
        <v>4401</v>
      </c>
      <c r="C185" s="1474" t="s">
        <v>165</v>
      </c>
      <c r="D185" s="1886" t="s">
        <v>5125</v>
      </c>
      <c r="E185" s="1476"/>
      <c r="F185" s="1477"/>
      <c r="G185" s="1478"/>
      <c r="H185" s="1479" t="s">
        <v>91</v>
      </c>
      <c r="I185" s="1885" t="s">
        <v>244</v>
      </c>
      <c r="J185" s="1480" t="str">
        <f>IFERROR(VLOOKUP(I185,dropdowns!$E$45:$I$56,2,FALSE)," ")</f>
        <v>1.TB.01.003</v>
      </c>
      <c r="K185" s="1886" t="s">
        <v>244</v>
      </c>
      <c r="L185" s="1481" t="str">
        <f>IFERROR(VLOOKUP(K185,dropdowns!$G$45:$H$56,2,FALSE)," ")</f>
        <v>1.TB.01.003.01</v>
      </c>
      <c r="M185" s="1251" t="s">
        <v>3205</v>
      </c>
      <c r="N185" s="1482" t="s">
        <v>3207</v>
      </c>
      <c r="O185" s="1231" t="s">
        <v>4004</v>
      </c>
      <c r="P185" s="1224"/>
      <c r="Q185" s="3913">
        <f>13654504.22*0+13280713.77*0</f>
        <v>0</v>
      </c>
      <c r="R185" s="1216"/>
      <c r="S185" s="1217"/>
      <c r="T185" s="1728"/>
      <c r="U185" s="1222" t="s">
        <v>79</v>
      </c>
      <c r="V185" s="1222"/>
      <c r="W185" s="1219"/>
      <c r="X185" s="1093" t="str">
        <f t="shared" si="18"/>
        <v>ACTIVE</v>
      </c>
      <c r="Y185" s="3349"/>
      <c r="Z185" s="1221">
        <v>3</v>
      </c>
      <c r="AA185" s="1217"/>
      <c r="AB185" s="1728"/>
      <c r="AC185" s="1222" t="s">
        <v>79</v>
      </c>
      <c r="AD185" s="1222" t="s">
        <v>4559</v>
      </c>
      <c r="AE185" s="1222"/>
      <c r="AF185" s="1093" t="str">
        <f t="shared" si="19"/>
        <v>ACTIVE</v>
      </c>
      <c r="AG185" s="1220">
        <v>13280713.77</v>
      </c>
      <c r="AH185" s="1234" t="s">
        <v>1994</v>
      </c>
      <c r="AI185" s="1728">
        <v>45888</v>
      </c>
      <c r="AJ185" s="1222" t="s">
        <v>79</v>
      </c>
      <c r="AK185" s="1219" t="s">
        <v>4636</v>
      </c>
      <c r="AL185" s="1223" t="s">
        <v>1994</v>
      </c>
      <c r="AM185" s="1728">
        <v>45888</v>
      </c>
      <c r="AN185" s="1239" t="s">
        <v>4637</v>
      </c>
      <c r="AO185" s="1226"/>
      <c r="AP185" s="1493"/>
      <c r="AQ185" s="1227"/>
      <c r="AR185" s="1728"/>
      <c r="AS185" s="1220"/>
      <c r="AT185" s="1217"/>
      <c r="AU185" s="1218"/>
      <c r="AV185" s="1220"/>
      <c r="AW185" s="1227" t="s">
        <v>4676</v>
      </c>
      <c r="AX185" s="1728">
        <v>45904</v>
      </c>
      <c r="AY185" s="1093" t="str">
        <f t="shared" si="20"/>
        <v>ACTIVE</v>
      </c>
      <c r="AZ185" s="3521">
        <v>14557384.220000001</v>
      </c>
      <c r="BA185" s="1222" t="s">
        <v>79</v>
      </c>
      <c r="BB185" s="1228"/>
      <c r="BC185" s="1229"/>
      <c r="BD185" s="1230"/>
      <c r="BF185" s="845">
        <f t="shared" ca="1" si="17"/>
        <v>0</v>
      </c>
      <c r="BG185" s="1377"/>
    </row>
    <row r="186" spans="1:66" s="686" customFormat="1" ht="27" customHeight="1">
      <c r="A186" s="1141" t="s">
        <v>4402</v>
      </c>
      <c r="B186" s="1884" t="s">
        <v>4403</v>
      </c>
      <c r="C186" s="1474" t="s">
        <v>165</v>
      </c>
      <c r="D186" s="1475" t="s">
        <v>92</v>
      </c>
      <c r="E186" s="1476"/>
      <c r="F186" s="1477"/>
      <c r="G186" s="1478"/>
      <c r="H186" s="1479" t="s">
        <v>104</v>
      </c>
      <c r="I186" s="1885" t="s">
        <v>244</v>
      </c>
      <c r="J186" s="1480" t="str">
        <f>IFERROR(VLOOKUP(I186,dropdowns!$E$45:$I$56,2,FALSE)," ")</f>
        <v>1.TB.01.003</v>
      </c>
      <c r="K186" s="1886" t="s">
        <v>244</v>
      </c>
      <c r="L186" s="1481" t="str">
        <f>IFERROR(VLOOKUP(K186,dropdowns!$G$45:$H$56,2,FALSE)," ")</f>
        <v>1.TB.01.003.01</v>
      </c>
      <c r="M186" s="1251" t="s">
        <v>3204</v>
      </c>
      <c r="N186" s="1482" t="s">
        <v>3128</v>
      </c>
      <c r="O186" s="1231" t="s">
        <v>4005</v>
      </c>
      <c r="P186" s="1224"/>
      <c r="Q186" s="3913">
        <f>(-3631192+922811)*0</f>
        <v>0</v>
      </c>
      <c r="R186" s="1103"/>
      <c r="S186" s="1109"/>
      <c r="T186" s="1729"/>
      <c r="U186" s="1097"/>
      <c r="V186" s="1097"/>
      <c r="W186" s="1105"/>
      <c r="X186" s="1093" t="str">
        <f t="shared" si="18"/>
        <v>NOT ACTIVE</v>
      </c>
      <c r="Y186" s="3351"/>
      <c r="Z186" s="1111"/>
      <c r="AA186" s="1109"/>
      <c r="AB186" s="1729"/>
      <c r="AC186" s="1097"/>
      <c r="AD186" s="1097"/>
      <c r="AE186" s="1097"/>
      <c r="AF186" s="1094" t="str">
        <f t="shared" si="19"/>
        <v>NOT ACTIVE</v>
      </c>
      <c r="AG186" s="1182"/>
      <c r="AH186" s="1101"/>
      <c r="AI186" s="1729"/>
      <c r="AJ186" s="1097"/>
      <c r="AK186" s="1097"/>
      <c r="AL186" s="1110"/>
      <c r="AM186" s="1736"/>
      <c r="AN186" s="1112"/>
      <c r="AO186" s="1113"/>
      <c r="AP186" s="1487"/>
      <c r="AQ186" s="1117"/>
      <c r="AR186" s="1729"/>
      <c r="AS186" s="1182"/>
      <c r="AT186" s="1109"/>
      <c r="AU186" s="1095"/>
      <c r="AV186" s="1182"/>
      <c r="AW186" s="1109"/>
      <c r="AX186" s="1729"/>
      <c r="AY186" s="1094" t="str">
        <f t="shared" si="20"/>
        <v>NOT ACTIVE</v>
      </c>
      <c r="AZ186" s="1186"/>
      <c r="BA186" s="1097"/>
      <c r="BB186" s="1098"/>
      <c r="BC186" s="1099"/>
      <c r="BD186" s="1108"/>
      <c r="BF186" s="845">
        <f t="shared" ca="1" si="17"/>
        <v>0</v>
      </c>
      <c r="BG186" s="1377"/>
    </row>
    <row r="187" spans="1:66" s="686" customFormat="1" ht="48" customHeight="1">
      <c r="A187" s="1524">
        <v>120</v>
      </c>
      <c r="B187" s="1961" t="s">
        <v>4002</v>
      </c>
      <c r="C187" s="1962" t="s">
        <v>165</v>
      </c>
      <c r="D187" s="2107" t="s">
        <v>92</v>
      </c>
      <c r="E187" s="1964"/>
      <c r="F187" s="1965"/>
      <c r="G187" s="1966"/>
      <c r="H187" s="1987" t="s">
        <v>104</v>
      </c>
      <c r="I187" s="1968" t="s">
        <v>244</v>
      </c>
      <c r="J187" s="1922" t="str">
        <f>IFERROR(VLOOKUP(I187,dropdowns!$E$45:$I$56,2,FALSE)," ")</f>
        <v>1.TB.01.003</v>
      </c>
      <c r="K187" s="1969" t="s">
        <v>244</v>
      </c>
      <c r="L187" s="1923" t="str">
        <f>IFERROR(VLOOKUP(K187,dropdowns!$G$45:$H$56,2,FALSE)," ")</f>
        <v>1.TB.01.003.01</v>
      </c>
      <c r="M187" s="1456" t="s">
        <v>4243</v>
      </c>
      <c r="N187" s="1970" t="s">
        <v>4243</v>
      </c>
      <c r="O187" s="1253" t="s">
        <v>4007</v>
      </c>
      <c r="P187" s="1982"/>
      <c r="Q187" s="3915">
        <f>666280*0</f>
        <v>0</v>
      </c>
      <c r="R187" s="1971"/>
      <c r="S187" s="1991"/>
      <c r="T187" s="1973"/>
      <c r="U187" s="1531" t="s">
        <v>125</v>
      </c>
      <c r="V187" s="1531"/>
      <c r="W187" s="1974"/>
      <c r="X187" s="1100" t="str">
        <f t="shared" si="18"/>
        <v>NOT ACTIVE</v>
      </c>
      <c r="Y187" s="3356"/>
      <c r="Z187" s="1992"/>
      <c r="AA187" s="1991"/>
      <c r="AB187" s="1973"/>
      <c r="AC187" s="1531"/>
      <c r="AD187" s="1531"/>
      <c r="AE187" s="1531"/>
      <c r="AF187" s="1100" t="str">
        <f t="shared" si="19"/>
        <v>NOT ACTIVE</v>
      </c>
      <c r="AG187" s="1530"/>
      <c r="AH187" s="3325"/>
      <c r="AI187" s="1973"/>
      <c r="AJ187" s="1531"/>
      <c r="AK187" s="1531"/>
      <c r="AL187" s="1993"/>
      <c r="AM187" s="1977"/>
      <c r="AN187" s="3326"/>
      <c r="AO187" s="1979"/>
      <c r="AP187" s="1994"/>
      <c r="AQ187" s="1995"/>
      <c r="AR187" s="1973"/>
      <c r="AS187" s="1530"/>
      <c r="AT187" s="1991"/>
      <c r="AU187" s="1252"/>
      <c r="AV187" s="1530"/>
      <c r="AW187" s="1991"/>
      <c r="AX187" s="1973"/>
      <c r="AY187" s="1100" t="str">
        <f t="shared" si="20"/>
        <v>NOT ACTIVE</v>
      </c>
      <c r="AZ187" s="3327"/>
      <c r="BA187" s="1531"/>
      <c r="BB187" s="1532"/>
      <c r="BC187" s="1533"/>
      <c r="BD187" s="1999"/>
      <c r="BF187" s="845">
        <f t="shared" ca="1" si="17"/>
        <v>0</v>
      </c>
      <c r="BG187" s="1377"/>
    </row>
    <row r="188" spans="1:66" s="686" customFormat="1" ht="45" customHeight="1">
      <c r="A188" s="1141">
        <v>121</v>
      </c>
      <c r="B188" s="1884" t="s">
        <v>4006</v>
      </c>
      <c r="C188" s="1474" t="s">
        <v>165</v>
      </c>
      <c r="D188" s="1475" t="s">
        <v>92</v>
      </c>
      <c r="E188" s="1476"/>
      <c r="F188" s="1477"/>
      <c r="G188" s="1478"/>
      <c r="H188" s="1479" t="s">
        <v>104</v>
      </c>
      <c r="I188" s="1885" t="s">
        <v>244</v>
      </c>
      <c r="J188" s="1480" t="str">
        <f>IFERROR(VLOOKUP(I188,dropdowns!$E$45:$I$56,2,FALSE)," ")</f>
        <v>1.TB.01.003</v>
      </c>
      <c r="K188" s="1886" t="s">
        <v>244</v>
      </c>
      <c r="L188" s="1481" t="str">
        <f>IFERROR(VLOOKUP(K188,dropdowns!$G$45:$H$56,2,FALSE)," ")</f>
        <v>1.TB.01.003.01</v>
      </c>
      <c r="M188" s="1251" t="s">
        <v>2269</v>
      </c>
      <c r="N188" s="1482" t="s">
        <v>152</v>
      </c>
      <c r="O188" s="2000" t="s">
        <v>4009</v>
      </c>
      <c r="P188" s="5194"/>
      <c r="Q188" s="5195">
        <v>-1173602.3899999999</v>
      </c>
      <c r="R188" s="1103"/>
      <c r="S188" s="1109"/>
      <c r="T188" s="1729"/>
      <c r="U188" s="4389"/>
      <c r="V188" s="1097"/>
      <c r="W188" s="1105"/>
      <c r="X188" s="1093" t="str">
        <f t="shared" si="18"/>
        <v>NOT ACTIVE</v>
      </c>
      <c r="Y188" s="3351"/>
      <c r="Z188" s="1111"/>
      <c r="AA188" s="1109"/>
      <c r="AB188" s="1729"/>
      <c r="AC188" s="1097"/>
      <c r="AD188" s="1097"/>
      <c r="AE188" s="1097"/>
      <c r="AF188" s="1094" t="str">
        <f t="shared" si="19"/>
        <v>NOT ACTIVE</v>
      </c>
      <c r="AG188" s="1182"/>
      <c r="AH188" s="1101"/>
      <c r="AI188" s="1729"/>
      <c r="AJ188" s="1097"/>
      <c r="AK188" s="1097"/>
      <c r="AL188" s="1110"/>
      <c r="AM188" s="1736"/>
      <c r="AN188" s="1112"/>
      <c r="AO188" s="1113"/>
      <c r="AP188" s="1487"/>
      <c r="AQ188" s="1117"/>
      <c r="AR188" s="1729"/>
      <c r="AS188" s="1182"/>
      <c r="AT188" s="1109"/>
      <c r="AU188" s="1095"/>
      <c r="AV188" s="1182"/>
      <c r="AW188" s="1109"/>
      <c r="AX188" s="1729"/>
      <c r="AY188" s="1094" t="str">
        <f t="shared" si="20"/>
        <v>NOT ACTIVE</v>
      </c>
      <c r="AZ188" s="1186"/>
      <c r="BA188" s="1097"/>
      <c r="BB188" s="1098"/>
      <c r="BC188" s="1099"/>
      <c r="BD188" s="1230" t="s">
        <v>4871</v>
      </c>
      <c r="BF188" s="845">
        <f t="shared" ca="1" si="17"/>
        <v>0</v>
      </c>
      <c r="BG188" s="1377"/>
    </row>
    <row r="189" spans="1:66" s="686" customFormat="1" ht="46.5" customHeight="1">
      <c r="A189" s="1141">
        <v>122</v>
      </c>
      <c r="B189" s="1884" t="s">
        <v>4008</v>
      </c>
      <c r="C189" s="1474" t="s">
        <v>165</v>
      </c>
      <c r="D189" s="1475" t="s">
        <v>92</v>
      </c>
      <c r="E189" s="1476"/>
      <c r="F189" s="1477"/>
      <c r="G189" s="1478"/>
      <c r="H189" s="1479" t="s">
        <v>104</v>
      </c>
      <c r="I189" s="1885" t="s">
        <v>244</v>
      </c>
      <c r="J189" s="1480" t="str">
        <f>IFERROR(VLOOKUP(I189,dropdowns!$E$45:$I$56,2,FALSE)," ")</f>
        <v>1.TB.01.003</v>
      </c>
      <c r="K189" s="1886" t="s">
        <v>244</v>
      </c>
      <c r="L189" s="1481" t="str">
        <f>IFERROR(VLOOKUP(K189,dropdowns!$G$45:$H$56,2,FALSE)," ")</f>
        <v>1.TB.01.003.01</v>
      </c>
      <c r="M189" s="1251" t="s">
        <v>2269</v>
      </c>
      <c r="N189" s="1482" t="s">
        <v>152</v>
      </c>
      <c r="O189" s="2000" t="s">
        <v>4117</v>
      </c>
      <c r="P189" s="5194"/>
      <c r="Q189" s="5195">
        <v>-581464.19999999995</v>
      </c>
      <c r="R189" s="1103"/>
      <c r="S189" s="1109"/>
      <c r="T189" s="1729"/>
      <c r="U189" s="4389"/>
      <c r="V189" s="1097"/>
      <c r="W189" s="1105"/>
      <c r="X189" s="1093" t="str">
        <f t="shared" si="18"/>
        <v>NOT ACTIVE</v>
      </c>
      <c r="Y189" s="3351"/>
      <c r="Z189" s="1111"/>
      <c r="AA189" s="1109"/>
      <c r="AB189" s="1729"/>
      <c r="AC189" s="1097"/>
      <c r="AD189" s="1097"/>
      <c r="AE189" s="1097"/>
      <c r="AF189" s="1094" t="str">
        <f t="shared" si="19"/>
        <v>NOT ACTIVE</v>
      </c>
      <c r="AG189" s="1182"/>
      <c r="AH189" s="1101"/>
      <c r="AI189" s="1729"/>
      <c r="AJ189" s="1097"/>
      <c r="AK189" s="1097"/>
      <c r="AL189" s="1110"/>
      <c r="AM189" s="1736"/>
      <c r="AN189" s="1112"/>
      <c r="AO189" s="1113"/>
      <c r="AP189" s="1487"/>
      <c r="AQ189" s="1117"/>
      <c r="AR189" s="1729"/>
      <c r="AS189" s="1182"/>
      <c r="AT189" s="1109"/>
      <c r="AU189" s="1095"/>
      <c r="AV189" s="1182"/>
      <c r="AW189" s="1729"/>
      <c r="AX189" s="1729"/>
      <c r="AY189" s="1094" t="str">
        <f t="shared" si="20"/>
        <v>NOT ACTIVE</v>
      </c>
      <c r="AZ189" s="1186"/>
      <c r="BA189" s="1097"/>
      <c r="BB189" s="1098"/>
      <c r="BC189" s="1099"/>
      <c r="BD189" s="1230" t="s">
        <v>4871</v>
      </c>
      <c r="BF189" s="845">
        <f t="shared" ref="BF189:BF220" ca="1" si="26">IF(BA189="PENDING",TODAY()-AM189,0)</f>
        <v>0</v>
      </c>
      <c r="BG189" s="1377"/>
    </row>
    <row r="190" spans="1:66" s="686" customFormat="1" ht="45.75" customHeight="1">
      <c r="A190" s="1141">
        <v>123</v>
      </c>
      <c r="B190" s="1884" t="s">
        <v>4475</v>
      </c>
      <c r="C190" s="1474" t="s">
        <v>165</v>
      </c>
      <c r="D190" s="1886" t="s">
        <v>5125</v>
      </c>
      <c r="E190" s="1476"/>
      <c r="F190" s="1477"/>
      <c r="G190" s="1478"/>
      <c r="H190" s="1479" t="s">
        <v>104</v>
      </c>
      <c r="I190" s="1885" t="s">
        <v>244</v>
      </c>
      <c r="J190" s="1480" t="str">
        <f>IFERROR(VLOOKUP(I190,dropdowns!$E$45:$I$56,2,FALSE)," ")</f>
        <v>1.TB.01.003</v>
      </c>
      <c r="K190" s="1886" t="s">
        <v>244</v>
      </c>
      <c r="L190" s="1481" t="str">
        <f>IFERROR(VLOOKUP(K190,dropdowns!$G$45:$H$56,2,FALSE)," ")</f>
        <v>1.TB.01.003.01</v>
      </c>
      <c r="M190" s="1251" t="s">
        <v>2269</v>
      </c>
      <c r="N190" s="1482" t="s">
        <v>152</v>
      </c>
      <c r="O190" s="1231" t="s">
        <v>4279</v>
      </c>
      <c r="P190" s="1224"/>
      <c r="Q190" s="3913">
        <f>-9770811.58*0</f>
        <v>0</v>
      </c>
      <c r="R190" s="1216"/>
      <c r="S190" s="1217"/>
      <c r="T190" s="1728"/>
      <c r="U190" s="1222" t="s">
        <v>79</v>
      </c>
      <c r="V190" s="1222"/>
      <c r="W190" s="1219"/>
      <c r="X190" s="1093" t="str">
        <f t="shared" si="18"/>
        <v>ACTIVE</v>
      </c>
      <c r="Y190" s="3349"/>
      <c r="Z190" s="1221" t="s">
        <v>5059</v>
      </c>
      <c r="AA190" s="1217"/>
      <c r="AB190" s="1728">
        <v>45837</v>
      </c>
      <c r="AC190" s="1222" t="s">
        <v>79</v>
      </c>
      <c r="AD190" s="1219" t="s">
        <v>4427</v>
      </c>
      <c r="AE190" s="1222"/>
      <c r="AF190" s="1093" t="str">
        <f t="shared" si="19"/>
        <v>ACTIVE</v>
      </c>
      <c r="AG190" s="1248">
        <v>-8870230.2699999996</v>
      </c>
      <c r="AH190" s="1234" t="s">
        <v>4426</v>
      </c>
      <c r="AI190" s="1728">
        <v>45480</v>
      </c>
      <c r="AJ190" s="1222" t="s">
        <v>79</v>
      </c>
      <c r="AK190" s="1219" t="s">
        <v>4425</v>
      </c>
      <c r="AL190" s="1223" t="s">
        <v>4426</v>
      </c>
      <c r="AM190" s="1735">
        <v>45846</v>
      </c>
      <c r="AN190" s="1239" t="s">
        <v>4434</v>
      </c>
      <c r="AO190" s="1226"/>
      <c r="AP190" s="1493"/>
      <c r="AQ190" s="1227"/>
      <c r="AR190" s="1728"/>
      <c r="AS190" s="1220"/>
      <c r="AT190" s="1217"/>
      <c r="AU190" s="1218"/>
      <c r="AV190" s="1220"/>
      <c r="AW190" s="1227" t="s">
        <v>5213</v>
      </c>
      <c r="AX190" s="1728">
        <v>45998</v>
      </c>
      <c r="AY190" s="1093" t="str">
        <f t="shared" si="20"/>
        <v>ACTIVE</v>
      </c>
      <c r="AZ190" s="3583">
        <v>-8946555.9199999999</v>
      </c>
      <c r="BA190" s="4065" t="s">
        <v>79</v>
      </c>
      <c r="BB190" s="1228"/>
      <c r="BC190" s="1229"/>
      <c r="BD190" s="1230"/>
      <c r="BF190" s="845">
        <f t="shared" ca="1" si="26"/>
        <v>0</v>
      </c>
      <c r="BG190" s="4282" t="s">
        <v>4547</v>
      </c>
      <c r="BH190" s="4253">
        <f>+AM190+90</f>
        <v>45936</v>
      </c>
      <c r="BI190" s="4252">
        <f>+BH190-7</f>
        <v>45929</v>
      </c>
      <c r="BK190" s="4279">
        <f ca="1">NOW()</f>
        <v>46299.665468981482</v>
      </c>
      <c r="BL190" s="4280">
        <f ca="1">+BH190-BK190</f>
        <v>-363.66546898148226</v>
      </c>
      <c r="BN190" s="3524">
        <f>+AG190-AZ190</f>
        <v>76325.650000000373</v>
      </c>
    </row>
    <row r="191" spans="1:66" s="686" customFormat="1" ht="51.75" customHeight="1">
      <c r="A191" s="1141">
        <v>124</v>
      </c>
      <c r="B191" s="1884" t="s">
        <v>4278</v>
      </c>
      <c r="C191" s="1474" t="s">
        <v>165</v>
      </c>
      <c r="D191" s="1475" t="s">
        <v>92</v>
      </c>
      <c r="E191" s="1476"/>
      <c r="F191" s="1477"/>
      <c r="G191" s="1478"/>
      <c r="H191" s="1479" t="s">
        <v>104</v>
      </c>
      <c r="I191" s="1885" t="s">
        <v>244</v>
      </c>
      <c r="J191" s="1480" t="str">
        <f>IFERROR(VLOOKUP(I191,dropdowns!$E$45:$I$56,2,FALSE)," ")</f>
        <v>1.TB.01.003</v>
      </c>
      <c r="K191" s="1886" t="s">
        <v>244</v>
      </c>
      <c r="L191" s="1481" t="str">
        <f>IFERROR(VLOOKUP(K191,dropdowns!$G$45:$H$56,2,FALSE)," ")</f>
        <v>1.TB.01.003.01</v>
      </c>
      <c r="M191" s="1251" t="s">
        <v>2237</v>
      </c>
      <c r="N191" s="1482" t="s">
        <v>155</v>
      </c>
      <c r="O191" s="2000" t="s">
        <v>4339</v>
      </c>
      <c r="P191" s="5194"/>
      <c r="Q191" s="5195">
        <v>-15675</v>
      </c>
      <c r="R191" s="1103"/>
      <c r="S191" s="1109"/>
      <c r="T191" s="1729"/>
      <c r="U191" s="1097"/>
      <c r="V191" s="1097"/>
      <c r="W191" s="1105"/>
      <c r="X191" s="1093" t="str">
        <f t="shared" si="18"/>
        <v>NOT ACTIVE</v>
      </c>
      <c r="Y191" s="3351"/>
      <c r="Z191" s="1111"/>
      <c r="AA191" s="1109"/>
      <c r="AB191" s="1729"/>
      <c r="AC191" s="1097"/>
      <c r="AD191" s="1097"/>
      <c r="AE191" s="1097"/>
      <c r="AF191" s="1094" t="str">
        <f t="shared" si="19"/>
        <v>NOT ACTIVE</v>
      </c>
      <c r="AG191" s="1182"/>
      <c r="AH191" s="1101"/>
      <c r="AI191" s="1729"/>
      <c r="AJ191" s="1097"/>
      <c r="AK191" s="1097"/>
      <c r="AL191" s="1110"/>
      <c r="AM191" s="1736"/>
      <c r="AN191" s="1112"/>
      <c r="AO191" s="1113"/>
      <c r="AP191" s="1487"/>
      <c r="AQ191" s="1117"/>
      <c r="AR191" s="1729"/>
      <c r="AS191" s="1182"/>
      <c r="AT191" s="1109"/>
      <c r="AU191" s="1095"/>
      <c r="AV191" s="1182"/>
      <c r="AW191" s="1109"/>
      <c r="AX191" s="1729"/>
      <c r="AY191" s="1094" t="str">
        <f t="shared" si="20"/>
        <v>NOT ACTIVE</v>
      </c>
      <c r="AZ191" s="1186"/>
      <c r="BA191" s="1097"/>
      <c r="BB191" s="1098"/>
      <c r="BC191" s="1099"/>
      <c r="BD191" s="1230" t="s">
        <v>4883</v>
      </c>
      <c r="BF191" s="845">
        <f t="shared" ca="1" si="26"/>
        <v>0</v>
      </c>
      <c r="BG191" s="1377"/>
    </row>
    <row r="192" spans="1:66" s="686" customFormat="1" ht="38.25">
      <c r="A192" s="1141">
        <v>125</v>
      </c>
      <c r="B192" s="1884" t="s">
        <v>4283</v>
      </c>
      <c r="C192" s="1474" t="s">
        <v>165</v>
      </c>
      <c r="D192" s="1886" t="s">
        <v>5122</v>
      </c>
      <c r="E192" s="1476"/>
      <c r="F192" s="1477"/>
      <c r="G192" s="1478"/>
      <c r="H192" s="1479" t="s">
        <v>104</v>
      </c>
      <c r="I192" s="1885" t="s">
        <v>244</v>
      </c>
      <c r="J192" s="1480" t="str">
        <f>IFERROR(VLOOKUP(I192,dropdowns!$E$45:$I$56,2,FALSE)," ")</f>
        <v>1.TB.01.003</v>
      </c>
      <c r="K192" s="1886" t="s">
        <v>244</v>
      </c>
      <c r="L192" s="1481" t="str">
        <f>IFERROR(VLOOKUP(K192,dropdowns!$G$45:$H$56,2,FALSE)," ")</f>
        <v>1.TB.01.003.01</v>
      </c>
      <c r="M192" s="1251" t="s">
        <v>3930</v>
      </c>
      <c r="N192" s="1482" t="s">
        <v>2558</v>
      </c>
      <c r="O192" s="1231"/>
      <c r="P192" s="1224"/>
      <c r="Q192" s="3913"/>
      <c r="R192" s="1216">
        <v>50</v>
      </c>
      <c r="S192" s="1217"/>
      <c r="T192" s="1728">
        <v>45809</v>
      </c>
      <c r="U192" s="1222" t="s">
        <v>79</v>
      </c>
      <c r="V192" s="1219" t="s">
        <v>4284</v>
      </c>
      <c r="W192" s="1219"/>
      <c r="X192" s="1093" t="str">
        <f t="shared" si="18"/>
        <v>ACTIVE</v>
      </c>
      <c r="Y192" s="3349">
        <v>21275.25</v>
      </c>
      <c r="Z192" s="1221" t="s">
        <v>4285</v>
      </c>
      <c r="AA192" s="1217"/>
      <c r="AB192" s="1728">
        <v>45809</v>
      </c>
      <c r="AC192" s="1222" t="s">
        <v>79</v>
      </c>
      <c r="AD192" s="1219" t="s">
        <v>4374</v>
      </c>
      <c r="AE192" s="1222"/>
      <c r="AF192" s="1094" t="str">
        <f t="shared" si="19"/>
        <v>ACTIVE</v>
      </c>
      <c r="AG192" s="1220">
        <v>21275.25</v>
      </c>
      <c r="AH192" s="1234" t="s">
        <v>3196</v>
      </c>
      <c r="AI192" s="1728">
        <v>45809</v>
      </c>
      <c r="AJ192" s="1222" t="s">
        <v>79</v>
      </c>
      <c r="AK192" s="1219" t="s">
        <v>4374</v>
      </c>
      <c r="AL192" s="1223" t="s">
        <v>3196</v>
      </c>
      <c r="AM192" s="1735">
        <v>45809</v>
      </c>
      <c r="AN192" s="1239" t="s">
        <v>4376</v>
      </c>
      <c r="AO192" s="1226" t="s">
        <v>3188</v>
      </c>
      <c r="AP192" s="1493"/>
      <c r="AQ192" s="1227"/>
      <c r="AR192" s="1728"/>
      <c r="AS192" s="1220"/>
      <c r="AT192" s="1217"/>
      <c r="AU192" s="1218"/>
      <c r="AV192" s="1220"/>
      <c r="AW192" s="1227" t="s">
        <v>6112</v>
      </c>
      <c r="AX192" s="1728">
        <v>46131</v>
      </c>
      <c r="AY192" s="1093" t="str">
        <f t="shared" si="20"/>
        <v>ACTIVE</v>
      </c>
      <c r="AZ192" s="3521">
        <v>59543.76</v>
      </c>
      <c r="BA192" s="1222" t="s">
        <v>79</v>
      </c>
      <c r="BB192" s="1228"/>
      <c r="BC192" s="1229"/>
      <c r="BD192" s="1230"/>
      <c r="BF192" s="3525">
        <f t="shared" ca="1" si="26"/>
        <v>0</v>
      </c>
      <c r="BG192" s="4282" t="s">
        <v>5051</v>
      </c>
      <c r="BH192" s="4253">
        <f>+AM192+90</f>
        <v>45899</v>
      </c>
      <c r="BI192" s="4252">
        <f>+BH192-7</f>
        <v>45892</v>
      </c>
      <c r="BK192" s="4279">
        <f ca="1">NOW()</f>
        <v>46299.665468981482</v>
      </c>
      <c r="BL192" s="4280">
        <f ca="1">+BH192-BK192</f>
        <v>-400.66546898148226</v>
      </c>
    </row>
    <row r="193" spans="1:66" s="686" customFormat="1" ht="54.75" customHeight="1">
      <c r="A193" s="1141">
        <v>126</v>
      </c>
      <c r="B193" s="1884" t="s">
        <v>4297</v>
      </c>
      <c r="C193" s="1474" t="s">
        <v>165</v>
      </c>
      <c r="D193" s="3378" t="s">
        <v>5119</v>
      </c>
      <c r="E193" s="1476"/>
      <c r="F193" s="1477"/>
      <c r="G193" s="1478"/>
      <c r="H193" s="3375" t="s">
        <v>82</v>
      </c>
      <c r="I193" s="3376" t="s">
        <v>244</v>
      </c>
      <c r="J193" s="3377" t="str">
        <f>IFERROR(VLOOKUP(I193,dropdowns!$E$45:$I$56,2,FALSE)," ")</f>
        <v>1.TB.01.003</v>
      </c>
      <c r="K193" s="3378" t="s">
        <v>244</v>
      </c>
      <c r="L193" s="3379" t="str">
        <f>IFERROR(VLOOKUP(K193,dropdowns!$G$45:$H$56,2,FALSE)," ")</f>
        <v>1.TB.01.003.01</v>
      </c>
      <c r="M193" s="1251" t="s">
        <v>2807</v>
      </c>
      <c r="N193" s="1482" t="s">
        <v>2966</v>
      </c>
      <c r="O193" s="1231" t="s">
        <v>4370</v>
      </c>
      <c r="P193" s="1224"/>
      <c r="Q193" s="3913">
        <f>494505*1.05*0</f>
        <v>0</v>
      </c>
      <c r="R193" s="1216"/>
      <c r="S193" s="1217"/>
      <c r="T193" s="1728"/>
      <c r="U193" s="1222" t="s">
        <v>79</v>
      </c>
      <c r="V193" s="1222"/>
      <c r="W193" s="1219"/>
      <c r="X193" s="1093" t="str">
        <f t="shared" si="18"/>
        <v>ACTIVE</v>
      </c>
      <c r="Y193" s="3349"/>
      <c r="Z193" s="1221" t="s">
        <v>3498</v>
      </c>
      <c r="AA193" s="1217"/>
      <c r="AB193" s="1728">
        <v>45853</v>
      </c>
      <c r="AC193" s="1222" t="s">
        <v>79</v>
      </c>
      <c r="AD193" s="1219" t="s">
        <v>4438</v>
      </c>
      <c r="AE193" s="1222"/>
      <c r="AF193" s="1094" t="str">
        <f t="shared" si="19"/>
        <v>ACTIVE</v>
      </c>
      <c r="AG193" s="1220">
        <v>519230.25</v>
      </c>
      <c r="AH193" s="1234" t="s">
        <v>658</v>
      </c>
      <c r="AI193" s="1728">
        <v>45862</v>
      </c>
      <c r="AJ193" s="1222" t="s">
        <v>79</v>
      </c>
      <c r="AK193" s="1219" t="s">
        <v>4532</v>
      </c>
      <c r="AL193" s="1223" t="s">
        <v>658</v>
      </c>
      <c r="AM193" s="1728">
        <v>45862</v>
      </c>
      <c r="AN193" s="1239" t="s">
        <v>4533</v>
      </c>
      <c r="AO193" s="1226"/>
      <c r="AP193" s="1493"/>
      <c r="AQ193" s="1227"/>
      <c r="AR193" s="1728"/>
      <c r="AS193" s="1220"/>
      <c r="AT193" s="1217"/>
      <c r="AU193" s="1218"/>
      <c r="AV193" s="1220"/>
      <c r="AW193" s="1227" t="s">
        <v>4552</v>
      </c>
      <c r="AX193" s="1728">
        <v>45873</v>
      </c>
      <c r="AY193" s="1093" t="str">
        <f t="shared" si="20"/>
        <v>ACTIVE</v>
      </c>
      <c r="AZ193" s="3521">
        <v>568680.75</v>
      </c>
      <c r="BA193" s="1222" t="s">
        <v>79</v>
      </c>
      <c r="BB193" s="1228"/>
      <c r="BC193" s="1229"/>
      <c r="BD193" s="1230"/>
      <c r="BF193" s="845">
        <f t="shared" ca="1" si="26"/>
        <v>0</v>
      </c>
      <c r="BG193" s="1377"/>
      <c r="BH193" s="4253">
        <f>+AM193+90</f>
        <v>45952</v>
      </c>
      <c r="BI193" s="4252">
        <f>+BH193-7</f>
        <v>45945</v>
      </c>
      <c r="BK193" s="4279">
        <f ca="1">NOW()</f>
        <v>46299.665468981482</v>
      </c>
      <c r="BL193" s="4280">
        <f ca="1">+BH193-BK193</f>
        <v>-347.66546898148226</v>
      </c>
    </row>
    <row r="194" spans="1:66" s="686" customFormat="1" ht="50.25" customHeight="1">
      <c r="A194" s="1141">
        <v>127</v>
      </c>
      <c r="B194" s="1884" t="s">
        <v>4369</v>
      </c>
      <c r="C194" s="1474" t="s">
        <v>165</v>
      </c>
      <c r="D194" s="3378" t="s">
        <v>5119</v>
      </c>
      <c r="E194" s="1476"/>
      <c r="F194" s="1477"/>
      <c r="G194" s="1478"/>
      <c r="H194" s="3375" t="s">
        <v>82</v>
      </c>
      <c r="I194" s="3376" t="s">
        <v>244</v>
      </c>
      <c r="J194" s="3377" t="str">
        <f>IFERROR(VLOOKUP(I194,dropdowns!$E$45:$I$56,2,FALSE)," ")</f>
        <v>1.TB.01.003</v>
      </c>
      <c r="K194" s="3378" t="s">
        <v>244</v>
      </c>
      <c r="L194" s="3379" t="str">
        <f>IFERROR(VLOOKUP(K194,dropdowns!$G$45:$H$56,2,FALSE)," ")</f>
        <v>1.TB.01.003.01</v>
      </c>
      <c r="M194" s="1251" t="s">
        <v>139</v>
      </c>
      <c r="N194" s="1482" t="s">
        <v>2564</v>
      </c>
      <c r="O194" s="1231" t="s">
        <v>4404</v>
      </c>
      <c r="P194" s="1224"/>
      <c r="Q194" s="3913">
        <f>1471000*0+1655399.8*0</f>
        <v>0</v>
      </c>
      <c r="R194" s="1216"/>
      <c r="S194" s="1217"/>
      <c r="T194" s="1728"/>
      <c r="U194" s="1222" t="s">
        <v>79</v>
      </c>
      <c r="V194" s="1222"/>
      <c r="W194" s="1219"/>
      <c r="X194" s="1093" t="str">
        <f t="shared" si="18"/>
        <v>ACTIVE</v>
      </c>
      <c r="Y194" s="3349"/>
      <c r="Z194" s="1221" t="s">
        <v>761</v>
      </c>
      <c r="AA194" s="1217"/>
      <c r="AB194" s="1728">
        <v>45866</v>
      </c>
      <c r="AC194" s="1222" t="s">
        <v>79</v>
      </c>
      <c r="AD194" s="1219" t="s">
        <v>4542</v>
      </c>
      <c r="AE194" s="1222"/>
      <c r="AF194" s="1093" t="str">
        <f t="shared" si="19"/>
        <v>ACTIVE</v>
      </c>
      <c r="AG194" s="1220">
        <v>1655399.8</v>
      </c>
      <c r="AH194" s="1234" t="s">
        <v>1994</v>
      </c>
      <c r="AI194" s="1728">
        <v>45873</v>
      </c>
      <c r="AJ194" s="1222" t="s">
        <v>79</v>
      </c>
      <c r="AK194" s="1219" t="s">
        <v>4553</v>
      </c>
      <c r="AL194" s="1223" t="s">
        <v>1994</v>
      </c>
      <c r="AM194" s="1735">
        <v>45874</v>
      </c>
      <c r="AN194" s="1239" t="s">
        <v>4554</v>
      </c>
      <c r="AO194" s="1226" t="s">
        <v>2344</v>
      </c>
      <c r="AP194" s="1493"/>
      <c r="AQ194" s="1227"/>
      <c r="AR194" s="1728"/>
      <c r="AS194" s="1220"/>
      <c r="AT194" s="1217"/>
      <c r="AU194" s="1218"/>
      <c r="AV194" s="1220"/>
      <c r="AW194" s="1227" t="s">
        <v>4638</v>
      </c>
      <c r="AX194" s="1728">
        <v>45890</v>
      </c>
      <c r="AY194" s="1093" t="str">
        <f t="shared" si="20"/>
        <v>ACTIVE</v>
      </c>
      <c r="AZ194" s="4345">
        <v>1655399.8</v>
      </c>
      <c r="BA194" s="1222" t="s">
        <v>79</v>
      </c>
      <c r="BB194" s="1228"/>
      <c r="BC194" s="1229"/>
      <c r="BD194" s="1230"/>
      <c r="BF194" s="845">
        <f t="shared" ca="1" si="26"/>
        <v>0</v>
      </c>
      <c r="BG194" s="4307"/>
    </row>
    <row r="195" spans="1:66" s="686" customFormat="1" ht="35.450000000000003" customHeight="1">
      <c r="A195" s="1141">
        <v>128</v>
      </c>
      <c r="B195" s="1884" t="s">
        <v>4378</v>
      </c>
      <c r="C195" s="1474" t="s">
        <v>165</v>
      </c>
      <c r="D195" s="1475" t="s">
        <v>92</v>
      </c>
      <c r="E195" s="1476"/>
      <c r="F195" s="1477"/>
      <c r="G195" s="1478"/>
      <c r="H195" s="1479" t="s">
        <v>104</v>
      </c>
      <c r="I195" s="1885" t="s">
        <v>244</v>
      </c>
      <c r="J195" s="1480" t="str">
        <f>IFERROR(VLOOKUP(I195,dropdowns!$E$45:$I$56,2,FALSE)," ")</f>
        <v>1.TB.01.003</v>
      </c>
      <c r="K195" s="1886" t="s">
        <v>244</v>
      </c>
      <c r="L195" s="1481" t="str">
        <f>IFERROR(VLOOKUP(K195,dropdowns!$G$45:$H$56,2,FALSE)," ")</f>
        <v>1.TB.01.003.01</v>
      </c>
      <c r="M195" s="1251" t="s">
        <v>3930</v>
      </c>
      <c r="N195" s="1482" t="s">
        <v>2558</v>
      </c>
      <c r="O195" s="1102" t="s">
        <v>4477</v>
      </c>
      <c r="P195" s="1107"/>
      <c r="Q195" s="3914" t="s">
        <v>370</v>
      </c>
      <c r="R195" s="1103"/>
      <c r="S195" s="1109"/>
      <c r="T195" s="1729"/>
      <c r="U195" s="1097"/>
      <c r="V195" s="1097"/>
      <c r="W195" s="1105"/>
      <c r="X195" s="1093" t="str">
        <f t="shared" si="18"/>
        <v>NOT ACTIVE</v>
      </c>
      <c r="Y195" s="3351"/>
      <c r="Z195" s="1111"/>
      <c r="AA195" s="1109"/>
      <c r="AB195" s="1729"/>
      <c r="AC195" s="1097"/>
      <c r="AD195" s="1097"/>
      <c r="AE195" s="1097"/>
      <c r="AF195" s="1094" t="str">
        <f t="shared" si="19"/>
        <v>NOT ACTIVE</v>
      </c>
      <c r="AG195" s="1182"/>
      <c r="AH195" s="1101"/>
      <c r="AI195" s="1729"/>
      <c r="AJ195" s="1097"/>
      <c r="AK195" s="1097"/>
      <c r="AL195" s="1110"/>
      <c r="AM195" s="1736">
        <v>45829</v>
      </c>
      <c r="AN195" s="1112" t="s">
        <v>105</v>
      </c>
      <c r="AO195" s="1113"/>
      <c r="AP195" s="1487"/>
      <c r="AQ195" s="1117"/>
      <c r="AR195" s="1729"/>
      <c r="AS195" s="1182"/>
      <c r="AT195" s="1109"/>
      <c r="AU195" s="1095"/>
      <c r="AV195" s="1182"/>
      <c r="AW195" s="1109"/>
      <c r="AX195" s="1729"/>
      <c r="AY195" s="1094" t="str">
        <f t="shared" si="20"/>
        <v>NOT ACTIVE</v>
      </c>
      <c r="AZ195" s="1186"/>
      <c r="BA195" s="1097"/>
      <c r="BB195" s="1098"/>
      <c r="BC195" s="1099"/>
      <c r="BD195" s="1108" t="s">
        <v>4379</v>
      </c>
      <c r="BF195" s="845">
        <f t="shared" ca="1" si="26"/>
        <v>0</v>
      </c>
      <c r="BG195" s="1377"/>
    </row>
    <row r="196" spans="1:66" s="686" customFormat="1" ht="39.950000000000003" customHeight="1">
      <c r="A196" s="1141">
        <v>129</v>
      </c>
      <c r="B196" s="4250" t="s">
        <v>4436</v>
      </c>
      <c r="C196" s="1474" t="s">
        <v>165</v>
      </c>
      <c r="D196" s="1886" t="s">
        <v>5119</v>
      </c>
      <c r="E196" s="1476"/>
      <c r="F196" s="1477"/>
      <c r="G196" s="1478"/>
      <c r="H196" s="1479" t="s">
        <v>82</v>
      </c>
      <c r="I196" s="1885" t="s">
        <v>244</v>
      </c>
      <c r="J196" s="1480" t="str">
        <f>IFERROR(VLOOKUP(I196,dropdowns!$E$45:$I$56,2,FALSE)," ")</f>
        <v>1.TB.01.003</v>
      </c>
      <c r="K196" s="1886" t="s">
        <v>244</v>
      </c>
      <c r="L196" s="1481" t="str">
        <f>IFERROR(VLOOKUP(K196,dropdowns!$G$45:$H$56,2,FALSE)," ")</f>
        <v>1.TB.01.003.01</v>
      </c>
      <c r="M196" s="1251" t="s">
        <v>2964</v>
      </c>
      <c r="N196" s="1482" t="s">
        <v>2965</v>
      </c>
      <c r="O196" s="1231" t="s">
        <v>4478</v>
      </c>
      <c r="P196" s="1224"/>
      <c r="Q196" s="3913">
        <f>822640.54*0</f>
        <v>0</v>
      </c>
      <c r="R196" s="1216"/>
      <c r="S196" s="1217"/>
      <c r="T196" s="1728"/>
      <c r="U196" s="1222" t="s">
        <v>79</v>
      </c>
      <c r="V196" s="1222"/>
      <c r="W196" s="1219"/>
      <c r="X196" s="1093" t="str">
        <f t="shared" si="18"/>
        <v>ACTIVE</v>
      </c>
      <c r="Y196" s="3349"/>
      <c r="Z196" s="1221">
        <v>1</v>
      </c>
      <c r="AA196" s="1217"/>
      <c r="AB196" s="1728">
        <v>45866</v>
      </c>
      <c r="AC196" s="1222" t="s">
        <v>79</v>
      </c>
      <c r="AD196" s="1219" t="s">
        <v>4543</v>
      </c>
      <c r="AE196" s="1222"/>
      <c r="AF196" s="1093" t="str">
        <f t="shared" si="19"/>
        <v>ACTIVE</v>
      </c>
      <c r="AG196" s="1220">
        <v>822640.54</v>
      </c>
      <c r="AH196" s="4308" t="s">
        <v>3991</v>
      </c>
      <c r="AI196" s="1728">
        <v>45882</v>
      </c>
      <c r="AJ196" s="1222" t="s">
        <v>79</v>
      </c>
      <c r="AK196" s="1219" t="s">
        <v>4609</v>
      </c>
      <c r="AL196" s="1223" t="s">
        <v>3991</v>
      </c>
      <c r="AM196" s="1735">
        <v>45882</v>
      </c>
      <c r="AN196" s="1239" t="s">
        <v>4610</v>
      </c>
      <c r="AO196" s="1226"/>
      <c r="AP196" s="1493"/>
      <c r="AQ196" s="1227"/>
      <c r="AR196" s="1728"/>
      <c r="AS196" s="1220"/>
      <c r="AT196" s="1217"/>
      <c r="AU196" s="1218"/>
      <c r="AV196" s="1220"/>
      <c r="AW196" s="1227" t="s">
        <v>4680</v>
      </c>
      <c r="AX196" s="1728">
        <v>45896</v>
      </c>
      <c r="AY196" s="1093" t="str">
        <f t="shared" si="20"/>
        <v>ACTIVE</v>
      </c>
      <c r="AZ196" s="3521">
        <v>882640.54</v>
      </c>
      <c r="BA196" s="1222" t="s">
        <v>79</v>
      </c>
      <c r="BB196" s="1228"/>
      <c r="BC196" s="1229"/>
      <c r="BD196" s="1230"/>
      <c r="BF196" s="845">
        <f t="shared" ca="1" si="26"/>
        <v>0</v>
      </c>
      <c r="BG196" s="1377"/>
    </row>
    <row r="197" spans="1:66" s="686" customFormat="1" ht="46.5" customHeight="1">
      <c r="A197" s="1141">
        <v>130</v>
      </c>
      <c r="B197" s="1884" t="s">
        <v>4677</v>
      </c>
      <c r="C197" s="1474" t="s">
        <v>165</v>
      </c>
      <c r="D197" s="1886" t="s">
        <v>5125</v>
      </c>
      <c r="E197" s="1476"/>
      <c r="F197" s="1477"/>
      <c r="G197" s="1478"/>
      <c r="H197" s="1479" t="s">
        <v>104</v>
      </c>
      <c r="I197" s="1885" t="s">
        <v>244</v>
      </c>
      <c r="J197" s="1480" t="str">
        <f>IFERROR(VLOOKUP(I197,dropdowns!$E$45:$I$56,2,FALSE)," ")</f>
        <v>1.TB.01.003</v>
      </c>
      <c r="K197" s="1886" t="s">
        <v>244</v>
      </c>
      <c r="L197" s="1481" t="str">
        <f>IFERROR(VLOOKUP(K197,dropdowns!$G$45:$H$56,2,FALSE)," ")</f>
        <v>1.TB.01.003.01</v>
      </c>
      <c r="M197" s="1251" t="s">
        <v>2269</v>
      </c>
      <c r="N197" s="1482" t="s">
        <v>152</v>
      </c>
      <c r="O197" s="1231" t="s">
        <v>4479</v>
      </c>
      <c r="P197" s="1224"/>
      <c r="Q197" s="3913">
        <f>(-14084476.06+9770811.58)*0</f>
        <v>0</v>
      </c>
      <c r="R197" s="1216"/>
      <c r="S197" s="1217"/>
      <c r="T197" s="1728"/>
      <c r="U197" s="1222" t="s">
        <v>79</v>
      </c>
      <c r="V197" s="1222"/>
      <c r="W197" s="1219"/>
      <c r="X197" s="1093" t="str">
        <f t="shared" si="18"/>
        <v>ACTIVE</v>
      </c>
      <c r="Y197" s="3349"/>
      <c r="Z197" s="1221" t="s">
        <v>5060</v>
      </c>
      <c r="AA197" s="1217"/>
      <c r="AB197" s="1728">
        <v>45899</v>
      </c>
      <c r="AC197" s="1222" t="s">
        <v>79</v>
      </c>
      <c r="AD197" s="1219" t="s">
        <v>4679</v>
      </c>
      <c r="AE197" s="1222"/>
      <c r="AF197" s="1093" t="str">
        <f t="shared" si="19"/>
        <v>ACTIVE</v>
      </c>
      <c r="AG197" s="1248">
        <v>-7235632.79</v>
      </c>
      <c r="AH197" s="1234" t="s">
        <v>5048</v>
      </c>
      <c r="AI197" s="1728">
        <v>45914</v>
      </c>
      <c r="AJ197" s="1222" t="s">
        <v>79</v>
      </c>
      <c r="AK197" s="1219" t="s">
        <v>4729</v>
      </c>
      <c r="AL197" s="1223" t="s">
        <v>5048</v>
      </c>
      <c r="AM197" s="1735">
        <v>45915</v>
      </c>
      <c r="AN197" s="1239" t="s">
        <v>4730</v>
      </c>
      <c r="AO197" s="1226"/>
      <c r="AP197" s="1493"/>
      <c r="AQ197" s="1227"/>
      <c r="AR197" s="1728"/>
      <c r="AS197" s="1220"/>
      <c r="AT197" s="1217"/>
      <c r="AU197" s="1218"/>
      <c r="AV197" s="1220"/>
      <c r="AW197" s="1227" t="s">
        <v>5249</v>
      </c>
      <c r="AX197" s="1728">
        <v>46028</v>
      </c>
      <c r="AY197" s="1094" t="str">
        <f t="shared" si="20"/>
        <v>ACTIVE</v>
      </c>
      <c r="AZ197" s="3583">
        <v>-8078367.1900000004</v>
      </c>
      <c r="BA197" s="4065" t="s">
        <v>79</v>
      </c>
      <c r="BB197" s="1228"/>
      <c r="BC197" s="1229"/>
      <c r="BD197" s="1230"/>
      <c r="BF197" s="845"/>
      <c r="BG197" s="4483" t="s">
        <v>5050</v>
      </c>
      <c r="BH197" s="3592">
        <f>+AZ197-AG197</f>
        <v>-842734.40000000037</v>
      </c>
      <c r="BM197" s="3592">
        <f>+AZ197-AG197</f>
        <v>-842734.40000000037</v>
      </c>
      <c r="BN197" s="4931">
        <f>+AG197-AZ197</f>
        <v>842734.40000000037</v>
      </c>
    </row>
    <row r="198" spans="1:66" s="686" customFormat="1" ht="38.25" customHeight="1">
      <c r="A198" s="1524">
        <v>131</v>
      </c>
      <c r="B198" s="1961" t="s">
        <v>4476</v>
      </c>
      <c r="C198" s="1962" t="s">
        <v>165</v>
      </c>
      <c r="D198" s="2107" t="s">
        <v>92</v>
      </c>
      <c r="E198" s="1964"/>
      <c r="F198" s="1965"/>
      <c r="G198" s="1966"/>
      <c r="H198" s="1987" t="s">
        <v>104</v>
      </c>
      <c r="I198" s="1968" t="s">
        <v>244</v>
      </c>
      <c r="J198" s="1922" t="str">
        <f>IFERROR(VLOOKUP(I198,dropdowns!$E$45:$I$56,2,FALSE)," ")</f>
        <v>1.TB.01.003</v>
      </c>
      <c r="K198" s="1969" t="s">
        <v>244</v>
      </c>
      <c r="L198" s="1923" t="str">
        <f>IFERROR(VLOOKUP(K198,dropdowns!$G$45:$H$56,2,FALSE)," ")</f>
        <v>1.TB.01.003.01</v>
      </c>
      <c r="M198" s="1456" t="s">
        <v>2269</v>
      </c>
      <c r="N198" s="1970" t="s">
        <v>152</v>
      </c>
      <c r="O198" s="1253" t="s">
        <v>4480</v>
      </c>
      <c r="P198" s="1982"/>
      <c r="Q198" s="3915">
        <f>-3943860.15*0</f>
        <v>0</v>
      </c>
      <c r="R198" s="1971"/>
      <c r="S198" s="1991"/>
      <c r="T198" s="1973"/>
      <c r="U198" s="1531"/>
      <c r="V198" s="1531"/>
      <c r="W198" s="1974"/>
      <c r="X198" s="1100" t="str">
        <f t="shared" si="18"/>
        <v>NOT ACTIVE</v>
      </c>
      <c r="Y198" s="3356"/>
      <c r="Z198" s="1992"/>
      <c r="AA198" s="1991"/>
      <c r="AB198" s="1973"/>
      <c r="AC198" s="1531"/>
      <c r="AD198" s="1531"/>
      <c r="AE198" s="1531"/>
      <c r="AF198" s="1100" t="str">
        <f t="shared" si="19"/>
        <v>NOT ACTIVE</v>
      </c>
      <c r="AG198" s="1530"/>
      <c r="AH198" s="3325"/>
      <c r="AI198" s="1973"/>
      <c r="AJ198" s="1531"/>
      <c r="AK198" s="1531"/>
      <c r="AL198" s="1993"/>
      <c r="AM198" s="1977"/>
      <c r="AN198" s="3326"/>
      <c r="AO198" s="1979"/>
      <c r="AP198" s="1994"/>
      <c r="AQ198" s="1995"/>
      <c r="AR198" s="1973"/>
      <c r="AS198" s="1530"/>
      <c r="AT198" s="1991"/>
      <c r="AU198" s="1252"/>
      <c r="AV198" s="1530"/>
      <c r="AW198" s="1991"/>
      <c r="AX198" s="1973"/>
      <c r="AY198" s="1100" t="str">
        <f t="shared" si="20"/>
        <v>NOT ACTIVE</v>
      </c>
      <c r="AZ198" s="3327"/>
      <c r="BA198" s="1531"/>
      <c r="BB198" s="1532"/>
      <c r="BC198" s="1533"/>
      <c r="BD198" s="1999"/>
      <c r="BF198" s="845">
        <f t="shared" ca="1" si="26"/>
        <v>0</v>
      </c>
      <c r="BG198" s="1377"/>
      <c r="BN198" s="4932">
        <f>+BN197+BN190</f>
        <v>919060.05000000075</v>
      </c>
    </row>
    <row r="199" spans="1:66" s="686" customFormat="1" ht="51">
      <c r="A199" s="1524">
        <v>132</v>
      </c>
      <c r="B199" s="1961" t="s">
        <v>4535</v>
      </c>
      <c r="C199" s="1962" t="s">
        <v>165</v>
      </c>
      <c r="D199" s="2107" t="s">
        <v>92</v>
      </c>
      <c r="E199" s="1964"/>
      <c r="F199" s="1965"/>
      <c r="G199" s="1966"/>
      <c r="H199" s="1987" t="s">
        <v>104</v>
      </c>
      <c r="I199" s="1968" t="s">
        <v>244</v>
      </c>
      <c r="J199" s="1922" t="str">
        <f>IFERROR(VLOOKUP(I199,dropdowns!$E$45:$I$56,2,FALSE)," ")</f>
        <v>1.TB.01.003</v>
      </c>
      <c r="K199" s="1969" t="s">
        <v>244</v>
      </c>
      <c r="L199" s="1923" t="str">
        <f>IFERROR(VLOOKUP(K199,dropdowns!$G$45:$H$56,2,FALSE)," ")</f>
        <v>1.TB.01.003.01</v>
      </c>
      <c r="M199" s="1456" t="s">
        <v>2269</v>
      </c>
      <c r="N199" s="1970" t="s">
        <v>152</v>
      </c>
      <c r="O199" s="1253" t="s">
        <v>4537</v>
      </c>
      <c r="P199" s="1982"/>
      <c r="Q199" s="3915">
        <f>-26095541.44*0</f>
        <v>0</v>
      </c>
      <c r="R199" s="1971"/>
      <c r="S199" s="1991"/>
      <c r="T199" s="1973"/>
      <c r="U199" s="1531"/>
      <c r="V199" s="1531"/>
      <c r="W199" s="1974"/>
      <c r="X199" s="1100" t="str">
        <f t="shared" si="18"/>
        <v>NOT ACTIVE</v>
      </c>
      <c r="Y199" s="3356"/>
      <c r="Z199" s="1992"/>
      <c r="AA199" s="1991"/>
      <c r="AB199" s="1973"/>
      <c r="AC199" s="1531"/>
      <c r="AD199" s="1531"/>
      <c r="AE199" s="1531"/>
      <c r="AF199" s="1100" t="str">
        <f t="shared" si="19"/>
        <v>NOT ACTIVE</v>
      </c>
      <c r="AG199" s="1530"/>
      <c r="AH199" s="3325"/>
      <c r="AI199" s="1973"/>
      <c r="AJ199" s="1531"/>
      <c r="AK199" s="1531"/>
      <c r="AL199" s="1993"/>
      <c r="AM199" s="1977"/>
      <c r="AN199" s="3326"/>
      <c r="AO199" s="1979"/>
      <c r="AP199" s="1994"/>
      <c r="AQ199" s="1995"/>
      <c r="AR199" s="1973"/>
      <c r="AS199" s="1530"/>
      <c r="AT199" s="1991"/>
      <c r="AU199" s="1252"/>
      <c r="AV199" s="1530"/>
      <c r="AW199" s="1991"/>
      <c r="AX199" s="1973"/>
      <c r="AY199" s="1100" t="str">
        <f t="shared" si="20"/>
        <v>NOT ACTIVE</v>
      </c>
      <c r="AZ199" s="3327"/>
      <c r="BA199" s="1531"/>
      <c r="BB199" s="1532"/>
      <c r="BC199" s="1533"/>
      <c r="BD199" s="1999"/>
      <c r="BF199" s="845">
        <f t="shared" ca="1" si="26"/>
        <v>0</v>
      </c>
      <c r="BG199" s="1377"/>
    </row>
    <row r="200" spans="1:66" s="686" customFormat="1" ht="51">
      <c r="A200" s="1524">
        <v>133</v>
      </c>
      <c r="B200" s="1961" t="s">
        <v>4536</v>
      </c>
      <c r="C200" s="1962" t="s">
        <v>165</v>
      </c>
      <c r="D200" s="2107" t="s">
        <v>92</v>
      </c>
      <c r="E200" s="1964"/>
      <c r="F200" s="1965"/>
      <c r="G200" s="1966"/>
      <c r="H200" s="1987" t="s">
        <v>104</v>
      </c>
      <c r="I200" s="1968" t="s">
        <v>244</v>
      </c>
      <c r="J200" s="1922" t="str">
        <f>IFERROR(VLOOKUP(I200,dropdowns!$E$45:$I$56,2,FALSE)," ")</f>
        <v>1.TB.01.003</v>
      </c>
      <c r="K200" s="1969" t="s">
        <v>244</v>
      </c>
      <c r="L200" s="1923" t="str">
        <f>IFERROR(VLOOKUP(K200,dropdowns!$G$45:$H$56,2,FALSE)," ")</f>
        <v>1.TB.01.003.01</v>
      </c>
      <c r="M200" s="1456" t="s">
        <v>2269</v>
      </c>
      <c r="N200" s="1970" t="s">
        <v>152</v>
      </c>
      <c r="O200" s="1253" t="s">
        <v>4538</v>
      </c>
      <c r="P200" s="1982"/>
      <c r="Q200" s="3915">
        <f>-11561418.85*0</f>
        <v>0</v>
      </c>
      <c r="R200" s="1971"/>
      <c r="S200" s="1991"/>
      <c r="T200" s="1973"/>
      <c r="U200" s="1531"/>
      <c r="V200" s="1531"/>
      <c r="W200" s="1974"/>
      <c r="X200" s="1100" t="str">
        <f t="shared" si="18"/>
        <v>NOT ACTIVE</v>
      </c>
      <c r="Y200" s="3356"/>
      <c r="Z200" s="1992"/>
      <c r="AA200" s="1991"/>
      <c r="AB200" s="1973"/>
      <c r="AC200" s="1531"/>
      <c r="AD200" s="1531"/>
      <c r="AE200" s="1531"/>
      <c r="AF200" s="1100" t="str">
        <f t="shared" si="19"/>
        <v>NOT ACTIVE</v>
      </c>
      <c r="AG200" s="1530"/>
      <c r="AH200" s="3325"/>
      <c r="AI200" s="1973"/>
      <c r="AJ200" s="1531"/>
      <c r="AK200" s="1531"/>
      <c r="AL200" s="1993"/>
      <c r="AM200" s="1977"/>
      <c r="AN200" s="3326"/>
      <c r="AO200" s="1979"/>
      <c r="AP200" s="1994"/>
      <c r="AQ200" s="1995"/>
      <c r="AR200" s="1973"/>
      <c r="AS200" s="1530"/>
      <c r="AT200" s="1991"/>
      <c r="AU200" s="1252"/>
      <c r="AV200" s="1530"/>
      <c r="AW200" s="1991"/>
      <c r="AX200" s="1973"/>
      <c r="AY200" s="1100" t="str">
        <f t="shared" si="20"/>
        <v>NOT ACTIVE</v>
      </c>
      <c r="AZ200" s="3327"/>
      <c r="BA200" s="1531"/>
      <c r="BB200" s="1532"/>
      <c r="BC200" s="1533"/>
      <c r="BD200" s="1999"/>
      <c r="BF200" s="845">
        <f t="shared" ca="1" si="26"/>
        <v>0</v>
      </c>
      <c r="BG200" s="1377"/>
    </row>
    <row r="201" spans="1:66" s="686" customFormat="1" ht="40.5" customHeight="1">
      <c r="A201" s="1141">
        <v>134</v>
      </c>
      <c r="B201" s="1884" t="s">
        <v>4540</v>
      </c>
      <c r="C201" s="1474" t="s">
        <v>165</v>
      </c>
      <c r="D201" s="1886" t="s">
        <v>5122</v>
      </c>
      <c r="E201" s="1476"/>
      <c r="F201" s="1477"/>
      <c r="G201" s="1478"/>
      <c r="H201" s="1479" t="s">
        <v>104</v>
      </c>
      <c r="I201" s="1885" t="s">
        <v>244</v>
      </c>
      <c r="J201" s="1480" t="str">
        <f>IFERROR(VLOOKUP(I201,dropdowns!$E$45:$I$56,2,FALSE)," ")</f>
        <v>1.TB.01.003</v>
      </c>
      <c r="K201" s="1886" t="s">
        <v>244</v>
      </c>
      <c r="L201" s="1481" t="str">
        <f>IFERROR(VLOOKUP(K201,dropdowns!$G$45:$H$56,2,FALSE)," ")</f>
        <v>1.TB.01.003.01</v>
      </c>
      <c r="M201" s="1251" t="s">
        <v>3930</v>
      </c>
      <c r="N201" s="1482" t="s">
        <v>2558</v>
      </c>
      <c r="O201" s="1231"/>
      <c r="P201" s="1224"/>
      <c r="Q201" s="3913"/>
      <c r="R201" s="1216">
        <v>53</v>
      </c>
      <c r="S201" s="1217"/>
      <c r="T201" s="1728"/>
      <c r="U201" s="1222" t="s">
        <v>79</v>
      </c>
      <c r="V201" s="1219" t="s">
        <v>4541</v>
      </c>
      <c r="W201" s="1219"/>
      <c r="X201" s="1093" t="str">
        <f t="shared" si="18"/>
        <v>ACTIVE</v>
      </c>
      <c r="Y201" s="3349">
        <v>104000</v>
      </c>
      <c r="Z201" s="1221" t="s">
        <v>4819</v>
      </c>
      <c r="AA201" s="1217"/>
      <c r="AB201" s="1728">
        <v>45880</v>
      </c>
      <c r="AC201" s="1222" t="s">
        <v>79</v>
      </c>
      <c r="AD201" s="1219" t="s">
        <v>4589</v>
      </c>
      <c r="AE201" s="1222"/>
      <c r="AF201" s="1093" t="str">
        <f t="shared" si="19"/>
        <v>ACTIVE</v>
      </c>
      <c r="AG201" s="1220">
        <v>104000</v>
      </c>
      <c r="AH201" s="1234" t="s">
        <v>3181</v>
      </c>
      <c r="AI201" s="1728">
        <v>45880</v>
      </c>
      <c r="AJ201" s="1222" t="s">
        <v>79</v>
      </c>
      <c r="AK201" s="1219" t="s">
        <v>4589</v>
      </c>
      <c r="AL201" s="1223" t="s">
        <v>3181</v>
      </c>
      <c r="AM201" s="1735">
        <v>45881</v>
      </c>
      <c r="AN201" s="1239" t="s">
        <v>4603</v>
      </c>
      <c r="AO201" s="3570" t="s">
        <v>6304</v>
      </c>
      <c r="AP201" s="3571"/>
      <c r="AQ201" s="3572"/>
      <c r="AR201" s="3561"/>
      <c r="AS201" s="3573"/>
      <c r="AT201" s="3567"/>
      <c r="AU201" s="4391"/>
      <c r="AV201" s="3573"/>
      <c r="AW201" s="3572" t="s">
        <v>6417</v>
      </c>
      <c r="AX201" s="3561">
        <v>46198</v>
      </c>
      <c r="AY201" s="3559" t="str">
        <f t="shared" si="20"/>
        <v>ACTIVE</v>
      </c>
      <c r="AZ201" s="4392">
        <v>74300</v>
      </c>
      <c r="BA201" s="3562" t="s">
        <v>79</v>
      </c>
      <c r="BB201" s="4393"/>
      <c r="BC201" s="4394"/>
      <c r="BD201" s="4395" t="s">
        <v>6305</v>
      </c>
      <c r="BF201" s="845">
        <f t="shared" ca="1" si="26"/>
        <v>0</v>
      </c>
      <c r="BG201" s="4307"/>
    </row>
    <row r="202" spans="1:66" s="686" customFormat="1" ht="34.5" customHeight="1">
      <c r="A202" s="1141">
        <v>135</v>
      </c>
      <c r="B202" s="1884" t="s">
        <v>4596</v>
      </c>
      <c r="C202" s="1474" t="s">
        <v>165</v>
      </c>
      <c r="D202" s="1475" t="s">
        <v>92</v>
      </c>
      <c r="E202" s="1476"/>
      <c r="F202" s="1477"/>
      <c r="G202" s="1478"/>
      <c r="H202" s="1479" t="s">
        <v>104</v>
      </c>
      <c r="I202" s="1885" t="s">
        <v>244</v>
      </c>
      <c r="J202" s="1480" t="str">
        <f>IFERROR(VLOOKUP(I202,dropdowns!$E$45:$I$56,2,FALSE)," ")</f>
        <v>1.TB.01.003</v>
      </c>
      <c r="K202" s="1886" t="s">
        <v>244</v>
      </c>
      <c r="L202" s="1481" t="str">
        <f>IFERROR(VLOOKUP(K202,dropdowns!$G$45:$H$56,2,FALSE)," ")</f>
        <v>1.TB.01.003.01</v>
      </c>
      <c r="M202" s="1251" t="s">
        <v>3205</v>
      </c>
      <c r="N202" s="1482" t="s">
        <v>3207</v>
      </c>
      <c r="O202" s="2000" t="s">
        <v>4597</v>
      </c>
      <c r="P202" s="5194"/>
      <c r="Q202" s="5195">
        <v>20000</v>
      </c>
      <c r="R202" s="1103"/>
      <c r="S202" s="1109"/>
      <c r="T202" s="1729"/>
      <c r="U202" s="1097"/>
      <c r="V202" s="1097"/>
      <c r="W202" s="1105"/>
      <c r="X202" s="1093" t="str">
        <f t="shared" si="18"/>
        <v>NOT ACTIVE</v>
      </c>
      <c r="Y202" s="3351"/>
      <c r="Z202" s="1111"/>
      <c r="AA202" s="1109"/>
      <c r="AB202" s="1729"/>
      <c r="AC202" s="1097"/>
      <c r="AD202" s="1097"/>
      <c r="AE202" s="1097"/>
      <c r="AF202" s="1094" t="str">
        <f t="shared" si="19"/>
        <v>NOT ACTIVE</v>
      </c>
      <c r="AG202" s="1182"/>
      <c r="AH202" s="1101"/>
      <c r="AI202" s="1729"/>
      <c r="AJ202" s="1097"/>
      <c r="AK202" s="1097"/>
      <c r="AL202" s="1110"/>
      <c r="AM202" s="1736"/>
      <c r="AN202" s="1112"/>
      <c r="AO202" s="1113"/>
      <c r="AP202" s="1487"/>
      <c r="AQ202" s="1117"/>
      <c r="AR202" s="1729"/>
      <c r="AS202" s="1182"/>
      <c r="AT202" s="1109"/>
      <c r="AU202" s="1095"/>
      <c r="AV202" s="1182"/>
      <c r="AW202" s="1109"/>
      <c r="AX202" s="1729"/>
      <c r="AY202" s="1094" t="str">
        <f t="shared" si="20"/>
        <v>NOT ACTIVE</v>
      </c>
      <c r="AZ202" s="1186"/>
      <c r="BA202" s="1097"/>
      <c r="BB202" s="1098"/>
      <c r="BC202" s="1099"/>
      <c r="BD202" s="1230" t="s">
        <v>4881</v>
      </c>
      <c r="BF202" s="845">
        <f t="shared" ca="1" si="26"/>
        <v>0</v>
      </c>
      <c r="BG202" s="1377"/>
    </row>
    <row r="203" spans="1:66" s="686" customFormat="1" ht="36.75" customHeight="1">
      <c r="A203" s="1141">
        <v>136</v>
      </c>
      <c r="B203" s="1884" t="s">
        <v>4606</v>
      </c>
      <c r="C203" s="1474" t="s">
        <v>165</v>
      </c>
      <c r="D203" s="1475" t="s">
        <v>92</v>
      </c>
      <c r="E203" s="1476"/>
      <c r="F203" s="1477"/>
      <c r="G203" s="1478"/>
      <c r="H203" s="1479" t="s">
        <v>104</v>
      </c>
      <c r="I203" s="1885" t="s">
        <v>244</v>
      </c>
      <c r="J203" s="1480" t="str">
        <f>IFERROR(VLOOKUP(I203,dropdowns!$E$45:$I$56,2,FALSE)," ")</f>
        <v>1.TB.01.003</v>
      </c>
      <c r="K203" s="1886" t="s">
        <v>244</v>
      </c>
      <c r="L203" s="1481" t="str">
        <f>IFERROR(VLOOKUP(K203,dropdowns!$G$45:$H$56,2,FALSE)," ")</f>
        <v>1.TB.01.003.01</v>
      </c>
      <c r="M203" s="1251" t="s">
        <v>2269</v>
      </c>
      <c r="N203" s="1482" t="s">
        <v>152</v>
      </c>
      <c r="O203" s="1231" t="s">
        <v>4613</v>
      </c>
      <c r="P203" s="1107"/>
      <c r="Q203" s="4382" t="s">
        <v>370</v>
      </c>
      <c r="R203" s="1103"/>
      <c r="S203" s="1109"/>
      <c r="T203" s="1729"/>
      <c r="U203" s="1097"/>
      <c r="V203" s="1097"/>
      <c r="W203" s="1105"/>
      <c r="X203" s="1093" t="str">
        <f t="shared" si="18"/>
        <v>NOT ACTIVE</v>
      </c>
      <c r="Y203" s="3351"/>
      <c r="Z203" s="1111"/>
      <c r="AA203" s="1109"/>
      <c r="AB203" s="1729"/>
      <c r="AC203" s="1097"/>
      <c r="AD203" s="1097"/>
      <c r="AE203" s="1097"/>
      <c r="AF203" s="1094" t="str">
        <f t="shared" si="19"/>
        <v>NOT ACTIVE</v>
      </c>
      <c r="AG203" s="1182"/>
      <c r="AH203" s="1101"/>
      <c r="AI203" s="1729"/>
      <c r="AJ203" s="1097"/>
      <c r="AK203" s="1097"/>
      <c r="AL203" s="1110"/>
      <c r="AM203" s="1736"/>
      <c r="AN203" s="1112"/>
      <c r="AO203" s="1113"/>
      <c r="AP203" s="1487"/>
      <c r="AQ203" s="1117"/>
      <c r="AR203" s="1729"/>
      <c r="AS203" s="1182"/>
      <c r="AT203" s="1109"/>
      <c r="AU203" s="1095"/>
      <c r="AV203" s="1182"/>
      <c r="AW203" s="1109"/>
      <c r="AX203" s="1729"/>
      <c r="AY203" s="1094" t="str">
        <f t="shared" si="20"/>
        <v>NOT ACTIVE</v>
      </c>
      <c r="AZ203" s="1186"/>
      <c r="BA203" s="1097"/>
      <c r="BB203" s="1098"/>
      <c r="BC203" s="1099"/>
      <c r="BD203" s="1108"/>
      <c r="BF203" s="845">
        <f t="shared" ca="1" si="26"/>
        <v>0</v>
      </c>
      <c r="BG203" s="1377"/>
    </row>
    <row r="204" spans="1:66" s="686" customFormat="1" ht="51">
      <c r="A204" s="1141">
        <v>137</v>
      </c>
      <c r="B204" s="1884" t="s">
        <v>4607</v>
      </c>
      <c r="C204" s="1474" t="s">
        <v>165</v>
      </c>
      <c r="D204" s="1475" t="s">
        <v>92</v>
      </c>
      <c r="E204" s="1476"/>
      <c r="F204" s="1477"/>
      <c r="G204" s="1478"/>
      <c r="H204" s="1479" t="s">
        <v>104</v>
      </c>
      <c r="I204" s="1885" t="s">
        <v>244</v>
      </c>
      <c r="J204" s="1480" t="str">
        <f>IFERROR(VLOOKUP(I204,dropdowns!$E$45:$I$56,2,FALSE)," ")</f>
        <v>1.TB.01.003</v>
      </c>
      <c r="K204" s="1886" t="s">
        <v>244</v>
      </c>
      <c r="L204" s="1481" t="str">
        <f>IFERROR(VLOOKUP(K204,dropdowns!$G$45:$H$56,2,FALSE)," ")</f>
        <v>1.TB.01.003.01</v>
      </c>
      <c r="M204" s="1251" t="s">
        <v>2269</v>
      </c>
      <c r="N204" s="1482" t="s">
        <v>152</v>
      </c>
      <c r="O204" s="1231" t="s">
        <v>4614</v>
      </c>
      <c r="P204" s="1107"/>
      <c r="Q204" s="4382" t="s">
        <v>370</v>
      </c>
      <c r="R204" s="1103"/>
      <c r="S204" s="1109"/>
      <c r="T204" s="1729"/>
      <c r="U204" s="1097"/>
      <c r="V204" s="1097"/>
      <c r="W204" s="1105"/>
      <c r="X204" s="1093" t="str">
        <f t="shared" si="18"/>
        <v>NOT ACTIVE</v>
      </c>
      <c r="Y204" s="3351"/>
      <c r="Z204" s="1111"/>
      <c r="AA204" s="1109"/>
      <c r="AB204" s="1729"/>
      <c r="AC204" s="1097"/>
      <c r="AD204" s="1097"/>
      <c r="AE204" s="1097"/>
      <c r="AF204" s="1094" t="str">
        <f t="shared" si="19"/>
        <v>NOT ACTIVE</v>
      </c>
      <c r="AG204" s="1182"/>
      <c r="AH204" s="1101"/>
      <c r="AI204" s="1729"/>
      <c r="AJ204" s="1097"/>
      <c r="AK204" s="1097"/>
      <c r="AL204" s="1110"/>
      <c r="AM204" s="1736"/>
      <c r="AN204" s="1112"/>
      <c r="AO204" s="1113"/>
      <c r="AP204" s="1487"/>
      <c r="AQ204" s="1117"/>
      <c r="AR204" s="1729"/>
      <c r="AS204" s="1182"/>
      <c r="AT204" s="1109"/>
      <c r="AU204" s="1095"/>
      <c r="AV204" s="1182"/>
      <c r="AW204" s="1109"/>
      <c r="AX204" s="1729"/>
      <c r="AY204" s="1094" t="str">
        <f t="shared" si="20"/>
        <v>NOT ACTIVE</v>
      </c>
      <c r="AZ204" s="1186"/>
      <c r="BA204" s="1097"/>
      <c r="BB204" s="1098"/>
      <c r="BC204" s="1099"/>
      <c r="BD204" s="1108"/>
      <c r="BF204" s="845">
        <f t="shared" ca="1" si="26"/>
        <v>0</v>
      </c>
      <c r="BG204" s="1377"/>
    </row>
    <row r="205" spans="1:66" s="686" customFormat="1" ht="44.25" customHeight="1">
      <c r="A205" s="1141">
        <v>138</v>
      </c>
      <c r="B205" s="1884" t="s">
        <v>4608</v>
      </c>
      <c r="C205" s="1474" t="s">
        <v>165</v>
      </c>
      <c r="D205" s="1475" t="s">
        <v>92</v>
      </c>
      <c r="E205" s="1476"/>
      <c r="F205" s="1477"/>
      <c r="G205" s="1478"/>
      <c r="H205" s="1479" t="s">
        <v>104</v>
      </c>
      <c r="I205" s="1885" t="s">
        <v>244</v>
      </c>
      <c r="J205" s="1480" t="str">
        <f>IFERROR(VLOOKUP(I205,dropdowns!$E$45:$I$56,2,FALSE)," ")</f>
        <v>1.TB.01.003</v>
      </c>
      <c r="K205" s="1886" t="s">
        <v>244</v>
      </c>
      <c r="L205" s="1481" t="str">
        <f>IFERROR(VLOOKUP(K205,dropdowns!$G$45:$H$56,2,FALSE)," ")</f>
        <v>1.TB.01.003.01</v>
      </c>
      <c r="M205" s="1251" t="s">
        <v>2269</v>
      </c>
      <c r="N205" s="1482" t="s">
        <v>152</v>
      </c>
      <c r="O205" s="1231" t="s">
        <v>4616</v>
      </c>
      <c r="P205" s="1107"/>
      <c r="Q205" s="4382" t="s">
        <v>370</v>
      </c>
      <c r="R205" s="1103"/>
      <c r="S205" s="1109"/>
      <c r="T205" s="1729"/>
      <c r="U205" s="1097"/>
      <c r="V205" s="1097"/>
      <c r="W205" s="1105"/>
      <c r="X205" s="1093" t="str">
        <f t="shared" ref="X205:X236" si="27">IF(U205="APPROVED","ACTIVE",IF(U205="PENDING","ACTIVE","NOT ACTIVE"))</f>
        <v>NOT ACTIVE</v>
      </c>
      <c r="Y205" s="3351"/>
      <c r="Z205" s="1111"/>
      <c r="AA205" s="1109"/>
      <c r="AB205" s="1729"/>
      <c r="AC205" s="1097"/>
      <c r="AD205" s="1097"/>
      <c r="AE205" s="1097"/>
      <c r="AF205" s="1094" t="str">
        <f t="shared" ref="AF205:AF236" si="28">IF(AC205="APPROVED","ACTIVE","NOT ACTIVE")</f>
        <v>NOT ACTIVE</v>
      </c>
      <c r="AG205" s="1182"/>
      <c r="AH205" s="1101"/>
      <c r="AI205" s="1729"/>
      <c r="AJ205" s="1097"/>
      <c r="AK205" s="1097"/>
      <c r="AL205" s="1110"/>
      <c r="AM205" s="1736"/>
      <c r="AN205" s="1112"/>
      <c r="AO205" s="1113"/>
      <c r="AP205" s="1487"/>
      <c r="AQ205" s="1117"/>
      <c r="AR205" s="1729"/>
      <c r="AS205" s="1182"/>
      <c r="AT205" s="1109"/>
      <c r="AU205" s="1095"/>
      <c r="AV205" s="1182"/>
      <c r="AW205" s="1109"/>
      <c r="AX205" s="1729"/>
      <c r="AY205" s="1094" t="str">
        <f t="shared" ref="AY205:AY236" si="29">IF(BA205="APPROVED","ACTIVE","NOT ACTIVE")</f>
        <v>NOT ACTIVE</v>
      </c>
      <c r="AZ205" s="1186"/>
      <c r="BA205" s="1097"/>
      <c r="BB205" s="1098"/>
      <c r="BC205" s="1099"/>
      <c r="BD205" s="1108"/>
      <c r="BF205" s="845">
        <f t="shared" ca="1" si="26"/>
        <v>0</v>
      </c>
      <c r="BG205" s="1377"/>
    </row>
    <row r="206" spans="1:66" s="686" customFormat="1" ht="42" customHeight="1">
      <c r="A206" s="1141">
        <v>139</v>
      </c>
      <c r="B206" s="1884" t="s">
        <v>4765</v>
      </c>
      <c r="C206" s="1474" t="s">
        <v>165</v>
      </c>
      <c r="D206" s="1475" t="s">
        <v>92</v>
      </c>
      <c r="E206" s="1476"/>
      <c r="F206" s="1477"/>
      <c r="G206" s="1478"/>
      <c r="H206" s="1479" t="s">
        <v>104</v>
      </c>
      <c r="I206" s="1885" t="s">
        <v>244</v>
      </c>
      <c r="J206" s="1480" t="str">
        <f>IFERROR(VLOOKUP(I206,dropdowns!$E$45:$I$56,2,FALSE)," ")</f>
        <v>1.TB.01.003</v>
      </c>
      <c r="K206" s="1886" t="s">
        <v>244</v>
      </c>
      <c r="L206" s="1481" t="str">
        <f>IFERROR(VLOOKUP(K206,dropdowns!$G$45:$H$56,2,FALSE)," ")</f>
        <v>1.TB.01.003.01</v>
      </c>
      <c r="M206" s="1251" t="s">
        <v>3205</v>
      </c>
      <c r="N206" s="1482" t="s">
        <v>3207</v>
      </c>
      <c r="O206" s="1231" t="s">
        <v>4622</v>
      </c>
      <c r="P206" s="4381"/>
      <c r="Q206" s="4382" t="s">
        <v>370</v>
      </c>
      <c r="R206" s="1103"/>
      <c r="S206" s="1109"/>
      <c r="T206" s="1729"/>
      <c r="U206" s="1097"/>
      <c r="V206" s="1097"/>
      <c r="W206" s="1105"/>
      <c r="X206" s="1093" t="str">
        <f t="shared" si="27"/>
        <v>NOT ACTIVE</v>
      </c>
      <c r="Y206" s="3351"/>
      <c r="Z206" s="1111"/>
      <c r="AA206" s="1109"/>
      <c r="AB206" s="1729"/>
      <c r="AC206" s="1097"/>
      <c r="AD206" s="1097"/>
      <c r="AE206" s="1097"/>
      <c r="AF206" s="1094" t="str">
        <f t="shared" si="28"/>
        <v>NOT ACTIVE</v>
      </c>
      <c r="AG206" s="1182"/>
      <c r="AH206" s="1101"/>
      <c r="AI206" s="1729"/>
      <c r="AJ206" s="1097"/>
      <c r="AK206" s="1097"/>
      <c r="AL206" s="1110"/>
      <c r="AM206" s="1736"/>
      <c r="AN206" s="1112"/>
      <c r="AO206" s="1113"/>
      <c r="AP206" s="1487"/>
      <c r="AQ206" s="1117"/>
      <c r="AR206" s="1729"/>
      <c r="AS206" s="1182"/>
      <c r="AT206" s="1109"/>
      <c r="AU206" s="1095"/>
      <c r="AV206" s="1182"/>
      <c r="AW206" s="1109"/>
      <c r="AX206" s="1729"/>
      <c r="AY206" s="1094" t="str">
        <f t="shared" si="29"/>
        <v>NOT ACTIVE</v>
      </c>
      <c r="AZ206" s="1186"/>
      <c r="BA206" s="1097"/>
      <c r="BB206" s="1098"/>
      <c r="BC206" s="1099"/>
      <c r="BD206" s="1108"/>
      <c r="BF206" s="845">
        <f t="shared" ca="1" si="26"/>
        <v>0</v>
      </c>
      <c r="BG206" s="1377"/>
    </row>
    <row r="207" spans="1:66" s="686" customFormat="1" ht="33.75" customHeight="1">
      <c r="A207" s="1141">
        <v>140</v>
      </c>
      <c r="B207" s="1884" t="s">
        <v>4847</v>
      </c>
      <c r="C207" s="1474" t="s">
        <v>165</v>
      </c>
      <c r="D207" s="1475" t="s">
        <v>92</v>
      </c>
      <c r="E207" s="1476"/>
      <c r="F207" s="1477"/>
      <c r="G207" s="1478"/>
      <c r="H207" s="1479" t="s">
        <v>104</v>
      </c>
      <c r="I207" s="1885" t="s">
        <v>244</v>
      </c>
      <c r="J207" s="1480" t="str">
        <f>IFERROR(VLOOKUP(I207,dropdowns!$E$45:$I$56,2,FALSE)," ")</f>
        <v>1.TB.01.003</v>
      </c>
      <c r="K207" s="1886" t="s">
        <v>244</v>
      </c>
      <c r="L207" s="1481" t="str">
        <f>IFERROR(VLOOKUP(K207,dropdowns!$G$45:$H$56,2,FALSE)," ")</f>
        <v>1.TB.01.003.01</v>
      </c>
      <c r="M207" s="1251" t="s">
        <v>3930</v>
      </c>
      <c r="N207" s="1482" t="s">
        <v>2558</v>
      </c>
      <c r="O207" s="1231" t="s">
        <v>4623</v>
      </c>
      <c r="P207" s="1224"/>
      <c r="Q207" s="3913">
        <f>115000*0</f>
        <v>0</v>
      </c>
      <c r="R207" s="1216"/>
      <c r="S207" s="1217"/>
      <c r="T207" s="1728"/>
      <c r="U207" s="1222" t="s">
        <v>79</v>
      </c>
      <c r="V207" s="1222"/>
      <c r="W207" s="1219"/>
      <c r="X207" s="1093" t="str">
        <f t="shared" si="27"/>
        <v>ACTIVE</v>
      </c>
      <c r="Y207" s="3349"/>
      <c r="Z207" s="1244">
        <v>20</v>
      </c>
      <c r="AA207" s="1217"/>
      <c r="AB207" s="1728">
        <v>45985</v>
      </c>
      <c r="AC207" s="1222" t="s">
        <v>79</v>
      </c>
      <c r="AD207" s="1219" t="s">
        <v>5174</v>
      </c>
      <c r="AE207" s="1222"/>
      <c r="AF207" s="1093" t="str">
        <f t="shared" si="28"/>
        <v>ACTIVE</v>
      </c>
      <c r="AG207" s="1220">
        <v>150000</v>
      </c>
      <c r="AH207" s="1234" t="s">
        <v>3382</v>
      </c>
      <c r="AI207" s="1728">
        <v>45992</v>
      </c>
      <c r="AJ207" s="1222" t="s">
        <v>79</v>
      </c>
      <c r="AK207" s="1219" t="s">
        <v>5202</v>
      </c>
      <c r="AL207" s="1223" t="s">
        <v>3382</v>
      </c>
      <c r="AM207" s="1735">
        <v>45995</v>
      </c>
      <c r="AN207" s="1239" t="s">
        <v>5208</v>
      </c>
      <c r="AO207" s="3570"/>
      <c r="AP207" s="3571"/>
      <c r="AQ207" s="3572"/>
      <c r="AR207" s="3561"/>
      <c r="AS207" s="3573"/>
      <c r="AT207" s="3567"/>
      <c r="AU207" s="4391"/>
      <c r="AV207" s="3573"/>
      <c r="AW207" s="3567"/>
      <c r="AX207" s="3561"/>
      <c r="AY207" s="1094" t="str">
        <f t="shared" si="29"/>
        <v>ACTIVE</v>
      </c>
      <c r="AZ207" s="4392">
        <v>51810</v>
      </c>
      <c r="BA207" s="3562" t="s">
        <v>79</v>
      </c>
      <c r="BB207" s="4393"/>
      <c r="BC207" s="4394"/>
      <c r="BD207" s="4395"/>
      <c r="BF207" s="845">
        <f t="shared" ca="1" si="26"/>
        <v>0</v>
      </c>
      <c r="BG207" s="1377"/>
    </row>
    <row r="208" spans="1:66" s="686" customFormat="1" ht="51">
      <c r="A208" s="1141">
        <v>141</v>
      </c>
      <c r="B208" s="1884" t="s">
        <v>5230</v>
      </c>
      <c r="C208" s="1474" t="s">
        <v>165</v>
      </c>
      <c r="D208" s="1475" t="s">
        <v>92</v>
      </c>
      <c r="E208" s="1476"/>
      <c r="F208" s="1477"/>
      <c r="G208" s="1478"/>
      <c r="H208" s="1479" t="s">
        <v>104</v>
      </c>
      <c r="I208" s="1885" t="s">
        <v>244</v>
      </c>
      <c r="J208" s="1480" t="s">
        <v>245</v>
      </c>
      <c r="K208" s="1886" t="s">
        <v>244</v>
      </c>
      <c r="L208" s="1481" t="s">
        <v>258</v>
      </c>
      <c r="M208" s="1251" t="s">
        <v>2269</v>
      </c>
      <c r="N208" s="1482" t="s">
        <v>152</v>
      </c>
      <c r="O208" s="2000" t="s">
        <v>4624</v>
      </c>
      <c r="P208" s="5194"/>
      <c r="Q208" s="5195">
        <v>-10718725</v>
      </c>
      <c r="R208" s="1103"/>
      <c r="S208" s="1109"/>
      <c r="T208" s="1729"/>
      <c r="U208" s="1097"/>
      <c r="V208" s="1097"/>
      <c r="W208" s="1105"/>
      <c r="X208" s="1093" t="str">
        <f t="shared" si="27"/>
        <v>NOT ACTIVE</v>
      </c>
      <c r="Y208" s="3351"/>
      <c r="Z208" s="1111"/>
      <c r="AA208" s="1109"/>
      <c r="AB208" s="1729"/>
      <c r="AC208" s="1097"/>
      <c r="AD208" s="1097"/>
      <c r="AE208" s="1097"/>
      <c r="AF208" s="1094" t="str">
        <f t="shared" si="28"/>
        <v>NOT ACTIVE</v>
      </c>
      <c r="AG208" s="1182"/>
      <c r="AH208" s="1101"/>
      <c r="AI208" s="1729"/>
      <c r="AJ208" s="1097"/>
      <c r="AK208" s="1097"/>
      <c r="AL208" s="1110"/>
      <c r="AM208" s="1736"/>
      <c r="AN208" s="1112"/>
      <c r="AO208" s="1113"/>
      <c r="AP208" s="1487"/>
      <c r="AQ208" s="1117"/>
      <c r="AR208" s="1729"/>
      <c r="AS208" s="1182"/>
      <c r="AT208" s="1109"/>
      <c r="AU208" s="1095"/>
      <c r="AV208" s="1182"/>
      <c r="AW208" s="1109"/>
      <c r="AX208" s="1729"/>
      <c r="AY208" s="1094" t="str">
        <f t="shared" si="29"/>
        <v>NOT ACTIVE</v>
      </c>
      <c r="AZ208" s="1186"/>
      <c r="BA208" s="1097"/>
      <c r="BB208" s="1098"/>
      <c r="BC208" s="1099"/>
      <c r="BD208" s="1230" t="s">
        <v>4871</v>
      </c>
      <c r="BF208" s="845">
        <f t="shared" ca="1" si="26"/>
        <v>0</v>
      </c>
      <c r="BG208" s="1377"/>
    </row>
    <row r="209" spans="1:60" s="686" customFormat="1" ht="51">
      <c r="A209" s="1141">
        <v>142</v>
      </c>
      <c r="B209" s="1884" t="s">
        <v>5231</v>
      </c>
      <c r="C209" s="1474" t="s">
        <v>165</v>
      </c>
      <c r="D209" s="1475" t="s">
        <v>92</v>
      </c>
      <c r="E209" s="1476"/>
      <c r="F209" s="1477"/>
      <c r="G209" s="1478"/>
      <c r="H209" s="1479" t="s">
        <v>104</v>
      </c>
      <c r="I209" s="1885" t="s">
        <v>244</v>
      </c>
      <c r="J209" s="1480" t="s">
        <v>245</v>
      </c>
      <c r="K209" s="1886" t="s">
        <v>244</v>
      </c>
      <c r="L209" s="1481" t="s">
        <v>258</v>
      </c>
      <c r="M209" s="1251" t="s">
        <v>2269</v>
      </c>
      <c r="N209" s="1482" t="s">
        <v>152</v>
      </c>
      <c r="O209" s="2000" t="s">
        <v>4625</v>
      </c>
      <c r="P209" s="5194"/>
      <c r="Q209" s="5195">
        <v>-9279215.75</v>
      </c>
      <c r="R209" s="1103"/>
      <c r="S209" s="1109"/>
      <c r="T209" s="1729"/>
      <c r="U209" s="1097"/>
      <c r="V209" s="1097"/>
      <c r="W209" s="1105"/>
      <c r="X209" s="1093" t="str">
        <f t="shared" si="27"/>
        <v>NOT ACTIVE</v>
      </c>
      <c r="Y209" s="3351"/>
      <c r="Z209" s="1111"/>
      <c r="AA209" s="1109"/>
      <c r="AB209" s="1729"/>
      <c r="AC209" s="1097"/>
      <c r="AD209" s="1097"/>
      <c r="AE209" s="1097"/>
      <c r="AF209" s="1094" t="str">
        <f t="shared" si="28"/>
        <v>NOT ACTIVE</v>
      </c>
      <c r="AG209" s="1182"/>
      <c r="AH209" s="1101"/>
      <c r="AI209" s="1729"/>
      <c r="AJ209" s="1097"/>
      <c r="AK209" s="1097"/>
      <c r="AL209" s="1110"/>
      <c r="AM209" s="1736"/>
      <c r="AN209" s="1112"/>
      <c r="AO209" s="1113"/>
      <c r="AP209" s="1487"/>
      <c r="AQ209" s="1117"/>
      <c r="AR209" s="1729"/>
      <c r="AS209" s="1182"/>
      <c r="AT209" s="1109"/>
      <c r="AU209" s="1095"/>
      <c r="AV209" s="1182"/>
      <c r="AW209" s="1109"/>
      <c r="AX209" s="1729"/>
      <c r="AY209" s="1094" t="str">
        <f t="shared" si="29"/>
        <v>NOT ACTIVE</v>
      </c>
      <c r="AZ209" s="1186"/>
      <c r="BA209" s="1097"/>
      <c r="BB209" s="1098"/>
      <c r="BC209" s="1099"/>
      <c r="BD209" s="1230" t="s">
        <v>4871</v>
      </c>
      <c r="BF209" s="845">
        <f t="shared" ca="1" si="26"/>
        <v>0</v>
      </c>
      <c r="BG209" s="1377"/>
    </row>
    <row r="210" spans="1:60" s="686" customFormat="1" ht="38.25">
      <c r="A210" s="4327">
        <v>143</v>
      </c>
      <c r="B210" s="4328" t="s">
        <v>4615</v>
      </c>
      <c r="C210" s="4329" t="s">
        <v>165</v>
      </c>
      <c r="D210" s="4330" t="s">
        <v>92</v>
      </c>
      <c r="E210" s="4331"/>
      <c r="F210" s="4332"/>
      <c r="G210" s="4333"/>
      <c r="H210" s="4334" t="s">
        <v>104</v>
      </c>
      <c r="I210" s="4335" t="s">
        <v>244</v>
      </c>
      <c r="J210" s="4336" t="s">
        <v>245</v>
      </c>
      <c r="K210" s="4337" t="s">
        <v>244</v>
      </c>
      <c r="L210" s="4338" t="s">
        <v>258</v>
      </c>
      <c r="M210" s="4339" t="s">
        <v>4611</v>
      </c>
      <c r="N210" s="4340" t="s">
        <v>4612</v>
      </c>
      <c r="O210" s="4341" t="s">
        <v>4626</v>
      </c>
      <c r="P210" s="4342"/>
      <c r="Q210" s="4343">
        <f>(-Q209-Q208)*0</f>
        <v>0</v>
      </c>
      <c r="R210" s="1103"/>
      <c r="S210" s="1109"/>
      <c r="T210" s="1729"/>
      <c r="U210" s="1097"/>
      <c r="V210" s="1097"/>
      <c r="W210" s="1105"/>
      <c r="X210" s="1093" t="str">
        <f t="shared" si="27"/>
        <v>NOT ACTIVE</v>
      </c>
      <c r="Y210" s="3351"/>
      <c r="Z210" s="1111"/>
      <c r="AA210" s="1109"/>
      <c r="AB210" s="1729"/>
      <c r="AC210" s="1097"/>
      <c r="AD210" s="1097"/>
      <c r="AE210" s="1097"/>
      <c r="AF210" s="1094" t="str">
        <f t="shared" si="28"/>
        <v>NOT ACTIVE</v>
      </c>
      <c r="AG210" s="1182"/>
      <c r="AH210" s="1101"/>
      <c r="AI210" s="1729"/>
      <c r="AJ210" s="1097"/>
      <c r="AK210" s="1097"/>
      <c r="AL210" s="1110"/>
      <c r="AM210" s="1736"/>
      <c r="AN210" s="1112"/>
      <c r="AO210" s="1113"/>
      <c r="AP210" s="1487"/>
      <c r="AQ210" s="1117"/>
      <c r="AR210" s="1729"/>
      <c r="AS210" s="1182"/>
      <c r="AT210" s="1109"/>
      <c r="AU210" s="1095"/>
      <c r="AV210" s="1182"/>
      <c r="AW210" s="1109"/>
      <c r="AX210" s="1729"/>
      <c r="AY210" s="1094" t="str">
        <f t="shared" si="29"/>
        <v>NOT ACTIVE</v>
      </c>
      <c r="AZ210" s="1186"/>
      <c r="BA210" s="1097"/>
      <c r="BB210" s="1098"/>
      <c r="BC210" s="1099"/>
      <c r="BD210" s="1230" t="s">
        <v>4884</v>
      </c>
      <c r="BF210" s="845">
        <f t="shared" ca="1" si="26"/>
        <v>0</v>
      </c>
      <c r="BG210" s="1377"/>
    </row>
    <row r="211" spans="1:60" s="686" customFormat="1" ht="51">
      <c r="A211" s="1141">
        <v>144</v>
      </c>
      <c r="B211" s="1884" t="s">
        <v>4724</v>
      </c>
      <c r="C211" s="1474" t="s">
        <v>165</v>
      </c>
      <c r="D211" s="1475" t="s">
        <v>92</v>
      </c>
      <c r="E211" s="1476"/>
      <c r="F211" s="1477"/>
      <c r="G211" s="1478"/>
      <c r="H211" s="1479" t="s">
        <v>104</v>
      </c>
      <c r="I211" s="1885" t="s">
        <v>244</v>
      </c>
      <c r="J211" s="1480" t="s">
        <v>245</v>
      </c>
      <c r="K211" s="1886" t="s">
        <v>244</v>
      </c>
      <c r="L211" s="1481" t="s">
        <v>258</v>
      </c>
      <c r="M211" s="1251" t="s">
        <v>2269</v>
      </c>
      <c r="N211" s="1482" t="s">
        <v>152</v>
      </c>
      <c r="O211" s="1231" t="s">
        <v>4627</v>
      </c>
      <c r="P211" s="4484"/>
      <c r="Q211" s="3918">
        <f>-8703634.56*0</f>
        <v>0</v>
      </c>
      <c r="R211" s="1216"/>
      <c r="S211" s="1217"/>
      <c r="T211" s="1728"/>
      <c r="U211" s="1222" t="s">
        <v>79</v>
      </c>
      <c r="V211" s="1222"/>
      <c r="W211" s="1219"/>
      <c r="X211" s="1093" t="str">
        <f t="shared" si="27"/>
        <v>ACTIVE</v>
      </c>
      <c r="Y211" s="3349"/>
      <c r="Z211" s="1221" t="s">
        <v>5067</v>
      </c>
      <c r="AA211" s="1217"/>
      <c r="AB211" s="1728">
        <v>45977</v>
      </c>
      <c r="AC211" s="1222" t="s">
        <v>79</v>
      </c>
      <c r="AD211" s="1219" t="s">
        <v>5088</v>
      </c>
      <c r="AE211" s="1222"/>
      <c r="AF211" s="1093" t="str">
        <f t="shared" si="28"/>
        <v>ACTIVE</v>
      </c>
      <c r="AG211" s="1248">
        <v>-9541748.6600000001</v>
      </c>
      <c r="AH211" s="1234" t="s">
        <v>5068</v>
      </c>
      <c r="AI211" s="1728">
        <v>45985</v>
      </c>
      <c r="AJ211" s="1222" t="s">
        <v>87</v>
      </c>
      <c r="AK211" s="1219" t="s">
        <v>5175</v>
      </c>
      <c r="AL211" s="1223" t="s">
        <v>5068</v>
      </c>
      <c r="AM211" s="1735">
        <v>45988</v>
      </c>
      <c r="AN211" s="1239" t="s">
        <v>5187</v>
      </c>
      <c r="AO211" s="1226" t="s">
        <v>6222</v>
      </c>
      <c r="AP211" s="1493" t="s">
        <v>663</v>
      </c>
      <c r="AQ211" s="1227"/>
      <c r="AR211" s="1728"/>
      <c r="AS211" s="1220"/>
      <c r="AT211" s="1217"/>
      <c r="AU211" s="1218"/>
      <c r="AV211" s="1220"/>
      <c r="AW211" s="1227" t="s">
        <v>6266</v>
      </c>
      <c r="AX211" s="1728">
        <v>46161</v>
      </c>
      <c r="AY211" s="1093" t="str">
        <f t="shared" si="29"/>
        <v>ACTIVE</v>
      </c>
      <c r="AZ211" s="3521">
        <v>-9525198.6699999999</v>
      </c>
      <c r="BA211" s="1222" t="s">
        <v>79</v>
      </c>
      <c r="BB211" s="1228"/>
      <c r="BC211" s="1229"/>
      <c r="BD211" s="1230" t="s">
        <v>6141</v>
      </c>
      <c r="BF211" s="845">
        <f t="shared" ca="1" si="26"/>
        <v>0</v>
      </c>
      <c r="BG211" s="1377"/>
      <c r="BH211" s="3592">
        <f>+AZ211-AG211</f>
        <v>16549.990000000224</v>
      </c>
    </row>
    <row r="212" spans="1:60" s="686" customFormat="1" ht="51">
      <c r="A212" s="1141">
        <v>145</v>
      </c>
      <c r="B212" s="1884" t="s">
        <v>4617</v>
      </c>
      <c r="C212" s="1474" t="s">
        <v>165</v>
      </c>
      <c r="D212" s="1475" t="s">
        <v>92</v>
      </c>
      <c r="E212" s="1476"/>
      <c r="F212" s="1477"/>
      <c r="G212" s="1478"/>
      <c r="H212" s="1479" t="s">
        <v>104</v>
      </c>
      <c r="I212" s="1885" t="s">
        <v>244</v>
      </c>
      <c r="J212" s="1480" t="s">
        <v>245</v>
      </c>
      <c r="K212" s="1886" t="s">
        <v>244</v>
      </c>
      <c r="L212" s="1481" t="s">
        <v>258</v>
      </c>
      <c r="M212" s="1251" t="s">
        <v>2269</v>
      </c>
      <c r="N212" s="1482" t="s">
        <v>152</v>
      </c>
      <c r="O212" s="2000" t="s">
        <v>4628</v>
      </c>
      <c r="P212" s="5194"/>
      <c r="Q212" s="5195">
        <f>-('Schedule J'!I425+'Schedule J'!I426+'Schedule J'!I427+'Schedule J'!I428+'Schedule J'!I429+'Schedule J'!I430+'Schedule J'!I431+'Schedule J'!I432+'Schedule J'!I433+'Schedule J'!I434+'Schedule J'!I435+'Schedule J'!I436+'Schedule J'!I437+'Schedule J'!I438+'Schedule J'!I439+'Schedule J'!I440+'Schedule J'!I441+'Schedule J'!I442+'Schedule J'!I443+'Schedule J'!I444+'Schedule J'!I445+'Schedule J'!I446)</f>
        <v>-5277917.79</v>
      </c>
      <c r="R212" s="1103"/>
      <c r="S212" s="1109"/>
      <c r="T212" s="1729"/>
      <c r="U212" s="1097"/>
      <c r="V212" s="1097"/>
      <c r="W212" s="1105"/>
      <c r="X212" s="1093" t="str">
        <f t="shared" si="27"/>
        <v>NOT ACTIVE</v>
      </c>
      <c r="Y212" s="3351"/>
      <c r="Z212" s="1111"/>
      <c r="AA212" s="1109"/>
      <c r="AB212" s="1729"/>
      <c r="AC212" s="1097"/>
      <c r="AD212" s="1097"/>
      <c r="AE212" s="1097"/>
      <c r="AF212" s="1094" t="str">
        <f t="shared" si="28"/>
        <v>NOT ACTIVE</v>
      </c>
      <c r="AG212" s="1182"/>
      <c r="AH212" s="1101"/>
      <c r="AI212" s="1729"/>
      <c r="AJ212" s="1097"/>
      <c r="AK212" s="1097"/>
      <c r="AL212" s="1110"/>
      <c r="AM212" s="1736"/>
      <c r="AN212" s="1112"/>
      <c r="AO212" s="1113"/>
      <c r="AP212" s="1487"/>
      <c r="AQ212" s="1117"/>
      <c r="AR212" s="1729"/>
      <c r="AS212" s="1182"/>
      <c r="AT212" s="1109"/>
      <c r="AU212" s="1095"/>
      <c r="AV212" s="1182"/>
      <c r="AW212" s="1109"/>
      <c r="AX212" s="1729"/>
      <c r="AY212" s="1094" t="str">
        <f t="shared" si="29"/>
        <v>NOT ACTIVE</v>
      </c>
      <c r="AZ212" s="1186"/>
      <c r="BA212" s="1097"/>
      <c r="BB212" s="1098"/>
      <c r="BC212" s="1099"/>
      <c r="BD212" s="1108"/>
      <c r="BF212" s="845">
        <f t="shared" ca="1" si="26"/>
        <v>0</v>
      </c>
      <c r="BG212" s="1377"/>
    </row>
    <row r="213" spans="1:60" s="686" customFormat="1" ht="51">
      <c r="A213" s="1141">
        <v>146</v>
      </c>
      <c r="B213" s="1884" t="s">
        <v>4618</v>
      </c>
      <c r="C213" s="1474" t="s">
        <v>165</v>
      </c>
      <c r="D213" s="1475" t="s">
        <v>92</v>
      </c>
      <c r="E213" s="1476"/>
      <c r="F213" s="1477"/>
      <c r="G213" s="1478"/>
      <c r="H213" s="1479" t="s">
        <v>104</v>
      </c>
      <c r="I213" s="1885" t="s">
        <v>244</v>
      </c>
      <c r="J213" s="1480" t="s">
        <v>245</v>
      </c>
      <c r="K213" s="1886" t="s">
        <v>244</v>
      </c>
      <c r="L213" s="1481" t="s">
        <v>258</v>
      </c>
      <c r="M213" s="1251" t="s">
        <v>2269</v>
      </c>
      <c r="N213" s="1482" t="s">
        <v>152</v>
      </c>
      <c r="O213" s="2000" t="s">
        <v>4629</v>
      </c>
      <c r="P213" s="5194"/>
      <c r="Q213" s="5195">
        <f>(+'Schedule J'!H470+'Schedule J'!H471+'Schedule J'!H472+'Schedule J'!H473+'Schedule J'!H474+'Schedule J'!H475+'Schedule J'!H476+'Schedule J'!H477+'Schedule J'!H478+'Schedule J'!H479+'Schedule J'!H480+'Schedule J'!H481+'Schedule J'!H482+'Schedule J'!H483+'Schedule J'!H484+'Schedule J'!H485+'Schedule J'!H486+'Schedule J'!H487)-('Schedule J'!I464)</f>
        <v>-3192741.9</v>
      </c>
      <c r="R213" s="1103"/>
      <c r="S213" s="1109"/>
      <c r="T213" s="1729"/>
      <c r="U213" s="1097"/>
      <c r="V213" s="1097"/>
      <c r="W213" s="1105"/>
      <c r="X213" s="1093" t="str">
        <f t="shared" si="27"/>
        <v>NOT ACTIVE</v>
      </c>
      <c r="Y213" s="3351"/>
      <c r="Z213" s="1111"/>
      <c r="AA213" s="1109"/>
      <c r="AB213" s="1729"/>
      <c r="AC213" s="1097"/>
      <c r="AD213" s="1097"/>
      <c r="AE213" s="1097"/>
      <c r="AF213" s="1094" t="str">
        <f t="shared" si="28"/>
        <v>NOT ACTIVE</v>
      </c>
      <c r="AG213" s="1182"/>
      <c r="AH213" s="1101"/>
      <c r="AI213" s="1729"/>
      <c r="AJ213" s="1097"/>
      <c r="AK213" s="1097"/>
      <c r="AL213" s="1110"/>
      <c r="AM213" s="1736"/>
      <c r="AN213" s="1112"/>
      <c r="AO213" s="1113"/>
      <c r="AP213" s="1487"/>
      <c r="AQ213" s="1117"/>
      <c r="AR213" s="1729"/>
      <c r="AS213" s="1182"/>
      <c r="AT213" s="1109"/>
      <c r="AU213" s="1095"/>
      <c r="AV213" s="1182"/>
      <c r="AW213" s="1109"/>
      <c r="AX213" s="1729"/>
      <c r="AY213" s="1094" t="str">
        <f t="shared" si="29"/>
        <v>NOT ACTIVE</v>
      </c>
      <c r="AZ213" s="1186"/>
      <c r="BA213" s="1097"/>
      <c r="BB213" s="1098"/>
      <c r="BC213" s="1099"/>
      <c r="BD213" s="1108"/>
      <c r="BF213" s="845">
        <f t="shared" ca="1" si="26"/>
        <v>0</v>
      </c>
      <c r="BG213" s="1377"/>
    </row>
    <row r="214" spans="1:60" s="686" customFormat="1" ht="51">
      <c r="A214" s="1141">
        <v>147</v>
      </c>
      <c r="B214" s="1884" t="s">
        <v>4619</v>
      </c>
      <c r="C214" s="1474" t="s">
        <v>165</v>
      </c>
      <c r="D214" s="1475" t="s">
        <v>92</v>
      </c>
      <c r="E214" s="1476"/>
      <c r="F214" s="1477"/>
      <c r="G214" s="1478"/>
      <c r="H214" s="1479" t="s">
        <v>104</v>
      </c>
      <c r="I214" s="1885" t="s">
        <v>244</v>
      </c>
      <c r="J214" s="1480" t="s">
        <v>245</v>
      </c>
      <c r="K214" s="1886" t="s">
        <v>244</v>
      </c>
      <c r="L214" s="1481" t="s">
        <v>258</v>
      </c>
      <c r="M214" s="1251" t="s">
        <v>2269</v>
      </c>
      <c r="N214" s="1482" t="s">
        <v>152</v>
      </c>
      <c r="O214" s="2000" t="s">
        <v>4630</v>
      </c>
      <c r="P214" s="5194"/>
      <c r="Q214" s="5195">
        <f>+('Schedule J'!H489+'Schedule J'!H490+'Schedule J'!H491+'Schedule J'!H492+'Schedule J'!H493+'Schedule J'!H494+'Schedule J'!H495+'Schedule J'!H496+'Schedule J'!H497+'Schedule J'!H498+'Schedule J'!H499+'Schedule J'!H500+'Schedule J'!H501+'Schedule J'!H502+'Schedule J'!H503+'Schedule J'!H504+'Schedule J'!H505+'Schedule J'!H506+'Schedule J'!H507+'Schedule J'!H508)</f>
        <v>-3189139.8699999996</v>
      </c>
      <c r="R214" s="1103"/>
      <c r="S214" s="1109"/>
      <c r="T214" s="1729"/>
      <c r="U214" s="1097"/>
      <c r="V214" s="1097"/>
      <c r="W214" s="1105"/>
      <c r="X214" s="1093" t="str">
        <f t="shared" si="27"/>
        <v>NOT ACTIVE</v>
      </c>
      <c r="Y214" s="3351"/>
      <c r="Z214" s="1111"/>
      <c r="AA214" s="1109"/>
      <c r="AB214" s="1729"/>
      <c r="AC214" s="1097"/>
      <c r="AD214" s="1097"/>
      <c r="AE214" s="1097"/>
      <c r="AF214" s="1094" t="str">
        <f t="shared" si="28"/>
        <v>NOT ACTIVE</v>
      </c>
      <c r="AG214" s="1182"/>
      <c r="AH214" s="1101"/>
      <c r="AI214" s="1729"/>
      <c r="AJ214" s="1097"/>
      <c r="AK214" s="1097"/>
      <c r="AL214" s="1110"/>
      <c r="AM214" s="1736"/>
      <c r="AN214" s="1112"/>
      <c r="AO214" s="1113"/>
      <c r="AP214" s="1487"/>
      <c r="AQ214" s="1117"/>
      <c r="AR214" s="1729"/>
      <c r="AS214" s="1182"/>
      <c r="AT214" s="1109"/>
      <c r="AU214" s="1095"/>
      <c r="AV214" s="1182"/>
      <c r="AW214" s="1109"/>
      <c r="AX214" s="1729"/>
      <c r="AY214" s="1094" t="str">
        <f t="shared" si="29"/>
        <v>NOT ACTIVE</v>
      </c>
      <c r="AZ214" s="1186"/>
      <c r="BA214" s="1097"/>
      <c r="BB214" s="1098"/>
      <c r="BC214" s="1099"/>
      <c r="BD214" s="1108" t="s">
        <v>5427</v>
      </c>
      <c r="BF214" s="845">
        <f t="shared" ca="1" si="26"/>
        <v>0</v>
      </c>
      <c r="BG214" s="1377"/>
    </row>
    <row r="215" spans="1:60" s="686" customFormat="1" ht="51">
      <c r="A215" s="1141">
        <v>148</v>
      </c>
      <c r="B215" s="1884" t="s">
        <v>5281</v>
      </c>
      <c r="C215" s="1474" t="s">
        <v>165</v>
      </c>
      <c r="D215" s="1475" t="s">
        <v>92</v>
      </c>
      <c r="E215" s="1476"/>
      <c r="F215" s="1477"/>
      <c r="G215" s="1478"/>
      <c r="H215" s="1479" t="s">
        <v>104</v>
      </c>
      <c r="I215" s="1885" t="s">
        <v>244</v>
      </c>
      <c r="J215" s="1480" t="s">
        <v>245</v>
      </c>
      <c r="K215" s="1886" t="s">
        <v>244</v>
      </c>
      <c r="L215" s="1481" t="s">
        <v>258</v>
      </c>
      <c r="M215" s="1251" t="s">
        <v>2269</v>
      </c>
      <c r="N215" s="1482" t="s">
        <v>152</v>
      </c>
      <c r="O215" s="2000" t="s">
        <v>4631</v>
      </c>
      <c r="P215" s="5194"/>
      <c r="Q215" s="5195">
        <v>-4203149.5999999996</v>
      </c>
      <c r="R215" s="1103"/>
      <c r="S215" s="1109"/>
      <c r="T215" s="1729"/>
      <c r="U215" s="1097"/>
      <c r="V215" s="1097"/>
      <c r="W215" s="1105"/>
      <c r="X215" s="1093" t="str">
        <f t="shared" si="27"/>
        <v>NOT ACTIVE</v>
      </c>
      <c r="Y215" s="3351"/>
      <c r="Z215" s="1111"/>
      <c r="AA215" s="1109"/>
      <c r="AB215" s="1729"/>
      <c r="AC215" s="1097"/>
      <c r="AD215" s="1097"/>
      <c r="AE215" s="1097"/>
      <c r="AF215" s="1094" t="str">
        <f t="shared" si="28"/>
        <v>NOT ACTIVE</v>
      </c>
      <c r="AG215" s="1182"/>
      <c r="AH215" s="1101"/>
      <c r="AI215" s="1729"/>
      <c r="AJ215" s="1097"/>
      <c r="AK215" s="1097"/>
      <c r="AL215" s="1110"/>
      <c r="AM215" s="1736"/>
      <c r="AN215" s="1112"/>
      <c r="AO215" s="1113"/>
      <c r="AP215" s="1487"/>
      <c r="AQ215" s="1117"/>
      <c r="AR215" s="1729"/>
      <c r="AS215" s="1182"/>
      <c r="AT215" s="1109"/>
      <c r="AU215" s="1095"/>
      <c r="AV215" s="1182"/>
      <c r="AW215" s="1109"/>
      <c r="AX215" s="1729"/>
      <c r="AY215" s="1094" t="str">
        <f t="shared" si="29"/>
        <v>NOT ACTIVE</v>
      </c>
      <c r="AZ215" s="1186"/>
      <c r="BA215" s="1097"/>
      <c r="BB215" s="1098"/>
      <c r="BC215" s="1099"/>
      <c r="BD215" s="1108"/>
      <c r="BF215" s="845">
        <f t="shared" ca="1" si="26"/>
        <v>0</v>
      </c>
      <c r="BG215" s="1377"/>
    </row>
    <row r="216" spans="1:60" s="686" customFormat="1" ht="51">
      <c r="A216" s="1141">
        <v>149</v>
      </c>
      <c r="B216" s="1884" t="s">
        <v>5280</v>
      </c>
      <c r="C216" s="1474" t="s">
        <v>165</v>
      </c>
      <c r="D216" s="1475" t="s">
        <v>92</v>
      </c>
      <c r="E216" s="1476"/>
      <c r="F216" s="1477"/>
      <c r="G216" s="1478"/>
      <c r="H216" s="1479" t="s">
        <v>104</v>
      </c>
      <c r="I216" s="1885" t="s">
        <v>244</v>
      </c>
      <c r="J216" s="1480" t="s">
        <v>245</v>
      </c>
      <c r="K216" s="1886" t="s">
        <v>244</v>
      </c>
      <c r="L216" s="1481" t="s">
        <v>258</v>
      </c>
      <c r="M216" s="1251" t="s">
        <v>2269</v>
      </c>
      <c r="N216" s="1482" t="s">
        <v>152</v>
      </c>
      <c r="O216" s="1102" t="s">
        <v>4632</v>
      </c>
      <c r="P216" s="1107"/>
      <c r="Q216" s="4382" t="s">
        <v>370</v>
      </c>
      <c r="R216" s="1103"/>
      <c r="S216" s="1109"/>
      <c r="T216" s="1729"/>
      <c r="U216" s="1097"/>
      <c r="V216" s="1097"/>
      <c r="W216" s="1105"/>
      <c r="X216" s="1093" t="str">
        <f t="shared" si="27"/>
        <v>NOT ACTIVE</v>
      </c>
      <c r="Y216" s="3351"/>
      <c r="Z216" s="1111"/>
      <c r="AA216" s="1109"/>
      <c r="AB216" s="1729"/>
      <c r="AC216" s="1097"/>
      <c r="AD216" s="1097"/>
      <c r="AE216" s="1097"/>
      <c r="AF216" s="1094" t="str">
        <f t="shared" si="28"/>
        <v>NOT ACTIVE</v>
      </c>
      <c r="AG216" s="1182"/>
      <c r="AH216" s="1101"/>
      <c r="AI216" s="1729"/>
      <c r="AJ216" s="1097"/>
      <c r="AK216" s="1097"/>
      <c r="AL216" s="1110"/>
      <c r="AM216" s="1736"/>
      <c r="AN216" s="1112"/>
      <c r="AO216" s="1113"/>
      <c r="AP216" s="1487"/>
      <c r="AQ216" s="1117"/>
      <c r="AR216" s="1729"/>
      <c r="AS216" s="1182"/>
      <c r="AT216" s="1109"/>
      <c r="AU216" s="1095"/>
      <c r="AV216" s="1182"/>
      <c r="AW216" s="1109"/>
      <c r="AX216" s="1729"/>
      <c r="AY216" s="1094" t="str">
        <f t="shared" si="29"/>
        <v>NOT ACTIVE</v>
      </c>
      <c r="AZ216" s="1186"/>
      <c r="BA216" s="1097"/>
      <c r="BB216" s="1098"/>
      <c r="BC216" s="1099"/>
      <c r="BD216" s="1108"/>
      <c r="BF216" s="845">
        <f t="shared" ca="1" si="26"/>
        <v>0</v>
      </c>
      <c r="BG216" s="1377"/>
    </row>
    <row r="217" spans="1:60" s="686" customFormat="1" ht="38.25">
      <c r="A217" s="1141">
        <v>151</v>
      </c>
      <c r="B217" s="1884" t="s">
        <v>4845</v>
      </c>
      <c r="C217" s="1474" t="s">
        <v>165</v>
      </c>
      <c r="D217" s="1475" t="s">
        <v>92</v>
      </c>
      <c r="E217" s="1476"/>
      <c r="F217" s="1477"/>
      <c r="G217" s="1478"/>
      <c r="H217" s="1479" t="s">
        <v>104</v>
      </c>
      <c r="I217" s="1885" t="s">
        <v>244</v>
      </c>
      <c r="J217" s="1480" t="str">
        <f>IFERROR(VLOOKUP(I217,dropdowns!$E$45:$I$56,2,FALSE)," ")</f>
        <v>1.TB.01.003</v>
      </c>
      <c r="K217" s="1886" t="s">
        <v>244</v>
      </c>
      <c r="L217" s="1481" t="str">
        <f>IFERROR(VLOOKUP(K217,dropdowns!$G$45:$H$56,2,FALSE)," ")</f>
        <v>1.TB.01.003.01</v>
      </c>
      <c r="M217" s="1251" t="s">
        <v>3205</v>
      </c>
      <c r="N217" s="1482" t="s">
        <v>3207</v>
      </c>
      <c r="O217" s="2000" t="s">
        <v>4633</v>
      </c>
      <c r="P217" s="5194"/>
      <c r="Q217" s="5195">
        <v>21000</v>
      </c>
      <c r="R217" s="1103"/>
      <c r="S217" s="1109"/>
      <c r="T217" s="1729"/>
      <c r="U217" s="1097"/>
      <c r="V217" s="1097"/>
      <c r="W217" s="1105"/>
      <c r="X217" s="1093" t="str">
        <f t="shared" si="27"/>
        <v>NOT ACTIVE</v>
      </c>
      <c r="Y217" s="3351"/>
      <c r="Z217" s="1111"/>
      <c r="AA217" s="1109"/>
      <c r="AB217" s="1729"/>
      <c r="AC217" s="1097"/>
      <c r="AD217" s="1097"/>
      <c r="AE217" s="1097"/>
      <c r="AF217" s="1094" t="str">
        <f t="shared" si="28"/>
        <v>NOT ACTIVE</v>
      </c>
      <c r="AG217" s="1182"/>
      <c r="AH217" s="1101"/>
      <c r="AI217" s="1729"/>
      <c r="AJ217" s="1097"/>
      <c r="AK217" s="1097"/>
      <c r="AL217" s="3564" t="s">
        <v>3390</v>
      </c>
      <c r="AM217" s="4360">
        <v>45888</v>
      </c>
      <c r="AN217" s="3565" t="s">
        <v>4759</v>
      </c>
      <c r="AO217" s="1113"/>
      <c r="AP217" s="1487"/>
      <c r="AQ217" s="1117"/>
      <c r="AR217" s="1729"/>
      <c r="AS217" s="1182"/>
      <c r="AT217" s="1109"/>
      <c r="AU217" s="1095"/>
      <c r="AV217" s="1182"/>
      <c r="AW217" s="1109"/>
      <c r="AX217" s="1729"/>
      <c r="AY217" s="1094" t="str">
        <f t="shared" si="29"/>
        <v>NOT ACTIVE</v>
      </c>
      <c r="AZ217" s="1186"/>
      <c r="BA217" s="1097"/>
      <c r="BB217" s="1098"/>
      <c r="BC217" s="1099"/>
      <c r="BD217" s="1230" t="s">
        <v>4881</v>
      </c>
      <c r="BF217" s="845">
        <f t="shared" ca="1" si="26"/>
        <v>0</v>
      </c>
      <c r="BG217" s="1377"/>
    </row>
    <row r="218" spans="1:60" s="686" customFormat="1" ht="36.75" customHeight="1">
      <c r="A218" s="1141">
        <v>152</v>
      </c>
      <c r="B218" s="1884" t="s">
        <v>4634</v>
      </c>
      <c r="C218" s="1474" t="s">
        <v>165</v>
      </c>
      <c r="D218" s="1475" t="s">
        <v>92</v>
      </c>
      <c r="E218" s="1476"/>
      <c r="F218" s="1477"/>
      <c r="G218" s="1478"/>
      <c r="H218" s="1479" t="s">
        <v>104</v>
      </c>
      <c r="I218" s="1885" t="s">
        <v>244</v>
      </c>
      <c r="J218" s="1480" t="str">
        <f>IFERROR(VLOOKUP(I218,dropdowns!$E$45:$I$56,2,FALSE)," ")</f>
        <v>1.TB.01.003</v>
      </c>
      <c r="K218" s="1886" t="s">
        <v>244</v>
      </c>
      <c r="L218" s="1481" t="str">
        <f>IFERROR(VLOOKUP(K218,dropdowns!$G$45:$H$56,2,FALSE)," ")</f>
        <v>1.TB.01.003.01</v>
      </c>
      <c r="M218" s="1251" t="s">
        <v>3930</v>
      </c>
      <c r="N218" s="1482" t="s">
        <v>2558</v>
      </c>
      <c r="O218" s="1231" t="s">
        <v>4635</v>
      </c>
      <c r="P218" s="1224"/>
      <c r="Q218" s="3913">
        <f>50000*0</f>
        <v>0</v>
      </c>
      <c r="R218" s="1216"/>
      <c r="S218" s="1217"/>
      <c r="T218" s="1728"/>
      <c r="U218" s="1222" t="s">
        <v>79</v>
      </c>
      <c r="V218" s="1222"/>
      <c r="W218" s="1219"/>
      <c r="X218" s="1093" t="str">
        <f t="shared" si="27"/>
        <v>ACTIVE</v>
      </c>
      <c r="Y218" s="3349"/>
      <c r="Z218" s="1244">
        <v>19</v>
      </c>
      <c r="AA218" s="1217"/>
      <c r="AB218" s="2100">
        <v>45968</v>
      </c>
      <c r="AC218" s="1222" t="s">
        <v>79</v>
      </c>
      <c r="AD218" s="1219" t="s">
        <v>5069</v>
      </c>
      <c r="AE218" s="1222"/>
      <c r="AF218" s="1093" t="str">
        <f t="shared" si="28"/>
        <v>ACTIVE</v>
      </c>
      <c r="AG218" s="1220">
        <v>60000</v>
      </c>
      <c r="AH218" s="1234" t="s">
        <v>3195</v>
      </c>
      <c r="AI218" s="1728">
        <v>45974</v>
      </c>
      <c r="AJ218" s="1222" t="s">
        <v>79</v>
      </c>
      <c r="AK218" s="1219" t="s">
        <v>5087</v>
      </c>
      <c r="AL218" s="1223" t="s">
        <v>3195</v>
      </c>
      <c r="AM218" s="1735">
        <v>45976</v>
      </c>
      <c r="AN218" s="1239" t="s">
        <v>5086</v>
      </c>
      <c r="AO218" s="3570" t="s">
        <v>6295</v>
      </c>
      <c r="AP218" s="3571"/>
      <c r="AQ218" s="3572"/>
      <c r="AR218" s="3561"/>
      <c r="AS218" s="3573"/>
      <c r="AT218" s="3567"/>
      <c r="AU218" s="4391"/>
      <c r="AV218" s="3573"/>
      <c r="AW218" s="3572" t="s">
        <v>6403</v>
      </c>
      <c r="AX218" s="3561">
        <v>46187</v>
      </c>
      <c r="AY218" s="3559" t="str">
        <f t="shared" si="29"/>
        <v>ACTIVE</v>
      </c>
      <c r="AZ218" s="4392">
        <v>31585.33</v>
      </c>
      <c r="BA218" s="3562" t="s">
        <v>79</v>
      </c>
      <c r="BB218" s="4393"/>
      <c r="BC218" s="4394"/>
      <c r="BD218" s="4395" t="s">
        <v>6146</v>
      </c>
      <c r="BF218" s="845">
        <f t="shared" ca="1" si="26"/>
        <v>0</v>
      </c>
      <c r="BG218" s="1377"/>
    </row>
    <row r="219" spans="1:60" s="686" customFormat="1" ht="51" customHeight="1">
      <c r="A219" s="1141">
        <v>153</v>
      </c>
      <c r="B219" s="1884" t="s">
        <v>4642</v>
      </c>
      <c r="C219" s="1474" t="s">
        <v>165</v>
      </c>
      <c r="D219" s="1475" t="s">
        <v>92</v>
      </c>
      <c r="E219" s="1476"/>
      <c r="F219" s="1477"/>
      <c r="G219" s="1478"/>
      <c r="H219" s="1479" t="s">
        <v>104</v>
      </c>
      <c r="I219" s="1885" t="s">
        <v>244</v>
      </c>
      <c r="J219" s="1480" t="str">
        <f>IFERROR(VLOOKUP(I219,dropdowns!$E$45:$I$56,2,FALSE)," ")</f>
        <v>1.TB.01.003</v>
      </c>
      <c r="K219" s="1886" t="s">
        <v>244</v>
      </c>
      <c r="L219" s="1481" t="str">
        <f>IFERROR(VLOOKUP(K219,dropdowns!$G$45:$H$56,2,FALSE)," ")</f>
        <v>1.TB.01.003.01</v>
      </c>
      <c r="M219" s="1251" t="s">
        <v>3205</v>
      </c>
      <c r="N219" s="1482" t="s">
        <v>3207</v>
      </c>
      <c r="O219" s="1102" t="s">
        <v>4641</v>
      </c>
      <c r="P219" s="1107"/>
      <c r="Q219" s="4411" t="s">
        <v>370</v>
      </c>
      <c r="R219" s="1103"/>
      <c r="S219" s="1109"/>
      <c r="T219" s="1729"/>
      <c r="U219" s="1097"/>
      <c r="V219" s="1097"/>
      <c r="W219" s="1105"/>
      <c r="X219" s="1093" t="str">
        <f t="shared" si="27"/>
        <v>NOT ACTIVE</v>
      </c>
      <c r="Y219" s="3351"/>
      <c r="Z219" s="1111"/>
      <c r="AA219" s="1109"/>
      <c r="AB219" s="1729"/>
      <c r="AC219" s="1097"/>
      <c r="AD219" s="1097"/>
      <c r="AE219" s="1097"/>
      <c r="AF219" s="1094" t="str">
        <f t="shared" si="28"/>
        <v>NOT ACTIVE</v>
      </c>
      <c r="AG219" s="1182"/>
      <c r="AH219" s="1101"/>
      <c r="AI219" s="1729"/>
      <c r="AJ219" s="1097"/>
      <c r="AK219" s="1097"/>
      <c r="AL219" s="3564" t="s">
        <v>4756</v>
      </c>
      <c r="AM219" s="4360">
        <v>45896</v>
      </c>
      <c r="AN219" s="3565" t="s">
        <v>4755</v>
      </c>
      <c r="AO219" s="1113"/>
      <c r="AP219" s="1487"/>
      <c r="AQ219" s="1117"/>
      <c r="AR219" s="1729"/>
      <c r="AS219" s="1182"/>
      <c r="AT219" s="1109"/>
      <c r="AU219" s="1095"/>
      <c r="AV219" s="1182"/>
      <c r="AW219" s="1109"/>
      <c r="AX219" s="1729"/>
      <c r="AY219" s="1094" t="str">
        <f t="shared" si="29"/>
        <v>NOT ACTIVE</v>
      </c>
      <c r="AZ219" s="1186"/>
      <c r="BA219" s="1097"/>
      <c r="BB219" s="1098"/>
      <c r="BC219" s="1099"/>
      <c r="BD219" s="1230" t="s">
        <v>4881</v>
      </c>
      <c r="BF219" s="845">
        <f t="shared" ca="1" si="26"/>
        <v>0</v>
      </c>
      <c r="BG219" s="1377"/>
    </row>
    <row r="220" spans="1:60" s="686" customFormat="1" ht="35.25" customHeight="1">
      <c r="A220" s="1141">
        <v>154</v>
      </c>
      <c r="B220" s="1884" t="s">
        <v>4804</v>
      </c>
      <c r="C220" s="1474" t="s">
        <v>165</v>
      </c>
      <c r="D220" s="1475" t="s">
        <v>92</v>
      </c>
      <c r="E220" s="1476"/>
      <c r="F220" s="1477"/>
      <c r="G220" s="1478"/>
      <c r="H220" s="1479" t="s">
        <v>104</v>
      </c>
      <c r="I220" s="1885" t="s">
        <v>244</v>
      </c>
      <c r="J220" s="1480" t="str">
        <f>IFERROR(VLOOKUP(I220,dropdowns!$E$45:$I$56,2,FALSE)," ")</f>
        <v>1.TB.01.003</v>
      </c>
      <c r="K220" s="1886" t="s">
        <v>244</v>
      </c>
      <c r="L220" s="1481" t="str">
        <f>IFERROR(VLOOKUP(K220,dropdowns!$G$45:$H$56,2,FALSE)," ")</f>
        <v>1.TB.01.003.01</v>
      </c>
      <c r="M220" s="1251" t="s">
        <v>3205</v>
      </c>
      <c r="N220" s="1482" t="s">
        <v>3207</v>
      </c>
      <c r="O220" s="1102" t="s">
        <v>4644</v>
      </c>
      <c r="P220" s="1107"/>
      <c r="Q220" s="4411" t="s">
        <v>370</v>
      </c>
      <c r="R220" s="1103"/>
      <c r="S220" s="1109"/>
      <c r="T220" s="1729"/>
      <c r="U220" s="1097"/>
      <c r="V220" s="1097"/>
      <c r="W220" s="1105"/>
      <c r="X220" s="1093" t="str">
        <f t="shared" si="27"/>
        <v>NOT ACTIVE</v>
      </c>
      <c r="Y220" s="3351"/>
      <c r="Z220" s="1111"/>
      <c r="AA220" s="1109"/>
      <c r="AB220" s="1729"/>
      <c r="AC220" s="1097"/>
      <c r="AD220" s="1097"/>
      <c r="AE220" s="1097"/>
      <c r="AF220" s="1094" t="str">
        <f t="shared" si="28"/>
        <v>NOT ACTIVE</v>
      </c>
      <c r="AG220" s="1182"/>
      <c r="AH220" s="1101"/>
      <c r="AI220" s="1729"/>
      <c r="AJ220" s="1097"/>
      <c r="AK220" s="1097"/>
      <c r="AL220" s="3564" t="s">
        <v>4758</v>
      </c>
      <c r="AM220" s="4360">
        <v>45895</v>
      </c>
      <c r="AN220" s="3565" t="s">
        <v>4757</v>
      </c>
      <c r="AO220" s="1113"/>
      <c r="AP220" s="1487"/>
      <c r="AQ220" s="1117"/>
      <c r="AR220" s="1729"/>
      <c r="AS220" s="1182"/>
      <c r="AT220" s="1109"/>
      <c r="AU220" s="1095"/>
      <c r="AV220" s="1182"/>
      <c r="AW220" s="1109"/>
      <c r="AX220" s="1729"/>
      <c r="AY220" s="1094" t="str">
        <f t="shared" si="29"/>
        <v>NOT ACTIVE</v>
      </c>
      <c r="AZ220" s="1186"/>
      <c r="BA220" s="1097"/>
      <c r="BB220" s="1098"/>
      <c r="BC220" s="1099"/>
      <c r="BD220" s="1230" t="s">
        <v>4881</v>
      </c>
      <c r="BF220" s="845">
        <f t="shared" ca="1" si="26"/>
        <v>0</v>
      </c>
      <c r="BG220" s="1377"/>
    </row>
    <row r="221" spans="1:60" s="686" customFormat="1" ht="46.5" customHeight="1">
      <c r="A221" s="1524">
        <v>155</v>
      </c>
      <c r="B221" s="1961" t="s">
        <v>4643</v>
      </c>
      <c r="C221" s="1962" t="s">
        <v>165</v>
      </c>
      <c r="D221" s="2107" t="s">
        <v>92</v>
      </c>
      <c r="E221" s="1964"/>
      <c r="F221" s="1965"/>
      <c r="G221" s="1966"/>
      <c r="H221" s="1987" t="s">
        <v>104</v>
      </c>
      <c r="I221" s="1968" t="s">
        <v>244</v>
      </c>
      <c r="J221" s="1922" t="str">
        <f>IFERROR(VLOOKUP(I221,dropdowns!$E$45:$I$56,2,FALSE)," ")</f>
        <v>1.TB.01.003</v>
      </c>
      <c r="K221" s="1969" t="s">
        <v>244</v>
      </c>
      <c r="L221" s="1923" t="str">
        <f>IFERROR(VLOOKUP(K221,dropdowns!$G$45:$H$56,2,FALSE)," ")</f>
        <v>1.TB.01.003.01</v>
      </c>
      <c r="M221" s="1456" t="s">
        <v>3205</v>
      </c>
      <c r="N221" s="1970" t="s">
        <v>3207</v>
      </c>
      <c r="O221" s="1253" t="s">
        <v>4645</v>
      </c>
      <c r="P221" s="1982"/>
      <c r="Q221" s="3915"/>
      <c r="R221" s="1971"/>
      <c r="S221" s="1991"/>
      <c r="T221" s="1973"/>
      <c r="U221" s="1531" t="s">
        <v>125</v>
      </c>
      <c r="V221" s="1531"/>
      <c r="W221" s="1974"/>
      <c r="X221" s="1100" t="str">
        <f t="shared" si="27"/>
        <v>NOT ACTIVE</v>
      </c>
      <c r="Y221" s="3356"/>
      <c r="Z221" s="1992"/>
      <c r="AA221" s="1991"/>
      <c r="AB221" s="1973"/>
      <c r="AC221" s="1531"/>
      <c r="AD221" s="1531"/>
      <c r="AE221" s="1531"/>
      <c r="AF221" s="1100" t="str">
        <f t="shared" si="28"/>
        <v>NOT ACTIVE</v>
      </c>
      <c r="AG221" s="1530"/>
      <c r="AH221" s="3325"/>
      <c r="AI221" s="1973"/>
      <c r="AJ221" s="1531"/>
      <c r="AK221" s="1531"/>
      <c r="AL221" s="1993"/>
      <c r="AM221" s="1977"/>
      <c r="AN221" s="3326"/>
      <c r="AO221" s="1979"/>
      <c r="AP221" s="1994"/>
      <c r="AQ221" s="1995"/>
      <c r="AR221" s="1973"/>
      <c r="AS221" s="1530"/>
      <c r="AT221" s="1991"/>
      <c r="AU221" s="1252"/>
      <c r="AV221" s="1530"/>
      <c r="AW221" s="1991"/>
      <c r="AX221" s="1973"/>
      <c r="AY221" s="1100" t="str">
        <f t="shared" si="29"/>
        <v>NOT ACTIVE</v>
      </c>
      <c r="AZ221" s="3327"/>
      <c r="BA221" s="1531"/>
      <c r="BB221" s="1532"/>
      <c r="BC221" s="1533"/>
      <c r="BD221" s="1230" t="s">
        <v>4766</v>
      </c>
      <c r="BF221" s="845">
        <f t="shared" ref="BF221:BF231" ca="1" si="30">IF(BA221="PENDING",TODAY()-AM221,0)</f>
        <v>0</v>
      </c>
      <c r="BG221" s="1377"/>
    </row>
    <row r="222" spans="1:60" s="686" customFormat="1" ht="51">
      <c r="A222" s="1141">
        <f t="shared" ref="A222:A237" si="31">+A221+1</f>
        <v>156</v>
      </c>
      <c r="B222" s="1884" t="s">
        <v>4670</v>
      </c>
      <c r="C222" s="1474" t="s">
        <v>165</v>
      </c>
      <c r="D222" s="1886" t="s">
        <v>5122</v>
      </c>
      <c r="E222" s="1476"/>
      <c r="F222" s="1477"/>
      <c r="G222" s="1478"/>
      <c r="H222" s="1479" t="s">
        <v>82</v>
      </c>
      <c r="I222" s="1885" t="s">
        <v>244</v>
      </c>
      <c r="J222" s="1480" t="str">
        <f>IFERROR(VLOOKUP(I222,dropdowns!$E$45:$I$56,2,FALSE)," ")</f>
        <v>1.TB.01.003</v>
      </c>
      <c r="K222" s="1886" t="s">
        <v>244</v>
      </c>
      <c r="L222" s="1481" t="str">
        <f>IFERROR(VLOOKUP(K222,dropdowns!$G$45:$H$56,2,FALSE)," ")</f>
        <v>1.TB.01.003.01</v>
      </c>
      <c r="M222" s="1251" t="s">
        <v>2269</v>
      </c>
      <c r="N222" s="1482" t="s">
        <v>152</v>
      </c>
      <c r="O222" s="1231"/>
      <c r="P222" s="1224"/>
      <c r="Q222" s="3913"/>
      <c r="R222" s="1216">
        <v>54</v>
      </c>
      <c r="S222" s="1217"/>
      <c r="T222" s="1728">
        <v>45912</v>
      </c>
      <c r="U222" s="1222" t="s">
        <v>79</v>
      </c>
      <c r="V222" s="1219" t="s">
        <v>4669</v>
      </c>
      <c r="W222" s="1219"/>
      <c r="X222" s="1093" t="str">
        <f t="shared" si="27"/>
        <v>ACTIVE</v>
      </c>
      <c r="Y222" s="3349">
        <v>0</v>
      </c>
      <c r="Z222" s="1221" t="s">
        <v>5061</v>
      </c>
      <c r="AA222" s="1217"/>
      <c r="AB222" s="1728">
        <v>45912</v>
      </c>
      <c r="AC222" s="1222" t="s">
        <v>79</v>
      </c>
      <c r="AD222" s="1219" t="s">
        <v>4684</v>
      </c>
      <c r="AE222" s="1222"/>
      <c r="AF222" s="1093" t="str">
        <f t="shared" si="28"/>
        <v>ACTIVE</v>
      </c>
      <c r="AG222" s="1220">
        <v>27800</v>
      </c>
      <c r="AH222" s="1234" t="s">
        <v>5049</v>
      </c>
      <c r="AI222" s="1728">
        <v>45912</v>
      </c>
      <c r="AJ222" s="1219" t="s">
        <v>79</v>
      </c>
      <c r="AK222" s="1219" t="s">
        <v>4684</v>
      </c>
      <c r="AL222" s="1223" t="s">
        <v>5049</v>
      </c>
      <c r="AM222" s="1735">
        <v>45914</v>
      </c>
      <c r="AN222" s="1239" t="s">
        <v>4725</v>
      </c>
      <c r="AO222" s="1226" t="s">
        <v>5185</v>
      </c>
      <c r="AP222" s="1493"/>
      <c r="AQ222" s="1227"/>
      <c r="AR222" s="1728"/>
      <c r="AS222" s="1220"/>
      <c r="AT222" s="1217"/>
      <c r="AU222" s="1218"/>
      <c r="AV222" s="1220"/>
      <c r="AW222" s="1227" t="s">
        <v>5090</v>
      </c>
      <c r="AX222" s="2100">
        <v>45979</v>
      </c>
      <c r="AY222" s="1093" t="str">
        <f t="shared" si="29"/>
        <v>ACTIVE</v>
      </c>
      <c r="AZ222" s="3583">
        <v>-13210</v>
      </c>
      <c r="BA222" s="1222" t="s">
        <v>79</v>
      </c>
      <c r="BB222" s="1228"/>
      <c r="BC222" s="1229"/>
      <c r="BD222" s="1230"/>
      <c r="BE222" s="3592">
        <v>41010</v>
      </c>
      <c r="BF222" s="845">
        <f t="shared" ca="1" si="30"/>
        <v>0</v>
      </c>
      <c r="BG222" s="4483" t="s">
        <v>5050</v>
      </c>
    </row>
    <row r="223" spans="1:60" s="686" customFormat="1" ht="42" customHeight="1">
      <c r="A223" s="1141">
        <f t="shared" si="31"/>
        <v>157</v>
      </c>
      <c r="B223" s="3545" t="s">
        <v>4675</v>
      </c>
      <c r="C223" s="1474" t="s">
        <v>165</v>
      </c>
      <c r="D223" s="1475" t="s">
        <v>92</v>
      </c>
      <c r="E223" s="1476"/>
      <c r="F223" s="1477"/>
      <c r="G223" s="1478"/>
      <c r="H223" s="1479" t="s">
        <v>104</v>
      </c>
      <c r="I223" s="1885" t="s">
        <v>244</v>
      </c>
      <c r="J223" s="1480" t="str">
        <f>IFERROR(VLOOKUP(I223,dropdowns!$E$45:$I$56,2,FALSE)," ")</f>
        <v>1.TB.01.003</v>
      </c>
      <c r="K223" s="1886" t="s">
        <v>244</v>
      </c>
      <c r="L223" s="1481" t="str">
        <f>IFERROR(VLOOKUP(K223,dropdowns!$G$45:$H$56,2,FALSE)," ")</f>
        <v>1.TB.01.003.01</v>
      </c>
      <c r="M223" s="1251" t="s">
        <v>2269</v>
      </c>
      <c r="N223" s="1482" t="s">
        <v>152</v>
      </c>
      <c r="O223" s="1231" t="s">
        <v>4674</v>
      </c>
      <c r="P223" s="1224"/>
      <c r="Q223" s="3913">
        <f>(-179055-107433)*0</f>
        <v>0</v>
      </c>
      <c r="R223" s="4874" t="s">
        <v>6492</v>
      </c>
      <c r="S223" s="1556" t="s">
        <v>663</v>
      </c>
      <c r="T223" s="5141">
        <v>45958</v>
      </c>
      <c r="U223" s="5142" t="s">
        <v>79</v>
      </c>
      <c r="V223" s="1541" t="s">
        <v>6493</v>
      </c>
      <c r="W223" s="5143" t="s">
        <v>94</v>
      </c>
      <c r="X223" s="1093" t="str">
        <f t="shared" si="27"/>
        <v>ACTIVE</v>
      </c>
      <c r="Y223" s="5113">
        <f>(-179055-107433)</f>
        <v>-286488</v>
      </c>
      <c r="Z223" s="4924">
        <v>42</v>
      </c>
      <c r="AA223" s="1556" t="s">
        <v>663</v>
      </c>
      <c r="AB223" s="1733">
        <v>46240</v>
      </c>
      <c r="AC223" s="1557" t="s">
        <v>79</v>
      </c>
      <c r="AD223" s="1541" t="s">
        <v>6567</v>
      </c>
      <c r="AE223" s="1557" t="s">
        <v>94</v>
      </c>
      <c r="AF223" s="1094" t="str">
        <f t="shared" si="28"/>
        <v>ACTIVE</v>
      </c>
      <c r="AG223" s="1563">
        <v>-606210</v>
      </c>
      <c r="AH223" s="3560" t="s">
        <v>6306</v>
      </c>
      <c r="AI223" s="3561">
        <v>46247</v>
      </c>
      <c r="AJ223" s="3562" t="s">
        <v>79</v>
      </c>
      <c r="AK223" s="3563" t="s">
        <v>6587</v>
      </c>
      <c r="AL223" s="1110"/>
      <c r="AM223" s="1736"/>
      <c r="AN223" s="1112"/>
      <c r="AO223" s="1113"/>
      <c r="AP223" s="1487"/>
      <c r="AQ223" s="1117"/>
      <c r="AR223" s="1729"/>
      <c r="AS223" s="1182"/>
      <c r="AT223" s="1109"/>
      <c r="AU223" s="1095"/>
      <c r="AV223" s="1182"/>
      <c r="AW223" s="1109"/>
      <c r="AX223" s="1729"/>
      <c r="AY223" s="1094" t="str">
        <f t="shared" si="29"/>
        <v>NOT ACTIVE</v>
      </c>
      <c r="AZ223" s="1186"/>
      <c r="BA223" s="1097" t="s">
        <v>87</v>
      </c>
      <c r="BB223" s="1098"/>
      <c r="BC223" s="1099"/>
      <c r="BD223" s="1230" t="s">
        <v>4871</v>
      </c>
      <c r="BF223" s="845">
        <f t="shared" ca="1" si="30"/>
        <v>46299</v>
      </c>
      <c r="BG223" s="1377"/>
    </row>
    <row r="224" spans="1:60" s="686" customFormat="1" ht="38.25">
      <c r="A224" s="1132">
        <f t="shared" si="31"/>
        <v>158</v>
      </c>
      <c r="B224" s="3545" t="s">
        <v>4848</v>
      </c>
      <c r="C224" s="1474" t="s">
        <v>165</v>
      </c>
      <c r="D224" s="1886" t="s">
        <v>5122</v>
      </c>
      <c r="E224" s="1476"/>
      <c r="F224" s="1477"/>
      <c r="G224" s="1478"/>
      <c r="H224" s="1479" t="s">
        <v>104</v>
      </c>
      <c r="I224" s="1885" t="s">
        <v>244</v>
      </c>
      <c r="J224" s="1480" t="str">
        <f>IFERROR(VLOOKUP(I224,dropdowns!$E$45:$I$56,2,FALSE)," ")</f>
        <v>1.TB.01.003</v>
      </c>
      <c r="K224" s="1886" t="s">
        <v>244</v>
      </c>
      <c r="L224" s="1481" t="str">
        <f>IFERROR(VLOOKUP(K224,dropdowns!$G$45:$H$56,2,FALSE)," ")</f>
        <v>1.TB.01.003.01</v>
      </c>
      <c r="M224" s="1251" t="s">
        <v>3930</v>
      </c>
      <c r="N224" s="1482" t="s">
        <v>2558</v>
      </c>
      <c r="O224" s="1231" t="s">
        <v>4746</v>
      </c>
      <c r="P224" s="1224"/>
      <c r="Q224" s="3913">
        <f>-204382*0</f>
        <v>0</v>
      </c>
      <c r="R224" s="4482">
        <v>56</v>
      </c>
      <c r="S224" s="1217"/>
      <c r="T224" s="1728"/>
      <c r="U224" s="1222" t="s">
        <v>79</v>
      </c>
      <c r="V224" s="1222"/>
      <c r="W224" s="1219"/>
      <c r="X224" s="1093" t="str">
        <f t="shared" si="27"/>
        <v>ACTIVE</v>
      </c>
      <c r="Y224" s="3349"/>
      <c r="Z224" s="1244">
        <v>18</v>
      </c>
      <c r="AA224" s="1217"/>
      <c r="AB224" s="1728">
        <v>45962</v>
      </c>
      <c r="AC224" s="1222" t="s">
        <v>79</v>
      </c>
      <c r="AD224" s="1219" t="s">
        <v>5045</v>
      </c>
      <c r="AE224" s="1222"/>
      <c r="AF224" s="1093" t="str">
        <f t="shared" si="28"/>
        <v>ACTIVE</v>
      </c>
      <c r="AG224" s="1248">
        <v>-204382</v>
      </c>
      <c r="AH224" s="1234" t="s">
        <v>3179</v>
      </c>
      <c r="AI224" s="1728">
        <v>45962</v>
      </c>
      <c r="AJ224" s="1222" t="s">
        <v>79</v>
      </c>
      <c r="AK224" s="1219" t="s">
        <v>5045</v>
      </c>
      <c r="AL224" s="1223" t="s">
        <v>3179</v>
      </c>
      <c r="AM224" s="1735">
        <v>45966</v>
      </c>
      <c r="AN224" s="1239" t="s">
        <v>5046</v>
      </c>
      <c r="AO224" s="3570" t="s">
        <v>4296</v>
      </c>
      <c r="AP224" s="3571" t="s">
        <v>663</v>
      </c>
      <c r="AQ224" s="3572"/>
      <c r="AR224" s="3561"/>
      <c r="AS224" s="3573"/>
      <c r="AT224" s="3567"/>
      <c r="AU224" s="4391"/>
      <c r="AV224" s="3573"/>
      <c r="AW224" s="3572" t="s">
        <v>6529</v>
      </c>
      <c r="AX224" s="3561">
        <v>46222</v>
      </c>
      <c r="AY224" s="1094" t="str">
        <f t="shared" si="29"/>
        <v>ACTIVE</v>
      </c>
      <c r="AZ224" s="4392">
        <v>-204382</v>
      </c>
      <c r="BA224" s="3562" t="s">
        <v>79</v>
      </c>
      <c r="BB224" s="4393"/>
      <c r="BC224" s="4394"/>
      <c r="BD224" s="4395" t="s">
        <v>6303</v>
      </c>
      <c r="BF224" s="845">
        <f t="shared" ca="1" si="30"/>
        <v>0</v>
      </c>
      <c r="BG224" s="1377"/>
    </row>
    <row r="225" spans="1:59" s="686" customFormat="1" ht="63.75" customHeight="1">
      <c r="A225" s="1141">
        <f t="shared" si="31"/>
        <v>159</v>
      </c>
      <c r="B225" s="3545" t="s">
        <v>4745</v>
      </c>
      <c r="C225" s="1474" t="s">
        <v>165</v>
      </c>
      <c r="D225" s="1475" t="s">
        <v>92</v>
      </c>
      <c r="E225" s="1476"/>
      <c r="F225" s="1477"/>
      <c r="G225" s="1478"/>
      <c r="H225" s="1479" t="s">
        <v>104</v>
      </c>
      <c r="I225" s="1885" t="s">
        <v>244</v>
      </c>
      <c r="J225" s="1480" t="str">
        <f>IFERROR(VLOOKUP(I225,dropdowns!$E$45:$I$56,2,FALSE)," ")</f>
        <v>1.TB.01.003</v>
      </c>
      <c r="K225" s="1886" t="s">
        <v>244</v>
      </c>
      <c r="L225" s="1481" t="str">
        <f>IFERROR(VLOOKUP(K225,dropdowns!$G$45:$H$56,2,FALSE)," ")</f>
        <v>1.TB.01.003.01</v>
      </c>
      <c r="M225" s="1251" t="s">
        <v>2269</v>
      </c>
      <c r="N225" s="1482" t="s">
        <v>152</v>
      </c>
      <c r="O225" s="2000" t="s">
        <v>4802</v>
      </c>
      <c r="P225" s="5194"/>
      <c r="Q225" s="5195">
        <v>2674938</v>
      </c>
      <c r="R225" s="1103"/>
      <c r="S225" s="1109"/>
      <c r="T225" s="1729"/>
      <c r="U225" s="1097"/>
      <c r="V225" s="1097"/>
      <c r="W225" s="1105"/>
      <c r="X225" s="1093" t="str">
        <f t="shared" si="27"/>
        <v>NOT ACTIVE</v>
      </c>
      <c r="Y225" s="3351"/>
      <c r="Z225" s="1111"/>
      <c r="AA225" s="1109"/>
      <c r="AB225" s="1729"/>
      <c r="AC225" s="1097"/>
      <c r="AD225" s="1097"/>
      <c r="AE225" s="1097"/>
      <c r="AF225" s="1094" t="str">
        <f t="shared" si="28"/>
        <v>NOT ACTIVE</v>
      </c>
      <c r="AG225" s="1182"/>
      <c r="AH225" s="1101"/>
      <c r="AI225" s="1729"/>
      <c r="AJ225" s="1097"/>
      <c r="AK225" s="1097"/>
      <c r="AL225" s="1110"/>
      <c r="AM225" s="1736"/>
      <c r="AN225" s="1112"/>
      <c r="AO225" s="1113"/>
      <c r="AP225" s="1487"/>
      <c r="AQ225" s="1117"/>
      <c r="AR225" s="1729"/>
      <c r="AS225" s="1182"/>
      <c r="AT225" s="1109"/>
      <c r="AU225" s="1095"/>
      <c r="AV225" s="1182"/>
      <c r="AW225" s="1109"/>
      <c r="AX225" s="1729"/>
      <c r="AY225" s="1094" t="str">
        <f t="shared" si="29"/>
        <v>NOT ACTIVE</v>
      </c>
      <c r="AZ225" s="1186"/>
      <c r="BA225" s="1097"/>
      <c r="BB225" s="1098"/>
      <c r="BC225" s="1099"/>
      <c r="BD225" s="1230" t="s">
        <v>4885</v>
      </c>
      <c r="BF225" s="845">
        <f t="shared" ca="1" si="30"/>
        <v>0</v>
      </c>
      <c r="BG225" s="1377"/>
    </row>
    <row r="226" spans="1:59" s="686" customFormat="1" ht="38.25">
      <c r="A226" s="1141">
        <f t="shared" si="31"/>
        <v>160</v>
      </c>
      <c r="B226" s="1884" t="s">
        <v>4849</v>
      </c>
      <c r="C226" s="1474" t="s">
        <v>165</v>
      </c>
      <c r="D226" s="1475" t="s">
        <v>92</v>
      </c>
      <c r="E226" s="1476"/>
      <c r="F226" s="1477"/>
      <c r="G226" s="1478"/>
      <c r="H226" s="1479" t="s">
        <v>104</v>
      </c>
      <c r="I226" s="1885" t="s">
        <v>244</v>
      </c>
      <c r="J226" s="1480" t="str">
        <f>IFERROR(VLOOKUP(I226,dropdowns!$E$45:$I$56,2,FALSE)," ")</f>
        <v>1.TB.01.003</v>
      </c>
      <c r="K226" s="1886" t="s">
        <v>244</v>
      </c>
      <c r="L226" s="1481" t="str">
        <f>IFERROR(VLOOKUP(K226,dropdowns!$G$45:$H$56,2,FALSE)," ")</f>
        <v>1.TB.01.003.01</v>
      </c>
      <c r="M226" s="1251" t="s">
        <v>3930</v>
      </c>
      <c r="N226" s="1482" t="s">
        <v>2558</v>
      </c>
      <c r="O226" s="1231" t="s">
        <v>4805</v>
      </c>
      <c r="P226" s="1224"/>
      <c r="Q226" s="3913">
        <f>72092.72*0</f>
        <v>0</v>
      </c>
      <c r="R226" s="1216"/>
      <c r="S226" s="1217"/>
      <c r="T226" s="1728"/>
      <c r="U226" s="1222" t="s">
        <v>79</v>
      </c>
      <c r="V226" s="1222"/>
      <c r="W226" s="1219"/>
      <c r="X226" s="1093" t="str">
        <f t="shared" si="27"/>
        <v>ACTIVE</v>
      </c>
      <c r="Y226" s="3349"/>
      <c r="Z226" s="1244">
        <v>21</v>
      </c>
      <c r="AA226" s="1217"/>
      <c r="AB226" s="1728">
        <v>45985</v>
      </c>
      <c r="AC226" s="1222" t="s">
        <v>79</v>
      </c>
      <c r="AD226" s="1219" t="s">
        <v>5173</v>
      </c>
      <c r="AE226" s="1222"/>
      <c r="AF226" s="1093" t="str">
        <f t="shared" si="28"/>
        <v>ACTIVE</v>
      </c>
      <c r="AG226" s="1220">
        <v>72092.72</v>
      </c>
      <c r="AH226" s="1234" t="s">
        <v>3378</v>
      </c>
      <c r="AI226" s="1728">
        <v>45992</v>
      </c>
      <c r="AJ226" s="1222" t="s">
        <v>79</v>
      </c>
      <c r="AK226" s="1219" t="s">
        <v>5204</v>
      </c>
      <c r="AL226" s="1223" t="s">
        <v>3378</v>
      </c>
      <c r="AM226" s="1735">
        <v>45995</v>
      </c>
      <c r="AN226" s="1239" t="s">
        <v>5207</v>
      </c>
      <c r="AO226" s="1226"/>
      <c r="AP226" s="1493"/>
      <c r="AQ226" s="1227"/>
      <c r="AR226" s="1728"/>
      <c r="AS226" s="1220"/>
      <c r="AT226" s="1217"/>
      <c r="AU226" s="1218"/>
      <c r="AV226" s="1220"/>
      <c r="AW226" s="1227" t="s">
        <v>5387</v>
      </c>
      <c r="AX226" s="1728">
        <v>45706</v>
      </c>
      <c r="AY226" s="1093" t="str">
        <f t="shared" si="29"/>
        <v>ACTIVE</v>
      </c>
      <c r="AZ226" s="3521">
        <v>74046.44</v>
      </c>
      <c r="BA226" s="1222" t="s">
        <v>79</v>
      </c>
      <c r="BB226" s="1228"/>
      <c r="BC226" s="1229"/>
      <c r="BD226" s="1230"/>
      <c r="BF226" s="845">
        <f t="shared" ca="1" si="30"/>
        <v>0</v>
      </c>
      <c r="BG226" s="1377"/>
    </row>
    <row r="227" spans="1:59" s="686" customFormat="1" ht="50.25" customHeight="1">
      <c r="A227" s="1141">
        <f t="shared" si="31"/>
        <v>161</v>
      </c>
      <c r="B227" s="1884" t="s">
        <v>4803</v>
      </c>
      <c r="C227" s="1474" t="s">
        <v>165</v>
      </c>
      <c r="D227" s="1475" t="s">
        <v>92</v>
      </c>
      <c r="E227" s="1476"/>
      <c r="F227" s="1477"/>
      <c r="G227" s="1478"/>
      <c r="H227" s="1479" t="s">
        <v>104</v>
      </c>
      <c r="I227" s="1885" t="s">
        <v>244</v>
      </c>
      <c r="J227" s="1480" t="str">
        <f>IFERROR(VLOOKUP(I227,dropdowns!$E$45:$I$56,2,FALSE)," ")</f>
        <v>1.TB.01.003</v>
      </c>
      <c r="K227" s="1886" t="s">
        <v>244</v>
      </c>
      <c r="L227" s="1481" t="str">
        <f>IFERROR(VLOOKUP(K227,dropdowns!$G$45:$H$56,2,FALSE)," ")</f>
        <v>1.TB.01.003.01</v>
      </c>
      <c r="M227" s="1251" t="s">
        <v>2269</v>
      </c>
      <c r="N227" s="1482" t="s">
        <v>152</v>
      </c>
      <c r="O227" s="2000" t="s">
        <v>4806</v>
      </c>
      <c r="P227" s="5194"/>
      <c r="Q227" s="5195">
        <v>-8078.16</v>
      </c>
      <c r="R227" s="1103"/>
      <c r="S227" s="1109"/>
      <c r="T227" s="1729"/>
      <c r="U227" s="1097"/>
      <c r="V227" s="1097"/>
      <c r="W227" s="1105"/>
      <c r="X227" s="1093" t="str">
        <f t="shared" si="27"/>
        <v>NOT ACTIVE</v>
      </c>
      <c r="Y227" s="3351"/>
      <c r="Z227" s="1111"/>
      <c r="AA227" s="1109"/>
      <c r="AB227" s="1729"/>
      <c r="AC227" s="1097"/>
      <c r="AD227" s="1097"/>
      <c r="AE227" s="1097"/>
      <c r="AF227" s="1094" t="str">
        <f t="shared" si="28"/>
        <v>NOT ACTIVE</v>
      </c>
      <c r="AG227" s="1182"/>
      <c r="AH227" s="1101"/>
      <c r="AI227" s="1729"/>
      <c r="AJ227" s="1097"/>
      <c r="AK227" s="1097"/>
      <c r="AL227" s="1110"/>
      <c r="AM227" s="1736"/>
      <c r="AN227" s="1112"/>
      <c r="AO227" s="1113"/>
      <c r="AP227" s="1487"/>
      <c r="AQ227" s="1117"/>
      <c r="AR227" s="1729"/>
      <c r="AS227" s="1182"/>
      <c r="AT227" s="1109"/>
      <c r="AU227" s="1095"/>
      <c r="AV227" s="1182"/>
      <c r="AW227" s="1109"/>
      <c r="AX227" s="1729"/>
      <c r="AY227" s="1094" t="str">
        <f t="shared" si="29"/>
        <v>NOT ACTIVE</v>
      </c>
      <c r="AZ227" s="1186"/>
      <c r="BA227" s="1097"/>
      <c r="BB227" s="1098"/>
      <c r="BC227" s="1099"/>
      <c r="BD227" s="1230" t="s">
        <v>4871</v>
      </c>
      <c r="BF227" s="845">
        <f t="shared" ca="1" si="30"/>
        <v>0</v>
      </c>
      <c r="BG227" s="1377"/>
    </row>
    <row r="228" spans="1:59" s="686" customFormat="1" ht="35.25" customHeight="1">
      <c r="A228" s="1141">
        <f t="shared" si="31"/>
        <v>162</v>
      </c>
      <c r="B228" s="1884" t="s">
        <v>4850</v>
      </c>
      <c r="C228" s="1474" t="s">
        <v>165</v>
      </c>
      <c r="D228" s="1475" t="s">
        <v>92</v>
      </c>
      <c r="E228" s="1476"/>
      <c r="F228" s="1477"/>
      <c r="G228" s="1478"/>
      <c r="H228" s="1479" t="s">
        <v>104</v>
      </c>
      <c r="I228" s="1885" t="s">
        <v>244</v>
      </c>
      <c r="J228" s="1480" t="str">
        <f>IFERROR(VLOOKUP(I228,dropdowns!$E$45:$I$56,2,FALSE)," ")</f>
        <v>1.TB.01.003</v>
      </c>
      <c r="K228" s="1886" t="s">
        <v>244</v>
      </c>
      <c r="L228" s="1481" t="str">
        <f>IFERROR(VLOOKUP(K228,dropdowns!$G$45:$H$56,2,FALSE)," ")</f>
        <v>1.TB.01.003.01</v>
      </c>
      <c r="M228" s="1251" t="s">
        <v>3930</v>
      </c>
      <c r="N228" s="1482" t="s">
        <v>2558</v>
      </c>
      <c r="O228" s="2000" t="s">
        <v>4809</v>
      </c>
      <c r="P228" s="4686"/>
      <c r="Q228" s="4687">
        <v>8000</v>
      </c>
      <c r="R228" s="1103"/>
      <c r="S228" s="1109"/>
      <c r="T228" s="1729"/>
      <c r="U228" s="1097"/>
      <c r="V228" s="1097"/>
      <c r="W228" s="1105"/>
      <c r="X228" s="1093" t="str">
        <f t="shared" si="27"/>
        <v>NOT ACTIVE</v>
      </c>
      <c r="Y228" s="3351"/>
      <c r="Z228" s="1111" t="s">
        <v>4864</v>
      </c>
      <c r="AA228" s="1109"/>
      <c r="AB228" s="1729"/>
      <c r="AC228" s="1097" t="s">
        <v>87</v>
      </c>
      <c r="AD228" s="1097"/>
      <c r="AE228" s="1097"/>
      <c r="AF228" s="1094" t="str">
        <f t="shared" si="28"/>
        <v>NOT ACTIVE</v>
      </c>
      <c r="AG228" s="1182"/>
      <c r="AH228" s="1101" t="s">
        <v>4865</v>
      </c>
      <c r="AI228" s="1729"/>
      <c r="AJ228" s="1097" t="s">
        <v>87</v>
      </c>
      <c r="AK228" s="1097"/>
      <c r="AL228" s="1110"/>
      <c r="AM228" s="1736"/>
      <c r="AN228" s="1112"/>
      <c r="AO228" s="1113"/>
      <c r="AP228" s="1487"/>
      <c r="AQ228" s="1117"/>
      <c r="AR228" s="1729"/>
      <c r="AS228" s="1182"/>
      <c r="AT228" s="1109"/>
      <c r="AU228" s="1095"/>
      <c r="AV228" s="1182"/>
      <c r="AW228" s="1109"/>
      <c r="AX228" s="1729"/>
      <c r="AY228" s="1094" t="str">
        <f t="shared" si="29"/>
        <v>NOT ACTIVE</v>
      </c>
      <c r="AZ228" s="1186"/>
      <c r="BA228" s="1097"/>
      <c r="BB228" s="1098"/>
      <c r="BC228" s="1099"/>
      <c r="BD228" s="4408"/>
      <c r="BF228" s="845">
        <f t="shared" ca="1" si="30"/>
        <v>0</v>
      </c>
      <c r="BG228" s="1377"/>
    </row>
    <row r="229" spans="1:59" s="686" customFormat="1" ht="73.5" customHeight="1">
      <c r="A229" s="1141">
        <f t="shared" si="31"/>
        <v>163</v>
      </c>
      <c r="B229" s="1884" t="s">
        <v>4949</v>
      </c>
      <c r="C229" s="1474" t="s">
        <v>165</v>
      </c>
      <c r="D229" s="1475" t="s">
        <v>92</v>
      </c>
      <c r="E229" s="1476"/>
      <c r="F229" s="1477"/>
      <c r="G229" s="1478"/>
      <c r="H229" s="1479" t="s">
        <v>104</v>
      </c>
      <c r="I229" s="1885" t="s">
        <v>244</v>
      </c>
      <c r="J229" s="1480" t="str">
        <f>IFERROR(VLOOKUP(I229,dropdowns!$E$45:$I$56,2,FALSE)," ")</f>
        <v>1.TB.01.003</v>
      </c>
      <c r="K229" s="1886" t="s">
        <v>244</v>
      </c>
      <c r="L229" s="1481" t="str">
        <f>IFERROR(VLOOKUP(K229,dropdowns!$G$45:$H$56,2,FALSE)," ")</f>
        <v>1.TB.01.003.01</v>
      </c>
      <c r="M229" s="1251" t="s">
        <v>3205</v>
      </c>
      <c r="N229" s="1482" t="s">
        <v>3207</v>
      </c>
      <c r="O229" s="1231" t="s">
        <v>4810</v>
      </c>
      <c r="P229" s="1224"/>
      <c r="Q229" s="3913">
        <f>8136064*0</f>
        <v>0</v>
      </c>
      <c r="R229" s="1216"/>
      <c r="S229" s="1217"/>
      <c r="T229" s="1728"/>
      <c r="U229" s="1222" t="s">
        <v>79</v>
      </c>
      <c r="V229" s="1222"/>
      <c r="W229" s="1219"/>
      <c r="X229" s="1093" t="str">
        <f t="shared" si="27"/>
        <v>ACTIVE</v>
      </c>
      <c r="Y229" s="3349"/>
      <c r="Z229" s="1221" t="s">
        <v>2126</v>
      </c>
      <c r="AA229" s="1217"/>
      <c r="AB229" s="1728">
        <v>46005</v>
      </c>
      <c r="AC229" s="1222" t="s">
        <v>79</v>
      </c>
      <c r="AD229" s="1219" t="s">
        <v>5215</v>
      </c>
      <c r="AE229" s="1222"/>
      <c r="AF229" s="1093" t="str">
        <f t="shared" si="28"/>
        <v>ACTIVE</v>
      </c>
      <c r="AG229" s="1220">
        <v>8136064</v>
      </c>
      <c r="AH229" s="1234"/>
      <c r="AI229" s="1728">
        <v>46014</v>
      </c>
      <c r="AJ229" s="1222" t="s">
        <v>79</v>
      </c>
      <c r="AK229" s="1219" t="s">
        <v>5224</v>
      </c>
      <c r="AL229" s="1223" t="s">
        <v>2315</v>
      </c>
      <c r="AM229" s="1735">
        <v>46014</v>
      </c>
      <c r="AN229" s="1239" t="s">
        <v>5225</v>
      </c>
      <c r="AO229" s="1226"/>
      <c r="AP229" s="1493"/>
      <c r="AQ229" s="1227"/>
      <c r="AR229" s="1728"/>
      <c r="AS229" s="1220"/>
      <c r="AT229" s="1217"/>
      <c r="AU229" s="1218"/>
      <c r="AV229" s="1220"/>
      <c r="AW229" s="1227" t="s">
        <v>5378</v>
      </c>
      <c r="AX229" s="1728">
        <v>46061</v>
      </c>
      <c r="AY229" s="1093" t="str">
        <f t="shared" si="29"/>
        <v>ACTIVE</v>
      </c>
      <c r="AZ229" s="3521">
        <v>8136064</v>
      </c>
      <c r="BA229" s="1222" t="s">
        <v>79</v>
      </c>
      <c r="BB229" s="1228"/>
      <c r="BC229" s="1229"/>
      <c r="BD229" s="4536"/>
      <c r="BF229" s="845">
        <f t="shared" ca="1" si="30"/>
        <v>0</v>
      </c>
      <c r="BG229" s="1377"/>
    </row>
    <row r="230" spans="1:59" s="686" customFormat="1" ht="44.25" customHeight="1">
      <c r="A230" s="1141">
        <f t="shared" si="31"/>
        <v>164</v>
      </c>
      <c r="B230" s="1884" t="s">
        <v>4846</v>
      </c>
      <c r="C230" s="1474" t="s">
        <v>165</v>
      </c>
      <c r="D230" s="1475" t="s">
        <v>92</v>
      </c>
      <c r="E230" s="1476"/>
      <c r="F230" s="1477"/>
      <c r="G230" s="1478"/>
      <c r="H230" s="1479" t="s">
        <v>104</v>
      </c>
      <c r="I230" s="1885" t="s">
        <v>244</v>
      </c>
      <c r="J230" s="1480" t="str">
        <f>IFERROR(VLOOKUP(I230,dropdowns!$E$45:$I$56,2,FALSE)," ")</f>
        <v>1.TB.01.003</v>
      </c>
      <c r="K230" s="1886" t="s">
        <v>244</v>
      </c>
      <c r="L230" s="1481" t="str">
        <f>IFERROR(VLOOKUP(K230,dropdowns!$G$45:$H$56,2,FALSE)," ")</f>
        <v>1.TB.01.003.01</v>
      </c>
      <c r="M230" s="1251" t="s">
        <v>3204</v>
      </c>
      <c r="N230" s="1482" t="s">
        <v>3128</v>
      </c>
      <c r="O230" s="1231" t="s">
        <v>4811</v>
      </c>
      <c r="P230" s="1224"/>
      <c r="Q230" s="3913">
        <f>3050936*0</f>
        <v>0</v>
      </c>
      <c r="R230" s="1216"/>
      <c r="S230" s="1217"/>
      <c r="T230" s="1728"/>
      <c r="U230" s="1222" t="s">
        <v>79</v>
      </c>
      <c r="V230" s="1222"/>
      <c r="W230" s="1219"/>
      <c r="X230" s="1093" t="str">
        <f t="shared" si="27"/>
        <v>ACTIVE</v>
      </c>
      <c r="Y230" s="3349"/>
      <c r="Z230" s="1221" t="s">
        <v>5084</v>
      </c>
      <c r="AA230" s="1217"/>
      <c r="AB230" s="1728">
        <v>45974</v>
      </c>
      <c r="AC230" s="1222" t="s">
        <v>79</v>
      </c>
      <c r="AD230" s="1219" t="s">
        <v>5085</v>
      </c>
      <c r="AE230" s="1222"/>
      <c r="AF230" s="1093" t="str">
        <f t="shared" si="28"/>
        <v>ACTIVE</v>
      </c>
      <c r="AG230" s="1220">
        <v>3050936</v>
      </c>
      <c r="AH230" s="1234" t="s">
        <v>1984</v>
      </c>
      <c r="AI230" s="1728">
        <v>45981</v>
      </c>
      <c r="AJ230" s="1222" t="s">
        <v>79</v>
      </c>
      <c r="AK230" s="1219" t="s">
        <v>5178</v>
      </c>
      <c r="AL230" s="1223" t="s">
        <v>5180</v>
      </c>
      <c r="AM230" s="4512">
        <v>45981</v>
      </c>
      <c r="AN230" s="1239" t="s">
        <v>5179</v>
      </c>
      <c r="AO230" s="1226"/>
      <c r="AP230" s="1493"/>
      <c r="AQ230" s="1227"/>
      <c r="AR230" s="1728"/>
      <c r="AS230" s="1220"/>
      <c r="AT230" s="1217"/>
      <c r="AU230" s="1218"/>
      <c r="AV230" s="1220"/>
      <c r="AW230" s="1227" t="s">
        <v>5200</v>
      </c>
      <c r="AX230" s="1728">
        <v>45995</v>
      </c>
      <c r="AY230" s="1093" t="str">
        <f t="shared" si="29"/>
        <v>ACTIVE</v>
      </c>
      <c r="AZ230" s="3521">
        <v>3050936</v>
      </c>
      <c r="BA230" s="1222" t="s">
        <v>79</v>
      </c>
      <c r="BB230" s="1228"/>
      <c r="BC230" s="1229"/>
      <c r="BD230" s="1230"/>
      <c r="BF230" s="845">
        <f t="shared" ca="1" si="30"/>
        <v>0</v>
      </c>
      <c r="BG230" s="1377"/>
    </row>
    <row r="231" spans="1:59" s="686" customFormat="1" ht="41.25" customHeight="1">
      <c r="A231" s="2006">
        <f t="shared" si="31"/>
        <v>165</v>
      </c>
      <c r="B231" s="1961" t="s">
        <v>4818</v>
      </c>
      <c r="C231" s="1962" t="s">
        <v>165</v>
      </c>
      <c r="D231" s="2107" t="s">
        <v>92</v>
      </c>
      <c r="E231" s="1476"/>
      <c r="F231" s="1477"/>
      <c r="G231" s="1478"/>
      <c r="H231" s="1479" t="s">
        <v>104</v>
      </c>
      <c r="I231" s="1885" t="s">
        <v>244</v>
      </c>
      <c r="J231" s="1480" t="str">
        <f>IFERROR(VLOOKUP(I231,dropdowns!$E$45:$I$56,2,FALSE)," ")</f>
        <v>1.TB.01.003</v>
      </c>
      <c r="K231" s="1886" t="s">
        <v>244</v>
      </c>
      <c r="L231" s="1481" t="str">
        <f>IFERROR(VLOOKUP(K231,dropdowns!$G$45:$H$56,2,FALSE)," ")</f>
        <v>1.TB.01.003.01</v>
      </c>
      <c r="M231" s="1251" t="s">
        <v>3930</v>
      </c>
      <c r="N231" s="1970" t="s">
        <v>2558</v>
      </c>
      <c r="O231" s="1253" t="s">
        <v>4826</v>
      </c>
      <c r="P231" s="1982"/>
      <c r="Q231" s="3915">
        <v>0</v>
      </c>
      <c r="R231" s="3239">
        <v>55</v>
      </c>
      <c r="S231" s="1991"/>
      <c r="T231" s="1973"/>
      <c r="U231" s="1531" t="s">
        <v>125</v>
      </c>
      <c r="V231" s="1531"/>
      <c r="W231" s="1974"/>
      <c r="X231" s="1100" t="str">
        <f t="shared" si="27"/>
        <v>NOT ACTIVE</v>
      </c>
      <c r="Y231" s="3356">
        <v>0</v>
      </c>
      <c r="Z231" s="1992"/>
      <c r="AA231" s="1991"/>
      <c r="AB231" s="1973"/>
      <c r="AC231" s="1531"/>
      <c r="AD231" s="1531"/>
      <c r="AE231" s="1531"/>
      <c r="AF231" s="1100" t="str">
        <f t="shared" si="28"/>
        <v>NOT ACTIVE</v>
      </c>
      <c r="AG231" s="1530"/>
      <c r="AH231" s="3325"/>
      <c r="AI231" s="1973"/>
      <c r="AJ231" s="1531"/>
      <c r="AK231" s="1531"/>
      <c r="AL231" s="1993"/>
      <c r="AM231" s="1977"/>
      <c r="AN231" s="3326"/>
      <c r="AO231" s="1979"/>
      <c r="AP231" s="1994"/>
      <c r="AQ231" s="1995"/>
      <c r="AR231" s="1973"/>
      <c r="AS231" s="1530"/>
      <c r="AT231" s="1991"/>
      <c r="AU231" s="1252"/>
      <c r="AV231" s="1530"/>
      <c r="AW231" s="1991"/>
      <c r="AX231" s="1973"/>
      <c r="AY231" s="1100" t="str">
        <f t="shared" si="29"/>
        <v>NOT ACTIVE</v>
      </c>
      <c r="AZ231" s="3327"/>
      <c r="BA231" s="1531"/>
      <c r="BB231" s="1532"/>
      <c r="BC231" s="1533"/>
      <c r="BD231" s="1999" t="s">
        <v>4887</v>
      </c>
      <c r="BF231" s="845">
        <f t="shared" ca="1" si="30"/>
        <v>0</v>
      </c>
      <c r="BG231" s="1377"/>
    </row>
    <row r="232" spans="1:59" s="686" customFormat="1" ht="51.75" customHeight="1">
      <c r="A232" s="1168">
        <f t="shared" si="31"/>
        <v>166</v>
      </c>
      <c r="B232" s="1884" t="s">
        <v>4851</v>
      </c>
      <c r="C232" s="1474" t="s">
        <v>165</v>
      </c>
      <c r="D232" s="1475" t="s">
        <v>92</v>
      </c>
      <c r="E232" s="1476"/>
      <c r="F232" s="1477"/>
      <c r="G232" s="1478"/>
      <c r="H232" s="1479" t="s">
        <v>104</v>
      </c>
      <c r="I232" s="1885" t="s">
        <v>244</v>
      </c>
      <c r="J232" s="1480" t="str">
        <f>IFERROR(VLOOKUP(I232,dropdowns!$E$45:$I$56,2,FALSE)," ")</f>
        <v>1.TB.01.003</v>
      </c>
      <c r="K232" s="1886" t="s">
        <v>244</v>
      </c>
      <c r="L232" s="1481" t="str">
        <f>IFERROR(VLOOKUP(K232,dropdowns!$G$45:$H$56,2,FALSE)," ")</f>
        <v>1.TB.01.003.01</v>
      </c>
      <c r="M232" s="1251" t="s">
        <v>3930</v>
      </c>
      <c r="N232" s="1482" t="s">
        <v>2558</v>
      </c>
      <c r="O232" s="1231" t="s">
        <v>4857</v>
      </c>
      <c r="P232" s="1224"/>
      <c r="Q232" s="3913">
        <f>232000*0</f>
        <v>0</v>
      </c>
      <c r="R232" s="4482"/>
      <c r="S232" s="1217"/>
      <c r="T232" s="1728"/>
      <c r="U232" s="1222" t="s">
        <v>79</v>
      </c>
      <c r="V232" s="1222"/>
      <c r="W232" s="1219"/>
      <c r="X232" s="1093" t="str">
        <f t="shared" si="27"/>
        <v>ACTIVE</v>
      </c>
      <c r="Y232" s="3349"/>
      <c r="Z232" s="1221" t="s">
        <v>3079</v>
      </c>
      <c r="AA232" s="1217"/>
      <c r="AB232" s="1728">
        <v>45985</v>
      </c>
      <c r="AC232" s="1222" t="s">
        <v>79</v>
      </c>
      <c r="AD232" s="1219" t="s">
        <v>5172</v>
      </c>
      <c r="AE232" s="1222"/>
      <c r="AF232" s="1093" t="str">
        <f t="shared" si="28"/>
        <v>ACTIVE</v>
      </c>
      <c r="AG232" s="1220">
        <v>234288.38</v>
      </c>
      <c r="AH232" s="1234" t="s">
        <v>4867</v>
      </c>
      <c r="AI232" s="1728">
        <v>45992</v>
      </c>
      <c r="AJ232" s="1222" t="s">
        <v>79</v>
      </c>
      <c r="AK232" s="1219" t="s">
        <v>5201</v>
      </c>
      <c r="AL232" s="1223" t="s">
        <v>4867</v>
      </c>
      <c r="AM232" s="1735">
        <v>45995</v>
      </c>
      <c r="AN232" s="1239" t="s">
        <v>5206</v>
      </c>
      <c r="AO232" s="1226" t="s">
        <v>6221</v>
      </c>
      <c r="AP232" s="1493"/>
      <c r="AQ232" s="1227"/>
      <c r="AR232" s="1728"/>
      <c r="AS232" s="1220"/>
      <c r="AT232" s="1217"/>
      <c r="AU232" s="1218"/>
      <c r="AV232" s="1220"/>
      <c r="AW232" s="1227" t="s">
        <v>6267</v>
      </c>
      <c r="AX232" s="1728">
        <v>46161</v>
      </c>
      <c r="AY232" s="1093" t="str">
        <f t="shared" si="29"/>
        <v>ACTIVE</v>
      </c>
      <c r="AZ232" s="3521">
        <v>201886.12</v>
      </c>
      <c r="BA232" s="1222" t="s">
        <v>79</v>
      </c>
      <c r="BB232" s="1228"/>
      <c r="BC232" s="1229"/>
      <c r="BD232" s="1230" t="s">
        <v>6147</v>
      </c>
      <c r="BF232" s="845"/>
      <c r="BG232" s="1377"/>
    </row>
    <row r="233" spans="1:59" s="686" customFormat="1" ht="60.75" customHeight="1">
      <c r="A233" s="1141">
        <f t="shared" si="31"/>
        <v>167</v>
      </c>
      <c r="B233" s="1884" t="s">
        <v>4852</v>
      </c>
      <c r="C233" s="1474" t="s">
        <v>165</v>
      </c>
      <c r="D233" s="1475" t="s">
        <v>92</v>
      </c>
      <c r="E233" s="1476"/>
      <c r="F233" s="1477"/>
      <c r="G233" s="1478"/>
      <c r="H233" s="1479" t="s">
        <v>104</v>
      </c>
      <c r="I233" s="1885" t="s">
        <v>244</v>
      </c>
      <c r="J233" s="1480" t="str">
        <f>IFERROR(VLOOKUP(I233,dropdowns!$E$45:$I$56,2,FALSE)," ")</f>
        <v>1.TB.01.003</v>
      </c>
      <c r="K233" s="1886" t="s">
        <v>244</v>
      </c>
      <c r="L233" s="1481" t="str">
        <f>IFERROR(VLOOKUP(K233,dropdowns!$G$45:$H$56,2,FALSE)," ")</f>
        <v>1.TB.01.003.01</v>
      </c>
      <c r="M233" s="1251" t="s">
        <v>3930</v>
      </c>
      <c r="N233" s="1482" t="s">
        <v>2558</v>
      </c>
      <c r="O233" s="1231" t="s">
        <v>4858</v>
      </c>
      <c r="P233" s="1224"/>
      <c r="Q233" s="3913">
        <f>90000*0</f>
        <v>0</v>
      </c>
      <c r="R233" s="1216"/>
      <c r="S233" s="1217"/>
      <c r="T233" s="1728"/>
      <c r="U233" s="1222" t="s">
        <v>79</v>
      </c>
      <c r="V233" s="1222"/>
      <c r="W233" s="1219"/>
      <c r="X233" s="1093" t="str">
        <f t="shared" si="27"/>
        <v>ACTIVE</v>
      </c>
      <c r="Y233" s="3349"/>
      <c r="Z233" s="1221" t="s">
        <v>3081</v>
      </c>
      <c r="AA233" s="1217"/>
      <c r="AB233" s="1728">
        <v>45985</v>
      </c>
      <c r="AC233" s="1222" t="s">
        <v>79</v>
      </c>
      <c r="AD233" s="1219" t="s">
        <v>5171</v>
      </c>
      <c r="AE233" s="1222"/>
      <c r="AF233" s="1093" t="str">
        <f t="shared" si="28"/>
        <v>ACTIVE</v>
      </c>
      <c r="AG233" s="1220">
        <v>136268.96</v>
      </c>
      <c r="AH233" s="1234" t="s">
        <v>4894</v>
      </c>
      <c r="AI233" s="1728">
        <v>45992</v>
      </c>
      <c r="AJ233" s="1222" t="s">
        <v>79</v>
      </c>
      <c r="AK233" s="1219" t="s">
        <v>5203</v>
      </c>
      <c r="AL233" s="1223" t="s">
        <v>4894</v>
      </c>
      <c r="AM233" s="1735">
        <v>45995</v>
      </c>
      <c r="AN233" s="1239" t="s">
        <v>5205</v>
      </c>
      <c r="AO233" s="1226" t="s">
        <v>5186</v>
      </c>
      <c r="AP233" s="1493"/>
      <c r="AQ233" s="1227"/>
      <c r="AR233" s="1728"/>
      <c r="AS233" s="1220"/>
      <c r="AT233" s="1217"/>
      <c r="AU233" s="1218"/>
      <c r="AV233" s="1220"/>
      <c r="AW233" s="1227" t="s">
        <v>6268</v>
      </c>
      <c r="AX233" s="1728">
        <v>46161</v>
      </c>
      <c r="AY233" s="1093" t="str">
        <f t="shared" si="29"/>
        <v>ACTIVE</v>
      </c>
      <c r="AZ233" s="3521">
        <v>98093.01</v>
      </c>
      <c r="BA233" s="1222" t="s">
        <v>79</v>
      </c>
      <c r="BB233" s="1228"/>
      <c r="BC233" s="1229"/>
      <c r="BD233" s="1230" t="s">
        <v>6146</v>
      </c>
      <c r="BF233" s="845">
        <f t="shared" ref="BF233:BF264" ca="1" si="32">IF(BA233="PENDING",TODAY()-AM233,0)</f>
        <v>0</v>
      </c>
      <c r="BG233" s="1377"/>
    </row>
    <row r="234" spans="1:59" s="686" customFormat="1" ht="60.75" customHeight="1">
      <c r="A234" s="1141">
        <f t="shared" si="31"/>
        <v>168</v>
      </c>
      <c r="B234" s="1884" t="s">
        <v>4853</v>
      </c>
      <c r="C234" s="1474" t="s">
        <v>165</v>
      </c>
      <c r="D234" s="1475" t="s">
        <v>92</v>
      </c>
      <c r="E234" s="1476"/>
      <c r="F234" s="1477"/>
      <c r="G234" s="1478"/>
      <c r="H234" s="1479" t="s">
        <v>104</v>
      </c>
      <c r="I234" s="1885" t="s">
        <v>244</v>
      </c>
      <c r="J234" s="1480" t="str">
        <f>IFERROR(VLOOKUP(I234,dropdowns!$E$45:$I$56,2,FALSE)," ")</f>
        <v>1.TB.01.003</v>
      </c>
      <c r="K234" s="1886" t="s">
        <v>244</v>
      </c>
      <c r="L234" s="1481" t="str">
        <f>IFERROR(VLOOKUP(K234,dropdowns!$G$45:$H$56,2,FALSE)," ")</f>
        <v>1.TB.01.003.01</v>
      </c>
      <c r="M234" s="1251" t="s">
        <v>3930</v>
      </c>
      <c r="N234" s="1482" t="s">
        <v>2558</v>
      </c>
      <c r="O234" s="2000" t="s">
        <v>4859</v>
      </c>
      <c r="P234" s="5194" t="s">
        <v>5430</v>
      </c>
      <c r="Q234" s="5195">
        <v>100000</v>
      </c>
      <c r="R234" s="1103"/>
      <c r="S234" s="1109"/>
      <c r="T234" s="1729"/>
      <c r="U234" s="1097"/>
      <c r="V234" s="1097"/>
      <c r="W234" s="1105"/>
      <c r="X234" s="1093" t="str">
        <f t="shared" si="27"/>
        <v>NOT ACTIVE</v>
      </c>
      <c r="Y234" s="3351"/>
      <c r="Z234" s="1111"/>
      <c r="AA234" s="1109"/>
      <c r="AB234" s="1729"/>
      <c r="AC234" s="1097" t="s">
        <v>87</v>
      </c>
      <c r="AD234" s="1097"/>
      <c r="AE234" s="1097"/>
      <c r="AF234" s="1094" t="str">
        <f t="shared" si="28"/>
        <v>NOT ACTIVE</v>
      </c>
      <c r="AG234" s="1182"/>
      <c r="AH234" s="1101"/>
      <c r="AI234" s="1729"/>
      <c r="AJ234" s="1097"/>
      <c r="AK234" s="1097"/>
      <c r="AL234" s="1110"/>
      <c r="AM234" s="1736"/>
      <c r="AN234" s="1112"/>
      <c r="AO234" s="1113"/>
      <c r="AP234" s="1487"/>
      <c r="AQ234" s="1117"/>
      <c r="AR234" s="1729"/>
      <c r="AS234" s="1182"/>
      <c r="AT234" s="1109"/>
      <c r="AU234" s="1095"/>
      <c r="AV234" s="1182"/>
      <c r="AW234" s="1109"/>
      <c r="AX234" s="1729"/>
      <c r="AY234" s="1094" t="str">
        <f t="shared" si="29"/>
        <v>NOT ACTIVE</v>
      </c>
      <c r="AZ234" s="1186"/>
      <c r="BA234" s="1097"/>
      <c r="BB234" s="1098"/>
      <c r="BC234" s="1099"/>
      <c r="BD234" s="4408"/>
      <c r="BF234" s="845">
        <f t="shared" ca="1" si="32"/>
        <v>0</v>
      </c>
      <c r="BG234" s="1377"/>
    </row>
    <row r="235" spans="1:59" s="686" customFormat="1" ht="51.75" customHeight="1">
      <c r="A235" s="1141">
        <f t="shared" si="31"/>
        <v>169</v>
      </c>
      <c r="B235" s="1884" t="s">
        <v>4854</v>
      </c>
      <c r="C235" s="1474" t="s">
        <v>165</v>
      </c>
      <c r="D235" s="1475" t="s">
        <v>92</v>
      </c>
      <c r="E235" s="1476"/>
      <c r="F235" s="1477"/>
      <c r="G235" s="1478"/>
      <c r="H235" s="1479" t="s">
        <v>104</v>
      </c>
      <c r="I235" s="1885" t="s">
        <v>244</v>
      </c>
      <c r="J235" s="1480" t="str">
        <f>IFERROR(VLOOKUP(I235,dropdowns!$E$45:$I$56,2,FALSE)," ")</f>
        <v>1.TB.01.003</v>
      </c>
      <c r="K235" s="1886" t="s">
        <v>244</v>
      </c>
      <c r="L235" s="1481" t="str">
        <f>IFERROR(VLOOKUP(K235,dropdowns!$G$45:$H$56,2,FALSE)," ")</f>
        <v>1.TB.01.003.01</v>
      </c>
      <c r="M235" s="1251" t="s">
        <v>189</v>
      </c>
      <c r="N235" s="1482" t="s">
        <v>2043</v>
      </c>
      <c r="O235" s="1231" t="s">
        <v>4860</v>
      </c>
      <c r="P235" s="1224"/>
      <c r="Q235" s="3913">
        <v>0</v>
      </c>
      <c r="R235" s="1103"/>
      <c r="S235" s="1109"/>
      <c r="T235" s="1729"/>
      <c r="U235" s="1097"/>
      <c r="V235" s="1097"/>
      <c r="W235" s="1105"/>
      <c r="X235" s="1093" t="str">
        <f t="shared" si="27"/>
        <v>NOT ACTIVE</v>
      </c>
      <c r="Y235" s="3351"/>
      <c r="Z235" s="1111"/>
      <c r="AA235" s="1109"/>
      <c r="AB235" s="1729"/>
      <c r="AC235" s="1097" t="s">
        <v>87</v>
      </c>
      <c r="AD235" s="1097"/>
      <c r="AE235" s="1097"/>
      <c r="AF235" s="1094" t="str">
        <f t="shared" si="28"/>
        <v>NOT ACTIVE</v>
      </c>
      <c r="AG235" s="1182"/>
      <c r="AH235" s="1101"/>
      <c r="AI235" s="1729"/>
      <c r="AJ235" s="1097" t="s">
        <v>87</v>
      </c>
      <c r="AK235" s="1097"/>
      <c r="AL235" s="1110"/>
      <c r="AM235" s="1736"/>
      <c r="AN235" s="1112"/>
      <c r="AO235" s="1113"/>
      <c r="AP235" s="1487"/>
      <c r="AQ235" s="1117"/>
      <c r="AR235" s="1729"/>
      <c r="AS235" s="1182"/>
      <c r="AT235" s="1109"/>
      <c r="AU235" s="1095"/>
      <c r="AV235" s="1182"/>
      <c r="AW235" s="1109"/>
      <c r="AX235" s="1729"/>
      <c r="AY235" s="1094" t="str">
        <f t="shared" si="29"/>
        <v>NOT ACTIVE</v>
      </c>
      <c r="AZ235" s="1186"/>
      <c r="BA235" s="1097"/>
      <c r="BB235" s="1098"/>
      <c r="BC235" s="1099"/>
      <c r="BD235" s="4408" t="s">
        <v>4886</v>
      </c>
      <c r="BF235" s="845">
        <f t="shared" ca="1" si="32"/>
        <v>0</v>
      </c>
      <c r="BG235" s="1377"/>
    </row>
    <row r="236" spans="1:59" s="686" customFormat="1" ht="49.5" customHeight="1">
      <c r="A236" s="1141">
        <f t="shared" si="31"/>
        <v>170</v>
      </c>
      <c r="B236" s="1884" t="s">
        <v>4855</v>
      </c>
      <c r="C236" s="1474" t="s">
        <v>165</v>
      </c>
      <c r="D236" s="1475" t="s">
        <v>92</v>
      </c>
      <c r="E236" s="1476"/>
      <c r="F236" s="1477"/>
      <c r="G236" s="1478"/>
      <c r="H236" s="1479" t="s">
        <v>104</v>
      </c>
      <c r="I236" s="1885" t="s">
        <v>244</v>
      </c>
      <c r="J236" s="1480" t="str">
        <f>IFERROR(VLOOKUP(I236,dropdowns!$E$45:$I$56,2,FALSE)," ")</f>
        <v>1.TB.01.003</v>
      </c>
      <c r="K236" s="1886" t="s">
        <v>244</v>
      </c>
      <c r="L236" s="1481" t="str">
        <f>IFERROR(VLOOKUP(K236,dropdowns!$G$45:$H$56,2,FALSE)," ")</f>
        <v>1.TB.01.003.01</v>
      </c>
      <c r="M236" s="1251" t="s">
        <v>2269</v>
      </c>
      <c r="N236" s="1482" t="s">
        <v>152</v>
      </c>
      <c r="O236" s="2000" t="s">
        <v>4861</v>
      </c>
      <c r="P236" s="4686"/>
      <c r="Q236" s="4687">
        <v>54000</v>
      </c>
      <c r="R236" s="1103"/>
      <c r="S236" s="1109"/>
      <c r="T236" s="1729"/>
      <c r="U236" s="1097"/>
      <c r="V236" s="1097"/>
      <c r="W236" s="1105"/>
      <c r="X236" s="1093" t="str">
        <f t="shared" si="27"/>
        <v>NOT ACTIVE</v>
      </c>
      <c r="Y236" s="3351"/>
      <c r="Z236" s="1111"/>
      <c r="AA236" s="1109"/>
      <c r="AB236" s="1729"/>
      <c r="AC236" s="1097" t="s">
        <v>87</v>
      </c>
      <c r="AD236" s="1097"/>
      <c r="AE236" s="1097"/>
      <c r="AF236" s="1094" t="str">
        <f t="shared" si="28"/>
        <v>NOT ACTIVE</v>
      </c>
      <c r="AG236" s="1182"/>
      <c r="AH236" s="1101"/>
      <c r="AI236" s="1729"/>
      <c r="AJ236" s="1097" t="s">
        <v>87</v>
      </c>
      <c r="AK236" s="1097"/>
      <c r="AL236" s="1110"/>
      <c r="AM236" s="1736"/>
      <c r="AN236" s="1112"/>
      <c r="AO236" s="1113"/>
      <c r="AP236" s="1487"/>
      <c r="AQ236" s="1117"/>
      <c r="AR236" s="1729"/>
      <c r="AS236" s="1182"/>
      <c r="AT236" s="1109"/>
      <c r="AU236" s="1095"/>
      <c r="AV236" s="1182"/>
      <c r="AW236" s="1109"/>
      <c r="AX236" s="1729"/>
      <c r="AY236" s="1094" t="str">
        <f t="shared" si="29"/>
        <v>NOT ACTIVE</v>
      </c>
      <c r="AZ236" s="1186"/>
      <c r="BA236" s="1097"/>
      <c r="BB236" s="1098"/>
      <c r="BC236" s="1099"/>
      <c r="BD236" s="4408" t="s">
        <v>4481</v>
      </c>
      <c r="BF236" s="845">
        <f t="shared" ca="1" si="32"/>
        <v>0</v>
      </c>
      <c r="BG236" s="1377"/>
    </row>
    <row r="237" spans="1:59" s="686" customFormat="1" ht="57.75" customHeight="1">
      <c r="A237" s="1524">
        <f t="shared" si="31"/>
        <v>171</v>
      </c>
      <c r="B237" s="1961" t="s">
        <v>4856</v>
      </c>
      <c r="C237" s="1962" t="s">
        <v>165</v>
      </c>
      <c r="D237" s="2107" t="s">
        <v>92</v>
      </c>
      <c r="E237" s="1964"/>
      <c r="F237" s="1965"/>
      <c r="G237" s="1966"/>
      <c r="H237" s="1987" t="s">
        <v>104</v>
      </c>
      <c r="I237" s="1968" t="s">
        <v>244</v>
      </c>
      <c r="J237" s="1922" t="str">
        <f>IFERROR(VLOOKUP(I237,dropdowns!$E$45:$I$56,2,FALSE)," ")</f>
        <v>1.TB.01.003</v>
      </c>
      <c r="K237" s="1969" t="s">
        <v>244</v>
      </c>
      <c r="L237" s="1923" t="str">
        <f>IFERROR(VLOOKUP(K237,dropdowns!$G$45:$H$56,2,FALSE)," ")</f>
        <v>1.TB.01.003.01</v>
      </c>
      <c r="M237" s="1456" t="s">
        <v>2725</v>
      </c>
      <c r="N237" s="1970" t="s">
        <v>2742</v>
      </c>
      <c r="O237" s="1253" t="s">
        <v>4862</v>
      </c>
      <c r="P237" s="1982"/>
      <c r="Q237" s="3915">
        <f>51000*0</f>
        <v>0</v>
      </c>
      <c r="R237" s="1971"/>
      <c r="S237" s="1991"/>
      <c r="T237" s="1973"/>
      <c r="U237" s="1531" t="s">
        <v>125</v>
      </c>
      <c r="V237" s="1531"/>
      <c r="W237" s="1974"/>
      <c r="X237" s="1100" t="str">
        <f t="shared" ref="X237:X268" si="33">IF(U237="APPROVED","ACTIVE",IF(U237="PENDING","ACTIVE","NOT ACTIVE"))</f>
        <v>NOT ACTIVE</v>
      </c>
      <c r="Y237" s="3356"/>
      <c r="Z237" s="1992"/>
      <c r="AA237" s="1991"/>
      <c r="AB237" s="1973"/>
      <c r="AC237" s="1531" t="s">
        <v>125</v>
      </c>
      <c r="AD237" s="1531"/>
      <c r="AE237" s="1531"/>
      <c r="AF237" s="1100" t="str">
        <f t="shared" ref="AF237:AF268" si="34">IF(AC237="APPROVED","ACTIVE","NOT ACTIVE")</f>
        <v>NOT ACTIVE</v>
      </c>
      <c r="AG237" s="1530"/>
      <c r="AH237" s="3325"/>
      <c r="AI237" s="1973"/>
      <c r="AJ237" s="1531" t="s">
        <v>125</v>
      </c>
      <c r="AK237" s="1531"/>
      <c r="AL237" s="1993"/>
      <c r="AM237" s="1977"/>
      <c r="AN237" s="3326"/>
      <c r="AO237" s="1979"/>
      <c r="AP237" s="1994"/>
      <c r="AQ237" s="1995"/>
      <c r="AR237" s="1973"/>
      <c r="AS237" s="1530"/>
      <c r="AT237" s="1991"/>
      <c r="AU237" s="1252"/>
      <c r="AV237" s="1530"/>
      <c r="AW237" s="1991"/>
      <c r="AX237" s="1973"/>
      <c r="AY237" s="1100" t="str">
        <f t="shared" ref="AY237:AY268" si="35">IF(BA237="APPROVED","ACTIVE","NOT ACTIVE")</f>
        <v>NOT ACTIVE</v>
      </c>
      <c r="AZ237" s="3327"/>
      <c r="BA237" s="1531"/>
      <c r="BB237" s="1532"/>
      <c r="BC237" s="1533"/>
      <c r="BD237" s="1999"/>
      <c r="BF237" s="845">
        <f t="shared" ca="1" si="32"/>
        <v>0</v>
      </c>
      <c r="BG237" s="1377"/>
    </row>
    <row r="238" spans="1:59" s="686" customFormat="1" ht="51.75" customHeight="1">
      <c r="A238" s="1915">
        <v>172</v>
      </c>
      <c r="B238" s="5145" t="s">
        <v>4954</v>
      </c>
      <c r="C238" s="4890" t="s">
        <v>165</v>
      </c>
      <c r="D238" s="5146" t="s">
        <v>92</v>
      </c>
      <c r="E238" s="5147"/>
      <c r="F238" s="5148"/>
      <c r="G238" s="5149"/>
      <c r="H238" s="4888" t="s">
        <v>104</v>
      </c>
      <c r="I238" s="4889" t="s">
        <v>244</v>
      </c>
      <c r="J238" s="4890" t="str">
        <f>IFERROR(VLOOKUP(I238,dropdowns!$E$45:$I$56,2,FALSE)," ")</f>
        <v>1.TB.01.003</v>
      </c>
      <c r="K238" s="4891" t="s">
        <v>244</v>
      </c>
      <c r="L238" s="4892" t="str">
        <f>IFERROR(VLOOKUP(K238,dropdowns!$G$45:$H$56,2,FALSE)," ")</f>
        <v>1.TB.01.003.01</v>
      </c>
      <c r="M238" s="4893" t="s">
        <v>3205</v>
      </c>
      <c r="N238" s="4894" t="s">
        <v>3207</v>
      </c>
      <c r="O238" s="5150" t="s">
        <v>4863</v>
      </c>
      <c r="P238" s="5151"/>
      <c r="Q238" s="4740">
        <f>4300000*0</f>
        <v>0</v>
      </c>
      <c r="R238" s="5150"/>
      <c r="S238" s="5150"/>
      <c r="T238" s="5151"/>
      <c r="U238" s="5151"/>
      <c r="V238" s="5151"/>
      <c r="W238" s="4890"/>
      <c r="X238" s="4436" t="str">
        <f t="shared" si="33"/>
        <v>NOT ACTIVE</v>
      </c>
      <c r="Y238" s="5152"/>
      <c r="Z238" s="5153"/>
      <c r="AA238" s="5150"/>
      <c r="AB238" s="5151"/>
      <c r="AC238" s="4744" t="s">
        <v>125</v>
      </c>
      <c r="AD238" s="5151"/>
      <c r="AE238" s="5151"/>
      <c r="AF238" s="4436" t="str">
        <f t="shared" si="34"/>
        <v>NOT ACTIVE</v>
      </c>
      <c r="AG238" s="5152"/>
      <c r="AH238" s="5153"/>
      <c r="AI238" s="5151"/>
      <c r="AJ238" s="4744" t="s">
        <v>125</v>
      </c>
      <c r="AK238" s="5151"/>
      <c r="AL238" s="5153"/>
      <c r="AM238" s="5154"/>
      <c r="AN238" s="5155"/>
      <c r="AO238" s="5156"/>
      <c r="AP238" s="5157"/>
      <c r="AQ238" s="5158"/>
      <c r="AR238" s="5151"/>
      <c r="AS238" s="5152"/>
      <c r="AT238" s="5150"/>
      <c r="AU238" s="5151"/>
      <c r="AV238" s="5152"/>
      <c r="AW238" s="5150"/>
      <c r="AX238" s="5151"/>
      <c r="AY238" s="4436" t="str">
        <f t="shared" si="35"/>
        <v>NOT ACTIVE</v>
      </c>
      <c r="AZ238" s="5151"/>
      <c r="BA238" s="5151"/>
      <c r="BB238" s="5159"/>
      <c r="BC238" s="5160"/>
      <c r="BD238" s="5161" t="s">
        <v>4966</v>
      </c>
      <c r="BF238" s="845">
        <f t="shared" ca="1" si="32"/>
        <v>0</v>
      </c>
      <c r="BG238" s="1377"/>
    </row>
    <row r="239" spans="1:59" s="686" customFormat="1" ht="48" customHeight="1">
      <c r="A239" s="1132">
        <f t="shared" ref="A239:A270" si="36">+A238+1</f>
        <v>173</v>
      </c>
      <c r="B239" s="3545" t="s">
        <v>4965</v>
      </c>
      <c r="C239" s="3546"/>
      <c r="D239" s="3547" t="s">
        <v>92</v>
      </c>
      <c r="E239" s="3548"/>
      <c r="F239" s="3549"/>
      <c r="G239" s="3550"/>
      <c r="H239" s="3551" t="s">
        <v>104</v>
      </c>
      <c r="I239" s="3552" t="s">
        <v>244</v>
      </c>
      <c r="J239" s="3553" t="str">
        <f>IFERROR(VLOOKUP(I239,dropdowns!$E$45:$I$56,2,FALSE)," ")</f>
        <v>1.TB.01.003</v>
      </c>
      <c r="K239" s="3554" t="s">
        <v>244</v>
      </c>
      <c r="L239" s="3555" t="str">
        <f>IFERROR(VLOOKUP(K239,dropdowns!$G$45:$H$56,2,FALSE)," ")</f>
        <v>1.TB.01.003.01</v>
      </c>
      <c r="M239" s="3556" t="s">
        <v>2725</v>
      </c>
      <c r="N239" s="3557" t="s">
        <v>2742</v>
      </c>
      <c r="O239" s="3558" t="s">
        <v>4963</v>
      </c>
      <c r="P239" s="4724"/>
      <c r="Q239" s="3920">
        <f>780000*0</f>
        <v>0</v>
      </c>
      <c r="R239" s="3566"/>
      <c r="S239" s="3567"/>
      <c r="T239" s="3561"/>
      <c r="U239" s="3562"/>
      <c r="V239" s="3562"/>
      <c r="W239" s="3563"/>
      <c r="X239" s="3559" t="str">
        <f t="shared" si="33"/>
        <v>NOT ACTIVE</v>
      </c>
      <c r="Y239" s="3568"/>
      <c r="Z239" s="3575"/>
      <c r="AA239" s="3567"/>
      <c r="AB239" s="3561"/>
      <c r="AC239" s="3562" t="s">
        <v>125</v>
      </c>
      <c r="AD239" s="5225"/>
      <c r="AE239" s="5225"/>
      <c r="AF239" s="5226" t="str">
        <f t="shared" si="34"/>
        <v>NOT ACTIVE</v>
      </c>
      <c r="AG239" s="5226"/>
      <c r="AH239" s="5227"/>
      <c r="AI239" s="5225"/>
      <c r="AJ239" s="3562"/>
      <c r="AK239" s="3562"/>
      <c r="AL239" s="3564"/>
      <c r="AM239" s="4360"/>
      <c r="AN239" s="5039"/>
      <c r="AO239" s="3570"/>
      <c r="AP239" s="3571"/>
      <c r="AQ239" s="1117"/>
      <c r="AR239" s="1729"/>
      <c r="AS239" s="1182"/>
      <c r="AT239" s="1109"/>
      <c r="AU239" s="1095"/>
      <c r="AV239" s="1182"/>
      <c r="AW239" s="3567"/>
      <c r="AX239" s="3561"/>
      <c r="AY239" s="3559" t="str">
        <f t="shared" si="35"/>
        <v>NOT ACTIVE</v>
      </c>
      <c r="AZ239" s="4392"/>
      <c r="BA239" s="3562"/>
      <c r="BB239" s="4393"/>
      <c r="BC239" s="4394"/>
      <c r="BD239" s="4395" t="s">
        <v>6702</v>
      </c>
      <c r="BF239" s="845">
        <f t="shared" ca="1" si="32"/>
        <v>0</v>
      </c>
      <c r="BG239" s="1377"/>
    </row>
    <row r="240" spans="1:59" s="686" customFormat="1" ht="60.75" customHeight="1">
      <c r="A240" s="1141">
        <f t="shared" si="36"/>
        <v>174</v>
      </c>
      <c r="B240" s="1884" t="s">
        <v>5136</v>
      </c>
      <c r="C240" s="1474" t="s">
        <v>165</v>
      </c>
      <c r="D240" s="1475" t="s">
        <v>92</v>
      </c>
      <c r="E240" s="1476"/>
      <c r="F240" s="1477"/>
      <c r="G240" s="1478"/>
      <c r="H240" s="1479" t="s">
        <v>104</v>
      </c>
      <c r="I240" s="1885" t="s">
        <v>244</v>
      </c>
      <c r="J240" s="1480" t="str">
        <f>IFERROR(VLOOKUP(I240,dropdowns!$E$45:$I$56,2,FALSE)," ")</f>
        <v>1.TB.01.003</v>
      </c>
      <c r="K240" s="1886" t="s">
        <v>244</v>
      </c>
      <c r="L240" s="1481" t="str">
        <f>IFERROR(VLOOKUP(K240,dropdowns!$G$45:$H$56,2,FALSE)," ")</f>
        <v>1.TB.01.003.01</v>
      </c>
      <c r="M240" s="1251" t="s">
        <v>3930</v>
      </c>
      <c r="N240" s="1482" t="s">
        <v>2558</v>
      </c>
      <c r="O240" s="2000" t="s">
        <v>5137</v>
      </c>
      <c r="P240" s="4686"/>
      <c r="Q240" s="4687">
        <f>+'75.7M SAB EW'!P12</f>
        <v>1936178.33</v>
      </c>
      <c r="R240" s="1103"/>
      <c r="S240" s="1109"/>
      <c r="T240" s="1729"/>
      <c r="U240" s="1097"/>
      <c r="V240" s="1097"/>
      <c r="W240" s="1105"/>
      <c r="X240" s="1093" t="str">
        <f t="shared" si="33"/>
        <v>NOT ACTIVE</v>
      </c>
      <c r="Y240" s="3351"/>
      <c r="Z240" s="1111"/>
      <c r="AA240" s="1109"/>
      <c r="AB240" s="1729"/>
      <c r="AC240" s="1097" t="s">
        <v>87</v>
      </c>
      <c r="AD240" s="1097"/>
      <c r="AE240" s="1097"/>
      <c r="AF240" s="1094" t="str">
        <f t="shared" si="34"/>
        <v>NOT ACTIVE</v>
      </c>
      <c r="AG240" s="1182"/>
      <c r="AH240" s="1101"/>
      <c r="AI240" s="1729"/>
      <c r="AJ240" s="1097"/>
      <c r="AK240" s="1097"/>
      <c r="AL240" s="1110"/>
      <c r="AM240" s="1736"/>
      <c r="AN240" s="1112"/>
      <c r="AO240" s="1113"/>
      <c r="AP240" s="1487"/>
      <c r="AQ240" s="1117"/>
      <c r="AR240" s="1729"/>
      <c r="AS240" s="1182"/>
      <c r="AT240" s="1109"/>
      <c r="AU240" s="1095"/>
      <c r="AV240" s="1182"/>
      <c r="AW240" s="1109"/>
      <c r="AX240" s="1729"/>
      <c r="AY240" s="1094" t="str">
        <f t="shared" si="35"/>
        <v>NOT ACTIVE</v>
      </c>
      <c r="AZ240" s="1186"/>
      <c r="BA240" s="1097"/>
      <c r="BB240" s="1098"/>
      <c r="BC240" s="1099"/>
      <c r="BD240" s="1108"/>
      <c r="BF240" s="845">
        <f t="shared" ca="1" si="32"/>
        <v>0</v>
      </c>
      <c r="BG240" s="1377"/>
    </row>
    <row r="241" spans="1:60" s="686" customFormat="1" ht="58.5" customHeight="1">
      <c r="A241" s="1141">
        <f t="shared" si="36"/>
        <v>175</v>
      </c>
      <c r="B241" s="1884" t="s">
        <v>5138</v>
      </c>
      <c r="C241" s="1474" t="s">
        <v>165</v>
      </c>
      <c r="D241" s="1475" t="s">
        <v>92</v>
      </c>
      <c r="E241" s="1476"/>
      <c r="F241" s="1477"/>
      <c r="G241" s="1478"/>
      <c r="H241" s="1479" t="s">
        <v>104</v>
      </c>
      <c r="I241" s="1885" t="s">
        <v>244</v>
      </c>
      <c r="J241" s="1480" t="str">
        <f>IFERROR(VLOOKUP(I241,dropdowns!$E$45:$I$56,2,FALSE)," ")</f>
        <v>1.TB.01.003</v>
      </c>
      <c r="K241" s="1886" t="s">
        <v>244</v>
      </c>
      <c r="L241" s="1481" t="str">
        <f>IFERROR(VLOOKUP(K241,dropdowns!$G$45:$H$56,2,FALSE)," ")</f>
        <v>1.TB.01.003.01</v>
      </c>
      <c r="M241" s="1251" t="s">
        <v>3930</v>
      </c>
      <c r="N241" s="1482" t="s">
        <v>2558</v>
      </c>
      <c r="O241" s="1231" t="s">
        <v>5139</v>
      </c>
      <c r="P241" s="1224"/>
      <c r="Q241" s="3913">
        <f>224934*0</f>
        <v>0</v>
      </c>
      <c r="R241" s="1216"/>
      <c r="S241" s="1217"/>
      <c r="T241" s="1728"/>
      <c r="U241" s="1222" t="s">
        <v>79</v>
      </c>
      <c r="V241" s="1222"/>
      <c r="W241" s="1219"/>
      <c r="X241" s="1093" t="str">
        <f t="shared" si="33"/>
        <v>ACTIVE</v>
      </c>
      <c r="Y241" s="3349"/>
      <c r="Z241" s="1221">
        <v>25</v>
      </c>
      <c r="AA241" s="1217"/>
      <c r="AB241" s="1728">
        <v>46027</v>
      </c>
      <c r="AC241" s="1222" t="s">
        <v>79</v>
      </c>
      <c r="AD241" s="1219" t="s">
        <v>5253</v>
      </c>
      <c r="AE241" s="1222"/>
      <c r="AF241" s="1094" t="str">
        <f t="shared" si="34"/>
        <v>ACTIVE</v>
      </c>
      <c r="AG241" s="1220">
        <v>251957</v>
      </c>
      <c r="AH241" s="3560" t="s">
        <v>4933</v>
      </c>
      <c r="AI241" s="3561">
        <v>46111</v>
      </c>
      <c r="AJ241" s="3562" t="s">
        <v>79</v>
      </c>
      <c r="AK241" s="3563" t="s">
        <v>6425</v>
      </c>
      <c r="AL241" s="3564" t="s">
        <v>4933</v>
      </c>
      <c r="AM241" s="4360">
        <v>46111</v>
      </c>
      <c r="AN241" s="3565" t="s">
        <v>6426</v>
      </c>
      <c r="AO241" s="3570" t="s">
        <v>6302</v>
      </c>
      <c r="AP241" s="3571" t="s">
        <v>663</v>
      </c>
      <c r="AQ241" s="3572"/>
      <c r="AR241" s="3561"/>
      <c r="AS241" s="3573"/>
      <c r="AT241" s="3567"/>
      <c r="AU241" s="4391"/>
      <c r="AV241" s="3573"/>
      <c r="AW241" s="3572" t="s">
        <v>6530</v>
      </c>
      <c r="AX241" s="3561"/>
      <c r="AY241" s="1094" t="str">
        <f t="shared" si="35"/>
        <v>ACTIVE</v>
      </c>
      <c r="AZ241" s="4392">
        <v>206428.35</v>
      </c>
      <c r="BA241" s="3562" t="s">
        <v>79</v>
      </c>
      <c r="BB241" s="4393"/>
      <c r="BC241" s="4394"/>
      <c r="BD241" s="4395" t="s">
        <v>6301</v>
      </c>
      <c r="BF241" s="845">
        <f t="shared" ca="1" si="32"/>
        <v>0</v>
      </c>
      <c r="BG241" s="1377"/>
    </row>
    <row r="242" spans="1:60" s="686" customFormat="1" ht="55.5" customHeight="1">
      <c r="A242" s="1141">
        <f t="shared" si="36"/>
        <v>176</v>
      </c>
      <c r="B242" s="1884" t="s">
        <v>5140</v>
      </c>
      <c r="C242" s="1474" t="s">
        <v>165</v>
      </c>
      <c r="D242" s="1475" t="s">
        <v>92</v>
      </c>
      <c r="E242" s="1476"/>
      <c r="F242" s="1477"/>
      <c r="G242" s="1478"/>
      <c r="H242" s="1479" t="s">
        <v>104</v>
      </c>
      <c r="I242" s="1885" t="s">
        <v>244</v>
      </c>
      <c r="J242" s="1480" t="str">
        <f>IFERROR(VLOOKUP(I242,dropdowns!$E$45:$I$56,2,FALSE)," ")</f>
        <v>1.TB.01.003</v>
      </c>
      <c r="K242" s="1886" t="s">
        <v>244</v>
      </c>
      <c r="L242" s="1481" t="str">
        <f>IFERROR(VLOOKUP(K242,dropdowns!$G$45:$H$56,2,FALSE)," ")</f>
        <v>1.TB.01.003.01</v>
      </c>
      <c r="M242" s="1251" t="s">
        <v>3930</v>
      </c>
      <c r="N242" s="1482" t="s">
        <v>2558</v>
      </c>
      <c r="O242" s="2000" t="s">
        <v>5139</v>
      </c>
      <c r="P242" s="4686" t="s">
        <v>5430</v>
      </c>
      <c r="Q242" s="4687">
        <v>900000</v>
      </c>
      <c r="R242" s="1103"/>
      <c r="S242" s="1109"/>
      <c r="T242" s="1729"/>
      <c r="U242" s="1097"/>
      <c r="V242" s="1097"/>
      <c r="W242" s="1105"/>
      <c r="X242" s="1093" t="str">
        <f t="shared" si="33"/>
        <v>NOT ACTIVE</v>
      </c>
      <c r="Y242" s="3351"/>
      <c r="Z242" s="1111"/>
      <c r="AA242" s="1109"/>
      <c r="AB242" s="1729"/>
      <c r="AC242" s="1097" t="s">
        <v>87</v>
      </c>
      <c r="AD242" s="1097"/>
      <c r="AE242" s="1097"/>
      <c r="AF242" s="1094" t="str">
        <f t="shared" si="34"/>
        <v>NOT ACTIVE</v>
      </c>
      <c r="AG242" s="1182"/>
      <c r="AH242" s="1101"/>
      <c r="AI242" s="1729"/>
      <c r="AJ242" s="1097"/>
      <c r="AK242" s="1097"/>
      <c r="AL242" s="1110"/>
      <c r="AM242" s="1736"/>
      <c r="AN242" s="1112"/>
      <c r="AO242" s="1113"/>
      <c r="AP242" s="1487"/>
      <c r="AQ242" s="1117"/>
      <c r="AR242" s="1729"/>
      <c r="AS242" s="1182"/>
      <c r="AT242" s="1109"/>
      <c r="AU242" s="1095"/>
      <c r="AV242" s="1182"/>
      <c r="AW242" s="1109"/>
      <c r="AX242" s="1729"/>
      <c r="AY242" s="1094" t="str">
        <f t="shared" si="35"/>
        <v>NOT ACTIVE</v>
      </c>
      <c r="AZ242" s="1186"/>
      <c r="BA242" s="1097"/>
      <c r="BB242" s="1098"/>
      <c r="BC242" s="1099"/>
      <c r="BD242" s="1108" t="s">
        <v>4481</v>
      </c>
      <c r="BF242" s="845">
        <f t="shared" ca="1" si="32"/>
        <v>0</v>
      </c>
      <c r="BG242" s="1377"/>
    </row>
    <row r="243" spans="1:60" s="686" customFormat="1" ht="45.75" customHeight="1">
      <c r="A243" s="1141">
        <f t="shared" si="36"/>
        <v>177</v>
      </c>
      <c r="B243" s="1884" t="s">
        <v>5181</v>
      </c>
      <c r="C243" s="1474" t="s">
        <v>165</v>
      </c>
      <c r="D243" s="1475" t="s">
        <v>92</v>
      </c>
      <c r="E243" s="1476"/>
      <c r="F243" s="1477"/>
      <c r="G243" s="1478"/>
      <c r="H243" s="1479" t="s">
        <v>104</v>
      </c>
      <c r="I243" s="1885" t="s">
        <v>244</v>
      </c>
      <c r="J243" s="1480" t="str">
        <f>IFERROR(VLOOKUP(I243,dropdowns!$E$45:$I$56,2,FALSE)," ")</f>
        <v>1.TB.01.003</v>
      </c>
      <c r="K243" s="1886" t="s">
        <v>244</v>
      </c>
      <c r="L243" s="1481" t="str">
        <f>IFERROR(VLOOKUP(K243,dropdowns!$G$45:$H$56,2,FALSE)," ")</f>
        <v>1.TB.01.003.01</v>
      </c>
      <c r="M243" s="1251" t="s">
        <v>3217</v>
      </c>
      <c r="N243" s="1482" t="s">
        <v>3216</v>
      </c>
      <c r="O243" s="1231" t="s">
        <v>5182</v>
      </c>
      <c r="P243" s="1224"/>
      <c r="Q243" s="3913">
        <f>40390*0</f>
        <v>0</v>
      </c>
      <c r="R243" s="1216"/>
      <c r="S243" s="1217"/>
      <c r="T243" s="1728"/>
      <c r="U243" s="1222" t="s">
        <v>79</v>
      </c>
      <c r="V243" s="1222"/>
      <c r="W243" s="1219"/>
      <c r="X243" s="1093" t="str">
        <f t="shared" si="33"/>
        <v>ACTIVE</v>
      </c>
      <c r="Y243" s="3349"/>
      <c r="Z243" s="1221" t="s">
        <v>2108</v>
      </c>
      <c r="AA243" s="1217"/>
      <c r="AB243" s="1728">
        <v>46071</v>
      </c>
      <c r="AC243" s="1219" t="s">
        <v>79</v>
      </c>
      <c r="AD243" s="1219" t="s">
        <v>5388</v>
      </c>
      <c r="AE243" s="1222"/>
      <c r="AF243" s="1093" t="str">
        <f t="shared" si="34"/>
        <v>ACTIVE</v>
      </c>
      <c r="AG243" s="1220">
        <v>40390</v>
      </c>
      <c r="AH243" s="1234" t="s">
        <v>658</v>
      </c>
      <c r="AI243" s="1728">
        <v>46081</v>
      </c>
      <c r="AJ243" s="1222" t="s">
        <v>79</v>
      </c>
      <c r="AK243" s="1219" t="s">
        <v>5444</v>
      </c>
      <c r="AL243" s="1223" t="s">
        <v>658</v>
      </c>
      <c r="AM243" s="1735">
        <v>46083</v>
      </c>
      <c r="AN243" s="1239" t="s">
        <v>5445</v>
      </c>
      <c r="AO243" s="3570" t="s">
        <v>2343</v>
      </c>
      <c r="AP243" s="3571" t="s">
        <v>663</v>
      </c>
      <c r="AQ243" s="3572"/>
      <c r="AR243" s="3561"/>
      <c r="AS243" s="3573"/>
      <c r="AT243" s="3567"/>
      <c r="AU243" s="4391"/>
      <c r="AV243" s="3573"/>
      <c r="AW243" s="3572" t="s">
        <v>6264</v>
      </c>
      <c r="AX243" s="3561">
        <v>46161</v>
      </c>
      <c r="AY243" s="3559" t="str">
        <f t="shared" si="35"/>
        <v>ACTIVE</v>
      </c>
      <c r="AZ243" s="4392">
        <v>32437.75</v>
      </c>
      <c r="BA243" s="3562" t="s">
        <v>79</v>
      </c>
      <c r="BB243" s="4393"/>
      <c r="BC243" s="4394"/>
      <c r="BD243" s="4395"/>
      <c r="BF243" s="845">
        <f t="shared" ca="1" si="32"/>
        <v>0</v>
      </c>
      <c r="BG243" s="1377"/>
      <c r="BH243" s="3592">
        <f>+AG243-AZ243</f>
        <v>7952.25</v>
      </c>
    </row>
    <row r="244" spans="1:60" s="686" customFormat="1" ht="55.5" customHeight="1">
      <c r="A244" s="4327">
        <f t="shared" si="36"/>
        <v>178</v>
      </c>
      <c r="B244" s="4328" t="s">
        <v>5183</v>
      </c>
      <c r="C244" s="4329" t="s">
        <v>165</v>
      </c>
      <c r="D244" s="4330" t="s">
        <v>92</v>
      </c>
      <c r="E244" s="4331"/>
      <c r="F244" s="4332"/>
      <c r="G244" s="4333"/>
      <c r="H244" s="4334" t="s">
        <v>104</v>
      </c>
      <c r="I244" s="4335" t="s">
        <v>244</v>
      </c>
      <c r="J244" s="4336" t="str">
        <f>IFERROR(VLOOKUP(I244,dropdowns!$E$45:$I$56,2,FALSE)," ")</f>
        <v>1.TB.01.003</v>
      </c>
      <c r="K244" s="4337" t="s">
        <v>244</v>
      </c>
      <c r="L244" s="4338" t="str">
        <f>IFERROR(VLOOKUP(K244,dropdowns!$G$45:$H$56,2,FALSE)," ")</f>
        <v>1.TB.01.003.01</v>
      </c>
      <c r="M244" s="4339" t="s">
        <v>5183</v>
      </c>
      <c r="N244" s="4340" t="s">
        <v>152</v>
      </c>
      <c r="O244" s="4341" t="s">
        <v>5184</v>
      </c>
      <c r="P244" s="4342"/>
      <c r="Q244" s="4343">
        <f>9013194.93190389*0</f>
        <v>0</v>
      </c>
      <c r="R244" s="1103"/>
      <c r="S244" s="1109"/>
      <c r="T244" s="1729"/>
      <c r="U244" s="1097"/>
      <c r="V244" s="1097"/>
      <c r="W244" s="1105"/>
      <c r="X244" s="1093" t="str">
        <f t="shared" si="33"/>
        <v>NOT ACTIVE</v>
      </c>
      <c r="Y244" s="3351"/>
      <c r="Z244" s="1111"/>
      <c r="AA244" s="1109"/>
      <c r="AB244" s="1729"/>
      <c r="AC244" s="1097" t="s">
        <v>87</v>
      </c>
      <c r="AD244" s="1097"/>
      <c r="AE244" s="1097"/>
      <c r="AF244" s="1094" t="str">
        <f t="shared" si="34"/>
        <v>NOT ACTIVE</v>
      </c>
      <c r="AG244" s="1182"/>
      <c r="AH244" s="1101"/>
      <c r="AI244" s="1729"/>
      <c r="AJ244" s="1097"/>
      <c r="AK244" s="1097"/>
      <c r="AL244" s="1110"/>
      <c r="AM244" s="1736"/>
      <c r="AN244" s="1112"/>
      <c r="AO244" s="1113"/>
      <c r="AP244" s="1487"/>
      <c r="AQ244" s="1117"/>
      <c r="AR244" s="1729"/>
      <c r="AS244" s="1182"/>
      <c r="AT244" s="1109"/>
      <c r="AU244" s="1095"/>
      <c r="AV244" s="1182"/>
      <c r="AW244" s="1109"/>
      <c r="AX244" s="1729"/>
      <c r="AY244" s="1094" t="str">
        <f t="shared" si="35"/>
        <v>NOT ACTIVE</v>
      </c>
      <c r="AZ244" s="1186"/>
      <c r="BA244" s="1097"/>
      <c r="BB244" s="1098"/>
      <c r="BC244" s="1099"/>
      <c r="BD244" s="4542"/>
      <c r="BF244" s="845">
        <f t="shared" ca="1" si="32"/>
        <v>0</v>
      </c>
      <c r="BG244" s="1377"/>
    </row>
    <row r="245" spans="1:60" s="686" customFormat="1" ht="44.25" customHeight="1">
      <c r="A245" s="1141">
        <f t="shared" si="36"/>
        <v>179</v>
      </c>
      <c r="B245" s="1884" t="s">
        <v>5196</v>
      </c>
      <c r="C245" s="1474" t="s">
        <v>165</v>
      </c>
      <c r="D245" s="1475" t="s">
        <v>92</v>
      </c>
      <c r="E245" s="1476"/>
      <c r="F245" s="1477"/>
      <c r="G245" s="1478"/>
      <c r="H245" s="1479" t="s">
        <v>104</v>
      </c>
      <c r="I245" s="1885" t="s">
        <v>244</v>
      </c>
      <c r="J245" s="1480" t="str">
        <f>IFERROR(VLOOKUP(I245,dropdowns!$E$45:$I$56,2,FALSE)," ")</f>
        <v>1.TB.01.003</v>
      </c>
      <c r="K245" s="1886" t="s">
        <v>244</v>
      </c>
      <c r="L245" s="1481" t="str">
        <f>IFERROR(VLOOKUP(K245,dropdowns!$G$45:$H$56,2,FALSE)," ")</f>
        <v>1.TB.01.003.01</v>
      </c>
      <c r="M245" s="1251" t="s">
        <v>2725</v>
      </c>
      <c r="N245" s="1482" t="s">
        <v>2742</v>
      </c>
      <c r="O245" s="1231" t="s">
        <v>5197</v>
      </c>
      <c r="P245" s="1224"/>
      <c r="Q245" s="3913">
        <f>325683*0</f>
        <v>0</v>
      </c>
      <c r="R245" s="1216"/>
      <c r="S245" s="1217"/>
      <c r="T245" s="1728"/>
      <c r="U245" s="1222" t="s">
        <v>79</v>
      </c>
      <c r="V245" s="1222"/>
      <c r="W245" s="1219"/>
      <c r="X245" s="1093" t="str">
        <f t="shared" si="33"/>
        <v>ACTIVE</v>
      </c>
      <c r="Y245" s="3349"/>
      <c r="Z245" s="1221" t="s">
        <v>2629</v>
      </c>
      <c r="AA245" s="1217"/>
      <c r="AB245" s="1728">
        <v>46027</v>
      </c>
      <c r="AC245" s="1222" t="s">
        <v>79</v>
      </c>
      <c r="AD245" s="1219" t="s">
        <v>5250</v>
      </c>
      <c r="AE245" s="1222"/>
      <c r="AF245" s="1094" t="str">
        <f t="shared" si="34"/>
        <v>ACTIVE</v>
      </c>
      <c r="AG245" s="1220">
        <v>325683</v>
      </c>
      <c r="AH245" s="1234" t="s">
        <v>1984</v>
      </c>
      <c r="AI245" s="1728">
        <v>46050</v>
      </c>
      <c r="AJ245" s="1222" t="s">
        <v>79</v>
      </c>
      <c r="AK245" s="1219" t="s">
        <v>5325</v>
      </c>
      <c r="AL245" s="1223" t="s">
        <v>1984</v>
      </c>
      <c r="AM245" s="1735">
        <v>46051</v>
      </c>
      <c r="AN245" s="1239" t="s">
        <v>5326</v>
      </c>
      <c r="AO245" s="3570" t="s">
        <v>700</v>
      </c>
      <c r="AP245" s="3571" t="s">
        <v>663</v>
      </c>
      <c r="AQ245" s="3572"/>
      <c r="AR245" s="3561"/>
      <c r="AS245" s="3573"/>
      <c r="AT245" s="3567"/>
      <c r="AU245" s="4391"/>
      <c r="AV245" s="3573"/>
      <c r="AW245" s="3572" t="s">
        <v>6585</v>
      </c>
      <c r="AX245" s="3561">
        <v>46237</v>
      </c>
      <c r="AY245" s="1094" t="str">
        <f t="shared" si="35"/>
        <v>ACTIVE</v>
      </c>
      <c r="AZ245" s="4392">
        <v>226153.62</v>
      </c>
      <c r="BA245" s="3562" t="s">
        <v>79</v>
      </c>
      <c r="BB245" s="4393"/>
      <c r="BC245" s="4394"/>
      <c r="BD245" s="4395" t="s">
        <v>6441</v>
      </c>
      <c r="BF245" s="845">
        <f t="shared" ca="1" si="32"/>
        <v>0</v>
      </c>
      <c r="BG245" s="1377"/>
    </row>
    <row r="246" spans="1:60" s="686" customFormat="1" ht="59.25" customHeight="1">
      <c r="A246" s="1141">
        <f t="shared" si="36"/>
        <v>180</v>
      </c>
      <c r="B246" s="1884" t="s">
        <v>5198</v>
      </c>
      <c r="C246" s="1474" t="s">
        <v>165</v>
      </c>
      <c r="D246" s="1475" t="s">
        <v>92</v>
      </c>
      <c r="E246" s="1476"/>
      <c r="F246" s="1477"/>
      <c r="G246" s="1478"/>
      <c r="H246" s="1479" t="s">
        <v>104</v>
      </c>
      <c r="I246" s="1885" t="s">
        <v>244</v>
      </c>
      <c r="J246" s="1480" t="str">
        <f>IFERROR(VLOOKUP(I246,dropdowns!$E$45:$I$56,2,FALSE)," ")</f>
        <v>1.TB.01.003</v>
      </c>
      <c r="K246" s="1886" t="s">
        <v>244</v>
      </c>
      <c r="L246" s="1481" t="str">
        <f>IFERROR(VLOOKUP(K246,dropdowns!$G$45:$H$56,2,FALSE)," ")</f>
        <v>1.TB.01.003.01</v>
      </c>
      <c r="M246" s="1251" t="s">
        <v>3930</v>
      </c>
      <c r="N246" s="1482" t="s">
        <v>2558</v>
      </c>
      <c r="O246" s="1231" t="s">
        <v>5199</v>
      </c>
      <c r="P246" s="1224" t="s">
        <v>5430</v>
      </c>
      <c r="Q246" s="3913">
        <f>-Q245</f>
        <v>0</v>
      </c>
      <c r="R246" s="1216"/>
      <c r="S246" s="1217"/>
      <c r="T246" s="1728"/>
      <c r="U246" s="1222" t="s">
        <v>79</v>
      </c>
      <c r="V246" s="1222"/>
      <c r="W246" s="1219"/>
      <c r="X246" s="1093" t="str">
        <f t="shared" si="33"/>
        <v>ACTIVE</v>
      </c>
      <c r="Y246" s="3349"/>
      <c r="Z246" s="1221" t="s">
        <v>5251</v>
      </c>
      <c r="AA246" s="1217"/>
      <c r="AB246" s="2100">
        <v>46027</v>
      </c>
      <c r="AC246" s="1222" t="s">
        <v>79</v>
      </c>
      <c r="AD246" s="2100" t="s">
        <v>5252</v>
      </c>
      <c r="AE246" s="1222"/>
      <c r="AF246" s="1094" t="str">
        <f t="shared" si="34"/>
        <v>ACTIVE</v>
      </c>
      <c r="AG246" s="1248">
        <v>-325683</v>
      </c>
      <c r="AH246" s="1234" t="s">
        <v>5254</v>
      </c>
      <c r="AI246" s="1728">
        <v>46055</v>
      </c>
      <c r="AJ246" s="1222" t="s">
        <v>79</v>
      </c>
      <c r="AK246" s="1219" t="s">
        <v>5379</v>
      </c>
      <c r="AL246" s="1223" t="s">
        <v>5254</v>
      </c>
      <c r="AM246" s="1735">
        <v>46057</v>
      </c>
      <c r="AN246" s="1239" t="s">
        <v>5380</v>
      </c>
      <c r="AO246" s="3570" t="s">
        <v>6563</v>
      </c>
      <c r="AP246" s="3571" t="s">
        <v>663</v>
      </c>
      <c r="AQ246" s="1117"/>
      <c r="AR246" s="1729"/>
      <c r="AS246" s="1182"/>
      <c r="AT246" s="1109"/>
      <c r="AU246" s="1095"/>
      <c r="AV246" s="1182"/>
      <c r="AW246" s="3572" t="s">
        <v>6684</v>
      </c>
      <c r="AX246" s="3561">
        <v>46284</v>
      </c>
      <c r="AY246" s="3559" t="str">
        <f t="shared" si="35"/>
        <v>ACTIVE</v>
      </c>
      <c r="AZ246" s="4392">
        <v>-226153.62</v>
      </c>
      <c r="BA246" s="3562" t="s">
        <v>79</v>
      </c>
      <c r="BB246" s="4393"/>
      <c r="BC246" s="4394"/>
      <c r="BD246" s="4395" t="s">
        <v>6610</v>
      </c>
      <c r="BF246" s="845">
        <f t="shared" ca="1" si="32"/>
        <v>0</v>
      </c>
      <c r="BG246" s="1377"/>
    </row>
    <row r="247" spans="1:60" s="686" customFormat="1" ht="45.95" customHeight="1">
      <c r="A247" s="1141">
        <f t="shared" si="36"/>
        <v>181</v>
      </c>
      <c r="B247" s="1884" t="s">
        <v>5216</v>
      </c>
      <c r="C247" s="1474" t="s">
        <v>165</v>
      </c>
      <c r="D247" s="1475" t="s">
        <v>92</v>
      </c>
      <c r="E247" s="1476"/>
      <c r="F247" s="1477"/>
      <c r="G247" s="1478"/>
      <c r="H247" s="1479" t="s">
        <v>104</v>
      </c>
      <c r="I247" s="1885" t="s">
        <v>244</v>
      </c>
      <c r="J247" s="1480" t="str">
        <f>IFERROR(VLOOKUP(I247,dropdowns!$E$45:$I$56,2,FALSE)," ")</f>
        <v>1.TB.01.003</v>
      </c>
      <c r="K247" s="1886" t="s">
        <v>244</v>
      </c>
      <c r="L247" s="1481" t="str">
        <f>IFERROR(VLOOKUP(K247,dropdowns!$G$45:$H$56,2,FALSE)," ")</f>
        <v>1.TB.01.003.01</v>
      </c>
      <c r="M247" s="1251" t="s">
        <v>3930</v>
      </c>
      <c r="N247" s="1482" t="s">
        <v>2558</v>
      </c>
      <c r="O247" s="1231" t="s">
        <v>5217</v>
      </c>
      <c r="P247" s="1224" t="s">
        <v>5430</v>
      </c>
      <c r="Q247" s="3913">
        <f>25000*0</f>
        <v>0</v>
      </c>
      <c r="R247" s="1216"/>
      <c r="S247" s="1217"/>
      <c r="T247" s="1728"/>
      <c r="U247" s="1222" t="s">
        <v>79</v>
      </c>
      <c r="V247" s="1219"/>
      <c r="W247" s="1219"/>
      <c r="X247" s="1093" t="str">
        <f t="shared" si="33"/>
        <v>ACTIVE</v>
      </c>
      <c r="Y247" s="3349">
        <v>25000</v>
      </c>
      <c r="Z247" s="1221" t="s">
        <v>5272</v>
      </c>
      <c r="AA247" s="1217"/>
      <c r="AB247" s="1728">
        <v>46065</v>
      </c>
      <c r="AC247" s="1222" t="s">
        <v>79</v>
      </c>
      <c r="AD247" s="1219" t="s">
        <v>5383</v>
      </c>
      <c r="AE247" s="1222"/>
      <c r="AF247" s="1093" t="str">
        <f t="shared" si="34"/>
        <v>ACTIVE</v>
      </c>
      <c r="AG247" s="1220">
        <v>25000</v>
      </c>
      <c r="AH247" s="1234" t="s">
        <v>5273</v>
      </c>
      <c r="AI247" s="1728">
        <v>46079</v>
      </c>
      <c r="AJ247" s="1222" t="s">
        <v>79</v>
      </c>
      <c r="AK247" s="1219" t="s">
        <v>5403</v>
      </c>
      <c r="AL247" s="1223" t="s">
        <v>5273</v>
      </c>
      <c r="AM247" s="1735">
        <v>46079</v>
      </c>
      <c r="AN247" s="1239" t="s">
        <v>5405</v>
      </c>
      <c r="AO247" s="3570" t="s">
        <v>5185</v>
      </c>
      <c r="AP247" s="3571" t="s">
        <v>663</v>
      </c>
      <c r="AQ247" s="3572"/>
      <c r="AR247" s="3561"/>
      <c r="AS247" s="3573"/>
      <c r="AT247" s="3567"/>
      <c r="AU247" s="4391"/>
      <c r="AV247" s="3573"/>
      <c r="AW247" s="3572" t="s">
        <v>6581</v>
      </c>
      <c r="AX247" s="3561">
        <v>46237</v>
      </c>
      <c r="AY247" s="1094" t="str">
        <f t="shared" si="35"/>
        <v>ACTIVE</v>
      </c>
      <c r="AZ247" s="4392">
        <v>12008.5</v>
      </c>
      <c r="BA247" s="3562" t="s">
        <v>79</v>
      </c>
      <c r="BB247" s="4393"/>
      <c r="BC247" s="4394"/>
      <c r="BD247" s="4395" t="s">
        <v>6428</v>
      </c>
      <c r="BF247" s="845">
        <f t="shared" ca="1" si="32"/>
        <v>0</v>
      </c>
      <c r="BG247" s="1377"/>
    </row>
    <row r="248" spans="1:60" s="686" customFormat="1" ht="42.95" customHeight="1">
      <c r="A248" s="1141">
        <f t="shared" si="36"/>
        <v>182</v>
      </c>
      <c r="B248" s="1884" t="s">
        <v>5218</v>
      </c>
      <c r="C248" s="1944" t="s">
        <v>165</v>
      </c>
      <c r="D248" s="4427" t="s">
        <v>92</v>
      </c>
      <c r="E248" s="4428"/>
      <c r="F248" s="4429"/>
      <c r="G248" s="3234"/>
      <c r="H248" s="4430" t="s">
        <v>104</v>
      </c>
      <c r="I248" s="4431" t="s">
        <v>244</v>
      </c>
      <c r="J248" s="1944" t="str">
        <f>IFERROR(VLOOKUP(I248,dropdowns!$E$45:$I$56,2,FALSE)," ")</f>
        <v>1.TB.01.003</v>
      </c>
      <c r="K248" s="4432" t="s">
        <v>244</v>
      </c>
      <c r="L248" s="4433" t="str">
        <f>IFERROR(VLOOKUP(K248,dropdowns!$G$45:$H$56,2,FALSE)," ")</f>
        <v>1.TB.01.003.01</v>
      </c>
      <c r="M248" s="4434" t="s">
        <v>3205</v>
      </c>
      <c r="N248" s="4435" t="s">
        <v>3207</v>
      </c>
      <c r="O248" s="1231" t="s">
        <v>5219</v>
      </c>
      <c r="P248" s="1224"/>
      <c r="Q248" s="3913">
        <f>-Q247</f>
        <v>0</v>
      </c>
      <c r="R248" s="1216"/>
      <c r="S248" s="1217"/>
      <c r="T248" s="1728"/>
      <c r="U248" s="1222" t="s">
        <v>79</v>
      </c>
      <c r="V248" s="1219"/>
      <c r="W248" s="1219"/>
      <c r="X248" s="1093" t="str">
        <f t="shared" si="33"/>
        <v>ACTIVE</v>
      </c>
      <c r="Y248" s="3349">
        <v>-25000</v>
      </c>
      <c r="Z248" s="1221" t="s">
        <v>5274</v>
      </c>
      <c r="AA248" s="1217"/>
      <c r="AB248" s="1728">
        <v>46065</v>
      </c>
      <c r="AC248" s="1222" t="s">
        <v>79</v>
      </c>
      <c r="AD248" s="1219" t="s">
        <v>5384</v>
      </c>
      <c r="AE248" s="1222"/>
      <c r="AF248" s="1093" t="str">
        <f t="shared" si="34"/>
        <v>ACTIVE</v>
      </c>
      <c r="AG248" s="3349">
        <v>-25000</v>
      </c>
      <c r="AH248" s="1234" t="s">
        <v>2317</v>
      </c>
      <c r="AI248" s="1728">
        <v>46079</v>
      </c>
      <c r="AJ248" s="1222" t="s">
        <v>79</v>
      </c>
      <c r="AK248" s="1219" t="s">
        <v>5404</v>
      </c>
      <c r="AL248" s="1223" t="s">
        <v>2318</v>
      </c>
      <c r="AM248" s="1735">
        <v>46079</v>
      </c>
      <c r="AN248" s="1239" t="s">
        <v>5406</v>
      </c>
      <c r="AO248" s="3570" t="s">
        <v>2515</v>
      </c>
      <c r="AP248" s="3571" t="s">
        <v>663</v>
      </c>
      <c r="AQ248" s="1117"/>
      <c r="AR248" s="1729"/>
      <c r="AS248" s="1182"/>
      <c r="AT248" s="1109"/>
      <c r="AU248" s="1095"/>
      <c r="AV248" s="1182"/>
      <c r="AW248" s="3572" t="s">
        <v>6682</v>
      </c>
      <c r="AX248" s="3561">
        <v>46284</v>
      </c>
      <c r="AY248" s="3559" t="str">
        <f t="shared" si="35"/>
        <v>ACTIVE</v>
      </c>
      <c r="AZ248" s="4392">
        <v>-12008.5</v>
      </c>
      <c r="BA248" s="3562" t="s">
        <v>79</v>
      </c>
      <c r="BB248" s="4393"/>
      <c r="BC248" s="4394"/>
      <c r="BD248" s="4395" t="s">
        <v>6613</v>
      </c>
      <c r="BF248" s="845">
        <f t="shared" ca="1" si="32"/>
        <v>0</v>
      </c>
      <c r="BG248" s="1377"/>
    </row>
    <row r="249" spans="1:60" s="686" customFormat="1" ht="38.25">
      <c r="A249" s="1141">
        <f t="shared" si="36"/>
        <v>183</v>
      </c>
      <c r="B249" s="1884" t="s">
        <v>5220</v>
      </c>
      <c r="C249" s="1474" t="s">
        <v>165</v>
      </c>
      <c r="D249" s="4427" t="s">
        <v>92</v>
      </c>
      <c r="E249" s="1476"/>
      <c r="F249" s="1477"/>
      <c r="G249" s="1478"/>
      <c r="H249" s="1479" t="s">
        <v>82</v>
      </c>
      <c r="I249" s="1885" t="s">
        <v>244</v>
      </c>
      <c r="J249" s="1480" t="str">
        <f>IFERROR(VLOOKUP(I249,dropdowns!$E$45:$I$56,2,FALSE)," ")</f>
        <v>1.TB.01.003</v>
      </c>
      <c r="K249" s="1886" t="s">
        <v>244</v>
      </c>
      <c r="L249" s="1481" t="str">
        <f>IFERROR(VLOOKUP(K249,dropdowns!$G$45:$H$56,2,FALSE)," ")</f>
        <v>1.TB.01.003.01</v>
      </c>
      <c r="M249" s="1251" t="s">
        <v>139</v>
      </c>
      <c r="N249" s="1482" t="s">
        <v>2564</v>
      </c>
      <c r="O249" s="1231" t="s">
        <v>5221</v>
      </c>
      <c r="P249" s="1224"/>
      <c r="Q249" s="3913">
        <f>75000*0</f>
        <v>0</v>
      </c>
      <c r="R249" s="1216"/>
      <c r="S249" s="1217"/>
      <c r="T249" s="1728"/>
      <c r="U249" s="1222" t="s">
        <v>79</v>
      </c>
      <c r="V249" s="1222"/>
      <c r="W249" s="1219"/>
      <c r="X249" s="1093" t="str">
        <f t="shared" si="33"/>
        <v>ACTIVE</v>
      </c>
      <c r="Y249" s="3349"/>
      <c r="Z249" s="1221" t="s">
        <v>2126</v>
      </c>
      <c r="AA249" s="1217"/>
      <c r="AB249" s="1728">
        <v>45672</v>
      </c>
      <c r="AC249" s="1222" t="s">
        <v>79</v>
      </c>
      <c r="AD249" s="1219" t="s">
        <v>5276</v>
      </c>
      <c r="AE249" s="1222"/>
      <c r="AF249" s="1094" t="str">
        <f t="shared" si="34"/>
        <v>ACTIVE</v>
      </c>
      <c r="AG249" s="1220">
        <v>75000</v>
      </c>
      <c r="AH249" s="1234" t="s">
        <v>2283</v>
      </c>
      <c r="AI249" s="1728">
        <v>46050</v>
      </c>
      <c r="AJ249" s="1222" t="s">
        <v>79</v>
      </c>
      <c r="AK249" s="1219" t="s">
        <v>5323</v>
      </c>
      <c r="AL249" s="1223" t="s">
        <v>2283</v>
      </c>
      <c r="AM249" s="1735">
        <v>46051</v>
      </c>
      <c r="AN249" s="1239" t="s">
        <v>5324</v>
      </c>
      <c r="AO249" s="1226"/>
      <c r="AP249" s="1493"/>
      <c r="AQ249" s="1227"/>
      <c r="AR249" s="1728"/>
      <c r="AS249" s="1220"/>
      <c r="AT249" s="1217"/>
      <c r="AU249" s="1218"/>
      <c r="AV249" s="1220"/>
      <c r="AW249" s="1227" t="s">
        <v>5386</v>
      </c>
      <c r="AX249" s="1728">
        <v>46071</v>
      </c>
      <c r="AY249" s="1093" t="str">
        <f t="shared" si="35"/>
        <v>ACTIVE</v>
      </c>
      <c r="AZ249" s="3521">
        <v>78720</v>
      </c>
      <c r="BA249" s="1222" t="s">
        <v>79</v>
      </c>
      <c r="BB249" s="1228"/>
      <c r="BC249" s="1229"/>
      <c r="BD249" s="1230"/>
      <c r="BF249" s="845">
        <f t="shared" ca="1" si="32"/>
        <v>0</v>
      </c>
      <c r="BG249" s="1377"/>
    </row>
    <row r="250" spans="1:60" s="686" customFormat="1" ht="51.95" customHeight="1">
      <c r="A250" s="1141">
        <f t="shared" si="36"/>
        <v>184</v>
      </c>
      <c r="B250" s="1884" t="s">
        <v>5222</v>
      </c>
      <c r="C250" s="1474" t="s">
        <v>165</v>
      </c>
      <c r="D250" s="1886" t="s">
        <v>5119</v>
      </c>
      <c r="E250" s="1476"/>
      <c r="F250" s="1477"/>
      <c r="G250" s="1478"/>
      <c r="H250" s="1479" t="s">
        <v>82</v>
      </c>
      <c r="I250" s="1885" t="s">
        <v>244</v>
      </c>
      <c r="J250" s="1480" t="str">
        <f>IFERROR(VLOOKUP(I250,dropdowns!$E$45:$I$56,2,FALSE)," ")</f>
        <v>1.TB.01.003</v>
      </c>
      <c r="K250" s="1886" t="s">
        <v>244</v>
      </c>
      <c r="L250" s="1481" t="str">
        <f>IFERROR(VLOOKUP(K250,dropdowns!$G$45:$H$56,2,FALSE)," ")</f>
        <v>1.TB.01.003.01</v>
      </c>
      <c r="M250" s="1251" t="s">
        <v>2964</v>
      </c>
      <c r="N250" s="1482" t="s">
        <v>2965</v>
      </c>
      <c r="O250" s="1231" t="s">
        <v>5223</v>
      </c>
      <c r="P250" s="1224"/>
      <c r="Q250" s="3913">
        <f>325350*0</f>
        <v>0</v>
      </c>
      <c r="R250" s="1216"/>
      <c r="S250" s="1217"/>
      <c r="T250" s="1728"/>
      <c r="U250" s="1222" t="s">
        <v>79</v>
      </c>
      <c r="V250" s="1222"/>
      <c r="W250" s="1219"/>
      <c r="X250" s="1093" t="str">
        <f t="shared" si="33"/>
        <v>ACTIVE</v>
      </c>
      <c r="Y250" s="3349"/>
      <c r="Z250" s="1221" t="s">
        <v>2629</v>
      </c>
      <c r="AA250" s="1217"/>
      <c r="AB250" s="1728">
        <v>46039</v>
      </c>
      <c r="AC250" s="1222" t="s">
        <v>79</v>
      </c>
      <c r="AD250" s="1219" t="s">
        <v>5275</v>
      </c>
      <c r="AE250" s="1222"/>
      <c r="AF250" s="1094" t="str">
        <f t="shared" si="34"/>
        <v>ACTIVE</v>
      </c>
      <c r="AG250" s="1220">
        <v>325350</v>
      </c>
      <c r="AH250" s="1234" t="s">
        <v>658</v>
      </c>
      <c r="AI250" s="1728">
        <v>46048</v>
      </c>
      <c r="AJ250" s="1222" t="s">
        <v>79</v>
      </c>
      <c r="AK250" s="1219" t="s">
        <v>5304</v>
      </c>
      <c r="AL250" s="1223" t="s">
        <v>658</v>
      </c>
      <c r="AM250" s="1735">
        <v>46051</v>
      </c>
      <c r="AN250" s="1239" t="s">
        <v>5305</v>
      </c>
      <c r="AO250" s="1226"/>
      <c r="AP250" s="1493"/>
      <c r="AQ250" s="1227"/>
      <c r="AR250" s="1728"/>
      <c r="AS250" s="1220"/>
      <c r="AT250" s="1217"/>
      <c r="AU250" s="1218"/>
      <c r="AV250" s="1220"/>
      <c r="AW250" s="1227" t="s">
        <v>5464</v>
      </c>
      <c r="AX250" s="1728">
        <v>46091</v>
      </c>
      <c r="AY250" s="1094" t="str">
        <f t="shared" si="35"/>
        <v>ACTIVE</v>
      </c>
      <c r="AZ250" s="3521">
        <v>325350</v>
      </c>
      <c r="BA250" s="1222" t="s">
        <v>79</v>
      </c>
      <c r="BB250" s="1228"/>
      <c r="BC250" s="1229"/>
      <c r="BD250" s="1230"/>
      <c r="BF250" s="845">
        <f t="shared" ca="1" si="32"/>
        <v>0</v>
      </c>
      <c r="BG250" s="1377"/>
    </row>
    <row r="251" spans="1:60" s="686" customFormat="1" ht="72" customHeight="1">
      <c r="A251" s="4545">
        <f t="shared" si="36"/>
        <v>185</v>
      </c>
      <c r="B251" s="4546" t="s">
        <v>5255</v>
      </c>
      <c r="C251" s="4547" t="s">
        <v>165</v>
      </c>
      <c r="D251" s="4548" t="s">
        <v>5117</v>
      </c>
      <c r="E251" s="4549"/>
      <c r="F251" s="4550"/>
      <c r="G251" s="4551"/>
      <c r="H251" s="4552" t="s">
        <v>104</v>
      </c>
      <c r="I251" s="4553" t="s">
        <v>244</v>
      </c>
      <c r="J251" s="4554" t="str">
        <f>IFERROR(VLOOKUP(I251,dropdowns!$E$45:$I$56,2,FALSE)," ")</f>
        <v>1.TB.01.003</v>
      </c>
      <c r="K251" s="4548" t="s">
        <v>244</v>
      </c>
      <c r="L251" s="4555" t="str">
        <f>IFERROR(VLOOKUP(K251,dropdowns!$G$45:$H$56,2,FALSE)," ")</f>
        <v>1.TB.01.003.01</v>
      </c>
      <c r="M251" s="4556" t="s">
        <v>2269</v>
      </c>
      <c r="N251" s="4557" t="s">
        <v>152</v>
      </c>
      <c r="O251" s="4558"/>
      <c r="P251" s="4559"/>
      <c r="Q251" s="4560" t="s">
        <v>5256</v>
      </c>
      <c r="R251" s="1103"/>
      <c r="S251" s="1109"/>
      <c r="T251" s="1729"/>
      <c r="U251" s="1097"/>
      <c r="V251" s="1097"/>
      <c r="W251" s="1105"/>
      <c r="X251" s="1093" t="str">
        <f t="shared" si="33"/>
        <v>NOT ACTIVE</v>
      </c>
      <c r="Y251" s="3351"/>
      <c r="Z251" s="1111"/>
      <c r="AA251" s="1109"/>
      <c r="AB251" s="1729"/>
      <c r="AC251" s="1097"/>
      <c r="AD251" s="1097"/>
      <c r="AE251" s="1097"/>
      <c r="AF251" s="1094" t="str">
        <f t="shared" si="34"/>
        <v>NOT ACTIVE</v>
      </c>
      <c r="AG251" s="1182"/>
      <c r="AH251" s="1101"/>
      <c r="AI251" s="1729"/>
      <c r="AJ251" s="1097"/>
      <c r="AK251" s="1097"/>
      <c r="AL251" s="1110"/>
      <c r="AM251" s="1736"/>
      <c r="AN251" s="1112"/>
      <c r="AO251" s="1113"/>
      <c r="AP251" s="1487"/>
      <c r="AQ251" s="1117"/>
      <c r="AR251" s="1729"/>
      <c r="AS251" s="1182"/>
      <c r="AT251" s="1109"/>
      <c r="AU251" s="1095"/>
      <c r="AV251" s="1182"/>
      <c r="AW251" s="1109"/>
      <c r="AX251" s="1729"/>
      <c r="AY251" s="1094" t="str">
        <f t="shared" si="35"/>
        <v>NOT ACTIVE</v>
      </c>
      <c r="AZ251" s="1186"/>
      <c r="BA251" s="1097"/>
      <c r="BB251" s="1098"/>
      <c r="BC251" s="1099"/>
      <c r="BD251" s="1108"/>
      <c r="BF251" s="845">
        <f t="shared" ca="1" si="32"/>
        <v>0</v>
      </c>
      <c r="BG251" s="1377"/>
    </row>
    <row r="252" spans="1:60" s="686" customFormat="1" ht="63.75" customHeight="1">
      <c r="A252" s="4545">
        <f t="shared" si="36"/>
        <v>186</v>
      </c>
      <c r="B252" s="4546" t="s">
        <v>5257</v>
      </c>
      <c r="C252" s="4547" t="s">
        <v>165</v>
      </c>
      <c r="D252" s="4548" t="s">
        <v>5117</v>
      </c>
      <c r="E252" s="4549"/>
      <c r="F252" s="4550"/>
      <c r="G252" s="4551"/>
      <c r="H252" s="4552" t="s">
        <v>104</v>
      </c>
      <c r="I252" s="4553" t="s">
        <v>244</v>
      </c>
      <c r="J252" s="4554" t="str">
        <f>IFERROR(VLOOKUP(I252,dropdowns!$E$45:$I$56,2,FALSE)," ")</f>
        <v>1.TB.01.003</v>
      </c>
      <c r="K252" s="4548" t="s">
        <v>244</v>
      </c>
      <c r="L252" s="4555" t="str">
        <f>IFERROR(VLOOKUP(K252,dropdowns!$G$45:$H$56,2,FALSE)," ")</f>
        <v>1.TB.01.003.01</v>
      </c>
      <c r="M252" s="4556" t="s">
        <v>2269</v>
      </c>
      <c r="N252" s="4557" t="s">
        <v>152</v>
      </c>
      <c r="O252" s="4558"/>
      <c r="P252" s="4559"/>
      <c r="Q252" s="4560" t="s">
        <v>5258</v>
      </c>
      <c r="R252" s="1103"/>
      <c r="S252" s="1109"/>
      <c r="T252" s="1729"/>
      <c r="U252" s="1097"/>
      <c r="V252" s="1097"/>
      <c r="W252" s="1105"/>
      <c r="X252" s="1093" t="str">
        <f t="shared" si="33"/>
        <v>NOT ACTIVE</v>
      </c>
      <c r="Y252" s="3351"/>
      <c r="Z252" s="1111"/>
      <c r="AA252" s="1109"/>
      <c r="AB252" s="1729"/>
      <c r="AC252" s="1097"/>
      <c r="AD252" s="1097"/>
      <c r="AE252" s="1097"/>
      <c r="AF252" s="1094" t="str">
        <f t="shared" si="34"/>
        <v>NOT ACTIVE</v>
      </c>
      <c r="AG252" s="1182"/>
      <c r="AH252" s="1101"/>
      <c r="AI252" s="1729"/>
      <c r="AJ252" s="1097"/>
      <c r="AK252" s="1097"/>
      <c r="AL252" s="1110"/>
      <c r="AM252" s="1736"/>
      <c r="AN252" s="1112"/>
      <c r="AO252" s="1113"/>
      <c r="AP252" s="1487"/>
      <c r="AQ252" s="1117"/>
      <c r="AR252" s="1729"/>
      <c r="AS252" s="1182"/>
      <c r="AT252" s="1109"/>
      <c r="AU252" s="1095"/>
      <c r="AV252" s="1182"/>
      <c r="AW252" s="1109"/>
      <c r="AX252" s="1729"/>
      <c r="AY252" s="1094" t="str">
        <f t="shared" si="35"/>
        <v>NOT ACTIVE</v>
      </c>
      <c r="AZ252" s="1186"/>
      <c r="BA252" s="1097"/>
      <c r="BB252" s="1098"/>
      <c r="BC252" s="1099"/>
      <c r="BD252" s="1108"/>
      <c r="BF252" s="845">
        <f t="shared" ca="1" si="32"/>
        <v>0</v>
      </c>
      <c r="BG252" s="1377"/>
    </row>
    <row r="253" spans="1:60" s="686" customFormat="1" ht="69" customHeight="1">
      <c r="A253" s="4545">
        <f t="shared" si="36"/>
        <v>187</v>
      </c>
      <c r="B253" s="4546" t="s">
        <v>5259</v>
      </c>
      <c r="C253" s="4547" t="s">
        <v>165</v>
      </c>
      <c r="D253" s="4548" t="s">
        <v>5117</v>
      </c>
      <c r="E253" s="4549"/>
      <c r="F253" s="4550"/>
      <c r="G253" s="4551"/>
      <c r="H253" s="4552" t="s">
        <v>104</v>
      </c>
      <c r="I253" s="4553" t="s">
        <v>244</v>
      </c>
      <c r="J253" s="4554" t="str">
        <f>IFERROR(VLOOKUP(I253,dropdowns!$E$45:$I$56,2,FALSE)," ")</f>
        <v>1.TB.01.003</v>
      </c>
      <c r="K253" s="4548" t="s">
        <v>244</v>
      </c>
      <c r="L253" s="4555" t="str">
        <f>IFERROR(VLOOKUP(K253,dropdowns!$G$45:$H$56,2,FALSE)," ")</f>
        <v>1.TB.01.003.01</v>
      </c>
      <c r="M253" s="4556" t="s">
        <v>2269</v>
      </c>
      <c r="N253" s="4557" t="s">
        <v>152</v>
      </c>
      <c r="O253" s="4558"/>
      <c r="P253" s="4559"/>
      <c r="Q253" s="4560" t="s">
        <v>5256</v>
      </c>
      <c r="R253" s="1103"/>
      <c r="S253" s="1109"/>
      <c r="T253" s="1729"/>
      <c r="U253" s="1097"/>
      <c r="V253" s="1097"/>
      <c r="W253" s="1105"/>
      <c r="X253" s="1093" t="str">
        <f t="shared" si="33"/>
        <v>NOT ACTIVE</v>
      </c>
      <c r="Y253" s="3351"/>
      <c r="Z253" s="1111"/>
      <c r="AA253" s="1109"/>
      <c r="AB253" s="1729"/>
      <c r="AC253" s="1097"/>
      <c r="AD253" s="1097"/>
      <c r="AE253" s="1097"/>
      <c r="AF253" s="1094" t="str">
        <f t="shared" si="34"/>
        <v>NOT ACTIVE</v>
      </c>
      <c r="AG253" s="1182"/>
      <c r="AH253" s="1101"/>
      <c r="AI253" s="1729"/>
      <c r="AJ253" s="1097"/>
      <c r="AK253" s="1097"/>
      <c r="AL253" s="1110"/>
      <c r="AM253" s="1736"/>
      <c r="AN253" s="1112"/>
      <c r="AO253" s="1113"/>
      <c r="AP253" s="1487"/>
      <c r="AQ253" s="1117"/>
      <c r="AR253" s="1729"/>
      <c r="AS253" s="1182"/>
      <c r="AT253" s="1109"/>
      <c r="AU253" s="1095"/>
      <c r="AV253" s="1182"/>
      <c r="AW253" s="1109"/>
      <c r="AX253" s="1729"/>
      <c r="AY253" s="1094" t="str">
        <f t="shared" si="35"/>
        <v>NOT ACTIVE</v>
      </c>
      <c r="AZ253" s="1186"/>
      <c r="BA253" s="1097"/>
      <c r="BB253" s="1098"/>
      <c r="BC253" s="1099"/>
      <c r="BD253" s="1108"/>
      <c r="BF253" s="845">
        <f t="shared" ca="1" si="32"/>
        <v>0</v>
      </c>
      <c r="BG253" s="1377"/>
    </row>
    <row r="254" spans="1:60" s="686" customFormat="1" ht="53.25" customHeight="1">
      <c r="A254" s="1141">
        <f t="shared" si="36"/>
        <v>188</v>
      </c>
      <c r="B254" s="1884" t="s">
        <v>5260</v>
      </c>
      <c r="C254" s="1474" t="s">
        <v>165</v>
      </c>
      <c r="D254" s="4427" t="s">
        <v>92</v>
      </c>
      <c r="E254" s="1476"/>
      <c r="F254" s="1477"/>
      <c r="G254" s="1478"/>
      <c r="H254" s="1479" t="s">
        <v>104</v>
      </c>
      <c r="I254" s="1885" t="s">
        <v>244</v>
      </c>
      <c r="J254" s="1480" t="str">
        <f>IFERROR(VLOOKUP(I254,dropdowns!$E$45:$I$56,2,FALSE)," ")</f>
        <v>1.TB.01.003</v>
      </c>
      <c r="K254" s="1886" t="s">
        <v>244</v>
      </c>
      <c r="L254" s="1481" t="str">
        <f>IFERROR(VLOOKUP(K254,dropdowns!$G$45:$H$56,2,FALSE)," ")</f>
        <v>1.TB.01.003.01</v>
      </c>
      <c r="M254" s="1251" t="s">
        <v>2269</v>
      </c>
      <c r="N254" s="1482" t="s">
        <v>152</v>
      </c>
      <c r="O254" s="2000" t="s">
        <v>5261</v>
      </c>
      <c r="P254" s="4686"/>
      <c r="Q254" s="4687">
        <v>282122.46000000002</v>
      </c>
      <c r="R254" s="1103"/>
      <c r="S254" s="1109"/>
      <c r="T254" s="1729"/>
      <c r="U254" s="1097"/>
      <c r="V254" s="1097"/>
      <c r="W254" s="1105"/>
      <c r="X254" s="1093" t="str">
        <f t="shared" si="33"/>
        <v>NOT ACTIVE</v>
      </c>
      <c r="Y254" s="3351"/>
      <c r="Z254" s="1111"/>
      <c r="AA254" s="1109"/>
      <c r="AB254" s="1729"/>
      <c r="AC254" s="1097" t="s">
        <v>87</v>
      </c>
      <c r="AD254" s="1097"/>
      <c r="AE254" s="1097"/>
      <c r="AF254" s="1094" t="str">
        <f t="shared" si="34"/>
        <v>NOT ACTIVE</v>
      </c>
      <c r="AG254" s="1182"/>
      <c r="AH254" s="1101"/>
      <c r="AI254" s="1729"/>
      <c r="AJ254" s="1097"/>
      <c r="AK254" s="1097"/>
      <c r="AL254" s="1110"/>
      <c r="AM254" s="1736"/>
      <c r="AN254" s="1112"/>
      <c r="AO254" s="1113"/>
      <c r="AP254" s="1487"/>
      <c r="AQ254" s="1117"/>
      <c r="AR254" s="1729"/>
      <c r="AS254" s="1182"/>
      <c r="AT254" s="1109"/>
      <c r="AU254" s="1095"/>
      <c r="AV254" s="1182"/>
      <c r="AW254" s="1109"/>
      <c r="AX254" s="1729"/>
      <c r="AY254" s="1094" t="str">
        <f t="shared" si="35"/>
        <v>NOT ACTIVE</v>
      </c>
      <c r="AZ254" s="1186"/>
      <c r="BA254" s="1097"/>
      <c r="BB254" s="1098"/>
      <c r="BC254" s="1099"/>
      <c r="BD254" s="1108" t="s">
        <v>4481</v>
      </c>
      <c r="BF254" s="845">
        <f t="shared" ca="1" si="32"/>
        <v>0</v>
      </c>
      <c r="BG254" s="1377"/>
    </row>
    <row r="255" spans="1:60" s="686" customFormat="1" ht="67.5" customHeight="1">
      <c r="A255" s="4545">
        <f t="shared" si="36"/>
        <v>189</v>
      </c>
      <c r="B255" s="4546" t="s">
        <v>5262</v>
      </c>
      <c r="C255" s="4547" t="s">
        <v>165</v>
      </c>
      <c r="D255" s="4548" t="s">
        <v>5117</v>
      </c>
      <c r="E255" s="4549"/>
      <c r="F255" s="4550"/>
      <c r="G255" s="4551"/>
      <c r="H255" s="4552" t="s">
        <v>104</v>
      </c>
      <c r="I255" s="4553" t="s">
        <v>244</v>
      </c>
      <c r="J255" s="4554" t="str">
        <f>IFERROR(VLOOKUP(I255,dropdowns!$E$45:$I$56,2,FALSE)," ")</f>
        <v>1.TB.01.003</v>
      </c>
      <c r="K255" s="4548" t="s">
        <v>244</v>
      </c>
      <c r="L255" s="4555" t="str">
        <f>IFERROR(VLOOKUP(K255,dropdowns!$G$45:$H$56,2,FALSE)," ")</f>
        <v>1.TB.01.003.01</v>
      </c>
      <c r="M255" s="4556" t="s">
        <v>2269</v>
      </c>
      <c r="N255" s="4557" t="s">
        <v>152</v>
      </c>
      <c r="O255" s="4558"/>
      <c r="P255" s="4559"/>
      <c r="Q255" s="4560" t="s">
        <v>5263</v>
      </c>
      <c r="R255" s="1103"/>
      <c r="S255" s="1109"/>
      <c r="T255" s="1729"/>
      <c r="U255" s="1097"/>
      <c r="V255" s="1097"/>
      <c r="W255" s="1105"/>
      <c r="X255" s="1093" t="str">
        <f t="shared" si="33"/>
        <v>NOT ACTIVE</v>
      </c>
      <c r="Y255" s="3351"/>
      <c r="Z255" s="1111"/>
      <c r="AA255" s="1109"/>
      <c r="AB255" s="1729"/>
      <c r="AC255" s="1097"/>
      <c r="AD255" s="1097"/>
      <c r="AE255" s="1097"/>
      <c r="AF255" s="1094" t="str">
        <f t="shared" si="34"/>
        <v>NOT ACTIVE</v>
      </c>
      <c r="AG255" s="1182"/>
      <c r="AH255" s="1101"/>
      <c r="AI255" s="1729"/>
      <c r="AJ255" s="1097"/>
      <c r="AK255" s="1097"/>
      <c r="AL255" s="1110"/>
      <c r="AM255" s="1736"/>
      <c r="AN255" s="1112"/>
      <c r="AO255" s="1113"/>
      <c r="AP255" s="1487"/>
      <c r="AQ255" s="1117"/>
      <c r="AR255" s="1729"/>
      <c r="AS255" s="1182"/>
      <c r="AT255" s="1109"/>
      <c r="AU255" s="1095"/>
      <c r="AV255" s="1182"/>
      <c r="AW255" s="1109"/>
      <c r="AX255" s="1729"/>
      <c r="AY255" s="1094" t="str">
        <f t="shared" si="35"/>
        <v>NOT ACTIVE</v>
      </c>
      <c r="AZ255" s="1186"/>
      <c r="BA255" s="1097"/>
      <c r="BB255" s="1098"/>
      <c r="BC255" s="1099"/>
      <c r="BD255" s="1108"/>
      <c r="BF255" s="845">
        <f t="shared" ca="1" si="32"/>
        <v>0</v>
      </c>
      <c r="BG255" s="1377"/>
    </row>
    <row r="256" spans="1:60" s="686" customFormat="1" ht="48" customHeight="1">
      <c r="A256" s="4561">
        <f t="shared" si="36"/>
        <v>190</v>
      </c>
      <c r="B256" s="4563" t="s">
        <v>5264</v>
      </c>
      <c r="C256" s="1474" t="s">
        <v>165</v>
      </c>
      <c r="D256" s="4427" t="s">
        <v>92</v>
      </c>
      <c r="E256" s="1476"/>
      <c r="F256" s="1477"/>
      <c r="G256" s="1478"/>
      <c r="H256" s="1479" t="s">
        <v>104</v>
      </c>
      <c r="I256" s="1885" t="s">
        <v>244</v>
      </c>
      <c r="J256" s="1480" t="str">
        <f>IFERROR(VLOOKUP(I256,dropdowns!$E$45:$I$56,2,FALSE)," ")</f>
        <v>1.TB.01.003</v>
      </c>
      <c r="K256" s="1886" t="s">
        <v>244</v>
      </c>
      <c r="L256" s="1481" t="str">
        <f>IFERROR(VLOOKUP(K256,dropdowns!$G$45:$H$56,2,FALSE)," ")</f>
        <v>1.TB.01.003.01</v>
      </c>
      <c r="M256" s="1251" t="s">
        <v>2269</v>
      </c>
      <c r="N256" s="1482" t="s">
        <v>152</v>
      </c>
      <c r="O256" s="1231" t="s">
        <v>5265</v>
      </c>
      <c r="P256" s="1224"/>
      <c r="Q256" s="3913">
        <f>84930*0</f>
        <v>0</v>
      </c>
      <c r="R256" s="1216"/>
      <c r="S256" s="1217"/>
      <c r="T256" s="1728"/>
      <c r="U256" s="1222" t="s">
        <v>79</v>
      </c>
      <c r="V256" s="1222"/>
      <c r="W256" s="1219"/>
      <c r="X256" s="1093" t="str">
        <f t="shared" si="33"/>
        <v>ACTIVE</v>
      </c>
      <c r="Y256" s="3349"/>
      <c r="Z256" s="1221" t="s">
        <v>5407</v>
      </c>
      <c r="AA256" s="1217"/>
      <c r="AB256" s="1728">
        <v>46080</v>
      </c>
      <c r="AC256" s="1222" t="s">
        <v>79</v>
      </c>
      <c r="AD256" s="1219" t="s">
        <v>5408</v>
      </c>
      <c r="AE256" s="1222"/>
      <c r="AF256" s="1093" t="str">
        <f t="shared" si="34"/>
        <v>ACTIVE</v>
      </c>
      <c r="AG256" s="1220">
        <v>39485</v>
      </c>
      <c r="AH256" s="3560" t="s">
        <v>6143</v>
      </c>
      <c r="AI256" s="3561">
        <v>46091</v>
      </c>
      <c r="AJ256" s="3562" t="s">
        <v>79</v>
      </c>
      <c r="AK256" s="3563" t="s">
        <v>6144</v>
      </c>
      <c r="AL256" s="3564" t="s">
        <v>6143</v>
      </c>
      <c r="AM256" s="4360">
        <v>46096</v>
      </c>
      <c r="AN256" s="3565" t="s">
        <v>6145</v>
      </c>
      <c r="AO256" s="3570" t="s">
        <v>6232</v>
      </c>
      <c r="AP256" s="3571" t="s">
        <v>663</v>
      </c>
      <c r="AQ256" s="3572"/>
      <c r="AR256" s="3561"/>
      <c r="AS256" s="3573"/>
      <c r="AT256" s="3567"/>
      <c r="AU256" s="4391"/>
      <c r="AV256" s="3573"/>
      <c r="AW256" s="3572" t="s">
        <v>6263</v>
      </c>
      <c r="AX256" s="3561">
        <v>46161</v>
      </c>
      <c r="AY256" s="3559" t="str">
        <f t="shared" si="35"/>
        <v>ACTIVE</v>
      </c>
      <c r="AZ256" s="4392">
        <v>39485</v>
      </c>
      <c r="BA256" s="3562" t="s">
        <v>79</v>
      </c>
      <c r="BB256" s="4393"/>
      <c r="BC256" s="4394"/>
      <c r="BD256" s="4395" t="s">
        <v>6142</v>
      </c>
      <c r="BF256" s="845">
        <f t="shared" ca="1" si="32"/>
        <v>0</v>
      </c>
      <c r="BG256" s="1377"/>
    </row>
    <row r="257" spans="1:60" s="686" customFormat="1" ht="65.25" customHeight="1">
      <c r="A257" s="4561">
        <f t="shared" si="36"/>
        <v>191</v>
      </c>
      <c r="B257" s="4563" t="s">
        <v>5266</v>
      </c>
      <c r="C257" s="1474" t="s">
        <v>165</v>
      </c>
      <c r="D257" s="4427" t="s">
        <v>92</v>
      </c>
      <c r="E257" s="1476"/>
      <c r="F257" s="1477"/>
      <c r="G257" s="1478"/>
      <c r="H257" s="1479" t="s">
        <v>104</v>
      </c>
      <c r="I257" s="1885" t="s">
        <v>244</v>
      </c>
      <c r="J257" s="1480" t="str">
        <f>IFERROR(VLOOKUP(I257,dropdowns!$E$45:$I$56,2,FALSE)," ")</f>
        <v>1.TB.01.003</v>
      </c>
      <c r="K257" s="1886" t="s">
        <v>244</v>
      </c>
      <c r="L257" s="1481" t="str">
        <f>IFERROR(VLOOKUP(K257,dropdowns!$G$45:$H$56,2,FALSE)," ")</f>
        <v>1.TB.01.003.01</v>
      </c>
      <c r="M257" s="1251" t="s">
        <v>2269</v>
      </c>
      <c r="N257" s="1482" t="s">
        <v>152</v>
      </c>
      <c r="O257" s="2000" t="s">
        <v>5267</v>
      </c>
      <c r="P257" s="4686"/>
      <c r="Q257" s="4687">
        <v>-233351.85</v>
      </c>
      <c r="R257" s="1103"/>
      <c r="S257" s="1109"/>
      <c r="T257" s="1729"/>
      <c r="U257" s="1097"/>
      <c r="V257" s="1097"/>
      <c r="W257" s="1105"/>
      <c r="X257" s="1093" t="str">
        <f t="shared" si="33"/>
        <v>NOT ACTIVE</v>
      </c>
      <c r="Y257" s="3351"/>
      <c r="Z257" s="1111" t="s">
        <v>5270</v>
      </c>
      <c r="AA257" s="1109"/>
      <c r="AB257" s="1729"/>
      <c r="AC257" s="1097" t="s">
        <v>87</v>
      </c>
      <c r="AD257" s="1097"/>
      <c r="AE257" s="1097"/>
      <c r="AF257" s="1094" t="str">
        <f t="shared" si="34"/>
        <v>NOT ACTIVE</v>
      </c>
      <c r="AG257" s="1182"/>
      <c r="AH257" s="1101" t="s">
        <v>5271</v>
      </c>
      <c r="AI257" s="1729"/>
      <c r="AJ257" s="1097" t="s">
        <v>87</v>
      </c>
      <c r="AK257" s="1097"/>
      <c r="AL257" s="1110"/>
      <c r="AM257" s="1736"/>
      <c r="AN257" s="1112"/>
      <c r="AO257" s="1113"/>
      <c r="AP257" s="1487"/>
      <c r="AQ257" s="1117"/>
      <c r="AR257" s="1729"/>
      <c r="AS257" s="1182"/>
      <c r="AT257" s="1109"/>
      <c r="AU257" s="1095"/>
      <c r="AV257" s="1182"/>
      <c r="AW257" s="1109"/>
      <c r="AX257" s="1729"/>
      <c r="AY257" s="1094" t="str">
        <f t="shared" si="35"/>
        <v>NOT ACTIVE</v>
      </c>
      <c r="AZ257" s="1186"/>
      <c r="BA257" s="1097"/>
      <c r="BB257" s="1098"/>
      <c r="BC257" s="1099"/>
      <c r="BD257" s="4537" t="s">
        <v>4481</v>
      </c>
      <c r="BF257" s="845">
        <f t="shared" ca="1" si="32"/>
        <v>0</v>
      </c>
      <c r="BG257" s="1377"/>
    </row>
    <row r="258" spans="1:60" s="686" customFormat="1" ht="38.25">
      <c r="A258" s="4561">
        <f t="shared" si="36"/>
        <v>192</v>
      </c>
      <c r="B258" s="4563" t="s">
        <v>5269</v>
      </c>
      <c r="C258" s="4562" t="s">
        <v>165</v>
      </c>
      <c r="D258" s="4564" t="s">
        <v>5125</v>
      </c>
      <c r="E258" s="4565"/>
      <c r="F258" s="4566"/>
      <c r="G258" s="4567"/>
      <c r="H258" s="4568" t="s">
        <v>91</v>
      </c>
      <c r="I258" s="4569" t="s">
        <v>244</v>
      </c>
      <c r="J258" s="4570" t="str">
        <f>IFERROR(VLOOKUP(I258,dropdowns!$E$45:$I$56,2,FALSE)," ")</f>
        <v>1.TB.01.003</v>
      </c>
      <c r="K258" s="4564" t="s">
        <v>244</v>
      </c>
      <c r="L258" s="4571" t="str">
        <f>IFERROR(VLOOKUP(K258,dropdowns!$G$45:$H$56,2,FALSE)," ")</f>
        <v>1.TB.01.003.01</v>
      </c>
      <c r="M258" s="4572" t="s">
        <v>189</v>
      </c>
      <c r="N258" s="4573" t="s">
        <v>2043</v>
      </c>
      <c r="O258" s="2000" t="s">
        <v>5268</v>
      </c>
      <c r="P258" s="4686"/>
      <c r="Q258" s="4687">
        <v>233351.85</v>
      </c>
      <c r="R258" s="1103"/>
      <c r="S258" s="1109"/>
      <c r="T258" s="1729"/>
      <c r="U258" s="1097"/>
      <c r="V258" s="1097"/>
      <c r="W258" s="1105"/>
      <c r="X258" s="1093" t="str">
        <f t="shared" si="33"/>
        <v>NOT ACTIVE</v>
      </c>
      <c r="Y258" s="3351"/>
      <c r="Z258" s="1111"/>
      <c r="AA258" s="1109"/>
      <c r="AB258" s="1729"/>
      <c r="AC258" s="1097" t="s">
        <v>87</v>
      </c>
      <c r="AD258" s="1097"/>
      <c r="AE258" s="1097"/>
      <c r="AF258" s="1094" t="str">
        <f t="shared" si="34"/>
        <v>NOT ACTIVE</v>
      </c>
      <c r="AG258" s="1182"/>
      <c r="AH258" s="1101"/>
      <c r="AI258" s="1729"/>
      <c r="AJ258" s="1097" t="s">
        <v>87</v>
      </c>
      <c r="AK258" s="1097"/>
      <c r="AL258" s="1110"/>
      <c r="AM258" s="1736"/>
      <c r="AN258" s="1112"/>
      <c r="AO258" s="1113"/>
      <c r="AP258" s="1487"/>
      <c r="AQ258" s="1117"/>
      <c r="AR258" s="1729"/>
      <c r="AS258" s="1182"/>
      <c r="AT258" s="1109"/>
      <c r="AU258" s="1095"/>
      <c r="AV258" s="1182"/>
      <c r="AW258" s="1109"/>
      <c r="AX258" s="1729"/>
      <c r="AY258" s="1094" t="str">
        <f t="shared" si="35"/>
        <v>NOT ACTIVE</v>
      </c>
      <c r="AZ258" s="1186"/>
      <c r="BA258" s="1097"/>
      <c r="BB258" s="1098"/>
      <c r="BC258" s="1099"/>
      <c r="BD258" s="4537" t="s">
        <v>4481</v>
      </c>
      <c r="BF258" s="845">
        <f t="shared" ca="1" si="32"/>
        <v>0</v>
      </c>
      <c r="BG258" s="1377"/>
    </row>
    <row r="259" spans="1:60" s="686" customFormat="1" ht="63.75">
      <c r="A259" s="1141">
        <f t="shared" si="36"/>
        <v>193</v>
      </c>
      <c r="B259" s="4563" t="s">
        <v>5303</v>
      </c>
      <c r="C259" s="1474" t="s">
        <v>165</v>
      </c>
      <c r="D259" s="4427" t="s">
        <v>92</v>
      </c>
      <c r="E259" s="1476"/>
      <c r="F259" s="1477"/>
      <c r="G259" s="1478"/>
      <c r="H259" s="1479" t="s">
        <v>104</v>
      </c>
      <c r="I259" s="1885" t="s">
        <v>244</v>
      </c>
      <c r="J259" s="1480" t="str">
        <f>IFERROR(VLOOKUP(I259,dropdowns!$E$45:$I$56,2,FALSE)," ")</f>
        <v>1.TB.01.003</v>
      </c>
      <c r="K259" s="1886" t="s">
        <v>244</v>
      </c>
      <c r="L259" s="1481" t="str">
        <f>IFERROR(VLOOKUP(K259,dropdowns!$G$45:$H$56,2,FALSE)," ")</f>
        <v>1.TB.01.003.01</v>
      </c>
      <c r="M259" s="1251" t="s">
        <v>2269</v>
      </c>
      <c r="N259" s="1482" t="s">
        <v>152</v>
      </c>
      <c r="O259" s="2000" t="s">
        <v>5302</v>
      </c>
      <c r="P259" s="4686"/>
      <c r="Q259" s="4687">
        <v>269447.09999999998</v>
      </c>
      <c r="R259" s="1103"/>
      <c r="S259" s="1109"/>
      <c r="T259" s="1729"/>
      <c r="U259" s="1097"/>
      <c r="V259" s="1097"/>
      <c r="W259" s="1105"/>
      <c r="X259" s="1093" t="str">
        <f t="shared" si="33"/>
        <v>NOT ACTIVE</v>
      </c>
      <c r="Y259" s="3351"/>
      <c r="Z259" s="1111">
        <v>37</v>
      </c>
      <c r="AA259" s="1109"/>
      <c r="AB259" s="1729"/>
      <c r="AC259" s="1097" t="s">
        <v>87</v>
      </c>
      <c r="AD259" s="1097"/>
      <c r="AE259" s="1097"/>
      <c r="AF259" s="1094" t="str">
        <f t="shared" si="34"/>
        <v>NOT ACTIVE</v>
      </c>
      <c r="AG259" s="1182"/>
      <c r="AH259" s="1101" t="s">
        <v>5371</v>
      </c>
      <c r="AI259" s="1729"/>
      <c r="AJ259" s="1097" t="s">
        <v>87</v>
      </c>
      <c r="AK259" s="1097"/>
      <c r="AL259" s="1110"/>
      <c r="AM259" s="1736"/>
      <c r="AN259" s="1112"/>
      <c r="AO259" s="1113"/>
      <c r="AP259" s="1487"/>
      <c r="AQ259" s="1117"/>
      <c r="AR259" s="1729"/>
      <c r="AS259" s="1182"/>
      <c r="AT259" s="1109"/>
      <c r="AU259" s="1095"/>
      <c r="AV259" s="1182"/>
      <c r="AW259" s="1109"/>
      <c r="AX259" s="1729"/>
      <c r="AY259" s="1094" t="str">
        <f t="shared" si="35"/>
        <v>NOT ACTIVE</v>
      </c>
      <c r="AZ259" s="1186"/>
      <c r="BA259" s="1097"/>
      <c r="BB259" s="1098"/>
      <c r="BC259" s="1099"/>
      <c r="BD259" s="4537" t="s">
        <v>4481</v>
      </c>
      <c r="BF259" s="845">
        <f t="shared" ca="1" si="32"/>
        <v>0</v>
      </c>
      <c r="BG259" s="1377"/>
    </row>
    <row r="260" spans="1:60" s="686" customFormat="1" ht="51">
      <c r="A260" s="1141">
        <f t="shared" si="36"/>
        <v>194</v>
      </c>
      <c r="B260" s="1884" t="s">
        <v>5306</v>
      </c>
      <c r="C260" s="1474" t="s">
        <v>165</v>
      </c>
      <c r="D260" s="4427" t="s">
        <v>92</v>
      </c>
      <c r="E260" s="1476"/>
      <c r="F260" s="1477"/>
      <c r="G260" s="1478"/>
      <c r="H260" s="1479" t="s">
        <v>104</v>
      </c>
      <c r="I260" s="1885" t="s">
        <v>244</v>
      </c>
      <c r="J260" s="1480" t="str">
        <f>IFERROR(VLOOKUP(I260,dropdowns!$E$45:$I$56,2,FALSE)," ")</f>
        <v>1.TB.01.003</v>
      </c>
      <c r="K260" s="1886" t="s">
        <v>244</v>
      </c>
      <c r="L260" s="1481" t="str">
        <f>IFERROR(VLOOKUP(K260,dropdowns!$G$45:$H$56,2,FALSE)," ")</f>
        <v>1.TB.01.003.01</v>
      </c>
      <c r="M260" s="1251" t="s">
        <v>2269</v>
      </c>
      <c r="N260" s="1482" t="s">
        <v>152</v>
      </c>
      <c r="O260" s="1231" t="s">
        <v>5307</v>
      </c>
      <c r="P260" s="1224"/>
      <c r="Q260" s="3913">
        <f>95857.63*0</f>
        <v>0</v>
      </c>
      <c r="R260" s="1216"/>
      <c r="S260" s="1217"/>
      <c r="T260" s="1728"/>
      <c r="U260" s="1222" t="s">
        <v>79</v>
      </c>
      <c r="V260" s="1222"/>
      <c r="W260" s="1219"/>
      <c r="X260" s="1093" t="str">
        <f t="shared" si="33"/>
        <v>ACTIVE</v>
      </c>
      <c r="Y260" s="3349"/>
      <c r="Z260" s="1221">
        <v>38</v>
      </c>
      <c r="AA260" s="1217"/>
      <c r="AB260" s="1728">
        <v>46080</v>
      </c>
      <c r="AC260" s="1222" t="s">
        <v>79</v>
      </c>
      <c r="AD260" s="1219" t="s">
        <v>5412</v>
      </c>
      <c r="AE260" s="1222"/>
      <c r="AF260" s="1093" t="str">
        <f t="shared" si="34"/>
        <v>ACTIVE</v>
      </c>
      <c r="AG260" s="1220">
        <v>95857.63</v>
      </c>
      <c r="AH260" s="1234" t="s">
        <v>5372</v>
      </c>
      <c r="AI260" s="1728">
        <v>46091</v>
      </c>
      <c r="AJ260" s="1222" t="s">
        <v>79</v>
      </c>
      <c r="AK260" s="1219" t="s">
        <v>5469</v>
      </c>
      <c r="AL260" s="1223" t="s">
        <v>5372</v>
      </c>
      <c r="AM260" s="1735">
        <v>46094</v>
      </c>
      <c r="AN260" s="1239" t="s">
        <v>5470</v>
      </c>
      <c r="AO260" s="3570" t="s">
        <v>6564</v>
      </c>
      <c r="AP260" s="3571" t="s">
        <v>663</v>
      </c>
      <c r="AQ260" s="3572"/>
      <c r="AR260" s="3561"/>
      <c r="AS260" s="3573"/>
      <c r="AT260" s="3567"/>
      <c r="AU260" s="4391"/>
      <c r="AV260" s="3573"/>
      <c r="AW260" s="3572" t="s">
        <v>6680</v>
      </c>
      <c r="AX260" s="3561">
        <v>46284</v>
      </c>
      <c r="AY260" s="3559" t="str">
        <f t="shared" si="35"/>
        <v>ACTIVE</v>
      </c>
      <c r="AZ260" s="4392">
        <v>95857.63</v>
      </c>
      <c r="BA260" s="3562" t="s">
        <v>79</v>
      </c>
      <c r="BB260" s="4393"/>
      <c r="BC260" s="4394"/>
      <c r="BD260" s="4395" t="s">
        <v>6609</v>
      </c>
      <c r="BF260" s="845">
        <f t="shared" ca="1" si="32"/>
        <v>0</v>
      </c>
      <c r="BG260" s="1377"/>
    </row>
    <row r="261" spans="1:60" s="686" customFormat="1" ht="48" customHeight="1">
      <c r="A261" s="1141">
        <f t="shared" si="36"/>
        <v>195</v>
      </c>
      <c r="B261" s="1884" t="s">
        <v>5308</v>
      </c>
      <c r="C261" s="1474" t="s">
        <v>165</v>
      </c>
      <c r="D261" s="4427" t="s">
        <v>92</v>
      </c>
      <c r="E261" s="1476"/>
      <c r="F261" s="1477"/>
      <c r="G261" s="1478"/>
      <c r="H261" s="1479" t="s">
        <v>104</v>
      </c>
      <c r="I261" s="1885" t="s">
        <v>244</v>
      </c>
      <c r="J261" s="1480" t="str">
        <f>IFERROR(VLOOKUP(I261,dropdowns!$E$45:$I$56,2,FALSE)," ")</f>
        <v>1.TB.01.003</v>
      </c>
      <c r="K261" s="1886" t="s">
        <v>244</v>
      </c>
      <c r="L261" s="1481" t="str">
        <f>IFERROR(VLOOKUP(K261,dropdowns!$G$45:$H$56,2,FALSE)," ")</f>
        <v>1.TB.01.003.01</v>
      </c>
      <c r="M261" s="1251" t="s">
        <v>2725</v>
      </c>
      <c r="N261" s="1482" t="s">
        <v>2742</v>
      </c>
      <c r="O261" s="1231" t="s">
        <v>5312</v>
      </c>
      <c r="P261" s="1224"/>
      <c r="Q261" s="3913">
        <f>-31245.99*0</f>
        <v>0</v>
      </c>
      <c r="R261" s="1216"/>
      <c r="S261" s="1217"/>
      <c r="T261" s="1728"/>
      <c r="U261" s="1222" t="s">
        <v>79</v>
      </c>
      <c r="V261" s="1222"/>
      <c r="W261" s="1219"/>
      <c r="X261" s="1093" t="str">
        <f t="shared" si="33"/>
        <v>ACTIVE</v>
      </c>
      <c r="Y261" s="3349"/>
      <c r="Z261" s="1221">
        <v>6</v>
      </c>
      <c r="AA261" s="1217"/>
      <c r="AB261" s="1728">
        <v>46080</v>
      </c>
      <c r="AC261" s="1222" t="s">
        <v>79</v>
      </c>
      <c r="AD261" s="1219" t="s">
        <v>5409</v>
      </c>
      <c r="AE261" s="1222"/>
      <c r="AF261" s="1093" t="str">
        <f t="shared" si="34"/>
        <v>ACTIVE</v>
      </c>
      <c r="AG261" s="1248">
        <v>-31245.99</v>
      </c>
      <c r="AH261" s="1234" t="s">
        <v>2348</v>
      </c>
      <c r="AI261" s="1728">
        <v>46091</v>
      </c>
      <c r="AJ261" s="1222" t="s">
        <v>79</v>
      </c>
      <c r="AK261" s="1219" t="s">
        <v>5467</v>
      </c>
      <c r="AL261" s="1223" t="s">
        <v>2348</v>
      </c>
      <c r="AM261" s="1735">
        <v>46094</v>
      </c>
      <c r="AN261" s="1239" t="s">
        <v>5468</v>
      </c>
      <c r="AO261" s="3570" t="s">
        <v>752</v>
      </c>
      <c r="AP261" s="3571" t="s">
        <v>663</v>
      </c>
      <c r="AQ261" s="1117"/>
      <c r="AR261" s="1729"/>
      <c r="AS261" s="1182"/>
      <c r="AT261" s="1109"/>
      <c r="AU261" s="1095"/>
      <c r="AV261" s="1182"/>
      <c r="AW261" s="3572" t="s">
        <v>6699</v>
      </c>
      <c r="AX261" s="3561">
        <v>46289</v>
      </c>
      <c r="AY261" s="3559" t="str">
        <f t="shared" si="35"/>
        <v>ACTIVE</v>
      </c>
      <c r="AZ261" s="4392">
        <v>-31245.99</v>
      </c>
      <c r="BA261" s="3562" t="s">
        <v>79</v>
      </c>
      <c r="BB261" s="4393"/>
      <c r="BC261" s="4394"/>
      <c r="BD261" s="4395" t="s">
        <v>6612</v>
      </c>
      <c r="BF261" s="845">
        <f t="shared" ca="1" si="32"/>
        <v>0</v>
      </c>
      <c r="BG261" s="1377"/>
    </row>
    <row r="262" spans="1:60" s="686" customFormat="1" ht="48" customHeight="1">
      <c r="A262" s="1141">
        <f t="shared" si="36"/>
        <v>196</v>
      </c>
      <c r="B262" s="1884" t="s">
        <v>5309</v>
      </c>
      <c r="C262" s="1474" t="s">
        <v>165</v>
      </c>
      <c r="D262" s="4427" t="s">
        <v>92</v>
      </c>
      <c r="E262" s="1476"/>
      <c r="F262" s="1477"/>
      <c r="G262" s="1478"/>
      <c r="H262" s="1479" t="s">
        <v>104</v>
      </c>
      <c r="I262" s="1885" t="s">
        <v>244</v>
      </c>
      <c r="J262" s="1480" t="str">
        <f>IFERROR(VLOOKUP(I262,dropdowns!$E$45:$I$56,2,FALSE)," ")</f>
        <v>1.TB.01.003</v>
      </c>
      <c r="K262" s="1886" t="s">
        <v>244</v>
      </c>
      <c r="L262" s="1481" t="str">
        <f>IFERROR(VLOOKUP(K262,dropdowns!$G$45:$H$56,2,FALSE)," ")</f>
        <v>1.TB.01.003.01</v>
      </c>
      <c r="M262" s="1251" t="s">
        <v>3930</v>
      </c>
      <c r="N262" s="1482" t="s">
        <v>2558</v>
      </c>
      <c r="O262" s="1231" t="s">
        <v>5313</v>
      </c>
      <c r="P262" s="1224" t="s">
        <v>5430</v>
      </c>
      <c r="Q262" s="3913">
        <f>-34198.38*0</f>
        <v>0</v>
      </c>
      <c r="R262" s="1216"/>
      <c r="S262" s="1217"/>
      <c r="T262" s="1728"/>
      <c r="U262" s="1219" t="s">
        <v>79</v>
      </c>
      <c r="V262" s="1222"/>
      <c r="W262" s="1219"/>
      <c r="X262" s="1093" t="str">
        <f t="shared" si="33"/>
        <v>ACTIVE</v>
      </c>
      <c r="Y262" s="3349"/>
      <c r="Z262" s="1221">
        <v>29</v>
      </c>
      <c r="AA262" s="1217"/>
      <c r="AB262" s="1728">
        <v>46080</v>
      </c>
      <c r="AC262" s="1222" t="s">
        <v>79</v>
      </c>
      <c r="AD262" s="1219" t="s">
        <v>5411</v>
      </c>
      <c r="AE262" s="1222"/>
      <c r="AF262" s="1093" t="str">
        <f t="shared" si="34"/>
        <v>ACTIVE</v>
      </c>
      <c r="AG262" s="1248">
        <v>-34198.379999999997</v>
      </c>
      <c r="AH262" s="1234" t="s">
        <v>5271</v>
      </c>
      <c r="AI262" s="1728">
        <v>46091</v>
      </c>
      <c r="AJ262" s="1222" t="s">
        <v>79</v>
      </c>
      <c r="AK262" s="1219" t="s">
        <v>5463</v>
      </c>
      <c r="AL262" s="1223" t="s">
        <v>5271</v>
      </c>
      <c r="AM262" s="1735">
        <v>46094</v>
      </c>
      <c r="AN262" s="1239" t="s">
        <v>5462</v>
      </c>
      <c r="AO262" s="3570" t="s">
        <v>6562</v>
      </c>
      <c r="AP262" s="3571" t="s">
        <v>663</v>
      </c>
      <c r="AQ262" s="1117"/>
      <c r="AR262" s="1729"/>
      <c r="AS262" s="1182"/>
      <c r="AT262" s="1109"/>
      <c r="AU262" s="1095"/>
      <c r="AV262" s="1182"/>
      <c r="AW262" s="3572" t="s">
        <v>6681</v>
      </c>
      <c r="AX262" s="3561">
        <v>46284</v>
      </c>
      <c r="AY262" s="3559" t="str">
        <f t="shared" si="35"/>
        <v>ACTIVE</v>
      </c>
      <c r="AZ262" s="4392">
        <v>-34198.379999999997</v>
      </c>
      <c r="BA262" s="3562" t="s">
        <v>79</v>
      </c>
      <c r="BB262" s="4393"/>
      <c r="BC262" s="4394"/>
      <c r="BD262" s="4395" t="s">
        <v>6611</v>
      </c>
      <c r="BF262" s="845">
        <f t="shared" ca="1" si="32"/>
        <v>0</v>
      </c>
      <c r="BG262" s="1377"/>
    </row>
    <row r="263" spans="1:60" s="686" customFormat="1" ht="48" customHeight="1">
      <c r="A263" s="1141">
        <f t="shared" si="36"/>
        <v>197</v>
      </c>
      <c r="B263" s="1884" t="s">
        <v>5310</v>
      </c>
      <c r="C263" s="1474" t="s">
        <v>165</v>
      </c>
      <c r="D263" s="4427" t="s">
        <v>92</v>
      </c>
      <c r="E263" s="1476"/>
      <c r="F263" s="1477"/>
      <c r="G263" s="1478"/>
      <c r="H263" s="1479" t="s">
        <v>104</v>
      </c>
      <c r="I263" s="1885" t="s">
        <v>244</v>
      </c>
      <c r="J263" s="1480" t="str">
        <f>IFERROR(VLOOKUP(I263,dropdowns!$E$45:$I$56,2,FALSE)," ")</f>
        <v>1.TB.01.003</v>
      </c>
      <c r="K263" s="1886" t="s">
        <v>244</v>
      </c>
      <c r="L263" s="1481" t="str">
        <f>IFERROR(VLOOKUP(K263,dropdowns!$G$45:$H$56,2,FALSE)," ")</f>
        <v>1.TB.01.003.01</v>
      </c>
      <c r="M263" s="1251" t="s">
        <v>3204</v>
      </c>
      <c r="N263" s="1482" t="s">
        <v>3128</v>
      </c>
      <c r="O263" s="1231" t="s">
        <v>5314</v>
      </c>
      <c r="P263" s="1224"/>
      <c r="Q263" s="3913">
        <f>-14023.79*0</f>
        <v>0</v>
      </c>
      <c r="R263" s="1216"/>
      <c r="S263" s="1217"/>
      <c r="T263" s="1728"/>
      <c r="U263" s="1222" t="s">
        <v>79</v>
      </c>
      <c r="V263" s="1222"/>
      <c r="W263" s="1219"/>
      <c r="X263" s="1093" t="str">
        <f t="shared" si="33"/>
        <v>ACTIVE</v>
      </c>
      <c r="Y263" s="3349"/>
      <c r="Z263" s="1221">
        <v>3</v>
      </c>
      <c r="AA263" s="1217"/>
      <c r="AB263" s="1728">
        <v>46080</v>
      </c>
      <c r="AC263" s="1222" t="s">
        <v>79</v>
      </c>
      <c r="AD263" s="1219" t="s">
        <v>5410</v>
      </c>
      <c r="AE263" s="1222"/>
      <c r="AF263" s="1093" t="str">
        <f t="shared" si="34"/>
        <v>ACTIVE</v>
      </c>
      <c r="AG263" s="1248">
        <v>-14023.79</v>
      </c>
      <c r="AH263" s="1234" t="s">
        <v>1994</v>
      </c>
      <c r="AI263" s="1728">
        <v>46091</v>
      </c>
      <c r="AJ263" s="1222" t="s">
        <v>79</v>
      </c>
      <c r="AK263" s="1219" t="s">
        <v>5474</v>
      </c>
      <c r="AL263" s="1223" t="s">
        <v>1994</v>
      </c>
      <c r="AM263" s="1735">
        <v>46094</v>
      </c>
      <c r="AN263" s="1239" t="s">
        <v>5473</v>
      </c>
      <c r="AO263" s="1113"/>
      <c r="AP263" s="1487"/>
      <c r="AQ263" s="1117"/>
      <c r="AR263" s="1729"/>
      <c r="AS263" s="1182"/>
      <c r="AT263" s="1109"/>
      <c r="AU263" s="1095"/>
      <c r="AV263" s="1182"/>
      <c r="AW263" s="1109"/>
      <c r="AX263" s="1729"/>
      <c r="AY263" s="1094" t="str">
        <f t="shared" si="35"/>
        <v>NOT ACTIVE</v>
      </c>
      <c r="AZ263" s="1186"/>
      <c r="BA263" s="1097" t="s">
        <v>87</v>
      </c>
      <c r="BB263" s="1098"/>
      <c r="BC263" s="1099"/>
      <c r="BD263" s="1108" t="s">
        <v>6714</v>
      </c>
      <c r="BF263" s="845">
        <f t="shared" ca="1" si="32"/>
        <v>205</v>
      </c>
      <c r="BG263" s="1377"/>
    </row>
    <row r="264" spans="1:60" s="686" customFormat="1" ht="48" customHeight="1">
      <c r="A264" s="1141">
        <f t="shared" si="36"/>
        <v>198</v>
      </c>
      <c r="B264" s="1884" t="s">
        <v>5311</v>
      </c>
      <c r="C264" s="1474" t="s">
        <v>165</v>
      </c>
      <c r="D264" s="4427" t="s">
        <v>92</v>
      </c>
      <c r="E264" s="1476"/>
      <c r="F264" s="1477"/>
      <c r="G264" s="1478"/>
      <c r="H264" s="1479" t="s">
        <v>104</v>
      </c>
      <c r="I264" s="1885" t="s">
        <v>244</v>
      </c>
      <c r="J264" s="1480" t="str">
        <f>IFERROR(VLOOKUP(I264,dropdowns!$E$45:$I$56,2,FALSE)," ")</f>
        <v>1.TB.01.003</v>
      </c>
      <c r="K264" s="1886" t="s">
        <v>244</v>
      </c>
      <c r="L264" s="1481" t="str">
        <f>IFERROR(VLOOKUP(K264,dropdowns!$G$45:$H$56,2,FALSE)," ")</f>
        <v>1.TB.01.003.01</v>
      </c>
      <c r="M264" s="1251"/>
      <c r="N264" s="1482"/>
      <c r="O264" s="2000"/>
      <c r="P264" s="5196" t="s">
        <v>5315</v>
      </c>
      <c r="Q264" s="4687">
        <v>-16389.47</v>
      </c>
      <c r="R264" s="1103"/>
      <c r="S264" s="1109"/>
      <c r="T264" s="1729"/>
      <c r="U264" s="1097"/>
      <c r="V264" s="1097"/>
      <c r="W264" s="1105"/>
      <c r="X264" s="1093" t="str">
        <f t="shared" si="33"/>
        <v>NOT ACTIVE</v>
      </c>
      <c r="Y264" s="3351"/>
      <c r="Z264" s="1111"/>
      <c r="AA264" s="1109"/>
      <c r="AB264" s="1729"/>
      <c r="AC264" s="1097"/>
      <c r="AD264" s="1097"/>
      <c r="AE264" s="1097"/>
      <c r="AF264" s="1094" t="str">
        <f t="shared" si="34"/>
        <v>NOT ACTIVE</v>
      </c>
      <c r="AG264" s="1182"/>
      <c r="AH264" s="1101"/>
      <c r="AI264" s="1729"/>
      <c r="AJ264" s="1097"/>
      <c r="AK264" s="1097"/>
      <c r="AL264" s="1110"/>
      <c r="AM264" s="1736"/>
      <c r="AN264" s="1112"/>
      <c r="AO264" s="1113"/>
      <c r="AP264" s="1487"/>
      <c r="AQ264" s="1117"/>
      <c r="AR264" s="1729"/>
      <c r="AS264" s="1182"/>
      <c r="AT264" s="1109"/>
      <c r="AU264" s="1095"/>
      <c r="AV264" s="1182"/>
      <c r="AW264" s="1109"/>
      <c r="AX264" s="1729"/>
      <c r="AY264" s="1094" t="str">
        <f t="shared" si="35"/>
        <v>NOT ACTIVE</v>
      </c>
      <c r="AZ264" s="1186"/>
      <c r="BA264" s="1097"/>
      <c r="BB264" s="1098"/>
      <c r="BC264" s="1099"/>
      <c r="BD264" s="4537"/>
      <c r="BF264" s="845">
        <f t="shared" ca="1" si="32"/>
        <v>0</v>
      </c>
      <c r="BG264" s="1377"/>
    </row>
    <row r="265" spans="1:60" s="686" customFormat="1" ht="35.25" customHeight="1">
      <c r="A265" s="1141">
        <f t="shared" si="36"/>
        <v>199</v>
      </c>
      <c r="B265" s="1884" t="s">
        <v>5316</v>
      </c>
      <c r="C265" s="1474" t="s">
        <v>165</v>
      </c>
      <c r="D265" s="4427" t="s">
        <v>92</v>
      </c>
      <c r="E265" s="1476"/>
      <c r="F265" s="1477"/>
      <c r="G265" s="1478"/>
      <c r="H265" s="1479" t="s">
        <v>104</v>
      </c>
      <c r="I265" s="1885" t="s">
        <v>244</v>
      </c>
      <c r="J265" s="1480" t="str">
        <f>IFERROR(VLOOKUP(I265,dropdowns!$E$45:$I$56,2,FALSE)," ")</f>
        <v>1.TB.01.003</v>
      </c>
      <c r="K265" s="1886" t="s">
        <v>244</v>
      </c>
      <c r="L265" s="1481" t="str">
        <f>IFERROR(VLOOKUP(K265,dropdowns!$G$45:$H$56,2,FALSE)," ")</f>
        <v>1.TB.01.003.01</v>
      </c>
      <c r="M265" s="1251" t="s">
        <v>3930</v>
      </c>
      <c r="N265" s="1482" t="s">
        <v>2558</v>
      </c>
      <c r="O265" s="1231" t="s">
        <v>5317</v>
      </c>
      <c r="P265" s="1224"/>
      <c r="Q265" s="3913">
        <f>35000*0</f>
        <v>0</v>
      </c>
      <c r="R265" s="1216"/>
      <c r="S265" s="1217"/>
      <c r="T265" s="1728"/>
      <c r="U265" s="1219" t="s">
        <v>79</v>
      </c>
      <c r="V265" s="1222"/>
      <c r="W265" s="1219"/>
      <c r="X265" s="1093" t="str">
        <f t="shared" si="33"/>
        <v>ACTIVE</v>
      </c>
      <c r="Y265" s="3349"/>
      <c r="Z265" s="1221">
        <v>30</v>
      </c>
      <c r="AA265" s="1217"/>
      <c r="AB265" s="1728">
        <v>46083</v>
      </c>
      <c r="AC265" s="1222" t="s">
        <v>79</v>
      </c>
      <c r="AD265" s="1219" t="s">
        <v>5459</v>
      </c>
      <c r="AE265" s="1222"/>
      <c r="AF265" s="1094" t="str">
        <f t="shared" si="34"/>
        <v>ACTIVE</v>
      </c>
      <c r="AG265" s="1220">
        <v>38760</v>
      </c>
      <c r="AH265" s="1234" t="s">
        <v>5370</v>
      </c>
      <c r="AI265" s="1728">
        <v>46091</v>
      </c>
      <c r="AJ265" s="1222" t="s">
        <v>79</v>
      </c>
      <c r="AK265" s="1219" t="s">
        <v>5460</v>
      </c>
      <c r="AL265" s="1223" t="s">
        <v>5370</v>
      </c>
      <c r="AM265" s="1735">
        <v>46094</v>
      </c>
      <c r="AN265" s="1239" t="s">
        <v>5461</v>
      </c>
      <c r="AO265" s="1113" t="s">
        <v>6434</v>
      </c>
      <c r="AP265" s="1487" t="s">
        <v>663</v>
      </c>
      <c r="AQ265" s="1117"/>
      <c r="AR265" s="1729"/>
      <c r="AS265" s="1182"/>
      <c r="AT265" s="1109"/>
      <c r="AU265" s="1095"/>
      <c r="AV265" s="1182"/>
      <c r="AW265" s="1117" t="s">
        <v>6436</v>
      </c>
      <c r="AX265" s="1729">
        <v>46209</v>
      </c>
      <c r="AY265" s="1094" t="str">
        <f t="shared" si="35"/>
        <v>NOT ACTIVE</v>
      </c>
      <c r="AZ265" s="1186">
        <v>27417.61</v>
      </c>
      <c r="BA265" s="1097" t="s">
        <v>87</v>
      </c>
      <c r="BB265" s="1098"/>
      <c r="BC265" s="1099"/>
      <c r="BD265" s="1108" t="s">
        <v>6435</v>
      </c>
      <c r="BF265" s="845">
        <f t="shared" ref="BF265:BF328" ca="1" si="37">IF(BA265="PENDING",TODAY()-AM265,0)</f>
        <v>205</v>
      </c>
      <c r="BG265" s="1377"/>
    </row>
    <row r="266" spans="1:60" s="686" customFormat="1" ht="114.75">
      <c r="A266" s="1141">
        <f t="shared" si="36"/>
        <v>200</v>
      </c>
      <c r="B266" s="1498" t="s">
        <v>5318</v>
      </c>
      <c r="C266" s="1474" t="s">
        <v>165</v>
      </c>
      <c r="D266" s="4427" t="s">
        <v>92</v>
      </c>
      <c r="E266" s="1476"/>
      <c r="F266" s="1477"/>
      <c r="G266" s="1478"/>
      <c r="H266" s="1479" t="s">
        <v>104</v>
      </c>
      <c r="I266" s="1885" t="s">
        <v>244</v>
      </c>
      <c r="J266" s="1480" t="str">
        <f>IFERROR(VLOOKUP(I266,dropdowns!$E$45:$I$56,2,FALSE)," ")</f>
        <v>1.TB.01.003</v>
      </c>
      <c r="K266" s="1886" t="s">
        <v>244</v>
      </c>
      <c r="L266" s="1481" t="str">
        <f>IFERROR(VLOOKUP(K266,dropdowns!$G$45:$H$56,2,FALSE)," ")</f>
        <v>1.TB.01.003.01</v>
      </c>
      <c r="M266" s="1251" t="s">
        <v>3930</v>
      </c>
      <c r="N266" s="1482" t="s">
        <v>2558</v>
      </c>
      <c r="O266" s="2000" t="s">
        <v>5313</v>
      </c>
      <c r="P266" s="4686"/>
      <c r="Q266" s="4687">
        <v>131987.45000000001</v>
      </c>
      <c r="R266" s="1103"/>
      <c r="S266" s="1109"/>
      <c r="T266" s="1729"/>
      <c r="U266" s="1097"/>
      <c r="V266" s="1097"/>
      <c r="W266" s="1105"/>
      <c r="X266" s="1093" t="str">
        <f t="shared" si="33"/>
        <v>NOT ACTIVE</v>
      </c>
      <c r="Y266" s="3351"/>
      <c r="Z266" s="1111"/>
      <c r="AA266" s="1109"/>
      <c r="AB266" s="1729"/>
      <c r="AC266" s="1097" t="s">
        <v>87</v>
      </c>
      <c r="AD266" s="1097"/>
      <c r="AE266" s="1097"/>
      <c r="AF266" s="1094" t="str">
        <f t="shared" si="34"/>
        <v>NOT ACTIVE</v>
      </c>
      <c r="AG266" s="1182"/>
      <c r="AH266" s="1101"/>
      <c r="AI266" s="1729"/>
      <c r="AJ266" s="1097" t="s">
        <v>87</v>
      </c>
      <c r="AK266" s="1097"/>
      <c r="AL266" s="1110"/>
      <c r="AM266" s="1736"/>
      <c r="AN266" s="1112"/>
      <c r="AO266" s="1113"/>
      <c r="AP266" s="1487"/>
      <c r="AQ266" s="1117"/>
      <c r="AR266" s="1729"/>
      <c r="AS266" s="1182"/>
      <c r="AT266" s="1109"/>
      <c r="AU266" s="1095"/>
      <c r="AV266" s="1182"/>
      <c r="AW266" s="1109"/>
      <c r="AX266" s="1729"/>
      <c r="AY266" s="1094" t="str">
        <f t="shared" si="35"/>
        <v>NOT ACTIVE</v>
      </c>
      <c r="AZ266" s="1186"/>
      <c r="BA266" s="1097"/>
      <c r="BB266" s="1098"/>
      <c r="BC266" s="1099"/>
      <c r="BD266" s="4655" t="s">
        <v>5431</v>
      </c>
      <c r="BF266" s="845">
        <f t="shared" ca="1" si="37"/>
        <v>0</v>
      </c>
      <c r="BG266" s="1377"/>
    </row>
    <row r="267" spans="1:60" s="686" customFormat="1" ht="51">
      <c r="A267" s="4545">
        <f t="shared" si="36"/>
        <v>201</v>
      </c>
      <c r="B267" s="4546" t="s">
        <v>5319</v>
      </c>
      <c r="C267" s="4547" t="s">
        <v>165</v>
      </c>
      <c r="D267" s="4548" t="s">
        <v>5117</v>
      </c>
      <c r="E267" s="4549"/>
      <c r="F267" s="4550"/>
      <c r="G267" s="4551"/>
      <c r="H267" s="4552" t="s">
        <v>104</v>
      </c>
      <c r="I267" s="4553" t="s">
        <v>244</v>
      </c>
      <c r="J267" s="4554" t="str">
        <f>IFERROR(VLOOKUP(I267,dropdowns!$E$45:$I$56,2,FALSE)," ")</f>
        <v>1.TB.01.003</v>
      </c>
      <c r="K267" s="4548" t="s">
        <v>244</v>
      </c>
      <c r="L267" s="4555" t="str">
        <f>IFERROR(VLOOKUP(K267,dropdowns!$G$45:$H$56,2,FALSE)," ")</f>
        <v>1.TB.01.003.01</v>
      </c>
      <c r="M267" s="4556" t="s">
        <v>2269</v>
      </c>
      <c r="N267" s="4557" t="s">
        <v>152</v>
      </c>
      <c r="O267" s="4558"/>
      <c r="P267" s="4559"/>
      <c r="Q267" s="4560" t="s">
        <v>5320</v>
      </c>
      <c r="R267" s="1103"/>
      <c r="S267" s="1109"/>
      <c r="T267" s="1729"/>
      <c r="U267" s="1097"/>
      <c r="V267" s="1097"/>
      <c r="W267" s="1105"/>
      <c r="X267" s="1093" t="str">
        <f t="shared" si="33"/>
        <v>NOT ACTIVE</v>
      </c>
      <c r="Y267" s="3351"/>
      <c r="Z267" s="1111"/>
      <c r="AA267" s="1109"/>
      <c r="AB267" s="1729"/>
      <c r="AC267" s="1097"/>
      <c r="AD267" s="1097"/>
      <c r="AE267" s="1097"/>
      <c r="AF267" s="1094" t="str">
        <f t="shared" si="34"/>
        <v>NOT ACTIVE</v>
      </c>
      <c r="AG267" s="1182"/>
      <c r="AH267" s="1101"/>
      <c r="AI267" s="1729"/>
      <c r="AJ267" s="1097"/>
      <c r="AK267" s="1097"/>
      <c r="AL267" s="1110"/>
      <c r="AM267" s="1736"/>
      <c r="AN267" s="1112"/>
      <c r="AO267" s="1113"/>
      <c r="AP267" s="1487"/>
      <c r="AQ267" s="1117"/>
      <c r="AR267" s="1729"/>
      <c r="AS267" s="1182"/>
      <c r="AT267" s="1109"/>
      <c r="AU267" s="1095"/>
      <c r="AV267" s="1182"/>
      <c r="AW267" s="1109"/>
      <c r="AX267" s="1729"/>
      <c r="AY267" s="1094" t="str">
        <f t="shared" si="35"/>
        <v>NOT ACTIVE</v>
      </c>
      <c r="AZ267" s="1186"/>
      <c r="BA267" s="1097"/>
      <c r="BB267" s="1098"/>
      <c r="BC267" s="1099"/>
      <c r="BD267" s="1108"/>
      <c r="BF267" s="845">
        <f t="shared" ca="1" si="37"/>
        <v>0</v>
      </c>
      <c r="BG267" s="1377"/>
    </row>
    <row r="268" spans="1:60" s="686" customFormat="1" ht="58.5" customHeight="1">
      <c r="A268" s="1141">
        <f t="shared" si="36"/>
        <v>202</v>
      </c>
      <c r="B268" s="1884" t="s">
        <v>5321</v>
      </c>
      <c r="C268" s="1474" t="s">
        <v>165</v>
      </c>
      <c r="D268" s="1475" t="s">
        <v>92</v>
      </c>
      <c r="E268" s="1476"/>
      <c r="F268" s="1477"/>
      <c r="G268" s="1478"/>
      <c r="H268" s="1479" t="s">
        <v>104</v>
      </c>
      <c r="I268" s="1885" t="s">
        <v>244</v>
      </c>
      <c r="J268" s="1480" t="str">
        <f>IFERROR(VLOOKUP(I268,dropdowns!$E$45:$I$56,2,FALSE)," ")</f>
        <v>1.TB.01.003</v>
      </c>
      <c r="K268" s="1886" t="s">
        <v>244</v>
      </c>
      <c r="L268" s="1481" t="str">
        <f>IFERROR(VLOOKUP(K268,dropdowns!$G$45:$H$56,2,FALSE)," ")</f>
        <v>1.TB.01.003.01</v>
      </c>
      <c r="M268" s="1251" t="s">
        <v>2237</v>
      </c>
      <c r="N268" s="1482" t="s">
        <v>155</v>
      </c>
      <c r="O268" s="1231" t="s">
        <v>5314</v>
      </c>
      <c r="P268" s="1224"/>
      <c r="Q268" s="3913">
        <f>24700*0</f>
        <v>0</v>
      </c>
      <c r="R268" s="1216"/>
      <c r="S268" s="1217"/>
      <c r="T268" s="1728"/>
      <c r="U268" s="1222" t="s">
        <v>79</v>
      </c>
      <c r="V268" s="1222"/>
      <c r="W268" s="1219"/>
      <c r="X268" s="1093" t="str">
        <f t="shared" si="33"/>
        <v>ACTIVE</v>
      </c>
      <c r="Y268" s="3349"/>
      <c r="Z268" s="1221">
        <v>2</v>
      </c>
      <c r="AA268" s="1217"/>
      <c r="AB268" s="1728">
        <v>46071</v>
      </c>
      <c r="AC268" s="1222" t="s">
        <v>79</v>
      </c>
      <c r="AD268" s="1219" t="s">
        <v>5389</v>
      </c>
      <c r="AE268" s="1222"/>
      <c r="AF268" s="1093" t="str">
        <f t="shared" si="34"/>
        <v>ACTIVE</v>
      </c>
      <c r="AG268" s="1220">
        <v>24700</v>
      </c>
      <c r="AH268" s="1234" t="s">
        <v>1984</v>
      </c>
      <c r="AI268" s="1728">
        <v>46081</v>
      </c>
      <c r="AJ268" s="1222" t="s">
        <v>79</v>
      </c>
      <c r="AK268" s="1219" t="s">
        <v>5451</v>
      </c>
      <c r="AL268" s="1223" t="s">
        <v>1984</v>
      </c>
      <c r="AM268" s="1735">
        <v>46083</v>
      </c>
      <c r="AN268" s="1239" t="s">
        <v>5458</v>
      </c>
      <c r="AO268" s="3570" t="s">
        <v>3077</v>
      </c>
      <c r="AP268" s="3571" t="s">
        <v>663</v>
      </c>
      <c r="AQ268" s="3572"/>
      <c r="AR268" s="3561"/>
      <c r="AS268" s="3573"/>
      <c r="AT268" s="3567"/>
      <c r="AU268" s="4391"/>
      <c r="AV268" s="3573"/>
      <c r="AW268" s="3572" t="s">
        <v>6262</v>
      </c>
      <c r="AX268" s="3561">
        <v>46161</v>
      </c>
      <c r="AY268" s="3559" t="str">
        <f t="shared" si="35"/>
        <v>ACTIVE</v>
      </c>
      <c r="AZ268" s="4392">
        <v>13992</v>
      </c>
      <c r="BA268" s="3562" t="s">
        <v>79</v>
      </c>
      <c r="BB268" s="4393"/>
      <c r="BC268" s="4394"/>
      <c r="BD268" s="4395"/>
      <c r="BF268" s="845">
        <f t="shared" ca="1" si="37"/>
        <v>0</v>
      </c>
      <c r="BG268" s="1377"/>
    </row>
    <row r="269" spans="1:60" s="686" customFormat="1" ht="51.75" customHeight="1">
      <c r="A269" s="1141">
        <f t="shared" si="36"/>
        <v>203</v>
      </c>
      <c r="B269" s="1884" t="s">
        <v>5322</v>
      </c>
      <c r="C269" s="1474" t="s">
        <v>165</v>
      </c>
      <c r="D269" s="1475" t="s">
        <v>92</v>
      </c>
      <c r="E269" s="1476"/>
      <c r="F269" s="1477"/>
      <c r="G269" s="1478"/>
      <c r="H269" s="1479" t="s">
        <v>104</v>
      </c>
      <c r="I269" s="1885" t="s">
        <v>244</v>
      </c>
      <c r="J269" s="1480" t="str">
        <f>IFERROR(VLOOKUP(I269,dropdowns!$E$45:$I$56,2,FALSE)," ")</f>
        <v>1.TB.01.003</v>
      </c>
      <c r="K269" s="1886" t="s">
        <v>244</v>
      </c>
      <c r="L269" s="1481" t="str">
        <f>IFERROR(VLOOKUP(K269,dropdowns!$G$45:$H$56,2,FALSE)," ")</f>
        <v>1.TB.01.003.01</v>
      </c>
      <c r="M269" s="1251" t="s">
        <v>3930</v>
      </c>
      <c r="N269" s="1482" t="s">
        <v>2558</v>
      </c>
      <c r="O269" s="1231" t="s">
        <v>5317</v>
      </c>
      <c r="P269" s="1224" t="s">
        <v>5430</v>
      </c>
      <c r="Q269" s="3913">
        <f>-24700*0</f>
        <v>0</v>
      </c>
      <c r="R269" s="1216"/>
      <c r="S269" s="1217"/>
      <c r="T269" s="1728"/>
      <c r="U269" s="1219" t="s">
        <v>79</v>
      </c>
      <c r="V269" s="1222"/>
      <c r="W269" s="1219"/>
      <c r="X269" s="1093" t="str">
        <f t="shared" ref="X269:X300" si="38">IF(U269="APPROVED","ACTIVE",IF(U269="PENDING","ACTIVE","NOT ACTIVE"))</f>
        <v>ACTIVE</v>
      </c>
      <c r="Y269" s="3349"/>
      <c r="Z269" s="1221">
        <v>28</v>
      </c>
      <c r="AA269" s="1217"/>
      <c r="AB269" s="1728">
        <v>46071</v>
      </c>
      <c r="AC269" s="1222" t="s">
        <v>79</v>
      </c>
      <c r="AD269" s="1219" t="s">
        <v>5390</v>
      </c>
      <c r="AE269" s="1222"/>
      <c r="AF269" s="1093" t="str">
        <f t="shared" ref="AF269:AF300" si="39">IF(AC269="APPROVED","ACTIVE","NOT ACTIVE")</f>
        <v>ACTIVE</v>
      </c>
      <c r="AG269" s="1248">
        <v>-24700</v>
      </c>
      <c r="AH269" s="1234" t="s">
        <v>5068</v>
      </c>
      <c r="AI269" s="1728">
        <v>46081</v>
      </c>
      <c r="AJ269" s="1222" t="s">
        <v>79</v>
      </c>
      <c r="AK269" s="4656" t="s">
        <v>5472</v>
      </c>
      <c r="AL269" s="1223" t="s">
        <v>5068</v>
      </c>
      <c r="AM269" s="1735">
        <v>46083</v>
      </c>
      <c r="AN269" s="1239" t="s">
        <v>5471</v>
      </c>
      <c r="AO269" s="3570" t="s">
        <v>6222</v>
      </c>
      <c r="AP269" s="3571"/>
      <c r="AQ269" s="3572"/>
      <c r="AR269" s="3561"/>
      <c r="AS269" s="3573"/>
      <c r="AT269" s="3567"/>
      <c r="AU269" s="4391"/>
      <c r="AV269" s="3573"/>
      <c r="AW269" s="3572" t="s">
        <v>6418</v>
      </c>
      <c r="AX269" s="3561">
        <v>46198</v>
      </c>
      <c r="AY269" s="3559" t="str">
        <f t="shared" ref="AY269:AY300" si="40">IF(BA269="APPROVED","ACTIVE","NOT ACTIVE")</f>
        <v>ACTIVE</v>
      </c>
      <c r="AZ269" s="4392">
        <v>-13992</v>
      </c>
      <c r="BA269" s="3562" t="s">
        <v>79</v>
      </c>
      <c r="BB269" s="4393"/>
      <c r="BC269" s="4394"/>
      <c r="BD269" s="4395" t="s">
        <v>6300</v>
      </c>
      <c r="BF269" s="845">
        <f t="shared" ca="1" si="37"/>
        <v>0</v>
      </c>
      <c r="BG269" s="1377"/>
    </row>
    <row r="270" spans="1:60" s="686" customFormat="1" ht="38.25">
      <c r="A270" s="1141">
        <f t="shared" si="36"/>
        <v>204</v>
      </c>
      <c r="B270" s="1498" t="s">
        <v>5329</v>
      </c>
      <c r="C270" s="1474" t="s">
        <v>161</v>
      </c>
      <c r="D270" s="4427" t="s">
        <v>92</v>
      </c>
      <c r="E270" s="1476"/>
      <c r="F270" s="1477"/>
      <c r="G270" s="1478"/>
      <c r="H270" s="1479" t="s">
        <v>104</v>
      </c>
      <c r="I270" s="1885" t="s">
        <v>244</v>
      </c>
      <c r="J270" s="1480" t="str">
        <f>IFERROR(VLOOKUP(I270,dropdowns!$E$45:$I$56,2,FALSE)," ")</f>
        <v>1.TB.01.003</v>
      </c>
      <c r="K270" s="1886" t="s">
        <v>244</v>
      </c>
      <c r="L270" s="1481" t="str">
        <f>IFERROR(VLOOKUP(K270,dropdowns!$G$45:$H$56,2,FALSE)," ")</f>
        <v>1.TB.01.003.01</v>
      </c>
      <c r="M270" s="1251" t="s">
        <v>3217</v>
      </c>
      <c r="N270" s="1482" t="s">
        <v>3216</v>
      </c>
      <c r="O270" s="1231"/>
      <c r="P270" s="1224"/>
      <c r="Q270" s="3913"/>
      <c r="R270" s="1216"/>
      <c r="S270" s="1217"/>
      <c r="T270" s="1728"/>
      <c r="U270" s="1222" t="s">
        <v>79</v>
      </c>
      <c r="V270" s="1222"/>
      <c r="W270" s="1219"/>
      <c r="X270" s="1093" t="str">
        <f t="shared" si="38"/>
        <v>ACTIVE</v>
      </c>
      <c r="Y270" s="3349"/>
      <c r="Z270" s="1221">
        <v>2</v>
      </c>
      <c r="AA270" s="1217"/>
      <c r="AB270" s="1728">
        <v>46083</v>
      </c>
      <c r="AC270" s="1219" t="s">
        <v>79</v>
      </c>
      <c r="AD270" s="1219" t="s">
        <v>5442</v>
      </c>
      <c r="AE270" s="1222"/>
      <c r="AF270" s="1094" t="str">
        <f t="shared" si="39"/>
        <v>ACTIVE</v>
      </c>
      <c r="AG270" s="1220">
        <v>47110</v>
      </c>
      <c r="AH270" s="1234" t="s">
        <v>1984</v>
      </c>
      <c r="AI270" s="1728">
        <v>46070</v>
      </c>
      <c r="AJ270" s="1222" t="s">
        <v>79</v>
      </c>
      <c r="AK270" s="1219" t="s">
        <v>5443</v>
      </c>
      <c r="AL270" s="1223" t="s">
        <v>1984</v>
      </c>
      <c r="AM270" s="1735" t="s">
        <v>5447</v>
      </c>
      <c r="AN270" s="1239" t="s">
        <v>5446</v>
      </c>
      <c r="AO270" s="1226" t="s">
        <v>3077</v>
      </c>
      <c r="AP270" s="1493" t="s">
        <v>663</v>
      </c>
      <c r="AQ270" s="1227"/>
      <c r="AR270" s="1728"/>
      <c r="AS270" s="1220"/>
      <c r="AT270" s="1217"/>
      <c r="AU270" s="1218"/>
      <c r="AV270" s="1220"/>
      <c r="AW270" s="1227" t="s">
        <v>6265</v>
      </c>
      <c r="AX270" s="1728">
        <v>46161</v>
      </c>
      <c r="AY270" s="1093" t="str">
        <f t="shared" si="40"/>
        <v>ACTIVE</v>
      </c>
      <c r="AZ270" s="3521">
        <v>34640.800000000003</v>
      </c>
      <c r="BA270" s="1222" t="s">
        <v>79</v>
      </c>
      <c r="BB270" s="1228"/>
      <c r="BC270" s="1229"/>
      <c r="BD270" s="1230"/>
      <c r="BF270" s="845">
        <f t="shared" ca="1" si="37"/>
        <v>0</v>
      </c>
      <c r="BG270" s="1377"/>
      <c r="BH270" s="4942">
        <f>+AG270-AZ270</f>
        <v>12469.199999999997</v>
      </c>
    </row>
    <row r="271" spans="1:60" s="686" customFormat="1" ht="89.25">
      <c r="A271" s="4587">
        <f t="shared" ref="A271:A302" si="41">+A270+1</f>
        <v>205</v>
      </c>
      <c r="B271" s="4588" t="s">
        <v>5330</v>
      </c>
      <c r="C271" s="4589" t="s">
        <v>165</v>
      </c>
      <c r="D271" s="4590" t="s">
        <v>92</v>
      </c>
      <c r="E271" s="4591"/>
      <c r="F271" s="4592"/>
      <c r="G271" s="4593"/>
      <c r="H271" s="4594" t="s">
        <v>104</v>
      </c>
      <c r="I271" s="4595" t="s">
        <v>244</v>
      </c>
      <c r="J271" s="4596" t="str">
        <f>IFERROR(VLOOKUP(I271,dropdowns!$E$45:$I$56,2,FALSE)," ")</f>
        <v>1.TB.01.003</v>
      </c>
      <c r="K271" s="4597" t="s">
        <v>244</v>
      </c>
      <c r="L271" s="4598" t="str">
        <f>IFERROR(VLOOKUP(K271,dropdowns!$G$45:$H$56,2,FALSE)," ")</f>
        <v>1.TB.01.003.01</v>
      </c>
      <c r="M271" s="4599" t="s">
        <v>2269</v>
      </c>
      <c r="N271" s="4600" t="s">
        <v>152</v>
      </c>
      <c r="O271" s="4601"/>
      <c r="P271" s="4602"/>
      <c r="Q271" s="4603"/>
      <c r="R271" s="4604"/>
      <c r="S271" s="4605"/>
      <c r="T271" s="4606"/>
      <c r="U271" s="4607" t="s">
        <v>79</v>
      </c>
      <c r="V271" s="4607"/>
      <c r="W271" s="4608"/>
      <c r="X271" s="4609" t="str">
        <f t="shared" si="38"/>
        <v>ACTIVE</v>
      </c>
      <c r="Y271" s="4610"/>
      <c r="Z271" s="4611"/>
      <c r="AA271" s="4605"/>
      <c r="AB271" s="4606"/>
      <c r="AC271" s="4607" t="s">
        <v>79</v>
      </c>
      <c r="AD271" s="4607"/>
      <c r="AE271" s="4607"/>
      <c r="AF271" s="4609" t="str">
        <f t="shared" si="39"/>
        <v>ACTIVE</v>
      </c>
      <c r="AG271" s="4612"/>
      <c r="AH271" s="4613"/>
      <c r="AI271" s="4606"/>
      <c r="AJ271" s="4607" t="s">
        <v>79</v>
      </c>
      <c r="AK271" s="4607"/>
      <c r="AL271" s="4614"/>
      <c r="AM271" s="4615"/>
      <c r="AN271" s="4616"/>
      <c r="AO271" s="4617"/>
      <c r="AP271" s="4618"/>
      <c r="AQ271" s="4619"/>
      <c r="AR271" s="4606"/>
      <c r="AS271" s="4612"/>
      <c r="AT271" s="4605"/>
      <c r="AU271" s="4620"/>
      <c r="AV271" s="4612"/>
      <c r="AW271" s="4605"/>
      <c r="AX271" s="4606">
        <v>46037</v>
      </c>
      <c r="AY271" s="4609" t="str">
        <f t="shared" si="40"/>
        <v>ACTIVE</v>
      </c>
      <c r="AZ271" s="4621">
        <v>-17854517.050000001</v>
      </c>
      <c r="BA271" s="4607" t="s">
        <v>79</v>
      </c>
      <c r="BB271" s="4622"/>
      <c r="BC271" s="4623"/>
      <c r="BD271" s="4624" t="s">
        <v>5331</v>
      </c>
      <c r="BF271" s="845">
        <f t="shared" ca="1" si="37"/>
        <v>0</v>
      </c>
      <c r="BG271" s="1377"/>
    </row>
    <row r="272" spans="1:60" s="686" customFormat="1" ht="57" customHeight="1">
      <c r="A272" s="1141">
        <f t="shared" si="41"/>
        <v>206</v>
      </c>
      <c r="B272" s="1884" t="s">
        <v>5359</v>
      </c>
      <c r="C272" s="1474" t="s">
        <v>165</v>
      </c>
      <c r="D272" s="4427" t="s">
        <v>92</v>
      </c>
      <c r="E272" s="1476"/>
      <c r="F272" s="1477"/>
      <c r="G272" s="1478"/>
      <c r="H272" s="1479" t="s">
        <v>104</v>
      </c>
      <c r="I272" s="1885" t="s">
        <v>244</v>
      </c>
      <c r="J272" s="1480" t="str">
        <f>IFERROR(VLOOKUP(I272,dropdowns!$E$45:$I$56,2,FALSE)," ")</f>
        <v>1.TB.01.003</v>
      </c>
      <c r="K272" s="1886" t="s">
        <v>244</v>
      </c>
      <c r="L272" s="1481" t="str">
        <f>IFERROR(VLOOKUP(K272,dropdowns!$G$45:$H$56,2,FALSE)," ")</f>
        <v>1.TB.01.003.01</v>
      </c>
      <c r="M272" s="1251" t="s">
        <v>2725</v>
      </c>
      <c r="N272" s="1482" t="s">
        <v>2742</v>
      </c>
      <c r="O272" s="1231" t="s">
        <v>5358</v>
      </c>
      <c r="P272" s="1224"/>
      <c r="Q272" s="3913">
        <f>261408*0</f>
        <v>0</v>
      </c>
      <c r="R272" s="1216"/>
      <c r="S272" s="1217"/>
      <c r="T272" s="1728"/>
      <c r="U272" s="1222" t="s">
        <v>79</v>
      </c>
      <c r="V272" s="1222"/>
      <c r="W272" s="1219"/>
      <c r="X272" s="1093" t="str">
        <f t="shared" si="38"/>
        <v>ACTIVE</v>
      </c>
      <c r="Y272" s="3349"/>
      <c r="Z272" s="1221">
        <v>3</v>
      </c>
      <c r="AA272" s="1217"/>
      <c r="AB272" s="1728">
        <v>46082</v>
      </c>
      <c r="AC272" s="1222" t="s">
        <v>79</v>
      </c>
      <c r="AD272" s="1219" t="s">
        <v>5438</v>
      </c>
      <c r="AE272" s="1222"/>
      <c r="AF272" s="1094" t="str">
        <f t="shared" si="39"/>
        <v>ACTIVE</v>
      </c>
      <c r="AG272" s="1220">
        <v>261408</v>
      </c>
      <c r="AH272" s="1234" t="s">
        <v>1994</v>
      </c>
      <c r="AI272" s="1728">
        <v>46070</v>
      </c>
      <c r="AJ272" s="1222" t="s">
        <v>79</v>
      </c>
      <c r="AK272" s="1219" t="s">
        <v>5439</v>
      </c>
      <c r="AL272" s="1223" t="s">
        <v>1994</v>
      </c>
      <c r="AM272" s="1735">
        <v>46071</v>
      </c>
      <c r="AN272" s="1239" t="s">
        <v>5395</v>
      </c>
      <c r="AO272" s="3570" t="s">
        <v>708</v>
      </c>
      <c r="AP272" s="3571" t="s">
        <v>663</v>
      </c>
      <c r="AQ272" s="3572"/>
      <c r="AR272" s="3561"/>
      <c r="AS272" s="3573"/>
      <c r="AT272" s="3567"/>
      <c r="AU272" s="4391"/>
      <c r="AV272" s="3573"/>
      <c r="AW272" s="3572" t="s">
        <v>6583</v>
      </c>
      <c r="AX272" s="3561">
        <v>46237</v>
      </c>
      <c r="AY272" s="1094" t="str">
        <f t="shared" si="40"/>
        <v>ACTIVE</v>
      </c>
      <c r="AZ272" s="4392">
        <v>90936.91</v>
      </c>
      <c r="BA272" s="3562" t="s">
        <v>79</v>
      </c>
      <c r="BB272" s="4393"/>
      <c r="BC272" s="4394"/>
      <c r="BD272" s="4395" t="s">
        <v>6439</v>
      </c>
      <c r="BF272" s="845">
        <f t="shared" ca="1" si="37"/>
        <v>0</v>
      </c>
      <c r="BG272" s="1377"/>
    </row>
    <row r="273" spans="1:59" s="686" customFormat="1" ht="57" customHeight="1">
      <c r="A273" s="1141">
        <f t="shared" si="41"/>
        <v>207</v>
      </c>
      <c r="B273" s="1884" t="s">
        <v>5361</v>
      </c>
      <c r="C273" s="1474" t="s">
        <v>165</v>
      </c>
      <c r="D273" s="4427" t="s">
        <v>92</v>
      </c>
      <c r="E273" s="1476"/>
      <c r="F273" s="1477"/>
      <c r="G273" s="1478"/>
      <c r="H273" s="1479" t="s">
        <v>104</v>
      </c>
      <c r="I273" s="1885" t="s">
        <v>244</v>
      </c>
      <c r="J273" s="1480" t="str">
        <f>IFERROR(VLOOKUP(I273,dropdowns!$E$45:$I$56,2,FALSE)," ")</f>
        <v>1.TB.01.003</v>
      </c>
      <c r="K273" s="1886" t="s">
        <v>244</v>
      </c>
      <c r="L273" s="1481" t="str">
        <f>IFERROR(VLOOKUP(K273,dropdowns!$G$45:$H$56,2,FALSE)," ")</f>
        <v>1.TB.01.003.01</v>
      </c>
      <c r="M273" s="1251" t="s">
        <v>2725</v>
      </c>
      <c r="N273" s="1482" t="s">
        <v>2742</v>
      </c>
      <c r="O273" s="1231" t="s">
        <v>5360</v>
      </c>
      <c r="P273" s="1224"/>
      <c r="Q273" s="3913">
        <f>48290*0</f>
        <v>0</v>
      </c>
      <c r="R273" s="1216"/>
      <c r="S273" s="1217"/>
      <c r="T273" s="1728"/>
      <c r="U273" s="1222" t="s">
        <v>79</v>
      </c>
      <c r="V273" s="1222"/>
      <c r="W273" s="1219"/>
      <c r="X273" s="1093" t="str">
        <f t="shared" si="38"/>
        <v>ACTIVE</v>
      </c>
      <c r="Y273" s="3349"/>
      <c r="Z273" s="1221">
        <v>4</v>
      </c>
      <c r="AA273" s="1217"/>
      <c r="AB273" s="1728">
        <v>46083</v>
      </c>
      <c r="AC273" s="1222" t="s">
        <v>79</v>
      </c>
      <c r="AD273" s="1219" t="s">
        <v>5440</v>
      </c>
      <c r="AE273" s="1222"/>
      <c r="AF273" s="1094" t="str">
        <f t="shared" si="39"/>
        <v>ACTIVE</v>
      </c>
      <c r="AG273" s="1220">
        <v>48290</v>
      </c>
      <c r="AH273" s="1234" t="s">
        <v>2283</v>
      </c>
      <c r="AI273" s="1728">
        <v>46070</v>
      </c>
      <c r="AJ273" s="1222" t="s">
        <v>79</v>
      </c>
      <c r="AK273" s="1219" t="s">
        <v>5441</v>
      </c>
      <c r="AL273" s="1223" t="s">
        <v>2283</v>
      </c>
      <c r="AM273" s="1735">
        <v>46071</v>
      </c>
      <c r="AN273" s="1239" t="s">
        <v>5394</v>
      </c>
      <c r="AO273" s="3570" t="s">
        <v>715</v>
      </c>
      <c r="AP273" s="3571" t="s">
        <v>663</v>
      </c>
      <c r="AQ273" s="3572"/>
      <c r="AR273" s="3561"/>
      <c r="AS273" s="3573"/>
      <c r="AT273" s="3567"/>
      <c r="AU273" s="4391"/>
      <c r="AV273" s="3573"/>
      <c r="AW273" s="3572" t="s">
        <v>6584</v>
      </c>
      <c r="AX273" s="3561">
        <v>46237</v>
      </c>
      <c r="AY273" s="1094" t="str">
        <f t="shared" si="40"/>
        <v>ACTIVE</v>
      </c>
      <c r="AZ273" s="4392">
        <v>17921.75</v>
      </c>
      <c r="BA273" s="3562" t="s">
        <v>79</v>
      </c>
      <c r="BB273" s="4393"/>
      <c r="BC273" s="4394"/>
      <c r="BD273" s="4395" t="s">
        <v>6440</v>
      </c>
      <c r="BF273" s="845">
        <f t="shared" ca="1" si="37"/>
        <v>0</v>
      </c>
      <c r="BG273" s="1377"/>
    </row>
    <row r="274" spans="1:59" s="686" customFormat="1" ht="46.5" customHeight="1">
      <c r="A274" s="1141">
        <f t="shared" si="41"/>
        <v>208</v>
      </c>
      <c r="B274" s="1884" t="s">
        <v>5373</v>
      </c>
      <c r="C274" s="1474" t="s">
        <v>165</v>
      </c>
      <c r="D274" s="4427" t="s">
        <v>92</v>
      </c>
      <c r="E274" s="1476"/>
      <c r="F274" s="1477"/>
      <c r="G274" s="1478"/>
      <c r="H274" s="1479" t="s">
        <v>82</v>
      </c>
      <c r="I274" s="1885" t="s">
        <v>244</v>
      </c>
      <c r="J274" s="1480" t="str">
        <f>IFERROR(VLOOKUP(I274,dropdowns!$E$45:$I$56,2,FALSE)," ")</f>
        <v>1.TB.01.003</v>
      </c>
      <c r="K274" s="1886" t="s">
        <v>244</v>
      </c>
      <c r="L274" s="1481" t="str">
        <f>IFERROR(VLOOKUP(K274,dropdowns!$G$45:$H$56,2,FALSE)," ")</f>
        <v>1.TB.01.003.01</v>
      </c>
      <c r="M274" s="1251" t="s">
        <v>139</v>
      </c>
      <c r="N274" s="1482" t="s">
        <v>2564</v>
      </c>
      <c r="O274" s="1231" t="s">
        <v>5362</v>
      </c>
      <c r="P274" s="1224"/>
      <c r="Q274" s="3913">
        <f>(157440*2)*0</f>
        <v>0</v>
      </c>
      <c r="R274" s="3566" t="s">
        <v>6187</v>
      </c>
      <c r="S274" s="3567" t="s">
        <v>663</v>
      </c>
      <c r="T274" s="3561">
        <v>46097</v>
      </c>
      <c r="U274" s="3562" t="s">
        <v>79</v>
      </c>
      <c r="V274" s="3563" t="s">
        <v>6188</v>
      </c>
      <c r="W274" s="3563" t="s">
        <v>94</v>
      </c>
      <c r="X274" s="1093" t="str">
        <f t="shared" si="38"/>
        <v>ACTIVE</v>
      </c>
      <c r="Y274" s="3568">
        <v>314880</v>
      </c>
      <c r="Z274" s="1221" t="s">
        <v>6189</v>
      </c>
      <c r="AA274" s="1217" t="s">
        <v>663</v>
      </c>
      <c r="AB274" s="1728">
        <v>46160</v>
      </c>
      <c r="AC274" s="1222" t="s">
        <v>79</v>
      </c>
      <c r="AD274" s="1219" t="s">
        <v>6255</v>
      </c>
      <c r="AE274" s="1222" t="s">
        <v>94</v>
      </c>
      <c r="AF274" s="1093" t="str">
        <f t="shared" si="39"/>
        <v>ACTIVE</v>
      </c>
      <c r="AG274" s="1220">
        <v>314880</v>
      </c>
      <c r="AH274" s="1234" t="s">
        <v>2317</v>
      </c>
      <c r="AI274" s="1728">
        <v>46160</v>
      </c>
      <c r="AJ274" s="1222" t="s">
        <v>79</v>
      </c>
      <c r="AK274" s="1219" t="s">
        <v>6255</v>
      </c>
      <c r="AL274" s="1223" t="s">
        <v>2317</v>
      </c>
      <c r="AM274" s="1735">
        <v>46097</v>
      </c>
      <c r="AN274" s="4941" t="s">
        <v>6282</v>
      </c>
      <c r="AO274" s="3570" t="s">
        <v>2515</v>
      </c>
      <c r="AP274" s="3571"/>
      <c r="AQ274" s="3572"/>
      <c r="AR274" s="3561"/>
      <c r="AS274" s="3573"/>
      <c r="AT274" s="3567"/>
      <c r="AU274" s="4391"/>
      <c r="AV274" s="3573"/>
      <c r="AW274" s="3572" t="s">
        <v>6404</v>
      </c>
      <c r="AX274" s="3561">
        <v>46187</v>
      </c>
      <c r="AY274" s="3559" t="str">
        <f t="shared" si="40"/>
        <v>ACTIVE</v>
      </c>
      <c r="AZ274" s="4392">
        <v>314880</v>
      </c>
      <c r="BA274" s="3562" t="s">
        <v>79</v>
      </c>
      <c r="BB274" s="4393"/>
      <c r="BC274" s="4394"/>
      <c r="BD274" s="4395"/>
      <c r="BF274" s="845">
        <f t="shared" ca="1" si="37"/>
        <v>0</v>
      </c>
      <c r="BG274" s="1377"/>
    </row>
    <row r="275" spans="1:59" s="686" customFormat="1" ht="48.75" customHeight="1">
      <c r="A275" s="1141">
        <f t="shared" si="41"/>
        <v>209</v>
      </c>
      <c r="B275" s="1884" t="s">
        <v>5363</v>
      </c>
      <c r="C275" s="1474" t="s">
        <v>165</v>
      </c>
      <c r="D275" s="4427" t="s">
        <v>92</v>
      </c>
      <c r="E275" s="1476"/>
      <c r="F275" s="1477"/>
      <c r="G275" s="1478"/>
      <c r="H275" s="1479" t="s">
        <v>104</v>
      </c>
      <c r="I275" s="1885" t="s">
        <v>244</v>
      </c>
      <c r="J275" s="1480" t="str">
        <f>IFERROR(VLOOKUP(I275,dropdowns!$E$45:$I$56,2,FALSE)," ")</f>
        <v>1.TB.01.003</v>
      </c>
      <c r="K275" s="1886" t="s">
        <v>244</v>
      </c>
      <c r="L275" s="1481" t="str">
        <f>IFERROR(VLOOKUP(K275,dropdowns!$G$45:$H$56,2,FALSE)," ")</f>
        <v>1.TB.01.003.01</v>
      </c>
      <c r="M275" s="1251" t="s">
        <v>2725</v>
      </c>
      <c r="N275" s="1482" t="s">
        <v>2742</v>
      </c>
      <c r="O275" s="2000" t="s">
        <v>5364</v>
      </c>
      <c r="P275" s="4686"/>
      <c r="Q275" s="4687">
        <v>332640</v>
      </c>
      <c r="R275" s="1103"/>
      <c r="S275" s="1109"/>
      <c r="T275" s="1729"/>
      <c r="U275" s="1097" t="s">
        <v>79</v>
      </c>
      <c r="V275" s="1097"/>
      <c r="W275" s="1105"/>
      <c r="X275" s="1093" t="str">
        <f t="shared" si="38"/>
        <v>ACTIVE</v>
      </c>
      <c r="Y275" s="3351"/>
      <c r="Z275" s="1111"/>
      <c r="AA275" s="1109"/>
      <c r="AB275" s="1729"/>
      <c r="AC275" s="1097" t="s">
        <v>87</v>
      </c>
      <c r="AD275" s="1097"/>
      <c r="AE275" s="1097"/>
      <c r="AF275" s="1094" t="str">
        <f t="shared" si="39"/>
        <v>NOT ACTIVE</v>
      </c>
      <c r="AG275" s="1182"/>
      <c r="AH275" s="1101"/>
      <c r="AI275" s="1729"/>
      <c r="AJ275" s="1097"/>
      <c r="AK275" s="1097"/>
      <c r="AL275" s="1223" t="s">
        <v>2317</v>
      </c>
      <c r="AM275" s="1735">
        <v>46071</v>
      </c>
      <c r="AN275" s="1239" t="s">
        <v>5393</v>
      </c>
      <c r="AO275" s="1113"/>
      <c r="AP275" s="1487"/>
      <c r="AQ275" s="1117"/>
      <c r="AR275" s="1729"/>
      <c r="AS275" s="1182"/>
      <c r="AT275" s="1109"/>
      <c r="AU275" s="1095"/>
      <c r="AV275" s="1182"/>
      <c r="AW275" s="1109"/>
      <c r="AX275" s="1729"/>
      <c r="AY275" s="1094" t="str">
        <f t="shared" si="40"/>
        <v>NOT ACTIVE</v>
      </c>
      <c r="AZ275" s="1186"/>
      <c r="BA275" s="1097"/>
      <c r="BB275" s="1098"/>
      <c r="BC275" s="1099"/>
      <c r="BD275" s="1108" t="s">
        <v>6701</v>
      </c>
      <c r="BF275" s="845">
        <f t="shared" ca="1" si="37"/>
        <v>0</v>
      </c>
      <c r="BG275" s="1377"/>
    </row>
    <row r="276" spans="1:59" s="686" customFormat="1" ht="51">
      <c r="A276" s="1141">
        <f t="shared" si="41"/>
        <v>210</v>
      </c>
      <c r="B276" s="1884" t="s">
        <v>5365</v>
      </c>
      <c r="C276" s="1474" t="s">
        <v>165</v>
      </c>
      <c r="D276" s="4427" t="s">
        <v>92</v>
      </c>
      <c r="E276" s="1476"/>
      <c r="F276" s="1477"/>
      <c r="G276" s="1478"/>
      <c r="H276" s="1479" t="s">
        <v>104</v>
      </c>
      <c r="I276" s="1885" t="s">
        <v>244</v>
      </c>
      <c r="J276" s="1480" t="str">
        <f>IFERROR(VLOOKUP(I276,dropdowns!$E$45:$I$56,2,FALSE)," ")</f>
        <v>1.TB.01.003</v>
      </c>
      <c r="K276" s="1886" t="s">
        <v>244</v>
      </c>
      <c r="L276" s="1481" t="str">
        <f>IFERROR(VLOOKUP(K276,dropdowns!$G$45:$H$56,2,FALSE)," ")</f>
        <v>1.TB.01.003.01</v>
      </c>
      <c r="M276" s="1251" t="s">
        <v>2269</v>
      </c>
      <c r="N276" s="1482" t="s">
        <v>152</v>
      </c>
      <c r="O276" s="2000" t="s">
        <v>5366</v>
      </c>
      <c r="P276" s="4686"/>
      <c r="Q276" s="4687">
        <v>-332640</v>
      </c>
      <c r="R276" s="1103"/>
      <c r="S276" s="1109"/>
      <c r="T276" s="1729"/>
      <c r="U276" s="1097" t="s">
        <v>79</v>
      </c>
      <c r="V276" s="1097"/>
      <c r="W276" s="1105"/>
      <c r="X276" s="1093" t="str">
        <f t="shared" si="38"/>
        <v>ACTIVE</v>
      </c>
      <c r="Y276" s="3351"/>
      <c r="Z276" s="1111"/>
      <c r="AA276" s="1109"/>
      <c r="AB276" s="1729"/>
      <c r="AC276" s="1097" t="s">
        <v>87</v>
      </c>
      <c r="AD276" s="1097"/>
      <c r="AE276" s="1097"/>
      <c r="AF276" s="1094" t="str">
        <f t="shared" si="39"/>
        <v>NOT ACTIVE</v>
      </c>
      <c r="AG276" s="1182"/>
      <c r="AH276" s="1101"/>
      <c r="AI276" s="1729"/>
      <c r="AJ276" s="1097"/>
      <c r="AK276" s="1097"/>
      <c r="AL276" s="1110"/>
      <c r="AM276" s="1736"/>
      <c r="AN276" s="1112"/>
      <c r="AO276" s="1113"/>
      <c r="AP276" s="1487"/>
      <c r="AQ276" s="1117"/>
      <c r="AR276" s="1729"/>
      <c r="AS276" s="1182"/>
      <c r="AT276" s="1109"/>
      <c r="AU276" s="1095"/>
      <c r="AV276" s="1182"/>
      <c r="AW276" s="1109"/>
      <c r="AX276" s="1729"/>
      <c r="AY276" s="1094" t="str">
        <f t="shared" si="40"/>
        <v>NOT ACTIVE</v>
      </c>
      <c r="AZ276" s="1186"/>
      <c r="BA276" s="1097"/>
      <c r="BB276" s="1098"/>
      <c r="BC276" s="1099"/>
      <c r="BD276" s="1108"/>
      <c r="BF276" s="845">
        <f t="shared" ca="1" si="37"/>
        <v>0</v>
      </c>
      <c r="BG276" s="1377"/>
    </row>
    <row r="277" spans="1:59" s="686" customFormat="1" ht="43.5" customHeight="1">
      <c r="A277" s="1141">
        <f t="shared" si="41"/>
        <v>211</v>
      </c>
      <c r="B277" s="1884" t="s">
        <v>5368</v>
      </c>
      <c r="C277" s="1474" t="s">
        <v>165</v>
      </c>
      <c r="D277" s="4427" t="s">
        <v>92</v>
      </c>
      <c r="E277" s="1476"/>
      <c r="F277" s="1477"/>
      <c r="G277" s="1478"/>
      <c r="H277" s="1479" t="s">
        <v>104</v>
      </c>
      <c r="I277" s="1885" t="s">
        <v>244</v>
      </c>
      <c r="J277" s="1480" t="str">
        <f>IFERROR(VLOOKUP(I277,dropdowns!$E$45:$I$56,2,FALSE)," ")</f>
        <v>1.TB.01.003</v>
      </c>
      <c r="K277" s="1886" t="s">
        <v>244</v>
      </c>
      <c r="L277" s="1481" t="str">
        <f>IFERROR(VLOOKUP(K277,dropdowns!$G$45:$H$56,2,FALSE)," ")</f>
        <v>1.TB.01.003.01</v>
      </c>
      <c r="M277" s="1251" t="s">
        <v>2269</v>
      </c>
      <c r="N277" s="1482" t="s">
        <v>152</v>
      </c>
      <c r="O277" s="1231" t="s">
        <v>5367</v>
      </c>
      <c r="P277" s="1224"/>
      <c r="Q277" s="3913">
        <f>115000*0</f>
        <v>0</v>
      </c>
      <c r="R277" s="1216"/>
      <c r="S277" s="1217"/>
      <c r="T277" s="1728"/>
      <c r="U277" s="1222" t="s">
        <v>79</v>
      </c>
      <c r="V277" s="1222"/>
      <c r="W277" s="1219"/>
      <c r="X277" s="1093" t="str">
        <f t="shared" si="38"/>
        <v>ACTIVE</v>
      </c>
      <c r="Y277" s="3349"/>
      <c r="Z277" s="1221" t="s">
        <v>5369</v>
      </c>
      <c r="AA277" s="1217"/>
      <c r="AB277" s="1728">
        <v>46083</v>
      </c>
      <c r="AC277" s="1222" t="s">
        <v>79</v>
      </c>
      <c r="AD277" s="1219" t="s">
        <v>5436</v>
      </c>
      <c r="AE277" s="1222"/>
      <c r="AF277" s="1094" t="str">
        <f t="shared" si="39"/>
        <v>ACTIVE</v>
      </c>
      <c r="AG277" s="1220">
        <v>115000</v>
      </c>
      <c r="AH277" s="1234" t="s">
        <v>5370</v>
      </c>
      <c r="AI277" s="1728">
        <v>46071</v>
      </c>
      <c r="AJ277" s="1222" t="s">
        <v>79</v>
      </c>
      <c r="AK277" s="1219" t="s">
        <v>5437</v>
      </c>
      <c r="AL277" s="1223" t="s">
        <v>5392</v>
      </c>
      <c r="AM277" s="1735">
        <v>46072</v>
      </c>
      <c r="AN277" s="4638" t="s">
        <v>5391</v>
      </c>
      <c r="AO277" s="3570" t="s">
        <v>6434</v>
      </c>
      <c r="AP277" s="3571" t="s">
        <v>663</v>
      </c>
      <c r="AQ277" s="3572"/>
      <c r="AR277" s="3561"/>
      <c r="AS277" s="3573"/>
      <c r="AT277" s="3567"/>
      <c r="AU277" s="4391"/>
      <c r="AV277" s="3573"/>
      <c r="AW277" s="3572" t="s">
        <v>6532</v>
      </c>
      <c r="AX277" s="3561">
        <v>46222</v>
      </c>
      <c r="AY277" s="1094" t="str">
        <f t="shared" si="40"/>
        <v>ACTIVE</v>
      </c>
      <c r="AZ277" s="4392">
        <v>115000</v>
      </c>
      <c r="BA277" s="3562" t="s">
        <v>79</v>
      </c>
      <c r="BB277" s="4393"/>
      <c r="BC277" s="4394"/>
      <c r="BD277" s="4395" t="s">
        <v>6142</v>
      </c>
      <c r="BF277" s="845">
        <f t="shared" ca="1" si="37"/>
        <v>0</v>
      </c>
      <c r="BG277" s="1377"/>
    </row>
    <row r="278" spans="1:59" s="686" customFormat="1" ht="55.5" customHeight="1">
      <c r="A278" s="1141">
        <f t="shared" si="41"/>
        <v>212</v>
      </c>
      <c r="B278" s="1884" t="s">
        <v>5374</v>
      </c>
      <c r="C278" s="1474" t="s">
        <v>165</v>
      </c>
      <c r="D278" s="1475" t="s">
        <v>92</v>
      </c>
      <c r="E278" s="1476"/>
      <c r="F278" s="1477"/>
      <c r="G278" s="1478"/>
      <c r="H278" s="1479" t="s">
        <v>104</v>
      </c>
      <c r="I278" s="1885" t="s">
        <v>244</v>
      </c>
      <c r="J278" s="1480" t="str">
        <f>IFERROR(VLOOKUP(I278,dropdowns!$E$45:$I$56,2,FALSE)," ")</f>
        <v>1.TB.01.003</v>
      </c>
      <c r="K278" s="1886" t="s">
        <v>244</v>
      </c>
      <c r="L278" s="1481" t="str">
        <f>IFERROR(VLOOKUP(K278,dropdowns!$G$45:$H$56,2,FALSE)," ")</f>
        <v>1.TB.01.003.01</v>
      </c>
      <c r="M278" s="1251" t="s">
        <v>3930</v>
      </c>
      <c r="N278" s="1482" t="s">
        <v>2558</v>
      </c>
      <c r="O278" s="1231" t="s">
        <v>5375</v>
      </c>
      <c r="P278" s="1224"/>
      <c r="Q278" s="3913">
        <f>-Q274*0</f>
        <v>0</v>
      </c>
      <c r="R278" s="3566" t="s">
        <v>6187</v>
      </c>
      <c r="S278" s="3567" t="s">
        <v>663</v>
      </c>
      <c r="T278" s="3561">
        <v>46097</v>
      </c>
      <c r="U278" s="3562" t="s">
        <v>79</v>
      </c>
      <c r="V278" s="3563" t="s">
        <v>6188</v>
      </c>
      <c r="W278" s="3563" t="s">
        <v>94</v>
      </c>
      <c r="X278" s="1093" t="str">
        <f t="shared" si="38"/>
        <v>ACTIVE</v>
      </c>
      <c r="Y278" s="3568">
        <v>-196800</v>
      </c>
      <c r="Z278" s="3575">
        <v>34</v>
      </c>
      <c r="AA278" s="3567" t="s">
        <v>663</v>
      </c>
      <c r="AB278" s="3561">
        <v>46160</v>
      </c>
      <c r="AC278" s="3562" t="s">
        <v>79</v>
      </c>
      <c r="AD278" s="3563" t="s">
        <v>6433</v>
      </c>
      <c r="AE278" s="3562" t="s">
        <v>94</v>
      </c>
      <c r="AF278" s="3559" t="str">
        <f t="shared" si="39"/>
        <v>ACTIVE</v>
      </c>
      <c r="AG278" s="3573">
        <v>-196800</v>
      </c>
      <c r="AH278" s="3560" t="s">
        <v>6152</v>
      </c>
      <c r="AI278" s="3561">
        <v>46219</v>
      </c>
      <c r="AJ278" s="3562" t="s">
        <v>79</v>
      </c>
      <c r="AK278" s="3563" t="s">
        <v>6526</v>
      </c>
      <c r="AL278" s="3564" t="s">
        <v>6152</v>
      </c>
      <c r="AM278" s="4360">
        <v>46219</v>
      </c>
      <c r="AN278" s="1239" t="s">
        <v>6527</v>
      </c>
      <c r="AO278" s="1113" t="s">
        <v>6643</v>
      </c>
      <c r="AP278" s="1487" t="s">
        <v>663</v>
      </c>
      <c r="AQ278" s="1117"/>
      <c r="AR278" s="1729"/>
      <c r="AS278" s="1182"/>
      <c r="AT278" s="1109"/>
      <c r="AU278" s="1095"/>
      <c r="AV278" s="1182"/>
      <c r="AW278" s="1117" t="s">
        <v>6664</v>
      </c>
      <c r="AX278" s="1729">
        <v>46288</v>
      </c>
      <c r="AY278" s="1094" t="str">
        <f t="shared" si="40"/>
        <v>NOT ACTIVE</v>
      </c>
      <c r="AZ278" s="1186">
        <v>-196800</v>
      </c>
      <c r="BA278" s="1097" t="s">
        <v>87</v>
      </c>
      <c r="BB278" s="1098"/>
      <c r="BC278" s="1099"/>
      <c r="BD278" s="5211" t="s">
        <v>6665</v>
      </c>
      <c r="BF278" s="845">
        <f t="shared" ca="1" si="37"/>
        <v>80</v>
      </c>
      <c r="BG278" s="1377"/>
    </row>
    <row r="279" spans="1:59" s="686" customFormat="1" ht="48" customHeight="1">
      <c r="A279" s="1141">
        <f t="shared" si="41"/>
        <v>213</v>
      </c>
      <c r="B279" s="1884" t="s">
        <v>5377</v>
      </c>
      <c r="C279" s="1474" t="s">
        <v>165</v>
      </c>
      <c r="D279" s="4427" t="s">
        <v>92</v>
      </c>
      <c r="E279" s="1476"/>
      <c r="F279" s="1477"/>
      <c r="G279" s="1478"/>
      <c r="H279" s="1479" t="s">
        <v>104</v>
      </c>
      <c r="I279" s="1885" t="s">
        <v>244</v>
      </c>
      <c r="J279" s="1480" t="str">
        <f>IFERROR(VLOOKUP(I279,dropdowns!$E$45:$I$56,2,FALSE)," ")</f>
        <v>1.TB.01.003</v>
      </c>
      <c r="K279" s="1886" t="s">
        <v>244</v>
      </c>
      <c r="L279" s="1481" t="str">
        <f>IFERROR(VLOOKUP(K279,dropdowns!$G$45:$H$56,2,FALSE)," ")</f>
        <v>1.TB.01.003.01</v>
      </c>
      <c r="M279" s="1251" t="s">
        <v>3204</v>
      </c>
      <c r="N279" s="1482" t="s">
        <v>3128</v>
      </c>
      <c r="O279" s="1231" t="s">
        <v>5376</v>
      </c>
      <c r="P279" s="1224"/>
      <c r="Q279" s="3913">
        <f>1567562*0</f>
        <v>0</v>
      </c>
      <c r="R279" s="1216"/>
      <c r="S279" s="1217"/>
      <c r="T279" s="1728"/>
      <c r="U279" s="1222" t="s">
        <v>79</v>
      </c>
      <c r="V279" s="1222"/>
      <c r="W279" s="1219"/>
      <c r="X279" s="1093" t="str">
        <f t="shared" si="38"/>
        <v>ACTIVE</v>
      </c>
      <c r="Y279" s="3349"/>
      <c r="Z279" s="1221">
        <v>4</v>
      </c>
      <c r="AA279" s="1217"/>
      <c r="AB279" s="1728">
        <v>46082</v>
      </c>
      <c r="AC279" s="1222" t="s">
        <v>79</v>
      </c>
      <c r="AD279" s="1219" t="s">
        <v>5433</v>
      </c>
      <c r="AE279" s="1222"/>
      <c r="AF279" s="1094" t="str">
        <f t="shared" si="39"/>
        <v>ACTIVE</v>
      </c>
      <c r="AG279" s="1220">
        <v>1567562</v>
      </c>
      <c r="AH279" s="1234" t="s">
        <v>2283</v>
      </c>
      <c r="AI279" s="1728">
        <v>46091</v>
      </c>
      <c r="AJ279" s="1222" t="s">
        <v>79</v>
      </c>
      <c r="AK279" s="1219" t="s">
        <v>5434</v>
      </c>
      <c r="AL279" s="1223" t="s">
        <v>2315</v>
      </c>
      <c r="AM279" s="1735">
        <v>46094</v>
      </c>
      <c r="AN279" s="1239" t="s">
        <v>5435</v>
      </c>
      <c r="AO279" s="1226"/>
      <c r="AP279" s="1493"/>
      <c r="AQ279" s="1227"/>
      <c r="AR279" s="1728"/>
      <c r="AS279" s="1220"/>
      <c r="AT279" s="1217"/>
      <c r="AU279" s="1218"/>
      <c r="AV279" s="1220"/>
      <c r="AW279" s="4676" t="s">
        <v>5570</v>
      </c>
      <c r="AX279" s="1728">
        <v>46112</v>
      </c>
      <c r="AY279" s="1094" t="str">
        <f t="shared" si="40"/>
        <v>ACTIVE</v>
      </c>
      <c r="AZ279" s="3521">
        <v>1567562</v>
      </c>
      <c r="BA279" s="1222" t="s">
        <v>79</v>
      </c>
      <c r="BB279" s="1228"/>
      <c r="BC279" s="1229"/>
      <c r="BD279" s="1230"/>
      <c r="BF279" s="845">
        <f t="shared" ca="1" si="37"/>
        <v>0</v>
      </c>
      <c r="BG279" s="1377"/>
    </row>
    <row r="280" spans="1:59" s="686" customFormat="1" ht="60.95" customHeight="1">
      <c r="A280" s="1141">
        <f t="shared" si="41"/>
        <v>214</v>
      </c>
      <c r="B280" s="1884" t="s">
        <v>5385</v>
      </c>
      <c r="C280" s="1474" t="s">
        <v>165</v>
      </c>
      <c r="D280" s="1475" t="s">
        <v>92</v>
      </c>
      <c r="E280" s="1476"/>
      <c r="F280" s="1477"/>
      <c r="G280" s="1478"/>
      <c r="H280" s="1479" t="s">
        <v>104</v>
      </c>
      <c r="I280" s="1885" t="s">
        <v>244</v>
      </c>
      <c r="J280" s="1480" t="str">
        <f>IFERROR(VLOOKUP(I280,dropdowns!$E$45:$I$56,2,FALSE)," ")</f>
        <v>1.TB.01.003</v>
      </c>
      <c r="K280" s="1886" t="s">
        <v>244</v>
      </c>
      <c r="L280" s="1481" t="str">
        <f>IFERROR(VLOOKUP(K280,dropdowns!$G$45:$H$56,2,FALSE)," ")</f>
        <v>1.TB.01.003.01</v>
      </c>
      <c r="M280" s="1251" t="s">
        <v>2237</v>
      </c>
      <c r="N280" s="1482" t="s">
        <v>155</v>
      </c>
      <c r="O280" s="1231" t="s">
        <v>5399</v>
      </c>
      <c r="P280" s="1224"/>
      <c r="Q280" s="3913"/>
      <c r="R280" s="1216"/>
      <c r="S280" s="1217"/>
      <c r="T280" s="1728"/>
      <c r="U280" s="1222" t="s">
        <v>79</v>
      </c>
      <c r="V280" s="1222"/>
      <c r="W280" s="1219"/>
      <c r="X280" s="1093" t="str">
        <f t="shared" si="38"/>
        <v>ACTIVE</v>
      </c>
      <c r="Y280" s="3349"/>
      <c r="Z280" s="1221" t="s">
        <v>761</v>
      </c>
      <c r="AA280" s="1217"/>
      <c r="AB280" s="1728">
        <v>46083</v>
      </c>
      <c r="AC280" s="1222" t="s">
        <v>79</v>
      </c>
      <c r="AD280" s="1219" t="s">
        <v>5448</v>
      </c>
      <c r="AE280" s="1222"/>
      <c r="AF280" s="1094" t="str">
        <f t="shared" si="39"/>
        <v>ACTIVE</v>
      </c>
      <c r="AG280" s="1220">
        <v>10400</v>
      </c>
      <c r="AH280" s="1234" t="s">
        <v>1994</v>
      </c>
      <c r="AI280" s="1728">
        <v>46091</v>
      </c>
      <c r="AJ280" s="1222" t="s">
        <v>79</v>
      </c>
      <c r="AK280" s="1219" t="s">
        <v>5450</v>
      </c>
      <c r="AL280" s="1223" t="s">
        <v>1994</v>
      </c>
      <c r="AM280" s="1735">
        <v>46094</v>
      </c>
      <c r="AN280" s="1239" t="s">
        <v>5457</v>
      </c>
      <c r="AO280" s="3570" t="s">
        <v>708</v>
      </c>
      <c r="AP280" s="3571" t="s">
        <v>663</v>
      </c>
      <c r="AQ280" s="3572"/>
      <c r="AR280" s="3561"/>
      <c r="AS280" s="3573"/>
      <c r="AT280" s="3567"/>
      <c r="AU280" s="4391"/>
      <c r="AV280" s="3573"/>
      <c r="AW280" s="3572" t="s">
        <v>6235</v>
      </c>
      <c r="AX280" s="3561">
        <v>46153</v>
      </c>
      <c r="AY280" s="3559" t="str">
        <f t="shared" si="40"/>
        <v>ACTIVE</v>
      </c>
      <c r="AZ280" s="4392">
        <v>6656</v>
      </c>
      <c r="BA280" s="3562" t="s">
        <v>79</v>
      </c>
      <c r="BB280" s="4393"/>
      <c r="BC280" s="4394"/>
      <c r="BD280" s="4395"/>
      <c r="BF280" s="845">
        <f t="shared" ca="1" si="37"/>
        <v>0</v>
      </c>
      <c r="BG280" s="1377"/>
    </row>
    <row r="281" spans="1:59" s="686" customFormat="1" ht="50.25" customHeight="1">
      <c r="A281" s="1141">
        <f t="shared" si="41"/>
        <v>215</v>
      </c>
      <c r="B281" s="1884" t="s">
        <v>5396</v>
      </c>
      <c r="C281" s="1474" t="s">
        <v>165</v>
      </c>
      <c r="D281" s="4427" t="s">
        <v>92</v>
      </c>
      <c r="E281" s="1476"/>
      <c r="F281" s="1477"/>
      <c r="G281" s="1478"/>
      <c r="H281" s="1479" t="s">
        <v>104</v>
      </c>
      <c r="I281" s="1885" t="s">
        <v>244</v>
      </c>
      <c r="J281" s="1480" t="str">
        <f>IFERROR(VLOOKUP(I281,dropdowns!$E$45:$I$56,2,FALSE)," ")</f>
        <v>1.TB.01.003</v>
      </c>
      <c r="K281" s="1886" t="s">
        <v>244</v>
      </c>
      <c r="L281" s="1481" t="str">
        <f>IFERROR(VLOOKUP(K281,dropdowns!$G$45:$H$56,2,FALSE)," ")</f>
        <v>1.TB.01.003.01</v>
      </c>
      <c r="M281" s="1251" t="s">
        <v>2269</v>
      </c>
      <c r="N281" s="1482" t="s">
        <v>152</v>
      </c>
      <c r="O281" s="2000" t="s">
        <v>5400</v>
      </c>
      <c r="P281" s="4686"/>
      <c r="Q281" s="4687">
        <v>60000</v>
      </c>
      <c r="R281" s="1103"/>
      <c r="S281" s="1109"/>
      <c r="T281" s="1729"/>
      <c r="U281" s="1097" t="s">
        <v>79</v>
      </c>
      <c r="V281" s="1097"/>
      <c r="W281" s="1105"/>
      <c r="X281" s="1093" t="str">
        <f t="shared" si="38"/>
        <v>ACTIVE</v>
      </c>
      <c r="Y281" s="3351"/>
      <c r="Z281" s="1111"/>
      <c r="AA281" s="1109"/>
      <c r="AB281" s="1729"/>
      <c r="AC281" s="1097" t="s">
        <v>87</v>
      </c>
      <c r="AD281" s="1097"/>
      <c r="AE281" s="1097"/>
      <c r="AF281" s="1094" t="str">
        <f t="shared" si="39"/>
        <v>NOT ACTIVE</v>
      </c>
      <c r="AG281" s="1182"/>
      <c r="AH281" s="1101"/>
      <c r="AI281" s="1729"/>
      <c r="AJ281" s="1097"/>
      <c r="AK281" s="1097"/>
      <c r="AL281" s="1223" t="s">
        <v>5397</v>
      </c>
      <c r="AM281" s="1735">
        <v>46071</v>
      </c>
      <c r="AN281" s="4638" t="s">
        <v>5398</v>
      </c>
      <c r="AO281" s="1113"/>
      <c r="AP281" s="1487"/>
      <c r="AQ281" s="1117"/>
      <c r="AR281" s="1729"/>
      <c r="AS281" s="1182"/>
      <c r="AT281" s="1109"/>
      <c r="AU281" s="1095"/>
      <c r="AV281" s="1182"/>
      <c r="AW281" s="1109"/>
      <c r="AX281" s="1729"/>
      <c r="AY281" s="1094" t="str">
        <f t="shared" si="40"/>
        <v>NOT ACTIVE</v>
      </c>
      <c r="AZ281" s="1186"/>
      <c r="BA281" s="1097"/>
      <c r="BB281" s="1098"/>
      <c r="BC281" s="1099"/>
      <c r="BD281" s="1108" t="s">
        <v>4481</v>
      </c>
      <c r="BF281" s="845">
        <f t="shared" ca="1" si="37"/>
        <v>0</v>
      </c>
      <c r="BG281" s="1377"/>
    </row>
    <row r="282" spans="1:59" s="686" customFormat="1" ht="60.75" customHeight="1">
      <c r="A282" s="1141">
        <f t="shared" si="41"/>
        <v>216</v>
      </c>
      <c r="B282" s="1884" t="s">
        <v>5401</v>
      </c>
      <c r="C282" s="1474" t="s">
        <v>165</v>
      </c>
      <c r="D282" s="4427" t="s">
        <v>92</v>
      </c>
      <c r="E282" s="1476"/>
      <c r="F282" s="1477"/>
      <c r="G282" s="1478"/>
      <c r="H282" s="1479" t="s">
        <v>104</v>
      </c>
      <c r="I282" s="1885" t="s">
        <v>244</v>
      </c>
      <c r="J282" s="1480" t="str">
        <f>IFERROR(VLOOKUP(I282,dropdowns!$E$45:$I$56,2,FALSE)," ")</f>
        <v>1.TB.01.003</v>
      </c>
      <c r="K282" s="1886" t="s">
        <v>244</v>
      </c>
      <c r="L282" s="1481" t="str">
        <f>IFERROR(VLOOKUP(K282,dropdowns!$G$45:$H$56,2,FALSE)," ")</f>
        <v>1.TB.01.003.01</v>
      </c>
      <c r="M282" s="1251" t="s">
        <v>3930</v>
      </c>
      <c r="N282" s="1482" t="s">
        <v>2558</v>
      </c>
      <c r="O282" s="2000" t="s">
        <v>5402</v>
      </c>
      <c r="P282" s="4686" t="s">
        <v>5430</v>
      </c>
      <c r="Q282" s="4687">
        <v>-60000</v>
      </c>
      <c r="R282" s="1103"/>
      <c r="S282" s="1109"/>
      <c r="T282" s="1729"/>
      <c r="U282" s="1097"/>
      <c r="V282" s="1097"/>
      <c r="W282" s="1105"/>
      <c r="X282" s="1093" t="str">
        <f t="shared" si="38"/>
        <v>NOT ACTIVE</v>
      </c>
      <c r="Y282" s="3351"/>
      <c r="Z282" s="1111"/>
      <c r="AA282" s="1109"/>
      <c r="AB282" s="1729"/>
      <c r="AC282" s="1097"/>
      <c r="AD282" s="1097"/>
      <c r="AE282" s="1097"/>
      <c r="AF282" s="1094" t="str">
        <f t="shared" si="39"/>
        <v>NOT ACTIVE</v>
      </c>
      <c r="AG282" s="1182"/>
      <c r="AH282" s="1101"/>
      <c r="AI282" s="1729"/>
      <c r="AJ282" s="1097"/>
      <c r="AK282" s="1097"/>
      <c r="AL282" s="1110"/>
      <c r="AM282" s="1736"/>
      <c r="AN282" s="1112"/>
      <c r="AO282" s="1113"/>
      <c r="AP282" s="1487"/>
      <c r="AQ282" s="1117"/>
      <c r="AR282" s="1729"/>
      <c r="AS282" s="1182"/>
      <c r="AT282" s="1109"/>
      <c r="AU282" s="1095"/>
      <c r="AV282" s="1182"/>
      <c r="AW282" s="1109"/>
      <c r="AX282" s="1729"/>
      <c r="AY282" s="1094" t="str">
        <f t="shared" si="40"/>
        <v>NOT ACTIVE</v>
      </c>
      <c r="AZ282" s="1186"/>
      <c r="BA282" s="1097"/>
      <c r="BB282" s="1098"/>
      <c r="BC282" s="1099"/>
      <c r="BD282" s="1108" t="s">
        <v>4481</v>
      </c>
      <c r="BF282" s="845">
        <f t="shared" ca="1" si="37"/>
        <v>0</v>
      </c>
      <c r="BG282" s="1377"/>
    </row>
    <row r="283" spans="1:59" s="686" customFormat="1" ht="46.5" customHeight="1">
      <c r="A283" s="1132">
        <f t="shared" si="41"/>
        <v>217</v>
      </c>
      <c r="B283" s="3545" t="s">
        <v>6127</v>
      </c>
      <c r="C283" s="4803" t="s">
        <v>165</v>
      </c>
      <c r="D283" s="4804" t="s">
        <v>92</v>
      </c>
      <c r="E283" s="4805"/>
      <c r="F283" s="4806"/>
      <c r="G283" s="4807"/>
      <c r="H283" s="4808" t="s">
        <v>104</v>
      </c>
      <c r="I283" s="4809" t="s">
        <v>244</v>
      </c>
      <c r="J283" s="4810" t="str">
        <f>IFERROR(VLOOKUP(I283,dropdowns!$E$45:$I$56,2,FALSE)," ")</f>
        <v>1.TB.01.003</v>
      </c>
      <c r="K283" s="4811" t="s">
        <v>244</v>
      </c>
      <c r="L283" s="4812" t="str">
        <f>IFERROR(VLOOKUP(K283,dropdowns!$G$45:$H$56,2,FALSE)," ")</f>
        <v>1.TB.01.003.01</v>
      </c>
      <c r="M283" s="4813" t="s">
        <v>3930</v>
      </c>
      <c r="N283" s="4814" t="s">
        <v>2558</v>
      </c>
      <c r="O283" s="3558" t="s">
        <v>5453</v>
      </c>
      <c r="P283" s="4815"/>
      <c r="Q283" s="4816"/>
      <c r="R283" s="3566" t="s">
        <v>6122</v>
      </c>
      <c r="S283" s="3567" t="s">
        <v>663</v>
      </c>
      <c r="T283" s="3561">
        <v>46086</v>
      </c>
      <c r="U283" s="3562" t="s">
        <v>79</v>
      </c>
      <c r="V283" s="3563" t="s">
        <v>6123</v>
      </c>
      <c r="W283" s="3563" t="s">
        <v>94</v>
      </c>
      <c r="X283" s="1093" t="str">
        <f t="shared" si="38"/>
        <v>ACTIVE</v>
      </c>
      <c r="Y283" s="3568">
        <v>-25000</v>
      </c>
      <c r="Z283" s="1221" t="s">
        <v>6124</v>
      </c>
      <c r="AA283" s="1217" t="s">
        <v>663</v>
      </c>
      <c r="AB283" s="1728">
        <v>46154</v>
      </c>
      <c r="AC283" s="1222" t="s">
        <v>79</v>
      </c>
      <c r="AD283" s="1219" t="s">
        <v>6239</v>
      </c>
      <c r="AE283" s="1222" t="s">
        <v>94</v>
      </c>
      <c r="AF283" s="1093" t="str">
        <f t="shared" si="39"/>
        <v>ACTIVE</v>
      </c>
      <c r="AG283" s="1220">
        <v>-25000</v>
      </c>
      <c r="AH283" s="3560" t="s">
        <v>6125</v>
      </c>
      <c r="AI283" s="3561">
        <v>46086</v>
      </c>
      <c r="AJ283" s="3562" t="s">
        <v>79</v>
      </c>
      <c r="AK283" s="3563" t="s">
        <v>6123</v>
      </c>
      <c r="AL283" s="3564" t="s">
        <v>6125</v>
      </c>
      <c r="AM283" s="4360">
        <v>46077</v>
      </c>
      <c r="AN283" s="3565" t="s">
        <v>6126</v>
      </c>
      <c r="AO283" s="3570" t="s">
        <v>6422</v>
      </c>
      <c r="AP283" s="3571" t="s">
        <v>663</v>
      </c>
      <c r="AQ283" s="3572"/>
      <c r="AR283" s="3561"/>
      <c r="AS283" s="3573"/>
      <c r="AT283" s="3567"/>
      <c r="AU283" s="4391"/>
      <c r="AV283" s="3573"/>
      <c r="AW283" s="3572" t="s">
        <v>6582</v>
      </c>
      <c r="AX283" s="3561">
        <v>46237</v>
      </c>
      <c r="AY283" s="4925" t="str">
        <f t="shared" si="40"/>
        <v>ACTIVE</v>
      </c>
      <c r="AZ283" s="4392">
        <v>-25000</v>
      </c>
      <c r="BA283" s="3562" t="s">
        <v>79</v>
      </c>
      <c r="BB283" s="4393"/>
      <c r="BC283" s="4394"/>
      <c r="BD283" s="4395" t="s">
        <v>6437</v>
      </c>
      <c r="BF283" s="845">
        <f t="shared" ca="1" si="37"/>
        <v>0</v>
      </c>
      <c r="BG283" s="1377"/>
    </row>
    <row r="284" spans="1:59" s="686" customFormat="1" ht="44.25" customHeight="1">
      <c r="A284" s="1141">
        <f t="shared" si="41"/>
        <v>218</v>
      </c>
      <c r="B284" s="1884" t="s">
        <v>6132</v>
      </c>
      <c r="C284" s="4646" t="s">
        <v>165</v>
      </c>
      <c r="D284" s="4647" t="s">
        <v>6131</v>
      </c>
      <c r="E284" s="4648"/>
      <c r="F284" s="4649"/>
      <c r="G284" s="4650"/>
      <c r="H284" s="4639" t="s">
        <v>104</v>
      </c>
      <c r="I284" s="4640" t="s">
        <v>244</v>
      </c>
      <c r="J284" s="4641" t="str">
        <f>IFERROR(VLOOKUP(I284,dropdowns!$E$45:$I$56,2,FALSE)," ")</f>
        <v>1.TB.01.003</v>
      </c>
      <c r="K284" s="4642" t="s">
        <v>244</v>
      </c>
      <c r="L284" s="4643" t="str">
        <f>IFERROR(VLOOKUP(K284,dropdowns!$G$45:$H$56,2,FALSE)," ")</f>
        <v>1.TB.01.003.01</v>
      </c>
      <c r="M284" s="4644" t="s">
        <v>2237</v>
      </c>
      <c r="N284" s="4645" t="s">
        <v>155</v>
      </c>
      <c r="O284" s="1231" t="s">
        <v>5454</v>
      </c>
      <c r="P284" s="4651"/>
      <c r="Q284" s="4652">
        <f>765046.05*0</f>
        <v>0</v>
      </c>
      <c r="R284" s="3566" t="s">
        <v>5452</v>
      </c>
      <c r="S284" s="3567" t="s">
        <v>663</v>
      </c>
      <c r="T284" s="3561">
        <v>46105</v>
      </c>
      <c r="U284" s="3562" t="s">
        <v>79</v>
      </c>
      <c r="V284" s="3563" t="s">
        <v>5449</v>
      </c>
      <c r="W284" s="3563" t="s">
        <v>80</v>
      </c>
      <c r="X284" s="1093" t="str">
        <f t="shared" si="38"/>
        <v>ACTIVE</v>
      </c>
      <c r="Y284" s="3568">
        <v>765046.05</v>
      </c>
      <c r="Z284" s="1221" t="s">
        <v>2126</v>
      </c>
      <c r="AA284" s="1217"/>
      <c r="AB284" s="1728">
        <v>46154</v>
      </c>
      <c r="AC284" s="1222" t="s">
        <v>79</v>
      </c>
      <c r="AD284" s="1219" t="s">
        <v>6237</v>
      </c>
      <c r="AE284" s="1222" t="s">
        <v>80</v>
      </c>
      <c r="AF284" s="1093" t="str">
        <f t="shared" si="39"/>
        <v>ACTIVE</v>
      </c>
      <c r="AG284" s="1220">
        <v>765046.05</v>
      </c>
      <c r="AH284" s="1234" t="s">
        <v>5452</v>
      </c>
      <c r="AI284" s="1728">
        <v>46105</v>
      </c>
      <c r="AJ284" s="1222" t="s">
        <v>79</v>
      </c>
      <c r="AK284" s="1219" t="s">
        <v>5449</v>
      </c>
      <c r="AL284" s="2855" t="s">
        <v>5452</v>
      </c>
      <c r="AM284" s="1735">
        <v>46106</v>
      </c>
      <c r="AN284" s="1239" t="s">
        <v>5456</v>
      </c>
      <c r="AO284" s="1113"/>
      <c r="AP284" s="1487"/>
      <c r="AQ284" s="1117"/>
      <c r="AR284" s="1729"/>
      <c r="AS284" s="1182"/>
      <c r="AT284" s="1109"/>
      <c r="AU284" s="1095"/>
      <c r="AV284" s="1182"/>
      <c r="AW284" s="1109"/>
      <c r="AX284" s="1729"/>
      <c r="AY284" s="1094" t="str">
        <f t="shared" si="40"/>
        <v>NOT ACTIVE</v>
      </c>
      <c r="AZ284" s="1186"/>
      <c r="BA284" s="1097" t="s">
        <v>87</v>
      </c>
      <c r="BB284" s="1098"/>
      <c r="BC284" s="1099"/>
      <c r="BD284" s="1108"/>
      <c r="BF284" s="845">
        <f t="shared" ca="1" si="37"/>
        <v>193</v>
      </c>
      <c r="BG284" s="1377"/>
    </row>
    <row r="285" spans="1:59" s="686" customFormat="1" ht="59.25" customHeight="1">
      <c r="A285" s="1141">
        <f t="shared" si="41"/>
        <v>219</v>
      </c>
      <c r="B285" s="1884" t="s">
        <v>6132</v>
      </c>
      <c r="C285" s="1474" t="s">
        <v>165</v>
      </c>
      <c r="D285" s="4647" t="s">
        <v>6131</v>
      </c>
      <c r="E285" s="1476"/>
      <c r="F285" s="1477"/>
      <c r="G285" s="1478"/>
      <c r="H285" s="1479" t="s">
        <v>82</v>
      </c>
      <c r="I285" s="1885" t="s">
        <v>244</v>
      </c>
      <c r="J285" s="1480" t="str">
        <f>IFERROR(VLOOKUP(I285,dropdowns!$E$45:$I$56,2,FALSE)," ")</f>
        <v>1.TB.01.003</v>
      </c>
      <c r="K285" s="1886" t="s">
        <v>244</v>
      </c>
      <c r="L285" s="1481" t="str">
        <f>IFERROR(VLOOKUP(K285,dropdowns!$G$45:$H$56,2,FALSE)," ")</f>
        <v>1.TB.01.003.01</v>
      </c>
      <c r="M285" s="4644" t="s">
        <v>3930</v>
      </c>
      <c r="N285" s="4645" t="s">
        <v>2558</v>
      </c>
      <c r="O285" s="1231" t="s">
        <v>5455</v>
      </c>
      <c r="P285" s="4651"/>
      <c r="Q285" s="4652">
        <f>-765046.05*0</f>
        <v>0</v>
      </c>
      <c r="R285" s="3566" t="s">
        <v>5452</v>
      </c>
      <c r="S285" s="3567" t="s">
        <v>663</v>
      </c>
      <c r="T285" s="3561">
        <v>46105</v>
      </c>
      <c r="U285" s="3562" t="s">
        <v>79</v>
      </c>
      <c r="V285" s="3563" t="s">
        <v>5449</v>
      </c>
      <c r="W285" s="3563" t="s">
        <v>94</v>
      </c>
      <c r="X285" s="1093" t="str">
        <f t="shared" si="38"/>
        <v>ACTIVE</v>
      </c>
      <c r="Y285" s="3568">
        <v>-765046.05</v>
      </c>
      <c r="Z285" s="1221" t="s">
        <v>6130</v>
      </c>
      <c r="AA285" s="1217" t="s">
        <v>663</v>
      </c>
      <c r="AB285" s="1728">
        <v>46154</v>
      </c>
      <c r="AC285" s="1222" t="s">
        <v>79</v>
      </c>
      <c r="AD285" s="1219" t="s">
        <v>6238</v>
      </c>
      <c r="AE285" s="1222" t="s">
        <v>80</v>
      </c>
      <c r="AF285" s="1093" t="str">
        <f t="shared" si="39"/>
        <v>ACTIVE</v>
      </c>
      <c r="AG285" s="1220">
        <v>-765046.05</v>
      </c>
      <c r="AH285" s="1101"/>
      <c r="AI285" s="1729"/>
      <c r="AJ285" s="1097"/>
      <c r="AK285" s="1097"/>
      <c r="AL285" s="1110"/>
      <c r="AM285" s="1736"/>
      <c r="AN285" s="1112"/>
      <c r="AO285" s="1113"/>
      <c r="AP285" s="1487"/>
      <c r="AQ285" s="1117"/>
      <c r="AR285" s="1729"/>
      <c r="AS285" s="1182"/>
      <c r="AT285" s="1109"/>
      <c r="AU285" s="1095"/>
      <c r="AV285" s="1182"/>
      <c r="AW285" s="1109"/>
      <c r="AX285" s="1729"/>
      <c r="AY285" s="1094" t="str">
        <f t="shared" si="40"/>
        <v>NOT ACTIVE</v>
      </c>
      <c r="AZ285" s="1186"/>
      <c r="BA285" s="1097" t="s">
        <v>87</v>
      </c>
      <c r="BB285" s="1098"/>
      <c r="BC285" s="1099"/>
      <c r="BD285" s="1108"/>
      <c r="BF285" s="845">
        <f t="shared" ca="1" si="37"/>
        <v>46299</v>
      </c>
      <c r="BG285" s="1377"/>
    </row>
    <row r="286" spans="1:59" s="686" customFormat="1" ht="41.25" customHeight="1">
      <c r="A286" s="1141">
        <f t="shared" si="41"/>
        <v>220</v>
      </c>
      <c r="B286" s="1884" t="s">
        <v>5415</v>
      </c>
      <c r="C286" s="1474" t="s">
        <v>165</v>
      </c>
      <c r="D286" s="1886"/>
      <c r="E286" s="1476"/>
      <c r="F286" s="1477"/>
      <c r="G286" s="1478"/>
      <c r="H286" s="1479" t="s">
        <v>82</v>
      </c>
      <c r="I286" s="1885" t="s">
        <v>244</v>
      </c>
      <c r="J286" s="1480" t="str">
        <f>IFERROR(VLOOKUP(I286,dropdowns!$E$45:$I$56,2,FALSE)," ")</f>
        <v>1.TB.01.003</v>
      </c>
      <c r="K286" s="1886" t="s">
        <v>244</v>
      </c>
      <c r="L286" s="1481" t="str">
        <f>IFERROR(VLOOKUP(K286,dropdowns!$G$45:$H$56,2,FALSE)," ")</f>
        <v>1.TB.01.003.01</v>
      </c>
      <c r="M286" s="1251" t="s">
        <v>2807</v>
      </c>
      <c r="N286" s="1482" t="s">
        <v>2966</v>
      </c>
      <c r="O286" s="1231"/>
      <c r="P286" s="1224"/>
      <c r="Q286" s="3913"/>
      <c r="R286" s="1216"/>
      <c r="S286" s="1217"/>
      <c r="T286" s="1728"/>
      <c r="U286" s="1222" t="s">
        <v>79</v>
      </c>
      <c r="V286" s="1222"/>
      <c r="W286" s="1219"/>
      <c r="X286" s="1093" t="str">
        <f t="shared" si="38"/>
        <v>ACTIVE</v>
      </c>
      <c r="Y286" s="3349"/>
      <c r="Z286" s="1221" t="s">
        <v>5084</v>
      </c>
      <c r="AA286" s="1217"/>
      <c r="AB286" s="1728">
        <v>46094</v>
      </c>
      <c r="AC286" s="1222" t="s">
        <v>79</v>
      </c>
      <c r="AD286" s="1219" t="s">
        <v>5465</v>
      </c>
      <c r="AE286" s="1222"/>
      <c r="AF286" s="1094" t="str">
        <f t="shared" si="39"/>
        <v>ACTIVE</v>
      </c>
      <c r="AG286" s="1220">
        <v>242502.8</v>
      </c>
      <c r="AH286" s="1234" t="s">
        <v>1984</v>
      </c>
      <c r="AI286" s="1728">
        <v>46094</v>
      </c>
      <c r="AJ286" s="1222" t="s">
        <v>79</v>
      </c>
      <c r="AK286" s="1219" t="s">
        <v>5465</v>
      </c>
      <c r="AL286" s="1223" t="s">
        <v>1984</v>
      </c>
      <c r="AM286" s="1735">
        <v>46095</v>
      </c>
      <c r="AN286" s="1239" t="s">
        <v>5466</v>
      </c>
      <c r="AO286" s="1226"/>
      <c r="AP286" s="1493"/>
      <c r="AQ286" s="1227"/>
      <c r="AR286" s="1728"/>
      <c r="AS286" s="1220"/>
      <c r="AT286" s="1217"/>
      <c r="AU286" s="1218"/>
      <c r="AV286" s="1220"/>
      <c r="AW286" s="1227" t="s">
        <v>5569</v>
      </c>
      <c r="AX286" s="1728">
        <v>46112</v>
      </c>
      <c r="AY286" s="1094" t="str">
        <f t="shared" si="40"/>
        <v>ACTIVE</v>
      </c>
      <c r="AZ286" s="3521">
        <v>248084.71</v>
      </c>
      <c r="BA286" s="1222" t="s">
        <v>79</v>
      </c>
      <c r="BB286" s="1228"/>
      <c r="BC286" s="1229"/>
      <c r="BD286" s="1230"/>
      <c r="BF286" s="845">
        <f t="shared" ca="1" si="37"/>
        <v>0</v>
      </c>
      <c r="BG286" s="1377"/>
    </row>
    <row r="287" spans="1:59" s="686" customFormat="1" ht="38.25">
      <c r="A287" s="1132">
        <f t="shared" si="41"/>
        <v>221</v>
      </c>
      <c r="B287" s="3545" t="s">
        <v>5574</v>
      </c>
      <c r="C287" s="3546" t="s">
        <v>165</v>
      </c>
      <c r="D287" s="3554" t="s">
        <v>5116</v>
      </c>
      <c r="E287" s="3548"/>
      <c r="F287" s="3549"/>
      <c r="G287" s="3550"/>
      <c r="H287" s="4430" t="s">
        <v>104</v>
      </c>
      <c r="I287" s="4431" t="s">
        <v>244</v>
      </c>
      <c r="J287" s="1944" t="str">
        <f>IFERROR(VLOOKUP(I287,dropdowns!$E$45:$I$56,2,FALSE)," ")</f>
        <v>1.TB.01.003</v>
      </c>
      <c r="K287" s="4432" t="s">
        <v>244</v>
      </c>
      <c r="L287" s="4433" t="str">
        <f>IFERROR(VLOOKUP(K287,dropdowns!$G$45:$H$56,2,FALSE)," ")</f>
        <v>1.TB.01.003.01</v>
      </c>
      <c r="M287" s="4434" t="s">
        <v>3205</v>
      </c>
      <c r="N287" s="4435" t="s">
        <v>3207</v>
      </c>
      <c r="O287" s="2000" t="s">
        <v>5575</v>
      </c>
      <c r="P287" s="4686"/>
      <c r="Q287" s="4687">
        <f>65000*0</f>
        <v>0</v>
      </c>
      <c r="R287" s="3566" t="s">
        <v>5576</v>
      </c>
      <c r="S287" s="3567" t="s">
        <v>663</v>
      </c>
      <c r="T287" s="3561">
        <v>46138</v>
      </c>
      <c r="U287" s="3562" t="s">
        <v>79</v>
      </c>
      <c r="V287" s="3563" t="s">
        <v>6139</v>
      </c>
      <c r="W287" s="3563" t="s">
        <v>80</v>
      </c>
      <c r="X287" s="1093" t="str">
        <f t="shared" si="38"/>
        <v>ACTIVE</v>
      </c>
      <c r="Y287" s="3568">
        <v>65000</v>
      </c>
      <c r="Z287" s="3575" t="s">
        <v>5577</v>
      </c>
      <c r="AA287" s="3567" t="s">
        <v>663</v>
      </c>
      <c r="AB287" s="3561">
        <v>46138</v>
      </c>
      <c r="AC287" s="3562" t="s">
        <v>79</v>
      </c>
      <c r="AD287" s="3563" t="s">
        <v>6139</v>
      </c>
      <c r="AE287" s="3562"/>
      <c r="AF287" s="1094" t="str">
        <f t="shared" si="39"/>
        <v>ACTIVE</v>
      </c>
      <c r="AG287" s="3573">
        <v>65000</v>
      </c>
      <c r="AH287" s="3560" t="s">
        <v>2348</v>
      </c>
      <c r="AI287" s="3561">
        <v>46138</v>
      </c>
      <c r="AJ287" s="3562" t="s">
        <v>79</v>
      </c>
      <c r="AK287" s="3563" t="s">
        <v>6139</v>
      </c>
      <c r="AL287" s="1110"/>
      <c r="AM287" s="1736"/>
      <c r="AN287" s="1112"/>
      <c r="AO287" s="1113"/>
      <c r="AP287" s="1487"/>
      <c r="AQ287" s="1117"/>
      <c r="AR287" s="1729"/>
      <c r="AS287" s="1182"/>
      <c r="AT287" s="1109"/>
      <c r="AU287" s="1095"/>
      <c r="AV287" s="1182"/>
      <c r="AW287" s="1109"/>
      <c r="AX287" s="1729"/>
      <c r="AY287" s="1094" t="str">
        <f t="shared" si="40"/>
        <v>NOT ACTIVE</v>
      </c>
      <c r="AZ287" s="1186"/>
      <c r="BA287" s="1097" t="s">
        <v>87</v>
      </c>
      <c r="BB287" s="1098"/>
      <c r="BC287" s="1099"/>
      <c r="BD287" s="1108"/>
      <c r="BF287" s="845">
        <f t="shared" ca="1" si="37"/>
        <v>46299</v>
      </c>
      <c r="BG287" s="1377"/>
    </row>
    <row r="288" spans="1:59" s="686" customFormat="1" ht="69" customHeight="1">
      <c r="A288" s="1132">
        <f t="shared" si="41"/>
        <v>222</v>
      </c>
      <c r="B288" s="3545" t="s">
        <v>5590</v>
      </c>
      <c r="C288" s="3546" t="s">
        <v>165</v>
      </c>
      <c r="D288" s="3554" t="s">
        <v>5116</v>
      </c>
      <c r="E288" s="3548"/>
      <c r="F288" s="3549"/>
      <c r="G288" s="3550"/>
      <c r="H288" s="4430" t="s">
        <v>104</v>
      </c>
      <c r="I288" s="4431" t="s">
        <v>244</v>
      </c>
      <c r="J288" s="1944" t="str">
        <f>IFERROR(VLOOKUP(I288,dropdowns!$E$45:$I$56,2,FALSE)," ")</f>
        <v>1.TB.01.003</v>
      </c>
      <c r="K288" s="4432" t="s">
        <v>244</v>
      </c>
      <c r="L288" s="4433" t="str">
        <f>IFERROR(VLOOKUP(K288,dropdowns!$G$45:$H$56,2,FALSE)," ")</f>
        <v>1.TB.01.003.01</v>
      </c>
      <c r="M288" s="4644" t="s">
        <v>3930</v>
      </c>
      <c r="N288" s="4645" t="s">
        <v>2558</v>
      </c>
      <c r="O288" s="3558"/>
      <c r="P288" s="4724"/>
      <c r="Q288" s="3920"/>
      <c r="R288" s="3566" t="s">
        <v>5593</v>
      </c>
      <c r="S288" s="3567" t="s">
        <v>663</v>
      </c>
      <c r="T288" s="3561">
        <v>46119</v>
      </c>
      <c r="U288" s="3562" t="s">
        <v>79</v>
      </c>
      <c r="V288" s="3563" t="s">
        <v>5594</v>
      </c>
      <c r="W288" s="3563"/>
      <c r="X288" s="3559" t="str">
        <f t="shared" si="38"/>
        <v>ACTIVE</v>
      </c>
      <c r="Y288" s="3568">
        <f>506543+138883</f>
        <v>645426</v>
      </c>
      <c r="Z288" s="3575">
        <v>33</v>
      </c>
      <c r="AA288" s="3567"/>
      <c r="AB288" s="3561">
        <v>46243</v>
      </c>
      <c r="AC288" s="3562" t="s">
        <v>79</v>
      </c>
      <c r="AD288" s="3563" t="s">
        <v>6586</v>
      </c>
      <c r="AE288" s="3562" t="s">
        <v>80</v>
      </c>
      <c r="AF288" s="1093" t="str">
        <f t="shared" si="39"/>
        <v>ACTIVE</v>
      </c>
      <c r="AG288" s="3573">
        <v>632257.26</v>
      </c>
      <c r="AH288" s="1234" t="s">
        <v>6195</v>
      </c>
      <c r="AI288" s="1728">
        <v>46154</v>
      </c>
      <c r="AJ288" s="1222" t="s">
        <v>79</v>
      </c>
      <c r="AK288" s="1219" t="s">
        <v>6240</v>
      </c>
      <c r="AL288" s="1110"/>
      <c r="AM288" s="1736"/>
      <c r="AN288" s="1112"/>
      <c r="AO288" s="1113"/>
      <c r="AP288" s="1487"/>
      <c r="AQ288" s="1117"/>
      <c r="AR288" s="1729"/>
      <c r="AS288" s="1182"/>
      <c r="AT288" s="1109"/>
      <c r="AU288" s="1095"/>
      <c r="AV288" s="1182"/>
      <c r="AW288" s="1109"/>
      <c r="AX288" s="1729"/>
      <c r="AY288" s="1094" t="str">
        <f t="shared" si="40"/>
        <v>NOT ACTIVE</v>
      </c>
      <c r="AZ288" s="1186"/>
      <c r="BA288" s="1097" t="s">
        <v>87</v>
      </c>
      <c r="BB288" s="1098"/>
      <c r="BC288" s="1099"/>
      <c r="BD288" s="1108"/>
      <c r="BF288" s="845">
        <f t="shared" ca="1" si="37"/>
        <v>46299</v>
      </c>
      <c r="BG288" s="1377"/>
    </row>
    <row r="289" spans="1:59" s="686" customFormat="1" ht="70.5" customHeight="1">
      <c r="A289" s="1915">
        <f t="shared" si="41"/>
        <v>223</v>
      </c>
      <c r="B289" s="4725" t="s">
        <v>5591</v>
      </c>
      <c r="C289" s="4726" t="s">
        <v>165</v>
      </c>
      <c r="D289" s="4734" t="s">
        <v>5116</v>
      </c>
      <c r="E289" s="4728"/>
      <c r="F289" s="4729"/>
      <c r="G289" s="4730"/>
      <c r="H289" s="4888" t="s">
        <v>104</v>
      </c>
      <c r="I289" s="4889" t="s">
        <v>244</v>
      </c>
      <c r="J289" s="4890" t="str">
        <f>IFERROR(VLOOKUP(I289,dropdowns!$E$45:$I$56,2,FALSE)," ")</f>
        <v>1.TB.01.003</v>
      </c>
      <c r="K289" s="4891" t="s">
        <v>244</v>
      </c>
      <c r="L289" s="4892" t="str">
        <f>IFERROR(VLOOKUP(K289,dropdowns!$G$45:$H$56,2,FALSE)," ")</f>
        <v>1.TB.01.003.01</v>
      </c>
      <c r="M289" s="4736" t="s">
        <v>189</v>
      </c>
      <c r="N289" s="4737" t="s">
        <v>2043</v>
      </c>
      <c r="O289" s="4738"/>
      <c r="P289" s="4739"/>
      <c r="Q289" s="4740"/>
      <c r="R289" s="4741" t="s">
        <v>5593</v>
      </c>
      <c r="S289" s="4742" t="s">
        <v>663</v>
      </c>
      <c r="T289" s="4743">
        <v>46119</v>
      </c>
      <c r="U289" s="4744" t="s">
        <v>125</v>
      </c>
      <c r="V289" s="4745" t="s">
        <v>5594</v>
      </c>
      <c r="W289" s="4745"/>
      <c r="X289" s="3559" t="str">
        <f t="shared" si="38"/>
        <v>NOT ACTIVE</v>
      </c>
      <c r="Y289" s="4746">
        <v>720575</v>
      </c>
      <c r="Z289" s="4747" t="s">
        <v>2629</v>
      </c>
      <c r="AA289" s="4742" t="s">
        <v>663</v>
      </c>
      <c r="AB289" s="4743">
        <v>46158</v>
      </c>
      <c r="AC289" s="4744" t="s">
        <v>125</v>
      </c>
      <c r="AD289" s="4745" t="s">
        <v>6240</v>
      </c>
      <c r="AE289" s="4744" t="s">
        <v>94</v>
      </c>
      <c r="AF289" s="1093" t="str">
        <f t="shared" si="39"/>
        <v>NOT ACTIVE</v>
      </c>
      <c r="AG289" s="4748">
        <v>720574.79</v>
      </c>
      <c r="AH289" s="4749" t="s">
        <v>1984</v>
      </c>
      <c r="AI289" s="4743">
        <v>46158</v>
      </c>
      <c r="AJ289" s="4744" t="s">
        <v>125</v>
      </c>
      <c r="AK289" s="4745" t="s">
        <v>6240</v>
      </c>
      <c r="AL289" s="4750"/>
      <c r="AM289" s="4751"/>
      <c r="AN289" s="4752"/>
      <c r="AO289" s="4753"/>
      <c r="AP289" s="4754"/>
      <c r="AQ289" s="4755"/>
      <c r="AR289" s="4743"/>
      <c r="AS289" s="4748"/>
      <c r="AT289" s="4742"/>
      <c r="AU289" s="4756"/>
      <c r="AV289" s="4748"/>
      <c r="AW289" s="4742"/>
      <c r="AX289" s="4743"/>
      <c r="AY289" s="1094" t="str">
        <f t="shared" si="40"/>
        <v>NOT ACTIVE</v>
      </c>
      <c r="AZ289" s="4757"/>
      <c r="BA289" s="4744"/>
      <c r="BB289" s="4758"/>
      <c r="BC289" s="4759"/>
      <c r="BD289" s="4760" t="s">
        <v>6480</v>
      </c>
      <c r="BF289" s="845">
        <f t="shared" ca="1" si="37"/>
        <v>0</v>
      </c>
      <c r="BG289" s="1377"/>
    </row>
    <row r="290" spans="1:59" s="686" customFormat="1" ht="66.75" customHeight="1">
      <c r="A290" s="1915">
        <f t="shared" si="41"/>
        <v>224</v>
      </c>
      <c r="B290" s="4725" t="s">
        <v>5592</v>
      </c>
      <c r="C290" s="4726" t="s">
        <v>165</v>
      </c>
      <c r="D290" s="4734" t="s">
        <v>5116</v>
      </c>
      <c r="E290" s="4728"/>
      <c r="F290" s="4729"/>
      <c r="G290" s="4730"/>
      <c r="H290" s="4888" t="s">
        <v>104</v>
      </c>
      <c r="I290" s="4889" t="s">
        <v>244</v>
      </c>
      <c r="J290" s="4890" t="str">
        <f>IFERROR(VLOOKUP(I290,dropdowns!$E$45:$I$56,2,FALSE)," ")</f>
        <v>1.TB.01.003</v>
      </c>
      <c r="K290" s="4891" t="s">
        <v>244</v>
      </c>
      <c r="L290" s="4892" t="str">
        <f>IFERROR(VLOOKUP(K290,dropdowns!$G$45:$H$56,2,FALSE)," ")</f>
        <v>1.TB.01.003.01</v>
      </c>
      <c r="M290" s="4893" t="s">
        <v>3205</v>
      </c>
      <c r="N290" s="4894" t="s">
        <v>3207</v>
      </c>
      <c r="O290" s="4738"/>
      <c r="P290" s="4739"/>
      <c r="Q290" s="4740"/>
      <c r="R290" s="4741" t="s">
        <v>5593</v>
      </c>
      <c r="S290" s="4742" t="s">
        <v>663</v>
      </c>
      <c r="T290" s="4743">
        <v>46119</v>
      </c>
      <c r="U290" s="4744" t="s">
        <v>125</v>
      </c>
      <c r="V290" s="4745" t="s">
        <v>5594</v>
      </c>
      <c r="W290" s="4745"/>
      <c r="X290" s="3559" t="str">
        <f t="shared" si="38"/>
        <v>NOT ACTIVE</v>
      </c>
      <c r="Y290" s="4746">
        <v>138883</v>
      </c>
      <c r="Z290" s="4747"/>
      <c r="AA290" s="4742"/>
      <c r="AB290" s="4743"/>
      <c r="AC290" s="4744" t="s">
        <v>125</v>
      </c>
      <c r="AD290" s="4744"/>
      <c r="AE290" s="4744"/>
      <c r="AF290" s="1094" t="str">
        <f t="shared" si="39"/>
        <v>NOT ACTIVE</v>
      </c>
      <c r="AG290" s="4748"/>
      <c r="AH290" s="4749"/>
      <c r="AI290" s="4743"/>
      <c r="AJ290" s="4744"/>
      <c r="AK290" s="4744"/>
      <c r="AL290" s="4750"/>
      <c r="AM290" s="4751"/>
      <c r="AN290" s="4752"/>
      <c r="AO290" s="4753"/>
      <c r="AP290" s="4754"/>
      <c r="AQ290" s="4755"/>
      <c r="AR290" s="4743"/>
      <c r="AS290" s="4748"/>
      <c r="AT290" s="4742"/>
      <c r="AU290" s="4756"/>
      <c r="AV290" s="4748"/>
      <c r="AW290" s="4742"/>
      <c r="AX290" s="4743"/>
      <c r="AY290" s="1094" t="str">
        <f t="shared" si="40"/>
        <v>NOT ACTIVE</v>
      </c>
      <c r="AZ290" s="4757"/>
      <c r="BA290" s="4744"/>
      <c r="BB290" s="4758"/>
      <c r="BC290" s="4759"/>
      <c r="BD290" s="4760"/>
      <c r="BF290" s="845">
        <f t="shared" ca="1" si="37"/>
        <v>0</v>
      </c>
      <c r="BG290" s="1377"/>
    </row>
    <row r="291" spans="1:59" s="686" customFormat="1" ht="38.25">
      <c r="A291" s="1168">
        <f t="shared" si="41"/>
        <v>225</v>
      </c>
      <c r="B291" s="1884" t="s">
        <v>6133</v>
      </c>
      <c r="C291" s="1474" t="s">
        <v>165</v>
      </c>
      <c r="D291" s="1886"/>
      <c r="E291" s="1476"/>
      <c r="F291" s="1477"/>
      <c r="G291" s="1478"/>
      <c r="H291" s="1479" t="s">
        <v>82</v>
      </c>
      <c r="I291" s="1885" t="s">
        <v>244</v>
      </c>
      <c r="J291" s="1480" t="str">
        <f>IFERROR(VLOOKUP(I291,dropdowns!$E$45:$I$56,2,FALSE)," ")</f>
        <v>1.TB.01.003</v>
      </c>
      <c r="K291" s="1886" t="s">
        <v>244</v>
      </c>
      <c r="L291" s="1481" t="str">
        <f>IFERROR(VLOOKUP(K291,dropdowns!$G$45:$H$56,2,FALSE)," ")</f>
        <v>1.TB.01.003.01</v>
      </c>
      <c r="M291" s="1251" t="s">
        <v>2964</v>
      </c>
      <c r="N291" s="1482" t="s">
        <v>2965</v>
      </c>
      <c r="O291" s="3558"/>
      <c r="P291" s="4724"/>
      <c r="Q291" s="3920"/>
      <c r="R291" s="3566" t="s">
        <v>6134</v>
      </c>
      <c r="S291" s="3567" t="s">
        <v>663</v>
      </c>
      <c r="T291" s="3561">
        <v>46140</v>
      </c>
      <c r="U291" s="3562" t="s">
        <v>79</v>
      </c>
      <c r="V291" s="3563" t="s">
        <v>6153</v>
      </c>
      <c r="W291" s="3563"/>
      <c r="X291" s="1093" t="str">
        <f t="shared" si="38"/>
        <v>ACTIVE</v>
      </c>
      <c r="Y291" s="3568">
        <v>312400</v>
      </c>
      <c r="Z291" s="1221" t="s">
        <v>761</v>
      </c>
      <c r="AA291" s="1217"/>
      <c r="AB291" s="1728">
        <v>46147</v>
      </c>
      <c r="AC291" s="1222" t="s">
        <v>79</v>
      </c>
      <c r="AD291" s="1219" t="s">
        <v>6250</v>
      </c>
      <c r="AE291" s="1222"/>
      <c r="AF291" s="1093" t="str">
        <f t="shared" si="39"/>
        <v>ACTIVE</v>
      </c>
      <c r="AG291" s="1220">
        <v>312400</v>
      </c>
      <c r="AH291" s="3560" t="s">
        <v>1994</v>
      </c>
      <c r="AI291" s="3561">
        <v>46140</v>
      </c>
      <c r="AJ291" s="3562" t="s">
        <v>79</v>
      </c>
      <c r="AK291" s="3563" t="s">
        <v>6153</v>
      </c>
      <c r="AL291" s="3564" t="s">
        <v>1994</v>
      </c>
      <c r="AM291" s="4360">
        <v>46141</v>
      </c>
      <c r="AN291" s="3565" t="s">
        <v>6317</v>
      </c>
      <c r="AO291" s="3570" t="s">
        <v>6259</v>
      </c>
      <c r="AP291" s="3571"/>
      <c r="AQ291" s="3572"/>
      <c r="AR291" s="3561"/>
      <c r="AS291" s="3573"/>
      <c r="AT291" s="3567"/>
      <c r="AU291" s="4391"/>
      <c r="AV291" s="3573"/>
      <c r="AW291" s="3572" t="s">
        <v>6316</v>
      </c>
      <c r="AX291" s="3561">
        <v>46179</v>
      </c>
      <c r="AY291" s="1094" t="str">
        <f t="shared" si="40"/>
        <v>ACTIVE</v>
      </c>
      <c r="AZ291" s="4392">
        <v>312400</v>
      </c>
      <c r="BA291" s="3562" t="s">
        <v>79</v>
      </c>
      <c r="BB291" s="4393"/>
      <c r="BC291" s="4394"/>
      <c r="BD291" s="4395"/>
      <c r="BF291" s="845">
        <f t="shared" ca="1" si="37"/>
        <v>0</v>
      </c>
      <c r="BG291" s="1377"/>
    </row>
    <row r="292" spans="1:59" s="686" customFormat="1" ht="51">
      <c r="A292" s="1132">
        <f t="shared" si="41"/>
        <v>226</v>
      </c>
      <c r="B292" s="3545" t="s">
        <v>6128</v>
      </c>
      <c r="C292" s="1474" t="s">
        <v>165</v>
      </c>
      <c r="D292" s="4427" t="s">
        <v>92</v>
      </c>
      <c r="E292" s="1476"/>
      <c r="F292" s="1477"/>
      <c r="G292" s="1478"/>
      <c r="H292" s="1479" t="s">
        <v>104</v>
      </c>
      <c r="I292" s="1885" t="s">
        <v>244</v>
      </c>
      <c r="J292" s="1480" t="str">
        <f>IFERROR(VLOOKUP(I292,dropdowns!$E$45:$I$56,2,FALSE)," ")</f>
        <v>1.TB.01.003</v>
      </c>
      <c r="K292" s="1886" t="s">
        <v>244</v>
      </c>
      <c r="L292" s="1481" t="str">
        <f>IFERROR(VLOOKUP(K292,dropdowns!$G$45:$H$56,2,FALSE)," ")</f>
        <v>1.TB.01.003.01</v>
      </c>
      <c r="M292" s="1251" t="s">
        <v>2725</v>
      </c>
      <c r="N292" s="1482" t="s">
        <v>2742</v>
      </c>
      <c r="O292" s="1231" t="s">
        <v>5366</v>
      </c>
      <c r="P292" s="4724"/>
      <c r="Q292" s="3920">
        <f>42000*0</f>
        <v>0</v>
      </c>
      <c r="R292" s="3566" t="s">
        <v>6129</v>
      </c>
      <c r="S292" s="3567"/>
      <c r="T292" s="3561">
        <v>46148</v>
      </c>
      <c r="U292" s="3562" t="s">
        <v>79</v>
      </c>
      <c r="V292" s="3563" t="s">
        <v>6234</v>
      </c>
      <c r="W292" s="3563" t="s">
        <v>94</v>
      </c>
      <c r="X292" s="3559" t="str">
        <f t="shared" si="38"/>
        <v>ACTIVE</v>
      </c>
      <c r="Y292" s="3568">
        <v>42000</v>
      </c>
      <c r="Z292" s="3575" t="s">
        <v>6429</v>
      </c>
      <c r="AA292" s="3567" t="s">
        <v>663</v>
      </c>
      <c r="AB292" s="3561">
        <v>46219</v>
      </c>
      <c r="AC292" s="3562" t="s">
        <v>79</v>
      </c>
      <c r="AD292" s="3563" t="s">
        <v>6528</v>
      </c>
      <c r="AE292" s="3562" t="s">
        <v>94</v>
      </c>
      <c r="AF292" s="1094" t="str">
        <f t="shared" si="39"/>
        <v>ACTIVE</v>
      </c>
      <c r="AG292" s="3573">
        <v>42000</v>
      </c>
      <c r="AH292" s="3560" t="s">
        <v>2628</v>
      </c>
      <c r="AI292" s="3561">
        <v>46148</v>
      </c>
      <c r="AJ292" s="3562" t="s">
        <v>79</v>
      </c>
      <c r="AK292" s="3563" t="s">
        <v>6234</v>
      </c>
      <c r="AL292" s="3564" t="s">
        <v>2628</v>
      </c>
      <c r="AM292" s="4360">
        <v>46148</v>
      </c>
      <c r="AN292" s="1239" t="s">
        <v>6560</v>
      </c>
      <c r="AO292" s="3570" t="s">
        <v>2044</v>
      </c>
      <c r="AP292" s="3571" t="s">
        <v>663</v>
      </c>
      <c r="AQ292" s="1117"/>
      <c r="AR292" s="1729"/>
      <c r="AS292" s="1182"/>
      <c r="AT292" s="1109"/>
      <c r="AU292" s="1095"/>
      <c r="AV292" s="1182"/>
      <c r="AW292" s="3572" t="s">
        <v>6683</v>
      </c>
      <c r="AX292" s="3561">
        <v>46284</v>
      </c>
      <c r="AY292" s="3559" t="str">
        <f t="shared" si="40"/>
        <v>ACTIVE</v>
      </c>
      <c r="AZ292" s="4392">
        <v>14594.67</v>
      </c>
      <c r="BA292" s="3562" t="s">
        <v>79</v>
      </c>
      <c r="BB292" s="4393"/>
      <c r="BC292" s="4394"/>
      <c r="BD292" s="4395" t="s">
        <v>6622</v>
      </c>
      <c r="BF292" s="845">
        <f t="shared" ca="1" si="37"/>
        <v>0</v>
      </c>
      <c r="BG292" s="1377"/>
    </row>
    <row r="293" spans="1:59" s="686" customFormat="1" ht="38.25">
      <c r="A293" s="1132">
        <f t="shared" si="41"/>
        <v>227</v>
      </c>
      <c r="B293" s="3545" t="s">
        <v>6108</v>
      </c>
      <c r="C293" s="3546" t="s">
        <v>165</v>
      </c>
      <c r="D293" s="3554"/>
      <c r="E293" s="3548"/>
      <c r="F293" s="3549"/>
      <c r="G293" s="3550"/>
      <c r="H293" s="4430" t="s">
        <v>104</v>
      </c>
      <c r="I293" s="4431" t="s">
        <v>244</v>
      </c>
      <c r="J293" s="1944" t="str">
        <f>IFERROR(VLOOKUP(I293,dropdowns!$E$45:$I$56,2,FALSE)," ")</f>
        <v>1.TB.01.003</v>
      </c>
      <c r="K293" s="4432" t="s">
        <v>244</v>
      </c>
      <c r="L293" s="4433" t="str">
        <f>IFERROR(VLOOKUP(K293,dropdowns!$G$45:$H$56,2,FALSE)," ")</f>
        <v>1.TB.01.003.01</v>
      </c>
      <c r="M293" s="4644" t="s">
        <v>3930</v>
      </c>
      <c r="N293" s="4645" t="s">
        <v>2558</v>
      </c>
      <c r="O293" s="3558"/>
      <c r="P293" s="4724"/>
      <c r="Q293" s="3920"/>
      <c r="R293" s="1103"/>
      <c r="S293" s="1109"/>
      <c r="T293" s="1729"/>
      <c r="U293" s="1097"/>
      <c r="V293" s="1097"/>
      <c r="W293" s="1105"/>
      <c r="X293" s="1093" t="str">
        <f t="shared" si="38"/>
        <v>NOT ACTIVE</v>
      </c>
      <c r="Y293" s="3351"/>
      <c r="Z293" s="1111"/>
      <c r="AA293" s="1109"/>
      <c r="AB293" s="1729"/>
      <c r="AC293" s="1097"/>
      <c r="AD293" s="1097"/>
      <c r="AE293" s="1097"/>
      <c r="AF293" s="1094" t="str">
        <f t="shared" si="39"/>
        <v>NOT ACTIVE</v>
      </c>
      <c r="AG293" s="1182"/>
      <c r="AH293" s="1101"/>
      <c r="AI293" s="1729"/>
      <c r="AJ293" s="1097"/>
      <c r="AK293" s="1097"/>
      <c r="AL293" s="1110"/>
      <c r="AM293" s="1736"/>
      <c r="AN293" s="1112"/>
      <c r="AO293" s="1113"/>
      <c r="AP293" s="1487"/>
      <c r="AQ293" s="1117"/>
      <c r="AR293" s="1729"/>
      <c r="AS293" s="1182"/>
      <c r="AT293" s="1109"/>
      <c r="AU293" s="1095"/>
      <c r="AV293" s="1182"/>
      <c r="AW293" s="1109"/>
      <c r="AX293" s="1729"/>
      <c r="AY293" s="1094" t="str">
        <f t="shared" si="40"/>
        <v>NOT ACTIVE</v>
      </c>
      <c r="AZ293" s="1186"/>
      <c r="BA293" s="1097"/>
      <c r="BB293" s="1098"/>
      <c r="BC293" s="1099"/>
      <c r="BD293" s="1108"/>
      <c r="BF293" s="845">
        <f t="shared" ca="1" si="37"/>
        <v>0</v>
      </c>
      <c r="BG293" s="1377"/>
    </row>
    <row r="294" spans="1:59" s="686" customFormat="1" ht="38.25">
      <c r="A294" s="1132">
        <f t="shared" si="41"/>
        <v>228</v>
      </c>
      <c r="B294" s="3545" t="s">
        <v>6108</v>
      </c>
      <c r="C294" s="3546" t="s">
        <v>165</v>
      </c>
      <c r="D294" s="3554"/>
      <c r="E294" s="3548"/>
      <c r="F294" s="3549"/>
      <c r="G294" s="3550"/>
      <c r="H294" s="4430" t="s">
        <v>104</v>
      </c>
      <c r="I294" s="4431" t="s">
        <v>244</v>
      </c>
      <c r="J294" s="1944" t="str">
        <f>IFERROR(VLOOKUP(I294,dropdowns!$E$45:$I$56,2,FALSE)," ")</f>
        <v>1.TB.01.003</v>
      </c>
      <c r="K294" s="4432" t="s">
        <v>244</v>
      </c>
      <c r="L294" s="4433" t="str">
        <f>IFERROR(VLOOKUP(K294,dropdowns!$G$45:$H$56,2,FALSE)," ")</f>
        <v>1.TB.01.003.01</v>
      </c>
      <c r="M294" s="4434" t="s">
        <v>3205</v>
      </c>
      <c r="N294" s="4435" t="s">
        <v>3207</v>
      </c>
      <c r="O294" s="3558"/>
      <c r="P294" s="4724"/>
      <c r="Q294" s="3920"/>
      <c r="R294" s="1103"/>
      <c r="S294" s="1109"/>
      <c r="T294" s="1729"/>
      <c r="U294" s="1097"/>
      <c r="V294" s="1097"/>
      <c r="W294" s="1105"/>
      <c r="X294" s="1093" t="str">
        <f t="shared" si="38"/>
        <v>NOT ACTIVE</v>
      </c>
      <c r="Y294" s="3351"/>
      <c r="Z294" s="1111"/>
      <c r="AA294" s="1109"/>
      <c r="AB294" s="1729"/>
      <c r="AC294" s="1097"/>
      <c r="AD294" s="1097"/>
      <c r="AE294" s="1097"/>
      <c r="AF294" s="1094" t="str">
        <f t="shared" si="39"/>
        <v>NOT ACTIVE</v>
      </c>
      <c r="AG294" s="1182"/>
      <c r="AH294" s="1101"/>
      <c r="AI294" s="1729"/>
      <c r="AJ294" s="1097"/>
      <c r="AK294" s="1097"/>
      <c r="AL294" s="1110"/>
      <c r="AM294" s="1736"/>
      <c r="AN294" s="1112"/>
      <c r="AO294" s="1113"/>
      <c r="AP294" s="1487"/>
      <c r="AQ294" s="1117"/>
      <c r="AR294" s="1729"/>
      <c r="AS294" s="1182"/>
      <c r="AT294" s="1109"/>
      <c r="AU294" s="1095"/>
      <c r="AV294" s="1182"/>
      <c r="AW294" s="1109"/>
      <c r="AX294" s="1729"/>
      <c r="AY294" s="1094" t="str">
        <f t="shared" si="40"/>
        <v>NOT ACTIVE</v>
      </c>
      <c r="AZ294" s="1186"/>
      <c r="BA294" s="1097"/>
      <c r="BB294" s="1098"/>
      <c r="BC294" s="1099"/>
      <c r="BD294" s="1108"/>
      <c r="BF294" s="845">
        <f t="shared" ca="1" si="37"/>
        <v>0</v>
      </c>
      <c r="BG294" s="1377"/>
    </row>
    <row r="295" spans="1:59" s="686" customFormat="1" ht="38.25">
      <c r="A295" s="1132">
        <f t="shared" si="41"/>
        <v>229</v>
      </c>
      <c r="B295" s="4787" t="s">
        <v>6111</v>
      </c>
      <c r="C295" s="4788" t="s">
        <v>165</v>
      </c>
      <c r="D295" s="4789"/>
      <c r="E295" s="4790"/>
      <c r="F295" s="4791"/>
      <c r="G295" s="4792"/>
      <c r="H295" s="4793" t="s">
        <v>104</v>
      </c>
      <c r="I295" s="4794" t="s">
        <v>244</v>
      </c>
      <c r="J295" s="4795" t="str">
        <f>IFERROR(VLOOKUP(I295,dropdowns!$E$45:$I$56,2,FALSE)," ")</f>
        <v>1.TB.01.003</v>
      </c>
      <c r="K295" s="4796" t="s">
        <v>244</v>
      </c>
      <c r="L295" s="4797" t="str">
        <f>IFERROR(VLOOKUP(K295,dropdowns!$G$45:$H$56,2,FALSE)," ")</f>
        <v>1.TB.01.003.01</v>
      </c>
      <c r="M295" s="4798" t="s">
        <v>3930</v>
      </c>
      <c r="N295" s="4799" t="s">
        <v>2558</v>
      </c>
      <c r="O295" s="4800"/>
      <c r="P295" s="4801"/>
      <c r="Q295" s="4802"/>
      <c r="R295" s="1103"/>
      <c r="S295" s="1109"/>
      <c r="T295" s="1729"/>
      <c r="U295" s="1097"/>
      <c r="V295" s="1097"/>
      <c r="W295" s="1105"/>
      <c r="X295" s="1093" t="str">
        <f t="shared" si="38"/>
        <v>NOT ACTIVE</v>
      </c>
      <c r="Y295" s="3351"/>
      <c r="Z295" s="1111"/>
      <c r="AA295" s="1109"/>
      <c r="AB295" s="1729"/>
      <c r="AC295" s="1097"/>
      <c r="AD295" s="1097"/>
      <c r="AE295" s="1097"/>
      <c r="AF295" s="1094" t="str">
        <f t="shared" si="39"/>
        <v>NOT ACTIVE</v>
      </c>
      <c r="AG295" s="1182"/>
      <c r="AH295" s="1101"/>
      <c r="AI295" s="1729"/>
      <c r="AJ295" s="1097"/>
      <c r="AK295" s="1097"/>
      <c r="AL295" s="1110"/>
      <c r="AM295" s="1736"/>
      <c r="AN295" s="1112"/>
      <c r="AO295" s="1113"/>
      <c r="AP295" s="1487"/>
      <c r="AQ295" s="1117"/>
      <c r="AR295" s="1729"/>
      <c r="AS295" s="1182"/>
      <c r="AT295" s="1109"/>
      <c r="AU295" s="1095"/>
      <c r="AV295" s="1182"/>
      <c r="AW295" s="1109"/>
      <c r="AX295" s="1729"/>
      <c r="AY295" s="1094" t="str">
        <f t="shared" si="40"/>
        <v>NOT ACTIVE</v>
      </c>
      <c r="AZ295" s="1186"/>
      <c r="BA295" s="1097"/>
      <c r="BB295" s="1098"/>
      <c r="BC295" s="1099"/>
      <c r="BD295" s="1108"/>
      <c r="BF295" s="845">
        <f t="shared" ca="1" si="37"/>
        <v>0</v>
      </c>
      <c r="BG295" s="1377"/>
    </row>
    <row r="296" spans="1:59" s="686" customFormat="1" ht="38.25">
      <c r="A296" s="1141">
        <f t="shared" si="41"/>
        <v>230</v>
      </c>
      <c r="B296" s="4817" t="s">
        <v>6150</v>
      </c>
      <c r="C296" s="4818" t="s">
        <v>165</v>
      </c>
      <c r="D296" s="4819" t="s">
        <v>92</v>
      </c>
      <c r="E296" s="4820"/>
      <c r="F296" s="4821"/>
      <c r="G296" s="4822"/>
      <c r="H296" s="4823" t="s">
        <v>104</v>
      </c>
      <c r="I296" s="4824" t="s">
        <v>244</v>
      </c>
      <c r="J296" s="4825" t="str">
        <f>IFERROR(VLOOKUP(I296,dropdowns!$E$45:$I$56,2,FALSE)," ")</f>
        <v>1.TB.01.003</v>
      </c>
      <c r="K296" s="4826" t="s">
        <v>244</v>
      </c>
      <c r="L296" s="4827" t="str">
        <f>IFERROR(VLOOKUP(K296,dropdowns!$G$45:$H$56,2,FALSE)," ")</f>
        <v>1.TB.01.003.01</v>
      </c>
      <c r="M296" s="4828" t="s">
        <v>2725</v>
      </c>
      <c r="N296" s="4829" t="s">
        <v>2742</v>
      </c>
      <c r="O296" s="5162"/>
      <c r="P296" s="5163"/>
      <c r="Q296" s="5164"/>
      <c r="R296" s="1103"/>
      <c r="S296" s="1109"/>
      <c r="T296" s="1729"/>
      <c r="U296" s="1097"/>
      <c r="V296" s="1097"/>
      <c r="W296" s="1105"/>
      <c r="X296" s="1093" t="str">
        <f t="shared" si="38"/>
        <v>NOT ACTIVE</v>
      </c>
      <c r="Y296" s="3351"/>
      <c r="Z296" s="1111">
        <v>8</v>
      </c>
      <c r="AA296" s="1109"/>
      <c r="AB296" s="1729"/>
      <c r="AC296" s="1097"/>
      <c r="AD296" s="1097"/>
      <c r="AE296" s="1097"/>
      <c r="AF296" s="1094" t="str">
        <f t="shared" si="39"/>
        <v>NOT ACTIVE</v>
      </c>
      <c r="AG296" s="1182"/>
      <c r="AH296" s="1101"/>
      <c r="AI296" s="1729"/>
      <c r="AJ296" s="1097"/>
      <c r="AK296" s="1097"/>
      <c r="AL296" s="1110"/>
      <c r="AM296" s="1736"/>
      <c r="AN296" s="1112"/>
      <c r="AO296" s="1113"/>
      <c r="AP296" s="1487"/>
      <c r="AQ296" s="1117"/>
      <c r="AR296" s="1729"/>
      <c r="AS296" s="1182"/>
      <c r="AT296" s="1109"/>
      <c r="AU296" s="1095"/>
      <c r="AV296" s="1182"/>
      <c r="AW296" s="1109"/>
      <c r="AX296" s="1729"/>
      <c r="AY296" s="1094" t="str">
        <f t="shared" si="40"/>
        <v>NOT ACTIVE</v>
      </c>
      <c r="AZ296" s="1186"/>
      <c r="BA296" s="1097"/>
      <c r="BB296" s="1098"/>
      <c r="BC296" s="1099"/>
      <c r="BD296" s="1108"/>
      <c r="BF296" s="845">
        <f t="shared" ca="1" si="37"/>
        <v>0</v>
      </c>
      <c r="BG296" s="1377"/>
    </row>
    <row r="297" spans="1:59" s="686" customFormat="1" ht="38.25">
      <c r="A297" s="1141">
        <f t="shared" si="41"/>
        <v>231</v>
      </c>
      <c r="B297" s="4817" t="s">
        <v>6151</v>
      </c>
      <c r="C297" s="4818" t="s">
        <v>165</v>
      </c>
      <c r="D297" s="4819" t="s">
        <v>92</v>
      </c>
      <c r="E297" s="4820"/>
      <c r="F297" s="4821"/>
      <c r="G297" s="4822"/>
      <c r="H297" s="4823" t="s">
        <v>104</v>
      </c>
      <c r="I297" s="4824" t="s">
        <v>244</v>
      </c>
      <c r="J297" s="4825" t="str">
        <f>IFERROR(VLOOKUP(I297,dropdowns!$E$45:$I$56,2,FALSE)," ")</f>
        <v>1.TB.01.003</v>
      </c>
      <c r="K297" s="4826" t="s">
        <v>244</v>
      </c>
      <c r="L297" s="4827" t="str">
        <f>IFERROR(VLOOKUP(K297,dropdowns!$G$45:$H$56,2,FALSE)," ")</f>
        <v>1.TB.01.003.01</v>
      </c>
      <c r="M297" s="4828" t="s">
        <v>2725</v>
      </c>
      <c r="N297" s="4829" t="s">
        <v>2742</v>
      </c>
      <c r="O297" s="3558"/>
      <c r="P297" s="4724"/>
      <c r="Q297" s="3920"/>
      <c r="R297" s="3566" t="s">
        <v>6187</v>
      </c>
      <c r="S297" s="3567" t="s">
        <v>663</v>
      </c>
      <c r="T297" s="3561">
        <v>46097</v>
      </c>
      <c r="U297" s="3562" t="s">
        <v>79</v>
      </c>
      <c r="V297" s="3563" t="s">
        <v>6188</v>
      </c>
      <c r="W297" s="3563" t="s">
        <v>94</v>
      </c>
      <c r="X297" s="1093" t="str">
        <f t="shared" si="38"/>
        <v>ACTIVE</v>
      </c>
      <c r="Y297" s="3568">
        <v>-118080</v>
      </c>
      <c r="Z297" s="3575">
        <v>9</v>
      </c>
      <c r="AA297" s="3567" t="s">
        <v>663</v>
      </c>
      <c r="AB297" s="3561">
        <v>46160</v>
      </c>
      <c r="AC297" s="3562" t="s">
        <v>79</v>
      </c>
      <c r="AD297" s="3563" t="s">
        <v>6438</v>
      </c>
      <c r="AE297" s="3562" t="s">
        <v>94</v>
      </c>
      <c r="AF297" s="3559" t="str">
        <f t="shared" si="39"/>
        <v>ACTIVE</v>
      </c>
      <c r="AG297" s="3573">
        <v>-118080</v>
      </c>
      <c r="AH297" s="3560" t="s">
        <v>2639</v>
      </c>
      <c r="AI297" s="3561">
        <v>46219</v>
      </c>
      <c r="AJ297" s="3562" t="s">
        <v>79</v>
      </c>
      <c r="AK297" s="3563" t="s">
        <v>6524</v>
      </c>
      <c r="AL297" s="3564" t="s">
        <v>2639</v>
      </c>
      <c r="AM297" s="4360">
        <v>46219</v>
      </c>
      <c r="AN297" s="1239" t="s">
        <v>6525</v>
      </c>
      <c r="AO297" s="1113" t="s">
        <v>3494</v>
      </c>
      <c r="AP297" s="1487" t="s">
        <v>663</v>
      </c>
      <c r="AQ297" s="1117"/>
      <c r="AR297" s="1729"/>
      <c r="AS297" s="1182"/>
      <c r="AT297" s="1109"/>
      <c r="AU297" s="1095"/>
      <c r="AV297" s="1182"/>
      <c r="AW297" s="1117" t="s">
        <v>6666</v>
      </c>
      <c r="AX297" s="1729">
        <v>46288</v>
      </c>
      <c r="AY297" s="1094" t="str">
        <f t="shared" si="40"/>
        <v>NOT ACTIVE</v>
      </c>
      <c r="AZ297" s="1186">
        <v>-118080</v>
      </c>
      <c r="BA297" s="1097" t="s">
        <v>87</v>
      </c>
      <c r="BB297" s="1098"/>
      <c r="BC297" s="1099"/>
      <c r="BD297" s="1108" t="s">
        <v>6667</v>
      </c>
      <c r="BF297" s="845">
        <f t="shared" ca="1" si="37"/>
        <v>80</v>
      </c>
      <c r="BG297" s="1377"/>
    </row>
    <row r="298" spans="1:59" s="686" customFormat="1" ht="51">
      <c r="A298" s="1141">
        <f t="shared" si="41"/>
        <v>232</v>
      </c>
      <c r="B298" s="4817" t="s">
        <v>6151</v>
      </c>
      <c r="C298" s="1474" t="s">
        <v>165</v>
      </c>
      <c r="D298" s="4427" t="s">
        <v>6131</v>
      </c>
      <c r="E298" s="1476"/>
      <c r="F298" s="1477"/>
      <c r="G298" s="1478"/>
      <c r="H298" s="1479" t="s">
        <v>104</v>
      </c>
      <c r="I298" s="1885" t="s">
        <v>244</v>
      </c>
      <c r="J298" s="1480" t="str">
        <f>IFERROR(VLOOKUP(I298,dropdowns!$E$45:$I$56,2,FALSE)," ")</f>
        <v>1.TB.01.003</v>
      </c>
      <c r="K298" s="1886" t="s">
        <v>244</v>
      </c>
      <c r="L298" s="1481" t="str">
        <f>IFERROR(VLOOKUP(K298,dropdowns!$G$45:$H$56,2,FALSE)," ")</f>
        <v>1.TB.01.003.01</v>
      </c>
      <c r="M298" s="1251" t="s">
        <v>2269</v>
      </c>
      <c r="N298" s="1482" t="s">
        <v>152</v>
      </c>
      <c r="O298" s="3558"/>
      <c r="P298" s="4724"/>
      <c r="Q298" s="3920"/>
      <c r="R298" s="3566" t="s">
        <v>6187</v>
      </c>
      <c r="S298" s="3567" t="s">
        <v>663</v>
      </c>
      <c r="T298" s="3561">
        <v>46097</v>
      </c>
      <c r="U298" s="3562" t="s">
        <v>79</v>
      </c>
      <c r="V298" s="3563" t="s">
        <v>6188</v>
      </c>
      <c r="W298" s="3563" t="s">
        <v>94</v>
      </c>
      <c r="X298" s="1093" t="str">
        <f t="shared" si="38"/>
        <v>ACTIVE</v>
      </c>
      <c r="Y298" s="3568">
        <v>-78720</v>
      </c>
      <c r="Z298" s="3575">
        <v>40</v>
      </c>
      <c r="AA298" s="3567" t="s">
        <v>663</v>
      </c>
      <c r="AB298" s="3561">
        <v>46160</v>
      </c>
      <c r="AC298" s="3562" t="s">
        <v>79</v>
      </c>
      <c r="AD298" s="3563" t="s">
        <v>6255</v>
      </c>
      <c r="AE298" s="3562" t="s">
        <v>94</v>
      </c>
      <c r="AF298" s="3559" t="str">
        <f t="shared" si="39"/>
        <v>ACTIVE</v>
      </c>
      <c r="AG298" s="3573">
        <v>-78720</v>
      </c>
      <c r="AH298" s="3560" t="s">
        <v>6152</v>
      </c>
      <c r="AI298" s="3561">
        <v>46219</v>
      </c>
      <c r="AJ298" s="3562" t="s">
        <v>79</v>
      </c>
      <c r="AK298" s="3563" t="s">
        <v>6522</v>
      </c>
      <c r="AL298" s="3564" t="s">
        <v>6152</v>
      </c>
      <c r="AM298" s="4360">
        <v>46219</v>
      </c>
      <c r="AN298" s="5210" t="s">
        <v>6523</v>
      </c>
      <c r="AO298" s="1113" t="s">
        <v>6643</v>
      </c>
      <c r="AP298" s="1487" t="s">
        <v>663</v>
      </c>
      <c r="AQ298" s="1117"/>
      <c r="AR298" s="1729"/>
      <c r="AS298" s="1182"/>
      <c r="AT298" s="1109"/>
      <c r="AU298" s="1095"/>
      <c r="AV298" s="1182"/>
      <c r="AW298" s="1117" t="s">
        <v>6662</v>
      </c>
      <c r="AX298" s="1729">
        <v>46288</v>
      </c>
      <c r="AY298" s="1094" t="str">
        <f t="shared" si="40"/>
        <v>NOT ACTIVE</v>
      </c>
      <c r="AZ298" s="1186">
        <v>-78720</v>
      </c>
      <c r="BA298" s="1097" t="s">
        <v>87</v>
      </c>
      <c r="BB298" s="1098"/>
      <c r="BC298" s="1099"/>
      <c r="BD298" s="5211" t="s">
        <v>6663</v>
      </c>
      <c r="BF298" s="845">
        <f t="shared" ca="1" si="37"/>
        <v>80</v>
      </c>
      <c r="BG298" s="1377"/>
    </row>
    <row r="299" spans="1:59" s="686" customFormat="1" ht="63.75" customHeight="1">
      <c r="A299" s="1537">
        <f t="shared" si="41"/>
        <v>233</v>
      </c>
      <c r="B299" s="1544" t="s">
        <v>6177</v>
      </c>
      <c r="C299" s="1544" t="s">
        <v>165</v>
      </c>
      <c r="D299" s="4872" t="s">
        <v>92</v>
      </c>
      <c r="E299" s="1545"/>
      <c r="F299" s="1546"/>
      <c r="G299" s="1547"/>
      <c r="H299" s="1548" t="s">
        <v>104</v>
      </c>
      <c r="I299" s="1549" t="s">
        <v>261</v>
      </c>
      <c r="J299" s="1550" t="str">
        <f>IFERROR(VLOOKUP(I299,dropdowns!$E$45:$I$56,2,FALSE)," ")</f>
        <v>1.TB.01.009</v>
      </c>
      <c r="K299" s="1551" t="s">
        <v>261</v>
      </c>
      <c r="L299" s="1552" t="str">
        <f>IFERROR(VLOOKUP(K299,dropdowns!$G$45:$H$56,2,FALSE)," ")</f>
        <v>1.TB.01.009.01</v>
      </c>
      <c r="M299" s="1553" t="s">
        <v>6183</v>
      </c>
      <c r="N299" s="1554" t="s">
        <v>6182</v>
      </c>
      <c r="O299" s="1555"/>
      <c r="P299" s="1562"/>
      <c r="Q299" s="4873"/>
      <c r="R299" s="4874" t="s">
        <v>6184</v>
      </c>
      <c r="S299" s="1556" t="s">
        <v>663</v>
      </c>
      <c r="T299" s="1733">
        <v>46108</v>
      </c>
      <c r="U299" s="1557" t="s">
        <v>79</v>
      </c>
      <c r="V299" s="1541" t="s">
        <v>6185</v>
      </c>
      <c r="W299" s="1541" t="s">
        <v>94</v>
      </c>
      <c r="X299" s="1538" t="str">
        <f t="shared" si="38"/>
        <v>ACTIVE</v>
      </c>
      <c r="Y299" s="3357">
        <v>578140.17000000004</v>
      </c>
      <c r="Z299" s="4924" t="s">
        <v>4121</v>
      </c>
      <c r="AA299" s="1556" t="s">
        <v>663</v>
      </c>
      <c r="AB299" s="1733">
        <v>46147</v>
      </c>
      <c r="AC299" s="1557" t="s">
        <v>79</v>
      </c>
      <c r="AD299" s="1541" t="s">
        <v>6236</v>
      </c>
      <c r="AE299" s="1557" t="s">
        <v>94</v>
      </c>
      <c r="AF299" s="1538" t="str">
        <f t="shared" si="39"/>
        <v>ACTIVE</v>
      </c>
      <c r="AG299" s="1563">
        <v>583143.69999999995</v>
      </c>
      <c r="AH299" s="4875" t="s">
        <v>3019</v>
      </c>
      <c r="AI299" s="1733">
        <v>46092</v>
      </c>
      <c r="AJ299" s="1557" t="s">
        <v>79</v>
      </c>
      <c r="AK299" s="1541" t="s">
        <v>6185</v>
      </c>
      <c r="AL299" s="1540" t="s">
        <v>3019</v>
      </c>
      <c r="AM299" s="1737">
        <v>46092</v>
      </c>
      <c r="AN299" s="1558" t="s">
        <v>6186</v>
      </c>
      <c r="AO299" s="1113"/>
      <c r="AP299" s="1487"/>
      <c r="AQ299" s="1117"/>
      <c r="AR299" s="1729"/>
      <c r="AS299" s="1182"/>
      <c r="AT299" s="1109"/>
      <c r="AU299" s="1095"/>
      <c r="AV299" s="1182"/>
      <c r="AW299" s="1109"/>
      <c r="AX299" s="1729"/>
      <c r="AY299" s="1094" t="str">
        <f t="shared" si="40"/>
        <v>NOT ACTIVE</v>
      </c>
      <c r="AZ299" s="1186"/>
      <c r="BA299" s="1097" t="s">
        <v>87</v>
      </c>
      <c r="BB299" s="1098"/>
      <c r="BC299" s="1099"/>
      <c r="BD299" s="1108"/>
      <c r="BF299" s="845">
        <f t="shared" ca="1" si="37"/>
        <v>207</v>
      </c>
      <c r="BG299" s="1377"/>
    </row>
    <row r="300" spans="1:59" s="686" customFormat="1" ht="42.75" customHeight="1">
      <c r="A300" s="1141">
        <f t="shared" si="41"/>
        <v>234</v>
      </c>
      <c r="B300" s="1884" t="s">
        <v>6431</v>
      </c>
      <c r="C300" s="4876" t="s">
        <v>165</v>
      </c>
      <c r="D300" s="4877" t="s">
        <v>6131</v>
      </c>
      <c r="E300" s="4878"/>
      <c r="F300" s="4879"/>
      <c r="G300" s="4880"/>
      <c r="H300" s="4881" t="s">
        <v>104</v>
      </c>
      <c r="I300" s="4882" t="s">
        <v>244</v>
      </c>
      <c r="J300" s="4883" t="str">
        <f>IFERROR(VLOOKUP(I300,dropdowns!$E$45:$I$56,2,FALSE)," ")</f>
        <v>1.TB.01.003</v>
      </c>
      <c r="K300" s="4884" t="s">
        <v>244</v>
      </c>
      <c r="L300" s="4885" t="str">
        <f>IFERROR(VLOOKUP(K300,dropdowns!$G$45:$H$56,2,FALSE)," ")</f>
        <v>1.TB.01.003.01</v>
      </c>
      <c r="M300" s="4886" t="s">
        <v>3204</v>
      </c>
      <c r="N300" s="4887" t="s">
        <v>3128</v>
      </c>
      <c r="O300" s="1231"/>
      <c r="P300" s="1224"/>
      <c r="Q300" s="3913"/>
      <c r="R300" s="1216" t="s">
        <v>6430</v>
      </c>
      <c r="S300" s="1217" t="s">
        <v>663</v>
      </c>
      <c r="T300" s="1728">
        <v>46215</v>
      </c>
      <c r="U300" s="1222" t="s">
        <v>79</v>
      </c>
      <c r="V300" s="1219" t="s">
        <v>6515</v>
      </c>
      <c r="W300" s="1219"/>
      <c r="X300" s="1093" t="str">
        <f t="shared" si="38"/>
        <v>ACTIVE</v>
      </c>
      <c r="Y300" s="3349">
        <v>174900</v>
      </c>
      <c r="Z300" s="3575" t="s">
        <v>5274</v>
      </c>
      <c r="AA300" s="3567" t="s">
        <v>663</v>
      </c>
      <c r="AB300" s="3561">
        <v>46291</v>
      </c>
      <c r="AC300" s="3563" t="s">
        <v>79</v>
      </c>
      <c r="AD300" s="3563" t="s">
        <v>6698</v>
      </c>
      <c r="AE300" s="3562"/>
      <c r="AF300" s="3559" t="str">
        <f t="shared" si="39"/>
        <v>ACTIVE</v>
      </c>
      <c r="AG300" s="3573">
        <v>174900</v>
      </c>
      <c r="AH300" s="1234" t="s">
        <v>2317</v>
      </c>
      <c r="AI300" s="1728">
        <v>46173</v>
      </c>
      <c r="AJ300" s="1222" t="s">
        <v>79</v>
      </c>
      <c r="AK300" s="1219" t="s">
        <v>6278</v>
      </c>
      <c r="AL300" s="1110"/>
      <c r="AM300" s="1736"/>
      <c r="AN300" s="1112"/>
      <c r="AO300" s="1113"/>
      <c r="AP300" s="1487"/>
      <c r="AQ300" s="1117"/>
      <c r="AR300" s="1729"/>
      <c r="AS300" s="1182"/>
      <c r="AT300" s="1109"/>
      <c r="AU300" s="1095"/>
      <c r="AV300" s="1182"/>
      <c r="AW300" s="1109"/>
      <c r="AX300" s="1729"/>
      <c r="AY300" s="1094" t="str">
        <f t="shared" si="40"/>
        <v>NOT ACTIVE</v>
      </c>
      <c r="AZ300" s="1186"/>
      <c r="BA300" s="1097" t="s">
        <v>87</v>
      </c>
      <c r="BB300" s="1098"/>
      <c r="BC300" s="1099"/>
      <c r="BD300" s="1108" t="s">
        <v>6590</v>
      </c>
      <c r="BF300" s="845">
        <f t="shared" ca="1" si="37"/>
        <v>46299</v>
      </c>
      <c r="BG300" s="1377"/>
    </row>
    <row r="301" spans="1:59" s="686" customFormat="1" ht="43.5" customHeight="1">
      <c r="A301" s="1537">
        <f t="shared" si="41"/>
        <v>235</v>
      </c>
      <c r="B301" s="1536" t="s">
        <v>6201</v>
      </c>
      <c r="C301" s="1544" t="s">
        <v>161</v>
      </c>
      <c r="D301" s="4916" t="s">
        <v>6131</v>
      </c>
      <c r="E301" s="1545"/>
      <c r="F301" s="1546"/>
      <c r="G301" s="1547"/>
      <c r="H301" s="1548" t="s">
        <v>104</v>
      </c>
      <c r="I301" s="1549" t="s">
        <v>6210</v>
      </c>
      <c r="J301" s="1550" t="str">
        <f>IFERROR(VLOOKUP(I301,dropdowns!$E$45:$I$56,2,FALSE)," ")</f>
        <v>1.TB.01.012</v>
      </c>
      <c r="K301" s="1551" t="s">
        <v>6210</v>
      </c>
      <c r="L301" s="1552" t="str">
        <f>IFERROR(VLOOKUP(K301,dropdowns!$G$45:$H$56,2,FALSE)," ")</f>
        <v>1.TB.01.012.01</v>
      </c>
      <c r="M301" s="1553" t="s">
        <v>6207</v>
      </c>
      <c r="N301" s="1554" t="s">
        <v>5877</v>
      </c>
      <c r="O301" s="1555"/>
      <c r="P301" s="1562"/>
      <c r="Q301" s="4873"/>
      <c r="R301" s="4874" t="s">
        <v>6212</v>
      </c>
      <c r="S301" s="1556" t="s">
        <v>663</v>
      </c>
      <c r="T301" s="1733">
        <v>46149</v>
      </c>
      <c r="U301" s="1557" t="s">
        <v>79</v>
      </c>
      <c r="V301" s="1541" t="s">
        <v>6213</v>
      </c>
      <c r="W301" s="1541" t="s">
        <v>94</v>
      </c>
      <c r="X301" s="1538" t="str">
        <f t="shared" ref="X301:X331" si="42">IF(U301="APPROVED","ACTIVE",IF(U301="PENDING","ACTIVE","NOT ACTIVE"))</f>
        <v>ACTIVE</v>
      </c>
      <c r="Y301" s="3357">
        <v>150000</v>
      </c>
      <c r="Z301" s="1111"/>
      <c r="AA301" s="1109"/>
      <c r="AB301" s="1729"/>
      <c r="AC301" s="1097"/>
      <c r="AD301" s="1097"/>
      <c r="AE301" s="1097"/>
      <c r="AF301" s="1094" t="str">
        <f t="shared" ref="AF301:AF311" si="43">IF(AC301="APPROVED","ACTIVE","NOT ACTIVE")</f>
        <v>NOT ACTIVE</v>
      </c>
      <c r="AG301" s="1182"/>
      <c r="AH301" s="1101"/>
      <c r="AI301" s="1729"/>
      <c r="AJ301" s="1097"/>
      <c r="AK301" s="1097"/>
      <c r="AL301" s="1110"/>
      <c r="AM301" s="1736"/>
      <c r="AN301" s="1112"/>
      <c r="AO301" s="1113"/>
      <c r="AP301" s="1487"/>
      <c r="AQ301" s="1117"/>
      <c r="AR301" s="1729"/>
      <c r="AS301" s="1182"/>
      <c r="AT301" s="1109"/>
      <c r="AU301" s="1095"/>
      <c r="AV301" s="1182"/>
      <c r="AW301" s="1109"/>
      <c r="AX301" s="1729"/>
      <c r="AY301" s="1094" t="str">
        <f t="shared" ref="AY301:AY331" si="44">IF(BA301="APPROVED","ACTIVE","NOT ACTIVE")</f>
        <v>NOT ACTIVE</v>
      </c>
      <c r="AZ301" s="1186"/>
      <c r="BA301" s="1097"/>
      <c r="BB301" s="1098"/>
      <c r="BC301" s="1099"/>
      <c r="BD301" s="1108"/>
      <c r="BF301" s="845">
        <f t="shared" ca="1" si="37"/>
        <v>0</v>
      </c>
      <c r="BG301" s="1377"/>
    </row>
    <row r="302" spans="1:59" s="686" customFormat="1" ht="37.5" customHeight="1">
      <c r="A302" s="1141">
        <f t="shared" si="41"/>
        <v>236</v>
      </c>
      <c r="B302" s="1884" t="s">
        <v>6216</v>
      </c>
      <c r="C302" s="1474" t="s">
        <v>165</v>
      </c>
      <c r="D302" s="4427" t="s">
        <v>92</v>
      </c>
      <c r="E302" s="1476"/>
      <c r="F302" s="1477"/>
      <c r="G302" s="1478"/>
      <c r="H302" s="1479" t="s">
        <v>104</v>
      </c>
      <c r="I302" s="1885" t="s">
        <v>244</v>
      </c>
      <c r="J302" s="1480" t="str">
        <f>IFERROR(VLOOKUP(I302,dropdowns!$E$45:$I$56,2,FALSE)," ")</f>
        <v>1.TB.01.003</v>
      </c>
      <c r="K302" s="1886" t="s">
        <v>244</v>
      </c>
      <c r="L302" s="1481" t="str">
        <f>IFERROR(VLOOKUP(K302,dropdowns!$G$45:$H$56,2,FALSE)," ")</f>
        <v>1.TB.01.003.01</v>
      </c>
      <c r="M302" s="1251" t="s">
        <v>2269</v>
      </c>
      <c r="N302" s="1482" t="s">
        <v>152</v>
      </c>
      <c r="O302" s="3558"/>
      <c r="P302" s="4724"/>
      <c r="Q302" s="3920"/>
      <c r="R302" s="1103"/>
      <c r="S302" s="1109"/>
      <c r="T302" s="1729"/>
      <c r="U302" s="1097"/>
      <c r="V302" s="1097"/>
      <c r="W302" s="1105"/>
      <c r="X302" s="1093" t="str">
        <f t="shared" si="42"/>
        <v>NOT ACTIVE</v>
      </c>
      <c r="Y302" s="3351"/>
      <c r="Z302" s="4917">
        <v>41</v>
      </c>
      <c r="AA302" s="1109"/>
      <c r="AB302" s="1729"/>
      <c r="AC302" s="1097"/>
      <c r="AD302" s="1097"/>
      <c r="AE302" s="1097"/>
      <c r="AF302" s="1094" t="str">
        <f t="shared" si="43"/>
        <v>NOT ACTIVE</v>
      </c>
      <c r="AG302" s="1182"/>
      <c r="AH302" s="1101"/>
      <c r="AI302" s="1729"/>
      <c r="AJ302" s="1097"/>
      <c r="AK302" s="1097"/>
      <c r="AL302" s="1110"/>
      <c r="AM302" s="1736"/>
      <c r="AN302" s="1112"/>
      <c r="AO302" s="1113"/>
      <c r="AP302" s="1487"/>
      <c r="AQ302" s="1117"/>
      <c r="AR302" s="1729"/>
      <c r="AS302" s="1182"/>
      <c r="AT302" s="1109"/>
      <c r="AU302" s="1095"/>
      <c r="AV302" s="1182"/>
      <c r="AW302" s="1109"/>
      <c r="AX302" s="1729"/>
      <c r="AY302" s="1094" t="str">
        <f t="shared" si="44"/>
        <v>NOT ACTIVE</v>
      </c>
      <c r="AZ302" s="1186"/>
      <c r="BA302" s="1097"/>
      <c r="BB302" s="1098"/>
      <c r="BC302" s="1099"/>
      <c r="BD302" s="1108"/>
      <c r="BF302" s="845">
        <f t="shared" ca="1" si="37"/>
        <v>0</v>
      </c>
      <c r="BG302" s="1377"/>
    </row>
    <row r="303" spans="1:59" s="686" customFormat="1" ht="32.1" customHeight="1">
      <c r="A303" s="1132">
        <f t="shared" ref="A303:A331" si="45">+A302+1</f>
        <v>237</v>
      </c>
      <c r="B303" s="1884" t="s">
        <v>6217</v>
      </c>
      <c r="C303" s="3546" t="s">
        <v>165</v>
      </c>
      <c r="D303" s="3554" t="s">
        <v>5116</v>
      </c>
      <c r="E303" s="3548"/>
      <c r="F303" s="3549"/>
      <c r="G303" s="3550"/>
      <c r="H303" s="4430" t="s">
        <v>104</v>
      </c>
      <c r="I303" s="4431" t="s">
        <v>244</v>
      </c>
      <c r="J303" s="1944" t="str">
        <f>IFERROR(VLOOKUP(I303,dropdowns!$E$45:$I$56,2,FALSE)," ")</f>
        <v>1.TB.01.003</v>
      </c>
      <c r="K303" s="4432" t="s">
        <v>244</v>
      </c>
      <c r="L303" s="4433" t="str">
        <f>IFERROR(VLOOKUP(K303,dropdowns!$G$45:$H$56,2,FALSE)," ")</f>
        <v>1.TB.01.003.01</v>
      </c>
      <c r="M303" s="4434" t="s">
        <v>3205</v>
      </c>
      <c r="N303" s="4435" t="s">
        <v>3207</v>
      </c>
      <c r="O303" s="3558"/>
      <c r="P303" s="4724"/>
      <c r="Q303" s="3920"/>
      <c r="R303" s="4741"/>
      <c r="S303" s="4742"/>
      <c r="T303" s="4743"/>
      <c r="U303" s="4744" t="s">
        <v>125</v>
      </c>
      <c r="V303" s="4744"/>
      <c r="W303" s="4745"/>
      <c r="X303" s="1093" t="str">
        <f t="shared" si="42"/>
        <v>NOT ACTIVE</v>
      </c>
      <c r="Y303" s="4746"/>
      <c r="Z303" s="5173">
        <v>7</v>
      </c>
      <c r="AA303" s="4742"/>
      <c r="AB303" s="4743"/>
      <c r="AC303" s="4744"/>
      <c r="AD303" s="4744"/>
      <c r="AE303" s="4744"/>
      <c r="AF303" s="1094" t="str">
        <f t="shared" si="43"/>
        <v>NOT ACTIVE</v>
      </c>
      <c r="AG303" s="4748"/>
      <c r="AH303" s="4749"/>
      <c r="AI303" s="4743"/>
      <c r="AJ303" s="4744"/>
      <c r="AK303" s="4744"/>
      <c r="AL303" s="4750"/>
      <c r="AM303" s="4751"/>
      <c r="AN303" s="4752"/>
      <c r="AO303" s="4753"/>
      <c r="AP303" s="4754"/>
      <c r="AQ303" s="4755"/>
      <c r="AR303" s="4743"/>
      <c r="AS303" s="4748"/>
      <c r="AT303" s="4742"/>
      <c r="AU303" s="4756"/>
      <c r="AV303" s="4748"/>
      <c r="AW303" s="4742"/>
      <c r="AX303" s="4743"/>
      <c r="AY303" s="1094" t="str">
        <f t="shared" si="44"/>
        <v>NOT ACTIVE</v>
      </c>
      <c r="AZ303" s="4757"/>
      <c r="BA303" s="4744"/>
      <c r="BB303" s="4758"/>
      <c r="BC303" s="4759"/>
      <c r="BD303" s="4760"/>
      <c r="BF303" s="845">
        <f t="shared" ca="1" si="37"/>
        <v>0</v>
      </c>
      <c r="BG303" s="1377"/>
    </row>
    <row r="304" spans="1:59" s="686" customFormat="1" ht="53.25" customHeight="1">
      <c r="A304" s="1141">
        <f t="shared" si="45"/>
        <v>238</v>
      </c>
      <c r="B304" s="1884" t="s">
        <v>6251</v>
      </c>
      <c r="C304" s="1474" t="s">
        <v>161</v>
      </c>
      <c r="D304" s="4432" t="s">
        <v>5122</v>
      </c>
      <c r="E304" s="1476"/>
      <c r="F304" s="1477"/>
      <c r="G304" s="1478"/>
      <c r="H304" s="4430" t="s">
        <v>104</v>
      </c>
      <c r="I304" s="4431" t="s">
        <v>244</v>
      </c>
      <c r="J304" s="1944" t="str">
        <f>IFERROR(VLOOKUP(I304,dropdowns!$E$45:$I$56,2,FALSE)," ")</f>
        <v>1.TB.01.003</v>
      </c>
      <c r="K304" s="4432" t="s">
        <v>244</v>
      </c>
      <c r="L304" s="4433" t="str">
        <f>IFERROR(VLOOKUP(K304,dropdowns!$G$45:$H$56,2,FALSE)," ")</f>
        <v>1.TB.01.003.01</v>
      </c>
      <c r="M304" s="1251" t="s">
        <v>2725</v>
      </c>
      <c r="N304" s="1482" t="s">
        <v>2742</v>
      </c>
      <c r="O304" s="1231"/>
      <c r="P304" s="1224"/>
      <c r="Q304" s="3913"/>
      <c r="R304" s="1216" t="s">
        <v>6229</v>
      </c>
      <c r="S304" s="1217" t="s">
        <v>663</v>
      </c>
      <c r="T304" s="1728">
        <v>46157</v>
      </c>
      <c r="U304" s="1222" t="s">
        <v>79</v>
      </c>
      <c r="V304" s="1219" t="s">
        <v>6269</v>
      </c>
      <c r="W304" s="1219" t="s">
        <v>94</v>
      </c>
      <c r="X304" s="1093" t="str">
        <f t="shared" si="42"/>
        <v>ACTIVE</v>
      </c>
      <c r="Y304" s="3349">
        <v>158694</v>
      </c>
      <c r="Z304" s="1111"/>
      <c r="AA304" s="1109"/>
      <c r="AB304" s="1729"/>
      <c r="AC304" s="1097" t="s">
        <v>87</v>
      </c>
      <c r="AD304" s="1097"/>
      <c r="AE304" s="1097"/>
      <c r="AF304" s="1094" t="str">
        <f t="shared" si="43"/>
        <v>NOT ACTIVE</v>
      </c>
      <c r="AG304" s="1182"/>
      <c r="AH304" s="1234" t="s">
        <v>809</v>
      </c>
      <c r="AI304" s="1728">
        <v>46161</v>
      </c>
      <c r="AJ304" s="1222" t="s">
        <v>79</v>
      </c>
      <c r="AK304" s="1219" t="s">
        <v>6269</v>
      </c>
      <c r="AL304" s="1110"/>
      <c r="AM304" s="1736"/>
      <c r="AN304" s="1112"/>
      <c r="AO304" s="1113"/>
      <c r="AP304" s="1487"/>
      <c r="AQ304" s="1117"/>
      <c r="AR304" s="1729"/>
      <c r="AS304" s="1182"/>
      <c r="AT304" s="1109"/>
      <c r="AU304" s="1095"/>
      <c r="AV304" s="1182"/>
      <c r="AW304" s="1109"/>
      <c r="AX304" s="1729"/>
      <c r="AY304" s="1094" t="str">
        <f t="shared" si="44"/>
        <v>NOT ACTIVE</v>
      </c>
      <c r="AZ304" s="1186"/>
      <c r="BA304" s="1097"/>
      <c r="BB304" s="1098"/>
      <c r="BC304" s="1099"/>
      <c r="BD304" s="1108"/>
      <c r="BF304" s="845">
        <f t="shared" ca="1" si="37"/>
        <v>0</v>
      </c>
      <c r="BG304" s="1377"/>
    </row>
    <row r="305" spans="1:59" s="686" customFormat="1" ht="75.75" customHeight="1">
      <c r="A305" s="1132">
        <f t="shared" si="45"/>
        <v>239</v>
      </c>
      <c r="B305" s="3546" t="s">
        <v>6223</v>
      </c>
      <c r="C305" s="3546" t="s">
        <v>165</v>
      </c>
      <c r="D305" s="4918" t="s">
        <v>92</v>
      </c>
      <c r="E305" s="3548"/>
      <c r="F305" s="3549"/>
      <c r="G305" s="3550"/>
      <c r="H305" s="4919" t="s">
        <v>104</v>
      </c>
      <c r="I305" s="4920" t="s">
        <v>244</v>
      </c>
      <c r="J305" s="4921" t="str">
        <f>IFERROR(VLOOKUP(I305,dropdowns!$E$45:$I$56,2,FALSE)," ")</f>
        <v>1.TB.01.003</v>
      </c>
      <c r="K305" s="4922" t="s">
        <v>244</v>
      </c>
      <c r="L305" s="4923" t="str">
        <f>IFERROR(VLOOKUP(K305,dropdowns!$G$45:$H$56,2,FALSE)," ")</f>
        <v>1.TB.01.003.01</v>
      </c>
      <c r="M305" s="3556" t="s">
        <v>2807</v>
      </c>
      <c r="N305" s="3557" t="s">
        <v>2966</v>
      </c>
      <c r="O305" s="1231"/>
      <c r="P305" s="1224"/>
      <c r="Q305" s="3913"/>
      <c r="R305" s="3566" t="s">
        <v>6224</v>
      </c>
      <c r="S305" s="3567" t="s">
        <v>663</v>
      </c>
      <c r="T305" s="3561">
        <v>46187</v>
      </c>
      <c r="U305" s="3563" t="s">
        <v>79</v>
      </c>
      <c r="V305" s="3563" t="s">
        <v>6393</v>
      </c>
      <c r="W305" s="3563" t="s">
        <v>94</v>
      </c>
      <c r="X305" s="3559" t="str">
        <f t="shared" si="42"/>
        <v>ACTIVE</v>
      </c>
      <c r="Y305" s="3568">
        <v>31327.91</v>
      </c>
      <c r="Z305" s="3575" t="s">
        <v>6394</v>
      </c>
      <c r="AA305" s="3567"/>
      <c r="AB305" s="3561">
        <v>46198</v>
      </c>
      <c r="AC305" s="3562" t="s">
        <v>79</v>
      </c>
      <c r="AD305" s="3563" t="s">
        <v>6416</v>
      </c>
      <c r="AE305" s="3562"/>
      <c r="AF305" s="3559" t="str">
        <f t="shared" si="43"/>
        <v>ACTIVE</v>
      </c>
      <c r="AG305" s="3573">
        <v>31327.91</v>
      </c>
      <c r="AH305" s="3560" t="s">
        <v>1994</v>
      </c>
      <c r="AI305" s="3561">
        <v>46222</v>
      </c>
      <c r="AJ305" s="3562" t="s">
        <v>79</v>
      </c>
      <c r="AK305" s="3563" t="s">
        <v>6518</v>
      </c>
      <c r="AL305" s="3564" t="s">
        <v>1994</v>
      </c>
      <c r="AM305" s="4360">
        <v>46222</v>
      </c>
      <c r="AN305" s="1239" t="s">
        <v>6519</v>
      </c>
      <c r="AO305" s="3570" t="s">
        <v>2344</v>
      </c>
      <c r="AP305" s="3571" t="s">
        <v>663</v>
      </c>
      <c r="AQ305" s="3572"/>
      <c r="AR305" s="3561"/>
      <c r="AS305" s="3573"/>
      <c r="AT305" s="3567"/>
      <c r="AU305" s="4391"/>
      <c r="AV305" s="3573"/>
      <c r="AW305" s="3572" t="s">
        <v>6679</v>
      </c>
      <c r="AX305" s="3561">
        <v>46277</v>
      </c>
      <c r="AY305" s="3559" t="str">
        <f t="shared" si="44"/>
        <v>ACTIVE</v>
      </c>
      <c r="AZ305" s="4392">
        <v>35013.54</v>
      </c>
      <c r="BA305" s="3563" t="s">
        <v>79</v>
      </c>
      <c r="BB305" s="4393"/>
      <c r="BC305" s="4394"/>
      <c r="BD305" s="4395"/>
      <c r="BF305" s="845">
        <f t="shared" ca="1" si="37"/>
        <v>0</v>
      </c>
      <c r="BG305" s="1377"/>
    </row>
    <row r="306" spans="1:59" s="686" customFormat="1" ht="40.5" customHeight="1">
      <c r="A306" s="1132">
        <f t="shared" si="45"/>
        <v>240</v>
      </c>
      <c r="B306" s="3545" t="s">
        <v>6227</v>
      </c>
      <c r="C306" s="3546" t="s">
        <v>165</v>
      </c>
      <c r="D306" s="4918" t="s">
        <v>92</v>
      </c>
      <c r="E306" s="3548"/>
      <c r="F306" s="3549"/>
      <c r="G306" s="3550"/>
      <c r="H306" s="4430" t="s">
        <v>104</v>
      </c>
      <c r="I306" s="4431" t="s">
        <v>244</v>
      </c>
      <c r="J306" s="1944" t="str">
        <f>IFERROR(VLOOKUP(I306,dropdowns!$E$45:$I$56,2,FALSE)," ")</f>
        <v>1.TB.01.003</v>
      </c>
      <c r="K306" s="4432" t="s">
        <v>244</v>
      </c>
      <c r="L306" s="4433" t="str">
        <f>IFERROR(VLOOKUP(K306,dropdowns!$G$45:$H$56,2,FALSE)," ")</f>
        <v>1.TB.01.003.01</v>
      </c>
      <c r="M306" s="1251" t="s">
        <v>3930</v>
      </c>
      <c r="N306" s="1482" t="s">
        <v>2558</v>
      </c>
      <c r="O306" s="3558"/>
      <c r="P306" s="4724"/>
      <c r="Q306" s="3920"/>
      <c r="R306" s="3566" t="s">
        <v>6320</v>
      </c>
      <c r="S306" s="3567" t="s">
        <v>663</v>
      </c>
      <c r="T306" s="3561">
        <v>46196</v>
      </c>
      <c r="U306" s="3562" t="s">
        <v>79</v>
      </c>
      <c r="V306" s="3563" t="s">
        <v>6415</v>
      </c>
      <c r="W306" s="3563" t="s">
        <v>94</v>
      </c>
      <c r="X306" s="3559" t="str">
        <f t="shared" si="42"/>
        <v>ACTIVE</v>
      </c>
      <c r="Y306" s="3568">
        <v>208289.15</v>
      </c>
      <c r="Z306" s="4917">
        <v>36</v>
      </c>
      <c r="AA306" s="1109" t="s">
        <v>663</v>
      </c>
      <c r="AB306" s="1729">
        <v>46295</v>
      </c>
      <c r="AC306" s="1097" t="s">
        <v>87</v>
      </c>
      <c r="AD306" s="1097" t="s">
        <v>6713</v>
      </c>
      <c r="AE306" s="1097" t="s">
        <v>80</v>
      </c>
      <c r="AF306" s="1094" t="str">
        <f t="shared" si="43"/>
        <v>NOT ACTIVE</v>
      </c>
      <c r="AG306" s="1182">
        <v>150375.12</v>
      </c>
      <c r="AH306" s="3560" t="s">
        <v>6228</v>
      </c>
      <c r="AI306" s="3561">
        <v>46183</v>
      </c>
      <c r="AJ306" s="3562" t="s">
        <v>79</v>
      </c>
      <c r="AK306" s="3563" t="s">
        <v>6415</v>
      </c>
      <c r="AL306" s="1110"/>
      <c r="AM306" s="1736"/>
      <c r="AN306" s="1112"/>
      <c r="AO306" s="1113"/>
      <c r="AP306" s="1487"/>
      <c r="AQ306" s="1117"/>
      <c r="AR306" s="1729"/>
      <c r="AS306" s="1182"/>
      <c r="AT306" s="1109"/>
      <c r="AU306" s="1095"/>
      <c r="AV306" s="1182"/>
      <c r="AW306" s="1109"/>
      <c r="AX306" s="1729"/>
      <c r="AY306" s="1094" t="str">
        <f t="shared" si="44"/>
        <v>NOT ACTIVE</v>
      </c>
      <c r="AZ306" s="1186"/>
      <c r="BA306" s="1097"/>
      <c r="BB306" s="1098"/>
      <c r="BC306" s="1099"/>
      <c r="BD306" s="1108"/>
      <c r="BF306" s="845">
        <f t="shared" ca="1" si="37"/>
        <v>0</v>
      </c>
      <c r="BG306" s="1377"/>
    </row>
    <row r="307" spans="1:59" s="686" customFormat="1" ht="63.75">
      <c r="A307" s="1141">
        <f t="shared" si="45"/>
        <v>241</v>
      </c>
      <c r="B307" s="1884" t="s">
        <v>6246</v>
      </c>
      <c r="C307" s="1474" t="s">
        <v>161</v>
      </c>
      <c r="D307" s="1475" t="s">
        <v>6131</v>
      </c>
      <c r="E307" s="1476"/>
      <c r="F307" s="1477"/>
      <c r="G307" s="1478"/>
      <c r="H307" s="4430" t="s">
        <v>104</v>
      </c>
      <c r="I307" s="4431" t="s">
        <v>244</v>
      </c>
      <c r="J307" s="1944" t="str">
        <f>IFERROR(VLOOKUP(I307,dropdowns!$E$45:$I$56,2,FALSE)," ")</f>
        <v>1.TB.01.003</v>
      </c>
      <c r="K307" s="4432" t="s">
        <v>244</v>
      </c>
      <c r="L307" s="4433" t="str">
        <f>IFERROR(VLOOKUP(K307,dropdowns!$G$45:$H$56,2,FALSE)," ")</f>
        <v>1.TB.01.003.01</v>
      </c>
      <c r="M307" s="1251" t="s">
        <v>6244</v>
      </c>
      <c r="N307" s="1482" t="s">
        <v>6245</v>
      </c>
      <c r="O307" s="1231"/>
      <c r="P307" s="1224"/>
      <c r="Q307" s="3913"/>
      <c r="R307" s="4482" t="s">
        <v>6247</v>
      </c>
      <c r="S307" s="1217" t="s">
        <v>663</v>
      </c>
      <c r="T307" s="1728">
        <v>46157</v>
      </c>
      <c r="U307" s="1222" t="s">
        <v>132</v>
      </c>
      <c r="V307" s="1219" t="s">
        <v>6248</v>
      </c>
      <c r="W307" s="1219" t="s">
        <v>94</v>
      </c>
      <c r="X307" s="1093" t="str">
        <f t="shared" si="42"/>
        <v>NOT ACTIVE</v>
      </c>
      <c r="Y307" s="3349">
        <v>850000</v>
      </c>
      <c r="Z307" s="3575"/>
      <c r="AA307" s="3567"/>
      <c r="AB307" s="3561"/>
      <c r="AC307" s="3562"/>
      <c r="AD307" s="3562"/>
      <c r="AE307" s="3562"/>
      <c r="AF307" s="1094" t="str">
        <f t="shared" si="43"/>
        <v>NOT ACTIVE</v>
      </c>
      <c r="AG307" s="3573"/>
      <c r="AH307" s="3560"/>
      <c r="AI307" s="3561"/>
      <c r="AJ307" s="3562"/>
      <c r="AK307" s="3562"/>
      <c r="AL307" s="3564"/>
      <c r="AM307" s="4360"/>
      <c r="AN307" s="5039"/>
      <c r="AO307" s="3570"/>
      <c r="AP307" s="3571"/>
      <c r="AQ307" s="3572"/>
      <c r="AR307" s="3561"/>
      <c r="AS307" s="3573"/>
      <c r="AT307" s="3567"/>
      <c r="AU307" s="4391"/>
      <c r="AV307" s="3573"/>
      <c r="AW307" s="3567"/>
      <c r="AX307" s="3561"/>
      <c r="AY307" s="3559" t="str">
        <f t="shared" si="44"/>
        <v>NOT ACTIVE</v>
      </c>
      <c r="AZ307" s="4392"/>
      <c r="BA307" s="3562"/>
      <c r="BB307" s="4393"/>
      <c r="BC307" s="4394"/>
      <c r="BD307" s="5209" t="s">
        <v>6635</v>
      </c>
      <c r="BF307" s="845">
        <f t="shared" ca="1" si="37"/>
        <v>0</v>
      </c>
      <c r="BG307" s="1377"/>
    </row>
    <row r="308" spans="1:59" s="686" customFormat="1" ht="63.75">
      <c r="A308" s="1141">
        <f t="shared" si="45"/>
        <v>242</v>
      </c>
      <c r="B308" s="1884" t="s">
        <v>6249</v>
      </c>
      <c r="C308" s="1474" t="s">
        <v>161</v>
      </c>
      <c r="D308" s="1475" t="s">
        <v>6131</v>
      </c>
      <c r="E308" s="1476"/>
      <c r="F308" s="1477"/>
      <c r="G308" s="1478"/>
      <c r="H308" s="4430" t="s">
        <v>104</v>
      </c>
      <c r="I308" s="4431" t="s">
        <v>244</v>
      </c>
      <c r="J308" s="1944" t="str">
        <f>IFERROR(VLOOKUP(I308,dropdowns!$E$45:$I$56,2,FALSE)," ")</f>
        <v>1.TB.01.003</v>
      </c>
      <c r="K308" s="4432" t="s">
        <v>244</v>
      </c>
      <c r="L308" s="4433" t="str">
        <f>IFERROR(VLOOKUP(K308,dropdowns!$G$45:$H$56,2,FALSE)," ")</f>
        <v>1.TB.01.003.01</v>
      </c>
      <c r="M308" s="1251" t="s">
        <v>2237</v>
      </c>
      <c r="N308" s="1482" t="s">
        <v>155</v>
      </c>
      <c r="O308" s="1231"/>
      <c r="P308" s="1224"/>
      <c r="Q308" s="3913"/>
      <c r="R308" s="1216" t="s">
        <v>6247</v>
      </c>
      <c r="S308" s="1217" t="s">
        <v>663</v>
      </c>
      <c r="T308" s="1728">
        <v>46157</v>
      </c>
      <c r="U308" s="1222" t="s">
        <v>79</v>
      </c>
      <c r="V308" s="1219" t="s">
        <v>6248</v>
      </c>
      <c r="W308" s="1219" t="s">
        <v>94</v>
      </c>
      <c r="X308" s="1093" t="str">
        <f t="shared" si="42"/>
        <v>ACTIVE</v>
      </c>
      <c r="Y308" s="3349">
        <v>-200000</v>
      </c>
      <c r="Z308" s="1111"/>
      <c r="AA308" s="1109"/>
      <c r="AB308" s="1729"/>
      <c r="AC308" s="1097"/>
      <c r="AD308" s="1097"/>
      <c r="AE308" s="1097"/>
      <c r="AF308" s="1094" t="str">
        <f t="shared" si="43"/>
        <v>NOT ACTIVE</v>
      </c>
      <c r="AG308" s="1182"/>
      <c r="AH308" s="1101"/>
      <c r="AI308" s="1729"/>
      <c r="AJ308" s="1097"/>
      <c r="AK308" s="1097"/>
      <c r="AL308" s="1110"/>
      <c r="AM308" s="1736"/>
      <c r="AN308" s="1112"/>
      <c r="AO308" s="1113"/>
      <c r="AP308" s="1487"/>
      <c r="AQ308" s="1117"/>
      <c r="AR308" s="1729"/>
      <c r="AS308" s="1182"/>
      <c r="AT308" s="1109"/>
      <c r="AU308" s="1095"/>
      <c r="AV308" s="1182"/>
      <c r="AW308" s="1109"/>
      <c r="AX308" s="1729"/>
      <c r="AY308" s="1094" t="str">
        <f t="shared" si="44"/>
        <v>NOT ACTIVE</v>
      </c>
      <c r="AZ308" s="1186"/>
      <c r="BA308" s="1097"/>
      <c r="BB308" s="1098"/>
      <c r="BC308" s="1099"/>
      <c r="BD308" s="1108"/>
      <c r="BF308" s="845">
        <f t="shared" ca="1" si="37"/>
        <v>0</v>
      </c>
      <c r="BG308" s="1377"/>
    </row>
    <row r="309" spans="1:59" s="686" customFormat="1" ht="45.75" customHeight="1">
      <c r="A309" s="1915">
        <f t="shared" si="45"/>
        <v>243</v>
      </c>
      <c r="B309" s="4725" t="s">
        <v>6257</v>
      </c>
      <c r="C309" s="4726" t="s">
        <v>161</v>
      </c>
      <c r="D309" s="4891" t="s">
        <v>5122</v>
      </c>
      <c r="E309" s="4728"/>
      <c r="F309" s="4729"/>
      <c r="G309" s="4730"/>
      <c r="H309" s="4888" t="s">
        <v>104</v>
      </c>
      <c r="I309" s="4889" t="s">
        <v>244</v>
      </c>
      <c r="J309" s="4890" t="str">
        <f>IFERROR(VLOOKUP(I309,dropdowns!$E$45:$I$56,2,FALSE)," ")</f>
        <v>1.TB.01.003</v>
      </c>
      <c r="K309" s="4891" t="s">
        <v>244</v>
      </c>
      <c r="L309" s="4892" t="str">
        <f>IFERROR(VLOOKUP(K309,dropdowns!$G$45:$H$56,2,FALSE)," ")</f>
        <v>1.TB.01.003.01</v>
      </c>
      <c r="M309" s="4736" t="s">
        <v>3205</v>
      </c>
      <c r="N309" s="4737" t="s">
        <v>3207</v>
      </c>
      <c r="O309" s="4738"/>
      <c r="P309" s="4739"/>
      <c r="Q309" s="4740"/>
      <c r="R309" s="4741" t="s">
        <v>6258</v>
      </c>
      <c r="S309" s="4742" t="s">
        <v>663</v>
      </c>
      <c r="T309" s="4743">
        <v>46173</v>
      </c>
      <c r="U309" s="4744" t="s">
        <v>125</v>
      </c>
      <c r="V309" s="4745" t="s">
        <v>6279</v>
      </c>
      <c r="W309" s="4745" t="s">
        <v>94</v>
      </c>
      <c r="X309" s="1093" t="str">
        <f t="shared" si="42"/>
        <v>NOT ACTIVE</v>
      </c>
      <c r="Y309" s="4746">
        <v>138883</v>
      </c>
      <c r="Z309" s="4747"/>
      <c r="AA309" s="4742"/>
      <c r="AB309" s="4743"/>
      <c r="AC309" s="4744" t="s">
        <v>125</v>
      </c>
      <c r="AD309" s="4744"/>
      <c r="AE309" s="4744"/>
      <c r="AF309" s="1094" t="str">
        <f t="shared" si="43"/>
        <v>NOT ACTIVE</v>
      </c>
      <c r="AG309" s="4748"/>
      <c r="AH309" s="4749" t="s">
        <v>776</v>
      </c>
      <c r="AI309" s="4743">
        <v>46173</v>
      </c>
      <c r="AJ309" s="4744" t="s">
        <v>125</v>
      </c>
      <c r="AK309" s="4745" t="s">
        <v>6279</v>
      </c>
      <c r="AL309" s="4750"/>
      <c r="AM309" s="4751"/>
      <c r="AN309" s="4752"/>
      <c r="AO309" s="4753"/>
      <c r="AP309" s="4754"/>
      <c r="AQ309" s="4755"/>
      <c r="AR309" s="4743"/>
      <c r="AS309" s="4748"/>
      <c r="AT309" s="4742"/>
      <c r="AU309" s="4756"/>
      <c r="AV309" s="4748"/>
      <c r="AW309" s="4742"/>
      <c r="AX309" s="4743"/>
      <c r="AY309" s="1094" t="str">
        <f t="shared" si="44"/>
        <v>NOT ACTIVE</v>
      </c>
      <c r="AZ309" s="4757"/>
      <c r="BA309" s="4744"/>
      <c r="BB309" s="4758"/>
      <c r="BC309" s="4759"/>
      <c r="BD309" s="4760" t="s">
        <v>6574</v>
      </c>
      <c r="BF309" s="845">
        <f t="shared" ca="1" si="37"/>
        <v>0</v>
      </c>
      <c r="BG309" s="1377"/>
    </row>
    <row r="310" spans="1:59" s="686" customFormat="1" ht="24" customHeight="1">
      <c r="A310" s="1141">
        <f t="shared" si="45"/>
        <v>244</v>
      </c>
      <c r="B310" s="1474" t="s">
        <v>6260</v>
      </c>
      <c r="C310" s="1474" t="s">
        <v>165</v>
      </c>
      <c r="D310" s="4432" t="s">
        <v>5116</v>
      </c>
      <c r="E310" s="1476"/>
      <c r="F310" s="1477"/>
      <c r="G310" s="1478"/>
      <c r="H310" s="4430" t="s">
        <v>104</v>
      </c>
      <c r="I310" s="4431" t="s">
        <v>244</v>
      </c>
      <c r="J310" s="1944" t="str">
        <f>IFERROR(VLOOKUP(I310,dropdowns!$E$45:$I$56,2,FALSE)," ")</f>
        <v>1.TB.01.003</v>
      </c>
      <c r="K310" s="4432" t="s">
        <v>244</v>
      </c>
      <c r="L310" s="4433" t="str">
        <f>IFERROR(VLOOKUP(K310,dropdowns!$G$45:$H$56,2,FALSE)," ")</f>
        <v>1.TB.01.003.01</v>
      </c>
      <c r="M310" s="1251" t="s">
        <v>3205</v>
      </c>
      <c r="N310" s="1482" t="s">
        <v>3207</v>
      </c>
      <c r="O310" s="3558"/>
      <c r="P310" s="4724"/>
      <c r="Q310" s="3920"/>
      <c r="R310" s="1103"/>
      <c r="S310" s="1109"/>
      <c r="T310" s="1729"/>
      <c r="U310" s="1097"/>
      <c r="V310" s="1105"/>
      <c r="W310" s="1105"/>
      <c r="X310" s="1093" t="str">
        <f t="shared" si="42"/>
        <v>NOT ACTIVE</v>
      </c>
      <c r="Y310" s="3351"/>
      <c r="Z310" s="1111"/>
      <c r="AA310" s="1109"/>
      <c r="AB310" s="1729"/>
      <c r="AC310" s="1097"/>
      <c r="AD310" s="1097"/>
      <c r="AE310" s="1097"/>
      <c r="AF310" s="1094" t="str">
        <f t="shared" si="43"/>
        <v>NOT ACTIVE</v>
      </c>
      <c r="AG310" s="1182"/>
      <c r="AH310" s="1101"/>
      <c r="AI310" s="1729"/>
      <c r="AJ310" s="1097"/>
      <c r="AK310" s="1097"/>
      <c r="AL310" s="1110"/>
      <c r="AM310" s="1736"/>
      <c r="AN310" s="1112"/>
      <c r="AO310" s="1113"/>
      <c r="AP310" s="1487"/>
      <c r="AQ310" s="1117"/>
      <c r="AR310" s="1729"/>
      <c r="AS310" s="1182"/>
      <c r="AT310" s="1109"/>
      <c r="AU310" s="1095"/>
      <c r="AV310" s="1182"/>
      <c r="AW310" s="1109"/>
      <c r="AX310" s="1729"/>
      <c r="AY310" s="1094" t="str">
        <f t="shared" si="44"/>
        <v>NOT ACTIVE</v>
      </c>
      <c r="AZ310" s="1186"/>
      <c r="BA310" s="1097"/>
      <c r="BB310" s="1098"/>
      <c r="BC310" s="1099"/>
      <c r="BD310" s="1108"/>
      <c r="BF310" s="845">
        <f t="shared" ca="1" si="37"/>
        <v>0</v>
      </c>
      <c r="BG310" s="1377"/>
    </row>
    <row r="311" spans="1:59" s="686" customFormat="1" ht="39" customHeight="1">
      <c r="A311" s="1141">
        <f t="shared" si="45"/>
        <v>245</v>
      </c>
      <c r="B311" s="1884" t="s">
        <v>6285</v>
      </c>
      <c r="C311" s="4943" t="s">
        <v>165</v>
      </c>
      <c r="D311" s="4944" t="s">
        <v>5122</v>
      </c>
      <c r="E311" s="1476"/>
      <c r="F311" s="1477"/>
      <c r="G311" s="1478"/>
      <c r="H311" s="5016" t="s">
        <v>104</v>
      </c>
      <c r="I311" s="5017" t="s">
        <v>244</v>
      </c>
      <c r="J311" s="5018" t="str">
        <f>IFERROR(VLOOKUP(I311,dropdowns!$E$45:$I$56,2,FALSE)," ")</f>
        <v>1.TB.01.003</v>
      </c>
      <c r="K311" s="4944" t="s">
        <v>244</v>
      </c>
      <c r="L311" s="5019" t="str">
        <f>IFERROR(VLOOKUP(K311,dropdowns!$G$45:$H$56,2,FALSE)," ")</f>
        <v>1.TB.01.003.01</v>
      </c>
      <c r="M311" s="1251" t="s">
        <v>139</v>
      </c>
      <c r="N311" s="1482" t="s">
        <v>2564</v>
      </c>
      <c r="O311" s="1231"/>
      <c r="P311" s="1224"/>
      <c r="Q311" s="3913"/>
      <c r="R311" s="3566" t="s">
        <v>6286</v>
      </c>
      <c r="S311" s="3567" t="s">
        <v>663</v>
      </c>
      <c r="T311" s="3561">
        <v>46181</v>
      </c>
      <c r="U311" s="3562" t="s">
        <v>111</v>
      </c>
      <c r="V311" s="3563" t="s">
        <v>6322</v>
      </c>
      <c r="W311" s="3563" t="s">
        <v>94</v>
      </c>
      <c r="X311" s="1093" t="str">
        <f t="shared" si="42"/>
        <v>NOT ACTIVE</v>
      </c>
      <c r="Y311" s="3568">
        <f>236160</f>
        <v>236160</v>
      </c>
      <c r="Z311" s="3575"/>
      <c r="AA311" s="3567"/>
      <c r="AB311" s="3561"/>
      <c r="AC311" s="3562"/>
      <c r="AD311" s="3562"/>
      <c r="AE311" s="3562"/>
      <c r="AF311" s="1094" t="str">
        <f t="shared" si="43"/>
        <v>NOT ACTIVE</v>
      </c>
      <c r="AG311" s="3573"/>
      <c r="AH311" s="3560" t="s">
        <v>2348</v>
      </c>
      <c r="AI311" s="3561">
        <v>46175</v>
      </c>
      <c r="AJ311" s="3562" t="s">
        <v>93</v>
      </c>
      <c r="AK311" s="3563" t="s">
        <v>6322</v>
      </c>
      <c r="AL311" s="3564"/>
      <c r="AM311" s="4360"/>
      <c r="AN311" s="5039"/>
      <c r="AO311" s="3570"/>
      <c r="AP311" s="3571"/>
      <c r="AQ311" s="3572"/>
      <c r="AR311" s="3561"/>
      <c r="AS311" s="3573"/>
      <c r="AT311" s="3567"/>
      <c r="AU311" s="4391"/>
      <c r="AV311" s="3573"/>
      <c r="AW311" s="3567"/>
      <c r="AX311" s="3561"/>
      <c r="AY311" s="1094" t="str">
        <f t="shared" si="44"/>
        <v>NOT ACTIVE</v>
      </c>
      <c r="AZ311" s="4392"/>
      <c r="BA311" s="3562"/>
      <c r="BB311" s="4393"/>
      <c r="BC311" s="4394"/>
      <c r="BD311" s="4395" t="s">
        <v>6321</v>
      </c>
      <c r="BF311" s="845">
        <f t="shared" ca="1" si="37"/>
        <v>0</v>
      </c>
      <c r="BG311" s="1377"/>
    </row>
    <row r="312" spans="1:59" s="686" customFormat="1" ht="33.75" customHeight="1">
      <c r="A312" s="1141">
        <f t="shared" si="45"/>
        <v>246</v>
      </c>
      <c r="B312" s="1474" t="s">
        <v>6290</v>
      </c>
      <c r="C312" s="4943" t="s">
        <v>165</v>
      </c>
      <c r="D312" s="4944" t="s">
        <v>5122</v>
      </c>
      <c r="E312" s="1476"/>
      <c r="F312" s="1477"/>
      <c r="G312" s="1478"/>
      <c r="H312" s="5016" t="s">
        <v>104</v>
      </c>
      <c r="I312" s="5017" t="s">
        <v>244</v>
      </c>
      <c r="J312" s="5018" t="str">
        <f>IFERROR(VLOOKUP(I312,dropdowns!$E$45:$I$56,2,FALSE)," ")</f>
        <v>1.TB.01.003</v>
      </c>
      <c r="K312" s="4944" t="s">
        <v>244</v>
      </c>
      <c r="L312" s="5019" t="str">
        <f>IFERROR(VLOOKUP(K312,dropdowns!$G$45:$H$56,2,FALSE)," ")</f>
        <v>1.TB.01.003.01</v>
      </c>
      <c r="M312" s="1251" t="s">
        <v>2964</v>
      </c>
      <c r="N312" s="1482" t="s">
        <v>2965</v>
      </c>
      <c r="O312" s="1231"/>
      <c r="P312" s="1224"/>
      <c r="Q312" s="3913"/>
      <c r="R312" s="3566" t="s">
        <v>6291</v>
      </c>
      <c r="S312" s="3567" t="s">
        <v>663</v>
      </c>
      <c r="T312" s="3561">
        <v>46181</v>
      </c>
      <c r="U312" s="3562" t="s">
        <v>79</v>
      </c>
      <c r="V312" s="3563" t="s">
        <v>6319</v>
      </c>
      <c r="W312" s="3563" t="s">
        <v>94</v>
      </c>
      <c r="X312" s="1093" t="str">
        <f t="shared" si="42"/>
        <v>ACTIVE</v>
      </c>
      <c r="Y312" s="3568">
        <v>0</v>
      </c>
      <c r="Z312" s="3575" t="s">
        <v>2126</v>
      </c>
      <c r="AA312" s="3567"/>
      <c r="AB312" s="3561">
        <v>46209</v>
      </c>
      <c r="AC312" s="3562" t="s">
        <v>79</v>
      </c>
      <c r="AD312" s="3563" t="s">
        <v>6465</v>
      </c>
      <c r="AE312" s="3562"/>
      <c r="AF312" s="1094"/>
      <c r="AG312" s="3573">
        <v>0</v>
      </c>
      <c r="AH312" s="3560" t="s">
        <v>2283</v>
      </c>
      <c r="AI312" s="3561">
        <v>46181</v>
      </c>
      <c r="AJ312" s="3562" t="s">
        <v>79</v>
      </c>
      <c r="AK312" s="3563" t="s">
        <v>6483</v>
      </c>
      <c r="AL312" s="3564" t="s">
        <v>2283</v>
      </c>
      <c r="AM312" s="4360">
        <v>46181</v>
      </c>
      <c r="AN312" s="3565" t="s">
        <v>6484</v>
      </c>
      <c r="AO312" s="3570" t="s">
        <v>6485</v>
      </c>
      <c r="AP312" s="3571"/>
      <c r="AQ312" s="3572"/>
      <c r="AR312" s="3561"/>
      <c r="AS312" s="3573"/>
      <c r="AT312" s="3567"/>
      <c r="AU312" s="4391"/>
      <c r="AV312" s="3573"/>
      <c r="AW312" s="3572" t="s">
        <v>6580</v>
      </c>
      <c r="AX312" s="3561">
        <v>46237</v>
      </c>
      <c r="AY312" s="1094" t="str">
        <f t="shared" si="44"/>
        <v>ACTIVE</v>
      </c>
      <c r="AZ312" s="4392">
        <v>0</v>
      </c>
      <c r="BA312" s="3562" t="s">
        <v>79</v>
      </c>
      <c r="BB312" s="4393"/>
      <c r="BC312" s="4394"/>
      <c r="BD312" s="4395"/>
      <c r="BF312" s="845">
        <f t="shared" ca="1" si="37"/>
        <v>0</v>
      </c>
      <c r="BG312" s="1377"/>
    </row>
    <row r="313" spans="1:59" s="686" customFormat="1" ht="38.25">
      <c r="A313" s="1132">
        <f t="shared" si="45"/>
        <v>247</v>
      </c>
      <c r="B313" s="3545" t="s">
        <v>6309</v>
      </c>
      <c r="C313" s="3546" t="s">
        <v>165</v>
      </c>
      <c r="D313" s="4918" t="s">
        <v>92</v>
      </c>
      <c r="E313" s="3548"/>
      <c r="F313" s="3549"/>
      <c r="G313" s="3550"/>
      <c r="H313" s="4430" t="s">
        <v>104</v>
      </c>
      <c r="I313" s="4431" t="s">
        <v>244</v>
      </c>
      <c r="J313" s="1944" t="str">
        <f>IFERROR(VLOOKUP(I313,dropdowns!$E$45:$I$56,2,FALSE)," ")</f>
        <v>1.TB.01.003</v>
      </c>
      <c r="K313" s="4432" t="s">
        <v>244</v>
      </c>
      <c r="L313" s="4433" t="str">
        <f>IFERROR(VLOOKUP(K313,dropdowns!$G$45:$H$56,2,FALSE)," ")</f>
        <v>1.TB.01.003.01</v>
      </c>
      <c r="M313" s="1251" t="s">
        <v>3930</v>
      </c>
      <c r="N313" s="1482" t="s">
        <v>2558</v>
      </c>
      <c r="O313" s="3558"/>
      <c r="P313" s="4724"/>
      <c r="Q313" s="3920"/>
      <c r="R313" s="3566" t="s">
        <v>6307</v>
      </c>
      <c r="S313" s="3567" t="s">
        <v>663</v>
      </c>
      <c r="T313" s="3561">
        <v>46188</v>
      </c>
      <c r="U313" s="3562" t="s">
        <v>79</v>
      </c>
      <c r="V313" s="3563" t="s">
        <v>6405</v>
      </c>
      <c r="W313" s="3563" t="s">
        <v>94</v>
      </c>
      <c r="X313" s="3559" t="str">
        <f t="shared" si="42"/>
        <v>ACTIVE</v>
      </c>
      <c r="Y313" s="3568">
        <v>68217.5</v>
      </c>
      <c r="Z313" s="1111">
        <v>37</v>
      </c>
      <c r="AA313" s="1109"/>
      <c r="AB313" s="1729"/>
      <c r="AC313" s="1097" t="s">
        <v>87</v>
      </c>
      <c r="AD313" s="1097"/>
      <c r="AE313" s="1097"/>
      <c r="AF313" s="1094" t="str">
        <f t="shared" ref="AF313:AF331" si="46">IF(AC313="APPROVED","ACTIVE","NOT ACTIVE")</f>
        <v>NOT ACTIVE</v>
      </c>
      <c r="AG313" s="1182"/>
      <c r="AH313" s="3560" t="s">
        <v>6308</v>
      </c>
      <c r="AI313" s="3561">
        <v>46188</v>
      </c>
      <c r="AJ313" s="3562" t="s">
        <v>79</v>
      </c>
      <c r="AK313" s="3563" t="s">
        <v>6405</v>
      </c>
      <c r="AL313" s="1110"/>
      <c r="AM313" s="1736"/>
      <c r="AN313" s="1112"/>
      <c r="AO313" s="1113"/>
      <c r="AP313" s="1487"/>
      <c r="AQ313" s="1117"/>
      <c r="AR313" s="1729"/>
      <c r="AS313" s="1182"/>
      <c r="AT313" s="1109"/>
      <c r="AU313" s="1095"/>
      <c r="AV313" s="1182"/>
      <c r="AW313" s="1109"/>
      <c r="AX313" s="1729"/>
      <c r="AY313" s="1094" t="str">
        <f t="shared" si="44"/>
        <v>NOT ACTIVE</v>
      </c>
      <c r="AZ313" s="1186"/>
      <c r="BA313" s="1097"/>
      <c r="BB313" s="1098"/>
      <c r="BC313" s="1099"/>
      <c r="BD313" s="1108"/>
      <c r="BF313" s="845">
        <f t="shared" ca="1" si="37"/>
        <v>0</v>
      </c>
      <c r="BG313" s="1377"/>
    </row>
    <row r="314" spans="1:59" s="686" customFormat="1" ht="42.75" customHeight="1">
      <c r="A314" s="5035">
        <f t="shared" si="45"/>
        <v>248</v>
      </c>
      <c r="B314" s="3545" t="s">
        <v>6310</v>
      </c>
      <c r="C314" s="3546" t="s">
        <v>165</v>
      </c>
      <c r="D314" s="4918" t="s">
        <v>92</v>
      </c>
      <c r="E314" s="3548"/>
      <c r="F314" s="3549"/>
      <c r="G314" s="3550"/>
      <c r="H314" s="4430" t="s">
        <v>104</v>
      </c>
      <c r="I314" s="4431" t="s">
        <v>244</v>
      </c>
      <c r="J314" s="1944" t="str">
        <f>IFERROR(VLOOKUP(I314,dropdowns!$E$45:$I$56,2,FALSE)," ")</f>
        <v>1.TB.01.003</v>
      </c>
      <c r="K314" s="4432" t="s">
        <v>244</v>
      </c>
      <c r="L314" s="4433" t="str">
        <f>IFERROR(VLOOKUP(K314,dropdowns!$G$45:$H$56,2,FALSE)," ")</f>
        <v>1.TB.01.003.01</v>
      </c>
      <c r="M314" s="1251" t="s">
        <v>3930</v>
      </c>
      <c r="N314" s="1482" t="s">
        <v>2558</v>
      </c>
      <c r="O314" s="5087"/>
      <c r="P314" s="5088"/>
      <c r="Q314" s="3920"/>
      <c r="R314" s="3566" t="s">
        <v>6311</v>
      </c>
      <c r="S314" s="3567" t="s">
        <v>663</v>
      </c>
      <c r="T314" s="3561">
        <v>46190</v>
      </c>
      <c r="U314" s="3562" t="s">
        <v>79</v>
      </c>
      <c r="V314" s="3563" t="s">
        <v>6413</v>
      </c>
      <c r="W314" s="3563" t="s">
        <v>94</v>
      </c>
      <c r="X314" s="3559" t="str">
        <f t="shared" si="42"/>
        <v>ACTIVE</v>
      </c>
      <c r="Y314" s="3568">
        <v>20000</v>
      </c>
      <c r="Z314" s="5191">
        <v>38</v>
      </c>
      <c r="AA314" s="3567" t="s">
        <v>663</v>
      </c>
      <c r="AB314" s="5037">
        <v>46277</v>
      </c>
      <c r="AC314" s="5038" t="s">
        <v>79</v>
      </c>
      <c r="AD314" s="3563" t="s">
        <v>6678</v>
      </c>
      <c r="AE314" s="5038" t="s">
        <v>80</v>
      </c>
      <c r="AF314" s="5090" t="str">
        <f t="shared" si="46"/>
        <v>ACTIVE</v>
      </c>
      <c r="AG314" s="5106">
        <v>119791.67</v>
      </c>
      <c r="AH314" s="3560" t="s">
        <v>6312</v>
      </c>
      <c r="AI314" s="3561">
        <v>46190</v>
      </c>
      <c r="AJ314" s="3562" t="s">
        <v>79</v>
      </c>
      <c r="AK314" s="3563" t="s">
        <v>6413</v>
      </c>
      <c r="AL314" s="5004"/>
      <c r="AM314" s="5005"/>
      <c r="AN314" s="5006"/>
      <c r="AO314" s="5007"/>
      <c r="AP314" s="5008"/>
      <c r="AQ314" s="5009"/>
      <c r="AR314" s="4939"/>
      <c r="AS314" s="5003"/>
      <c r="AT314" s="4998"/>
      <c r="AU314" s="5010"/>
      <c r="AV314" s="5003"/>
      <c r="AW314" s="4998"/>
      <c r="AX314" s="4939"/>
      <c r="AY314" s="5002" t="str">
        <f t="shared" si="44"/>
        <v>NOT ACTIVE</v>
      </c>
      <c r="AZ314" s="5011"/>
      <c r="BA314" s="4938"/>
      <c r="BB314" s="5012"/>
      <c r="BC314" s="5013"/>
      <c r="BD314" s="5014"/>
      <c r="BF314" s="845">
        <f t="shared" ca="1" si="37"/>
        <v>0</v>
      </c>
      <c r="BG314" s="1377"/>
    </row>
    <row r="315" spans="1:59" s="686" customFormat="1" ht="38.25">
      <c r="A315" s="1141">
        <f t="shared" si="45"/>
        <v>249</v>
      </c>
      <c r="B315" s="1474" t="s">
        <v>6324</v>
      </c>
      <c r="C315" s="1474" t="s">
        <v>165</v>
      </c>
      <c r="D315" s="4918" t="s">
        <v>92</v>
      </c>
      <c r="E315" s="1476"/>
      <c r="F315" s="1477"/>
      <c r="G315" s="1478"/>
      <c r="H315" s="4430" t="s">
        <v>104</v>
      </c>
      <c r="I315" s="4431" t="s">
        <v>244</v>
      </c>
      <c r="J315" s="1944" t="str">
        <f>IFERROR(VLOOKUP(I315,dropdowns!$E$45:$I$56,2,FALSE)," ")</f>
        <v>1.TB.01.003</v>
      </c>
      <c r="K315" s="4432" t="s">
        <v>244</v>
      </c>
      <c r="L315" s="4433" t="str">
        <f>IFERROR(VLOOKUP(K315,dropdowns!$G$45:$H$56,2,FALSE)," ")</f>
        <v>1.TB.01.003.01</v>
      </c>
      <c r="M315" s="1251" t="s">
        <v>3205</v>
      </c>
      <c r="N315" s="1482" t="s">
        <v>3207</v>
      </c>
      <c r="O315" s="5087"/>
      <c r="P315" s="5088"/>
      <c r="Q315" s="3920"/>
      <c r="R315" s="4997"/>
      <c r="S315" s="4998"/>
      <c r="T315" s="4939"/>
      <c r="U315" s="4938"/>
      <c r="V315" s="4938"/>
      <c r="W315" s="4937"/>
      <c r="X315" s="4999" t="str">
        <f t="shared" si="42"/>
        <v>NOT ACTIVE</v>
      </c>
      <c r="Y315" s="5000"/>
      <c r="Z315" s="5001"/>
      <c r="AA315" s="4998"/>
      <c r="AB315" s="4939"/>
      <c r="AC315" s="4938"/>
      <c r="AD315" s="4938"/>
      <c r="AE315" s="4938"/>
      <c r="AF315" s="5002" t="str">
        <f t="shared" si="46"/>
        <v>NOT ACTIVE</v>
      </c>
      <c r="AG315" s="5003"/>
      <c r="AH315" s="1101" t="s">
        <v>2639</v>
      </c>
      <c r="AI315" s="4939"/>
      <c r="AJ315" s="4938"/>
      <c r="AK315" s="4938"/>
      <c r="AL315" s="5004"/>
      <c r="AM315" s="5005"/>
      <c r="AN315" s="5006"/>
      <c r="AO315" s="5007"/>
      <c r="AP315" s="5008"/>
      <c r="AQ315" s="5009"/>
      <c r="AR315" s="4939"/>
      <c r="AS315" s="5003"/>
      <c r="AT315" s="4998"/>
      <c r="AU315" s="5010"/>
      <c r="AV315" s="5003"/>
      <c r="AW315" s="4998"/>
      <c r="AX315" s="4939"/>
      <c r="AY315" s="5002" t="str">
        <f t="shared" si="44"/>
        <v>NOT ACTIVE</v>
      </c>
      <c r="AZ315" s="5011"/>
      <c r="BA315" s="4938"/>
      <c r="BB315" s="5012"/>
      <c r="BC315" s="5013"/>
      <c r="BD315" s="5014"/>
      <c r="BF315" s="845">
        <f t="shared" ca="1" si="37"/>
        <v>0</v>
      </c>
      <c r="BG315" s="1377"/>
    </row>
    <row r="316" spans="1:59" s="686" customFormat="1" ht="38.25">
      <c r="A316" s="1141">
        <f t="shared" si="45"/>
        <v>250</v>
      </c>
      <c r="B316" s="1884" t="s">
        <v>6395</v>
      </c>
      <c r="C316" s="1474" t="s">
        <v>165</v>
      </c>
      <c r="D316" s="4918" t="s">
        <v>6131</v>
      </c>
      <c r="E316" s="1476"/>
      <c r="F316" s="1477"/>
      <c r="G316" s="1478"/>
      <c r="H316" s="4430" t="s">
        <v>104</v>
      </c>
      <c r="I316" s="4431" t="s">
        <v>244</v>
      </c>
      <c r="J316" s="1944" t="str">
        <f>IFERROR(VLOOKUP(I316,dropdowns!$E$45:$I$56,2,FALSE)," ")</f>
        <v>1.TB.01.003</v>
      </c>
      <c r="K316" s="4432" t="s">
        <v>244</v>
      </c>
      <c r="L316" s="4433" t="str">
        <f>IFERROR(VLOOKUP(K316,dropdowns!$G$45:$H$56,2,FALSE)," ")</f>
        <v>1.TB.01.003.01</v>
      </c>
      <c r="M316" s="1251" t="s">
        <v>2725</v>
      </c>
      <c r="N316" s="1482" t="s">
        <v>2742</v>
      </c>
      <c r="O316" s="5087"/>
      <c r="P316" s="5088"/>
      <c r="Q316" s="3920"/>
      <c r="R316" s="3566" t="s">
        <v>6396</v>
      </c>
      <c r="S316" s="3567" t="s">
        <v>663</v>
      </c>
      <c r="T316" s="5037">
        <v>46215</v>
      </c>
      <c r="U316" s="5038" t="s">
        <v>79</v>
      </c>
      <c r="V316" s="3563" t="s">
        <v>6516</v>
      </c>
      <c r="W316" s="5089" t="s">
        <v>94</v>
      </c>
      <c r="X316" s="4999" t="str">
        <f t="shared" si="42"/>
        <v>ACTIVE</v>
      </c>
      <c r="Y316" s="5091">
        <v>5259</v>
      </c>
      <c r="Z316" s="3575" t="s">
        <v>4120</v>
      </c>
      <c r="AA316" s="3567" t="s">
        <v>663</v>
      </c>
      <c r="AB316" s="5037">
        <v>46277</v>
      </c>
      <c r="AC316" s="5038" t="s">
        <v>79</v>
      </c>
      <c r="AD316" s="3563" t="s">
        <v>6677</v>
      </c>
      <c r="AE316" s="5038" t="s">
        <v>94</v>
      </c>
      <c r="AF316" s="5090" t="str">
        <f t="shared" si="46"/>
        <v>ACTIVE</v>
      </c>
      <c r="AG316" s="5106">
        <v>5259</v>
      </c>
      <c r="AH316" s="1101" t="s">
        <v>2747</v>
      </c>
      <c r="AI316" s="4939"/>
      <c r="AJ316" s="4938"/>
      <c r="AK316" s="4938"/>
      <c r="AL316" s="5004"/>
      <c r="AM316" s="5005"/>
      <c r="AN316" s="5006"/>
      <c r="AO316" s="5007"/>
      <c r="AP316" s="5008"/>
      <c r="AQ316" s="5009"/>
      <c r="AR316" s="4939"/>
      <c r="AS316" s="5003"/>
      <c r="AT316" s="4998"/>
      <c r="AU316" s="5010"/>
      <c r="AV316" s="5003"/>
      <c r="AW316" s="4998"/>
      <c r="AX316" s="4939"/>
      <c r="AY316" s="5002" t="str">
        <f t="shared" si="44"/>
        <v>NOT ACTIVE</v>
      </c>
      <c r="AZ316" s="5011"/>
      <c r="BA316" s="4938"/>
      <c r="BB316" s="5012"/>
      <c r="BC316" s="5013"/>
      <c r="BD316" s="5014"/>
      <c r="BF316" s="845">
        <f t="shared" ca="1" si="37"/>
        <v>0</v>
      </c>
      <c r="BG316" s="1377"/>
    </row>
    <row r="317" spans="1:59" s="686" customFormat="1" ht="38.25">
      <c r="A317" s="1141">
        <f t="shared" si="45"/>
        <v>251</v>
      </c>
      <c r="B317" s="1884" t="s">
        <v>6395</v>
      </c>
      <c r="C317" s="1474" t="s">
        <v>165</v>
      </c>
      <c r="D317" s="4918" t="s">
        <v>6131</v>
      </c>
      <c r="E317" s="1476"/>
      <c r="F317" s="1477"/>
      <c r="G317" s="1478"/>
      <c r="H317" s="4430" t="s">
        <v>104</v>
      </c>
      <c r="I317" s="4431" t="s">
        <v>244</v>
      </c>
      <c r="J317" s="1944" t="str">
        <f>IFERROR(VLOOKUP(I317,dropdowns!$E$45:$I$56,2,FALSE)," ")</f>
        <v>1.TB.01.003</v>
      </c>
      <c r="K317" s="4432" t="s">
        <v>244</v>
      </c>
      <c r="L317" s="4433" t="str">
        <f>IFERROR(VLOOKUP(K317,dropdowns!$G$45:$H$56,2,FALSE)," ")</f>
        <v>1.TB.01.003.01</v>
      </c>
      <c r="M317" s="1251" t="s">
        <v>3205</v>
      </c>
      <c r="N317" s="1482" t="s">
        <v>3207</v>
      </c>
      <c r="O317" s="5087"/>
      <c r="P317" s="5088"/>
      <c r="Q317" s="3920"/>
      <c r="R317" s="3566" t="s">
        <v>6424</v>
      </c>
      <c r="S317" s="3567" t="s">
        <v>663</v>
      </c>
      <c r="T317" s="5037">
        <v>46215</v>
      </c>
      <c r="U317" s="5038" t="s">
        <v>79</v>
      </c>
      <c r="V317" s="3563" t="s">
        <v>6516</v>
      </c>
      <c r="W317" s="5089" t="s">
        <v>94</v>
      </c>
      <c r="X317" s="5090" t="str">
        <f t="shared" si="42"/>
        <v>ACTIVE</v>
      </c>
      <c r="Y317" s="5091">
        <v>-5259</v>
      </c>
      <c r="Z317" s="3575" t="s">
        <v>4120</v>
      </c>
      <c r="AA317" s="3567" t="s">
        <v>663</v>
      </c>
      <c r="AB317" s="5037">
        <v>46277</v>
      </c>
      <c r="AC317" s="5038" t="s">
        <v>79</v>
      </c>
      <c r="AD317" s="3563" t="s">
        <v>6656</v>
      </c>
      <c r="AE317" s="5038" t="s">
        <v>94</v>
      </c>
      <c r="AF317" s="5090" t="str">
        <f t="shared" si="46"/>
        <v>ACTIVE</v>
      </c>
      <c r="AG317" s="5106">
        <v>-5259</v>
      </c>
      <c r="AH317" s="3560" t="s">
        <v>2750</v>
      </c>
      <c r="AI317" s="5037">
        <v>46287</v>
      </c>
      <c r="AJ317" s="5038" t="s">
        <v>79</v>
      </c>
      <c r="AK317" s="3563" t="s">
        <v>6685</v>
      </c>
      <c r="AL317" s="3564" t="s">
        <v>2750</v>
      </c>
      <c r="AM317" s="5115">
        <v>46284</v>
      </c>
      <c r="AN317" s="3565" t="s">
        <v>6657</v>
      </c>
      <c r="AO317" s="5007"/>
      <c r="AP317" s="5008"/>
      <c r="AQ317" s="5009"/>
      <c r="AR317" s="4939"/>
      <c r="AS317" s="5003"/>
      <c r="AT317" s="4998"/>
      <c r="AU317" s="5010"/>
      <c r="AV317" s="5003"/>
      <c r="AW317" s="4998"/>
      <c r="AX317" s="4939"/>
      <c r="AY317" s="5002" t="str">
        <f t="shared" si="44"/>
        <v>NOT ACTIVE</v>
      </c>
      <c r="AZ317" s="5011"/>
      <c r="BA317" s="4938"/>
      <c r="BB317" s="5012"/>
      <c r="BC317" s="5013"/>
      <c r="BD317" s="5014"/>
      <c r="BF317" s="845">
        <f t="shared" ca="1" si="37"/>
        <v>0</v>
      </c>
      <c r="BG317" s="1377"/>
    </row>
    <row r="318" spans="1:59" s="686" customFormat="1" ht="38.25">
      <c r="A318" s="5035">
        <f t="shared" si="45"/>
        <v>252</v>
      </c>
      <c r="B318" s="1884" t="s">
        <v>6397</v>
      </c>
      <c r="C318" s="1474" t="s">
        <v>165</v>
      </c>
      <c r="D318" s="4918" t="s">
        <v>6131</v>
      </c>
      <c r="E318" s="1476"/>
      <c r="F318" s="1477"/>
      <c r="G318" s="1478"/>
      <c r="H318" s="4430" t="s">
        <v>104</v>
      </c>
      <c r="I318" s="4431" t="s">
        <v>244</v>
      </c>
      <c r="J318" s="1944" t="str">
        <f>IFERROR(VLOOKUP(I318,dropdowns!$E$45:$I$56,2,FALSE)," ")</f>
        <v>1.TB.01.003</v>
      </c>
      <c r="K318" s="4432" t="s">
        <v>244</v>
      </c>
      <c r="L318" s="4433" t="str">
        <f>IFERROR(VLOOKUP(K318,dropdowns!$G$45:$H$56,2,FALSE)," ")</f>
        <v>1.TB.01.003.01</v>
      </c>
      <c r="M318" s="1251" t="s">
        <v>3205</v>
      </c>
      <c r="N318" s="1482" t="s">
        <v>3207</v>
      </c>
      <c r="O318" s="5087"/>
      <c r="P318" s="5088"/>
      <c r="Q318" s="3920"/>
      <c r="R318" s="3566" t="s">
        <v>6398</v>
      </c>
      <c r="S318" s="3567" t="s">
        <v>663</v>
      </c>
      <c r="T318" s="5037">
        <v>46187</v>
      </c>
      <c r="U318" s="5038" t="s">
        <v>79</v>
      </c>
      <c r="V318" s="3563" t="s">
        <v>6399</v>
      </c>
      <c r="W318" s="5089" t="s">
        <v>94</v>
      </c>
      <c r="X318" s="5090" t="str">
        <f t="shared" si="42"/>
        <v>ACTIVE</v>
      </c>
      <c r="Y318" s="5091">
        <v>8294779.7999999998</v>
      </c>
      <c r="Z318" s="3575" t="s">
        <v>2627</v>
      </c>
      <c r="AA318" s="3567" t="s">
        <v>663</v>
      </c>
      <c r="AB318" s="5037">
        <v>46209</v>
      </c>
      <c r="AC318" s="5038" t="s">
        <v>79</v>
      </c>
      <c r="AD318" s="3563" t="s">
        <v>6432</v>
      </c>
      <c r="AE318" s="5038" t="s">
        <v>94</v>
      </c>
      <c r="AF318" s="5090" t="str">
        <f t="shared" si="46"/>
        <v>ACTIVE</v>
      </c>
      <c r="AG318" s="5106">
        <v>8294779.7999999998</v>
      </c>
      <c r="AH318" s="3560" t="s">
        <v>2639</v>
      </c>
      <c r="AI318" s="5037">
        <v>46219</v>
      </c>
      <c r="AJ318" s="5038" t="s">
        <v>79</v>
      </c>
      <c r="AK318" s="3563" t="s">
        <v>6520</v>
      </c>
      <c r="AL318" s="3564" t="s">
        <v>2639</v>
      </c>
      <c r="AM318" s="5115">
        <v>46219</v>
      </c>
      <c r="AN318" s="3565" t="s">
        <v>6521</v>
      </c>
      <c r="AO318" s="3570" t="s">
        <v>3375</v>
      </c>
      <c r="AP318" s="3571" t="s">
        <v>663</v>
      </c>
      <c r="AQ318" s="5116"/>
      <c r="AR318" s="5037"/>
      <c r="AS318" s="5106"/>
      <c r="AT318" s="5117"/>
      <c r="AU318" s="5118"/>
      <c r="AV318" s="5106"/>
      <c r="AW318" s="3572" t="s">
        <v>6531</v>
      </c>
      <c r="AX318" s="5037">
        <v>46222</v>
      </c>
      <c r="AY318" s="5002" t="str">
        <f t="shared" si="44"/>
        <v>ACTIVE</v>
      </c>
      <c r="AZ318" s="5119">
        <v>8294779</v>
      </c>
      <c r="BA318" s="5038" t="s">
        <v>79</v>
      </c>
      <c r="BB318" s="5120"/>
      <c r="BC318" s="5121"/>
      <c r="BD318" s="5122"/>
      <c r="BF318" s="845">
        <f t="shared" ca="1" si="37"/>
        <v>0</v>
      </c>
      <c r="BG318" s="1377"/>
    </row>
    <row r="319" spans="1:59" s="686" customFormat="1" ht="31.5" customHeight="1">
      <c r="A319" s="5035">
        <f t="shared" si="45"/>
        <v>253</v>
      </c>
      <c r="B319" s="3545" t="s">
        <v>6411</v>
      </c>
      <c r="C319" s="5098" t="s">
        <v>165</v>
      </c>
      <c r="D319" s="5099" t="s">
        <v>3337</v>
      </c>
      <c r="E319" s="5100"/>
      <c r="F319" s="5101"/>
      <c r="G319" s="5102"/>
      <c r="H319" s="4919" t="s">
        <v>104</v>
      </c>
      <c r="I319" s="4920" t="s">
        <v>244</v>
      </c>
      <c r="J319" s="4921" t="str">
        <f>IFERROR(VLOOKUP(I319,dropdowns!$E$45:$I$56,2,FALSE)," ")</f>
        <v>1.TB.01.003</v>
      </c>
      <c r="K319" s="4922" t="s">
        <v>244</v>
      </c>
      <c r="L319" s="4923" t="str">
        <f>IFERROR(VLOOKUP(K319,dropdowns!$G$45:$H$56,2,FALSE)," ")</f>
        <v>1.TB.01.003.01</v>
      </c>
      <c r="M319" s="5103" t="s">
        <v>2815</v>
      </c>
      <c r="N319" s="5104" t="s">
        <v>4361</v>
      </c>
      <c r="O319" s="5087"/>
      <c r="P319" s="5088"/>
      <c r="Q319" s="3920"/>
      <c r="R319" s="5107" t="s">
        <v>6412</v>
      </c>
      <c r="S319" s="3567" t="s">
        <v>663</v>
      </c>
      <c r="T319" s="5037">
        <v>46196</v>
      </c>
      <c r="U319" s="5038" t="s">
        <v>79</v>
      </c>
      <c r="V319" s="3563" t="s">
        <v>6414</v>
      </c>
      <c r="W319" s="5089" t="s">
        <v>94</v>
      </c>
      <c r="X319" s="5090" t="str">
        <f t="shared" si="42"/>
        <v>ACTIVE</v>
      </c>
      <c r="Y319" s="5091">
        <v>-53506.74</v>
      </c>
      <c r="Z319" s="3575" t="s">
        <v>805</v>
      </c>
      <c r="AA319" s="3567" t="s">
        <v>663</v>
      </c>
      <c r="AB319" s="5037">
        <v>46196</v>
      </c>
      <c r="AC319" s="5038" t="s">
        <v>79</v>
      </c>
      <c r="AD319" s="3563" t="s">
        <v>6414</v>
      </c>
      <c r="AE319" s="5038"/>
      <c r="AF319" s="5090" t="str">
        <f t="shared" si="46"/>
        <v>ACTIVE</v>
      </c>
      <c r="AG319" s="5106">
        <v>-53507</v>
      </c>
      <c r="AH319" s="3560" t="s">
        <v>805</v>
      </c>
      <c r="AI319" s="5037">
        <v>46196</v>
      </c>
      <c r="AJ319" s="5038" t="s">
        <v>79</v>
      </c>
      <c r="AK319" s="3563" t="s">
        <v>6414</v>
      </c>
      <c r="AL319" s="5004"/>
      <c r="AM319" s="5005"/>
      <c r="AN319" s="5006"/>
      <c r="AO319" s="5007"/>
      <c r="AP319" s="5008"/>
      <c r="AQ319" s="5009"/>
      <c r="AR319" s="4939"/>
      <c r="AS319" s="5003"/>
      <c r="AT319" s="4998"/>
      <c r="AU319" s="5010"/>
      <c r="AV319" s="5003"/>
      <c r="AW319" s="4998"/>
      <c r="AX319" s="4939"/>
      <c r="AY319" s="5002" t="str">
        <f t="shared" si="44"/>
        <v>NOT ACTIVE</v>
      </c>
      <c r="AZ319" s="5011"/>
      <c r="BA319" s="4938" t="s">
        <v>87</v>
      </c>
      <c r="BB319" s="5012"/>
      <c r="BC319" s="5013"/>
      <c r="BD319" s="5014"/>
      <c r="BF319" s="845">
        <f t="shared" ca="1" si="37"/>
        <v>46299</v>
      </c>
      <c r="BG319" s="1377"/>
    </row>
    <row r="320" spans="1:59" s="686" customFormat="1" ht="42.6" customHeight="1">
      <c r="A320" s="1132">
        <f t="shared" si="45"/>
        <v>254</v>
      </c>
      <c r="B320" s="3545" t="s">
        <v>6419</v>
      </c>
      <c r="C320" s="3546" t="s">
        <v>165</v>
      </c>
      <c r="D320" s="4918" t="s">
        <v>92</v>
      </c>
      <c r="E320" s="3548"/>
      <c r="F320" s="3549"/>
      <c r="G320" s="3550"/>
      <c r="H320" s="4430" t="s">
        <v>104</v>
      </c>
      <c r="I320" s="4431" t="s">
        <v>244</v>
      </c>
      <c r="J320" s="1944" t="str">
        <f>IFERROR(VLOOKUP(I320,dropdowns!$E$45:$I$56,2,FALSE)," ")</f>
        <v>1.TB.01.003</v>
      </c>
      <c r="K320" s="4432" t="s">
        <v>244</v>
      </c>
      <c r="L320" s="4433" t="str">
        <f>IFERROR(VLOOKUP(K320,dropdowns!$G$45:$H$56,2,FALSE)," ")</f>
        <v>1.TB.01.003.01</v>
      </c>
      <c r="M320" s="1251" t="s">
        <v>3930</v>
      </c>
      <c r="N320" s="1482" t="s">
        <v>2558</v>
      </c>
      <c r="O320" s="5087"/>
      <c r="P320" s="5088"/>
      <c r="Q320" s="3920"/>
      <c r="R320" s="5190">
        <v>60</v>
      </c>
      <c r="S320" s="3567" t="s">
        <v>663</v>
      </c>
      <c r="T320" s="5037">
        <v>46249</v>
      </c>
      <c r="U320" s="5038" t="s">
        <v>79</v>
      </c>
      <c r="V320" s="3563" t="s">
        <v>6588</v>
      </c>
      <c r="W320" s="5038" t="s">
        <v>94</v>
      </c>
      <c r="X320" s="4999" t="str">
        <f t="shared" si="42"/>
        <v>ACTIVE</v>
      </c>
      <c r="Y320" s="5091">
        <v>36173.25</v>
      </c>
      <c r="Z320" s="5191">
        <v>39</v>
      </c>
      <c r="AA320" s="3567" t="s">
        <v>663</v>
      </c>
      <c r="AB320" s="5037">
        <v>46249</v>
      </c>
      <c r="AC320" s="5038" t="s">
        <v>79</v>
      </c>
      <c r="AD320" s="3563" t="s">
        <v>6588</v>
      </c>
      <c r="AE320" s="5038" t="s">
        <v>94</v>
      </c>
      <c r="AF320" s="5002" t="str">
        <f t="shared" si="46"/>
        <v>ACTIVE</v>
      </c>
      <c r="AG320" s="5106">
        <v>36173.25</v>
      </c>
      <c r="AH320" s="3560" t="s">
        <v>6420</v>
      </c>
      <c r="AI320" s="5037">
        <v>46249</v>
      </c>
      <c r="AJ320" s="5038" t="s">
        <v>79</v>
      </c>
      <c r="AK320" s="3563" t="s">
        <v>6588</v>
      </c>
      <c r="AL320" s="5004"/>
      <c r="AM320" s="5005"/>
      <c r="AN320" s="5006"/>
      <c r="AO320" s="5007"/>
      <c r="AP320" s="5008"/>
      <c r="AQ320" s="5009"/>
      <c r="AR320" s="4939"/>
      <c r="AS320" s="5003"/>
      <c r="AT320" s="4998"/>
      <c r="AU320" s="5010"/>
      <c r="AV320" s="5003"/>
      <c r="AW320" s="4998"/>
      <c r="AX320" s="4939"/>
      <c r="AY320" s="5002" t="str">
        <f t="shared" si="44"/>
        <v>NOT ACTIVE</v>
      </c>
      <c r="AZ320" s="5011"/>
      <c r="BA320" s="4938" t="s">
        <v>87</v>
      </c>
      <c r="BB320" s="5012"/>
      <c r="BC320" s="5013"/>
      <c r="BD320" s="5014"/>
      <c r="BF320" s="845">
        <f t="shared" ca="1" si="37"/>
        <v>46299</v>
      </c>
      <c r="BG320" s="1377"/>
    </row>
    <row r="321" spans="1:59" s="686" customFormat="1" ht="43.5" customHeight="1">
      <c r="A321" s="5035">
        <f t="shared" si="45"/>
        <v>255</v>
      </c>
      <c r="B321" s="3546" t="s">
        <v>6443</v>
      </c>
      <c r="C321" s="5098" t="s">
        <v>165</v>
      </c>
      <c r="D321" s="5099" t="s">
        <v>3337</v>
      </c>
      <c r="E321" s="5100"/>
      <c r="F321" s="5101"/>
      <c r="G321" s="5102"/>
      <c r="H321" s="4430" t="s">
        <v>104</v>
      </c>
      <c r="I321" s="4431" t="s">
        <v>244</v>
      </c>
      <c r="J321" s="1944" t="str">
        <f>IFERROR(VLOOKUP(I321,dropdowns!$E$45:$I$56,2,FALSE)," ")</f>
        <v>1.TB.01.003</v>
      </c>
      <c r="K321" s="4432" t="s">
        <v>244</v>
      </c>
      <c r="L321" s="4433" t="str">
        <f>IFERROR(VLOOKUP(K321,dropdowns!$G$45:$H$56,2,FALSE)," ")</f>
        <v>1.TB.01.003.01</v>
      </c>
      <c r="M321" s="5103" t="s">
        <v>2003</v>
      </c>
      <c r="N321" s="5104" t="s">
        <v>6442</v>
      </c>
      <c r="O321" s="5087"/>
      <c r="P321" s="5088"/>
      <c r="Q321" s="3920"/>
      <c r="R321" s="5107" t="s">
        <v>6412</v>
      </c>
      <c r="S321" s="3567" t="s">
        <v>663</v>
      </c>
      <c r="T321" s="5037">
        <v>46212</v>
      </c>
      <c r="U321" s="5038" t="s">
        <v>79</v>
      </c>
      <c r="V321" s="3563" t="s">
        <v>6466</v>
      </c>
      <c r="W321" s="5089" t="s">
        <v>94</v>
      </c>
      <c r="X321" s="4999" t="str">
        <f t="shared" si="42"/>
        <v>ACTIVE</v>
      </c>
      <c r="Y321" s="5091">
        <v>-56700</v>
      </c>
      <c r="Z321" s="3575" t="s">
        <v>805</v>
      </c>
      <c r="AA321" s="3567" t="s">
        <v>663</v>
      </c>
      <c r="AB321" s="5037">
        <v>46212</v>
      </c>
      <c r="AC321" s="5038" t="s">
        <v>79</v>
      </c>
      <c r="AD321" s="3563" t="s">
        <v>6466</v>
      </c>
      <c r="AE321" s="5038" t="s">
        <v>94</v>
      </c>
      <c r="AF321" s="5002" t="str">
        <f t="shared" si="46"/>
        <v>ACTIVE</v>
      </c>
      <c r="AG321" s="5106">
        <v>-56700</v>
      </c>
      <c r="AH321" s="3560" t="s">
        <v>805</v>
      </c>
      <c r="AI321" s="5037"/>
      <c r="AJ321" s="5038"/>
      <c r="AK321" s="3562" t="s">
        <v>805</v>
      </c>
      <c r="AL321" s="3564" t="s">
        <v>805</v>
      </c>
      <c r="AM321" s="5115"/>
      <c r="AN321" s="5039" t="s">
        <v>805</v>
      </c>
      <c r="AO321" s="3570" t="s">
        <v>6467</v>
      </c>
      <c r="AP321" s="3571" t="s">
        <v>663</v>
      </c>
      <c r="AQ321" s="5116"/>
      <c r="AR321" s="5037"/>
      <c r="AS321" s="5106"/>
      <c r="AT321" s="5117"/>
      <c r="AU321" s="5118"/>
      <c r="AV321" s="5106"/>
      <c r="AW321" s="3572" t="s">
        <v>6466</v>
      </c>
      <c r="AX321" s="5037">
        <v>46212</v>
      </c>
      <c r="AY321" s="5002" t="str">
        <f t="shared" si="44"/>
        <v>ACTIVE</v>
      </c>
      <c r="AZ321" s="5119">
        <v>-56700</v>
      </c>
      <c r="BA321" s="5038" t="s">
        <v>79</v>
      </c>
      <c r="BB321" s="5120"/>
      <c r="BC321" s="5121"/>
      <c r="BD321" s="5122"/>
      <c r="BF321" s="845">
        <f t="shared" ca="1" si="37"/>
        <v>0</v>
      </c>
      <c r="BG321" s="1377"/>
    </row>
    <row r="322" spans="1:59" s="686" customFormat="1" ht="43.5" customHeight="1">
      <c r="A322" s="5035">
        <f t="shared" si="45"/>
        <v>256</v>
      </c>
      <c r="B322" s="3546" t="s">
        <v>6444</v>
      </c>
      <c r="C322" s="5098" t="s">
        <v>165</v>
      </c>
      <c r="D322" s="5099" t="s">
        <v>3337</v>
      </c>
      <c r="E322" s="5100"/>
      <c r="F322" s="5101"/>
      <c r="G322" s="5102"/>
      <c r="H322" s="4430" t="s">
        <v>104</v>
      </c>
      <c r="I322" s="4431" t="s">
        <v>244</v>
      </c>
      <c r="J322" s="1944" t="str">
        <f>IFERROR(VLOOKUP(I322,dropdowns!$E$45:$I$56,2,FALSE)," ")</f>
        <v>1.TB.01.003</v>
      </c>
      <c r="K322" s="4432" t="s">
        <v>244</v>
      </c>
      <c r="L322" s="4433" t="str">
        <f>IFERROR(VLOOKUP(K322,dropdowns!$G$45:$H$56,2,FALSE)," ")</f>
        <v>1.TB.01.003.01</v>
      </c>
      <c r="M322" s="5103" t="s">
        <v>5134</v>
      </c>
      <c r="N322" s="5104" t="s">
        <v>6442</v>
      </c>
      <c r="O322" s="5087"/>
      <c r="P322" s="5088"/>
      <c r="Q322" s="3920"/>
      <c r="R322" s="5107" t="s">
        <v>6412</v>
      </c>
      <c r="S322" s="3567" t="s">
        <v>663</v>
      </c>
      <c r="T322" s="5037">
        <v>46209</v>
      </c>
      <c r="U322" s="5038" t="s">
        <v>79</v>
      </c>
      <c r="V322" s="3563" t="s">
        <v>6468</v>
      </c>
      <c r="W322" s="5089" t="s">
        <v>94</v>
      </c>
      <c r="X322" s="4999" t="str">
        <f t="shared" si="42"/>
        <v>ACTIVE</v>
      </c>
      <c r="Y322" s="5091">
        <v>-23800</v>
      </c>
      <c r="Z322" s="3575" t="s">
        <v>805</v>
      </c>
      <c r="AA322" s="3567" t="s">
        <v>663</v>
      </c>
      <c r="AB322" s="5037">
        <v>46212</v>
      </c>
      <c r="AC322" s="5038" t="s">
        <v>79</v>
      </c>
      <c r="AD322" s="3563" t="s">
        <v>6468</v>
      </c>
      <c r="AE322" s="5038" t="s">
        <v>94</v>
      </c>
      <c r="AF322" s="5002" t="str">
        <f t="shared" si="46"/>
        <v>ACTIVE</v>
      </c>
      <c r="AG322" s="5106">
        <v>-23800</v>
      </c>
      <c r="AH322" s="3560" t="s">
        <v>805</v>
      </c>
      <c r="AI322" s="5037"/>
      <c r="AJ322" s="5038"/>
      <c r="AK322" s="3562" t="s">
        <v>805</v>
      </c>
      <c r="AL322" s="3564" t="s">
        <v>805</v>
      </c>
      <c r="AM322" s="5115"/>
      <c r="AN322" s="5039" t="s">
        <v>805</v>
      </c>
      <c r="AO322" s="3570" t="s">
        <v>6467</v>
      </c>
      <c r="AP322" s="3571" t="s">
        <v>663</v>
      </c>
      <c r="AQ322" s="5116"/>
      <c r="AR322" s="5037"/>
      <c r="AS322" s="5106"/>
      <c r="AT322" s="5117"/>
      <c r="AU322" s="5118"/>
      <c r="AV322" s="5106"/>
      <c r="AW322" s="3572" t="s">
        <v>6468</v>
      </c>
      <c r="AX322" s="5037">
        <v>46212</v>
      </c>
      <c r="AY322" s="5002" t="str">
        <f t="shared" si="44"/>
        <v>ACTIVE</v>
      </c>
      <c r="AZ322" s="5119">
        <v>-23800</v>
      </c>
      <c r="BA322" s="5038" t="s">
        <v>79</v>
      </c>
      <c r="BB322" s="5120"/>
      <c r="BC322" s="5121"/>
      <c r="BD322" s="5122"/>
      <c r="BF322" s="845">
        <f t="shared" ca="1" si="37"/>
        <v>0</v>
      </c>
      <c r="BG322" s="1377"/>
    </row>
    <row r="323" spans="1:59" s="686" customFormat="1" ht="36.950000000000003" customHeight="1">
      <c r="A323" s="5114">
        <f t="shared" si="45"/>
        <v>257</v>
      </c>
      <c r="B323" s="1536" t="s">
        <v>6454</v>
      </c>
      <c r="C323" s="1544" t="s">
        <v>165</v>
      </c>
      <c r="D323" s="4872" t="s">
        <v>92</v>
      </c>
      <c r="E323" s="1545"/>
      <c r="F323" s="1546"/>
      <c r="G323" s="1547"/>
      <c r="H323" s="1548" t="s">
        <v>104</v>
      </c>
      <c r="I323" s="1549" t="s">
        <v>261</v>
      </c>
      <c r="J323" s="1550" t="str">
        <f>IFERROR(VLOOKUP(I323,dropdowns!$E$45:$I$56,2,FALSE)," ")</f>
        <v>1.TB.01.009</v>
      </c>
      <c r="K323" s="1551" t="s">
        <v>261</v>
      </c>
      <c r="L323" s="1552" t="str">
        <f>IFERROR(VLOOKUP(K323,dropdowns!$G$45:$H$56,2,FALSE)," ")</f>
        <v>1.TB.01.009.01</v>
      </c>
      <c r="M323" s="1553" t="s">
        <v>6183</v>
      </c>
      <c r="N323" s="1554" t="s">
        <v>6182</v>
      </c>
      <c r="O323" s="1555"/>
      <c r="P323" s="1562"/>
      <c r="Q323" s="4873"/>
      <c r="R323" s="4874" t="s">
        <v>6455</v>
      </c>
      <c r="S323" s="1556" t="s">
        <v>663</v>
      </c>
      <c r="T323" s="1733">
        <v>46217</v>
      </c>
      <c r="U323" s="1557" t="s">
        <v>79</v>
      </c>
      <c r="V323" s="1541" t="s">
        <v>6505</v>
      </c>
      <c r="W323" s="1541" t="s">
        <v>94</v>
      </c>
      <c r="X323" s="4999" t="str">
        <f t="shared" si="42"/>
        <v>ACTIVE</v>
      </c>
      <c r="Y323" s="5113">
        <v>367770</v>
      </c>
      <c r="Z323" s="1111" t="s">
        <v>4285</v>
      </c>
      <c r="AA323" s="1109" t="s">
        <v>663</v>
      </c>
      <c r="AB323" s="4939">
        <v>46251</v>
      </c>
      <c r="AC323" s="4938" t="s">
        <v>87</v>
      </c>
      <c r="AD323" s="4389" t="s">
        <v>6630</v>
      </c>
      <c r="AE323" s="4938" t="s">
        <v>94</v>
      </c>
      <c r="AF323" s="5002" t="str">
        <f t="shared" si="46"/>
        <v>NOT ACTIVE</v>
      </c>
      <c r="AG323" s="5003">
        <v>550238.84</v>
      </c>
      <c r="AH323" s="4940"/>
      <c r="AI323" s="4939"/>
      <c r="AJ323" s="4938" t="s">
        <v>87</v>
      </c>
      <c r="AK323" s="4938"/>
      <c r="AL323" s="5004"/>
      <c r="AM323" s="5005"/>
      <c r="AN323" s="5006"/>
      <c r="AO323" s="5007"/>
      <c r="AP323" s="5008"/>
      <c r="AQ323" s="5009"/>
      <c r="AR323" s="4939"/>
      <c r="AS323" s="5003"/>
      <c r="AT323" s="4998"/>
      <c r="AU323" s="5010"/>
      <c r="AV323" s="5003"/>
      <c r="AW323" s="4998"/>
      <c r="AX323" s="4939"/>
      <c r="AY323" s="5002" t="str">
        <f t="shared" si="44"/>
        <v>NOT ACTIVE</v>
      </c>
      <c r="AZ323" s="5011"/>
      <c r="BA323" s="4938"/>
      <c r="BB323" s="5012"/>
      <c r="BC323" s="5013"/>
      <c r="BD323" s="5014"/>
      <c r="BF323" s="845">
        <f t="shared" ca="1" si="37"/>
        <v>0</v>
      </c>
      <c r="BG323" s="1377"/>
    </row>
    <row r="324" spans="1:59" s="686" customFormat="1" ht="39" customHeight="1">
      <c r="A324" s="5035">
        <f t="shared" si="45"/>
        <v>258</v>
      </c>
      <c r="B324" s="1474" t="s">
        <v>6469</v>
      </c>
      <c r="C324" s="4943" t="s">
        <v>165</v>
      </c>
      <c r="D324" s="4944" t="s">
        <v>5122</v>
      </c>
      <c r="E324" s="1476"/>
      <c r="F324" s="1477"/>
      <c r="G324" s="1478"/>
      <c r="H324" s="5016" t="s">
        <v>104</v>
      </c>
      <c r="I324" s="5017" t="s">
        <v>244</v>
      </c>
      <c r="J324" s="5018" t="str">
        <f>IFERROR(VLOOKUP(I324,dropdowns!$E$45:$I$56,2,FALSE)," ")</f>
        <v>1.TB.01.003</v>
      </c>
      <c r="K324" s="4944" t="s">
        <v>244</v>
      </c>
      <c r="L324" s="5019" t="str">
        <f>IFERROR(VLOOKUP(K324,dropdowns!$G$45:$H$56,2,FALSE)," ")</f>
        <v>1.TB.01.003.01</v>
      </c>
      <c r="M324" s="1251" t="s">
        <v>2964</v>
      </c>
      <c r="N324" s="1482" t="s">
        <v>2965</v>
      </c>
      <c r="O324" s="5087"/>
      <c r="P324" s="5088"/>
      <c r="Q324" s="3920"/>
      <c r="R324" s="3566" t="s">
        <v>6470</v>
      </c>
      <c r="S324" s="3567" t="s">
        <v>663</v>
      </c>
      <c r="T324" s="5037">
        <v>46218</v>
      </c>
      <c r="U324" s="5038" t="s">
        <v>79</v>
      </c>
      <c r="V324" s="3563" t="s">
        <v>6517</v>
      </c>
      <c r="W324" s="5089" t="s">
        <v>94</v>
      </c>
      <c r="X324" s="4999" t="str">
        <f t="shared" si="42"/>
        <v>ACTIVE</v>
      </c>
      <c r="Y324" s="5091">
        <v>104475.08</v>
      </c>
      <c r="Z324" s="3575" t="s">
        <v>5274</v>
      </c>
      <c r="AA324" s="3567" t="s">
        <v>663</v>
      </c>
      <c r="AB324" s="5037">
        <v>46259</v>
      </c>
      <c r="AC324" s="5038" t="s">
        <v>79</v>
      </c>
      <c r="AD324" s="3563" t="s">
        <v>6616</v>
      </c>
      <c r="AE324" s="5038" t="s">
        <v>94</v>
      </c>
      <c r="AF324" s="5002" t="str">
        <f t="shared" si="46"/>
        <v>ACTIVE</v>
      </c>
      <c r="AG324" s="5106">
        <v>101675.08</v>
      </c>
      <c r="AH324" s="4940"/>
      <c r="AI324" s="4939"/>
      <c r="AJ324" s="4938"/>
      <c r="AK324" s="4938"/>
      <c r="AL324" s="5004"/>
      <c r="AM324" s="5005"/>
      <c r="AN324" s="5006"/>
      <c r="AO324" s="5007"/>
      <c r="AP324" s="5008"/>
      <c r="AQ324" s="5009"/>
      <c r="AR324" s="4939"/>
      <c r="AS324" s="5003"/>
      <c r="AT324" s="4998"/>
      <c r="AU324" s="5010"/>
      <c r="AV324" s="5003"/>
      <c r="AW324" s="4998"/>
      <c r="AX324" s="4939"/>
      <c r="AY324" s="5002" t="str">
        <f t="shared" si="44"/>
        <v>NOT ACTIVE</v>
      </c>
      <c r="AZ324" s="5011"/>
      <c r="BA324" s="4938"/>
      <c r="BB324" s="5012"/>
      <c r="BC324" s="5013"/>
      <c r="BD324" s="5014"/>
      <c r="BF324" s="845">
        <f t="shared" ca="1" si="37"/>
        <v>0</v>
      </c>
      <c r="BG324" s="1377"/>
    </row>
    <row r="325" spans="1:59" s="686" customFormat="1" ht="43.5" customHeight="1">
      <c r="A325" s="5114">
        <f t="shared" si="45"/>
        <v>259</v>
      </c>
      <c r="B325" s="1544" t="s">
        <v>6477</v>
      </c>
      <c r="C325" s="1544" t="s">
        <v>165</v>
      </c>
      <c r="D325" s="4872" t="s">
        <v>92</v>
      </c>
      <c r="E325" s="5129"/>
      <c r="F325" s="5130"/>
      <c r="G325" s="5131"/>
      <c r="H325" s="5132" t="s">
        <v>104</v>
      </c>
      <c r="I325" s="5133" t="s">
        <v>256</v>
      </c>
      <c r="J325" s="5134" t="str">
        <f>IFERROR(VLOOKUP(I325,dropdowns!$E$45:$I$56,2,FALSE)," ")</f>
        <v>1.TB.01.006</v>
      </c>
      <c r="K325" s="5135" t="s">
        <v>256</v>
      </c>
      <c r="L325" s="5136" t="str">
        <f>IFERROR(VLOOKUP(K325,dropdowns!$G$45:$H$56,2,FALSE)," ")</f>
        <v>1.TB.01.006.03</v>
      </c>
      <c r="M325" s="5137" t="s">
        <v>6476</v>
      </c>
      <c r="N325" s="5138" t="s">
        <v>6478</v>
      </c>
      <c r="O325" s="5139"/>
      <c r="P325" s="5140"/>
      <c r="Q325" s="4873"/>
      <c r="R325" s="4874" t="s">
        <v>6479</v>
      </c>
      <c r="S325" s="1556" t="s">
        <v>663</v>
      </c>
      <c r="T325" s="5141">
        <v>46215</v>
      </c>
      <c r="U325" s="5142" t="s">
        <v>79</v>
      </c>
      <c r="V325" s="1541" t="s">
        <v>6507</v>
      </c>
      <c r="W325" s="5143" t="s">
        <v>94</v>
      </c>
      <c r="X325" s="5144" t="str">
        <f t="shared" si="42"/>
        <v>ACTIVE</v>
      </c>
      <c r="Y325" s="5113">
        <v>1079464.7</v>
      </c>
      <c r="Z325" s="1111" t="s">
        <v>6508</v>
      </c>
      <c r="AA325" s="1109" t="s">
        <v>663</v>
      </c>
      <c r="AB325" s="4939">
        <v>46218</v>
      </c>
      <c r="AC325" s="4938" t="s">
        <v>87</v>
      </c>
      <c r="AD325" s="5105" t="s">
        <v>6509</v>
      </c>
      <c r="AE325" s="4938" t="s">
        <v>94</v>
      </c>
      <c r="AF325" s="5002" t="str">
        <f t="shared" si="46"/>
        <v>NOT ACTIVE</v>
      </c>
      <c r="AG325" s="5003">
        <v>1025491.48</v>
      </c>
      <c r="AH325" s="1101" t="s">
        <v>6510</v>
      </c>
      <c r="AI325" s="4939">
        <v>46218</v>
      </c>
      <c r="AJ325" s="4938" t="s">
        <v>87</v>
      </c>
      <c r="AK325" s="5105" t="s">
        <v>6509</v>
      </c>
      <c r="AL325" s="1540" t="s">
        <v>6510</v>
      </c>
      <c r="AM325" s="5166">
        <v>46212</v>
      </c>
      <c r="AN325" s="1558" t="s">
        <v>6511</v>
      </c>
      <c r="AO325" s="5007"/>
      <c r="AP325" s="5008"/>
      <c r="AQ325" s="5009"/>
      <c r="AR325" s="4939"/>
      <c r="AS325" s="5003"/>
      <c r="AT325" s="4998"/>
      <c r="AU325" s="5010"/>
      <c r="AV325" s="5003"/>
      <c r="AW325" s="4998"/>
      <c r="AX325" s="4939"/>
      <c r="AY325" s="5002" t="str">
        <f t="shared" si="44"/>
        <v>NOT ACTIVE</v>
      </c>
      <c r="AZ325" s="5011"/>
      <c r="BA325" s="4938"/>
      <c r="BB325" s="5012"/>
      <c r="BC325" s="5013"/>
      <c r="BD325" s="5014"/>
      <c r="BF325" s="845">
        <f t="shared" ca="1" si="37"/>
        <v>0</v>
      </c>
      <c r="BG325" s="1377"/>
    </row>
    <row r="326" spans="1:59" s="686" customFormat="1" ht="31.5" customHeight="1">
      <c r="A326" s="5114">
        <f t="shared" si="45"/>
        <v>260</v>
      </c>
      <c r="B326" s="1536" t="s">
        <v>6491</v>
      </c>
      <c r="C326" s="1544" t="s">
        <v>165</v>
      </c>
      <c r="D326" s="4872" t="s">
        <v>92</v>
      </c>
      <c r="E326" s="5129"/>
      <c r="F326" s="5130"/>
      <c r="G326" s="5131"/>
      <c r="H326" s="1548" t="s">
        <v>104</v>
      </c>
      <c r="I326" s="1549" t="s">
        <v>261</v>
      </c>
      <c r="J326" s="1550" t="str">
        <f>IFERROR(VLOOKUP(I326,dropdowns!$E$45:$I$56,2,FALSE)," ")</f>
        <v>1.TB.01.009</v>
      </c>
      <c r="K326" s="1551" t="s">
        <v>261</v>
      </c>
      <c r="L326" s="1552" t="str">
        <f>IFERROR(VLOOKUP(K326,dropdowns!$G$45:$H$56,2,FALSE)," ")</f>
        <v>1.TB.01.009.01</v>
      </c>
      <c r="M326" s="5137" t="s">
        <v>6490</v>
      </c>
      <c r="N326" s="5138" t="s">
        <v>6490</v>
      </c>
      <c r="O326" s="5139"/>
      <c r="P326" s="5140"/>
      <c r="Q326" s="4873"/>
      <c r="R326" s="4874" t="s">
        <v>6492</v>
      </c>
      <c r="S326" s="1556" t="s">
        <v>663</v>
      </c>
      <c r="T326" s="5141">
        <v>45958</v>
      </c>
      <c r="U326" s="5142" t="s">
        <v>79</v>
      </c>
      <c r="V326" s="1541" t="s">
        <v>6493</v>
      </c>
      <c r="W326" s="5143" t="s">
        <v>94</v>
      </c>
      <c r="X326" s="5144" t="str">
        <f t="shared" si="42"/>
        <v>ACTIVE</v>
      </c>
      <c r="Y326" s="5113">
        <v>155181</v>
      </c>
      <c r="Z326" s="4924" t="s">
        <v>4123</v>
      </c>
      <c r="AA326" s="1556" t="s">
        <v>663</v>
      </c>
      <c r="AB326" s="5141">
        <v>46216</v>
      </c>
      <c r="AC326" s="5142" t="s">
        <v>79</v>
      </c>
      <c r="AD326" s="1541" t="s">
        <v>6496</v>
      </c>
      <c r="AE326" s="5142" t="s">
        <v>94</v>
      </c>
      <c r="AF326" s="5144" t="str">
        <f t="shared" si="46"/>
        <v>ACTIVE</v>
      </c>
      <c r="AG326" s="5165">
        <v>442200</v>
      </c>
      <c r="AH326" s="4875" t="s">
        <v>3009</v>
      </c>
      <c r="AI326" s="5141">
        <v>46219</v>
      </c>
      <c r="AJ326" s="5142" t="s">
        <v>79</v>
      </c>
      <c r="AK326" s="1541" t="s">
        <v>6512</v>
      </c>
      <c r="AL326" s="1540" t="s">
        <v>6494</v>
      </c>
      <c r="AM326" s="5166">
        <v>46279</v>
      </c>
      <c r="AN326" s="1558" t="s">
        <v>6495</v>
      </c>
      <c r="AO326" s="1559" t="s">
        <v>3002</v>
      </c>
      <c r="AP326" s="1560" t="s">
        <v>663</v>
      </c>
      <c r="AQ326" s="5183"/>
      <c r="AR326" s="5141"/>
      <c r="AS326" s="5165"/>
      <c r="AT326" s="5184"/>
      <c r="AU326" s="5185"/>
      <c r="AV326" s="5165"/>
      <c r="AW326" s="1561" t="s">
        <v>6579</v>
      </c>
      <c r="AX326" s="5141">
        <v>46252</v>
      </c>
      <c r="AY326" s="5144" t="str">
        <f t="shared" si="44"/>
        <v>ACTIVE</v>
      </c>
      <c r="AZ326" s="5186">
        <v>442200</v>
      </c>
      <c r="BA326" s="5142" t="s">
        <v>79</v>
      </c>
      <c r="BB326" s="5187"/>
      <c r="BC326" s="5188"/>
      <c r="BD326" s="5189"/>
      <c r="BF326" s="845">
        <f t="shared" ca="1" si="37"/>
        <v>0</v>
      </c>
      <c r="BG326" s="1377"/>
    </row>
    <row r="327" spans="1:59" s="686" customFormat="1" ht="34.5" customHeight="1">
      <c r="A327" s="5114">
        <f t="shared" si="45"/>
        <v>261</v>
      </c>
      <c r="B327" s="1536" t="s">
        <v>6502</v>
      </c>
      <c r="C327" s="1544" t="s">
        <v>165</v>
      </c>
      <c r="D327" s="4872" t="s">
        <v>92</v>
      </c>
      <c r="E327" s="5129"/>
      <c r="F327" s="5130"/>
      <c r="G327" s="5131"/>
      <c r="H327" s="1548" t="s">
        <v>104</v>
      </c>
      <c r="I327" s="1549" t="s">
        <v>261</v>
      </c>
      <c r="J327" s="1550" t="str">
        <f>IFERROR(VLOOKUP(I327,dropdowns!$E$45:$I$56,2,FALSE)," ")</f>
        <v>1.TB.01.009</v>
      </c>
      <c r="K327" s="1551" t="s">
        <v>261</v>
      </c>
      <c r="L327" s="1552" t="str">
        <f>IFERROR(VLOOKUP(K327,dropdowns!$G$45:$H$56,2,FALSE)," ")</f>
        <v>1.TB.01.009.01</v>
      </c>
      <c r="M327" s="5137" t="s">
        <v>6501</v>
      </c>
      <c r="N327" s="5138" t="s">
        <v>6501</v>
      </c>
      <c r="O327" s="5139"/>
      <c r="P327" s="5140"/>
      <c r="Q327" s="4873"/>
      <c r="R327" s="4874" t="s">
        <v>6492</v>
      </c>
      <c r="S327" s="1556" t="s">
        <v>663</v>
      </c>
      <c r="T327" s="5141">
        <v>45958</v>
      </c>
      <c r="U327" s="5142" t="s">
        <v>79</v>
      </c>
      <c r="V327" s="1541" t="s">
        <v>6493</v>
      </c>
      <c r="W327" s="5143" t="s">
        <v>94</v>
      </c>
      <c r="X327" s="5144" t="str">
        <f t="shared" si="42"/>
        <v>ACTIVE</v>
      </c>
      <c r="Y327" s="5113">
        <v>69235</v>
      </c>
      <c r="Z327" s="4924" t="s">
        <v>5084</v>
      </c>
      <c r="AA327" s="1556" t="s">
        <v>663</v>
      </c>
      <c r="AB327" s="5141">
        <v>46216</v>
      </c>
      <c r="AC327" s="5142" t="s">
        <v>79</v>
      </c>
      <c r="AD327" s="1541" t="s">
        <v>6503</v>
      </c>
      <c r="AE327" s="5142" t="s">
        <v>94</v>
      </c>
      <c r="AF327" s="5144" t="str">
        <f t="shared" si="46"/>
        <v>ACTIVE</v>
      </c>
      <c r="AG327" s="5165">
        <v>164010</v>
      </c>
      <c r="AH327" s="4875" t="s">
        <v>1984</v>
      </c>
      <c r="AI327" s="5141">
        <v>46219</v>
      </c>
      <c r="AJ327" s="5142" t="s">
        <v>79</v>
      </c>
      <c r="AK327" s="1541" t="s">
        <v>6513</v>
      </c>
      <c r="AL327" s="1540" t="s">
        <v>6494</v>
      </c>
      <c r="AM327" s="5166">
        <v>46217</v>
      </c>
      <c r="AN327" s="1558" t="s">
        <v>6506</v>
      </c>
      <c r="AO327" s="1113" t="s">
        <v>3077</v>
      </c>
      <c r="AP327" s="1487" t="s">
        <v>663</v>
      </c>
      <c r="AQ327" s="5009"/>
      <c r="AR327" s="4939"/>
      <c r="AS327" s="5003"/>
      <c r="AT327" s="4998"/>
      <c r="AU327" s="5010"/>
      <c r="AV327" s="5003"/>
      <c r="AW327" s="1117" t="s">
        <v>6631</v>
      </c>
      <c r="AX327" s="4939">
        <v>46217</v>
      </c>
      <c r="AY327" s="5002" t="str">
        <f t="shared" si="44"/>
        <v>NOT ACTIVE</v>
      </c>
      <c r="AZ327" s="5011">
        <v>163800</v>
      </c>
      <c r="BA327" s="4938" t="s">
        <v>87</v>
      </c>
      <c r="BB327" s="5012"/>
      <c r="BC327" s="5013"/>
      <c r="BD327" s="1108" t="s">
        <v>6596</v>
      </c>
      <c r="BF327" s="845">
        <f t="shared" ca="1" si="37"/>
        <v>82</v>
      </c>
      <c r="BG327" s="1377"/>
    </row>
    <row r="328" spans="1:59" s="686" customFormat="1" ht="42.95" customHeight="1">
      <c r="A328" s="1484">
        <f t="shared" si="45"/>
        <v>262</v>
      </c>
      <c r="B328" s="5167" t="s">
        <v>6514</v>
      </c>
      <c r="C328" s="4983" t="s">
        <v>165</v>
      </c>
      <c r="D328" s="4985" t="s">
        <v>92</v>
      </c>
      <c r="E328" s="4985"/>
      <c r="F328" s="4986"/>
      <c r="G328" s="4987"/>
      <c r="H328" s="4988" t="s">
        <v>104</v>
      </c>
      <c r="I328" s="4989" t="s">
        <v>244</v>
      </c>
      <c r="J328" s="4990" t="str">
        <f>IFERROR(VLOOKUP(I328,dropdowns!$E$45:$I$56,2,FALSE)," ")</f>
        <v>1.TB.01.003</v>
      </c>
      <c r="K328" s="4991" t="s">
        <v>244</v>
      </c>
      <c r="L328" s="4992" t="str">
        <f>IFERROR(VLOOKUP(K328,dropdowns!$G$45:$H$56,2,FALSE)," ")</f>
        <v>1.TB.01.003.01</v>
      </c>
      <c r="M328" s="4993" t="s">
        <v>3930</v>
      </c>
      <c r="N328" s="4994" t="s">
        <v>2558</v>
      </c>
      <c r="O328" s="4995"/>
      <c r="P328" s="4996"/>
      <c r="Q328" s="3914"/>
      <c r="R328" s="1103"/>
      <c r="S328" s="4998"/>
      <c r="T328" s="4939"/>
      <c r="U328" s="4938"/>
      <c r="V328" s="4938"/>
      <c r="W328" s="4937"/>
      <c r="X328" s="4999" t="str">
        <f t="shared" si="42"/>
        <v>NOT ACTIVE</v>
      </c>
      <c r="Y328" s="5000"/>
      <c r="Z328" s="5001"/>
      <c r="AA328" s="4998"/>
      <c r="AB328" s="4939"/>
      <c r="AC328" s="4938"/>
      <c r="AD328" s="4938"/>
      <c r="AE328" s="4938"/>
      <c r="AF328" s="5002" t="str">
        <f t="shared" si="46"/>
        <v>NOT ACTIVE</v>
      </c>
      <c r="AG328" s="5003"/>
      <c r="AH328" s="4940"/>
      <c r="AI328" s="4939"/>
      <c r="AJ328" s="4938"/>
      <c r="AK328" s="4938"/>
      <c r="AL328" s="5004"/>
      <c r="AM328" s="5005"/>
      <c r="AN328" s="5006"/>
      <c r="AO328" s="5007"/>
      <c r="AP328" s="5008"/>
      <c r="AQ328" s="5009"/>
      <c r="AR328" s="4939"/>
      <c r="AS328" s="5003"/>
      <c r="AT328" s="4998"/>
      <c r="AU328" s="5010"/>
      <c r="AV328" s="5003"/>
      <c r="AW328" s="4998"/>
      <c r="AX328" s="4939"/>
      <c r="AY328" s="5002" t="str">
        <f t="shared" si="44"/>
        <v>NOT ACTIVE</v>
      </c>
      <c r="AZ328" s="5011"/>
      <c r="BA328" s="4938"/>
      <c r="BB328" s="5012"/>
      <c r="BC328" s="5013"/>
      <c r="BD328" s="5014"/>
      <c r="BF328" s="845">
        <f t="shared" ca="1" si="37"/>
        <v>0</v>
      </c>
      <c r="BG328" s="1377"/>
    </row>
    <row r="329" spans="1:59" s="686" customFormat="1" ht="106.5" customHeight="1">
      <c r="A329" s="5192">
        <f t="shared" si="45"/>
        <v>263</v>
      </c>
      <c r="B329" s="4725" t="s">
        <v>6534</v>
      </c>
      <c r="C329" s="4726" t="s">
        <v>165</v>
      </c>
      <c r="D329" s="5146" t="s">
        <v>92</v>
      </c>
      <c r="E329" s="4728"/>
      <c r="F329" s="4729"/>
      <c r="G329" s="4730"/>
      <c r="H329" s="4731" t="s">
        <v>104</v>
      </c>
      <c r="I329" s="4732" t="s">
        <v>244</v>
      </c>
      <c r="J329" s="4733" t="str">
        <f>IFERROR(VLOOKUP(I329,dropdowns!$E$45:$I$56,2,FALSE)," ")</f>
        <v>1.TB.01.003</v>
      </c>
      <c r="K329" s="4734" t="s">
        <v>244</v>
      </c>
      <c r="L329" s="4735" t="str">
        <f>IFERROR(VLOOKUP(K329,dropdowns!$G$45:$H$56,2,FALSE)," ")</f>
        <v>1.TB.01.003.01</v>
      </c>
      <c r="M329" s="4736" t="s">
        <v>3930</v>
      </c>
      <c r="N329" s="4737" t="s">
        <v>2558</v>
      </c>
      <c r="O329" s="4738"/>
      <c r="P329" s="4739"/>
      <c r="Q329" s="4740"/>
      <c r="R329" s="4741" t="s">
        <v>6535</v>
      </c>
      <c r="S329" s="4742" t="s">
        <v>663</v>
      </c>
      <c r="T329" s="4743">
        <v>46251</v>
      </c>
      <c r="U329" s="4744" t="s">
        <v>93</v>
      </c>
      <c r="V329" s="4745" t="s">
        <v>6592</v>
      </c>
      <c r="W329" s="4745" t="s">
        <v>94</v>
      </c>
      <c r="X329" s="4999" t="str">
        <f t="shared" si="42"/>
        <v>NOT ACTIVE</v>
      </c>
      <c r="Y329" s="4746">
        <v>1151653.1299999999</v>
      </c>
      <c r="Z329" s="4747"/>
      <c r="AA329" s="4742"/>
      <c r="AB329" s="4743"/>
      <c r="AC329" s="4744"/>
      <c r="AD329" s="4744"/>
      <c r="AE329" s="4744"/>
      <c r="AF329" s="5002" t="str">
        <f t="shared" si="46"/>
        <v>NOT ACTIVE</v>
      </c>
      <c r="AG329" s="4748"/>
      <c r="AH329" s="4749"/>
      <c r="AI329" s="4743"/>
      <c r="AJ329" s="4744"/>
      <c r="AK329" s="4744"/>
      <c r="AL329" s="4750"/>
      <c r="AM329" s="4751"/>
      <c r="AN329" s="4752"/>
      <c r="AO329" s="4753"/>
      <c r="AP329" s="4754"/>
      <c r="AQ329" s="4755"/>
      <c r="AR329" s="4743"/>
      <c r="AS329" s="4748"/>
      <c r="AT329" s="4742"/>
      <c r="AU329" s="4756"/>
      <c r="AV329" s="4748"/>
      <c r="AW329" s="4742"/>
      <c r="AX329" s="4743"/>
      <c r="AY329" s="5002" t="str">
        <f t="shared" si="44"/>
        <v>NOT ACTIVE</v>
      </c>
      <c r="AZ329" s="4757"/>
      <c r="BA329" s="4744"/>
      <c r="BB329" s="4758"/>
      <c r="BC329" s="4759"/>
      <c r="BD329" s="4760" t="s">
        <v>6593</v>
      </c>
      <c r="BF329" s="845">
        <f t="shared" ref="BF329:BF356" ca="1" si="47">IF(BA329="PENDING",TODAY()-AM329,0)</f>
        <v>0</v>
      </c>
      <c r="BG329" s="1377"/>
    </row>
    <row r="330" spans="1:59" s="686" customFormat="1" ht="62.45" customHeight="1">
      <c r="A330" s="5035">
        <f t="shared" si="45"/>
        <v>264</v>
      </c>
      <c r="B330" s="5181" t="s">
        <v>6554</v>
      </c>
      <c r="C330" s="5098" t="s">
        <v>165</v>
      </c>
      <c r="D330" s="5171" t="s">
        <v>5117</v>
      </c>
      <c r="E330" s="5100"/>
      <c r="F330" s="5101"/>
      <c r="G330" s="5102"/>
      <c r="H330" s="5168" t="s">
        <v>104</v>
      </c>
      <c r="I330" s="5169" t="s">
        <v>244</v>
      </c>
      <c r="J330" s="5170" t="str">
        <f>IFERROR(VLOOKUP(I330,dropdowns!$E$45:$I$56,2,FALSE)," ")</f>
        <v>1.TB.01.003</v>
      </c>
      <c r="K330" s="5171" t="s">
        <v>244</v>
      </c>
      <c r="L330" s="5172" t="str">
        <f>IFERROR(VLOOKUP(K330,dropdowns!$G$45:$H$56,2,FALSE)," ")</f>
        <v>1.TB.01.003.01</v>
      </c>
      <c r="M330" s="5103" t="s">
        <v>3205</v>
      </c>
      <c r="N330" s="5104" t="s">
        <v>3207</v>
      </c>
      <c r="O330" s="5087"/>
      <c r="P330" s="5088"/>
      <c r="Q330" s="3920"/>
      <c r="R330" s="3566" t="s">
        <v>6470</v>
      </c>
      <c r="S330" s="3567" t="s">
        <v>663</v>
      </c>
      <c r="T330" s="5037">
        <v>46218</v>
      </c>
      <c r="U330" s="5038" t="s">
        <v>79</v>
      </c>
      <c r="V330" s="3563" t="s">
        <v>6517</v>
      </c>
      <c r="W330" s="5089" t="s">
        <v>94</v>
      </c>
      <c r="X330" s="4999" t="str">
        <f t="shared" si="42"/>
        <v>ACTIVE</v>
      </c>
      <c r="Y330" s="5091">
        <f>-Y324/2</f>
        <v>-52237.54</v>
      </c>
      <c r="Z330" s="3575" t="s">
        <v>6617</v>
      </c>
      <c r="AA330" s="3567" t="s">
        <v>663</v>
      </c>
      <c r="AB330" s="5037">
        <v>46259</v>
      </c>
      <c r="AC330" s="5038" t="s">
        <v>79</v>
      </c>
      <c r="AD330" s="3563" t="s">
        <v>6616</v>
      </c>
      <c r="AE330" s="5038" t="s">
        <v>94</v>
      </c>
      <c r="AF330" s="5002" t="str">
        <f t="shared" si="46"/>
        <v>ACTIVE</v>
      </c>
      <c r="AG330" s="5106">
        <v>-50837.54</v>
      </c>
      <c r="AH330" s="3560" t="s">
        <v>809</v>
      </c>
      <c r="AI330" s="5037">
        <v>46267</v>
      </c>
      <c r="AJ330" s="5038" t="s">
        <v>79</v>
      </c>
      <c r="AK330" s="3563" t="s">
        <v>6675</v>
      </c>
      <c r="AL330" s="5004"/>
      <c r="AM330" s="5005"/>
      <c r="AN330" s="5006"/>
      <c r="AO330" s="5007"/>
      <c r="AP330" s="5008"/>
      <c r="AQ330" s="5009"/>
      <c r="AR330" s="4939"/>
      <c r="AS330" s="5003"/>
      <c r="AT330" s="4998"/>
      <c r="AU330" s="5010"/>
      <c r="AV330" s="5003"/>
      <c r="AW330" s="4998"/>
      <c r="AX330" s="4939"/>
      <c r="AY330" s="5002" t="str">
        <f t="shared" si="44"/>
        <v>NOT ACTIVE</v>
      </c>
      <c r="AZ330" s="5011"/>
      <c r="BA330" s="4938"/>
      <c r="BB330" s="5012"/>
      <c r="BC330" s="5013"/>
      <c r="BD330" s="5014"/>
      <c r="BF330" s="845">
        <f t="shared" ca="1" si="47"/>
        <v>0</v>
      </c>
      <c r="BG330" s="1377"/>
    </row>
    <row r="331" spans="1:59" s="686" customFormat="1" ht="42" customHeight="1">
      <c r="A331" s="5035">
        <f t="shared" si="45"/>
        <v>265</v>
      </c>
      <c r="B331" s="5181" t="s">
        <v>6553</v>
      </c>
      <c r="C331" s="5098" t="s">
        <v>165</v>
      </c>
      <c r="D331" s="5171" t="s">
        <v>5117</v>
      </c>
      <c r="E331" s="5100"/>
      <c r="F331" s="5101"/>
      <c r="G331" s="5102"/>
      <c r="H331" s="5168" t="s">
        <v>104</v>
      </c>
      <c r="I331" s="5169" t="s">
        <v>244</v>
      </c>
      <c r="J331" s="5170" t="str">
        <f>IFERROR(VLOOKUP(I331,dropdowns!$E$45:$I$56,2,FALSE)," ")</f>
        <v>1.TB.01.003</v>
      </c>
      <c r="K331" s="5171" t="s">
        <v>244</v>
      </c>
      <c r="L331" s="5172" t="str">
        <f>IFERROR(VLOOKUP(K331,dropdowns!$G$45:$H$56,2,FALSE)," ")</f>
        <v>1.TB.01.003.01</v>
      </c>
      <c r="M331" s="3556" t="s">
        <v>2269</v>
      </c>
      <c r="N331" s="5104" t="s">
        <v>152</v>
      </c>
      <c r="O331" s="5087"/>
      <c r="P331" s="5088"/>
      <c r="Q331" s="3920"/>
      <c r="R331" s="3566" t="s">
        <v>6470</v>
      </c>
      <c r="S331" s="3567" t="s">
        <v>663</v>
      </c>
      <c r="T331" s="5037">
        <v>46218</v>
      </c>
      <c r="U331" s="5038" t="s">
        <v>79</v>
      </c>
      <c r="V331" s="3563" t="s">
        <v>6517</v>
      </c>
      <c r="W331" s="5089" t="s">
        <v>94</v>
      </c>
      <c r="X331" s="4999" t="str">
        <f t="shared" si="42"/>
        <v>ACTIVE</v>
      </c>
      <c r="Y331" s="5091">
        <f>-Y324/2</f>
        <v>-52237.54</v>
      </c>
      <c r="Z331" s="3575" t="s">
        <v>6568</v>
      </c>
      <c r="AA331" s="3567" t="s">
        <v>663</v>
      </c>
      <c r="AB331" s="5037">
        <v>46259</v>
      </c>
      <c r="AC331" s="5038" t="s">
        <v>79</v>
      </c>
      <c r="AD331" s="3563" t="s">
        <v>6616</v>
      </c>
      <c r="AE331" s="5038" t="s">
        <v>94</v>
      </c>
      <c r="AF331" s="5002" t="str">
        <f t="shared" si="46"/>
        <v>ACTIVE</v>
      </c>
      <c r="AG331" s="5106">
        <v>-50837.54</v>
      </c>
      <c r="AH331" s="5036" t="s">
        <v>6194</v>
      </c>
      <c r="AI331" s="5037">
        <v>46267</v>
      </c>
      <c r="AJ331" s="5038" t="s">
        <v>79</v>
      </c>
      <c r="AK331" s="3563" t="s">
        <v>6676</v>
      </c>
      <c r="AL331" s="5004"/>
      <c r="AM331" s="5005"/>
      <c r="AN331" s="5006"/>
      <c r="AO331" s="5007"/>
      <c r="AP331" s="5008"/>
      <c r="AQ331" s="5009"/>
      <c r="AR331" s="4939"/>
      <c r="AS331" s="5003"/>
      <c r="AT331" s="4998"/>
      <c r="AU331" s="5010"/>
      <c r="AV331" s="5003"/>
      <c r="AW331" s="4998"/>
      <c r="AX331" s="4939"/>
      <c r="AY331" s="5002" t="str">
        <f t="shared" si="44"/>
        <v>NOT ACTIVE</v>
      </c>
      <c r="AZ331" s="5011"/>
      <c r="BA331" s="4938"/>
      <c r="BB331" s="5012"/>
      <c r="BC331" s="5013"/>
      <c r="BD331" s="5014"/>
      <c r="BF331" s="845">
        <f t="shared" ca="1" si="47"/>
        <v>0</v>
      </c>
      <c r="BG331" s="1377"/>
    </row>
    <row r="332" spans="1:59" s="686" customFormat="1" ht="38.25">
      <c r="A332" s="1132">
        <f t="shared" ref="A332:A345" si="48">+A331+1</f>
        <v>266</v>
      </c>
      <c r="B332" s="3545" t="s">
        <v>6561</v>
      </c>
      <c r="C332" s="3546" t="s">
        <v>165</v>
      </c>
      <c r="D332" s="4922" t="s">
        <v>5122</v>
      </c>
      <c r="E332" s="3548"/>
      <c r="F332" s="3549"/>
      <c r="G332" s="3550"/>
      <c r="H332" s="4919" t="s">
        <v>104</v>
      </c>
      <c r="I332" s="4920" t="s">
        <v>244</v>
      </c>
      <c r="J332" s="4921" t="str">
        <f>IFERROR(VLOOKUP(I332,dropdowns!$E$45:$I$56,2,FALSE)," ")</f>
        <v>1.TB.01.003</v>
      </c>
      <c r="K332" s="4922" t="s">
        <v>244</v>
      </c>
      <c r="L332" s="4923" t="str">
        <f>IFERROR(VLOOKUP(K332,dropdowns!$G$45:$H$56,2,FALSE)," ")</f>
        <v>1.TB.01.003.01</v>
      </c>
      <c r="M332" s="3556" t="s">
        <v>3930</v>
      </c>
      <c r="N332" s="3557" t="s">
        <v>2558</v>
      </c>
      <c r="O332" s="5087"/>
      <c r="P332" s="5088"/>
      <c r="Q332" s="3920"/>
      <c r="R332" s="3566" t="s">
        <v>6555</v>
      </c>
      <c r="S332" s="3567" t="s">
        <v>663</v>
      </c>
      <c r="T332" s="5037">
        <v>46251</v>
      </c>
      <c r="U332" s="5038" t="s">
        <v>79</v>
      </c>
      <c r="V332" s="3563" t="s">
        <v>6615</v>
      </c>
      <c r="W332" s="5089" t="s">
        <v>94</v>
      </c>
      <c r="X332" s="5090" t="str">
        <f t="shared" ref="X332:X341" si="49">IF(U332="APPROVED","ACTIVE",IF(U332="PENDING","ACTIVE","NOT ACTIVE"))</f>
        <v>ACTIVE</v>
      </c>
      <c r="Y332" s="5091">
        <v>69037.2</v>
      </c>
      <c r="Z332" s="5001">
        <v>41</v>
      </c>
      <c r="AA332" s="4998"/>
      <c r="AB332" s="4939"/>
      <c r="AC332" s="4938" t="s">
        <v>87</v>
      </c>
      <c r="AD332" s="4938"/>
      <c r="AE332" s="4938"/>
      <c r="AF332" s="5002" t="str">
        <f t="shared" ref="AF332:AF341" si="50">IF(AC332="APPROVED","ACTIVE","NOT ACTIVE")</f>
        <v>NOT ACTIVE</v>
      </c>
      <c r="AG332" s="5003"/>
      <c r="AH332" s="1101" t="s">
        <v>6556</v>
      </c>
      <c r="AI332" s="4939"/>
      <c r="AJ332" s="4938"/>
      <c r="AK332" s="4938"/>
      <c r="AL332" s="5004"/>
      <c r="AM332" s="5005"/>
      <c r="AN332" s="5006"/>
      <c r="AO332" s="5007"/>
      <c r="AP332" s="5008"/>
      <c r="AQ332" s="5009"/>
      <c r="AR332" s="4939"/>
      <c r="AS332" s="5003"/>
      <c r="AT332" s="4998"/>
      <c r="AU332" s="5010"/>
      <c r="AV332" s="5003"/>
      <c r="AW332" s="4998"/>
      <c r="AX332" s="4939"/>
      <c r="AY332" s="5002" t="str">
        <f t="shared" ref="AY332:AY341" si="51">IF(BA332="APPROVED","ACTIVE","NOT ACTIVE")</f>
        <v>NOT ACTIVE</v>
      </c>
      <c r="AZ332" s="5011"/>
      <c r="BA332" s="4938"/>
      <c r="BB332" s="5012"/>
      <c r="BC332" s="5013"/>
      <c r="BD332" s="5014"/>
      <c r="BF332" s="845">
        <f t="shared" ca="1" si="47"/>
        <v>0</v>
      </c>
      <c r="BG332" s="1377"/>
    </row>
    <row r="333" spans="1:59" s="686" customFormat="1" ht="63.75" customHeight="1">
      <c r="A333" s="5035">
        <f t="shared" si="48"/>
        <v>267</v>
      </c>
      <c r="B333" s="3545" t="s">
        <v>6565</v>
      </c>
      <c r="C333" s="5098" t="s">
        <v>165</v>
      </c>
      <c r="D333" s="5099" t="s">
        <v>3337</v>
      </c>
      <c r="E333" s="5100"/>
      <c r="F333" s="5101"/>
      <c r="G333" s="5102"/>
      <c r="H333" s="4919" t="s">
        <v>104</v>
      </c>
      <c r="I333" s="4920" t="s">
        <v>244</v>
      </c>
      <c r="J333" s="4921" t="str">
        <f>IFERROR(VLOOKUP(I333,dropdowns!$E$45:$I$56,2,FALSE)," ")</f>
        <v>1.TB.01.003</v>
      </c>
      <c r="K333" s="4922" t="s">
        <v>244</v>
      </c>
      <c r="L333" s="4923" t="str">
        <f>IFERROR(VLOOKUP(K333,dropdowns!$G$45:$H$56,2,FALSE)," ")</f>
        <v>1.TB.01.003.01</v>
      </c>
      <c r="M333" s="5103" t="s">
        <v>3206</v>
      </c>
      <c r="N333" s="5104" t="s">
        <v>3128</v>
      </c>
      <c r="O333" s="2000" t="s">
        <v>6594</v>
      </c>
      <c r="P333" s="5197">
        <v>46246</v>
      </c>
      <c r="Q333" s="4687">
        <v>-9520</v>
      </c>
      <c r="R333" s="5182" t="s">
        <v>6412</v>
      </c>
      <c r="S333" s="1109" t="s">
        <v>663</v>
      </c>
      <c r="T333" s="4939">
        <v>46253</v>
      </c>
      <c r="U333" s="4937" t="s">
        <v>111</v>
      </c>
      <c r="V333" s="4389" t="s">
        <v>6591</v>
      </c>
      <c r="W333" s="4937" t="s">
        <v>94</v>
      </c>
      <c r="X333" s="4999" t="str">
        <f t="shared" si="49"/>
        <v>NOT ACTIVE</v>
      </c>
      <c r="Y333" s="5000">
        <v>-9520</v>
      </c>
      <c r="Z333" s="5001"/>
      <c r="AA333" s="4998"/>
      <c r="AB333" s="4939"/>
      <c r="AC333" s="4938"/>
      <c r="AD333" s="4938"/>
      <c r="AE333" s="4938"/>
      <c r="AF333" s="5002" t="str">
        <f t="shared" si="50"/>
        <v>NOT ACTIVE</v>
      </c>
      <c r="AG333" s="5003"/>
      <c r="AH333" s="4940"/>
      <c r="AI333" s="4939"/>
      <c r="AJ333" s="4938"/>
      <c r="AK333" s="4938"/>
      <c r="AL333" s="5004"/>
      <c r="AM333" s="5005"/>
      <c r="AN333" s="5006"/>
      <c r="AO333" s="5007"/>
      <c r="AP333" s="5008"/>
      <c r="AQ333" s="5009"/>
      <c r="AR333" s="4939"/>
      <c r="AS333" s="5003"/>
      <c r="AT333" s="4998"/>
      <c r="AU333" s="5010"/>
      <c r="AV333" s="5003"/>
      <c r="AW333" s="4998"/>
      <c r="AX333" s="4939"/>
      <c r="AY333" s="5002" t="str">
        <f t="shared" si="51"/>
        <v>NOT ACTIVE</v>
      </c>
      <c r="AZ333" s="5011"/>
      <c r="BA333" s="4938"/>
      <c r="BB333" s="5012"/>
      <c r="BC333" s="5013"/>
      <c r="BD333" s="1108" t="s">
        <v>6595</v>
      </c>
      <c r="BF333" s="845">
        <f t="shared" ca="1" si="47"/>
        <v>0</v>
      </c>
      <c r="BG333" s="1377"/>
    </row>
    <row r="334" spans="1:59" s="686" customFormat="1" ht="39.75" customHeight="1">
      <c r="A334" s="5035">
        <f t="shared" si="48"/>
        <v>268</v>
      </c>
      <c r="B334" s="3545" t="s">
        <v>6575</v>
      </c>
      <c r="C334" s="3546" t="s">
        <v>165</v>
      </c>
      <c r="D334" s="4922" t="s">
        <v>5122</v>
      </c>
      <c r="E334" s="5100"/>
      <c r="F334" s="5101"/>
      <c r="G334" s="5102"/>
      <c r="H334" s="4919" t="s">
        <v>104</v>
      </c>
      <c r="I334" s="4920" t="s">
        <v>244</v>
      </c>
      <c r="J334" s="4921" t="str">
        <f>IFERROR(VLOOKUP(I334,dropdowns!$E$45:$I$56,2,FALSE)," ")</f>
        <v>1.TB.01.003</v>
      </c>
      <c r="K334" s="4922" t="s">
        <v>244</v>
      </c>
      <c r="L334" s="4923" t="str">
        <f>IFERROR(VLOOKUP(K334,dropdowns!$G$45:$H$56,2,FALSE)," ")</f>
        <v>1.TB.01.003.01</v>
      </c>
      <c r="M334" s="5103" t="s">
        <v>3205</v>
      </c>
      <c r="N334" s="5104" t="s">
        <v>3207</v>
      </c>
      <c r="O334" s="5087"/>
      <c r="P334" s="5088"/>
      <c r="Q334" s="3920"/>
      <c r="R334" s="3566" t="s">
        <v>6492</v>
      </c>
      <c r="S334" s="3567" t="s">
        <v>663</v>
      </c>
      <c r="T334" s="5037">
        <v>46277</v>
      </c>
      <c r="U334" s="5038" t="s">
        <v>79</v>
      </c>
      <c r="V334" s="3563" t="s">
        <v>6658</v>
      </c>
      <c r="W334" s="5089" t="s">
        <v>94</v>
      </c>
      <c r="X334" s="5090" t="str">
        <f t="shared" si="49"/>
        <v>ACTIVE</v>
      </c>
      <c r="Y334" s="5091">
        <v>842550</v>
      </c>
      <c r="Z334" s="3575" t="s">
        <v>3134</v>
      </c>
      <c r="AA334" s="3567" t="s">
        <v>663</v>
      </c>
      <c r="AB334" s="5037">
        <v>46291</v>
      </c>
      <c r="AC334" s="5038" t="s">
        <v>79</v>
      </c>
      <c r="AD334" s="3563" t="s">
        <v>6700</v>
      </c>
      <c r="AE334" s="5038" t="s">
        <v>94</v>
      </c>
      <c r="AF334" s="5090" t="str">
        <f t="shared" si="50"/>
        <v>ACTIVE</v>
      </c>
      <c r="AG334" s="5106">
        <v>842550</v>
      </c>
      <c r="AH334" s="3560" t="s">
        <v>818</v>
      </c>
      <c r="AI334" s="5037">
        <v>46296</v>
      </c>
      <c r="AJ334" s="5038" t="s">
        <v>79</v>
      </c>
      <c r="AK334" s="3563" t="s">
        <v>6727</v>
      </c>
      <c r="AL334" s="3564" t="s">
        <v>818</v>
      </c>
      <c r="AM334" s="5115">
        <v>46297</v>
      </c>
      <c r="AN334" s="3565" t="s">
        <v>6717</v>
      </c>
      <c r="AO334" s="5007"/>
      <c r="AP334" s="5008"/>
      <c r="AQ334" s="5009"/>
      <c r="AR334" s="4939"/>
      <c r="AS334" s="5003"/>
      <c r="AT334" s="4998"/>
      <c r="AU334" s="5010"/>
      <c r="AV334" s="5003"/>
      <c r="AW334" s="4998"/>
      <c r="AX334" s="4939"/>
      <c r="AY334" s="5002" t="str">
        <f t="shared" si="51"/>
        <v>NOT ACTIVE</v>
      </c>
      <c r="AZ334" s="5011"/>
      <c r="BA334" s="4938" t="s">
        <v>87</v>
      </c>
      <c r="BB334" s="5012"/>
      <c r="BC334" s="5013"/>
      <c r="BD334" s="5014"/>
      <c r="BF334" s="845">
        <f t="shared" ca="1" si="47"/>
        <v>2</v>
      </c>
      <c r="BG334" s="1377"/>
    </row>
    <row r="335" spans="1:59" s="686" customFormat="1" ht="69" customHeight="1">
      <c r="A335" s="5035">
        <f t="shared" si="48"/>
        <v>269</v>
      </c>
      <c r="B335" s="3545" t="s">
        <v>6603</v>
      </c>
      <c r="C335" s="3546" t="s">
        <v>165</v>
      </c>
      <c r="D335" s="4922" t="s">
        <v>6131</v>
      </c>
      <c r="E335" s="5100"/>
      <c r="F335" s="5101"/>
      <c r="G335" s="5102"/>
      <c r="H335" s="5168" t="s">
        <v>104</v>
      </c>
      <c r="I335" s="5169" t="s">
        <v>244</v>
      </c>
      <c r="J335" s="5170" t="str">
        <f>IFERROR(VLOOKUP(I335,dropdowns!$E$45:$I$56,2,FALSE)," ")</f>
        <v>1.TB.01.003</v>
      </c>
      <c r="K335" s="5171" t="s">
        <v>244</v>
      </c>
      <c r="L335" s="5172" t="str">
        <f>IFERROR(VLOOKUP(K335,dropdowns!$G$45:$H$56,2,FALSE)," ")</f>
        <v>1.TB.01.003.01</v>
      </c>
      <c r="M335" s="3556" t="s">
        <v>2269</v>
      </c>
      <c r="N335" s="5104" t="s">
        <v>152</v>
      </c>
      <c r="O335" s="5087"/>
      <c r="P335" s="5088"/>
      <c r="Q335" s="3920"/>
      <c r="R335" s="3566" t="s">
        <v>6604</v>
      </c>
      <c r="S335" s="3567" t="s">
        <v>663</v>
      </c>
      <c r="T335" s="3561" t="s">
        <v>805</v>
      </c>
      <c r="U335" s="5038" t="s">
        <v>79</v>
      </c>
      <c r="V335" s="3563" t="s">
        <v>6605</v>
      </c>
      <c r="W335" s="5089" t="s">
        <v>94</v>
      </c>
      <c r="X335" s="5090" t="str">
        <f t="shared" si="49"/>
        <v>ACTIVE</v>
      </c>
      <c r="Y335" s="5091">
        <v>-18772378.16</v>
      </c>
      <c r="Z335" s="3575" t="s">
        <v>6606</v>
      </c>
      <c r="AA335" s="3567" t="s">
        <v>663</v>
      </c>
      <c r="AB335" s="5037">
        <v>46261</v>
      </c>
      <c r="AC335" s="5038" t="s">
        <v>79</v>
      </c>
      <c r="AD335" s="3563" t="s">
        <v>6618</v>
      </c>
      <c r="AE335" s="5038" t="s">
        <v>94</v>
      </c>
      <c r="AF335" s="5002" t="str">
        <f t="shared" si="50"/>
        <v>ACTIVE</v>
      </c>
      <c r="AG335" s="5106">
        <v>-18772378.16</v>
      </c>
      <c r="AH335" s="1101" t="s">
        <v>6619</v>
      </c>
      <c r="AI335" s="4939">
        <v>46265</v>
      </c>
      <c r="AJ335" s="4938" t="s">
        <v>87</v>
      </c>
      <c r="AK335" s="5105" t="s">
        <v>6620</v>
      </c>
      <c r="AL335" s="1110" t="s">
        <v>6619</v>
      </c>
      <c r="AM335" s="5005">
        <v>46265</v>
      </c>
      <c r="AN335" s="5193" t="s">
        <v>6621</v>
      </c>
      <c r="AO335" s="5007"/>
      <c r="AP335" s="5008"/>
      <c r="AQ335" s="5009"/>
      <c r="AR335" s="4939"/>
      <c r="AS335" s="5003"/>
      <c r="AT335" s="4998"/>
      <c r="AU335" s="5010"/>
      <c r="AV335" s="5003"/>
      <c r="AW335" s="4998"/>
      <c r="AX335" s="4939"/>
      <c r="AY335" s="5002" t="str">
        <f t="shared" si="51"/>
        <v>NOT ACTIVE</v>
      </c>
      <c r="AZ335" s="5011"/>
      <c r="BA335" s="4938" t="s">
        <v>87</v>
      </c>
      <c r="BB335" s="5012"/>
      <c r="BC335" s="5013"/>
      <c r="BD335" s="5014"/>
      <c r="BF335" s="845">
        <f t="shared" ca="1" si="47"/>
        <v>34</v>
      </c>
      <c r="BG335" s="1377"/>
    </row>
    <row r="336" spans="1:59" s="686" customFormat="1" ht="36.950000000000003" customHeight="1">
      <c r="A336" s="5114">
        <v>270</v>
      </c>
      <c r="B336" s="1536" t="s">
        <v>6650</v>
      </c>
      <c r="C336" s="1544" t="s">
        <v>165</v>
      </c>
      <c r="D336" s="4872" t="s">
        <v>6131</v>
      </c>
      <c r="E336" s="5129"/>
      <c r="F336" s="5130"/>
      <c r="G336" s="5131"/>
      <c r="H336" s="1548" t="s">
        <v>104</v>
      </c>
      <c r="I336" s="1549" t="s">
        <v>261</v>
      </c>
      <c r="J336" s="1550" t="str">
        <f>IFERROR(VLOOKUP(I336,dropdowns!$E$45:$I$56,2,FALSE)," ")</f>
        <v>1.TB.01.009</v>
      </c>
      <c r="K336" s="1551" t="s">
        <v>261</v>
      </c>
      <c r="L336" s="1552" t="str">
        <f>IFERROR(VLOOKUP(K336,dropdowns!$G$45:$H$56,2,FALSE)," ")</f>
        <v>1.TB.01.009.01</v>
      </c>
      <c r="M336" s="5137" t="s">
        <v>6490</v>
      </c>
      <c r="N336" s="5138" t="s">
        <v>6490</v>
      </c>
      <c r="O336" s="5139"/>
      <c r="P336" s="5140"/>
      <c r="Q336" s="4873"/>
      <c r="R336" s="4874" t="s">
        <v>6651</v>
      </c>
      <c r="S336" s="1556" t="s">
        <v>663</v>
      </c>
      <c r="T336" s="5141">
        <v>46287</v>
      </c>
      <c r="U336" s="5142" t="s">
        <v>79</v>
      </c>
      <c r="V336" s="1541" t="s">
        <v>6661</v>
      </c>
      <c r="W336" s="5143" t="s">
        <v>94</v>
      </c>
      <c r="X336" s="5144" t="str">
        <f t="shared" si="49"/>
        <v>ACTIVE</v>
      </c>
      <c r="Y336" s="5113">
        <v>36400</v>
      </c>
      <c r="Z336" s="1111"/>
      <c r="AA336" s="4998"/>
      <c r="AB336" s="4939"/>
      <c r="AC336" s="4938" t="s">
        <v>87</v>
      </c>
      <c r="AD336" s="4938"/>
      <c r="AE336" s="4938"/>
      <c r="AF336" s="5002" t="str">
        <f t="shared" si="50"/>
        <v>NOT ACTIVE</v>
      </c>
      <c r="AG336" s="5003"/>
      <c r="AH336" s="1101"/>
      <c r="AI336" s="4939"/>
      <c r="AJ336" s="4938" t="s">
        <v>87</v>
      </c>
      <c r="AK336" s="4938"/>
      <c r="AL336" s="5004"/>
      <c r="AM336" s="5005"/>
      <c r="AN336" s="5006"/>
      <c r="AO336" s="5007"/>
      <c r="AP336" s="5008"/>
      <c r="AQ336" s="5009"/>
      <c r="AR336" s="4939"/>
      <c r="AS336" s="5003"/>
      <c r="AT336" s="4998"/>
      <c r="AU336" s="5010"/>
      <c r="AV336" s="5003"/>
      <c r="AW336" s="4998"/>
      <c r="AX336" s="4939"/>
      <c r="AY336" s="5002" t="str">
        <f t="shared" si="51"/>
        <v>NOT ACTIVE</v>
      </c>
      <c r="AZ336" s="5011"/>
      <c r="BA336" s="4938"/>
      <c r="BB336" s="5012"/>
      <c r="BC336" s="5013"/>
      <c r="BD336" s="5014"/>
      <c r="BF336" s="845">
        <f t="shared" ca="1" si="47"/>
        <v>0</v>
      </c>
      <c r="BG336" s="1377"/>
    </row>
    <row r="337" spans="1:59" s="686" customFormat="1" ht="51">
      <c r="A337" s="1141">
        <f t="shared" ref="A337" si="52">+A336+1</f>
        <v>271</v>
      </c>
      <c r="B337" s="1884" t="s">
        <v>6659</v>
      </c>
      <c r="C337" s="4876" t="s">
        <v>165</v>
      </c>
      <c r="D337" s="4877" t="s">
        <v>6131</v>
      </c>
      <c r="E337" s="4878"/>
      <c r="F337" s="4879"/>
      <c r="G337" s="4880"/>
      <c r="H337" s="4881" t="s">
        <v>104</v>
      </c>
      <c r="I337" s="4882" t="s">
        <v>244</v>
      </c>
      <c r="J337" s="4883" t="str">
        <f>IFERROR(VLOOKUP(I337,dropdowns!$E$45:$I$56,2,FALSE)," ")</f>
        <v>1.TB.01.003</v>
      </c>
      <c r="K337" s="4884" t="s">
        <v>244</v>
      </c>
      <c r="L337" s="4885" t="str">
        <f>IFERROR(VLOOKUP(K337,dropdowns!$G$45:$H$56,2,FALSE)," ")</f>
        <v>1.TB.01.003.01</v>
      </c>
      <c r="M337" s="4886" t="s">
        <v>2269</v>
      </c>
      <c r="N337" s="4887" t="s">
        <v>152</v>
      </c>
      <c r="O337" s="1231"/>
      <c r="P337" s="1224"/>
      <c r="Q337" s="3913"/>
      <c r="R337" s="1216" t="s">
        <v>6430</v>
      </c>
      <c r="S337" s="1217" t="s">
        <v>663</v>
      </c>
      <c r="T337" s="1728">
        <v>46215</v>
      </c>
      <c r="U337" s="1222" t="s">
        <v>79</v>
      </c>
      <c r="V337" s="1219" t="s">
        <v>6515</v>
      </c>
      <c r="W337" s="5089" t="s">
        <v>94</v>
      </c>
      <c r="X337" s="5090" t="str">
        <f t="shared" si="49"/>
        <v>ACTIVE</v>
      </c>
      <c r="Y337" s="5091">
        <v>-174900</v>
      </c>
      <c r="Z337" s="3575" t="s">
        <v>6660</v>
      </c>
      <c r="AA337" s="3567" t="s">
        <v>663</v>
      </c>
      <c r="AB337" s="5037">
        <v>46291</v>
      </c>
      <c r="AC337" s="5038" t="s">
        <v>79</v>
      </c>
      <c r="AD337" s="3563" t="s">
        <v>6697</v>
      </c>
      <c r="AE337" s="5038" t="s">
        <v>94</v>
      </c>
      <c r="AF337" s="5090" t="str">
        <f t="shared" si="50"/>
        <v>ACTIVE</v>
      </c>
      <c r="AG337" s="5106">
        <v>-174900</v>
      </c>
      <c r="AH337" s="3560" t="s">
        <v>6715</v>
      </c>
      <c r="AI337" s="5037">
        <v>46296</v>
      </c>
      <c r="AJ337" s="5038" t="s">
        <v>79</v>
      </c>
      <c r="AK337" s="3563" t="s">
        <v>6726</v>
      </c>
      <c r="AL337" s="3564" t="s">
        <v>6715</v>
      </c>
      <c r="AM337" s="5115">
        <v>46297</v>
      </c>
      <c r="AN337" s="3565" t="s">
        <v>6716</v>
      </c>
      <c r="AO337" s="5007"/>
      <c r="AP337" s="5008"/>
      <c r="AQ337" s="5009"/>
      <c r="AR337" s="4939"/>
      <c r="AS337" s="5003"/>
      <c r="AT337" s="4998"/>
      <c r="AU337" s="5010"/>
      <c r="AV337" s="5003"/>
      <c r="AW337" s="4998"/>
      <c r="AX337" s="4939"/>
      <c r="AY337" s="5002" t="str">
        <f t="shared" si="51"/>
        <v>NOT ACTIVE</v>
      </c>
      <c r="AZ337" s="5011"/>
      <c r="BA337" s="4938" t="s">
        <v>87</v>
      </c>
      <c r="BB337" s="5012"/>
      <c r="BC337" s="5013"/>
      <c r="BD337" s="5014"/>
      <c r="BF337" s="845">
        <f t="shared" ca="1" si="47"/>
        <v>2</v>
      </c>
      <c r="BG337" s="1377"/>
    </row>
    <row r="338" spans="1:59" s="686" customFormat="1" ht="38.25">
      <c r="A338" s="5035">
        <f t="shared" si="48"/>
        <v>272</v>
      </c>
      <c r="B338" s="3545" t="s">
        <v>6668</v>
      </c>
      <c r="C338" s="5213" t="s">
        <v>165</v>
      </c>
      <c r="D338" s="5214" t="s">
        <v>3337</v>
      </c>
      <c r="E338" s="5100"/>
      <c r="F338" s="5101"/>
      <c r="G338" s="5102"/>
      <c r="H338" s="5215" t="s">
        <v>104</v>
      </c>
      <c r="I338" s="5216" t="s">
        <v>244</v>
      </c>
      <c r="J338" s="5217" t="str">
        <f>IFERROR(VLOOKUP(I338,dropdowns!$E$45:$I$56,2,FALSE)," ")</f>
        <v>1.TB.01.003</v>
      </c>
      <c r="K338" s="5218" t="s">
        <v>244</v>
      </c>
      <c r="L338" s="5219" t="str">
        <f>IFERROR(VLOOKUP(K338,dropdowns!$G$45:$H$56,2,FALSE)," ")</f>
        <v>1.TB.01.003.01</v>
      </c>
      <c r="M338" s="5220" t="s">
        <v>139</v>
      </c>
      <c r="N338" s="5221" t="s">
        <v>2564</v>
      </c>
      <c r="O338" s="5087"/>
      <c r="P338" s="5088"/>
      <c r="Q338" s="3920"/>
      <c r="R338" s="5182" t="s">
        <v>3337</v>
      </c>
      <c r="S338" s="1109" t="s">
        <v>663</v>
      </c>
      <c r="T338" s="4939">
        <v>46288</v>
      </c>
      <c r="U338" s="4938" t="s">
        <v>87</v>
      </c>
      <c r="V338" s="5105" t="s">
        <v>6669</v>
      </c>
      <c r="W338" s="4937" t="s">
        <v>94</v>
      </c>
      <c r="X338" s="4999" t="str">
        <f t="shared" si="49"/>
        <v>ACTIVE</v>
      </c>
      <c r="Y338" s="5000">
        <v>-49207</v>
      </c>
      <c r="Z338" s="5001"/>
      <c r="AA338" s="4998"/>
      <c r="AB338" s="4939"/>
      <c r="AC338" s="4938"/>
      <c r="AD338" s="4938"/>
      <c r="AE338" s="4938"/>
      <c r="AF338" s="5002" t="str">
        <f t="shared" si="50"/>
        <v>NOT ACTIVE</v>
      </c>
      <c r="AG338" s="5003"/>
      <c r="AH338" s="4940"/>
      <c r="AI338" s="4939"/>
      <c r="AJ338" s="4938"/>
      <c r="AK338" s="4938"/>
      <c r="AL338" s="5004"/>
      <c r="AM338" s="5005"/>
      <c r="AN338" s="5006"/>
      <c r="AO338" s="5007"/>
      <c r="AP338" s="5008"/>
      <c r="AQ338" s="5009"/>
      <c r="AR338" s="4939"/>
      <c r="AS338" s="5003"/>
      <c r="AT338" s="4998"/>
      <c r="AU338" s="5010"/>
      <c r="AV338" s="5003"/>
      <c r="AW338" s="4998"/>
      <c r="AX338" s="4939"/>
      <c r="AY338" s="5002" t="str">
        <f t="shared" si="51"/>
        <v>NOT ACTIVE</v>
      </c>
      <c r="AZ338" s="5011"/>
      <c r="BA338" s="4938"/>
      <c r="BB338" s="5012"/>
      <c r="BC338" s="5013"/>
      <c r="BD338" s="5014"/>
      <c r="BF338" s="845">
        <f t="shared" ca="1" si="47"/>
        <v>0</v>
      </c>
      <c r="BG338" s="1377"/>
    </row>
    <row r="339" spans="1:59" s="686" customFormat="1" ht="38.25">
      <c r="A339" s="5035">
        <f t="shared" si="48"/>
        <v>273</v>
      </c>
      <c r="B339" s="3545" t="s">
        <v>6718</v>
      </c>
      <c r="C339" s="5213" t="s">
        <v>165</v>
      </c>
      <c r="D339" s="5214" t="s">
        <v>6131</v>
      </c>
      <c r="E339" s="5100"/>
      <c r="F339" s="5101"/>
      <c r="G339" s="5102"/>
      <c r="H339" s="4919" t="s">
        <v>104</v>
      </c>
      <c r="I339" s="4920" t="s">
        <v>244</v>
      </c>
      <c r="J339" s="4921" t="str">
        <f>IFERROR(VLOOKUP(I339,dropdowns!$E$45:$I$56,2,FALSE)," ")</f>
        <v>1.TB.01.003</v>
      </c>
      <c r="K339" s="4922" t="s">
        <v>244</v>
      </c>
      <c r="L339" s="4923" t="str">
        <f>IFERROR(VLOOKUP(K339,dropdowns!$G$45:$H$56,2,FALSE)," ")</f>
        <v>1.TB.01.003.01</v>
      </c>
      <c r="M339" s="3556" t="s">
        <v>3930</v>
      </c>
      <c r="N339" s="3557" t="s">
        <v>2558</v>
      </c>
      <c r="O339" s="5087"/>
      <c r="P339" s="5088"/>
      <c r="Q339" s="3920"/>
      <c r="R339" s="1103" t="s">
        <v>6719</v>
      </c>
      <c r="S339" s="1109" t="s">
        <v>663</v>
      </c>
      <c r="T339" s="4939">
        <v>46298</v>
      </c>
      <c r="U339" s="4938" t="s">
        <v>87</v>
      </c>
      <c r="V339" s="4389" t="s">
        <v>6720</v>
      </c>
      <c r="W339" s="4937" t="s">
        <v>94</v>
      </c>
      <c r="X339" s="4999" t="str">
        <f t="shared" si="49"/>
        <v>ACTIVE</v>
      </c>
      <c r="Y339" s="5000">
        <v>1196461.25</v>
      </c>
      <c r="Z339" s="1111" t="s">
        <v>6721</v>
      </c>
      <c r="AA339" s="1109" t="s">
        <v>663</v>
      </c>
      <c r="AB339" s="4939">
        <v>46298</v>
      </c>
      <c r="AC339" s="4938" t="s">
        <v>87</v>
      </c>
      <c r="AD339" s="4389" t="s">
        <v>6720</v>
      </c>
      <c r="AE339" s="4938" t="s">
        <v>94</v>
      </c>
      <c r="AF339" s="5002" t="str">
        <f t="shared" si="50"/>
        <v>NOT ACTIVE</v>
      </c>
      <c r="AG339" s="5003">
        <v>1196461.25</v>
      </c>
      <c r="AH339" s="1101" t="s">
        <v>6722</v>
      </c>
      <c r="AI339" s="4939">
        <v>46298</v>
      </c>
      <c r="AJ339" s="4938" t="s">
        <v>87</v>
      </c>
      <c r="AK339" s="4389" t="s">
        <v>6720</v>
      </c>
      <c r="AL339" s="5004"/>
      <c r="AM339" s="5005"/>
      <c r="AN339" s="5006"/>
      <c r="AO339" s="5007"/>
      <c r="AP339" s="5008"/>
      <c r="AQ339" s="5009"/>
      <c r="AR339" s="4939"/>
      <c r="AS339" s="5003"/>
      <c r="AT339" s="4998"/>
      <c r="AU339" s="5010"/>
      <c r="AV339" s="5003"/>
      <c r="AW339" s="4998"/>
      <c r="AX339" s="4939"/>
      <c r="AY339" s="5002" t="str">
        <f t="shared" si="51"/>
        <v>NOT ACTIVE</v>
      </c>
      <c r="AZ339" s="5011"/>
      <c r="BA339" s="4938"/>
      <c r="BB339" s="5012"/>
      <c r="BC339" s="5013"/>
      <c r="BD339" s="5014"/>
      <c r="BF339" s="845">
        <f t="shared" ca="1" si="47"/>
        <v>0</v>
      </c>
      <c r="BG339" s="1377"/>
    </row>
    <row r="340" spans="1:59" s="686" customFormat="1" ht="51">
      <c r="A340" s="5035">
        <f t="shared" si="48"/>
        <v>274</v>
      </c>
      <c r="B340" s="3546" t="s">
        <v>6723</v>
      </c>
      <c r="C340" s="5213" t="s">
        <v>165</v>
      </c>
      <c r="D340" s="5214" t="s">
        <v>6131</v>
      </c>
      <c r="E340" s="5100"/>
      <c r="F340" s="5101"/>
      <c r="G340" s="5102"/>
      <c r="H340" s="4881" t="s">
        <v>104</v>
      </c>
      <c r="I340" s="4882" t="s">
        <v>244</v>
      </c>
      <c r="J340" s="4883" t="str">
        <f>IFERROR(VLOOKUP(I340,dropdowns!$E$45:$I$56,2,FALSE)," ")</f>
        <v>1.TB.01.003</v>
      </c>
      <c r="K340" s="4884" t="s">
        <v>244</v>
      </c>
      <c r="L340" s="4885" t="str">
        <f>IFERROR(VLOOKUP(K340,dropdowns!$G$45:$H$56,2,FALSE)," ")</f>
        <v>1.TB.01.003.01</v>
      </c>
      <c r="M340" s="4886" t="s">
        <v>2269</v>
      </c>
      <c r="N340" s="4887" t="s">
        <v>152</v>
      </c>
      <c r="O340" s="5087"/>
      <c r="P340" s="5088"/>
      <c r="Q340" s="3920"/>
      <c r="R340" s="1103" t="s">
        <v>6719</v>
      </c>
      <c r="S340" s="1109" t="s">
        <v>663</v>
      </c>
      <c r="T340" s="4939">
        <v>46298</v>
      </c>
      <c r="U340" s="4938" t="s">
        <v>87</v>
      </c>
      <c r="V340" s="4389" t="s">
        <v>6720</v>
      </c>
      <c r="W340" s="4937" t="s">
        <v>94</v>
      </c>
      <c r="X340" s="4999" t="str">
        <f t="shared" si="49"/>
        <v>ACTIVE</v>
      </c>
      <c r="Y340" s="5000">
        <v>-1412346.44</v>
      </c>
      <c r="Z340" s="1111" t="s">
        <v>6724</v>
      </c>
      <c r="AA340" s="1109" t="s">
        <v>663</v>
      </c>
      <c r="AB340" s="4939">
        <v>46298</v>
      </c>
      <c r="AC340" s="4938" t="s">
        <v>87</v>
      </c>
      <c r="AD340" s="4389" t="s">
        <v>6720</v>
      </c>
      <c r="AE340" s="4938" t="s">
        <v>94</v>
      </c>
      <c r="AF340" s="5002" t="str">
        <f t="shared" si="50"/>
        <v>NOT ACTIVE</v>
      </c>
      <c r="AG340" s="5003">
        <v>-1412346.44</v>
      </c>
      <c r="AH340" s="1101" t="s">
        <v>6725</v>
      </c>
      <c r="AI340" s="4939">
        <v>46298</v>
      </c>
      <c r="AJ340" s="4938" t="s">
        <v>87</v>
      </c>
      <c r="AK340" s="4389" t="s">
        <v>6720</v>
      </c>
      <c r="AL340" s="5004"/>
      <c r="AM340" s="5005"/>
      <c r="AN340" s="5006"/>
      <c r="AO340" s="5007"/>
      <c r="AP340" s="5008"/>
      <c r="AQ340" s="5009"/>
      <c r="AR340" s="4939"/>
      <c r="AS340" s="5003"/>
      <c r="AT340" s="4998"/>
      <c r="AU340" s="5010"/>
      <c r="AV340" s="5003"/>
      <c r="AW340" s="4998"/>
      <c r="AX340" s="4939"/>
      <c r="AY340" s="5002" t="str">
        <f t="shared" si="51"/>
        <v>NOT ACTIVE</v>
      </c>
      <c r="AZ340" s="5011"/>
      <c r="BA340" s="4938"/>
      <c r="BB340" s="5012"/>
      <c r="BC340" s="5013"/>
      <c r="BD340" s="5014"/>
      <c r="BF340" s="845">
        <f t="shared" ca="1" si="47"/>
        <v>0</v>
      </c>
      <c r="BG340" s="1377"/>
    </row>
    <row r="341" spans="1:59" s="686" customFormat="1" ht="14.25" customHeight="1">
      <c r="A341" s="1484">
        <f t="shared" si="48"/>
        <v>275</v>
      </c>
      <c r="B341" s="4983"/>
      <c r="C341" s="4983"/>
      <c r="D341" s="4984"/>
      <c r="E341" s="4985"/>
      <c r="F341" s="4986"/>
      <c r="G341" s="4987"/>
      <c r="H341" s="4988"/>
      <c r="I341" s="4989"/>
      <c r="J341" s="4990" t="str">
        <f>IFERROR(VLOOKUP(I341,dropdowns!$E$45:$I$56,2,FALSE)," ")</f>
        <v xml:space="preserve"> </v>
      </c>
      <c r="K341" s="4991"/>
      <c r="L341" s="4992" t="str">
        <f>IFERROR(VLOOKUP(K341,dropdowns!$G$45:$H$56,2,FALSE)," ")</f>
        <v xml:space="preserve"> </v>
      </c>
      <c r="M341" s="4993"/>
      <c r="N341" s="4994"/>
      <c r="O341" s="4995"/>
      <c r="P341" s="4996"/>
      <c r="Q341" s="3914"/>
      <c r="R341" s="4997"/>
      <c r="S341" s="4998"/>
      <c r="T341" s="4939"/>
      <c r="U341" s="4938"/>
      <c r="V341" s="4938"/>
      <c r="W341" s="4937"/>
      <c r="X341" s="4999" t="str">
        <f t="shared" si="49"/>
        <v>NOT ACTIVE</v>
      </c>
      <c r="Y341" s="5000"/>
      <c r="Z341" s="5001"/>
      <c r="AA341" s="4998"/>
      <c r="AB341" s="4939"/>
      <c r="AC341" s="4938"/>
      <c r="AD341" s="4938"/>
      <c r="AE341" s="4938"/>
      <c r="AF341" s="5002" t="str">
        <f t="shared" si="50"/>
        <v>NOT ACTIVE</v>
      </c>
      <c r="AG341" s="5003"/>
      <c r="AH341" s="4940"/>
      <c r="AI341" s="4939"/>
      <c r="AJ341" s="4938"/>
      <c r="AK341" s="4938"/>
      <c r="AL341" s="5004"/>
      <c r="AM341" s="5005"/>
      <c r="AN341" s="5006"/>
      <c r="AO341" s="5007"/>
      <c r="AP341" s="5008"/>
      <c r="AQ341" s="5009"/>
      <c r="AR341" s="4939"/>
      <c r="AS341" s="5003"/>
      <c r="AT341" s="4998"/>
      <c r="AU341" s="5010"/>
      <c r="AV341" s="5003"/>
      <c r="AW341" s="4998"/>
      <c r="AX341" s="4939"/>
      <c r="AY341" s="5002" t="str">
        <f t="shared" si="51"/>
        <v>NOT ACTIVE</v>
      </c>
      <c r="AZ341" s="5011"/>
      <c r="BA341" s="4938"/>
      <c r="BB341" s="5012"/>
      <c r="BC341" s="5013"/>
      <c r="BD341" s="5014"/>
      <c r="BF341" s="845">
        <f t="shared" ca="1" si="47"/>
        <v>0</v>
      </c>
      <c r="BG341" s="1377"/>
    </row>
    <row r="342" spans="1:59" s="686" customFormat="1" ht="14.25" customHeight="1">
      <c r="A342" s="1484">
        <f t="shared" si="48"/>
        <v>276</v>
      </c>
      <c r="B342" s="4983"/>
      <c r="C342" s="4983"/>
      <c r="D342" s="4984"/>
      <c r="E342" s="4985"/>
      <c r="F342" s="4986"/>
      <c r="G342" s="4987"/>
      <c r="H342" s="4988"/>
      <c r="I342" s="4989"/>
      <c r="J342" s="4990" t="str">
        <f>IFERROR(VLOOKUP(I342,dropdowns!$E$45:$I$56,2,FALSE)," ")</f>
        <v xml:space="preserve"> </v>
      </c>
      <c r="K342" s="4991"/>
      <c r="L342" s="4992" t="str">
        <f>IFERROR(VLOOKUP(K342,dropdowns!$G$45:$H$56,2,FALSE)," ")</f>
        <v xml:space="preserve"> </v>
      </c>
      <c r="M342" s="4993"/>
      <c r="N342" s="4994"/>
      <c r="O342" s="4995"/>
      <c r="P342" s="4996"/>
      <c r="Q342" s="3914"/>
      <c r="R342" s="4997"/>
      <c r="S342" s="4998"/>
      <c r="T342" s="4939"/>
      <c r="U342" s="4938"/>
      <c r="V342" s="4938"/>
      <c r="W342" s="4937"/>
      <c r="X342" s="4999" t="str">
        <f t="shared" ref="X342:X367" si="53">IF(U342="APPROVED","ACTIVE",IF(U342="PENDING","ACTIVE","NOT ACTIVE"))</f>
        <v>NOT ACTIVE</v>
      </c>
      <c r="Y342" s="5000"/>
      <c r="Z342" s="5001"/>
      <c r="AA342" s="4998"/>
      <c r="AB342" s="4939"/>
      <c r="AC342" s="4938"/>
      <c r="AD342" s="4938"/>
      <c r="AE342" s="4938"/>
      <c r="AF342" s="5002" t="str">
        <f t="shared" ref="AF342:AF367" si="54">IF(AC342="APPROVED","ACTIVE","NOT ACTIVE")</f>
        <v>NOT ACTIVE</v>
      </c>
      <c r="AG342" s="5003"/>
      <c r="AH342" s="4940"/>
      <c r="AI342" s="4939"/>
      <c r="AJ342" s="4938"/>
      <c r="AK342" s="4938"/>
      <c r="AL342" s="5004"/>
      <c r="AM342" s="5005"/>
      <c r="AN342" s="5006"/>
      <c r="AO342" s="5007"/>
      <c r="AP342" s="5008"/>
      <c r="AQ342" s="5009"/>
      <c r="AR342" s="4939"/>
      <c r="AS342" s="5003"/>
      <c r="AT342" s="4998"/>
      <c r="AU342" s="5010"/>
      <c r="AV342" s="5003"/>
      <c r="AW342" s="4998"/>
      <c r="AX342" s="4939"/>
      <c r="AY342" s="5002" t="str">
        <f t="shared" ref="AY342:AY367" si="55">IF(BA342="APPROVED","ACTIVE","NOT ACTIVE")</f>
        <v>NOT ACTIVE</v>
      </c>
      <c r="AZ342" s="5011"/>
      <c r="BA342" s="4938"/>
      <c r="BB342" s="5012"/>
      <c r="BC342" s="5013"/>
      <c r="BD342" s="5014"/>
      <c r="BF342" s="845">
        <f t="shared" ca="1" si="47"/>
        <v>0</v>
      </c>
      <c r="BG342" s="1377"/>
    </row>
    <row r="343" spans="1:59" s="686" customFormat="1" ht="14.25" customHeight="1">
      <c r="A343" s="1484">
        <f t="shared" si="48"/>
        <v>277</v>
      </c>
      <c r="B343" s="4983"/>
      <c r="C343" s="4983"/>
      <c r="D343" s="4984"/>
      <c r="E343" s="4985"/>
      <c r="F343" s="4986"/>
      <c r="G343" s="4987"/>
      <c r="H343" s="4988"/>
      <c r="I343" s="4989"/>
      <c r="J343" s="4990" t="str">
        <f>IFERROR(VLOOKUP(I343,dropdowns!$E$45:$I$56,2,FALSE)," ")</f>
        <v xml:space="preserve"> </v>
      </c>
      <c r="K343" s="4991"/>
      <c r="L343" s="4992" t="str">
        <f>IFERROR(VLOOKUP(K343,dropdowns!$G$45:$H$56,2,FALSE)," ")</f>
        <v xml:space="preserve"> </v>
      </c>
      <c r="M343" s="4993"/>
      <c r="N343" s="4994"/>
      <c r="O343" s="4995"/>
      <c r="P343" s="4996"/>
      <c r="Q343" s="3914"/>
      <c r="R343" s="4997"/>
      <c r="S343" s="4998"/>
      <c r="T343" s="4939"/>
      <c r="U343" s="4938"/>
      <c r="V343" s="4938"/>
      <c r="W343" s="4937"/>
      <c r="X343" s="4999" t="str">
        <f t="shared" si="53"/>
        <v>NOT ACTIVE</v>
      </c>
      <c r="Y343" s="5000"/>
      <c r="Z343" s="5001"/>
      <c r="AA343" s="4998"/>
      <c r="AB343" s="4939"/>
      <c r="AC343" s="4938"/>
      <c r="AD343" s="4938"/>
      <c r="AE343" s="4938"/>
      <c r="AF343" s="5002" t="str">
        <f t="shared" si="54"/>
        <v>NOT ACTIVE</v>
      </c>
      <c r="AG343" s="5003"/>
      <c r="AH343" s="4940"/>
      <c r="AI343" s="4939"/>
      <c r="AJ343" s="4938"/>
      <c r="AK343" s="4938"/>
      <c r="AL343" s="5004"/>
      <c r="AM343" s="5005"/>
      <c r="AN343" s="5006"/>
      <c r="AO343" s="5007"/>
      <c r="AP343" s="5008"/>
      <c r="AQ343" s="5009"/>
      <c r="AR343" s="4939"/>
      <c r="AS343" s="5003"/>
      <c r="AT343" s="4998"/>
      <c r="AU343" s="5010"/>
      <c r="AV343" s="5003"/>
      <c r="AW343" s="4998"/>
      <c r="AX343" s="4939"/>
      <c r="AY343" s="5002" t="str">
        <f t="shared" si="55"/>
        <v>NOT ACTIVE</v>
      </c>
      <c r="AZ343" s="5011"/>
      <c r="BA343" s="4938"/>
      <c r="BB343" s="5012"/>
      <c r="BC343" s="5013"/>
      <c r="BD343" s="5014"/>
      <c r="BF343" s="845">
        <f t="shared" ca="1" si="47"/>
        <v>0</v>
      </c>
      <c r="BG343" s="1377"/>
    </row>
    <row r="344" spans="1:59" s="686" customFormat="1" ht="14.25" customHeight="1">
      <c r="A344" s="1484">
        <f t="shared" si="48"/>
        <v>278</v>
      </c>
      <c r="B344" s="4983"/>
      <c r="C344" s="4983"/>
      <c r="D344" s="4984"/>
      <c r="E344" s="4985"/>
      <c r="F344" s="4986"/>
      <c r="G344" s="4987"/>
      <c r="H344" s="4988"/>
      <c r="I344" s="4989"/>
      <c r="J344" s="4990" t="str">
        <f>IFERROR(VLOOKUP(I344,dropdowns!$E$45:$I$56,2,FALSE)," ")</f>
        <v xml:space="preserve"> </v>
      </c>
      <c r="K344" s="4991"/>
      <c r="L344" s="4992" t="str">
        <f>IFERROR(VLOOKUP(K344,dropdowns!$G$45:$H$56,2,FALSE)," ")</f>
        <v xml:space="preserve"> </v>
      </c>
      <c r="M344" s="4993"/>
      <c r="N344" s="4994"/>
      <c r="O344" s="4995"/>
      <c r="P344" s="4996"/>
      <c r="Q344" s="3914"/>
      <c r="R344" s="4997"/>
      <c r="S344" s="4998"/>
      <c r="T344" s="4939"/>
      <c r="U344" s="4938"/>
      <c r="V344" s="4938"/>
      <c r="W344" s="4937"/>
      <c r="X344" s="4999" t="str">
        <f t="shared" si="53"/>
        <v>NOT ACTIVE</v>
      </c>
      <c r="Y344" s="5000"/>
      <c r="Z344" s="5001"/>
      <c r="AA344" s="4998"/>
      <c r="AB344" s="4939"/>
      <c r="AC344" s="4938"/>
      <c r="AD344" s="4938"/>
      <c r="AE344" s="4938"/>
      <c r="AF344" s="5002" t="str">
        <f t="shared" si="54"/>
        <v>NOT ACTIVE</v>
      </c>
      <c r="AG344" s="5003"/>
      <c r="AH344" s="4940"/>
      <c r="AI344" s="4939"/>
      <c r="AJ344" s="4938"/>
      <c r="AK344" s="4938"/>
      <c r="AL344" s="5004"/>
      <c r="AM344" s="5005"/>
      <c r="AN344" s="5006"/>
      <c r="AO344" s="5007"/>
      <c r="AP344" s="5008"/>
      <c r="AQ344" s="5009"/>
      <c r="AR344" s="4939"/>
      <c r="AS344" s="5003"/>
      <c r="AT344" s="4998"/>
      <c r="AU344" s="5010"/>
      <c r="AV344" s="5003"/>
      <c r="AW344" s="4998"/>
      <c r="AX344" s="4939"/>
      <c r="AY344" s="5002" t="str">
        <f t="shared" si="55"/>
        <v>NOT ACTIVE</v>
      </c>
      <c r="AZ344" s="5011"/>
      <c r="BA344" s="4938"/>
      <c r="BB344" s="5012"/>
      <c r="BC344" s="5013"/>
      <c r="BD344" s="5014"/>
      <c r="BF344" s="845">
        <f t="shared" ca="1" si="47"/>
        <v>0</v>
      </c>
      <c r="BG344" s="1377"/>
    </row>
    <row r="345" spans="1:59" s="686" customFormat="1" ht="14.25" customHeight="1">
      <c r="A345" s="1484">
        <f t="shared" si="48"/>
        <v>279</v>
      </c>
      <c r="B345" s="4983"/>
      <c r="C345" s="4983"/>
      <c r="D345" s="4984"/>
      <c r="E345" s="4985"/>
      <c r="F345" s="4986"/>
      <c r="G345" s="4987"/>
      <c r="H345" s="4988"/>
      <c r="I345" s="4989"/>
      <c r="J345" s="4990" t="str">
        <f>IFERROR(VLOOKUP(I345,dropdowns!$E$45:$I$56,2,FALSE)," ")</f>
        <v xml:space="preserve"> </v>
      </c>
      <c r="K345" s="4991"/>
      <c r="L345" s="4992" t="str">
        <f>IFERROR(VLOOKUP(K345,dropdowns!$G$45:$H$56,2,FALSE)," ")</f>
        <v xml:space="preserve"> </v>
      </c>
      <c r="M345" s="4993"/>
      <c r="N345" s="4994"/>
      <c r="O345" s="4995"/>
      <c r="P345" s="4996"/>
      <c r="Q345" s="3914"/>
      <c r="R345" s="4997"/>
      <c r="S345" s="4998"/>
      <c r="T345" s="4939"/>
      <c r="U345" s="4938"/>
      <c r="V345" s="4938"/>
      <c r="W345" s="4937"/>
      <c r="X345" s="4999" t="str">
        <f t="shared" si="53"/>
        <v>NOT ACTIVE</v>
      </c>
      <c r="Y345" s="5000"/>
      <c r="Z345" s="5001"/>
      <c r="AA345" s="4998"/>
      <c r="AB345" s="4939"/>
      <c r="AC345" s="4938"/>
      <c r="AD345" s="4938"/>
      <c r="AE345" s="4938"/>
      <c r="AF345" s="5002" t="str">
        <f t="shared" si="54"/>
        <v>NOT ACTIVE</v>
      </c>
      <c r="AG345" s="5003"/>
      <c r="AH345" s="4940"/>
      <c r="AI345" s="4939"/>
      <c r="AJ345" s="4938"/>
      <c r="AK345" s="4938"/>
      <c r="AL345" s="5004"/>
      <c r="AM345" s="5005"/>
      <c r="AN345" s="5006"/>
      <c r="AO345" s="5007"/>
      <c r="AP345" s="5008"/>
      <c r="AQ345" s="5009"/>
      <c r="AR345" s="4939"/>
      <c r="AS345" s="5003"/>
      <c r="AT345" s="4998"/>
      <c r="AU345" s="5010"/>
      <c r="AV345" s="5003"/>
      <c r="AW345" s="4998"/>
      <c r="AX345" s="4939"/>
      <c r="AY345" s="5002" t="str">
        <f t="shared" si="55"/>
        <v>NOT ACTIVE</v>
      </c>
      <c r="AZ345" s="5011"/>
      <c r="BA345" s="4938"/>
      <c r="BB345" s="5012"/>
      <c r="BC345" s="5013"/>
      <c r="BD345" s="5014"/>
      <c r="BF345" s="845">
        <f t="shared" ca="1" si="47"/>
        <v>0</v>
      </c>
      <c r="BG345" s="1377"/>
    </row>
    <row r="346" spans="1:59" s="686" customFormat="1" ht="14.25" customHeight="1">
      <c r="A346" s="1484">
        <f t="shared" ref="A346:A367" si="56">+A345+1</f>
        <v>280</v>
      </c>
      <c r="B346" s="4983"/>
      <c r="C346" s="4983"/>
      <c r="D346" s="4984"/>
      <c r="E346" s="4985"/>
      <c r="F346" s="4986"/>
      <c r="G346" s="4987"/>
      <c r="H346" s="4988"/>
      <c r="I346" s="4989"/>
      <c r="J346" s="4990" t="str">
        <f>IFERROR(VLOOKUP(I346,dropdowns!$E$45:$I$56,2,FALSE)," ")</f>
        <v xml:space="preserve"> </v>
      </c>
      <c r="K346" s="4991"/>
      <c r="L346" s="4992" t="str">
        <f>IFERROR(VLOOKUP(K346,dropdowns!$G$45:$H$56,2,FALSE)," ")</f>
        <v xml:space="preserve"> </v>
      </c>
      <c r="M346" s="4993"/>
      <c r="N346" s="4994"/>
      <c r="O346" s="4995"/>
      <c r="P346" s="4996"/>
      <c r="Q346" s="3914"/>
      <c r="R346" s="4997"/>
      <c r="S346" s="4998"/>
      <c r="T346" s="4939"/>
      <c r="U346" s="4938"/>
      <c r="V346" s="4938"/>
      <c r="W346" s="4937"/>
      <c r="X346" s="4999" t="str">
        <f t="shared" si="53"/>
        <v>NOT ACTIVE</v>
      </c>
      <c r="Y346" s="5000"/>
      <c r="Z346" s="5001"/>
      <c r="AA346" s="4998"/>
      <c r="AB346" s="4939"/>
      <c r="AC346" s="4938"/>
      <c r="AD346" s="4938"/>
      <c r="AE346" s="4938"/>
      <c r="AF346" s="5002" t="str">
        <f t="shared" si="54"/>
        <v>NOT ACTIVE</v>
      </c>
      <c r="AG346" s="5003"/>
      <c r="AH346" s="4940"/>
      <c r="AI346" s="4939"/>
      <c r="AJ346" s="4938"/>
      <c r="AK346" s="4938"/>
      <c r="AL346" s="5004"/>
      <c r="AM346" s="5005"/>
      <c r="AN346" s="5006"/>
      <c r="AO346" s="5007"/>
      <c r="AP346" s="5008"/>
      <c r="AQ346" s="5009"/>
      <c r="AR346" s="4939"/>
      <c r="AS346" s="5003"/>
      <c r="AT346" s="4998"/>
      <c r="AU346" s="5010"/>
      <c r="AV346" s="5003"/>
      <c r="AW346" s="4998"/>
      <c r="AX346" s="4939"/>
      <c r="AY346" s="5002" t="str">
        <f t="shared" si="55"/>
        <v>NOT ACTIVE</v>
      </c>
      <c r="AZ346" s="5011"/>
      <c r="BA346" s="4938"/>
      <c r="BB346" s="5012"/>
      <c r="BC346" s="5013"/>
      <c r="BD346" s="5014"/>
      <c r="BF346" s="845">
        <f t="shared" ca="1" si="47"/>
        <v>0</v>
      </c>
      <c r="BG346" s="1377"/>
    </row>
    <row r="347" spans="1:59" s="686" customFormat="1" ht="14.25" customHeight="1">
      <c r="A347" s="1484">
        <f t="shared" si="56"/>
        <v>281</v>
      </c>
      <c r="B347" s="4983"/>
      <c r="C347" s="4983"/>
      <c r="D347" s="4984"/>
      <c r="E347" s="4985"/>
      <c r="F347" s="4986"/>
      <c r="G347" s="4987"/>
      <c r="H347" s="4988"/>
      <c r="I347" s="4989"/>
      <c r="J347" s="4990" t="str">
        <f>IFERROR(VLOOKUP(I347,dropdowns!$E$45:$I$56,2,FALSE)," ")</f>
        <v xml:space="preserve"> </v>
      </c>
      <c r="K347" s="4991"/>
      <c r="L347" s="4992" t="str">
        <f>IFERROR(VLOOKUP(K347,dropdowns!$G$45:$H$56,2,FALSE)," ")</f>
        <v xml:space="preserve"> </v>
      </c>
      <c r="M347" s="4993"/>
      <c r="N347" s="4994"/>
      <c r="O347" s="4995"/>
      <c r="P347" s="4996"/>
      <c r="Q347" s="3914"/>
      <c r="R347" s="4997"/>
      <c r="S347" s="4998"/>
      <c r="T347" s="4939"/>
      <c r="U347" s="4938"/>
      <c r="V347" s="4938"/>
      <c r="W347" s="4937"/>
      <c r="X347" s="4999" t="str">
        <f t="shared" si="53"/>
        <v>NOT ACTIVE</v>
      </c>
      <c r="Y347" s="5000"/>
      <c r="Z347" s="5001"/>
      <c r="AA347" s="4998"/>
      <c r="AB347" s="4939"/>
      <c r="AC347" s="4938"/>
      <c r="AD347" s="4938"/>
      <c r="AE347" s="4938"/>
      <c r="AF347" s="5002" t="str">
        <f t="shared" si="54"/>
        <v>NOT ACTIVE</v>
      </c>
      <c r="AG347" s="5003"/>
      <c r="AH347" s="4940"/>
      <c r="AI347" s="4939"/>
      <c r="AJ347" s="4938"/>
      <c r="AK347" s="4938"/>
      <c r="AL347" s="5004"/>
      <c r="AM347" s="5005"/>
      <c r="AN347" s="5006"/>
      <c r="AO347" s="5007"/>
      <c r="AP347" s="5008"/>
      <c r="AQ347" s="5009"/>
      <c r="AR347" s="4939"/>
      <c r="AS347" s="5003"/>
      <c r="AT347" s="4998"/>
      <c r="AU347" s="5010"/>
      <c r="AV347" s="5003"/>
      <c r="AW347" s="4998"/>
      <c r="AX347" s="4939"/>
      <c r="AY347" s="5002" t="str">
        <f t="shared" si="55"/>
        <v>NOT ACTIVE</v>
      </c>
      <c r="AZ347" s="5011"/>
      <c r="BA347" s="4938"/>
      <c r="BB347" s="5012"/>
      <c r="BC347" s="5013"/>
      <c r="BD347" s="5014"/>
      <c r="BF347" s="845">
        <f t="shared" ca="1" si="47"/>
        <v>0</v>
      </c>
      <c r="BG347" s="1377"/>
    </row>
    <row r="348" spans="1:59" s="686" customFormat="1" ht="14.25" customHeight="1">
      <c r="A348" s="1484">
        <f t="shared" si="56"/>
        <v>282</v>
      </c>
      <c r="B348" s="4983"/>
      <c r="C348" s="4983"/>
      <c r="D348" s="4984"/>
      <c r="E348" s="4985"/>
      <c r="F348" s="4986"/>
      <c r="G348" s="4987"/>
      <c r="H348" s="4988"/>
      <c r="I348" s="4989"/>
      <c r="J348" s="4990" t="str">
        <f>IFERROR(VLOOKUP(I348,dropdowns!$E$45:$I$56,2,FALSE)," ")</f>
        <v xml:space="preserve"> </v>
      </c>
      <c r="K348" s="4991"/>
      <c r="L348" s="4992" t="str">
        <f>IFERROR(VLOOKUP(K348,dropdowns!$G$45:$H$56,2,FALSE)," ")</f>
        <v xml:space="preserve"> </v>
      </c>
      <c r="M348" s="4993"/>
      <c r="N348" s="4994"/>
      <c r="O348" s="4995"/>
      <c r="P348" s="4996"/>
      <c r="Q348" s="3914"/>
      <c r="R348" s="4997"/>
      <c r="S348" s="4998"/>
      <c r="T348" s="4939"/>
      <c r="U348" s="4938"/>
      <c r="V348" s="4938"/>
      <c r="W348" s="4937"/>
      <c r="X348" s="4999" t="str">
        <f t="shared" si="53"/>
        <v>NOT ACTIVE</v>
      </c>
      <c r="Y348" s="5000"/>
      <c r="Z348" s="5001"/>
      <c r="AA348" s="4998"/>
      <c r="AB348" s="4939"/>
      <c r="AC348" s="4938"/>
      <c r="AD348" s="4938"/>
      <c r="AE348" s="4938"/>
      <c r="AF348" s="5002" t="str">
        <f t="shared" si="54"/>
        <v>NOT ACTIVE</v>
      </c>
      <c r="AG348" s="5003"/>
      <c r="AH348" s="4940"/>
      <c r="AI348" s="4939"/>
      <c r="AJ348" s="4938"/>
      <c r="AK348" s="4938"/>
      <c r="AL348" s="5004"/>
      <c r="AM348" s="5005"/>
      <c r="AN348" s="5006"/>
      <c r="AO348" s="5007"/>
      <c r="AP348" s="5008"/>
      <c r="AQ348" s="5009"/>
      <c r="AR348" s="4939"/>
      <c r="AS348" s="5003"/>
      <c r="AT348" s="4998"/>
      <c r="AU348" s="5010"/>
      <c r="AV348" s="5003"/>
      <c r="AW348" s="4998"/>
      <c r="AX348" s="4939"/>
      <c r="AY348" s="5002" t="str">
        <f t="shared" si="55"/>
        <v>NOT ACTIVE</v>
      </c>
      <c r="AZ348" s="5011"/>
      <c r="BA348" s="4938"/>
      <c r="BB348" s="5012"/>
      <c r="BC348" s="5013"/>
      <c r="BD348" s="5014"/>
      <c r="BF348" s="845">
        <f t="shared" ca="1" si="47"/>
        <v>0</v>
      </c>
      <c r="BG348" s="1377"/>
    </row>
    <row r="349" spans="1:59" s="686" customFormat="1" ht="14.25" customHeight="1">
      <c r="A349" s="1484">
        <f t="shared" si="56"/>
        <v>283</v>
      </c>
      <c r="B349" s="4983"/>
      <c r="C349" s="4983"/>
      <c r="D349" s="4984"/>
      <c r="E349" s="4985"/>
      <c r="F349" s="4986"/>
      <c r="G349" s="4987"/>
      <c r="H349" s="4988"/>
      <c r="I349" s="4989"/>
      <c r="J349" s="4990" t="str">
        <f>IFERROR(VLOOKUP(I349,dropdowns!$E$45:$I$56,2,FALSE)," ")</f>
        <v xml:space="preserve"> </v>
      </c>
      <c r="K349" s="4991"/>
      <c r="L349" s="4992" t="str">
        <f>IFERROR(VLOOKUP(K349,dropdowns!$G$45:$H$56,2,FALSE)," ")</f>
        <v xml:space="preserve"> </v>
      </c>
      <c r="M349" s="4993"/>
      <c r="N349" s="4994"/>
      <c r="O349" s="4995"/>
      <c r="P349" s="4996"/>
      <c r="Q349" s="3914"/>
      <c r="R349" s="4997"/>
      <c r="S349" s="4998"/>
      <c r="T349" s="4939"/>
      <c r="U349" s="4938"/>
      <c r="V349" s="4938"/>
      <c r="W349" s="4937"/>
      <c r="X349" s="4999" t="str">
        <f t="shared" si="53"/>
        <v>NOT ACTIVE</v>
      </c>
      <c r="Y349" s="5000"/>
      <c r="Z349" s="5001"/>
      <c r="AA349" s="4998"/>
      <c r="AB349" s="4939"/>
      <c r="AC349" s="4938"/>
      <c r="AD349" s="4938"/>
      <c r="AE349" s="4938"/>
      <c r="AF349" s="5002" t="str">
        <f t="shared" si="54"/>
        <v>NOT ACTIVE</v>
      </c>
      <c r="AG349" s="5003"/>
      <c r="AH349" s="4940"/>
      <c r="AI349" s="4939"/>
      <c r="AJ349" s="4938"/>
      <c r="AK349" s="4938"/>
      <c r="AL349" s="5004"/>
      <c r="AM349" s="5005"/>
      <c r="AN349" s="5006"/>
      <c r="AO349" s="5007"/>
      <c r="AP349" s="5008"/>
      <c r="AQ349" s="5009"/>
      <c r="AR349" s="4939"/>
      <c r="AS349" s="5003"/>
      <c r="AT349" s="4998"/>
      <c r="AU349" s="5010"/>
      <c r="AV349" s="5003"/>
      <c r="AW349" s="4998"/>
      <c r="AX349" s="4939"/>
      <c r="AY349" s="5002" t="str">
        <f t="shared" si="55"/>
        <v>NOT ACTIVE</v>
      </c>
      <c r="AZ349" s="5011"/>
      <c r="BA349" s="4938"/>
      <c r="BB349" s="5012"/>
      <c r="BC349" s="5013"/>
      <c r="BD349" s="5014"/>
      <c r="BF349" s="845">
        <f t="shared" ca="1" si="47"/>
        <v>0</v>
      </c>
      <c r="BG349" s="1377"/>
    </row>
    <row r="350" spans="1:59" s="686" customFormat="1" ht="14.25" customHeight="1">
      <c r="A350" s="1484">
        <f t="shared" si="56"/>
        <v>284</v>
      </c>
      <c r="B350" s="4983"/>
      <c r="C350" s="4983"/>
      <c r="D350" s="4984"/>
      <c r="E350" s="4985"/>
      <c r="F350" s="4986"/>
      <c r="G350" s="4987"/>
      <c r="H350" s="4988"/>
      <c r="I350" s="4989"/>
      <c r="J350" s="4990" t="str">
        <f>IFERROR(VLOOKUP(I350,dropdowns!$E$45:$I$56,2,FALSE)," ")</f>
        <v xml:space="preserve"> </v>
      </c>
      <c r="K350" s="4991"/>
      <c r="L350" s="4992" t="str">
        <f>IFERROR(VLOOKUP(K350,dropdowns!$G$45:$H$56,2,FALSE)," ")</f>
        <v xml:space="preserve"> </v>
      </c>
      <c r="M350" s="4993"/>
      <c r="N350" s="4994"/>
      <c r="O350" s="4995"/>
      <c r="P350" s="4996"/>
      <c r="Q350" s="3914"/>
      <c r="R350" s="4997"/>
      <c r="S350" s="4998"/>
      <c r="T350" s="4939"/>
      <c r="U350" s="4938"/>
      <c r="V350" s="4938"/>
      <c r="W350" s="4937"/>
      <c r="X350" s="4999" t="str">
        <f t="shared" si="53"/>
        <v>NOT ACTIVE</v>
      </c>
      <c r="Y350" s="5000"/>
      <c r="Z350" s="5001"/>
      <c r="AA350" s="4998"/>
      <c r="AB350" s="4939"/>
      <c r="AC350" s="4938"/>
      <c r="AD350" s="4938"/>
      <c r="AE350" s="4938"/>
      <c r="AF350" s="5002" t="str">
        <f t="shared" si="54"/>
        <v>NOT ACTIVE</v>
      </c>
      <c r="AG350" s="5003"/>
      <c r="AH350" s="4940"/>
      <c r="AI350" s="4939"/>
      <c r="AJ350" s="4938"/>
      <c r="AK350" s="4938"/>
      <c r="AL350" s="5004"/>
      <c r="AM350" s="5005"/>
      <c r="AN350" s="5006"/>
      <c r="AO350" s="5007"/>
      <c r="AP350" s="5008"/>
      <c r="AQ350" s="5009"/>
      <c r="AR350" s="4939"/>
      <c r="AS350" s="5003"/>
      <c r="AT350" s="4998"/>
      <c r="AU350" s="5010"/>
      <c r="AV350" s="5003"/>
      <c r="AW350" s="4998"/>
      <c r="AX350" s="4939"/>
      <c r="AY350" s="5002" t="str">
        <f t="shared" si="55"/>
        <v>NOT ACTIVE</v>
      </c>
      <c r="AZ350" s="5011"/>
      <c r="BA350" s="4938"/>
      <c r="BB350" s="5012"/>
      <c r="BC350" s="5013"/>
      <c r="BD350" s="5014"/>
      <c r="BF350" s="845">
        <f t="shared" ca="1" si="47"/>
        <v>0</v>
      </c>
      <c r="BG350" s="1377"/>
    </row>
    <row r="351" spans="1:59" s="686" customFormat="1" ht="14.25" customHeight="1">
      <c r="A351" s="1484">
        <f t="shared" si="56"/>
        <v>285</v>
      </c>
      <c r="B351" s="4983"/>
      <c r="C351" s="4983"/>
      <c r="D351" s="4984"/>
      <c r="E351" s="4985"/>
      <c r="F351" s="4986"/>
      <c r="G351" s="4987"/>
      <c r="H351" s="4988"/>
      <c r="I351" s="4989"/>
      <c r="J351" s="4990" t="str">
        <f>IFERROR(VLOOKUP(I351,dropdowns!$E$45:$I$56,2,FALSE)," ")</f>
        <v xml:space="preserve"> </v>
      </c>
      <c r="K351" s="4991"/>
      <c r="L351" s="4992" t="str">
        <f>IFERROR(VLOOKUP(K351,dropdowns!$G$45:$H$56,2,FALSE)," ")</f>
        <v xml:space="preserve"> </v>
      </c>
      <c r="M351" s="4993"/>
      <c r="N351" s="4994"/>
      <c r="O351" s="4995"/>
      <c r="P351" s="4996"/>
      <c r="Q351" s="3914"/>
      <c r="R351" s="4997"/>
      <c r="S351" s="4998"/>
      <c r="T351" s="4939"/>
      <c r="U351" s="4938"/>
      <c r="V351" s="4938"/>
      <c r="W351" s="4937"/>
      <c r="X351" s="4999" t="str">
        <f t="shared" si="53"/>
        <v>NOT ACTIVE</v>
      </c>
      <c r="Y351" s="5000"/>
      <c r="Z351" s="5001"/>
      <c r="AA351" s="4998"/>
      <c r="AB351" s="4939"/>
      <c r="AC351" s="4938"/>
      <c r="AD351" s="4938"/>
      <c r="AE351" s="4938"/>
      <c r="AF351" s="5002" t="str">
        <f t="shared" si="54"/>
        <v>NOT ACTIVE</v>
      </c>
      <c r="AG351" s="5003"/>
      <c r="AH351" s="4940"/>
      <c r="AI351" s="4939"/>
      <c r="AJ351" s="4938"/>
      <c r="AK351" s="4938"/>
      <c r="AL351" s="5004"/>
      <c r="AM351" s="5005"/>
      <c r="AN351" s="5006"/>
      <c r="AO351" s="5007"/>
      <c r="AP351" s="5008"/>
      <c r="AQ351" s="5009"/>
      <c r="AR351" s="4939"/>
      <c r="AS351" s="5003"/>
      <c r="AT351" s="4998"/>
      <c r="AU351" s="5010"/>
      <c r="AV351" s="5003"/>
      <c r="AW351" s="4998"/>
      <c r="AX351" s="4939"/>
      <c r="AY351" s="5002" t="str">
        <f t="shared" si="55"/>
        <v>NOT ACTIVE</v>
      </c>
      <c r="AZ351" s="5011"/>
      <c r="BA351" s="4938"/>
      <c r="BB351" s="5012"/>
      <c r="BC351" s="5013"/>
      <c r="BD351" s="5014"/>
      <c r="BF351" s="845">
        <f t="shared" ca="1" si="47"/>
        <v>0</v>
      </c>
      <c r="BG351" s="1377"/>
    </row>
    <row r="352" spans="1:59" s="686" customFormat="1" ht="14.25" customHeight="1">
      <c r="A352" s="1484">
        <f t="shared" si="56"/>
        <v>286</v>
      </c>
      <c r="B352" s="4983"/>
      <c r="C352" s="4983"/>
      <c r="D352" s="4984"/>
      <c r="E352" s="4985"/>
      <c r="F352" s="4986"/>
      <c r="G352" s="4987"/>
      <c r="H352" s="4988"/>
      <c r="I352" s="4989"/>
      <c r="J352" s="4990" t="str">
        <f>IFERROR(VLOOKUP(I352,dropdowns!$E$45:$I$56,2,FALSE)," ")</f>
        <v xml:space="preserve"> </v>
      </c>
      <c r="K352" s="4991"/>
      <c r="L352" s="4992" t="str">
        <f>IFERROR(VLOOKUP(K352,dropdowns!$G$45:$H$56,2,FALSE)," ")</f>
        <v xml:space="preserve"> </v>
      </c>
      <c r="M352" s="4993"/>
      <c r="N352" s="4994"/>
      <c r="O352" s="4995"/>
      <c r="P352" s="4996"/>
      <c r="Q352" s="3914"/>
      <c r="R352" s="4997"/>
      <c r="S352" s="4998"/>
      <c r="T352" s="4939"/>
      <c r="U352" s="4938"/>
      <c r="V352" s="4938"/>
      <c r="W352" s="4937"/>
      <c r="X352" s="4999" t="str">
        <f t="shared" si="53"/>
        <v>NOT ACTIVE</v>
      </c>
      <c r="Y352" s="5000"/>
      <c r="Z352" s="5001"/>
      <c r="AA352" s="4998"/>
      <c r="AB352" s="4939"/>
      <c r="AC352" s="4938"/>
      <c r="AD352" s="4938"/>
      <c r="AE352" s="4938"/>
      <c r="AF352" s="5002" t="str">
        <f t="shared" si="54"/>
        <v>NOT ACTIVE</v>
      </c>
      <c r="AG352" s="5003"/>
      <c r="AH352" s="4940"/>
      <c r="AI352" s="4939"/>
      <c r="AJ352" s="4938"/>
      <c r="AK352" s="4938"/>
      <c r="AL352" s="5004"/>
      <c r="AM352" s="5005"/>
      <c r="AN352" s="5006"/>
      <c r="AO352" s="5007"/>
      <c r="AP352" s="5008"/>
      <c r="AQ352" s="5009"/>
      <c r="AR352" s="4939"/>
      <c r="AS352" s="5003"/>
      <c r="AT352" s="4998"/>
      <c r="AU352" s="5010"/>
      <c r="AV352" s="5003"/>
      <c r="AW352" s="4998"/>
      <c r="AX352" s="4939"/>
      <c r="AY352" s="5002" t="str">
        <f t="shared" si="55"/>
        <v>NOT ACTIVE</v>
      </c>
      <c r="AZ352" s="5011"/>
      <c r="BA352" s="4938"/>
      <c r="BB352" s="5012"/>
      <c r="BC352" s="5013"/>
      <c r="BD352" s="5014"/>
      <c r="BF352" s="845">
        <f t="shared" ca="1" si="47"/>
        <v>0</v>
      </c>
      <c r="BG352" s="1377"/>
    </row>
    <row r="353" spans="1:59" s="686" customFormat="1" ht="14.25" customHeight="1">
      <c r="A353" s="1484">
        <f t="shared" si="56"/>
        <v>287</v>
      </c>
      <c r="B353" s="4983"/>
      <c r="C353" s="4983"/>
      <c r="D353" s="4984"/>
      <c r="E353" s="4985"/>
      <c r="F353" s="4986"/>
      <c r="G353" s="4987"/>
      <c r="H353" s="4988"/>
      <c r="I353" s="4989"/>
      <c r="J353" s="4990" t="str">
        <f>IFERROR(VLOOKUP(I353,dropdowns!$E$45:$I$56,2,FALSE)," ")</f>
        <v xml:space="preserve"> </v>
      </c>
      <c r="K353" s="4991"/>
      <c r="L353" s="4992" t="str">
        <f>IFERROR(VLOOKUP(K353,dropdowns!$G$45:$H$56,2,FALSE)," ")</f>
        <v xml:space="preserve"> </v>
      </c>
      <c r="M353" s="4993"/>
      <c r="N353" s="4994"/>
      <c r="O353" s="4995"/>
      <c r="P353" s="4996"/>
      <c r="Q353" s="3914"/>
      <c r="R353" s="4997"/>
      <c r="S353" s="4998"/>
      <c r="T353" s="4939"/>
      <c r="U353" s="4938"/>
      <c r="V353" s="4938"/>
      <c r="W353" s="4937"/>
      <c r="X353" s="4999" t="str">
        <f t="shared" si="53"/>
        <v>NOT ACTIVE</v>
      </c>
      <c r="Y353" s="5000"/>
      <c r="Z353" s="5001"/>
      <c r="AA353" s="4998"/>
      <c r="AB353" s="4939"/>
      <c r="AC353" s="4938"/>
      <c r="AD353" s="4938"/>
      <c r="AE353" s="4938"/>
      <c r="AF353" s="5002" t="str">
        <f t="shared" si="54"/>
        <v>NOT ACTIVE</v>
      </c>
      <c r="AG353" s="5003"/>
      <c r="AH353" s="4940"/>
      <c r="AI353" s="4939"/>
      <c r="AJ353" s="4938"/>
      <c r="AK353" s="4938"/>
      <c r="AL353" s="5004"/>
      <c r="AM353" s="5005"/>
      <c r="AN353" s="5006"/>
      <c r="AO353" s="5007"/>
      <c r="AP353" s="5008"/>
      <c r="AQ353" s="5009"/>
      <c r="AR353" s="4939"/>
      <c r="AS353" s="5003"/>
      <c r="AT353" s="4998"/>
      <c r="AU353" s="5010"/>
      <c r="AV353" s="5003"/>
      <c r="AW353" s="4998"/>
      <c r="AX353" s="4939"/>
      <c r="AY353" s="5002" t="str">
        <f t="shared" si="55"/>
        <v>NOT ACTIVE</v>
      </c>
      <c r="AZ353" s="5011"/>
      <c r="BA353" s="4938"/>
      <c r="BB353" s="5012"/>
      <c r="BC353" s="5013"/>
      <c r="BD353" s="5014"/>
      <c r="BF353" s="845">
        <f t="shared" ca="1" si="47"/>
        <v>0</v>
      </c>
      <c r="BG353" s="1377"/>
    </row>
    <row r="354" spans="1:59" s="686" customFormat="1" ht="14.25" customHeight="1">
      <c r="A354" s="1484">
        <f t="shared" si="56"/>
        <v>288</v>
      </c>
      <c r="B354" s="4983"/>
      <c r="C354" s="4983"/>
      <c r="D354" s="4984"/>
      <c r="E354" s="4985"/>
      <c r="F354" s="4986"/>
      <c r="G354" s="4987"/>
      <c r="H354" s="4988"/>
      <c r="I354" s="4989"/>
      <c r="J354" s="4990" t="str">
        <f>IFERROR(VLOOKUP(I354,dropdowns!$E$45:$I$56,2,FALSE)," ")</f>
        <v xml:space="preserve"> </v>
      </c>
      <c r="K354" s="4991"/>
      <c r="L354" s="4992" t="str">
        <f>IFERROR(VLOOKUP(K354,dropdowns!$G$45:$H$56,2,FALSE)," ")</f>
        <v xml:space="preserve"> </v>
      </c>
      <c r="M354" s="4993"/>
      <c r="N354" s="4994"/>
      <c r="O354" s="4995"/>
      <c r="P354" s="4996"/>
      <c r="Q354" s="3914"/>
      <c r="R354" s="4997"/>
      <c r="S354" s="4998"/>
      <c r="T354" s="4939"/>
      <c r="U354" s="4938"/>
      <c r="V354" s="4938"/>
      <c r="W354" s="4937"/>
      <c r="X354" s="4999" t="str">
        <f t="shared" si="53"/>
        <v>NOT ACTIVE</v>
      </c>
      <c r="Y354" s="5000"/>
      <c r="Z354" s="5001"/>
      <c r="AA354" s="4998"/>
      <c r="AB354" s="4939"/>
      <c r="AC354" s="4938"/>
      <c r="AD354" s="4938"/>
      <c r="AE354" s="4938"/>
      <c r="AF354" s="5002" t="str">
        <f t="shared" si="54"/>
        <v>NOT ACTIVE</v>
      </c>
      <c r="AG354" s="5003"/>
      <c r="AH354" s="4940"/>
      <c r="AI354" s="4939"/>
      <c r="AJ354" s="4938"/>
      <c r="AK354" s="4938"/>
      <c r="AL354" s="5004"/>
      <c r="AM354" s="5005"/>
      <c r="AN354" s="5006"/>
      <c r="AO354" s="5007"/>
      <c r="AP354" s="5008"/>
      <c r="AQ354" s="5009"/>
      <c r="AR354" s="4939"/>
      <c r="AS354" s="5003"/>
      <c r="AT354" s="4998"/>
      <c r="AU354" s="5010"/>
      <c r="AV354" s="5003"/>
      <c r="AW354" s="4998"/>
      <c r="AX354" s="4939"/>
      <c r="AY354" s="5002" t="str">
        <f t="shared" si="55"/>
        <v>NOT ACTIVE</v>
      </c>
      <c r="AZ354" s="5011"/>
      <c r="BA354" s="4938"/>
      <c r="BB354" s="5012"/>
      <c r="BC354" s="5013"/>
      <c r="BD354" s="5014"/>
      <c r="BF354" s="845">
        <f t="shared" ca="1" si="47"/>
        <v>0</v>
      </c>
      <c r="BG354" s="1377"/>
    </row>
    <row r="355" spans="1:59" s="686" customFormat="1" ht="14.25" customHeight="1">
      <c r="A355" s="1484">
        <f t="shared" si="56"/>
        <v>289</v>
      </c>
      <c r="B355" s="4983"/>
      <c r="C355" s="4983"/>
      <c r="D355" s="4984"/>
      <c r="E355" s="4985"/>
      <c r="F355" s="4986"/>
      <c r="G355" s="4987"/>
      <c r="H355" s="4988"/>
      <c r="I355" s="4989"/>
      <c r="J355" s="4990" t="str">
        <f>IFERROR(VLOOKUP(I355,dropdowns!$E$45:$I$56,2,FALSE)," ")</f>
        <v xml:space="preserve"> </v>
      </c>
      <c r="K355" s="4991"/>
      <c r="L355" s="4992" t="str">
        <f>IFERROR(VLOOKUP(K355,dropdowns!$G$45:$H$56,2,FALSE)," ")</f>
        <v xml:space="preserve"> </v>
      </c>
      <c r="M355" s="4993"/>
      <c r="N355" s="4994"/>
      <c r="O355" s="4995"/>
      <c r="P355" s="4996"/>
      <c r="Q355" s="3914"/>
      <c r="R355" s="4997"/>
      <c r="S355" s="4998"/>
      <c r="T355" s="4939"/>
      <c r="U355" s="4938"/>
      <c r="V355" s="4938"/>
      <c r="W355" s="4937"/>
      <c r="X355" s="4999" t="str">
        <f t="shared" si="53"/>
        <v>NOT ACTIVE</v>
      </c>
      <c r="Y355" s="5000"/>
      <c r="Z355" s="5001"/>
      <c r="AA355" s="4998"/>
      <c r="AB355" s="4939"/>
      <c r="AC355" s="4938"/>
      <c r="AD355" s="4938"/>
      <c r="AE355" s="4938"/>
      <c r="AF355" s="5002" t="str">
        <f t="shared" si="54"/>
        <v>NOT ACTIVE</v>
      </c>
      <c r="AG355" s="5003"/>
      <c r="AH355" s="4940"/>
      <c r="AI355" s="4939"/>
      <c r="AJ355" s="4938"/>
      <c r="AK355" s="4938"/>
      <c r="AL355" s="5004"/>
      <c r="AM355" s="5005"/>
      <c r="AN355" s="5006"/>
      <c r="AO355" s="5007"/>
      <c r="AP355" s="5008"/>
      <c r="AQ355" s="5009"/>
      <c r="AR355" s="4939"/>
      <c r="AS355" s="5003"/>
      <c r="AT355" s="4998"/>
      <c r="AU355" s="5010"/>
      <c r="AV355" s="5003"/>
      <c r="AW355" s="4998"/>
      <c r="AX355" s="4939"/>
      <c r="AY355" s="5002" t="str">
        <f t="shared" si="55"/>
        <v>NOT ACTIVE</v>
      </c>
      <c r="AZ355" s="5011"/>
      <c r="BA355" s="4938"/>
      <c r="BB355" s="5012"/>
      <c r="BC355" s="5013"/>
      <c r="BD355" s="5014"/>
      <c r="BF355" s="845">
        <f t="shared" ca="1" si="47"/>
        <v>0</v>
      </c>
      <c r="BG355" s="1377"/>
    </row>
    <row r="356" spans="1:59" s="686" customFormat="1" ht="14.25" customHeight="1">
      <c r="A356" s="1484">
        <f t="shared" si="56"/>
        <v>290</v>
      </c>
      <c r="B356" s="4983"/>
      <c r="C356" s="4983"/>
      <c r="D356" s="4984"/>
      <c r="E356" s="4985"/>
      <c r="F356" s="4986"/>
      <c r="G356" s="4987"/>
      <c r="H356" s="4988"/>
      <c r="I356" s="4989"/>
      <c r="J356" s="4990" t="str">
        <f>IFERROR(VLOOKUP(I356,dropdowns!$E$45:$I$56,2,FALSE)," ")</f>
        <v xml:space="preserve"> </v>
      </c>
      <c r="K356" s="4991"/>
      <c r="L356" s="4992" t="str">
        <f>IFERROR(VLOOKUP(K356,dropdowns!$G$45:$H$56,2,FALSE)," ")</f>
        <v xml:space="preserve"> </v>
      </c>
      <c r="M356" s="4993"/>
      <c r="N356" s="4994"/>
      <c r="O356" s="4995"/>
      <c r="P356" s="4996"/>
      <c r="Q356" s="3914"/>
      <c r="R356" s="4997"/>
      <c r="S356" s="4998"/>
      <c r="T356" s="4939"/>
      <c r="U356" s="4938"/>
      <c r="V356" s="4938"/>
      <c r="W356" s="4937"/>
      <c r="X356" s="4999" t="str">
        <f t="shared" si="53"/>
        <v>NOT ACTIVE</v>
      </c>
      <c r="Y356" s="5000"/>
      <c r="Z356" s="5001"/>
      <c r="AA356" s="4998"/>
      <c r="AB356" s="4939"/>
      <c r="AC356" s="4938"/>
      <c r="AD356" s="4938"/>
      <c r="AE356" s="4938"/>
      <c r="AF356" s="5002" t="str">
        <f t="shared" si="54"/>
        <v>NOT ACTIVE</v>
      </c>
      <c r="AG356" s="5003"/>
      <c r="AH356" s="4940"/>
      <c r="AI356" s="4939"/>
      <c r="AJ356" s="4938"/>
      <c r="AK356" s="4938"/>
      <c r="AL356" s="5004"/>
      <c r="AM356" s="5005"/>
      <c r="AN356" s="5006"/>
      <c r="AO356" s="5007"/>
      <c r="AP356" s="5008"/>
      <c r="AQ356" s="5009"/>
      <c r="AR356" s="4939"/>
      <c r="AS356" s="5003"/>
      <c r="AT356" s="4998"/>
      <c r="AU356" s="5010"/>
      <c r="AV356" s="5003"/>
      <c r="AW356" s="4998"/>
      <c r="AX356" s="4939"/>
      <c r="AY356" s="5002" t="str">
        <f t="shared" si="55"/>
        <v>NOT ACTIVE</v>
      </c>
      <c r="AZ356" s="5011"/>
      <c r="BA356" s="4938"/>
      <c r="BB356" s="5012"/>
      <c r="BC356" s="5013"/>
      <c r="BD356" s="5014"/>
      <c r="BF356" s="845">
        <f t="shared" ca="1" si="47"/>
        <v>0</v>
      </c>
      <c r="BG356" s="1377"/>
    </row>
    <row r="357" spans="1:59" s="686" customFormat="1" ht="14.25" customHeight="1">
      <c r="A357" s="1484">
        <f t="shared" si="56"/>
        <v>291</v>
      </c>
      <c r="B357" s="4983"/>
      <c r="C357" s="4983"/>
      <c r="D357" s="4984"/>
      <c r="E357" s="4985"/>
      <c r="F357" s="4986"/>
      <c r="G357" s="4987"/>
      <c r="H357" s="4988"/>
      <c r="I357" s="4989"/>
      <c r="J357" s="4990" t="str">
        <f>IFERROR(VLOOKUP(I357,dropdowns!$E$45:$I$56,2,FALSE)," ")</f>
        <v xml:space="preserve"> </v>
      </c>
      <c r="K357" s="4991"/>
      <c r="L357" s="4992" t="str">
        <f>IFERROR(VLOOKUP(K357,dropdowns!$G$45:$H$56,2,FALSE)," ")</f>
        <v xml:space="preserve"> </v>
      </c>
      <c r="M357" s="4993"/>
      <c r="N357" s="4994"/>
      <c r="O357" s="4995"/>
      <c r="P357" s="4996"/>
      <c r="Q357" s="3914"/>
      <c r="R357" s="4997"/>
      <c r="S357" s="4998"/>
      <c r="T357" s="4939"/>
      <c r="U357" s="4938"/>
      <c r="V357" s="4938"/>
      <c r="W357" s="4937"/>
      <c r="X357" s="4999" t="str">
        <f t="shared" si="53"/>
        <v>NOT ACTIVE</v>
      </c>
      <c r="Y357" s="5000"/>
      <c r="Z357" s="5001"/>
      <c r="AA357" s="4998"/>
      <c r="AB357" s="4939"/>
      <c r="AC357" s="4938"/>
      <c r="AD357" s="4938"/>
      <c r="AE357" s="4938"/>
      <c r="AF357" s="5002" t="str">
        <f t="shared" si="54"/>
        <v>NOT ACTIVE</v>
      </c>
      <c r="AG357" s="5003"/>
      <c r="AH357" s="4940"/>
      <c r="AI357" s="4939"/>
      <c r="AJ357" s="4938"/>
      <c r="AK357" s="4938"/>
      <c r="AL357" s="5004"/>
      <c r="AM357" s="5005"/>
      <c r="AN357" s="5006"/>
      <c r="AO357" s="5007"/>
      <c r="AP357" s="5008"/>
      <c r="AQ357" s="5009"/>
      <c r="AR357" s="4939"/>
      <c r="AS357" s="5003"/>
      <c r="AT357" s="4998"/>
      <c r="AU357" s="5010"/>
      <c r="AV357" s="5003"/>
      <c r="AW357" s="4998"/>
      <c r="AX357" s="4939"/>
      <c r="AY357" s="5002" t="str">
        <f t="shared" si="55"/>
        <v>NOT ACTIVE</v>
      </c>
      <c r="AZ357" s="5011"/>
      <c r="BA357" s="4938"/>
      <c r="BB357" s="5012"/>
      <c r="BC357" s="5013"/>
      <c r="BD357" s="5014"/>
      <c r="BF357" s="5015">
        <f t="shared" ref="BF357:BF367" ca="1" si="57">IF(BA357="PENDING",TODAY()-AM357,0)</f>
        <v>0</v>
      </c>
      <c r="BG357" s="1377"/>
    </row>
    <row r="358" spans="1:59" s="686" customFormat="1" ht="14.25" customHeight="1">
      <c r="A358" s="1484">
        <f t="shared" si="56"/>
        <v>292</v>
      </c>
      <c r="B358" s="4983"/>
      <c r="C358" s="4983"/>
      <c r="D358" s="4984"/>
      <c r="E358" s="4985"/>
      <c r="F358" s="4986"/>
      <c r="G358" s="4987"/>
      <c r="H358" s="4988"/>
      <c r="I358" s="4989"/>
      <c r="J358" s="4990" t="str">
        <f>IFERROR(VLOOKUP(I358,dropdowns!$E$45:$I$56,2,FALSE)," ")</f>
        <v xml:space="preserve"> </v>
      </c>
      <c r="K358" s="4991"/>
      <c r="L358" s="4992" t="str">
        <f>IFERROR(VLOOKUP(K358,dropdowns!$G$45:$H$56,2,FALSE)," ")</f>
        <v xml:space="preserve"> </v>
      </c>
      <c r="M358" s="4993"/>
      <c r="N358" s="4994"/>
      <c r="O358" s="4995"/>
      <c r="P358" s="4996"/>
      <c r="Q358" s="3914"/>
      <c r="R358" s="4997"/>
      <c r="S358" s="4998"/>
      <c r="T358" s="4939"/>
      <c r="U358" s="4938"/>
      <c r="V358" s="4938"/>
      <c r="W358" s="4937"/>
      <c r="X358" s="4999" t="str">
        <f t="shared" si="53"/>
        <v>NOT ACTIVE</v>
      </c>
      <c r="Y358" s="5000"/>
      <c r="Z358" s="5001"/>
      <c r="AA358" s="4998"/>
      <c r="AB358" s="4939"/>
      <c r="AC358" s="4938"/>
      <c r="AD358" s="4938"/>
      <c r="AE358" s="4938"/>
      <c r="AF358" s="5002" t="str">
        <f t="shared" si="54"/>
        <v>NOT ACTIVE</v>
      </c>
      <c r="AG358" s="5003"/>
      <c r="AH358" s="4940"/>
      <c r="AI358" s="4939"/>
      <c r="AJ358" s="4938"/>
      <c r="AK358" s="4938"/>
      <c r="AL358" s="5004"/>
      <c r="AM358" s="5005"/>
      <c r="AN358" s="5006"/>
      <c r="AO358" s="5007"/>
      <c r="AP358" s="5008"/>
      <c r="AQ358" s="5009"/>
      <c r="AR358" s="4939"/>
      <c r="AS358" s="5003"/>
      <c r="AT358" s="4998"/>
      <c r="AU358" s="5010"/>
      <c r="AV358" s="5003"/>
      <c r="AW358" s="4998"/>
      <c r="AX358" s="4939"/>
      <c r="AY358" s="5002" t="str">
        <f t="shared" si="55"/>
        <v>NOT ACTIVE</v>
      </c>
      <c r="AZ358" s="5011"/>
      <c r="BA358" s="4938"/>
      <c r="BB358" s="5012"/>
      <c r="BC358" s="5013"/>
      <c r="BD358" s="5014"/>
      <c r="BF358" s="5015">
        <f t="shared" ca="1" si="57"/>
        <v>0</v>
      </c>
      <c r="BG358" s="1377"/>
    </row>
    <row r="359" spans="1:59" s="686" customFormat="1" ht="14.25" customHeight="1">
      <c r="A359" s="1484">
        <f t="shared" si="56"/>
        <v>293</v>
      </c>
      <c r="B359" s="4983"/>
      <c r="C359" s="4983"/>
      <c r="D359" s="4984"/>
      <c r="E359" s="4985"/>
      <c r="F359" s="4986"/>
      <c r="G359" s="4987"/>
      <c r="H359" s="4988"/>
      <c r="I359" s="4989"/>
      <c r="J359" s="4990" t="str">
        <f>IFERROR(VLOOKUP(I359,dropdowns!$E$45:$I$56,2,FALSE)," ")</f>
        <v xml:space="preserve"> </v>
      </c>
      <c r="K359" s="4991"/>
      <c r="L359" s="4992" t="str">
        <f>IFERROR(VLOOKUP(K359,dropdowns!$G$45:$H$56,2,FALSE)," ")</f>
        <v xml:space="preserve"> </v>
      </c>
      <c r="M359" s="4993"/>
      <c r="N359" s="4994"/>
      <c r="O359" s="4995"/>
      <c r="P359" s="4996"/>
      <c r="Q359" s="3914"/>
      <c r="R359" s="4997"/>
      <c r="S359" s="4998"/>
      <c r="T359" s="4939"/>
      <c r="U359" s="4938"/>
      <c r="V359" s="4938"/>
      <c r="W359" s="4937"/>
      <c r="X359" s="4999" t="str">
        <f t="shared" si="53"/>
        <v>NOT ACTIVE</v>
      </c>
      <c r="Y359" s="5000"/>
      <c r="Z359" s="5001"/>
      <c r="AA359" s="4998"/>
      <c r="AB359" s="4939"/>
      <c r="AC359" s="4938"/>
      <c r="AD359" s="4938"/>
      <c r="AE359" s="4938"/>
      <c r="AF359" s="5002" t="str">
        <f t="shared" si="54"/>
        <v>NOT ACTIVE</v>
      </c>
      <c r="AG359" s="5003"/>
      <c r="AH359" s="4940"/>
      <c r="AI359" s="4939"/>
      <c r="AJ359" s="4938"/>
      <c r="AK359" s="4938"/>
      <c r="AL359" s="5004"/>
      <c r="AM359" s="5005"/>
      <c r="AN359" s="5006"/>
      <c r="AO359" s="5007"/>
      <c r="AP359" s="5008"/>
      <c r="AQ359" s="5009"/>
      <c r="AR359" s="4939"/>
      <c r="AS359" s="5003"/>
      <c r="AT359" s="4998"/>
      <c r="AU359" s="5010"/>
      <c r="AV359" s="5003"/>
      <c r="AW359" s="4998"/>
      <c r="AX359" s="4939"/>
      <c r="AY359" s="5002" t="str">
        <f t="shared" si="55"/>
        <v>NOT ACTIVE</v>
      </c>
      <c r="AZ359" s="5011"/>
      <c r="BA359" s="4938"/>
      <c r="BB359" s="5012"/>
      <c r="BC359" s="5013"/>
      <c r="BD359" s="5014"/>
      <c r="BF359" s="5015">
        <f t="shared" ca="1" si="57"/>
        <v>0</v>
      </c>
      <c r="BG359" s="1377"/>
    </row>
    <row r="360" spans="1:59" s="686" customFormat="1" ht="14.25" customHeight="1">
      <c r="A360" s="1484">
        <f t="shared" si="56"/>
        <v>294</v>
      </c>
      <c r="B360" s="4983"/>
      <c r="C360" s="4983"/>
      <c r="D360" s="4984"/>
      <c r="E360" s="4985"/>
      <c r="F360" s="4986"/>
      <c r="G360" s="4987"/>
      <c r="H360" s="4988"/>
      <c r="I360" s="4989"/>
      <c r="J360" s="4990" t="str">
        <f>IFERROR(VLOOKUP(I360,dropdowns!$E$45:$I$56,2,FALSE)," ")</f>
        <v xml:space="preserve"> </v>
      </c>
      <c r="K360" s="4991"/>
      <c r="L360" s="4992" t="str">
        <f>IFERROR(VLOOKUP(K360,dropdowns!$G$45:$H$56,2,FALSE)," ")</f>
        <v xml:space="preserve"> </v>
      </c>
      <c r="M360" s="4993"/>
      <c r="N360" s="4994"/>
      <c r="O360" s="4995"/>
      <c r="P360" s="4996"/>
      <c r="Q360" s="3914"/>
      <c r="R360" s="4997"/>
      <c r="S360" s="4998"/>
      <c r="T360" s="4939"/>
      <c r="U360" s="4938"/>
      <c r="V360" s="4938"/>
      <c r="W360" s="4937"/>
      <c r="X360" s="4999" t="str">
        <f t="shared" si="53"/>
        <v>NOT ACTIVE</v>
      </c>
      <c r="Y360" s="5000"/>
      <c r="Z360" s="5001"/>
      <c r="AA360" s="4998"/>
      <c r="AB360" s="4939"/>
      <c r="AC360" s="4938"/>
      <c r="AD360" s="4938"/>
      <c r="AE360" s="4938"/>
      <c r="AF360" s="5002" t="str">
        <f t="shared" si="54"/>
        <v>NOT ACTIVE</v>
      </c>
      <c r="AG360" s="5003"/>
      <c r="AH360" s="4940"/>
      <c r="AI360" s="4939"/>
      <c r="AJ360" s="4938"/>
      <c r="AK360" s="4938"/>
      <c r="AL360" s="5004"/>
      <c r="AM360" s="5005"/>
      <c r="AN360" s="5006"/>
      <c r="AO360" s="5007"/>
      <c r="AP360" s="5008"/>
      <c r="AQ360" s="5009"/>
      <c r="AR360" s="4939"/>
      <c r="AS360" s="5003"/>
      <c r="AT360" s="4998"/>
      <c r="AU360" s="5010"/>
      <c r="AV360" s="5003"/>
      <c r="AW360" s="4998"/>
      <c r="AX360" s="4939"/>
      <c r="AY360" s="5002" t="str">
        <f t="shared" si="55"/>
        <v>NOT ACTIVE</v>
      </c>
      <c r="AZ360" s="5011"/>
      <c r="BA360" s="4938"/>
      <c r="BB360" s="5012"/>
      <c r="BC360" s="5013"/>
      <c r="BD360" s="5014"/>
      <c r="BF360" s="5015">
        <f t="shared" ca="1" si="57"/>
        <v>0</v>
      </c>
      <c r="BG360" s="1377"/>
    </row>
    <row r="361" spans="1:59" s="686" customFormat="1" ht="14.25" customHeight="1">
      <c r="A361" s="1484">
        <f t="shared" si="56"/>
        <v>295</v>
      </c>
      <c r="B361" s="4983"/>
      <c r="C361" s="4983"/>
      <c r="D361" s="4984"/>
      <c r="E361" s="4985"/>
      <c r="F361" s="4986"/>
      <c r="G361" s="4987"/>
      <c r="H361" s="4988"/>
      <c r="I361" s="4989"/>
      <c r="J361" s="4990" t="str">
        <f>IFERROR(VLOOKUP(I361,dropdowns!$E$45:$I$56,2,FALSE)," ")</f>
        <v xml:space="preserve"> </v>
      </c>
      <c r="K361" s="4991"/>
      <c r="L361" s="4992" t="str">
        <f>IFERROR(VLOOKUP(K361,dropdowns!$G$45:$H$56,2,FALSE)," ")</f>
        <v xml:space="preserve"> </v>
      </c>
      <c r="M361" s="4993"/>
      <c r="N361" s="4994"/>
      <c r="O361" s="4995"/>
      <c r="P361" s="4996"/>
      <c r="Q361" s="3914"/>
      <c r="R361" s="4997"/>
      <c r="S361" s="4998"/>
      <c r="T361" s="4939"/>
      <c r="U361" s="4938"/>
      <c r="V361" s="4938"/>
      <c r="W361" s="4937"/>
      <c r="X361" s="4999" t="str">
        <f t="shared" si="53"/>
        <v>NOT ACTIVE</v>
      </c>
      <c r="Y361" s="5000"/>
      <c r="Z361" s="5001"/>
      <c r="AA361" s="4998"/>
      <c r="AB361" s="4939"/>
      <c r="AC361" s="4938"/>
      <c r="AD361" s="4938"/>
      <c r="AE361" s="4938"/>
      <c r="AF361" s="5002" t="str">
        <f t="shared" si="54"/>
        <v>NOT ACTIVE</v>
      </c>
      <c r="AG361" s="5003"/>
      <c r="AH361" s="4940"/>
      <c r="AI361" s="4939"/>
      <c r="AJ361" s="4938"/>
      <c r="AK361" s="4938"/>
      <c r="AL361" s="5004"/>
      <c r="AM361" s="5005"/>
      <c r="AN361" s="5006"/>
      <c r="AO361" s="5007"/>
      <c r="AP361" s="5008"/>
      <c r="AQ361" s="5009"/>
      <c r="AR361" s="4939"/>
      <c r="AS361" s="5003"/>
      <c r="AT361" s="4998"/>
      <c r="AU361" s="5010"/>
      <c r="AV361" s="5003"/>
      <c r="AW361" s="4998"/>
      <c r="AX361" s="4939"/>
      <c r="AY361" s="5002" t="str">
        <f t="shared" si="55"/>
        <v>NOT ACTIVE</v>
      </c>
      <c r="AZ361" s="5011"/>
      <c r="BA361" s="4938"/>
      <c r="BB361" s="5012"/>
      <c r="BC361" s="5013"/>
      <c r="BD361" s="5014"/>
      <c r="BF361" s="5015">
        <f t="shared" ca="1" si="57"/>
        <v>0</v>
      </c>
      <c r="BG361" s="1377"/>
    </row>
    <row r="362" spans="1:59" s="686" customFormat="1" ht="14.25" customHeight="1">
      <c r="A362" s="1484">
        <f t="shared" si="56"/>
        <v>296</v>
      </c>
      <c r="B362" s="4983"/>
      <c r="C362" s="4983"/>
      <c r="D362" s="4984"/>
      <c r="E362" s="4985"/>
      <c r="F362" s="4986"/>
      <c r="G362" s="4987"/>
      <c r="H362" s="4988"/>
      <c r="I362" s="4989"/>
      <c r="J362" s="4990" t="str">
        <f>IFERROR(VLOOKUP(I362,dropdowns!$E$45:$I$56,2,FALSE)," ")</f>
        <v xml:space="preserve"> </v>
      </c>
      <c r="K362" s="4991"/>
      <c r="L362" s="4992" t="str">
        <f>IFERROR(VLOOKUP(K362,dropdowns!$G$45:$H$56,2,FALSE)," ")</f>
        <v xml:space="preserve"> </v>
      </c>
      <c r="M362" s="4993"/>
      <c r="N362" s="4994"/>
      <c r="O362" s="4995"/>
      <c r="P362" s="4996"/>
      <c r="Q362" s="3914"/>
      <c r="R362" s="4997"/>
      <c r="S362" s="4998"/>
      <c r="T362" s="4939"/>
      <c r="U362" s="4938"/>
      <c r="V362" s="4938"/>
      <c r="W362" s="4937"/>
      <c r="X362" s="4999" t="str">
        <f t="shared" si="53"/>
        <v>NOT ACTIVE</v>
      </c>
      <c r="Y362" s="5000"/>
      <c r="Z362" s="5001"/>
      <c r="AA362" s="4998"/>
      <c r="AB362" s="4939"/>
      <c r="AC362" s="4938"/>
      <c r="AD362" s="4938"/>
      <c r="AE362" s="4938"/>
      <c r="AF362" s="5002" t="str">
        <f t="shared" si="54"/>
        <v>NOT ACTIVE</v>
      </c>
      <c r="AG362" s="5003"/>
      <c r="AH362" s="4940"/>
      <c r="AI362" s="4939"/>
      <c r="AJ362" s="4938"/>
      <c r="AK362" s="4938"/>
      <c r="AL362" s="5004"/>
      <c r="AM362" s="5005"/>
      <c r="AN362" s="5006"/>
      <c r="AO362" s="5007"/>
      <c r="AP362" s="5008"/>
      <c r="AQ362" s="5009"/>
      <c r="AR362" s="4939"/>
      <c r="AS362" s="5003"/>
      <c r="AT362" s="4998"/>
      <c r="AU362" s="5010"/>
      <c r="AV362" s="5003"/>
      <c r="AW362" s="4998"/>
      <c r="AX362" s="4939"/>
      <c r="AY362" s="5002" t="str">
        <f t="shared" si="55"/>
        <v>NOT ACTIVE</v>
      </c>
      <c r="AZ362" s="5011"/>
      <c r="BA362" s="4938"/>
      <c r="BB362" s="5012"/>
      <c r="BC362" s="5013"/>
      <c r="BD362" s="5014"/>
      <c r="BF362" s="5015">
        <f t="shared" ca="1" si="57"/>
        <v>0</v>
      </c>
      <c r="BG362" s="1377"/>
    </row>
    <row r="363" spans="1:59" s="686" customFormat="1" ht="14.25" customHeight="1">
      <c r="A363" s="1484">
        <f t="shared" si="56"/>
        <v>297</v>
      </c>
      <c r="B363" s="4983"/>
      <c r="C363" s="4983"/>
      <c r="D363" s="4984"/>
      <c r="E363" s="4985"/>
      <c r="F363" s="4986"/>
      <c r="G363" s="4987"/>
      <c r="H363" s="4988"/>
      <c r="I363" s="4989"/>
      <c r="J363" s="4990" t="str">
        <f>IFERROR(VLOOKUP(I363,dropdowns!$E$45:$I$56,2,FALSE)," ")</f>
        <v xml:space="preserve"> </v>
      </c>
      <c r="K363" s="4991"/>
      <c r="L363" s="4992" t="str">
        <f>IFERROR(VLOOKUP(K363,dropdowns!$G$45:$H$56,2,FALSE)," ")</f>
        <v xml:space="preserve"> </v>
      </c>
      <c r="M363" s="4993"/>
      <c r="N363" s="4994"/>
      <c r="O363" s="4995"/>
      <c r="P363" s="4996"/>
      <c r="Q363" s="3914"/>
      <c r="R363" s="4997"/>
      <c r="S363" s="4998"/>
      <c r="T363" s="4939"/>
      <c r="U363" s="4938"/>
      <c r="V363" s="4938"/>
      <c r="W363" s="4937"/>
      <c r="X363" s="4999" t="str">
        <f t="shared" si="53"/>
        <v>NOT ACTIVE</v>
      </c>
      <c r="Y363" s="5000"/>
      <c r="Z363" s="5001"/>
      <c r="AA363" s="4998"/>
      <c r="AB363" s="4939"/>
      <c r="AC363" s="4938"/>
      <c r="AD363" s="4938"/>
      <c r="AE363" s="4938"/>
      <c r="AF363" s="5002" t="str">
        <f t="shared" si="54"/>
        <v>NOT ACTIVE</v>
      </c>
      <c r="AG363" s="5003"/>
      <c r="AH363" s="4940"/>
      <c r="AI363" s="4939"/>
      <c r="AJ363" s="4938"/>
      <c r="AK363" s="4938"/>
      <c r="AL363" s="5004"/>
      <c r="AM363" s="5005"/>
      <c r="AN363" s="5006"/>
      <c r="AO363" s="5007"/>
      <c r="AP363" s="5008"/>
      <c r="AQ363" s="5009"/>
      <c r="AR363" s="4939"/>
      <c r="AS363" s="5003"/>
      <c r="AT363" s="4998"/>
      <c r="AU363" s="5010"/>
      <c r="AV363" s="5003"/>
      <c r="AW363" s="4998"/>
      <c r="AX363" s="4939"/>
      <c r="AY363" s="5002" t="str">
        <f t="shared" si="55"/>
        <v>NOT ACTIVE</v>
      </c>
      <c r="AZ363" s="5011"/>
      <c r="BA363" s="4938"/>
      <c r="BB363" s="5012"/>
      <c r="BC363" s="5013"/>
      <c r="BD363" s="5014"/>
      <c r="BF363" s="5015">
        <f t="shared" ca="1" si="57"/>
        <v>0</v>
      </c>
      <c r="BG363" s="1377"/>
    </row>
    <row r="364" spans="1:59" s="686" customFormat="1" ht="14.25" customHeight="1">
      <c r="A364" s="1484">
        <f t="shared" si="56"/>
        <v>298</v>
      </c>
      <c r="B364" s="4983"/>
      <c r="C364" s="4983"/>
      <c r="D364" s="4984"/>
      <c r="E364" s="4985"/>
      <c r="F364" s="4986"/>
      <c r="G364" s="4987"/>
      <c r="H364" s="4988"/>
      <c r="I364" s="4989"/>
      <c r="J364" s="4990" t="str">
        <f>IFERROR(VLOOKUP(I364,dropdowns!$E$45:$I$56,2,FALSE)," ")</f>
        <v xml:space="preserve"> </v>
      </c>
      <c r="K364" s="4991"/>
      <c r="L364" s="4992" t="str">
        <f>IFERROR(VLOOKUP(K364,dropdowns!$G$45:$H$56,2,FALSE)," ")</f>
        <v xml:space="preserve"> </v>
      </c>
      <c r="M364" s="4993"/>
      <c r="N364" s="4994"/>
      <c r="O364" s="4995"/>
      <c r="P364" s="4996"/>
      <c r="Q364" s="3914"/>
      <c r="R364" s="4997"/>
      <c r="S364" s="4998"/>
      <c r="T364" s="4939"/>
      <c r="U364" s="4938"/>
      <c r="V364" s="4938"/>
      <c r="W364" s="4937"/>
      <c r="X364" s="4999" t="str">
        <f t="shared" si="53"/>
        <v>NOT ACTIVE</v>
      </c>
      <c r="Y364" s="5000"/>
      <c r="Z364" s="5001"/>
      <c r="AA364" s="4998"/>
      <c r="AB364" s="4939"/>
      <c r="AC364" s="4938"/>
      <c r="AD364" s="4938"/>
      <c r="AE364" s="4938"/>
      <c r="AF364" s="5002" t="str">
        <f t="shared" si="54"/>
        <v>NOT ACTIVE</v>
      </c>
      <c r="AG364" s="5003"/>
      <c r="AH364" s="4940"/>
      <c r="AI364" s="4939"/>
      <c r="AJ364" s="4938"/>
      <c r="AK364" s="4938"/>
      <c r="AL364" s="5004"/>
      <c r="AM364" s="5005"/>
      <c r="AN364" s="5006"/>
      <c r="AO364" s="5007"/>
      <c r="AP364" s="5008"/>
      <c r="AQ364" s="5009"/>
      <c r="AR364" s="4939"/>
      <c r="AS364" s="5003"/>
      <c r="AT364" s="4998"/>
      <c r="AU364" s="5010"/>
      <c r="AV364" s="5003"/>
      <c r="AW364" s="4998"/>
      <c r="AX364" s="4939"/>
      <c r="AY364" s="5002" t="str">
        <f t="shared" si="55"/>
        <v>NOT ACTIVE</v>
      </c>
      <c r="AZ364" s="5011"/>
      <c r="BA364" s="4938"/>
      <c r="BB364" s="5012"/>
      <c r="BC364" s="5013"/>
      <c r="BD364" s="5014"/>
      <c r="BF364" s="5015">
        <f t="shared" ca="1" si="57"/>
        <v>0</v>
      </c>
      <c r="BG364" s="1377"/>
    </row>
    <row r="365" spans="1:59" s="686" customFormat="1" ht="14.25" customHeight="1">
      <c r="A365" s="1484">
        <f t="shared" si="56"/>
        <v>299</v>
      </c>
      <c r="B365" s="4983"/>
      <c r="C365" s="4983"/>
      <c r="D365" s="4984"/>
      <c r="E365" s="4985"/>
      <c r="F365" s="4986"/>
      <c r="G365" s="4987"/>
      <c r="H365" s="4988"/>
      <c r="I365" s="4989"/>
      <c r="J365" s="4990" t="str">
        <f>IFERROR(VLOOKUP(I365,dropdowns!$E$45:$I$56,2,FALSE)," ")</f>
        <v xml:space="preserve"> </v>
      </c>
      <c r="K365" s="4991"/>
      <c r="L365" s="4992" t="str">
        <f>IFERROR(VLOOKUP(K365,dropdowns!$G$45:$H$56,2,FALSE)," ")</f>
        <v xml:space="preserve"> </v>
      </c>
      <c r="M365" s="4993"/>
      <c r="N365" s="4994"/>
      <c r="O365" s="4995"/>
      <c r="P365" s="4996"/>
      <c r="Q365" s="3914"/>
      <c r="R365" s="4997"/>
      <c r="S365" s="4998"/>
      <c r="T365" s="4939"/>
      <c r="U365" s="4938"/>
      <c r="V365" s="4938"/>
      <c r="W365" s="4937"/>
      <c r="X365" s="4999" t="str">
        <f t="shared" si="53"/>
        <v>NOT ACTIVE</v>
      </c>
      <c r="Y365" s="5000"/>
      <c r="Z365" s="5001"/>
      <c r="AA365" s="4998"/>
      <c r="AB365" s="4939"/>
      <c r="AC365" s="4938"/>
      <c r="AD365" s="4938"/>
      <c r="AE365" s="4938"/>
      <c r="AF365" s="5002" t="str">
        <f t="shared" si="54"/>
        <v>NOT ACTIVE</v>
      </c>
      <c r="AG365" s="5003"/>
      <c r="AH365" s="4940"/>
      <c r="AI365" s="4939"/>
      <c r="AJ365" s="4938"/>
      <c r="AK365" s="4938"/>
      <c r="AL365" s="5004"/>
      <c r="AM365" s="5005"/>
      <c r="AN365" s="5006"/>
      <c r="AO365" s="5007"/>
      <c r="AP365" s="5008"/>
      <c r="AQ365" s="5009"/>
      <c r="AR365" s="4939"/>
      <c r="AS365" s="5003"/>
      <c r="AT365" s="4998"/>
      <c r="AU365" s="5010"/>
      <c r="AV365" s="5003"/>
      <c r="AW365" s="4998"/>
      <c r="AX365" s="4939"/>
      <c r="AY365" s="5002" t="str">
        <f t="shared" si="55"/>
        <v>NOT ACTIVE</v>
      </c>
      <c r="AZ365" s="5011"/>
      <c r="BA365" s="4938"/>
      <c r="BB365" s="5012"/>
      <c r="BC365" s="5013"/>
      <c r="BD365" s="5014"/>
      <c r="BF365" s="5015">
        <f t="shared" ca="1" si="57"/>
        <v>0</v>
      </c>
      <c r="BG365" s="1377"/>
    </row>
    <row r="366" spans="1:59" s="686" customFormat="1" ht="14.25" customHeight="1">
      <c r="A366" s="1484">
        <f t="shared" si="56"/>
        <v>300</v>
      </c>
      <c r="B366" s="4983"/>
      <c r="C366" s="4983"/>
      <c r="D366" s="4984"/>
      <c r="E366" s="4985"/>
      <c r="F366" s="4986"/>
      <c r="G366" s="4987"/>
      <c r="H366" s="4988"/>
      <c r="I366" s="4989"/>
      <c r="J366" s="4990" t="str">
        <f>IFERROR(VLOOKUP(I366,dropdowns!$E$45:$I$56,2,FALSE)," ")</f>
        <v xml:space="preserve"> </v>
      </c>
      <c r="K366" s="4991"/>
      <c r="L366" s="4992" t="str">
        <f>IFERROR(VLOOKUP(K366,dropdowns!$G$45:$H$56,2,FALSE)," ")</f>
        <v xml:space="preserve"> </v>
      </c>
      <c r="M366" s="4993"/>
      <c r="N366" s="4994"/>
      <c r="O366" s="4995"/>
      <c r="P366" s="4996"/>
      <c r="Q366" s="3914"/>
      <c r="R366" s="4997"/>
      <c r="S366" s="4998"/>
      <c r="T366" s="4939"/>
      <c r="U366" s="4938"/>
      <c r="V366" s="4938"/>
      <c r="W366" s="4937"/>
      <c r="X366" s="4999" t="str">
        <f t="shared" si="53"/>
        <v>NOT ACTIVE</v>
      </c>
      <c r="Y366" s="5000"/>
      <c r="Z366" s="5001"/>
      <c r="AA366" s="4998"/>
      <c r="AB366" s="4939"/>
      <c r="AC366" s="4938"/>
      <c r="AD366" s="4938"/>
      <c r="AE366" s="4938"/>
      <c r="AF366" s="5002" t="str">
        <f t="shared" si="54"/>
        <v>NOT ACTIVE</v>
      </c>
      <c r="AG366" s="5003"/>
      <c r="AH366" s="4940"/>
      <c r="AI366" s="4939"/>
      <c r="AJ366" s="4938"/>
      <c r="AK366" s="4938"/>
      <c r="AL366" s="5004"/>
      <c r="AM366" s="5005"/>
      <c r="AN366" s="5006"/>
      <c r="AO366" s="5007"/>
      <c r="AP366" s="5008"/>
      <c r="AQ366" s="5009"/>
      <c r="AR366" s="4939"/>
      <c r="AS366" s="5003"/>
      <c r="AT366" s="4998"/>
      <c r="AU366" s="5010"/>
      <c r="AV366" s="5003"/>
      <c r="AW366" s="4998"/>
      <c r="AX366" s="4939"/>
      <c r="AY366" s="5002" t="str">
        <f t="shared" si="55"/>
        <v>NOT ACTIVE</v>
      </c>
      <c r="AZ366" s="5011"/>
      <c r="BA366" s="4938"/>
      <c r="BB366" s="5012"/>
      <c r="BC366" s="5013"/>
      <c r="BD366" s="5014"/>
      <c r="BF366" s="5015">
        <f t="shared" ca="1" si="57"/>
        <v>0</v>
      </c>
      <c r="BG366" s="1377"/>
    </row>
    <row r="367" spans="1:59" s="686" customFormat="1" ht="14.25" customHeight="1">
      <c r="A367" s="1484">
        <f t="shared" si="56"/>
        <v>301</v>
      </c>
      <c r="B367" s="4983"/>
      <c r="C367" s="4983"/>
      <c r="D367" s="4984"/>
      <c r="E367" s="4985"/>
      <c r="F367" s="4986"/>
      <c r="G367" s="4987"/>
      <c r="H367" s="4988"/>
      <c r="I367" s="4989"/>
      <c r="J367" s="4990" t="str">
        <f>IFERROR(VLOOKUP(I367,dropdowns!$E$45:$I$56,2,FALSE)," ")</f>
        <v xml:space="preserve"> </v>
      </c>
      <c r="K367" s="4991"/>
      <c r="L367" s="4992" t="str">
        <f>IFERROR(VLOOKUP(K367,dropdowns!$G$45:$H$56,2,FALSE)," ")</f>
        <v xml:space="preserve"> </v>
      </c>
      <c r="M367" s="4993"/>
      <c r="N367" s="4994"/>
      <c r="O367" s="4995"/>
      <c r="P367" s="4996"/>
      <c r="Q367" s="3914"/>
      <c r="R367" s="4997"/>
      <c r="S367" s="4998"/>
      <c r="T367" s="4939"/>
      <c r="U367" s="4938"/>
      <c r="V367" s="4938"/>
      <c r="W367" s="4937"/>
      <c r="X367" s="4999" t="str">
        <f t="shared" si="53"/>
        <v>NOT ACTIVE</v>
      </c>
      <c r="Y367" s="5000"/>
      <c r="Z367" s="5001"/>
      <c r="AA367" s="4998"/>
      <c r="AB367" s="4939"/>
      <c r="AC367" s="4938"/>
      <c r="AD367" s="4938"/>
      <c r="AE367" s="4938"/>
      <c r="AF367" s="5002" t="str">
        <f t="shared" si="54"/>
        <v>NOT ACTIVE</v>
      </c>
      <c r="AG367" s="5003"/>
      <c r="AH367" s="4940"/>
      <c r="AI367" s="4939"/>
      <c r="AJ367" s="4938"/>
      <c r="AK367" s="4938"/>
      <c r="AL367" s="5004"/>
      <c r="AM367" s="5005"/>
      <c r="AN367" s="5006"/>
      <c r="AO367" s="5007"/>
      <c r="AP367" s="5008"/>
      <c r="AQ367" s="5009"/>
      <c r="AR367" s="4939"/>
      <c r="AS367" s="5003"/>
      <c r="AT367" s="4998"/>
      <c r="AU367" s="5010"/>
      <c r="AV367" s="5003"/>
      <c r="AW367" s="4998"/>
      <c r="AX367" s="4939"/>
      <c r="AY367" s="5002" t="str">
        <f t="shared" si="55"/>
        <v>NOT ACTIVE</v>
      </c>
      <c r="AZ367" s="5011"/>
      <c r="BA367" s="4938"/>
      <c r="BB367" s="5012"/>
      <c r="BC367" s="5013"/>
      <c r="BD367" s="5014"/>
      <c r="BF367" s="5015">
        <f t="shared" ca="1" si="57"/>
        <v>0</v>
      </c>
      <c r="BG367" s="1377"/>
    </row>
    <row r="368" spans="1:59" s="686" customFormat="1" ht="14.25" customHeight="1">
      <c r="A368" s="4945"/>
      <c r="B368" s="4946"/>
      <c r="C368" s="4946"/>
      <c r="D368" s="4947"/>
      <c r="E368" s="4948"/>
      <c r="F368" s="4949"/>
      <c r="G368" s="4950"/>
      <c r="H368" s="4951"/>
      <c r="I368" s="4952"/>
      <c r="J368" s="4953"/>
      <c r="K368" s="4954"/>
      <c r="L368" s="4955"/>
      <c r="M368" s="4956"/>
      <c r="N368" s="4957"/>
      <c r="O368" s="4958"/>
      <c r="P368" s="4959"/>
      <c r="Q368" s="3914"/>
      <c r="R368" s="4960"/>
      <c r="S368" s="4961"/>
      <c r="T368" s="4962"/>
      <c r="U368" s="4963"/>
      <c r="V368" s="4963"/>
      <c r="W368" s="4964"/>
      <c r="X368" s="4965"/>
      <c r="Y368" s="4966"/>
      <c r="Z368" s="4967"/>
      <c r="AA368" s="4961"/>
      <c r="AB368" s="4962"/>
      <c r="AC368" s="4963"/>
      <c r="AD368" s="4963"/>
      <c r="AE368" s="4963"/>
      <c r="AF368" s="4968"/>
      <c r="AG368" s="4969"/>
      <c r="AH368" s="4970"/>
      <c r="AI368" s="4962"/>
      <c r="AJ368" s="4963"/>
      <c r="AK368" s="4963"/>
      <c r="AL368" s="4971"/>
      <c r="AM368" s="4972"/>
      <c r="AN368" s="4973"/>
      <c r="AO368" s="4974"/>
      <c r="AP368" s="4975"/>
      <c r="AQ368" s="4976"/>
      <c r="AR368" s="4962"/>
      <c r="AS368" s="4969"/>
      <c r="AT368" s="4961"/>
      <c r="AU368" s="4977"/>
      <c r="AV368" s="4969"/>
      <c r="AW368" s="4961"/>
      <c r="AX368" s="4962"/>
      <c r="AY368" s="4968"/>
      <c r="AZ368" s="4978"/>
      <c r="BA368" s="4963"/>
      <c r="BB368" s="4979"/>
      <c r="BC368" s="4980"/>
      <c r="BD368" s="4981"/>
      <c r="BF368" s="4982"/>
      <c r="BG368" s="1377"/>
    </row>
    <row r="369" spans="1:59" s="686" customFormat="1" ht="13.5" thickBot="1">
      <c r="A369" s="1489"/>
      <c r="B369" s="2598"/>
      <c r="C369" s="2598"/>
      <c r="D369" s="949"/>
      <c r="E369" s="950"/>
      <c r="F369" s="951"/>
      <c r="G369" s="1092"/>
      <c r="H369" s="950"/>
      <c r="I369" s="952"/>
      <c r="J369" s="1726" t="str">
        <f>IFERROR(VLOOKUP(I369,dropdowns!$E$45:$I$56,2,FALSE)," ")</f>
        <v xml:space="preserve"> </v>
      </c>
      <c r="K369" s="949"/>
      <c r="L369" s="1727" t="str">
        <f>IFERROR(VLOOKUP(K369,dropdowns!$G$45:$H$56,2,FALSE)," ")</f>
        <v xml:space="preserve"> </v>
      </c>
      <c r="M369" s="953"/>
      <c r="N369" s="954"/>
      <c r="O369" s="955"/>
      <c r="P369" s="2599"/>
      <c r="Q369" s="3914"/>
      <c r="R369" s="955"/>
      <c r="S369" s="956"/>
      <c r="T369" s="2600"/>
      <c r="U369" s="2601"/>
      <c r="V369" s="2601"/>
      <c r="W369" s="2602"/>
      <c r="X369" s="2603"/>
      <c r="Y369" s="3361"/>
      <c r="Z369" s="2604"/>
      <c r="AA369" s="956"/>
      <c r="AB369" s="2600"/>
      <c r="AC369" s="2601"/>
      <c r="AD369" s="2601"/>
      <c r="AE369" s="2601"/>
      <c r="AF369" s="2603"/>
      <c r="AG369" s="1183"/>
      <c r="AH369" s="1489"/>
      <c r="AI369" s="2600"/>
      <c r="AJ369" s="2601"/>
      <c r="AK369" s="2601"/>
      <c r="AL369" s="2604"/>
      <c r="AM369" s="2605"/>
      <c r="AN369" s="2606"/>
      <c r="AO369" s="1489"/>
      <c r="AP369" s="1490"/>
      <c r="AQ369" s="959"/>
      <c r="AR369" s="2600"/>
      <c r="AS369" s="1183"/>
      <c r="AT369" s="959"/>
      <c r="AU369" s="2599"/>
      <c r="AV369" s="1183"/>
      <c r="AW369" s="959"/>
      <c r="AX369" s="2600"/>
      <c r="AY369" s="2603"/>
      <c r="AZ369" s="2607"/>
      <c r="BA369" s="2601"/>
      <c r="BB369" s="949"/>
      <c r="BC369" s="847"/>
      <c r="BD369" s="963"/>
      <c r="BF369" s="1375"/>
    </row>
    <row r="370" spans="1:59" ht="27" customHeight="1" thickBot="1">
      <c r="A370" s="822"/>
      <c r="B370" s="822"/>
      <c r="C370" s="822"/>
      <c r="D370" s="822"/>
      <c r="E370" s="822"/>
      <c r="F370" s="822"/>
      <c r="G370" s="826"/>
      <c r="H370" s="822"/>
      <c r="I370" s="822"/>
      <c r="J370" s="822"/>
      <c r="K370" s="822"/>
      <c r="L370" s="822"/>
      <c r="M370" s="822"/>
      <c r="N370" s="822"/>
      <c r="O370" s="822"/>
      <c r="P370" s="822"/>
      <c r="Q370" s="3926">
        <f>SUM(Q21:Q369)</f>
        <v>32875259.423043493</v>
      </c>
      <c r="R370" s="822"/>
      <c r="S370" s="822"/>
      <c r="T370" s="822"/>
      <c r="U370" s="822"/>
      <c r="V370" s="822"/>
      <c r="W370" s="826"/>
      <c r="X370" s="858">
        <f>SUM(X34:X369)</f>
        <v>0</v>
      </c>
      <c r="Y370" s="3362">
        <f>SUM(Y21:Y369)</f>
        <v>-6935613.6450000051</v>
      </c>
      <c r="Z370" s="822"/>
      <c r="AA370" s="822"/>
      <c r="AB370" s="822"/>
      <c r="AC370" s="822"/>
      <c r="AD370" s="822"/>
      <c r="AE370" s="822"/>
      <c r="AF370" s="858">
        <f>SUM(AF34:AF369)</f>
        <v>0</v>
      </c>
      <c r="AG370" s="848">
        <f>SUM(AG21:AG369)</f>
        <v>29368511.954999991</v>
      </c>
      <c r="AH370" s="822"/>
      <c r="AI370" s="822"/>
      <c r="AJ370" s="957"/>
      <c r="AK370" s="849"/>
      <c r="AL370" s="849"/>
      <c r="AM370" s="849"/>
      <c r="AN370" s="849"/>
      <c r="AO370" s="822"/>
      <c r="AP370" s="822"/>
      <c r="AQ370" s="822"/>
      <c r="AR370" s="822"/>
      <c r="AS370" s="848">
        <f>SUM(AS21:AS369)</f>
        <v>3422226.1749999989</v>
      </c>
      <c r="AT370" s="822"/>
      <c r="AU370" s="822"/>
      <c r="AV370" s="3873">
        <f>SUM(AV21:AV369)</f>
        <v>-3591842.4130000002</v>
      </c>
      <c r="AW370" s="822"/>
      <c r="AX370" s="822"/>
      <c r="AY370" s="858">
        <f>SUM(AY34:AY369)</f>
        <v>0</v>
      </c>
      <c r="AZ370" s="3873">
        <f>SUM(AZ21:AZ369)</f>
        <v>6670901.3849999905</v>
      </c>
      <c r="BA370" s="822"/>
      <c r="BB370" s="822"/>
      <c r="BC370" s="822"/>
      <c r="BD370" s="822"/>
      <c r="BG370" s="414"/>
    </row>
    <row r="371" spans="1:59" ht="27" customHeight="1">
      <c r="A371" s="822"/>
      <c r="B371" s="822"/>
      <c r="C371" s="822"/>
      <c r="D371" s="826"/>
      <c r="E371" s="822"/>
      <c r="F371" s="822"/>
      <c r="G371" s="826"/>
      <c r="H371" s="822"/>
      <c r="I371" s="822"/>
      <c r="J371" s="822"/>
      <c r="K371" s="822"/>
      <c r="L371" s="822"/>
      <c r="M371" s="822"/>
      <c r="N371" s="822"/>
      <c r="O371" s="3961" t="s">
        <v>3504</v>
      </c>
      <c r="P371" s="3960"/>
      <c r="Q371" s="3959">
        <f>+Q284</f>
        <v>0</v>
      </c>
      <c r="R371" s="822"/>
      <c r="S371" s="822"/>
      <c r="T371" s="822"/>
      <c r="U371" s="822"/>
      <c r="V371" s="3282" t="s">
        <v>2631</v>
      </c>
      <c r="W371" s="3283"/>
      <c r="X371" s="3210"/>
      <c r="Y371" s="3363">
        <f>+'Schedule B'!N152</f>
        <v>158694</v>
      </c>
      <c r="Z371" s="822"/>
      <c r="AA371" s="822"/>
      <c r="AB371" s="822"/>
      <c r="AC371" s="822"/>
      <c r="AD371" s="3280"/>
      <c r="AE371" s="3281" t="s">
        <v>2552</v>
      </c>
      <c r="AF371" s="3210"/>
      <c r="AG371" s="4485">
        <f>+'Schedule B'!J152+'Schedule B'!M152</f>
        <v>-112821</v>
      </c>
      <c r="AH371" s="822"/>
      <c r="AI371" s="822"/>
      <c r="AJ371" s="849"/>
      <c r="AK371" s="3331"/>
      <c r="AL371" s="849"/>
      <c r="AM371" s="849"/>
      <c r="AN371" s="849"/>
      <c r="AO371" s="822"/>
      <c r="AP371" s="822"/>
      <c r="AQ371" s="822"/>
      <c r="AR371" s="822"/>
      <c r="AS371" s="849"/>
      <c r="AT371" s="822"/>
      <c r="AU371" s="822"/>
      <c r="AV371" s="849"/>
      <c r="AW371" s="3278"/>
      <c r="AX371" s="3279" t="s">
        <v>4437</v>
      </c>
      <c r="AY371" s="3210"/>
      <c r="AZ371" s="4538">
        <f>+'Schedule B'!I152</f>
        <v>574831.03</v>
      </c>
      <c r="BA371" s="822"/>
      <c r="BB371" s="822"/>
      <c r="BC371" s="822"/>
      <c r="BD371" s="822"/>
    </row>
    <row r="372" spans="1:59">
      <c r="B372" s="850"/>
      <c r="C372" s="850"/>
      <c r="I372" s="822"/>
      <c r="J372" s="822"/>
      <c r="K372" s="822"/>
      <c r="L372" s="688" t="s">
        <v>821</v>
      </c>
      <c r="M372" s="688"/>
      <c r="N372" s="688"/>
      <c r="P372" s="822"/>
      <c r="Q372" s="3922">
        <f>Q143-75000</f>
        <v>-75000</v>
      </c>
      <c r="R372" s="3928">
        <f>1785746.87-R375</f>
        <v>1722523.7600000007</v>
      </c>
      <c r="T372" s="822"/>
      <c r="U372" s="826"/>
      <c r="V372" s="826"/>
      <c r="W372" s="826"/>
      <c r="X372" s="822"/>
      <c r="Y372" s="3346">
        <v>29145943.015000001</v>
      </c>
      <c r="Z372" s="822"/>
      <c r="AA372" s="822"/>
      <c r="AB372" s="822"/>
      <c r="AC372" s="822"/>
      <c r="AD372" s="826"/>
      <c r="AE372" s="822"/>
      <c r="AF372" s="822"/>
      <c r="AG372" s="822"/>
      <c r="AH372" s="822"/>
      <c r="AI372" s="822"/>
      <c r="AJ372" s="851"/>
      <c r="AK372" s="3334"/>
      <c r="AL372" s="851"/>
      <c r="AM372" s="851"/>
      <c r="AN372" s="852"/>
      <c r="AO372" s="822"/>
      <c r="AP372" s="822"/>
      <c r="AQ372" s="822"/>
      <c r="AR372" s="822"/>
      <c r="AS372" s="822"/>
      <c r="AT372" s="822"/>
      <c r="AU372" s="822"/>
      <c r="AV372" s="822"/>
      <c r="AW372" s="822"/>
      <c r="AX372" s="822"/>
      <c r="AY372" s="822"/>
      <c r="AZ372" s="822"/>
      <c r="BA372" s="822"/>
      <c r="BB372" s="689" t="s">
        <v>822</v>
      </c>
      <c r="BC372" s="822"/>
      <c r="BD372" s="822"/>
    </row>
    <row r="373" spans="1:59">
      <c r="B373" s="850"/>
      <c r="I373" s="822"/>
      <c r="J373" s="822"/>
      <c r="K373" s="822"/>
      <c r="L373" s="2608" t="s">
        <v>823</v>
      </c>
      <c r="M373" s="853"/>
      <c r="N373" s="853"/>
      <c r="O373" s="850"/>
      <c r="P373" s="822"/>
      <c r="Q373" s="3922"/>
      <c r="R373" s="850"/>
      <c r="S373" s="850"/>
      <c r="T373" s="822"/>
      <c r="U373" s="826"/>
      <c r="V373" s="826"/>
      <c r="W373" s="826"/>
      <c r="X373" s="822"/>
      <c r="Y373" s="3346">
        <f>+Y372-Y370</f>
        <v>36081556.660000004</v>
      </c>
      <c r="Z373" s="822"/>
      <c r="AA373" s="822"/>
      <c r="AB373" s="822"/>
      <c r="AC373" s="822"/>
      <c r="AD373" s="826"/>
      <c r="AE373" s="822"/>
      <c r="AF373" s="822"/>
      <c r="AG373" s="822"/>
      <c r="AH373" s="822"/>
      <c r="AI373" s="822"/>
      <c r="AJ373" s="854"/>
      <c r="AK373" s="3332"/>
      <c r="AL373" s="854"/>
      <c r="AM373" s="854"/>
      <c r="AN373" s="855"/>
      <c r="AO373" s="822"/>
      <c r="AP373" s="822"/>
      <c r="AQ373" s="822"/>
      <c r="AR373" s="822"/>
      <c r="AS373" s="822"/>
      <c r="AT373" s="822"/>
      <c r="AU373" s="822"/>
      <c r="AV373" s="822"/>
      <c r="AW373" s="822"/>
      <c r="AX373" s="822"/>
      <c r="AY373" s="822"/>
      <c r="AZ373" s="822">
        <f>+AZ61+AZ62+AZ64+AZ65+AZ66+AZ68</f>
        <v>-15269121.07</v>
      </c>
      <c r="BA373" s="822"/>
      <c r="BB373" s="2609" t="s">
        <v>824</v>
      </c>
      <c r="BC373" s="850" t="s">
        <v>825</v>
      </c>
      <c r="BD373" s="822"/>
    </row>
    <row r="374" spans="1:59">
      <c r="B374" s="850"/>
      <c r="C374" s="850"/>
      <c r="H374" s="822"/>
      <c r="I374" s="822"/>
      <c r="J374" s="822"/>
      <c r="K374" s="822"/>
      <c r="L374" s="822"/>
      <c r="M374" s="822"/>
      <c r="N374" s="822"/>
      <c r="O374" s="822"/>
      <c r="P374" s="822"/>
      <c r="Q374" s="3922"/>
      <c r="R374" s="822"/>
      <c r="S374" s="822"/>
      <c r="T374" s="822"/>
      <c r="U374" s="826"/>
      <c r="V374" s="826"/>
      <c r="W374" s="826"/>
      <c r="X374" s="822"/>
      <c r="Y374" s="3346"/>
      <c r="Z374" s="822"/>
      <c r="AA374" s="822"/>
      <c r="AB374" s="822"/>
      <c r="AC374" s="822"/>
      <c r="AD374" s="826"/>
      <c r="AE374" s="822"/>
      <c r="AF374" s="822"/>
      <c r="AG374" s="3323">
        <v>1576884.6</v>
      </c>
      <c r="AH374" s="822"/>
      <c r="AI374" s="822"/>
      <c r="AJ374" s="854"/>
      <c r="AK374" s="3332"/>
      <c r="AL374" s="854"/>
      <c r="AM374" s="854"/>
      <c r="AN374" s="3335"/>
      <c r="AO374" s="822"/>
      <c r="AP374" s="822"/>
      <c r="AQ374" s="822"/>
      <c r="AR374" s="822"/>
      <c r="AS374" s="822"/>
      <c r="AT374" s="822"/>
      <c r="AU374" s="822"/>
      <c r="AV374" s="822"/>
      <c r="AW374" s="822"/>
      <c r="AX374" s="822"/>
      <c r="AY374" s="822"/>
      <c r="AZ374" s="822">
        <f>+AZ180+AZ149+AZ148++AZ104+AZ101+AZ98+AZ96+AZ93+AZ86+AZ84</f>
        <v>-1095922.4099999997</v>
      </c>
      <c r="BA374" s="822"/>
      <c r="BB374" s="2610" t="s">
        <v>827</v>
      </c>
      <c r="BC374" s="856" t="s">
        <v>828</v>
      </c>
      <c r="BD374" s="822"/>
    </row>
    <row r="375" spans="1:59">
      <c r="B375" s="850"/>
      <c r="C375" s="850"/>
      <c r="D375" s="826"/>
      <c r="E375" s="822"/>
      <c r="F375" s="822"/>
      <c r="G375" s="826"/>
      <c r="H375" s="822"/>
      <c r="I375" s="822"/>
      <c r="J375" s="822"/>
      <c r="K375" s="822"/>
      <c r="L375" s="2608" t="s">
        <v>829</v>
      </c>
      <c r="M375" s="853"/>
      <c r="N375" s="853"/>
      <c r="O375" s="850"/>
      <c r="P375" s="822"/>
      <c r="Q375" s="3922">
        <v>3520000</v>
      </c>
      <c r="R375" s="850">
        <v>63223.109999999404</v>
      </c>
      <c r="S375" s="850"/>
      <c r="T375" s="822"/>
      <c r="U375" s="826"/>
      <c r="V375" s="826"/>
      <c r="W375" s="826"/>
      <c r="X375" s="822"/>
      <c r="Y375" s="3346"/>
      <c r="Z375" s="822"/>
      <c r="AA375" s="822"/>
      <c r="AB375" s="822"/>
      <c r="AC375" s="822"/>
      <c r="AD375" s="826"/>
      <c r="AE375" s="822"/>
      <c r="AF375" s="822"/>
      <c r="AG375" s="1463"/>
      <c r="AH375" s="822"/>
      <c r="AI375" s="822"/>
      <c r="AJ375" s="822"/>
      <c r="AK375" s="3333"/>
      <c r="AL375" s="822"/>
      <c r="AM375" s="822"/>
      <c r="AN375" s="826"/>
      <c r="AO375" s="822"/>
      <c r="AP375" s="822"/>
      <c r="AQ375" s="822"/>
      <c r="AR375" s="822"/>
      <c r="AS375" s="822"/>
      <c r="AT375" s="822"/>
      <c r="AU375" s="822"/>
      <c r="AV375" s="822"/>
      <c r="AW375" s="822"/>
      <c r="AX375" s="822"/>
      <c r="AY375" s="822"/>
      <c r="AZ375" s="822"/>
      <c r="BA375" s="822"/>
      <c r="BB375" s="2611" t="s">
        <v>370</v>
      </c>
      <c r="BC375" s="850" t="s">
        <v>830</v>
      </c>
      <c r="BD375" s="822"/>
    </row>
    <row r="376" spans="1:59">
      <c r="B376" s="850"/>
      <c r="C376" s="850"/>
      <c r="D376" s="826"/>
      <c r="E376" s="822"/>
      <c r="F376" s="822"/>
      <c r="G376" s="826"/>
      <c r="H376" s="822"/>
      <c r="I376" s="822"/>
      <c r="J376" s="822"/>
      <c r="K376" s="822"/>
      <c r="L376" s="2608" t="s">
        <v>831</v>
      </c>
      <c r="M376" s="853"/>
      <c r="N376" s="853"/>
      <c r="O376" s="850"/>
      <c r="P376" s="822"/>
      <c r="Q376" s="3922"/>
      <c r="R376" s="850">
        <v>1722523.76</v>
      </c>
      <c r="S376" s="850"/>
      <c r="T376" s="822"/>
      <c r="U376" s="826"/>
      <c r="V376" s="826"/>
      <c r="W376" s="826"/>
      <c r="X376" s="822"/>
      <c r="Y376" s="3346" t="e">
        <f>+Y52+#REF!+Y61+Y62+Y63+Y72</f>
        <v>#REF!</v>
      </c>
      <c r="Z376" s="822"/>
      <c r="AA376" s="822"/>
      <c r="AB376" s="822"/>
      <c r="AC376" s="822"/>
      <c r="AD376" s="826"/>
      <c r="AE376" s="822"/>
      <c r="AF376" s="822"/>
      <c r="AG376" s="1463">
        <v>691830</v>
      </c>
      <c r="AH376" s="822"/>
      <c r="AI376" s="822"/>
      <c r="AJ376" s="822"/>
      <c r="AK376" s="822"/>
      <c r="AL376" s="822"/>
      <c r="AM376" s="822"/>
      <c r="AN376" s="826"/>
      <c r="AO376" s="822"/>
      <c r="AP376" s="822"/>
      <c r="AQ376" s="822"/>
      <c r="AR376" s="822"/>
      <c r="AS376" s="822"/>
      <c r="AT376" s="822"/>
      <c r="AU376" s="822"/>
      <c r="AV376" s="822"/>
      <c r="AW376" s="822"/>
      <c r="AX376" s="822"/>
      <c r="AY376" s="822"/>
      <c r="AZ376" s="822">
        <f>+AZ50+AZ43+AZ41+AZ40+AZ39+AZ38+AZ37+AZ36+AZ35</f>
        <v>1894981.0999999999</v>
      </c>
      <c r="BA376" s="822"/>
      <c r="BB376" s="4344">
        <f>+AZ194-AG194</f>
        <v>0</v>
      </c>
      <c r="BC376" s="830"/>
      <c r="BD376" s="822"/>
    </row>
    <row r="377" spans="1:59">
      <c r="B377" s="850"/>
      <c r="C377" s="850"/>
      <c r="D377" s="826"/>
      <c r="E377" s="822"/>
      <c r="F377" s="822"/>
      <c r="G377" s="826"/>
      <c r="H377" s="822"/>
      <c r="I377" s="822"/>
      <c r="J377" s="822"/>
      <c r="K377" s="822"/>
      <c r="L377" s="822"/>
      <c r="M377" s="822"/>
      <c r="N377" s="822"/>
      <c r="O377" s="822"/>
      <c r="P377" s="822"/>
      <c r="Q377" s="3922">
        <v>9188438.5099999998</v>
      </c>
      <c r="R377" s="822"/>
      <c r="S377" s="822"/>
      <c r="T377" s="822"/>
      <c r="U377" s="826"/>
      <c r="V377" s="826"/>
      <c r="W377" s="826"/>
      <c r="X377" s="822"/>
      <c r="Y377" s="3346"/>
      <c r="Z377" s="822"/>
      <c r="AA377" s="822"/>
      <c r="AB377" s="822"/>
      <c r="AC377" s="822"/>
      <c r="AD377" s="826"/>
      <c r="AE377" s="822"/>
      <c r="AF377" s="822"/>
      <c r="AG377" s="822"/>
      <c r="AH377" s="822"/>
      <c r="AI377" s="822"/>
      <c r="AJ377" s="822"/>
      <c r="AK377" s="822"/>
      <c r="AL377" s="822"/>
      <c r="AM377" s="822"/>
      <c r="AN377" s="826"/>
      <c r="AO377" s="822"/>
      <c r="AP377" s="822"/>
      <c r="AQ377" s="822"/>
      <c r="AR377" s="822"/>
      <c r="AS377" s="822"/>
      <c r="AT377" s="822"/>
      <c r="AU377" s="822"/>
      <c r="AV377" s="822"/>
      <c r="AW377" s="822"/>
      <c r="AX377" s="822"/>
      <c r="AY377" s="822"/>
      <c r="AZ377" s="822">
        <f>+AZ124+AZ119+AZ117+AZ113+AZ80+AZ52+AZ50+AZ43+AZ41+AZ40+AZ39+AZ38+AZ37+AZ36+AZ35</f>
        <v>2833999.1</v>
      </c>
      <c r="BA377" s="822"/>
      <c r="BB377" s="830"/>
      <c r="BC377" s="830"/>
      <c r="BD377" s="822"/>
    </row>
    <row r="378" spans="1:59">
      <c r="B378" s="850"/>
      <c r="C378" s="850"/>
      <c r="D378" s="826"/>
      <c r="E378" s="822"/>
      <c r="F378" s="822"/>
      <c r="G378" s="826"/>
      <c r="H378" s="822"/>
      <c r="I378" s="822"/>
      <c r="J378" s="822"/>
      <c r="K378" s="822"/>
      <c r="L378" s="822"/>
      <c r="M378" s="822"/>
      <c r="N378" s="822"/>
      <c r="O378" s="822"/>
      <c r="P378" s="822"/>
      <c r="Q378" s="3922">
        <f>+Q377-Q156</f>
        <v>9188438.5099999998</v>
      </c>
      <c r="R378" s="822"/>
      <c r="S378" s="822"/>
      <c r="T378" s="822"/>
      <c r="U378" s="826"/>
      <c r="V378" s="826"/>
      <c r="W378" s="826"/>
      <c r="X378" s="822"/>
      <c r="Y378" s="3346"/>
      <c r="Z378" s="822"/>
      <c r="AA378" s="822"/>
      <c r="AB378" s="822"/>
      <c r="AC378" s="822"/>
      <c r="AD378" s="826"/>
      <c r="AE378" s="822"/>
      <c r="AF378" s="822"/>
      <c r="AG378" s="822">
        <v>34684</v>
      </c>
      <c r="AH378" s="822"/>
      <c r="AI378" s="822"/>
      <c r="AJ378" s="822"/>
      <c r="AK378" s="822"/>
      <c r="AL378" s="822"/>
      <c r="AM378" s="822"/>
      <c r="AN378" s="826"/>
      <c r="AO378" s="822"/>
      <c r="AP378" s="822"/>
      <c r="AQ378" s="822"/>
      <c r="AR378" s="822"/>
      <c r="AS378" s="822"/>
      <c r="AT378" s="822"/>
      <c r="AU378" s="822"/>
      <c r="AV378" s="822"/>
      <c r="AW378" s="822"/>
      <c r="AX378" s="822"/>
      <c r="AY378" s="822"/>
      <c r="AZ378" s="3323">
        <f>+AZ104+AZ98</f>
        <v>902512.91</v>
      </c>
      <c r="BA378" s="822"/>
      <c r="BB378" s="830"/>
      <c r="BC378" s="830"/>
      <c r="BD378" s="822"/>
    </row>
    <row r="379" spans="1:59">
      <c r="B379" s="850"/>
      <c r="C379" s="850"/>
      <c r="D379" s="826"/>
      <c r="E379" s="822"/>
      <c r="F379" s="822"/>
      <c r="G379" s="826"/>
      <c r="H379" s="822"/>
      <c r="I379" s="822"/>
      <c r="J379" s="822"/>
      <c r="K379" s="822"/>
      <c r="L379" s="822"/>
      <c r="M379" s="822"/>
      <c r="N379" s="822"/>
      <c r="O379" s="822"/>
      <c r="P379" s="822"/>
      <c r="Q379" s="3922">
        <v>5181058.51</v>
      </c>
      <c r="R379" s="822"/>
      <c r="S379" s="822"/>
      <c r="T379" s="822"/>
      <c r="U379" s="826"/>
      <c r="V379" s="826"/>
      <c r="W379" s="826"/>
      <c r="X379" s="822"/>
      <c r="Y379" s="3346"/>
      <c r="Z379" s="822"/>
      <c r="AA379" s="822"/>
      <c r="AB379" s="822"/>
      <c r="AC379" s="822"/>
      <c r="AD379" s="826"/>
      <c r="AE379" s="822"/>
      <c r="AF379" s="822"/>
      <c r="AG379" s="822">
        <v>850370.6</v>
      </c>
      <c r="AH379" s="822"/>
      <c r="AI379" s="822"/>
      <c r="AJ379" s="822"/>
      <c r="AK379" s="822"/>
      <c r="AL379" s="822"/>
      <c r="AM379" s="822"/>
      <c r="AN379" s="826"/>
      <c r="AO379" s="822"/>
      <c r="AP379" s="822"/>
      <c r="AQ379" s="822"/>
      <c r="AR379" s="822"/>
      <c r="AS379" s="822"/>
      <c r="AT379" s="822"/>
      <c r="AU379" s="822"/>
      <c r="AV379" s="822"/>
      <c r="AW379" s="822"/>
      <c r="AX379" s="822"/>
      <c r="AY379" s="822"/>
      <c r="AZ379" s="822"/>
      <c r="BA379" s="822"/>
      <c r="BB379" s="830"/>
      <c r="BC379" s="830"/>
      <c r="BD379" s="822"/>
    </row>
    <row r="380" spans="1:59">
      <c r="A380" s="822"/>
      <c r="B380" s="822"/>
      <c r="C380" s="822"/>
      <c r="D380" s="826"/>
      <c r="E380" s="822"/>
      <c r="F380" s="822"/>
      <c r="G380" s="826"/>
      <c r="H380" s="822"/>
      <c r="I380" s="822"/>
      <c r="J380" s="822"/>
      <c r="K380" s="822"/>
      <c r="L380" s="822"/>
      <c r="M380" s="822"/>
      <c r="N380" s="822"/>
      <c r="O380" s="822"/>
      <c r="P380" s="822"/>
      <c r="Q380" s="3922"/>
      <c r="R380" s="822"/>
      <c r="S380" s="822"/>
      <c r="T380" s="822"/>
      <c r="U380" s="826"/>
      <c r="V380" s="826"/>
      <c r="W380" s="826"/>
      <c r="X380" s="822"/>
      <c r="Y380" s="3346"/>
      <c r="Z380" s="822"/>
      <c r="AA380" s="822"/>
      <c r="AB380" s="822"/>
      <c r="AC380" s="822"/>
      <c r="AD380" s="826"/>
      <c r="AE380" s="822"/>
      <c r="AF380" s="822"/>
      <c r="AG380" s="822"/>
      <c r="AH380" s="822"/>
      <c r="AI380" s="822"/>
      <c r="AJ380" s="822"/>
      <c r="AK380" s="822"/>
      <c r="AL380" s="822"/>
      <c r="AM380" s="822"/>
      <c r="AN380" s="826"/>
      <c r="AO380" s="822"/>
      <c r="AP380" s="822"/>
      <c r="AQ380" s="822"/>
      <c r="AR380" s="822"/>
      <c r="AS380" s="822"/>
      <c r="AT380" s="822"/>
      <c r="AU380" s="822"/>
      <c r="AV380" s="822"/>
      <c r="AW380" s="822"/>
      <c r="AX380" s="822"/>
      <c r="AY380" s="822"/>
      <c r="AZ380" s="822"/>
      <c r="BA380" s="822"/>
      <c r="BB380" s="830"/>
      <c r="BC380" s="830"/>
      <c r="BD380" s="822"/>
    </row>
    <row r="381" spans="1:59">
      <c r="A381" s="1460">
        <v>1</v>
      </c>
      <c r="B381" s="1460">
        <v>2</v>
      </c>
      <c r="C381" s="1460">
        <v>3</v>
      </c>
      <c r="D381" s="4502">
        <v>4</v>
      </c>
      <c r="E381" s="1460">
        <v>5</v>
      </c>
      <c r="F381" s="1460">
        <v>6</v>
      </c>
      <c r="G381" s="1460">
        <v>7</v>
      </c>
      <c r="H381" s="1460">
        <v>8</v>
      </c>
      <c r="I381" s="1460">
        <v>9</v>
      </c>
      <c r="J381" s="1460">
        <v>10</v>
      </c>
      <c r="K381" s="1460">
        <v>11</v>
      </c>
      <c r="L381" s="1460">
        <v>12</v>
      </c>
      <c r="M381" s="1460">
        <v>13</v>
      </c>
      <c r="N381" s="1460">
        <v>14</v>
      </c>
      <c r="O381" s="1460">
        <v>15</v>
      </c>
      <c r="P381" s="1460">
        <v>16</v>
      </c>
      <c r="Q381" s="3922">
        <v>17</v>
      </c>
      <c r="R381" s="1460">
        <v>18</v>
      </c>
      <c r="S381" s="1460">
        <v>19</v>
      </c>
      <c r="T381" s="1460">
        <v>20</v>
      </c>
      <c r="U381" s="1460">
        <v>21</v>
      </c>
      <c r="V381" s="1460">
        <v>22</v>
      </c>
      <c r="W381" s="1460">
        <v>23</v>
      </c>
      <c r="X381" s="1460">
        <v>24</v>
      </c>
      <c r="Y381" s="3364">
        <v>25</v>
      </c>
      <c r="Z381" s="1460">
        <v>26</v>
      </c>
      <c r="AA381" s="1460">
        <v>27</v>
      </c>
      <c r="AB381" s="1460">
        <v>28</v>
      </c>
      <c r="AC381" s="1460">
        <v>29</v>
      </c>
      <c r="AD381" s="1460">
        <v>30</v>
      </c>
      <c r="AE381" s="1460">
        <v>31</v>
      </c>
      <c r="AF381" s="1460">
        <v>32</v>
      </c>
      <c r="AG381" s="1460"/>
      <c r="AH381" s="1460"/>
      <c r="AI381" s="1460"/>
      <c r="AJ381" s="1460"/>
      <c r="AK381" s="1460"/>
      <c r="AL381" s="1460"/>
      <c r="AM381" s="1460"/>
      <c r="AN381" s="1460"/>
      <c r="AO381" s="1460"/>
      <c r="AP381" s="1460">
        <v>42</v>
      </c>
      <c r="AQ381" s="1460">
        <v>43</v>
      </c>
      <c r="AR381" s="1460">
        <v>44</v>
      </c>
      <c r="AS381" s="1460">
        <v>45</v>
      </c>
      <c r="AT381" s="1460">
        <v>46</v>
      </c>
      <c r="AU381" s="1460">
        <v>47</v>
      </c>
      <c r="AV381" s="1460">
        <v>48</v>
      </c>
      <c r="AW381" s="1460">
        <v>49</v>
      </c>
      <c r="AX381" s="1460">
        <v>50</v>
      </c>
      <c r="AY381" s="1460">
        <v>51</v>
      </c>
      <c r="AZ381" s="1460">
        <v>52</v>
      </c>
      <c r="BA381" s="1460">
        <v>53</v>
      </c>
      <c r="BB381" s="1460">
        <v>54</v>
      </c>
      <c r="BC381" s="1460">
        <v>55</v>
      </c>
      <c r="BD381" s="1460">
        <v>56</v>
      </c>
    </row>
    <row r="382" spans="1:59">
      <c r="A382" s="822"/>
      <c r="B382" s="822"/>
      <c r="C382" s="822"/>
      <c r="D382" s="826"/>
      <c r="E382" s="822"/>
      <c r="F382" s="822"/>
      <c r="G382" s="826"/>
      <c r="H382" s="822"/>
      <c r="I382" s="822"/>
      <c r="J382" s="822"/>
      <c r="K382" s="822"/>
      <c r="L382" s="822"/>
      <c r="M382" s="822"/>
      <c r="N382" s="822"/>
      <c r="O382" s="822"/>
      <c r="P382" s="822"/>
      <c r="Q382" s="3922"/>
      <c r="R382" s="822"/>
      <c r="S382" s="822"/>
      <c r="T382" s="822"/>
      <c r="U382" s="826"/>
      <c r="V382" s="826"/>
      <c r="W382" s="826"/>
      <c r="X382" s="822"/>
      <c r="Y382" s="3346"/>
      <c r="Z382" s="822"/>
      <c r="AA382" s="822"/>
      <c r="AB382" s="822"/>
      <c r="AC382" s="822"/>
      <c r="AD382" s="826"/>
      <c r="AE382" s="822"/>
      <c r="AF382" s="822"/>
      <c r="AG382" s="822"/>
      <c r="AH382" s="822"/>
      <c r="AI382" s="822"/>
      <c r="AJ382" s="822"/>
      <c r="AK382" s="822"/>
      <c r="AL382" s="822"/>
      <c r="AM382" s="822"/>
      <c r="AN382" s="826"/>
      <c r="AO382" s="822"/>
      <c r="AP382" s="822"/>
      <c r="AQ382" s="822"/>
      <c r="AR382" s="822"/>
      <c r="AS382" s="822"/>
      <c r="AT382" s="822"/>
      <c r="AU382" s="822"/>
      <c r="AV382" s="822"/>
      <c r="AW382" s="822"/>
      <c r="AX382" s="822"/>
      <c r="AY382" s="822"/>
      <c r="AZ382" s="822"/>
      <c r="BA382" s="822"/>
      <c r="BB382" s="830"/>
      <c r="BC382" s="830"/>
      <c r="BD382" s="822"/>
    </row>
    <row r="383" spans="1:59">
      <c r="A383" s="822"/>
      <c r="B383" s="822"/>
      <c r="C383" s="822"/>
      <c r="D383" s="826"/>
      <c r="E383" s="822"/>
      <c r="F383" s="822"/>
      <c r="G383" s="826"/>
      <c r="H383" s="822"/>
      <c r="I383" s="822"/>
      <c r="J383" s="822"/>
      <c r="K383" s="822"/>
      <c r="L383" s="822"/>
      <c r="M383" s="822"/>
      <c r="N383" s="822"/>
      <c r="O383" s="822"/>
      <c r="P383" s="822"/>
      <c r="Q383" s="3922"/>
      <c r="R383" s="822"/>
      <c r="S383" s="822"/>
      <c r="T383" s="822"/>
      <c r="U383" s="826"/>
      <c r="V383" s="826"/>
      <c r="W383" s="826"/>
      <c r="X383" s="822"/>
      <c r="Y383" s="3346"/>
      <c r="Z383" s="822"/>
      <c r="AA383" s="822"/>
      <c r="AB383" s="822"/>
      <c r="AC383" s="822"/>
      <c r="AD383" s="826"/>
      <c r="AE383" s="822"/>
      <c r="AF383" s="822"/>
      <c r="AG383" s="822"/>
      <c r="AH383" s="822"/>
      <c r="AI383" s="822"/>
      <c r="AJ383" s="822"/>
      <c r="AK383" s="822">
        <v>35100</v>
      </c>
      <c r="AL383" s="822"/>
      <c r="AM383" s="822"/>
      <c r="AN383" s="826"/>
      <c r="AO383" s="822"/>
      <c r="AP383" s="822"/>
      <c r="AQ383" s="822"/>
      <c r="AR383" s="822"/>
      <c r="AS383" s="822"/>
      <c r="AT383" s="822"/>
      <c r="AU383" s="822"/>
      <c r="AV383" s="822"/>
      <c r="AW383" s="822"/>
      <c r="AX383" s="822"/>
      <c r="AY383" s="822"/>
      <c r="AZ383" s="822">
        <f>AZ84+AZ86+AZ96+AZ98+AZ104</f>
        <v>-1740055.1700000004</v>
      </c>
      <c r="BA383" s="822"/>
      <c r="BB383" s="830"/>
      <c r="BC383" s="830"/>
      <c r="BD383" s="822"/>
    </row>
    <row r="384" spans="1:59">
      <c r="A384" s="822"/>
      <c r="B384" s="822"/>
      <c r="C384" s="822"/>
      <c r="D384" s="826"/>
      <c r="E384" s="822"/>
      <c r="F384" s="822"/>
      <c r="G384" s="826"/>
      <c r="H384" s="822"/>
      <c r="I384" s="822"/>
      <c r="J384" s="822"/>
      <c r="K384" s="822"/>
      <c r="L384" s="822"/>
      <c r="M384" s="822"/>
      <c r="N384" s="822"/>
      <c r="O384" s="822"/>
      <c r="P384" s="822"/>
      <c r="Q384" s="3922">
        <v>13654504.220000001</v>
      </c>
      <c r="R384" s="822"/>
      <c r="S384" s="822"/>
      <c r="T384" s="822"/>
      <c r="U384" s="826"/>
      <c r="V384" s="826"/>
      <c r="W384" s="826"/>
      <c r="X384" s="822"/>
      <c r="Y384" s="3346"/>
      <c r="Z384" s="822"/>
      <c r="AA384" s="822"/>
      <c r="AB384" s="822"/>
      <c r="AC384" s="822"/>
      <c r="AD384" s="826"/>
      <c r="AE384" s="822"/>
      <c r="AF384" s="822"/>
      <c r="AG384" s="822"/>
      <c r="AH384" s="822"/>
      <c r="AI384" s="822"/>
      <c r="AJ384" s="822"/>
      <c r="AK384" s="822"/>
      <c r="AL384" s="822"/>
      <c r="AM384" s="822"/>
      <c r="AN384" s="826"/>
      <c r="AO384" s="822"/>
      <c r="AP384" s="822"/>
      <c r="AQ384" s="822"/>
      <c r="AR384" s="822"/>
      <c r="AS384" s="822"/>
      <c r="AT384" s="822"/>
      <c r="AU384" s="822"/>
      <c r="AV384" s="822"/>
      <c r="AW384" s="822"/>
      <c r="AX384" s="822"/>
      <c r="AY384" s="822"/>
      <c r="AZ384" s="822"/>
      <c r="BA384" s="822"/>
      <c r="BB384" s="830"/>
      <c r="BC384" s="830"/>
      <c r="BD384" s="822"/>
    </row>
    <row r="385" spans="1:56">
      <c r="A385" s="822"/>
      <c r="B385" s="822"/>
      <c r="C385" s="822"/>
      <c r="D385" s="826"/>
      <c r="E385" s="822"/>
      <c r="F385" s="822"/>
      <c r="G385" s="826"/>
      <c r="H385" s="822"/>
      <c r="I385" s="822"/>
      <c r="J385" s="822"/>
      <c r="K385" s="822"/>
      <c r="L385" s="822"/>
      <c r="M385" s="822"/>
      <c r="N385" s="822"/>
      <c r="O385" s="822"/>
      <c r="P385" s="822"/>
      <c r="Q385" s="3922">
        <v>13280713.77</v>
      </c>
      <c r="R385" s="822"/>
      <c r="S385" s="822"/>
      <c r="T385" s="822"/>
      <c r="U385" s="826"/>
      <c r="V385" s="826"/>
      <c r="W385" s="826"/>
      <c r="X385" s="822"/>
      <c r="Y385" s="3346"/>
      <c r="Z385" s="822"/>
      <c r="AA385" s="822"/>
      <c r="AB385" s="822"/>
      <c r="AC385" s="822"/>
      <c r="AD385" s="826"/>
      <c r="AE385" s="822"/>
      <c r="AF385" s="822"/>
      <c r="AG385" s="822"/>
      <c r="AH385" s="822"/>
      <c r="AI385" s="822"/>
      <c r="AJ385" s="822"/>
      <c r="AK385" s="822"/>
      <c r="AL385" s="822"/>
      <c r="AM385" s="822"/>
      <c r="AN385" s="3837"/>
      <c r="AO385" s="822"/>
      <c r="AP385" s="822"/>
      <c r="AQ385" s="822"/>
      <c r="AR385" s="822"/>
      <c r="AS385" s="822"/>
      <c r="AT385" s="822"/>
      <c r="AU385" s="822"/>
      <c r="AV385" s="822"/>
      <c r="AW385" s="822"/>
      <c r="AX385" s="822"/>
      <c r="AY385" s="822"/>
      <c r="AZ385" s="822">
        <v>-15269121.07</v>
      </c>
      <c r="BA385" s="822"/>
      <c r="BB385" s="830"/>
      <c r="BC385" s="830"/>
      <c r="BD385" s="822"/>
    </row>
    <row r="386" spans="1:56">
      <c r="A386" s="822"/>
      <c r="B386" s="822"/>
      <c r="C386" s="822"/>
      <c r="D386" s="826"/>
      <c r="E386" s="822"/>
      <c r="F386" s="822"/>
      <c r="G386" s="826"/>
      <c r="H386" s="822"/>
      <c r="I386" s="822"/>
      <c r="J386" s="822"/>
      <c r="K386" s="822"/>
      <c r="L386" s="822"/>
      <c r="M386" s="822"/>
      <c r="N386" s="822"/>
      <c r="O386" s="822"/>
      <c r="P386" s="822"/>
      <c r="Q386" s="3922">
        <f>Q385-Q384</f>
        <v>-373790.45000000112</v>
      </c>
      <c r="R386" s="822"/>
      <c r="S386" s="822"/>
      <c r="T386" s="822"/>
      <c r="U386" s="826"/>
      <c r="V386" s="826"/>
      <c r="W386" s="826"/>
      <c r="X386" s="822"/>
      <c r="Y386" s="3346"/>
      <c r="Z386" s="822"/>
      <c r="AA386" s="822"/>
      <c r="AB386" s="822"/>
      <c r="AC386" s="822"/>
      <c r="AD386" s="826"/>
      <c r="AE386" s="822"/>
      <c r="AF386" s="822"/>
      <c r="AG386" s="822"/>
      <c r="AH386" s="822"/>
      <c r="AI386" s="822"/>
      <c r="AJ386" s="822"/>
      <c r="AK386" s="822"/>
      <c r="AL386" s="822"/>
      <c r="AM386" s="822"/>
      <c r="AN386" s="3837"/>
      <c r="AO386" s="822"/>
      <c r="AP386" s="822"/>
      <c r="AQ386" s="822"/>
      <c r="AR386" s="822"/>
      <c r="AS386" s="822"/>
      <c r="AT386" s="822"/>
      <c r="AU386" s="822"/>
      <c r="AV386" s="822"/>
      <c r="AW386" s="822"/>
      <c r="AX386" s="822"/>
      <c r="AY386" s="822"/>
      <c r="AZ386" s="822"/>
      <c r="BA386" s="822"/>
      <c r="BB386" s="830"/>
      <c r="BC386" s="830"/>
      <c r="BD386" s="822"/>
    </row>
    <row r="387" spans="1:56">
      <c r="A387" s="822"/>
      <c r="B387" s="822"/>
      <c r="C387" s="822"/>
      <c r="D387" s="826"/>
      <c r="E387" s="822"/>
      <c r="F387" s="822"/>
      <c r="G387" s="826"/>
      <c r="H387" s="822"/>
      <c r="I387" s="822"/>
      <c r="J387" s="822"/>
      <c r="K387" s="822"/>
      <c r="L387" s="822"/>
      <c r="M387" s="822"/>
      <c r="N387" s="822"/>
      <c r="O387" s="822"/>
      <c r="P387" s="822"/>
      <c r="Q387" s="3922"/>
      <c r="R387" s="822"/>
      <c r="S387" s="822"/>
      <c r="T387" s="822"/>
      <c r="U387" s="826"/>
      <c r="V387" s="826"/>
      <c r="W387" s="826"/>
      <c r="X387" s="822"/>
      <c r="Y387" s="3346"/>
      <c r="Z387" s="822"/>
      <c r="AA387" s="822"/>
      <c r="AB387" s="822"/>
      <c r="AC387" s="822"/>
      <c r="AD387" s="826"/>
      <c r="AE387" s="822"/>
      <c r="AF387" s="822"/>
      <c r="AG387" s="3323"/>
      <c r="AH387" s="822"/>
      <c r="AI387" s="822"/>
      <c r="AJ387" s="822"/>
      <c r="AK387" s="822"/>
      <c r="AL387" s="822"/>
      <c r="AM387" s="822"/>
      <c r="AN387" s="3837"/>
      <c r="AO387" s="822"/>
      <c r="AP387" s="822"/>
      <c r="AQ387" s="822"/>
      <c r="AR387" s="822"/>
      <c r="AS387" s="822"/>
      <c r="AT387" s="822"/>
      <c r="AU387" s="822"/>
      <c r="AV387" s="822"/>
      <c r="AW387" s="3323">
        <f>+AX387-AZ387</f>
        <v>535044.1099999994</v>
      </c>
      <c r="AX387" s="3323">
        <v>75809169.370000005</v>
      </c>
      <c r="AY387" s="822"/>
      <c r="AZ387" s="3323">
        <f>+AZ389+AZ388</f>
        <v>75274125.260000005</v>
      </c>
      <c r="BA387" s="3323"/>
      <c r="BB387" s="830"/>
      <c r="BC387" s="830"/>
      <c r="BD387" s="822"/>
    </row>
    <row r="388" spans="1:56">
      <c r="A388" s="822"/>
      <c r="B388" s="822"/>
      <c r="C388" s="822"/>
      <c r="D388" s="826"/>
      <c r="E388" s="822"/>
      <c r="F388" s="822"/>
      <c r="G388" s="826"/>
      <c r="H388" s="822"/>
      <c r="I388" s="822"/>
      <c r="J388" s="822"/>
      <c r="K388" s="822"/>
      <c r="L388" s="822"/>
      <c r="M388" s="822"/>
      <c r="N388" s="822"/>
      <c r="O388" s="822"/>
      <c r="P388" s="822"/>
      <c r="Q388" s="3922"/>
      <c r="R388" s="822"/>
      <c r="S388" s="822"/>
      <c r="T388" s="822"/>
      <c r="U388" s="826"/>
      <c r="V388" s="826"/>
      <c r="W388" s="826"/>
      <c r="X388" s="822"/>
      <c r="Y388" s="3346"/>
      <c r="Z388" s="822"/>
      <c r="AA388" s="822"/>
      <c r="AB388" s="822"/>
      <c r="AC388" s="822"/>
      <c r="AD388" s="826"/>
      <c r="AE388" s="822"/>
      <c r="AF388" s="822"/>
      <c r="AG388" s="822"/>
      <c r="AH388" s="822"/>
      <c r="AI388" s="822"/>
      <c r="AJ388" s="822"/>
      <c r="AK388" s="822"/>
      <c r="AL388" s="822"/>
      <c r="AM388" s="822"/>
      <c r="AN388" s="826"/>
      <c r="AO388" s="822"/>
      <c r="AP388" s="822"/>
      <c r="AQ388" s="822"/>
      <c r="AR388" s="822"/>
      <c r="AS388" s="822"/>
      <c r="AT388" s="822"/>
      <c r="AU388" s="822"/>
      <c r="AV388" s="822"/>
      <c r="AW388" s="822"/>
      <c r="AX388" s="822"/>
      <c r="AY388" s="822"/>
      <c r="AZ388" s="3323">
        <f>+AZ84+AZ86+AZ98+AZ104+AG101+AG96+AG93</f>
        <v>-695101.73999999987</v>
      </c>
      <c r="BA388" s="822"/>
      <c r="BB388" s="830"/>
      <c r="BC388" s="830"/>
      <c r="BD388" s="822"/>
    </row>
    <row r="389" spans="1:56">
      <c r="A389" s="822"/>
      <c r="B389" s="822"/>
      <c r="C389" s="822"/>
      <c r="D389" s="826"/>
      <c r="E389" s="822"/>
      <c r="F389" s="822"/>
      <c r="G389" s="826"/>
      <c r="H389" s="822"/>
      <c r="I389" s="822"/>
      <c r="J389" s="822"/>
      <c r="K389" s="822"/>
      <c r="L389" s="822"/>
      <c r="M389" s="822"/>
      <c r="N389" s="822"/>
      <c r="O389" s="822"/>
      <c r="P389" s="822"/>
      <c r="Q389" s="3922"/>
      <c r="R389" s="822"/>
      <c r="S389" s="822"/>
      <c r="T389" s="822"/>
      <c r="U389" s="826"/>
      <c r="V389" s="826"/>
      <c r="W389" s="826"/>
      <c r="X389" s="822"/>
      <c r="Y389" s="3346"/>
      <c r="Z389" s="822"/>
      <c r="AA389" s="822"/>
      <c r="AB389" s="822"/>
      <c r="AC389" s="822"/>
      <c r="AD389" s="826"/>
      <c r="AE389" s="822"/>
      <c r="AF389" s="822"/>
      <c r="AG389" s="3323"/>
      <c r="AH389" s="822"/>
      <c r="AI389" s="822"/>
      <c r="AJ389" s="822"/>
      <c r="AK389" s="822"/>
      <c r="AL389" s="822"/>
      <c r="AM389" s="822"/>
      <c r="AN389" s="826"/>
      <c r="AO389" s="822"/>
      <c r="AP389" s="822"/>
      <c r="AQ389" s="822"/>
      <c r="AR389" s="822"/>
      <c r="AS389" s="822"/>
      <c r="AT389" s="822"/>
      <c r="AU389" s="822"/>
      <c r="AV389" s="822"/>
      <c r="AW389" s="822"/>
      <c r="AX389" s="822"/>
      <c r="AY389" s="822"/>
      <c r="AZ389" s="3947">
        <f>+AZ392</f>
        <v>75969227</v>
      </c>
      <c r="BA389" s="822"/>
      <c r="BB389" s="830"/>
      <c r="BC389" s="830"/>
      <c r="BD389" s="822"/>
    </row>
    <row r="390" spans="1:56">
      <c r="A390" s="822"/>
      <c r="B390" s="822"/>
      <c r="C390" s="822"/>
      <c r="D390" s="826"/>
      <c r="E390" s="822"/>
      <c r="F390" s="822"/>
      <c r="G390" s="826"/>
      <c r="H390" s="822"/>
      <c r="I390" s="822"/>
      <c r="J390" s="822"/>
      <c r="K390" s="822"/>
      <c r="L390" s="822"/>
      <c r="M390" s="822"/>
      <c r="N390" s="822"/>
      <c r="O390" s="822"/>
      <c r="P390" s="822"/>
      <c r="Q390" s="3922">
        <v>56493648.140000001</v>
      </c>
      <c r="R390" s="822"/>
      <c r="S390" s="822"/>
      <c r="T390" s="822"/>
      <c r="U390" s="826"/>
      <c r="V390" s="826"/>
      <c r="W390" s="826"/>
      <c r="X390" s="822"/>
      <c r="Y390" s="3346"/>
      <c r="Z390" s="822"/>
      <c r="AA390" s="822"/>
      <c r="AB390" s="822"/>
      <c r="AC390" s="822"/>
      <c r="AD390" s="826"/>
      <c r="AE390" s="822"/>
      <c r="AF390" s="822"/>
      <c r="AG390" s="822"/>
      <c r="AH390" s="822"/>
      <c r="AI390" s="822"/>
      <c r="AJ390" s="822"/>
      <c r="AK390" s="822"/>
      <c r="AL390" s="822"/>
      <c r="AM390" s="822"/>
      <c r="AN390" s="826"/>
      <c r="AO390" s="822"/>
      <c r="AP390" s="822"/>
      <c r="AQ390" s="822"/>
      <c r="AR390" s="822"/>
      <c r="AS390" s="822"/>
      <c r="AT390" s="822"/>
      <c r="AU390" s="822"/>
      <c r="AV390" s="822"/>
      <c r="AW390" s="822"/>
      <c r="AX390" s="822"/>
      <c r="AY390" s="822"/>
      <c r="AZ390" s="3947"/>
      <c r="BA390" s="822"/>
      <c r="BB390" s="830"/>
      <c r="BC390" s="830"/>
      <c r="BD390" s="822"/>
    </row>
    <row r="391" spans="1:56">
      <c r="A391" s="822"/>
      <c r="B391" s="822"/>
      <c r="C391" s="822"/>
      <c r="D391" s="826"/>
      <c r="E391" s="822"/>
      <c r="F391" s="822"/>
      <c r="G391" s="826"/>
      <c r="H391" s="822"/>
      <c r="I391" s="822"/>
      <c r="J391" s="822"/>
      <c r="K391" s="822"/>
      <c r="L391" s="822"/>
      <c r="M391" s="822"/>
      <c r="N391" s="822"/>
      <c r="O391" s="822"/>
      <c r="P391" s="822"/>
      <c r="Q391" s="3922">
        <f>+Q171</f>
        <v>53011624.830000006</v>
      </c>
      <c r="R391" s="822"/>
      <c r="S391" s="822"/>
      <c r="T391" s="822"/>
      <c r="U391" s="826"/>
      <c r="V391" s="826"/>
      <c r="W391" s="826"/>
      <c r="X391" s="822"/>
      <c r="Y391" s="3346"/>
      <c r="Z391" s="822"/>
      <c r="AA391" s="822"/>
      <c r="AB391" s="822"/>
      <c r="AC391" s="822"/>
      <c r="AD391" s="826"/>
      <c r="AE391" s="822"/>
      <c r="AF391" s="822"/>
      <c r="AG391" s="822"/>
      <c r="AH391" s="822"/>
      <c r="AI391" s="822"/>
      <c r="AJ391" s="822"/>
      <c r="AK391" s="822"/>
      <c r="AL391" s="822"/>
      <c r="AM391" s="822"/>
      <c r="AN391" s="826"/>
      <c r="AO391" s="822"/>
      <c r="AP391" s="822"/>
      <c r="AQ391" s="822"/>
      <c r="AR391" s="822"/>
      <c r="AS391" s="822"/>
      <c r="AT391" s="822"/>
      <c r="AU391" s="822"/>
      <c r="AV391" s="822"/>
      <c r="AW391" s="822"/>
      <c r="AX391" s="822"/>
      <c r="AY391" s="822"/>
      <c r="AZ391" s="3947">
        <f>+AZ86+AZ84+AG96</f>
        <v>-1958329.7699999998</v>
      </c>
      <c r="BA391" s="822"/>
      <c r="BB391" s="830"/>
      <c r="BC391" s="830"/>
      <c r="BD391" s="822"/>
    </row>
    <row r="392" spans="1:56">
      <c r="A392" s="822"/>
      <c r="B392" s="822"/>
      <c r="C392" s="822"/>
      <c r="D392" s="826"/>
      <c r="E392" s="822"/>
      <c r="F392" s="822"/>
      <c r="G392" s="826"/>
      <c r="H392" s="822"/>
      <c r="I392" s="822"/>
      <c r="J392" s="822"/>
      <c r="K392" s="822"/>
      <c r="L392" s="822"/>
      <c r="M392" s="822"/>
      <c r="N392" s="822"/>
      <c r="O392" s="822"/>
      <c r="P392" s="822"/>
      <c r="Q392" s="3922">
        <f>+Q391-Q390</f>
        <v>-3482023.3099999949</v>
      </c>
      <c r="R392" s="822"/>
      <c r="S392" s="822"/>
      <c r="T392" s="822"/>
      <c r="U392" s="826"/>
      <c r="V392" s="826"/>
      <c r="W392" s="826"/>
      <c r="X392" s="822"/>
      <c r="Y392" s="3346"/>
      <c r="Z392" s="822"/>
      <c r="AA392" s="822"/>
      <c r="AB392" s="822"/>
      <c r="AC392" s="822"/>
      <c r="AD392" s="826"/>
      <c r="AE392" s="822"/>
      <c r="AF392" s="822"/>
      <c r="AG392" s="3323"/>
      <c r="AH392" s="822"/>
      <c r="AI392" s="822"/>
      <c r="AJ392" s="822"/>
      <c r="AK392" s="822"/>
      <c r="AL392" s="822"/>
      <c r="AM392" s="822"/>
      <c r="AN392" s="826"/>
      <c r="AO392" s="822"/>
      <c r="AP392" s="822"/>
      <c r="AQ392" s="822"/>
      <c r="AR392" s="822"/>
      <c r="AS392" s="822"/>
      <c r="AT392" s="822"/>
      <c r="AU392" s="822"/>
      <c r="AV392" s="822"/>
      <c r="AW392" s="822"/>
      <c r="AX392" s="822"/>
      <c r="AY392" s="822"/>
      <c r="AZ392" s="3947">
        <f>'Schedule B'!H151</f>
        <v>75969227</v>
      </c>
      <c r="BA392" s="822"/>
      <c r="BB392" s="830"/>
      <c r="BC392" s="830"/>
      <c r="BD392" s="822"/>
    </row>
    <row r="393" spans="1:56">
      <c r="A393" s="822"/>
      <c r="B393" s="822"/>
      <c r="C393" s="822"/>
      <c r="D393" s="826"/>
      <c r="E393" s="822"/>
      <c r="F393" s="822"/>
      <c r="G393" s="826"/>
      <c r="H393" s="822"/>
      <c r="I393" s="822"/>
      <c r="J393" s="822"/>
      <c r="K393" s="822"/>
      <c r="L393" s="822"/>
      <c r="M393" s="822"/>
      <c r="N393" s="822"/>
      <c r="O393" s="822"/>
      <c r="P393" s="822"/>
      <c r="Q393" s="3922"/>
      <c r="R393" s="822"/>
      <c r="S393" s="822"/>
      <c r="T393" s="822"/>
      <c r="U393" s="826"/>
      <c r="V393" s="826"/>
      <c r="W393" s="826"/>
      <c r="X393" s="822"/>
      <c r="Y393" s="3346"/>
      <c r="Z393" s="822"/>
      <c r="AA393" s="822"/>
      <c r="AB393" s="822"/>
      <c r="AC393" s="822"/>
      <c r="AD393" s="826"/>
      <c r="AE393" s="822"/>
      <c r="AF393" s="822"/>
      <c r="AG393" s="3324"/>
      <c r="AH393" s="822"/>
      <c r="AI393" s="822"/>
      <c r="AJ393" s="822"/>
      <c r="AK393" s="822"/>
      <c r="AL393" s="822"/>
      <c r="AM393" s="822"/>
      <c r="AN393" s="826"/>
      <c r="AO393" s="822"/>
      <c r="AP393" s="822"/>
      <c r="AQ393" s="822"/>
      <c r="AR393" s="822"/>
      <c r="AS393" s="822"/>
      <c r="AT393" s="822"/>
      <c r="AU393" s="822"/>
      <c r="AV393" s="822"/>
      <c r="AW393" s="822"/>
      <c r="AX393" s="822"/>
      <c r="AY393" s="822"/>
      <c r="AZ393" s="3947">
        <f>+AZ392+AZ391</f>
        <v>74010897.230000004</v>
      </c>
      <c r="BA393" s="822"/>
      <c r="BB393" s="830"/>
      <c r="BC393" s="830"/>
      <c r="BD393" s="822"/>
    </row>
    <row r="394" spans="1:56">
      <c r="A394" s="822"/>
      <c r="B394" s="822"/>
      <c r="C394" s="822"/>
      <c r="D394" s="826"/>
      <c r="E394" s="822"/>
      <c r="F394" s="822"/>
      <c r="G394" s="826"/>
      <c r="H394" s="822"/>
      <c r="I394" s="822"/>
      <c r="J394" s="822"/>
      <c r="K394" s="822"/>
      <c r="L394" s="822"/>
      <c r="M394" s="822"/>
      <c r="N394" s="822"/>
      <c r="O394" s="822"/>
      <c r="P394" s="822"/>
      <c r="Q394" s="3922"/>
      <c r="R394" s="822"/>
      <c r="S394" s="822"/>
      <c r="T394" s="822"/>
      <c r="U394" s="826"/>
      <c r="V394" s="826"/>
      <c r="W394" s="826"/>
      <c r="X394" s="822"/>
      <c r="Y394" s="3346"/>
      <c r="Z394" s="822"/>
      <c r="AA394" s="822"/>
      <c r="AB394" s="822"/>
      <c r="AC394" s="822"/>
      <c r="AD394" s="826"/>
      <c r="AE394" s="822"/>
      <c r="AF394" s="822"/>
      <c r="AG394" s="822"/>
      <c r="AH394" s="822"/>
      <c r="AI394" s="822"/>
      <c r="AJ394" s="822"/>
      <c r="AK394" s="822"/>
      <c r="AL394" s="822"/>
      <c r="AM394" s="822"/>
      <c r="AN394" s="826"/>
      <c r="AO394" s="822"/>
      <c r="AP394" s="822"/>
      <c r="AQ394" s="822"/>
      <c r="AR394" s="822"/>
      <c r="AS394" s="822"/>
      <c r="AT394" s="822"/>
      <c r="AU394" s="822"/>
      <c r="AV394" s="822"/>
      <c r="AW394" s="822"/>
      <c r="AX394" s="822"/>
      <c r="AY394" s="822"/>
      <c r="AZ394" s="822">
        <v>74575941.340000004</v>
      </c>
      <c r="BA394" s="822"/>
      <c r="BB394" s="830"/>
      <c r="BC394" s="830"/>
      <c r="BD394" s="822"/>
    </row>
    <row r="395" spans="1:56">
      <c r="A395" s="822"/>
      <c r="B395" s="822"/>
      <c r="C395" s="822"/>
      <c r="D395" s="826"/>
      <c r="E395" s="822"/>
      <c r="F395" s="822"/>
      <c r="G395" s="826"/>
      <c r="H395" s="822"/>
      <c r="I395" s="822"/>
      <c r="J395" s="822"/>
      <c r="K395" s="822"/>
      <c r="L395" s="822"/>
      <c r="M395" s="822"/>
      <c r="N395" s="822"/>
      <c r="O395" s="822"/>
      <c r="P395" s="822"/>
      <c r="Q395" s="3922"/>
      <c r="R395" s="822"/>
      <c r="S395" s="822"/>
      <c r="T395" s="822"/>
      <c r="U395" s="826"/>
      <c r="V395" s="826"/>
      <c r="W395" s="826"/>
      <c r="X395" s="822"/>
      <c r="Y395" s="3346"/>
      <c r="Z395" s="822"/>
      <c r="AA395" s="822"/>
      <c r="AB395" s="822"/>
      <c r="AC395" s="822"/>
      <c r="AD395" s="826"/>
      <c r="AE395" s="822"/>
      <c r="AF395" s="822"/>
      <c r="AG395" s="3323">
        <v>-5.0737426737983024E-2</v>
      </c>
      <c r="AH395" s="822"/>
      <c r="AI395" s="822"/>
      <c r="AJ395" s="822"/>
      <c r="AK395" s="822"/>
      <c r="AL395" s="822"/>
      <c r="AM395" s="822"/>
      <c r="AN395" s="826"/>
      <c r="AO395" s="822"/>
      <c r="AP395" s="822"/>
      <c r="AQ395" s="822"/>
      <c r="AR395" s="822"/>
      <c r="AS395" s="822"/>
      <c r="AT395" s="822"/>
      <c r="AU395" s="822"/>
      <c r="AV395" s="822"/>
      <c r="AW395" s="822"/>
      <c r="AX395" s="822"/>
      <c r="AY395" s="822"/>
      <c r="AZ395" s="822">
        <f>+AZ394-AZ393</f>
        <v>565044.1099999994</v>
      </c>
      <c r="BA395" s="822"/>
      <c r="BB395" s="830"/>
      <c r="BC395" s="830"/>
      <c r="BD395" s="822"/>
    </row>
    <row r="396" spans="1:56">
      <c r="A396" s="822"/>
      <c r="B396" s="822"/>
      <c r="C396" s="822"/>
      <c r="D396" s="826"/>
      <c r="E396" s="822"/>
      <c r="F396" s="822"/>
      <c r="G396" s="826"/>
      <c r="H396" s="822"/>
      <c r="I396" s="822"/>
      <c r="J396" s="822"/>
      <c r="K396" s="822"/>
      <c r="L396" s="822"/>
      <c r="M396" s="822"/>
      <c r="N396" s="822"/>
      <c r="O396" s="822"/>
      <c r="P396" s="822"/>
      <c r="Q396" s="3922"/>
      <c r="R396" s="822"/>
      <c r="S396" s="822"/>
      <c r="T396" s="822"/>
      <c r="U396" s="826"/>
      <c r="V396" s="826"/>
      <c r="W396" s="826"/>
      <c r="X396" s="822"/>
      <c r="Y396" s="3346"/>
      <c r="Z396" s="822"/>
      <c r="AA396" s="822"/>
      <c r="AB396" s="822"/>
      <c r="AC396" s="822"/>
      <c r="AD396" s="826"/>
      <c r="AE396" s="822"/>
      <c r="AF396" s="822"/>
      <c r="AG396" s="822">
        <f>+AG395*100</f>
        <v>-5.0737426737983027</v>
      </c>
      <c r="AH396" s="822"/>
      <c r="AI396" s="822"/>
      <c r="AJ396" s="822"/>
      <c r="AK396" s="822"/>
      <c r="AL396" s="822"/>
      <c r="AM396" s="822"/>
      <c r="AN396" s="826"/>
      <c r="AO396" s="822"/>
      <c r="AP396" s="822"/>
      <c r="AQ396" s="822"/>
      <c r="AR396" s="822"/>
      <c r="AS396" s="822"/>
      <c r="AT396" s="822"/>
      <c r="AU396" s="822"/>
      <c r="AV396" s="822"/>
      <c r="AW396" s="822"/>
      <c r="AX396" s="822"/>
      <c r="AY396" s="822"/>
      <c r="AZ396" s="822"/>
      <c r="BA396" s="822"/>
      <c r="BB396" s="830"/>
      <c r="BC396" s="830"/>
      <c r="BD396" s="822"/>
    </row>
    <row r="397" spans="1:56">
      <c r="A397" s="822"/>
      <c r="B397" s="822"/>
      <c r="C397" s="822"/>
      <c r="D397" s="826"/>
      <c r="E397" s="822"/>
      <c r="F397" s="822"/>
      <c r="G397" s="826"/>
      <c r="H397" s="822"/>
      <c r="I397" s="822"/>
      <c r="J397" s="822"/>
      <c r="K397" s="822"/>
      <c r="L397" s="822"/>
      <c r="M397" s="822"/>
      <c r="N397" s="822"/>
      <c r="O397" s="822"/>
      <c r="P397" s="822"/>
      <c r="Q397" s="3922">
        <f>-26095541.44</f>
        <v>-26095541.440000001</v>
      </c>
      <c r="R397" s="822"/>
      <c r="S397" s="822"/>
      <c r="T397" s="822"/>
      <c r="U397" s="826"/>
      <c r="V397" s="826"/>
      <c r="W397" s="826"/>
      <c r="X397" s="822"/>
      <c r="Y397" s="3346"/>
      <c r="Z397" s="822"/>
      <c r="AA397" s="822"/>
      <c r="AB397" s="822"/>
      <c r="AC397" s="822"/>
      <c r="AD397" s="826"/>
      <c r="AE397" s="822"/>
      <c r="AF397" s="822"/>
      <c r="AG397" s="822"/>
      <c r="AH397" s="822"/>
      <c r="AI397" s="822"/>
      <c r="AJ397" s="822"/>
      <c r="AK397" s="822"/>
      <c r="AL397" s="822"/>
      <c r="AM397" s="822"/>
      <c r="AN397" s="826"/>
      <c r="AO397" s="822"/>
      <c r="AP397" s="822"/>
      <c r="AQ397" s="822"/>
      <c r="AR397" s="822"/>
      <c r="AS397" s="822"/>
      <c r="AT397" s="822"/>
      <c r="AU397" s="822"/>
      <c r="AV397" s="822"/>
      <c r="AW397" s="822"/>
      <c r="AX397" s="822"/>
      <c r="AY397" s="822"/>
      <c r="AZ397" s="822"/>
      <c r="BA397" s="822"/>
      <c r="BB397" s="830"/>
      <c r="BC397" s="830"/>
      <c r="BD397" s="822"/>
    </row>
    <row r="398" spans="1:56">
      <c r="A398" s="822"/>
      <c r="B398" s="822"/>
      <c r="C398" s="822"/>
      <c r="D398" s="826"/>
      <c r="E398" s="822"/>
      <c r="F398" s="822"/>
      <c r="G398" s="826"/>
      <c r="H398" s="822"/>
      <c r="I398" s="822"/>
      <c r="J398" s="822"/>
      <c r="K398" s="822"/>
      <c r="L398" s="822"/>
      <c r="M398" s="822"/>
      <c r="N398" s="822"/>
      <c r="O398" s="822"/>
      <c r="P398" s="822"/>
      <c r="Q398" s="3922">
        <f>-11561418.85</f>
        <v>-11561418.85</v>
      </c>
      <c r="R398" s="822"/>
      <c r="S398" s="822"/>
      <c r="T398" s="822"/>
      <c r="U398" s="826"/>
      <c r="V398" s="826"/>
      <c r="W398" s="826"/>
      <c r="X398" s="822"/>
      <c r="Y398" s="3346"/>
      <c r="Z398" s="822"/>
      <c r="AA398" s="822"/>
      <c r="AB398" s="822"/>
      <c r="AC398" s="822"/>
      <c r="AD398" s="826"/>
      <c r="AE398" s="822"/>
      <c r="AF398" s="822"/>
      <c r="AG398" s="822">
        <v>-5.0737426737983027</v>
      </c>
      <c r="AH398" s="822"/>
      <c r="AI398" s="822"/>
      <c r="AJ398" s="822"/>
      <c r="AK398" s="822"/>
      <c r="AL398" s="822"/>
      <c r="AM398" s="822"/>
      <c r="AN398" s="826"/>
      <c r="AO398" s="822"/>
      <c r="AP398" s="822"/>
      <c r="AQ398" s="822"/>
      <c r="AR398" s="822"/>
      <c r="AS398" s="822"/>
      <c r="AT398" s="822"/>
      <c r="AU398" s="822"/>
      <c r="AV398" s="822"/>
      <c r="AW398" s="822"/>
      <c r="AX398" s="822"/>
      <c r="AY398" s="822"/>
      <c r="AZ398" s="822"/>
      <c r="BA398" s="822"/>
      <c r="BB398" s="830"/>
      <c r="BC398" s="830"/>
      <c r="BD398" s="822"/>
    </row>
    <row r="399" spans="1:56">
      <c r="A399" s="822"/>
      <c r="B399" s="822"/>
      <c r="C399" s="822"/>
      <c r="D399" s="826"/>
      <c r="E399" s="822"/>
      <c r="F399" s="822"/>
      <c r="G399" s="826"/>
      <c r="H399" s="822"/>
      <c r="I399" s="822"/>
      <c r="J399" s="822"/>
      <c r="K399" s="822"/>
      <c r="L399" s="822"/>
      <c r="M399" s="822"/>
      <c r="N399" s="822"/>
      <c r="O399" s="822"/>
      <c r="P399" s="822"/>
      <c r="Q399" s="3922"/>
      <c r="R399" s="822"/>
      <c r="S399" s="822"/>
      <c r="T399" s="822"/>
      <c r="U399" s="826"/>
      <c r="V399" s="826"/>
      <c r="W399" s="826"/>
      <c r="X399" s="822"/>
      <c r="Y399" s="3346"/>
      <c r="Z399" s="822"/>
      <c r="AA399" s="822"/>
      <c r="AB399" s="822"/>
      <c r="AC399" s="822"/>
      <c r="AD399" s="826"/>
      <c r="AE399" s="822"/>
      <c r="AF399" s="822"/>
      <c r="AG399" s="822"/>
      <c r="AH399" s="822"/>
      <c r="AI399" s="822"/>
      <c r="AJ399" s="822"/>
      <c r="AK399" s="822"/>
      <c r="AL399" s="822"/>
      <c r="AM399" s="822"/>
      <c r="AN399" s="826"/>
      <c r="AO399" s="822"/>
      <c r="AP399" s="822"/>
      <c r="AQ399" s="822"/>
      <c r="AR399" s="822"/>
      <c r="AS399" s="822"/>
      <c r="AT399" s="822"/>
      <c r="AU399" s="822"/>
      <c r="AV399" s="822"/>
      <c r="AW399" s="822"/>
      <c r="AX399" s="822"/>
      <c r="AY399" s="822"/>
      <c r="AZ399" s="822">
        <f>+AZ269+AZ233+AZ232+AZ226+AZ218+AZ207+AZ201+AZ192+AZ180+AZ179+AZ173+AZ172+AZ149+AZ148+AZ104+AZ101+AZ98+AZ96+AZ93+AZ86+AZ84</f>
        <v>2584216.2900000005</v>
      </c>
      <c r="BA399" s="822"/>
      <c r="BB399" s="830"/>
      <c r="BC399" s="830"/>
      <c r="BD399" s="822"/>
    </row>
    <row r="400" spans="1:56">
      <c r="A400" s="822"/>
      <c r="B400" s="822"/>
      <c r="C400" s="822"/>
      <c r="D400" s="826"/>
      <c r="E400" s="822"/>
      <c r="F400" s="822"/>
      <c r="G400" s="826"/>
      <c r="H400" s="822"/>
      <c r="I400" s="822"/>
      <c r="J400" s="822"/>
      <c r="K400" s="822"/>
      <c r="L400" s="822"/>
      <c r="M400" s="822"/>
      <c r="N400" s="822"/>
      <c r="O400" s="822"/>
      <c r="P400" s="822"/>
      <c r="Q400" s="3922"/>
      <c r="R400" s="822"/>
      <c r="S400" s="822"/>
      <c r="T400" s="822"/>
      <c r="U400" s="826"/>
      <c r="V400" s="826"/>
      <c r="W400" s="826"/>
      <c r="X400" s="822"/>
      <c r="Y400" s="3346"/>
      <c r="Z400" s="822"/>
      <c r="AA400" s="822"/>
      <c r="AB400" s="822"/>
      <c r="AC400" s="822"/>
      <c r="AD400" s="826"/>
      <c r="AE400" s="822"/>
      <c r="AF400" s="822"/>
      <c r="AG400" s="822"/>
      <c r="AH400" s="822"/>
      <c r="AI400" s="822"/>
      <c r="AJ400" s="822"/>
      <c r="AK400" s="822"/>
      <c r="AL400" s="822"/>
      <c r="AM400" s="822"/>
      <c r="AN400" s="826"/>
      <c r="AO400" s="822"/>
      <c r="AP400" s="822"/>
      <c r="AQ400" s="822"/>
      <c r="AR400" s="822"/>
      <c r="AS400" s="822"/>
      <c r="AT400" s="822"/>
      <c r="AU400" s="822"/>
      <c r="AV400" s="822"/>
      <c r="AW400" s="822"/>
      <c r="AX400" s="822"/>
      <c r="AY400" s="822"/>
      <c r="AZ400" s="822"/>
      <c r="BA400" s="822"/>
      <c r="BB400" s="830"/>
      <c r="BC400" s="830"/>
      <c r="BD400" s="822"/>
    </row>
    <row r="401" spans="1:56">
      <c r="A401" s="822"/>
      <c r="B401" s="822"/>
      <c r="C401" s="822"/>
      <c r="D401" s="826"/>
      <c r="E401" s="822"/>
      <c r="F401" s="822"/>
      <c r="G401" s="826"/>
      <c r="H401" s="822"/>
      <c r="I401" s="822"/>
      <c r="J401" s="822"/>
      <c r="K401" s="822"/>
      <c r="L401" s="822"/>
      <c r="M401" s="822"/>
      <c r="N401" s="822"/>
      <c r="O401" s="822"/>
      <c r="P401" s="822"/>
      <c r="Q401" s="3922"/>
      <c r="R401" s="822"/>
      <c r="S401" s="822"/>
      <c r="T401" s="822"/>
      <c r="U401" s="826"/>
      <c r="V401" s="826"/>
      <c r="W401" s="826"/>
      <c r="X401" s="822"/>
      <c r="Y401" s="3346"/>
      <c r="Z401" s="822"/>
      <c r="AA401" s="822"/>
      <c r="AB401" s="822"/>
      <c r="AC401" s="822"/>
      <c r="AD401" s="826"/>
      <c r="AE401" s="822"/>
      <c r="AF401" s="822"/>
      <c r="AG401" s="822">
        <v>75969227</v>
      </c>
      <c r="AH401" s="822"/>
      <c r="AI401" s="822"/>
      <c r="AJ401" s="822"/>
      <c r="AK401" s="822"/>
      <c r="AL401" s="822"/>
      <c r="AM401" s="822"/>
      <c r="AN401" s="826"/>
      <c r="AO401" s="822"/>
      <c r="AP401" s="822"/>
      <c r="AQ401" s="822"/>
      <c r="AR401" s="822"/>
      <c r="AS401" s="822"/>
      <c r="AT401" s="822"/>
      <c r="AU401" s="822"/>
      <c r="AV401" s="822"/>
      <c r="AW401" s="822"/>
      <c r="AX401" s="822"/>
      <c r="AY401" s="822"/>
      <c r="AZ401" s="822"/>
      <c r="BA401" s="822"/>
      <c r="BB401" s="830"/>
      <c r="BC401" s="830"/>
      <c r="BD401" s="822"/>
    </row>
    <row r="402" spans="1:56">
      <c r="A402" s="822"/>
      <c r="B402" s="822"/>
      <c r="C402" s="822"/>
      <c r="D402" s="826"/>
      <c r="E402" s="822"/>
      <c r="F402" s="822"/>
      <c r="G402" s="826"/>
      <c r="H402" s="822"/>
      <c r="I402" s="822"/>
      <c r="J402" s="822"/>
      <c r="K402" s="822"/>
      <c r="L402" s="822"/>
      <c r="M402" s="822"/>
      <c r="N402" s="822"/>
      <c r="O402" s="822"/>
      <c r="P402" s="822"/>
      <c r="Q402" s="3922"/>
      <c r="R402" s="822"/>
      <c r="S402" s="822"/>
      <c r="T402" s="822"/>
      <c r="U402" s="826"/>
      <c r="V402" s="826"/>
      <c r="W402" s="826"/>
      <c r="X402" s="822"/>
      <c r="Y402" s="3346"/>
      <c r="Z402" s="822"/>
      <c r="AA402" s="822"/>
      <c r="AB402" s="822"/>
      <c r="AC402" s="822"/>
      <c r="AD402" s="826"/>
      <c r="AE402" s="822"/>
      <c r="AF402" s="822"/>
      <c r="AG402" s="822">
        <v>1021958</v>
      </c>
      <c r="AH402" s="3324">
        <f>+AG402/AG401</f>
        <v>1.345226271684981E-2</v>
      </c>
      <c r="AI402" s="822"/>
      <c r="AJ402" s="822"/>
      <c r="AK402" s="822"/>
      <c r="AL402" s="822"/>
      <c r="AM402" s="822"/>
      <c r="AN402" s="826"/>
      <c r="AO402" s="822"/>
      <c r="AP402" s="822"/>
      <c r="AQ402" s="822"/>
      <c r="AR402" s="822"/>
      <c r="AS402" s="822"/>
      <c r="AT402" s="822"/>
      <c r="AU402" s="822"/>
      <c r="AV402" s="822"/>
      <c r="AW402" s="822"/>
      <c r="AX402" s="822"/>
      <c r="AY402" s="822"/>
      <c r="AZ402" s="822"/>
      <c r="BA402" s="822"/>
      <c r="BB402" s="830"/>
      <c r="BC402" s="830"/>
      <c r="BD402" s="822"/>
    </row>
    <row r="403" spans="1:56">
      <c r="A403" s="822"/>
      <c r="B403" s="822"/>
      <c r="C403" s="822"/>
      <c r="D403" s="826"/>
      <c r="E403" s="822"/>
      <c r="F403" s="822"/>
      <c r="G403" s="826"/>
      <c r="H403" s="822"/>
      <c r="I403" s="822"/>
      <c r="J403" s="822"/>
      <c r="K403" s="822"/>
      <c r="L403" s="822"/>
      <c r="M403" s="822"/>
      <c r="N403" s="822"/>
      <c r="O403" s="822"/>
      <c r="P403" s="822"/>
      <c r="Q403" s="3922"/>
      <c r="R403" s="822"/>
      <c r="S403" s="822"/>
      <c r="T403" s="822"/>
      <c r="U403" s="826"/>
      <c r="V403" s="826"/>
      <c r="W403" s="826"/>
      <c r="X403" s="822"/>
      <c r="Y403" s="3346"/>
      <c r="Z403" s="822"/>
      <c r="AA403" s="822"/>
      <c r="AB403" s="822"/>
      <c r="AC403" s="822"/>
      <c r="AD403" s="826"/>
      <c r="AE403" s="822"/>
      <c r="AF403" s="822"/>
      <c r="AG403" s="822">
        <f>+AG402+AG401</f>
        <v>76991185</v>
      </c>
      <c r="AH403" s="822"/>
      <c r="AI403" s="822"/>
      <c r="AJ403" s="822"/>
      <c r="AK403" s="822"/>
      <c r="AL403" s="822"/>
      <c r="AM403" s="822"/>
      <c r="AN403" s="826"/>
      <c r="AO403" s="822"/>
      <c r="AP403" s="822"/>
      <c r="AQ403" s="822"/>
      <c r="AR403" s="822"/>
      <c r="AS403" s="822"/>
      <c r="AT403" s="822"/>
      <c r="AU403" s="822"/>
      <c r="AV403" s="822"/>
      <c r="AW403" s="822"/>
      <c r="AX403" s="822"/>
      <c r="AY403" s="822"/>
      <c r="AZ403" s="822"/>
      <c r="BA403" s="822"/>
      <c r="BB403" s="830"/>
      <c r="BC403" s="830"/>
      <c r="BD403" s="822"/>
    </row>
    <row r="404" spans="1:56">
      <c r="A404" s="822"/>
      <c r="B404" s="822"/>
      <c r="C404" s="822"/>
      <c r="D404" s="826"/>
      <c r="E404" s="822"/>
      <c r="F404" s="822"/>
      <c r="G404" s="826"/>
      <c r="H404" s="822"/>
      <c r="I404" s="822"/>
      <c r="J404" s="822"/>
      <c r="K404" s="822"/>
      <c r="L404" s="822"/>
      <c r="M404" s="822"/>
      <c r="N404" s="822"/>
      <c r="O404" s="822"/>
      <c r="P404" s="822"/>
      <c r="Q404" s="3922"/>
      <c r="R404" s="822"/>
      <c r="S404" s="822"/>
      <c r="T404" s="822"/>
      <c r="U404" s="826"/>
      <c r="V404" s="826"/>
      <c r="W404" s="826"/>
      <c r="X404" s="822"/>
      <c r="Y404" s="3346"/>
      <c r="Z404" s="822"/>
      <c r="AA404" s="822"/>
      <c r="AB404" s="822"/>
      <c r="AC404" s="822"/>
      <c r="AD404" s="826"/>
      <c r="AE404" s="822"/>
      <c r="AF404" s="822"/>
      <c r="AG404" s="822"/>
      <c r="AH404" s="822"/>
      <c r="AI404" s="822"/>
      <c r="AJ404" s="822"/>
      <c r="AK404" s="822"/>
      <c r="AL404" s="822"/>
      <c r="AM404" s="822"/>
      <c r="AN404" s="826"/>
      <c r="AO404" s="822"/>
      <c r="AP404" s="822"/>
      <c r="AQ404" s="822"/>
      <c r="AR404" s="822"/>
      <c r="AS404" s="822"/>
      <c r="AT404" s="822"/>
      <c r="AU404" s="822"/>
      <c r="AV404" s="822"/>
      <c r="AW404" s="822"/>
      <c r="AX404" s="822"/>
      <c r="AY404" s="822"/>
      <c r="AZ404" s="822">
        <f>+AZ61+AZ62+AZ63+AZ64+AZ65+AZ66</f>
        <v>-14273321.1</v>
      </c>
      <c r="BA404" s="822"/>
      <c r="BB404" s="830"/>
      <c r="BC404" s="830"/>
      <c r="BD404" s="822"/>
    </row>
    <row r="405" spans="1:56">
      <c r="A405" s="822"/>
      <c r="B405" s="822"/>
      <c r="C405" s="822"/>
      <c r="D405" s="826"/>
      <c r="E405" s="822"/>
      <c r="F405" s="822"/>
      <c r="G405" s="826"/>
      <c r="H405" s="822"/>
      <c r="I405" s="822"/>
      <c r="J405" s="822"/>
      <c r="K405" s="822"/>
      <c r="L405" s="822"/>
      <c r="M405" s="822"/>
      <c r="N405" s="822"/>
      <c r="O405" s="822"/>
      <c r="P405" s="822"/>
      <c r="Q405" s="3922"/>
      <c r="R405" s="822"/>
      <c r="S405" s="822"/>
      <c r="T405" s="822"/>
      <c r="U405" s="826"/>
      <c r="V405" s="826"/>
      <c r="W405" s="826"/>
      <c r="X405" s="822"/>
      <c r="Y405" s="3346"/>
      <c r="Z405" s="822"/>
      <c r="AA405" s="822"/>
      <c r="AB405" s="822"/>
      <c r="AC405" s="822"/>
      <c r="AD405" s="826"/>
      <c r="AE405" s="822"/>
      <c r="AF405" s="822"/>
      <c r="AG405" s="822"/>
      <c r="AH405" s="822"/>
      <c r="AI405" s="822"/>
      <c r="AJ405" s="822"/>
      <c r="AK405" s="822"/>
      <c r="AL405" s="822"/>
      <c r="AM405" s="822"/>
      <c r="AN405" s="826"/>
      <c r="AO405" s="822"/>
      <c r="AP405" s="822"/>
      <c r="AQ405" s="822"/>
      <c r="AR405" s="822"/>
      <c r="AS405" s="822"/>
      <c r="AT405" s="822"/>
      <c r="AU405" s="822"/>
      <c r="AV405" s="822"/>
      <c r="AW405" s="822"/>
      <c r="AX405" s="822"/>
      <c r="AY405" s="822"/>
      <c r="AZ405" s="822"/>
      <c r="BA405" s="822"/>
      <c r="BB405" s="830"/>
      <c r="BC405" s="830"/>
      <c r="BD405" s="822"/>
    </row>
    <row r="406" spans="1:56">
      <c r="A406" s="822"/>
      <c r="B406" s="822"/>
      <c r="C406" s="822"/>
      <c r="D406" s="826"/>
      <c r="E406" s="822"/>
      <c r="F406" s="822"/>
      <c r="G406" s="826"/>
      <c r="H406" s="822"/>
      <c r="I406" s="822"/>
      <c r="J406" s="822"/>
      <c r="K406" s="822"/>
      <c r="L406" s="822"/>
      <c r="M406" s="822"/>
      <c r="N406" s="822"/>
      <c r="O406" s="822"/>
      <c r="P406" s="822"/>
      <c r="Q406" s="3922"/>
      <c r="R406" s="822"/>
      <c r="S406" s="822"/>
      <c r="T406" s="822"/>
      <c r="U406" s="826"/>
      <c r="V406" s="826"/>
      <c r="W406" s="826"/>
      <c r="X406" s="822"/>
      <c r="Y406" s="3346"/>
      <c r="Z406" s="822"/>
      <c r="AA406" s="822"/>
      <c r="AB406" s="822"/>
      <c r="AC406" s="822"/>
      <c r="AD406" s="826"/>
      <c r="AE406" s="822"/>
      <c r="AF406" s="822"/>
      <c r="AG406" s="822"/>
      <c r="AH406" s="822"/>
      <c r="AI406" s="822"/>
      <c r="AJ406" s="822"/>
      <c r="AK406" s="822"/>
      <c r="AL406" s="822"/>
      <c r="AM406" s="822"/>
      <c r="AN406" s="826"/>
      <c r="AO406" s="822"/>
      <c r="AP406" s="822"/>
      <c r="AQ406" s="822"/>
      <c r="AR406" s="822"/>
      <c r="AS406" s="822"/>
      <c r="AT406" s="822"/>
      <c r="AU406" s="822"/>
      <c r="AV406" s="822"/>
      <c r="AW406" s="822"/>
      <c r="AX406" s="822"/>
      <c r="AY406" s="822"/>
      <c r="AZ406" s="822"/>
      <c r="BA406" s="822"/>
      <c r="BB406" s="830"/>
      <c r="BC406" s="830"/>
      <c r="BD406" s="822"/>
    </row>
    <row r="407" spans="1:56">
      <c r="A407" s="822"/>
      <c r="B407" s="822"/>
      <c r="C407" s="822"/>
      <c r="D407" s="826"/>
      <c r="E407" s="822"/>
      <c r="F407" s="822"/>
      <c r="G407" s="826"/>
      <c r="H407" s="822"/>
      <c r="I407" s="822"/>
      <c r="J407" s="822"/>
      <c r="K407" s="822"/>
      <c r="L407" s="822"/>
      <c r="M407" s="822"/>
      <c r="N407" s="822"/>
      <c r="O407" s="822"/>
      <c r="P407" s="822"/>
      <c r="Q407" s="3922"/>
      <c r="R407" s="822"/>
      <c r="S407" s="822"/>
      <c r="T407" s="822"/>
      <c r="U407" s="826"/>
      <c r="V407" s="826"/>
      <c r="W407" s="826"/>
      <c r="X407" s="822"/>
      <c r="Y407" s="3346"/>
      <c r="Z407" s="822"/>
      <c r="AA407" s="822"/>
      <c r="AB407" s="822"/>
      <c r="AC407" s="822"/>
      <c r="AD407" s="826"/>
      <c r="AE407" s="822"/>
      <c r="AF407" s="822"/>
      <c r="AG407" s="822"/>
      <c r="AH407" s="822"/>
      <c r="AI407" s="822"/>
      <c r="AJ407" s="822"/>
      <c r="AK407" s="822"/>
      <c r="AL407" s="822"/>
      <c r="AM407" s="822"/>
      <c r="AN407" s="826"/>
      <c r="AO407" s="822"/>
      <c r="AP407" s="822"/>
      <c r="AQ407" s="822"/>
      <c r="AR407" s="822"/>
      <c r="AS407" s="822"/>
      <c r="AT407" s="822"/>
      <c r="AU407" s="822"/>
      <c r="AV407" s="822"/>
      <c r="AW407" s="822"/>
      <c r="AX407" s="822"/>
      <c r="AY407" s="822"/>
      <c r="AZ407" s="3323">
        <f>+AZ61+AZ62+AZ63+AZ64+AZ65+AZ66+AZ68+AZ76+AZ89+AZ91+AZ92+AZ97+AZ100+AZ116+AZ132+AZ146+AZ177+AZ183+AZ190+AZ197+AZ211+AZ222+AZ256+AZ277</f>
        <v>-50131848.279999994</v>
      </c>
      <c r="BA407" s="822"/>
      <c r="BB407" s="830"/>
      <c r="BC407" s="830"/>
      <c r="BD407" s="822"/>
    </row>
    <row r="408" spans="1:56">
      <c r="A408" s="822"/>
      <c r="B408" s="822"/>
      <c r="C408" s="822"/>
      <c r="D408" s="826"/>
      <c r="E408" s="822"/>
      <c r="F408" s="822"/>
      <c r="G408" s="826"/>
      <c r="H408" s="822"/>
      <c r="I408" s="822"/>
      <c r="J408" s="822"/>
      <c r="K408" s="822"/>
      <c r="L408" s="822"/>
      <c r="M408" s="822"/>
      <c r="N408" s="822"/>
      <c r="O408" s="822"/>
      <c r="P408" s="822"/>
      <c r="Q408" s="3922"/>
      <c r="R408" s="822"/>
      <c r="S408" s="822"/>
      <c r="T408" s="822"/>
      <c r="U408" s="826"/>
      <c r="V408" s="826"/>
      <c r="W408" s="826"/>
      <c r="X408" s="822"/>
      <c r="Y408" s="3346"/>
      <c r="Z408" s="822"/>
      <c r="AA408" s="822"/>
      <c r="AB408" s="822"/>
      <c r="AC408" s="822"/>
      <c r="AD408" s="826"/>
      <c r="AE408" s="822"/>
      <c r="AF408" s="822"/>
      <c r="AG408" s="822"/>
      <c r="AH408" s="822"/>
      <c r="AI408" s="822"/>
      <c r="AJ408" s="822"/>
      <c r="AK408" s="822"/>
      <c r="AL408" s="822"/>
      <c r="AM408" s="822"/>
      <c r="AN408" s="826"/>
      <c r="AO408" s="822"/>
      <c r="AP408" s="822"/>
      <c r="AQ408" s="822"/>
      <c r="AR408" s="822"/>
      <c r="AS408" s="822"/>
      <c r="AT408" s="822"/>
      <c r="AU408" s="822"/>
      <c r="AV408" s="822"/>
      <c r="AW408" s="822"/>
      <c r="AX408" s="822"/>
      <c r="AY408" s="822"/>
      <c r="AZ408" s="822"/>
      <c r="BA408" s="822"/>
      <c r="BB408" s="830"/>
      <c r="BC408" s="830"/>
      <c r="BD408" s="822"/>
    </row>
    <row r="409" spans="1:56">
      <c r="A409" s="822"/>
      <c r="B409" s="822"/>
      <c r="C409" s="822"/>
      <c r="D409" s="826"/>
      <c r="E409" s="822"/>
      <c r="F409" s="822"/>
      <c r="G409" s="826"/>
      <c r="H409" s="822"/>
      <c r="I409" s="822"/>
      <c r="J409" s="822"/>
      <c r="K409" s="822"/>
      <c r="L409" s="822"/>
      <c r="M409" s="822"/>
      <c r="N409" s="822"/>
      <c r="O409" s="822"/>
      <c r="P409" s="822"/>
      <c r="Q409" s="3922"/>
      <c r="R409" s="822"/>
      <c r="S409" s="822"/>
      <c r="T409" s="822"/>
      <c r="U409" s="826"/>
      <c r="V409" s="826"/>
      <c r="W409" s="826"/>
      <c r="X409" s="822"/>
      <c r="Y409" s="3346"/>
      <c r="Z409" s="822"/>
      <c r="AA409" s="822"/>
      <c r="AB409" s="822"/>
      <c r="AC409" s="822"/>
      <c r="AD409" s="826"/>
      <c r="AE409" s="822"/>
      <c r="AF409" s="822"/>
      <c r="AG409" s="822"/>
      <c r="AH409" s="822"/>
      <c r="AI409" s="822"/>
      <c r="AJ409" s="822"/>
      <c r="AK409" s="822"/>
      <c r="AL409" s="822"/>
      <c r="AM409" s="822"/>
      <c r="AN409" s="826"/>
      <c r="AO409" s="822"/>
      <c r="AP409" s="822"/>
      <c r="AQ409" s="822"/>
      <c r="AR409" s="822"/>
      <c r="AS409" s="822"/>
      <c r="AT409" s="822"/>
      <c r="AU409" s="822"/>
      <c r="AV409" s="822"/>
      <c r="AW409" s="822"/>
      <c r="AX409" s="822"/>
      <c r="AY409" s="822"/>
      <c r="AZ409" s="822"/>
      <c r="BA409" s="822"/>
      <c r="BB409" s="830"/>
      <c r="BC409" s="830"/>
      <c r="BD409" s="822"/>
    </row>
    <row r="410" spans="1:56">
      <c r="A410" s="822"/>
      <c r="B410" s="822"/>
      <c r="C410" s="822"/>
      <c r="D410" s="826"/>
      <c r="E410" s="822"/>
      <c r="F410" s="822"/>
      <c r="G410" s="826"/>
      <c r="H410" s="822"/>
      <c r="I410" s="822"/>
      <c r="J410" s="822"/>
      <c r="K410" s="822"/>
      <c r="L410" s="822"/>
      <c r="M410" s="822"/>
      <c r="N410" s="822"/>
      <c r="O410" s="822"/>
      <c r="P410" s="822"/>
      <c r="Q410" s="3922"/>
      <c r="R410" s="822"/>
      <c r="S410" s="822"/>
      <c r="T410" s="822"/>
      <c r="U410" s="826"/>
      <c r="V410" s="826"/>
      <c r="W410" s="826"/>
      <c r="X410" s="822"/>
      <c r="Y410" s="3346"/>
      <c r="Z410" s="822"/>
      <c r="AA410" s="822"/>
      <c r="AB410" s="822"/>
      <c r="AC410" s="822"/>
      <c r="AD410" s="826"/>
      <c r="AE410" s="822"/>
      <c r="AF410" s="822"/>
      <c r="AG410" s="822"/>
      <c r="AH410" s="822"/>
      <c r="AI410" s="822"/>
      <c r="AJ410" s="822"/>
      <c r="AK410" s="822"/>
      <c r="AL410" s="822"/>
      <c r="AM410" s="822"/>
      <c r="AN410" s="826"/>
      <c r="AO410" s="822"/>
      <c r="AP410" s="822"/>
      <c r="AQ410" s="822"/>
      <c r="AR410" s="822"/>
      <c r="AS410" s="822"/>
      <c r="AT410" s="822"/>
      <c r="AU410" s="822"/>
      <c r="AV410" s="822"/>
      <c r="AW410" s="822"/>
      <c r="AX410" s="822"/>
      <c r="AY410" s="822"/>
      <c r="AZ410" s="822"/>
      <c r="BA410" s="822"/>
      <c r="BB410" s="830"/>
      <c r="BC410" s="830"/>
      <c r="BD410" s="822"/>
    </row>
    <row r="411" spans="1:56">
      <c r="A411" s="822"/>
      <c r="B411" s="822"/>
      <c r="C411" s="822"/>
      <c r="D411" s="826"/>
      <c r="E411" s="822"/>
      <c r="F411" s="822"/>
      <c r="G411" s="826"/>
      <c r="H411" s="822"/>
      <c r="I411" s="822"/>
      <c r="J411" s="822"/>
      <c r="K411" s="822"/>
      <c r="L411" s="822"/>
      <c r="M411" s="822"/>
      <c r="N411" s="822"/>
      <c r="O411" s="822"/>
      <c r="P411" s="822"/>
      <c r="Q411" s="3922"/>
      <c r="R411" s="822"/>
      <c r="S411" s="822"/>
      <c r="T411" s="822"/>
      <c r="U411" s="826"/>
      <c r="V411" s="826"/>
      <c r="W411" s="826"/>
      <c r="X411" s="822"/>
      <c r="Y411" s="3346"/>
      <c r="Z411" s="822"/>
      <c r="AA411" s="822"/>
      <c r="AB411" s="822"/>
      <c r="AC411" s="822"/>
      <c r="AD411" s="826"/>
      <c r="AE411" s="822"/>
      <c r="AF411" s="822"/>
      <c r="AG411" s="822"/>
      <c r="AH411" s="822"/>
      <c r="AI411" s="822"/>
      <c r="AJ411" s="822"/>
      <c r="AK411" s="822"/>
      <c r="AL411" s="822"/>
      <c r="AM411" s="822"/>
      <c r="AN411" s="826"/>
      <c r="AO411" s="822"/>
      <c r="AP411" s="822"/>
      <c r="AQ411" s="822"/>
      <c r="AR411" s="822"/>
      <c r="AS411" s="822"/>
      <c r="AT411" s="822"/>
      <c r="AU411" s="822"/>
      <c r="AV411" s="822"/>
      <c r="AW411" s="822"/>
      <c r="AX411" s="822"/>
      <c r="AY411" s="822"/>
      <c r="AZ411" s="822"/>
      <c r="BA411" s="822"/>
      <c r="BB411" s="830"/>
      <c r="BC411" s="830"/>
      <c r="BD411" s="822"/>
    </row>
    <row r="412" spans="1:56">
      <c r="A412" s="822"/>
      <c r="B412" s="822"/>
      <c r="C412" s="822"/>
      <c r="D412" s="826"/>
      <c r="E412" s="822"/>
      <c r="F412" s="822"/>
      <c r="G412" s="826"/>
      <c r="H412" s="822"/>
      <c r="I412" s="822"/>
      <c r="J412" s="822"/>
      <c r="K412" s="822"/>
      <c r="L412" s="822"/>
      <c r="M412" s="822"/>
      <c r="N412" s="822"/>
      <c r="O412" s="822"/>
      <c r="P412" s="822"/>
      <c r="Q412" s="3922"/>
      <c r="R412" s="822"/>
      <c r="S412" s="822"/>
      <c r="T412" s="822"/>
      <c r="U412" s="826"/>
      <c r="V412" s="826"/>
      <c r="W412" s="826"/>
      <c r="X412" s="822"/>
      <c r="Y412" s="3346"/>
      <c r="Z412" s="822"/>
      <c r="AA412" s="822"/>
      <c r="AB412" s="822"/>
      <c r="AC412" s="822"/>
      <c r="AD412" s="826"/>
      <c r="AE412" s="822"/>
      <c r="AF412" s="822"/>
      <c r="AG412" s="822"/>
      <c r="AH412" s="822"/>
      <c r="AI412" s="822"/>
      <c r="AJ412" s="822"/>
      <c r="AK412" s="822"/>
      <c r="AL412" s="822"/>
      <c r="AM412" s="822"/>
      <c r="AN412" s="826"/>
      <c r="AO412" s="822"/>
      <c r="AP412" s="822"/>
      <c r="AQ412" s="822"/>
      <c r="AR412" s="822"/>
      <c r="AS412" s="822"/>
      <c r="AT412" s="822"/>
      <c r="AU412" s="822"/>
      <c r="AV412" s="822"/>
      <c r="AW412" s="822"/>
      <c r="AX412" s="822"/>
      <c r="AY412" s="822"/>
      <c r="AZ412" s="822"/>
      <c r="BA412" s="822"/>
      <c r="BB412" s="830"/>
      <c r="BC412" s="830"/>
      <c r="BD412" s="822"/>
    </row>
    <row r="413" spans="1:56">
      <c r="A413" s="822"/>
      <c r="B413" s="822"/>
      <c r="C413" s="822"/>
      <c r="D413" s="826"/>
      <c r="E413" s="822"/>
      <c r="F413" s="822"/>
      <c r="G413" s="826"/>
      <c r="H413" s="822"/>
      <c r="I413" s="822"/>
      <c r="J413" s="822"/>
      <c r="K413" s="822"/>
      <c r="L413" s="822"/>
      <c r="M413" s="822"/>
      <c r="N413" s="822"/>
      <c r="O413" s="822"/>
      <c r="P413" s="822"/>
      <c r="Q413" s="3922"/>
      <c r="R413" s="822"/>
      <c r="S413" s="822"/>
      <c r="T413" s="822"/>
      <c r="U413" s="826"/>
      <c r="V413" s="826"/>
      <c r="W413" s="826"/>
      <c r="X413" s="822"/>
      <c r="Y413" s="3346"/>
      <c r="Z413" s="822"/>
      <c r="AA413" s="822"/>
      <c r="AB413" s="822"/>
      <c r="AC413" s="822"/>
      <c r="AD413" s="826"/>
      <c r="AE413" s="822"/>
      <c r="AF413" s="822"/>
      <c r="AG413" s="822"/>
      <c r="AH413" s="822"/>
      <c r="AI413" s="822"/>
      <c r="AJ413" s="822"/>
      <c r="AK413" s="822"/>
      <c r="AL413" s="822"/>
      <c r="AM413" s="822"/>
      <c r="AN413" s="826"/>
      <c r="AO413" s="822"/>
      <c r="AP413" s="822"/>
      <c r="AQ413" s="822"/>
      <c r="AR413" s="822"/>
      <c r="AS413" s="822"/>
      <c r="AT413" s="822"/>
      <c r="AU413" s="822"/>
      <c r="AV413" s="822"/>
      <c r="AW413" s="822"/>
      <c r="AX413" s="822"/>
      <c r="AY413" s="822"/>
      <c r="AZ413" s="822"/>
      <c r="BA413" s="822"/>
      <c r="BB413" s="830"/>
      <c r="BC413" s="830"/>
      <c r="BD413" s="822"/>
    </row>
    <row r="414" spans="1:56">
      <c r="A414" s="822"/>
      <c r="B414" s="822"/>
      <c r="C414" s="822"/>
      <c r="D414" s="826"/>
      <c r="E414" s="822"/>
      <c r="F414" s="822"/>
      <c r="G414" s="826"/>
      <c r="H414" s="822"/>
      <c r="I414" s="822"/>
      <c r="J414" s="822"/>
      <c r="K414" s="822"/>
      <c r="L414" s="822"/>
      <c r="M414" s="822"/>
      <c r="N414" s="822"/>
      <c r="O414" s="822"/>
      <c r="P414" s="822"/>
      <c r="Q414" s="3922"/>
      <c r="R414" s="822"/>
      <c r="S414" s="822"/>
      <c r="T414" s="822"/>
      <c r="U414" s="826"/>
      <c r="V414" s="826"/>
      <c r="W414" s="826"/>
      <c r="X414" s="822"/>
      <c r="Y414" s="3346"/>
      <c r="Z414" s="822"/>
      <c r="AA414" s="822"/>
      <c r="AB414" s="822"/>
      <c r="AC414" s="822"/>
      <c r="AD414" s="826"/>
      <c r="AE414" s="822"/>
      <c r="AF414" s="822"/>
      <c r="AG414" s="822"/>
      <c r="AH414" s="822"/>
      <c r="AI414" s="822"/>
      <c r="AJ414" s="822"/>
      <c r="AK414" s="822"/>
      <c r="AL414" s="822"/>
      <c r="AM414" s="822"/>
      <c r="AN414" s="826"/>
      <c r="AO414" s="822"/>
      <c r="AP414" s="822"/>
      <c r="AQ414" s="822"/>
      <c r="AR414" s="822"/>
      <c r="AS414" s="822"/>
      <c r="AT414" s="822"/>
      <c r="AU414" s="822"/>
      <c r="AV414" s="822"/>
      <c r="AW414" s="822"/>
      <c r="AX414" s="822"/>
      <c r="AY414" s="822"/>
      <c r="AZ414" s="822"/>
      <c r="BA414" s="822"/>
      <c r="BB414" s="830"/>
      <c r="BC414" s="830"/>
      <c r="BD414" s="822"/>
    </row>
    <row r="415" spans="1:56">
      <c r="A415" s="822"/>
      <c r="B415" s="822"/>
      <c r="C415" s="822"/>
      <c r="D415" s="826"/>
      <c r="E415" s="822"/>
      <c r="F415" s="822"/>
      <c r="G415" s="826"/>
      <c r="H415" s="822"/>
      <c r="I415" s="822"/>
      <c r="J415" s="822"/>
      <c r="K415" s="822"/>
      <c r="L415" s="822"/>
      <c r="M415" s="822"/>
      <c r="N415" s="822"/>
      <c r="O415" s="822"/>
      <c r="P415" s="822"/>
      <c r="Q415" s="3922"/>
      <c r="R415" s="822"/>
      <c r="S415" s="822"/>
      <c r="T415" s="822"/>
      <c r="U415" s="826"/>
      <c r="V415" s="826"/>
      <c r="W415" s="826"/>
      <c r="X415" s="822"/>
      <c r="Y415" s="3346"/>
      <c r="Z415" s="822"/>
      <c r="AA415" s="822"/>
      <c r="AB415" s="822"/>
      <c r="AC415" s="822"/>
      <c r="AD415" s="826"/>
      <c r="AE415" s="822"/>
      <c r="AF415" s="822"/>
      <c r="AG415" s="822"/>
      <c r="AH415" s="822"/>
      <c r="AI415" s="822"/>
      <c r="AJ415" s="822"/>
      <c r="AK415" s="822"/>
      <c r="AL415" s="822"/>
      <c r="AM415" s="822"/>
      <c r="AN415" s="826"/>
      <c r="AO415" s="822"/>
      <c r="AP415" s="822"/>
      <c r="AQ415" s="822"/>
      <c r="AR415" s="822"/>
      <c r="AS415" s="822"/>
      <c r="AT415" s="822"/>
      <c r="AU415" s="822"/>
      <c r="AV415" s="822"/>
      <c r="AW415" s="822"/>
      <c r="AX415" s="822"/>
      <c r="AY415" s="822"/>
      <c r="AZ415" s="822"/>
      <c r="BA415" s="822"/>
      <c r="BB415" s="830"/>
      <c r="BC415" s="830"/>
      <c r="BD415" s="822"/>
    </row>
    <row r="416" spans="1:56">
      <c r="A416" s="822"/>
      <c r="B416" s="822"/>
      <c r="C416" s="822"/>
      <c r="D416" s="826"/>
      <c r="E416" s="822"/>
      <c r="F416" s="822"/>
      <c r="G416" s="826"/>
      <c r="H416" s="822"/>
      <c r="I416" s="822"/>
      <c r="J416" s="822"/>
      <c r="K416" s="822"/>
      <c r="L416" s="822"/>
      <c r="M416" s="822"/>
      <c r="N416" s="822"/>
      <c r="O416" s="822"/>
      <c r="P416" s="822"/>
      <c r="Q416" s="3922"/>
      <c r="R416" s="822"/>
      <c r="S416" s="822"/>
      <c r="T416" s="822"/>
      <c r="U416" s="826"/>
      <c r="V416" s="826"/>
      <c r="W416" s="826"/>
      <c r="X416" s="822"/>
      <c r="Y416" s="3346"/>
      <c r="Z416" s="822"/>
      <c r="AA416" s="822"/>
      <c r="AB416" s="822"/>
      <c r="AC416" s="822"/>
      <c r="AD416" s="826"/>
      <c r="AE416" s="822"/>
      <c r="AF416" s="822"/>
      <c r="AG416" s="822"/>
      <c r="AH416" s="822"/>
      <c r="AI416" s="822"/>
      <c r="AJ416" s="822"/>
      <c r="AK416" s="822"/>
      <c r="AL416" s="822"/>
      <c r="AM416" s="822"/>
      <c r="AN416" s="826"/>
      <c r="AO416" s="822"/>
      <c r="AP416" s="822"/>
      <c r="AQ416" s="822"/>
      <c r="AR416" s="822"/>
      <c r="AS416" s="822"/>
      <c r="AT416" s="822"/>
      <c r="AU416" s="822"/>
      <c r="AV416" s="822"/>
      <c r="AW416" s="822"/>
      <c r="AX416" s="822"/>
      <c r="AY416" s="822"/>
      <c r="AZ416" s="822"/>
      <c r="BA416" s="822"/>
      <c r="BB416" s="830"/>
      <c r="BC416" s="830"/>
      <c r="BD416" s="822"/>
    </row>
    <row r="417" spans="1:56">
      <c r="A417" s="822"/>
      <c r="B417" s="822"/>
      <c r="C417" s="822"/>
      <c r="D417" s="826"/>
      <c r="E417" s="822"/>
      <c r="F417" s="822"/>
      <c r="G417" s="826"/>
      <c r="H417" s="822"/>
      <c r="I417" s="822"/>
      <c r="J417" s="822"/>
      <c r="K417" s="822"/>
      <c r="L417" s="822"/>
      <c r="M417" s="822"/>
      <c r="N417" s="822"/>
      <c r="O417" s="822"/>
      <c r="P417" s="822"/>
      <c r="Q417" s="3922"/>
      <c r="R417" s="822"/>
      <c r="S417" s="822"/>
      <c r="T417" s="822"/>
      <c r="U417" s="826"/>
      <c r="V417" s="826"/>
      <c r="W417" s="826"/>
      <c r="X417" s="822"/>
      <c r="Y417" s="3346"/>
      <c r="Z417" s="822"/>
      <c r="AA417" s="822"/>
      <c r="AB417" s="822"/>
      <c r="AC417" s="822"/>
      <c r="AD417" s="826"/>
      <c r="AE417" s="822"/>
      <c r="AF417" s="822"/>
      <c r="AG417" s="822"/>
      <c r="AH417" s="822"/>
      <c r="AI417" s="822"/>
      <c r="AJ417" s="822"/>
      <c r="AK417" s="822"/>
      <c r="AL417" s="822"/>
      <c r="AM417" s="822"/>
      <c r="AN417" s="826"/>
      <c r="AO417" s="822"/>
      <c r="AP417" s="822"/>
      <c r="AQ417" s="822"/>
      <c r="AR417" s="822"/>
      <c r="AS417" s="822"/>
      <c r="AT417" s="822"/>
      <c r="AU417" s="822"/>
      <c r="AV417" s="822"/>
      <c r="AW417" s="822"/>
      <c r="AX417" s="822"/>
      <c r="AY417" s="822"/>
      <c r="AZ417" s="822"/>
      <c r="BA417" s="822"/>
      <c r="BB417" s="830"/>
      <c r="BC417" s="830"/>
      <c r="BD417" s="822"/>
    </row>
    <row r="418" spans="1:56">
      <c r="A418" s="822"/>
      <c r="B418" s="822"/>
      <c r="C418" s="822"/>
      <c r="D418" s="826"/>
      <c r="E418" s="822"/>
      <c r="F418" s="822"/>
      <c r="G418" s="826"/>
      <c r="H418" s="822"/>
      <c r="I418" s="822"/>
      <c r="J418" s="822"/>
      <c r="K418" s="822"/>
      <c r="L418" s="822"/>
      <c r="M418" s="822"/>
      <c r="N418" s="822"/>
      <c r="O418" s="822"/>
      <c r="P418" s="822"/>
      <c r="Q418" s="3922"/>
      <c r="R418" s="822"/>
      <c r="S418" s="822"/>
      <c r="T418" s="822"/>
      <c r="U418" s="826"/>
      <c r="V418" s="826"/>
      <c r="W418" s="826"/>
      <c r="X418" s="822"/>
      <c r="Y418" s="3346"/>
      <c r="Z418" s="822"/>
      <c r="AA418" s="822"/>
      <c r="AB418" s="822"/>
      <c r="AC418" s="822"/>
      <c r="AD418" s="826"/>
      <c r="AE418" s="822"/>
      <c r="AF418" s="822"/>
      <c r="AG418" s="822"/>
      <c r="AH418" s="822"/>
      <c r="AI418" s="822"/>
      <c r="AJ418" s="822"/>
      <c r="AK418" s="822"/>
      <c r="AL418" s="822"/>
      <c r="AM418" s="822"/>
      <c r="AN418" s="826"/>
      <c r="AO418" s="822"/>
      <c r="AP418" s="822"/>
      <c r="AQ418" s="822"/>
      <c r="AR418" s="822"/>
      <c r="AS418" s="822"/>
      <c r="AT418" s="822"/>
      <c r="AU418" s="822"/>
      <c r="AV418" s="822"/>
      <c r="AW418" s="822"/>
      <c r="AX418" s="822"/>
      <c r="AY418" s="822"/>
      <c r="AZ418" s="822"/>
      <c r="BA418" s="822"/>
      <c r="BB418" s="830"/>
      <c r="BC418" s="830"/>
      <c r="BD418" s="822"/>
    </row>
    <row r="419" spans="1:56">
      <c r="A419" s="822"/>
      <c r="B419" s="822"/>
      <c r="C419" s="822"/>
      <c r="D419" s="826"/>
      <c r="E419" s="822"/>
      <c r="F419" s="822"/>
      <c r="G419" s="826"/>
      <c r="H419" s="822"/>
      <c r="I419" s="822"/>
      <c r="J419" s="822"/>
      <c r="K419" s="822"/>
      <c r="L419" s="822"/>
      <c r="M419" s="822"/>
      <c r="N419" s="822"/>
      <c r="O419" s="822"/>
      <c r="P419" s="822"/>
      <c r="Q419" s="3922"/>
      <c r="R419" s="822"/>
      <c r="S419" s="822"/>
      <c r="T419" s="822"/>
      <c r="U419" s="826"/>
      <c r="V419" s="826"/>
      <c r="W419" s="826"/>
      <c r="X419" s="822"/>
      <c r="Y419" s="3346"/>
      <c r="Z419" s="822"/>
      <c r="AA419" s="822"/>
      <c r="AB419" s="822"/>
      <c r="AC419" s="822"/>
      <c r="AD419" s="826"/>
      <c r="AE419" s="822"/>
      <c r="AF419" s="822"/>
      <c r="AG419" s="822"/>
      <c r="AH419" s="822"/>
      <c r="AI419" s="822"/>
      <c r="AJ419" s="822"/>
      <c r="AK419" s="822"/>
      <c r="AL419" s="822"/>
      <c r="AM419" s="822"/>
      <c r="AN419" s="826"/>
      <c r="AO419" s="822"/>
      <c r="AP419" s="822"/>
      <c r="AQ419" s="822"/>
      <c r="AR419" s="822"/>
      <c r="AS419" s="822"/>
      <c r="AT419" s="822"/>
      <c r="AU419" s="822"/>
      <c r="AV419" s="822"/>
      <c r="AW419" s="822"/>
      <c r="AX419" s="822"/>
      <c r="AY419" s="822"/>
      <c r="AZ419" s="822"/>
      <c r="BA419" s="822"/>
      <c r="BB419" s="830"/>
      <c r="BC419" s="830"/>
      <c r="BD419" s="822"/>
    </row>
    <row r="420" spans="1:56">
      <c r="A420" s="822"/>
      <c r="B420" s="822"/>
      <c r="C420" s="822"/>
      <c r="D420" s="826"/>
      <c r="E420" s="822"/>
      <c r="F420" s="822"/>
      <c r="G420" s="826"/>
      <c r="H420" s="822"/>
      <c r="I420" s="822"/>
      <c r="J420" s="822"/>
      <c r="K420" s="822"/>
      <c r="L420" s="822"/>
      <c r="M420" s="822"/>
      <c r="N420" s="822"/>
      <c r="O420" s="822"/>
      <c r="P420" s="822"/>
      <c r="Q420" s="3922"/>
      <c r="R420" s="822"/>
      <c r="S420" s="822"/>
      <c r="T420" s="822"/>
      <c r="U420" s="826"/>
      <c r="V420" s="826"/>
      <c r="W420" s="826"/>
      <c r="X420" s="822"/>
      <c r="Y420" s="3346"/>
      <c r="Z420" s="822"/>
      <c r="AA420" s="822"/>
      <c r="AB420" s="822"/>
      <c r="AC420" s="822"/>
      <c r="AD420" s="826"/>
      <c r="AE420" s="822"/>
      <c r="AF420" s="822"/>
      <c r="AG420" s="822"/>
      <c r="AH420" s="822"/>
      <c r="AI420" s="822"/>
      <c r="AJ420" s="822"/>
      <c r="AK420" s="822"/>
      <c r="AL420" s="822"/>
      <c r="AM420" s="822"/>
      <c r="AN420" s="826"/>
      <c r="AO420" s="822"/>
      <c r="AP420" s="822"/>
      <c r="AQ420" s="822"/>
      <c r="AR420" s="822"/>
      <c r="AS420" s="822"/>
      <c r="AT420" s="822"/>
      <c r="AU420" s="822"/>
      <c r="AV420" s="822"/>
      <c r="AW420" s="822"/>
      <c r="AX420" s="822"/>
      <c r="AY420" s="822"/>
      <c r="AZ420" s="822"/>
      <c r="BA420" s="822"/>
      <c r="BB420" s="830"/>
      <c r="BC420" s="830"/>
      <c r="BD420" s="822"/>
    </row>
    <row r="421" spans="1:56">
      <c r="A421" s="822"/>
      <c r="B421" s="822"/>
      <c r="C421" s="822"/>
      <c r="D421" s="826"/>
      <c r="E421" s="822"/>
      <c r="F421" s="822"/>
      <c r="G421" s="826"/>
      <c r="H421" s="822"/>
      <c r="I421" s="822"/>
      <c r="J421" s="822"/>
      <c r="K421" s="822"/>
      <c r="L421" s="822"/>
      <c r="M421" s="822"/>
      <c r="N421" s="822"/>
      <c r="O421" s="822"/>
      <c r="P421" s="822"/>
      <c r="Q421" s="3922"/>
      <c r="R421" s="822"/>
      <c r="S421" s="822"/>
      <c r="T421" s="822"/>
      <c r="U421" s="826"/>
      <c r="V421" s="826"/>
      <c r="W421" s="826"/>
      <c r="X421" s="822"/>
      <c r="Y421" s="3346"/>
      <c r="Z421" s="822"/>
      <c r="AA421" s="822"/>
      <c r="AB421" s="822"/>
      <c r="AC421" s="822"/>
      <c r="AD421" s="826"/>
      <c r="AE421" s="822"/>
      <c r="AF421" s="822"/>
      <c r="AG421" s="822"/>
      <c r="AH421" s="822"/>
      <c r="AI421" s="822"/>
      <c r="AJ421" s="822"/>
      <c r="AK421" s="822"/>
      <c r="AL421" s="822"/>
      <c r="AM421" s="822"/>
      <c r="AN421" s="826"/>
      <c r="AO421" s="822"/>
      <c r="AP421" s="822"/>
      <c r="AQ421" s="822"/>
      <c r="AR421" s="822"/>
      <c r="AS421" s="822"/>
      <c r="AT421" s="822"/>
      <c r="AU421" s="822"/>
      <c r="AV421" s="822"/>
      <c r="AW421" s="822"/>
      <c r="AX421" s="822"/>
      <c r="AY421" s="822"/>
      <c r="AZ421" s="822"/>
      <c r="BA421" s="822"/>
      <c r="BB421" s="830"/>
      <c r="BC421" s="830"/>
      <c r="BD421" s="822"/>
    </row>
    <row r="422" spans="1:56">
      <c r="A422" s="822"/>
      <c r="B422" s="822"/>
      <c r="C422" s="822"/>
      <c r="D422" s="826"/>
      <c r="E422" s="822"/>
      <c r="F422" s="822"/>
      <c r="G422" s="826"/>
      <c r="H422" s="822"/>
      <c r="I422" s="822"/>
      <c r="J422" s="822"/>
      <c r="K422" s="822"/>
      <c r="L422" s="822"/>
      <c r="M422" s="822"/>
      <c r="N422" s="822"/>
      <c r="O422" s="822"/>
      <c r="P422" s="822"/>
      <c r="Q422" s="3922"/>
      <c r="R422" s="822"/>
      <c r="S422" s="822"/>
      <c r="T422" s="822"/>
      <c r="U422" s="826"/>
      <c r="V422" s="826"/>
      <c r="W422" s="826"/>
      <c r="X422" s="822"/>
      <c r="Y422" s="3346"/>
      <c r="Z422" s="822"/>
      <c r="AA422" s="822"/>
      <c r="AB422" s="822"/>
      <c r="AC422" s="822"/>
      <c r="AD422" s="826"/>
      <c r="AE422" s="822"/>
      <c r="AF422" s="822"/>
      <c r="AG422" s="822"/>
      <c r="AH422" s="822"/>
      <c r="AI422" s="822"/>
      <c r="AJ422" s="822"/>
      <c r="AK422" s="822"/>
      <c r="AL422" s="822"/>
      <c r="AM422" s="822"/>
      <c r="AN422" s="826"/>
      <c r="AO422" s="822"/>
      <c r="AP422" s="822"/>
      <c r="AQ422" s="822"/>
      <c r="AR422" s="822"/>
      <c r="AS422" s="822"/>
      <c r="AT422" s="822"/>
      <c r="AU422" s="822"/>
      <c r="AV422" s="822"/>
      <c r="AW422" s="822"/>
      <c r="AX422" s="822"/>
      <c r="AY422" s="822"/>
      <c r="AZ422" s="822"/>
      <c r="BA422" s="822"/>
      <c r="BB422" s="830"/>
      <c r="BC422" s="830"/>
      <c r="BD422" s="822"/>
    </row>
    <row r="423" spans="1:56">
      <c r="A423" s="822"/>
      <c r="B423" s="822"/>
      <c r="C423" s="822"/>
      <c r="D423" s="826"/>
      <c r="E423" s="822"/>
      <c r="F423" s="822"/>
      <c r="G423" s="826"/>
      <c r="H423" s="822"/>
      <c r="I423" s="822"/>
      <c r="J423" s="822"/>
      <c r="K423" s="822"/>
      <c r="L423" s="822"/>
      <c r="M423" s="822"/>
      <c r="N423" s="822"/>
      <c r="O423" s="822"/>
      <c r="P423" s="822"/>
      <c r="Q423" s="3922"/>
      <c r="R423" s="822"/>
      <c r="S423" s="822"/>
      <c r="T423" s="822"/>
      <c r="U423" s="826"/>
      <c r="V423" s="826"/>
      <c r="W423" s="826"/>
      <c r="X423" s="822"/>
      <c r="Y423" s="3346"/>
      <c r="Z423" s="822"/>
      <c r="AA423" s="822"/>
      <c r="AB423" s="822"/>
      <c r="AC423" s="822"/>
      <c r="AD423" s="826"/>
      <c r="AE423" s="822"/>
      <c r="AF423" s="822"/>
      <c r="AG423" s="822"/>
      <c r="AH423" s="822"/>
      <c r="AI423" s="822"/>
      <c r="AJ423" s="822"/>
      <c r="AK423" s="822"/>
      <c r="AL423" s="822"/>
      <c r="AM423" s="822"/>
      <c r="AN423" s="826"/>
      <c r="AO423" s="822"/>
      <c r="AP423" s="822"/>
      <c r="AQ423" s="822"/>
      <c r="AR423" s="822"/>
      <c r="AS423" s="822"/>
      <c r="AT423" s="822"/>
      <c r="AU423" s="822"/>
      <c r="AV423" s="822"/>
      <c r="AW423" s="822"/>
      <c r="AX423" s="822"/>
      <c r="AY423" s="822"/>
      <c r="AZ423" s="822"/>
      <c r="BA423" s="822"/>
      <c r="BB423" s="830"/>
      <c r="BC423" s="830"/>
      <c r="BD423" s="822"/>
    </row>
    <row r="424" spans="1:56">
      <c r="A424" s="822"/>
      <c r="B424" s="822"/>
      <c r="C424" s="822"/>
      <c r="D424" s="826"/>
      <c r="E424" s="822"/>
      <c r="F424" s="822"/>
      <c r="G424" s="826"/>
      <c r="H424" s="822"/>
      <c r="I424" s="822"/>
      <c r="J424" s="822"/>
      <c r="K424" s="822"/>
      <c r="L424" s="822"/>
      <c r="M424" s="822"/>
      <c r="N424" s="822"/>
      <c r="O424" s="822"/>
      <c r="P424" s="822"/>
      <c r="Q424" s="3922"/>
      <c r="R424" s="822"/>
      <c r="S424" s="822"/>
      <c r="T424" s="822"/>
      <c r="U424" s="826"/>
      <c r="V424" s="826"/>
      <c r="W424" s="826"/>
      <c r="X424" s="822"/>
      <c r="Y424" s="3346"/>
      <c r="Z424" s="822"/>
      <c r="AA424" s="822"/>
      <c r="AB424" s="822"/>
      <c r="AC424" s="822"/>
      <c r="AD424" s="826"/>
      <c r="AE424" s="822"/>
      <c r="AF424" s="822"/>
      <c r="AG424" s="822"/>
      <c r="AH424" s="822"/>
      <c r="AI424" s="822"/>
      <c r="AJ424" s="822"/>
      <c r="AK424" s="822"/>
      <c r="AL424" s="822"/>
      <c r="AM424" s="822"/>
      <c r="AN424" s="826"/>
      <c r="AO424" s="822"/>
      <c r="AP424" s="822"/>
      <c r="AQ424" s="822"/>
      <c r="AR424" s="822"/>
      <c r="AS424" s="822"/>
      <c r="AT424" s="822"/>
      <c r="AU424" s="822"/>
      <c r="AV424" s="822"/>
      <c r="AW424" s="822"/>
      <c r="AX424" s="822"/>
      <c r="AY424" s="822"/>
      <c r="AZ424" s="822"/>
      <c r="BA424" s="822"/>
      <c r="BB424" s="830"/>
      <c r="BC424" s="830"/>
      <c r="BD424" s="822"/>
    </row>
    <row r="425" spans="1:56">
      <c r="A425" s="822"/>
      <c r="B425" s="822"/>
      <c r="C425" s="822"/>
      <c r="D425" s="826"/>
      <c r="E425" s="822"/>
      <c r="F425" s="822"/>
      <c r="G425" s="826"/>
      <c r="H425" s="822"/>
      <c r="I425" s="822"/>
      <c r="J425" s="822"/>
      <c r="K425" s="822"/>
      <c r="L425" s="822"/>
      <c r="M425" s="822"/>
      <c r="N425" s="822"/>
      <c r="O425" s="822"/>
      <c r="P425" s="822"/>
      <c r="Q425" s="3922"/>
      <c r="R425" s="822"/>
      <c r="S425" s="822"/>
      <c r="T425" s="822"/>
      <c r="U425" s="826"/>
      <c r="V425" s="826"/>
      <c r="W425" s="826"/>
      <c r="X425" s="822"/>
      <c r="Y425" s="3346"/>
      <c r="Z425" s="822"/>
      <c r="AA425" s="822"/>
      <c r="AB425" s="822"/>
      <c r="AC425" s="822"/>
      <c r="AD425" s="826"/>
      <c r="AE425" s="822"/>
      <c r="AF425" s="822"/>
      <c r="AG425" s="822"/>
      <c r="AH425" s="822"/>
      <c r="AI425" s="822"/>
      <c r="AJ425" s="822"/>
      <c r="AK425" s="822"/>
      <c r="AL425" s="822"/>
      <c r="AM425" s="822"/>
      <c r="AN425" s="826"/>
      <c r="AO425" s="822"/>
      <c r="AP425" s="822"/>
      <c r="AQ425" s="822"/>
      <c r="AR425" s="822"/>
      <c r="AS425" s="822"/>
      <c r="AT425" s="822"/>
      <c r="AU425" s="822"/>
      <c r="AV425" s="822"/>
      <c r="AW425" s="822"/>
      <c r="AX425" s="822"/>
      <c r="AY425" s="822"/>
      <c r="AZ425" s="822"/>
      <c r="BA425" s="822"/>
      <c r="BB425" s="830"/>
      <c r="BC425" s="830"/>
      <c r="BD425" s="822"/>
    </row>
    <row r="426" spans="1:56">
      <c r="A426" s="822"/>
      <c r="B426" s="822"/>
      <c r="C426" s="822"/>
      <c r="D426" s="826"/>
      <c r="E426" s="822"/>
      <c r="F426" s="822"/>
      <c r="G426" s="826"/>
      <c r="H426" s="822"/>
      <c r="I426" s="822"/>
      <c r="J426" s="822"/>
      <c r="K426" s="822"/>
      <c r="L426" s="822"/>
      <c r="M426" s="822"/>
      <c r="N426" s="822"/>
      <c r="O426" s="822"/>
      <c r="P426" s="822"/>
      <c r="Q426" s="3922"/>
      <c r="R426" s="822"/>
      <c r="S426" s="822"/>
      <c r="T426" s="822"/>
      <c r="U426" s="826"/>
      <c r="V426" s="826"/>
      <c r="W426" s="826"/>
      <c r="X426" s="822"/>
      <c r="Y426" s="3346"/>
      <c r="Z426" s="822"/>
      <c r="AA426" s="822"/>
      <c r="AB426" s="822"/>
      <c r="AC426" s="822"/>
      <c r="AD426" s="826"/>
      <c r="AE426" s="822"/>
      <c r="AF426" s="822"/>
      <c r="AG426" s="822"/>
      <c r="AH426" s="822"/>
      <c r="AI426" s="822"/>
      <c r="AJ426" s="822"/>
      <c r="AK426" s="822"/>
      <c r="AL426" s="822"/>
      <c r="AM426" s="822"/>
      <c r="AN426" s="826"/>
      <c r="AO426" s="822"/>
      <c r="AP426" s="822"/>
      <c r="AQ426" s="822"/>
      <c r="AR426" s="822"/>
      <c r="AS426" s="822"/>
      <c r="AT426" s="822"/>
      <c r="AU426" s="822"/>
      <c r="AV426" s="822"/>
      <c r="AW426" s="822"/>
      <c r="AX426" s="822"/>
      <c r="AY426" s="822"/>
      <c r="AZ426" s="822"/>
      <c r="BA426" s="822"/>
      <c r="BB426" s="830"/>
      <c r="BC426" s="830"/>
      <c r="BD426" s="822"/>
    </row>
    <row r="427" spans="1:56">
      <c r="A427" s="822"/>
      <c r="B427" s="822"/>
      <c r="C427" s="822"/>
      <c r="D427" s="826"/>
      <c r="E427" s="822"/>
      <c r="F427" s="822"/>
      <c r="G427" s="826"/>
      <c r="H427" s="822"/>
      <c r="I427" s="822"/>
      <c r="J427" s="822"/>
      <c r="K427" s="822"/>
      <c r="L427" s="822"/>
      <c r="M427" s="822"/>
      <c r="N427" s="822"/>
      <c r="O427" s="822"/>
      <c r="P427" s="822"/>
      <c r="Q427" s="3922"/>
      <c r="R427" s="822"/>
      <c r="S427" s="822"/>
      <c r="T427" s="822"/>
      <c r="U427" s="826"/>
      <c r="V427" s="826"/>
      <c r="W427" s="826"/>
      <c r="X427" s="822"/>
      <c r="Y427" s="3346"/>
      <c r="Z427" s="822"/>
      <c r="AA427" s="822"/>
      <c r="AB427" s="822"/>
      <c r="AC427" s="822"/>
      <c r="AD427" s="826"/>
      <c r="AE427" s="822"/>
      <c r="AF427" s="822"/>
      <c r="AG427" s="822"/>
      <c r="AH427" s="822"/>
      <c r="AI427" s="822"/>
      <c r="AJ427" s="822"/>
      <c r="AK427" s="822"/>
      <c r="AL427" s="822"/>
      <c r="AM427" s="822"/>
      <c r="AN427" s="826"/>
      <c r="AO427" s="822"/>
      <c r="AP427" s="822"/>
      <c r="AQ427" s="822"/>
      <c r="AR427" s="822"/>
      <c r="AS427" s="822"/>
      <c r="AT427" s="822"/>
      <c r="AU427" s="822"/>
      <c r="AV427" s="822"/>
      <c r="AW427" s="822"/>
      <c r="AX427" s="822"/>
      <c r="AY427" s="822"/>
      <c r="AZ427" s="822"/>
      <c r="BA427" s="822"/>
      <c r="BB427" s="830"/>
      <c r="BC427" s="830"/>
      <c r="BD427" s="822"/>
    </row>
    <row r="428" spans="1:56">
      <c r="A428" s="822"/>
      <c r="B428" s="822"/>
      <c r="C428" s="822"/>
      <c r="D428" s="826"/>
      <c r="E428" s="822"/>
      <c r="F428" s="822"/>
      <c r="G428" s="826"/>
      <c r="H428" s="822"/>
      <c r="I428" s="822"/>
      <c r="J428" s="822"/>
      <c r="K428" s="822"/>
      <c r="L428" s="822"/>
      <c r="M428" s="822"/>
      <c r="N428" s="822"/>
      <c r="O428" s="822"/>
      <c r="P428" s="822"/>
      <c r="Q428" s="3922"/>
      <c r="R428" s="822"/>
      <c r="S428" s="822"/>
      <c r="T428" s="822"/>
      <c r="U428" s="826"/>
      <c r="V428" s="826"/>
      <c r="W428" s="826"/>
      <c r="X428" s="822"/>
      <c r="Y428" s="3346"/>
      <c r="Z428" s="822"/>
      <c r="AA428" s="822"/>
      <c r="AB428" s="822"/>
      <c r="AC428" s="822"/>
      <c r="AD428" s="826"/>
      <c r="AE428" s="822"/>
      <c r="AF428" s="822"/>
      <c r="AG428" s="822"/>
      <c r="AH428" s="822"/>
      <c r="AI428" s="822"/>
      <c r="AJ428" s="822"/>
      <c r="AK428" s="822"/>
      <c r="AL428" s="822"/>
      <c r="AM428" s="822"/>
      <c r="AN428" s="826"/>
      <c r="AO428" s="822"/>
      <c r="AP428" s="822"/>
      <c r="AQ428" s="822"/>
      <c r="AR428" s="822"/>
      <c r="AS428" s="822"/>
      <c r="AT428" s="822"/>
      <c r="AU428" s="822"/>
      <c r="AV428" s="822"/>
      <c r="AW428" s="822"/>
      <c r="AX428" s="822"/>
      <c r="AY428" s="822"/>
      <c r="AZ428" s="822"/>
      <c r="BA428" s="822"/>
      <c r="BB428" s="830"/>
      <c r="BC428" s="830"/>
      <c r="BD428" s="822"/>
    </row>
    <row r="429" spans="1:56">
      <c r="A429" s="822"/>
      <c r="B429" s="822"/>
      <c r="C429" s="822"/>
      <c r="D429" s="826"/>
      <c r="E429" s="822"/>
      <c r="F429" s="822"/>
      <c r="G429" s="826"/>
      <c r="H429" s="822"/>
      <c r="I429" s="822"/>
      <c r="J429" s="822"/>
      <c r="K429" s="822"/>
      <c r="L429" s="822"/>
      <c r="M429" s="822"/>
      <c r="N429" s="822"/>
      <c r="O429" s="822"/>
      <c r="P429" s="822"/>
      <c r="Q429" s="3922"/>
      <c r="R429" s="822"/>
      <c r="S429" s="822"/>
      <c r="T429" s="822"/>
      <c r="U429" s="826"/>
      <c r="V429" s="826"/>
      <c r="W429" s="826"/>
      <c r="X429" s="822"/>
      <c r="Y429" s="3346"/>
      <c r="Z429" s="822"/>
      <c r="AA429" s="822"/>
      <c r="AB429" s="822"/>
      <c r="AC429" s="822"/>
      <c r="AD429" s="826"/>
      <c r="AE429" s="822"/>
      <c r="AF429" s="822"/>
      <c r="AG429" s="822"/>
      <c r="AH429" s="822"/>
      <c r="AI429" s="822"/>
      <c r="AJ429" s="822"/>
      <c r="AK429" s="822"/>
      <c r="AL429" s="822"/>
      <c r="AM429" s="822"/>
      <c r="AN429" s="826"/>
      <c r="AO429" s="822"/>
      <c r="AP429" s="822"/>
      <c r="AQ429" s="822"/>
      <c r="AR429" s="822"/>
      <c r="AS429" s="822"/>
      <c r="AT429" s="822"/>
      <c r="AU429" s="822"/>
      <c r="AV429" s="822"/>
      <c r="AW429" s="822"/>
      <c r="AX429" s="822"/>
      <c r="AY429" s="822"/>
      <c r="AZ429" s="822"/>
      <c r="BA429" s="822"/>
      <c r="BB429" s="830"/>
      <c r="BC429" s="830"/>
      <c r="BD429" s="822"/>
    </row>
    <row r="430" spans="1:56">
      <c r="A430" s="822"/>
      <c r="B430" s="822"/>
      <c r="C430" s="822"/>
      <c r="D430" s="826"/>
      <c r="E430" s="822"/>
      <c r="F430" s="822"/>
      <c r="G430" s="826"/>
      <c r="H430" s="822"/>
      <c r="I430" s="822"/>
      <c r="J430" s="822"/>
      <c r="K430" s="822"/>
      <c r="L430" s="822"/>
      <c r="M430" s="822"/>
      <c r="N430" s="822"/>
      <c r="O430" s="822"/>
      <c r="P430" s="822"/>
      <c r="Q430" s="3922"/>
      <c r="R430" s="822"/>
      <c r="S430" s="822"/>
      <c r="T430" s="822"/>
      <c r="U430" s="826"/>
      <c r="V430" s="826"/>
      <c r="W430" s="826"/>
      <c r="X430" s="822"/>
      <c r="Y430" s="3346"/>
      <c r="Z430" s="822"/>
      <c r="AA430" s="822"/>
      <c r="AB430" s="822"/>
      <c r="AC430" s="822"/>
      <c r="AD430" s="826"/>
      <c r="AE430" s="822"/>
      <c r="AF430" s="822"/>
      <c r="AG430" s="822"/>
      <c r="AH430" s="822"/>
      <c r="AI430" s="822"/>
      <c r="AJ430" s="822"/>
      <c r="AK430" s="822"/>
      <c r="AL430" s="822"/>
      <c r="AM430" s="822"/>
      <c r="AN430" s="826"/>
      <c r="AO430" s="822"/>
      <c r="AP430" s="822"/>
      <c r="AQ430" s="822"/>
      <c r="AR430" s="822"/>
      <c r="AS430" s="822"/>
      <c r="AT430" s="822"/>
      <c r="AU430" s="822"/>
      <c r="AV430" s="822"/>
      <c r="AW430" s="822"/>
      <c r="AX430" s="822"/>
      <c r="AY430" s="822"/>
      <c r="AZ430" s="822"/>
      <c r="BA430" s="822"/>
      <c r="BB430" s="830"/>
      <c r="BC430" s="830"/>
      <c r="BD430" s="822"/>
    </row>
    <row r="431" spans="1:56">
      <c r="A431" s="822"/>
      <c r="B431" s="822"/>
      <c r="C431" s="822"/>
      <c r="D431" s="826"/>
      <c r="E431" s="822"/>
      <c r="F431" s="822"/>
      <c r="G431" s="826"/>
      <c r="H431" s="822"/>
      <c r="I431" s="822"/>
      <c r="J431" s="822"/>
      <c r="K431" s="822"/>
      <c r="L431" s="822"/>
      <c r="M431" s="822"/>
      <c r="N431" s="822"/>
      <c r="O431" s="822"/>
      <c r="P431" s="822"/>
      <c r="Q431" s="3922"/>
      <c r="R431" s="822"/>
      <c r="S431" s="822"/>
      <c r="T431" s="822"/>
      <c r="U431" s="826"/>
      <c r="V431" s="826"/>
      <c r="W431" s="826"/>
      <c r="X431" s="822"/>
      <c r="Y431" s="3346"/>
      <c r="Z431" s="822"/>
      <c r="AA431" s="822"/>
      <c r="AB431" s="822"/>
      <c r="AC431" s="822"/>
      <c r="AD431" s="826"/>
      <c r="AE431" s="822"/>
      <c r="AF431" s="822"/>
      <c r="AG431" s="822"/>
      <c r="AH431" s="822"/>
      <c r="AI431" s="822"/>
      <c r="AJ431" s="822"/>
      <c r="AK431" s="822"/>
      <c r="AL431" s="822"/>
      <c r="AM431" s="822"/>
      <c r="AN431" s="826"/>
      <c r="AO431" s="822"/>
      <c r="AP431" s="822"/>
      <c r="AQ431" s="822"/>
      <c r="AR431" s="822"/>
      <c r="AS431" s="822"/>
      <c r="AT431" s="822"/>
      <c r="AU431" s="822"/>
      <c r="AV431" s="822"/>
      <c r="AW431" s="822"/>
      <c r="AX431" s="822"/>
      <c r="AY431" s="822"/>
      <c r="AZ431" s="822"/>
      <c r="BA431" s="822"/>
      <c r="BB431" s="830"/>
      <c r="BC431" s="830"/>
      <c r="BD431" s="822"/>
    </row>
    <row r="432" spans="1:56">
      <c r="A432" s="822"/>
      <c r="B432" s="822"/>
      <c r="C432" s="822"/>
      <c r="D432" s="826"/>
      <c r="E432" s="822"/>
      <c r="F432" s="822"/>
      <c r="G432" s="826"/>
      <c r="H432" s="822"/>
      <c r="I432" s="822"/>
      <c r="J432" s="822"/>
      <c r="K432" s="822"/>
      <c r="L432" s="822"/>
      <c r="M432" s="822"/>
      <c r="N432" s="822"/>
      <c r="O432" s="822"/>
      <c r="P432" s="822"/>
      <c r="Q432" s="3922"/>
      <c r="R432" s="822"/>
      <c r="S432" s="822"/>
      <c r="T432" s="822"/>
      <c r="U432" s="826"/>
      <c r="V432" s="826"/>
      <c r="W432" s="826"/>
      <c r="X432" s="822"/>
      <c r="Y432" s="3346"/>
      <c r="Z432" s="822"/>
      <c r="AA432" s="822"/>
      <c r="AB432" s="822"/>
      <c r="AC432" s="822"/>
      <c r="AD432" s="826"/>
      <c r="AE432" s="822"/>
      <c r="AF432" s="822"/>
      <c r="AG432" s="822"/>
      <c r="AH432" s="822"/>
      <c r="AI432" s="822"/>
      <c r="AJ432" s="822"/>
      <c r="AK432" s="822"/>
      <c r="AL432" s="822"/>
      <c r="AM432" s="822"/>
      <c r="AN432" s="826"/>
      <c r="AO432" s="822"/>
      <c r="AP432" s="822"/>
      <c r="AQ432" s="822"/>
      <c r="AR432" s="822"/>
      <c r="AS432" s="822"/>
      <c r="AT432" s="822"/>
      <c r="AU432" s="822"/>
      <c r="AV432" s="822"/>
      <c r="AW432" s="822"/>
      <c r="AX432" s="822"/>
      <c r="AY432" s="822"/>
      <c r="AZ432" s="822"/>
      <c r="BA432" s="822"/>
      <c r="BB432" s="830"/>
      <c r="BC432" s="830"/>
      <c r="BD432" s="822"/>
    </row>
    <row r="433" spans="1:56">
      <c r="A433" s="822"/>
      <c r="B433" s="822"/>
      <c r="C433" s="822"/>
      <c r="D433" s="826"/>
      <c r="E433" s="822"/>
      <c r="F433" s="822"/>
      <c r="G433" s="826"/>
      <c r="H433" s="822"/>
      <c r="I433" s="822"/>
      <c r="J433" s="822"/>
      <c r="K433" s="822"/>
      <c r="L433" s="822"/>
      <c r="M433" s="822"/>
      <c r="N433" s="822"/>
      <c r="O433" s="822"/>
      <c r="P433" s="822"/>
      <c r="Q433" s="3922"/>
      <c r="R433" s="822"/>
      <c r="S433" s="822"/>
      <c r="T433" s="822"/>
      <c r="U433" s="826"/>
      <c r="V433" s="826"/>
      <c r="W433" s="826"/>
      <c r="X433" s="822"/>
      <c r="Y433" s="3346"/>
      <c r="Z433" s="822"/>
      <c r="AA433" s="822"/>
      <c r="AB433" s="822"/>
      <c r="AC433" s="822"/>
      <c r="AD433" s="826"/>
      <c r="AE433" s="822"/>
      <c r="AF433" s="822"/>
      <c r="AG433" s="822"/>
      <c r="AH433" s="822"/>
      <c r="AI433" s="822"/>
      <c r="AJ433" s="822"/>
      <c r="AK433" s="822"/>
      <c r="AL433" s="822"/>
      <c r="AM433" s="822"/>
      <c r="AN433" s="826"/>
      <c r="AO433" s="822"/>
      <c r="AP433" s="822"/>
      <c r="AQ433" s="822"/>
      <c r="AR433" s="822"/>
      <c r="AS433" s="822"/>
      <c r="AT433" s="822"/>
      <c r="AU433" s="822"/>
      <c r="AV433" s="822"/>
      <c r="AW433" s="822"/>
      <c r="AX433" s="822"/>
      <c r="AY433" s="822"/>
      <c r="AZ433" s="822"/>
      <c r="BA433" s="822"/>
      <c r="BB433" s="830"/>
      <c r="BC433" s="830"/>
      <c r="BD433" s="822"/>
    </row>
    <row r="434" spans="1:56">
      <c r="A434" s="822"/>
      <c r="B434" s="822"/>
      <c r="C434" s="822"/>
      <c r="D434" s="826"/>
      <c r="E434" s="822"/>
      <c r="F434" s="822"/>
      <c r="G434" s="826"/>
      <c r="H434" s="822"/>
      <c r="I434" s="822"/>
      <c r="J434" s="822"/>
      <c r="K434" s="822"/>
      <c r="L434" s="822"/>
      <c r="M434" s="822"/>
      <c r="N434" s="822"/>
      <c r="O434" s="822"/>
      <c r="P434" s="822"/>
      <c r="Q434" s="3922"/>
      <c r="R434" s="822"/>
      <c r="S434" s="822"/>
      <c r="T434" s="822"/>
      <c r="U434" s="826"/>
      <c r="V434" s="826"/>
      <c r="W434" s="826"/>
      <c r="X434" s="822"/>
      <c r="Y434" s="3346"/>
      <c r="Z434" s="822"/>
      <c r="AA434" s="822"/>
      <c r="AB434" s="822"/>
      <c r="AC434" s="822"/>
      <c r="AD434" s="826"/>
      <c r="AE434" s="822"/>
      <c r="AF434" s="822"/>
      <c r="AG434" s="822"/>
      <c r="AH434" s="822"/>
      <c r="AI434" s="822"/>
      <c r="AJ434" s="822"/>
      <c r="AK434" s="822"/>
      <c r="AL434" s="822"/>
      <c r="AM434" s="822"/>
      <c r="AN434" s="826"/>
      <c r="AO434" s="822"/>
      <c r="AP434" s="822"/>
      <c r="AQ434" s="822"/>
      <c r="AR434" s="822"/>
      <c r="AS434" s="822"/>
      <c r="AT434" s="822"/>
      <c r="AU434" s="822"/>
      <c r="AV434" s="822"/>
      <c r="AW434" s="822"/>
      <c r="AX434" s="822"/>
      <c r="AY434" s="822"/>
      <c r="AZ434" s="822"/>
      <c r="BA434" s="822"/>
      <c r="BB434" s="830"/>
      <c r="BC434" s="830"/>
      <c r="BD434" s="822"/>
    </row>
    <row r="435" spans="1:56">
      <c r="A435" s="822"/>
      <c r="B435" s="822"/>
      <c r="C435" s="822"/>
      <c r="D435" s="826"/>
      <c r="E435" s="822"/>
      <c r="F435" s="822"/>
      <c r="G435" s="826"/>
      <c r="H435" s="822"/>
      <c r="I435" s="822"/>
      <c r="J435" s="822"/>
      <c r="K435" s="822"/>
      <c r="L435" s="822"/>
      <c r="M435" s="822"/>
      <c r="N435" s="822"/>
      <c r="O435" s="822"/>
      <c r="P435" s="822"/>
      <c r="Q435" s="3922"/>
      <c r="R435" s="822"/>
      <c r="S435" s="822"/>
      <c r="T435" s="822"/>
      <c r="U435" s="826"/>
      <c r="V435" s="826"/>
      <c r="W435" s="826"/>
      <c r="X435" s="822"/>
      <c r="Y435" s="3346"/>
      <c r="Z435" s="822"/>
      <c r="AA435" s="822"/>
      <c r="AB435" s="822"/>
      <c r="AC435" s="822"/>
      <c r="AD435" s="826"/>
      <c r="AE435" s="822"/>
      <c r="AF435" s="822"/>
      <c r="AG435" s="822"/>
      <c r="AH435" s="822"/>
      <c r="AI435" s="822"/>
      <c r="AJ435" s="822"/>
      <c r="AK435" s="822"/>
      <c r="AL435" s="822"/>
      <c r="AM435" s="822"/>
      <c r="AN435" s="826"/>
      <c r="AO435" s="822"/>
      <c r="AP435" s="822"/>
      <c r="AQ435" s="822"/>
      <c r="AR435" s="822"/>
      <c r="AS435" s="822"/>
      <c r="AT435" s="822"/>
      <c r="AU435" s="822"/>
      <c r="AV435" s="822"/>
      <c r="AW435" s="822"/>
      <c r="AX435" s="822"/>
      <c r="AY435" s="822"/>
      <c r="AZ435" s="822"/>
      <c r="BA435" s="822"/>
      <c r="BB435" s="830"/>
      <c r="BC435" s="830"/>
      <c r="BD435" s="822"/>
    </row>
    <row r="436" spans="1:56">
      <c r="A436" s="822"/>
      <c r="B436" s="822"/>
      <c r="C436" s="822"/>
      <c r="D436" s="826"/>
      <c r="E436" s="822"/>
      <c r="F436" s="822"/>
      <c r="G436" s="826"/>
      <c r="H436" s="822"/>
      <c r="I436" s="822"/>
      <c r="J436" s="822"/>
      <c r="K436" s="822"/>
      <c r="L436" s="822"/>
      <c r="M436" s="822"/>
      <c r="N436" s="822"/>
      <c r="O436" s="822"/>
      <c r="P436" s="822"/>
      <c r="Q436" s="3922"/>
      <c r="R436" s="822"/>
      <c r="S436" s="822"/>
      <c r="T436" s="822"/>
      <c r="U436" s="826"/>
      <c r="V436" s="826"/>
      <c r="W436" s="826"/>
      <c r="X436" s="822"/>
      <c r="Y436" s="3346"/>
      <c r="Z436" s="822"/>
      <c r="AA436" s="822"/>
      <c r="AB436" s="822"/>
      <c r="AC436" s="822"/>
      <c r="AD436" s="826"/>
      <c r="AE436" s="822"/>
      <c r="AF436" s="822"/>
      <c r="AG436" s="822"/>
      <c r="AH436" s="822"/>
      <c r="AI436" s="822"/>
      <c r="AJ436" s="822"/>
      <c r="AK436" s="822"/>
      <c r="AL436" s="822"/>
      <c r="AM436" s="822"/>
      <c r="AN436" s="826"/>
      <c r="AO436" s="822"/>
      <c r="AP436" s="822"/>
      <c r="AQ436" s="822"/>
      <c r="AR436" s="822"/>
      <c r="AS436" s="822"/>
      <c r="AT436" s="822"/>
      <c r="AU436" s="822"/>
      <c r="AV436" s="822"/>
      <c r="AW436" s="822"/>
      <c r="AX436" s="822"/>
      <c r="AY436" s="822"/>
      <c r="AZ436" s="822"/>
      <c r="BA436" s="822"/>
      <c r="BB436" s="830"/>
      <c r="BC436" s="830"/>
      <c r="BD436" s="822"/>
    </row>
    <row r="437" spans="1:56">
      <c r="A437" s="822"/>
      <c r="B437" s="822"/>
      <c r="C437" s="822"/>
      <c r="D437" s="826"/>
      <c r="E437" s="822"/>
      <c r="F437" s="822"/>
      <c r="G437" s="826"/>
      <c r="H437" s="822"/>
      <c r="I437" s="822"/>
      <c r="J437" s="822"/>
      <c r="K437" s="822"/>
      <c r="L437" s="822"/>
      <c r="M437" s="822"/>
      <c r="N437" s="822"/>
      <c r="O437" s="822"/>
      <c r="P437" s="822"/>
      <c r="Q437" s="3922"/>
      <c r="R437" s="822"/>
      <c r="S437" s="822"/>
      <c r="T437" s="822"/>
      <c r="U437" s="826"/>
      <c r="V437" s="826"/>
      <c r="W437" s="826"/>
      <c r="X437" s="822"/>
      <c r="Y437" s="3346"/>
      <c r="Z437" s="822"/>
      <c r="AA437" s="822"/>
      <c r="AB437" s="822"/>
      <c r="AC437" s="822"/>
      <c r="AD437" s="826"/>
      <c r="AE437" s="822"/>
      <c r="AF437" s="822"/>
      <c r="AG437" s="822"/>
      <c r="AH437" s="822"/>
      <c r="AI437" s="822"/>
      <c r="AJ437" s="822"/>
      <c r="AK437" s="822"/>
      <c r="AL437" s="822"/>
      <c r="AM437" s="822"/>
      <c r="AN437" s="826"/>
      <c r="AO437" s="822"/>
      <c r="AP437" s="822"/>
      <c r="AQ437" s="822"/>
      <c r="AR437" s="822"/>
      <c r="AS437" s="822"/>
      <c r="AT437" s="822"/>
      <c r="AU437" s="822"/>
      <c r="AV437" s="822"/>
      <c r="AW437" s="822"/>
      <c r="AX437" s="822"/>
      <c r="AY437" s="822"/>
      <c r="AZ437" s="822"/>
      <c r="BA437" s="822"/>
      <c r="BB437" s="830"/>
      <c r="BC437" s="830"/>
      <c r="BD437" s="822"/>
    </row>
    <row r="438" spans="1:56">
      <c r="A438" s="822"/>
      <c r="B438" s="822"/>
      <c r="C438" s="822"/>
      <c r="D438" s="826"/>
      <c r="E438" s="822"/>
      <c r="F438" s="822"/>
      <c r="G438" s="826"/>
      <c r="H438" s="822"/>
      <c r="I438" s="822"/>
      <c r="J438" s="822"/>
      <c r="K438" s="822"/>
      <c r="L438" s="822"/>
      <c r="M438" s="822"/>
      <c r="N438" s="822"/>
      <c r="O438" s="822"/>
      <c r="P438" s="822"/>
      <c r="Q438" s="3922"/>
      <c r="R438" s="822"/>
      <c r="S438" s="822"/>
      <c r="T438" s="822"/>
      <c r="U438" s="826"/>
      <c r="V438" s="826"/>
      <c r="W438" s="826"/>
      <c r="X438" s="822"/>
      <c r="Y438" s="3346"/>
      <c r="Z438" s="822"/>
      <c r="AA438" s="822"/>
      <c r="AB438" s="822"/>
      <c r="AC438" s="822"/>
      <c r="AD438" s="826"/>
      <c r="AE438" s="822"/>
      <c r="AF438" s="822"/>
      <c r="AG438" s="822"/>
      <c r="AH438" s="822"/>
      <c r="AI438" s="822"/>
      <c r="AJ438" s="822"/>
      <c r="AK438" s="822"/>
      <c r="AL438" s="822"/>
      <c r="AM438" s="822"/>
      <c r="AN438" s="826"/>
      <c r="AO438" s="822"/>
      <c r="AP438" s="822"/>
      <c r="AQ438" s="822"/>
      <c r="AR438" s="822"/>
      <c r="AS438" s="822"/>
      <c r="AT438" s="822"/>
      <c r="AU438" s="822"/>
      <c r="AV438" s="822"/>
      <c r="AW438" s="822"/>
      <c r="AX438" s="822"/>
      <c r="AY438" s="822"/>
      <c r="AZ438" s="822"/>
      <c r="BA438" s="822"/>
      <c r="BB438" s="830"/>
      <c r="BC438" s="830"/>
      <c r="BD438" s="822"/>
    </row>
    <row r="439" spans="1:56">
      <c r="A439" s="822"/>
      <c r="B439" s="822"/>
      <c r="C439" s="822"/>
      <c r="D439" s="826"/>
      <c r="E439" s="822"/>
      <c r="F439" s="822"/>
      <c r="G439" s="826"/>
      <c r="H439" s="822"/>
      <c r="I439" s="822"/>
      <c r="J439" s="822"/>
      <c r="K439" s="822"/>
      <c r="L439" s="822"/>
      <c r="M439" s="822"/>
      <c r="N439" s="822"/>
      <c r="O439" s="822"/>
      <c r="P439" s="822"/>
      <c r="Q439" s="3922"/>
      <c r="R439" s="822"/>
      <c r="S439" s="822"/>
      <c r="T439" s="822"/>
      <c r="U439" s="826"/>
      <c r="V439" s="826"/>
      <c r="W439" s="826"/>
      <c r="X439" s="822"/>
      <c r="Y439" s="3346"/>
      <c r="Z439" s="822"/>
      <c r="AA439" s="822"/>
      <c r="AB439" s="822"/>
      <c r="AC439" s="822"/>
      <c r="AD439" s="826"/>
      <c r="AE439" s="822"/>
      <c r="AF439" s="822"/>
      <c r="AG439" s="822"/>
      <c r="AH439" s="822"/>
      <c r="AI439" s="822"/>
      <c r="AJ439" s="822"/>
      <c r="AK439" s="822"/>
      <c r="AL439" s="822"/>
      <c r="AM439" s="822"/>
      <c r="AN439" s="826"/>
      <c r="AO439" s="822"/>
      <c r="AP439" s="822"/>
      <c r="AQ439" s="822"/>
      <c r="AR439" s="822"/>
      <c r="AS439" s="822"/>
      <c r="AT439" s="822"/>
      <c r="AU439" s="822"/>
      <c r="AV439" s="822"/>
      <c r="AW439" s="822"/>
      <c r="AX439" s="822"/>
      <c r="AY439" s="822"/>
      <c r="AZ439" s="822"/>
      <c r="BA439" s="822"/>
      <c r="BB439" s="830"/>
      <c r="BC439" s="830"/>
      <c r="BD439" s="822"/>
    </row>
    <row r="440" spans="1:56">
      <c r="A440" s="822"/>
      <c r="B440" s="822"/>
      <c r="C440" s="822"/>
      <c r="D440" s="826"/>
      <c r="E440" s="822"/>
      <c r="F440" s="822"/>
      <c r="G440" s="826"/>
      <c r="H440" s="822"/>
      <c r="I440" s="822"/>
      <c r="J440" s="822"/>
      <c r="K440" s="822"/>
      <c r="L440" s="822"/>
      <c r="M440" s="822"/>
      <c r="N440" s="822"/>
      <c r="O440" s="822"/>
      <c r="P440" s="822"/>
      <c r="Q440" s="3922"/>
      <c r="R440" s="822"/>
      <c r="S440" s="822"/>
      <c r="T440" s="822"/>
      <c r="U440" s="826"/>
      <c r="V440" s="826"/>
      <c r="W440" s="826"/>
      <c r="X440" s="822"/>
      <c r="Y440" s="3346"/>
      <c r="Z440" s="822"/>
      <c r="AA440" s="822"/>
      <c r="AB440" s="822"/>
      <c r="AC440" s="822"/>
      <c r="AD440" s="826"/>
      <c r="AE440" s="822"/>
      <c r="AF440" s="822"/>
      <c r="AG440" s="822"/>
      <c r="AH440" s="822"/>
      <c r="AI440" s="822"/>
      <c r="AJ440" s="822"/>
      <c r="AK440" s="822"/>
      <c r="AL440" s="822"/>
      <c r="AM440" s="822"/>
      <c r="AN440" s="826"/>
      <c r="AO440" s="822"/>
      <c r="AP440" s="822"/>
      <c r="AQ440" s="822"/>
      <c r="AR440" s="822"/>
      <c r="AS440" s="822"/>
      <c r="AT440" s="822"/>
      <c r="AU440" s="822"/>
      <c r="AV440" s="822"/>
      <c r="AW440" s="822"/>
      <c r="AX440" s="822"/>
      <c r="AY440" s="822"/>
      <c r="AZ440" s="822"/>
      <c r="BA440" s="822"/>
      <c r="BB440" s="830"/>
      <c r="BC440" s="830"/>
      <c r="BD440" s="822"/>
    </row>
    <row r="441" spans="1:56">
      <c r="A441" s="822"/>
      <c r="B441" s="822"/>
      <c r="C441" s="822"/>
      <c r="D441" s="826"/>
      <c r="E441" s="822"/>
      <c r="F441" s="822"/>
      <c r="G441" s="826"/>
      <c r="H441" s="822"/>
      <c r="I441" s="822"/>
      <c r="J441" s="822"/>
      <c r="K441" s="822"/>
      <c r="L441" s="822"/>
      <c r="M441" s="822"/>
      <c r="N441" s="822"/>
      <c r="O441" s="822"/>
      <c r="P441" s="822"/>
      <c r="Q441" s="3922"/>
      <c r="R441" s="822"/>
      <c r="S441" s="822"/>
      <c r="T441" s="822"/>
      <c r="U441" s="826"/>
      <c r="V441" s="826"/>
      <c r="W441" s="826"/>
      <c r="X441" s="822"/>
      <c r="Y441" s="3346"/>
      <c r="Z441" s="822"/>
      <c r="AA441" s="822"/>
      <c r="AB441" s="822"/>
      <c r="AC441" s="822"/>
      <c r="AD441" s="826"/>
      <c r="AE441" s="822"/>
      <c r="AF441" s="822"/>
      <c r="AG441" s="822"/>
      <c r="AH441" s="822"/>
      <c r="AI441" s="822"/>
      <c r="AJ441" s="822"/>
      <c r="AK441" s="822"/>
      <c r="AL441" s="822"/>
      <c r="AM441" s="822"/>
      <c r="AN441" s="826"/>
      <c r="AO441" s="822"/>
      <c r="AP441" s="822"/>
      <c r="AQ441" s="822"/>
      <c r="AR441" s="822"/>
      <c r="AS441" s="822"/>
      <c r="AT441" s="822"/>
      <c r="AU441" s="822"/>
      <c r="AV441" s="822"/>
      <c r="AW441" s="822"/>
      <c r="AX441" s="822"/>
      <c r="AY441" s="822"/>
      <c r="AZ441" s="822"/>
      <c r="BA441" s="822"/>
      <c r="BB441" s="830"/>
      <c r="BC441" s="830"/>
      <c r="BD441" s="822"/>
    </row>
    <row r="442" spans="1:56">
      <c r="A442" s="822"/>
      <c r="B442" s="822"/>
      <c r="C442" s="822"/>
      <c r="D442" s="826"/>
      <c r="E442" s="822"/>
      <c r="F442" s="822"/>
      <c r="G442" s="826"/>
      <c r="H442" s="822"/>
      <c r="I442" s="822"/>
      <c r="J442" s="822"/>
      <c r="K442" s="822"/>
      <c r="L442" s="822"/>
      <c r="M442" s="822"/>
      <c r="N442" s="822"/>
      <c r="O442" s="822"/>
      <c r="P442" s="822"/>
      <c r="Q442" s="3922"/>
      <c r="R442" s="822"/>
      <c r="S442" s="822"/>
      <c r="T442" s="822"/>
      <c r="U442" s="826"/>
      <c r="V442" s="826"/>
      <c r="W442" s="826"/>
      <c r="X442" s="822"/>
      <c r="Y442" s="3346"/>
      <c r="Z442" s="822"/>
      <c r="AA442" s="822"/>
      <c r="AB442" s="822"/>
      <c r="AC442" s="822"/>
      <c r="AD442" s="826"/>
      <c r="AE442" s="822"/>
      <c r="AF442" s="822"/>
      <c r="AG442" s="822"/>
      <c r="AH442" s="822"/>
      <c r="AI442" s="822"/>
      <c r="AJ442" s="822"/>
      <c r="AK442" s="822"/>
      <c r="AL442" s="822"/>
      <c r="AM442" s="822"/>
      <c r="AN442" s="826"/>
      <c r="AO442" s="822"/>
      <c r="AP442" s="822"/>
      <c r="AQ442" s="822"/>
      <c r="AR442" s="822"/>
      <c r="AS442" s="822"/>
      <c r="AT442" s="822"/>
      <c r="AU442" s="822"/>
      <c r="AV442" s="822"/>
      <c r="AW442" s="822"/>
      <c r="AX442" s="822"/>
      <c r="AY442" s="822"/>
      <c r="AZ442" s="822"/>
      <c r="BA442" s="822"/>
      <c r="BB442" s="830"/>
      <c r="BC442" s="830"/>
      <c r="BD442" s="822"/>
    </row>
    <row r="443" spans="1:56">
      <c r="A443" s="822"/>
      <c r="B443" s="822"/>
      <c r="C443" s="822"/>
      <c r="D443" s="826"/>
      <c r="E443" s="822"/>
      <c r="F443" s="822"/>
      <c r="G443" s="826"/>
      <c r="H443" s="822"/>
      <c r="I443" s="822"/>
      <c r="J443" s="822"/>
      <c r="K443" s="822"/>
      <c r="L443" s="822"/>
      <c r="M443" s="822"/>
      <c r="N443" s="822"/>
      <c r="O443" s="822"/>
      <c r="P443" s="822"/>
      <c r="Q443" s="3922"/>
      <c r="R443" s="822"/>
      <c r="S443" s="822"/>
      <c r="T443" s="822"/>
      <c r="U443" s="826"/>
      <c r="V443" s="826"/>
      <c r="W443" s="826"/>
      <c r="X443" s="822"/>
      <c r="Y443" s="3346"/>
      <c r="Z443" s="822"/>
      <c r="AA443" s="822"/>
      <c r="AB443" s="822"/>
      <c r="AC443" s="822"/>
      <c r="AD443" s="826"/>
      <c r="AE443" s="822"/>
      <c r="AF443" s="822"/>
      <c r="AG443" s="822"/>
      <c r="AH443" s="822"/>
      <c r="AI443" s="822"/>
      <c r="AJ443" s="822"/>
      <c r="AK443" s="822"/>
      <c r="AL443" s="822"/>
      <c r="AM443" s="822"/>
      <c r="AN443" s="826"/>
      <c r="AO443" s="822"/>
      <c r="AP443" s="822"/>
      <c r="AQ443" s="822"/>
      <c r="AR443" s="822"/>
      <c r="AS443" s="822"/>
      <c r="AT443" s="822"/>
      <c r="AU443" s="822"/>
      <c r="AV443" s="822"/>
      <c r="AW443" s="822"/>
      <c r="AX443" s="822"/>
      <c r="AY443" s="822"/>
      <c r="AZ443" s="822"/>
      <c r="BA443" s="822"/>
      <c r="BB443" s="830"/>
      <c r="BC443" s="830"/>
      <c r="BD443" s="822"/>
    </row>
    <row r="444" spans="1:56">
      <c r="A444" s="822"/>
      <c r="B444" s="822"/>
      <c r="C444" s="822"/>
      <c r="D444" s="826"/>
      <c r="E444" s="822"/>
      <c r="F444" s="822"/>
      <c r="G444" s="826"/>
      <c r="H444" s="822"/>
      <c r="I444" s="822"/>
      <c r="J444" s="822"/>
      <c r="K444" s="822"/>
      <c r="L444" s="822"/>
      <c r="M444" s="822"/>
      <c r="N444" s="822"/>
      <c r="O444" s="822"/>
      <c r="P444" s="822"/>
      <c r="Q444" s="3922"/>
      <c r="R444" s="822"/>
      <c r="S444" s="822"/>
      <c r="T444" s="822"/>
      <c r="U444" s="826"/>
      <c r="V444" s="826"/>
      <c r="W444" s="826"/>
      <c r="X444" s="822"/>
      <c r="Y444" s="3346"/>
      <c r="Z444" s="822"/>
      <c r="AA444" s="822"/>
      <c r="AB444" s="822"/>
      <c r="AC444" s="822"/>
      <c r="AD444" s="826"/>
      <c r="AE444" s="822"/>
      <c r="AF444" s="822"/>
      <c r="AG444" s="822"/>
      <c r="AH444" s="822"/>
      <c r="AI444" s="822"/>
      <c r="AJ444" s="822"/>
      <c r="AK444" s="822"/>
      <c r="AL444" s="822"/>
      <c r="AM444" s="822"/>
      <c r="AN444" s="826"/>
      <c r="AO444" s="822"/>
      <c r="AP444" s="822"/>
      <c r="AQ444" s="822"/>
      <c r="AR444" s="822"/>
      <c r="AS444" s="822"/>
      <c r="AT444" s="822"/>
      <c r="AU444" s="822"/>
      <c r="AV444" s="822"/>
      <c r="AW444" s="822"/>
      <c r="AX444" s="822"/>
      <c r="AY444" s="822"/>
      <c r="AZ444" s="822"/>
      <c r="BA444" s="822"/>
      <c r="BB444" s="830"/>
      <c r="BC444" s="830"/>
      <c r="BD444" s="822"/>
    </row>
    <row r="445" spans="1:56">
      <c r="A445" s="822"/>
      <c r="B445" s="822"/>
      <c r="C445" s="822"/>
      <c r="D445" s="826"/>
      <c r="E445" s="822"/>
      <c r="F445" s="822"/>
      <c r="G445" s="826"/>
      <c r="H445" s="822"/>
      <c r="I445" s="822"/>
      <c r="J445" s="822"/>
      <c r="K445" s="822"/>
      <c r="L445" s="822"/>
      <c r="M445" s="822"/>
      <c r="N445" s="822"/>
      <c r="O445" s="822"/>
      <c r="P445" s="822"/>
      <c r="Q445" s="3922"/>
      <c r="R445" s="822"/>
      <c r="S445" s="822"/>
      <c r="T445" s="822"/>
      <c r="U445" s="826"/>
      <c r="V445" s="826"/>
      <c r="W445" s="826"/>
      <c r="X445" s="822"/>
      <c r="Y445" s="3346"/>
      <c r="Z445" s="822"/>
      <c r="AA445" s="822"/>
      <c r="AB445" s="822"/>
      <c r="AC445" s="822"/>
      <c r="AD445" s="826"/>
      <c r="AE445" s="822"/>
      <c r="AF445" s="822"/>
      <c r="AG445" s="822"/>
      <c r="AH445" s="822"/>
      <c r="AI445" s="822"/>
      <c r="AJ445" s="822"/>
      <c r="AK445" s="822"/>
      <c r="AL445" s="822"/>
      <c r="AM445" s="822"/>
      <c r="AN445" s="826"/>
      <c r="AO445" s="822"/>
      <c r="AP445" s="822"/>
      <c r="AQ445" s="822"/>
      <c r="AR445" s="822"/>
      <c r="AS445" s="822"/>
      <c r="AT445" s="822"/>
      <c r="AU445" s="822"/>
      <c r="AV445" s="822"/>
      <c r="AW445" s="822"/>
      <c r="AX445" s="822"/>
      <c r="AY445" s="822"/>
      <c r="AZ445" s="822"/>
      <c r="BA445" s="822"/>
      <c r="BB445" s="830"/>
      <c r="BC445" s="830"/>
      <c r="BD445" s="822"/>
    </row>
    <row r="446" spans="1:56">
      <c r="A446" s="822"/>
      <c r="B446" s="822"/>
      <c r="C446" s="822"/>
      <c r="D446" s="826"/>
      <c r="E446" s="822"/>
      <c r="F446" s="822"/>
      <c r="G446" s="826"/>
      <c r="H446" s="822"/>
      <c r="I446" s="822"/>
      <c r="J446" s="822"/>
      <c r="K446" s="822"/>
      <c r="L446" s="822"/>
      <c r="M446" s="822"/>
      <c r="N446" s="822"/>
      <c r="O446" s="822"/>
      <c r="P446" s="822"/>
      <c r="Q446" s="3922"/>
      <c r="R446" s="822"/>
      <c r="S446" s="822"/>
      <c r="T446" s="822"/>
      <c r="U446" s="826"/>
      <c r="V446" s="826"/>
      <c r="W446" s="826"/>
      <c r="X446" s="822"/>
      <c r="Y446" s="3346"/>
      <c r="Z446" s="822"/>
      <c r="AA446" s="822"/>
      <c r="AB446" s="822"/>
      <c r="AC446" s="822"/>
      <c r="AD446" s="826"/>
      <c r="AE446" s="822"/>
      <c r="AF446" s="822"/>
      <c r="AG446" s="822"/>
      <c r="AH446" s="822"/>
      <c r="AI446" s="822"/>
      <c r="AJ446" s="822"/>
      <c r="AK446" s="822"/>
      <c r="AL446" s="822"/>
      <c r="AM446" s="822"/>
      <c r="AN446" s="826"/>
      <c r="AO446" s="822"/>
      <c r="AP446" s="822"/>
      <c r="AQ446" s="822"/>
      <c r="AR446" s="822"/>
      <c r="AS446" s="822"/>
      <c r="AT446" s="822"/>
      <c r="AU446" s="822"/>
      <c r="AV446" s="822"/>
      <c r="AW446" s="822"/>
      <c r="AX446" s="822"/>
      <c r="AY446" s="822"/>
      <c r="AZ446" s="822"/>
      <c r="BA446" s="822"/>
      <c r="BB446" s="830"/>
      <c r="BC446" s="830"/>
      <c r="BD446" s="822"/>
    </row>
    <row r="447" spans="1:56">
      <c r="A447" s="822"/>
      <c r="B447" s="822"/>
      <c r="C447" s="822"/>
      <c r="D447" s="826"/>
      <c r="E447" s="822"/>
      <c r="F447" s="822"/>
      <c r="G447" s="826"/>
      <c r="H447" s="822"/>
      <c r="I447" s="822"/>
      <c r="J447" s="822"/>
      <c r="K447" s="822"/>
      <c r="L447" s="822"/>
      <c r="M447" s="822"/>
      <c r="N447" s="822"/>
      <c r="O447" s="822"/>
      <c r="P447" s="822"/>
      <c r="Q447" s="3922"/>
      <c r="R447" s="822"/>
      <c r="S447" s="822"/>
      <c r="T447" s="822"/>
      <c r="U447" s="826"/>
      <c r="V447" s="826"/>
      <c r="W447" s="826"/>
      <c r="X447" s="822"/>
      <c r="Y447" s="3346"/>
      <c r="Z447" s="822"/>
      <c r="AA447" s="822"/>
      <c r="AB447" s="822"/>
      <c r="AC447" s="822"/>
      <c r="AD447" s="826"/>
      <c r="AE447" s="822"/>
      <c r="AF447" s="822"/>
      <c r="AG447" s="822"/>
      <c r="AH447" s="822"/>
      <c r="AI447" s="822"/>
      <c r="AJ447" s="822"/>
      <c r="AK447" s="822"/>
      <c r="AL447" s="822"/>
      <c r="AM447" s="822"/>
      <c r="AN447" s="826"/>
      <c r="AO447" s="822"/>
      <c r="AP447" s="822"/>
      <c r="AQ447" s="822"/>
      <c r="AR447" s="822"/>
      <c r="AS447" s="822"/>
      <c r="AT447" s="822"/>
      <c r="AU447" s="822"/>
      <c r="AV447" s="822"/>
      <c r="AW447" s="822"/>
      <c r="AX447" s="822"/>
      <c r="AY447" s="822"/>
      <c r="AZ447" s="822"/>
      <c r="BA447" s="822"/>
      <c r="BB447" s="830"/>
      <c r="BC447" s="830"/>
      <c r="BD447" s="822"/>
    </row>
    <row r="448" spans="1:56">
      <c r="A448" s="822"/>
      <c r="B448" s="822"/>
      <c r="C448" s="822"/>
      <c r="D448" s="826"/>
      <c r="E448" s="822"/>
      <c r="F448" s="822"/>
      <c r="G448" s="826"/>
      <c r="H448" s="822"/>
      <c r="I448" s="822"/>
      <c r="J448" s="822"/>
      <c r="K448" s="822"/>
      <c r="L448" s="822"/>
      <c r="M448" s="822"/>
      <c r="N448" s="822"/>
      <c r="O448" s="822"/>
      <c r="P448" s="822"/>
      <c r="Q448" s="3922"/>
      <c r="R448" s="822"/>
      <c r="S448" s="822"/>
      <c r="T448" s="822"/>
      <c r="U448" s="826"/>
      <c r="V448" s="826"/>
      <c r="W448" s="826"/>
      <c r="X448" s="822"/>
      <c r="Y448" s="3346"/>
      <c r="Z448" s="822"/>
      <c r="AA448" s="822"/>
      <c r="AB448" s="822"/>
      <c r="AC448" s="822"/>
      <c r="AD448" s="826"/>
      <c r="AE448" s="822"/>
      <c r="AF448" s="822"/>
      <c r="AG448" s="822"/>
      <c r="AH448" s="822"/>
      <c r="AI448" s="822"/>
      <c r="AJ448" s="822"/>
      <c r="AK448" s="822"/>
      <c r="AL448" s="822"/>
      <c r="AM448" s="822"/>
      <c r="AN448" s="826"/>
      <c r="AO448" s="822"/>
      <c r="AP448" s="822"/>
      <c r="AQ448" s="822"/>
      <c r="AR448" s="822"/>
      <c r="AS448" s="822"/>
      <c r="AT448" s="822"/>
      <c r="AU448" s="822"/>
      <c r="AV448" s="822"/>
      <c r="AW448" s="822"/>
      <c r="AX448" s="822"/>
      <c r="AY448" s="822"/>
      <c r="AZ448" s="822"/>
      <c r="BA448" s="822"/>
      <c r="BB448" s="830"/>
      <c r="BC448" s="830"/>
      <c r="BD448" s="822"/>
    </row>
    <row r="449" spans="1:56">
      <c r="A449" s="822"/>
      <c r="B449" s="822"/>
      <c r="C449" s="822"/>
      <c r="D449" s="826"/>
      <c r="E449" s="822"/>
      <c r="F449" s="822"/>
      <c r="G449" s="826"/>
      <c r="H449" s="822"/>
      <c r="I449" s="822"/>
      <c r="J449" s="822"/>
      <c r="K449" s="822"/>
      <c r="L449" s="822"/>
      <c r="M449" s="822"/>
      <c r="N449" s="822"/>
      <c r="O449" s="822"/>
      <c r="P449" s="822"/>
      <c r="Q449" s="3922"/>
      <c r="R449" s="822"/>
      <c r="S449" s="822"/>
      <c r="T449" s="822"/>
      <c r="U449" s="826"/>
      <c r="V449" s="826"/>
      <c r="W449" s="826"/>
      <c r="X449" s="822"/>
      <c r="Y449" s="3346"/>
      <c r="Z449" s="822"/>
      <c r="AA449" s="822"/>
      <c r="AB449" s="822"/>
      <c r="AC449" s="822"/>
      <c r="AD449" s="826"/>
      <c r="AE449" s="822"/>
      <c r="AF449" s="822"/>
      <c r="AG449" s="822"/>
      <c r="AH449" s="822"/>
      <c r="AI449" s="822"/>
      <c r="AJ449" s="822"/>
      <c r="AK449" s="822"/>
      <c r="AL449" s="822"/>
      <c r="AM449" s="822"/>
      <c r="AN449" s="826"/>
      <c r="AO449" s="822"/>
      <c r="AP449" s="822"/>
      <c r="AQ449" s="822"/>
      <c r="AR449" s="822"/>
      <c r="AS449" s="822"/>
      <c r="AT449" s="822"/>
      <c r="AU449" s="822"/>
      <c r="AV449" s="822"/>
      <c r="AW449" s="822"/>
      <c r="AX449" s="822"/>
      <c r="AY449" s="822"/>
      <c r="AZ449" s="822"/>
      <c r="BA449" s="822"/>
      <c r="BB449" s="830"/>
      <c r="BC449" s="830"/>
      <c r="BD449" s="822"/>
    </row>
    <row r="450" spans="1:56">
      <c r="A450" s="822"/>
      <c r="B450" s="822"/>
      <c r="C450" s="822"/>
      <c r="D450" s="826"/>
      <c r="E450" s="822"/>
      <c r="F450" s="822"/>
      <c r="G450" s="826"/>
      <c r="H450" s="822"/>
      <c r="I450" s="822"/>
      <c r="J450" s="822"/>
      <c r="K450" s="822"/>
      <c r="L450" s="822"/>
      <c r="M450" s="822"/>
      <c r="N450" s="822"/>
      <c r="O450" s="822"/>
      <c r="P450" s="822"/>
      <c r="Q450" s="3922"/>
      <c r="R450" s="822"/>
      <c r="S450" s="822"/>
      <c r="T450" s="822"/>
      <c r="U450" s="826"/>
      <c r="V450" s="826"/>
      <c r="W450" s="826"/>
      <c r="X450" s="822"/>
      <c r="Y450" s="3346"/>
      <c r="Z450" s="822"/>
      <c r="AA450" s="822"/>
      <c r="AB450" s="822"/>
      <c r="AC450" s="822"/>
      <c r="AD450" s="826"/>
      <c r="AE450" s="822"/>
      <c r="AF450" s="822"/>
      <c r="AG450" s="822"/>
      <c r="AH450" s="822"/>
      <c r="AI450" s="822"/>
      <c r="AJ450" s="822"/>
      <c r="AK450" s="822"/>
      <c r="AL450" s="822"/>
      <c r="AM450" s="822"/>
      <c r="AN450" s="826"/>
      <c r="AO450" s="822"/>
      <c r="AP450" s="822"/>
      <c r="AQ450" s="822"/>
      <c r="AR450" s="822"/>
      <c r="AS450" s="822"/>
      <c r="AT450" s="822"/>
      <c r="AU450" s="822"/>
      <c r="AV450" s="822"/>
      <c r="AW450" s="822"/>
      <c r="AX450" s="822"/>
      <c r="AY450" s="822"/>
      <c r="AZ450" s="822"/>
      <c r="BA450" s="822"/>
      <c r="BB450" s="830"/>
      <c r="BC450" s="830"/>
      <c r="BD450" s="822"/>
    </row>
    <row r="451" spans="1:56">
      <c r="A451" s="822"/>
      <c r="B451" s="822"/>
      <c r="C451" s="822"/>
      <c r="D451" s="826"/>
      <c r="E451" s="822"/>
      <c r="F451" s="822"/>
      <c r="G451" s="826"/>
      <c r="H451" s="822"/>
      <c r="I451" s="822"/>
      <c r="J451" s="822"/>
      <c r="K451" s="822"/>
      <c r="L451" s="822"/>
      <c r="M451" s="822"/>
      <c r="N451" s="822"/>
      <c r="O451" s="822"/>
      <c r="P451" s="822"/>
      <c r="Q451" s="3922"/>
      <c r="R451" s="822"/>
      <c r="S451" s="822"/>
      <c r="T451" s="822"/>
      <c r="U451" s="826"/>
      <c r="V451" s="826"/>
      <c r="W451" s="826"/>
      <c r="X451" s="822"/>
      <c r="Y451" s="3346"/>
      <c r="Z451" s="822"/>
      <c r="AA451" s="822"/>
      <c r="AB451" s="822"/>
      <c r="AC451" s="822"/>
      <c r="AD451" s="826"/>
      <c r="AE451" s="822"/>
      <c r="AF451" s="822"/>
      <c r="AG451" s="822"/>
      <c r="AH451" s="822"/>
      <c r="AI451" s="822"/>
      <c r="AJ451" s="822"/>
      <c r="AK451" s="822"/>
      <c r="AL451" s="822"/>
      <c r="AM451" s="822"/>
      <c r="AN451" s="826"/>
      <c r="AO451" s="822"/>
      <c r="AP451" s="822"/>
      <c r="AQ451" s="822"/>
      <c r="AR451" s="822"/>
      <c r="AS451" s="822"/>
      <c r="AT451" s="822"/>
      <c r="AU451" s="822"/>
      <c r="AV451" s="822"/>
      <c r="AW451" s="822"/>
      <c r="AX451" s="822"/>
      <c r="AY451" s="822"/>
      <c r="AZ451" s="822"/>
      <c r="BA451" s="822"/>
      <c r="BB451" s="830"/>
      <c r="BC451" s="830"/>
      <c r="BD451" s="822"/>
    </row>
    <row r="452" spans="1:56">
      <c r="A452" s="822"/>
      <c r="B452" s="822"/>
      <c r="C452" s="822"/>
      <c r="D452" s="826"/>
      <c r="E452" s="822"/>
      <c r="F452" s="822"/>
      <c r="G452" s="826"/>
      <c r="H452" s="822"/>
      <c r="I452" s="822"/>
      <c r="J452" s="822"/>
      <c r="K452" s="822"/>
      <c r="L452" s="822"/>
      <c r="M452" s="822"/>
      <c r="N452" s="822"/>
      <c r="O452" s="822"/>
      <c r="P452" s="822"/>
      <c r="Q452" s="3922"/>
      <c r="R452" s="822"/>
      <c r="S452" s="822"/>
      <c r="T452" s="822"/>
      <c r="U452" s="826"/>
      <c r="V452" s="826"/>
      <c r="W452" s="826"/>
      <c r="X452" s="822"/>
      <c r="Y452" s="3346"/>
      <c r="Z452" s="822"/>
      <c r="AA452" s="822"/>
      <c r="AB452" s="822"/>
      <c r="AC452" s="822"/>
      <c r="AD452" s="826"/>
      <c r="AE452" s="822"/>
      <c r="AF452" s="822"/>
      <c r="AG452" s="822"/>
      <c r="AH452" s="822"/>
      <c r="AI452" s="822"/>
      <c r="AJ452" s="822"/>
      <c r="AK452" s="822"/>
      <c r="AL452" s="822"/>
      <c r="AM452" s="822"/>
      <c r="AN452" s="826"/>
      <c r="AO452" s="822"/>
      <c r="AP452" s="822"/>
      <c r="AQ452" s="822"/>
      <c r="AR452" s="822"/>
      <c r="AS452" s="822"/>
      <c r="AT452" s="822"/>
      <c r="AU452" s="822"/>
      <c r="AV452" s="822"/>
      <c r="AW452" s="822"/>
      <c r="AX452" s="822"/>
      <c r="AY452" s="822"/>
      <c r="AZ452" s="822"/>
      <c r="BA452" s="822"/>
      <c r="BB452" s="830"/>
      <c r="BC452" s="830"/>
      <c r="BD452" s="822"/>
    </row>
    <row r="453" spans="1:56">
      <c r="A453" s="822"/>
      <c r="B453" s="822"/>
      <c r="C453" s="822"/>
      <c r="D453" s="826"/>
      <c r="E453" s="822"/>
      <c r="F453" s="822"/>
      <c r="G453" s="826"/>
      <c r="H453" s="822"/>
      <c r="I453" s="822"/>
      <c r="J453" s="822"/>
      <c r="K453" s="822"/>
      <c r="L453" s="822"/>
      <c r="M453" s="822"/>
      <c r="N453" s="822"/>
      <c r="O453" s="822"/>
      <c r="P453" s="822"/>
      <c r="Q453" s="3922"/>
      <c r="R453" s="822"/>
      <c r="S453" s="822"/>
      <c r="T453" s="822"/>
      <c r="U453" s="826"/>
      <c r="V453" s="826"/>
      <c r="W453" s="826"/>
      <c r="X453" s="822"/>
      <c r="Y453" s="3346"/>
      <c r="Z453" s="822"/>
      <c r="AA453" s="822"/>
      <c r="AB453" s="822"/>
      <c r="AC453" s="822"/>
      <c r="AD453" s="826"/>
      <c r="AE453" s="822"/>
      <c r="AF453" s="822"/>
      <c r="AG453" s="822"/>
      <c r="AH453" s="822"/>
      <c r="AI453" s="822"/>
      <c r="AJ453" s="822"/>
      <c r="AK453" s="822"/>
      <c r="AL453" s="822"/>
      <c r="AM453" s="822"/>
      <c r="AN453" s="826"/>
      <c r="AO453" s="822"/>
      <c r="AP453" s="822"/>
      <c r="AQ453" s="822"/>
      <c r="AR453" s="822"/>
      <c r="AS453" s="822"/>
      <c r="AT453" s="822"/>
      <c r="AU453" s="822"/>
      <c r="AV453" s="822"/>
      <c r="AW453" s="822"/>
      <c r="AX453" s="822"/>
      <c r="AY453" s="822"/>
      <c r="AZ453" s="822"/>
      <c r="BA453" s="822"/>
      <c r="BB453" s="830"/>
      <c r="BC453" s="830"/>
      <c r="BD453" s="822"/>
    </row>
    <row r="454" spans="1:56">
      <c r="A454" s="822"/>
      <c r="B454" s="822"/>
      <c r="C454" s="822"/>
      <c r="D454" s="826"/>
      <c r="E454" s="822"/>
      <c r="F454" s="822"/>
      <c r="G454" s="826"/>
      <c r="H454" s="822"/>
      <c r="I454" s="822"/>
      <c r="J454" s="822"/>
      <c r="K454" s="822"/>
      <c r="L454" s="822"/>
      <c r="M454" s="822"/>
      <c r="N454" s="822"/>
      <c r="O454" s="822"/>
      <c r="P454" s="822"/>
      <c r="Q454" s="3922"/>
      <c r="R454" s="822"/>
      <c r="S454" s="822"/>
      <c r="T454" s="822"/>
      <c r="U454" s="826"/>
      <c r="V454" s="826"/>
      <c r="W454" s="826"/>
      <c r="X454" s="822"/>
      <c r="Y454" s="3346"/>
      <c r="Z454" s="822"/>
      <c r="AA454" s="822"/>
      <c r="AB454" s="822"/>
      <c r="AC454" s="822"/>
      <c r="AD454" s="826"/>
      <c r="AE454" s="822"/>
      <c r="AF454" s="822"/>
      <c r="AG454" s="822"/>
      <c r="AH454" s="822"/>
      <c r="AI454" s="822"/>
      <c r="AJ454" s="822"/>
      <c r="AK454" s="822"/>
      <c r="AL454" s="822"/>
      <c r="AM454" s="822"/>
      <c r="AN454" s="826"/>
      <c r="AO454" s="822"/>
      <c r="AP454" s="822"/>
      <c r="AQ454" s="822"/>
      <c r="AR454" s="822"/>
      <c r="AS454" s="822"/>
      <c r="AT454" s="822"/>
      <c r="AU454" s="822"/>
      <c r="AV454" s="822"/>
      <c r="AW454" s="822"/>
      <c r="AX454" s="822"/>
      <c r="AY454" s="822"/>
      <c r="AZ454" s="822"/>
      <c r="BA454" s="822"/>
      <c r="BB454" s="830"/>
      <c r="BC454" s="830"/>
      <c r="BD454" s="822"/>
    </row>
    <row r="455" spans="1:56">
      <c r="A455" s="822"/>
      <c r="B455" s="822"/>
      <c r="C455" s="822"/>
      <c r="D455" s="826"/>
      <c r="E455" s="822"/>
      <c r="F455" s="822"/>
      <c r="G455" s="826"/>
      <c r="H455" s="822"/>
      <c r="I455" s="822"/>
      <c r="J455" s="822"/>
      <c r="K455" s="822"/>
      <c r="L455" s="822"/>
      <c r="M455" s="822"/>
      <c r="N455" s="822"/>
      <c r="O455" s="822"/>
      <c r="P455" s="822"/>
      <c r="Q455" s="3922"/>
      <c r="R455" s="822"/>
      <c r="S455" s="822"/>
      <c r="T455" s="822"/>
      <c r="U455" s="826"/>
      <c r="V455" s="826"/>
      <c r="W455" s="826"/>
      <c r="X455" s="822"/>
      <c r="Y455" s="3346"/>
      <c r="Z455" s="822"/>
      <c r="AA455" s="822"/>
      <c r="AB455" s="822"/>
      <c r="AC455" s="822"/>
      <c r="AD455" s="826"/>
      <c r="AE455" s="822"/>
      <c r="AF455" s="822"/>
      <c r="AG455" s="822"/>
      <c r="AH455" s="822"/>
      <c r="AI455" s="822"/>
      <c r="AJ455" s="822"/>
      <c r="AK455" s="822"/>
      <c r="AL455" s="822"/>
      <c r="AM455" s="822"/>
      <c r="AN455" s="826"/>
      <c r="AO455" s="822"/>
      <c r="AP455" s="822"/>
      <c r="AQ455" s="822"/>
      <c r="AR455" s="822"/>
      <c r="AS455" s="822"/>
      <c r="AT455" s="822"/>
      <c r="AU455" s="822"/>
      <c r="AV455" s="822"/>
      <c r="AW455" s="822"/>
      <c r="AX455" s="822"/>
      <c r="AY455" s="822"/>
      <c r="AZ455" s="822"/>
      <c r="BA455" s="822"/>
      <c r="BB455" s="830"/>
      <c r="BC455" s="830"/>
      <c r="BD455" s="822"/>
    </row>
    <row r="456" spans="1:56">
      <c r="A456" s="822"/>
      <c r="B456" s="822"/>
      <c r="C456" s="822"/>
      <c r="D456" s="826"/>
      <c r="E456" s="822"/>
      <c r="F456" s="822"/>
      <c r="G456" s="826"/>
      <c r="H456" s="822"/>
      <c r="I456" s="822"/>
      <c r="J456" s="822"/>
      <c r="K456" s="822"/>
      <c r="L456" s="822"/>
      <c r="M456" s="822"/>
      <c r="N456" s="822"/>
      <c r="O456" s="822"/>
      <c r="P456" s="822"/>
      <c r="Q456" s="3922"/>
      <c r="R456" s="822"/>
      <c r="S456" s="822"/>
      <c r="T456" s="822"/>
      <c r="U456" s="826"/>
      <c r="V456" s="826"/>
      <c r="W456" s="826"/>
      <c r="X456" s="822"/>
      <c r="Y456" s="3346"/>
      <c r="Z456" s="822"/>
      <c r="AA456" s="822"/>
      <c r="AB456" s="822"/>
      <c r="AC456" s="822"/>
      <c r="AD456" s="826"/>
      <c r="AE456" s="822"/>
      <c r="AF456" s="822"/>
      <c r="AG456" s="822"/>
      <c r="AH456" s="822"/>
      <c r="AI456" s="822"/>
      <c r="AJ456" s="822"/>
      <c r="AK456" s="822"/>
      <c r="AL456" s="822"/>
      <c r="AM456" s="822"/>
      <c r="AN456" s="826"/>
      <c r="AO456" s="822"/>
      <c r="AP456" s="822"/>
      <c r="AQ456" s="822"/>
      <c r="AR456" s="822"/>
      <c r="AS456" s="822"/>
      <c r="AT456" s="822"/>
      <c r="AU456" s="822"/>
      <c r="AV456" s="822"/>
      <c r="AW456" s="822"/>
      <c r="AX456" s="822"/>
      <c r="AY456" s="822"/>
      <c r="AZ456" s="822"/>
      <c r="BA456" s="822"/>
      <c r="BB456" s="830"/>
      <c r="BC456" s="830"/>
      <c r="BD456" s="822"/>
    </row>
    <row r="457" spans="1:56">
      <c r="A457" s="822"/>
      <c r="B457" s="822"/>
      <c r="C457" s="822"/>
      <c r="D457" s="826"/>
      <c r="E457" s="822"/>
      <c r="F457" s="822"/>
      <c r="G457" s="826"/>
      <c r="H457" s="822"/>
      <c r="I457" s="822"/>
      <c r="J457" s="822"/>
      <c r="K457" s="822"/>
      <c r="L457" s="822"/>
      <c r="M457" s="822"/>
      <c r="N457" s="822"/>
      <c r="O457" s="822"/>
      <c r="P457" s="822"/>
      <c r="Q457" s="3922"/>
      <c r="R457" s="822"/>
      <c r="S457" s="822"/>
      <c r="T457" s="822"/>
      <c r="U457" s="826"/>
      <c r="V457" s="826"/>
      <c r="W457" s="826"/>
      <c r="X457" s="822"/>
      <c r="Y457" s="3346"/>
      <c r="Z457" s="822"/>
      <c r="AA457" s="822"/>
      <c r="AB457" s="822"/>
      <c r="AC457" s="822"/>
      <c r="AD457" s="826"/>
      <c r="AE457" s="822"/>
      <c r="AF457" s="822"/>
      <c r="AG457" s="822"/>
      <c r="AH457" s="822"/>
      <c r="AI457" s="822"/>
      <c r="AJ457" s="822"/>
      <c r="AK457" s="822"/>
      <c r="AL457" s="822"/>
      <c r="AM457" s="822"/>
      <c r="AN457" s="826"/>
      <c r="AO457" s="822"/>
      <c r="AP457" s="822"/>
      <c r="AQ457" s="822"/>
      <c r="AR457" s="822"/>
      <c r="AS457" s="822"/>
      <c r="AT457" s="822"/>
      <c r="AU457" s="822"/>
      <c r="AV457" s="822"/>
      <c r="AW457" s="822"/>
      <c r="AX457" s="822"/>
      <c r="AY457" s="822"/>
      <c r="AZ457" s="822"/>
      <c r="BA457" s="822"/>
      <c r="BB457" s="830"/>
      <c r="BC457" s="830"/>
      <c r="BD457" s="822"/>
    </row>
    <row r="458" spans="1:56">
      <c r="A458" s="822"/>
      <c r="B458" s="822"/>
      <c r="C458" s="822"/>
      <c r="D458" s="826"/>
      <c r="E458" s="822"/>
      <c r="F458" s="822"/>
      <c r="G458" s="826"/>
      <c r="H458" s="822"/>
      <c r="I458" s="822"/>
      <c r="J458" s="822"/>
      <c r="K458" s="822"/>
      <c r="L458" s="822"/>
      <c r="M458" s="822"/>
      <c r="N458" s="822"/>
      <c r="O458" s="822"/>
      <c r="P458" s="822"/>
      <c r="Q458" s="3922"/>
      <c r="R458" s="822"/>
      <c r="S458" s="822"/>
      <c r="T458" s="822"/>
      <c r="U458" s="826"/>
      <c r="V458" s="826"/>
      <c r="W458" s="826"/>
      <c r="X458" s="822"/>
      <c r="Y458" s="3346"/>
      <c r="Z458" s="822"/>
      <c r="AA458" s="822"/>
      <c r="AB458" s="822"/>
      <c r="AC458" s="822"/>
      <c r="AD458" s="826"/>
      <c r="AE458" s="822"/>
      <c r="AF458" s="822"/>
      <c r="AG458" s="822"/>
      <c r="AH458" s="822"/>
      <c r="AI458" s="822"/>
      <c r="AJ458" s="822"/>
      <c r="AK458" s="822"/>
      <c r="AL458" s="822"/>
      <c r="AM458" s="822"/>
      <c r="AN458" s="826"/>
      <c r="AO458" s="822"/>
      <c r="AP458" s="822"/>
      <c r="AQ458" s="822"/>
      <c r="AR458" s="822"/>
      <c r="AS458" s="822"/>
      <c r="AT458" s="822"/>
      <c r="AU458" s="822"/>
      <c r="AV458" s="822"/>
      <c r="AW458" s="822"/>
      <c r="AX458" s="822"/>
      <c r="AY458" s="822"/>
      <c r="AZ458" s="822"/>
      <c r="BA458" s="822"/>
      <c r="BB458" s="830"/>
      <c r="BC458" s="830"/>
      <c r="BD458" s="822"/>
    </row>
    <row r="459" spans="1:56">
      <c r="A459" s="822"/>
      <c r="B459" s="822"/>
      <c r="C459" s="822"/>
      <c r="D459" s="826"/>
      <c r="E459" s="822"/>
      <c r="F459" s="822"/>
      <c r="G459" s="826"/>
      <c r="H459" s="822"/>
      <c r="I459" s="822"/>
      <c r="J459" s="822"/>
      <c r="K459" s="822"/>
      <c r="L459" s="822"/>
      <c r="M459" s="822"/>
      <c r="N459" s="822"/>
      <c r="O459" s="822"/>
      <c r="P459" s="822"/>
      <c r="Q459" s="3922"/>
      <c r="R459" s="822"/>
      <c r="S459" s="822"/>
      <c r="T459" s="822"/>
      <c r="U459" s="826"/>
      <c r="V459" s="826"/>
      <c r="W459" s="826"/>
      <c r="X459" s="822"/>
      <c r="Y459" s="3346"/>
      <c r="Z459" s="822"/>
      <c r="AA459" s="822"/>
      <c r="AB459" s="822"/>
      <c r="AC459" s="822"/>
      <c r="AD459" s="826"/>
      <c r="AE459" s="822"/>
      <c r="AF459" s="822"/>
      <c r="AG459" s="822"/>
      <c r="AH459" s="822"/>
      <c r="AI459" s="822"/>
      <c r="AJ459" s="822"/>
      <c r="AK459" s="822"/>
      <c r="AL459" s="822"/>
      <c r="AM459" s="822"/>
      <c r="AN459" s="826"/>
      <c r="AO459" s="822"/>
      <c r="AP459" s="822"/>
      <c r="AQ459" s="822"/>
      <c r="AR459" s="822"/>
      <c r="AS459" s="822"/>
      <c r="AT459" s="822"/>
      <c r="AU459" s="822"/>
      <c r="AV459" s="822"/>
      <c r="AW459" s="822"/>
      <c r="AX459" s="822"/>
      <c r="AY459" s="822"/>
      <c r="AZ459" s="822"/>
      <c r="BA459" s="822"/>
      <c r="BB459" s="830"/>
      <c r="BC459" s="830"/>
      <c r="BD459" s="822"/>
    </row>
    <row r="460" spans="1:56">
      <c r="A460" s="822"/>
      <c r="B460" s="822"/>
      <c r="C460" s="822"/>
      <c r="D460" s="826"/>
      <c r="E460" s="822"/>
      <c r="F460" s="822"/>
      <c r="G460" s="826"/>
      <c r="H460" s="822"/>
      <c r="I460" s="822"/>
      <c r="J460" s="822"/>
      <c r="K460" s="822"/>
      <c r="L460" s="822"/>
      <c r="M460" s="822"/>
      <c r="N460" s="822"/>
      <c r="O460" s="822"/>
      <c r="P460" s="822"/>
      <c r="Q460" s="3922"/>
      <c r="R460" s="822"/>
      <c r="S460" s="822"/>
      <c r="T460" s="822"/>
      <c r="U460" s="826"/>
      <c r="V460" s="826"/>
      <c r="W460" s="826"/>
      <c r="X460" s="822"/>
      <c r="Y460" s="3346"/>
      <c r="Z460" s="822"/>
      <c r="AA460" s="822"/>
      <c r="AB460" s="822"/>
      <c r="AC460" s="822"/>
      <c r="AD460" s="826"/>
      <c r="AE460" s="822"/>
      <c r="AF460" s="822"/>
      <c r="AG460" s="822"/>
      <c r="AH460" s="822"/>
      <c r="AI460" s="822"/>
      <c r="AJ460" s="822"/>
      <c r="AK460" s="822"/>
      <c r="AL460" s="822"/>
      <c r="AM460" s="822"/>
      <c r="AN460" s="826"/>
      <c r="AO460" s="822"/>
      <c r="AP460" s="822"/>
      <c r="AQ460" s="822"/>
      <c r="AR460" s="822"/>
      <c r="AS460" s="822"/>
      <c r="AT460" s="822"/>
      <c r="AU460" s="822"/>
      <c r="AV460" s="822"/>
      <c r="AW460" s="822"/>
      <c r="AX460" s="822"/>
      <c r="AY460" s="822"/>
      <c r="AZ460" s="822"/>
      <c r="BA460" s="822"/>
      <c r="BB460" s="830"/>
      <c r="BC460" s="830"/>
      <c r="BD460" s="822"/>
    </row>
    <row r="461" spans="1:56">
      <c r="A461" s="822"/>
      <c r="B461" s="822"/>
      <c r="C461" s="822"/>
      <c r="D461" s="826"/>
      <c r="E461" s="822"/>
      <c r="F461" s="822"/>
      <c r="G461" s="826"/>
      <c r="H461" s="822"/>
      <c r="I461" s="822"/>
      <c r="J461" s="822"/>
      <c r="K461" s="822"/>
      <c r="L461" s="822"/>
      <c r="M461" s="822"/>
      <c r="N461" s="822"/>
      <c r="O461" s="822"/>
      <c r="P461" s="822"/>
      <c r="Q461" s="3922"/>
      <c r="R461" s="822"/>
      <c r="S461" s="822"/>
      <c r="T461" s="822"/>
      <c r="U461" s="826"/>
      <c r="V461" s="826"/>
      <c r="W461" s="826"/>
      <c r="X461" s="822"/>
      <c r="Y461" s="3346"/>
      <c r="Z461" s="822"/>
      <c r="AA461" s="822"/>
      <c r="AB461" s="822"/>
      <c r="AC461" s="822"/>
      <c r="AD461" s="826"/>
      <c r="AE461" s="822"/>
      <c r="AF461" s="822"/>
      <c r="AG461" s="822"/>
      <c r="AH461" s="822"/>
      <c r="AI461" s="822"/>
      <c r="AJ461" s="822"/>
      <c r="AK461" s="822"/>
      <c r="AL461" s="822"/>
      <c r="AM461" s="822"/>
      <c r="AN461" s="826"/>
      <c r="AO461" s="822"/>
      <c r="AP461" s="822"/>
      <c r="AQ461" s="822"/>
      <c r="AR461" s="822"/>
      <c r="AS461" s="822"/>
      <c r="AT461" s="822"/>
      <c r="AU461" s="822"/>
      <c r="AV461" s="822"/>
      <c r="AW461" s="822"/>
      <c r="AX461" s="822"/>
      <c r="AY461" s="822"/>
      <c r="AZ461" s="822"/>
      <c r="BA461" s="822"/>
      <c r="BB461" s="830"/>
      <c r="BC461" s="830"/>
      <c r="BD461" s="822"/>
    </row>
    <row r="462" spans="1:56">
      <c r="A462" s="822"/>
      <c r="B462" s="822"/>
      <c r="C462" s="822"/>
      <c r="D462" s="826"/>
      <c r="E462" s="822"/>
      <c r="F462" s="822"/>
      <c r="G462" s="826"/>
      <c r="H462" s="822"/>
      <c r="I462" s="822"/>
      <c r="J462" s="822"/>
      <c r="K462" s="822"/>
      <c r="L462" s="822"/>
      <c r="M462" s="822"/>
      <c r="N462" s="822"/>
      <c r="O462" s="822"/>
      <c r="P462" s="822"/>
      <c r="Q462" s="3922"/>
      <c r="R462" s="822"/>
      <c r="S462" s="822"/>
      <c r="T462" s="822"/>
      <c r="U462" s="826"/>
      <c r="V462" s="826"/>
      <c r="W462" s="826"/>
      <c r="X462" s="822"/>
      <c r="Y462" s="3346"/>
      <c r="Z462" s="822"/>
      <c r="AA462" s="822"/>
      <c r="AB462" s="822"/>
      <c r="AC462" s="822"/>
      <c r="AD462" s="826"/>
      <c r="AE462" s="822"/>
      <c r="AF462" s="822"/>
      <c r="AG462" s="822"/>
      <c r="AH462" s="822"/>
      <c r="AI462" s="822"/>
      <c r="AJ462" s="822"/>
      <c r="AK462" s="822"/>
      <c r="AL462" s="822"/>
      <c r="AM462" s="822"/>
      <c r="AN462" s="826"/>
      <c r="AO462" s="822"/>
      <c r="AP462" s="822"/>
      <c r="AQ462" s="822"/>
      <c r="AR462" s="822"/>
      <c r="AS462" s="822"/>
      <c r="AT462" s="822"/>
      <c r="AU462" s="822"/>
      <c r="AV462" s="822"/>
      <c r="AW462" s="822"/>
      <c r="AX462" s="822"/>
      <c r="AY462" s="822"/>
      <c r="AZ462" s="822"/>
      <c r="BA462" s="822"/>
      <c r="BB462" s="830"/>
      <c r="BC462" s="830"/>
      <c r="BD462" s="822"/>
    </row>
    <row r="463" spans="1:56">
      <c r="A463" s="822"/>
      <c r="B463" s="822"/>
      <c r="C463" s="822"/>
      <c r="D463" s="826"/>
      <c r="E463" s="822"/>
      <c r="F463" s="822"/>
      <c r="G463" s="826"/>
      <c r="H463" s="822"/>
      <c r="I463" s="822"/>
      <c r="J463" s="822"/>
      <c r="K463" s="822"/>
      <c r="L463" s="822"/>
      <c r="M463" s="822"/>
      <c r="N463" s="822"/>
      <c r="O463" s="822"/>
      <c r="P463" s="822"/>
      <c r="Q463" s="3922"/>
      <c r="R463" s="822"/>
      <c r="S463" s="822"/>
      <c r="T463" s="822"/>
      <c r="U463" s="826"/>
      <c r="V463" s="826"/>
      <c r="W463" s="826"/>
      <c r="X463" s="822"/>
      <c r="Y463" s="3346"/>
      <c r="Z463" s="822"/>
      <c r="AA463" s="822"/>
      <c r="AB463" s="822"/>
      <c r="AC463" s="822"/>
      <c r="AD463" s="826"/>
      <c r="AE463" s="822"/>
      <c r="AF463" s="822"/>
      <c r="AG463" s="822"/>
      <c r="AH463" s="822"/>
      <c r="AI463" s="822"/>
      <c r="AJ463" s="822"/>
      <c r="AK463" s="822"/>
      <c r="AL463" s="822"/>
      <c r="AM463" s="822"/>
      <c r="AN463" s="826"/>
      <c r="AO463" s="822"/>
      <c r="AP463" s="822"/>
      <c r="AQ463" s="822"/>
      <c r="AR463" s="822"/>
      <c r="AS463" s="822"/>
      <c r="AT463" s="822"/>
      <c r="AU463" s="822"/>
      <c r="AV463" s="822"/>
      <c r="AW463" s="822"/>
      <c r="AX463" s="822"/>
      <c r="AY463" s="822"/>
      <c r="AZ463" s="822"/>
      <c r="BA463" s="822"/>
      <c r="BB463" s="830"/>
      <c r="BC463" s="830"/>
      <c r="BD463" s="822"/>
    </row>
    <row r="464" spans="1:56">
      <c r="A464" s="822"/>
      <c r="B464" s="822"/>
      <c r="C464" s="822"/>
      <c r="D464" s="826"/>
      <c r="E464" s="822"/>
      <c r="F464" s="822"/>
      <c r="G464" s="826"/>
      <c r="H464" s="822"/>
      <c r="I464" s="822"/>
      <c r="J464" s="822"/>
      <c r="K464" s="822"/>
      <c r="L464" s="822"/>
      <c r="M464" s="822"/>
      <c r="N464" s="822"/>
      <c r="O464" s="822"/>
      <c r="P464" s="822"/>
      <c r="Q464" s="3922"/>
      <c r="R464" s="822"/>
      <c r="S464" s="822"/>
      <c r="T464" s="822"/>
      <c r="U464" s="826"/>
      <c r="V464" s="826"/>
      <c r="W464" s="826"/>
      <c r="X464" s="822"/>
      <c r="Y464" s="3346"/>
      <c r="Z464" s="822"/>
      <c r="AA464" s="822"/>
      <c r="AB464" s="822"/>
      <c r="AC464" s="822"/>
      <c r="AD464" s="826"/>
      <c r="AE464" s="822"/>
      <c r="AF464" s="822"/>
      <c r="AG464" s="822"/>
      <c r="AH464" s="822"/>
      <c r="AI464" s="822"/>
      <c r="AJ464" s="822"/>
      <c r="AK464" s="822"/>
      <c r="AL464" s="822"/>
      <c r="AM464" s="822"/>
      <c r="AN464" s="826"/>
      <c r="AO464" s="822"/>
      <c r="AP464" s="822"/>
      <c r="AQ464" s="822"/>
      <c r="AR464" s="822"/>
      <c r="AS464" s="822"/>
      <c r="AT464" s="822"/>
      <c r="AU464" s="822"/>
      <c r="AV464" s="822"/>
      <c r="AW464" s="822"/>
      <c r="AX464" s="822"/>
      <c r="AY464" s="822"/>
      <c r="AZ464" s="822"/>
      <c r="BA464" s="822"/>
      <c r="BB464" s="830"/>
      <c r="BC464" s="830"/>
      <c r="BD464" s="822"/>
    </row>
    <row r="465" spans="1:56">
      <c r="A465" s="822"/>
      <c r="B465" s="822"/>
      <c r="C465" s="822"/>
      <c r="D465" s="826"/>
      <c r="E465" s="822"/>
      <c r="F465" s="822"/>
      <c r="G465" s="826"/>
      <c r="H465" s="822"/>
      <c r="I465" s="822"/>
      <c r="J465" s="822"/>
      <c r="K465" s="822"/>
      <c r="L465" s="822"/>
      <c r="M465" s="822"/>
      <c r="N465" s="822"/>
      <c r="O465" s="822"/>
      <c r="P465" s="822"/>
      <c r="Q465" s="3922"/>
      <c r="R465" s="822"/>
      <c r="S465" s="822"/>
      <c r="T465" s="822"/>
      <c r="U465" s="826"/>
      <c r="V465" s="826"/>
      <c r="W465" s="826"/>
      <c r="X465" s="822"/>
      <c r="Y465" s="3346"/>
      <c r="Z465" s="822"/>
      <c r="AA465" s="822"/>
      <c r="AB465" s="822"/>
      <c r="AC465" s="822"/>
      <c r="AD465" s="826"/>
      <c r="AE465" s="822"/>
      <c r="AF465" s="822"/>
      <c r="AG465" s="822"/>
      <c r="AH465" s="822"/>
      <c r="AI465" s="822"/>
      <c r="AJ465" s="822"/>
      <c r="AK465" s="822"/>
      <c r="AL465" s="822"/>
      <c r="AM465" s="822"/>
      <c r="AN465" s="826"/>
      <c r="AO465" s="822"/>
      <c r="AP465" s="822"/>
      <c r="AQ465" s="822"/>
      <c r="AR465" s="822"/>
      <c r="AS465" s="822"/>
      <c r="AT465" s="822"/>
      <c r="AU465" s="822"/>
      <c r="AV465" s="822"/>
      <c r="AW465" s="822"/>
      <c r="AX465" s="822"/>
      <c r="AY465" s="822"/>
      <c r="AZ465" s="822"/>
      <c r="BA465" s="822"/>
      <c r="BB465" s="830"/>
      <c r="BC465" s="830"/>
      <c r="BD465" s="822"/>
    </row>
    <row r="466" spans="1:56">
      <c r="A466" s="822"/>
      <c r="B466" s="822"/>
      <c r="C466" s="822"/>
      <c r="D466" s="826"/>
      <c r="E466" s="822"/>
      <c r="F466" s="822"/>
      <c r="G466" s="826"/>
      <c r="H466" s="822"/>
      <c r="I466" s="822"/>
      <c r="J466" s="822"/>
      <c r="K466" s="822"/>
      <c r="L466" s="822"/>
      <c r="M466" s="822"/>
      <c r="N466" s="822"/>
      <c r="O466" s="822"/>
      <c r="P466" s="822"/>
      <c r="Q466" s="3922"/>
      <c r="R466" s="822"/>
      <c r="S466" s="822"/>
      <c r="T466" s="822"/>
      <c r="U466" s="826"/>
      <c r="V466" s="826"/>
      <c r="W466" s="826"/>
      <c r="X466" s="822"/>
      <c r="Y466" s="3346"/>
      <c r="Z466" s="822"/>
      <c r="AA466" s="822"/>
      <c r="AB466" s="822"/>
      <c r="AC466" s="822"/>
      <c r="AD466" s="826"/>
      <c r="AE466" s="822"/>
      <c r="AF466" s="822"/>
      <c r="AG466" s="822"/>
      <c r="AH466" s="822"/>
      <c r="AI466" s="822"/>
      <c r="AJ466" s="822"/>
      <c r="AK466" s="822"/>
      <c r="AL466" s="822"/>
      <c r="AM466" s="822"/>
      <c r="AN466" s="826"/>
      <c r="AO466" s="822"/>
      <c r="AP466" s="822"/>
      <c r="AQ466" s="822"/>
      <c r="AR466" s="822"/>
      <c r="AS466" s="822"/>
      <c r="AT466" s="822"/>
      <c r="AU466" s="822"/>
      <c r="AV466" s="822"/>
      <c r="AW466" s="822"/>
      <c r="AX466" s="822"/>
      <c r="AY466" s="822"/>
      <c r="AZ466" s="822"/>
      <c r="BA466" s="822"/>
      <c r="BB466" s="830"/>
      <c r="BC466" s="830"/>
      <c r="BD466" s="822"/>
    </row>
    <row r="467" spans="1:56">
      <c r="A467" s="822"/>
      <c r="B467" s="822"/>
      <c r="C467" s="822"/>
      <c r="D467" s="826"/>
      <c r="E467" s="822"/>
      <c r="F467" s="822"/>
      <c r="G467" s="826"/>
      <c r="H467" s="822"/>
      <c r="I467" s="822"/>
      <c r="J467" s="822"/>
      <c r="K467" s="822"/>
      <c r="L467" s="822"/>
      <c r="M467" s="822"/>
      <c r="N467" s="822"/>
      <c r="O467" s="822"/>
      <c r="P467" s="822"/>
      <c r="Q467" s="3922"/>
      <c r="R467" s="822"/>
      <c r="S467" s="822"/>
      <c r="T467" s="822"/>
      <c r="U467" s="826"/>
      <c r="V467" s="826"/>
      <c r="W467" s="826"/>
      <c r="X467" s="822"/>
      <c r="Y467" s="3346"/>
      <c r="Z467" s="822"/>
      <c r="AA467" s="822"/>
      <c r="AB467" s="822"/>
      <c r="AC467" s="822"/>
      <c r="AD467" s="826"/>
      <c r="AE467" s="822"/>
      <c r="AF467" s="822"/>
      <c r="AG467" s="822"/>
      <c r="AH467" s="822"/>
      <c r="AI467" s="822"/>
      <c r="AJ467" s="822"/>
      <c r="AK467" s="822"/>
      <c r="AL467" s="822"/>
      <c r="AM467" s="822"/>
      <c r="AN467" s="826"/>
      <c r="AO467" s="822"/>
      <c r="AP467" s="822"/>
      <c r="AQ467" s="822"/>
      <c r="AR467" s="822"/>
      <c r="AS467" s="822"/>
      <c r="AT467" s="822"/>
      <c r="AU467" s="822"/>
      <c r="AV467" s="822"/>
      <c r="AW467" s="822"/>
      <c r="AX467" s="822"/>
      <c r="AY467" s="822"/>
      <c r="AZ467" s="822"/>
      <c r="BA467" s="822"/>
      <c r="BB467" s="830"/>
      <c r="BC467" s="830"/>
      <c r="BD467" s="822"/>
    </row>
    <row r="468" spans="1:56">
      <c r="A468" s="822"/>
      <c r="B468" s="822"/>
      <c r="C468" s="822"/>
      <c r="D468" s="826"/>
      <c r="E468" s="822"/>
      <c r="F468" s="822"/>
      <c r="G468" s="826"/>
      <c r="H468" s="822"/>
      <c r="I468" s="822"/>
      <c r="J468" s="822"/>
      <c r="K468" s="822"/>
      <c r="L468" s="822"/>
      <c r="M468" s="822"/>
      <c r="N468" s="822"/>
      <c r="O468" s="822"/>
      <c r="P468" s="822"/>
      <c r="Q468" s="3922"/>
      <c r="R468" s="822"/>
      <c r="S468" s="822"/>
      <c r="T468" s="822"/>
      <c r="U468" s="826"/>
      <c r="V468" s="826"/>
      <c r="W468" s="826"/>
      <c r="X468" s="822"/>
      <c r="Y468" s="3346"/>
      <c r="Z468" s="822"/>
      <c r="AA468" s="822"/>
      <c r="AB468" s="822"/>
      <c r="AC468" s="822"/>
      <c r="AD468" s="826"/>
      <c r="AE468" s="822"/>
      <c r="AF468" s="822"/>
      <c r="AG468" s="822"/>
      <c r="AH468" s="822"/>
      <c r="AI468" s="822"/>
      <c r="AJ468" s="822"/>
      <c r="AK468" s="822"/>
      <c r="AL468" s="822"/>
      <c r="AM468" s="822"/>
      <c r="AN468" s="826"/>
      <c r="AO468" s="822"/>
      <c r="AP468" s="822"/>
      <c r="AQ468" s="822"/>
      <c r="AR468" s="822"/>
      <c r="AS468" s="822"/>
      <c r="AT468" s="822"/>
      <c r="AU468" s="822"/>
      <c r="AV468" s="822"/>
      <c r="AW468" s="822"/>
      <c r="AX468" s="822"/>
      <c r="AY468" s="822"/>
      <c r="AZ468" s="822"/>
      <c r="BA468" s="822"/>
      <c r="BB468" s="830"/>
      <c r="BC468" s="830"/>
      <c r="BD468" s="822"/>
    </row>
    <row r="469" spans="1:56">
      <c r="A469" s="822"/>
      <c r="B469" s="822"/>
      <c r="C469" s="822"/>
      <c r="D469" s="826"/>
      <c r="E469" s="822"/>
      <c r="F469" s="822"/>
      <c r="G469" s="826"/>
      <c r="H469" s="822"/>
      <c r="I469" s="822"/>
      <c r="J469" s="822"/>
      <c r="K469" s="822"/>
      <c r="L469" s="822"/>
      <c r="M469" s="822"/>
      <c r="N469" s="822"/>
      <c r="O469" s="822"/>
      <c r="P469" s="822"/>
      <c r="Q469" s="3922"/>
      <c r="R469" s="822"/>
      <c r="S469" s="822"/>
      <c r="T469" s="822"/>
      <c r="U469" s="826"/>
      <c r="V469" s="826"/>
      <c r="W469" s="826"/>
      <c r="X469" s="822"/>
      <c r="Y469" s="3346"/>
      <c r="Z469" s="822"/>
      <c r="AA469" s="822"/>
      <c r="AB469" s="822"/>
      <c r="AC469" s="822"/>
      <c r="AD469" s="826"/>
      <c r="AE469" s="822"/>
      <c r="AF469" s="822"/>
      <c r="AG469" s="822"/>
      <c r="AH469" s="822"/>
      <c r="AI469" s="822"/>
      <c r="AJ469" s="822"/>
      <c r="AK469" s="822"/>
      <c r="AL469" s="822"/>
      <c r="AM469" s="822"/>
      <c r="AN469" s="826"/>
      <c r="AO469" s="822"/>
      <c r="AP469" s="822"/>
      <c r="AQ469" s="822"/>
      <c r="AR469" s="822"/>
      <c r="AS469" s="822"/>
      <c r="AT469" s="822"/>
      <c r="AU469" s="822"/>
      <c r="AV469" s="822"/>
      <c r="AW469" s="822"/>
      <c r="AX469" s="822"/>
      <c r="AY469" s="822"/>
      <c r="AZ469" s="822"/>
      <c r="BA469" s="822"/>
      <c r="BB469" s="830"/>
      <c r="BC469" s="830"/>
      <c r="BD469" s="822"/>
    </row>
    <row r="470" spans="1:56">
      <c r="A470" s="822"/>
      <c r="B470" s="822"/>
      <c r="C470" s="822"/>
      <c r="D470" s="826"/>
      <c r="E470" s="822"/>
      <c r="F470" s="822"/>
      <c r="G470" s="826"/>
      <c r="H470" s="822"/>
      <c r="I470" s="822"/>
      <c r="J470" s="822"/>
      <c r="K470" s="822"/>
      <c r="L470" s="822"/>
      <c r="M470" s="822"/>
      <c r="N470" s="822"/>
      <c r="O470" s="822"/>
      <c r="P470" s="822"/>
      <c r="Q470" s="3922"/>
      <c r="R470" s="822"/>
      <c r="S470" s="822"/>
      <c r="T470" s="822"/>
      <c r="U470" s="826"/>
      <c r="V470" s="826"/>
      <c r="W470" s="826"/>
      <c r="X470" s="822"/>
      <c r="Y470" s="3346"/>
      <c r="Z470" s="822"/>
      <c r="AA470" s="822"/>
      <c r="AB470" s="822"/>
      <c r="AC470" s="822"/>
      <c r="AD470" s="826"/>
      <c r="AE470" s="822"/>
      <c r="AF470" s="822"/>
      <c r="AG470" s="822"/>
      <c r="AH470" s="822"/>
      <c r="AI470" s="822"/>
      <c r="AJ470" s="822"/>
      <c r="AK470" s="822"/>
      <c r="AL470" s="822"/>
      <c r="AM470" s="822"/>
      <c r="AN470" s="826"/>
      <c r="AO470" s="822"/>
      <c r="AP470" s="822"/>
      <c r="AQ470" s="822"/>
      <c r="AR470" s="822"/>
      <c r="AS470" s="822"/>
      <c r="AT470" s="822"/>
      <c r="AU470" s="822"/>
      <c r="AV470" s="822"/>
      <c r="AW470" s="822"/>
      <c r="AX470" s="822"/>
      <c r="AY470" s="822"/>
      <c r="AZ470" s="822"/>
      <c r="BA470" s="822"/>
      <c r="BB470" s="830"/>
      <c r="BC470" s="830"/>
      <c r="BD470" s="822"/>
    </row>
    <row r="471" spans="1:56">
      <c r="A471" s="822"/>
      <c r="B471" s="822"/>
      <c r="C471" s="822"/>
      <c r="D471" s="826"/>
      <c r="E471" s="822"/>
      <c r="F471" s="822"/>
      <c r="G471" s="826"/>
      <c r="H471" s="822"/>
      <c r="I471" s="822"/>
      <c r="J471" s="822"/>
      <c r="K471" s="822"/>
      <c r="L471" s="822"/>
      <c r="M471" s="822"/>
      <c r="N471" s="822"/>
      <c r="O471" s="822"/>
      <c r="P471" s="822"/>
      <c r="Q471" s="3922"/>
      <c r="R471" s="822"/>
      <c r="S471" s="822"/>
      <c r="T471" s="822"/>
      <c r="U471" s="826"/>
      <c r="V471" s="826"/>
      <c r="W471" s="826"/>
      <c r="X471" s="822"/>
      <c r="Y471" s="3346"/>
      <c r="Z471" s="822"/>
      <c r="AA471" s="822"/>
      <c r="AB471" s="822"/>
      <c r="AC471" s="822"/>
      <c r="AD471" s="826"/>
      <c r="AE471" s="822"/>
      <c r="AF471" s="822"/>
      <c r="AG471" s="822"/>
      <c r="AH471" s="822"/>
      <c r="AI471" s="822"/>
      <c r="AJ471" s="822"/>
      <c r="AK471" s="822"/>
      <c r="AL471" s="822"/>
      <c r="AM471" s="822"/>
      <c r="AN471" s="826"/>
      <c r="AO471" s="822"/>
      <c r="AP471" s="822"/>
      <c r="AQ471" s="822"/>
      <c r="AR471" s="822"/>
      <c r="AS471" s="822"/>
      <c r="AT471" s="822"/>
      <c r="AU471" s="822"/>
      <c r="AV471" s="822"/>
      <c r="AW471" s="822"/>
      <c r="AX471" s="822"/>
      <c r="AY471" s="822"/>
      <c r="AZ471" s="822"/>
      <c r="BA471" s="822"/>
      <c r="BB471" s="830"/>
      <c r="BC471" s="830"/>
      <c r="BD471" s="822"/>
    </row>
    <row r="472" spans="1:56">
      <c r="A472" s="822"/>
      <c r="B472" s="822"/>
      <c r="C472" s="822"/>
      <c r="D472" s="826"/>
      <c r="E472" s="822"/>
      <c r="F472" s="822"/>
      <c r="G472" s="826"/>
      <c r="H472" s="822"/>
      <c r="I472" s="822"/>
      <c r="J472" s="822"/>
      <c r="K472" s="822"/>
      <c r="L472" s="822"/>
      <c r="M472" s="822"/>
      <c r="N472" s="822"/>
      <c r="O472" s="822"/>
      <c r="P472" s="822"/>
      <c r="Q472" s="3922"/>
      <c r="R472" s="822"/>
      <c r="S472" s="822"/>
      <c r="T472" s="822"/>
      <c r="U472" s="826"/>
      <c r="V472" s="826"/>
      <c r="W472" s="826"/>
      <c r="X472" s="822"/>
      <c r="Y472" s="3346"/>
      <c r="Z472" s="822"/>
      <c r="AA472" s="822"/>
      <c r="AB472" s="822"/>
      <c r="AC472" s="822"/>
      <c r="AD472" s="826"/>
      <c r="AE472" s="822"/>
      <c r="AF472" s="822"/>
      <c r="AG472" s="822"/>
      <c r="AH472" s="822"/>
      <c r="AI472" s="822"/>
      <c r="AJ472" s="822"/>
      <c r="AK472" s="822"/>
      <c r="AL472" s="822"/>
      <c r="AM472" s="822"/>
      <c r="AN472" s="826"/>
      <c r="AO472" s="822"/>
      <c r="AP472" s="822"/>
      <c r="AQ472" s="822"/>
      <c r="AR472" s="822"/>
      <c r="AS472" s="822"/>
      <c r="AT472" s="822"/>
      <c r="AU472" s="822"/>
      <c r="AV472" s="822"/>
      <c r="AW472" s="822"/>
      <c r="AX472" s="822"/>
      <c r="AY472" s="822"/>
      <c r="AZ472" s="822"/>
      <c r="BA472" s="822"/>
      <c r="BB472" s="830"/>
      <c r="BC472" s="830"/>
      <c r="BD472" s="822"/>
    </row>
    <row r="473" spans="1:56">
      <c r="A473" s="822"/>
      <c r="B473" s="822"/>
      <c r="C473" s="822"/>
      <c r="D473" s="826"/>
      <c r="E473" s="822"/>
      <c r="F473" s="822"/>
      <c r="G473" s="826"/>
      <c r="H473" s="822"/>
      <c r="I473" s="822"/>
      <c r="J473" s="822"/>
      <c r="K473" s="822"/>
      <c r="L473" s="822"/>
      <c r="M473" s="822"/>
      <c r="N473" s="822"/>
      <c r="O473" s="822"/>
      <c r="P473" s="822"/>
      <c r="Q473" s="3922"/>
      <c r="R473" s="822"/>
      <c r="S473" s="822"/>
      <c r="T473" s="822"/>
      <c r="U473" s="826"/>
      <c r="V473" s="826"/>
      <c r="W473" s="826"/>
      <c r="X473" s="822"/>
      <c r="Y473" s="3346"/>
      <c r="Z473" s="822"/>
      <c r="AA473" s="822"/>
      <c r="AB473" s="822"/>
      <c r="AC473" s="822"/>
      <c r="AD473" s="826"/>
      <c r="AE473" s="822"/>
      <c r="AF473" s="822"/>
      <c r="AG473" s="822"/>
      <c r="AH473" s="822"/>
      <c r="AI473" s="822"/>
      <c r="AJ473" s="822"/>
      <c r="AK473" s="822"/>
      <c r="AL473" s="822"/>
      <c r="AM473" s="822"/>
      <c r="AN473" s="826"/>
      <c r="AO473" s="822"/>
      <c r="AP473" s="822"/>
      <c r="AQ473" s="822"/>
      <c r="AR473" s="822"/>
      <c r="AS473" s="822"/>
      <c r="AT473" s="822"/>
      <c r="AU473" s="822"/>
      <c r="AV473" s="822"/>
      <c r="AW473" s="822"/>
      <c r="AX473" s="822"/>
      <c r="AY473" s="822"/>
      <c r="AZ473" s="822"/>
      <c r="BA473" s="822"/>
      <c r="BB473" s="830"/>
      <c r="BC473" s="830"/>
      <c r="BD473" s="822"/>
    </row>
    <row r="474" spans="1:56">
      <c r="A474" s="822"/>
      <c r="B474" s="822"/>
      <c r="C474" s="822"/>
      <c r="D474" s="826"/>
      <c r="E474" s="822"/>
      <c r="F474" s="822"/>
      <c r="G474" s="826"/>
      <c r="H474" s="822"/>
      <c r="I474" s="822"/>
      <c r="J474" s="822"/>
      <c r="K474" s="822"/>
      <c r="L474" s="822"/>
      <c r="M474" s="822"/>
      <c r="N474" s="822"/>
      <c r="O474" s="822"/>
      <c r="P474" s="822"/>
      <c r="Q474" s="3922"/>
      <c r="R474" s="822"/>
      <c r="S474" s="822"/>
      <c r="T474" s="822"/>
      <c r="U474" s="826"/>
      <c r="V474" s="826"/>
      <c r="W474" s="826"/>
      <c r="X474" s="822"/>
      <c r="Y474" s="3346"/>
      <c r="Z474" s="822"/>
      <c r="AA474" s="822"/>
      <c r="AB474" s="822"/>
      <c r="AC474" s="822"/>
      <c r="AD474" s="826"/>
      <c r="AE474" s="822"/>
      <c r="AF474" s="822"/>
      <c r="AG474" s="822"/>
      <c r="AH474" s="822"/>
      <c r="AI474" s="822"/>
      <c r="AJ474" s="822"/>
      <c r="AK474" s="822"/>
      <c r="AL474" s="822"/>
      <c r="AM474" s="822"/>
      <c r="AN474" s="826"/>
      <c r="AO474" s="822"/>
      <c r="AP474" s="822"/>
      <c r="AQ474" s="822"/>
      <c r="AR474" s="822"/>
      <c r="AS474" s="822"/>
      <c r="AT474" s="822"/>
      <c r="AU474" s="822"/>
      <c r="AV474" s="822"/>
      <c r="AW474" s="822"/>
      <c r="AX474" s="822"/>
      <c r="AY474" s="822"/>
      <c r="AZ474" s="822"/>
      <c r="BA474" s="822"/>
      <c r="BB474" s="830"/>
      <c r="BC474" s="830"/>
      <c r="BD474" s="822"/>
    </row>
    <row r="475" spans="1:56">
      <c r="A475" s="822"/>
      <c r="B475" s="822"/>
      <c r="C475" s="822"/>
      <c r="D475" s="826"/>
      <c r="E475" s="822"/>
      <c r="F475" s="822"/>
      <c r="G475" s="826"/>
      <c r="H475" s="822"/>
      <c r="I475" s="822"/>
      <c r="J475" s="822"/>
      <c r="K475" s="822"/>
      <c r="L475" s="822"/>
      <c r="M475" s="822"/>
      <c r="N475" s="822"/>
      <c r="O475" s="822"/>
      <c r="P475" s="822"/>
      <c r="Q475" s="3922"/>
      <c r="R475" s="822"/>
      <c r="S475" s="822"/>
      <c r="T475" s="822"/>
      <c r="U475" s="826"/>
      <c r="V475" s="826"/>
      <c r="W475" s="826"/>
      <c r="X475" s="822"/>
      <c r="Y475" s="3346"/>
      <c r="Z475" s="822"/>
      <c r="AA475" s="822"/>
      <c r="AB475" s="822"/>
      <c r="AC475" s="822"/>
      <c r="AD475" s="826"/>
      <c r="AE475" s="822"/>
      <c r="AF475" s="822"/>
      <c r="AG475" s="822"/>
      <c r="AH475" s="822"/>
      <c r="AI475" s="822"/>
      <c r="AJ475" s="822"/>
      <c r="AK475" s="822"/>
      <c r="AL475" s="822"/>
      <c r="AM475" s="822"/>
      <c r="AN475" s="826"/>
      <c r="AO475" s="822"/>
      <c r="AP475" s="822"/>
      <c r="AQ475" s="822"/>
      <c r="AR475" s="822"/>
      <c r="AS475" s="822"/>
      <c r="AT475" s="822"/>
      <c r="AU475" s="822"/>
      <c r="AV475" s="822"/>
      <c r="AW475" s="822"/>
      <c r="AX475" s="822"/>
      <c r="AY475" s="822"/>
      <c r="AZ475" s="822"/>
      <c r="BA475" s="822"/>
      <c r="BB475" s="830"/>
      <c r="BC475" s="830"/>
      <c r="BD475" s="822"/>
    </row>
    <row r="476" spans="1:56">
      <c r="A476" s="822"/>
      <c r="B476" s="822"/>
      <c r="C476" s="822"/>
      <c r="D476" s="826"/>
      <c r="E476" s="822"/>
      <c r="F476" s="822"/>
      <c r="G476" s="826"/>
      <c r="H476" s="822"/>
      <c r="I476" s="822"/>
      <c r="J476" s="822"/>
      <c r="K476" s="822"/>
      <c r="L476" s="822"/>
      <c r="M476" s="822"/>
      <c r="N476" s="822"/>
      <c r="O476" s="822"/>
      <c r="P476" s="822"/>
      <c r="Q476" s="3922"/>
      <c r="R476" s="822"/>
      <c r="S476" s="822"/>
      <c r="T476" s="822"/>
      <c r="U476" s="826"/>
      <c r="V476" s="826"/>
      <c r="W476" s="826"/>
      <c r="X476" s="822"/>
      <c r="Y476" s="3346"/>
      <c r="Z476" s="822"/>
      <c r="AA476" s="822"/>
      <c r="AB476" s="822"/>
      <c r="AC476" s="822"/>
      <c r="AD476" s="826"/>
      <c r="AE476" s="822"/>
      <c r="AF476" s="822"/>
      <c r="AG476" s="822"/>
      <c r="AH476" s="822"/>
      <c r="AI476" s="822"/>
      <c r="AJ476" s="822"/>
      <c r="AK476" s="822"/>
      <c r="AL476" s="822"/>
      <c r="AM476" s="822"/>
      <c r="AN476" s="826"/>
      <c r="AO476" s="822"/>
      <c r="AP476" s="822"/>
      <c r="AQ476" s="822"/>
      <c r="AR476" s="822"/>
      <c r="AS476" s="822"/>
      <c r="AT476" s="822"/>
      <c r="AU476" s="822"/>
      <c r="AV476" s="822"/>
      <c r="AW476" s="822"/>
      <c r="AX476" s="822"/>
      <c r="AY476" s="822"/>
      <c r="AZ476" s="822"/>
      <c r="BA476" s="822"/>
      <c r="BB476" s="830"/>
      <c r="BC476" s="830"/>
      <c r="BD476" s="822"/>
    </row>
    <row r="477" spans="1:56">
      <c r="A477" s="822"/>
      <c r="B477" s="822"/>
      <c r="C477" s="822"/>
      <c r="D477" s="826"/>
      <c r="E477" s="822"/>
      <c r="F477" s="822"/>
      <c r="G477" s="826"/>
      <c r="H477" s="822"/>
      <c r="I477" s="822"/>
      <c r="J477" s="822"/>
      <c r="K477" s="822"/>
      <c r="L477" s="822"/>
      <c r="M477" s="822"/>
      <c r="N477" s="822"/>
      <c r="O477" s="822"/>
      <c r="P477" s="822"/>
      <c r="Q477" s="3922"/>
      <c r="R477" s="822"/>
      <c r="S477" s="822"/>
      <c r="T477" s="822"/>
      <c r="U477" s="826"/>
      <c r="V477" s="826"/>
      <c r="W477" s="826"/>
      <c r="X477" s="822"/>
      <c r="Y477" s="3346"/>
      <c r="Z477" s="822"/>
      <c r="AA477" s="822"/>
      <c r="AB477" s="822"/>
      <c r="AC477" s="822"/>
      <c r="AD477" s="826"/>
      <c r="AE477" s="822"/>
      <c r="AF477" s="822"/>
      <c r="AG477" s="822"/>
      <c r="AH477" s="822"/>
      <c r="AI477" s="822"/>
      <c r="AJ477" s="822"/>
      <c r="AK477" s="822"/>
      <c r="AL477" s="822"/>
      <c r="AM477" s="822"/>
      <c r="AN477" s="826"/>
      <c r="AO477" s="822"/>
      <c r="AP477" s="822"/>
      <c r="AQ477" s="822"/>
      <c r="AR477" s="822"/>
      <c r="AS477" s="822"/>
      <c r="AT477" s="822"/>
      <c r="AU477" s="822"/>
      <c r="AV477" s="822"/>
      <c r="AW477" s="822"/>
      <c r="AX477" s="822"/>
      <c r="AY477" s="822"/>
      <c r="AZ477" s="822"/>
      <c r="BA477" s="822"/>
      <c r="BB477" s="830"/>
      <c r="BC477" s="830"/>
      <c r="BD477" s="822"/>
    </row>
    <row r="478" spans="1:56">
      <c r="A478" s="822"/>
      <c r="B478" s="822"/>
      <c r="C478" s="822"/>
      <c r="D478" s="826"/>
      <c r="E478" s="822"/>
      <c r="F478" s="822"/>
      <c r="G478" s="826"/>
      <c r="H478" s="822"/>
      <c r="I478" s="822"/>
      <c r="J478" s="822"/>
      <c r="K478" s="822"/>
      <c r="L478" s="822"/>
      <c r="M478" s="822"/>
      <c r="N478" s="822"/>
      <c r="O478" s="822"/>
      <c r="P478" s="822"/>
      <c r="Q478" s="3922"/>
      <c r="R478" s="822"/>
      <c r="S478" s="822"/>
      <c r="T478" s="822"/>
      <c r="U478" s="826"/>
      <c r="V478" s="826"/>
      <c r="W478" s="826"/>
      <c r="X478" s="822"/>
      <c r="Y478" s="3346"/>
      <c r="Z478" s="822"/>
      <c r="AA478" s="822"/>
      <c r="AB478" s="822"/>
      <c r="AC478" s="822"/>
      <c r="AD478" s="826"/>
      <c r="AE478" s="822"/>
      <c r="AF478" s="822"/>
      <c r="AG478" s="822"/>
      <c r="AH478" s="822"/>
      <c r="AI478" s="822"/>
      <c r="AJ478" s="822"/>
      <c r="AK478" s="822"/>
      <c r="AL478" s="822"/>
      <c r="AM478" s="822"/>
      <c r="AN478" s="826"/>
      <c r="AO478" s="822"/>
      <c r="AP478" s="822"/>
      <c r="AQ478" s="822"/>
      <c r="AR478" s="822"/>
      <c r="AS478" s="822"/>
      <c r="AT478" s="822"/>
      <c r="AU478" s="822"/>
      <c r="AV478" s="822"/>
      <c r="AW478" s="822"/>
      <c r="AX478" s="822"/>
      <c r="AY478" s="822"/>
      <c r="AZ478" s="822"/>
      <c r="BA478" s="822"/>
      <c r="BB478" s="830"/>
      <c r="BC478" s="830"/>
      <c r="BD478" s="822"/>
    </row>
    <row r="479" spans="1:56">
      <c r="A479" s="822"/>
      <c r="B479" s="822"/>
      <c r="C479" s="822"/>
      <c r="D479" s="826"/>
      <c r="E479" s="822"/>
      <c r="F479" s="822"/>
      <c r="G479" s="826"/>
      <c r="H479" s="822"/>
      <c r="I479" s="822"/>
      <c r="J479" s="822"/>
      <c r="K479" s="822"/>
      <c r="L479" s="822"/>
      <c r="M479" s="822"/>
      <c r="N479" s="822"/>
      <c r="O479" s="822"/>
      <c r="P479" s="822"/>
      <c r="Q479" s="3922"/>
      <c r="R479" s="822"/>
      <c r="S479" s="822"/>
      <c r="T479" s="822"/>
      <c r="U479" s="826"/>
      <c r="V479" s="826"/>
      <c r="W479" s="826"/>
      <c r="X479" s="822"/>
      <c r="Y479" s="3346"/>
      <c r="Z479" s="822"/>
      <c r="AA479" s="822"/>
      <c r="AB479" s="822"/>
      <c r="AC479" s="822"/>
      <c r="AD479" s="826"/>
      <c r="AE479" s="822"/>
      <c r="AF479" s="822"/>
      <c r="AG479" s="822"/>
      <c r="AH479" s="822"/>
      <c r="AI479" s="822"/>
      <c r="AJ479" s="822"/>
      <c r="AK479" s="822"/>
      <c r="AL479" s="822"/>
      <c r="AM479" s="822"/>
      <c r="AN479" s="826"/>
      <c r="AO479" s="822"/>
      <c r="AP479" s="822"/>
      <c r="AQ479" s="822"/>
      <c r="AR479" s="822"/>
      <c r="AS479" s="822"/>
      <c r="AT479" s="822"/>
      <c r="AU479" s="822"/>
      <c r="AV479" s="822"/>
      <c r="AW479" s="822"/>
      <c r="AX479" s="822"/>
      <c r="AY479" s="822"/>
      <c r="AZ479" s="822"/>
      <c r="BA479" s="822"/>
      <c r="BB479" s="830"/>
      <c r="BC479" s="830"/>
      <c r="BD479" s="822"/>
    </row>
    <row r="480" spans="1:56">
      <c r="A480" s="822"/>
      <c r="B480" s="822"/>
      <c r="C480" s="822"/>
      <c r="D480" s="826"/>
      <c r="E480" s="822"/>
      <c r="F480" s="822"/>
      <c r="G480" s="826"/>
      <c r="H480" s="822"/>
      <c r="I480" s="822"/>
      <c r="J480" s="822"/>
      <c r="K480" s="822"/>
      <c r="L480" s="822"/>
      <c r="M480" s="822"/>
      <c r="N480" s="822"/>
      <c r="O480" s="822"/>
      <c r="P480" s="822"/>
      <c r="Q480" s="3922"/>
      <c r="R480" s="822"/>
      <c r="S480" s="822"/>
      <c r="T480" s="822"/>
      <c r="U480" s="826"/>
      <c r="V480" s="826"/>
      <c r="W480" s="826"/>
      <c r="X480" s="822"/>
      <c r="Y480" s="3346"/>
      <c r="Z480" s="822"/>
      <c r="AA480" s="822"/>
      <c r="AB480" s="822"/>
      <c r="AC480" s="822"/>
      <c r="AD480" s="826"/>
      <c r="AE480" s="822"/>
      <c r="AF480" s="822"/>
      <c r="AG480" s="822"/>
      <c r="AH480" s="822"/>
      <c r="AI480" s="822"/>
      <c r="AJ480" s="822"/>
      <c r="AK480" s="822"/>
      <c r="AL480" s="822"/>
      <c r="AM480" s="822"/>
      <c r="AN480" s="826"/>
      <c r="AO480" s="822"/>
      <c r="AP480" s="822"/>
      <c r="AQ480" s="822"/>
      <c r="AR480" s="822"/>
      <c r="AS480" s="822"/>
      <c r="AT480" s="822"/>
      <c r="AU480" s="822"/>
      <c r="AV480" s="822"/>
      <c r="AW480" s="822"/>
      <c r="AX480" s="822"/>
      <c r="AY480" s="822"/>
      <c r="AZ480" s="822"/>
      <c r="BA480" s="822"/>
      <c r="BB480" s="830"/>
      <c r="BC480" s="830"/>
      <c r="BD480" s="822"/>
    </row>
    <row r="481" spans="1:56">
      <c r="A481" s="822"/>
      <c r="B481" s="822"/>
      <c r="C481" s="822"/>
      <c r="D481" s="826"/>
      <c r="E481" s="822"/>
      <c r="F481" s="822"/>
      <c r="G481" s="826"/>
      <c r="H481" s="822"/>
      <c r="I481" s="822"/>
      <c r="J481" s="822"/>
      <c r="K481" s="822"/>
      <c r="L481" s="822"/>
      <c r="M481" s="822"/>
      <c r="N481" s="822"/>
      <c r="O481" s="822"/>
      <c r="P481" s="822"/>
      <c r="Q481" s="3922"/>
      <c r="R481" s="822"/>
      <c r="S481" s="822"/>
      <c r="T481" s="822"/>
      <c r="U481" s="826"/>
      <c r="V481" s="826"/>
      <c r="W481" s="826"/>
      <c r="X481" s="822"/>
      <c r="Y481" s="3346"/>
      <c r="Z481" s="822"/>
      <c r="AA481" s="822"/>
      <c r="AB481" s="822"/>
      <c r="AC481" s="822"/>
      <c r="AD481" s="826"/>
      <c r="AE481" s="822"/>
      <c r="AF481" s="822"/>
      <c r="AG481" s="822"/>
      <c r="AH481" s="822"/>
      <c r="AI481" s="822"/>
      <c r="AJ481" s="822"/>
      <c r="AK481" s="822"/>
      <c r="AL481" s="822"/>
      <c r="AM481" s="822"/>
      <c r="AN481" s="826"/>
      <c r="AO481" s="822"/>
      <c r="AP481" s="822"/>
      <c r="AQ481" s="822"/>
      <c r="AR481" s="822"/>
      <c r="AS481" s="822"/>
      <c r="AT481" s="822"/>
      <c r="AU481" s="822"/>
      <c r="AV481" s="822"/>
      <c r="AW481" s="822"/>
      <c r="AX481" s="822"/>
      <c r="AY481" s="822"/>
      <c r="AZ481" s="822"/>
      <c r="BA481" s="822"/>
      <c r="BB481" s="830"/>
      <c r="BC481" s="830"/>
      <c r="BD481" s="822"/>
    </row>
    <row r="482" spans="1:56">
      <c r="A482" s="822"/>
      <c r="B482" s="822"/>
      <c r="C482" s="822"/>
      <c r="D482" s="826"/>
      <c r="E482" s="822"/>
      <c r="F482" s="822"/>
      <c r="G482" s="826"/>
      <c r="H482" s="822"/>
      <c r="I482" s="822"/>
      <c r="J482" s="822"/>
      <c r="K482" s="822"/>
      <c r="L482" s="822"/>
      <c r="M482" s="822"/>
      <c r="N482" s="822"/>
      <c r="O482" s="822"/>
      <c r="P482" s="822"/>
      <c r="Q482" s="3922"/>
      <c r="R482" s="822"/>
      <c r="S482" s="822"/>
      <c r="T482" s="822"/>
      <c r="U482" s="826"/>
      <c r="V482" s="826"/>
      <c r="W482" s="826"/>
      <c r="X482" s="822"/>
      <c r="Y482" s="3346"/>
      <c r="Z482" s="822"/>
      <c r="AA482" s="822"/>
      <c r="AB482" s="822"/>
      <c r="AC482" s="822"/>
      <c r="AD482" s="826"/>
      <c r="AE482" s="822"/>
      <c r="AF482" s="822"/>
      <c r="AG482" s="822"/>
      <c r="AH482" s="822"/>
      <c r="AI482" s="822"/>
      <c r="AJ482" s="822"/>
      <c r="AK482" s="822"/>
      <c r="AL482" s="822"/>
      <c r="AM482" s="822"/>
      <c r="AN482" s="826"/>
      <c r="AO482" s="822"/>
      <c r="AP482" s="822"/>
      <c r="AQ482" s="822"/>
      <c r="AR482" s="822"/>
      <c r="AS482" s="822"/>
      <c r="AT482" s="822"/>
      <c r="AU482" s="822"/>
      <c r="AV482" s="822"/>
      <c r="AW482" s="822"/>
      <c r="AX482" s="822"/>
      <c r="AY482" s="822"/>
      <c r="AZ482" s="822"/>
      <c r="BA482" s="822"/>
      <c r="BB482" s="830"/>
      <c r="BC482" s="830"/>
      <c r="BD482" s="822"/>
    </row>
    <row r="483" spans="1:56">
      <c r="A483" s="822"/>
      <c r="B483" s="822"/>
      <c r="C483" s="822"/>
      <c r="D483" s="826"/>
      <c r="E483" s="822"/>
      <c r="F483" s="822"/>
      <c r="G483" s="826"/>
      <c r="H483" s="822"/>
      <c r="I483" s="822"/>
      <c r="J483" s="822"/>
      <c r="K483" s="822"/>
      <c r="L483" s="822"/>
      <c r="M483" s="822"/>
      <c r="N483" s="822"/>
      <c r="O483" s="822"/>
      <c r="P483" s="822"/>
      <c r="Q483" s="3922"/>
      <c r="R483" s="822"/>
      <c r="S483" s="822"/>
      <c r="T483" s="822"/>
      <c r="U483" s="826"/>
      <c r="V483" s="826"/>
      <c r="W483" s="826"/>
      <c r="X483" s="822"/>
      <c r="Y483" s="3346"/>
      <c r="Z483" s="822"/>
      <c r="AA483" s="822"/>
      <c r="AB483" s="822"/>
      <c r="AC483" s="822"/>
      <c r="AD483" s="826"/>
      <c r="AE483" s="822"/>
      <c r="AF483" s="822"/>
      <c r="AG483" s="822"/>
      <c r="AH483" s="822"/>
      <c r="AI483" s="822"/>
      <c r="AJ483" s="822"/>
      <c r="AK483" s="822"/>
      <c r="AL483" s="822"/>
      <c r="AM483" s="822"/>
      <c r="AN483" s="826"/>
      <c r="AO483" s="822"/>
      <c r="AP483" s="822"/>
      <c r="AQ483" s="822"/>
      <c r="AR483" s="822"/>
      <c r="AS483" s="822"/>
      <c r="AT483" s="822"/>
      <c r="AU483" s="822"/>
      <c r="AV483" s="822"/>
      <c r="AW483" s="822"/>
      <c r="AX483" s="822"/>
      <c r="AY483" s="822"/>
      <c r="AZ483" s="822"/>
      <c r="BA483" s="822"/>
      <c r="BB483" s="830"/>
      <c r="BC483" s="830"/>
      <c r="BD483" s="822"/>
    </row>
    <row r="484" spans="1:56">
      <c r="A484" s="822"/>
      <c r="B484" s="822"/>
      <c r="C484" s="822"/>
      <c r="D484" s="826"/>
      <c r="E484" s="822"/>
      <c r="F484" s="822"/>
      <c r="G484" s="826"/>
      <c r="H484" s="822"/>
      <c r="I484" s="822"/>
      <c r="J484" s="822"/>
      <c r="K484" s="822"/>
      <c r="L484" s="822"/>
      <c r="M484" s="822"/>
      <c r="N484" s="822"/>
      <c r="O484" s="822"/>
      <c r="P484" s="822"/>
      <c r="Q484" s="3922"/>
      <c r="R484" s="822"/>
      <c r="S484" s="822"/>
      <c r="T484" s="822"/>
      <c r="U484" s="826"/>
      <c r="V484" s="826"/>
      <c r="W484" s="826"/>
      <c r="X484" s="822"/>
      <c r="Y484" s="3346"/>
      <c r="Z484" s="822"/>
      <c r="AA484" s="822"/>
      <c r="AB484" s="822"/>
      <c r="AC484" s="822"/>
      <c r="AD484" s="826"/>
      <c r="AE484" s="822"/>
      <c r="AF484" s="822"/>
      <c r="AG484" s="822"/>
      <c r="AH484" s="822"/>
      <c r="AI484" s="822"/>
      <c r="AJ484" s="822"/>
      <c r="AK484" s="822"/>
      <c r="AL484" s="822"/>
      <c r="AM484" s="822"/>
      <c r="AN484" s="826"/>
      <c r="AO484" s="822"/>
      <c r="AP484" s="822"/>
      <c r="AQ484" s="822"/>
      <c r="AR484" s="822"/>
      <c r="AS484" s="822"/>
      <c r="AT484" s="822"/>
      <c r="AU484" s="822"/>
      <c r="AV484" s="822"/>
      <c r="AW484" s="822"/>
      <c r="AX484" s="822"/>
      <c r="AY484" s="822"/>
      <c r="AZ484" s="822"/>
      <c r="BA484" s="822"/>
      <c r="BB484" s="830"/>
      <c r="BC484" s="830"/>
      <c r="BD484" s="822"/>
    </row>
    <row r="485" spans="1:56">
      <c r="A485" s="822"/>
      <c r="B485" s="822"/>
      <c r="C485" s="822"/>
      <c r="D485" s="826"/>
      <c r="E485" s="822"/>
      <c r="F485" s="822"/>
      <c r="G485" s="826"/>
      <c r="H485" s="822"/>
      <c r="I485" s="822"/>
      <c r="J485" s="822"/>
      <c r="K485" s="822"/>
      <c r="L485" s="822"/>
      <c r="M485" s="822"/>
      <c r="N485" s="822"/>
      <c r="O485" s="822"/>
      <c r="P485" s="822"/>
      <c r="Q485" s="3922"/>
      <c r="R485" s="822"/>
      <c r="S485" s="822"/>
      <c r="T485" s="822"/>
      <c r="U485" s="826"/>
      <c r="V485" s="826"/>
      <c r="W485" s="826"/>
      <c r="X485" s="822"/>
      <c r="Y485" s="3346"/>
      <c r="Z485" s="822"/>
      <c r="AA485" s="822"/>
      <c r="AB485" s="822"/>
      <c r="AC485" s="822"/>
      <c r="AD485" s="826"/>
      <c r="AE485" s="822"/>
      <c r="AF485" s="822"/>
      <c r="AG485" s="822"/>
      <c r="AH485" s="822"/>
      <c r="AI485" s="822"/>
      <c r="AJ485" s="822"/>
      <c r="AK485" s="822"/>
      <c r="AL485" s="822"/>
      <c r="AM485" s="822"/>
      <c r="AN485" s="826"/>
      <c r="AO485" s="822"/>
      <c r="AP485" s="822"/>
      <c r="AQ485" s="822"/>
      <c r="AR485" s="822"/>
      <c r="AS485" s="822"/>
      <c r="AT485" s="822"/>
      <c r="AU485" s="822"/>
      <c r="AV485" s="822"/>
      <c r="AW485" s="822"/>
      <c r="AX485" s="822"/>
      <c r="AY485" s="822"/>
      <c r="AZ485" s="822"/>
      <c r="BA485" s="822"/>
      <c r="BB485" s="830"/>
      <c r="BC485" s="830"/>
      <c r="BD485" s="822"/>
    </row>
    <row r="486" spans="1:56">
      <c r="A486" s="822"/>
      <c r="B486" s="822"/>
      <c r="C486" s="822"/>
      <c r="D486" s="826"/>
      <c r="E486" s="822"/>
      <c r="F486" s="822"/>
      <c r="G486" s="826"/>
      <c r="H486" s="822"/>
      <c r="I486" s="822"/>
      <c r="J486" s="822"/>
      <c r="K486" s="822"/>
      <c r="L486" s="822"/>
      <c r="M486" s="822"/>
      <c r="N486" s="822"/>
      <c r="O486" s="822"/>
      <c r="P486" s="822"/>
      <c r="Q486" s="3922"/>
      <c r="R486" s="822"/>
      <c r="S486" s="822"/>
      <c r="T486" s="822"/>
      <c r="U486" s="826"/>
      <c r="V486" s="826"/>
      <c r="W486" s="826"/>
      <c r="X486" s="822"/>
      <c r="Y486" s="3346"/>
      <c r="Z486" s="822"/>
      <c r="AA486" s="822"/>
      <c r="AB486" s="822"/>
      <c r="AC486" s="822"/>
      <c r="AD486" s="826"/>
      <c r="AE486" s="822"/>
      <c r="AF486" s="822"/>
      <c r="AG486" s="822"/>
      <c r="AH486" s="822"/>
      <c r="AI486" s="822"/>
      <c r="AJ486" s="822"/>
      <c r="AK486" s="822"/>
      <c r="AL486" s="822"/>
      <c r="AM486" s="822"/>
      <c r="AN486" s="826"/>
      <c r="AO486" s="822"/>
      <c r="AP486" s="822"/>
      <c r="AQ486" s="822"/>
      <c r="AR486" s="822"/>
      <c r="AS486" s="822"/>
      <c r="AT486" s="822"/>
      <c r="AU486" s="822"/>
      <c r="AV486" s="822"/>
      <c r="AW486" s="822"/>
      <c r="AX486" s="822"/>
      <c r="AY486" s="822"/>
      <c r="AZ486" s="822"/>
      <c r="BA486" s="822"/>
      <c r="BB486" s="830"/>
      <c r="BC486" s="830"/>
      <c r="BD486" s="822"/>
    </row>
    <row r="487" spans="1:56">
      <c r="A487" s="822"/>
      <c r="B487" s="822"/>
      <c r="C487" s="822"/>
      <c r="D487" s="826"/>
      <c r="E487" s="822"/>
      <c r="F487" s="822"/>
      <c r="G487" s="826"/>
      <c r="H487" s="822"/>
      <c r="I487" s="822"/>
      <c r="J487" s="822"/>
      <c r="K487" s="822"/>
      <c r="L487" s="822"/>
      <c r="M487" s="822"/>
      <c r="N487" s="822"/>
      <c r="O487" s="822"/>
      <c r="P487" s="822"/>
      <c r="Q487" s="3922"/>
      <c r="R487" s="822"/>
      <c r="S487" s="822"/>
      <c r="T487" s="822"/>
      <c r="U487" s="826"/>
      <c r="V487" s="826"/>
      <c r="W487" s="826"/>
      <c r="X487" s="822"/>
      <c r="Y487" s="3346"/>
      <c r="Z487" s="822"/>
      <c r="AA487" s="822"/>
      <c r="AB487" s="822"/>
      <c r="AC487" s="822"/>
      <c r="AD487" s="826"/>
      <c r="AE487" s="822"/>
      <c r="AF487" s="822"/>
      <c r="AG487" s="822"/>
      <c r="AH487" s="822"/>
      <c r="AI487" s="822"/>
      <c r="AJ487" s="822"/>
      <c r="AK487" s="822"/>
      <c r="AL487" s="822"/>
      <c r="AM487" s="822"/>
      <c r="AN487" s="826"/>
      <c r="AO487" s="822"/>
      <c r="AP487" s="822"/>
      <c r="AQ487" s="822"/>
      <c r="AR487" s="822"/>
      <c r="AS487" s="822"/>
      <c r="AT487" s="822"/>
      <c r="AU487" s="822"/>
      <c r="AV487" s="822"/>
      <c r="AW487" s="822"/>
      <c r="AX487" s="822"/>
      <c r="AY487" s="822"/>
      <c r="AZ487" s="822"/>
      <c r="BA487" s="822"/>
      <c r="BB487" s="830"/>
      <c r="BC487" s="830"/>
      <c r="BD487" s="822"/>
    </row>
    <row r="488" spans="1:56">
      <c r="A488" s="822"/>
      <c r="B488" s="822"/>
      <c r="C488" s="822"/>
      <c r="D488" s="826"/>
      <c r="E488" s="822"/>
      <c r="F488" s="822"/>
      <c r="G488" s="826"/>
      <c r="H488" s="822"/>
      <c r="I488" s="822"/>
      <c r="J488" s="822"/>
      <c r="K488" s="822"/>
      <c r="L488" s="822"/>
      <c r="M488" s="822"/>
      <c r="N488" s="822"/>
      <c r="O488" s="822"/>
      <c r="P488" s="822"/>
      <c r="Q488" s="3922"/>
      <c r="R488" s="822"/>
      <c r="S488" s="822"/>
      <c r="T488" s="822"/>
      <c r="U488" s="826"/>
      <c r="V488" s="826"/>
      <c r="W488" s="826"/>
      <c r="X488" s="822"/>
      <c r="Y488" s="3346"/>
      <c r="Z488" s="822"/>
      <c r="AA488" s="822"/>
      <c r="AB488" s="822"/>
      <c r="AC488" s="822"/>
      <c r="AD488" s="826"/>
      <c r="AE488" s="822"/>
      <c r="AF488" s="822"/>
      <c r="AG488" s="822"/>
      <c r="AH488" s="822"/>
      <c r="AI488" s="822"/>
      <c r="AJ488" s="822"/>
      <c r="AK488" s="822"/>
      <c r="AL488" s="822"/>
      <c r="AM488" s="822"/>
      <c r="AN488" s="826"/>
      <c r="AO488" s="822"/>
      <c r="AP488" s="822"/>
      <c r="AQ488" s="822"/>
      <c r="AR488" s="822"/>
      <c r="AS488" s="822"/>
      <c r="AT488" s="822"/>
      <c r="AU488" s="822"/>
      <c r="AV488" s="822"/>
      <c r="AW488" s="822"/>
      <c r="AX488" s="822"/>
      <c r="AY488" s="822"/>
      <c r="AZ488" s="822"/>
      <c r="BA488" s="822"/>
      <c r="BB488" s="830"/>
      <c r="BC488" s="830"/>
      <c r="BD488" s="822"/>
    </row>
    <row r="489" spans="1:56">
      <c r="A489" s="822"/>
      <c r="B489" s="822"/>
      <c r="C489" s="822"/>
      <c r="D489" s="826"/>
      <c r="E489" s="822"/>
      <c r="F489" s="822"/>
      <c r="G489" s="826"/>
      <c r="H489" s="822"/>
      <c r="I489" s="822"/>
      <c r="J489" s="822"/>
      <c r="K489" s="822"/>
      <c r="L489" s="822"/>
      <c r="M489" s="822"/>
      <c r="N489" s="822"/>
      <c r="O489" s="822"/>
      <c r="P489" s="822"/>
      <c r="Q489" s="3922"/>
      <c r="R489" s="822"/>
      <c r="S489" s="822"/>
      <c r="T489" s="822"/>
      <c r="U489" s="826"/>
      <c r="V489" s="826"/>
      <c r="W489" s="826"/>
      <c r="X489" s="822"/>
      <c r="Y489" s="3346"/>
      <c r="Z489" s="822"/>
      <c r="AA489" s="822"/>
      <c r="AB489" s="822"/>
      <c r="AC489" s="822"/>
      <c r="AD489" s="826"/>
      <c r="AE489" s="822"/>
      <c r="AF489" s="822"/>
      <c r="AG489" s="822"/>
      <c r="AH489" s="822"/>
      <c r="AI489" s="822"/>
      <c r="AJ489" s="822"/>
      <c r="AK489" s="822"/>
      <c r="AL489" s="822"/>
      <c r="AM489" s="822"/>
      <c r="AN489" s="826"/>
      <c r="AO489" s="822"/>
      <c r="AP489" s="822"/>
      <c r="AQ489" s="822"/>
      <c r="AR489" s="822"/>
      <c r="AS489" s="822"/>
      <c r="AT489" s="822"/>
      <c r="AU489" s="822"/>
      <c r="AV489" s="822"/>
      <c r="AW489" s="822"/>
      <c r="AX489" s="822"/>
      <c r="AY489" s="822"/>
      <c r="AZ489" s="822"/>
      <c r="BA489" s="822"/>
      <c r="BB489" s="830"/>
      <c r="BC489" s="830"/>
      <c r="BD489" s="822"/>
    </row>
    <row r="490" spans="1:56">
      <c r="A490" s="822"/>
      <c r="B490" s="822"/>
      <c r="C490" s="822"/>
      <c r="D490" s="826"/>
      <c r="E490" s="822"/>
      <c r="F490" s="822"/>
      <c r="G490" s="826"/>
      <c r="H490" s="822"/>
      <c r="I490" s="822"/>
      <c r="J490" s="822"/>
      <c r="K490" s="822"/>
      <c r="L490" s="822"/>
      <c r="M490" s="822"/>
      <c r="N490" s="822"/>
      <c r="O490" s="822"/>
      <c r="P490" s="822"/>
      <c r="Q490" s="3922"/>
      <c r="R490" s="822"/>
      <c r="S490" s="822"/>
      <c r="T490" s="822"/>
      <c r="U490" s="826"/>
      <c r="V490" s="826"/>
      <c r="W490" s="826"/>
      <c r="X490" s="822"/>
      <c r="Y490" s="3346"/>
      <c r="Z490" s="822"/>
      <c r="AA490" s="822"/>
      <c r="AB490" s="822"/>
      <c r="AC490" s="822"/>
      <c r="AD490" s="826"/>
      <c r="AE490" s="822"/>
      <c r="AF490" s="822"/>
      <c r="AG490" s="822"/>
      <c r="AH490" s="822"/>
      <c r="AI490" s="822"/>
      <c r="AJ490" s="822"/>
      <c r="AK490" s="822"/>
      <c r="AL490" s="822"/>
      <c r="AM490" s="822"/>
      <c r="AN490" s="826"/>
      <c r="AO490" s="822"/>
      <c r="AP490" s="822"/>
      <c r="AQ490" s="822"/>
      <c r="AR490" s="822"/>
      <c r="AS490" s="822"/>
      <c r="AT490" s="822"/>
      <c r="AU490" s="822"/>
      <c r="AV490" s="822"/>
      <c r="AW490" s="822"/>
      <c r="AX490" s="822"/>
      <c r="AY490" s="822"/>
      <c r="AZ490" s="822"/>
      <c r="BA490" s="822"/>
      <c r="BB490" s="830"/>
      <c r="BC490" s="830"/>
      <c r="BD490" s="822"/>
    </row>
    <row r="491" spans="1:56">
      <c r="A491" s="822"/>
      <c r="B491" s="822"/>
      <c r="C491" s="822"/>
      <c r="D491" s="826"/>
      <c r="E491" s="822"/>
      <c r="F491" s="822"/>
      <c r="G491" s="826"/>
      <c r="H491" s="822"/>
      <c r="I491" s="822"/>
      <c r="J491" s="822"/>
      <c r="K491" s="822"/>
      <c r="L491" s="822"/>
      <c r="M491" s="822"/>
      <c r="N491" s="822"/>
      <c r="O491" s="822"/>
      <c r="P491" s="822"/>
      <c r="Q491" s="3922"/>
      <c r="R491" s="822"/>
      <c r="S491" s="822"/>
      <c r="T491" s="822"/>
      <c r="U491" s="826"/>
      <c r="V491" s="826"/>
      <c r="W491" s="826"/>
      <c r="X491" s="822"/>
      <c r="Y491" s="3346"/>
      <c r="Z491" s="822"/>
      <c r="AA491" s="822"/>
      <c r="AB491" s="822"/>
      <c r="AC491" s="822"/>
      <c r="AD491" s="826"/>
      <c r="AE491" s="822"/>
      <c r="AF491" s="822"/>
      <c r="AG491" s="822"/>
      <c r="AH491" s="822"/>
      <c r="AI491" s="822"/>
      <c r="AJ491" s="822"/>
      <c r="AK491" s="822"/>
      <c r="AL491" s="822"/>
      <c r="AM491" s="822"/>
      <c r="AN491" s="826"/>
      <c r="AO491" s="822"/>
      <c r="AP491" s="822"/>
      <c r="AQ491" s="822"/>
      <c r="AR491" s="822"/>
      <c r="AS491" s="822"/>
      <c r="AT491" s="822"/>
      <c r="AU491" s="822"/>
      <c r="AV491" s="822"/>
      <c r="AW491" s="822"/>
      <c r="AX491" s="822"/>
      <c r="AY491" s="822"/>
      <c r="AZ491" s="822"/>
      <c r="BA491" s="822"/>
      <c r="BB491" s="830"/>
      <c r="BC491" s="830"/>
      <c r="BD491" s="822"/>
    </row>
    <row r="492" spans="1:56">
      <c r="A492" s="822"/>
      <c r="B492" s="822"/>
      <c r="C492" s="822"/>
      <c r="D492" s="826"/>
      <c r="E492" s="822"/>
      <c r="F492" s="822"/>
      <c r="G492" s="826"/>
      <c r="H492" s="822"/>
      <c r="I492" s="822"/>
      <c r="J492" s="822"/>
      <c r="K492" s="822"/>
      <c r="L492" s="822"/>
      <c r="M492" s="822"/>
      <c r="N492" s="822"/>
      <c r="O492" s="822"/>
      <c r="P492" s="822"/>
      <c r="Q492" s="3922"/>
      <c r="R492" s="822"/>
      <c r="S492" s="822"/>
      <c r="T492" s="822"/>
      <c r="U492" s="826"/>
      <c r="V492" s="826"/>
      <c r="W492" s="826"/>
      <c r="X492" s="822"/>
      <c r="Y492" s="3346"/>
      <c r="Z492" s="822"/>
      <c r="AA492" s="822"/>
      <c r="AB492" s="822"/>
      <c r="AC492" s="822"/>
      <c r="AD492" s="826"/>
      <c r="AE492" s="822"/>
      <c r="AF492" s="822"/>
      <c r="AG492" s="822"/>
      <c r="AH492" s="822"/>
      <c r="AI492" s="822"/>
      <c r="AJ492" s="822"/>
      <c r="AK492" s="822"/>
      <c r="AL492" s="822"/>
      <c r="AM492" s="822"/>
      <c r="AN492" s="826"/>
      <c r="AO492" s="822"/>
      <c r="AP492" s="822"/>
      <c r="AQ492" s="822"/>
      <c r="AR492" s="822"/>
      <c r="AS492" s="822"/>
      <c r="AT492" s="822"/>
      <c r="AU492" s="822"/>
      <c r="AV492" s="822"/>
      <c r="AW492" s="822"/>
      <c r="AX492" s="822"/>
      <c r="AY492" s="822"/>
      <c r="AZ492" s="822"/>
      <c r="BA492" s="822"/>
      <c r="BB492" s="830"/>
      <c r="BC492" s="830"/>
      <c r="BD492" s="822"/>
    </row>
    <row r="493" spans="1:56">
      <c r="A493" s="822"/>
      <c r="B493" s="822"/>
      <c r="C493" s="822"/>
      <c r="D493" s="826"/>
      <c r="E493" s="822"/>
      <c r="F493" s="822"/>
      <c r="G493" s="826"/>
      <c r="H493" s="822"/>
      <c r="I493" s="822"/>
      <c r="J493" s="822"/>
      <c r="K493" s="822"/>
      <c r="L493" s="822"/>
      <c r="M493" s="822"/>
      <c r="N493" s="822"/>
      <c r="O493" s="822"/>
      <c r="P493" s="822"/>
      <c r="Q493" s="3922"/>
      <c r="R493" s="822"/>
      <c r="S493" s="822"/>
      <c r="T493" s="822"/>
      <c r="U493" s="826"/>
      <c r="V493" s="826"/>
      <c r="W493" s="826"/>
      <c r="X493" s="822"/>
      <c r="Y493" s="3346"/>
      <c r="Z493" s="822"/>
      <c r="AA493" s="822"/>
      <c r="AB493" s="822"/>
      <c r="AC493" s="822"/>
      <c r="AD493" s="826"/>
      <c r="AE493" s="822"/>
      <c r="AF493" s="822"/>
      <c r="AG493" s="822"/>
      <c r="AH493" s="822"/>
      <c r="AI493" s="822"/>
      <c r="AJ493" s="822"/>
      <c r="AK493" s="822"/>
      <c r="AL493" s="822"/>
      <c r="AM493" s="822"/>
      <c r="AN493" s="826"/>
      <c r="AO493" s="822"/>
      <c r="AP493" s="822"/>
      <c r="AQ493" s="822"/>
      <c r="AR493" s="822"/>
      <c r="AS493" s="822"/>
      <c r="AT493" s="822"/>
      <c r="AU493" s="822"/>
      <c r="AV493" s="822"/>
      <c r="AW493" s="822"/>
      <c r="AX493" s="822"/>
      <c r="AY493" s="822"/>
      <c r="AZ493" s="822"/>
      <c r="BA493" s="822"/>
      <c r="BB493" s="830"/>
      <c r="BC493" s="830"/>
      <c r="BD493" s="822"/>
    </row>
    <row r="494" spans="1:56">
      <c r="A494" s="822"/>
      <c r="B494" s="822"/>
      <c r="C494" s="822"/>
      <c r="D494" s="826"/>
      <c r="E494" s="822"/>
      <c r="F494" s="822"/>
      <c r="G494" s="826"/>
      <c r="H494" s="822"/>
      <c r="I494" s="822"/>
      <c r="J494" s="822"/>
      <c r="K494" s="822"/>
      <c r="L494" s="822"/>
      <c r="M494" s="822"/>
      <c r="N494" s="822"/>
      <c r="O494" s="822"/>
      <c r="P494" s="822"/>
      <c r="Q494" s="3922"/>
      <c r="R494" s="822"/>
      <c r="S494" s="822"/>
      <c r="T494" s="822"/>
      <c r="U494" s="826"/>
      <c r="V494" s="826"/>
      <c r="W494" s="826"/>
      <c r="X494" s="822"/>
      <c r="Y494" s="3346"/>
      <c r="Z494" s="822"/>
      <c r="AA494" s="822"/>
      <c r="AB494" s="822"/>
      <c r="AC494" s="822"/>
      <c r="AD494" s="826"/>
      <c r="AE494" s="822"/>
      <c r="AF494" s="822"/>
      <c r="AG494" s="822"/>
      <c r="AH494" s="822"/>
      <c r="AI494" s="822"/>
      <c r="AJ494" s="822"/>
      <c r="AK494" s="822"/>
      <c r="AL494" s="822"/>
      <c r="AM494" s="822"/>
      <c r="AN494" s="826"/>
      <c r="AO494" s="822"/>
      <c r="AP494" s="822"/>
      <c r="AQ494" s="822"/>
      <c r="AR494" s="822"/>
      <c r="AS494" s="822"/>
      <c r="AT494" s="822"/>
      <c r="AU494" s="822"/>
      <c r="AV494" s="822"/>
      <c r="AW494" s="822"/>
      <c r="AX494" s="822"/>
      <c r="AY494" s="822"/>
      <c r="AZ494" s="822"/>
      <c r="BA494" s="822"/>
      <c r="BB494" s="830"/>
      <c r="BC494" s="830"/>
      <c r="BD494" s="822"/>
    </row>
    <row r="495" spans="1:56">
      <c r="A495" s="822"/>
      <c r="B495" s="822"/>
      <c r="C495" s="822"/>
      <c r="D495" s="826"/>
      <c r="E495" s="822"/>
      <c r="F495" s="822"/>
      <c r="G495" s="826"/>
      <c r="H495" s="822"/>
      <c r="I495" s="822"/>
      <c r="J495" s="822"/>
      <c r="K495" s="822"/>
      <c r="L495" s="822"/>
      <c r="M495" s="822"/>
      <c r="N495" s="822"/>
      <c r="O495" s="822"/>
      <c r="P495" s="822"/>
      <c r="Q495" s="3922"/>
      <c r="R495" s="822"/>
      <c r="S495" s="822"/>
      <c r="T495" s="822"/>
      <c r="U495" s="826"/>
      <c r="V495" s="826"/>
      <c r="W495" s="826"/>
      <c r="X495" s="822"/>
      <c r="Y495" s="3346"/>
      <c r="Z495" s="822"/>
      <c r="AA495" s="822"/>
      <c r="AB495" s="822"/>
      <c r="AC495" s="822"/>
      <c r="AD495" s="826"/>
      <c r="AE495" s="822"/>
      <c r="AF495" s="822"/>
      <c r="AG495" s="822"/>
      <c r="AH495" s="822"/>
      <c r="AI495" s="822"/>
      <c r="AJ495" s="822"/>
      <c r="AK495" s="822"/>
      <c r="AL495" s="822"/>
      <c r="AM495" s="822"/>
      <c r="AN495" s="826"/>
      <c r="AO495" s="822"/>
      <c r="AP495" s="822"/>
      <c r="AQ495" s="822"/>
      <c r="AR495" s="822"/>
      <c r="AS495" s="822"/>
      <c r="AT495" s="822"/>
      <c r="AU495" s="822"/>
      <c r="AV495" s="822"/>
      <c r="AW495" s="822"/>
      <c r="AX495" s="822"/>
      <c r="AY495" s="822"/>
      <c r="AZ495" s="822"/>
      <c r="BA495" s="822"/>
      <c r="BB495" s="830"/>
      <c r="BC495" s="830"/>
      <c r="BD495" s="822"/>
    </row>
    <row r="496" spans="1:56">
      <c r="A496" s="822"/>
      <c r="B496" s="822"/>
      <c r="C496" s="822"/>
      <c r="D496" s="826"/>
      <c r="E496" s="822"/>
      <c r="F496" s="822"/>
      <c r="G496" s="826"/>
      <c r="H496" s="822"/>
      <c r="I496" s="822"/>
      <c r="J496" s="822"/>
      <c r="K496" s="822"/>
      <c r="L496" s="822"/>
      <c r="M496" s="822"/>
      <c r="N496" s="822"/>
      <c r="O496" s="822"/>
      <c r="P496" s="822"/>
      <c r="Q496" s="3922"/>
      <c r="R496" s="822"/>
      <c r="S496" s="822"/>
      <c r="T496" s="822"/>
      <c r="U496" s="826"/>
      <c r="V496" s="826"/>
      <c r="W496" s="826"/>
      <c r="X496" s="822"/>
      <c r="Y496" s="3346"/>
      <c r="Z496" s="822"/>
      <c r="AA496" s="822"/>
      <c r="AB496" s="822"/>
      <c r="AC496" s="822"/>
      <c r="AD496" s="826"/>
      <c r="AE496" s="822"/>
      <c r="AF496" s="822"/>
      <c r="AG496" s="822"/>
      <c r="AH496" s="822"/>
      <c r="AI496" s="822"/>
      <c r="AJ496" s="822"/>
      <c r="AK496" s="822"/>
      <c r="AL496" s="822"/>
      <c r="AM496" s="822"/>
      <c r="AN496" s="826"/>
      <c r="AO496" s="822"/>
      <c r="AP496" s="822"/>
      <c r="AQ496" s="822"/>
      <c r="AR496" s="822"/>
      <c r="AS496" s="822"/>
      <c r="AT496" s="822"/>
      <c r="AU496" s="822"/>
      <c r="AV496" s="822"/>
      <c r="AW496" s="822"/>
      <c r="AX496" s="822"/>
      <c r="AY496" s="822"/>
      <c r="AZ496" s="822"/>
      <c r="BA496" s="822"/>
      <c r="BB496" s="830"/>
      <c r="BC496" s="830"/>
      <c r="BD496" s="822"/>
    </row>
    <row r="497" spans="1:56">
      <c r="A497" s="822"/>
      <c r="B497" s="822"/>
      <c r="C497" s="822"/>
      <c r="D497" s="826"/>
      <c r="E497" s="822"/>
      <c r="F497" s="822"/>
      <c r="G497" s="826"/>
      <c r="H497" s="822"/>
      <c r="I497" s="822"/>
      <c r="J497" s="822"/>
      <c r="K497" s="822"/>
      <c r="L497" s="822"/>
      <c r="M497" s="822"/>
      <c r="N497" s="822"/>
      <c r="O497" s="822"/>
      <c r="P497" s="822"/>
      <c r="Q497" s="3922"/>
      <c r="R497" s="822"/>
      <c r="S497" s="822"/>
      <c r="T497" s="822"/>
      <c r="U497" s="826"/>
      <c r="V497" s="826"/>
      <c r="W497" s="826"/>
      <c r="X497" s="822"/>
      <c r="Y497" s="3346"/>
      <c r="Z497" s="822"/>
      <c r="AA497" s="822"/>
      <c r="AB497" s="822"/>
      <c r="AC497" s="822"/>
      <c r="AD497" s="826"/>
      <c r="AE497" s="822"/>
      <c r="AF497" s="822"/>
      <c r="AG497" s="822"/>
      <c r="AH497" s="822"/>
      <c r="AI497" s="822"/>
      <c r="AJ497" s="822"/>
      <c r="AK497" s="822"/>
      <c r="AL497" s="822"/>
      <c r="AM497" s="822"/>
      <c r="AN497" s="826"/>
      <c r="AO497" s="822"/>
      <c r="AP497" s="822"/>
      <c r="AQ497" s="822"/>
      <c r="AR497" s="822"/>
      <c r="AS497" s="822"/>
      <c r="AT497" s="822"/>
      <c r="AU497" s="822"/>
      <c r="AV497" s="822"/>
      <c r="AW497" s="822"/>
      <c r="AX497" s="822"/>
      <c r="AY497" s="822"/>
      <c r="AZ497" s="822"/>
      <c r="BA497" s="822"/>
      <c r="BB497" s="830"/>
      <c r="BC497" s="830"/>
      <c r="BD497" s="822"/>
    </row>
    <row r="498" spans="1:56">
      <c r="A498" s="822"/>
      <c r="B498" s="822"/>
      <c r="C498" s="822"/>
      <c r="D498" s="826"/>
      <c r="E498" s="822"/>
      <c r="F498" s="822"/>
      <c r="G498" s="826"/>
      <c r="H498" s="822"/>
      <c r="I498" s="822"/>
      <c r="J498" s="822"/>
      <c r="K498" s="822"/>
      <c r="L498" s="822"/>
      <c r="M498" s="822"/>
      <c r="N498" s="822"/>
      <c r="O498" s="822"/>
      <c r="P498" s="822"/>
      <c r="Q498" s="3922"/>
      <c r="R498" s="822"/>
      <c r="S498" s="822"/>
      <c r="T498" s="822"/>
      <c r="U498" s="826"/>
      <c r="V498" s="826"/>
      <c r="W498" s="826"/>
      <c r="X498" s="822"/>
      <c r="Y498" s="3346"/>
      <c r="Z498" s="822"/>
      <c r="AA498" s="822"/>
      <c r="AB498" s="822"/>
      <c r="AC498" s="822"/>
      <c r="AD498" s="826"/>
      <c r="AE498" s="822"/>
      <c r="AF498" s="822"/>
      <c r="AG498" s="822"/>
      <c r="AH498" s="822"/>
      <c r="AI498" s="822"/>
      <c r="AJ498" s="822"/>
      <c r="AK498" s="822"/>
      <c r="AL498" s="822"/>
      <c r="AM498" s="822"/>
      <c r="AN498" s="826"/>
      <c r="AO498" s="822"/>
      <c r="AP498" s="822"/>
      <c r="AQ498" s="822"/>
      <c r="AR498" s="822"/>
      <c r="AS498" s="822"/>
      <c r="AT498" s="822"/>
      <c r="AU498" s="822"/>
      <c r="AV498" s="822"/>
      <c r="AW498" s="822"/>
      <c r="AX498" s="822"/>
      <c r="AY498" s="822"/>
      <c r="AZ498" s="822"/>
      <c r="BA498" s="822"/>
      <c r="BB498" s="830"/>
      <c r="BC498" s="830"/>
      <c r="BD498" s="822"/>
    </row>
    <row r="499" spans="1:56">
      <c r="A499" s="822"/>
      <c r="B499" s="822"/>
      <c r="C499" s="822"/>
      <c r="D499" s="826"/>
      <c r="E499" s="822"/>
      <c r="F499" s="822"/>
      <c r="G499" s="826"/>
      <c r="H499" s="822"/>
      <c r="I499" s="822"/>
      <c r="J499" s="822"/>
      <c r="K499" s="822"/>
      <c r="L499" s="822"/>
      <c r="M499" s="822"/>
      <c r="N499" s="822"/>
      <c r="O499" s="822"/>
      <c r="P499" s="822"/>
      <c r="Q499" s="3922"/>
      <c r="R499" s="822"/>
      <c r="S499" s="822"/>
      <c r="T499" s="822"/>
      <c r="U499" s="826"/>
      <c r="V499" s="826"/>
      <c r="W499" s="826"/>
      <c r="X499" s="822"/>
      <c r="Y499" s="3346"/>
      <c r="Z499" s="822"/>
      <c r="AA499" s="822"/>
      <c r="AB499" s="822"/>
      <c r="AC499" s="822"/>
      <c r="AD499" s="826"/>
      <c r="AE499" s="822"/>
      <c r="AF499" s="822"/>
      <c r="AG499" s="822"/>
      <c r="AH499" s="822"/>
      <c r="AI499" s="822"/>
      <c r="AJ499" s="822"/>
      <c r="AK499" s="822"/>
      <c r="AL499" s="822"/>
      <c r="AM499" s="822"/>
      <c r="AN499" s="826"/>
      <c r="AO499" s="822"/>
      <c r="AP499" s="822"/>
      <c r="AQ499" s="822"/>
      <c r="AR499" s="822"/>
      <c r="AS499" s="822"/>
      <c r="AT499" s="822"/>
      <c r="AU499" s="822"/>
      <c r="AV499" s="822"/>
      <c r="AW499" s="822"/>
      <c r="AX499" s="822"/>
      <c r="AY499" s="822"/>
      <c r="AZ499" s="822"/>
      <c r="BA499" s="822"/>
      <c r="BB499" s="830"/>
      <c r="BC499" s="830"/>
      <c r="BD499" s="822"/>
    </row>
    <row r="500" spans="1:56">
      <c r="A500" s="822"/>
      <c r="B500" s="822"/>
      <c r="C500" s="822"/>
      <c r="D500" s="826"/>
      <c r="E500" s="822"/>
      <c r="F500" s="822"/>
      <c r="G500" s="826"/>
      <c r="H500" s="822"/>
      <c r="I500" s="822"/>
      <c r="J500" s="822"/>
      <c r="K500" s="822"/>
      <c r="L500" s="822"/>
      <c r="M500" s="822"/>
      <c r="N500" s="822"/>
      <c r="O500" s="822"/>
      <c r="P500" s="822"/>
      <c r="Q500" s="3922"/>
      <c r="R500" s="822"/>
      <c r="S500" s="822"/>
      <c r="T500" s="822"/>
      <c r="U500" s="826"/>
      <c r="V500" s="826"/>
      <c r="W500" s="826"/>
      <c r="X500" s="822"/>
      <c r="Y500" s="3346"/>
      <c r="Z500" s="822"/>
      <c r="AA500" s="822"/>
      <c r="AB500" s="822"/>
      <c r="AC500" s="822"/>
      <c r="AD500" s="826"/>
      <c r="AE500" s="822"/>
      <c r="AF500" s="822"/>
      <c r="AG500" s="822"/>
      <c r="AH500" s="822"/>
      <c r="AI500" s="822"/>
      <c r="AJ500" s="822"/>
      <c r="AK500" s="822"/>
      <c r="AL500" s="822"/>
      <c r="AM500" s="822"/>
      <c r="AN500" s="826"/>
      <c r="AO500" s="822"/>
      <c r="AP500" s="822"/>
      <c r="AQ500" s="822"/>
      <c r="AR500" s="822"/>
      <c r="AS500" s="822"/>
      <c r="AT500" s="822"/>
      <c r="AU500" s="822"/>
      <c r="AV500" s="822"/>
      <c r="AW500" s="822"/>
      <c r="AX500" s="822"/>
      <c r="AY500" s="822"/>
      <c r="AZ500" s="822"/>
      <c r="BA500" s="822"/>
      <c r="BB500" s="830"/>
      <c r="BC500" s="830"/>
      <c r="BD500" s="822"/>
    </row>
    <row r="501" spans="1:56">
      <c r="A501" s="822"/>
      <c r="B501" s="822"/>
      <c r="C501" s="822"/>
      <c r="D501" s="826"/>
      <c r="E501" s="822"/>
      <c r="F501" s="822"/>
      <c r="G501" s="826"/>
      <c r="H501" s="822"/>
      <c r="I501" s="822"/>
      <c r="J501" s="822"/>
      <c r="K501" s="822"/>
      <c r="L501" s="822"/>
      <c r="M501" s="822"/>
      <c r="N501" s="822"/>
      <c r="O501" s="822"/>
      <c r="P501" s="822"/>
      <c r="Q501" s="3922"/>
      <c r="R501" s="822"/>
      <c r="S501" s="822"/>
      <c r="T501" s="822"/>
      <c r="U501" s="826"/>
      <c r="V501" s="826"/>
      <c r="W501" s="826"/>
      <c r="X501" s="822"/>
      <c r="Y501" s="3346"/>
      <c r="Z501" s="822"/>
      <c r="AA501" s="822"/>
      <c r="AB501" s="822"/>
      <c r="AC501" s="822"/>
      <c r="AD501" s="826"/>
      <c r="AE501" s="822"/>
      <c r="AF501" s="822"/>
      <c r="AG501" s="822"/>
      <c r="AH501" s="822"/>
      <c r="AI501" s="822"/>
      <c r="AJ501" s="822"/>
      <c r="AK501" s="822"/>
      <c r="AL501" s="822"/>
      <c r="AM501" s="822"/>
      <c r="AN501" s="826"/>
      <c r="AO501" s="822"/>
      <c r="AP501" s="822"/>
      <c r="AQ501" s="822"/>
      <c r="AR501" s="822"/>
      <c r="AS501" s="822"/>
      <c r="AT501" s="822"/>
      <c r="AU501" s="822"/>
      <c r="AV501" s="822"/>
      <c r="AW501" s="822"/>
      <c r="AX501" s="822"/>
      <c r="AY501" s="822"/>
      <c r="AZ501" s="822"/>
      <c r="BA501" s="822"/>
      <c r="BB501" s="830"/>
      <c r="BC501" s="830"/>
      <c r="BD501" s="822"/>
    </row>
    <row r="502" spans="1:56">
      <c r="A502" s="822"/>
      <c r="B502" s="822"/>
      <c r="C502" s="822"/>
      <c r="D502" s="826"/>
      <c r="E502" s="822"/>
      <c r="F502" s="822"/>
      <c r="G502" s="826"/>
      <c r="H502" s="822"/>
      <c r="I502" s="822"/>
      <c r="J502" s="822"/>
      <c r="K502" s="822"/>
      <c r="L502" s="822"/>
      <c r="M502" s="822"/>
      <c r="N502" s="822"/>
      <c r="O502" s="822"/>
      <c r="P502" s="822"/>
      <c r="Q502" s="3922"/>
      <c r="R502" s="822"/>
      <c r="S502" s="822"/>
      <c r="T502" s="822"/>
      <c r="U502" s="826"/>
      <c r="V502" s="826"/>
      <c r="W502" s="826"/>
      <c r="X502" s="822"/>
      <c r="Y502" s="3346"/>
      <c r="Z502" s="822"/>
      <c r="AA502" s="822"/>
      <c r="AB502" s="822"/>
      <c r="AC502" s="822"/>
      <c r="AD502" s="826"/>
      <c r="AE502" s="822"/>
      <c r="AF502" s="822"/>
      <c r="AG502" s="822"/>
      <c r="AH502" s="822"/>
      <c r="AI502" s="822"/>
      <c r="AJ502" s="822"/>
      <c r="AK502" s="822"/>
      <c r="AL502" s="822"/>
      <c r="AM502" s="822"/>
      <c r="AN502" s="826"/>
      <c r="AO502" s="822"/>
      <c r="AP502" s="822"/>
      <c r="AQ502" s="822"/>
      <c r="AR502" s="822"/>
      <c r="AS502" s="822"/>
      <c r="AT502" s="822"/>
      <c r="AU502" s="822"/>
      <c r="AV502" s="822"/>
      <c r="AW502" s="822"/>
      <c r="AX502" s="822"/>
      <c r="AY502" s="822"/>
      <c r="AZ502" s="822"/>
      <c r="BA502" s="822"/>
      <c r="BB502" s="830"/>
      <c r="BC502" s="830"/>
      <c r="BD502" s="822"/>
    </row>
    <row r="503" spans="1:56">
      <c r="A503" s="822"/>
      <c r="B503" s="822"/>
      <c r="C503" s="822"/>
      <c r="D503" s="826"/>
      <c r="E503" s="822"/>
      <c r="F503" s="822"/>
      <c r="G503" s="826"/>
      <c r="H503" s="822"/>
      <c r="I503" s="822"/>
      <c r="J503" s="822"/>
      <c r="K503" s="822"/>
      <c r="L503" s="822"/>
      <c r="M503" s="822"/>
      <c r="N503" s="822"/>
      <c r="O503" s="822"/>
      <c r="P503" s="822"/>
      <c r="Q503" s="3922"/>
      <c r="R503" s="822"/>
      <c r="S503" s="822"/>
      <c r="T503" s="822"/>
      <c r="U503" s="826"/>
      <c r="V503" s="826"/>
      <c r="W503" s="826"/>
      <c r="X503" s="822"/>
      <c r="Y503" s="3346"/>
      <c r="Z503" s="822"/>
      <c r="AA503" s="822"/>
      <c r="AB503" s="822"/>
      <c r="AC503" s="822"/>
      <c r="AD503" s="826"/>
      <c r="AE503" s="822"/>
      <c r="AF503" s="822"/>
      <c r="AG503" s="822"/>
      <c r="AH503" s="822"/>
      <c r="AI503" s="822"/>
      <c r="AJ503" s="822"/>
      <c r="AK503" s="822"/>
      <c r="AL503" s="822"/>
      <c r="AM503" s="822"/>
      <c r="AN503" s="826"/>
      <c r="AO503" s="822"/>
      <c r="AP503" s="822"/>
      <c r="AQ503" s="822"/>
      <c r="AR503" s="822"/>
      <c r="AS503" s="822"/>
      <c r="AT503" s="822"/>
      <c r="AU503" s="822"/>
      <c r="AV503" s="822"/>
      <c r="AW503" s="822"/>
      <c r="AX503" s="822"/>
      <c r="AY503" s="822"/>
      <c r="AZ503" s="822"/>
      <c r="BA503" s="822"/>
      <c r="BB503" s="830"/>
      <c r="BC503" s="830"/>
      <c r="BD503" s="822"/>
    </row>
    <row r="504" spans="1:56">
      <c r="A504" s="822"/>
      <c r="B504" s="822"/>
      <c r="C504" s="822"/>
      <c r="D504" s="826"/>
      <c r="E504" s="822"/>
      <c r="F504" s="822"/>
      <c r="G504" s="826"/>
      <c r="H504" s="822"/>
      <c r="I504" s="822"/>
      <c r="J504" s="822"/>
      <c r="K504" s="822"/>
      <c r="L504" s="822"/>
      <c r="M504" s="822"/>
      <c r="N504" s="822"/>
      <c r="O504" s="822"/>
      <c r="P504" s="822"/>
      <c r="Q504" s="3922"/>
      <c r="R504" s="822"/>
      <c r="S504" s="822"/>
      <c r="T504" s="822"/>
      <c r="U504" s="826"/>
      <c r="V504" s="826"/>
      <c r="W504" s="826"/>
      <c r="X504" s="822"/>
      <c r="Y504" s="3346"/>
      <c r="Z504" s="822"/>
      <c r="AA504" s="822"/>
      <c r="AB504" s="822"/>
      <c r="AC504" s="822"/>
      <c r="AD504" s="826"/>
      <c r="AE504" s="822"/>
      <c r="AF504" s="822"/>
      <c r="AG504" s="822"/>
      <c r="AH504" s="822"/>
      <c r="AI504" s="822"/>
      <c r="AJ504" s="822"/>
      <c r="AK504" s="822"/>
      <c r="AL504" s="822"/>
      <c r="AM504" s="822"/>
      <c r="AN504" s="826"/>
      <c r="AO504" s="822"/>
      <c r="AP504" s="822"/>
      <c r="AQ504" s="822"/>
      <c r="AR504" s="822"/>
      <c r="AS504" s="822"/>
      <c r="AT504" s="822"/>
      <c r="AU504" s="822"/>
      <c r="AV504" s="822"/>
      <c r="AW504" s="822"/>
      <c r="AX504" s="822"/>
      <c r="AY504" s="822"/>
      <c r="AZ504" s="822"/>
      <c r="BA504" s="822"/>
      <c r="BB504" s="830"/>
      <c r="BC504" s="830"/>
      <c r="BD504" s="822"/>
    </row>
    <row r="505" spans="1:56">
      <c r="A505" s="822"/>
      <c r="B505" s="822"/>
      <c r="C505" s="822"/>
      <c r="D505" s="826"/>
      <c r="E505" s="822"/>
      <c r="F505" s="822"/>
      <c r="G505" s="826"/>
      <c r="H505" s="822"/>
      <c r="I505" s="822"/>
      <c r="J505" s="822"/>
      <c r="K505" s="822"/>
      <c r="L505" s="822"/>
      <c r="M505" s="822"/>
      <c r="N505" s="822"/>
      <c r="O505" s="822"/>
      <c r="P505" s="822"/>
      <c r="Q505" s="3922"/>
      <c r="R505" s="822"/>
      <c r="S505" s="822"/>
      <c r="T505" s="822"/>
      <c r="U505" s="826"/>
      <c r="V505" s="826"/>
      <c r="W505" s="826"/>
      <c r="X505" s="822"/>
      <c r="Y505" s="3346"/>
      <c r="Z505" s="822"/>
      <c r="AA505" s="822"/>
      <c r="AB505" s="822"/>
      <c r="AC505" s="822"/>
      <c r="AD505" s="826"/>
      <c r="AE505" s="822"/>
      <c r="AF505" s="822"/>
      <c r="AG505" s="822"/>
      <c r="AH505" s="822"/>
      <c r="AI505" s="822"/>
      <c r="AJ505" s="822"/>
      <c r="AK505" s="822"/>
      <c r="AL505" s="822"/>
      <c r="AM505" s="822"/>
      <c r="AN505" s="826"/>
      <c r="AO505" s="822"/>
      <c r="AP505" s="822"/>
      <c r="AQ505" s="822"/>
      <c r="AR505" s="822"/>
      <c r="AS505" s="822"/>
      <c r="AT505" s="822"/>
      <c r="AU505" s="822"/>
      <c r="AV505" s="822"/>
      <c r="AW505" s="822"/>
      <c r="AX505" s="822"/>
      <c r="AY505" s="822"/>
      <c r="AZ505" s="822"/>
      <c r="BA505" s="822"/>
      <c r="BB505" s="830"/>
      <c r="BC505" s="830"/>
      <c r="BD505" s="822"/>
    </row>
    <row r="506" spans="1:56">
      <c r="A506" s="822"/>
      <c r="B506" s="822"/>
      <c r="C506" s="822"/>
      <c r="D506" s="826"/>
      <c r="E506" s="822"/>
      <c r="F506" s="822"/>
      <c r="G506" s="826"/>
      <c r="H506" s="822"/>
      <c r="I506" s="822"/>
      <c r="J506" s="822"/>
      <c r="K506" s="822"/>
      <c r="L506" s="822"/>
      <c r="M506" s="822"/>
      <c r="N506" s="822"/>
      <c r="O506" s="822"/>
      <c r="P506" s="822"/>
      <c r="Q506" s="3922"/>
      <c r="R506" s="822"/>
      <c r="S506" s="822"/>
      <c r="T506" s="822"/>
      <c r="U506" s="826"/>
      <c r="V506" s="826"/>
      <c r="W506" s="826"/>
      <c r="X506" s="822"/>
      <c r="Y506" s="3346"/>
      <c r="Z506" s="822"/>
      <c r="AA506" s="822"/>
      <c r="AB506" s="822"/>
      <c r="AC506" s="822"/>
      <c r="AD506" s="826"/>
      <c r="AE506" s="822"/>
      <c r="AF506" s="822"/>
      <c r="AG506" s="822"/>
      <c r="AH506" s="822"/>
      <c r="AI506" s="822"/>
      <c r="AJ506" s="822"/>
      <c r="AK506" s="822"/>
      <c r="AL506" s="822"/>
      <c r="AM506" s="822"/>
      <c r="AN506" s="826"/>
      <c r="AO506" s="822"/>
      <c r="AP506" s="822"/>
      <c r="AQ506" s="822"/>
      <c r="AR506" s="822"/>
      <c r="AS506" s="822"/>
      <c r="AT506" s="822"/>
      <c r="AU506" s="822"/>
      <c r="AV506" s="822"/>
      <c r="AW506" s="822"/>
      <c r="AX506" s="822"/>
      <c r="AY506" s="822"/>
      <c r="AZ506" s="822"/>
      <c r="BA506" s="822"/>
      <c r="BB506" s="830"/>
      <c r="BC506" s="830"/>
      <c r="BD506" s="822"/>
    </row>
    <row r="507" spans="1:56">
      <c r="A507" s="822"/>
      <c r="B507" s="822"/>
      <c r="C507" s="822"/>
      <c r="D507" s="826"/>
      <c r="E507" s="822"/>
      <c r="F507" s="822"/>
      <c r="G507" s="826"/>
      <c r="H507" s="822"/>
      <c r="I507" s="822"/>
      <c r="J507" s="822"/>
      <c r="K507" s="822"/>
      <c r="L507" s="822"/>
      <c r="M507" s="822"/>
      <c r="N507" s="822"/>
      <c r="O507" s="822"/>
      <c r="P507" s="822"/>
      <c r="Q507" s="3922"/>
      <c r="R507" s="822"/>
      <c r="S507" s="822"/>
      <c r="T507" s="822"/>
      <c r="U507" s="826"/>
      <c r="V507" s="826"/>
      <c r="W507" s="826"/>
      <c r="X507" s="822"/>
      <c r="Y507" s="3346"/>
      <c r="Z507" s="822"/>
      <c r="AA507" s="822"/>
      <c r="AB507" s="822"/>
      <c r="AC507" s="822"/>
      <c r="AD507" s="826"/>
      <c r="AE507" s="822"/>
      <c r="AF507" s="822"/>
      <c r="AG507" s="822"/>
      <c r="AH507" s="822"/>
      <c r="AI507" s="822"/>
      <c r="AJ507" s="822"/>
      <c r="AK507" s="822"/>
      <c r="AL507" s="822"/>
      <c r="AM507" s="822"/>
      <c r="AN507" s="826"/>
      <c r="AO507" s="822"/>
      <c r="AP507" s="822"/>
      <c r="AQ507" s="822"/>
      <c r="AR507" s="822"/>
      <c r="AS507" s="822"/>
      <c r="AT507" s="822"/>
      <c r="AU507" s="822"/>
      <c r="AV507" s="822"/>
      <c r="AW507" s="822"/>
      <c r="AX507" s="822"/>
      <c r="AY507" s="822"/>
      <c r="AZ507" s="822"/>
      <c r="BA507" s="822"/>
      <c r="BB507" s="830"/>
      <c r="BC507" s="830"/>
      <c r="BD507" s="822"/>
    </row>
    <row r="508" spans="1:56">
      <c r="A508" s="822"/>
      <c r="B508" s="822"/>
      <c r="C508" s="822"/>
      <c r="D508" s="826"/>
      <c r="E508" s="822"/>
      <c r="F508" s="822"/>
      <c r="G508" s="826"/>
      <c r="H508" s="822"/>
      <c r="I508" s="822"/>
      <c r="J508" s="822"/>
      <c r="K508" s="822"/>
      <c r="L508" s="822"/>
      <c r="M508" s="822"/>
      <c r="N508" s="822"/>
      <c r="O508" s="822"/>
      <c r="P508" s="822"/>
      <c r="Q508" s="3922"/>
      <c r="R508" s="822"/>
      <c r="S508" s="822"/>
      <c r="T508" s="822"/>
      <c r="U508" s="826"/>
      <c r="V508" s="826"/>
      <c r="W508" s="826"/>
      <c r="X508" s="822"/>
      <c r="Y508" s="3346"/>
      <c r="Z508" s="822"/>
      <c r="AA508" s="822"/>
      <c r="AB508" s="822"/>
      <c r="AC508" s="822"/>
      <c r="AD508" s="826"/>
      <c r="AE508" s="822"/>
      <c r="AF508" s="822"/>
      <c r="AG508" s="822"/>
      <c r="AH508" s="822"/>
      <c r="AI508" s="822"/>
      <c r="AJ508" s="822"/>
      <c r="AK508" s="822"/>
      <c r="AL508" s="822"/>
      <c r="AM508" s="822"/>
      <c r="AN508" s="826"/>
      <c r="AO508" s="822"/>
      <c r="AP508" s="822"/>
      <c r="AQ508" s="822"/>
      <c r="AR508" s="822"/>
      <c r="AS508" s="822"/>
      <c r="AT508" s="822"/>
      <c r="AU508" s="822"/>
      <c r="AV508" s="822"/>
      <c r="AW508" s="822"/>
      <c r="AX508" s="822"/>
      <c r="AY508" s="822"/>
      <c r="AZ508" s="822"/>
      <c r="BA508" s="822"/>
      <c r="BB508" s="830"/>
      <c r="BC508" s="830"/>
      <c r="BD508" s="822"/>
    </row>
    <row r="509" spans="1:56">
      <c r="A509" s="822"/>
      <c r="B509" s="822"/>
      <c r="C509" s="822"/>
      <c r="D509" s="826"/>
      <c r="E509" s="822"/>
      <c r="F509" s="822"/>
      <c r="G509" s="826"/>
      <c r="H509" s="822"/>
      <c r="I509" s="822"/>
      <c r="J509" s="822"/>
      <c r="K509" s="822"/>
      <c r="L509" s="822"/>
      <c r="M509" s="822"/>
      <c r="N509" s="822"/>
      <c r="O509" s="822"/>
      <c r="P509" s="822"/>
      <c r="Q509" s="3922"/>
      <c r="R509" s="822"/>
      <c r="S509" s="822"/>
      <c r="T509" s="822"/>
      <c r="U509" s="826"/>
      <c r="V509" s="826"/>
      <c r="W509" s="826"/>
      <c r="X509" s="822"/>
      <c r="Y509" s="3346"/>
      <c r="Z509" s="822"/>
      <c r="AA509" s="822"/>
      <c r="AB509" s="822"/>
      <c r="AC509" s="822"/>
      <c r="AD509" s="826"/>
      <c r="AE509" s="822"/>
      <c r="AF509" s="822"/>
      <c r="AG509" s="822"/>
      <c r="AH509" s="822"/>
      <c r="AI509" s="822"/>
      <c r="AJ509" s="822"/>
      <c r="AK509" s="822"/>
      <c r="AL509" s="822"/>
      <c r="AM509" s="822"/>
      <c r="AN509" s="826"/>
      <c r="AO509" s="822"/>
      <c r="AP509" s="822"/>
      <c r="AQ509" s="822"/>
      <c r="AR509" s="822"/>
      <c r="AS509" s="822"/>
      <c r="AT509" s="822"/>
      <c r="AU509" s="822"/>
      <c r="AV509" s="822"/>
      <c r="AW509" s="822"/>
      <c r="AX509" s="822"/>
      <c r="AY509" s="822"/>
      <c r="AZ509" s="822"/>
      <c r="BA509" s="822"/>
      <c r="BB509" s="830"/>
      <c r="BC509" s="830"/>
      <c r="BD509" s="822"/>
    </row>
    <row r="510" spans="1:56">
      <c r="A510" s="822"/>
      <c r="B510" s="822"/>
      <c r="C510" s="822"/>
      <c r="D510" s="826"/>
      <c r="E510" s="822"/>
      <c r="F510" s="822"/>
      <c r="G510" s="826"/>
      <c r="H510" s="822"/>
      <c r="I510" s="822"/>
      <c r="J510" s="822"/>
      <c r="K510" s="822"/>
      <c r="L510" s="822"/>
      <c r="M510" s="822"/>
      <c r="N510" s="822"/>
      <c r="O510" s="822"/>
      <c r="P510" s="822"/>
      <c r="Q510" s="3922"/>
      <c r="R510" s="822"/>
      <c r="S510" s="822"/>
      <c r="T510" s="822"/>
      <c r="U510" s="826"/>
      <c r="V510" s="826"/>
      <c r="W510" s="826"/>
      <c r="X510" s="822"/>
      <c r="Y510" s="3346"/>
      <c r="Z510" s="822"/>
      <c r="AA510" s="822"/>
      <c r="AB510" s="822"/>
      <c r="AC510" s="822"/>
      <c r="AD510" s="826"/>
      <c r="AE510" s="822"/>
      <c r="AF510" s="822"/>
      <c r="AG510" s="822"/>
      <c r="AH510" s="822"/>
      <c r="AI510" s="822"/>
      <c r="AJ510" s="822"/>
      <c r="AK510" s="822"/>
      <c r="AL510" s="822"/>
      <c r="AM510" s="822"/>
      <c r="AN510" s="826"/>
      <c r="AO510" s="822"/>
      <c r="AP510" s="822"/>
      <c r="AQ510" s="822"/>
      <c r="AR510" s="822"/>
      <c r="AS510" s="822"/>
      <c r="AT510" s="822"/>
      <c r="AU510" s="822"/>
      <c r="AV510" s="822"/>
      <c r="AW510" s="822"/>
      <c r="AX510" s="822"/>
      <c r="AY510" s="822"/>
      <c r="AZ510" s="822"/>
      <c r="BA510" s="822"/>
      <c r="BB510" s="830"/>
      <c r="BC510" s="830"/>
      <c r="BD510" s="822"/>
    </row>
    <row r="511" spans="1:56">
      <c r="A511" s="822"/>
      <c r="B511" s="822"/>
      <c r="C511" s="822"/>
      <c r="D511" s="826"/>
      <c r="E511" s="822"/>
      <c r="F511" s="822"/>
      <c r="G511" s="826"/>
      <c r="H511" s="822"/>
      <c r="I511" s="822"/>
      <c r="J511" s="822"/>
      <c r="K511" s="822"/>
      <c r="L511" s="822"/>
      <c r="M511" s="822"/>
      <c r="N511" s="822"/>
      <c r="O511" s="822"/>
      <c r="P511" s="822"/>
      <c r="Q511" s="3922"/>
      <c r="R511" s="822"/>
      <c r="S511" s="822"/>
      <c r="T511" s="822"/>
      <c r="U511" s="826"/>
      <c r="V511" s="826"/>
      <c r="W511" s="826"/>
      <c r="X511" s="822"/>
      <c r="Y511" s="3346"/>
      <c r="Z511" s="822"/>
      <c r="AA511" s="822"/>
      <c r="AB511" s="822"/>
      <c r="AC511" s="822"/>
      <c r="AD511" s="826"/>
      <c r="AE511" s="822"/>
      <c r="AF511" s="822"/>
      <c r="AG511" s="822"/>
      <c r="AH511" s="822"/>
      <c r="AI511" s="822"/>
      <c r="AJ511" s="822"/>
      <c r="AK511" s="822"/>
      <c r="AL511" s="822"/>
      <c r="AM511" s="822"/>
      <c r="AN511" s="826"/>
      <c r="AO511" s="822"/>
      <c r="AP511" s="822"/>
      <c r="AQ511" s="822"/>
      <c r="AR511" s="822"/>
      <c r="AS511" s="822"/>
      <c r="AT511" s="822"/>
      <c r="AU511" s="822"/>
      <c r="AV511" s="822"/>
      <c r="AW511" s="822"/>
      <c r="AX511" s="822"/>
      <c r="AY511" s="822"/>
      <c r="AZ511" s="822"/>
      <c r="BA511" s="822"/>
      <c r="BB511" s="830"/>
      <c r="BC511" s="830"/>
      <c r="BD511" s="822"/>
    </row>
    <row r="512" spans="1:56">
      <c r="A512" s="822"/>
      <c r="B512" s="822"/>
      <c r="C512" s="822"/>
      <c r="D512" s="826"/>
      <c r="E512" s="822"/>
      <c r="F512" s="822"/>
      <c r="G512" s="826"/>
      <c r="H512" s="822"/>
      <c r="I512" s="822"/>
      <c r="J512" s="822"/>
      <c r="K512" s="822"/>
      <c r="L512" s="822"/>
      <c r="M512" s="822"/>
      <c r="N512" s="822"/>
      <c r="O512" s="822"/>
      <c r="P512" s="822"/>
      <c r="Q512" s="3922"/>
      <c r="R512" s="822"/>
      <c r="S512" s="822"/>
      <c r="T512" s="822"/>
      <c r="U512" s="826"/>
      <c r="V512" s="826"/>
      <c r="W512" s="826"/>
      <c r="X512" s="822"/>
      <c r="Y512" s="3346"/>
      <c r="Z512" s="822"/>
      <c r="AA512" s="822"/>
      <c r="AB512" s="822"/>
      <c r="AC512" s="822"/>
      <c r="AD512" s="826"/>
      <c r="AE512" s="822"/>
      <c r="AF512" s="822"/>
      <c r="AG512" s="822"/>
      <c r="AH512" s="822"/>
      <c r="AI512" s="822"/>
      <c r="AJ512" s="822"/>
      <c r="AK512" s="822"/>
      <c r="AL512" s="822"/>
      <c r="AM512" s="822"/>
      <c r="AN512" s="826"/>
      <c r="AO512" s="822"/>
      <c r="AP512" s="822"/>
      <c r="AQ512" s="822"/>
      <c r="AR512" s="822"/>
      <c r="AS512" s="822"/>
      <c r="AT512" s="822"/>
      <c r="AU512" s="822"/>
      <c r="AV512" s="822"/>
      <c r="AW512" s="822"/>
      <c r="AX512" s="822"/>
      <c r="AY512" s="822"/>
      <c r="AZ512" s="822"/>
      <c r="BA512" s="822"/>
      <c r="BB512" s="830"/>
      <c r="BC512" s="830"/>
      <c r="BD512" s="822"/>
    </row>
    <row r="513" spans="1:56">
      <c r="A513" s="822"/>
      <c r="B513" s="822"/>
      <c r="C513" s="822"/>
      <c r="D513" s="826"/>
      <c r="E513" s="822"/>
      <c r="F513" s="822"/>
      <c r="G513" s="826"/>
      <c r="H513" s="822"/>
      <c r="I513" s="822"/>
      <c r="J513" s="822"/>
      <c r="K513" s="822"/>
      <c r="L513" s="822"/>
      <c r="M513" s="822"/>
      <c r="N513" s="822"/>
      <c r="O513" s="822"/>
      <c r="P513" s="822"/>
      <c r="Q513" s="3922"/>
      <c r="R513" s="822"/>
      <c r="S513" s="822"/>
      <c r="T513" s="822"/>
      <c r="U513" s="826"/>
      <c r="V513" s="826"/>
      <c r="W513" s="826"/>
      <c r="X513" s="822"/>
      <c r="Y513" s="3346"/>
      <c r="Z513" s="822"/>
      <c r="AA513" s="822"/>
      <c r="AB513" s="822"/>
      <c r="AC513" s="822"/>
      <c r="AD513" s="826"/>
      <c r="AE513" s="822"/>
      <c r="AF513" s="822"/>
      <c r="AG513" s="822"/>
      <c r="AH513" s="822"/>
      <c r="AI513" s="822"/>
      <c r="AJ513" s="822"/>
      <c r="AK513" s="822"/>
      <c r="AL513" s="822"/>
      <c r="AM513" s="822"/>
      <c r="AN513" s="826"/>
      <c r="AO513" s="822"/>
      <c r="AP513" s="822"/>
      <c r="AQ513" s="822"/>
      <c r="AR513" s="822"/>
      <c r="AS513" s="822"/>
      <c r="AT513" s="822"/>
      <c r="AU513" s="822"/>
      <c r="AV513" s="822"/>
      <c r="AW513" s="822"/>
      <c r="AX513" s="822"/>
      <c r="AY513" s="822"/>
      <c r="AZ513" s="822"/>
      <c r="BA513" s="822"/>
      <c r="BB513" s="830"/>
      <c r="BC513" s="830"/>
      <c r="BD513" s="822"/>
    </row>
    <row r="514" spans="1:56">
      <c r="A514" s="822"/>
      <c r="B514" s="822"/>
      <c r="C514" s="822"/>
      <c r="D514" s="826"/>
      <c r="E514" s="822"/>
      <c r="F514" s="822"/>
      <c r="G514" s="826"/>
      <c r="H514" s="822"/>
      <c r="I514" s="822"/>
      <c r="J514" s="822"/>
      <c r="K514" s="822"/>
      <c r="L514" s="822"/>
      <c r="M514" s="822"/>
      <c r="N514" s="822"/>
      <c r="O514" s="822"/>
      <c r="P514" s="822"/>
      <c r="Q514" s="3922"/>
      <c r="R514" s="822"/>
      <c r="S514" s="822"/>
      <c r="T514" s="822"/>
      <c r="U514" s="826"/>
      <c r="V514" s="826"/>
      <c r="W514" s="826"/>
      <c r="X514" s="822"/>
      <c r="Y514" s="3346"/>
      <c r="Z514" s="822"/>
      <c r="AA514" s="822"/>
      <c r="AB514" s="822"/>
      <c r="AC514" s="822"/>
      <c r="AD514" s="826"/>
      <c r="AE514" s="822"/>
      <c r="AF514" s="822"/>
      <c r="AG514" s="822"/>
      <c r="AH514" s="822"/>
      <c r="AI514" s="822"/>
      <c r="AJ514" s="822"/>
      <c r="AK514" s="822"/>
      <c r="AL514" s="822"/>
      <c r="AM514" s="822"/>
      <c r="AN514" s="826"/>
      <c r="AO514" s="822"/>
      <c r="AP514" s="822"/>
      <c r="AQ514" s="822"/>
      <c r="AR514" s="822"/>
      <c r="AS514" s="822"/>
      <c r="AT514" s="822"/>
      <c r="AU514" s="822"/>
      <c r="AV514" s="822"/>
      <c r="AW514" s="822"/>
      <c r="AX514" s="822"/>
      <c r="AY514" s="822"/>
      <c r="AZ514" s="822"/>
      <c r="BA514" s="822"/>
      <c r="BB514" s="830"/>
      <c r="BC514" s="830"/>
      <c r="BD514" s="822"/>
    </row>
    <row r="515" spans="1:56">
      <c r="A515" s="822"/>
      <c r="B515" s="822"/>
      <c r="C515" s="822"/>
      <c r="D515" s="826"/>
      <c r="E515" s="822"/>
      <c r="F515" s="822"/>
      <c r="G515" s="826"/>
      <c r="H515" s="822"/>
      <c r="I515" s="822"/>
      <c r="J515" s="822"/>
      <c r="K515" s="822"/>
      <c r="L515" s="822"/>
      <c r="M515" s="822"/>
      <c r="N515" s="822"/>
      <c r="O515" s="822"/>
      <c r="P515" s="822"/>
      <c r="Q515" s="3922"/>
      <c r="R515" s="822"/>
      <c r="S515" s="822"/>
      <c r="T515" s="822"/>
      <c r="U515" s="826"/>
      <c r="V515" s="826"/>
      <c r="W515" s="826"/>
      <c r="X515" s="822"/>
      <c r="Y515" s="3346"/>
      <c r="Z515" s="822"/>
      <c r="AA515" s="822"/>
      <c r="AB515" s="822"/>
      <c r="AC515" s="822"/>
      <c r="AD515" s="826"/>
      <c r="AE515" s="822"/>
      <c r="AF515" s="822"/>
      <c r="AG515" s="822"/>
      <c r="AH515" s="822"/>
      <c r="AI515" s="822"/>
      <c r="AJ515" s="822"/>
      <c r="AK515" s="822"/>
      <c r="AL515" s="822"/>
      <c r="AM515" s="822"/>
      <c r="AN515" s="826"/>
      <c r="AO515" s="822"/>
      <c r="AP515" s="822"/>
      <c r="AQ515" s="822"/>
      <c r="AR515" s="822"/>
      <c r="AS515" s="822"/>
      <c r="AT515" s="822"/>
      <c r="AU515" s="822"/>
      <c r="AV515" s="822"/>
      <c r="AW515" s="822"/>
      <c r="AX515" s="822"/>
      <c r="AY515" s="822"/>
      <c r="AZ515" s="822"/>
      <c r="BA515" s="822"/>
      <c r="BB515" s="830"/>
      <c r="BC515" s="830"/>
      <c r="BD515" s="822"/>
    </row>
    <row r="516" spans="1:56">
      <c r="A516" s="822"/>
      <c r="B516" s="822"/>
      <c r="C516" s="822"/>
      <c r="D516" s="826"/>
      <c r="E516" s="822"/>
      <c r="F516" s="822"/>
      <c r="G516" s="826"/>
      <c r="H516" s="822"/>
      <c r="I516" s="822"/>
      <c r="J516" s="822"/>
      <c r="K516" s="822"/>
      <c r="L516" s="822"/>
      <c r="M516" s="822"/>
      <c r="N516" s="822"/>
      <c r="O516" s="822"/>
      <c r="P516" s="822"/>
      <c r="Q516" s="3922"/>
      <c r="R516" s="822"/>
      <c r="S516" s="822"/>
      <c r="T516" s="822"/>
      <c r="U516" s="826"/>
      <c r="V516" s="826"/>
      <c r="W516" s="826"/>
      <c r="X516" s="822"/>
      <c r="Y516" s="3346"/>
      <c r="Z516" s="822"/>
      <c r="AA516" s="822"/>
      <c r="AB516" s="822"/>
      <c r="AC516" s="822"/>
      <c r="AD516" s="826"/>
      <c r="AE516" s="822"/>
      <c r="AF516" s="822"/>
      <c r="AG516" s="822"/>
      <c r="AH516" s="822"/>
      <c r="AI516" s="822"/>
      <c r="AJ516" s="822"/>
      <c r="AK516" s="822"/>
      <c r="AL516" s="822"/>
      <c r="AM516" s="822"/>
      <c r="AN516" s="826"/>
      <c r="AO516" s="822"/>
      <c r="AP516" s="822"/>
      <c r="AQ516" s="822"/>
      <c r="AR516" s="822"/>
      <c r="AS516" s="822"/>
      <c r="AT516" s="822"/>
      <c r="AU516" s="822"/>
      <c r="AV516" s="822"/>
      <c r="AW516" s="822"/>
      <c r="AX516" s="822"/>
      <c r="AY516" s="822"/>
      <c r="AZ516" s="822"/>
      <c r="BA516" s="822"/>
      <c r="BB516" s="830"/>
      <c r="BC516" s="830"/>
      <c r="BD516" s="822"/>
    </row>
    <row r="517" spans="1:56">
      <c r="A517" s="822"/>
      <c r="B517" s="822"/>
      <c r="C517" s="822"/>
      <c r="D517" s="826"/>
      <c r="E517" s="822"/>
      <c r="F517" s="822"/>
      <c r="G517" s="826"/>
      <c r="H517" s="822"/>
      <c r="I517" s="822"/>
      <c r="J517" s="822"/>
      <c r="K517" s="822"/>
      <c r="L517" s="822"/>
      <c r="M517" s="822"/>
      <c r="N517" s="822"/>
      <c r="O517" s="822"/>
      <c r="P517" s="822"/>
      <c r="Q517" s="3922"/>
      <c r="R517" s="822"/>
      <c r="S517" s="822"/>
      <c r="T517" s="822"/>
      <c r="U517" s="826"/>
      <c r="V517" s="826"/>
      <c r="W517" s="826"/>
      <c r="X517" s="822"/>
      <c r="Y517" s="3346"/>
      <c r="Z517" s="822"/>
      <c r="AA517" s="822"/>
      <c r="AB517" s="822"/>
      <c r="AC517" s="822"/>
      <c r="AD517" s="826"/>
      <c r="AE517" s="822"/>
      <c r="AF517" s="822"/>
      <c r="AG517" s="822"/>
      <c r="AH517" s="822"/>
      <c r="AI517" s="822"/>
      <c r="AJ517" s="822"/>
      <c r="AK517" s="822"/>
      <c r="AL517" s="822"/>
      <c r="AM517" s="822"/>
      <c r="AN517" s="826"/>
      <c r="AO517" s="822"/>
      <c r="AP517" s="822"/>
      <c r="AQ517" s="822"/>
      <c r="AR517" s="822"/>
      <c r="AS517" s="822"/>
      <c r="AT517" s="822"/>
      <c r="AU517" s="822"/>
      <c r="AV517" s="822"/>
      <c r="AW517" s="822"/>
      <c r="AX517" s="822"/>
      <c r="AY517" s="822"/>
      <c r="AZ517" s="822"/>
      <c r="BA517" s="822"/>
      <c r="BB517" s="830"/>
      <c r="BC517" s="830"/>
      <c r="BD517" s="822"/>
    </row>
    <row r="518" spans="1:56">
      <c r="A518" s="822"/>
      <c r="B518" s="822"/>
      <c r="C518" s="822"/>
      <c r="D518" s="826"/>
      <c r="E518" s="822"/>
      <c r="F518" s="822"/>
      <c r="G518" s="826"/>
      <c r="H518" s="822"/>
      <c r="I518" s="822"/>
      <c r="J518" s="822"/>
      <c r="K518" s="822"/>
      <c r="L518" s="822"/>
      <c r="M518" s="822"/>
      <c r="N518" s="822"/>
      <c r="O518" s="822"/>
      <c r="P518" s="822"/>
      <c r="Q518" s="3922"/>
      <c r="R518" s="822"/>
      <c r="S518" s="822"/>
      <c r="T518" s="822"/>
      <c r="U518" s="826"/>
      <c r="V518" s="826"/>
      <c r="W518" s="826"/>
      <c r="X518" s="822"/>
      <c r="Y518" s="3346"/>
      <c r="Z518" s="822"/>
      <c r="AA518" s="822"/>
      <c r="AB518" s="822"/>
      <c r="AC518" s="822"/>
      <c r="AD518" s="826"/>
      <c r="AE518" s="822"/>
      <c r="AF518" s="822"/>
      <c r="AG518" s="822"/>
      <c r="AH518" s="822"/>
      <c r="AI518" s="822"/>
      <c r="AJ518" s="822"/>
      <c r="AK518" s="822"/>
      <c r="AL518" s="822"/>
      <c r="AM518" s="822"/>
      <c r="AN518" s="826"/>
      <c r="AO518" s="822"/>
      <c r="AP518" s="822"/>
      <c r="AQ518" s="822"/>
      <c r="AR518" s="822"/>
      <c r="AS518" s="822"/>
      <c r="AT518" s="822"/>
      <c r="AU518" s="822"/>
      <c r="AV518" s="822"/>
      <c r="AW518" s="822"/>
      <c r="AX518" s="822"/>
      <c r="AY518" s="822"/>
      <c r="AZ518" s="822"/>
      <c r="BA518" s="822"/>
      <c r="BB518" s="830"/>
      <c r="BC518" s="830"/>
      <c r="BD518" s="822"/>
    </row>
    <row r="519" spans="1:56">
      <c r="A519" s="822"/>
      <c r="B519" s="822"/>
      <c r="C519" s="822"/>
      <c r="D519" s="826"/>
      <c r="E519" s="822"/>
      <c r="F519" s="822"/>
      <c r="G519" s="826"/>
      <c r="H519" s="822"/>
      <c r="I519" s="822"/>
      <c r="J519" s="822"/>
      <c r="K519" s="822"/>
      <c r="L519" s="822"/>
      <c r="M519" s="822"/>
      <c r="N519" s="822"/>
      <c r="O519" s="822"/>
      <c r="P519" s="822"/>
      <c r="Q519" s="3922"/>
      <c r="R519" s="822"/>
      <c r="S519" s="822"/>
      <c r="T519" s="822"/>
      <c r="U519" s="826"/>
      <c r="V519" s="826"/>
      <c r="W519" s="826"/>
      <c r="X519" s="822"/>
      <c r="Y519" s="3346"/>
      <c r="Z519" s="822"/>
      <c r="AA519" s="822"/>
      <c r="AB519" s="822"/>
      <c r="AC519" s="822"/>
      <c r="AD519" s="826"/>
      <c r="AE519" s="822"/>
      <c r="AF519" s="822"/>
      <c r="AG519" s="822"/>
      <c r="AH519" s="822"/>
      <c r="AI519" s="822"/>
      <c r="AJ519" s="822"/>
      <c r="AK519" s="822"/>
      <c r="AL519" s="822"/>
      <c r="AM519" s="822"/>
      <c r="AN519" s="826"/>
      <c r="AO519" s="822"/>
      <c r="AP519" s="822"/>
      <c r="AQ519" s="822"/>
      <c r="AR519" s="822"/>
      <c r="AS519" s="822"/>
      <c r="AT519" s="822"/>
      <c r="AU519" s="822"/>
      <c r="AV519" s="822"/>
      <c r="AW519" s="822"/>
      <c r="AX519" s="822"/>
      <c r="AY519" s="822"/>
      <c r="AZ519" s="822"/>
      <c r="BA519" s="822"/>
      <c r="BB519" s="830"/>
      <c r="BC519" s="830"/>
      <c r="BD519" s="822"/>
    </row>
    <row r="520" spans="1:56">
      <c r="A520" s="822"/>
      <c r="B520" s="822"/>
      <c r="C520" s="822"/>
      <c r="D520" s="826"/>
      <c r="E520" s="822"/>
      <c r="F520" s="822"/>
      <c r="G520" s="826"/>
      <c r="H520" s="822"/>
      <c r="I520" s="822"/>
      <c r="J520" s="822"/>
      <c r="K520" s="822"/>
      <c r="L520" s="822"/>
      <c r="M520" s="822"/>
      <c r="N520" s="822"/>
      <c r="O520" s="822"/>
      <c r="P520" s="822"/>
      <c r="Q520" s="3922"/>
      <c r="R520" s="822"/>
      <c r="S520" s="822"/>
      <c r="T520" s="822"/>
      <c r="U520" s="826"/>
      <c r="V520" s="826"/>
      <c r="W520" s="826"/>
      <c r="X520" s="822"/>
      <c r="Y520" s="3346"/>
      <c r="Z520" s="822"/>
      <c r="AA520" s="822"/>
      <c r="AB520" s="822"/>
      <c r="AC520" s="822"/>
      <c r="AD520" s="826"/>
      <c r="AE520" s="822"/>
      <c r="AF520" s="822"/>
      <c r="AG520" s="822"/>
      <c r="AH520" s="822"/>
      <c r="AI520" s="822"/>
      <c r="AJ520" s="822"/>
      <c r="AK520" s="822"/>
      <c r="AL520" s="822"/>
      <c r="AM520" s="822"/>
      <c r="AN520" s="826"/>
      <c r="AO520" s="822"/>
      <c r="AP520" s="822"/>
      <c r="AQ520" s="822"/>
      <c r="AR520" s="822"/>
      <c r="AS520" s="822"/>
      <c r="AT520" s="822"/>
      <c r="AU520" s="822"/>
      <c r="AV520" s="822"/>
      <c r="AW520" s="822"/>
      <c r="AX520" s="822"/>
      <c r="AY520" s="822"/>
      <c r="AZ520" s="822"/>
      <c r="BA520" s="822"/>
      <c r="BB520" s="830"/>
      <c r="BC520" s="830"/>
      <c r="BD520" s="822"/>
    </row>
    <row r="521" spans="1:56">
      <c r="A521" s="822"/>
      <c r="B521" s="822"/>
      <c r="C521" s="822"/>
      <c r="D521" s="826"/>
      <c r="E521" s="822"/>
      <c r="F521" s="822"/>
      <c r="G521" s="826"/>
      <c r="H521" s="822"/>
      <c r="I521" s="822"/>
      <c r="J521" s="822"/>
      <c r="K521" s="822"/>
      <c r="L521" s="822"/>
      <c r="M521" s="822"/>
      <c r="N521" s="822"/>
      <c r="O521" s="822"/>
      <c r="P521" s="822"/>
      <c r="Q521" s="3922"/>
      <c r="R521" s="822"/>
      <c r="S521" s="822"/>
      <c r="T521" s="822"/>
      <c r="U521" s="826"/>
      <c r="V521" s="826"/>
      <c r="W521" s="826"/>
      <c r="X521" s="822"/>
      <c r="Y521" s="3346"/>
      <c r="Z521" s="822"/>
      <c r="AA521" s="822"/>
      <c r="AB521" s="822"/>
      <c r="AC521" s="822"/>
      <c r="AD521" s="826"/>
      <c r="AE521" s="822"/>
      <c r="AF521" s="822"/>
      <c r="AG521" s="822"/>
      <c r="AH521" s="822"/>
      <c r="AI521" s="822"/>
      <c r="AJ521" s="822"/>
      <c r="AK521" s="822"/>
      <c r="AL521" s="822"/>
      <c r="AM521" s="822"/>
      <c r="AN521" s="826"/>
      <c r="AO521" s="822"/>
      <c r="AP521" s="822"/>
      <c r="AQ521" s="822"/>
      <c r="AR521" s="822"/>
      <c r="AS521" s="822"/>
      <c r="AT521" s="822"/>
      <c r="AU521" s="822"/>
      <c r="AV521" s="822"/>
      <c r="AW521" s="822"/>
      <c r="AX521" s="822"/>
      <c r="AY521" s="822"/>
      <c r="AZ521" s="822"/>
      <c r="BA521" s="822"/>
      <c r="BB521" s="830"/>
      <c r="BC521" s="830"/>
      <c r="BD521" s="822"/>
    </row>
    <row r="522" spans="1:56">
      <c r="A522" s="822"/>
      <c r="B522" s="822"/>
      <c r="C522" s="822"/>
      <c r="D522" s="826"/>
      <c r="E522" s="822"/>
      <c r="F522" s="822"/>
      <c r="G522" s="826"/>
      <c r="H522" s="822"/>
      <c r="I522" s="822"/>
      <c r="J522" s="822"/>
      <c r="K522" s="822"/>
      <c r="L522" s="822"/>
      <c r="M522" s="822"/>
      <c r="N522" s="822"/>
      <c r="O522" s="822"/>
      <c r="P522" s="822"/>
      <c r="Q522" s="3922"/>
      <c r="R522" s="822"/>
      <c r="S522" s="822"/>
      <c r="T522" s="822"/>
      <c r="U522" s="826"/>
      <c r="V522" s="826"/>
      <c r="W522" s="826"/>
      <c r="X522" s="822"/>
      <c r="Y522" s="3346"/>
      <c r="Z522" s="822"/>
      <c r="AA522" s="822"/>
      <c r="AB522" s="822"/>
      <c r="AC522" s="822"/>
      <c r="AD522" s="826"/>
      <c r="AE522" s="822"/>
      <c r="AF522" s="822"/>
      <c r="AG522" s="822"/>
      <c r="AH522" s="822"/>
      <c r="AI522" s="822"/>
      <c r="AJ522" s="822"/>
      <c r="AK522" s="822"/>
      <c r="AL522" s="822"/>
      <c r="AM522" s="822"/>
      <c r="AN522" s="826"/>
      <c r="AO522" s="822"/>
      <c r="AP522" s="822"/>
      <c r="AQ522" s="822"/>
      <c r="AR522" s="822"/>
      <c r="AS522" s="822"/>
      <c r="AT522" s="822"/>
      <c r="AU522" s="822"/>
      <c r="AV522" s="822"/>
      <c r="AW522" s="822"/>
      <c r="AX522" s="822"/>
      <c r="AY522" s="822"/>
      <c r="AZ522" s="822"/>
      <c r="BA522" s="822"/>
      <c r="BB522" s="830"/>
      <c r="BC522" s="830"/>
      <c r="BD522" s="822"/>
    </row>
    <row r="523" spans="1:56">
      <c r="A523" s="822"/>
      <c r="B523" s="822"/>
      <c r="C523" s="822"/>
      <c r="D523" s="826"/>
      <c r="E523" s="822"/>
      <c r="F523" s="822"/>
      <c r="G523" s="826"/>
      <c r="H523" s="822"/>
      <c r="I523" s="822"/>
      <c r="J523" s="822"/>
      <c r="K523" s="822"/>
      <c r="L523" s="822"/>
      <c r="M523" s="822"/>
      <c r="N523" s="822"/>
      <c r="O523" s="822"/>
      <c r="P523" s="822"/>
      <c r="Q523" s="3922"/>
      <c r="R523" s="822"/>
      <c r="S523" s="822"/>
      <c r="T523" s="822"/>
      <c r="U523" s="826"/>
      <c r="V523" s="826"/>
      <c r="W523" s="826"/>
      <c r="X523" s="822"/>
      <c r="Y523" s="3346"/>
      <c r="Z523" s="822"/>
      <c r="AA523" s="822"/>
      <c r="AB523" s="822"/>
      <c r="AC523" s="822"/>
      <c r="AD523" s="826"/>
      <c r="AE523" s="822"/>
      <c r="AF523" s="822"/>
      <c r="AG523" s="822"/>
      <c r="AH523" s="822"/>
      <c r="AI523" s="822"/>
      <c r="AJ523" s="822"/>
      <c r="AK523" s="822"/>
      <c r="AL523" s="822"/>
      <c r="AM523" s="822"/>
      <c r="AN523" s="826"/>
      <c r="AO523" s="822"/>
      <c r="AP523" s="822"/>
      <c r="AQ523" s="822"/>
      <c r="AR523" s="822"/>
      <c r="AS523" s="822"/>
      <c r="AT523" s="822"/>
      <c r="AU523" s="822"/>
      <c r="AV523" s="822"/>
      <c r="AW523" s="822"/>
      <c r="AX523" s="822"/>
      <c r="AY523" s="822"/>
      <c r="AZ523" s="822"/>
      <c r="BA523" s="822"/>
      <c r="BB523" s="830"/>
      <c r="BC523" s="830"/>
      <c r="BD523" s="822"/>
    </row>
    <row r="524" spans="1:56">
      <c r="A524" s="822"/>
      <c r="B524" s="822"/>
      <c r="C524" s="822"/>
      <c r="D524" s="826"/>
      <c r="E524" s="822"/>
      <c r="F524" s="822"/>
      <c r="G524" s="826"/>
      <c r="H524" s="822"/>
      <c r="I524" s="822"/>
      <c r="J524" s="822"/>
      <c r="K524" s="822"/>
      <c r="L524" s="822"/>
      <c r="M524" s="822"/>
      <c r="N524" s="822"/>
      <c r="O524" s="822"/>
      <c r="P524" s="822"/>
      <c r="Q524" s="3922"/>
      <c r="R524" s="822"/>
      <c r="S524" s="822"/>
      <c r="T524" s="822"/>
      <c r="U524" s="826"/>
      <c r="V524" s="826"/>
      <c r="W524" s="826"/>
      <c r="X524" s="822"/>
      <c r="Y524" s="3346"/>
      <c r="Z524" s="822"/>
      <c r="AA524" s="822"/>
      <c r="AB524" s="822"/>
      <c r="AC524" s="822"/>
      <c r="AD524" s="826"/>
      <c r="AE524" s="822"/>
      <c r="AF524" s="822"/>
      <c r="AG524" s="822"/>
      <c r="AH524" s="822"/>
      <c r="AI524" s="822"/>
      <c r="AJ524" s="822"/>
      <c r="AK524" s="822"/>
      <c r="AL524" s="822"/>
      <c r="AM524" s="822"/>
      <c r="AN524" s="826"/>
      <c r="AO524" s="822"/>
      <c r="AP524" s="822"/>
      <c r="AQ524" s="822"/>
      <c r="AR524" s="822"/>
      <c r="AS524" s="822"/>
      <c r="AT524" s="822"/>
      <c r="AU524" s="822"/>
      <c r="AV524" s="822"/>
      <c r="AW524" s="822"/>
      <c r="AX524" s="822"/>
      <c r="AY524" s="822"/>
      <c r="AZ524" s="822"/>
      <c r="BA524" s="822"/>
      <c r="BB524" s="830"/>
      <c r="BC524" s="830"/>
      <c r="BD524" s="822"/>
    </row>
    <row r="525" spans="1:56">
      <c r="A525" s="822"/>
      <c r="B525" s="822"/>
      <c r="C525" s="822"/>
      <c r="D525" s="826"/>
      <c r="E525" s="822"/>
      <c r="F525" s="822"/>
      <c r="G525" s="826"/>
      <c r="H525" s="822"/>
      <c r="I525" s="822"/>
      <c r="J525" s="822"/>
      <c r="K525" s="822"/>
      <c r="L525" s="822"/>
      <c r="M525" s="822"/>
      <c r="N525" s="822"/>
      <c r="O525" s="822"/>
      <c r="P525" s="822"/>
      <c r="Q525" s="3922"/>
      <c r="R525" s="822"/>
      <c r="S525" s="822"/>
      <c r="T525" s="822"/>
      <c r="U525" s="826"/>
      <c r="V525" s="826"/>
      <c r="W525" s="826"/>
      <c r="X525" s="822"/>
      <c r="Y525" s="3346"/>
      <c r="Z525" s="822"/>
      <c r="AA525" s="822"/>
      <c r="AB525" s="822"/>
      <c r="AC525" s="822"/>
      <c r="AD525" s="826"/>
      <c r="AE525" s="822"/>
      <c r="AF525" s="822"/>
      <c r="AG525" s="822"/>
      <c r="AH525" s="822"/>
      <c r="AI525" s="822"/>
      <c r="AJ525" s="822"/>
      <c r="AK525" s="822"/>
      <c r="AL525" s="822"/>
      <c r="AM525" s="822"/>
      <c r="AN525" s="826"/>
      <c r="AO525" s="822"/>
      <c r="AP525" s="822"/>
      <c r="AQ525" s="822"/>
      <c r="AR525" s="822"/>
      <c r="AS525" s="822"/>
      <c r="AT525" s="822"/>
      <c r="AU525" s="822"/>
      <c r="AV525" s="822"/>
      <c r="AW525" s="822"/>
      <c r="AX525" s="822"/>
      <c r="AY525" s="822"/>
      <c r="AZ525" s="822"/>
      <c r="BA525" s="822"/>
      <c r="BB525" s="830"/>
      <c r="BC525" s="830"/>
      <c r="BD525" s="822"/>
    </row>
    <row r="526" spans="1:56">
      <c r="A526" s="822"/>
      <c r="B526" s="822"/>
      <c r="C526" s="822"/>
      <c r="D526" s="826"/>
      <c r="E526" s="822"/>
      <c r="F526" s="822"/>
      <c r="G526" s="826"/>
      <c r="H526" s="822"/>
      <c r="I526" s="822"/>
      <c r="J526" s="822"/>
      <c r="K526" s="822"/>
      <c r="L526" s="822"/>
      <c r="M526" s="822"/>
      <c r="N526" s="822"/>
      <c r="O526" s="822"/>
      <c r="P526" s="822"/>
      <c r="Q526" s="3922"/>
      <c r="R526" s="822"/>
      <c r="S526" s="822"/>
      <c r="T526" s="822"/>
      <c r="U526" s="826"/>
      <c r="V526" s="826"/>
      <c r="W526" s="826"/>
      <c r="X526" s="822"/>
      <c r="Y526" s="3346"/>
      <c r="Z526" s="822"/>
      <c r="AA526" s="822"/>
      <c r="AB526" s="822"/>
      <c r="AC526" s="822"/>
      <c r="AD526" s="826"/>
      <c r="AE526" s="822"/>
      <c r="AF526" s="822"/>
      <c r="AG526" s="822"/>
      <c r="AH526" s="822"/>
      <c r="AI526" s="822"/>
      <c r="AJ526" s="822"/>
      <c r="AK526" s="822"/>
      <c r="AL526" s="822"/>
      <c r="AM526" s="822"/>
      <c r="AN526" s="826"/>
      <c r="AO526" s="822"/>
      <c r="AP526" s="822"/>
      <c r="AQ526" s="822"/>
      <c r="AR526" s="822"/>
      <c r="AS526" s="822"/>
      <c r="AT526" s="822"/>
      <c r="AU526" s="822"/>
      <c r="AV526" s="822"/>
      <c r="AW526" s="822"/>
      <c r="AX526" s="822"/>
      <c r="AY526" s="822"/>
      <c r="AZ526" s="822"/>
      <c r="BA526" s="822"/>
      <c r="BB526" s="830"/>
      <c r="BC526" s="830"/>
      <c r="BD526" s="822"/>
    </row>
    <row r="527" spans="1:56">
      <c r="A527" s="822"/>
      <c r="B527" s="822"/>
      <c r="C527" s="822"/>
      <c r="D527" s="826"/>
      <c r="E527" s="822"/>
      <c r="F527" s="822"/>
      <c r="G527" s="826"/>
      <c r="H527" s="822"/>
      <c r="I527" s="822"/>
      <c r="J527" s="822"/>
      <c r="K527" s="822"/>
      <c r="L527" s="822"/>
      <c r="M527" s="822"/>
      <c r="N527" s="822"/>
      <c r="O527" s="822"/>
      <c r="P527" s="822"/>
      <c r="Q527" s="3922"/>
      <c r="R527" s="822"/>
      <c r="S527" s="822"/>
      <c r="T527" s="822"/>
      <c r="U527" s="826"/>
      <c r="V527" s="826"/>
      <c r="W527" s="826"/>
      <c r="X527" s="822"/>
      <c r="Y527" s="3346"/>
      <c r="Z527" s="822"/>
      <c r="AA527" s="822"/>
      <c r="AB527" s="822"/>
      <c r="AC527" s="822"/>
      <c r="AD527" s="826"/>
      <c r="AE527" s="822"/>
      <c r="AF527" s="822"/>
      <c r="AG527" s="822"/>
      <c r="AH527" s="822"/>
      <c r="AI527" s="822"/>
      <c r="AJ527" s="822"/>
      <c r="AK527" s="822"/>
      <c r="AL527" s="822"/>
      <c r="AM527" s="822"/>
      <c r="AN527" s="826"/>
      <c r="AO527" s="822"/>
      <c r="AP527" s="822"/>
      <c r="AQ527" s="822"/>
      <c r="AR527" s="822"/>
      <c r="AS527" s="822"/>
      <c r="AT527" s="822"/>
      <c r="AU527" s="822"/>
      <c r="AV527" s="822"/>
      <c r="AW527" s="822"/>
      <c r="AX527" s="822"/>
      <c r="AY527" s="822"/>
      <c r="AZ527" s="822"/>
      <c r="BA527" s="822"/>
      <c r="BB527" s="830"/>
      <c r="BC527" s="830"/>
      <c r="BD527" s="822"/>
    </row>
    <row r="528" spans="1:56">
      <c r="A528" s="822"/>
      <c r="B528" s="822"/>
      <c r="C528" s="822"/>
      <c r="D528" s="826"/>
      <c r="E528" s="822"/>
      <c r="F528" s="822"/>
      <c r="G528" s="826"/>
      <c r="H528" s="822"/>
      <c r="I528" s="822"/>
      <c r="J528" s="822"/>
      <c r="K528" s="822"/>
      <c r="L528" s="822"/>
      <c r="M528" s="822"/>
      <c r="N528" s="822"/>
      <c r="O528" s="822"/>
      <c r="P528" s="822"/>
      <c r="Q528" s="3922"/>
      <c r="R528" s="822"/>
      <c r="S528" s="822"/>
      <c r="T528" s="822"/>
      <c r="U528" s="826"/>
      <c r="V528" s="826"/>
      <c r="W528" s="826"/>
      <c r="X528" s="822"/>
      <c r="Y528" s="3346"/>
      <c r="Z528" s="822"/>
      <c r="AA528" s="822"/>
      <c r="AB528" s="822"/>
      <c r="AC528" s="822"/>
      <c r="AD528" s="826"/>
      <c r="AE528" s="822"/>
      <c r="AF528" s="822"/>
      <c r="AG528" s="822"/>
      <c r="AH528" s="822"/>
      <c r="AI528" s="822"/>
      <c r="AJ528" s="822"/>
      <c r="AK528" s="822"/>
      <c r="AL528" s="822"/>
      <c r="AM528" s="822"/>
      <c r="AN528" s="826"/>
      <c r="AO528" s="822"/>
      <c r="AP528" s="822"/>
      <c r="AQ528" s="822"/>
      <c r="AR528" s="822"/>
      <c r="AS528" s="822"/>
      <c r="AT528" s="822"/>
      <c r="AU528" s="822"/>
      <c r="AV528" s="822"/>
      <c r="AW528" s="822"/>
      <c r="AX528" s="822"/>
      <c r="AY528" s="822"/>
      <c r="AZ528" s="822"/>
      <c r="BA528" s="822"/>
      <c r="BB528" s="830"/>
      <c r="BC528" s="830"/>
      <c r="BD528" s="822"/>
    </row>
    <row r="529" spans="1:56">
      <c r="A529" s="822"/>
      <c r="B529" s="822"/>
      <c r="C529" s="822"/>
      <c r="D529" s="826"/>
      <c r="E529" s="822"/>
      <c r="F529" s="822"/>
      <c r="G529" s="826"/>
      <c r="H529" s="822"/>
      <c r="I529" s="822"/>
      <c r="J529" s="822"/>
      <c r="K529" s="822"/>
      <c r="L529" s="822"/>
      <c r="M529" s="822"/>
      <c r="N529" s="822"/>
      <c r="O529" s="822"/>
      <c r="P529" s="822"/>
      <c r="Q529" s="3922"/>
      <c r="R529" s="822"/>
      <c r="S529" s="822"/>
      <c r="T529" s="822"/>
      <c r="U529" s="826"/>
      <c r="V529" s="826"/>
      <c r="W529" s="826"/>
      <c r="X529" s="822"/>
      <c r="Y529" s="3346"/>
      <c r="Z529" s="822"/>
      <c r="AA529" s="822"/>
      <c r="AB529" s="822"/>
      <c r="AC529" s="822"/>
      <c r="AD529" s="826"/>
      <c r="AE529" s="822"/>
      <c r="AF529" s="822"/>
      <c r="AG529" s="822"/>
      <c r="AH529" s="822"/>
      <c r="AI529" s="822"/>
      <c r="AJ529" s="822"/>
      <c r="AK529" s="822"/>
      <c r="AL529" s="822"/>
      <c r="AM529" s="822"/>
      <c r="AN529" s="826"/>
      <c r="AO529" s="822"/>
      <c r="AP529" s="822"/>
      <c r="AQ529" s="822"/>
      <c r="AR529" s="822"/>
      <c r="AS529" s="822"/>
      <c r="AT529" s="822"/>
      <c r="AU529" s="822"/>
      <c r="AV529" s="822"/>
      <c r="AW529" s="822"/>
      <c r="AX529" s="822"/>
      <c r="AY529" s="822"/>
      <c r="AZ529" s="822"/>
      <c r="BA529" s="822"/>
      <c r="BB529" s="830"/>
      <c r="BC529" s="830"/>
      <c r="BD529" s="822"/>
    </row>
    <row r="530" spans="1:56">
      <c r="A530" s="822"/>
      <c r="B530" s="822"/>
      <c r="C530" s="822"/>
      <c r="D530" s="826"/>
      <c r="E530" s="822"/>
      <c r="F530" s="822"/>
      <c r="G530" s="826"/>
      <c r="H530" s="822"/>
      <c r="I530" s="822"/>
      <c r="J530" s="822"/>
      <c r="K530" s="822"/>
      <c r="L530" s="822"/>
      <c r="M530" s="822"/>
      <c r="N530" s="822"/>
      <c r="O530" s="822"/>
      <c r="P530" s="822"/>
      <c r="Q530" s="3922"/>
      <c r="R530" s="822"/>
      <c r="S530" s="822"/>
      <c r="T530" s="822"/>
      <c r="U530" s="826"/>
      <c r="V530" s="826"/>
      <c r="W530" s="826"/>
      <c r="X530" s="822"/>
      <c r="Y530" s="3346"/>
      <c r="Z530" s="822"/>
      <c r="AA530" s="822"/>
      <c r="AB530" s="822"/>
      <c r="AC530" s="822"/>
      <c r="AD530" s="826"/>
      <c r="AE530" s="822"/>
      <c r="AF530" s="822"/>
      <c r="AG530" s="822"/>
      <c r="AH530" s="822"/>
      <c r="AI530" s="822"/>
      <c r="AJ530" s="822"/>
      <c r="AK530" s="822"/>
      <c r="AL530" s="822"/>
      <c r="AM530" s="822"/>
      <c r="AN530" s="826"/>
      <c r="AO530" s="822"/>
      <c r="AP530" s="822"/>
      <c r="AQ530" s="822"/>
      <c r="AR530" s="822"/>
      <c r="AS530" s="822"/>
      <c r="AT530" s="822"/>
      <c r="AU530" s="822"/>
      <c r="AV530" s="822"/>
      <c r="AW530" s="822"/>
      <c r="AX530" s="822"/>
      <c r="AY530" s="822"/>
      <c r="AZ530" s="822"/>
      <c r="BA530" s="822"/>
      <c r="BB530" s="830"/>
      <c r="BC530" s="830"/>
      <c r="BD530" s="822"/>
    </row>
    <row r="531" spans="1:56">
      <c r="A531" s="822"/>
      <c r="B531" s="822"/>
      <c r="C531" s="822"/>
      <c r="D531" s="826"/>
      <c r="E531" s="822"/>
      <c r="F531" s="822"/>
      <c r="G531" s="826"/>
      <c r="H531" s="822"/>
      <c r="I531" s="822"/>
      <c r="J531" s="822"/>
      <c r="K531" s="822"/>
      <c r="L531" s="822"/>
      <c r="M531" s="822"/>
      <c r="N531" s="822"/>
      <c r="O531" s="822"/>
      <c r="P531" s="822"/>
      <c r="Q531" s="3922"/>
      <c r="R531" s="822"/>
      <c r="S531" s="822"/>
      <c r="T531" s="822"/>
      <c r="U531" s="826"/>
      <c r="V531" s="826"/>
      <c r="W531" s="826"/>
      <c r="X531" s="822"/>
      <c r="Y531" s="3346"/>
      <c r="Z531" s="822"/>
      <c r="AA531" s="822"/>
      <c r="AB531" s="822"/>
      <c r="AC531" s="822"/>
      <c r="AD531" s="826"/>
      <c r="AE531" s="822"/>
      <c r="AF531" s="822"/>
      <c r="AG531" s="822"/>
      <c r="AH531" s="822"/>
      <c r="AI531" s="822"/>
      <c r="AJ531" s="822"/>
      <c r="AK531" s="822"/>
      <c r="AL531" s="822"/>
      <c r="AM531" s="822"/>
      <c r="AN531" s="826"/>
      <c r="AO531" s="822"/>
      <c r="AP531" s="822"/>
      <c r="AQ531" s="822"/>
      <c r="AR531" s="822"/>
      <c r="AS531" s="822"/>
      <c r="AT531" s="822"/>
      <c r="AU531" s="822"/>
      <c r="AV531" s="822"/>
      <c r="AW531" s="822"/>
      <c r="AX531" s="822"/>
      <c r="AY531" s="822"/>
      <c r="AZ531" s="822"/>
      <c r="BA531" s="822"/>
      <c r="BB531" s="830"/>
      <c r="BC531" s="830"/>
      <c r="BD531" s="822"/>
    </row>
    <row r="532" spans="1:56">
      <c r="A532" s="822"/>
      <c r="B532" s="822"/>
      <c r="C532" s="822"/>
      <c r="D532" s="826"/>
      <c r="E532" s="822"/>
      <c r="F532" s="822"/>
      <c r="G532" s="826"/>
      <c r="H532" s="822"/>
      <c r="I532" s="822"/>
      <c r="J532" s="822"/>
      <c r="K532" s="822"/>
      <c r="L532" s="822"/>
      <c r="M532" s="822"/>
      <c r="N532" s="822"/>
      <c r="O532" s="822"/>
      <c r="P532" s="822"/>
      <c r="Q532" s="3922"/>
      <c r="R532" s="822"/>
      <c r="S532" s="822"/>
      <c r="T532" s="822"/>
      <c r="U532" s="826"/>
      <c r="V532" s="826"/>
      <c r="W532" s="826"/>
      <c r="X532" s="822"/>
      <c r="Y532" s="3346"/>
      <c r="Z532" s="822"/>
      <c r="AA532" s="822"/>
      <c r="AB532" s="822"/>
      <c r="AC532" s="822"/>
      <c r="AD532" s="826"/>
      <c r="AE532" s="822"/>
      <c r="AF532" s="822"/>
      <c r="AG532" s="822"/>
      <c r="AH532" s="822"/>
      <c r="AI532" s="822"/>
      <c r="AJ532" s="822"/>
      <c r="AK532" s="822"/>
      <c r="AL532" s="822"/>
      <c r="AM532" s="822"/>
      <c r="AN532" s="826"/>
      <c r="AO532" s="822"/>
      <c r="AP532" s="822"/>
      <c r="AQ532" s="822"/>
      <c r="AR532" s="822"/>
      <c r="AS532" s="822"/>
      <c r="AT532" s="822"/>
      <c r="AU532" s="822"/>
      <c r="AV532" s="822"/>
      <c r="AW532" s="822"/>
      <c r="AX532" s="822"/>
      <c r="AY532" s="822"/>
      <c r="AZ532" s="822"/>
      <c r="BA532" s="822"/>
      <c r="BB532" s="830"/>
      <c r="BC532" s="830"/>
      <c r="BD532" s="822"/>
    </row>
    <row r="533" spans="1:56">
      <c r="A533" s="822"/>
      <c r="B533" s="822"/>
      <c r="C533" s="822"/>
      <c r="D533" s="826"/>
      <c r="E533" s="822"/>
      <c r="F533" s="822"/>
      <c r="G533" s="826"/>
      <c r="H533" s="822"/>
      <c r="I533" s="822"/>
      <c r="J533" s="822"/>
      <c r="K533" s="822"/>
      <c r="L533" s="822"/>
      <c r="M533" s="822"/>
      <c r="N533" s="822"/>
      <c r="O533" s="822"/>
      <c r="P533" s="822"/>
      <c r="Q533" s="3922"/>
      <c r="R533" s="822"/>
      <c r="S533" s="822"/>
      <c r="T533" s="822"/>
      <c r="U533" s="826"/>
      <c r="V533" s="826"/>
      <c r="W533" s="826"/>
      <c r="X533" s="822"/>
      <c r="Y533" s="3346"/>
      <c r="Z533" s="822"/>
      <c r="AA533" s="822"/>
      <c r="AB533" s="822"/>
      <c r="AC533" s="822"/>
      <c r="AD533" s="826"/>
      <c r="AE533" s="822"/>
      <c r="AF533" s="822"/>
      <c r="AG533" s="822"/>
      <c r="AH533" s="822"/>
      <c r="AI533" s="822"/>
      <c r="AJ533" s="822"/>
      <c r="AK533" s="822"/>
      <c r="AL533" s="822"/>
      <c r="AM533" s="822"/>
      <c r="AN533" s="826"/>
      <c r="AO533" s="822"/>
      <c r="AP533" s="822"/>
      <c r="AQ533" s="822"/>
      <c r="AR533" s="822"/>
      <c r="AS533" s="822"/>
      <c r="AT533" s="822"/>
      <c r="AU533" s="822"/>
      <c r="AV533" s="822"/>
      <c r="AW533" s="822"/>
      <c r="AX533" s="822"/>
      <c r="AY533" s="822"/>
      <c r="AZ533" s="822"/>
      <c r="BA533" s="822"/>
      <c r="BB533" s="830"/>
      <c r="BC533" s="830"/>
      <c r="BD533" s="822"/>
    </row>
    <row r="534" spans="1:56">
      <c r="A534" s="822"/>
      <c r="B534" s="822"/>
      <c r="C534" s="822"/>
      <c r="D534" s="826"/>
      <c r="E534" s="822"/>
      <c r="F534" s="822"/>
      <c r="G534" s="826"/>
      <c r="H534" s="822"/>
      <c r="I534" s="822"/>
      <c r="J534" s="822"/>
      <c r="K534" s="822"/>
      <c r="L534" s="822"/>
      <c r="M534" s="822"/>
      <c r="N534" s="822"/>
      <c r="O534" s="822"/>
      <c r="P534" s="822"/>
      <c r="Q534" s="3922"/>
      <c r="R534" s="822"/>
      <c r="S534" s="822"/>
      <c r="T534" s="822"/>
      <c r="U534" s="826"/>
      <c r="V534" s="826"/>
      <c r="W534" s="826"/>
      <c r="X534" s="822"/>
      <c r="Y534" s="3346"/>
      <c r="Z534" s="822"/>
      <c r="AA534" s="822"/>
      <c r="AB534" s="822"/>
      <c r="AC534" s="822"/>
      <c r="AD534" s="826"/>
      <c r="AE534" s="822"/>
      <c r="AF534" s="822"/>
      <c r="AG534" s="822"/>
      <c r="AH534" s="822"/>
      <c r="AI534" s="822"/>
      <c r="AJ534" s="822"/>
      <c r="AK534" s="822"/>
      <c r="AL534" s="822"/>
      <c r="AM534" s="822"/>
      <c r="AN534" s="826"/>
      <c r="AO534" s="822"/>
      <c r="AP534" s="822"/>
      <c r="AQ534" s="822"/>
      <c r="AR534" s="822"/>
      <c r="AS534" s="822"/>
      <c r="AT534" s="822"/>
      <c r="AU534" s="822"/>
      <c r="AV534" s="822"/>
      <c r="AW534" s="822"/>
      <c r="AX534" s="822"/>
      <c r="AY534" s="822"/>
      <c r="AZ534" s="822"/>
      <c r="BA534" s="822"/>
      <c r="BB534" s="830"/>
      <c r="BC534" s="830"/>
      <c r="BD534" s="822"/>
    </row>
    <row r="535" spans="1:56">
      <c r="A535" s="822"/>
      <c r="B535" s="822"/>
      <c r="C535" s="822"/>
      <c r="D535" s="826"/>
      <c r="E535" s="822"/>
      <c r="F535" s="822"/>
      <c r="G535" s="826"/>
      <c r="H535" s="822"/>
      <c r="I535" s="822"/>
      <c r="J535" s="822"/>
      <c r="K535" s="822"/>
      <c r="L535" s="822"/>
      <c r="M535" s="822"/>
      <c r="N535" s="822"/>
      <c r="O535" s="822"/>
      <c r="P535" s="822"/>
      <c r="Q535" s="3922"/>
      <c r="R535" s="822"/>
      <c r="S535" s="822"/>
      <c r="T535" s="822"/>
      <c r="U535" s="826"/>
      <c r="V535" s="826"/>
      <c r="W535" s="826"/>
      <c r="X535" s="822"/>
      <c r="Y535" s="3346"/>
      <c r="Z535" s="822"/>
      <c r="AA535" s="822"/>
      <c r="AB535" s="822"/>
      <c r="AC535" s="822"/>
      <c r="AD535" s="826"/>
      <c r="AE535" s="822"/>
      <c r="AF535" s="822"/>
      <c r="AG535" s="822"/>
      <c r="AH535" s="822"/>
      <c r="AI535" s="822"/>
      <c r="AJ535" s="822"/>
      <c r="AK535" s="822"/>
      <c r="AL535" s="822"/>
      <c r="AM535" s="822"/>
      <c r="AN535" s="826"/>
      <c r="AO535" s="822"/>
      <c r="AP535" s="822"/>
      <c r="AQ535" s="822"/>
      <c r="AR535" s="822"/>
      <c r="AS535" s="822"/>
      <c r="AT535" s="822"/>
      <c r="AU535" s="822"/>
      <c r="AV535" s="822"/>
      <c r="AW535" s="822"/>
      <c r="AX535" s="822"/>
      <c r="AY535" s="822"/>
      <c r="AZ535" s="822"/>
      <c r="BA535" s="822"/>
      <c r="BB535" s="830"/>
      <c r="BC535" s="830"/>
      <c r="BD535" s="822"/>
    </row>
    <row r="536" spans="1:56">
      <c r="A536" s="822"/>
      <c r="B536" s="822"/>
      <c r="C536" s="822"/>
      <c r="D536" s="826"/>
      <c r="E536" s="822"/>
      <c r="F536" s="822"/>
      <c r="G536" s="826"/>
      <c r="H536" s="822"/>
      <c r="I536" s="822"/>
      <c r="J536" s="822"/>
      <c r="K536" s="822"/>
      <c r="L536" s="822"/>
      <c r="M536" s="822"/>
      <c r="N536" s="822"/>
      <c r="O536" s="822"/>
      <c r="P536" s="822"/>
      <c r="Q536" s="3922"/>
      <c r="R536" s="822"/>
      <c r="S536" s="822"/>
      <c r="T536" s="822"/>
      <c r="U536" s="826"/>
      <c r="V536" s="826"/>
      <c r="W536" s="826"/>
      <c r="X536" s="822"/>
      <c r="Y536" s="3346"/>
      <c r="Z536" s="822"/>
      <c r="AA536" s="822"/>
      <c r="AB536" s="822"/>
      <c r="AC536" s="822"/>
      <c r="AD536" s="826"/>
      <c r="AE536" s="822"/>
      <c r="AF536" s="822"/>
      <c r="AG536" s="822"/>
      <c r="AH536" s="822"/>
      <c r="AI536" s="822"/>
      <c r="AJ536" s="822"/>
      <c r="AK536" s="822"/>
      <c r="AL536" s="822"/>
      <c r="AM536" s="822"/>
      <c r="AN536" s="826"/>
      <c r="AO536" s="822"/>
      <c r="AP536" s="822"/>
      <c r="AQ536" s="822"/>
      <c r="AR536" s="822"/>
      <c r="AS536" s="822"/>
      <c r="AT536" s="822"/>
      <c r="AU536" s="822"/>
      <c r="AV536" s="822"/>
      <c r="AW536" s="822"/>
      <c r="AX536" s="822"/>
      <c r="AY536" s="822"/>
      <c r="AZ536" s="822"/>
      <c r="BA536" s="822"/>
      <c r="BB536" s="830"/>
      <c r="BC536" s="830"/>
      <c r="BD536" s="822"/>
    </row>
    <row r="537" spans="1:56">
      <c r="A537" s="822"/>
      <c r="B537" s="822"/>
      <c r="C537" s="822"/>
      <c r="D537" s="826"/>
      <c r="E537" s="822"/>
      <c r="F537" s="822"/>
      <c r="G537" s="826"/>
      <c r="H537" s="822"/>
      <c r="I537" s="822"/>
      <c r="J537" s="822"/>
      <c r="K537" s="822"/>
      <c r="L537" s="822"/>
      <c r="M537" s="822"/>
      <c r="N537" s="822"/>
      <c r="O537" s="822"/>
      <c r="P537" s="822"/>
      <c r="Q537" s="3922"/>
      <c r="R537" s="822"/>
      <c r="S537" s="822"/>
      <c r="T537" s="822"/>
      <c r="U537" s="826"/>
      <c r="V537" s="826"/>
      <c r="W537" s="826"/>
      <c r="X537" s="822"/>
      <c r="Y537" s="3346"/>
      <c r="Z537" s="822"/>
      <c r="AA537" s="822"/>
      <c r="AB537" s="822"/>
      <c r="AC537" s="822"/>
      <c r="AD537" s="826"/>
      <c r="AE537" s="822"/>
      <c r="AF537" s="822"/>
      <c r="AG537" s="822"/>
      <c r="AH537" s="822"/>
      <c r="AI537" s="822"/>
      <c r="AJ537" s="822"/>
      <c r="AK537" s="822"/>
      <c r="AL537" s="822"/>
      <c r="AM537" s="822"/>
      <c r="AN537" s="826"/>
      <c r="AO537" s="822"/>
      <c r="AP537" s="822"/>
      <c r="AQ537" s="822"/>
      <c r="AR537" s="822"/>
      <c r="AS537" s="822"/>
      <c r="AT537" s="822"/>
      <c r="AU537" s="822"/>
      <c r="AV537" s="822"/>
      <c r="AW537" s="822"/>
      <c r="AX537" s="822"/>
      <c r="AY537" s="822"/>
      <c r="AZ537" s="822"/>
      <c r="BA537" s="822"/>
      <c r="BB537" s="830"/>
      <c r="BC537" s="830"/>
      <c r="BD537" s="822"/>
    </row>
    <row r="538" spans="1:56">
      <c r="A538" s="822"/>
      <c r="B538" s="822"/>
      <c r="C538" s="822"/>
      <c r="D538" s="826"/>
      <c r="E538" s="822"/>
      <c r="F538" s="822"/>
      <c r="G538" s="826"/>
      <c r="H538" s="822"/>
      <c r="I538" s="822"/>
      <c r="J538" s="822"/>
      <c r="K538" s="822"/>
      <c r="L538" s="822"/>
      <c r="M538" s="822"/>
      <c r="N538" s="822"/>
      <c r="O538" s="822"/>
      <c r="P538" s="822"/>
      <c r="Q538" s="3922"/>
      <c r="R538" s="822"/>
      <c r="S538" s="822"/>
      <c r="T538" s="822"/>
      <c r="U538" s="826"/>
      <c r="V538" s="826"/>
      <c r="W538" s="826"/>
      <c r="X538" s="822"/>
      <c r="Y538" s="3346"/>
      <c r="Z538" s="822"/>
      <c r="AA538" s="822"/>
      <c r="AB538" s="822"/>
      <c r="AC538" s="822"/>
      <c r="AD538" s="826"/>
      <c r="AE538" s="822"/>
      <c r="AF538" s="822"/>
      <c r="AG538" s="822"/>
      <c r="AH538" s="822"/>
      <c r="AI538" s="822"/>
      <c r="AJ538" s="822"/>
      <c r="AK538" s="822"/>
      <c r="AL538" s="822"/>
      <c r="AM538" s="822"/>
      <c r="AN538" s="826"/>
      <c r="AO538" s="822"/>
      <c r="AP538" s="822"/>
      <c r="AQ538" s="822"/>
      <c r="AR538" s="822"/>
      <c r="AS538" s="822"/>
      <c r="AT538" s="822"/>
      <c r="AU538" s="822"/>
      <c r="AV538" s="822"/>
      <c r="AW538" s="822"/>
      <c r="AX538" s="822"/>
      <c r="AY538" s="822"/>
      <c r="AZ538" s="822"/>
      <c r="BA538" s="822"/>
      <c r="BB538" s="830"/>
      <c r="BC538" s="830"/>
      <c r="BD538" s="822"/>
    </row>
    <row r="539" spans="1:56">
      <c r="A539" s="822"/>
      <c r="B539" s="822"/>
      <c r="C539" s="822"/>
      <c r="D539" s="826"/>
      <c r="E539" s="822"/>
      <c r="F539" s="822"/>
      <c r="G539" s="826"/>
      <c r="H539" s="822"/>
      <c r="I539" s="822"/>
      <c r="J539" s="822"/>
      <c r="K539" s="822"/>
      <c r="L539" s="822"/>
      <c r="M539" s="822"/>
      <c r="N539" s="822"/>
      <c r="O539" s="822"/>
      <c r="P539" s="822"/>
      <c r="Q539" s="3922"/>
      <c r="R539" s="822"/>
      <c r="S539" s="822"/>
      <c r="T539" s="822"/>
      <c r="U539" s="826"/>
      <c r="V539" s="826"/>
      <c r="W539" s="826"/>
      <c r="X539" s="822"/>
      <c r="Y539" s="3346"/>
      <c r="Z539" s="822"/>
      <c r="AA539" s="822"/>
      <c r="AB539" s="822"/>
      <c r="AC539" s="822"/>
      <c r="AD539" s="826"/>
      <c r="AE539" s="822"/>
      <c r="AF539" s="822"/>
      <c r="AG539" s="822"/>
      <c r="AH539" s="822"/>
      <c r="AI539" s="822"/>
      <c r="AJ539" s="822"/>
      <c r="AK539" s="822"/>
      <c r="AL539" s="822"/>
      <c r="AM539" s="822"/>
      <c r="AN539" s="826"/>
      <c r="AO539" s="822"/>
      <c r="AP539" s="822"/>
      <c r="AQ539" s="822"/>
      <c r="AR539" s="822"/>
      <c r="AS539" s="822"/>
      <c r="AT539" s="822"/>
      <c r="AU539" s="822"/>
      <c r="AV539" s="822"/>
      <c r="AW539" s="822"/>
      <c r="AX539" s="822"/>
      <c r="AY539" s="822"/>
      <c r="AZ539" s="822"/>
      <c r="BA539" s="822"/>
      <c r="BB539" s="830"/>
      <c r="BC539" s="830"/>
      <c r="BD539" s="822"/>
    </row>
    <row r="540" spans="1:56">
      <c r="A540" s="822"/>
      <c r="B540" s="822"/>
      <c r="C540" s="822"/>
      <c r="D540" s="826"/>
      <c r="E540" s="822"/>
      <c r="F540" s="822"/>
      <c r="G540" s="826"/>
      <c r="H540" s="822"/>
      <c r="I540" s="822"/>
      <c r="J540" s="822"/>
      <c r="K540" s="822"/>
      <c r="L540" s="822"/>
      <c r="M540" s="822"/>
      <c r="N540" s="822"/>
      <c r="O540" s="822"/>
      <c r="P540" s="822"/>
      <c r="Q540" s="3922"/>
      <c r="R540" s="822"/>
      <c r="S540" s="822"/>
      <c r="T540" s="822"/>
      <c r="U540" s="826"/>
      <c r="V540" s="826"/>
      <c r="W540" s="826"/>
      <c r="X540" s="822"/>
      <c r="Y540" s="3346"/>
      <c r="Z540" s="822"/>
      <c r="AA540" s="822"/>
      <c r="AB540" s="822"/>
      <c r="AC540" s="822"/>
      <c r="AD540" s="826"/>
      <c r="AE540" s="822"/>
      <c r="AF540" s="822"/>
      <c r="AG540" s="822"/>
      <c r="AH540" s="822"/>
      <c r="AI540" s="822"/>
      <c r="AJ540" s="822"/>
      <c r="AK540" s="822"/>
      <c r="AL540" s="822"/>
      <c r="AM540" s="822"/>
      <c r="AN540" s="826"/>
      <c r="AO540" s="822"/>
      <c r="AP540" s="822"/>
      <c r="AQ540" s="822"/>
      <c r="AR540" s="822"/>
      <c r="AS540" s="822"/>
      <c r="AT540" s="822"/>
      <c r="AU540" s="822"/>
      <c r="AV540" s="822"/>
      <c r="AW540" s="822"/>
      <c r="AX540" s="822"/>
      <c r="AY540" s="822"/>
      <c r="AZ540" s="822"/>
      <c r="BA540" s="822"/>
      <c r="BB540" s="830"/>
      <c r="BC540" s="830"/>
      <c r="BD540" s="822"/>
    </row>
    <row r="541" spans="1:56">
      <c r="A541" s="822"/>
      <c r="B541" s="822"/>
      <c r="C541" s="822"/>
      <c r="D541" s="826"/>
      <c r="E541" s="822"/>
      <c r="F541" s="822"/>
      <c r="G541" s="826"/>
      <c r="H541" s="822"/>
      <c r="I541" s="822"/>
      <c r="J541" s="822"/>
      <c r="K541" s="822"/>
      <c r="L541" s="822"/>
      <c r="M541" s="822"/>
      <c r="N541" s="822"/>
      <c r="O541" s="822"/>
      <c r="P541" s="822"/>
      <c r="Q541" s="3922"/>
      <c r="R541" s="822"/>
      <c r="S541" s="822"/>
      <c r="T541" s="822"/>
      <c r="U541" s="826"/>
      <c r="V541" s="826"/>
      <c r="W541" s="826"/>
      <c r="X541" s="822"/>
      <c r="Y541" s="3346"/>
      <c r="Z541" s="822"/>
      <c r="AA541" s="822"/>
      <c r="AB541" s="822"/>
      <c r="AC541" s="822"/>
      <c r="AD541" s="826"/>
      <c r="AE541" s="822"/>
      <c r="AF541" s="822"/>
      <c r="AG541" s="822"/>
      <c r="AH541" s="822"/>
      <c r="AI541" s="822"/>
      <c r="AJ541" s="822"/>
      <c r="AK541" s="822"/>
      <c r="AL541" s="822"/>
      <c r="AM541" s="822"/>
      <c r="AN541" s="826"/>
      <c r="AO541" s="822"/>
      <c r="AP541" s="822"/>
      <c r="AQ541" s="822"/>
      <c r="AR541" s="822"/>
      <c r="AS541" s="822"/>
      <c r="AT541" s="822"/>
      <c r="AU541" s="822"/>
      <c r="AV541" s="822"/>
      <c r="AW541" s="822"/>
      <c r="AX541" s="822"/>
      <c r="AY541" s="822"/>
      <c r="AZ541" s="822"/>
      <c r="BA541" s="822"/>
      <c r="BB541" s="830"/>
      <c r="BC541" s="830"/>
      <c r="BD541" s="822"/>
    </row>
    <row r="542" spans="1:56">
      <c r="A542" s="822"/>
      <c r="B542" s="822"/>
      <c r="C542" s="822"/>
      <c r="D542" s="826"/>
      <c r="E542" s="822"/>
      <c r="F542" s="822"/>
      <c r="G542" s="826"/>
      <c r="H542" s="822"/>
      <c r="I542" s="822"/>
      <c r="J542" s="822"/>
      <c r="K542" s="822"/>
      <c r="L542" s="822"/>
      <c r="M542" s="822"/>
      <c r="N542" s="822"/>
      <c r="O542" s="822"/>
      <c r="P542" s="822"/>
      <c r="Q542" s="3922"/>
      <c r="R542" s="822"/>
      <c r="S542" s="822"/>
      <c r="T542" s="822"/>
      <c r="U542" s="826"/>
      <c r="V542" s="826"/>
      <c r="W542" s="826"/>
      <c r="X542" s="822"/>
      <c r="Y542" s="3346"/>
      <c r="Z542" s="822"/>
      <c r="AA542" s="822"/>
      <c r="AB542" s="822"/>
      <c r="AC542" s="822"/>
      <c r="AD542" s="826"/>
      <c r="AE542" s="822"/>
      <c r="AF542" s="822"/>
      <c r="AG542" s="822"/>
      <c r="AH542" s="822"/>
      <c r="AI542" s="822"/>
      <c r="AJ542" s="822"/>
      <c r="AK542" s="822"/>
      <c r="AL542" s="822"/>
      <c r="AM542" s="822"/>
      <c r="AN542" s="826"/>
      <c r="AO542" s="822"/>
      <c r="AP542" s="822"/>
      <c r="AQ542" s="822"/>
      <c r="AR542" s="822"/>
      <c r="AS542" s="822"/>
      <c r="AT542" s="822"/>
      <c r="AU542" s="822"/>
      <c r="AV542" s="822"/>
      <c r="AW542" s="822"/>
      <c r="AX542" s="822"/>
      <c r="AY542" s="822"/>
      <c r="AZ542" s="822"/>
      <c r="BA542" s="822"/>
      <c r="BB542" s="830"/>
      <c r="BC542" s="830"/>
      <c r="BD542" s="822"/>
    </row>
    <row r="543" spans="1:56">
      <c r="A543" s="822"/>
      <c r="B543" s="822"/>
      <c r="C543" s="822"/>
      <c r="D543" s="826"/>
      <c r="E543" s="822"/>
      <c r="F543" s="822"/>
      <c r="G543" s="826"/>
      <c r="H543" s="822"/>
      <c r="I543" s="822"/>
      <c r="J543" s="822"/>
      <c r="K543" s="822"/>
      <c r="L543" s="822"/>
      <c r="M543" s="822"/>
      <c r="N543" s="822"/>
      <c r="O543" s="822"/>
      <c r="P543" s="822"/>
      <c r="Q543" s="3922"/>
      <c r="R543" s="822"/>
      <c r="S543" s="822"/>
      <c r="T543" s="822"/>
      <c r="U543" s="826"/>
      <c r="V543" s="826"/>
      <c r="W543" s="826"/>
      <c r="X543" s="822"/>
      <c r="Y543" s="3346"/>
      <c r="Z543" s="822"/>
      <c r="AA543" s="822"/>
      <c r="AB543" s="822"/>
      <c r="AC543" s="822"/>
      <c r="AD543" s="826"/>
      <c r="AE543" s="822"/>
      <c r="AF543" s="822"/>
      <c r="AG543" s="822"/>
      <c r="AH543" s="822"/>
      <c r="AI543" s="822"/>
      <c r="AJ543" s="822"/>
      <c r="AK543" s="822"/>
      <c r="AL543" s="822"/>
      <c r="AM543" s="822"/>
      <c r="AN543" s="826"/>
      <c r="AO543" s="822"/>
      <c r="AP543" s="822"/>
      <c r="AQ543" s="822"/>
      <c r="AR543" s="822"/>
      <c r="AS543" s="822"/>
      <c r="AT543" s="822"/>
      <c r="AU543" s="822"/>
      <c r="AV543" s="822"/>
      <c r="AW543" s="822"/>
      <c r="AX543" s="822"/>
      <c r="AY543" s="822"/>
      <c r="AZ543" s="822"/>
      <c r="BA543" s="822"/>
      <c r="BB543" s="830"/>
      <c r="BC543" s="830"/>
      <c r="BD543" s="822"/>
    </row>
    <row r="544" spans="1:56">
      <c r="A544" s="822"/>
      <c r="B544" s="822"/>
      <c r="C544" s="822"/>
      <c r="D544" s="826"/>
      <c r="E544" s="822"/>
      <c r="F544" s="822"/>
      <c r="G544" s="826"/>
      <c r="H544" s="822"/>
      <c r="I544" s="822"/>
      <c r="J544" s="822"/>
      <c r="K544" s="822"/>
      <c r="L544" s="822"/>
      <c r="M544" s="822"/>
      <c r="N544" s="822"/>
      <c r="O544" s="822"/>
      <c r="P544" s="822"/>
      <c r="Q544" s="3922"/>
      <c r="R544" s="822"/>
      <c r="S544" s="822"/>
      <c r="T544" s="822"/>
      <c r="U544" s="826"/>
      <c r="V544" s="826"/>
      <c r="W544" s="826"/>
      <c r="X544" s="822"/>
      <c r="Y544" s="3346"/>
      <c r="Z544" s="822"/>
      <c r="AA544" s="822"/>
      <c r="AB544" s="822"/>
      <c r="AC544" s="822"/>
      <c r="AD544" s="826"/>
      <c r="AE544" s="822"/>
      <c r="AF544" s="822"/>
      <c r="AG544" s="822"/>
      <c r="AH544" s="822"/>
      <c r="AI544" s="822"/>
      <c r="AJ544" s="822"/>
      <c r="AK544" s="822"/>
      <c r="AL544" s="822"/>
      <c r="AM544" s="822"/>
      <c r="AN544" s="826"/>
      <c r="AO544" s="822"/>
      <c r="AP544" s="822"/>
      <c r="AQ544" s="822"/>
      <c r="AR544" s="822"/>
      <c r="AS544" s="822"/>
      <c r="AT544" s="822"/>
      <c r="AU544" s="822"/>
      <c r="AV544" s="822"/>
      <c r="AW544" s="822"/>
      <c r="AX544" s="822"/>
      <c r="AY544" s="822"/>
      <c r="AZ544" s="822"/>
      <c r="BA544" s="822"/>
      <c r="BB544" s="830"/>
      <c r="BC544" s="830"/>
      <c r="BD544" s="822"/>
    </row>
    <row r="545" spans="1:56">
      <c r="A545" s="822"/>
      <c r="B545" s="822"/>
      <c r="C545" s="822"/>
      <c r="D545" s="826"/>
      <c r="E545" s="822"/>
      <c r="F545" s="822"/>
      <c r="G545" s="826"/>
      <c r="H545" s="822"/>
      <c r="I545" s="822"/>
      <c r="J545" s="822"/>
      <c r="K545" s="822"/>
      <c r="L545" s="822"/>
      <c r="M545" s="822"/>
      <c r="N545" s="822"/>
      <c r="O545" s="822"/>
      <c r="P545" s="822"/>
      <c r="Q545" s="3922"/>
      <c r="R545" s="822"/>
      <c r="S545" s="822"/>
      <c r="T545" s="822"/>
      <c r="U545" s="826"/>
      <c r="V545" s="826"/>
      <c r="W545" s="826"/>
      <c r="X545" s="822"/>
      <c r="Y545" s="3346"/>
      <c r="Z545" s="822"/>
      <c r="AA545" s="822"/>
      <c r="AB545" s="822"/>
      <c r="AC545" s="822"/>
      <c r="AD545" s="826"/>
      <c r="AE545" s="822"/>
      <c r="AF545" s="822"/>
      <c r="AG545" s="822"/>
      <c r="AH545" s="822"/>
      <c r="AI545" s="822"/>
      <c r="AJ545" s="822"/>
      <c r="AK545" s="822"/>
      <c r="AL545" s="822"/>
      <c r="AM545" s="822"/>
      <c r="AN545" s="826"/>
      <c r="AO545" s="822"/>
      <c r="AP545" s="822"/>
      <c r="AQ545" s="822"/>
      <c r="AR545" s="822"/>
      <c r="AS545" s="822"/>
      <c r="AT545" s="822"/>
      <c r="AU545" s="822"/>
      <c r="AV545" s="822"/>
      <c r="AW545" s="822"/>
      <c r="AX545" s="822"/>
      <c r="AY545" s="822"/>
      <c r="AZ545" s="822"/>
      <c r="BA545" s="822"/>
      <c r="BB545" s="830"/>
      <c r="BC545" s="830"/>
      <c r="BD545" s="822"/>
    </row>
    <row r="546" spans="1:56">
      <c r="A546" s="822"/>
      <c r="B546" s="822"/>
      <c r="C546" s="822"/>
      <c r="D546" s="826"/>
      <c r="E546" s="822"/>
      <c r="F546" s="822"/>
      <c r="G546" s="826"/>
      <c r="H546" s="822"/>
      <c r="I546" s="822"/>
      <c r="J546" s="822"/>
      <c r="K546" s="822"/>
      <c r="L546" s="822"/>
      <c r="M546" s="822"/>
      <c r="N546" s="822"/>
      <c r="O546" s="822"/>
      <c r="P546" s="822"/>
      <c r="Q546" s="3922"/>
      <c r="R546" s="822"/>
      <c r="S546" s="822"/>
      <c r="T546" s="822"/>
      <c r="U546" s="826"/>
      <c r="V546" s="826"/>
      <c r="W546" s="826"/>
      <c r="X546" s="822"/>
      <c r="Y546" s="3346"/>
      <c r="Z546" s="822"/>
      <c r="AA546" s="822"/>
      <c r="AB546" s="822"/>
      <c r="AC546" s="822"/>
      <c r="AD546" s="826"/>
      <c r="AE546" s="822"/>
      <c r="AF546" s="822"/>
      <c r="AG546" s="822"/>
      <c r="AH546" s="822"/>
      <c r="AI546" s="822"/>
      <c r="AJ546" s="822"/>
      <c r="AK546" s="822"/>
      <c r="AL546" s="822"/>
      <c r="AM546" s="822"/>
      <c r="AN546" s="826"/>
      <c r="AO546" s="822"/>
      <c r="AP546" s="822"/>
      <c r="AQ546" s="822"/>
      <c r="AR546" s="822"/>
      <c r="AS546" s="822"/>
      <c r="AT546" s="822"/>
      <c r="AU546" s="822"/>
      <c r="AV546" s="822"/>
      <c r="AW546" s="822"/>
      <c r="AX546" s="822"/>
      <c r="AY546" s="822"/>
      <c r="AZ546" s="822"/>
      <c r="BA546" s="822"/>
      <c r="BB546" s="830"/>
      <c r="BC546" s="830"/>
      <c r="BD546" s="822"/>
    </row>
    <row r="547" spans="1:56">
      <c r="A547" s="822"/>
      <c r="B547" s="822"/>
      <c r="C547" s="822"/>
      <c r="D547" s="826"/>
      <c r="E547" s="822"/>
      <c r="F547" s="822"/>
      <c r="G547" s="826"/>
      <c r="H547" s="822"/>
      <c r="I547" s="822"/>
      <c r="J547" s="822"/>
      <c r="K547" s="822"/>
      <c r="L547" s="822"/>
      <c r="M547" s="822"/>
      <c r="N547" s="822"/>
      <c r="O547" s="822"/>
      <c r="P547" s="822"/>
      <c r="Q547" s="3922"/>
      <c r="R547" s="822"/>
      <c r="S547" s="822"/>
      <c r="T547" s="822"/>
      <c r="U547" s="826"/>
      <c r="V547" s="826"/>
      <c r="W547" s="826"/>
      <c r="X547" s="822"/>
      <c r="Y547" s="3346"/>
      <c r="Z547" s="822"/>
      <c r="AA547" s="822"/>
      <c r="AB547" s="822"/>
      <c r="AC547" s="822"/>
      <c r="AD547" s="826"/>
      <c r="AE547" s="822"/>
      <c r="AF547" s="822"/>
      <c r="AG547" s="822"/>
      <c r="AH547" s="822"/>
      <c r="AI547" s="822"/>
      <c r="AJ547" s="822"/>
      <c r="AK547" s="822"/>
      <c r="AL547" s="822"/>
      <c r="AM547" s="822"/>
      <c r="AN547" s="826"/>
      <c r="AO547" s="822"/>
      <c r="AP547" s="822"/>
      <c r="AQ547" s="822"/>
      <c r="AR547" s="822"/>
      <c r="AS547" s="822"/>
      <c r="AT547" s="822"/>
      <c r="AU547" s="822"/>
      <c r="AV547" s="822"/>
      <c r="AW547" s="822"/>
      <c r="AX547" s="822"/>
      <c r="AY547" s="822"/>
      <c r="AZ547" s="822"/>
      <c r="BA547" s="822"/>
      <c r="BB547" s="830"/>
      <c r="BC547" s="830"/>
      <c r="BD547" s="822"/>
    </row>
    <row r="548" spans="1:56">
      <c r="A548" s="822"/>
      <c r="B548" s="822"/>
      <c r="C548" s="822"/>
      <c r="D548" s="826"/>
      <c r="E548" s="822"/>
      <c r="F548" s="822"/>
      <c r="G548" s="826"/>
      <c r="H548" s="822"/>
      <c r="I548" s="822"/>
      <c r="J548" s="822"/>
      <c r="K548" s="822"/>
      <c r="L548" s="822"/>
      <c r="M548" s="822"/>
      <c r="N548" s="822"/>
      <c r="O548" s="822"/>
      <c r="P548" s="822"/>
      <c r="Q548" s="3922"/>
      <c r="R548" s="822"/>
      <c r="S548" s="822"/>
      <c r="T548" s="822"/>
      <c r="U548" s="826"/>
      <c r="V548" s="826"/>
      <c r="W548" s="826"/>
      <c r="X548" s="822"/>
      <c r="Y548" s="3346"/>
      <c r="Z548" s="822"/>
      <c r="AA548" s="822"/>
      <c r="AB548" s="822"/>
      <c r="AC548" s="822"/>
      <c r="AD548" s="826"/>
      <c r="AE548" s="822"/>
      <c r="AF548" s="822"/>
      <c r="AG548" s="822"/>
      <c r="AH548" s="822"/>
      <c r="AI548" s="822"/>
      <c r="AJ548" s="822"/>
      <c r="AK548" s="822"/>
      <c r="AL548" s="822"/>
      <c r="AM548" s="822"/>
      <c r="AN548" s="826"/>
      <c r="AO548" s="822"/>
      <c r="AP548" s="822"/>
      <c r="AQ548" s="822"/>
      <c r="AR548" s="822"/>
      <c r="AS548" s="822"/>
      <c r="AT548" s="822"/>
      <c r="AU548" s="822"/>
      <c r="AV548" s="822"/>
      <c r="AW548" s="822"/>
      <c r="AX548" s="822"/>
      <c r="AY548" s="822"/>
      <c r="AZ548" s="822"/>
      <c r="BA548" s="822"/>
      <c r="BB548" s="830"/>
      <c r="BC548" s="830"/>
      <c r="BD548" s="822"/>
    </row>
    <row r="549" spans="1:56">
      <c r="A549" s="822"/>
      <c r="B549" s="822"/>
      <c r="C549" s="822"/>
      <c r="D549" s="826"/>
      <c r="E549" s="822"/>
      <c r="F549" s="822"/>
      <c r="G549" s="826"/>
      <c r="H549" s="822"/>
      <c r="I549" s="822"/>
      <c r="J549" s="822"/>
      <c r="K549" s="822"/>
      <c r="L549" s="822"/>
      <c r="M549" s="822"/>
      <c r="N549" s="822"/>
      <c r="O549" s="822"/>
      <c r="P549" s="822"/>
      <c r="Q549" s="3922"/>
      <c r="R549" s="822"/>
      <c r="S549" s="822"/>
      <c r="T549" s="822"/>
      <c r="U549" s="826"/>
      <c r="V549" s="826"/>
      <c r="W549" s="826"/>
      <c r="X549" s="822"/>
      <c r="Y549" s="3346"/>
      <c r="Z549" s="822"/>
      <c r="AA549" s="822"/>
      <c r="AB549" s="822"/>
      <c r="AC549" s="822"/>
      <c r="AD549" s="826"/>
      <c r="AE549" s="822"/>
      <c r="AF549" s="822"/>
      <c r="AG549" s="822"/>
      <c r="AH549" s="822"/>
      <c r="AI549" s="822"/>
      <c r="AJ549" s="822"/>
      <c r="AK549" s="822"/>
      <c r="AL549" s="822"/>
      <c r="AM549" s="822"/>
      <c r="AN549" s="826"/>
      <c r="AO549" s="822"/>
      <c r="AP549" s="822"/>
      <c r="AQ549" s="822"/>
      <c r="AR549" s="822"/>
      <c r="AS549" s="822"/>
      <c r="AT549" s="822"/>
      <c r="AU549" s="822"/>
      <c r="AV549" s="822"/>
      <c r="AW549" s="822"/>
      <c r="AX549" s="822"/>
      <c r="AY549" s="822"/>
      <c r="AZ549" s="822"/>
      <c r="BA549" s="822"/>
      <c r="BB549" s="830"/>
      <c r="BC549" s="830"/>
      <c r="BD549" s="822"/>
    </row>
    <row r="550" spans="1:56">
      <c r="A550" s="822"/>
      <c r="B550" s="822"/>
      <c r="C550" s="822"/>
      <c r="D550" s="826"/>
      <c r="E550" s="822"/>
      <c r="F550" s="822"/>
      <c r="G550" s="826"/>
      <c r="H550" s="822"/>
      <c r="I550" s="822"/>
      <c r="J550" s="822"/>
      <c r="K550" s="822"/>
      <c r="L550" s="822"/>
      <c r="M550" s="822"/>
      <c r="N550" s="822"/>
      <c r="O550" s="822"/>
      <c r="P550" s="822"/>
      <c r="Q550" s="3922"/>
      <c r="R550" s="822"/>
      <c r="S550" s="822"/>
      <c r="T550" s="822"/>
      <c r="U550" s="826"/>
      <c r="V550" s="826"/>
      <c r="W550" s="826"/>
      <c r="X550" s="822"/>
      <c r="Y550" s="3346"/>
      <c r="Z550" s="822"/>
      <c r="AA550" s="822"/>
      <c r="AB550" s="822"/>
      <c r="AC550" s="822"/>
      <c r="AD550" s="826"/>
      <c r="AE550" s="822"/>
      <c r="AF550" s="822"/>
      <c r="AG550" s="822"/>
      <c r="AH550" s="822"/>
      <c r="AI550" s="822"/>
      <c r="AJ550" s="822"/>
      <c r="AK550" s="822"/>
      <c r="AL550" s="822"/>
      <c r="AM550" s="822"/>
      <c r="AN550" s="826"/>
      <c r="AO550" s="822"/>
      <c r="AP550" s="822"/>
      <c r="AQ550" s="822"/>
      <c r="AR550" s="822"/>
      <c r="AS550" s="822"/>
      <c r="AT550" s="822"/>
      <c r="AU550" s="822"/>
      <c r="AV550" s="822"/>
      <c r="AW550" s="822"/>
      <c r="AX550" s="822"/>
      <c r="AY550" s="822"/>
      <c r="AZ550" s="822"/>
      <c r="BA550" s="822"/>
      <c r="BB550" s="830"/>
      <c r="BC550" s="830"/>
      <c r="BD550" s="822"/>
    </row>
    <row r="551" spans="1:56">
      <c r="A551" s="822"/>
      <c r="B551" s="822"/>
      <c r="C551" s="822"/>
      <c r="D551" s="826"/>
      <c r="E551" s="822"/>
      <c r="F551" s="822"/>
      <c r="G551" s="826"/>
      <c r="H551" s="822"/>
      <c r="I551" s="822"/>
      <c r="J551" s="822"/>
      <c r="K551" s="822"/>
      <c r="L551" s="822"/>
      <c r="M551" s="822"/>
      <c r="N551" s="822"/>
      <c r="O551" s="822"/>
      <c r="P551" s="822"/>
      <c r="Q551" s="3922"/>
      <c r="R551" s="822"/>
      <c r="S551" s="822"/>
      <c r="T551" s="822"/>
      <c r="U551" s="826"/>
      <c r="V551" s="826"/>
      <c r="W551" s="826"/>
      <c r="X551" s="822"/>
      <c r="Y551" s="3346"/>
      <c r="Z551" s="822"/>
      <c r="AA551" s="822"/>
      <c r="AB551" s="822"/>
      <c r="AC551" s="822"/>
      <c r="AD551" s="826"/>
      <c r="AE551" s="822"/>
      <c r="AF551" s="822"/>
      <c r="AG551" s="822"/>
      <c r="AH551" s="822"/>
      <c r="AI551" s="822"/>
      <c r="AJ551" s="822"/>
      <c r="AK551" s="822"/>
      <c r="AL551" s="822"/>
      <c r="AM551" s="822"/>
      <c r="AN551" s="826"/>
      <c r="AO551" s="822"/>
      <c r="AP551" s="822"/>
      <c r="AQ551" s="822"/>
      <c r="AR551" s="822"/>
      <c r="AS551" s="822"/>
      <c r="AT551" s="822"/>
      <c r="AU551" s="822"/>
      <c r="AV551" s="822"/>
      <c r="AW551" s="822"/>
      <c r="AX551" s="822"/>
      <c r="AY551" s="822"/>
      <c r="AZ551" s="822"/>
      <c r="BA551" s="822"/>
      <c r="BB551" s="830"/>
      <c r="BC551" s="830"/>
      <c r="BD551" s="822"/>
    </row>
    <row r="552" spans="1:56">
      <c r="A552" s="822"/>
      <c r="B552" s="822"/>
      <c r="C552" s="822"/>
      <c r="D552" s="826"/>
      <c r="E552" s="822"/>
      <c r="F552" s="822"/>
      <c r="G552" s="826"/>
      <c r="H552" s="822"/>
      <c r="I552" s="822"/>
      <c r="J552" s="822"/>
      <c r="K552" s="822"/>
      <c r="L552" s="822"/>
      <c r="M552" s="822"/>
      <c r="N552" s="822"/>
      <c r="O552" s="822"/>
      <c r="P552" s="822"/>
      <c r="Q552" s="3922"/>
      <c r="R552" s="822"/>
      <c r="S552" s="822"/>
      <c r="T552" s="822"/>
      <c r="U552" s="826"/>
      <c r="V552" s="826"/>
      <c r="W552" s="826"/>
      <c r="X552" s="822"/>
      <c r="Y552" s="3346"/>
      <c r="Z552" s="822"/>
      <c r="AA552" s="822"/>
      <c r="AB552" s="822"/>
      <c r="AC552" s="822"/>
      <c r="AD552" s="826"/>
      <c r="AE552" s="822"/>
      <c r="AF552" s="822"/>
      <c r="AG552" s="822"/>
      <c r="AH552" s="822"/>
      <c r="AI552" s="822"/>
      <c r="AJ552" s="822"/>
      <c r="AK552" s="822"/>
      <c r="AL552" s="822"/>
      <c r="AM552" s="822"/>
      <c r="AN552" s="826"/>
      <c r="AO552" s="822"/>
      <c r="AP552" s="822"/>
      <c r="AQ552" s="822"/>
      <c r="AR552" s="822"/>
      <c r="AS552" s="822"/>
      <c r="AT552" s="822"/>
      <c r="AU552" s="822"/>
      <c r="AV552" s="822"/>
      <c r="AW552" s="822"/>
      <c r="AX552" s="822"/>
      <c r="AY552" s="822"/>
      <c r="AZ552" s="822"/>
      <c r="BA552" s="822"/>
      <c r="BB552" s="830"/>
      <c r="BC552" s="830"/>
      <c r="BD552" s="822"/>
    </row>
    <row r="553" spans="1:56">
      <c r="A553" s="822"/>
      <c r="B553" s="822"/>
      <c r="C553" s="822"/>
      <c r="D553" s="826"/>
      <c r="E553" s="822"/>
      <c r="F553" s="822"/>
      <c r="G553" s="826"/>
      <c r="H553" s="822"/>
      <c r="I553" s="822"/>
      <c r="J553" s="822"/>
      <c r="K553" s="822"/>
      <c r="L553" s="822"/>
      <c r="M553" s="822"/>
      <c r="N553" s="822"/>
      <c r="O553" s="822"/>
      <c r="P553" s="822"/>
      <c r="Q553" s="3922"/>
      <c r="R553" s="822"/>
      <c r="S553" s="822"/>
      <c r="T553" s="822"/>
      <c r="U553" s="826"/>
      <c r="V553" s="826"/>
      <c r="W553" s="826"/>
      <c r="X553" s="822"/>
      <c r="Y553" s="3346"/>
      <c r="Z553" s="822"/>
      <c r="AA553" s="822"/>
      <c r="AB553" s="822"/>
      <c r="AC553" s="822"/>
      <c r="AD553" s="826"/>
      <c r="AE553" s="822"/>
      <c r="AF553" s="822"/>
      <c r="AG553" s="822"/>
      <c r="AH553" s="822"/>
      <c r="AI553" s="822"/>
      <c r="AJ553" s="822"/>
      <c r="AK553" s="822"/>
      <c r="AL553" s="822"/>
      <c r="AM553" s="822"/>
      <c r="AN553" s="826"/>
      <c r="AO553" s="822"/>
      <c r="AP553" s="822"/>
      <c r="AQ553" s="822"/>
      <c r="AR553" s="822"/>
      <c r="AS553" s="822"/>
      <c r="AT553" s="822"/>
      <c r="AU553" s="822"/>
      <c r="AV553" s="822"/>
      <c r="AW553" s="822"/>
      <c r="AX553" s="822"/>
      <c r="AY553" s="822"/>
      <c r="AZ553" s="822"/>
      <c r="BA553" s="822"/>
      <c r="BB553" s="830"/>
      <c r="BC553" s="830"/>
      <c r="BD553" s="822"/>
    </row>
    <row r="554" spans="1:56">
      <c r="A554" s="822"/>
      <c r="B554" s="822"/>
      <c r="C554" s="822"/>
      <c r="D554" s="826"/>
      <c r="E554" s="822"/>
      <c r="F554" s="822"/>
      <c r="G554" s="826"/>
      <c r="H554" s="822"/>
      <c r="I554" s="822"/>
      <c r="J554" s="822"/>
      <c r="K554" s="822"/>
      <c r="L554" s="822"/>
      <c r="M554" s="822"/>
      <c r="N554" s="822"/>
      <c r="O554" s="822"/>
      <c r="P554" s="822"/>
      <c r="Q554" s="3922"/>
      <c r="R554" s="822"/>
      <c r="S554" s="822"/>
      <c r="T554" s="822"/>
      <c r="U554" s="826"/>
      <c r="V554" s="826"/>
      <c r="W554" s="826"/>
      <c r="X554" s="822"/>
      <c r="Y554" s="3346"/>
      <c r="Z554" s="822"/>
      <c r="AA554" s="822"/>
      <c r="AB554" s="822"/>
      <c r="AC554" s="822"/>
      <c r="AD554" s="826"/>
      <c r="AE554" s="822"/>
      <c r="AF554" s="822"/>
      <c r="AG554" s="822"/>
      <c r="AH554" s="822"/>
      <c r="AI554" s="822"/>
      <c r="AJ554" s="822"/>
      <c r="AK554" s="822"/>
      <c r="AL554" s="822"/>
      <c r="AM554" s="822"/>
      <c r="AN554" s="826"/>
      <c r="AO554" s="822"/>
      <c r="AP554" s="822"/>
      <c r="AQ554" s="822"/>
      <c r="AR554" s="822"/>
      <c r="AS554" s="822"/>
      <c r="AT554" s="822"/>
      <c r="AU554" s="822"/>
      <c r="AV554" s="822"/>
      <c r="AW554" s="822"/>
      <c r="AX554" s="822"/>
      <c r="AY554" s="822"/>
      <c r="AZ554" s="822"/>
      <c r="BA554" s="822"/>
      <c r="BB554" s="830"/>
      <c r="BC554" s="830"/>
      <c r="BD554" s="822"/>
    </row>
    <row r="555" spans="1:56">
      <c r="A555" s="822"/>
      <c r="B555" s="822"/>
      <c r="C555" s="822"/>
      <c r="D555" s="826"/>
      <c r="E555" s="822"/>
      <c r="F555" s="822"/>
      <c r="G555" s="826"/>
      <c r="H555" s="822"/>
      <c r="I555" s="822"/>
      <c r="J555" s="822"/>
      <c r="K555" s="822"/>
      <c r="L555" s="822"/>
      <c r="M555" s="822"/>
      <c r="N555" s="822"/>
      <c r="O555" s="822"/>
      <c r="P555" s="822"/>
      <c r="Q555" s="3922"/>
      <c r="R555" s="822"/>
      <c r="S555" s="822"/>
      <c r="T555" s="822"/>
      <c r="U555" s="826"/>
      <c r="V555" s="826"/>
      <c r="W555" s="826"/>
      <c r="X555" s="822"/>
      <c r="Y555" s="3346"/>
      <c r="Z555" s="822"/>
      <c r="AA555" s="822"/>
      <c r="AB555" s="822"/>
      <c r="AC555" s="822"/>
      <c r="AD555" s="826"/>
      <c r="AE555" s="822"/>
      <c r="AF555" s="822"/>
      <c r="AG555" s="822"/>
      <c r="AH555" s="822"/>
      <c r="AI555" s="822"/>
      <c r="AJ555" s="822"/>
      <c r="AK555" s="822"/>
      <c r="AL555" s="822"/>
      <c r="AM555" s="822"/>
      <c r="AN555" s="826"/>
      <c r="AO555" s="822"/>
      <c r="AP555" s="822"/>
      <c r="AQ555" s="822"/>
      <c r="AR555" s="822"/>
      <c r="AS555" s="822"/>
      <c r="AT555" s="822"/>
      <c r="AU555" s="822"/>
      <c r="AV555" s="822"/>
      <c r="AW555" s="822"/>
      <c r="AX555" s="822"/>
      <c r="AY555" s="822"/>
      <c r="AZ555" s="822"/>
      <c r="BA555" s="822"/>
      <c r="BB555" s="830"/>
      <c r="BC555" s="830"/>
      <c r="BD555" s="822"/>
    </row>
    <row r="556" spans="1:56">
      <c r="A556" s="822"/>
      <c r="B556" s="822"/>
      <c r="C556" s="822"/>
      <c r="D556" s="826"/>
      <c r="E556" s="822"/>
      <c r="F556" s="822"/>
      <c r="G556" s="826"/>
      <c r="H556" s="822"/>
      <c r="I556" s="822"/>
      <c r="J556" s="822"/>
      <c r="K556" s="822"/>
      <c r="L556" s="822"/>
      <c r="M556" s="822"/>
      <c r="N556" s="822"/>
      <c r="O556" s="822"/>
      <c r="P556" s="822"/>
      <c r="Q556" s="3922"/>
      <c r="R556" s="822"/>
      <c r="S556" s="822"/>
      <c r="T556" s="822"/>
      <c r="U556" s="826"/>
      <c r="V556" s="826"/>
      <c r="W556" s="826"/>
      <c r="X556" s="822"/>
      <c r="Y556" s="3346"/>
      <c r="Z556" s="822"/>
      <c r="AA556" s="822"/>
      <c r="AB556" s="822"/>
      <c r="AC556" s="822"/>
      <c r="AD556" s="826"/>
      <c r="AE556" s="822"/>
      <c r="AF556" s="822"/>
      <c r="AG556" s="822"/>
      <c r="AH556" s="822"/>
      <c r="AI556" s="822"/>
      <c r="AJ556" s="822"/>
      <c r="AK556" s="822"/>
      <c r="AL556" s="822"/>
      <c r="AM556" s="822"/>
      <c r="AN556" s="826"/>
      <c r="AO556" s="822"/>
      <c r="AP556" s="822"/>
      <c r="AQ556" s="822"/>
      <c r="AR556" s="822"/>
      <c r="AS556" s="822"/>
      <c r="AT556" s="822"/>
      <c r="AU556" s="822"/>
      <c r="AV556" s="822"/>
      <c r="AW556" s="822"/>
      <c r="AX556" s="822"/>
      <c r="AY556" s="822"/>
      <c r="AZ556" s="822"/>
      <c r="BA556" s="822"/>
      <c r="BB556" s="830"/>
      <c r="BC556" s="830"/>
      <c r="BD556" s="822"/>
    </row>
    <row r="557" spans="1:56">
      <c r="A557" s="822"/>
      <c r="B557" s="822"/>
      <c r="C557" s="822"/>
      <c r="D557" s="826"/>
      <c r="E557" s="822"/>
      <c r="F557" s="822"/>
      <c r="G557" s="826"/>
      <c r="H557" s="822"/>
      <c r="I557" s="822"/>
      <c r="J557" s="822"/>
      <c r="K557" s="822"/>
      <c r="L557" s="822"/>
      <c r="M557" s="822"/>
      <c r="N557" s="822"/>
      <c r="O557" s="822"/>
      <c r="P557" s="822"/>
      <c r="Q557" s="3922"/>
      <c r="R557" s="822"/>
      <c r="S557" s="822"/>
      <c r="T557" s="822"/>
      <c r="U557" s="826"/>
      <c r="V557" s="826"/>
      <c r="W557" s="826"/>
      <c r="X557" s="822"/>
      <c r="Y557" s="3346"/>
      <c r="Z557" s="822"/>
      <c r="AA557" s="822"/>
      <c r="AB557" s="822"/>
      <c r="AC557" s="822"/>
      <c r="AD557" s="826"/>
      <c r="AE557" s="822"/>
      <c r="AF557" s="822"/>
      <c r="AG557" s="822"/>
      <c r="AH557" s="822"/>
      <c r="AI557" s="822"/>
      <c r="AJ557" s="822"/>
      <c r="AK557" s="822"/>
      <c r="AL557" s="822"/>
      <c r="AM557" s="822"/>
      <c r="AN557" s="826"/>
      <c r="AO557" s="822"/>
      <c r="AP557" s="822"/>
      <c r="AQ557" s="822"/>
      <c r="AR557" s="822"/>
      <c r="AS557" s="822"/>
      <c r="AT557" s="822"/>
      <c r="AU557" s="822"/>
      <c r="AV557" s="822"/>
      <c r="AW557" s="822"/>
      <c r="AX557" s="822"/>
      <c r="AY557" s="822"/>
      <c r="AZ557" s="822"/>
      <c r="BA557" s="822"/>
      <c r="BB557" s="830"/>
      <c r="BC557" s="830"/>
      <c r="BD557" s="822"/>
    </row>
    <row r="558" spans="1:56">
      <c r="A558" s="822"/>
      <c r="B558" s="822"/>
      <c r="C558" s="822"/>
      <c r="D558" s="826"/>
      <c r="E558" s="822"/>
      <c r="F558" s="822"/>
      <c r="G558" s="826"/>
      <c r="H558" s="822"/>
      <c r="I558" s="822"/>
      <c r="J558" s="822"/>
      <c r="K558" s="822"/>
      <c r="L558" s="822"/>
      <c r="M558" s="822"/>
      <c r="N558" s="822"/>
      <c r="O558" s="822"/>
      <c r="P558" s="822"/>
      <c r="Q558" s="3922"/>
      <c r="R558" s="822"/>
      <c r="S558" s="822"/>
      <c r="T558" s="822"/>
      <c r="U558" s="826"/>
      <c r="V558" s="826"/>
      <c r="W558" s="826"/>
      <c r="X558" s="822"/>
      <c r="Y558" s="3346"/>
      <c r="Z558" s="822"/>
      <c r="AA558" s="822"/>
      <c r="AB558" s="822"/>
      <c r="AC558" s="822"/>
      <c r="AD558" s="826"/>
      <c r="AE558" s="822"/>
      <c r="AF558" s="822"/>
      <c r="AG558" s="822"/>
      <c r="AH558" s="822"/>
      <c r="AI558" s="822"/>
      <c r="AJ558" s="822"/>
      <c r="AK558" s="822"/>
      <c r="AL558" s="822"/>
      <c r="AM558" s="822"/>
      <c r="AN558" s="826"/>
      <c r="AO558" s="822"/>
      <c r="AP558" s="822"/>
      <c r="AQ558" s="822"/>
      <c r="AR558" s="822"/>
      <c r="AS558" s="822"/>
      <c r="AT558" s="822"/>
      <c r="AU558" s="822"/>
      <c r="AV558" s="822"/>
      <c r="AW558" s="822"/>
      <c r="AX558" s="822"/>
      <c r="AY558" s="822"/>
      <c r="AZ558" s="822"/>
      <c r="BA558" s="822"/>
      <c r="BB558" s="830"/>
      <c r="BC558" s="830"/>
      <c r="BD558" s="822"/>
    </row>
    <row r="559" spans="1:56">
      <c r="A559" s="822"/>
      <c r="B559" s="822"/>
      <c r="C559" s="822"/>
      <c r="D559" s="826"/>
      <c r="E559" s="822"/>
      <c r="F559" s="822"/>
      <c r="G559" s="826"/>
      <c r="H559" s="822"/>
      <c r="I559" s="822"/>
      <c r="J559" s="822"/>
      <c r="K559" s="822"/>
      <c r="L559" s="822"/>
      <c r="M559" s="822"/>
      <c r="N559" s="822"/>
      <c r="O559" s="822"/>
      <c r="P559" s="822"/>
      <c r="Q559" s="3922"/>
      <c r="R559" s="822"/>
      <c r="S559" s="822"/>
      <c r="T559" s="822"/>
      <c r="U559" s="826"/>
      <c r="V559" s="826"/>
      <c r="W559" s="826"/>
      <c r="X559" s="822"/>
      <c r="Y559" s="3346"/>
      <c r="Z559" s="822"/>
      <c r="AA559" s="822"/>
      <c r="AB559" s="822"/>
      <c r="AC559" s="822"/>
      <c r="AD559" s="826"/>
      <c r="AE559" s="822"/>
      <c r="AF559" s="822"/>
      <c r="AG559" s="822"/>
      <c r="AH559" s="822"/>
      <c r="AI559" s="822"/>
      <c r="AJ559" s="822"/>
      <c r="AK559" s="822"/>
      <c r="AL559" s="822"/>
      <c r="AM559" s="822"/>
      <c r="AN559" s="826"/>
      <c r="AO559" s="822"/>
      <c r="AP559" s="822"/>
      <c r="AQ559" s="822"/>
      <c r="AR559" s="822"/>
      <c r="AS559" s="822"/>
      <c r="AT559" s="822"/>
      <c r="AU559" s="822"/>
      <c r="AV559" s="822"/>
      <c r="AW559" s="822"/>
      <c r="AX559" s="822"/>
      <c r="AY559" s="822"/>
      <c r="AZ559" s="822"/>
      <c r="BA559" s="822"/>
      <c r="BB559" s="830"/>
      <c r="BC559" s="830"/>
      <c r="BD559" s="822"/>
    </row>
    <row r="560" spans="1:56">
      <c r="A560" s="822"/>
      <c r="B560" s="822"/>
      <c r="C560" s="822"/>
      <c r="D560" s="826"/>
      <c r="E560" s="822"/>
      <c r="F560" s="822"/>
      <c r="G560" s="826"/>
      <c r="H560" s="822"/>
      <c r="I560" s="822"/>
      <c r="J560" s="822"/>
      <c r="K560" s="822"/>
      <c r="L560" s="822"/>
      <c r="M560" s="822"/>
      <c r="N560" s="822"/>
      <c r="O560" s="822"/>
      <c r="P560" s="822"/>
      <c r="Q560" s="3922"/>
      <c r="R560" s="822"/>
      <c r="S560" s="822"/>
      <c r="T560" s="822"/>
      <c r="U560" s="826"/>
      <c r="V560" s="826"/>
      <c r="W560" s="826"/>
      <c r="X560" s="822"/>
      <c r="Y560" s="3346"/>
      <c r="Z560" s="822"/>
      <c r="AA560" s="822"/>
      <c r="AB560" s="822"/>
      <c r="AC560" s="822"/>
      <c r="AD560" s="826"/>
      <c r="AE560" s="822"/>
      <c r="AF560" s="822"/>
      <c r="AG560" s="822"/>
      <c r="AH560" s="822"/>
      <c r="AI560" s="822"/>
      <c r="AJ560" s="822"/>
      <c r="AK560" s="822"/>
      <c r="AL560" s="822"/>
      <c r="AM560" s="822"/>
      <c r="AN560" s="826"/>
      <c r="AO560" s="822"/>
      <c r="AP560" s="822"/>
      <c r="AQ560" s="822"/>
      <c r="AR560" s="822"/>
      <c r="AS560" s="822"/>
      <c r="AT560" s="822"/>
      <c r="AU560" s="822"/>
      <c r="AV560" s="822"/>
      <c r="AW560" s="822"/>
      <c r="AX560" s="822"/>
      <c r="AY560" s="822"/>
      <c r="AZ560" s="822"/>
      <c r="BA560" s="822"/>
      <c r="BB560" s="830"/>
      <c r="BC560" s="830"/>
      <c r="BD560" s="822"/>
    </row>
    <row r="561" spans="1:56">
      <c r="A561" s="822"/>
      <c r="B561" s="822"/>
      <c r="C561" s="822"/>
      <c r="D561" s="826"/>
      <c r="E561" s="822"/>
      <c r="F561" s="822"/>
      <c r="G561" s="826"/>
      <c r="H561" s="822"/>
      <c r="I561" s="822"/>
      <c r="J561" s="822"/>
      <c r="K561" s="822"/>
      <c r="L561" s="822"/>
      <c r="M561" s="822"/>
      <c r="N561" s="822"/>
      <c r="O561" s="822"/>
      <c r="P561" s="822"/>
      <c r="Q561" s="3922"/>
      <c r="R561" s="822"/>
      <c r="S561" s="822"/>
      <c r="T561" s="822"/>
      <c r="U561" s="826"/>
      <c r="V561" s="826"/>
      <c r="W561" s="826"/>
      <c r="X561" s="822"/>
      <c r="Y561" s="3346"/>
      <c r="Z561" s="822"/>
      <c r="AA561" s="822"/>
      <c r="AB561" s="822"/>
      <c r="AC561" s="822"/>
      <c r="AD561" s="826"/>
      <c r="AE561" s="822"/>
      <c r="AF561" s="822"/>
      <c r="AG561" s="822"/>
      <c r="AH561" s="822"/>
      <c r="AI561" s="822"/>
      <c r="AJ561" s="822"/>
      <c r="AK561" s="822"/>
      <c r="AL561" s="822"/>
      <c r="AM561" s="822"/>
      <c r="AN561" s="826"/>
      <c r="AO561" s="822"/>
      <c r="AP561" s="822"/>
      <c r="AQ561" s="822"/>
      <c r="AR561" s="822"/>
      <c r="AS561" s="822"/>
      <c r="AT561" s="822"/>
      <c r="AU561" s="822"/>
      <c r="AV561" s="822"/>
      <c r="AW561" s="822"/>
      <c r="AX561" s="822"/>
      <c r="AY561" s="822"/>
      <c r="AZ561" s="822"/>
      <c r="BA561" s="822"/>
      <c r="BB561" s="830"/>
      <c r="BC561" s="830"/>
      <c r="BD561" s="822"/>
    </row>
    <row r="562" spans="1:56">
      <c r="A562" s="822"/>
      <c r="B562" s="822"/>
      <c r="C562" s="822"/>
      <c r="D562" s="826"/>
      <c r="E562" s="822"/>
      <c r="F562" s="822"/>
      <c r="G562" s="826"/>
      <c r="H562" s="822"/>
      <c r="I562" s="822"/>
      <c r="J562" s="822"/>
      <c r="K562" s="822"/>
      <c r="L562" s="822"/>
      <c r="M562" s="822"/>
      <c r="N562" s="822"/>
      <c r="O562" s="822"/>
      <c r="P562" s="822"/>
      <c r="Q562" s="3922"/>
      <c r="R562" s="822"/>
      <c r="S562" s="822"/>
      <c r="T562" s="822"/>
      <c r="U562" s="826"/>
      <c r="V562" s="826"/>
      <c r="W562" s="826"/>
      <c r="X562" s="822"/>
      <c r="Y562" s="3346"/>
      <c r="Z562" s="822"/>
      <c r="AA562" s="822"/>
      <c r="AB562" s="822"/>
      <c r="AC562" s="822"/>
      <c r="AD562" s="826"/>
      <c r="AE562" s="822"/>
      <c r="AF562" s="822"/>
      <c r="AG562" s="822"/>
      <c r="AH562" s="822"/>
      <c r="AI562" s="822"/>
      <c r="AJ562" s="822"/>
      <c r="AK562" s="822"/>
      <c r="AL562" s="822"/>
      <c r="AM562" s="822"/>
      <c r="AN562" s="826"/>
      <c r="AO562" s="822"/>
      <c r="AP562" s="822"/>
      <c r="AQ562" s="822"/>
      <c r="AR562" s="822"/>
      <c r="AS562" s="822"/>
      <c r="AT562" s="822"/>
      <c r="AU562" s="822"/>
      <c r="AV562" s="822"/>
      <c r="AW562" s="822"/>
      <c r="AX562" s="822"/>
      <c r="AY562" s="822"/>
      <c r="AZ562" s="822"/>
      <c r="BA562" s="822"/>
      <c r="BB562" s="830"/>
      <c r="BC562" s="830"/>
      <c r="BD562" s="822"/>
    </row>
    <row r="563" spans="1:56">
      <c r="A563" s="822"/>
      <c r="B563" s="822"/>
      <c r="C563" s="822"/>
      <c r="D563" s="826"/>
      <c r="E563" s="822"/>
      <c r="F563" s="822"/>
      <c r="G563" s="826"/>
      <c r="H563" s="822"/>
      <c r="I563" s="822"/>
      <c r="J563" s="822"/>
      <c r="K563" s="822"/>
      <c r="L563" s="822"/>
      <c r="M563" s="822"/>
      <c r="N563" s="822"/>
      <c r="O563" s="822"/>
      <c r="P563" s="822"/>
      <c r="Q563" s="3922"/>
      <c r="R563" s="822"/>
      <c r="S563" s="822"/>
      <c r="T563" s="822"/>
      <c r="U563" s="826"/>
      <c r="V563" s="826"/>
      <c r="W563" s="826"/>
      <c r="X563" s="822"/>
      <c r="Y563" s="3346"/>
      <c r="Z563" s="822"/>
      <c r="AA563" s="822"/>
      <c r="AB563" s="822"/>
      <c r="AC563" s="822"/>
      <c r="AD563" s="826"/>
      <c r="AE563" s="822"/>
      <c r="AF563" s="822"/>
      <c r="AG563" s="822"/>
      <c r="AH563" s="822"/>
      <c r="AI563" s="822"/>
      <c r="AJ563" s="822"/>
      <c r="AK563" s="822"/>
      <c r="AL563" s="822"/>
      <c r="AM563" s="822"/>
      <c r="AN563" s="826"/>
      <c r="AO563" s="822"/>
      <c r="AP563" s="822"/>
      <c r="AQ563" s="822"/>
      <c r="AR563" s="822"/>
      <c r="AS563" s="822"/>
      <c r="AT563" s="822"/>
      <c r="AU563" s="822"/>
      <c r="AV563" s="822"/>
      <c r="AW563" s="822"/>
      <c r="AX563" s="822"/>
      <c r="AY563" s="822"/>
      <c r="AZ563" s="822"/>
      <c r="BA563" s="822"/>
      <c r="BB563" s="830"/>
      <c r="BC563" s="830"/>
      <c r="BD563" s="822"/>
    </row>
    <row r="564" spans="1:56">
      <c r="A564" s="822"/>
      <c r="B564" s="822"/>
      <c r="C564" s="822"/>
      <c r="D564" s="826"/>
      <c r="E564" s="822"/>
      <c r="F564" s="822"/>
      <c r="G564" s="826"/>
      <c r="H564" s="822"/>
      <c r="I564" s="822"/>
      <c r="J564" s="822"/>
      <c r="K564" s="822"/>
      <c r="L564" s="822"/>
      <c r="M564" s="822"/>
      <c r="N564" s="822"/>
      <c r="O564" s="822"/>
      <c r="P564" s="822"/>
      <c r="Q564" s="3922"/>
      <c r="R564" s="822"/>
      <c r="S564" s="822"/>
      <c r="T564" s="822"/>
      <c r="U564" s="826"/>
      <c r="V564" s="826"/>
      <c r="W564" s="826"/>
      <c r="X564" s="822"/>
      <c r="Y564" s="3346"/>
      <c r="Z564" s="822"/>
      <c r="AA564" s="822"/>
      <c r="AB564" s="822"/>
      <c r="AC564" s="822"/>
      <c r="AD564" s="826"/>
      <c r="AE564" s="822"/>
      <c r="AF564" s="822"/>
      <c r="AG564" s="822"/>
      <c r="AH564" s="822"/>
      <c r="AI564" s="822"/>
      <c r="AJ564" s="822"/>
      <c r="AK564" s="822"/>
      <c r="AL564" s="822"/>
      <c r="AM564" s="822"/>
      <c r="AN564" s="826"/>
      <c r="AO564" s="822"/>
      <c r="AP564" s="822"/>
      <c r="AQ564" s="822"/>
      <c r="AR564" s="822"/>
      <c r="AS564" s="822"/>
      <c r="AT564" s="822"/>
      <c r="AU564" s="822"/>
      <c r="AV564" s="822"/>
      <c r="AW564" s="822"/>
      <c r="AX564" s="822"/>
      <c r="AY564" s="822"/>
      <c r="AZ564" s="822"/>
      <c r="BA564" s="822"/>
      <c r="BB564" s="830"/>
      <c r="BC564" s="830"/>
      <c r="BD564" s="822"/>
    </row>
    <row r="565" spans="1:56">
      <c r="A565" s="822"/>
      <c r="B565" s="822"/>
      <c r="C565" s="822"/>
      <c r="D565" s="826"/>
      <c r="E565" s="822"/>
      <c r="F565" s="822"/>
      <c r="G565" s="826"/>
      <c r="H565" s="822"/>
      <c r="I565" s="822"/>
      <c r="J565" s="822"/>
      <c r="K565" s="822"/>
      <c r="L565" s="822"/>
      <c r="M565" s="822"/>
      <c r="N565" s="822"/>
      <c r="O565" s="822"/>
      <c r="P565" s="822"/>
      <c r="Q565" s="3922"/>
      <c r="R565" s="822"/>
      <c r="S565" s="822"/>
      <c r="T565" s="822"/>
      <c r="U565" s="826"/>
      <c r="V565" s="826"/>
      <c r="W565" s="826"/>
      <c r="X565" s="822"/>
      <c r="Y565" s="3346"/>
      <c r="Z565" s="822"/>
      <c r="AA565" s="822"/>
      <c r="AB565" s="822"/>
      <c r="AC565" s="822"/>
      <c r="AD565" s="826"/>
      <c r="AE565" s="822"/>
      <c r="AF565" s="822"/>
      <c r="AG565" s="822"/>
      <c r="AH565" s="822"/>
      <c r="AI565" s="822"/>
      <c r="AJ565" s="822"/>
      <c r="AK565" s="822"/>
      <c r="AL565" s="822"/>
      <c r="AM565" s="822"/>
      <c r="AN565" s="826"/>
      <c r="AO565" s="822"/>
      <c r="AP565" s="822"/>
      <c r="AQ565" s="822"/>
      <c r="AR565" s="822"/>
      <c r="AS565" s="822"/>
      <c r="AT565" s="822"/>
      <c r="AU565" s="822"/>
      <c r="AV565" s="822"/>
      <c r="AW565" s="822"/>
      <c r="AX565" s="822"/>
      <c r="AY565" s="822"/>
      <c r="AZ565" s="822"/>
      <c r="BA565" s="822"/>
      <c r="BB565" s="830"/>
      <c r="BC565" s="830"/>
      <c r="BD565" s="822"/>
    </row>
    <row r="566" spans="1:56">
      <c r="A566" s="822"/>
      <c r="B566" s="822"/>
      <c r="C566" s="822"/>
      <c r="D566" s="826"/>
      <c r="E566" s="822"/>
      <c r="F566" s="822"/>
      <c r="G566" s="826"/>
      <c r="H566" s="822"/>
      <c r="I566" s="822"/>
      <c r="J566" s="822"/>
      <c r="K566" s="822"/>
      <c r="L566" s="822"/>
      <c r="M566" s="822"/>
      <c r="N566" s="822"/>
      <c r="O566" s="822"/>
      <c r="P566" s="822"/>
      <c r="Q566" s="3922"/>
      <c r="R566" s="822"/>
      <c r="S566" s="822"/>
      <c r="T566" s="822"/>
      <c r="U566" s="826"/>
      <c r="V566" s="826"/>
      <c r="W566" s="826"/>
      <c r="X566" s="822"/>
      <c r="Y566" s="3346"/>
      <c r="Z566" s="822"/>
      <c r="AA566" s="822"/>
      <c r="AB566" s="822"/>
      <c r="AC566" s="822"/>
      <c r="AD566" s="826"/>
      <c r="AE566" s="822"/>
      <c r="AF566" s="822"/>
      <c r="AG566" s="822"/>
      <c r="AH566" s="822"/>
      <c r="AI566" s="822"/>
      <c r="AJ566" s="822"/>
      <c r="AK566" s="822"/>
      <c r="AL566" s="822"/>
      <c r="AM566" s="822"/>
      <c r="AN566" s="826"/>
      <c r="AO566" s="822"/>
      <c r="AP566" s="822"/>
      <c r="AQ566" s="822"/>
      <c r="AR566" s="822"/>
      <c r="AS566" s="822"/>
      <c r="AT566" s="822"/>
      <c r="AU566" s="822"/>
      <c r="AV566" s="822"/>
      <c r="AW566" s="822"/>
      <c r="AX566" s="822"/>
      <c r="AY566" s="822"/>
      <c r="AZ566" s="822"/>
      <c r="BA566" s="822"/>
      <c r="BB566" s="830"/>
      <c r="BC566" s="830"/>
      <c r="BD566" s="822"/>
    </row>
    <row r="567" spans="1:56">
      <c r="A567" s="822"/>
      <c r="B567" s="822"/>
      <c r="C567" s="822"/>
      <c r="D567" s="826"/>
      <c r="E567" s="822"/>
      <c r="F567" s="822"/>
      <c r="G567" s="826"/>
      <c r="H567" s="822"/>
      <c r="I567" s="822"/>
      <c r="J567" s="822"/>
      <c r="K567" s="822"/>
      <c r="L567" s="822"/>
      <c r="M567" s="822"/>
      <c r="N567" s="822"/>
      <c r="O567" s="822"/>
      <c r="P567" s="822"/>
      <c r="Q567" s="3922"/>
      <c r="R567" s="822"/>
      <c r="S567" s="822"/>
      <c r="T567" s="822"/>
      <c r="U567" s="826"/>
      <c r="V567" s="826"/>
      <c r="W567" s="826"/>
      <c r="X567" s="822"/>
      <c r="Y567" s="3346"/>
      <c r="Z567" s="822"/>
      <c r="AA567" s="822"/>
      <c r="AB567" s="822"/>
      <c r="AC567" s="822"/>
      <c r="AD567" s="826"/>
      <c r="AE567" s="822"/>
      <c r="AF567" s="822"/>
      <c r="AG567" s="822"/>
      <c r="AH567" s="822"/>
      <c r="AI567" s="822"/>
      <c r="AJ567" s="822"/>
      <c r="AK567" s="822"/>
      <c r="AL567" s="822"/>
      <c r="AM567" s="822"/>
      <c r="AN567" s="826"/>
      <c r="AO567" s="822"/>
      <c r="AP567" s="822"/>
      <c r="AQ567" s="822"/>
      <c r="AR567" s="822"/>
      <c r="AS567" s="822"/>
      <c r="AT567" s="822"/>
      <c r="AU567" s="822"/>
      <c r="AV567" s="822"/>
      <c r="AW567" s="822"/>
      <c r="AX567" s="822"/>
      <c r="AY567" s="822"/>
      <c r="AZ567" s="822"/>
      <c r="BA567" s="822"/>
      <c r="BB567" s="830"/>
      <c r="BC567" s="830"/>
      <c r="BD567" s="822"/>
    </row>
    <row r="568" spans="1:56">
      <c r="A568" s="822"/>
      <c r="B568" s="822"/>
      <c r="C568" s="822"/>
      <c r="D568" s="826"/>
      <c r="E568" s="822"/>
      <c r="F568" s="822"/>
      <c r="G568" s="826"/>
      <c r="H568" s="822"/>
      <c r="I568" s="822"/>
      <c r="J568" s="822"/>
      <c r="K568" s="822"/>
      <c r="L568" s="822"/>
      <c r="M568" s="822"/>
      <c r="N568" s="822"/>
      <c r="O568" s="822"/>
      <c r="P568" s="822"/>
      <c r="Q568" s="3922"/>
      <c r="R568" s="822"/>
      <c r="S568" s="822"/>
      <c r="T568" s="822"/>
      <c r="U568" s="826"/>
      <c r="V568" s="826"/>
      <c r="W568" s="826"/>
      <c r="X568" s="822"/>
      <c r="Y568" s="3346"/>
      <c r="Z568" s="822"/>
      <c r="AA568" s="822"/>
      <c r="AB568" s="822"/>
      <c r="AC568" s="822"/>
      <c r="AD568" s="826"/>
      <c r="AE568" s="822"/>
      <c r="AF568" s="822"/>
      <c r="AG568" s="822"/>
      <c r="AH568" s="822"/>
      <c r="AI568" s="822"/>
      <c r="AJ568" s="822"/>
      <c r="AK568" s="822"/>
      <c r="AL568" s="822"/>
      <c r="AM568" s="822"/>
      <c r="AN568" s="826"/>
      <c r="AO568" s="822"/>
      <c r="AP568" s="822"/>
      <c r="AQ568" s="822"/>
      <c r="AR568" s="822"/>
      <c r="AS568" s="822"/>
      <c r="AT568" s="822"/>
      <c r="AU568" s="822"/>
      <c r="AV568" s="822"/>
      <c r="AW568" s="822"/>
      <c r="AX568" s="822"/>
      <c r="AY568" s="822"/>
      <c r="AZ568" s="822"/>
      <c r="BA568" s="822"/>
      <c r="BB568" s="830"/>
      <c r="BC568" s="830"/>
      <c r="BD568" s="822"/>
    </row>
    <row r="569" spans="1:56">
      <c r="A569" s="822"/>
      <c r="B569" s="822"/>
      <c r="C569" s="822"/>
      <c r="D569" s="826"/>
      <c r="E569" s="822"/>
      <c r="F569" s="822"/>
      <c r="G569" s="826"/>
      <c r="H569" s="822"/>
      <c r="I569" s="822"/>
      <c r="J569" s="822"/>
      <c r="K569" s="822"/>
      <c r="L569" s="822"/>
      <c r="M569" s="822"/>
      <c r="N569" s="822"/>
      <c r="O569" s="822"/>
      <c r="P569" s="822"/>
      <c r="Q569" s="3922"/>
      <c r="R569" s="822"/>
      <c r="S569" s="822"/>
      <c r="T569" s="822"/>
      <c r="U569" s="826"/>
      <c r="V569" s="826"/>
      <c r="W569" s="826"/>
      <c r="X569" s="822"/>
      <c r="Y569" s="3346"/>
      <c r="Z569" s="822"/>
      <c r="AA569" s="822"/>
      <c r="AB569" s="822"/>
      <c r="AC569" s="822"/>
      <c r="AD569" s="826"/>
      <c r="AE569" s="822"/>
      <c r="AF569" s="822"/>
      <c r="AG569" s="822"/>
      <c r="AH569" s="822"/>
      <c r="AI569" s="822"/>
      <c r="AJ569" s="822"/>
      <c r="AK569" s="822"/>
      <c r="AL569" s="822"/>
      <c r="AM569" s="822"/>
      <c r="AN569" s="826"/>
      <c r="AO569" s="822"/>
      <c r="AP569" s="822"/>
      <c r="AQ569" s="822"/>
      <c r="AR569" s="822"/>
      <c r="AS569" s="822"/>
      <c r="AT569" s="822"/>
      <c r="AU569" s="822"/>
      <c r="AV569" s="822"/>
      <c r="AW569" s="822"/>
      <c r="AX569" s="822"/>
      <c r="AY569" s="822"/>
      <c r="AZ569" s="822"/>
      <c r="BA569" s="822"/>
      <c r="BB569" s="830"/>
      <c r="BC569" s="830"/>
      <c r="BD569" s="822"/>
    </row>
    <row r="570" spans="1:56">
      <c r="A570" s="822"/>
      <c r="B570" s="822"/>
      <c r="C570" s="822"/>
      <c r="D570" s="826"/>
      <c r="E570" s="822"/>
      <c r="F570" s="822"/>
      <c r="G570" s="826"/>
      <c r="H570" s="822"/>
      <c r="I570" s="822"/>
      <c r="J570" s="822"/>
      <c r="K570" s="822"/>
      <c r="L570" s="822"/>
      <c r="M570" s="822"/>
      <c r="N570" s="822"/>
      <c r="O570" s="822"/>
      <c r="P570" s="822"/>
      <c r="Q570" s="3922"/>
      <c r="R570" s="822"/>
      <c r="S570" s="822"/>
      <c r="T570" s="822"/>
      <c r="U570" s="826"/>
      <c r="V570" s="826"/>
      <c r="W570" s="826"/>
      <c r="X570" s="822"/>
      <c r="Y570" s="3346"/>
      <c r="Z570" s="822"/>
      <c r="AA570" s="822"/>
      <c r="AB570" s="822"/>
      <c r="AC570" s="822"/>
      <c r="AD570" s="826"/>
      <c r="AE570" s="822"/>
      <c r="AF570" s="822"/>
      <c r="AG570" s="822"/>
      <c r="AH570" s="822"/>
      <c r="AI570" s="822"/>
      <c r="AJ570" s="822"/>
      <c r="AK570" s="822"/>
      <c r="AL570" s="822"/>
      <c r="AM570" s="822"/>
      <c r="AN570" s="826"/>
      <c r="AO570" s="822"/>
      <c r="AP570" s="822"/>
      <c r="AQ570" s="822"/>
      <c r="AR570" s="822"/>
      <c r="AS570" s="822"/>
      <c r="AT570" s="822"/>
      <c r="AU570" s="822"/>
      <c r="AV570" s="822"/>
      <c r="AW570" s="822"/>
      <c r="AX570" s="822"/>
      <c r="AY570" s="822"/>
      <c r="AZ570" s="822"/>
      <c r="BA570" s="822"/>
      <c r="BB570" s="830"/>
      <c r="BC570" s="830"/>
      <c r="BD570" s="822"/>
    </row>
    <row r="571" spans="1:56">
      <c r="A571" s="822"/>
      <c r="B571" s="822"/>
      <c r="C571" s="822"/>
      <c r="D571" s="826"/>
      <c r="E571" s="822"/>
      <c r="F571" s="822"/>
      <c r="G571" s="826"/>
      <c r="H571" s="822"/>
      <c r="I571" s="822"/>
      <c r="J571" s="822"/>
      <c r="K571" s="822"/>
      <c r="L571" s="822"/>
      <c r="M571" s="822"/>
      <c r="N571" s="822"/>
      <c r="O571" s="822"/>
      <c r="P571" s="822"/>
      <c r="Q571" s="3922"/>
      <c r="R571" s="822"/>
      <c r="S571" s="822"/>
      <c r="T571" s="822"/>
      <c r="U571" s="826"/>
      <c r="V571" s="826"/>
      <c r="W571" s="826"/>
      <c r="X571" s="822"/>
      <c r="Y571" s="3346"/>
      <c r="Z571" s="822"/>
      <c r="AA571" s="822"/>
      <c r="AB571" s="822"/>
      <c r="AC571" s="822"/>
      <c r="AD571" s="826"/>
      <c r="AE571" s="822"/>
      <c r="AF571" s="822"/>
      <c r="AG571" s="822"/>
      <c r="AH571" s="822"/>
      <c r="AI571" s="822"/>
      <c r="AJ571" s="822"/>
      <c r="AK571" s="822"/>
      <c r="AL571" s="822"/>
      <c r="AM571" s="822"/>
      <c r="AN571" s="826"/>
      <c r="AO571" s="822"/>
      <c r="AP571" s="822"/>
      <c r="AQ571" s="822"/>
      <c r="AR571" s="822"/>
      <c r="AS571" s="822"/>
      <c r="AT571" s="822"/>
      <c r="AU571" s="822"/>
      <c r="AV571" s="822"/>
      <c r="AW571" s="822"/>
      <c r="AX571" s="822"/>
      <c r="AY571" s="822"/>
      <c r="AZ571" s="822"/>
      <c r="BA571" s="822"/>
      <c r="BB571" s="830"/>
      <c r="BC571" s="830"/>
      <c r="BD571" s="822"/>
    </row>
    <row r="572" spans="1:56">
      <c r="A572" s="822"/>
      <c r="B572" s="822"/>
      <c r="C572" s="822"/>
      <c r="D572" s="826"/>
      <c r="E572" s="822"/>
      <c r="F572" s="822"/>
      <c r="G572" s="826"/>
      <c r="H572" s="822"/>
      <c r="I572" s="822"/>
      <c r="J572" s="822"/>
      <c r="K572" s="822"/>
      <c r="L572" s="822"/>
      <c r="M572" s="822"/>
      <c r="N572" s="822"/>
      <c r="O572" s="822"/>
      <c r="P572" s="822"/>
      <c r="Q572" s="3922"/>
      <c r="R572" s="822"/>
      <c r="S572" s="822"/>
      <c r="T572" s="822"/>
      <c r="U572" s="826"/>
      <c r="V572" s="826"/>
      <c r="W572" s="826"/>
      <c r="X572" s="822"/>
      <c r="Y572" s="3346"/>
      <c r="Z572" s="822"/>
      <c r="AA572" s="822"/>
      <c r="AB572" s="822"/>
      <c r="AC572" s="822"/>
      <c r="AD572" s="826"/>
      <c r="AE572" s="822"/>
      <c r="AF572" s="822"/>
      <c r="AG572" s="822"/>
      <c r="AH572" s="822"/>
      <c r="AI572" s="822"/>
      <c r="AJ572" s="822"/>
      <c r="AK572" s="822"/>
      <c r="AL572" s="822"/>
      <c r="AM572" s="822"/>
      <c r="AN572" s="826"/>
      <c r="AO572" s="822"/>
      <c r="AP572" s="822"/>
      <c r="AQ572" s="822"/>
      <c r="AR572" s="822"/>
      <c r="AS572" s="822"/>
      <c r="AT572" s="822"/>
      <c r="AU572" s="822"/>
      <c r="AV572" s="822"/>
      <c r="AW572" s="822"/>
      <c r="AX572" s="822"/>
      <c r="AY572" s="822"/>
      <c r="AZ572" s="822"/>
      <c r="BA572" s="822"/>
      <c r="BB572" s="830"/>
      <c r="BC572" s="830"/>
      <c r="BD572" s="822"/>
    </row>
    <row r="573" spans="1:56">
      <c r="A573" s="822"/>
      <c r="B573" s="822"/>
      <c r="C573" s="822"/>
      <c r="D573" s="826"/>
      <c r="E573" s="822"/>
      <c r="F573" s="822"/>
      <c r="G573" s="826"/>
      <c r="H573" s="822"/>
      <c r="I573" s="822"/>
      <c r="J573" s="822"/>
      <c r="K573" s="822"/>
      <c r="L573" s="822"/>
      <c r="M573" s="822"/>
      <c r="N573" s="822"/>
      <c r="O573" s="822"/>
      <c r="P573" s="822"/>
      <c r="Q573" s="3922"/>
      <c r="R573" s="822"/>
      <c r="S573" s="822"/>
      <c r="T573" s="822"/>
      <c r="U573" s="826"/>
      <c r="V573" s="826"/>
      <c r="W573" s="826"/>
      <c r="X573" s="822"/>
      <c r="Y573" s="3346"/>
      <c r="Z573" s="822"/>
      <c r="AA573" s="822"/>
      <c r="AB573" s="822"/>
      <c r="AC573" s="822"/>
      <c r="AD573" s="826"/>
      <c r="AE573" s="822"/>
      <c r="AF573" s="822"/>
      <c r="AG573" s="822"/>
      <c r="AH573" s="822"/>
      <c r="AI573" s="822"/>
      <c r="AJ573" s="822"/>
      <c r="AK573" s="822"/>
      <c r="AL573" s="822"/>
      <c r="AM573" s="822"/>
      <c r="AN573" s="826"/>
      <c r="AO573" s="822"/>
      <c r="AP573" s="822"/>
      <c r="AQ573" s="822"/>
      <c r="AR573" s="822"/>
      <c r="AS573" s="822"/>
      <c r="AT573" s="822"/>
      <c r="AU573" s="822"/>
      <c r="AV573" s="822"/>
      <c r="AW573" s="822"/>
      <c r="AX573" s="822"/>
      <c r="AY573" s="822"/>
      <c r="AZ573" s="822"/>
      <c r="BA573" s="822"/>
      <c r="BB573" s="830"/>
      <c r="BC573" s="830"/>
      <c r="BD573" s="822"/>
    </row>
    <row r="574" spans="1:56">
      <c r="A574" s="822"/>
      <c r="B574" s="822"/>
      <c r="C574" s="822"/>
      <c r="D574" s="826"/>
      <c r="E574" s="822"/>
      <c r="F574" s="822"/>
      <c r="G574" s="826"/>
      <c r="H574" s="822"/>
      <c r="I574" s="822"/>
      <c r="J574" s="822"/>
      <c r="K574" s="822"/>
      <c r="L574" s="822"/>
      <c r="M574" s="822"/>
      <c r="N574" s="822"/>
      <c r="O574" s="822"/>
      <c r="P574" s="822"/>
      <c r="Q574" s="3922"/>
      <c r="R574" s="822"/>
      <c r="S574" s="822"/>
      <c r="T574" s="822"/>
      <c r="U574" s="826"/>
      <c r="V574" s="826"/>
      <c r="W574" s="826"/>
      <c r="X574" s="822"/>
      <c r="Y574" s="3346"/>
      <c r="Z574" s="822"/>
      <c r="AA574" s="822"/>
      <c r="AB574" s="822"/>
      <c r="AC574" s="822"/>
      <c r="AD574" s="826"/>
      <c r="AE574" s="822"/>
      <c r="AF574" s="822"/>
      <c r="AG574" s="822"/>
      <c r="AH574" s="822"/>
      <c r="AI574" s="822"/>
      <c r="AJ574" s="822"/>
      <c r="AK574" s="822"/>
      <c r="AL574" s="822"/>
      <c r="AM574" s="822"/>
      <c r="AN574" s="826"/>
      <c r="AO574" s="822"/>
      <c r="AP574" s="822"/>
      <c r="AQ574" s="822"/>
      <c r="AR574" s="822"/>
      <c r="AS574" s="822"/>
      <c r="AT574" s="822"/>
      <c r="AU574" s="822"/>
      <c r="AV574" s="822"/>
      <c r="AW574" s="822"/>
      <c r="AX574" s="822"/>
      <c r="AY574" s="822"/>
      <c r="AZ574" s="822"/>
      <c r="BA574" s="822"/>
      <c r="BB574" s="830"/>
      <c r="BC574" s="830"/>
      <c r="BD574" s="822"/>
    </row>
    <row r="575" spans="1:56">
      <c r="A575" s="822"/>
      <c r="B575" s="822"/>
      <c r="C575" s="822"/>
      <c r="D575" s="826"/>
      <c r="E575" s="822"/>
      <c r="F575" s="822"/>
      <c r="G575" s="826"/>
      <c r="H575" s="822"/>
      <c r="I575" s="822"/>
      <c r="J575" s="822"/>
      <c r="K575" s="822"/>
      <c r="L575" s="822"/>
      <c r="M575" s="822"/>
      <c r="N575" s="822"/>
      <c r="O575" s="822"/>
      <c r="P575" s="822"/>
      <c r="Q575" s="3922"/>
      <c r="R575" s="822"/>
      <c r="S575" s="822"/>
      <c r="T575" s="822"/>
      <c r="U575" s="826"/>
      <c r="V575" s="826"/>
      <c r="W575" s="826"/>
      <c r="X575" s="822"/>
      <c r="Y575" s="3346"/>
      <c r="Z575" s="822"/>
      <c r="AA575" s="822"/>
      <c r="AB575" s="822"/>
      <c r="AC575" s="822"/>
      <c r="AD575" s="826"/>
      <c r="AE575" s="822"/>
      <c r="AF575" s="822"/>
      <c r="AG575" s="822"/>
      <c r="AH575" s="822"/>
      <c r="AI575" s="822"/>
      <c r="AJ575" s="822"/>
      <c r="AK575" s="822"/>
      <c r="AL575" s="822"/>
      <c r="AM575" s="822"/>
      <c r="AN575" s="826"/>
      <c r="AO575" s="822"/>
      <c r="AP575" s="822"/>
      <c r="AQ575" s="822"/>
      <c r="AR575" s="822"/>
      <c r="AS575" s="822"/>
      <c r="AT575" s="822"/>
      <c r="AU575" s="822"/>
      <c r="AV575" s="822"/>
      <c r="AW575" s="822"/>
      <c r="AX575" s="822"/>
      <c r="AY575" s="822"/>
      <c r="AZ575" s="822"/>
      <c r="BA575" s="822"/>
      <c r="BB575" s="830"/>
      <c r="BC575" s="830"/>
      <c r="BD575" s="822"/>
    </row>
    <row r="576" spans="1:56">
      <c r="A576" s="822"/>
      <c r="B576" s="822"/>
      <c r="C576" s="822"/>
      <c r="D576" s="826"/>
      <c r="E576" s="822"/>
      <c r="F576" s="822"/>
      <c r="G576" s="826"/>
      <c r="H576" s="822"/>
      <c r="I576" s="822"/>
      <c r="J576" s="822"/>
      <c r="K576" s="822"/>
      <c r="L576" s="822"/>
      <c r="M576" s="822"/>
      <c r="N576" s="822"/>
      <c r="O576" s="822"/>
      <c r="P576" s="822"/>
      <c r="Q576" s="3922"/>
      <c r="R576" s="822"/>
      <c r="S576" s="822"/>
      <c r="T576" s="822"/>
      <c r="U576" s="826"/>
      <c r="V576" s="826"/>
      <c r="W576" s="826"/>
      <c r="X576" s="822"/>
      <c r="Y576" s="3346"/>
      <c r="Z576" s="822"/>
      <c r="AA576" s="822"/>
      <c r="AB576" s="822"/>
      <c r="AC576" s="822"/>
      <c r="AD576" s="826"/>
      <c r="AE576" s="822"/>
      <c r="AF576" s="822"/>
      <c r="AG576" s="822"/>
      <c r="AH576" s="822"/>
      <c r="AI576" s="822"/>
      <c r="AJ576" s="822"/>
      <c r="AK576" s="822"/>
      <c r="AL576" s="822"/>
      <c r="AM576" s="822"/>
      <c r="AN576" s="826"/>
      <c r="AO576" s="822"/>
      <c r="AP576" s="822"/>
      <c r="AQ576" s="822"/>
      <c r="AR576" s="822"/>
      <c r="AS576" s="822"/>
      <c r="AT576" s="822"/>
      <c r="AU576" s="822"/>
      <c r="AV576" s="822"/>
      <c r="AW576" s="822"/>
      <c r="AX576" s="822"/>
      <c r="AY576" s="822"/>
      <c r="AZ576" s="822"/>
      <c r="BA576" s="822"/>
      <c r="BB576" s="830"/>
      <c r="BC576" s="830"/>
      <c r="BD576" s="822"/>
    </row>
    <row r="577" spans="1:56">
      <c r="A577" s="822"/>
      <c r="B577" s="822"/>
      <c r="C577" s="822"/>
      <c r="D577" s="826"/>
      <c r="E577" s="822"/>
      <c r="F577" s="822"/>
      <c r="G577" s="826"/>
      <c r="H577" s="822"/>
      <c r="I577" s="822"/>
      <c r="J577" s="822"/>
      <c r="K577" s="822"/>
      <c r="L577" s="822"/>
      <c r="M577" s="822"/>
      <c r="N577" s="822"/>
      <c r="O577" s="822"/>
      <c r="P577" s="822"/>
      <c r="Q577" s="3922"/>
      <c r="R577" s="822"/>
      <c r="S577" s="822"/>
      <c r="T577" s="822"/>
      <c r="U577" s="826"/>
      <c r="V577" s="826"/>
      <c r="W577" s="826"/>
      <c r="X577" s="822"/>
      <c r="Y577" s="3346"/>
      <c r="Z577" s="822"/>
      <c r="AA577" s="822"/>
      <c r="AB577" s="822"/>
      <c r="AC577" s="822"/>
      <c r="AD577" s="826"/>
      <c r="AE577" s="822"/>
      <c r="AF577" s="822"/>
      <c r="AG577" s="822"/>
      <c r="AH577" s="822"/>
      <c r="AI577" s="822"/>
      <c r="AJ577" s="822"/>
      <c r="AK577" s="822"/>
      <c r="AL577" s="822"/>
      <c r="AM577" s="822"/>
      <c r="AN577" s="826"/>
      <c r="AO577" s="822"/>
      <c r="AP577" s="822"/>
      <c r="AQ577" s="822"/>
      <c r="AR577" s="822"/>
      <c r="AS577" s="822"/>
      <c r="AT577" s="822"/>
      <c r="AU577" s="822"/>
      <c r="AV577" s="822"/>
      <c r="AW577" s="822"/>
      <c r="AX577" s="822"/>
      <c r="AY577" s="822"/>
      <c r="AZ577" s="822"/>
      <c r="BA577" s="822"/>
      <c r="BB577" s="830"/>
      <c r="BC577" s="830"/>
      <c r="BD577" s="822"/>
    </row>
    <row r="578" spans="1:56">
      <c r="A578" s="822"/>
      <c r="B578" s="822"/>
      <c r="C578" s="822"/>
      <c r="D578" s="826"/>
      <c r="E578" s="822"/>
      <c r="F578" s="822"/>
      <c r="G578" s="826"/>
      <c r="H578" s="822"/>
      <c r="I578" s="822"/>
      <c r="J578" s="822"/>
      <c r="K578" s="822"/>
      <c r="L578" s="822"/>
      <c r="M578" s="822"/>
      <c r="N578" s="822"/>
      <c r="O578" s="822"/>
      <c r="P578" s="822"/>
      <c r="Q578" s="3922"/>
      <c r="R578" s="822"/>
      <c r="S578" s="822"/>
      <c r="T578" s="822"/>
      <c r="U578" s="826"/>
      <c r="V578" s="826"/>
      <c r="W578" s="826"/>
      <c r="X578" s="822"/>
      <c r="Y578" s="3346"/>
      <c r="Z578" s="822"/>
      <c r="AA578" s="822"/>
      <c r="AB578" s="822"/>
      <c r="AC578" s="822"/>
      <c r="AD578" s="826"/>
      <c r="AE578" s="822"/>
      <c r="AF578" s="822"/>
      <c r="AG578" s="822"/>
      <c r="AH578" s="822"/>
      <c r="AI578" s="822"/>
      <c r="AJ578" s="822"/>
      <c r="AK578" s="822"/>
      <c r="AL578" s="822"/>
      <c r="AM578" s="822"/>
      <c r="AN578" s="826"/>
      <c r="AO578" s="822"/>
      <c r="AP578" s="822"/>
      <c r="AQ578" s="822"/>
      <c r="AR578" s="822"/>
      <c r="AS578" s="822"/>
      <c r="AT578" s="822"/>
      <c r="AU578" s="822"/>
      <c r="AV578" s="822"/>
      <c r="AW578" s="822"/>
      <c r="AX578" s="822"/>
      <c r="AY578" s="822"/>
      <c r="AZ578" s="822"/>
      <c r="BA578" s="822"/>
      <c r="BB578" s="830"/>
      <c r="BC578" s="830"/>
      <c r="BD578" s="822"/>
    </row>
    <row r="579" spans="1:56">
      <c r="A579" s="822"/>
      <c r="B579" s="822"/>
      <c r="C579" s="822"/>
      <c r="D579" s="826"/>
      <c r="E579" s="822"/>
      <c r="F579" s="822"/>
      <c r="G579" s="826"/>
      <c r="H579" s="822"/>
      <c r="I579" s="822"/>
      <c r="J579" s="822"/>
      <c r="K579" s="822"/>
      <c r="L579" s="822"/>
      <c r="M579" s="822"/>
      <c r="N579" s="822"/>
      <c r="O579" s="822"/>
      <c r="P579" s="822"/>
      <c r="Q579" s="3922"/>
      <c r="R579" s="822"/>
      <c r="S579" s="822"/>
      <c r="T579" s="822"/>
      <c r="U579" s="826"/>
      <c r="V579" s="826"/>
      <c r="W579" s="826"/>
      <c r="X579" s="822"/>
      <c r="Y579" s="3346"/>
      <c r="Z579" s="822"/>
      <c r="AA579" s="822"/>
      <c r="AB579" s="822"/>
      <c r="AC579" s="822"/>
      <c r="AD579" s="826"/>
      <c r="AE579" s="822"/>
      <c r="AF579" s="822"/>
      <c r="AG579" s="822"/>
      <c r="AH579" s="822"/>
      <c r="AI579" s="822"/>
      <c r="AJ579" s="822"/>
      <c r="AK579" s="822"/>
      <c r="AL579" s="822"/>
      <c r="AM579" s="822"/>
      <c r="AN579" s="826"/>
      <c r="AO579" s="822"/>
      <c r="AP579" s="822"/>
      <c r="AQ579" s="822"/>
      <c r="AR579" s="822"/>
      <c r="AS579" s="822"/>
      <c r="AT579" s="822"/>
      <c r="AU579" s="822"/>
      <c r="AV579" s="822"/>
      <c r="AW579" s="822"/>
      <c r="AX579" s="822"/>
      <c r="AY579" s="822"/>
      <c r="AZ579" s="822"/>
      <c r="BA579" s="822"/>
      <c r="BB579" s="830"/>
      <c r="BC579" s="830"/>
      <c r="BD579" s="822"/>
    </row>
    <row r="580" spans="1:56">
      <c r="A580" s="822"/>
      <c r="B580" s="822"/>
      <c r="C580" s="822"/>
      <c r="D580" s="826"/>
      <c r="E580" s="822"/>
      <c r="F580" s="822"/>
      <c r="G580" s="826"/>
      <c r="H580" s="822"/>
      <c r="I580" s="822"/>
      <c r="J580" s="822"/>
      <c r="K580" s="822"/>
      <c r="L580" s="822"/>
      <c r="M580" s="822"/>
      <c r="N580" s="822"/>
      <c r="O580" s="822"/>
      <c r="P580" s="822"/>
      <c r="Q580" s="3922"/>
      <c r="R580" s="822"/>
      <c r="S580" s="822"/>
      <c r="T580" s="822"/>
      <c r="U580" s="826"/>
      <c r="V580" s="826"/>
      <c r="W580" s="826"/>
      <c r="X580" s="822"/>
      <c r="Y580" s="3346"/>
      <c r="Z580" s="822"/>
      <c r="AA580" s="822"/>
      <c r="AB580" s="822"/>
      <c r="AC580" s="822"/>
      <c r="AD580" s="826"/>
      <c r="AE580" s="822"/>
      <c r="AF580" s="822"/>
      <c r="AG580" s="822"/>
      <c r="AH580" s="822"/>
      <c r="AI580" s="822"/>
      <c r="AJ580" s="822"/>
      <c r="AK580" s="822"/>
      <c r="AL580" s="822"/>
      <c r="AM580" s="822"/>
      <c r="AN580" s="826"/>
      <c r="AO580" s="822"/>
      <c r="AP580" s="822"/>
      <c r="AQ580" s="822"/>
      <c r="AR580" s="822"/>
      <c r="AS580" s="822"/>
      <c r="AT580" s="822"/>
      <c r="AU580" s="822"/>
      <c r="AV580" s="822"/>
      <c r="AW580" s="822"/>
      <c r="AX580" s="822"/>
      <c r="AY580" s="822"/>
      <c r="AZ580" s="822"/>
      <c r="BA580" s="822"/>
      <c r="BB580" s="830"/>
      <c r="BC580" s="830"/>
      <c r="BD580" s="822"/>
    </row>
    <row r="581" spans="1:56">
      <c r="A581" s="822"/>
      <c r="B581" s="822"/>
      <c r="C581" s="822"/>
      <c r="D581" s="826"/>
      <c r="E581" s="822"/>
      <c r="F581" s="822"/>
      <c r="G581" s="826"/>
      <c r="H581" s="822"/>
      <c r="I581" s="822"/>
      <c r="J581" s="822"/>
      <c r="K581" s="822"/>
      <c r="L581" s="822"/>
      <c r="M581" s="822"/>
      <c r="N581" s="822"/>
      <c r="O581" s="822"/>
      <c r="P581" s="822"/>
      <c r="Q581" s="3922"/>
      <c r="R581" s="822"/>
      <c r="S581" s="822"/>
      <c r="T581" s="822"/>
      <c r="U581" s="826"/>
      <c r="V581" s="826"/>
      <c r="W581" s="826"/>
      <c r="X581" s="822"/>
      <c r="Y581" s="3346"/>
      <c r="Z581" s="822"/>
      <c r="AA581" s="822"/>
      <c r="AB581" s="822"/>
      <c r="AC581" s="822"/>
      <c r="AD581" s="826"/>
      <c r="AE581" s="822"/>
      <c r="AF581" s="822"/>
      <c r="AG581" s="822"/>
      <c r="AH581" s="822"/>
      <c r="AI581" s="822"/>
      <c r="AJ581" s="822"/>
      <c r="AK581" s="822"/>
      <c r="AL581" s="822"/>
      <c r="AM581" s="822"/>
      <c r="AN581" s="826"/>
      <c r="AO581" s="822"/>
      <c r="AP581" s="822"/>
      <c r="AQ581" s="822"/>
      <c r="AR581" s="822"/>
      <c r="AS581" s="822"/>
      <c r="AT581" s="822"/>
      <c r="AU581" s="822"/>
      <c r="AV581" s="822"/>
      <c r="AW581" s="822"/>
      <c r="AX581" s="822"/>
      <c r="AY581" s="822"/>
      <c r="AZ581" s="822"/>
      <c r="BA581" s="822"/>
      <c r="BB581" s="830"/>
      <c r="BC581" s="830"/>
      <c r="BD581" s="822"/>
    </row>
    <row r="582" spans="1:56">
      <c r="A582" s="822"/>
      <c r="B582" s="822"/>
      <c r="C582" s="822"/>
      <c r="D582" s="826"/>
      <c r="E582" s="822"/>
      <c r="F582" s="822"/>
      <c r="G582" s="826"/>
      <c r="H582" s="822"/>
      <c r="I582" s="822"/>
      <c r="J582" s="822"/>
      <c r="K582" s="822"/>
      <c r="L582" s="822"/>
      <c r="M582" s="822"/>
      <c r="N582" s="822"/>
      <c r="O582" s="822"/>
      <c r="P582" s="822"/>
      <c r="Q582" s="3922"/>
      <c r="R582" s="822"/>
      <c r="S582" s="822"/>
      <c r="T582" s="822"/>
      <c r="U582" s="826"/>
      <c r="V582" s="826"/>
      <c r="W582" s="826"/>
      <c r="X582" s="822"/>
      <c r="Y582" s="3346"/>
      <c r="Z582" s="822"/>
      <c r="AA582" s="822"/>
      <c r="AB582" s="822"/>
      <c r="AC582" s="822"/>
      <c r="AD582" s="826"/>
      <c r="AE582" s="822"/>
      <c r="AF582" s="822"/>
      <c r="AG582" s="822"/>
      <c r="AH582" s="822"/>
      <c r="AI582" s="822"/>
      <c r="AJ582" s="822"/>
      <c r="AK582" s="822"/>
      <c r="AL582" s="822"/>
      <c r="AM582" s="822"/>
      <c r="AN582" s="826"/>
      <c r="AO582" s="822"/>
      <c r="AP582" s="822"/>
      <c r="AQ582" s="822"/>
      <c r="AR582" s="822"/>
      <c r="AS582" s="822"/>
      <c r="AT582" s="822"/>
      <c r="AU582" s="822"/>
      <c r="AV582" s="822"/>
      <c r="AW582" s="822"/>
      <c r="AX582" s="822"/>
      <c r="AY582" s="822"/>
      <c r="AZ582" s="822"/>
      <c r="BA582" s="822"/>
      <c r="BB582" s="830"/>
      <c r="BC582" s="830"/>
      <c r="BD582" s="822"/>
    </row>
    <row r="583" spans="1:56">
      <c r="A583" s="822"/>
      <c r="B583" s="822"/>
      <c r="C583" s="822"/>
      <c r="D583" s="826"/>
      <c r="E583" s="822"/>
      <c r="F583" s="822"/>
      <c r="G583" s="826"/>
      <c r="H583" s="822"/>
      <c r="I583" s="822"/>
      <c r="J583" s="822"/>
      <c r="K583" s="822"/>
      <c r="L583" s="822"/>
      <c r="M583" s="822"/>
      <c r="N583" s="822"/>
      <c r="O583" s="822"/>
      <c r="P583" s="822"/>
      <c r="Q583" s="3922"/>
      <c r="R583" s="822"/>
      <c r="S583" s="822"/>
      <c r="T583" s="822"/>
      <c r="U583" s="826"/>
      <c r="V583" s="826"/>
      <c r="W583" s="826"/>
      <c r="X583" s="822"/>
      <c r="Y583" s="3346"/>
      <c r="Z583" s="822"/>
      <c r="AA583" s="822"/>
      <c r="AB583" s="822"/>
      <c r="AC583" s="822"/>
      <c r="AD583" s="826"/>
      <c r="AE583" s="822"/>
      <c r="AF583" s="822"/>
      <c r="AG583" s="822"/>
      <c r="AH583" s="822"/>
      <c r="AI583" s="822"/>
      <c r="AJ583" s="822"/>
      <c r="AK583" s="822"/>
      <c r="AL583" s="822"/>
      <c r="AM583" s="822"/>
      <c r="AN583" s="826"/>
      <c r="AO583" s="822"/>
      <c r="AP583" s="822"/>
      <c r="AQ583" s="822"/>
      <c r="AR583" s="822"/>
      <c r="AS583" s="822"/>
      <c r="AT583" s="822"/>
      <c r="AU583" s="822"/>
      <c r="AV583" s="822"/>
      <c r="AW583" s="822"/>
      <c r="AX583" s="822"/>
      <c r="AY583" s="822"/>
      <c r="AZ583" s="822"/>
      <c r="BA583" s="822"/>
      <c r="BB583" s="830"/>
      <c r="BC583" s="830"/>
      <c r="BD583" s="822"/>
    </row>
    <row r="584" spans="1:56">
      <c r="A584" s="822"/>
      <c r="B584" s="822"/>
      <c r="C584" s="822"/>
      <c r="D584" s="826"/>
      <c r="E584" s="822"/>
      <c r="F584" s="822"/>
      <c r="G584" s="826"/>
      <c r="H584" s="822"/>
      <c r="I584" s="822"/>
      <c r="J584" s="822"/>
      <c r="K584" s="822"/>
      <c r="L584" s="822"/>
      <c r="M584" s="822"/>
      <c r="N584" s="822"/>
      <c r="O584" s="822"/>
      <c r="P584" s="822"/>
      <c r="Q584" s="3922"/>
      <c r="R584" s="822"/>
      <c r="S584" s="822"/>
      <c r="T584" s="822"/>
      <c r="U584" s="826"/>
      <c r="V584" s="826"/>
      <c r="W584" s="826"/>
      <c r="X584" s="822"/>
      <c r="Y584" s="3346"/>
      <c r="Z584" s="822"/>
      <c r="AA584" s="822"/>
      <c r="AB584" s="822"/>
      <c r="AC584" s="822"/>
      <c r="AD584" s="826"/>
      <c r="AE584" s="822"/>
      <c r="AF584" s="822"/>
      <c r="AG584" s="822"/>
      <c r="AH584" s="822"/>
      <c r="AI584" s="822"/>
      <c r="AJ584" s="822"/>
      <c r="AK584" s="822"/>
      <c r="AL584" s="822"/>
      <c r="AM584" s="822"/>
      <c r="AN584" s="826"/>
      <c r="AO584" s="822"/>
      <c r="AP584" s="822"/>
      <c r="AQ584" s="822"/>
      <c r="AR584" s="822"/>
      <c r="AS584" s="822"/>
      <c r="AT584" s="822"/>
      <c r="AU584" s="822"/>
      <c r="AV584" s="822"/>
      <c r="AW584" s="822"/>
      <c r="AX584" s="822"/>
      <c r="AY584" s="822"/>
      <c r="AZ584" s="822"/>
      <c r="BA584" s="822"/>
      <c r="BB584" s="830"/>
      <c r="BC584" s="830"/>
      <c r="BD584" s="822"/>
    </row>
    <row r="585" spans="1:56">
      <c r="A585" s="822"/>
      <c r="B585" s="822"/>
      <c r="C585" s="822"/>
      <c r="D585" s="826"/>
      <c r="E585" s="822"/>
      <c r="F585" s="822"/>
      <c r="G585" s="826"/>
      <c r="H585" s="822"/>
      <c r="I585" s="822"/>
      <c r="J585" s="822"/>
      <c r="K585" s="822"/>
      <c r="L585" s="822"/>
      <c r="M585" s="822"/>
      <c r="N585" s="822"/>
      <c r="O585" s="822"/>
      <c r="P585" s="822"/>
      <c r="Q585" s="3922"/>
      <c r="R585" s="822"/>
      <c r="S585" s="822"/>
      <c r="T585" s="822"/>
      <c r="U585" s="826"/>
      <c r="V585" s="826"/>
      <c r="W585" s="826"/>
      <c r="X585" s="822"/>
      <c r="Y585" s="3346"/>
      <c r="Z585" s="822"/>
      <c r="AA585" s="822"/>
      <c r="AB585" s="822"/>
      <c r="AC585" s="822"/>
      <c r="AD585" s="826"/>
      <c r="AE585" s="822"/>
      <c r="AF585" s="822"/>
      <c r="AG585" s="822"/>
      <c r="AH585" s="822"/>
      <c r="AI585" s="822"/>
      <c r="AJ585" s="822"/>
      <c r="AK585" s="822"/>
      <c r="AL585" s="822"/>
      <c r="AM585" s="822"/>
      <c r="AN585" s="826"/>
      <c r="AO585" s="822"/>
      <c r="AP585" s="822"/>
      <c r="AQ585" s="822"/>
      <c r="AR585" s="822"/>
      <c r="AS585" s="822"/>
      <c r="AT585" s="822"/>
      <c r="AU585" s="822"/>
      <c r="AV585" s="822"/>
      <c r="AW585" s="822"/>
      <c r="AX585" s="822"/>
      <c r="AY585" s="822"/>
      <c r="AZ585" s="822"/>
      <c r="BA585" s="822"/>
      <c r="BB585" s="830"/>
      <c r="BC585" s="830"/>
      <c r="BD585" s="822"/>
    </row>
    <row r="586" spans="1:56">
      <c r="A586" s="822"/>
      <c r="B586" s="822"/>
      <c r="C586" s="822"/>
      <c r="D586" s="826"/>
      <c r="E586" s="822"/>
      <c r="F586" s="822"/>
      <c r="G586" s="826"/>
      <c r="H586" s="822"/>
      <c r="I586" s="822"/>
      <c r="J586" s="822"/>
      <c r="K586" s="822"/>
      <c r="L586" s="822"/>
      <c r="M586" s="822"/>
      <c r="N586" s="822"/>
      <c r="O586" s="822"/>
      <c r="P586" s="822"/>
      <c r="Q586" s="3922"/>
      <c r="R586" s="822"/>
      <c r="S586" s="822"/>
      <c r="T586" s="822"/>
      <c r="U586" s="826"/>
      <c r="V586" s="826"/>
      <c r="W586" s="826"/>
      <c r="X586" s="822"/>
      <c r="Y586" s="3346"/>
      <c r="Z586" s="822"/>
      <c r="AA586" s="822"/>
      <c r="AB586" s="822"/>
      <c r="AC586" s="822"/>
      <c r="AD586" s="826"/>
      <c r="AE586" s="822"/>
      <c r="AF586" s="822"/>
      <c r="AG586" s="822"/>
      <c r="AH586" s="822"/>
      <c r="AI586" s="822"/>
      <c r="AJ586" s="822"/>
      <c r="AK586" s="822"/>
      <c r="AL586" s="822"/>
      <c r="AM586" s="822"/>
      <c r="AN586" s="826"/>
      <c r="AO586" s="822"/>
      <c r="AP586" s="822"/>
      <c r="AQ586" s="822"/>
      <c r="AR586" s="822"/>
      <c r="AS586" s="822"/>
      <c r="AT586" s="822"/>
      <c r="AU586" s="822"/>
      <c r="AV586" s="822"/>
      <c r="AW586" s="822"/>
      <c r="AX586" s="822"/>
      <c r="AY586" s="822"/>
      <c r="AZ586" s="822"/>
      <c r="BA586" s="822"/>
      <c r="BB586" s="830"/>
      <c r="BC586" s="830"/>
      <c r="BD586" s="822"/>
    </row>
    <row r="587" spans="1:56">
      <c r="A587" s="822"/>
      <c r="B587" s="822"/>
      <c r="C587" s="822"/>
      <c r="D587" s="826"/>
      <c r="E587" s="822"/>
      <c r="F587" s="822"/>
      <c r="G587" s="826"/>
      <c r="H587" s="822"/>
      <c r="I587" s="822"/>
      <c r="J587" s="822"/>
      <c r="K587" s="822"/>
      <c r="L587" s="822"/>
      <c r="M587" s="822"/>
      <c r="N587" s="822"/>
      <c r="O587" s="822"/>
      <c r="P587" s="822"/>
      <c r="Q587" s="3922"/>
      <c r="R587" s="822"/>
      <c r="S587" s="822"/>
      <c r="T587" s="822"/>
      <c r="U587" s="826"/>
      <c r="V587" s="826"/>
      <c r="W587" s="826"/>
      <c r="X587" s="822"/>
      <c r="Y587" s="3346"/>
      <c r="Z587" s="822"/>
      <c r="AA587" s="822"/>
      <c r="AB587" s="822"/>
      <c r="AC587" s="822"/>
      <c r="AD587" s="826"/>
      <c r="AE587" s="822"/>
      <c r="AF587" s="822"/>
      <c r="AG587" s="822"/>
      <c r="AH587" s="822"/>
      <c r="AI587" s="822"/>
      <c r="AJ587" s="822"/>
      <c r="AK587" s="822"/>
      <c r="AL587" s="822"/>
      <c r="AM587" s="822"/>
      <c r="AN587" s="826"/>
      <c r="AO587" s="822"/>
      <c r="AP587" s="822"/>
      <c r="AQ587" s="822"/>
      <c r="AR587" s="822"/>
      <c r="AS587" s="822"/>
      <c r="AT587" s="822"/>
      <c r="AU587" s="822"/>
      <c r="AV587" s="822"/>
      <c r="AW587" s="822"/>
      <c r="AX587" s="822"/>
      <c r="AY587" s="822"/>
      <c r="AZ587" s="822"/>
      <c r="BA587" s="822"/>
      <c r="BB587" s="830"/>
      <c r="BC587" s="830"/>
      <c r="BD587" s="822"/>
    </row>
    <row r="588" spans="1:56">
      <c r="A588" s="822"/>
      <c r="B588" s="822"/>
      <c r="C588" s="822"/>
      <c r="D588" s="826"/>
      <c r="E588" s="822"/>
      <c r="F588" s="822"/>
      <c r="G588" s="826"/>
      <c r="H588" s="822"/>
      <c r="I588" s="822"/>
      <c r="J588" s="822"/>
      <c r="K588" s="822"/>
      <c r="L588" s="822"/>
      <c r="M588" s="822"/>
      <c r="N588" s="822"/>
      <c r="O588" s="822"/>
      <c r="P588" s="822"/>
      <c r="Q588" s="3922"/>
      <c r="R588" s="822"/>
      <c r="S588" s="822"/>
      <c r="T588" s="822"/>
      <c r="U588" s="826"/>
      <c r="V588" s="826"/>
      <c r="W588" s="826"/>
      <c r="X588" s="822"/>
      <c r="Y588" s="3346"/>
      <c r="Z588" s="822"/>
      <c r="AA588" s="822"/>
      <c r="AB588" s="822"/>
      <c r="AC588" s="822"/>
      <c r="AD588" s="826"/>
      <c r="AE588" s="822"/>
      <c r="AF588" s="822"/>
      <c r="AG588" s="822"/>
      <c r="AH588" s="822"/>
      <c r="AI588" s="822"/>
      <c r="AJ588" s="822"/>
      <c r="AK588" s="822"/>
      <c r="AL588" s="822"/>
      <c r="AM588" s="822"/>
      <c r="AN588" s="826"/>
      <c r="AO588" s="822"/>
      <c r="AP588" s="822"/>
      <c r="AQ588" s="822"/>
      <c r="AR588" s="822"/>
      <c r="AS588" s="822"/>
      <c r="AT588" s="822"/>
      <c r="AU588" s="822"/>
      <c r="AV588" s="822"/>
      <c r="AW588" s="822"/>
      <c r="AX588" s="822"/>
      <c r="AY588" s="822"/>
      <c r="AZ588" s="822"/>
      <c r="BA588" s="822"/>
      <c r="BB588" s="830"/>
      <c r="BC588" s="830"/>
      <c r="BD588" s="822"/>
    </row>
    <row r="589" spans="1:56">
      <c r="A589" s="822"/>
      <c r="B589" s="822"/>
      <c r="C589" s="822"/>
      <c r="D589" s="826"/>
      <c r="E589" s="822"/>
      <c r="F589" s="822"/>
      <c r="G589" s="826"/>
      <c r="H589" s="822"/>
      <c r="I589" s="822"/>
      <c r="J589" s="822"/>
      <c r="K589" s="822"/>
      <c r="L589" s="822"/>
      <c r="M589" s="822"/>
      <c r="N589" s="822"/>
      <c r="O589" s="822"/>
      <c r="P589" s="822"/>
      <c r="Q589" s="3922"/>
      <c r="R589" s="822"/>
      <c r="S589" s="822"/>
      <c r="T589" s="822"/>
      <c r="U589" s="826"/>
      <c r="V589" s="826"/>
      <c r="W589" s="826"/>
      <c r="X589" s="822"/>
      <c r="Y589" s="3346"/>
      <c r="Z589" s="822"/>
      <c r="AA589" s="822"/>
      <c r="AB589" s="822"/>
      <c r="AC589" s="822"/>
      <c r="AD589" s="826"/>
      <c r="AE589" s="822"/>
      <c r="AF589" s="822"/>
      <c r="AG589" s="822"/>
      <c r="AH589" s="822"/>
      <c r="AI589" s="822"/>
      <c r="AJ589" s="822"/>
      <c r="AK589" s="822"/>
      <c r="AL589" s="822"/>
      <c r="AM589" s="822"/>
      <c r="AN589" s="826"/>
      <c r="AO589" s="822"/>
      <c r="AP589" s="822"/>
      <c r="AQ589" s="822"/>
      <c r="AR589" s="822"/>
      <c r="AS589" s="822"/>
      <c r="AT589" s="822"/>
      <c r="AU589" s="822"/>
      <c r="AV589" s="822"/>
      <c r="AW589" s="822"/>
      <c r="AX589" s="822"/>
      <c r="AY589" s="822"/>
      <c r="AZ589" s="822"/>
      <c r="BA589" s="822"/>
      <c r="BB589" s="830"/>
      <c r="BC589" s="830"/>
      <c r="BD589" s="822"/>
    </row>
    <row r="590" spans="1:56">
      <c r="A590" s="822"/>
      <c r="B590" s="822"/>
      <c r="C590" s="822"/>
      <c r="D590" s="826"/>
      <c r="E590" s="822"/>
      <c r="F590" s="822"/>
      <c r="G590" s="826"/>
      <c r="H590" s="822"/>
      <c r="I590" s="822"/>
      <c r="J590" s="822"/>
      <c r="K590" s="822"/>
      <c r="L590" s="822"/>
      <c r="M590" s="822"/>
      <c r="N590" s="822"/>
      <c r="O590" s="822"/>
      <c r="P590" s="822"/>
      <c r="Q590" s="3922"/>
      <c r="R590" s="822"/>
      <c r="S590" s="822"/>
      <c r="T590" s="822"/>
      <c r="U590" s="826"/>
      <c r="V590" s="826"/>
      <c r="W590" s="826"/>
      <c r="X590" s="822"/>
      <c r="Y590" s="3346"/>
      <c r="Z590" s="822"/>
      <c r="AA590" s="822"/>
      <c r="AB590" s="822"/>
      <c r="AC590" s="822"/>
      <c r="AD590" s="826"/>
      <c r="AE590" s="822"/>
      <c r="AF590" s="822"/>
      <c r="AG590" s="822"/>
      <c r="AH590" s="822"/>
      <c r="AI590" s="822"/>
      <c r="AJ590" s="822"/>
      <c r="AK590" s="822"/>
      <c r="AL590" s="822"/>
      <c r="AM590" s="822"/>
      <c r="AN590" s="826"/>
      <c r="AO590" s="822"/>
      <c r="AP590" s="822"/>
      <c r="AQ590" s="822"/>
      <c r="AR590" s="822"/>
      <c r="AS590" s="822"/>
      <c r="AT590" s="822"/>
      <c r="AU590" s="822"/>
      <c r="AV590" s="822"/>
      <c r="AW590" s="822"/>
      <c r="AX590" s="822"/>
      <c r="AY590" s="822"/>
      <c r="AZ590" s="822"/>
      <c r="BA590" s="822"/>
      <c r="BB590" s="830"/>
      <c r="BC590" s="830"/>
      <c r="BD590" s="822"/>
    </row>
    <row r="591" spans="1:56">
      <c r="A591" s="822"/>
      <c r="B591" s="822"/>
      <c r="C591" s="822"/>
      <c r="D591" s="826"/>
      <c r="E591" s="822"/>
      <c r="F591" s="822"/>
      <c r="G591" s="826"/>
      <c r="H591" s="822"/>
      <c r="I591" s="822"/>
      <c r="J591" s="822"/>
      <c r="K591" s="822"/>
      <c r="L591" s="822"/>
      <c r="M591" s="822"/>
      <c r="N591" s="822"/>
      <c r="O591" s="822"/>
      <c r="P591" s="822"/>
      <c r="Q591" s="3922"/>
      <c r="R591" s="822"/>
      <c r="S591" s="822"/>
      <c r="T591" s="822"/>
      <c r="U591" s="826"/>
      <c r="V591" s="826"/>
      <c r="W591" s="826"/>
      <c r="X591" s="822"/>
      <c r="Y591" s="3346"/>
      <c r="Z591" s="822"/>
      <c r="AA591" s="822"/>
      <c r="AB591" s="822"/>
      <c r="AC591" s="822"/>
      <c r="AD591" s="826"/>
      <c r="AE591" s="822"/>
      <c r="AF591" s="822"/>
      <c r="AG591" s="822"/>
      <c r="AH591" s="822"/>
      <c r="AI591" s="822"/>
      <c r="AJ591" s="822"/>
      <c r="AK591" s="822"/>
      <c r="AL591" s="822"/>
      <c r="AM591" s="822"/>
      <c r="AN591" s="826"/>
      <c r="AO591" s="822"/>
      <c r="AP591" s="822"/>
      <c r="AQ591" s="822"/>
      <c r="AR591" s="822"/>
      <c r="AS591" s="822"/>
      <c r="AT591" s="822"/>
      <c r="AU591" s="822"/>
      <c r="AV591" s="822"/>
      <c r="AW591" s="822"/>
      <c r="AX591" s="822"/>
      <c r="AY591" s="822"/>
      <c r="AZ591" s="822"/>
      <c r="BA591" s="822"/>
      <c r="BB591" s="830"/>
      <c r="BC591" s="830"/>
      <c r="BD591" s="822"/>
    </row>
    <row r="592" spans="1:56">
      <c r="A592" s="822"/>
      <c r="B592" s="822"/>
      <c r="C592" s="822"/>
      <c r="D592" s="826"/>
      <c r="E592" s="822"/>
      <c r="F592" s="822"/>
      <c r="G592" s="826"/>
      <c r="H592" s="822"/>
      <c r="I592" s="822"/>
      <c r="J592" s="822"/>
      <c r="K592" s="822"/>
      <c r="L592" s="822"/>
      <c r="M592" s="822"/>
      <c r="N592" s="822"/>
      <c r="O592" s="822"/>
      <c r="P592" s="822"/>
      <c r="Q592" s="3922"/>
      <c r="R592" s="822"/>
      <c r="S592" s="822"/>
      <c r="T592" s="822"/>
      <c r="U592" s="826"/>
      <c r="V592" s="826"/>
      <c r="W592" s="826"/>
      <c r="X592" s="822"/>
      <c r="Y592" s="3346"/>
      <c r="Z592" s="822"/>
      <c r="AA592" s="822"/>
      <c r="AB592" s="822"/>
      <c r="AC592" s="822"/>
      <c r="AD592" s="826"/>
      <c r="AE592" s="822"/>
      <c r="AF592" s="822"/>
      <c r="AG592" s="822"/>
      <c r="AH592" s="822"/>
      <c r="AI592" s="822"/>
      <c r="AJ592" s="822"/>
      <c r="AK592" s="822"/>
      <c r="AL592" s="822"/>
      <c r="AM592" s="822"/>
      <c r="AN592" s="826"/>
      <c r="AO592" s="822"/>
      <c r="AP592" s="822"/>
      <c r="AQ592" s="822"/>
      <c r="AR592" s="822"/>
      <c r="AS592" s="822"/>
      <c r="AT592" s="822"/>
      <c r="AU592" s="822"/>
      <c r="AV592" s="822"/>
      <c r="AW592" s="822"/>
      <c r="AX592" s="822"/>
      <c r="AY592" s="822"/>
      <c r="AZ592" s="822"/>
      <c r="BA592" s="822"/>
      <c r="BB592" s="830"/>
      <c r="BC592" s="830"/>
      <c r="BD592" s="822"/>
    </row>
    <row r="593" spans="1:56">
      <c r="A593" s="822"/>
      <c r="B593" s="822"/>
      <c r="C593" s="822"/>
      <c r="D593" s="826"/>
      <c r="E593" s="822"/>
      <c r="F593" s="822"/>
      <c r="G593" s="826"/>
      <c r="H593" s="822"/>
      <c r="I593" s="822"/>
      <c r="J593" s="822"/>
      <c r="K593" s="822"/>
      <c r="L593" s="822"/>
      <c r="M593" s="822"/>
      <c r="N593" s="822"/>
      <c r="O593" s="822"/>
      <c r="P593" s="822"/>
      <c r="Q593" s="3922"/>
      <c r="R593" s="822"/>
      <c r="S593" s="822"/>
      <c r="T593" s="822"/>
      <c r="U593" s="826"/>
      <c r="V593" s="826"/>
      <c r="W593" s="826"/>
      <c r="X593" s="822"/>
      <c r="Y593" s="3346"/>
      <c r="Z593" s="822"/>
      <c r="AA593" s="822"/>
      <c r="AB593" s="822"/>
      <c r="AC593" s="822"/>
      <c r="AD593" s="826"/>
      <c r="AE593" s="822"/>
      <c r="AF593" s="822"/>
      <c r="AG593" s="822"/>
      <c r="AH593" s="822"/>
      <c r="AI593" s="822"/>
      <c r="AJ593" s="822"/>
      <c r="AK593" s="822"/>
      <c r="AL593" s="822"/>
      <c r="AM593" s="822"/>
      <c r="AN593" s="826"/>
      <c r="AO593" s="822"/>
      <c r="AP593" s="822"/>
      <c r="AQ593" s="822"/>
      <c r="AR593" s="822"/>
      <c r="AS593" s="822"/>
      <c r="AT593" s="822"/>
      <c r="AU593" s="822"/>
      <c r="AV593" s="822"/>
      <c r="AW593" s="822"/>
      <c r="AX593" s="822"/>
      <c r="AY593" s="822"/>
      <c r="AZ593" s="822"/>
      <c r="BA593" s="822"/>
      <c r="BB593" s="830"/>
      <c r="BC593" s="830"/>
      <c r="BD593" s="822"/>
    </row>
    <row r="594" spans="1:56">
      <c r="A594" s="822"/>
      <c r="B594" s="822"/>
      <c r="C594" s="822"/>
      <c r="D594" s="826"/>
      <c r="E594" s="822"/>
      <c r="F594" s="822"/>
      <c r="G594" s="826"/>
      <c r="H594" s="822"/>
      <c r="I594" s="822"/>
      <c r="J594" s="822"/>
      <c r="K594" s="822"/>
      <c r="L594" s="822"/>
      <c r="M594" s="822"/>
      <c r="N594" s="822"/>
      <c r="O594" s="822"/>
      <c r="P594" s="822"/>
      <c r="Q594" s="3922"/>
      <c r="R594" s="822"/>
      <c r="S594" s="822"/>
      <c r="T594" s="822"/>
      <c r="U594" s="826"/>
      <c r="V594" s="826"/>
      <c r="W594" s="826"/>
      <c r="X594" s="822"/>
      <c r="Y594" s="3346"/>
      <c r="Z594" s="822"/>
      <c r="AA594" s="822"/>
      <c r="AB594" s="822"/>
      <c r="AC594" s="822"/>
      <c r="AD594" s="826"/>
      <c r="AE594" s="822"/>
      <c r="AF594" s="822"/>
      <c r="AG594" s="822"/>
      <c r="AH594" s="822"/>
      <c r="AI594" s="822"/>
      <c r="AJ594" s="822"/>
      <c r="AK594" s="822"/>
      <c r="AL594" s="822"/>
      <c r="AM594" s="822"/>
      <c r="AN594" s="826"/>
      <c r="AO594" s="822"/>
      <c r="AP594" s="822"/>
      <c r="AQ594" s="822"/>
      <c r="AR594" s="822"/>
      <c r="AS594" s="822"/>
      <c r="AT594" s="822"/>
      <c r="AU594" s="822"/>
      <c r="AV594" s="822"/>
      <c r="AW594" s="822"/>
      <c r="AX594" s="822"/>
      <c r="AY594" s="822"/>
      <c r="AZ594" s="822"/>
      <c r="BA594" s="822"/>
      <c r="BB594" s="830"/>
      <c r="BC594" s="830"/>
      <c r="BD594" s="822"/>
    </row>
    <row r="595" spans="1:56">
      <c r="A595" s="822"/>
      <c r="B595" s="822"/>
      <c r="C595" s="822"/>
      <c r="D595" s="826"/>
      <c r="E595" s="822"/>
      <c r="F595" s="822"/>
      <c r="G595" s="826"/>
      <c r="H595" s="822"/>
      <c r="I595" s="822"/>
      <c r="J595" s="822"/>
      <c r="K595" s="822"/>
      <c r="L595" s="822"/>
      <c r="M595" s="822"/>
      <c r="N595" s="822"/>
      <c r="O595" s="822"/>
      <c r="P595" s="822"/>
      <c r="Q595" s="3922"/>
      <c r="R595" s="822"/>
      <c r="S595" s="822"/>
      <c r="T595" s="822"/>
      <c r="U595" s="826"/>
      <c r="V595" s="826"/>
      <c r="W595" s="826"/>
      <c r="X595" s="822"/>
      <c r="Y595" s="3346"/>
      <c r="Z595" s="822"/>
      <c r="AA595" s="822"/>
      <c r="AB595" s="822"/>
      <c r="AC595" s="822"/>
      <c r="AD595" s="826"/>
      <c r="AE595" s="822"/>
      <c r="AF595" s="822"/>
      <c r="AG595" s="822"/>
      <c r="AH595" s="822"/>
      <c r="AI595" s="822"/>
      <c r="AJ595" s="822"/>
      <c r="AK595" s="822"/>
      <c r="AL595" s="822"/>
      <c r="AM595" s="822"/>
      <c r="AN595" s="826"/>
      <c r="AO595" s="822"/>
      <c r="AP595" s="822"/>
      <c r="AQ595" s="822"/>
      <c r="AR595" s="822"/>
      <c r="AS595" s="822"/>
      <c r="AT595" s="822"/>
      <c r="AU595" s="822"/>
      <c r="AV595" s="822"/>
      <c r="AW595" s="822"/>
      <c r="AX595" s="822"/>
      <c r="AY595" s="822"/>
      <c r="AZ595" s="822"/>
      <c r="BA595" s="822"/>
      <c r="BB595" s="830"/>
      <c r="BC595" s="830"/>
      <c r="BD595" s="822"/>
    </row>
    <row r="596" spans="1:56">
      <c r="A596" s="822"/>
      <c r="B596" s="822"/>
      <c r="C596" s="822"/>
      <c r="D596" s="826"/>
      <c r="E596" s="822"/>
      <c r="F596" s="822"/>
      <c r="G596" s="826"/>
      <c r="H596" s="822"/>
      <c r="I596" s="822"/>
      <c r="J596" s="822"/>
      <c r="K596" s="822"/>
      <c r="L596" s="822"/>
      <c r="M596" s="822"/>
      <c r="N596" s="822"/>
      <c r="O596" s="822"/>
      <c r="P596" s="822"/>
      <c r="Q596" s="3922"/>
      <c r="R596" s="822"/>
      <c r="S596" s="822"/>
      <c r="T596" s="822"/>
      <c r="U596" s="826"/>
      <c r="V596" s="826"/>
      <c r="W596" s="826"/>
      <c r="X596" s="822"/>
      <c r="Y596" s="3346"/>
      <c r="Z596" s="822"/>
      <c r="AA596" s="822"/>
      <c r="AB596" s="822"/>
      <c r="AC596" s="822"/>
      <c r="AD596" s="826"/>
      <c r="AE596" s="822"/>
      <c r="AF596" s="822"/>
      <c r="AG596" s="822"/>
      <c r="AH596" s="822"/>
      <c r="AI596" s="822"/>
      <c r="AJ596" s="822"/>
      <c r="AK596" s="822"/>
      <c r="AL596" s="822"/>
      <c r="AM596" s="822"/>
      <c r="AN596" s="826"/>
      <c r="AO596" s="822"/>
      <c r="AP596" s="822"/>
      <c r="AQ596" s="822"/>
      <c r="AR596" s="822"/>
      <c r="AS596" s="822"/>
      <c r="AT596" s="822"/>
      <c r="AU596" s="822"/>
      <c r="AV596" s="822"/>
      <c r="AW596" s="822"/>
      <c r="AX596" s="822"/>
      <c r="AY596" s="822"/>
      <c r="AZ596" s="822"/>
      <c r="BA596" s="822"/>
      <c r="BB596" s="830"/>
      <c r="BC596" s="830"/>
      <c r="BD596" s="822"/>
    </row>
    <row r="597" spans="1:56">
      <c r="A597" s="822"/>
      <c r="B597" s="822"/>
      <c r="C597" s="822"/>
      <c r="D597" s="826"/>
      <c r="E597" s="822"/>
      <c r="F597" s="822"/>
      <c r="G597" s="826"/>
      <c r="H597" s="822"/>
      <c r="I597" s="822"/>
      <c r="J597" s="822"/>
      <c r="K597" s="822"/>
      <c r="L597" s="822"/>
      <c r="M597" s="822"/>
      <c r="N597" s="822"/>
      <c r="O597" s="822"/>
      <c r="P597" s="822"/>
      <c r="Q597" s="3922"/>
      <c r="R597" s="822"/>
      <c r="S597" s="822"/>
      <c r="T597" s="822"/>
      <c r="U597" s="826"/>
      <c r="V597" s="826"/>
      <c r="W597" s="826"/>
      <c r="X597" s="822"/>
      <c r="Y597" s="3346"/>
      <c r="Z597" s="822"/>
      <c r="AA597" s="822"/>
      <c r="AB597" s="822"/>
      <c r="AC597" s="822"/>
      <c r="AD597" s="826"/>
      <c r="AE597" s="822"/>
      <c r="AF597" s="822"/>
      <c r="AG597" s="822"/>
      <c r="AH597" s="822"/>
      <c r="AI597" s="822"/>
      <c r="AJ597" s="822"/>
      <c r="AK597" s="822"/>
      <c r="AL597" s="822"/>
      <c r="AM597" s="822"/>
      <c r="AN597" s="826"/>
      <c r="AO597" s="822"/>
      <c r="AP597" s="822"/>
      <c r="AQ597" s="822"/>
      <c r="AR597" s="822"/>
      <c r="AS597" s="822"/>
      <c r="AT597" s="822"/>
      <c r="AU597" s="822"/>
      <c r="AV597" s="822"/>
      <c r="AW597" s="822"/>
      <c r="AX597" s="822"/>
      <c r="AY597" s="822"/>
      <c r="AZ597" s="822"/>
      <c r="BA597" s="822"/>
      <c r="BB597" s="830"/>
      <c r="BC597" s="830"/>
      <c r="BD597" s="822"/>
    </row>
  </sheetData>
  <autoFilter ref="A20:BD370" xr:uid="{00000000-0001-0000-0000-000000000000}"/>
  <mergeCells count="72">
    <mergeCell ref="AY9:AY11"/>
    <mergeCell ref="Q17:Q19"/>
    <mergeCell ref="O17:O19"/>
    <mergeCell ref="P17:P19"/>
    <mergeCell ref="Z17:Z19"/>
    <mergeCell ref="AH9:AJ9"/>
    <mergeCell ref="AH10:AJ10"/>
    <mergeCell ref="X17:X19"/>
    <mergeCell ref="AH17:AH19"/>
    <mergeCell ref="AU10:AW10"/>
    <mergeCell ref="AU18:AU19"/>
    <mergeCell ref="AJ17:AJ19"/>
    <mergeCell ref="AK17:AK19"/>
    <mergeCell ref="AL17:AL19"/>
    <mergeCell ref="AM17:AM19"/>
    <mergeCell ref="AN17:AN19"/>
    <mergeCell ref="AG17:AG19"/>
    <mergeCell ref="AI17:AI19"/>
    <mergeCell ref="AU5:AX5"/>
    <mergeCell ref="AU6:AW6"/>
    <mergeCell ref="AU7:AW7"/>
    <mergeCell ref="AU8:AW8"/>
    <mergeCell ref="AU9:AW9"/>
    <mergeCell ref="AA17:AA19"/>
    <mergeCell ref="AB17:AB19"/>
    <mergeCell ref="AC17:AC19"/>
    <mergeCell ref="AD17:AD19"/>
    <mergeCell ref="AE17:AE19"/>
    <mergeCell ref="V5:W5"/>
    <mergeCell ref="AF9:AF11"/>
    <mergeCell ref="AH5:AK5"/>
    <mergeCell ref="AH6:AJ6"/>
    <mergeCell ref="AH7:AJ7"/>
    <mergeCell ref="AH8:AJ8"/>
    <mergeCell ref="X9:X11"/>
    <mergeCell ref="BF16:BF19"/>
    <mergeCell ref="AQ18:AQ19"/>
    <mergeCell ref="AR18:AR19"/>
    <mergeCell ref="AS18:AS19"/>
    <mergeCell ref="AT18:AT19"/>
    <mergeCell ref="AZ18:AZ19"/>
    <mergeCell ref="AY17:AY19"/>
    <mergeCell ref="AW18:AW19"/>
    <mergeCell ref="AX18:AX19"/>
    <mergeCell ref="AV18:AV19"/>
    <mergeCell ref="L17:L19"/>
    <mergeCell ref="N17:N19"/>
    <mergeCell ref="R17:R19"/>
    <mergeCell ref="S17:S19"/>
    <mergeCell ref="BD16:BD19"/>
    <mergeCell ref="T17:T19"/>
    <mergeCell ref="U17:U19"/>
    <mergeCell ref="V17:V19"/>
    <mergeCell ref="W17:W19"/>
    <mergeCell ref="Y17:Y19"/>
    <mergeCell ref="BA17:BA19"/>
    <mergeCell ref="BB17:BC18"/>
    <mergeCell ref="M17:M19"/>
    <mergeCell ref="AO17:AO19"/>
    <mergeCell ref="AP17:AP19"/>
    <mergeCell ref="AF17:AF19"/>
    <mergeCell ref="A16:A19"/>
    <mergeCell ref="B16:B19"/>
    <mergeCell ref="C16:C19"/>
    <mergeCell ref="D16:D19"/>
    <mergeCell ref="E16:E19"/>
    <mergeCell ref="K17:K19"/>
    <mergeCell ref="F16:F19"/>
    <mergeCell ref="G16:G19"/>
    <mergeCell ref="H17:H19"/>
    <mergeCell ref="I17:I19"/>
    <mergeCell ref="J17:J19"/>
  </mergeCells>
  <conditionalFormatting sqref="L60:L70">
    <cfRule type="containsText" dxfId="350" priority="643" operator="containsText" text="High">
      <formula>NOT(ISERROR(SEARCH("High",L60)))</formula>
    </cfRule>
    <cfRule type="containsText" dxfId="349" priority="644" operator="containsText" text="Medium">
      <formula>NOT(ISERROR(SEARCH("Medium",L60)))</formula>
    </cfRule>
    <cfRule type="containsText" dxfId="348" priority="645" operator="containsText" text="Low">
      <formula>NOT(ISERROR(SEARCH("Low",L60)))</formula>
    </cfRule>
  </conditionalFormatting>
  <conditionalFormatting sqref="L74 N74">
    <cfRule type="containsText" dxfId="347" priority="641" operator="containsText" text="Medium">
      <formula>NOT(ISERROR(SEARCH("Medium",L74)))</formula>
    </cfRule>
    <cfRule type="containsText" dxfId="346" priority="640" operator="containsText" text="High">
      <formula>NOT(ISERROR(SEARCH("High",L74)))</formula>
    </cfRule>
    <cfRule type="containsText" dxfId="345" priority="642" operator="containsText" text="Low">
      <formula>NOT(ISERROR(SEARCH("Low",L74)))</formula>
    </cfRule>
  </conditionalFormatting>
  <conditionalFormatting sqref="L74">
    <cfRule type="containsText" dxfId="344" priority="635" operator="containsText" text="High">
      <formula>NOT(ISERROR(SEARCH("High",L74)))</formula>
    </cfRule>
    <cfRule type="containsText" dxfId="343" priority="637" operator="containsText" text="Low">
      <formula>NOT(ISERROR(SEARCH("Low",L74)))</formula>
    </cfRule>
    <cfRule type="containsText" dxfId="342" priority="636" operator="containsText" text="Medium">
      <formula>NOT(ISERROR(SEARCH("Medium",L74)))</formula>
    </cfRule>
  </conditionalFormatting>
  <conditionalFormatting sqref="L74:L77">
    <cfRule type="containsText" dxfId="341" priority="621" operator="containsText" text="High">
      <formula>NOT(ISERROR(SEARCH("High",L74)))</formula>
    </cfRule>
    <cfRule type="containsText" dxfId="340" priority="622" operator="containsText" text="Medium">
      <formula>NOT(ISERROR(SEARCH("Medium",L74)))</formula>
    </cfRule>
    <cfRule type="containsText" dxfId="339" priority="623" operator="containsText" text="Low">
      <formula>NOT(ISERROR(SEARCH("Low",L74)))</formula>
    </cfRule>
  </conditionalFormatting>
  <conditionalFormatting sqref="L81">
    <cfRule type="containsText" dxfId="338" priority="483" operator="containsText" text="Low">
      <formula>NOT(ISERROR(SEARCH("Low",L81)))</formula>
    </cfRule>
    <cfRule type="containsText" dxfId="337" priority="482" operator="containsText" text="Medium">
      <formula>NOT(ISERROR(SEARCH("Medium",L81)))</formula>
    </cfRule>
    <cfRule type="containsText" dxfId="336" priority="481" operator="containsText" text="High">
      <formula>NOT(ISERROR(SEARCH("High",L81)))</formula>
    </cfRule>
    <cfRule type="containsText" dxfId="335" priority="480" operator="containsText" text="Low">
      <formula>NOT(ISERROR(SEARCH("Low",L81)))</formula>
    </cfRule>
    <cfRule type="containsText" dxfId="334" priority="479" operator="containsText" text="Medium">
      <formula>NOT(ISERROR(SEARCH("Medium",L81)))</formula>
    </cfRule>
    <cfRule type="containsText" dxfId="333" priority="478" operator="containsText" text="High">
      <formula>NOT(ISERROR(SEARCH("High",L81)))</formula>
    </cfRule>
  </conditionalFormatting>
  <conditionalFormatting sqref="L81:L88">
    <cfRule type="containsText" dxfId="332" priority="484" operator="containsText" text="High">
      <formula>NOT(ISERROR(SEARCH("High",L81)))</formula>
    </cfRule>
    <cfRule type="containsText" dxfId="331" priority="485" operator="containsText" text="Medium">
      <formula>NOT(ISERROR(SEARCH("Medium",L81)))</formula>
    </cfRule>
    <cfRule type="containsText" dxfId="330" priority="486" operator="containsText" text="Low">
      <formula>NOT(ISERROR(SEARCH("Low",L81)))</formula>
    </cfRule>
  </conditionalFormatting>
  <conditionalFormatting sqref="L108:L121">
    <cfRule type="containsText" dxfId="329" priority="355" operator="containsText" text="High">
      <formula>NOT(ISERROR(SEARCH("High",L108)))</formula>
    </cfRule>
    <cfRule type="containsText" dxfId="328" priority="356" operator="containsText" text="Medium">
      <formula>NOT(ISERROR(SEARCH("Medium",L108)))</formula>
    </cfRule>
    <cfRule type="containsText" dxfId="327" priority="357" operator="containsText" text="Low">
      <formula>NOT(ISERROR(SEARCH("Low",L108)))</formula>
    </cfRule>
  </conditionalFormatting>
  <conditionalFormatting sqref="L131:L163">
    <cfRule type="containsText" dxfId="326" priority="148" operator="containsText" text="High">
      <formula>NOT(ISERROR(SEARCH("High",L131)))</formula>
    </cfRule>
    <cfRule type="containsText" dxfId="325" priority="150" operator="containsText" text="Low">
      <formula>NOT(ISERROR(SEARCH("Low",L131)))</formula>
    </cfRule>
    <cfRule type="containsText" dxfId="324" priority="149" operator="containsText" text="Medium">
      <formula>NOT(ISERROR(SEARCH("Medium",L131)))</formula>
    </cfRule>
  </conditionalFormatting>
  <conditionalFormatting sqref="L78:M79">
    <cfRule type="containsText" dxfId="323" priority="494" operator="containsText" text="Low">
      <formula>NOT(ISERROR(SEARCH("Low",L78)))</formula>
    </cfRule>
    <cfRule type="containsText" dxfId="322" priority="493" operator="containsText" text="Medium">
      <formula>NOT(ISERROR(SEARCH("Medium",L78)))</formula>
    </cfRule>
    <cfRule type="containsText" dxfId="321" priority="492" operator="containsText" text="High">
      <formula>NOT(ISERROR(SEARCH("High",L78)))</formula>
    </cfRule>
  </conditionalFormatting>
  <conditionalFormatting sqref="L80:M80">
    <cfRule type="containsText" dxfId="320" priority="590" operator="containsText" text="High">
      <formula>NOT(ISERROR(SEARCH("High",L80)))</formula>
    </cfRule>
    <cfRule type="containsText" dxfId="319" priority="591" operator="containsText" text="Medium">
      <formula>NOT(ISERROR(SEARCH("Medium",L80)))</formula>
    </cfRule>
    <cfRule type="containsText" dxfId="318" priority="592" operator="containsText" text="Low">
      <formula>NOT(ISERROR(SEARCH("Low",L80)))</formula>
    </cfRule>
  </conditionalFormatting>
  <conditionalFormatting sqref="L128:M129">
    <cfRule type="containsText" dxfId="317" priority="199" operator="containsText" text="High">
      <formula>NOT(ISERROR(SEARCH("High",L128)))</formula>
    </cfRule>
  </conditionalFormatting>
  <conditionalFormatting sqref="L21:N54">
    <cfRule type="containsText" dxfId="316" priority="716" operator="containsText" text="Low">
      <formula>NOT(ISERROR(SEARCH("Low",L21)))</formula>
    </cfRule>
    <cfRule type="containsText" dxfId="315" priority="715" operator="containsText" text="Medium">
      <formula>NOT(ISERROR(SEARCH("Medium",L21)))</formula>
    </cfRule>
    <cfRule type="containsText" dxfId="314" priority="714" operator="containsText" text="High">
      <formula>NOT(ISERROR(SEARCH("High",L21)))</formula>
    </cfRule>
  </conditionalFormatting>
  <conditionalFormatting sqref="L52:N52 L129">
    <cfRule type="containsText" dxfId="313" priority="1037" operator="containsText" text="Low">
      <formula>NOT(ISERROR(SEARCH("Low",L52)))</formula>
    </cfRule>
    <cfRule type="containsText" dxfId="312" priority="1036" operator="containsText" text="Medium">
      <formula>NOT(ISERROR(SEARCH("Medium",L52)))</formula>
    </cfRule>
  </conditionalFormatting>
  <conditionalFormatting sqref="L52:N52">
    <cfRule type="containsText" dxfId="311" priority="1035" operator="containsText" text="High">
      <formula>NOT(ISERROR(SEARCH("High",L52)))</formula>
    </cfRule>
  </conditionalFormatting>
  <conditionalFormatting sqref="L52:N53">
    <cfRule type="containsText" dxfId="310" priority="651" operator="containsText" text="High">
      <formula>NOT(ISERROR(SEARCH("High",L52)))</formula>
    </cfRule>
    <cfRule type="containsText" dxfId="309" priority="652" operator="containsText" text="Medium">
      <formula>NOT(ISERROR(SEARCH("Medium",L52)))</formula>
    </cfRule>
    <cfRule type="containsText" dxfId="308" priority="653" operator="containsText" text="Low">
      <formula>NOT(ISERROR(SEARCH("Low",L52)))</formula>
    </cfRule>
  </conditionalFormatting>
  <conditionalFormatting sqref="L54:N58">
    <cfRule type="containsText" dxfId="307" priority="843" operator="containsText" text="Low">
      <formula>NOT(ISERROR(SEARCH("Low",L54)))</formula>
    </cfRule>
    <cfRule type="containsText" dxfId="306" priority="842" operator="containsText" text="Medium">
      <formula>NOT(ISERROR(SEARCH("Medium",L54)))</formula>
    </cfRule>
    <cfRule type="containsText" dxfId="305" priority="841" operator="containsText" text="High">
      <formula>NOT(ISERROR(SEARCH("High",L54)))</formula>
    </cfRule>
  </conditionalFormatting>
  <conditionalFormatting sqref="L59:N59">
    <cfRule type="containsText" dxfId="304" priority="711" operator="containsText" text="High">
      <formula>NOT(ISERROR(SEARCH("High",L59)))</formula>
    </cfRule>
    <cfRule type="containsText" dxfId="303" priority="712" operator="containsText" text="Medium">
      <formula>NOT(ISERROR(SEARCH("Medium",L59)))</formula>
    </cfRule>
    <cfRule type="containsText" dxfId="302" priority="713" operator="containsText" text="Low">
      <formula>NOT(ISERROR(SEARCH("Low",L59)))</formula>
    </cfRule>
  </conditionalFormatting>
  <conditionalFormatting sqref="L71:N73">
    <cfRule type="containsText" dxfId="301" priority="810" operator="containsText" text="Low">
      <formula>NOT(ISERROR(SEARCH("Low",L71)))</formula>
    </cfRule>
    <cfRule type="containsText" dxfId="300" priority="809" operator="containsText" text="Medium">
      <formula>NOT(ISERROR(SEARCH("Medium",L71)))</formula>
    </cfRule>
    <cfRule type="containsText" dxfId="299" priority="808" operator="containsText" text="High">
      <formula>NOT(ISERROR(SEARCH("High",L71)))</formula>
    </cfRule>
  </conditionalFormatting>
  <conditionalFormatting sqref="L75:N76">
    <cfRule type="containsText" dxfId="298" priority="507" operator="containsText" text="High">
      <formula>NOT(ISERROR(SEARCH("High",L75)))</formula>
    </cfRule>
    <cfRule type="containsText" dxfId="297" priority="508" operator="containsText" text="Medium">
      <formula>NOT(ISERROR(SEARCH("Medium",L75)))</formula>
    </cfRule>
    <cfRule type="containsText" dxfId="296" priority="509" operator="containsText" text="Low">
      <formula>NOT(ISERROR(SEARCH("Low",L75)))</formula>
    </cfRule>
  </conditionalFormatting>
  <conditionalFormatting sqref="L80:N80">
    <cfRule type="containsText" dxfId="295" priority="597" operator="containsText" text="Low">
      <formula>NOT(ISERROR(SEARCH("Low",L80)))</formula>
    </cfRule>
    <cfRule type="containsText" dxfId="294" priority="579" operator="containsText" text="High">
      <formula>NOT(ISERROR(SEARCH("High",L80)))</formula>
    </cfRule>
    <cfRule type="containsText" dxfId="293" priority="580" operator="containsText" text="Medium">
      <formula>NOT(ISERROR(SEARCH("Medium",L80)))</formula>
    </cfRule>
    <cfRule type="containsText" dxfId="292" priority="581" operator="containsText" text="Low">
      <formula>NOT(ISERROR(SEARCH("Low",L80)))</formula>
    </cfRule>
    <cfRule type="containsText" dxfId="291" priority="595" operator="containsText" text="High">
      <formula>NOT(ISERROR(SEARCH("High",L80)))</formula>
    </cfRule>
    <cfRule type="containsText" dxfId="290" priority="596" operator="containsText" text="Medium">
      <formula>NOT(ISERROR(SEARCH("Medium",L80)))</formula>
    </cfRule>
  </conditionalFormatting>
  <conditionalFormatting sqref="L89:N92 L93 N93">
    <cfRule type="containsText" dxfId="289" priority="432" operator="containsText" text="Low">
      <formula>NOT(ISERROR(SEARCH("Low",L89)))</formula>
    </cfRule>
    <cfRule type="containsText" dxfId="288" priority="430" operator="containsText" text="High">
      <formula>NOT(ISERROR(SEARCH("High",L89)))</formula>
    </cfRule>
    <cfRule type="containsText" dxfId="287" priority="431" operator="containsText" text="Medium">
      <formula>NOT(ISERROR(SEARCH("Medium",L89)))</formula>
    </cfRule>
  </conditionalFormatting>
  <conditionalFormatting sqref="L94:N94">
    <cfRule type="containsText" dxfId="286" priority="412" operator="containsText" text="High">
      <formula>NOT(ISERROR(SEARCH("High",L94)))</formula>
    </cfRule>
    <cfRule type="containsText" dxfId="285" priority="413" operator="containsText" text="Medium">
      <formula>NOT(ISERROR(SEARCH("Medium",L94)))</formula>
    </cfRule>
    <cfRule type="containsText" dxfId="284" priority="418" operator="containsText" text="High">
      <formula>NOT(ISERROR(SEARCH("High",L94)))</formula>
    </cfRule>
    <cfRule type="containsText" dxfId="283" priority="419" operator="containsText" text="Medium">
      <formula>NOT(ISERROR(SEARCH("Medium",L94)))</formula>
    </cfRule>
    <cfRule type="containsText" dxfId="282" priority="420" operator="containsText" text="Low">
      <formula>NOT(ISERROR(SEARCH("Low",L94)))</formula>
    </cfRule>
    <cfRule type="containsText" dxfId="281" priority="424" operator="containsText" text="High">
      <formula>NOT(ISERROR(SEARCH("High",L94)))</formula>
    </cfRule>
    <cfRule type="containsText" dxfId="280" priority="425" operator="containsText" text="Medium">
      <formula>NOT(ISERROR(SEARCH("Medium",L94)))</formula>
    </cfRule>
    <cfRule type="containsText" dxfId="279" priority="426" operator="containsText" text="Low">
      <formula>NOT(ISERROR(SEARCH("Low",L94)))</formula>
    </cfRule>
    <cfRule type="containsText" dxfId="278" priority="414" operator="containsText" text="Low">
      <formula>NOT(ISERROR(SEARCH("Low",L94)))</formula>
    </cfRule>
  </conditionalFormatting>
  <conditionalFormatting sqref="L99:N100 N98 L101 N101">
    <cfRule type="containsText" dxfId="277" priority="379" operator="containsText" text="High">
      <formula>NOT(ISERROR(SEARCH("High",L98)))</formula>
    </cfRule>
  </conditionalFormatting>
  <conditionalFormatting sqref="L102:N103 L104 N104">
    <cfRule type="containsText" dxfId="276" priority="367" operator="containsText" text="High">
      <formula>NOT(ISERROR(SEARCH("High",L102)))</formula>
    </cfRule>
    <cfRule type="containsText" dxfId="275" priority="368" operator="containsText" text="Medium">
      <formula>NOT(ISERROR(SEARCH("Medium",L102)))</formula>
    </cfRule>
    <cfRule type="containsText" dxfId="274" priority="369" operator="containsText" text="Low">
      <formula>NOT(ISERROR(SEARCH("Low",L102)))</formula>
    </cfRule>
  </conditionalFormatting>
  <conditionalFormatting sqref="L105:N107">
    <cfRule type="containsText" dxfId="273" priority="363" operator="containsText" text="Low">
      <formula>NOT(ISERROR(SEARCH("Low",L105)))</formula>
    </cfRule>
    <cfRule type="containsText" dxfId="272" priority="361" operator="containsText" text="High">
      <formula>NOT(ISERROR(SEARCH("High",L105)))</formula>
    </cfRule>
    <cfRule type="containsText" dxfId="271" priority="362" operator="containsText" text="Medium">
      <formula>NOT(ISERROR(SEARCH("Medium",L105)))</formula>
    </cfRule>
  </conditionalFormatting>
  <conditionalFormatting sqref="L122:N127">
    <cfRule type="containsText" dxfId="270" priority="238" operator="containsText" text="Medium">
      <formula>NOT(ISERROR(SEARCH("Medium",L122)))</formula>
    </cfRule>
    <cfRule type="containsText" dxfId="269" priority="237" operator="containsText" text="High">
      <formula>NOT(ISERROR(SEARCH("High",L122)))</formula>
    </cfRule>
    <cfRule type="containsText" dxfId="268" priority="239" operator="containsText" text="Low">
      <formula>NOT(ISERROR(SEARCH("Low",L122)))</formula>
    </cfRule>
  </conditionalFormatting>
  <conditionalFormatting sqref="L128:N128">
    <cfRule type="containsText" dxfId="267" priority="218" operator="containsText" text="Low">
      <formula>NOT(ISERROR(SEARCH("Low",L128)))</formula>
    </cfRule>
    <cfRule type="containsText" dxfId="266" priority="217" operator="containsText" text="Medium">
      <formula>NOT(ISERROR(SEARCH("Medium",L128)))</formula>
    </cfRule>
  </conditionalFormatting>
  <conditionalFormatting sqref="L130:N130">
    <cfRule type="containsText" dxfId="265" priority="166" operator="containsText" text="High">
      <formula>NOT(ISERROR(SEARCH("High",L130)))</formula>
    </cfRule>
    <cfRule type="containsText" dxfId="264" priority="167" operator="containsText" text="Medium">
      <formula>NOT(ISERROR(SEARCH("Medium",L130)))</formula>
    </cfRule>
    <cfRule type="containsText" dxfId="263" priority="168" operator="containsText" text="Low">
      <formula>NOT(ISERROR(SEARCH("Low",L130)))</formula>
    </cfRule>
  </conditionalFormatting>
  <conditionalFormatting sqref="L174:N178 L179 N179">
    <cfRule type="containsText" dxfId="262" priority="129" operator="containsText" text="Low">
      <formula>NOT(ISERROR(SEARCH("Low",L174)))</formula>
    </cfRule>
    <cfRule type="containsText" dxfId="261" priority="127" operator="containsText" text="High">
      <formula>NOT(ISERROR(SEARCH("High",L174)))</formula>
    </cfRule>
    <cfRule type="containsText" dxfId="260" priority="128" operator="containsText" text="Medium">
      <formula>NOT(ISERROR(SEARCH("Medium",L174)))</formula>
    </cfRule>
  </conditionalFormatting>
  <conditionalFormatting sqref="L180:N236">
    <cfRule type="containsText" dxfId="259" priority="89" operator="containsText" text="Medium">
      <formula>NOT(ISERROR(SEARCH("Medium",L180)))</formula>
    </cfRule>
    <cfRule type="containsText" dxfId="258" priority="90" operator="containsText" text="Low">
      <formula>NOT(ISERROR(SEARCH("Low",L180)))</formula>
    </cfRule>
    <cfRule type="containsText" dxfId="257" priority="88" operator="containsText" text="High">
      <formula>NOT(ISERROR(SEARCH("High",L180)))</formula>
    </cfRule>
  </conditionalFormatting>
  <conditionalFormatting sqref="L237:N262">
    <cfRule type="containsText" dxfId="256" priority="43" operator="containsText" text="High">
      <formula>NOT(ISERROR(SEARCH("High",L237)))</formula>
    </cfRule>
    <cfRule type="containsText" dxfId="255" priority="44" operator="containsText" text="Medium">
      <formula>NOT(ISERROR(SEARCH("Medium",L237)))</formula>
    </cfRule>
    <cfRule type="containsText" dxfId="254" priority="45" operator="containsText" text="Low">
      <formula>NOT(ISERROR(SEARCH("Low",L237)))</formula>
    </cfRule>
  </conditionalFormatting>
  <conditionalFormatting sqref="L263:N369">
    <cfRule type="containsText" dxfId="253" priority="4" operator="containsText" text="High">
      <formula>NOT(ISERROR(SEARCH("High",L263)))</formula>
    </cfRule>
    <cfRule type="containsText" dxfId="252" priority="5" operator="containsText" text="Medium">
      <formula>NOT(ISERROR(SEARCH("Medium",L263)))</formula>
    </cfRule>
    <cfRule type="containsText" dxfId="251" priority="6" operator="containsText" text="Low">
      <formula>NOT(ISERROR(SEARCH("Low",L263)))</formula>
    </cfRule>
  </conditionalFormatting>
  <conditionalFormatting sqref="L373:N373 L375:N376">
    <cfRule type="containsText" dxfId="250" priority="1028" operator="containsText" text="Medium">
      <formula>NOT(ISERROR(SEARCH("Medium",L373)))</formula>
    </cfRule>
    <cfRule type="containsText" dxfId="249" priority="1027" operator="containsText" text="High">
      <formula>NOT(ISERROR(SEARCH("High",L373)))</formula>
    </cfRule>
    <cfRule type="containsText" dxfId="248" priority="1029" operator="containsText" text="Low">
      <formula>NOT(ISERROR(SEARCH("Low",L373)))</formula>
    </cfRule>
  </conditionalFormatting>
  <conditionalFormatting sqref="M60">
    <cfRule type="containsText" dxfId="247" priority="576" operator="containsText" text="High">
      <formula>NOT(ISERROR(SEARCH("High",M60)))</formula>
    </cfRule>
    <cfRule type="containsText" dxfId="246" priority="578" operator="containsText" text="Low">
      <formula>NOT(ISERROR(SEARCH("Low",M60)))</formula>
    </cfRule>
    <cfRule type="containsText" dxfId="245" priority="577" operator="containsText" text="Medium">
      <formula>NOT(ISERROR(SEARCH("Medium",M60)))</formula>
    </cfRule>
  </conditionalFormatting>
  <conditionalFormatting sqref="M60:M61">
    <cfRule type="containsText" dxfId="244" priority="572" operator="containsText" text="Low">
      <formula>NOT(ISERROR(SEARCH("Low",M60)))</formula>
    </cfRule>
    <cfRule type="containsText" dxfId="243" priority="571" operator="containsText" text="Medium">
      <formula>NOT(ISERROR(SEARCH("Medium",M60)))</formula>
    </cfRule>
    <cfRule type="containsText" dxfId="242" priority="570" operator="containsText" text="High">
      <formula>NOT(ISERROR(SEARCH("High",M60)))</formula>
    </cfRule>
  </conditionalFormatting>
  <conditionalFormatting sqref="M61:M62">
    <cfRule type="containsText" dxfId="241" priority="564" operator="containsText" text="High">
      <formula>NOT(ISERROR(SEARCH("High",M61)))</formula>
    </cfRule>
    <cfRule type="containsText" dxfId="240" priority="565" operator="containsText" text="Medium">
      <formula>NOT(ISERROR(SEARCH("Medium",M61)))</formula>
    </cfRule>
    <cfRule type="containsText" dxfId="239" priority="566" operator="containsText" text="Low">
      <formula>NOT(ISERROR(SEARCH("Low",M61)))</formula>
    </cfRule>
  </conditionalFormatting>
  <conditionalFormatting sqref="M62:M63">
    <cfRule type="containsText" dxfId="238" priority="560" operator="containsText" text="Low">
      <formula>NOT(ISERROR(SEARCH("Low",M62)))</formula>
    </cfRule>
    <cfRule type="containsText" dxfId="237" priority="558" operator="containsText" text="High">
      <formula>NOT(ISERROR(SEARCH("High",M62)))</formula>
    </cfRule>
    <cfRule type="containsText" dxfId="236" priority="559" operator="containsText" text="Medium">
      <formula>NOT(ISERROR(SEARCH("Medium",M62)))</formula>
    </cfRule>
  </conditionalFormatting>
  <conditionalFormatting sqref="M63:M64">
    <cfRule type="containsText" dxfId="235" priority="553" operator="containsText" text="Medium">
      <formula>NOT(ISERROR(SEARCH("Medium",M63)))</formula>
    </cfRule>
    <cfRule type="containsText" dxfId="234" priority="552" operator="containsText" text="High">
      <formula>NOT(ISERROR(SEARCH("High",M63)))</formula>
    </cfRule>
    <cfRule type="containsText" dxfId="233" priority="554" operator="containsText" text="Low">
      <formula>NOT(ISERROR(SEARCH("Low",M63)))</formula>
    </cfRule>
  </conditionalFormatting>
  <conditionalFormatting sqref="M64:M65">
    <cfRule type="containsText" dxfId="232" priority="548" operator="containsText" text="Low">
      <formula>NOT(ISERROR(SEARCH("Low",M64)))</formula>
    </cfRule>
    <cfRule type="containsText" dxfId="231" priority="547" operator="containsText" text="Medium">
      <formula>NOT(ISERROR(SEARCH("Medium",M64)))</formula>
    </cfRule>
    <cfRule type="containsText" dxfId="230" priority="546" operator="containsText" text="High">
      <formula>NOT(ISERROR(SEARCH("High",M64)))</formula>
    </cfRule>
  </conditionalFormatting>
  <conditionalFormatting sqref="M65:M66">
    <cfRule type="containsText" dxfId="229" priority="542" operator="containsText" text="Low">
      <formula>NOT(ISERROR(SEARCH("Low",M65)))</formula>
    </cfRule>
    <cfRule type="containsText" dxfId="228" priority="541" operator="containsText" text="Medium">
      <formula>NOT(ISERROR(SEARCH("Medium",M65)))</formula>
    </cfRule>
    <cfRule type="containsText" dxfId="227" priority="540" operator="containsText" text="High">
      <formula>NOT(ISERROR(SEARCH("High",M65)))</formula>
    </cfRule>
  </conditionalFormatting>
  <conditionalFormatting sqref="M66:M67">
    <cfRule type="containsText" dxfId="226" priority="534" operator="containsText" text="High">
      <formula>NOT(ISERROR(SEARCH("High",M66)))</formula>
    </cfRule>
    <cfRule type="containsText" dxfId="225" priority="535" operator="containsText" text="Medium">
      <formula>NOT(ISERROR(SEARCH("Medium",M66)))</formula>
    </cfRule>
    <cfRule type="containsText" dxfId="224" priority="536" operator="containsText" text="Low">
      <formula>NOT(ISERROR(SEARCH("Low",M66)))</formula>
    </cfRule>
  </conditionalFormatting>
  <conditionalFormatting sqref="M67:M68">
    <cfRule type="containsText" dxfId="223" priority="529" operator="containsText" text="Medium">
      <formula>NOT(ISERROR(SEARCH("Medium",M67)))</formula>
    </cfRule>
    <cfRule type="containsText" dxfId="222" priority="528" operator="containsText" text="High">
      <formula>NOT(ISERROR(SEARCH("High",M67)))</formula>
    </cfRule>
    <cfRule type="containsText" dxfId="221" priority="530" operator="containsText" text="Low">
      <formula>NOT(ISERROR(SEARCH("Low",M67)))</formula>
    </cfRule>
  </conditionalFormatting>
  <conditionalFormatting sqref="M68:M69">
    <cfRule type="containsText" dxfId="220" priority="523" operator="containsText" text="Medium">
      <formula>NOT(ISERROR(SEARCH("Medium",M68)))</formula>
    </cfRule>
    <cfRule type="containsText" dxfId="219" priority="522" operator="containsText" text="High">
      <formula>NOT(ISERROR(SEARCH("High",M68)))</formula>
    </cfRule>
    <cfRule type="containsText" dxfId="218" priority="524" operator="containsText" text="Low">
      <formula>NOT(ISERROR(SEARCH("Low",M68)))</formula>
    </cfRule>
  </conditionalFormatting>
  <conditionalFormatting sqref="M69:M70">
    <cfRule type="containsText" dxfId="217" priority="518" operator="containsText" text="Low">
      <formula>NOT(ISERROR(SEARCH("Low",M69)))</formula>
    </cfRule>
    <cfRule type="containsText" dxfId="216" priority="517" operator="containsText" text="Medium">
      <formula>NOT(ISERROR(SEARCH("Medium",M69)))</formula>
    </cfRule>
    <cfRule type="containsText" dxfId="215" priority="516" operator="containsText" text="High">
      <formula>NOT(ISERROR(SEARCH("High",M69)))</formula>
    </cfRule>
  </conditionalFormatting>
  <conditionalFormatting sqref="M70">
    <cfRule type="containsText" dxfId="214" priority="513" operator="containsText" text="High">
      <formula>NOT(ISERROR(SEARCH("High",M70)))</formula>
    </cfRule>
    <cfRule type="containsText" dxfId="213" priority="514" operator="containsText" text="Medium">
      <formula>NOT(ISERROR(SEARCH("Medium",M70)))</formula>
    </cfRule>
    <cfRule type="containsText" dxfId="212" priority="515" operator="containsText" text="Low">
      <formula>NOT(ISERROR(SEARCH("Low",M70)))</formula>
    </cfRule>
  </conditionalFormatting>
  <conditionalFormatting sqref="M74">
    <cfRule type="containsText" dxfId="211" priority="603" operator="containsText" text="Low">
      <formula>NOT(ISERROR(SEARCH("Low",M74)))</formula>
    </cfRule>
    <cfRule type="containsText" dxfId="210" priority="602" operator="containsText" text="Medium">
      <formula>NOT(ISERROR(SEARCH("Medium",M74)))</formula>
    </cfRule>
    <cfRule type="containsText" dxfId="209" priority="601" operator="containsText" text="High">
      <formula>NOT(ISERROR(SEARCH("High",M74)))</formula>
    </cfRule>
  </conditionalFormatting>
  <conditionalFormatting sqref="M74:M76">
    <cfRule type="containsText" dxfId="208" priority="511" operator="containsText" text="Medium">
      <formula>NOT(ISERROR(SEARCH("Medium",M74)))</formula>
    </cfRule>
    <cfRule type="containsText" dxfId="207" priority="510" operator="containsText" text="High">
      <formula>NOT(ISERROR(SEARCH("High",M74)))</formula>
    </cfRule>
    <cfRule type="containsText" dxfId="206" priority="512" operator="containsText" text="Low">
      <formula>NOT(ISERROR(SEARCH("Low",M74)))</formula>
    </cfRule>
  </conditionalFormatting>
  <conditionalFormatting sqref="M77">
    <cfRule type="containsText" dxfId="205" priority="506" operator="containsText" text="Low">
      <formula>NOT(ISERROR(SEARCH("Low",M77)))</formula>
    </cfRule>
    <cfRule type="containsText" dxfId="204" priority="504" operator="containsText" text="High">
      <formula>NOT(ISERROR(SEARCH("High",M77)))</formula>
    </cfRule>
    <cfRule type="containsText" dxfId="203" priority="505" operator="containsText" text="Medium">
      <formula>NOT(ISERROR(SEARCH("Medium",M77)))</formula>
    </cfRule>
  </conditionalFormatting>
  <conditionalFormatting sqref="M77:M78">
    <cfRule type="containsText" dxfId="202" priority="500" operator="containsText" text="Low">
      <formula>NOT(ISERROR(SEARCH("Low",M77)))</formula>
    </cfRule>
    <cfRule type="containsText" dxfId="201" priority="499" operator="containsText" text="Medium">
      <formula>NOT(ISERROR(SEARCH("Medium",M77)))</formula>
    </cfRule>
    <cfRule type="containsText" dxfId="200" priority="498" operator="containsText" text="High">
      <formula>NOT(ISERROR(SEARCH("High",M77)))</formula>
    </cfRule>
  </conditionalFormatting>
  <conditionalFormatting sqref="M79">
    <cfRule type="containsText" dxfId="199" priority="491" operator="containsText" text="Low">
      <formula>NOT(ISERROR(SEARCH("Low",M79)))</formula>
    </cfRule>
    <cfRule type="containsText" dxfId="198" priority="490" operator="containsText" text="Medium">
      <formula>NOT(ISERROR(SEARCH("Medium",M79)))</formula>
    </cfRule>
    <cfRule type="containsText" dxfId="197" priority="489" operator="containsText" text="High">
      <formula>NOT(ISERROR(SEARCH("High",M79)))</formula>
    </cfRule>
  </conditionalFormatting>
  <conditionalFormatting sqref="M85">
    <cfRule type="containsText" dxfId="196" priority="466" operator="containsText" text="High">
      <formula>NOT(ISERROR(SEARCH("High",M85)))</formula>
    </cfRule>
    <cfRule type="containsText" dxfId="195" priority="467" operator="containsText" text="Medium">
      <formula>NOT(ISERROR(SEARCH("Medium",M85)))</formula>
    </cfRule>
    <cfRule type="containsText" dxfId="194" priority="468" operator="containsText" text="Low">
      <formula>NOT(ISERROR(SEARCH("Low",M85)))</formula>
    </cfRule>
  </conditionalFormatting>
  <conditionalFormatting sqref="M87:M89">
    <cfRule type="containsText" dxfId="193" priority="444" operator="containsText" text="Low">
      <formula>NOT(ISERROR(SEARCH("Low",M87)))</formula>
    </cfRule>
    <cfRule type="containsText" dxfId="192" priority="443" operator="containsText" text="Medium">
      <formula>NOT(ISERROR(SEARCH("Medium",M87)))</formula>
    </cfRule>
    <cfRule type="containsText" dxfId="191" priority="442" operator="containsText" text="High">
      <formula>NOT(ISERROR(SEARCH("High",M87)))</formula>
    </cfRule>
  </conditionalFormatting>
  <conditionalFormatting sqref="M90:M93 L95:M98">
    <cfRule type="containsText" dxfId="190" priority="111" operator="containsText" text="Low">
      <formula>NOT(ISERROR(SEARCH("Low",L90)))</formula>
    </cfRule>
    <cfRule type="containsText" dxfId="189" priority="110" operator="containsText" text="Medium">
      <formula>NOT(ISERROR(SEARCH("Medium",L90)))</formula>
    </cfRule>
    <cfRule type="containsText" dxfId="188" priority="109" operator="containsText" text="High">
      <formula>NOT(ISERROR(SEARCH("High",L90)))</formula>
    </cfRule>
  </conditionalFormatting>
  <conditionalFormatting sqref="M100:M104">
    <cfRule type="containsText" dxfId="187" priority="108" operator="containsText" text="Low">
      <formula>NOT(ISERROR(SEARCH("Low",M100)))</formula>
    </cfRule>
    <cfRule type="containsText" dxfId="186" priority="106" operator="containsText" text="High">
      <formula>NOT(ISERROR(SEARCH("High",M100)))</formula>
    </cfRule>
    <cfRule type="containsText" dxfId="185" priority="107" operator="containsText" text="Medium">
      <formula>NOT(ISERROR(SEARCH("Medium",M100)))</formula>
    </cfRule>
  </conditionalFormatting>
  <conditionalFormatting sqref="M128:M129">
    <cfRule type="containsText" dxfId="184" priority="201" operator="containsText" text="Low">
      <formula>NOT(ISERROR(SEARCH("Low",M128)))</formula>
    </cfRule>
    <cfRule type="containsText" dxfId="183" priority="200" operator="containsText" text="Medium">
      <formula>NOT(ISERROR(SEARCH("Medium",M128)))</formula>
    </cfRule>
  </conditionalFormatting>
  <conditionalFormatting sqref="M130:M132">
    <cfRule type="containsText" dxfId="182" priority="156" operator="containsText" text="Low">
      <formula>NOT(ISERROR(SEARCH("Low",M130)))</formula>
    </cfRule>
    <cfRule type="containsText" dxfId="181" priority="154" operator="containsText" text="High">
      <formula>NOT(ISERROR(SEARCH("High",M130)))</formula>
    </cfRule>
    <cfRule type="containsText" dxfId="180" priority="155" operator="containsText" text="Medium">
      <formula>NOT(ISERROR(SEARCH("Medium",M130)))</formula>
    </cfRule>
  </conditionalFormatting>
  <conditionalFormatting sqref="M162">
    <cfRule type="containsText" dxfId="179" priority="142" operator="containsText" text="High">
      <formula>NOT(ISERROR(SEARCH("High",M162)))</formula>
    </cfRule>
    <cfRule type="containsText" dxfId="178" priority="143" operator="containsText" text="Medium">
      <formula>NOT(ISERROR(SEARCH("Medium",M162)))</formula>
    </cfRule>
    <cfRule type="containsText" dxfId="177" priority="144" operator="containsText" text="Low">
      <formula>NOT(ISERROR(SEARCH("Low",M162)))</formula>
    </cfRule>
  </conditionalFormatting>
  <conditionalFormatting sqref="M235">
    <cfRule type="containsText" dxfId="176" priority="85" operator="containsText" text="High">
      <formula>NOT(ISERROR(SEARCH("High",M235)))</formula>
    </cfRule>
    <cfRule type="containsText" dxfId="175" priority="87" operator="containsText" text="Low">
      <formula>NOT(ISERROR(SEARCH("Low",M235)))</formula>
    </cfRule>
    <cfRule type="containsText" dxfId="174" priority="86" operator="containsText" text="Medium">
      <formula>NOT(ISERROR(SEARCH("Medium",M235)))</formula>
    </cfRule>
  </conditionalFormatting>
  <conditionalFormatting sqref="M258">
    <cfRule type="containsText" dxfId="173" priority="40" operator="containsText" text="High">
      <formula>NOT(ISERROR(SEARCH("High",M258)))</formula>
    </cfRule>
    <cfRule type="containsText" dxfId="172" priority="41" operator="containsText" text="Medium">
      <formula>NOT(ISERROR(SEARCH("Medium",M258)))</formula>
    </cfRule>
    <cfRule type="containsText" dxfId="171" priority="42" operator="containsText" text="Low">
      <formula>NOT(ISERROR(SEARCH("Low",M258)))</formula>
    </cfRule>
  </conditionalFormatting>
  <conditionalFormatting sqref="M289">
    <cfRule type="containsText" dxfId="170" priority="1" operator="containsText" text="High">
      <formula>NOT(ISERROR(SEARCH("High",M289)))</formula>
    </cfRule>
    <cfRule type="containsText" dxfId="169" priority="3" operator="containsText" text="Low">
      <formula>NOT(ISERROR(SEARCH("Low",M289)))</formula>
    </cfRule>
    <cfRule type="containsText" dxfId="168" priority="2" operator="containsText" text="Medium">
      <formula>NOT(ISERROR(SEARCH("Medium",M289)))</formula>
    </cfRule>
  </conditionalFormatting>
  <conditionalFormatting sqref="M74:N74">
    <cfRule type="containsText" dxfId="167" priority="604" operator="containsText" text="High">
      <formula>NOT(ISERROR(SEARCH("High",M74)))</formula>
    </cfRule>
    <cfRule type="containsText" dxfId="166" priority="606" operator="containsText" text="Low">
      <formula>NOT(ISERROR(SEARCH("Low",M74)))</formula>
    </cfRule>
    <cfRule type="containsText" dxfId="165" priority="605" operator="containsText" text="Medium">
      <formula>NOT(ISERROR(SEARCH("Medium",M74)))</formula>
    </cfRule>
  </conditionalFormatting>
  <conditionalFormatting sqref="M81:N86">
    <cfRule type="containsText" dxfId="164" priority="469" operator="containsText" text="High">
      <formula>NOT(ISERROR(SEARCH("High",M81)))</formula>
    </cfRule>
    <cfRule type="containsText" dxfId="163" priority="470" operator="containsText" text="Medium">
      <formula>NOT(ISERROR(SEARCH("Medium",M81)))</formula>
    </cfRule>
    <cfRule type="containsText" dxfId="162" priority="471" operator="containsText" text="Low">
      <formula>NOT(ISERROR(SEARCH("Low",M81)))</formula>
    </cfRule>
  </conditionalFormatting>
  <conditionalFormatting sqref="M87:N88">
    <cfRule type="containsText" dxfId="161" priority="457" operator="containsText" text="High">
      <formula>NOT(ISERROR(SEARCH("High",M87)))</formula>
    </cfRule>
    <cfRule type="containsText" dxfId="160" priority="458" operator="containsText" text="Medium">
      <formula>NOT(ISERROR(SEARCH("Medium",M87)))</formula>
    </cfRule>
    <cfRule type="containsText" dxfId="159" priority="459" operator="containsText" text="Low">
      <formula>NOT(ISERROR(SEARCH("Low",M87)))</formula>
    </cfRule>
  </conditionalFormatting>
  <conditionalFormatting sqref="M95:N95">
    <cfRule type="containsText" dxfId="158" priority="404" operator="containsText" text="Medium">
      <formula>NOT(ISERROR(SEARCH("Medium",M95)))</formula>
    </cfRule>
    <cfRule type="containsText" dxfId="157" priority="403" operator="containsText" text="High">
      <formula>NOT(ISERROR(SEARCH("High",M95)))</formula>
    </cfRule>
    <cfRule type="containsText" dxfId="156" priority="405" operator="containsText" text="Low">
      <formula>NOT(ISERROR(SEARCH("Low",M95)))</formula>
    </cfRule>
  </conditionalFormatting>
  <conditionalFormatting sqref="M97:N97">
    <cfRule type="containsText" dxfId="155" priority="392" operator="containsText" text="Medium">
      <formula>NOT(ISERROR(SEARCH("Medium",M97)))</formula>
    </cfRule>
    <cfRule type="containsText" dxfId="154" priority="393" operator="containsText" text="Low">
      <formula>NOT(ISERROR(SEARCH("Low",M97)))</formula>
    </cfRule>
    <cfRule type="containsText" dxfId="153" priority="391" operator="containsText" text="High">
      <formula>NOT(ISERROR(SEARCH("High",M97)))</formula>
    </cfRule>
  </conditionalFormatting>
  <conditionalFormatting sqref="M108:N110">
    <cfRule type="containsText" dxfId="152" priority="348" operator="containsText" text="Medium">
      <formula>NOT(ISERROR(SEARCH("Medium",M108)))</formula>
    </cfRule>
    <cfRule type="containsText" dxfId="151" priority="347" operator="containsText" text="High">
      <formula>NOT(ISERROR(SEARCH("High",M108)))</formula>
    </cfRule>
    <cfRule type="containsText" dxfId="150" priority="349" operator="containsText" text="Low">
      <formula>NOT(ISERROR(SEARCH("Low",M108)))</formula>
    </cfRule>
  </conditionalFormatting>
  <conditionalFormatting sqref="M110:N110">
    <cfRule type="containsText" dxfId="149" priority="341" operator="containsText" text="High">
      <formula>NOT(ISERROR(SEARCH("High",M110)))</formula>
    </cfRule>
    <cfRule type="containsText" dxfId="148" priority="342" operator="containsText" text="Medium">
      <formula>NOT(ISERROR(SEARCH("Medium",M110)))</formula>
    </cfRule>
    <cfRule type="containsText" dxfId="147" priority="343" operator="containsText" text="Low">
      <formula>NOT(ISERROR(SEARCH("Low",M110)))</formula>
    </cfRule>
  </conditionalFormatting>
  <conditionalFormatting sqref="M110:N111">
    <cfRule type="containsText" dxfId="146" priority="329" operator="containsText" text="High">
      <formula>NOT(ISERROR(SEARCH("High",M110)))</formula>
    </cfRule>
    <cfRule type="containsText" dxfId="145" priority="330" operator="containsText" text="Medium">
      <formula>NOT(ISERROR(SEARCH("Medium",M110)))</formula>
    </cfRule>
    <cfRule type="containsText" dxfId="144" priority="331" operator="containsText" text="Low">
      <formula>NOT(ISERROR(SEARCH("Low",M110)))</formula>
    </cfRule>
  </conditionalFormatting>
  <conditionalFormatting sqref="M111:N113">
    <cfRule type="containsText" dxfId="143" priority="320" operator="containsText" text="High">
      <formula>NOT(ISERROR(SEARCH("High",M111)))</formula>
    </cfRule>
    <cfRule type="containsText" dxfId="142" priority="321" operator="containsText" text="Medium">
      <formula>NOT(ISERROR(SEARCH("Medium",M111)))</formula>
    </cfRule>
    <cfRule type="containsText" dxfId="141" priority="322" operator="containsText" text="Low">
      <formula>NOT(ISERROR(SEARCH("Low",M111)))</formula>
    </cfRule>
  </conditionalFormatting>
  <conditionalFormatting sqref="M113:N113">
    <cfRule type="containsText" dxfId="140" priority="314" operator="containsText" text="High">
      <formula>NOT(ISERROR(SEARCH("High",M113)))</formula>
    </cfRule>
    <cfRule type="containsText" dxfId="139" priority="316" operator="containsText" text="Low">
      <formula>NOT(ISERROR(SEARCH("Low",M113)))</formula>
    </cfRule>
    <cfRule type="containsText" dxfId="138" priority="315" operator="containsText" text="Medium">
      <formula>NOT(ISERROR(SEARCH("Medium",M113)))</formula>
    </cfRule>
  </conditionalFormatting>
  <conditionalFormatting sqref="M113:N114 M117:N121 M133:N149 L164:N173 M178:M179">
    <cfRule type="containsText" dxfId="137" priority="103" operator="containsText" text="High">
      <formula>NOT(ISERROR(SEARCH("High",L113)))</formula>
    </cfRule>
    <cfRule type="containsText" dxfId="136" priority="104" operator="containsText" text="Medium">
      <formula>NOT(ISERROR(SEARCH("Medium",L113)))</formula>
    </cfRule>
    <cfRule type="containsText" dxfId="135" priority="105" operator="containsText" text="Low">
      <formula>NOT(ISERROR(SEARCH("Low",L113)))</formula>
    </cfRule>
  </conditionalFormatting>
  <conditionalFormatting sqref="M115:N115">
    <cfRule type="containsText" dxfId="134" priority="299" operator="containsText" text="High">
      <formula>NOT(ISERROR(SEARCH("High",M115)))</formula>
    </cfRule>
    <cfRule type="containsText" dxfId="133" priority="294" operator="containsText" text="Medium">
      <formula>NOT(ISERROR(SEARCH("Medium",M115)))</formula>
    </cfRule>
    <cfRule type="containsText" dxfId="132" priority="295" operator="containsText" text="Low">
      <formula>NOT(ISERROR(SEARCH("Low",M115)))</formula>
    </cfRule>
    <cfRule type="containsText" dxfId="131" priority="300" operator="containsText" text="Medium">
      <formula>NOT(ISERROR(SEARCH("Medium",M115)))</formula>
    </cfRule>
    <cfRule type="containsText" dxfId="130" priority="301" operator="containsText" text="Low">
      <formula>NOT(ISERROR(SEARCH("Low",M115)))</formula>
    </cfRule>
    <cfRule type="containsText" dxfId="129" priority="293" operator="containsText" text="High">
      <formula>NOT(ISERROR(SEARCH("High",M115)))</formula>
    </cfRule>
  </conditionalFormatting>
  <conditionalFormatting sqref="M115:N117">
    <cfRule type="containsText" dxfId="128" priority="281" operator="containsText" text="High">
      <formula>NOT(ISERROR(SEARCH("High",M115)))</formula>
    </cfRule>
    <cfRule type="containsText" dxfId="127" priority="283" operator="containsText" text="Low">
      <formula>NOT(ISERROR(SEARCH("Low",M115)))</formula>
    </cfRule>
    <cfRule type="containsText" dxfId="126" priority="282" operator="containsText" text="Medium">
      <formula>NOT(ISERROR(SEARCH("Medium",M115)))</formula>
    </cfRule>
  </conditionalFormatting>
  <conditionalFormatting sqref="M117:N117">
    <cfRule type="containsText" dxfId="125" priority="275" operator="containsText" text="High">
      <formula>NOT(ISERROR(SEARCH("High",M117)))</formula>
    </cfRule>
    <cfRule type="containsText" dxfId="124" priority="277" operator="containsText" text="Low">
      <formula>NOT(ISERROR(SEARCH("Low",M117)))</formula>
    </cfRule>
    <cfRule type="containsText" dxfId="123" priority="276" operator="containsText" text="Medium">
      <formula>NOT(ISERROR(SEARCH("Medium",M117)))</formula>
    </cfRule>
  </conditionalFormatting>
  <conditionalFormatting sqref="M119:N119">
    <cfRule type="containsText" dxfId="122" priority="257" operator="containsText" text="High">
      <formula>NOT(ISERROR(SEARCH("High",M119)))</formula>
    </cfRule>
    <cfRule type="containsText" dxfId="121" priority="259" operator="containsText" text="Low">
      <formula>NOT(ISERROR(SEARCH("Low",M119)))</formula>
    </cfRule>
    <cfRule type="containsText" dxfId="120" priority="263" operator="containsText" text="High">
      <formula>NOT(ISERROR(SEARCH("High",M119)))</formula>
    </cfRule>
    <cfRule type="containsText" dxfId="119" priority="264" operator="containsText" text="Medium">
      <formula>NOT(ISERROR(SEARCH("Medium",M119)))</formula>
    </cfRule>
    <cfRule type="containsText" dxfId="118" priority="265" operator="containsText" text="Low">
      <formula>NOT(ISERROR(SEARCH("Low",M119)))</formula>
    </cfRule>
    <cfRule type="containsText" dxfId="117" priority="258" operator="containsText" text="Medium">
      <formula>NOT(ISERROR(SEARCH("Medium",M119)))</formula>
    </cfRule>
  </conditionalFormatting>
  <conditionalFormatting sqref="M124:N124">
    <cfRule type="containsText" dxfId="116" priority="227" operator="containsText" text="Low">
      <formula>NOT(ISERROR(SEARCH("Low",M124)))</formula>
    </cfRule>
    <cfRule type="containsText" dxfId="115" priority="231" operator="containsText" text="High">
      <formula>NOT(ISERROR(SEARCH("High",M124)))</formula>
    </cfRule>
    <cfRule type="containsText" dxfId="114" priority="233" operator="containsText" text="Low">
      <formula>NOT(ISERROR(SEARCH("Low",M124)))</formula>
    </cfRule>
    <cfRule type="containsText" dxfId="113" priority="226" operator="containsText" text="Medium">
      <formula>NOT(ISERROR(SEARCH("Medium",M124)))</formula>
    </cfRule>
    <cfRule type="containsText" dxfId="112" priority="225" operator="containsText" text="High">
      <formula>NOT(ISERROR(SEARCH("High",M124)))</formula>
    </cfRule>
    <cfRule type="containsText" dxfId="111" priority="232" operator="containsText" text="Medium">
      <formula>NOT(ISERROR(SEARCH("Medium",M124)))</formula>
    </cfRule>
  </conditionalFormatting>
  <conditionalFormatting sqref="M128:N128">
    <cfRule type="containsText" dxfId="110" priority="216" operator="containsText" text="High">
      <formula>NOT(ISERROR(SEARCH("High",M128)))</formula>
    </cfRule>
  </conditionalFormatting>
  <conditionalFormatting sqref="M129:N129">
    <cfRule type="containsText" dxfId="109" priority="197" operator="containsText" text="Medium">
      <formula>NOT(ISERROR(SEARCH("Medium",M129)))</formula>
    </cfRule>
    <cfRule type="containsText" dxfId="108" priority="196" operator="containsText" text="High">
      <formula>NOT(ISERROR(SEARCH("High",M129)))</formula>
    </cfRule>
    <cfRule type="containsText" dxfId="107" priority="198" operator="containsText" text="Low">
      <formula>NOT(ISERROR(SEARCH("Low",M129)))</formula>
    </cfRule>
  </conditionalFormatting>
  <conditionalFormatting sqref="M150:N163">
    <cfRule type="containsText" dxfId="106" priority="145" operator="containsText" text="High">
      <formula>NOT(ISERROR(SEARCH("High",M150)))</formula>
    </cfRule>
    <cfRule type="containsText" dxfId="105" priority="146" operator="containsText" text="Medium">
      <formula>NOT(ISERROR(SEARCH("Medium",M150)))</formula>
    </cfRule>
    <cfRule type="containsText" dxfId="104" priority="147" operator="containsText" text="Low">
      <formula>NOT(ISERROR(SEARCH("Low",M150)))</formula>
    </cfRule>
  </conditionalFormatting>
  <conditionalFormatting sqref="N60:N70">
    <cfRule type="containsText" dxfId="103" priority="648" operator="containsText" text="High">
      <formula>NOT(ISERROR(SEARCH("High",N60)))</formula>
    </cfRule>
    <cfRule type="containsText" dxfId="102" priority="650" operator="containsText" text="Low">
      <formula>NOT(ISERROR(SEARCH("Low",N60)))</formula>
    </cfRule>
    <cfRule type="containsText" dxfId="101" priority="649" operator="containsText" text="Medium">
      <formula>NOT(ISERROR(SEARCH("Medium",N60)))</formula>
    </cfRule>
  </conditionalFormatting>
  <conditionalFormatting sqref="N74:N80">
    <cfRule type="containsText" dxfId="100" priority="588" operator="containsText" text="Medium">
      <formula>NOT(ISERROR(SEARCH("Medium",N74)))</formula>
    </cfRule>
    <cfRule type="containsText" dxfId="99" priority="589" operator="containsText" text="Low">
      <formula>NOT(ISERROR(SEARCH("Low",N74)))</formula>
    </cfRule>
    <cfRule type="containsText" dxfId="98" priority="587" operator="containsText" text="High">
      <formula>NOT(ISERROR(SEARCH("High",N74)))</formula>
    </cfRule>
  </conditionalFormatting>
  <conditionalFormatting sqref="N85">
    <cfRule type="containsText" dxfId="97" priority="476" operator="containsText" text="Medium">
      <formula>NOT(ISERROR(SEARCH("Medium",N85)))</formula>
    </cfRule>
    <cfRule type="containsText" dxfId="96" priority="477" operator="containsText" text="Low">
      <formula>NOT(ISERROR(SEARCH("Low",N85)))</formula>
    </cfRule>
    <cfRule type="containsText" dxfId="95" priority="475" operator="containsText" text="High">
      <formula>NOT(ISERROR(SEARCH("High",N85)))</formula>
    </cfRule>
  </conditionalFormatting>
  <conditionalFormatting sqref="N87:N88">
    <cfRule type="containsText" dxfId="94" priority="465" operator="containsText" text="Low">
      <formula>NOT(ISERROR(SEARCH("Low",N87)))</formula>
    </cfRule>
    <cfRule type="containsText" dxfId="93" priority="463" operator="containsText" text="High">
      <formula>NOT(ISERROR(SEARCH("High",N87)))</formula>
    </cfRule>
    <cfRule type="containsText" dxfId="92" priority="464" operator="containsText" text="Medium">
      <formula>NOT(ISERROR(SEARCH("Medium",N87)))</formula>
    </cfRule>
  </conditionalFormatting>
  <conditionalFormatting sqref="N90:N92">
    <cfRule type="containsText" dxfId="91" priority="437" operator="containsText" text="Medium">
      <formula>NOT(ISERROR(SEARCH("Medium",N90)))</formula>
    </cfRule>
    <cfRule type="containsText" dxfId="90" priority="436" operator="containsText" text="High">
      <formula>NOT(ISERROR(SEARCH("High",N90)))</formula>
    </cfRule>
    <cfRule type="containsText" dxfId="89" priority="438" operator="containsText" text="Low">
      <formula>NOT(ISERROR(SEARCH("Low",N90)))</formula>
    </cfRule>
  </conditionalFormatting>
  <conditionalFormatting sqref="N95">
    <cfRule type="containsText" dxfId="88" priority="411" operator="containsText" text="Low">
      <formula>NOT(ISERROR(SEARCH("Low",N95)))</formula>
    </cfRule>
    <cfRule type="containsText" dxfId="87" priority="410" operator="containsText" text="Medium">
      <formula>NOT(ISERROR(SEARCH("Medium",N95)))</formula>
    </cfRule>
    <cfRule type="containsText" dxfId="86" priority="409" operator="containsText" text="High">
      <formula>NOT(ISERROR(SEARCH("High",N95)))</formula>
    </cfRule>
  </conditionalFormatting>
  <conditionalFormatting sqref="N96:N97">
    <cfRule type="containsText" dxfId="85" priority="397" operator="containsText" text="High">
      <formula>NOT(ISERROR(SEARCH("High",N96)))</formula>
    </cfRule>
    <cfRule type="containsText" dxfId="84" priority="399" operator="containsText" text="Low">
      <formula>NOT(ISERROR(SEARCH("Low",N96)))</formula>
    </cfRule>
    <cfRule type="containsText" dxfId="83" priority="398" operator="containsText" text="Medium">
      <formula>NOT(ISERROR(SEARCH("Medium",N96)))</formula>
    </cfRule>
  </conditionalFormatting>
  <conditionalFormatting sqref="N98 L99:N100 L101 N101">
    <cfRule type="containsText" dxfId="82" priority="381" operator="containsText" text="Low">
      <formula>NOT(ISERROR(SEARCH("Low",L98)))</formula>
    </cfRule>
    <cfRule type="containsText" dxfId="81" priority="380" operator="containsText" text="Medium">
      <formula>NOT(ISERROR(SEARCH("Medium",L98)))</formula>
    </cfRule>
  </conditionalFormatting>
  <conditionalFormatting sqref="N100">
    <cfRule type="containsText" dxfId="80" priority="385" operator="containsText" text="High">
      <formula>NOT(ISERROR(SEARCH("High",N100)))</formula>
    </cfRule>
    <cfRule type="containsText" dxfId="79" priority="386" operator="containsText" text="Medium">
      <formula>NOT(ISERROR(SEARCH("Medium",N100)))</formula>
    </cfRule>
    <cfRule type="containsText" dxfId="78" priority="387" operator="containsText" text="Low">
      <formula>NOT(ISERROR(SEARCH("Low",N100)))</formula>
    </cfRule>
  </conditionalFormatting>
  <conditionalFormatting sqref="N129">
    <cfRule type="containsText" dxfId="77" priority="207" operator="containsText" text="Low">
      <formula>NOT(ISERROR(SEARCH("Low",N129)))</formula>
    </cfRule>
    <cfRule type="containsText" dxfId="76" priority="205" operator="containsText" text="High">
      <formula>NOT(ISERROR(SEARCH("High",N129)))</formula>
    </cfRule>
    <cfRule type="containsText" dxfId="75" priority="206" operator="containsText" text="Medium">
      <formula>NOT(ISERROR(SEARCH("Medium",N129)))</formula>
    </cfRule>
  </conditionalFormatting>
  <conditionalFormatting sqref="N131:N132">
    <cfRule type="containsText" dxfId="74" priority="153" operator="containsText" text="Low">
      <formula>NOT(ISERROR(SEARCH("Low",N131)))</formula>
    </cfRule>
    <cfRule type="containsText" dxfId="73" priority="152" operator="containsText" text="Medium">
      <formula>NOT(ISERROR(SEARCH("Medium",N131)))</formula>
    </cfRule>
    <cfRule type="containsText" dxfId="72" priority="151" operator="containsText" text="High">
      <formula>NOT(ISERROR(SEARCH("High",N131)))</formula>
    </cfRule>
  </conditionalFormatting>
  <conditionalFormatting sqref="BB21:BB58">
    <cfRule type="containsText" dxfId="71" priority="850" operator="containsText" text="Budget">
      <formula>NOT(ISERROR(SEARCH("Budget",BB21)))</formula>
    </cfRule>
    <cfRule type="containsText" dxfId="70" priority="851" operator="containsText" text="Contingency">
      <formula>NOT(ISERROR(SEARCH("Contingency",BB21)))</formula>
    </cfRule>
  </conditionalFormatting>
  <conditionalFormatting sqref="BB52:BB53">
    <cfRule type="containsText" dxfId="69" priority="658" operator="containsText" text="Contingency">
      <formula>NOT(ISERROR(SEARCH("Contingency",BB52)))</formula>
    </cfRule>
    <cfRule type="containsText" dxfId="68" priority="657" operator="containsText" text="Budget">
      <formula>NOT(ISERROR(SEARCH("Budget",BB52)))</formula>
    </cfRule>
  </conditionalFormatting>
  <conditionalFormatting sqref="BB59:BB68">
    <cfRule type="containsText" dxfId="67" priority="487" operator="containsText" text="Budget">
      <formula>NOT(ISERROR(SEARCH("Budget",BB59)))</formula>
    </cfRule>
    <cfRule type="containsText" dxfId="66" priority="488" operator="containsText" text="Contingency">
      <formula>NOT(ISERROR(SEARCH("Contingency",BB59)))</formula>
    </cfRule>
  </conditionalFormatting>
  <conditionalFormatting sqref="BB69:BB74">
    <cfRule type="containsText" dxfId="65" priority="638" operator="containsText" text="Budget">
      <formula>NOT(ISERROR(SEARCH("Budget",BB69)))</formula>
    </cfRule>
    <cfRule type="containsText" dxfId="64" priority="639" operator="containsText" text="Contingency">
      <formula>NOT(ISERROR(SEARCH("Contingency",BB69)))</formula>
    </cfRule>
  </conditionalFormatting>
  <conditionalFormatting sqref="BB74:BB369">
    <cfRule type="containsText" dxfId="63" priority="594" operator="containsText" text="Contingency">
      <formula>NOT(ISERROR(SEARCH("Contingency",BB74)))</formula>
    </cfRule>
    <cfRule type="containsText" dxfId="62" priority="593" operator="containsText" text="Budget">
      <formula>NOT(ISERROR(SEARCH("Budget",BB74)))</formula>
    </cfRule>
  </conditionalFormatting>
  <conditionalFormatting sqref="BB80">
    <cfRule type="containsText" dxfId="61" priority="586" operator="containsText" text="Contingency">
      <formula>NOT(ISERROR(SEARCH("Contingency",BB80)))</formula>
    </cfRule>
    <cfRule type="containsText" dxfId="60" priority="585" operator="containsText" text="Budget">
      <formula>NOT(ISERROR(SEARCH("Budget",BB80)))</formula>
    </cfRule>
  </conditionalFormatting>
  <conditionalFormatting sqref="BB373:BB375">
    <cfRule type="containsText" dxfId="59" priority="1030" operator="containsText" text="Budget">
      <formula>NOT(ISERROR(SEARCH("Budget",BB373)))</formula>
    </cfRule>
    <cfRule type="containsText" dxfId="58" priority="1031" operator="containsText" text="Contingency">
      <formula>NOT(ISERROR(SEARCH("Contingency",BB373)))</formula>
    </cfRule>
    <cfRule type="containsText" dxfId="57" priority="1032" operator="containsText" text="High">
      <formula>NOT(ISERROR(SEARCH("High",BB373)))</formula>
    </cfRule>
    <cfRule type="containsText" dxfId="56" priority="1033" operator="containsText" text="Medium">
      <formula>NOT(ISERROR(SEARCH("Medium",BB373)))</formula>
    </cfRule>
    <cfRule type="containsText" dxfId="55" priority="1034" operator="containsText" text="Low">
      <formula>NOT(ISERROR(SEARCH("Low",BB373)))</formula>
    </cfRule>
  </conditionalFormatting>
  <dataValidations count="2">
    <dataValidation type="list" allowBlank="1" showInputMessage="1" showErrorMessage="1" sqref="AE21:AE33 W21:W33 AE49:AE368 W50:W369" xr:uid="{3D1FE599-B0C6-4120-88AB-D3AC8D33ECF1}">
      <formula1>"YES,NO"</formula1>
    </dataValidation>
    <dataValidation type="list" allowBlank="1" showInputMessage="1" showErrorMessage="1" sqref="AE369 AE44:AE48 AE35:AE42 BC21:BC369" xr:uid="{037758AD-8D3E-4248-A947-D2EE99957D6D}"/>
  </dataValidations>
  <printOptions horizontalCentered="1"/>
  <pageMargins left="0.25" right="0.25" top="0.75" bottom="0.75" header="0.3" footer="0.3"/>
  <pageSetup paperSize="8" scale="29" fitToHeight="0" orientation="landscape" r:id="rId1"/>
  <headerFooter>
    <oddHeader>&amp;C&amp;"Calibri,Bold"&amp;18CHANGE MANAGEMENT TRACKER</oddHeader>
    <oddFooter>&amp;L1TB.01.003.01 - AYC 
MARCH'26 REPORT&amp;C&amp;A&amp;RPage &amp;P of &amp;N</oddFooter>
  </headerFooter>
  <drawing r:id="rId2"/>
  <legacyDrawing r:id="rId3"/>
  <extLst>
    <ext xmlns:x14="http://schemas.microsoft.com/office/spreadsheetml/2009/9/main" uri="{CCE6A557-97BC-4b89-ADB6-D9C93CAAB3DF}">
      <x14:dataValidations xmlns:xm="http://schemas.microsoft.com/office/excel/2006/main" count="26">
        <x14:dataValidation type="list" allowBlank="1" showInputMessage="1" showErrorMessage="1" xr:uid="{E69983D9-E9D7-447E-B89D-DE45B99B73B2}">
          <x14:formula1>
            <xm:f>dropdowns!$C$3:$C$10</xm:f>
          </x14:formula1>
          <xm:sqref>AN90 AJ21:AJ114 AJ116:AJ369</xm:sqref>
        </x14:dataValidation>
        <x14:dataValidation type="list" allowBlank="1" showInputMessage="1" showErrorMessage="1" xr:uid="{6322E406-FEAB-4AE0-9A6D-93A2A845C2FE}">
          <x14:formula1>
            <xm:f>dropdowns!$B$20:$B$22</xm:f>
          </x14:formula1>
          <xm:sqref>C21:C33 C50:C165 C168:C207 C217:C369</xm:sqref>
        </x14:dataValidation>
        <x14:dataValidation type="list" allowBlank="1" showInputMessage="1" showErrorMessage="1" xr:uid="{CE2517C7-428D-43BA-8901-DC2D17542C36}">
          <x14:formula1>
            <xm:f>dropdowns!$B$20:$B$24</xm:f>
          </x14:formula1>
          <xm:sqref>C34:C49 C166:C167</xm:sqref>
        </x14:dataValidation>
        <x14:dataValidation type="list" allowBlank="1" showInputMessage="1" showErrorMessage="1" xr:uid="{F89A7A3D-B38A-4D6E-977B-31024157E260}">
          <x14:formula1>
            <xm:f>dropdowns!$D$3:$D$5</xm:f>
          </x14:formula1>
          <xm:sqref>W34:W49</xm:sqref>
        </x14:dataValidation>
        <x14:dataValidation type="list" allowBlank="1" showInputMessage="1" showErrorMessage="1" xr:uid="{234BA082-BABF-459D-820A-9708C6F6DAE3}">
          <x14:formula1>
            <xm:f>dropdowns!$C$3:$C$12</xm:f>
          </x14:formula1>
          <xm:sqref>AJ115 BA21:BA369 AC21:AC369 U21:U369</xm:sqref>
        </x14:dataValidation>
        <x14:dataValidation type="list" allowBlank="1" showInputMessage="1" showErrorMessage="1" xr:uid="{33D81CA5-6075-45BF-B130-CF733D05CE2C}">
          <x14:formula1>
            <xm:f>dropdowns!$G$17:$G$41</xm:f>
          </x14:formula1>
          <xm:sqref>G21:G25 G27:G207 G217:G369</xm:sqref>
        </x14:dataValidation>
        <x14:dataValidation type="list" allowBlank="1" showInputMessage="1" showErrorMessage="1" xr:uid="{C0B7A2A2-4174-428C-8ED1-6EC1B6D97B3B}">
          <x14:formula1>
            <xm:f>dropdowns!$F$3:$F$7</xm:f>
          </x14:formula1>
          <xm:sqref>H21:H207 H217:H369</xm:sqref>
        </x14:dataValidation>
        <x14:dataValidation type="list" allowBlank="1" showInputMessage="1" showErrorMessage="1" xr:uid="{51DE4AFF-964A-4618-9CF6-DF4E7A2E5167}">
          <x14:formula1>
            <xm:f>dropdowns!$G$45:$G$56</xm:f>
          </x14:formula1>
          <xm:sqref>K21:K207 K217:K369</xm:sqref>
        </x14:dataValidation>
        <x14:dataValidation type="list" allowBlank="1" showInputMessage="1" showErrorMessage="1" xr:uid="{BDE4B1B0-8FED-4138-B850-92ED43576F8F}">
          <x14:formula1>
            <xm:f>dropdowns!$E$17:$E$28</xm:f>
          </x14:formula1>
          <xm:sqref>E21:F207 E217:F369</xm:sqref>
        </x14:dataValidation>
        <x14:dataValidation type="list" allowBlank="1" showInputMessage="1" showErrorMessage="1" xr:uid="{C04996D2-2927-496A-BDDB-D174A665E9B5}">
          <x14:formula1>
            <xm:f>dropdowns!$E$45:$E$54</xm:f>
          </x14:formula1>
          <xm:sqref>I21:I207 I217:I369</xm:sqref>
        </x14:dataValidation>
        <x14:dataValidation type="list" allowBlank="1" showInputMessage="1" showErrorMessage="1" xr:uid="{3F7D2551-FED2-4316-8FD3-050B639AE6B9}">
          <x14:formula1>
            <xm:f>dropdowns!$J$3:$J$30</xm:f>
          </x14:formula1>
          <xm:sqref>N21:N207 N217:N297 N300 N303:N306 N308:N318 N320 N324 N328:N335 N337:N369</xm:sqref>
        </x14:dataValidation>
        <x14:dataValidation type="list" allowBlank="1" showInputMessage="1" showErrorMessage="1" xr:uid="{C67B41D2-59DB-4267-91B9-A4CC74AE7C82}">
          <x14:formula1>
            <xm:f>dropdowns!$N$3:$N$4</xm:f>
          </x14:formula1>
          <xm:sqref>AF21:AF368 AY21:AY368 X21:X368</xm:sqref>
        </x14:dataValidation>
        <x14:dataValidation type="list" allowBlank="1" showInputMessage="1" showErrorMessage="1" xr:uid="{9E5BEBF8-7FA5-4AA9-9493-8357BE34FA2F}">
          <x14:formula1>
            <xm:f>dropdowns!$B$3:$B$17</xm:f>
          </x14:formula1>
          <xm:sqref>D21:D369</xm:sqref>
        </x14:dataValidation>
        <x14:dataValidation type="list" allowBlank="1" showInputMessage="1" showErrorMessage="1" xr:uid="{CB0D2DE1-BE01-4F6D-802D-A920CFD360E0}">
          <x14:formula1>
            <xm:f>dropdowns!$I$3:$I$143</xm:f>
          </x14:formula1>
          <xm:sqref>M21:M49 M51:M207 M217:M298 M300 M302:M306 M308:M322 M324 M328:M335 M337:M369</xm:sqref>
        </x14:dataValidation>
        <x14:dataValidation type="list" allowBlank="1" showInputMessage="1" showErrorMessage="1" xr:uid="{4AF6D4F3-2BE0-4DF1-9F5D-7992460D13D5}">
          <x14:formula1>
            <xm:f>dropdowns!$I$3:$I$154</xm:f>
          </x14:formula1>
          <xm:sqref>M50</xm:sqref>
        </x14:dataValidation>
        <x14:dataValidation type="list" allowBlank="1" showInputMessage="1" showErrorMessage="1" xr:uid="{AD4397AC-2800-4897-9AB0-667E5F0D4EB2}">
          <x14:formula1>
            <xm:f>dropdowns!$J$3:$J$31</xm:f>
          </x14:formula1>
          <xm:sqref>N298:N299 N302 N323</xm:sqref>
        </x14:dataValidation>
        <x14:dataValidation type="list" allowBlank="1" showInputMessage="1" showErrorMessage="1" xr:uid="{CF631954-3430-4160-A61B-196A27660EDB}">
          <x14:formula1>
            <xm:f>dropdowns!$J$3:$J$33</xm:f>
          </x14:formula1>
          <xm:sqref>N301</xm:sqref>
        </x14:dataValidation>
        <x14:dataValidation type="list" allowBlank="1" showInputMessage="1" showErrorMessage="1" xr:uid="{898FD549-6ABB-483E-A02D-E24702CE8C0B}">
          <x14:formula1>
            <xm:f>dropdowns!$J$3:$J$34</xm:f>
          </x14:formula1>
          <xm:sqref>N307</xm:sqref>
        </x14:dataValidation>
        <x14:dataValidation type="list" allowBlank="1" showInputMessage="1" showErrorMessage="1" xr:uid="{4F895E80-0096-4991-B2CD-BEA25FB994D1}">
          <x14:formula1>
            <xm:f>dropdowns!$I$3:$I$156</xm:f>
          </x14:formula1>
          <xm:sqref>M299 M323</xm:sqref>
        </x14:dataValidation>
        <x14:dataValidation type="list" allowBlank="1" showInputMessage="1" showErrorMessage="1" xr:uid="{8D8E3B99-C287-47C3-BE18-728729BEA08D}">
          <x14:formula1>
            <xm:f>dropdowns!$I$3:$I$159</xm:f>
          </x14:formula1>
          <xm:sqref>M301 M307</xm:sqref>
        </x14:dataValidation>
        <x14:dataValidation type="list" allowBlank="1" showInputMessage="1" showErrorMessage="1" xr:uid="{4C330A22-BD02-424A-99A3-6F375CB0A41A}">
          <x14:formula1>
            <xm:f>dropdowns!$J$3:$J$35</xm:f>
          </x14:formula1>
          <xm:sqref>N319</xm:sqref>
        </x14:dataValidation>
        <x14:dataValidation type="list" allowBlank="1" showInputMessage="1" showErrorMessage="1" xr:uid="{B847A3DF-DC35-416B-8ADD-237301EF1C0E}">
          <x14:formula1>
            <xm:f>dropdowns!$J$3:$J$36</xm:f>
          </x14:formula1>
          <xm:sqref>N321:N322</xm:sqref>
        </x14:dataValidation>
        <x14:dataValidation type="list" allowBlank="1" showInputMessage="1" showErrorMessage="1" xr:uid="{390E700E-0DD8-4C32-9B96-827CF297AB70}">
          <x14:formula1>
            <xm:f>dropdowns!$I$3:$I$158</xm:f>
          </x14:formula1>
          <xm:sqref>M325</xm:sqref>
        </x14:dataValidation>
        <x14:dataValidation type="list" allowBlank="1" showInputMessage="1" showErrorMessage="1" xr:uid="{CF86D31B-778B-4BD6-8446-B3440D2C0F76}">
          <x14:formula1>
            <xm:f>dropdowns!$J$3:$J$39</xm:f>
          </x14:formula1>
          <xm:sqref>N325</xm:sqref>
        </x14:dataValidation>
        <x14:dataValidation type="list" allowBlank="1" showInputMessage="1" showErrorMessage="1" xr:uid="{1ED89754-1257-438A-8C01-6875E8077915}">
          <x14:formula1>
            <xm:f>dropdowns!$I$3:$I$162</xm:f>
          </x14:formula1>
          <xm:sqref>M326:M327 M336</xm:sqref>
        </x14:dataValidation>
        <x14:dataValidation type="list" allowBlank="1" showInputMessage="1" showErrorMessage="1" xr:uid="{278813FA-B0E5-4334-915A-336B52D0E6C1}">
          <x14:formula1>
            <xm:f>dropdowns!$J$3:$J$40</xm:f>
          </x14:formula1>
          <xm:sqref>N326:N327 N336</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tabColor rgb="FF92D050"/>
  </sheetPr>
  <dimension ref="A2:O46"/>
  <sheetViews>
    <sheetView view="pageBreakPreview" zoomScale="90" zoomScaleSheetLayoutView="90" workbookViewId="0">
      <selection activeCell="F37" sqref="F37"/>
    </sheetView>
  </sheetViews>
  <sheetFormatPr defaultColWidth="8.85546875" defaultRowHeight="12.75"/>
  <cols>
    <col min="1" max="1" width="23.85546875" style="871" customWidth="1"/>
    <col min="2" max="2" width="164.85546875" style="986" customWidth="1"/>
    <col min="3" max="3" width="24.85546875" style="964" bestFit="1" customWidth="1"/>
    <col min="4" max="4" width="22.85546875" style="964" customWidth="1"/>
    <col min="5" max="5" width="1" style="965" customWidth="1"/>
    <col min="6" max="6" width="12" style="871" customWidth="1"/>
    <col min="7" max="7" width="18.85546875" style="871" customWidth="1"/>
    <col min="8" max="16384" width="8.85546875" style="871"/>
  </cols>
  <sheetData>
    <row r="2" spans="1:15" ht="15.75">
      <c r="A2" s="869" t="str">
        <f>'Data Input'!A1&amp;" - "&amp;'Data Input'!B1</f>
        <v>PROGRAMME: - MARINA VILLAGE (PROGRAMME 1_TRIPLE BAY)</v>
      </c>
      <c r="B2" s="869"/>
    </row>
    <row r="3" spans="1:15" ht="15.75">
      <c r="A3" s="869" t="str">
        <f>'Data Input'!A2&amp;" - "&amp;'Data Input'!B2</f>
        <v>PROGRAMME CODE: - 1TB01003</v>
      </c>
      <c r="B3" s="869"/>
    </row>
    <row r="4" spans="1:15" ht="15.75">
      <c r="A4" s="869" t="str">
        <f>'Data Input'!A3&amp;" - "&amp;'Data Input'!B3</f>
        <v>ASSET NAME: - AMAALA YACHT CLUB</v>
      </c>
      <c r="B4" s="883"/>
    </row>
    <row r="5" spans="1:15" ht="15.75">
      <c r="A5" s="869" t="str">
        <f>'Data Input'!A4&amp;" - "&amp;'Data Input'!B4</f>
        <v>ASSET CODE: - 1TB01003.01</v>
      </c>
      <c r="B5" s="889"/>
    </row>
    <row r="6" spans="1:15" ht="15.75">
      <c r="A6" s="869" t="str">
        <f>'Data Input'!A7&amp;" - "&amp;'Data Input'!B7</f>
        <v>REPORT NO: - MONTHLY REPORT NO. 49</v>
      </c>
      <c r="B6" s="889"/>
    </row>
    <row r="7" spans="1:15" s="970" customFormat="1" ht="15.75">
      <c r="A7" s="869" t="str">
        <f>'Data Input'!A8&amp;" - "&amp;'Data Input'!B8</f>
        <v>REPORTING PERIOD: - OCTOBER 2026</v>
      </c>
      <c r="B7" s="889"/>
      <c r="C7" s="966"/>
      <c r="D7" s="966"/>
      <c r="E7" s="967"/>
      <c r="F7" s="968"/>
      <c r="G7" s="969"/>
    </row>
    <row r="8" spans="1:15" s="970" customFormat="1" ht="14.25">
      <c r="A8" s="972"/>
      <c r="B8" s="973"/>
      <c r="C8" s="974"/>
      <c r="D8" s="974"/>
      <c r="E8" s="971"/>
    </row>
    <row r="10" spans="1:15" ht="15" customHeight="1">
      <c r="A10" s="5668" t="s">
        <v>1332</v>
      </c>
      <c r="B10" s="5670" t="s">
        <v>292</v>
      </c>
      <c r="C10" s="5668" t="s">
        <v>1333</v>
      </c>
      <c r="D10" s="5666" t="s">
        <v>1334</v>
      </c>
    </row>
    <row r="11" spans="1:15" ht="12.75" customHeight="1">
      <c r="A11" s="5669"/>
      <c r="B11" s="5671"/>
      <c r="C11" s="5669"/>
      <c r="D11" s="5667"/>
    </row>
    <row r="12" spans="1:15" s="965" customFormat="1">
      <c r="A12" s="2766"/>
      <c r="B12" s="975"/>
      <c r="C12" s="2767"/>
      <c r="D12" s="976"/>
      <c r="F12" s="871"/>
      <c r="G12" s="871"/>
      <c r="H12" s="871"/>
      <c r="I12" s="871"/>
      <c r="J12" s="871"/>
      <c r="K12" s="871"/>
      <c r="L12" s="871"/>
      <c r="M12" s="871"/>
      <c r="N12" s="871"/>
      <c r="O12" s="871"/>
    </row>
    <row r="13" spans="1:15" ht="18">
      <c r="A13" s="2768">
        <v>1</v>
      </c>
      <c r="B13" s="977" t="s">
        <v>1335</v>
      </c>
      <c r="C13" s="2769"/>
      <c r="D13" s="978"/>
    </row>
    <row r="14" spans="1:15" s="965" customFormat="1" ht="20.25" customHeight="1">
      <c r="A14" s="2770">
        <v>1.01</v>
      </c>
      <c r="B14" s="983" t="s">
        <v>2202</v>
      </c>
      <c r="C14" s="2771"/>
      <c r="D14" s="991"/>
      <c r="F14" s="871"/>
      <c r="G14" s="871"/>
      <c r="H14" s="871"/>
      <c r="I14" s="871"/>
      <c r="J14" s="871"/>
      <c r="K14" s="871"/>
      <c r="L14" s="871"/>
      <c r="M14" s="871"/>
      <c r="N14" s="871"/>
      <c r="O14" s="871"/>
    </row>
    <row r="15" spans="1:15" ht="20.25" customHeight="1">
      <c r="A15" s="2772">
        <v>1.02</v>
      </c>
      <c r="B15" s="979" t="s">
        <v>2201</v>
      </c>
      <c r="C15" s="2771"/>
      <c r="D15" s="2771"/>
    </row>
    <row r="16" spans="1:15" ht="20.25" customHeight="1">
      <c r="A16" s="2772">
        <v>1.03</v>
      </c>
      <c r="B16" s="979" t="s">
        <v>2200</v>
      </c>
      <c r="C16" s="2773"/>
      <c r="D16" s="992"/>
    </row>
    <row r="17" spans="1:4" ht="22.5" customHeight="1">
      <c r="A17" s="2772">
        <v>1.04</v>
      </c>
      <c r="B17" s="979" t="s">
        <v>2199</v>
      </c>
      <c r="C17" s="2773"/>
      <c r="D17" s="992"/>
    </row>
    <row r="18" spans="1:4" ht="22.5" customHeight="1">
      <c r="A18" s="2772">
        <v>1.05</v>
      </c>
      <c r="B18" s="979" t="s">
        <v>2198</v>
      </c>
      <c r="C18" s="2773"/>
      <c r="D18" s="992"/>
    </row>
    <row r="19" spans="1:4" ht="22.5" customHeight="1">
      <c r="A19" s="2772">
        <v>1.06</v>
      </c>
      <c r="B19" s="979" t="s">
        <v>2277</v>
      </c>
      <c r="C19" s="2773"/>
      <c r="D19" s="992"/>
    </row>
    <row r="20" spans="1:4" ht="27.75" customHeight="1">
      <c r="A20" s="2772">
        <v>1.07</v>
      </c>
      <c r="B20" s="979" t="s">
        <v>2555</v>
      </c>
      <c r="C20" s="2773"/>
      <c r="D20" s="992"/>
    </row>
    <row r="21" spans="1:4" ht="20.25" customHeight="1">
      <c r="A21" s="2772">
        <v>1.08</v>
      </c>
      <c r="B21" s="979" t="s">
        <v>2331</v>
      </c>
      <c r="C21" s="2774"/>
      <c r="D21" s="992"/>
    </row>
    <row r="22" spans="1:4" ht="15.75" customHeight="1">
      <c r="A22" s="2772">
        <v>1.0900000000000001</v>
      </c>
      <c r="B22" s="979" t="s">
        <v>2581</v>
      </c>
      <c r="C22" s="2774"/>
      <c r="D22" s="992"/>
    </row>
    <row r="23" spans="1:4" ht="15.75" customHeight="1">
      <c r="A23" s="2772">
        <v>1.1000000000000001</v>
      </c>
      <c r="B23" s="979" t="s">
        <v>2582</v>
      </c>
      <c r="C23" s="2774"/>
      <c r="D23" s="992"/>
    </row>
    <row r="24" spans="1:4" ht="15.75" customHeight="1">
      <c r="A24" s="2772">
        <v>1.1100000000000001</v>
      </c>
      <c r="B24" s="979" t="s">
        <v>2623</v>
      </c>
      <c r="C24" s="2774"/>
      <c r="D24" s="992"/>
    </row>
    <row r="25" spans="1:4" ht="36" customHeight="1">
      <c r="A25" s="2772">
        <v>1.1200000000000001</v>
      </c>
      <c r="B25" s="979" t="s">
        <v>2713</v>
      </c>
      <c r="C25" s="2774"/>
      <c r="D25" s="992"/>
    </row>
    <row r="26" spans="1:4" ht="15.75" customHeight="1">
      <c r="A26" s="2772">
        <v>1.1299999999999999</v>
      </c>
      <c r="B26" s="979" t="s">
        <v>2857</v>
      </c>
      <c r="C26" s="2774"/>
      <c r="D26" s="992"/>
    </row>
    <row r="27" spans="1:4" ht="15.75" customHeight="1">
      <c r="A27" s="2772">
        <v>1.1399999999999999</v>
      </c>
      <c r="B27" s="979" t="s">
        <v>3170</v>
      </c>
      <c r="C27" s="2774"/>
      <c r="D27" s="992"/>
    </row>
    <row r="28" spans="1:4" ht="15.75" customHeight="1">
      <c r="A28" s="2772">
        <v>1.1499999999999999</v>
      </c>
      <c r="B28" s="979" t="s">
        <v>3171</v>
      </c>
      <c r="C28" s="2774"/>
      <c r="D28" s="992"/>
    </row>
    <row r="29" spans="1:4" ht="15.75" customHeight="1">
      <c r="A29" s="2772">
        <v>1.1599999999999999</v>
      </c>
      <c r="B29" s="979" t="s">
        <v>3719</v>
      </c>
      <c r="C29" s="2774"/>
      <c r="D29" s="992"/>
    </row>
    <row r="30" spans="1:4" ht="15.75" customHeight="1">
      <c r="A30" s="2772">
        <v>1.17</v>
      </c>
      <c r="B30" s="979" t="s">
        <v>3616</v>
      </c>
      <c r="C30" s="2774"/>
      <c r="D30" s="992"/>
    </row>
    <row r="31" spans="1:4" ht="15.75" customHeight="1">
      <c r="A31" s="2772">
        <v>1.18</v>
      </c>
      <c r="B31" s="979" t="s">
        <v>3720</v>
      </c>
      <c r="C31" s="2774"/>
      <c r="D31" s="992"/>
    </row>
    <row r="32" spans="1:4" ht="15.75" customHeight="1">
      <c r="A32" s="2772">
        <v>1.19</v>
      </c>
      <c r="B32" s="979" t="s">
        <v>4364</v>
      </c>
      <c r="C32" s="2774"/>
      <c r="D32" s="992"/>
    </row>
    <row r="33" spans="1:15" ht="15.75" customHeight="1">
      <c r="A33" s="2772">
        <v>1.2</v>
      </c>
      <c r="B33" s="979" t="s">
        <v>4529</v>
      </c>
      <c r="C33" s="2774"/>
      <c r="D33" s="992"/>
    </row>
    <row r="34" spans="1:15" ht="15.75" customHeight="1">
      <c r="A34" s="2772">
        <v>1.21</v>
      </c>
      <c r="B34" s="979" t="s">
        <v>4527</v>
      </c>
      <c r="C34" s="2774"/>
      <c r="D34" s="992"/>
    </row>
    <row r="35" spans="1:15" ht="15.75" customHeight="1">
      <c r="A35" s="2772">
        <v>1.22</v>
      </c>
      <c r="B35" s="979" t="s">
        <v>4528</v>
      </c>
      <c r="C35" s="2774"/>
      <c r="D35" s="992"/>
    </row>
    <row r="36" spans="1:15" ht="15.75" customHeight="1">
      <c r="A36" s="2772">
        <v>1.23</v>
      </c>
      <c r="B36" s="979" t="s">
        <v>4530</v>
      </c>
      <c r="C36" s="2774"/>
      <c r="D36" s="992"/>
    </row>
    <row r="37" spans="1:15" ht="15.75" customHeight="1">
      <c r="A37" s="2772">
        <v>1.24</v>
      </c>
      <c r="B37" s="979" t="s">
        <v>4531</v>
      </c>
      <c r="C37" s="2774"/>
      <c r="D37" s="992"/>
    </row>
    <row r="38" spans="1:15">
      <c r="A38" s="2772"/>
      <c r="B38" s="979"/>
      <c r="C38" s="2774"/>
      <c r="D38" s="992"/>
    </row>
    <row r="39" spans="1:15" s="965" customFormat="1" ht="18">
      <c r="A39" s="2775">
        <v>2</v>
      </c>
      <c r="B39" s="980" t="s">
        <v>1336</v>
      </c>
      <c r="C39" s="2776"/>
      <c r="D39" s="981"/>
      <c r="F39" s="871"/>
      <c r="G39" s="871"/>
      <c r="H39" s="871"/>
      <c r="I39" s="871"/>
      <c r="J39" s="871"/>
      <c r="K39" s="871"/>
      <c r="L39" s="871"/>
      <c r="M39" s="871"/>
      <c r="N39" s="871"/>
      <c r="O39" s="871"/>
    </row>
    <row r="40" spans="1:15" s="982" customFormat="1">
      <c r="A40" s="2770">
        <v>2.0099999999999998</v>
      </c>
      <c r="B40" s="979"/>
      <c r="C40" s="2777"/>
      <c r="D40" s="2778"/>
      <c r="F40" s="871"/>
      <c r="G40" s="871"/>
      <c r="H40" s="871"/>
      <c r="I40" s="871"/>
      <c r="J40" s="871"/>
      <c r="K40" s="871"/>
      <c r="L40" s="871"/>
      <c r="M40" s="871"/>
      <c r="N40" s="871"/>
      <c r="O40" s="871"/>
    </row>
    <row r="41" spans="1:15" s="965" customFormat="1">
      <c r="A41" s="2770">
        <v>2.02</v>
      </c>
      <c r="B41" s="979"/>
      <c r="C41" s="2778"/>
      <c r="D41" s="2778"/>
      <c r="F41" s="871"/>
      <c r="G41" s="871"/>
      <c r="H41" s="871"/>
      <c r="I41" s="871"/>
      <c r="J41" s="871"/>
      <c r="K41" s="871"/>
      <c r="L41" s="871"/>
      <c r="M41" s="871"/>
      <c r="N41" s="871"/>
      <c r="O41" s="871"/>
    </row>
    <row r="42" spans="1:15" s="965" customFormat="1">
      <c r="A42" s="2770">
        <v>2.0299999999999998</v>
      </c>
      <c r="B42" s="983"/>
      <c r="C42" s="2778"/>
      <c r="D42" s="984"/>
      <c r="F42" s="871"/>
      <c r="G42" s="985"/>
      <c r="H42" s="871"/>
      <c r="I42" s="871"/>
      <c r="J42" s="871"/>
      <c r="K42" s="871"/>
      <c r="L42" s="871"/>
      <c r="M42" s="871"/>
      <c r="N42" s="871"/>
      <c r="O42" s="871"/>
    </row>
    <row r="43" spans="1:15">
      <c r="C43" s="987"/>
      <c r="D43" s="987"/>
    </row>
    <row r="44" spans="1:15" ht="13.5" thickBot="1">
      <c r="C44" s="988">
        <f>SUM(C13:C42)</f>
        <v>0</v>
      </c>
      <c r="D44" s="988">
        <f>SUM(D13:D42)</f>
        <v>0</v>
      </c>
    </row>
    <row r="45" spans="1:15" ht="13.5" thickTop="1">
      <c r="C45" s="987"/>
      <c r="D45" s="987"/>
    </row>
    <row r="46" spans="1:15">
      <c r="B46" s="989" t="s">
        <v>334</v>
      </c>
      <c r="C46" s="990">
        <f>C44+D44</f>
        <v>0</v>
      </c>
      <c r="D46" s="987"/>
    </row>
  </sheetData>
  <mergeCells count="4">
    <mergeCell ref="D10:D11"/>
    <mergeCell ref="A10:A11"/>
    <mergeCell ref="B10:B11"/>
    <mergeCell ref="C10:C11"/>
  </mergeCells>
  <printOptions horizontalCentered="1"/>
  <pageMargins left="0.25" right="0.25" top="0.75" bottom="0.75" header="0.3" footer="0.3"/>
  <pageSetup paperSize="8" scale="77" fitToHeight="2" orientation="landscape" r:id="rId1"/>
  <headerFooter>
    <oddHeader>&amp;C&amp;"Calibri,Bold"&amp;18MONTHLY REPORT - RISK AND OPPORTUNITIES</oddHeader>
    <oddFooter>&amp;L1TB.01.003.01 - AYC 
MARCH'26 REPORT&amp;C&amp;A&amp;RPage &amp;P of &amp;N</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pageSetUpPr fitToPage="1"/>
  </sheetPr>
  <dimension ref="A4:BW351"/>
  <sheetViews>
    <sheetView showZeros="0" view="pageBreakPreview" topLeftCell="J1" zoomScale="70" zoomScaleNormal="70" zoomScaleSheetLayoutView="70" workbookViewId="0">
      <selection activeCell="B6" sqref="B6"/>
    </sheetView>
  </sheetViews>
  <sheetFormatPr defaultColWidth="9" defaultRowHeight="15" outlineLevelCol="1"/>
  <cols>
    <col min="1" max="1" width="17.85546875" style="29" customWidth="1"/>
    <col min="2" max="2" width="43" style="29" customWidth="1"/>
    <col min="3" max="3" width="14" style="30" hidden="1" customWidth="1" outlineLevel="1"/>
    <col min="4" max="4" width="14.5703125" style="30" hidden="1" customWidth="1" collapsed="1"/>
    <col min="5" max="5" width="9" style="29" hidden="1" customWidth="1" outlineLevel="1"/>
    <col min="6" max="6" width="10" style="29" hidden="1" customWidth="1" outlineLevel="1"/>
    <col min="7" max="7" width="14" style="29" hidden="1" customWidth="1" outlineLevel="1"/>
    <col min="8" max="8" width="19.85546875" style="29" hidden="1" customWidth="1" outlineLevel="1"/>
    <col min="9" max="9" width="9" style="29" hidden="1" customWidth="1" outlineLevel="1"/>
    <col min="10" max="10" width="14.5703125" style="29" customWidth="1" collapsed="1"/>
    <col min="11" max="11" width="8.42578125" style="29" customWidth="1"/>
    <col min="12" max="12" width="13.85546875" style="29" customWidth="1"/>
    <col min="13" max="13" width="21.85546875" style="29" customWidth="1"/>
    <col min="14" max="14" width="9" style="29" customWidth="1"/>
    <col min="15" max="15" width="16.42578125" style="29" customWidth="1"/>
    <col min="16" max="18" width="16.42578125" style="29" customWidth="1" outlineLevel="1"/>
    <col min="19" max="19" width="19.85546875" style="29" customWidth="1" outlineLevel="1"/>
    <col min="20" max="20" width="19.42578125" style="29" customWidth="1" outlineLevel="1"/>
    <col min="21" max="21" width="22" style="29" customWidth="1" outlineLevel="1"/>
    <col min="22" max="22" width="9" style="29"/>
    <col min="23" max="23" width="13.5703125" style="29" customWidth="1"/>
    <col min="24" max="24" width="19" style="29" customWidth="1"/>
    <col min="25" max="25" width="12.85546875" style="29" customWidth="1"/>
    <col min="26" max="26" width="12.85546875" style="29" hidden="1" customWidth="1" outlineLevel="1"/>
    <col min="27" max="27" width="16.42578125" style="29" hidden="1" customWidth="1" outlineLevel="1"/>
    <col min="28" max="28" width="19.85546875" style="29" hidden="1" customWidth="1" outlineLevel="1"/>
    <col min="29" max="30" width="19" style="29" hidden="1" customWidth="1" outlineLevel="1"/>
    <col min="31" max="31" width="20.85546875" style="29" hidden="1" customWidth="1" outlineLevel="1"/>
    <col min="32" max="32" width="23.5703125" style="29" hidden="1" customWidth="1" outlineLevel="1"/>
    <col min="33" max="34" width="23" style="29" hidden="1" customWidth="1" outlineLevel="1"/>
    <col min="35" max="35" width="0.85546875" style="29" customWidth="1" collapsed="1"/>
    <col min="36" max="36" width="9" style="29" customWidth="1" outlineLevel="1"/>
    <col min="37" max="37" width="13" style="29" customWidth="1" outlineLevel="1"/>
    <col min="38" max="38" width="2.5703125" style="29" customWidth="1"/>
    <col min="39" max="41" width="19" style="29" hidden="1" customWidth="1" outlineLevel="1"/>
    <col min="42" max="44" width="25.85546875" style="29" hidden="1" customWidth="1" outlineLevel="1"/>
    <col min="45" max="45" width="19" style="29" hidden="1" customWidth="1" outlineLevel="1"/>
    <col min="46" max="46" width="0.5703125" style="29" customWidth="1" collapsed="1"/>
    <col min="47" max="47" width="9" style="29" customWidth="1" outlineLevel="1"/>
    <col min="48" max="52" width="11" style="29" customWidth="1" outlineLevel="1"/>
    <col min="53" max="53" width="14" style="29" customWidth="1" outlineLevel="1"/>
    <col min="54" max="54" width="0.85546875" style="29" customWidth="1"/>
    <col min="55" max="56" width="14" style="29" hidden="1" customWidth="1" outlineLevel="1"/>
    <col min="57" max="57" width="16.85546875" style="29" hidden="1" customWidth="1" outlineLevel="1"/>
    <col min="58" max="61" width="22.85546875" style="29" hidden="1" customWidth="1" outlineLevel="1"/>
    <col min="62" max="62" width="9" style="29" collapsed="1"/>
    <col min="63" max="64" width="9" style="29"/>
    <col min="65" max="67" width="10.42578125" style="29" bestFit="1" customWidth="1"/>
    <col min="68" max="68" width="15.85546875" style="29" bestFit="1" customWidth="1"/>
    <col min="69" max="69" width="13.85546875" style="39" customWidth="1" outlineLevel="1"/>
    <col min="70" max="70" width="17" style="39" customWidth="1" outlineLevel="1"/>
    <col min="71" max="71" width="45.5703125" style="29" customWidth="1"/>
    <col min="72" max="72" width="9" style="29"/>
    <col min="73" max="73" width="13" style="29" customWidth="1"/>
    <col min="74" max="74" width="12.42578125" style="29" customWidth="1"/>
    <col min="75" max="76" width="13.85546875" style="29" customWidth="1"/>
    <col min="77" max="77" width="14.85546875" style="29" customWidth="1"/>
    <col min="78" max="78" width="12.85546875" style="29" customWidth="1"/>
    <col min="79" max="79" width="12.5703125" style="29" customWidth="1"/>
    <col min="80" max="80" width="13" style="29" customWidth="1"/>
    <col min="81" max="16384" width="9" style="29"/>
  </cols>
  <sheetData>
    <row r="4" spans="1:71" ht="15.75" thickBot="1"/>
    <row r="5" spans="1:71" ht="19.5" customHeight="1" thickBot="1">
      <c r="A5" s="128" t="s">
        <v>832</v>
      </c>
      <c r="B5" s="45" t="s">
        <v>833</v>
      </c>
      <c r="D5" s="46" t="s">
        <v>834</v>
      </c>
      <c r="E5" s="47"/>
      <c r="F5" s="47"/>
      <c r="G5" s="48"/>
      <c r="H5" s="48"/>
      <c r="I5" s="48"/>
      <c r="J5" s="47"/>
      <c r="K5" s="47"/>
      <c r="L5" s="48"/>
      <c r="M5" s="48"/>
      <c r="N5" s="31" t="s">
        <v>821</v>
      </c>
      <c r="O5" s="48"/>
      <c r="P5" s="48"/>
      <c r="Q5" s="48"/>
      <c r="R5" s="48"/>
      <c r="S5" s="48"/>
      <c r="T5" s="48"/>
      <c r="U5" s="48"/>
      <c r="V5" s="47"/>
      <c r="W5" s="48"/>
      <c r="X5" s="48"/>
      <c r="Y5" s="48"/>
      <c r="Z5" s="48"/>
      <c r="AA5" s="48"/>
      <c r="AB5" s="48"/>
      <c r="AC5" s="48"/>
      <c r="AD5" s="48"/>
      <c r="AE5" s="48"/>
      <c r="AF5" s="48"/>
      <c r="AG5" s="48"/>
      <c r="AH5" s="48"/>
      <c r="AI5" s="48"/>
      <c r="AJ5" s="47"/>
      <c r="AK5" s="48"/>
      <c r="AL5" s="48"/>
      <c r="AM5" s="48"/>
      <c r="AN5" s="48"/>
      <c r="AO5" s="48"/>
      <c r="AP5" s="48"/>
      <c r="AQ5" s="48"/>
      <c r="AR5" s="48"/>
      <c r="AS5" s="48"/>
      <c r="AT5" s="48"/>
      <c r="AU5" s="47"/>
      <c r="AV5" s="48"/>
      <c r="AW5" s="48"/>
      <c r="AX5" s="48"/>
      <c r="AY5" s="48"/>
      <c r="AZ5" s="48"/>
      <c r="BA5" s="48"/>
      <c r="BB5" s="48"/>
      <c r="BC5" s="48"/>
      <c r="BD5" s="48"/>
      <c r="BE5" s="48"/>
      <c r="BF5" s="48"/>
      <c r="BG5" s="48"/>
      <c r="BH5" s="48"/>
      <c r="BI5" s="48"/>
      <c r="BJ5" s="5689" t="s">
        <v>835</v>
      </c>
      <c r="BK5" s="5690"/>
      <c r="BL5" s="5690"/>
      <c r="BM5" s="5690"/>
      <c r="BN5" s="5690"/>
      <c r="BO5" s="5690"/>
      <c r="BP5" s="5691"/>
      <c r="BQ5" s="49"/>
      <c r="BR5" s="49"/>
      <c r="BS5" s="48"/>
    </row>
    <row r="6" spans="1:71" ht="18" thickBot="1">
      <c r="A6" s="128" t="s">
        <v>836</v>
      </c>
      <c r="B6" s="50" t="s">
        <v>837</v>
      </c>
      <c r="D6" s="46" t="s">
        <v>838</v>
      </c>
      <c r="E6" s="47"/>
      <c r="F6" s="47"/>
      <c r="G6" s="48"/>
      <c r="H6" s="48"/>
      <c r="I6" s="48"/>
      <c r="J6" s="47"/>
      <c r="K6" s="47"/>
      <c r="L6" s="48"/>
      <c r="M6" s="48"/>
      <c r="N6" s="2612" t="s">
        <v>823</v>
      </c>
      <c r="O6" s="51"/>
      <c r="P6" s="51"/>
      <c r="Q6" s="51"/>
      <c r="R6" s="51"/>
      <c r="S6" s="51"/>
      <c r="T6" s="51"/>
      <c r="U6" s="51"/>
      <c r="V6" s="47"/>
      <c r="W6" s="48"/>
      <c r="X6" s="48"/>
      <c r="Y6" s="48"/>
      <c r="Z6" s="48"/>
      <c r="AA6" s="48"/>
      <c r="AB6" s="48"/>
      <c r="AC6" s="48"/>
      <c r="AD6" s="48"/>
      <c r="AE6" s="48"/>
      <c r="AF6" s="48"/>
      <c r="AG6" s="48"/>
      <c r="AH6" s="48"/>
      <c r="AI6" s="48"/>
      <c r="AJ6" s="47"/>
      <c r="AK6" s="48"/>
      <c r="AL6" s="48"/>
      <c r="AM6" s="48"/>
      <c r="AN6" s="48"/>
      <c r="AO6" s="48"/>
      <c r="AP6" s="48"/>
      <c r="AQ6" s="48"/>
      <c r="AR6" s="48"/>
      <c r="AS6" s="48"/>
      <c r="AT6" s="48"/>
      <c r="AU6" s="47"/>
      <c r="AV6" s="48"/>
      <c r="AW6" s="48"/>
      <c r="AX6" s="48"/>
      <c r="AY6" s="48"/>
      <c r="AZ6" s="48"/>
      <c r="BA6" s="48"/>
      <c r="BB6" s="48"/>
      <c r="BC6" s="48"/>
      <c r="BD6" s="48"/>
      <c r="BE6" s="48"/>
      <c r="BF6" s="48"/>
      <c r="BG6" s="48"/>
      <c r="BH6" s="48"/>
      <c r="BI6" s="48"/>
      <c r="BJ6" s="5692"/>
      <c r="BK6" s="5693"/>
      <c r="BL6" s="5692" t="s">
        <v>839</v>
      </c>
      <c r="BM6" s="5693"/>
      <c r="BN6" s="5692" t="s">
        <v>567</v>
      </c>
      <c r="BO6" s="5693"/>
      <c r="BP6" s="43" t="s">
        <v>569</v>
      </c>
      <c r="BQ6" s="52"/>
      <c r="BR6" s="49"/>
      <c r="BS6" s="48"/>
    </row>
    <row r="7" spans="1:71" ht="17.25">
      <c r="A7" s="128" t="s">
        <v>840</v>
      </c>
      <c r="B7" s="23" t="e">
        <f>#REF!</f>
        <v>#REF!</v>
      </c>
      <c r="D7" s="23">
        <v>42149</v>
      </c>
      <c r="E7" s="47"/>
      <c r="F7" s="5694"/>
      <c r="G7" s="5694"/>
      <c r="H7" s="5694"/>
      <c r="I7" s="48"/>
      <c r="J7" s="47"/>
      <c r="K7" s="53"/>
      <c r="L7" s="53"/>
      <c r="M7" s="53"/>
      <c r="N7" s="2613" t="s">
        <v>826</v>
      </c>
      <c r="O7" s="51" t="s">
        <v>841</v>
      </c>
      <c r="P7" s="51"/>
      <c r="Q7" s="51"/>
      <c r="R7" s="51"/>
      <c r="S7" s="51"/>
      <c r="T7" s="51"/>
      <c r="U7" s="51"/>
      <c r="V7" s="47"/>
      <c r="W7" s="48"/>
      <c r="X7" s="48"/>
      <c r="Y7" s="48"/>
      <c r="Z7" s="48"/>
      <c r="AA7" s="48"/>
      <c r="AB7" s="48"/>
      <c r="AC7" s="48"/>
      <c r="AD7" s="48"/>
      <c r="AE7" s="48"/>
      <c r="AF7" s="48"/>
      <c r="AG7" s="48"/>
      <c r="AH7" s="48"/>
      <c r="AI7" s="48"/>
      <c r="AJ7" s="47"/>
      <c r="AK7" s="48"/>
      <c r="AL7" s="48"/>
      <c r="AM7" s="48"/>
      <c r="AN7" s="48"/>
      <c r="AO7" s="48"/>
      <c r="AP7" s="48"/>
      <c r="AQ7" s="48"/>
      <c r="AR7" s="48"/>
      <c r="AS7" s="48"/>
      <c r="AT7" s="48"/>
      <c r="AU7" s="47"/>
      <c r="AV7" s="48"/>
      <c r="AW7" s="48"/>
      <c r="AX7" s="48"/>
      <c r="AY7" s="48"/>
      <c r="AZ7" s="48"/>
      <c r="BA7" s="48"/>
      <c r="BB7" s="48"/>
      <c r="BC7" s="48"/>
      <c r="BD7" s="48"/>
      <c r="BE7" s="48"/>
      <c r="BF7" s="48"/>
      <c r="BG7" s="48"/>
      <c r="BH7" s="48"/>
      <c r="BI7" s="48"/>
      <c r="BJ7" s="5695" t="s">
        <v>552</v>
      </c>
      <c r="BK7" s="5696"/>
      <c r="BL7" s="5697">
        <f>COUNTIF($O$22:$O$148,BJ7)</f>
        <v>52</v>
      </c>
      <c r="BM7" s="5698"/>
      <c r="BN7" s="5697">
        <f>COUNTIF($Y$22:$Y$148,BJ7)</f>
        <v>14</v>
      </c>
      <c r="BO7" s="5698"/>
      <c r="BP7" s="54">
        <f>COUNTIF(BP22:BP148,"Cancelled")</f>
        <v>0</v>
      </c>
      <c r="BQ7" s="49"/>
      <c r="BR7" s="49"/>
      <c r="BS7" s="48"/>
    </row>
    <row r="8" spans="1:71" ht="17.45" customHeight="1">
      <c r="A8" s="127"/>
      <c r="B8" s="150"/>
      <c r="D8" s="23"/>
      <c r="E8" s="47"/>
      <c r="F8" s="53"/>
      <c r="G8" s="53"/>
      <c r="H8" s="53"/>
      <c r="I8" s="48"/>
      <c r="J8" s="47"/>
      <c r="K8" s="53"/>
      <c r="L8" s="53"/>
      <c r="M8" s="53"/>
      <c r="N8" s="2614" t="s">
        <v>829</v>
      </c>
      <c r="O8" s="51" t="s">
        <v>842</v>
      </c>
      <c r="P8" s="51"/>
      <c r="Q8" s="51"/>
      <c r="R8" s="51"/>
      <c r="S8" s="51"/>
      <c r="T8" s="51"/>
      <c r="U8" s="51"/>
      <c r="V8" s="47"/>
      <c r="W8" s="48"/>
      <c r="X8" s="48"/>
      <c r="Y8" s="48"/>
      <c r="Z8" s="48"/>
      <c r="AA8" s="48"/>
      <c r="AB8" s="48"/>
      <c r="AC8" s="48"/>
      <c r="AD8" s="48"/>
      <c r="AE8" s="48"/>
      <c r="AF8" s="48"/>
      <c r="AG8" s="48"/>
      <c r="AH8" s="48"/>
      <c r="AI8" s="48"/>
      <c r="AJ8" s="47"/>
      <c r="AK8" s="48"/>
      <c r="AL8" s="48"/>
      <c r="AM8" s="48"/>
      <c r="AN8" s="48"/>
      <c r="AO8" s="48"/>
      <c r="AP8" s="48"/>
      <c r="AQ8" s="48"/>
      <c r="AR8" s="48"/>
      <c r="AS8" s="48"/>
      <c r="AT8" s="48"/>
      <c r="AU8" s="47"/>
      <c r="AV8" s="48"/>
      <c r="AW8" s="48"/>
      <c r="AX8" s="48"/>
      <c r="AY8" s="48"/>
      <c r="AZ8" s="48"/>
      <c r="BA8" s="48"/>
      <c r="BB8" s="48"/>
      <c r="BC8" s="48"/>
      <c r="BD8" s="48"/>
      <c r="BE8" s="48"/>
      <c r="BF8" s="48"/>
      <c r="BG8" s="48"/>
      <c r="BH8" s="48"/>
      <c r="BI8" s="48"/>
      <c r="BJ8" s="5704" t="s">
        <v>843</v>
      </c>
      <c r="BK8" s="5705"/>
      <c r="BL8" s="5702">
        <f>COUNTIF($O$22:$O$148,BJ8)</f>
        <v>26</v>
      </c>
      <c r="BM8" s="5703"/>
      <c r="BN8" s="5702">
        <f>COUNTIF($Y$22:$Y$148,BJ8)</f>
        <v>0</v>
      </c>
      <c r="BO8" s="5703"/>
      <c r="BP8" s="2615">
        <f>COUNTIF(BP20:BP84,"&gt;0")</f>
        <v>0</v>
      </c>
      <c r="BQ8" s="49"/>
      <c r="BR8" s="49"/>
      <c r="BS8" s="48"/>
    </row>
    <row r="9" spans="1:71" ht="17.25">
      <c r="A9" s="44" t="e">
        <f>Index!#REF!&amp;" - "&amp;Index!#REF!</f>
        <v>#REF!</v>
      </c>
      <c r="D9" s="23"/>
      <c r="E9" s="47"/>
      <c r="F9" s="53"/>
      <c r="G9" s="53"/>
      <c r="H9" s="53"/>
      <c r="I9" s="48"/>
      <c r="J9" s="47"/>
      <c r="K9" s="53"/>
      <c r="L9" s="53"/>
      <c r="M9" s="53"/>
      <c r="N9" s="2614" t="s">
        <v>831</v>
      </c>
      <c r="O9" s="51" t="s">
        <v>844</v>
      </c>
      <c r="P9" s="51"/>
      <c r="Q9" s="51"/>
      <c r="R9" s="51"/>
      <c r="S9" s="51"/>
      <c r="T9" s="51"/>
      <c r="U9" s="51"/>
      <c r="V9" s="47"/>
      <c r="W9" s="48"/>
      <c r="X9" s="48"/>
      <c r="Y9" s="48"/>
      <c r="Z9" s="48"/>
      <c r="AA9" s="48"/>
      <c r="AB9" s="48"/>
      <c r="AC9" s="48"/>
      <c r="AD9" s="48"/>
      <c r="AE9" s="48"/>
      <c r="AF9" s="48"/>
      <c r="AG9" s="48"/>
      <c r="AH9" s="48"/>
      <c r="AI9" s="48"/>
      <c r="AJ9" s="47"/>
      <c r="AK9" s="48"/>
      <c r="AL9" s="48"/>
      <c r="AM9" s="48"/>
      <c r="AN9" s="48"/>
      <c r="AO9" s="48"/>
      <c r="AP9" s="48"/>
      <c r="AQ9" s="48"/>
      <c r="AR9" s="48"/>
      <c r="AS9" s="48"/>
      <c r="AT9" s="48"/>
      <c r="AU9" s="47"/>
      <c r="AV9" s="48"/>
      <c r="AW9" s="48"/>
      <c r="AX9" s="48"/>
      <c r="AY9" s="48"/>
      <c r="AZ9" s="48"/>
      <c r="BA9" s="48"/>
      <c r="BB9" s="48"/>
      <c r="BC9" s="48"/>
      <c r="BD9" s="48"/>
      <c r="BE9" s="48"/>
      <c r="BF9" s="48"/>
      <c r="BG9" s="48"/>
      <c r="BH9" s="48"/>
      <c r="BI9" s="48"/>
      <c r="BJ9" s="5713" t="s">
        <v>95</v>
      </c>
      <c r="BK9" s="5714"/>
      <c r="BL9" s="5697">
        <f>COUNTIF($O$22:$O$148,BJ9)</f>
        <v>0</v>
      </c>
      <c r="BM9" s="5698"/>
      <c r="BN9" s="5697">
        <f>COUNTIF($Y$22:$Y$148,BJ9)</f>
        <v>26</v>
      </c>
      <c r="BO9" s="5698"/>
      <c r="BP9" s="2615">
        <f>COUNTIF(BP22:BP148,"&gt;0")</f>
        <v>0</v>
      </c>
      <c r="BQ9" s="49"/>
      <c r="BR9" s="49"/>
      <c r="BS9" s="48"/>
    </row>
    <row r="10" spans="1:71" ht="18" thickBot="1">
      <c r="A10" s="44"/>
      <c r="D10" s="23"/>
      <c r="E10" s="47"/>
      <c r="F10" s="53"/>
      <c r="G10" s="53"/>
      <c r="H10" s="53"/>
      <c r="I10" s="48"/>
      <c r="J10" s="47"/>
      <c r="K10" s="53"/>
      <c r="L10" s="53"/>
      <c r="M10" s="53"/>
      <c r="V10" s="47"/>
      <c r="W10" s="48"/>
      <c r="X10" s="48"/>
      <c r="Y10" s="48"/>
      <c r="Z10" s="48"/>
      <c r="AA10" s="48"/>
      <c r="AB10" s="48"/>
      <c r="AC10" s="48"/>
      <c r="AD10" s="48"/>
      <c r="AE10" s="48"/>
      <c r="AF10" s="48"/>
      <c r="AG10" s="48"/>
      <c r="AH10" s="48"/>
      <c r="AI10" s="48"/>
      <c r="AJ10" s="47"/>
      <c r="AK10" s="48"/>
      <c r="AL10" s="48"/>
      <c r="AM10" s="48"/>
      <c r="AN10" s="48"/>
      <c r="AO10" s="48"/>
      <c r="AP10" s="48"/>
      <c r="AQ10" s="48"/>
      <c r="AR10" s="48"/>
      <c r="AS10" s="48"/>
      <c r="AT10" s="48"/>
      <c r="AU10" s="47"/>
      <c r="AV10" s="48"/>
      <c r="AW10" s="48"/>
      <c r="AX10" s="48"/>
      <c r="AY10" s="48"/>
      <c r="AZ10" s="48"/>
      <c r="BA10" s="48"/>
      <c r="BB10" s="48"/>
      <c r="BC10" s="48"/>
      <c r="BD10" s="48"/>
      <c r="BE10" s="48"/>
      <c r="BF10" s="48"/>
      <c r="BG10" s="48"/>
      <c r="BH10" s="48"/>
      <c r="BI10" s="48"/>
      <c r="BJ10" s="5715" t="s">
        <v>105</v>
      </c>
      <c r="BK10" s="5716"/>
      <c r="BL10" s="5697">
        <f>COUNTIF($O$22:$O$148,BJ10)</f>
        <v>18</v>
      </c>
      <c r="BM10" s="5698"/>
      <c r="BN10" s="5697">
        <f>COUNTIF($Y$22:$Y$148,BJ10)</f>
        <v>17</v>
      </c>
      <c r="BO10" s="5698"/>
      <c r="BP10" s="55">
        <v>0</v>
      </c>
      <c r="BQ10" s="49"/>
      <c r="BR10" s="49"/>
      <c r="BS10" s="48"/>
    </row>
    <row r="11" spans="1:71" ht="17.25" customHeight="1" thickBot="1">
      <c r="D11" s="23"/>
      <c r="E11" s="47"/>
      <c r="F11" s="53"/>
      <c r="G11" s="53"/>
      <c r="H11" s="53"/>
      <c r="I11" s="48"/>
      <c r="J11" s="47"/>
      <c r="K11" s="53"/>
      <c r="L11" s="53"/>
      <c r="M11" s="53"/>
      <c r="N11" s="57"/>
      <c r="O11" s="48"/>
      <c r="P11" s="48"/>
      <c r="Q11" s="48"/>
      <c r="R11" s="48"/>
      <c r="S11" s="48"/>
      <c r="T11" s="48"/>
      <c r="U11" s="48"/>
      <c r="V11" s="47"/>
      <c r="W11" s="48"/>
      <c r="X11" s="48"/>
      <c r="Y11" s="48"/>
      <c r="Z11" s="48"/>
      <c r="AA11" s="48"/>
      <c r="AB11" s="48"/>
      <c r="AC11" s="48"/>
      <c r="AD11" s="48"/>
      <c r="AE11" s="48"/>
      <c r="AF11" s="48"/>
      <c r="AG11" s="48"/>
      <c r="AH11" s="48"/>
      <c r="AI11" s="48"/>
      <c r="AJ11" s="47"/>
      <c r="AK11" s="48"/>
      <c r="AL11" s="48"/>
      <c r="AM11" s="48"/>
      <c r="AN11" s="48"/>
      <c r="AO11" s="48"/>
      <c r="AP11" s="48"/>
      <c r="AQ11" s="48"/>
      <c r="AR11" s="48"/>
      <c r="AS11" s="48"/>
      <c r="AT11" s="48"/>
      <c r="AU11" s="47"/>
      <c r="AV11" s="48"/>
      <c r="AW11" s="48"/>
      <c r="AX11" s="48"/>
      <c r="AY11" s="48"/>
      <c r="AZ11" s="48"/>
      <c r="BA11" s="48"/>
      <c r="BB11" s="48"/>
      <c r="BC11" s="48"/>
      <c r="BD11" s="48"/>
      <c r="BE11" s="48"/>
      <c r="BF11" s="48"/>
      <c r="BG11" s="48"/>
      <c r="BH11" s="48"/>
      <c r="BI11" s="48"/>
      <c r="BJ11" s="5717" t="s">
        <v>845</v>
      </c>
      <c r="BK11" s="5718"/>
      <c r="BL11" s="5719">
        <f>SUM(BL7:BM10)</f>
        <v>96</v>
      </c>
      <c r="BM11" s="5720"/>
      <c r="BN11" s="5719">
        <f>SUM(BN7:BO10)</f>
        <v>57</v>
      </c>
      <c r="BO11" s="5720"/>
      <c r="BP11" s="32">
        <f>SUM(BP7:BQ10)</f>
        <v>0</v>
      </c>
      <c r="BQ11" s="58"/>
      <c r="BR11" s="49"/>
      <c r="BS11" s="48"/>
    </row>
    <row r="12" spans="1:71" ht="17.25" customHeight="1">
      <c r="A12" s="15"/>
      <c r="D12" s="23"/>
      <c r="E12" s="47"/>
      <c r="F12" s="53"/>
      <c r="G12" s="53"/>
      <c r="H12" s="53"/>
      <c r="I12" s="48"/>
      <c r="J12" s="47"/>
      <c r="K12" s="53"/>
      <c r="L12" s="53"/>
      <c r="M12" s="53"/>
      <c r="N12" s="57"/>
      <c r="O12" s="48"/>
      <c r="P12" s="48"/>
      <c r="Q12" s="48"/>
      <c r="R12" s="48"/>
      <c r="S12" s="48"/>
      <c r="T12" s="48"/>
      <c r="U12" s="48"/>
      <c r="V12" s="47"/>
      <c r="W12" s="48"/>
      <c r="X12" s="48"/>
      <c r="Y12" s="48"/>
      <c r="Z12" s="48"/>
      <c r="AA12" s="48"/>
      <c r="AB12" s="48"/>
      <c r="AC12" s="48"/>
      <c r="AD12" s="48"/>
      <c r="AE12" s="48"/>
      <c r="AF12" s="48"/>
      <c r="AG12" s="48"/>
      <c r="AH12" s="48"/>
      <c r="AI12" s="48"/>
      <c r="AJ12" s="47"/>
      <c r="AK12" s="48"/>
      <c r="AL12" s="48"/>
      <c r="AM12" s="48"/>
      <c r="AN12" s="48"/>
      <c r="AO12" s="48"/>
      <c r="AP12" s="48"/>
      <c r="AQ12" s="48"/>
      <c r="AR12" s="48"/>
      <c r="AS12" s="48"/>
      <c r="AT12" s="48"/>
      <c r="AU12" s="47"/>
      <c r="AV12" s="48"/>
      <c r="AW12" s="48"/>
      <c r="AX12" s="48"/>
      <c r="AY12" s="48"/>
      <c r="AZ12" s="48"/>
      <c r="BA12" s="48"/>
      <c r="BB12" s="48"/>
      <c r="BC12" s="48"/>
      <c r="BD12" s="48"/>
      <c r="BE12" s="48"/>
      <c r="BF12" s="48"/>
      <c r="BG12" s="48"/>
      <c r="BH12" s="48"/>
      <c r="BI12" s="48"/>
      <c r="BJ12" s="63"/>
      <c r="BK12" s="64"/>
      <c r="BL12" s="65"/>
      <c r="BM12" s="58"/>
      <c r="BN12" s="65"/>
      <c r="BO12" s="58"/>
      <c r="BP12" s="65"/>
      <c r="BQ12" s="58"/>
      <c r="BR12" s="49"/>
      <c r="BS12" s="48"/>
    </row>
    <row r="13" spans="1:71" ht="21">
      <c r="A13" s="56"/>
      <c r="B13" s="47"/>
      <c r="C13" s="59"/>
      <c r="D13" s="59"/>
      <c r="E13" s="60"/>
      <c r="F13" s="47"/>
      <c r="G13" s="48"/>
      <c r="H13" s="48"/>
      <c r="I13" s="61"/>
      <c r="J13" s="60"/>
      <c r="K13" s="47"/>
      <c r="L13" s="48"/>
      <c r="M13" s="48"/>
      <c r="N13" s="48"/>
      <c r="O13" s="61"/>
      <c r="P13" s="48"/>
      <c r="Q13" s="48"/>
      <c r="R13" s="48"/>
      <c r="S13" s="48"/>
      <c r="T13" s="48"/>
      <c r="U13" s="48"/>
      <c r="V13" s="47"/>
      <c r="W13" s="48"/>
      <c r="X13" s="48"/>
      <c r="Y13" s="48"/>
      <c r="Z13" s="48"/>
      <c r="AA13" s="48"/>
      <c r="AB13" s="48"/>
      <c r="AC13" s="48"/>
      <c r="AD13" s="48"/>
      <c r="AE13" s="48"/>
      <c r="AF13" s="48"/>
      <c r="AG13" s="48"/>
      <c r="AH13" s="48"/>
      <c r="AI13" s="48"/>
      <c r="AJ13" s="47"/>
      <c r="AK13" s="48"/>
      <c r="AL13" s="48"/>
      <c r="AM13" s="48"/>
      <c r="AN13" s="48"/>
      <c r="AO13" s="48"/>
      <c r="AP13" s="48"/>
      <c r="AQ13" s="48"/>
      <c r="AR13" s="48"/>
      <c r="AS13" s="48"/>
      <c r="AT13" s="48"/>
      <c r="AU13" s="47"/>
      <c r="AV13" s="48"/>
      <c r="AW13" s="48"/>
      <c r="AX13" s="48"/>
      <c r="AY13" s="48"/>
      <c r="AZ13" s="48"/>
      <c r="BA13" s="48"/>
      <c r="BB13" s="48"/>
      <c r="BC13" s="48"/>
      <c r="BD13" s="48"/>
      <c r="BE13" s="48"/>
      <c r="BF13" s="48"/>
      <c r="BG13" s="48"/>
      <c r="BH13" s="48"/>
      <c r="BI13" s="48"/>
      <c r="BJ13" s="47"/>
      <c r="BK13" s="48"/>
      <c r="BL13" s="48"/>
      <c r="BM13" s="48"/>
      <c r="BN13" s="48"/>
      <c r="BO13" s="48"/>
      <c r="BP13" s="48"/>
      <c r="BQ13" s="62"/>
      <c r="BR13" s="49"/>
      <c r="BS13" s="48"/>
    </row>
    <row r="14" spans="1:71">
      <c r="B14" s="47"/>
      <c r="C14" s="59"/>
      <c r="D14" s="59"/>
      <c r="E14" s="60"/>
      <c r="F14" s="47"/>
      <c r="G14" s="48"/>
      <c r="H14" s="48"/>
      <c r="I14" s="61"/>
      <c r="J14" s="60"/>
      <c r="K14" s="47"/>
      <c r="L14" s="48"/>
      <c r="M14" s="48"/>
      <c r="N14" s="48"/>
      <c r="O14" s="61"/>
      <c r="P14" s="48"/>
      <c r="Q14" s="48"/>
      <c r="R14" s="48"/>
      <c r="S14" s="48"/>
      <c r="T14" s="48"/>
      <c r="U14" s="48"/>
      <c r="V14" s="47"/>
      <c r="W14" s="48"/>
      <c r="X14" s="48"/>
      <c r="Y14" s="48"/>
      <c r="Z14" s="48"/>
      <c r="AA14" s="48"/>
      <c r="AB14" s="48"/>
      <c r="AC14" s="48"/>
      <c r="AD14" s="48"/>
      <c r="AE14" s="48"/>
      <c r="AF14" s="48"/>
      <c r="AG14" s="48"/>
      <c r="AH14" s="48"/>
      <c r="AI14" s="48"/>
      <c r="AJ14" s="47"/>
      <c r="AK14" s="48"/>
      <c r="AL14" s="48"/>
      <c r="AM14" s="48"/>
      <c r="AN14" s="48"/>
      <c r="AO14" s="48"/>
      <c r="AP14" s="48"/>
      <c r="AQ14" s="48"/>
      <c r="AR14" s="48"/>
      <c r="AS14" s="48"/>
      <c r="AT14" s="48"/>
      <c r="AU14" s="47"/>
      <c r="AV14" s="48"/>
      <c r="AW14" s="48"/>
      <c r="AX14" s="48"/>
      <c r="AY14" s="48"/>
      <c r="AZ14" s="48"/>
      <c r="BA14" s="48"/>
      <c r="BB14" s="48"/>
      <c r="BC14" s="48"/>
      <c r="BD14" s="48"/>
      <c r="BE14" s="48"/>
      <c r="BF14" s="48"/>
      <c r="BG14" s="48"/>
      <c r="BH14" s="48"/>
      <c r="BI14" s="48"/>
      <c r="BJ14" s="47"/>
      <c r="BK14" s="48"/>
      <c r="BL14" s="48"/>
      <c r="BM14" s="48"/>
      <c r="BN14" s="48"/>
      <c r="BO14" s="48"/>
      <c r="BP14" s="48"/>
      <c r="BQ14" s="62"/>
      <c r="BR14" s="49"/>
      <c r="BS14" s="48"/>
    </row>
    <row r="15" spans="1:71" ht="15.75" thickBot="1">
      <c r="A15" s="33"/>
      <c r="B15" s="33"/>
      <c r="C15" s="34"/>
      <c r="D15" s="34"/>
      <c r="E15" s="2616"/>
      <c r="F15" s="2617"/>
      <c r="G15" s="2617"/>
      <c r="H15" s="2617"/>
      <c r="I15" s="2618"/>
      <c r="J15" s="2616"/>
      <c r="K15" s="2617"/>
      <c r="L15" s="2617"/>
      <c r="M15" s="2617"/>
      <c r="N15" s="2617"/>
      <c r="O15" s="2618"/>
      <c r="P15" s="2617"/>
      <c r="Q15" s="2617"/>
      <c r="R15" s="2617"/>
      <c r="S15" s="2617"/>
      <c r="T15" s="2617"/>
      <c r="U15" s="2617"/>
      <c r="V15" s="2617"/>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2619"/>
      <c r="BR15" s="35"/>
      <c r="BS15" s="33"/>
    </row>
    <row r="16" spans="1:71" s="66" customFormat="1" ht="24" customHeight="1" thickBot="1">
      <c r="A16" s="5727" t="s">
        <v>561</v>
      </c>
      <c r="B16" s="5730" t="s">
        <v>562</v>
      </c>
      <c r="C16" s="5733" t="s">
        <v>563</v>
      </c>
      <c r="D16" s="5733" t="s">
        <v>563</v>
      </c>
      <c r="E16" s="5736" t="s">
        <v>846</v>
      </c>
      <c r="F16" s="5737"/>
      <c r="G16" s="5737"/>
      <c r="H16" s="5737"/>
      <c r="I16" s="5738"/>
      <c r="J16" s="5802" t="s">
        <v>839</v>
      </c>
      <c r="K16" s="5803"/>
      <c r="L16" s="5803"/>
      <c r="M16" s="5803"/>
      <c r="N16" s="5803"/>
      <c r="O16" s="5778"/>
      <c r="P16" s="5802" t="s">
        <v>847</v>
      </c>
      <c r="Q16" s="5803"/>
      <c r="R16" s="5803"/>
      <c r="S16" s="5803"/>
      <c r="T16" s="5803"/>
      <c r="U16" s="263"/>
      <c r="V16" s="5677" t="s">
        <v>567</v>
      </c>
      <c r="W16" s="5678"/>
      <c r="X16" s="5678"/>
      <c r="Y16" s="5778"/>
      <c r="Z16" s="5677" t="s">
        <v>848</v>
      </c>
      <c r="AA16" s="5678"/>
      <c r="AB16" s="5678"/>
      <c r="AC16" s="5678"/>
      <c r="AD16" s="5678"/>
      <c r="AE16" s="5678"/>
      <c r="AF16" s="5678"/>
      <c r="AG16" s="5678"/>
      <c r="AH16" s="5678"/>
      <c r="AI16" s="288"/>
      <c r="AJ16" s="5682" t="s">
        <v>570</v>
      </c>
      <c r="AK16" s="5679"/>
      <c r="AL16" s="293"/>
      <c r="AM16" s="5679" t="s">
        <v>849</v>
      </c>
      <c r="AN16" s="5679"/>
      <c r="AO16" s="5679"/>
      <c r="AP16" s="5679"/>
      <c r="AQ16" s="5679"/>
      <c r="AR16" s="5679"/>
      <c r="AS16" s="5679"/>
      <c r="AT16" s="314"/>
      <c r="AU16" s="5672" t="s">
        <v>850</v>
      </c>
      <c r="AV16" s="5673"/>
      <c r="AW16" s="5673"/>
      <c r="AX16" s="5673"/>
      <c r="AY16" s="5673"/>
      <c r="AZ16" s="5673"/>
      <c r="BA16" s="5674"/>
      <c r="BB16" s="327"/>
      <c r="BC16" s="5777" t="s">
        <v>851</v>
      </c>
      <c r="BD16" s="5777"/>
      <c r="BE16" s="5777"/>
      <c r="BF16" s="5777"/>
      <c r="BG16" s="5777"/>
      <c r="BH16" s="5777"/>
      <c r="BI16" s="5777"/>
      <c r="BJ16" s="5743" t="s">
        <v>569</v>
      </c>
      <c r="BK16" s="5743"/>
      <c r="BL16" s="5743"/>
      <c r="BM16" s="5743"/>
      <c r="BN16" s="5743"/>
      <c r="BO16" s="5743"/>
      <c r="BP16" s="5744"/>
      <c r="BQ16" s="5737" t="s">
        <v>572</v>
      </c>
      <c r="BR16" s="5738"/>
      <c r="BS16" s="5745" t="s">
        <v>573</v>
      </c>
    </row>
    <row r="17" spans="1:73" s="66" customFormat="1" ht="15" customHeight="1">
      <c r="A17" s="5728"/>
      <c r="B17" s="5731"/>
      <c r="C17" s="5734"/>
      <c r="D17" s="5734"/>
      <c r="E17" s="5739" t="s">
        <v>575</v>
      </c>
      <c r="F17" s="5741" t="s">
        <v>582</v>
      </c>
      <c r="G17" s="5722" t="s">
        <v>583</v>
      </c>
      <c r="H17" s="5721" t="s">
        <v>852</v>
      </c>
      <c r="I17" s="5724" t="s">
        <v>853</v>
      </c>
      <c r="J17" s="5779" t="s">
        <v>575</v>
      </c>
      <c r="K17" s="5781" t="s">
        <v>582</v>
      </c>
      <c r="L17" s="5784" t="s">
        <v>583</v>
      </c>
      <c r="M17" s="5786" t="s">
        <v>852</v>
      </c>
      <c r="N17" s="5787" t="s">
        <v>853</v>
      </c>
      <c r="O17" s="5790" t="s">
        <v>854</v>
      </c>
      <c r="P17" s="264"/>
      <c r="Q17" s="264"/>
      <c r="R17" s="264"/>
      <c r="S17" s="264"/>
      <c r="T17" s="264"/>
      <c r="U17" s="264"/>
      <c r="V17" s="5793" t="s">
        <v>582</v>
      </c>
      <c r="W17" s="5795" t="s">
        <v>583</v>
      </c>
      <c r="X17" s="5797" t="s">
        <v>855</v>
      </c>
      <c r="Y17" s="5799" t="s">
        <v>856</v>
      </c>
      <c r="Z17" s="278"/>
      <c r="AA17" s="278"/>
      <c r="AB17" s="278"/>
      <c r="AC17" s="278"/>
      <c r="AD17" s="278"/>
      <c r="AE17" s="278"/>
      <c r="AF17" s="278"/>
      <c r="AG17" s="278"/>
      <c r="AH17" s="278"/>
      <c r="AI17" s="289"/>
      <c r="AJ17" s="5747" t="s">
        <v>582</v>
      </c>
      <c r="AK17" s="5749" t="s">
        <v>583</v>
      </c>
      <c r="AL17" s="294"/>
      <c r="AM17" s="315"/>
      <c r="AN17" s="294"/>
      <c r="AO17" s="294"/>
      <c r="AP17" s="294"/>
      <c r="AQ17" s="294"/>
      <c r="AR17" s="294"/>
      <c r="AS17" s="294"/>
      <c r="AT17" s="315"/>
      <c r="AU17" s="5751" t="s">
        <v>582</v>
      </c>
      <c r="AV17" s="5753" t="s">
        <v>583</v>
      </c>
      <c r="AW17" s="5754"/>
      <c r="AX17" s="5754"/>
      <c r="AY17" s="5754"/>
      <c r="AZ17" s="5755"/>
      <c r="BA17" s="5756" t="s">
        <v>855</v>
      </c>
      <c r="BB17" s="315"/>
      <c r="BC17" s="317"/>
      <c r="BD17" s="317"/>
      <c r="BE17" s="317"/>
      <c r="BF17" s="317"/>
      <c r="BG17" s="317"/>
      <c r="BH17" s="317"/>
      <c r="BI17" s="317"/>
      <c r="BJ17" s="5758" t="s">
        <v>582</v>
      </c>
      <c r="BK17" s="5760" t="s">
        <v>583</v>
      </c>
      <c r="BL17" s="5761"/>
      <c r="BM17" s="5761"/>
      <c r="BN17" s="5761"/>
      <c r="BO17" s="5762"/>
      <c r="BP17" s="5770" t="s">
        <v>855</v>
      </c>
      <c r="BQ17" s="5772" t="s">
        <v>595</v>
      </c>
      <c r="BR17" s="5773"/>
      <c r="BS17" s="5746"/>
    </row>
    <row r="18" spans="1:73" s="66" customFormat="1" ht="15" customHeight="1">
      <c r="A18" s="5728"/>
      <c r="B18" s="5731"/>
      <c r="C18" s="5734"/>
      <c r="D18" s="5734"/>
      <c r="E18" s="5739"/>
      <c r="F18" s="5741"/>
      <c r="G18" s="5722"/>
      <c r="H18" s="5722"/>
      <c r="I18" s="5725"/>
      <c r="J18" s="5779"/>
      <c r="K18" s="5782"/>
      <c r="L18" s="5784"/>
      <c r="M18" s="5784"/>
      <c r="N18" s="5788"/>
      <c r="O18" s="5791"/>
      <c r="P18" s="264" t="s">
        <v>857</v>
      </c>
      <c r="Q18" s="264" t="s">
        <v>858</v>
      </c>
      <c r="R18" s="5804" t="s">
        <v>859</v>
      </c>
      <c r="S18" s="5804" t="s">
        <v>860</v>
      </c>
      <c r="T18" s="5804" t="s">
        <v>861</v>
      </c>
      <c r="U18" s="5804" t="s">
        <v>862</v>
      </c>
      <c r="V18" s="5793"/>
      <c r="W18" s="5795"/>
      <c r="X18" s="5797"/>
      <c r="Y18" s="5800"/>
      <c r="Z18" s="278" t="s">
        <v>857</v>
      </c>
      <c r="AA18" s="5675" t="s">
        <v>858</v>
      </c>
      <c r="AB18" s="5675" t="s">
        <v>863</v>
      </c>
      <c r="AC18" s="5675" t="s">
        <v>119</v>
      </c>
      <c r="AD18" s="5675" t="s">
        <v>126</v>
      </c>
      <c r="AE18" s="5675" t="s">
        <v>864</v>
      </c>
      <c r="AF18" s="5675" t="s">
        <v>865</v>
      </c>
      <c r="AG18" s="5675" t="s">
        <v>866</v>
      </c>
      <c r="AH18" s="5675" t="s">
        <v>867</v>
      </c>
      <c r="AI18" s="289"/>
      <c r="AJ18" s="5747"/>
      <c r="AK18" s="5749"/>
      <c r="AL18" s="294"/>
      <c r="AM18" s="5680" t="s">
        <v>868</v>
      </c>
      <c r="AN18" s="5681" t="s">
        <v>869</v>
      </c>
      <c r="AO18" s="5681" t="s">
        <v>870</v>
      </c>
      <c r="AP18" s="5681" t="s">
        <v>871</v>
      </c>
      <c r="AQ18" s="5681" t="s">
        <v>872</v>
      </c>
      <c r="AR18" s="5681" t="s">
        <v>873</v>
      </c>
      <c r="AS18" s="294"/>
      <c r="AT18" s="315"/>
      <c r="AU18" s="5751"/>
      <c r="AV18" s="5763" t="s">
        <v>874</v>
      </c>
      <c r="AW18" s="5763" t="s">
        <v>875</v>
      </c>
      <c r="AX18" s="5765" t="s">
        <v>876</v>
      </c>
      <c r="AY18" s="5766"/>
      <c r="AZ18" s="5767"/>
      <c r="BA18" s="5756"/>
      <c r="BB18" s="294"/>
      <c r="BC18" s="5776" t="s">
        <v>552</v>
      </c>
      <c r="BD18" s="5776" t="s">
        <v>877</v>
      </c>
      <c r="BE18" s="5776" t="s">
        <v>878</v>
      </c>
      <c r="BF18" s="5776" t="s">
        <v>860</v>
      </c>
      <c r="BG18" s="5776" t="s">
        <v>879</v>
      </c>
      <c r="BH18" s="5776" t="s">
        <v>864</v>
      </c>
      <c r="BI18" s="5776" t="s">
        <v>880</v>
      </c>
      <c r="BJ18" s="5758"/>
      <c r="BK18" s="5768" t="s">
        <v>874</v>
      </c>
      <c r="BL18" s="5768" t="s">
        <v>875</v>
      </c>
      <c r="BM18" s="5812" t="s">
        <v>876</v>
      </c>
      <c r="BN18" s="5813"/>
      <c r="BO18" s="5814"/>
      <c r="BP18" s="5770"/>
      <c r="BQ18" s="5774"/>
      <c r="BR18" s="5775"/>
      <c r="BS18" s="5746"/>
    </row>
    <row r="19" spans="1:73" s="66" customFormat="1" ht="20.25" customHeight="1" thickBot="1">
      <c r="A19" s="5729"/>
      <c r="B19" s="5732"/>
      <c r="C19" s="5735"/>
      <c r="D19" s="5735"/>
      <c r="E19" s="5740"/>
      <c r="F19" s="5742"/>
      <c r="G19" s="5723"/>
      <c r="H19" s="5723"/>
      <c r="I19" s="5726"/>
      <c r="J19" s="5780"/>
      <c r="K19" s="5783"/>
      <c r="L19" s="5785"/>
      <c r="M19" s="5785"/>
      <c r="N19" s="5789"/>
      <c r="O19" s="5792"/>
      <c r="P19" s="265"/>
      <c r="Q19" s="265"/>
      <c r="R19" s="5805"/>
      <c r="S19" s="5805"/>
      <c r="T19" s="5805"/>
      <c r="U19" s="5805"/>
      <c r="V19" s="5794"/>
      <c r="W19" s="5796"/>
      <c r="X19" s="5798"/>
      <c r="Y19" s="5801"/>
      <c r="Z19" s="279"/>
      <c r="AA19" s="5676"/>
      <c r="AB19" s="5676"/>
      <c r="AC19" s="5676"/>
      <c r="AD19" s="5676"/>
      <c r="AE19" s="5676"/>
      <c r="AF19" s="5676"/>
      <c r="AG19" s="5676"/>
      <c r="AH19" s="5676"/>
      <c r="AI19" s="290"/>
      <c r="AJ19" s="5748"/>
      <c r="AK19" s="5750"/>
      <c r="AL19" s="294"/>
      <c r="AM19" s="5680"/>
      <c r="AN19" s="5681"/>
      <c r="AO19" s="5681"/>
      <c r="AP19" s="5681"/>
      <c r="AQ19" s="5681"/>
      <c r="AR19" s="5681"/>
      <c r="AS19" s="294"/>
      <c r="AT19" s="315"/>
      <c r="AU19" s="5752"/>
      <c r="AV19" s="5764"/>
      <c r="AW19" s="5764"/>
      <c r="AX19" s="2620" t="s">
        <v>881</v>
      </c>
      <c r="AY19" s="2620" t="s">
        <v>882</v>
      </c>
      <c r="AZ19" s="2620" t="s">
        <v>883</v>
      </c>
      <c r="BA19" s="5757"/>
      <c r="BB19" s="328"/>
      <c r="BC19" s="5754"/>
      <c r="BD19" s="5754"/>
      <c r="BE19" s="5754"/>
      <c r="BF19" s="5754"/>
      <c r="BG19" s="5754"/>
      <c r="BH19" s="5754"/>
      <c r="BI19" s="5754"/>
      <c r="BJ19" s="5759"/>
      <c r="BK19" s="5769"/>
      <c r="BL19" s="5769"/>
      <c r="BM19" s="2621" t="s">
        <v>881</v>
      </c>
      <c r="BN19" s="2621" t="s">
        <v>882</v>
      </c>
      <c r="BO19" s="2621" t="s">
        <v>883</v>
      </c>
      <c r="BP19" s="5771"/>
      <c r="BQ19" s="67" t="s">
        <v>597</v>
      </c>
      <c r="BR19" s="68" t="s">
        <v>159</v>
      </c>
      <c r="BS19" s="5746"/>
    </row>
    <row r="20" spans="1:73" ht="78" customHeight="1">
      <c r="A20" s="69" t="s">
        <v>598</v>
      </c>
      <c r="B20" s="70" t="s">
        <v>599</v>
      </c>
      <c r="C20" s="71"/>
      <c r="D20" s="72"/>
      <c r="E20" s="73" t="s">
        <v>602</v>
      </c>
      <c r="F20" s="74" t="s">
        <v>884</v>
      </c>
      <c r="G20" s="74" t="s">
        <v>885</v>
      </c>
      <c r="H20" s="2622" t="s">
        <v>886</v>
      </c>
      <c r="I20" s="75" t="s">
        <v>610</v>
      </c>
      <c r="J20" s="73" t="s">
        <v>602</v>
      </c>
      <c r="K20" s="74" t="s">
        <v>887</v>
      </c>
      <c r="L20" s="74" t="s">
        <v>888</v>
      </c>
      <c r="M20" s="2622" t="s">
        <v>886</v>
      </c>
      <c r="N20" s="76" t="s">
        <v>889</v>
      </c>
      <c r="O20" s="75"/>
      <c r="P20" s="273">
        <f t="shared" ref="P20:U20" si="0">SUM(P21:P147)</f>
        <v>97</v>
      </c>
      <c r="Q20" s="273">
        <f t="shared" si="0"/>
        <v>53</v>
      </c>
      <c r="R20" s="273">
        <f t="shared" si="0"/>
        <v>26</v>
      </c>
      <c r="S20" s="273">
        <f t="shared" si="0"/>
        <v>15</v>
      </c>
      <c r="T20" s="273">
        <f t="shared" si="0"/>
        <v>1</v>
      </c>
      <c r="U20" s="273">
        <f t="shared" si="0"/>
        <v>2</v>
      </c>
      <c r="V20" s="77" t="s">
        <v>606</v>
      </c>
      <c r="W20" s="74" t="s">
        <v>890</v>
      </c>
      <c r="X20" s="76" t="s">
        <v>611</v>
      </c>
      <c r="Y20" s="75"/>
      <c r="Z20" s="273">
        <f t="shared" ref="Z20:AH20" si="1">SUM(Z21:Z147)</f>
        <v>57</v>
      </c>
      <c r="AA20" s="273">
        <f t="shared" si="1"/>
        <v>14</v>
      </c>
      <c r="AB20" s="273">
        <f t="shared" si="1"/>
        <v>22</v>
      </c>
      <c r="AC20" s="273">
        <f t="shared" si="1"/>
        <v>3</v>
      </c>
      <c r="AD20" s="273">
        <f t="shared" si="1"/>
        <v>1</v>
      </c>
      <c r="AE20" s="273">
        <f t="shared" si="1"/>
        <v>1</v>
      </c>
      <c r="AF20" s="273">
        <f t="shared" si="1"/>
        <v>15</v>
      </c>
      <c r="AG20" s="273">
        <f t="shared" si="1"/>
        <v>1</v>
      </c>
      <c r="AH20" s="273">
        <f t="shared" si="1"/>
        <v>17</v>
      </c>
      <c r="AI20" s="291"/>
      <c r="AJ20" s="78" t="s">
        <v>616</v>
      </c>
      <c r="AK20" s="76" t="s">
        <v>617</v>
      </c>
      <c r="AL20" s="295"/>
      <c r="AM20" s="320">
        <f t="shared" ref="AM20:AR20" si="2">SUM(AM21:AM148)</f>
        <v>5</v>
      </c>
      <c r="AN20" s="316">
        <f t="shared" si="2"/>
        <v>4</v>
      </c>
      <c r="AO20" s="316">
        <f t="shared" si="2"/>
        <v>0</v>
      </c>
      <c r="AP20" s="316">
        <f t="shared" si="2"/>
        <v>0</v>
      </c>
      <c r="AQ20" s="316">
        <f t="shared" si="2"/>
        <v>0</v>
      </c>
      <c r="AR20" s="316">
        <f t="shared" si="2"/>
        <v>1</v>
      </c>
      <c r="AS20" s="295"/>
      <c r="AT20" s="266"/>
      <c r="AU20" s="78" t="s">
        <v>891</v>
      </c>
      <c r="AV20" s="74" t="s">
        <v>892</v>
      </c>
      <c r="AW20" s="74" t="s">
        <v>893</v>
      </c>
      <c r="AX20" s="74" t="s">
        <v>894</v>
      </c>
      <c r="AY20" s="74" t="s">
        <v>895</v>
      </c>
      <c r="AZ20" s="74" t="s">
        <v>896</v>
      </c>
      <c r="BA20" s="75" t="s">
        <v>897</v>
      </c>
      <c r="BB20" s="266"/>
      <c r="BC20" s="329">
        <f t="shared" ref="BC20:BI20" si="3">SUM(BC21:BC147)</f>
        <v>46</v>
      </c>
      <c r="BD20" s="329">
        <f t="shared" si="3"/>
        <v>0</v>
      </c>
      <c r="BE20" s="329">
        <f t="shared" si="3"/>
        <v>0</v>
      </c>
      <c r="BF20" s="329">
        <f t="shared" si="3"/>
        <v>0</v>
      </c>
      <c r="BG20" s="329">
        <f t="shared" si="3"/>
        <v>0</v>
      </c>
      <c r="BH20" s="329">
        <f t="shared" si="3"/>
        <v>1</v>
      </c>
      <c r="BI20" s="329">
        <f t="shared" si="3"/>
        <v>0</v>
      </c>
      <c r="BJ20" s="77" t="s">
        <v>614</v>
      </c>
      <c r="BK20" s="74" t="s">
        <v>892</v>
      </c>
      <c r="BL20" s="74" t="s">
        <v>893</v>
      </c>
      <c r="BM20" s="74" t="s">
        <v>894</v>
      </c>
      <c r="BN20" s="74" t="s">
        <v>895</v>
      </c>
      <c r="BO20" s="74" t="s">
        <v>896</v>
      </c>
      <c r="BP20" s="75" t="s">
        <v>898</v>
      </c>
      <c r="BQ20" s="2622" t="s">
        <v>621</v>
      </c>
      <c r="BR20" s="79" t="s">
        <v>899</v>
      </c>
      <c r="BS20" s="216" t="s">
        <v>623</v>
      </c>
    </row>
    <row r="21" spans="1:73" s="80" customFormat="1" ht="31.5">
      <c r="A21" s="2623">
        <v>0</v>
      </c>
      <c r="B21" s="2624" t="s">
        <v>900</v>
      </c>
      <c r="C21" s="2625"/>
      <c r="D21" s="220"/>
      <c r="E21" s="2626"/>
      <c r="F21" s="2627"/>
      <c r="G21" s="2628"/>
      <c r="H21" s="211"/>
      <c r="I21" s="2629"/>
      <c r="J21" s="84" t="s">
        <v>883</v>
      </c>
      <c r="K21" s="2627" t="s">
        <v>901</v>
      </c>
      <c r="L21" s="2628">
        <v>42229</v>
      </c>
      <c r="M21" s="253">
        <v>0</v>
      </c>
      <c r="N21" s="219"/>
      <c r="O21" s="2630" t="s">
        <v>552</v>
      </c>
      <c r="P21" s="267">
        <v>1</v>
      </c>
      <c r="Q21" s="2631">
        <v>1</v>
      </c>
      <c r="R21" s="2631"/>
      <c r="S21" s="2631"/>
      <c r="T21" s="2631"/>
      <c r="U21" s="274"/>
      <c r="V21" s="2632"/>
      <c r="W21" s="2628"/>
      <c r="X21" s="253"/>
      <c r="Y21" s="2633"/>
      <c r="Z21" s="280"/>
      <c r="AA21" s="2634"/>
      <c r="AB21" s="2634"/>
      <c r="AC21" s="2634"/>
      <c r="AD21" s="2634"/>
      <c r="AE21" s="2634"/>
      <c r="AF21" s="2634"/>
      <c r="AG21" s="281"/>
      <c r="AH21" s="2635"/>
      <c r="AI21" s="292"/>
      <c r="AJ21" s="217"/>
      <c r="AK21" s="212"/>
      <c r="AL21" s="296"/>
      <c r="AM21" s="2636"/>
      <c r="AN21" s="301"/>
      <c r="AO21" s="301"/>
      <c r="AP21" s="301"/>
      <c r="AQ21" s="301"/>
      <c r="AR21" s="302"/>
      <c r="AS21" s="296"/>
      <c r="AT21" s="144"/>
      <c r="AU21" s="2637"/>
      <c r="AV21" s="2638"/>
      <c r="AW21" s="2638"/>
      <c r="AX21" s="2638"/>
      <c r="AY21" s="2638"/>
      <c r="AZ21" s="2638"/>
      <c r="BA21" s="2639"/>
      <c r="BB21" s="211"/>
      <c r="BC21" s="2640"/>
      <c r="BD21" s="2641"/>
      <c r="BE21" s="2641"/>
      <c r="BF21" s="2641"/>
      <c r="BG21" s="2641"/>
      <c r="BH21" s="2641"/>
      <c r="BI21" s="2642"/>
      <c r="BJ21" s="2632"/>
      <c r="BK21" s="2638"/>
      <c r="BL21" s="2638"/>
      <c r="BM21" s="2638"/>
      <c r="BN21" s="2638"/>
      <c r="BO21" s="2638"/>
      <c r="BP21" s="2639"/>
      <c r="BQ21" s="213"/>
      <c r="BR21" s="214"/>
      <c r="BS21" s="215"/>
    </row>
    <row r="22" spans="1:73" s="80" customFormat="1" ht="31.5">
      <c r="A22" s="81">
        <f>+A21+1</f>
        <v>1</v>
      </c>
      <c r="B22" s="2643" t="s">
        <v>902</v>
      </c>
      <c r="C22" s="82" t="s">
        <v>78</v>
      </c>
      <c r="D22" s="83"/>
      <c r="E22" s="84"/>
      <c r="F22" s="2644"/>
      <c r="G22" s="85"/>
      <c r="H22" s="86"/>
      <c r="I22" s="2645"/>
      <c r="J22" s="84" t="s">
        <v>78</v>
      </c>
      <c r="K22" s="2644" t="s">
        <v>903</v>
      </c>
      <c r="L22" s="2646">
        <v>41991</v>
      </c>
      <c r="M22" s="254" t="s">
        <v>904</v>
      </c>
      <c r="N22" s="2647"/>
      <c r="O22" s="2648" t="s">
        <v>552</v>
      </c>
      <c r="P22" s="268">
        <v>1</v>
      </c>
      <c r="Q22" s="2649">
        <v>1</v>
      </c>
      <c r="R22" s="2649"/>
      <c r="S22" s="2649"/>
      <c r="T22" s="2649"/>
      <c r="U22" s="274"/>
      <c r="V22" s="87"/>
      <c r="W22" s="88"/>
      <c r="X22" s="254"/>
      <c r="Y22" s="283"/>
      <c r="Z22" s="282"/>
      <c r="AA22" s="2650"/>
      <c r="AB22" s="2650"/>
      <c r="AC22" s="2650"/>
      <c r="AD22" s="2650"/>
      <c r="AE22" s="2650"/>
      <c r="AF22" s="2650"/>
      <c r="AG22" s="283"/>
      <c r="AH22" s="2651"/>
      <c r="AI22" s="91"/>
      <c r="AJ22" s="89"/>
      <c r="AK22" s="90"/>
      <c r="AL22" s="296"/>
      <c r="AM22" s="321"/>
      <c r="AN22" s="303"/>
      <c r="AO22" s="303"/>
      <c r="AP22" s="303"/>
      <c r="AQ22" s="303"/>
      <c r="AR22" s="304"/>
      <c r="AS22" s="297"/>
      <c r="AT22" s="103"/>
      <c r="AU22" s="89"/>
      <c r="AV22" s="85"/>
      <c r="AW22" s="85"/>
      <c r="AX22" s="85"/>
      <c r="AY22" s="85"/>
      <c r="AZ22" s="85"/>
      <c r="BA22" s="91"/>
      <c r="BB22" s="86"/>
      <c r="BC22" s="330"/>
      <c r="BD22" s="2652"/>
      <c r="BE22" s="2652"/>
      <c r="BF22" s="2652"/>
      <c r="BG22" s="2652"/>
      <c r="BH22" s="2652"/>
      <c r="BI22" s="2653"/>
      <c r="BJ22" s="87"/>
      <c r="BK22" s="85"/>
      <c r="BL22" s="85"/>
      <c r="BM22" s="85"/>
      <c r="BN22" s="85"/>
      <c r="BO22" s="85"/>
      <c r="BP22" s="91"/>
      <c r="BQ22" s="2651"/>
      <c r="BR22" s="92"/>
      <c r="BS22" s="93" t="s">
        <v>905</v>
      </c>
    </row>
    <row r="23" spans="1:73" s="80" customFormat="1" ht="31.5">
      <c r="A23" s="81">
        <f t="shared" ref="A23:A86" si="4">+A22+1</f>
        <v>2</v>
      </c>
      <c r="B23" s="2654" t="s">
        <v>906</v>
      </c>
      <c r="C23" s="82" t="s">
        <v>78</v>
      </c>
      <c r="D23" s="83"/>
      <c r="E23" s="84"/>
      <c r="F23" s="2644"/>
      <c r="G23" s="85"/>
      <c r="H23" s="86"/>
      <c r="I23" s="2645"/>
      <c r="J23" s="84" t="s">
        <v>78</v>
      </c>
      <c r="K23" s="2644" t="s">
        <v>907</v>
      </c>
      <c r="L23" s="88">
        <v>41991</v>
      </c>
      <c r="M23" s="254" t="s">
        <v>904</v>
      </c>
      <c r="N23" s="2647"/>
      <c r="O23" s="2648" t="s">
        <v>552</v>
      </c>
      <c r="P23" s="268">
        <v>1</v>
      </c>
      <c r="Q23" s="2649">
        <v>1</v>
      </c>
      <c r="R23" s="2649"/>
      <c r="S23" s="2649"/>
      <c r="T23" s="2649"/>
      <c r="U23" s="274"/>
      <c r="V23" s="87"/>
      <c r="W23" s="88"/>
      <c r="X23" s="254"/>
      <c r="Y23" s="283"/>
      <c r="Z23" s="282"/>
      <c r="AA23" s="2650"/>
      <c r="AB23" s="2650"/>
      <c r="AC23" s="2650"/>
      <c r="AD23" s="2650"/>
      <c r="AE23" s="2650"/>
      <c r="AF23" s="2650"/>
      <c r="AG23" s="283"/>
      <c r="AH23" s="2651"/>
      <c r="AI23" s="91"/>
      <c r="AJ23" s="89"/>
      <c r="AK23" s="90"/>
      <c r="AL23" s="296"/>
      <c r="AM23" s="321"/>
      <c r="AN23" s="303"/>
      <c r="AO23" s="303"/>
      <c r="AP23" s="303"/>
      <c r="AQ23" s="303"/>
      <c r="AR23" s="304"/>
      <c r="AS23" s="297"/>
      <c r="AT23" s="103"/>
      <c r="AU23" s="89"/>
      <c r="AV23" s="85"/>
      <c r="AW23" s="85"/>
      <c r="AX23" s="85"/>
      <c r="AY23" s="85"/>
      <c r="AZ23" s="85"/>
      <c r="BA23" s="91"/>
      <c r="BB23" s="86"/>
      <c r="BC23" s="330"/>
      <c r="BD23" s="2652"/>
      <c r="BE23" s="2652"/>
      <c r="BF23" s="2652"/>
      <c r="BG23" s="2652"/>
      <c r="BH23" s="2652"/>
      <c r="BI23" s="2653"/>
      <c r="BJ23" s="87"/>
      <c r="BK23" s="85"/>
      <c r="BL23" s="85"/>
      <c r="BM23" s="85"/>
      <c r="BN23" s="85"/>
      <c r="BO23" s="85"/>
      <c r="BP23" s="91"/>
      <c r="BQ23" s="2651"/>
      <c r="BR23" s="92"/>
      <c r="BS23" s="93" t="s">
        <v>905</v>
      </c>
    </row>
    <row r="24" spans="1:73" s="80" customFormat="1" ht="31.5">
      <c r="A24" s="81">
        <f t="shared" si="4"/>
        <v>3</v>
      </c>
      <c r="B24" s="2654" t="s">
        <v>908</v>
      </c>
      <c r="C24" s="82" t="s">
        <v>78</v>
      </c>
      <c r="D24" s="83"/>
      <c r="E24" s="84"/>
      <c r="F24" s="2644"/>
      <c r="G24" s="85"/>
      <c r="H24" s="86"/>
      <c r="I24" s="2645"/>
      <c r="J24" s="84" t="s">
        <v>78</v>
      </c>
      <c r="K24" s="2644" t="s">
        <v>909</v>
      </c>
      <c r="L24" s="88">
        <v>41991</v>
      </c>
      <c r="M24" s="254" t="s">
        <v>904</v>
      </c>
      <c r="N24" s="2647"/>
      <c r="O24" s="2648" t="s">
        <v>552</v>
      </c>
      <c r="P24" s="268">
        <v>1</v>
      </c>
      <c r="Q24" s="2649">
        <v>1</v>
      </c>
      <c r="R24" s="2649"/>
      <c r="S24" s="2649"/>
      <c r="T24" s="2649"/>
      <c r="U24" s="274"/>
      <c r="V24" s="87"/>
      <c r="W24" s="88"/>
      <c r="X24" s="254"/>
      <c r="Y24" s="283"/>
      <c r="Z24" s="282"/>
      <c r="AA24" s="2650"/>
      <c r="AB24" s="2650"/>
      <c r="AC24" s="2650"/>
      <c r="AD24" s="2650"/>
      <c r="AE24" s="2650"/>
      <c r="AF24" s="2650"/>
      <c r="AG24" s="283"/>
      <c r="AH24" s="2651"/>
      <c r="AI24" s="91"/>
      <c r="AJ24" s="89"/>
      <c r="AK24" s="90"/>
      <c r="AL24" s="296"/>
      <c r="AM24" s="321"/>
      <c r="AN24" s="303"/>
      <c r="AO24" s="303"/>
      <c r="AP24" s="303"/>
      <c r="AQ24" s="303"/>
      <c r="AR24" s="304"/>
      <c r="AS24" s="297"/>
      <c r="AT24" s="103"/>
      <c r="AU24" s="89"/>
      <c r="AV24" s="85"/>
      <c r="AW24" s="85"/>
      <c r="AX24" s="85"/>
      <c r="AY24" s="85"/>
      <c r="AZ24" s="85"/>
      <c r="BA24" s="91"/>
      <c r="BB24" s="86"/>
      <c r="BC24" s="330"/>
      <c r="BD24" s="2652"/>
      <c r="BE24" s="2652"/>
      <c r="BF24" s="2652"/>
      <c r="BG24" s="2652"/>
      <c r="BH24" s="2652"/>
      <c r="BI24" s="2653"/>
      <c r="BJ24" s="87"/>
      <c r="BK24" s="85"/>
      <c r="BL24" s="85"/>
      <c r="BM24" s="85"/>
      <c r="BN24" s="85"/>
      <c r="BO24" s="85"/>
      <c r="BP24" s="91"/>
      <c r="BQ24" s="2651"/>
      <c r="BR24" s="92"/>
      <c r="BS24" s="93" t="s">
        <v>910</v>
      </c>
    </row>
    <row r="25" spans="1:73" s="80" customFormat="1" ht="31.5">
      <c r="A25" s="81">
        <f t="shared" si="4"/>
        <v>4</v>
      </c>
      <c r="B25" s="2654" t="s">
        <v>911</v>
      </c>
      <c r="C25" s="82" t="s">
        <v>78</v>
      </c>
      <c r="D25" s="83"/>
      <c r="E25" s="84"/>
      <c r="F25" s="2644"/>
      <c r="G25" s="85"/>
      <c r="H25" s="86"/>
      <c r="I25" s="2645"/>
      <c r="J25" s="84" t="s">
        <v>78</v>
      </c>
      <c r="K25" s="2644" t="s">
        <v>912</v>
      </c>
      <c r="L25" s="88">
        <v>41991</v>
      </c>
      <c r="M25" s="254" t="s">
        <v>904</v>
      </c>
      <c r="N25" s="2647"/>
      <c r="O25" s="2648" t="s">
        <v>552</v>
      </c>
      <c r="P25" s="268">
        <v>1</v>
      </c>
      <c r="Q25" s="2649">
        <v>1</v>
      </c>
      <c r="R25" s="2649"/>
      <c r="S25" s="2649"/>
      <c r="T25" s="2649"/>
      <c r="U25" s="274"/>
      <c r="V25" s="87"/>
      <c r="W25" s="88"/>
      <c r="X25" s="254"/>
      <c r="Y25" s="283"/>
      <c r="Z25" s="282"/>
      <c r="AA25" s="2650"/>
      <c r="AB25" s="2650"/>
      <c r="AC25" s="2650"/>
      <c r="AD25" s="2650"/>
      <c r="AE25" s="2650"/>
      <c r="AF25" s="2650"/>
      <c r="AG25" s="283"/>
      <c r="AH25" s="2651"/>
      <c r="AI25" s="91"/>
      <c r="AJ25" s="89"/>
      <c r="AK25" s="90"/>
      <c r="AL25" s="296"/>
      <c r="AM25" s="321"/>
      <c r="AN25" s="303"/>
      <c r="AO25" s="303"/>
      <c r="AP25" s="303"/>
      <c r="AQ25" s="303"/>
      <c r="AR25" s="304"/>
      <c r="AS25" s="297"/>
      <c r="AT25" s="103"/>
      <c r="AU25" s="89"/>
      <c r="AV25" s="85"/>
      <c r="AW25" s="85"/>
      <c r="AX25" s="85"/>
      <c r="AY25" s="85"/>
      <c r="AZ25" s="85"/>
      <c r="BA25" s="91"/>
      <c r="BB25" s="86"/>
      <c r="BC25" s="330"/>
      <c r="BD25" s="2652"/>
      <c r="BE25" s="2652"/>
      <c r="BF25" s="2652"/>
      <c r="BG25" s="2652"/>
      <c r="BH25" s="2652"/>
      <c r="BI25" s="2653"/>
      <c r="BJ25" s="87"/>
      <c r="BK25" s="85"/>
      <c r="BL25" s="85"/>
      <c r="BM25" s="85"/>
      <c r="BN25" s="85"/>
      <c r="BO25" s="85"/>
      <c r="BP25" s="91"/>
      <c r="BQ25" s="2651"/>
      <c r="BR25" s="92"/>
      <c r="BS25" s="93"/>
    </row>
    <row r="26" spans="1:73" s="80" customFormat="1" ht="15.75">
      <c r="A26" s="81">
        <f t="shared" si="4"/>
        <v>5</v>
      </c>
      <c r="B26" s="2654" t="s">
        <v>913</v>
      </c>
      <c r="C26" s="82" t="s">
        <v>876</v>
      </c>
      <c r="D26" s="83"/>
      <c r="E26" s="84"/>
      <c r="F26" s="2644"/>
      <c r="G26" s="85"/>
      <c r="H26" s="86"/>
      <c r="I26" s="2645"/>
      <c r="J26" s="84" t="s">
        <v>876</v>
      </c>
      <c r="K26" s="2644" t="s">
        <v>914</v>
      </c>
      <c r="L26" s="88"/>
      <c r="M26" s="254"/>
      <c r="N26" s="2647"/>
      <c r="O26" s="2648" t="s">
        <v>552</v>
      </c>
      <c r="P26" s="268">
        <v>1</v>
      </c>
      <c r="Q26" s="2649">
        <v>1</v>
      </c>
      <c r="R26" s="2649"/>
      <c r="S26" s="2649"/>
      <c r="T26" s="2649"/>
      <c r="U26" s="274"/>
      <c r="V26" s="87"/>
      <c r="W26" s="88"/>
      <c r="X26" s="254"/>
      <c r="Y26" s="283"/>
      <c r="Z26" s="282"/>
      <c r="AA26" s="2650"/>
      <c r="AB26" s="2650"/>
      <c r="AC26" s="2650"/>
      <c r="AD26" s="2650"/>
      <c r="AE26" s="2650"/>
      <c r="AF26" s="2650"/>
      <c r="AG26" s="283"/>
      <c r="AH26" s="2651"/>
      <c r="AI26" s="91"/>
      <c r="AJ26" s="89"/>
      <c r="AK26" s="90"/>
      <c r="AL26" s="296"/>
      <c r="AM26" s="321"/>
      <c r="AN26" s="303"/>
      <c r="AO26" s="303"/>
      <c r="AP26" s="303"/>
      <c r="AQ26" s="303"/>
      <c r="AR26" s="304"/>
      <c r="AS26" s="297"/>
      <c r="AT26" s="103"/>
      <c r="AU26" s="89"/>
      <c r="AV26" s="85"/>
      <c r="AW26" s="85"/>
      <c r="AX26" s="85"/>
      <c r="AY26" s="85"/>
      <c r="AZ26" s="85"/>
      <c r="BA26" s="91"/>
      <c r="BB26" s="86"/>
      <c r="BC26" s="330"/>
      <c r="BD26" s="2652"/>
      <c r="BE26" s="2652"/>
      <c r="BF26" s="2652"/>
      <c r="BG26" s="2652"/>
      <c r="BH26" s="2652"/>
      <c r="BI26" s="2653"/>
      <c r="BJ26" s="87"/>
      <c r="BK26" s="85"/>
      <c r="BL26" s="85"/>
      <c r="BM26" s="85"/>
      <c r="BN26" s="85"/>
      <c r="BO26" s="85"/>
      <c r="BP26" s="91"/>
      <c r="BQ26" s="2651"/>
      <c r="BR26" s="92"/>
      <c r="BS26" s="93" t="s">
        <v>910</v>
      </c>
    </row>
    <row r="27" spans="1:73" s="80" customFormat="1" ht="50.45" customHeight="1">
      <c r="A27" s="81">
        <f t="shared" si="4"/>
        <v>6</v>
      </c>
      <c r="B27" s="2654" t="s">
        <v>915</v>
      </c>
      <c r="C27" s="82" t="s">
        <v>876</v>
      </c>
      <c r="D27" s="83"/>
      <c r="E27" s="84"/>
      <c r="F27" s="2644"/>
      <c r="G27" s="85"/>
      <c r="H27" s="86"/>
      <c r="I27" s="2645"/>
      <c r="J27" s="84" t="s">
        <v>876</v>
      </c>
      <c r="K27" s="2644" t="s">
        <v>916</v>
      </c>
      <c r="L27" s="88">
        <v>42026</v>
      </c>
      <c r="M27" s="254">
        <v>0</v>
      </c>
      <c r="N27" s="2647"/>
      <c r="O27" s="2648" t="s">
        <v>552</v>
      </c>
      <c r="P27" s="268">
        <v>1</v>
      </c>
      <c r="Q27" s="2649">
        <v>1</v>
      </c>
      <c r="R27" s="2649"/>
      <c r="S27" s="2649"/>
      <c r="T27" s="2649"/>
      <c r="U27" s="274"/>
      <c r="V27" s="87"/>
      <c r="W27" s="88"/>
      <c r="X27" s="254"/>
      <c r="Y27" s="283"/>
      <c r="Z27" s="282"/>
      <c r="AA27" s="2650"/>
      <c r="AB27" s="2650"/>
      <c r="AC27" s="2650"/>
      <c r="AD27" s="2650"/>
      <c r="AE27" s="2650"/>
      <c r="AF27" s="2650"/>
      <c r="AG27" s="283"/>
      <c r="AH27" s="2651"/>
      <c r="AI27" s="91"/>
      <c r="AJ27" s="89"/>
      <c r="AK27" s="90"/>
      <c r="AL27" s="296"/>
      <c r="AM27" s="321"/>
      <c r="AN27" s="303"/>
      <c r="AO27" s="303"/>
      <c r="AP27" s="303"/>
      <c r="AQ27" s="303"/>
      <c r="AR27" s="304"/>
      <c r="AS27" s="297"/>
      <c r="AT27" s="103"/>
      <c r="AU27" s="89"/>
      <c r="AV27" s="85"/>
      <c r="AW27" s="85"/>
      <c r="AX27" s="85"/>
      <c r="AY27" s="85"/>
      <c r="AZ27" s="85"/>
      <c r="BA27" s="91"/>
      <c r="BB27" s="86"/>
      <c r="BC27" s="330"/>
      <c r="BD27" s="2652"/>
      <c r="BE27" s="2652"/>
      <c r="BF27" s="2652"/>
      <c r="BG27" s="2652"/>
      <c r="BH27" s="2652"/>
      <c r="BI27" s="2653"/>
      <c r="BJ27" s="87"/>
      <c r="BK27" s="85"/>
      <c r="BL27" s="85"/>
      <c r="BM27" s="85"/>
      <c r="BN27" s="85"/>
      <c r="BO27" s="85"/>
      <c r="BP27" s="91"/>
      <c r="BQ27" s="2651"/>
      <c r="BR27" s="92"/>
      <c r="BS27" s="93" t="s">
        <v>917</v>
      </c>
    </row>
    <row r="28" spans="1:73" s="80" customFormat="1" ht="68.45" customHeight="1">
      <c r="A28" s="81">
        <f t="shared" si="4"/>
        <v>7</v>
      </c>
      <c r="B28" s="2655" t="s">
        <v>918</v>
      </c>
      <c r="C28" s="82" t="s">
        <v>883</v>
      </c>
      <c r="D28" s="83"/>
      <c r="E28" s="84"/>
      <c r="F28" s="2644"/>
      <c r="G28" s="85"/>
      <c r="H28" s="86"/>
      <c r="I28" s="2645"/>
      <c r="J28" s="84" t="s">
        <v>883</v>
      </c>
      <c r="K28" s="2644" t="s">
        <v>919</v>
      </c>
      <c r="L28" s="88">
        <v>42008</v>
      </c>
      <c r="M28" s="254">
        <v>0</v>
      </c>
      <c r="N28" s="2647"/>
      <c r="O28" s="2648" t="s">
        <v>552</v>
      </c>
      <c r="P28" s="268">
        <v>1</v>
      </c>
      <c r="Q28" s="2649">
        <v>1</v>
      </c>
      <c r="R28" s="2649"/>
      <c r="S28" s="2649"/>
      <c r="T28" s="2649"/>
      <c r="U28" s="274"/>
      <c r="V28" s="87"/>
      <c r="W28" s="88"/>
      <c r="X28" s="254"/>
      <c r="Y28" s="283"/>
      <c r="Z28" s="282"/>
      <c r="AA28" s="2650"/>
      <c r="AB28" s="2650"/>
      <c r="AC28" s="2650"/>
      <c r="AD28" s="2650"/>
      <c r="AE28" s="2650"/>
      <c r="AF28" s="2650"/>
      <c r="AG28" s="283"/>
      <c r="AH28" s="2651"/>
      <c r="AI28" s="91"/>
      <c r="AJ28" s="89"/>
      <c r="AK28" s="90"/>
      <c r="AL28" s="296"/>
      <c r="AM28" s="322"/>
      <c r="AN28" s="305"/>
      <c r="AO28" s="305"/>
      <c r="AP28" s="305"/>
      <c r="AQ28" s="305"/>
      <c r="AR28" s="306"/>
      <c r="AS28" s="296"/>
      <c r="AT28" s="144"/>
      <c r="AU28" s="5683" t="s">
        <v>920</v>
      </c>
      <c r="AV28" s="5684"/>
      <c r="AW28" s="5684"/>
      <c r="AX28" s="5684"/>
      <c r="AY28" s="5684"/>
      <c r="AZ28" s="5684"/>
      <c r="BA28" s="5685"/>
      <c r="BB28" s="318"/>
      <c r="BC28" s="331">
        <v>1</v>
      </c>
      <c r="BD28" s="2656"/>
      <c r="BE28" s="2656"/>
      <c r="BF28" s="2656"/>
      <c r="BG28" s="2656"/>
      <c r="BH28" s="2656"/>
      <c r="BI28" s="2657"/>
      <c r="BJ28" s="87"/>
      <c r="BK28" s="85"/>
      <c r="BL28" s="85"/>
      <c r="BM28" s="85"/>
      <c r="BN28" s="85"/>
      <c r="BO28" s="85"/>
      <c r="BP28" s="91"/>
      <c r="BQ28" s="2651"/>
      <c r="BR28" s="92"/>
      <c r="BS28" s="93" t="s">
        <v>921</v>
      </c>
    </row>
    <row r="29" spans="1:73" s="80" customFormat="1" ht="66.75" customHeight="1">
      <c r="A29" s="81">
        <f t="shared" si="4"/>
        <v>8</v>
      </c>
      <c r="B29" s="2654" t="s">
        <v>922</v>
      </c>
      <c r="C29" s="82" t="s">
        <v>883</v>
      </c>
      <c r="D29" s="83"/>
      <c r="E29" s="84"/>
      <c r="F29" s="2644"/>
      <c r="G29" s="85"/>
      <c r="H29" s="86"/>
      <c r="I29" s="2645"/>
      <c r="J29" s="84" t="s">
        <v>883</v>
      </c>
      <c r="K29" s="2644" t="s">
        <v>923</v>
      </c>
      <c r="L29" s="88">
        <v>42008</v>
      </c>
      <c r="M29" s="254"/>
      <c r="N29" s="2647"/>
      <c r="O29" s="2648" t="s">
        <v>552</v>
      </c>
      <c r="P29" s="268">
        <v>1</v>
      </c>
      <c r="Q29" s="2649">
        <v>1</v>
      </c>
      <c r="R29" s="2649"/>
      <c r="S29" s="2649"/>
      <c r="T29" s="2649"/>
      <c r="U29" s="274"/>
      <c r="V29" s="87"/>
      <c r="W29" s="88"/>
      <c r="X29" s="254"/>
      <c r="Y29" s="283"/>
      <c r="Z29" s="282"/>
      <c r="AA29" s="2650"/>
      <c r="AB29" s="2650"/>
      <c r="AC29" s="2650"/>
      <c r="AD29" s="2650"/>
      <c r="AE29" s="2650"/>
      <c r="AF29" s="2650"/>
      <c r="AG29" s="283"/>
      <c r="AH29" s="2651"/>
      <c r="AI29" s="91"/>
      <c r="AJ29" s="89"/>
      <c r="AK29" s="90"/>
      <c r="AL29" s="296"/>
      <c r="AM29" s="321"/>
      <c r="AN29" s="303"/>
      <c r="AO29" s="303"/>
      <c r="AP29" s="303"/>
      <c r="AQ29" s="303"/>
      <c r="AR29" s="304"/>
      <c r="AS29" s="297"/>
      <c r="AT29" s="103"/>
      <c r="AU29" s="89"/>
      <c r="AV29" s="85"/>
      <c r="AW29" s="85"/>
      <c r="AX29" s="85"/>
      <c r="AY29" s="85"/>
      <c r="AZ29" s="85"/>
      <c r="BA29" s="91"/>
      <c r="BB29" s="86"/>
      <c r="BC29" s="330"/>
      <c r="BD29" s="2652"/>
      <c r="BE29" s="2652"/>
      <c r="BF29" s="2652"/>
      <c r="BG29" s="2652"/>
      <c r="BH29" s="2652"/>
      <c r="BI29" s="2653"/>
      <c r="BJ29" s="87"/>
      <c r="BK29" s="85"/>
      <c r="BL29" s="85"/>
      <c r="BM29" s="85"/>
      <c r="BN29" s="85"/>
      <c r="BO29" s="85"/>
      <c r="BP29" s="91"/>
      <c r="BQ29" s="2651"/>
      <c r="BR29" s="92"/>
      <c r="BS29" s="93" t="s">
        <v>924</v>
      </c>
    </row>
    <row r="30" spans="1:73" s="80" customFormat="1" ht="50.25" customHeight="1">
      <c r="A30" s="81">
        <f t="shared" si="4"/>
        <v>9</v>
      </c>
      <c r="B30" s="2655" t="s">
        <v>925</v>
      </c>
      <c r="C30" s="82" t="s">
        <v>78</v>
      </c>
      <c r="D30" s="96"/>
      <c r="E30" s="97"/>
      <c r="F30" s="2658"/>
      <c r="G30" s="98"/>
      <c r="H30" s="99"/>
      <c r="I30" s="2659"/>
      <c r="J30" s="84" t="s">
        <v>78</v>
      </c>
      <c r="K30" s="2644" t="s">
        <v>926</v>
      </c>
      <c r="L30" s="88">
        <v>42082</v>
      </c>
      <c r="M30" s="254">
        <v>0</v>
      </c>
      <c r="N30" s="2647"/>
      <c r="O30" s="2648" t="s">
        <v>552</v>
      </c>
      <c r="P30" s="268">
        <v>1</v>
      </c>
      <c r="Q30" s="2649">
        <v>1</v>
      </c>
      <c r="R30" s="2649"/>
      <c r="S30" s="2649"/>
      <c r="T30" s="2649"/>
      <c r="U30" s="274"/>
      <c r="V30" s="87"/>
      <c r="W30" s="88"/>
      <c r="X30" s="254"/>
      <c r="Y30" s="283"/>
      <c r="Z30" s="282"/>
      <c r="AA30" s="2650"/>
      <c r="AB30" s="2650"/>
      <c r="AC30" s="2650"/>
      <c r="AD30" s="2650"/>
      <c r="AE30" s="2650"/>
      <c r="AF30" s="2650"/>
      <c r="AG30" s="283"/>
      <c r="AH30" s="2651"/>
      <c r="AI30" s="91"/>
      <c r="AJ30" s="89"/>
      <c r="AK30" s="90"/>
      <c r="AL30" s="298"/>
      <c r="AM30" s="323"/>
      <c r="AN30" s="307"/>
      <c r="AO30" s="307"/>
      <c r="AP30" s="307"/>
      <c r="AQ30" s="307"/>
      <c r="AR30" s="308"/>
      <c r="AS30" s="298"/>
      <c r="AT30" s="227"/>
      <c r="AU30" s="89"/>
      <c r="AV30" s="85"/>
      <c r="AW30" s="85"/>
      <c r="AX30" s="85"/>
      <c r="AY30" s="85"/>
      <c r="AZ30" s="85"/>
      <c r="BA30" s="91"/>
      <c r="BB30" s="86"/>
      <c r="BC30" s="330"/>
      <c r="BD30" s="2652"/>
      <c r="BE30" s="2652"/>
      <c r="BF30" s="2652"/>
      <c r="BG30" s="2652"/>
      <c r="BH30" s="2652"/>
      <c r="BI30" s="2653"/>
      <c r="BJ30" s="87"/>
      <c r="BK30" s="85"/>
      <c r="BL30" s="85"/>
      <c r="BM30" s="85"/>
      <c r="BN30" s="85"/>
      <c r="BO30" s="85"/>
      <c r="BP30" s="91"/>
      <c r="BQ30" s="2651"/>
      <c r="BR30" s="92"/>
      <c r="BS30" s="93" t="s">
        <v>905</v>
      </c>
      <c r="BU30" s="202">
        <f>+M30+M61+X62</f>
        <v>8880000</v>
      </c>
    </row>
    <row r="31" spans="1:73" s="80" customFormat="1" ht="33" customHeight="1">
      <c r="A31" s="81">
        <f t="shared" si="4"/>
        <v>10</v>
      </c>
      <c r="B31" s="2655" t="s">
        <v>927</v>
      </c>
      <c r="C31" s="82" t="s">
        <v>78</v>
      </c>
      <c r="D31" s="83"/>
      <c r="E31" s="84"/>
      <c r="F31" s="2644"/>
      <c r="G31" s="85"/>
      <c r="H31" s="86"/>
      <c r="I31" s="2645"/>
      <c r="J31" s="84" t="s">
        <v>78</v>
      </c>
      <c r="K31" s="2644" t="s">
        <v>928</v>
      </c>
      <c r="L31" s="88">
        <v>42088</v>
      </c>
      <c r="M31" s="254">
        <v>0</v>
      </c>
      <c r="N31" s="2647"/>
      <c r="O31" s="2648" t="s">
        <v>552</v>
      </c>
      <c r="P31" s="268">
        <v>1</v>
      </c>
      <c r="Q31" s="2649">
        <v>1</v>
      </c>
      <c r="R31" s="2649"/>
      <c r="S31" s="2649"/>
      <c r="T31" s="2649"/>
      <c r="U31" s="274"/>
      <c r="V31" s="87"/>
      <c r="W31" s="88"/>
      <c r="X31" s="254"/>
      <c r="Y31" s="283"/>
      <c r="Z31" s="282"/>
      <c r="AA31" s="2650"/>
      <c r="AB31" s="2650"/>
      <c r="AC31" s="2650"/>
      <c r="AD31" s="2650"/>
      <c r="AE31" s="2650"/>
      <c r="AF31" s="2650"/>
      <c r="AG31" s="283"/>
      <c r="AH31" s="2651"/>
      <c r="AI31" s="91"/>
      <c r="AJ31" s="89"/>
      <c r="AK31" s="90"/>
      <c r="AL31" s="298"/>
      <c r="AM31" s="323"/>
      <c r="AN31" s="307"/>
      <c r="AO31" s="307"/>
      <c r="AP31" s="307"/>
      <c r="AQ31" s="307"/>
      <c r="AR31" s="308"/>
      <c r="AS31" s="298"/>
      <c r="AT31" s="227"/>
      <c r="AU31" s="89"/>
      <c r="AV31" s="85"/>
      <c r="AW31" s="85"/>
      <c r="AX31" s="85"/>
      <c r="AY31" s="85"/>
      <c r="AZ31" s="85"/>
      <c r="BA31" s="91"/>
      <c r="BB31" s="86"/>
      <c r="BC31" s="330"/>
      <c r="BD31" s="2652"/>
      <c r="BE31" s="2652"/>
      <c r="BF31" s="2652"/>
      <c r="BG31" s="2652"/>
      <c r="BH31" s="2652"/>
      <c r="BI31" s="2653"/>
      <c r="BJ31" s="87"/>
      <c r="BK31" s="85"/>
      <c r="BL31" s="85"/>
      <c r="BM31" s="85"/>
      <c r="BN31" s="85"/>
      <c r="BO31" s="85"/>
      <c r="BP31" s="91"/>
      <c r="BQ31" s="2651"/>
      <c r="BR31" s="92"/>
      <c r="BS31" s="93" t="s">
        <v>905</v>
      </c>
    </row>
    <row r="32" spans="1:73" s="80" customFormat="1" ht="49.5" customHeight="1">
      <c r="A32" s="81">
        <f t="shared" si="4"/>
        <v>11</v>
      </c>
      <c r="B32" s="2655" t="s">
        <v>929</v>
      </c>
      <c r="C32" s="82" t="s">
        <v>78</v>
      </c>
      <c r="D32" s="83"/>
      <c r="E32" s="84"/>
      <c r="F32" s="2644"/>
      <c r="G32" s="85"/>
      <c r="H32" s="86"/>
      <c r="I32" s="2645"/>
      <c r="J32" s="84" t="s">
        <v>78</v>
      </c>
      <c r="K32" s="2644" t="s">
        <v>930</v>
      </c>
      <c r="L32" s="88">
        <v>42088</v>
      </c>
      <c r="M32" s="254">
        <v>0</v>
      </c>
      <c r="N32" s="2647"/>
      <c r="O32" s="2648" t="s">
        <v>552</v>
      </c>
      <c r="P32" s="268">
        <v>1</v>
      </c>
      <c r="Q32" s="2649">
        <v>1</v>
      </c>
      <c r="R32" s="2649"/>
      <c r="S32" s="2649"/>
      <c r="T32" s="2649"/>
      <c r="U32" s="274"/>
      <c r="V32" s="87"/>
      <c r="W32" s="88"/>
      <c r="X32" s="254"/>
      <c r="Y32" s="283"/>
      <c r="Z32" s="282"/>
      <c r="AA32" s="2650"/>
      <c r="AB32" s="2650"/>
      <c r="AC32" s="2650"/>
      <c r="AD32" s="2650"/>
      <c r="AE32" s="2650"/>
      <c r="AF32" s="2650"/>
      <c r="AG32" s="283"/>
      <c r="AH32" s="2651"/>
      <c r="AI32" s="91"/>
      <c r="AJ32" s="89"/>
      <c r="AK32" s="90"/>
      <c r="AL32" s="298"/>
      <c r="AM32" s="323"/>
      <c r="AN32" s="307"/>
      <c r="AO32" s="307"/>
      <c r="AP32" s="307"/>
      <c r="AQ32" s="307"/>
      <c r="AR32" s="308"/>
      <c r="AS32" s="298"/>
      <c r="AT32" s="227"/>
      <c r="AU32" s="89"/>
      <c r="AV32" s="85"/>
      <c r="AW32" s="85"/>
      <c r="AX32" s="85"/>
      <c r="AY32" s="85"/>
      <c r="AZ32" s="85"/>
      <c r="BA32" s="91"/>
      <c r="BB32" s="86"/>
      <c r="BC32" s="330"/>
      <c r="BD32" s="2652"/>
      <c r="BE32" s="2652"/>
      <c r="BF32" s="2652"/>
      <c r="BG32" s="2652"/>
      <c r="BH32" s="2652"/>
      <c r="BI32" s="2653"/>
      <c r="BJ32" s="87"/>
      <c r="BK32" s="85"/>
      <c r="BL32" s="85"/>
      <c r="BM32" s="85"/>
      <c r="BN32" s="85"/>
      <c r="BO32" s="85"/>
      <c r="BP32" s="91"/>
      <c r="BQ32" s="2651"/>
      <c r="BR32" s="92"/>
      <c r="BS32" s="93" t="s">
        <v>905</v>
      </c>
    </row>
    <row r="33" spans="1:71" s="80" customFormat="1" ht="49.5" customHeight="1">
      <c r="A33" s="81">
        <f t="shared" si="4"/>
        <v>12</v>
      </c>
      <c r="B33" s="2655" t="s">
        <v>931</v>
      </c>
      <c r="C33" s="82" t="s">
        <v>78</v>
      </c>
      <c r="D33" s="83"/>
      <c r="E33" s="84"/>
      <c r="F33" s="2644"/>
      <c r="G33" s="85"/>
      <c r="H33" s="86"/>
      <c r="I33" s="2645"/>
      <c r="J33" s="84" t="s">
        <v>78</v>
      </c>
      <c r="K33" s="2644" t="s">
        <v>932</v>
      </c>
      <c r="L33" s="88">
        <v>42088</v>
      </c>
      <c r="M33" s="254">
        <v>0</v>
      </c>
      <c r="N33" s="2647"/>
      <c r="O33" s="2648" t="s">
        <v>552</v>
      </c>
      <c r="P33" s="268">
        <v>1</v>
      </c>
      <c r="Q33" s="2649">
        <v>1</v>
      </c>
      <c r="R33" s="2649"/>
      <c r="S33" s="2649"/>
      <c r="T33" s="2649"/>
      <c r="U33" s="274"/>
      <c r="V33" s="87"/>
      <c r="W33" s="88"/>
      <c r="X33" s="254"/>
      <c r="Y33" s="283"/>
      <c r="Z33" s="282"/>
      <c r="AA33" s="2650"/>
      <c r="AB33" s="2650"/>
      <c r="AC33" s="2650"/>
      <c r="AD33" s="2650"/>
      <c r="AE33" s="2650"/>
      <c r="AF33" s="2650"/>
      <c r="AG33" s="283"/>
      <c r="AH33" s="2651"/>
      <c r="AI33" s="91"/>
      <c r="AJ33" s="89"/>
      <c r="AK33" s="90"/>
      <c r="AL33" s="298"/>
      <c r="AM33" s="323"/>
      <c r="AN33" s="307"/>
      <c r="AO33" s="307"/>
      <c r="AP33" s="307"/>
      <c r="AQ33" s="307"/>
      <c r="AR33" s="308"/>
      <c r="AS33" s="298"/>
      <c r="AT33" s="227"/>
      <c r="AU33" s="89"/>
      <c r="AV33" s="85"/>
      <c r="AW33" s="85"/>
      <c r="AX33" s="85"/>
      <c r="AY33" s="85"/>
      <c r="AZ33" s="85"/>
      <c r="BA33" s="91"/>
      <c r="BB33" s="86"/>
      <c r="BC33" s="330"/>
      <c r="BD33" s="2652"/>
      <c r="BE33" s="2652"/>
      <c r="BF33" s="2652"/>
      <c r="BG33" s="2652"/>
      <c r="BH33" s="2652"/>
      <c r="BI33" s="2653"/>
      <c r="BJ33" s="87"/>
      <c r="BK33" s="85"/>
      <c r="BL33" s="85"/>
      <c r="BM33" s="85"/>
      <c r="BN33" s="85"/>
      <c r="BO33" s="85"/>
      <c r="BP33" s="91"/>
      <c r="BQ33" s="2651"/>
      <c r="BR33" s="92"/>
      <c r="BS33" s="93" t="s">
        <v>905</v>
      </c>
    </row>
    <row r="34" spans="1:71" s="80" customFormat="1" ht="48.75" customHeight="1">
      <c r="A34" s="230">
        <f t="shared" si="4"/>
        <v>13</v>
      </c>
      <c r="B34" s="2655" t="s">
        <v>933</v>
      </c>
      <c r="C34" s="82" t="s">
        <v>876</v>
      </c>
      <c r="D34" s="83"/>
      <c r="E34" s="84"/>
      <c r="F34" s="2644"/>
      <c r="G34" s="85"/>
      <c r="H34" s="86"/>
      <c r="I34" s="2645"/>
      <c r="J34" s="84" t="s">
        <v>876</v>
      </c>
      <c r="K34" s="2644" t="s">
        <v>934</v>
      </c>
      <c r="L34" s="88">
        <v>42088</v>
      </c>
      <c r="M34" s="254">
        <v>0</v>
      </c>
      <c r="N34" s="2647"/>
      <c r="O34" s="2648" t="s">
        <v>843</v>
      </c>
      <c r="P34" s="268">
        <v>1</v>
      </c>
      <c r="Q34" s="2649"/>
      <c r="R34" s="2649">
        <v>1</v>
      </c>
      <c r="S34" s="2649"/>
      <c r="T34" s="2649"/>
      <c r="U34" s="274"/>
      <c r="V34" s="87" t="s">
        <v>935</v>
      </c>
      <c r="W34" s="88">
        <v>42148</v>
      </c>
      <c r="X34" s="254">
        <v>-440000</v>
      </c>
      <c r="Y34" s="283" t="s">
        <v>95</v>
      </c>
      <c r="Z34" s="282">
        <v>1</v>
      </c>
      <c r="AA34" s="2650"/>
      <c r="AB34" s="2650">
        <v>1</v>
      </c>
      <c r="AC34" s="2650"/>
      <c r="AD34" s="2650"/>
      <c r="AE34" s="2650"/>
      <c r="AF34" s="2650"/>
      <c r="AG34" s="283"/>
      <c r="AH34" s="2651"/>
      <c r="AI34" s="91"/>
      <c r="AJ34" s="89" t="s">
        <v>936</v>
      </c>
      <c r="AK34" s="88">
        <v>42175</v>
      </c>
      <c r="AL34" s="298"/>
      <c r="AM34" s="323">
        <v>1</v>
      </c>
      <c r="AN34" s="307">
        <v>1</v>
      </c>
      <c r="AO34" s="307"/>
      <c r="AP34" s="307"/>
      <c r="AQ34" s="307"/>
      <c r="AR34" s="308"/>
      <c r="AS34" s="298"/>
      <c r="AT34" s="227"/>
      <c r="AU34" s="5683" t="s">
        <v>920</v>
      </c>
      <c r="AV34" s="5684"/>
      <c r="AW34" s="5684"/>
      <c r="AX34" s="5684"/>
      <c r="AY34" s="5684"/>
      <c r="AZ34" s="5684"/>
      <c r="BA34" s="5685"/>
      <c r="BB34" s="318"/>
      <c r="BC34" s="331">
        <v>1</v>
      </c>
      <c r="BD34" s="2656"/>
      <c r="BE34" s="2656"/>
      <c r="BF34" s="2656"/>
      <c r="BG34" s="2656"/>
      <c r="BH34" s="2656"/>
      <c r="BI34" s="2657"/>
      <c r="BJ34" s="87"/>
      <c r="BK34" s="85"/>
      <c r="BL34" s="85"/>
      <c r="BM34" s="85"/>
      <c r="BN34" s="85"/>
      <c r="BO34" s="85"/>
      <c r="BP34" s="91"/>
      <c r="BQ34" s="2651"/>
      <c r="BR34" s="92"/>
      <c r="BS34" s="93"/>
    </row>
    <row r="35" spans="1:71" s="80" customFormat="1" ht="32.25" customHeight="1">
      <c r="A35" s="81">
        <f t="shared" si="4"/>
        <v>14</v>
      </c>
      <c r="B35" s="2655" t="s">
        <v>937</v>
      </c>
      <c r="C35" s="82" t="s">
        <v>876</v>
      </c>
      <c r="D35" s="83"/>
      <c r="E35" s="84"/>
      <c r="F35" s="2644"/>
      <c r="G35" s="85"/>
      <c r="H35" s="86"/>
      <c r="I35" s="2645"/>
      <c r="J35" s="84" t="s">
        <v>876</v>
      </c>
      <c r="K35" s="2644" t="s">
        <v>938</v>
      </c>
      <c r="L35" s="88">
        <v>42081</v>
      </c>
      <c r="M35" s="254">
        <v>0</v>
      </c>
      <c r="N35" s="2647"/>
      <c r="O35" s="2648" t="s">
        <v>843</v>
      </c>
      <c r="P35" s="268">
        <v>1</v>
      </c>
      <c r="Q35" s="2649"/>
      <c r="R35" s="2649">
        <v>1</v>
      </c>
      <c r="S35" s="2649"/>
      <c r="T35" s="2649"/>
      <c r="U35" s="274"/>
      <c r="V35" s="87" t="s">
        <v>939</v>
      </c>
      <c r="W35" s="88">
        <v>42081</v>
      </c>
      <c r="X35" s="254">
        <v>0</v>
      </c>
      <c r="Y35" s="283" t="s">
        <v>552</v>
      </c>
      <c r="Z35" s="282">
        <v>1</v>
      </c>
      <c r="AA35" s="2650">
        <v>1</v>
      </c>
      <c r="AB35" s="2650"/>
      <c r="AC35" s="2650"/>
      <c r="AD35" s="2650"/>
      <c r="AE35" s="2650"/>
      <c r="AF35" s="2650"/>
      <c r="AG35" s="283"/>
      <c r="AH35" s="2651"/>
      <c r="AI35" s="91"/>
      <c r="AJ35" s="89"/>
      <c r="AK35" s="90"/>
      <c r="AL35" s="298"/>
      <c r="AM35" s="323"/>
      <c r="AN35" s="307"/>
      <c r="AO35" s="307"/>
      <c r="AP35" s="307"/>
      <c r="AQ35" s="307"/>
      <c r="AR35" s="308"/>
      <c r="AS35" s="298"/>
      <c r="AT35" s="227"/>
      <c r="AU35" s="89"/>
      <c r="AV35" s="85"/>
      <c r="AW35" s="85"/>
      <c r="AX35" s="85"/>
      <c r="AY35" s="85"/>
      <c r="AZ35" s="85"/>
      <c r="BA35" s="91"/>
      <c r="BB35" s="86"/>
      <c r="BC35" s="330"/>
      <c r="BD35" s="2652"/>
      <c r="BE35" s="2652"/>
      <c r="BF35" s="2652"/>
      <c r="BG35" s="2652"/>
      <c r="BH35" s="2652"/>
      <c r="BI35" s="2653"/>
      <c r="BJ35" s="87"/>
      <c r="BK35" s="85"/>
      <c r="BL35" s="85"/>
      <c r="BM35" s="85"/>
      <c r="BN35" s="85"/>
      <c r="BO35" s="85"/>
      <c r="BP35" s="91"/>
      <c r="BQ35" s="2651"/>
      <c r="BR35" s="92"/>
      <c r="BS35" s="93" t="s">
        <v>940</v>
      </c>
    </row>
    <row r="36" spans="1:71" s="80" customFormat="1" ht="35.25" customHeight="1">
      <c r="A36" s="94">
        <f t="shared" si="4"/>
        <v>15</v>
      </c>
      <c r="B36" s="2660" t="s">
        <v>941</v>
      </c>
      <c r="C36" s="95" t="s">
        <v>103</v>
      </c>
      <c r="D36" s="96"/>
      <c r="E36" s="97" t="s">
        <v>876</v>
      </c>
      <c r="F36" s="2658" t="s">
        <v>942</v>
      </c>
      <c r="G36" s="100">
        <v>42137</v>
      </c>
      <c r="H36" s="99">
        <v>41070</v>
      </c>
      <c r="I36" s="2659"/>
      <c r="J36" s="84" t="s">
        <v>103</v>
      </c>
      <c r="K36" s="2644" t="s">
        <v>943</v>
      </c>
      <c r="L36" s="88">
        <v>42114</v>
      </c>
      <c r="M36" s="254">
        <v>0</v>
      </c>
      <c r="N36" s="2647"/>
      <c r="O36" s="2648" t="s">
        <v>843</v>
      </c>
      <c r="P36" s="268">
        <v>1</v>
      </c>
      <c r="Q36" s="2649"/>
      <c r="R36" s="2649">
        <v>1</v>
      </c>
      <c r="S36" s="2649"/>
      <c r="T36" s="2649"/>
      <c r="U36" s="274"/>
      <c r="V36" s="101" t="s">
        <v>944</v>
      </c>
      <c r="W36" s="100">
        <v>42122</v>
      </c>
      <c r="X36" s="255">
        <v>41070</v>
      </c>
      <c r="Y36" s="285" t="s">
        <v>95</v>
      </c>
      <c r="Z36" s="284">
        <v>1</v>
      </c>
      <c r="AA36" s="2661"/>
      <c r="AB36" s="2661"/>
      <c r="AC36" s="2661">
        <v>1</v>
      </c>
      <c r="AD36" s="2661"/>
      <c r="AE36" s="2661"/>
      <c r="AF36" s="2661"/>
      <c r="AG36" s="285"/>
      <c r="AH36" s="2662"/>
      <c r="AI36" s="105"/>
      <c r="AJ36" s="102"/>
      <c r="AK36" s="103"/>
      <c r="AL36" s="298"/>
      <c r="AM36" s="323"/>
      <c r="AN36" s="307"/>
      <c r="AO36" s="307"/>
      <c r="AP36" s="307"/>
      <c r="AQ36" s="307"/>
      <c r="AR36" s="308"/>
      <c r="AS36" s="298"/>
      <c r="AT36" s="227"/>
      <c r="AU36" s="102" t="s">
        <v>945</v>
      </c>
      <c r="AV36" s="100">
        <v>42313</v>
      </c>
      <c r="AW36" s="100">
        <v>42313</v>
      </c>
      <c r="AX36" s="100"/>
      <c r="AY36" s="100"/>
      <c r="AZ36" s="100"/>
      <c r="BA36" s="105">
        <v>39810</v>
      </c>
      <c r="BB36" s="99"/>
      <c r="BC36" s="332">
        <v>1</v>
      </c>
      <c r="BD36" s="2663"/>
      <c r="BE36" s="2663"/>
      <c r="BF36" s="2663"/>
      <c r="BG36" s="2663"/>
      <c r="BH36" s="2663">
        <v>1</v>
      </c>
      <c r="BI36" s="2664"/>
      <c r="BJ36" s="101"/>
      <c r="BK36" s="104"/>
      <c r="BL36" s="104"/>
      <c r="BM36" s="104"/>
      <c r="BN36" s="104"/>
      <c r="BO36" s="98"/>
      <c r="BP36" s="105"/>
      <c r="BQ36" s="2665"/>
      <c r="BR36" s="106"/>
      <c r="BS36" s="107" t="s">
        <v>946</v>
      </c>
    </row>
    <row r="37" spans="1:71" s="80" customFormat="1" ht="35.450000000000003" customHeight="1">
      <c r="A37" s="81">
        <f t="shared" si="4"/>
        <v>16</v>
      </c>
      <c r="B37" s="2655" t="s">
        <v>947</v>
      </c>
      <c r="C37" s="82" t="s">
        <v>78</v>
      </c>
      <c r="D37" s="83"/>
      <c r="E37" s="84"/>
      <c r="F37" s="2644"/>
      <c r="G37" s="85"/>
      <c r="H37" s="86"/>
      <c r="I37" s="2645"/>
      <c r="J37" s="84" t="s">
        <v>78</v>
      </c>
      <c r="K37" s="2644" t="s">
        <v>948</v>
      </c>
      <c r="L37" s="88">
        <v>42115</v>
      </c>
      <c r="M37" s="254">
        <v>0</v>
      </c>
      <c r="N37" s="2647"/>
      <c r="O37" s="2648" t="s">
        <v>552</v>
      </c>
      <c r="P37" s="268">
        <v>1</v>
      </c>
      <c r="Q37" s="2649">
        <v>1</v>
      </c>
      <c r="R37" s="2649"/>
      <c r="S37" s="2649"/>
      <c r="T37" s="2649"/>
      <c r="U37" s="274"/>
      <c r="V37" s="87"/>
      <c r="W37" s="88"/>
      <c r="X37" s="254"/>
      <c r="Y37" s="283"/>
      <c r="Z37" s="282"/>
      <c r="AA37" s="2650"/>
      <c r="AB37" s="2650"/>
      <c r="AC37" s="2650"/>
      <c r="AD37" s="2650"/>
      <c r="AE37" s="2650"/>
      <c r="AF37" s="2650"/>
      <c r="AG37" s="283"/>
      <c r="AH37" s="2651"/>
      <c r="AI37" s="91"/>
      <c r="AJ37" s="89"/>
      <c r="AK37" s="90"/>
      <c r="AL37" s="298"/>
      <c r="AM37" s="323"/>
      <c r="AN37" s="307"/>
      <c r="AO37" s="307"/>
      <c r="AP37" s="307"/>
      <c r="AQ37" s="307"/>
      <c r="AR37" s="308"/>
      <c r="AS37" s="298"/>
      <c r="AT37" s="227"/>
      <c r="AU37" s="89"/>
      <c r="AV37" s="85"/>
      <c r="AW37" s="85"/>
      <c r="AX37" s="85"/>
      <c r="AY37" s="85"/>
      <c r="AZ37" s="85"/>
      <c r="BA37" s="91"/>
      <c r="BB37" s="86"/>
      <c r="BC37" s="330"/>
      <c r="BD37" s="2652"/>
      <c r="BE37" s="2652"/>
      <c r="BF37" s="2652"/>
      <c r="BG37" s="2652"/>
      <c r="BH37" s="2652"/>
      <c r="BI37" s="2653"/>
      <c r="BJ37" s="87"/>
      <c r="BK37" s="85"/>
      <c r="BL37" s="85"/>
      <c r="BM37" s="85"/>
      <c r="BN37" s="85"/>
      <c r="BO37" s="85"/>
      <c r="BP37" s="91"/>
      <c r="BQ37" s="2651"/>
      <c r="BR37" s="92"/>
      <c r="BS37" s="93" t="s">
        <v>949</v>
      </c>
    </row>
    <row r="38" spans="1:71" s="80" customFormat="1" ht="50.45" customHeight="1">
      <c r="A38" s="230">
        <f t="shared" si="4"/>
        <v>17</v>
      </c>
      <c r="B38" s="2655" t="s">
        <v>950</v>
      </c>
      <c r="C38" s="82" t="s">
        <v>876</v>
      </c>
      <c r="D38" s="83"/>
      <c r="E38" s="84"/>
      <c r="F38" s="2644"/>
      <c r="G38" s="88"/>
      <c r="H38" s="86"/>
      <c r="I38" s="2645"/>
      <c r="J38" s="84" t="s">
        <v>876</v>
      </c>
      <c r="K38" s="2644" t="s">
        <v>951</v>
      </c>
      <c r="L38" s="88">
        <v>42115</v>
      </c>
      <c r="M38" s="254">
        <v>0</v>
      </c>
      <c r="N38" s="2647"/>
      <c r="O38" s="2648" t="s">
        <v>843</v>
      </c>
      <c r="P38" s="268">
        <v>1</v>
      </c>
      <c r="Q38" s="2649"/>
      <c r="R38" s="2649">
        <v>1</v>
      </c>
      <c r="S38" s="2649"/>
      <c r="T38" s="2649"/>
      <c r="U38" s="274"/>
      <c r="V38" s="87" t="s">
        <v>952</v>
      </c>
      <c r="W38" s="88">
        <v>42148</v>
      </c>
      <c r="X38" s="254">
        <v>-1483759</v>
      </c>
      <c r="Y38" s="283" t="s">
        <v>95</v>
      </c>
      <c r="Z38" s="282">
        <v>1</v>
      </c>
      <c r="AA38" s="2650"/>
      <c r="AB38" s="2650"/>
      <c r="AC38" s="2650"/>
      <c r="AD38" s="2650">
        <v>1</v>
      </c>
      <c r="AE38" s="2650"/>
      <c r="AF38" s="2650"/>
      <c r="AG38" s="283"/>
      <c r="AH38" s="2651"/>
      <c r="AI38" s="91"/>
      <c r="AJ38" s="89" t="s">
        <v>953</v>
      </c>
      <c r="AK38" s="88">
        <v>42175</v>
      </c>
      <c r="AL38" s="298"/>
      <c r="AM38" s="323">
        <v>1</v>
      </c>
      <c r="AN38" s="307"/>
      <c r="AO38" s="307"/>
      <c r="AP38" s="307"/>
      <c r="AQ38" s="307"/>
      <c r="AR38" s="308">
        <v>1</v>
      </c>
      <c r="AS38" s="298"/>
      <c r="AT38" s="227"/>
      <c r="AU38" s="5683" t="s">
        <v>920</v>
      </c>
      <c r="AV38" s="5684"/>
      <c r="AW38" s="5684"/>
      <c r="AX38" s="5684"/>
      <c r="AY38" s="5684"/>
      <c r="AZ38" s="5684"/>
      <c r="BA38" s="5685"/>
      <c r="BB38" s="318"/>
      <c r="BC38" s="331">
        <v>1</v>
      </c>
      <c r="BD38" s="2656"/>
      <c r="BE38" s="2656"/>
      <c r="BF38" s="2656"/>
      <c r="BG38" s="2656"/>
      <c r="BH38" s="2656"/>
      <c r="BI38" s="2657"/>
      <c r="BJ38" s="87"/>
      <c r="BK38" s="85"/>
      <c r="BL38" s="85"/>
      <c r="BM38" s="85"/>
      <c r="BN38" s="85"/>
      <c r="BO38" s="85"/>
      <c r="BP38" s="91"/>
      <c r="BQ38" s="2651"/>
      <c r="BR38" s="92"/>
      <c r="BS38" s="93"/>
    </row>
    <row r="39" spans="1:71" s="80" customFormat="1" ht="31.5">
      <c r="A39" s="81">
        <f t="shared" si="4"/>
        <v>18</v>
      </c>
      <c r="B39" s="2666" t="s">
        <v>954</v>
      </c>
      <c r="C39" s="82" t="s">
        <v>876</v>
      </c>
      <c r="D39" s="83"/>
      <c r="E39" s="84" t="s">
        <v>876</v>
      </c>
      <c r="F39" s="2644" t="s">
        <v>955</v>
      </c>
      <c r="G39" s="88">
        <v>42137</v>
      </c>
      <c r="H39" s="86">
        <v>1500000</v>
      </c>
      <c r="I39" s="2645"/>
      <c r="J39" s="84" t="s">
        <v>876</v>
      </c>
      <c r="K39" s="2644" t="s">
        <v>956</v>
      </c>
      <c r="L39" s="88">
        <v>42115</v>
      </c>
      <c r="M39" s="254">
        <v>0</v>
      </c>
      <c r="N39" s="2647"/>
      <c r="O39" s="2648" t="s">
        <v>843</v>
      </c>
      <c r="P39" s="268">
        <v>1</v>
      </c>
      <c r="Q39" s="2649"/>
      <c r="R39" s="2649">
        <v>1</v>
      </c>
      <c r="S39" s="2649"/>
      <c r="T39" s="2649"/>
      <c r="U39" s="274"/>
      <c r="V39" s="87" t="s">
        <v>957</v>
      </c>
      <c r="W39" s="88">
        <v>42162</v>
      </c>
      <c r="X39" s="254">
        <f>1556000*0</f>
        <v>0</v>
      </c>
      <c r="Y39" s="283" t="s">
        <v>95</v>
      </c>
      <c r="Z39" s="282">
        <v>1</v>
      </c>
      <c r="AA39" s="2650"/>
      <c r="AB39" s="2650">
        <v>1</v>
      </c>
      <c r="AC39" s="2650"/>
      <c r="AD39" s="2650"/>
      <c r="AE39" s="2650"/>
      <c r="AF39" s="2650"/>
      <c r="AG39" s="283"/>
      <c r="AH39" s="2651"/>
      <c r="AI39" s="91"/>
      <c r="AJ39" s="89" t="s">
        <v>958</v>
      </c>
      <c r="AK39" s="88">
        <v>42180</v>
      </c>
      <c r="AL39" s="298"/>
      <c r="AM39" s="323">
        <v>1</v>
      </c>
      <c r="AN39" s="307">
        <v>1</v>
      </c>
      <c r="AO39" s="307"/>
      <c r="AP39" s="307"/>
      <c r="AQ39" s="307"/>
      <c r="AR39" s="308"/>
      <c r="AS39" s="298"/>
      <c r="AT39" s="227"/>
      <c r="AU39" s="89"/>
      <c r="AV39" s="85"/>
      <c r="AW39" s="85"/>
      <c r="AX39" s="85"/>
      <c r="AY39" s="85"/>
      <c r="AZ39" s="85"/>
      <c r="BA39" s="91"/>
      <c r="BB39" s="86"/>
      <c r="BC39" s="330"/>
      <c r="BD39" s="2652"/>
      <c r="BE39" s="2652"/>
      <c r="BF39" s="2652"/>
      <c r="BG39" s="2652"/>
      <c r="BH39" s="2652"/>
      <c r="BI39" s="2653"/>
      <c r="BJ39" s="87"/>
      <c r="BK39" s="85"/>
      <c r="BL39" s="85"/>
      <c r="BM39" s="85"/>
      <c r="BN39" s="85"/>
      <c r="BO39" s="85"/>
      <c r="BP39" s="91"/>
      <c r="BQ39" s="2651"/>
      <c r="BR39" s="92"/>
      <c r="BS39" s="93" t="s">
        <v>959</v>
      </c>
    </row>
    <row r="40" spans="1:71" s="80" customFormat="1" ht="31.5">
      <c r="A40" s="230">
        <f t="shared" si="4"/>
        <v>19</v>
      </c>
      <c r="B40" s="2666" t="s">
        <v>960</v>
      </c>
      <c r="C40" s="82" t="s">
        <v>78</v>
      </c>
      <c r="D40" s="83"/>
      <c r="E40" s="84"/>
      <c r="F40" s="2644"/>
      <c r="G40" s="88"/>
      <c r="H40" s="86"/>
      <c r="I40" s="2645"/>
      <c r="J40" s="84" t="s">
        <v>78</v>
      </c>
      <c r="K40" s="2644" t="s">
        <v>961</v>
      </c>
      <c r="L40" s="88">
        <v>42115</v>
      </c>
      <c r="M40" s="254">
        <v>0</v>
      </c>
      <c r="N40" s="2647"/>
      <c r="O40" s="2648" t="s">
        <v>843</v>
      </c>
      <c r="P40" s="268">
        <v>1</v>
      </c>
      <c r="Q40" s="2649"/>
      <c r="R40" s="2649">
        <v>1</v>
      </c>
      <c r="S40" s="2649"/>
      <c r="T40" s="2649"/>
      <c r="U40" s="274"/>
      <c r="V40" s="87" t="s">
        <v>962</v>
      </c>
      <c r="W40" s="88">
        <v>42129</v>
      </c>
      <c r="X40" s="254">
        <v>3815024</v>
      </c>
      <c r="Y40" s="283" t="s">
        <v>95</v>
      </c>
      <c r="Z40" s="282">
        <v>1</v>
      </c>
      <c r="AA40" s="2650"/>
      <c r="AB40" s="2650">
        <v>1</v>
      </c>
      <c r="AC40" s="2650"/>
      <c r="AD40" s="2650"/>
      <c r="AE40" s="2650"/>
      <c r="AF40" s="2650"/>
      <c r="AG40" s="283"/>
      <c r="AH40" s="2651"/>
      <c r="AI40" s="91"/>
      <c r="AJ40" s="89" t="s">
        <v>942</v>
      </c>
      <c r="AK40" s="88">
        <v>42144</v>
      </c>
      <c r="AL40" s="298"/>
      <c r="AM40" s="323">
        <v>1</v>
      </c>
      <c r="AN40" s="307">
        <v>1</v>
      </c>
      <c r="AO40" s="307"/>
      <c r="AP40" s="307"/>
      <c r="AQ40" s="307"/>
      <c r="AR40" s="308"/>
      <c r="AS40" s="298"/>
      <c r="AT40" s="227"/>
      <c r="AU40" s="5683" t="s">
        <v>920</v>
      </c>
      <c r="AV40" s="5684"/>
      <c r="AW40" s="5684"/>
      <c r="AX40" s="5684"/>
      <c r="AY40" s="5684"/>
      <c r="AZ40" s="5684"/>
      <c r="BA40" s="5685"/>
      <c r="BB40" s="318"/>
      <c r="BC40" s="331">
        <v>1</v>
      </c>
      <c r="BD40" s="2656"/>
      <c r="BE40" s="2656"/>
      <c r="BF40" s="2656"/>
      <c r="BG40" s="2656"/>
      <c r="BH40" s="2656"/>
      <c r="BI40" s="2657"/>
      <c r="BJ40" s="87"/>
      <c r="BK40" s="85"/>
      <c r="BL40" s="85"/>
      <c r="BM40" s="85"/>
      <c r="BN40" s="85"/>
      <c r="BO40" s="85"/>
      <c r="BP40" s="91"/>
      <c r="BQ40" s="2651" t="s">
        <v>963</v>
      </c>
      <c r="BR40" s="92"/>
      <c r="BS40" s="93"/>
    </row>
    <row r="41" spans="1:71" s="80" customFormat="1" ht="31.5">
      <c r="A41" s="94">
        <f t="shared" si="4"/>
        <v>20</v>
      </c>
      <c r="B41" s="2667" t="s">
        <v>964</v>
      </c>
      <c r="C41" s="95" t="s">
        <v>103</v>
      </c>
      <c r="D41" s="96"/>
      <c r="E41" s="97"/>
      <c r="F41" s="2658"/>
      <c r="G41" s="100"/>
      <c r="H41" s="99"/>
      <c r="I41" s="2659"/>
      <c r="J41" s="84" t="s">
        <v>103</v>
      </c>
      <c r="K41" s="2644" t="s">
        <v>965</v>
      </c>
      <c r="L41" s="88">
        <v>42115</v>
      </c>
      <c r="M41" s="254"/>
      <c r="N41" s="2647"/>
      <c r="O41" s="2648" t="s">
        <v>843</v>
      </c>
      <c r="P41" s="268">
        <v>1</v>
      </c>
      <c r="Q41" s="2649"/>
      <c r="R41" s="2649">
        <v>1</v>
      </c>
      <c r="S41" s="2649"/>
      <c r="T41" s="2649"/>
      <c r="U41" s="274"/>
      <c r="V41" s="101" t="s">
        <v>966</v>
      </c>
      <c r="W41" s="130">
        <v>42190</v>
      </c>
      <c r="X41" s="255">
        <v>3513000</v>
      </c>
      <c r="Y41" s="285" t="s">
        <v>95</v>
      </c>
      <c r="Z41" s="284">
        <v>1</v>
      </c>
      <c r="AA41" s="2661"/>
      <c r="AB41" s="2661"/>
      <c r="AC41" s="2661">
        <v>1</v>
      </c>
      <c r="AD41" s="2661"/>
      <c r="AE41" s="2661"/>
      <c r="AF41" s="2661"/>
      <c r="AG41" s="285"/>
      <c r="AH41" s="2662"/>
      <c r="AI41" s="105"/>
      <c r="AJ41" s="102"/>
      <c r="AK41" s="103"/>
      <c r="AL41" s="298"/>
      <c r="AM41" s="323"/>
      <c r="AN41" s="307"/>
      <c r="AO41" s="307"/>
      <c r="AP41" s="307"/>
      <c r="AQ41" s="307"/>
      <c r="AR41" s="308"/>
      <c r="AS41" s="298"/>
      <c r="AT41" s="227"/>
      <c r="AU41" s="102"/>
      <c r="AV41" s="104"/>
      <c r="AW41" s="104"/>
      <c r="AX41" s="104"/>
      <c r="AY41" s="104"/>
      <c r="AZ41" s="104"/>
      <c r="BA41" s="105"/>
      <c r="BB41" s="99"/>
      <c r="BC41" s="333"/>
      <c r="BD41" s="2663"/>
      <c r="BE41" s="2663"/>
      <c r="BF41" s="2663"/>
      <c r="BG41" s="2663"/>
      <c r="BH41" s="2663"/>
      <c r="BI41" s="2664"/>
      <c r="BJ41" s="101"/>
      <c r="BK41" s="104"/>
      <c r="BL41" s="104"/>
      <c r="BM41" s="104"/>
      <c r="BN41" s="104"/>
      <c r="BO41" s="104"/>
      <c r="BP41" s="105"/>
      <c r="BQ41" s="2662"/>
      <c r="BR41" s="106"/>
      <c r="BS41" s="107" t="s">
        <v>967</v>
      </c>
    </row>
    <row r="42" spans="1:71" s="80" customFormat="1" ht="31.5">
      <c r="A42" s="2668">
        <f t="shared" si="4"/>
        <v>21</v>
      </c>
      <c r="B42" s="2667" t="s">
        <v>968</v>
      </c>
      <c r="C42" s="95" t="s">
        <v>876</v>
      </c>
      <c r="D42" s="96"/>
      <c r="E42" s="97" t="s">
        <v>876</v>
      </c>
      <c r="F42" s="2658" t="s">
        <v>953</v>
      </c>
      <c r="G42" s="130">
        <v>42148</v>
      </c>
      <c r="H42" s="99">
        <v>10800000</v>
      </c>
      <c r="I42" s="2659"/>
      <c r="J42" s="97" t="s">
        <v>876</v>
      </c>
      <c r="K42" s="2658" t="s">
        <v>969</v>
      </c>
      <c r="L42" s="130">
        <v>42115</v>
      </c>
      <c r="M42" s="255">
        <v>0</v>
      </c>
      <c r="N42" s="2669"/>
      <c r="O42" s="2670" t="s">
        <v>843</v>
      </c>
      <c r="P42" s="269">
        <v>1</v>
      </c>
      <c r="Q42" s="2671"/>
      <c r="R42" s="2671">
        <v>1</v>
      </c>
      <c r="S42" s="2671"/>
      <c r="T42" s="2671"/>
      <c r="U42" s="275"/>
      <c r="V42" s="101" t="s">
        <v>970</v>
      </c>
      <c r="W42" s="130">
        <v>42148</v>
      </c>
      <c r="X42" s="255">
        <v>10773492</v>
      </c>
      <c r="Y42" s="285" t="s">
        <v>95</v>
      </c>
      <c r="Z42" s="284">
        <v>1</v>
      </c>
      <c r="AA42" s="2661"/>
      <c r="AB42" s="2661">
        <v>1</v>
      </c>
      <c r="AC42" s="2661"/>
      <c r="AD42" s="2661"/>
      <c r="AE42" s="2661"/>
      <c r="AF42" s="2661"/>
      <c r="AG42" s="285"/>
      <c r="AH42" s="2662"/>
      <c r="AI42" s="105"/>
      <c r="AJ42" s="102" t="s">
        <v>971</v>
      </c>
      <c r="AK42" s="130">
        <v>42178</v>
      </c>
      <c r="AL42" s="298"/>
      <c r="AM42" s="323">
        <v>1</v>
      </c>
      <c r="AN42" s="307">
        <v>1</v>
      </c>
      <c r="AO42" s="307"/>
      <c r="AP42" s="307"/>
      <c r="AQ42" s="307"/>
      <c r="AR42" s="308"/>
      <c r="AS42" s="298"/>
      <c r="AT42" s="227"/>
      <c r="AU42" s="5683"/>
      <c r="AV42" s="5684"/>
      <c r="AW42" s="5684"/>
      <c r="AX42" s="5684"/>
      <c r="AY42" s="5684"/>
      <c r="AZ42" s="5684"/>
      <c r="BA42" s="5685"/>
      <c r="BB42" s="318"/>
      <c r="BC42" s="331"/>
      <c r="BD42" s="2656"/>
      <c r="BE42" s="2656"/>
      <c r="BF42" s="2656"/>
      <c r="BG42" s="2656"/>
      <c r="BH42" s="2656"/>
      <c r="BI42" s="2657"/>
      <c r="BJ42" s="87"/>
      <c r="BK42" s="85"/>
      <c r="BL42" s="85"/>
      <c r="BM42" s="85"/>
      <c r="BN42" s="85"/>
      <c r="BO42" s="85"/>
      <c r="BP42" s="91"/>
      <c r="BQ42" s="2651"/>
      <c r="BR42" s="92"/>
      <c r="BS42" s="93"/>
    </row>
    <row r="43" spans="1:71" s="80" customFormat="1" ht="31.5">
      <c r="A43" s="230">
        <f t="shared" si="4"/>
        <v>22</v>
      </c>
      <c r="B43" s="2655" t="s">
        <v>972</v>
      </c>
      <c r="C43" s="82" t="s">
        <v>78</v>
      </c>
      <c r="D43" s="83"/>
      <c r="E43" s="84"/>
      <c r="F43" s="2644"/>
      <c r="G43" s="88"/>
      <c r="H43" s="86"/>
      <c r="I43" s="2645"/>
      <c r="J43" s="84" t="s">
        <v>78</v>
      </c>
      <c r="K43" s="2644" t="s">
        <v>973</v>
      </c>
      <c r="L43" s="88">
        <v>42115</v>
      </c>
      <c r="M43" s="254">
        <v>0</v>
      </c>
      <c r="N43" s="2647"/>
      <c r="O43" s="2648" t="s">
        <v>843</v>
      </c>
      <c r="P43" s="268">
        <v>1</v>
      </c>
      <c r="Q43" s="2649"/>
      <c r="R43" s="2649">
        <v>1</v>
      </c>
      <c r="S43" s="2649"/>
      <c r="T43" s="2649"/>
      <c r="U43" s="274"/>
      <c r="V43" s="2632" t="s">
        <v>974</v>
      </c>
      <c r="W43" s="2628">
        <v>42298</v>
      </c>
      <c r="X43" s="254">
        <v>504000</v>
      </c>
      <c r="Y43" s="2633" t="s">
        <v>95</v>
      </c>
      <c r="Z43" s="282">
        <v>1</v>
      </c>
      <c r="AA43" s="2650"/>
      <c r="AB43" s="2650">
        <v>1</v>
      </c>
      <c r="AC43" s="2650"/>
      <c r="AD43" s="2650"/>
      <c r="AE43" s="2650"/>
      <c r="AF43" s="2650"/>
      <c r="AG43" s="283"/>
      <c r="AH43" s="2651"/>
      <c r="AI43" s="91"/>
      <c r="AJ43" s="89"/>
      <c r="AK43" s="90"/>
      <c r="AL43" s="298"/>
      <c r="AM43" s="323"/>
      <c r="AN43" s="307"/>
      <c r="AO43" s="307"/>
      <c r="AP43" s="307"/>
      <c r="AQ43" s="307"/>
      <c r="AR43" s="308"/>
      <c r="AS43" s="298"/>
      <c r="AT43" s="227"/>
      <c r="AU43" s="5683" t="s">
        <v>920</v>
      </c>
      <c r="AV43" s="5684"/>
      <c r="AW43" s="5684"/>
      <c r="AX43" s="5684"/>
      <c r="AY43" s="5684"/>
      <c r="AZ43" s="5684"/>
      <c r="BA43" s="5685"/>
      <c r="BB43" s="318"/>
      <c r="BC43" s="331">
        <v>1</v>
      </c>
      <c r="BD43" s="2656"/>
      <c r="BE43" s="2656"/>
      <c r="BF43" s="2656"/>
      <c r="BG43" s="2656"/>
      <c r="BH43" s="2656"/>
      <c r="BI43" s="2657"/>
      <c r="BJ43" s="87"/>
      <c r="BK43" s="85"/>
      <c r="BL43" s="85"/>
      <c r="BM43" s="85"/>
      <c r="BN43" s="85"/>
      <c r="BO43" s="85"/>
      <c r="BP43" s="91"/>
      <c r="BQ43" s="2651"/>
      <c r="BR43" s="92"/>
      <c r="BS43" s="93"/>
    </row>
    <row r="44" spans="1:71" s="80" customFormat="1" ht="31.5">
      <c r="A44" s="230">
        <f t="shared" si="4"/>
        <v>23</v>
      </c>
      <c r="B44" s="2655" t="s">
        <v>975</v>
      </c>
      <c r="C44" s="82" t="s">
        <v>78</v>
      </c>
      <c r="D44" s="83"/>
      <c r="E44" s="84"/>
      <c r="F44" s="2644"/>
      <c r="G44" s="88"/>
      <c r="H44" s="86"/>
      <c r="I44" s="2645"/>
      <c r="J44" s="84" t="s">
        <v>78</v>
      </c>
      <c r="K44" s="2644" t="s">
        <v>976</v>
      </c>
      <c r="L44" s="88">
        <v>42115</v>
      </c>
      <c r="M44" s="254">
        <v>0</v>
      </c>
      <c r="N44" s="2647"/>
      <c r="O44" s="2648" t="s">
        <v>843</v>
      </c>
      <c r="P44" s="268">
        <v>1</v>
      </c>
      <c r="Q44" s="2649"/>
      <c r="R44" s="2649">
        <v>1</v>
      </c>
      <c r="S44" s="2649"/>
      <c r="T44" s="2649"/>
      <c r="U44" s="274"/>
      <c r="V44" s="87" t="s">
        <v>977</v>
      </c>
      <c r="W44" s="88">
        <v>42298</v>
      </c>
      <c r="X44" s="254">
        <v>1458312</v>
      </c>
      <c r="Y44" s="283" t="s">
        <v>95</v>
      </c>
      <c r="Z44" s="282">
        <v>1</v>
      </c>
      <c r="AA44" s="2650"/>
      <c r="AB44" s="2650">
        <v>1</v>
      </c>
      <c r="AC44" s="2650"/>
      <c r="AD44" s="2650"/>
      <c r="AE44" s="2650"/>
      <c r="AF44" s="2650"/>
      <c r="AG44" s="283"/>
      <c r="AH44" s="2651"/>
      <c r="AI44" s="91"/>
      <c r="AJ44" s="89"/>
      <c r="AK44" s="90"/>
      <c r="AL44" s="298"/>
      <c r="AM44" s="323"/>
      <c r="AN44" s="307"/>
      <c r="AO44" s="307"/>
      <c r="AP44" s="307"/>
      <c r="AQ44" s="307"/>
      <c r="AR44" s="308"/>
      <c r="AS44" s="298"/>
      <c r="AT44" s="227"/>
      <c r="AU44" s="5683" t="s">
        <v>920</v>
      </c>
      <c r="AV44" s="5684"/>
      <c r="AW44" s="5684"/>
      <c r="AX44" s="5684"/>
      <c r="AY44" s="5684"/>
      <c r="AZ44" s="5684"/>
      <c r="BA44" s="5685"/>
      <c r="BB44" s="318"/>
      <c r="BC44" s="331">
        <v>1</v>
      </c>
      <c r="BD44" s="2656"/>
      <c r="BE44" s="2656"/>
      <c r="BF44" s="2656"/>
      <c r="BG44" s="2656"/>
      <c r="BH44" s="2656"/>
      <c r="BI44" s="2657"/>
      <c r="BJ44" s="87"/>
      <c r="BK44" s="85"/>
      <c r="BL44" s="85"/>
      <c r="BM44" s="85"/>
      <c r="BN44" s="85"/>
      <c r="BO44" s="85"/>
      <c r="BP44" s="91"/>
      <c r="BQ44" s="2651"/>
      <c r="BR44" s="92"/>
      <c r="BS44" s="93"/>
    </row>
    <row r="45" spans="1:71" s="80" customFormat="1" ht="33" customHeight="1">
      <c r="A45" s="81">
        <f t="shared" si="4"/>
        <v>24</v>
      </c>
      <c r="B45" s="2655" t="s">
        <v>978</v>
      </c>
      <c r="C45" s="82" t="s">
        <v>78</v>
      </c>
      <c r="D45" s="83"/>
      <c r="E45" s="84"/>
      <c r="F45" s="2644"/>
      <c r="G45" s="88"/>
      <c r="H45" s="86"/>
      <c r="I45" s="2645"/>
      <c r="J45" s="84" t="s">
        <v>78</v>
      </c>
      <c r="K45" s="2644" t="s">
        <v>979</v>
      </c>
      <c r="L45" s="88">
        <v>42115</v>
      </c>
      <c r="M45" s="254">
        <v>0</v>
      </c>
      <c r="N45" s="2647"/>
      <c r="O45" s="2648" t="s">
        <v>552</v>
      </c>
      <c r="P45" s="268">
        <v>1</v>
      </c>
      <c r="Q45" s="2649">
        <v>1</v>
      </c>
      <c r="R45" s="2649"/>
      <c r="S45" s="2649"/>
      <c r="T45" s="2649"/>
      <c r="U45" s="274"/>
      <c r="V45" s="87"/>
      <c r="W45" s="88"/>
      <c r="X45" s="254"/>
      <c r="Y45" s="283"/>
      <c r="Z45" s="282"/>
      <c r="AA45" s="2650"/>
      <c r="AB45" s="2650"/>
      <c r="AC45" s="2650"/>
      <c r="AD45" s="2650"/>
      <c r="AE45" s="2650"/>
      <c r="AF45" s="2650"/>
      <c r="AG45" s="283"/>
      <c r="AH45" s="2651"/>
      <c r="AI45" s="91"/>
      <c r="AJ45" s="89"/>
      <c r="AK45" s="90"/>
      <c r="AL45" s="298"/>
      <c r="AM45" s="323"/>
      <c r="AN45" s="307"/>
      <c r="AO45" s="307"/>
      <c r="AP45" s="307"/>
      <c r="AQ45" s="307"/>
      <c r="AR45" s="308"/>
      <c r="AS45" s="298"/>
      <c r="AT45" s="227"/>
      <c r="AU45" s="89"/>
      <c r="AV45" s="85"/>
      <c r="AW45" s="85"/>
      <c r="AX45" s="85"/>
      <c r="AY45" s="85"/>
      <c r="AZ45" s="85"/>
      <c r="BA45" s="91"/>
      <c r="BB45" s="86"/>
      <c r="BC45" s="330"/>
      <c r="BD45" s="2652"/>
      <c r="BE45" s="2652"/>
      <c r="BF45" s="2652"/>
      <c r="BG45" s="2652"/>
      <c r="BH45" s="2652"/>
      <c r="BI45" s="2653"/>
      <c r="BJ45" s="87"/>
      <c r="BK45" s="85"/>
      <c r="BL45" s="85"/>
      <c r="BM45" s="85"/>
      <c r="BN45" s="85"/>
      <c r="BO45" s="85"/>
      <c r="BP45" s="91"/>
      <c r="BQ45" s="2651"/>
      <c r="BR45" s="92"/>
      <c r="BS45" s="93"/>
    </row>
    <row r="46" spans="1:71" s="80" customFormat="1" ht="32.450000000000003" customHeight="1">
      <c r="A46" s="230">
        <f t="shared" si="4"/>
        <v>25</v>
      </c>
      <c r="B46" s="2666" t="s">
        <v>980</v>
      </c>
      <c r="C46" s="82" t="s">
        <v>876</v>
      </c>
      <c r="D46" s="83"/>
      <c r="E46" s="84" t="s">
        <v>876</v>
      </c>
      <c r="F46" s="2644" t="s">
        <v>981</v>
      </c>
      <c r="G46" s="88">
        <v>42155</v>
      </c>
      <c r="H46" s="86">
        <v>200000</v>
      </c>
      <c r="I46" s="2645"/>
      <c r="J46" s="84" t="s">
        <v>876</v>
      </c>
      <c r="K46" s="2644" t="s">
        <v>982</v>
      </c>
      <c r="L46" s="88">
        <v>42115</v>
      </c>
      <c r="M46" s="254">
        <f>223000*0</f>
        <v>0</v>
      </c>
      <c r="N46" s="2647"/>
      <c r="O46" s="2648" t="s">
        <v>843</v>
      </c>
      <c r="P46" s="268">
        <v>1</v>
      </c>
      <c r="Q46" s="2649"/>
      <c r="R46" s="2649">
        <v>1</v>
      </c>
      <c r="S46" s="2649"/>
      <c r="T46" s="2649"/>
      <c r="U46" s="274"/>
      <c r="V46" s="87" t="s">
        <v>983</v>
      </c>
      <c r="W46" s="88">
        <v>42166</v>
      </c>
      <c r="X46" s="254">
        <v>223000</v>
      </c>
      <c r="Y46" s="283" t="s">
        <v>95</v>
      </c>
      <c r="Z46" s="282">
        <v>1</v>
      </c>
      <c r="AA46" s="2650"/>
      <c r="AB46" s="2650">
        <v>1</v>
      </c>
      <c r="AC46" s="2650"/>
      <c r="AD46" s="2650"/>
      <c r="AE46" s="2650"/>
      <c r="AF46" s="2650"/>
      <c r="AG46" s="283"/>
      <c r="AH46" s="2651"/>
      <c r="AI46" s="91"/>
      <c r="AJ46" s="89"/>
      <c r="AK46" s="90"/>
      <c r="AL46" s="298"/>
      <c r="AM46" s="323"/>
      <c r="AN46" s="307"/>
      <c r="AO46" s="307"/>
      <c r="AP46" s="307"/>
      <c r="AQ46" s="307"/>
      <c r="AR46" s="308"/>
      <c r="AS46" s="298"/>
      <c r="AT46" s="227"/>
      <c r="AU46" s="5683" t="s">
        <v>920</v>
      </c>
      <c r="AV46" s="5684"/>
      <c r="AW46" s="5684"/>
      <c r="AX46" s="5684"/>
      <c r="AY46" s="5684"/>
      <c r="AZ46" s="5684"/>
      <c r="BA46" s="5685"/>
      <c r="BB46" s="318"/>
      <c r="BC46" s="331">
        <v>1</v>
      </c>
      <c r="BD46" s="2656"/>
      <c r="BE46" s="2656"/>
      <c r="BF46" s="2656"/>
      <c r="BG46" s="2656"/>
      <c r="BH46" s="2656"/>
      <c r="BI46" s="2657"/>
      <c r="BJ46" s="87"/>
      <c r="BK46" s="85"/>
      <c r="BL46" s="85"/>
      <c r="BM46" s="85"/>
      <c r="BN46" s="85"/>
      <c r="BO46" s="85"/>
      <c r="BP46" s="91"/>
      <c r="BQ46" s="2651"/>
      <c r="BR46" s="92"/>
      <c r="BS46" s="93"/>
    </row>
    <row r="47" spans="1:71" s="80" customFormat="1" ht="31.5">
      <c r="A47" s="230">
        <f t="shared" si="4"/>
        <v>26</v>
      </c>
      <c r="B47" s="2666" t="s">
        <v>984</v>
      </c>
      <c r="C47" s="82" t="s">
        <v>876</v>
      </c>
      <c r="D47" s="83"/>
      <c r="E47" s="84" t="s">
        <v>876</v>
      </c>
      <c r="F47" s="2644" t="s">
        <v>936</v>
      </c>
      <c r="G47" s="88">
        <v>42148</v>
      </c>
      <c r="H47" s="86">
        <v>1100000</v>
      </c>
      <c r="I47" s="2645"/>
      <c r="J47" s="84" t="s">
        <v>876</v>
      </c>
      <c r="K47" s="2644" t="s">
        <v>985</v>
      </c>
      <c r="L47" s="88">
        <v>42115</v>
      </c>
      <c r="M47" s="254">
        <v>0</v>
      </c>
      <c r="N47" s="2647"/>
      <c r="O47" s="2648" t="s">
        <v>843</v>
      </c>
      <c r="P47" s="268">
        <v>1</v>
      </c>
      <c r="Q47" s="2649"/>
      <c r="R47" s="2649">
        <v>1</v>
      </c>
      <c r="S47" s="2649"/>
      <c r="T47" s="2649"/>
      <c r="U47" s="274"/>
      <c r="V47" s="87" t="s">
        <v>986</v>
      </c>
      <c r="W47" s="88">
        <v>42296</v>
      </c>
      <c r="X47" s="254">
        <v>305000</v>
      </c>
      <c r="Y47" s="283" t="s">
        <v>95</v>
      </c>
      <c r="Z47" s="282">
        <v>1</v>
      </c>
      <c r="AA47" s="2650"/>
      <c r="AB47" s="2650">
        <v>1</v>
      </c>
      <c r="AC47" s="2650"/>
      <c r="AD47" s="2650"/>
      <c r="AE47" s="2650"/>
      <c r="AF47" s="2650"/>
      <c r="AG47" s="283"/>
      <c r="AH47" s="2651"/>
      <c r="AI47" s="91"/>
      <c r="AJ47" s="89"/>
      <c r="AK47" s="90"/>
      <c r="AL47" s="298"/>
      <c r="AM47" s="323"/>
      <c r="AN47" s="307"/>
      <c r="AO47" s="307"/>
      <c r="AP47" s="307"/>
      <c r="AQ47" s="307"/>
      <c r="AR47" s="308"/>
      <c r="AS47" s="298"/>
      <c r="AT47" s="227"/>
      <c r="AU47" s="5683" t="s">
        <v>920</v>
      </c>
      <c r="AV47" s="5684"/>
      <c r="AW47" s="5684"/>
      <c r="AX47" s="5684"/>
      <c r="AY47" s="5684"/>
      <c r="AZ47" s="5684"/>
      <c r="BA47" s="5685"/>
      <c r="BB47" s="318"/>
      <c r="BC47" s="331">
        <v>1</v>
      </c>
      <c r="BD47" s="2656"/>
      <c r="BE47" s="2656"/>
      <c r="BF47" s="2656"/>
      <c r="BG47" s="2656"/>
      <c r="BH47" s="2656"/>
      <c r="BI47" s="2657"/>
      <c r="BJ47" s="87"/>
      <c r="BK47" s="85"/>
      <c r="BL47" s="85"/>
      <c r="BM47" s="85"/>
      <c r="BN47" s="85"/>
      <c r="BO47" s="85"/>
      <c r="BP47" s="91"/>
      <c r="BQ47" s="2651"/>
      <c r="BR47" s="92"/>
      <c r="BS47" s="93" t="s">
        <v>987</v>
      </c>
    </row>
    <row r="48" spans="1:71" s="80" customFormat="1" ht="31.5">
      <c r="A48" s="230">
        <f t="shared" si="4"/>
        <v>27</v>
      </c>
      <c r="B48" s="2666" t="s">
        <v>988</v>
      </c>
      <c r="C48" s="82" t="s">
        <v>876</v>
      </c>
      <c r="D48" s="83"/>
      <c r="E48" s="84"/>
      <c r="F48" s="2644"/>
      <c r="G48" s="88"/>
      <c r="H48" s="86"/>
      <c r="I48" s="2645"/>
      <c r="J48" s="84" t="s">
        <v>876</v>
      </c>
      <c r="K48" s="2644" t="s">
        <v>989</v>
      </c>
      <c r="L48" s="88">
        <v>42115</v>
      </c>
      <c r="M48" s="254">
        <v>0</v>
      </c>
      <c r="N48" s="2647"/>
      <c r="O48" s="2648" t="s">
        <v>843</v>
      </c>
      <c r="P48" s="268">
        <v>1</v>
      </c>
      <c r="Q48" s="2649"/>
      <c r="R48" s="2649">
        <v>1</v>
      </c>
      <c r="S48" s="2649"/>
      <c r="T48" s="2649"/>
      <c r="U48" s="274"/>
      <c r="V48" s="87" t="s">
        <v>990</v>
      </c>
      <c r="W48" s="88">
        <v>42297</v>
      </c>
      <c r="X48" s="254">
        <v>404000</v>
      </c>
      <c r="Y48" s="283" t="s">
        <v>95</v>
      </c>
      <c r="Z48" s="282">
        <v>1</v>
      </c>
      <c r="AA48" s="2650"/>
      <c r="AB48" s="2650">
        <v>1</v>
      </c>
      <c r="AC48" s="2650"/>
      <c r="AD48" s="2650"/>
      <c r="AE48" s="2650"/>
      <c r="AF48" s="2650"/>
      <c r="AG48" s="283"/>
      <c r="AH48" s="2651"/>
      <c r="AI48" s="91"/>
      <c r="AJ48" s="89"/>
      <c r="AK48" s="90"/>
      <c r="AL48" s="298"/>
      <c r="AM48" s="323"/>
      <c r="AN48" s="307"/>
      <c r="AO48" s="307"/>
      <c r="AP48" s="307"/>
      <c r="AQ48" s="307"/>
      <c r="AR48" s="308"/>
      <c r="AS48" s="298"/>
      <c r="AT48" s="227"/>
      <c r="AU48" s="5683" t="s">
        <v>920</v>
      </c>
      <c r="AV48" s="5684"/>
      <c r="AW48" s="5684"/>
      <c r="AX48" s="5684"/>
      <c r="AY48" s="5684"/>
      <c r="AZ48" s="5684"/>
      <c r="BA48" s="5685"/>
      <c r="BB48" s="318"/>
      <c r="BC48" s="331">
        <v>1</v>
      </c>
      <c r="BD48" s="2656"/>
      <c r="BE48" s="2656"/>
      <c r="BF48" s="2656"/>
      <c r="BG48" s="2656"/>
      <c r="BH48" s="2656"/>
      <c r="BI48" s="2657"/>
      <c r="BJ48" s="87"/>
      <c r="BK48" s="85"/>
      <c r="BL48" s="85"/>
      <c r="BM48" s="85"/>
      <c r="BN48" s="85"/>
      <c r="BO48" s="85"/>
      <c r="BP48" s="91"/>
      <c r="BQ48" s="2651"/>
      <c r="BR48" s="92"/>
      <c r="BS48" s="93" t="s">
        <v>991</v>
      </c>
    </row>
    <row r="49" spans="1:71" s="80" customFormat="1" ht="51" customHeight="1">
      <c r="A49" s="230">
        <f t="shared" si="4"/>
        <v>28</v>
      </c>
      <c r="B49" s="2666" t="s">
        <v>992</v>
      </c>
      <c r="C49" s="82" t="s">
        <v>876</v>
      </c>
      <c r="D49" s="83"/>
      <c r="E49" s="84"/>
      <c r="F49" s="2644"/>
      <c r="G49" s="88"/>
      <c r="H49" s="86"/>
      <c r="I49" s="2645"/>
      <c r="J49" s="84" t="s">
        <v>876</v>
      </c>
      <c r="K49" s="2644" t="s">
        <v>993</v>
      </c>
      <c r="L49" s="88">
        <v>42115</v>
      </c>
      <c r="M49" s="254">
        <v>0</v>
      </c>
      <c r="N49" s="2647"/>
      <c r="O49" s="2648" t="s">
        <v>843</v>
      </c>
      <c r="P49" s="268">
        <v>1</v>
      </c>
      <c r="Q49" s="2649"/>
      <c r="R49" s="2649">
        <v>1</v>
      </c>
      <c r="S49" s="2649"/>
      <c r="T49" s="2649"/>
      <c r="U49" s="274"/>
      <c r="V49" s="87" t="s">
        <v>994</v>
      </c>
      <c r="W49" s="88">
        <v>42298</v>
      </c>
      <c r="X49" s="254">
        <v>1094000</v>
      </c>
      <c r="Y49" s="283" t="s">
        <v>95</v>
      </c>
      <c r="Z49" s="282">
        <v>1</v>
      </c>
      <c r="AA49" s="2650"/>
      <c r="AB49" s="2650">
        <v>1</v>
      </c>
      <c r="AC49" s="2650"/>
      <c r="AD49" s="2650"/>
      <c r="AE49" s="2650"/>
      <c r="AF49" s="2650"/>
      <c r="AG49" s="283"/>
      <c r="AH49" s="2651"/>
      <c r="AI49" s="91"/>
      <c r="AJ49" s="89"/>
      <c r="AK49" s="90"/>
      <c r="AL49" s="298"/>
      <c r="AM49" s="323"/>
      <c r="AN49" s="307"/>
      <c r="AO49" s="307"/>
      <c r="AP49" s="307"/>
      <c r="AQ49" s="307"/>
      <c r="AR49" s="308"/>
      <c r="AS49" s="298"/>
      <c r="AT49" s="227"/>
      <c r="AU49" s="5683" t="s">
        <v>920</v>
      </c>
      <c r="AV49" s="5684"/>
      <c r="AW49" s="5684"/>
      <c r="AX49" s="5684"/>
      <c r="AY49" s="5684"/>
      <c r="AZ49" s="5684"/>
      <c r="BA49" s="5685"/>
      <c r="BB49" s="318"/>
      <c r="BC49" s="331">
        <v>1</v>
      </c>
      <c r="BD49" s="2656"/>
      <c r="BE49" s="2656"/>
      <c r="BF49" s="2656"/>
      <c r="BG49" s="2656"/>
      <c r="BH49" s="2656"/>
      <c r="BI49" s="2657"/>
      <c r="BJ49" s="87"/>
      <c r="BK49" s="85"/>
      <c r="BL49" s="85"/>
      <c r="BM49" s="85"/>
      <c r="BN49" s="85"/>
      <c r="BO49" s="85"/>
      <c r="BP49" s="91"/>
      <c r="BQ49" s="2651"/>
      <c r="BR49" s="92"/>
      <c r="BS49" s="93"/>
    </row>
    <row r="50" spans="1:71" s="80" customFormat="1" ht="31.5">
      <c r="A50" s="81">
        <f t="shared" si="4"/>
        <v>29</v>
      </c>
      <c r="B50" s="2666" t="s">
        <v>995</v>
      </c>
      <c r="C50" s="82" t="s">
        <v>876</v>
      </c>
      <c r="D50" s="83"/>
      <c r="E50" s="84" t="s">
        <v>876</v>
      </c>
      <c r="F50" s="2644" t="s">
        <v>996</v>
      </c>
      <c r="G50" s="88">
        <v>42155</v>
      </c>
      <c r="H50" s="86">
        <v>505000</v>
      </c>
      <c r="I50" s="2645"/>
      <c r="J50" s="84" t="s">
        <v>876</v>
      </c>
      <c r="K50" s="2644" t="s">
        <v>997</v>
      </c>
      <c r="L50" s="88">
        <v>42115</v>
      </c>
      <c r="M50" s="254">
        <v>0</v>
      </c>
      <c r="N50" s="2647"/>
      <c r="O50" s="2648" t="s">
        <v>552</v>
      </c>
      <c r="P50" s="268">
        <v>1</v>
      </c>
      <c r="Q50" s="2649">
        <v>1</v>
      </c>
      <c r="R50" s="2649"/>
      <c r="S50" s="2649"/>
      <c r="T50" s="2649"/>
      <c r="U50" s="274"/>
      <c r="V50" s="87"/>
      <c r="W50" s="88"/>
      <c r="X50" s="254"/>
      <c r="Y50" s="283"/>
      <c r="Z50" s="282"/>
      <c r="AA50" s="2650"/>
      <c r="AB50" s="2650"/>
      <c r="AC50" s="2650"/>
      <c r="AD50" s="2650"/>
      <c r="AE50" s="2650"/>
      <c r="AF50" s="2650"/>
      <c r="AG50" s="283"/>
      <c r="AH50" s="2651"/>
      <c r="AI50" s="91"/>
      <c r="AJ50" s="89"/>
      <c r="AK50" s="90"/>
      <c r="AL50" s="298"/>
      <c r="AM50" s="323"/>
      <c r="AN50" s="307"/>
      <c r="AO50" s="307"/>
      <c r="AP50" s="307"/>
      <c r="AQ50" s="307"/>
      <c r="AR50" s="308"/>
      <c r="AS50" s="298"/>
      <c r="AT50" s="227"/>
      <c r="AU50" s="89"/>
      <c r="AV50" s="85"/>
      <c r="AW50" s="85"/>
      <c r="AX50" s="85"/>
      <c r="AY50" s="85"/>
      <c r="AZ50" s="85"/>
      <c r="BA50" s="91"/>
      <c r="BB50" s="86"/>
      <c r="BC50" s="330"/>
      <c r="BD50" s="2652"/>
      <c r="BE50" s="2652"/>
      <c r="BF50" s="2652"/>
      <c r="BG50" s="2652"/>
      <c r="BH50" s="2652"/>
      <c r="BI50" s="2653"/>
      <c r="BJ50" s="87"/>
      <c r="BK50" s="85"/>
      <c r="BL50" s="85"/>
      <c r="BM50" s="85"/>
      <c r="BN50" s="85"/>
      <c r="BO50" s="85"/>
      <c r="BP50" s="91"/>
      <c r="BQ50" s="2651"/>
      <c r="BR50" s="92"/>
      <c r="BS50" s="93" t="s">
        <v>998</v>
      </c>
    </row>
    <row r="51" spans="1:71" s="80" customFormat="1" ht="31.5">
      <c r="A51" s="81">
        <f t="shared" si="4"/>
        <v>30</v>
      </c>
      <c r="B51" s="2666" t="s">
        <v>999</v>
      </c>
      <c r="C51" s="82" t="s">
        <v>876</v>
      </c>
      <c r="D51" s="83"/>
      <c r="E51" s="84"/>
      <c r="F51" s="2644"/>
      <c r="G51" s="85"/>
      <c r="H51" s="86"/>
      <c r="I51" s="2645"/>
      <c r="J51" s="84" t="s">
        <v>876</v>
      </c>
      <c r="K51" s="2644" t="s">
        <v>1000</v>
      </c>
      <c r="L51" s="88">
        <v>42115</v>
      </c>
      <c r="M51" s="254">
        <v>0</v>
      </c>
      <c r="N51" s="2647"/>
      <c r="O51" s="2648" t="s">
        <v>552</v>
      </c>
      <c r="P51" s="268">
        <v>1</v>
      </c>
      <c r="Q51" s="2649">
        <v>1</v>
      </c>
      <c r="R51" s="2649"/>
      <c r="S51" s="2649"/>
      <c r="T51" s="2649"/>
      <c r="U51" s="274"/>
      <c r="V51" s="87"/>
      <c r="W51" s="88"/>
      <c r="X51" s="254"/>
      <c r="Y51" s="283"/>
      <c r="Z51" s="282"/>
      <c r="AA51" s="2650"/>
      <c r="AB51" s="2650"/>
      <c r="AC51" s="2650"/>
      <c r="AD51" s="2650"/>
      <c r="AE51" s="2650"/>
      <c r="AF51" s="2650"/>
      <c r="AG51" s="283"/>
      <c r="AH51" s="2651"/>
      <c r="AI51" s="91"/>
      <c r="AJ51" s="89"/>
      <c r="AK51" s="90"/>
      <c r="AL51" s="298"/>
      <c r="AM51" s="323"/>
      <c r="AN51" s="307"/>
      <c r="AO51" s="307"/>
      <c r="AP51" s="307"/>
      <c r="AQ51" s="307"/>
      <c r="AR51" s="308"/>
      <c r="AS51" s="298"/>
      <c r="AT51" s="227"/>
      <c r="AU51" s="89"/>
      <c r="AV51" s="85"/>
      <c r="AW51" s="85"/>
      <c r="AX51" s="85"/>
      <c r="AY51" s="85"/>
      <c r="AZ51" s="85"/>
      <c r="BA51" s="91"/>
      <c r="BB51" s="86"/>
      <c r="BC51" s="330"/>
      <c r="BD51" s="2652"/>
      <c r="BE51" s="2652"/>
      <c r="BF51" s="2652"/>
      <c r="BG51" s="2652"/>
      <c r="BH51" s="2652"/>
      <c r="BI51" s="2653"/>
      <c r="BJ51" s="87"/>
      <c r="BK51" s="85"/>
      <c r="BL51" s="85"/>
      <c r="BM51" s="85"/>
      <c r="BN51" s="85"/>
      <c r="BO51" s="85"/>
      <c r="BP51" s="91"/>
      <c r="BQ51" s="2651"/>
      <c r="BR51" s="92"/>
      <c r="BS51" s="93" t="s">
        <v>998</v>
      </c>
    </row>
    <row r="52" spans="1:71" s="80" customFormat="1" ht="32.450000000000003" customHeight="1">
      <c r="A52" s="230">
        <f t="shared" si="4"/>
        <v>31</v>
      </c>
      <c r="B52" s="2666" t="s">
        <v>1001</v>
      </c>
      <c r="C52" s="82" t="s">
        <v>876</v>
      </c>
      <c r="D52" s="83"/>
      <c r="E52" s="84" t="s">
        <v>876</v>
      </c>
      <c r="F52" s="2644" t="s">
        <v>971</v>
      </c>
      <c r="G52" s="88">
        <v>42148</v>
      </c>
      <c r="H52" s="86" t="s">
        <v>1002</v>
      </c>
      <c r="I52" s="2645"/>
      <c r="J52" s="84" t="s">
        <v>876</v>
      </c>
      <c r="K52" s="2644" t="s">
        <v>1003</v>
      </c>
      <c r="L52" s="88">
        <v>42115</v>
      </c>
      <c r="M52" s="254">
        <v>0</v>
      </c>
      <c r="N52" s="2647"/>
      <c r="O52" s="2648" t="s">
        <v>843</v>
      </c>
      <c r="P52" s="268">
        <v>1</v>
      </c>
      <c r="Q52" s="2649"/>
      <c r="R52" s="2649">
        <v>1</v>
      </c>
      <c r="S52" s="2649"/>
      <c r="T52" s="2649"/>
      <c r="U52" s="274"/>
      <c r="V52" s="87" t="s">
        <v>1004</v>
      </c>
      <c r="W52" s="88">
        <v>42183</v>
      </c>
      <c r="X52" s="254">
        <v>2319000</v>
      </c>
      <c r="Y52" s="283" t="s">
        <v>95</v>
      </c>
      <c r="Z52" s="282">
        <v>1</v>
      </c>
      <c r="AA52" s="2650"/>
      <c r="AB52" s="2650">
        <v>1</v>
      </c>
      <c r="AC52" s="2650"/>
      <c r="AD52" s="2650"/>
      <c r="AE52" s="2650"/>
      <c r="AF52" s="2650"/>
      <c r="AG52" s="283"/>
      <c r="AH52" s="2651"/>
      <c r="AI52" s="91"/>
      <c r="AJ52" s="89"/>
      <c r="AK52" s="90"/>
      <c r="AL52" s="298"/>
      <c r="AM52" s="323"/>
      <c r="AN52" s="307"/>
      <c r="AO52" s="307"/>
      <c r="AP52" s="307"/>
      <c r="AQ52" s="307"/>
      <c r="AR52" s="308"/>
      <c r="AS52" s="298"/>
      <c r="AT52" s="227"/>
      <c r="AU52" s="5683" t="s">
        <v>920</v>
      </c>
      <c r="AV52" s="5684"/>
      <c r="AW52" s="5684"/>
      <c r="AX52" s="5684"/>
      <c r="AY52" s="5684"/>
      <c r="AZ52" s="5684"/>
      <c r="BA52" s="5685"/>
      <c r="BB52" s="318"/>
      <c r="BC52" s="331">
        <v>1</v>
      </c>
      <c r="BD52" s="2656"/>
      <c r="BE52" s="2656"/>
      <c r="BF52" s="2656"/>
      <c r="BG52" s="2656"/>
      <c r="BH52" s="2656"/>
      <c r="BI52" s="2657"/>
      <c r="BJ52" s="87"/>
      <c r="BK52" s="85"/>
      <c r="BL52" s="85"/>
      <c r="BM52" s="85"/>
      <c r="BN52" s="85"/>
      <c r="BO52" s="85"/>
      <c r="BP52" s="91"/>
      <c r="BQ52" s="2651"/>
      <c r="BR52" s="92"/>
      <c r="BS52" s="93" t="s">
        <v>1005</v>
      </c>
    </row>
    <row r="53" spans="1:71" s="80" customFormat="1" ht="35.25" customHeight="1">
      <c r="A53" s="81">
        <f t="shared" si="4"/>
        <v>32</v>
      </c>
      <c r="B53" s="2655" t="s">
        <v>1006</v>
      </c>
      <c r="C53" s="82" t="s">
        <v>78</v>
      </c>
      <c r="D53" s="83"/>
      <c r="E53" s="84"/>
      <c r="F53" s="2644"/>
      <c r="G53" s="88"/>
      <c r="H53" s="86"/>
      <c r="I53" s="2645"/>
      <c r="J53" s="84" t="s">
        <v>78</v>
      </c>
      <c r="K53" s="2644" t="s">
        <v>1007</v>
      </c>
      <c r="L53" s="88">
        <v>42107</v>
      </c>
      <c r="M53" s="254">
        <v>0</v>
      </c>
      <c r="N53" s="2647"/>
      <c r="O53" s="2648" t="s">
        <v>552</v>
      </c>
      <c r="P53" s="268">
        <v>1</v>
      </c>
      <c r="Q53" s="2649">
        <v>1</v>
      </c>
      <c r="R53" s="2649"/>
      <c r="S53" s="2649"/>
      <c r="T53" s="2649"/>
      <c r="U53" s="274"/>
      <c r="V53" s="87"/>
      <c r="W53" s="205"/>
      <c r="X53" s="256">
        <f>-2407000*0</f>
        <v>0</v>
      </c>
      <c r="Y53" s="283"/>
      <c r="Z53" s="282"/>
      <c r="AA53" s="2650"/>
      <c r="AB53" s="2650"/>
      <c r="AC53" s="2650"/>
      <c r="AD53" s="2650"/>
      <c r="AE53" s="2650"/>
      <c r="AF53" s="2650"/>
      <c r="AG53" s="283"/>
      <c r="AH53" s="2651"/>
      <c r="AI53" s="91"/>
      <c r="AJ53" s="89"/>
      <c r="AK53" s="90"/>
      <c r="AL53" s="298"/>
      <c r="AM53" s="323"/>
      <c r="AN53" s="307"/>
      <c r="AO53" s="307"/>
      <c r="AP53" s="307"/>
      <c r="AQ53" s="307"/>
      <c r="AR53" s="308"/>
      <c r="AS53" s="298"/>
      <c r="AT53" s="227"/>
      <c r="AU53" s="89"/>
      <c r="AV53" s="85"/>
      <c r="AW53" s="85"/>
      <c r="AX53" s="85"/>
      <c r="AY53" s="85"/>
      <c r="AZ53" s="85"/>
      <c r="BA53" s="91"/>
      <c r="BB53" s="86"/>
      <c r="BC53" s="330"/>
      <c r="BD53" s="2652"/>
      <c r="BE53" s="2652"/>
      <c r="BF53" s="2652"/>
      <c r="BG53" s="2652"/>
      <c r="BH53" s="2652"/>
      <c r="BI53" s="2653"/>
      <c r="BJ53" s="87"/>
      <c r="BK53" s="85"/>
      <c r="BL53" s="85"/>
      <c r="BM53" s="85"/>
      <c r="BN53" s="85"/>
      <c r="BO53" s="85"/>
      <c r="BP53" s="91"/>
      <c r="BQ53" s="2651"/>
      <c r="BR53" s="92"/>
      <c r="BS53" s="93" t="s">
        <v>1008</v>
      </c>
    </row>
    <row r="54" spans="1:71" s="80" customFormat="1" ht="49.5" customHeight="1">
      <c r="A54" s="81">
        <f t="shared" si="4"/>
        <v>33</v>
      </c>
      <c r="B54" s="2655" t="s">
        <v>1009</v>
      </c>
      <c r="C54" s="82" t="s">
        <v>78</v>
      </c>
      <c r="D54" s="83"/>
      <c r="E54" s="84"/>
      <c r="F54" s="2644"/>
      <c r="G54" s="88"/>
      <c r="H54" s="86"/>
      <c r="I54" s="2645"/>
      <c r="J54" s="84" t="s">
        <v>78</v>
      </c>
      <c r="K54" s="2644" t="s">
        <v>1010</v>
      </c>
      <c r="L54" s="88">
        <v>42107</v>
      </c>
      <c r="M54" s="254">
        <v>0</v>
      </c>
      <c r="N54" s="2647"/>
      <c r="O54" s="2672" t="s">
        <v>552</v>
      </c>
      <c r="P54" s="270">
        <v>1</v>
      </c>
      <c r="Q54" s="2673">
        <v>1</v>
      </c>
      <c r="R54" s="2673"/>
      <c r="S54" s="2673"/>
      <c r="T54" s="2673"/>
      <c r="U54" s="276"/>
      <c r="V54" s="87"/>
      <c r="W54" s="205"/>
      <c r="X54" s="256">
        <f>-550000*0</f>
        <v>0</v>
      </c>
      <c r="Y54" s="283"/>
      <c r="Z54" s="282"/>
      <c r="AA54" s="2650"/>
      <c r="AB54" s="2650"/>
      <c r="AC54" s="2650"/>
      <c r="AD54" s="2650"/>
      <c r="AE54" s="2650"/>
      <c r="AF54" s="2650"/>
      <c r="AG54" s="283"/>
      <c r="AH54" s="2651"/>
      <c r="AI54" s="91"/>
      <c r="AJ54" s="89"/>
      <c r="AK54" s="90"/>
      <c r="AL54" s="298"/>
      <c r="AM54" s="323"/>
      <c r="AN54" s="307"/>
      <c r="AO54" s="307"/>
      <c r="AP54" s="307"/>
      <c r="AQ54" s="307"/>
      <c r="AR54" s="308"/>
      <c r="AS54" s="298"/>
      <c r="AT54" s="227"/>
      <c r="AU54" s="89"/>
      <c r="AV54" s="85"/>
      <c r="AW54" s="85"/>
      <c r="AX54" s="85"/>
      <c r="AY54" s="85"/>
      <c r="AZ54" s="85"/>
      <c r="BA54" s="91"/>
      <c r="BB54" s="86"/>
      <c r="BC54" s="330"/>
      <c r="BD54" s="2652"/>
      <c r="BE54" s="2652"/>
      <c r="BF54" s="2652"/>
      <c r="BG54" s="2652"/>
      <c r="BH54" s="2652"/>
      <c r="BI54" s="2653"/>
      <c r="BJ54" s="87"/>
      <c r="BK54" s="85"/>
      <c r="BL54" s="85"/>
      <c r="BM54" s="85"/>
      <c r="BN54" s="85"/>
      <c r="BO54" s="85"/>
      <c r="BP54" s="91"/>
      <c r="BQ54" s="2651"/>
      <c r="BR54" s="92"/>
      <c r="BS54" s="93" t="s">
        <v>1008</v>
      </c>
    </row>
    <row r="55" spans="1:71" s="80" customFormat="1" ht="33" customHeight="1">
      <c r="A55" s="81">
        <f t="shared" si="4"/>
        <v>34</v>
      </c>
      <c r="B55" s="2655" t="s">
        <v>1011</v>
      </c>
      <c r="C55" s="82" t="s">
        <v>78</v>
      </c>
      <c r="D55" s="83"/>
      <c r="E55" s="84"/>
      <c r="F55" s="2644"/>
      <c r="G55" s="88"/>
      <c r="H55" s="86"/>
      <c r="I55" s="2645"/>
      <c r="J55" s="84" t="s">
        <v>78</v>
      </c>
      <c r="K55" s="2644" t="s">
        <v>1012</v>
      </c>
      <c r="L55" s="88">
        <v>42107</v>
      </c>
      <c r="M55" s="254">
        <v>0</v>
      </c>
      <c r="N55" s="2647"/>
      <c r="O55" s="2672" t="s">
        <v>552</v>
      </c>
      <c r="P55" s="270">
        <v>1</v>
      </c>
      <c r="Q55" s="2673">
        <v>1</v>
      </c>
      <c r="R55" s="2673"/>
      <c r="S55" s="2673"/>
      <c r="T55" s="2673"/>
      <c r="U55" s="276"/>
      <c r="V55" s="87"/>
      <c r="W55" s="205"/>
      <c r="X55" s="256">
        <f>-501000*0</f>
        <v>0</v>
      </c>
      <c r="Y55" s="283"/>
      <c r="Z55" s="282"/>
      <c r="AA55" s="2650"/>
      <c r="AB55" s="2650"/>
      <c r="AC55" s="2650"/>
      <c r="AD55" s="2650"/>
      <c r="AE55" s="2650"/>
      <c r="AF55" s="2650"/>
      <c r="AG55" s="283"/>
      <c r="AH55" s="2651"/>
      <c r="AI55" s="91"/>
      <c r="AJ55" s="89"/>
      <c r="AK55" s="90"/>
      <c r="AL55" s="298"/>
      <c r="AM55" s="323"/>
      <c r="AN55" s="307"/>
      <c r="AO55" s="307"/>
      <c r="AP55" s="307"/>
      <c r="AQ55" s="307"/>
      <c r="AR55" s="308"/>
      <c r="AS55" s="298"/>
      <c r="AT55" s="227"/>
      <c r="AU55" s="89"/>
      <c r="AV55" s="85"/>
      <c r="AW55" s="85"/>
      <c r="AX55" s="85"/>
      <c r="AY55" s="85"/>
      <c r="AZ55" s="85"/>
      <c r="BA55" s="91"/>
      <c r="BB55" s="86"/>
      <c r="BC55" s="330"/>
      <c r="BD55" s="2652"/>
      <c r="BE55" s="2652"/>
      <c r="BF55" s="2652"/>
      <c r="BG55" s="2652"/>
      <c r="BH55" s="2652"/>
      <c r="BI55" s="2653"/>
      <c r="BJ55" s="87"/>
      <c r="BK55" s="85"/>
      <c r="BL55" s="85"/>
      <c r="BM55" s="85"/>
      <c r="BN55" s="85"/>
      <c r="BO55" s="85"/>
      <c r="BP55" s="91"/>
      <c r="BQ55" s="2651"/>
      <c r="BR55" s="92"/>
      <c r="BS55" s="93" t="s">
        <v>1008</v>
      </c>
    </row>
    <row r="56" spans="1:71" s="80" customFormat="1" ht="35.25" customHeight="1">
      <c r="A56" s="81">
        <f t="shared" si="4"/>
        <v>35</v>
      </c>
      <c r="B56" s="2655" t="s">
        <v>1013</v>
      </c>
      <c r="C56" s="82" t="s">
        <v>78</v>
      </c>
      <c r="D56" s="83"/>
      <c r="E56" s="84"/>
      <c r="F56" s="2644"/>
      <c r="G56" s="85"/>
      <c r="H56" s="86"/>
      <c r="I56" s="2645"/>
      <c r="J56" s="84" t="s">
        <v>78</v>
      </c>
      <c r="K56" s="2644" t="s">
        <v>1014</v>
      </c>
      <c r="L56" s="88">
        <v>42107</v>
      </c>
      <c r="M56" s="254">
        <v>0</v>
      </c>
      <c r="N56" s="2647"/>
      <c r="O56" s="2648" t="s">
        <v>552</v>
      </c>
      <c r="P56" s="268">
        <v>1</v>
      </c>
      <c r="Q56" s="2649">
        <v>1</v>
      </c>
      <c r="R56" s="2649"/>
      <c r="S56" s="2649"/>
      <c r="T56" s="2649"/>
      <c r="U56" s="274"/>
      <c r="V56" s="87"/>
      <c r="W56" s="88"/>
      <c r="X56" s="254"/>
      <c r="Y56" s="283"/>
      <c r="Z56" s="282"/>
      <c r="AA56" s="2650"/>
      <c r="AB56" s="2650"/>
      <c r="AC56" s="2650"/>
      <c r="AD56" s="2650"/>
      <c r="AE56" s="2650"/>
      <c r="AF56" s="2650"/>
      <c r="AG56" s="283"/>
      <c r="AH56" s="2651"/>
      <c r="AI56" s="91"/>
      <c r="AJ56" s="89"/>
      <c r="AK56" s="90"/>
      <c r="AL56" s="298"/>
      <c r="AM56" s="323"/>
      <c r="AN56" s="307"/>
      <c r="AO56" s="307"/>
      <c r="AP56" s="307"/>
      <c r="AQ56" s="307"/>
      <c r="AR56" s="308"/>
      <c r="AS56" s="298"/>
      <c r="AT56" s="227"/>
      <c r="AU56" s="89"/>
      <c r="AV56" s="85"/>
      <c r="AW56" s="85"/>
      <c r="AX56" s="85"/>
      <c r="AY56" s="85"/>
      <c r="AZ56" s="85"/>
      <c r="BA56" s="91"/>
      <c r="BB56" s="86"/>
      <c r="BC56" s="330"/>
      <c r="BD56" s="2652"/>
      <c r="BE56" s="2652"/>
      <c r="BF56" s="2652"/>
      <c r="BG56" s="2652"/>
      <c r="BH56" s="2652"/>
      <c r="BI56" s="2653"/>
      <c r="BJ56" s="87"/>
      <c r="BK56" s="85"/>
      <c r="BL56" s="85"/>
      <c r="BM56" s="85"/>
      <c r="BN56" s="85"/>
      <c r="BO56" s="85"/>
      <c r="BP56" s="91"/>
      <c r="BQ56" s="2651"/>
      <c r="BR56" s="92"/>
      <c r="BS56" s="93"/>
    </row>
    <row r="57" spans="1:71" s="80" customFormat="1" ht="49.5" customHeight="1">
      <c r="A57" s="81">
        <f t="shared" si="4"/>
        <v>36</v>
      </c>
      <c r="B57" s="2655" t="s">
        <v>1015</v>
      </c>
      <c r="C57" s="82" t="s">
        <v>78</v>
      </c>
      <c r="D57" s="83"/>
      <c r="E57" s="84"/>
      <c r="F57" s="2644"/>
      <c r="G57" s="88"/>
      <c r="H57" s="86"/>
      <c r="I57" s="2645"/>
      <c r="J57" s="84" t="s">
        <v>78</v>
      </c>
      <c r="K57" s="2644" t="s">
        <v>1016</v>
      </c>
      <c r="L57" s="88">
        <v>42115</v>
      </c>
      <c r="M57" s="254">
        <v>0</v>
      </c>
      <c r="N57" s="2647"/>
      <c r="O57" s="2672" t="s">
        <v>843</v>
      </c>
      <c r="P57" s="270">
        <v>1</v>
      </c>
      <c r="Q57" s="2673"/>
      <c r="R57" s="2673">
        <v>1</v>
      </c>
      <c r="S57" s="2673"/>
      <c r="T57" s="2673"/>
      <c r="U57" s="276"/>
      <c r="V57" s="87" t="s">
        <v>1017</v>
      </c>
      <c r="W57" s="88">
        <v>42232</v>
      </c>
      <c r="X57" s="254">
        <v>0</v>
      </c>
      <c r="Y57" s="283" t="s">
        <v>552</v>
      </c>
      <c r="Z57" s="282">
        <v>1</v>
      </c>
      <c r="AA57" s="2650">
        <v>1</v>
      </c>
      <c r="AB57" s="2650"/>
      <c r="AC57" s="2650"/>
      <c r="AD57" s="2650"/>
      <c r="AE57" s="2650"/>
      <c r="AF57" s="2650"/>
      <c r="AG57" s="283"/>
      <c r="AH57" s="2651"/>
      <c r="AI57" s="91"/>
      <c r="AJ57" s="89"/>
      <c r="AK57" s="90"/>
      <c r="AL57" s="298"/>
      <c r="AM57" s="323"/>
      <c r="AN57" s="307"/>
      <c r="AO57" s="307"/>
      <c r="AP57" s="307"/>
      <c r="AQ57" s="307"/>
      <c r="AR57" s="308"/>
      <c r="AS57" s="298"/>
      <c r="AT57" s="227"/>
      <c r="AU57" s="5683" t="s">
        <v>920</v>
      </c>
      <c r="AV57" s="5684"/>
      <c r="AW57" s="5684"/>
      <c r="AX57" s="5684"/>
      <c r="AY57" s="5684"/>
      <c r="AZ57" s="5684"/>
      <c r="BA57" s="5685"/>
      <c r="BB57" s="318"/>
      <c r="BC57" s="331">
        <v>1</v>
      </c>
      <c r="BD57" s="2656"/>
      <c r="BE57" s="2656"/>
      <c r="BF57" s="2656"/>
      <c r="BG57" s="2656"/>
      <c r="BH57" s="2656"/>
      <c r="BI57" s="2657"/>
      <c r="BJ57" s="87"/>
      <c r="BK57" s="85"/>
      <c r="BL57" s="85"/>
      <c r="BM57" s="85"/>
      <c r="BN57" s="85"/>
      <c r="BO57" s="85"/>
      <c r="BP57" s="91"/>
      <c r="BQ57" s="2651"/>
      <c r="BR57" s="92"/>
      <c r="BS57" s="93"/>
    </row>
    <row r="58" spans="1:71" s="80" customFormat="1" ht="50.45" customHeight="1">
      <c r="A58" s="81">
        <f t="shared" si="4"/>
        <v>37</v>
      </c>
      <c r="B58" s="2655" t="s">
        <v>1018</v>
      </c>
      <c r="C58" s="82" t="s">
        <v>78</v>
      </c>
      <c r="D58" s="83"/>
      <c r="E58" s="84"/>
      <c r="F58" s="2644"/>
      <c r="G58" s="88"/>
      <c r="H58" s="86"/>
      <c r="I58" s="2645"/>
      <c r="J58" s="84" t="s">
        <v>78</v>
      </c>
      <c r="K58" s="2644" t="s">
        <v>1019</v>
      </c>
      <c r="L58" s="88">
        <v>42115</v>
      </c>
      <c r="M58" s="254">
        <v>0</v>
      </c>
      <c r="N58" s="2647"/>
      <c r="O58" s="2648" t="s">
        <v>552</v>
      </c>
      <c r="P58" s="268">
        <v>1</v>
      </c>
      <c r="Q58" s="2649">
        <v>1</v>
      </c>
      <c r="R58" s="2649"/>
      <c r="S58" s="2649"/>
      <c r="T58" s="2649"/>
      <c r="U58" s="274"/>
      <c r="V58" s="87"/>
      <c r="W58" s="205"/>
      <c r="X58" s="256">
        <f>-3300000*0</f>
        <v>0</v>
      </c>
      <c r="Y58" s="283"/>
      <c r="Z58" s="282"/>
      <c r="AA58" s="2650"/>
      <c r="AB58" s="2650"/>
      <c r="AC58" s="2650"/>
      <c r="AD58" s="2650"/>
      <c r="AE58" s="2650"/>
      <c r="AF58" s="2650"/>
      <c r="AG58" s="283"/>
      <c r="AH58" s="2651"/>
      <c r="AI58" s="91"/>
      <c r="AJ58" s="89"/>
      <c r="AK58" s="90"/>
      <c r="AL58" s="298"/>
      <c r="AM58" s="323"/>
      <c r="AN58" s="307"/>
      <c r="AO58" s="307"/>
      <c r="AP58" s="307"/>
      <c r="AQ58" s="307"/>
      <c r="AR58" s="308"/>
      <c r="AS58" s="298"/>
      <c r="AT58" s="227"/>
      <c r="AU58" s="89"/>
      <c r="AV58" s="85"/>
      <c r="AW58" s="85"/>
      <c r="AX58" s="85"/>
      <c r="AY58" s="85"/>
      <c r="AZ58" s="85"/>
      <c r="BA58" s="91"/>
      <c r="BB58" s="86"/>
      <c r="BC58" s="330"/>
      <c r="BD58" s="2652"/>
      <c r="BE58" s="2652"/>
      <c r="BF58" s="2652"/>
      <c r="BG58" s="2652"/>
      <c r="BH58" s="2652"/>
      <c r="BI58" s="2653"/>
      <c r="BJ58" s="87"/>
      <c r="BK58" s="85"/>
      <c r="BL58" s="85"/>
      <c r="BM58" s="85"/>
      <c r="BN58" s="85"/>
      <c r="BO58" s="85"/>
      <c r="BP58" s="91"/>
      <c r="BQ58" s="2651"/>
      <c r="BR58" s="92"/>
      <c r="BS58" s="93" t="s">
        <v>1020</v>
      </c>
    </row>
    <row r="59" spans="1:71" s="80" customFormat="1" ht="49.5" customHeight="1">
      <c r="A59" s="81">
        <f t="shared" si="4"/>
        <v>38</v>
      </c>
      <c r="B59" s="2655" t="s">
        <v>1021</v>
      </c>
      <c r="C59" s="82" t="s">
        <v>78</v>
      </c>
      <c r="D59" s="83"/>
      <c r="E59" s="84"/>
      <c r="F59" s="2644"/>
      <c r="G59" s="85"/>
      <c r="H59" s="86"/>
      <c r="I59" s="2645"/>
      <c r="J59" s="84" t="s">
        <v>78</v>
      </c>
      <c r="K59" s="2644" t="s">
        <v>1022</v>
      </c>
      <c r="L59" s="88">
        <v>42115</v>
      </c>
      <c r="M59" s="254">
        <v>0</v>
      </c>
      <c r="N59" s="2647"/>
      <c r="O59" s="2648" t="s">
        <v>552</v>
      </c>
      <c r="P59" s="268">
        <v>1</v>
      </c>
      <c r="Q59" s="2649">
        <v>1</v>
      </c>
      <c r="R59" s="2649"/>
      <c r="S59" s="2649"/>
      <c r="T59" s="2649"/>
      <c r="U59" s="274"/>
      <c r="V59" s="87"/>
      <c r="W59" s="88"/>
      <c r="X59" s="254"/>
      <c r="Y59" s="283"/>
      <c r="Z59" s="282"/>
      <c r="AA59" s="2650"/>
      <c r="AB59" s="2650"/>
      <c r="AC59" s="2650"/>
      <c r="AD59" s="2650"/>
      <c r="AE59" s="2650"/>
      <c r="AF59" s="2650"/>
      <c r="AG59" s="283"/>
      <c r="AH59" s="2651"/>
      <c r="AI59" s="91"/>
      <c r="AJ59" s="89"/>
      <c r="AK59" s="90"/>
      <c r="AL59" s="298"/>
      <c r="AM59" s="323"/>
      <c r="AN59" s="307"/>
      <c r="AO59" s="307"/>
      <c r="AP59" s="307"/>
      <c r="AQ59" s="307"/>
      <c r="AR59" s="308"/>
      <c r="AS59" s="298"/>
      <c r="AT59" s="227"/>
      <c r="AU59" s="89"/>
      <c r="AV59" s="85"/>
      <c r="AW59" s="85"/>
      <c r="AX59" s="85"/>
      <c r="AY59" s="85"/>
      <c r="AZ59" s="85"/>
      <c r="BA59" s="91"/>
      <c r="BB59" s="86"/>
      <c r="BC59" s="330"/>
      <c r="BD59" s="2652"/>
      <c r="BE59" s="2652"/>
      <c r="BF59" s="2652"/>
      <c r="BG59" s="2652"/>
      <c r="BH59" s="2652"/>
      <c r="BI59" s="2653"/>
      <c r="BJ59" s="87"/>
      <c r="BK59" s="85"/>
      <c r="BL59" s="85"/>
      <c r="BM59" s="85"/>
      <c r="BN59" s="85"/>
      <c r="BO59" s="85"/>
      <c r="BP59" s="91"/>
      <c r="BQ59" s="2651"/>
      <c r="BR59" s="92"/>
      <c r="BS59" s="93" t="s">
        <v>905</v>
      </c>
    </row>
    <row r="60" spans="1:71" s="80" customFormat="1" ht="51" customHeight="1">
      <c r="A60" s="81">
        <f t="shared" si="4"/>
        <v>39</v>
      </c>
      <c r="B60" s="2655" t="s">
        <v>1023</v>
      </c>
      <c r="C60" s="82" t="s">
        <v>78</v>
      </c>
      <c r="D60" s="83"/>
      <c r="E60" s="84"/>
      <c r="F60" s="2644"/>
      <c r="G60" s="85"/>
      <c r="H60" s="86"/>
      <c r="I60" s="2645"/>
      <c r="J60" s="84" t="s">
        <v>78</v>
      </c>
      <c r="K60" s="2644" t="s">
        <v>1024</v>
      </c>
      <c r="L60" s="88">
        <v>42115</v>
      </c>
      <c r="M60" s="254">
        <v>0</v>
      </c>
      <c r="N60" s="2647"/>
      <c r="O60" s="2648" t="s">
        <v>552</v>
      </c>
      <c r="P60" s="268">
        <v>1</v>
      </c>
      <c r="Q60" s="2649">
        <v>1</v>
      </c>
      <c r="R60" s="2649"/>
      <c r="S60" s="2649"/>
      <c r="T60" s="2649"/>
      <c r="U60" s="274"/>
      <c r="V60" s="87"/>
      <c r="W60" s="88"/>
      <c r="X60" s="254"/>
      <c r="Y60" s="283"/>
      <c r="Z60" s="282"/>
      <c r="AA60" s="2650"/>
      <c r="AB60" s="2650"/>
      <c r="AC60" s="2650"/>
      <c r="AD60" s="2650"/>
      <c r="AE60" s="2650"/>
      <c r="AF60" s="2650"/>
      <c r="AG60" s="283"/>
      <c r="AH60" s="2651"/>
      <c r="AI60" s="91"/>
      <c r="AJ60" s="89"/>
      <c r="AK60" s="90"/>
      <c r="AL60" s="298"/>
      <c r="AM60" s="323"/>
      <c r="AN60" s="307"/>
      <c r="AO60" s="307"/>
      <c r="AP60" s="307"/>
      <c r="AQ60" s="307"/>
      <c r="AR60" s="308"/>
      <c r="AS60" s="298"/>
      <c r="AT60" s="227"/>
      <c r="AU60" s="89"/>
      <c r="AV60" s="85"/>
      <c r="AW60" s="85"/>
      <c r="AX60" s="85"/>
      <c r="AY60" s="85"/>
      <c r="AZ60" s="85"/>
      <c r="BA60" s="91"/>
      <c r="BB60" s="86"/>
      <c r="BC60" s="330"/>
      <c r="BD60" s="2652"/>
      <c r="BE60" s="2652"/>
      <c r="BF60" s="2652"/>
      <c r="BG60" s="2652"/>
      <c r="BH60" s="2652"/>
      <c r="BI60" s="2653"/>
      <c r="BJ60" s="87"/>
      <c r="BK60" s="85"/>
      <c r="BL60" s="85"/>
      <c r="BM60" s="85"/>
      <c r="BN60" s="85"/>
      <c r="BO60" s="85"/>
      <c r="BP60" s="91"/>
      <c r="BQ60" s="2651"/>
      <c r="BR60" s="92"/>
      <c r="BS60" s="93"/>
    </row>
    <row r="61" spans="1:71" s="80" customFormat="1" ht="64.5" customHeight="1">
      <c r="A61" s="230">
        <f t="shared" si="4"/>
        <v>40</v>
      </c>
      <c r="B61" s="2655" t="s">
        <v>1025</v>
      </c>
      <c r="C61" s="82" t="s">
        <v>876</v>
      </c>
      <c r="D61" s="83"/>
      <c r="E61" s="84" t="s">
        <v>876</v>
      </c>
      <c r="F61" s="2644" t="s">
        <v>1026</v>
      </c>
      <c r="G61" s="88">
        <v>42148</v>
      </c>
      <c r="H61" s="86">
        <v>29000000</v>
      </c>
      <c r="I61" s="2645"/>
      <c r="J61" s="84" t="s">
        <v>876</v>
      </c>
      <c r="K61" s="2644" t="s">
        <v>1027</v>
      </c>
      <c r="L61" s="88">
        <v>42119</v>
      </c>
      <c r="M61" s="254">
        <f>21573000*0</f>
        <v>0</v>
      </c>
      <c r="N61" s="2647"/>
      <c r="O61" s="2672" t="s">
        <v>552</v>
      </c>
      <c r="P61" s="270">
        <v>1</v>
      </c>
      <c r="Q61" s="2673">
        <v>1</v>
      </c>
      <c r="R61" s="2673"/>
      <c r="S61" s="2673"/>
      <c r="T61" s="2673"/>
      <c r="U61" s="276"/>
      <c r="V61" s="87" t="s">
        <v>1026</v>
      </c>
      <c r="W61" s="88">
        <v>42233</v>
      </c>
      <c r="X61" s="254">
        <v>33204000</v>
      </c>
      <c r="Y61" s="283" t="s">
        <v>95</v>
      </c>
      <c r="Z61" s="282">
        <v>1</v>
      </c>
      <c r="AA61" s="2650"/>
      <c r="AB61" s="2650">
        <v>1</v>
      </c>
      <c r="AC61" s="2650"/>
      <c r="AD61" s="2650"/>
      <c r="AE61" s="2650"/>
      <c r="AF61" s="2650"/>
      <c r="AG61" s="283"/>
      <c r="AH61" s="2651"/>
      <c r="AI61" s="91"/>
      <c r="AJ61" s="89"/>
      <c r="AK61" s="90"/>
      <c r="AL61" s="298"/>
      <c r="AM61" s="323"/>
      <c r="AN61" s="307"/>
      <c r="AO61" s="307"/>
      <c r="AP61" s="307"/>
      <c r="AQ61" s="307"/>
      <c r="AR61" s="308"/>
      <c r="AS61" s="298"/>
      <c r="AT61" s="227"/>
      <c r="AU61" s="5683" t="s">
        <v>920</v>
      </c>
      <c r="AV61" s="5684"/>
      <c r="AW61" s="5684"/>
      <c r="AX61" s="5684"/>
      <c r="AY61" s="5684"/>
      <c r="AZ61" s="5684"/>
      <c r="BA61" s="5685"/>
      <c r="BB61" s="318"/>
      <c r="BC61" s="331">
        <v>1</v>
      </c>
      <c r="BD61" s="2656"/>
      <c r="BE61" s="2656"/>
      <c r="BF61" s="2656"/>
      <c r="BG61" s="2656"/>
      <c r="BH61" s="2656"/>
      <c r="BI61" s="2657"/>
      <c r="BJ61" s="87"/>
      <c r="BK61" s="85"/>
      <c r="BL61" s="85"/>
      <c r="BM61" s="85"/>
      <c r="BN61" s="85"/>
      <c r="BO61" s="85"/>
      <c r="BP61" s="91"/>
      <c r="BQ61" s="2651"/>
      <c r="BR61" s="92"/>
      <c r="BS61" s="93" t="s">
        <v>1028</v>
      </c>
    </row>
    <row r="62" spans="1:71" s="80" customFormat="1" ht="33" customHeight="1">
      <c r="A62" s="230">
        <f t="shared" si="4"/>
        <v>41</v>
      </c>
      <c r="B62" s="2655" t="s">
        <v>1029</v>
      </c>
      <c r="C62" s="82" t="s">
        <v>876</v>
      </c>
      <c r="D62" s="83"/>
      <c r="E62" s="84" t="s">
        <v>876</v>
      </c>
      <c r="F62" s="2644" t="s">
        <v>1030</v>
      </c>
      <c r="G62" s="88">
        <v>42155</v>
      </c>
      <c r="H62" s="86">
        <v>8110000</v>
      </c>
      <c r="I62" s="2645"/>
      <c r="J62" s="84" t="s">
        <v>876</v>
      </c>
      <c r="K62" s="2644" t="s">
        <v>1031</v>
      </c>
      <c r="L62" s="88">
        <v>42129</v>
      </c>
      <c r="M62" s="254">
        <v>0</v>
      </c>
      <c r="N62" s="2647"/>
      <c r="O62" s="2648" t="s">
        <v>843</v>
      </c>
      <c r="P62" s="268">
        <v>1</v>
      </c>
      <c r="Q62" s="2649"/>
      <c r="R62" s="2649">
        <v>1</v>
      </c>
      <c r="S62" s="2649"/>
      <c r="T62" s="2649"/>
      <c r="U62" s="274"/>
      <c r="V62" s="87" t="s">
        <v>1030</v>
      </c>
      <c r="W62" s="88">
        <v>42158</v>
      </c>
      <c r="X62" s="254">
        <v>8880000</v>
      </c>
      <c r="Y62" s="283" t="s">
        <v>95</v>
      </c>
      <c r="Z62" s="282">
        <v>1</v>
      </c>
      <c r="AA62" s="2650"/>
      <c r="AB62" s="2650">
        <v>1</v>
      </c>
      <c r="AC62" s="2650"/>
      <c r="AD62" s="2650"/>
      <c r="AE62" s="2650"/>
      <c r="AF62" s="2650"/>
      <c r="AG62" s="283"/>
      <c r="AH62" s="2651"/>
      <c r="AI62" s="91"/>
      <c r="AJ62" s="89"/>
      <c r="AK62" s="90"/>
      <c r="AL62" s="298"/>
      <c r="AM62" s="323"/>
      <c r="AN62" s="307"/>
      <c r="AO62" s="307"/>
      <c r="AP62" s="307"/>
      <c r="AQ62" s="307"/>
      <c r="AR62" s="308"/>
      <c r="AS62" s="298"/>
      <c r="AT62" s="227"/>
      <c r="AU62" s="5683" t="s">
        <v>920</v>
      </c>
      <c r="AV62" s="5684"/>
      <c r="AW62" s="5684"/>
      <c r="AX62" s="5684"/>
      <c r="AY62" s="5684"/>
      <c r="AZ62" s="5684"/>
      <c r="BA62" s="5685"/>
      <c r="BB62" s="318"/>
      <c r="BC62" s="331">
        <v>1</v>
      </c>
      <c r="BD62" s="2656"/>
      <c r="BE62" s="2656"/>
      <c r="BF62" s="2656"/>
      <c r="BG62" s="2656"/>
      <c r="BH62" s="2656"/>
      <c r="BI62" s="2657"/>
      <c r="BJ62" s="87"/>
      <c r="BK62" s="85"/>
      <c r="BL62" s="85"/>
      <c r="BM62" s="85"/>
      <c r="BN62" s="85"/>
      <c r="BO62" s="85"/>
      <c r="BP62" s="91"/>
      <c r="BQ62" s="2651"/>
      <c r="BR62" s="92"/>
      <c r="BS62" s="93" t="s">
        <v>1028</v>
      </c>
    </row>
    <row r="63" spans="1:71" s="80" customFormat="1" ht="31.5">
      <c r="A63" s="81">
        <f t="shared" si="4"/>
        <v>42</v>
      </c>
      <c r="B63" s="2655" t="s">
        <v>1032</v>
      </c>
      <c r="C63" s="82" t="s">
        <v>876</v>
      </c>
      <c r="D63" s="83"/>
      <c r="E63" s="84"/>
      <c r="F63" s="2644"/>
      <c r="G63" s="85"/>
      <c r="H63" s="86"/>
      <c r="I63" s="2645"/>
      <c r="J63" s="84" t="s">
        <v>876</v>
      </c>
      <c r="K63" s="2644" t="s">
        <v>1033</v>
      </c>
      <c r="L63" s="88">
        <v>42149</v>
      </c>
      <c r="M63" s="254"/>
      <c r="N63" s="2647"/>
      <c r="O63" s="2648" t="s">
        <v>552</v>
      </c>
      <c r="P63" s="268">
        <v>1</v>
      </c>
      <c r="Q63" s="2649">
        <v>1</v>
      </c>
      <c r="R63" s="2649"/>
      <c r="S63" s="2649"/>
      <c r="T63" s="2649"/>
      <c r="U63" s="274"/>
      <c r="V63" s="87"/>
      <c r="W63" s="88"/>
      <c r="X63" s="254"/>
      <c r="Y63" s="283"/>
      <c r="Z63" s="282"/>
      <c r="AA63" s="2650"/>
      <c r="AB63" s="2650"/>
      <c r="AC63" s="2650"/>
      <c r="AD63" s="2650"/>
      <c r="AE63" s="2650"/>
      <c r="AF63" s="2650"/>
      <c r="AG63" s="283"/>
      <c r="AH63" s="2651"/>
      <c r="AI63" s="91"/>
      <c r="AJ63" s="89"/>
      <c r="AK63" s="90"/>
      <c r="AL63" s="298"/>
      <c r="AM63" s="323"/>
      <c r="AN63" s="307"/>
      <c r="AO63" s="307"/>
      <c r="AP63" s="307"/>
      <c r="AQ63" s="307"/>
      <c r="AR63" s="308"/>
      <c r="AS63" s="298"/>
      <c r="AT63" s="227"/>
      <c r="AU63" s="89"/>
      <c r="AV63" s="85"/>
      <c r="AW63" s="85"/>
      <c r="AX63" s="85"/>
      <c r="AY63" s="85"/>
      <c r="AZ63" s="85"/>
      <c r="BA63" s="91"/>
      <c r="BB63" s="86"/>
      <c r="BC63" s="330"/>
      <c r="BD63" s="2652"/>
      <c r="BE63" s="2652"/>
      <c r="BF63" s="2652"/>
      <c r="BG63" s="2652"/>
      <c r="BH63" s="2652"/>
      <c r="BI63" s="2653"/>
      <c r="BJ63" s="87"/>
      <c r="BK63" s="85"/>
      <c r="BL63" s="85"/>
      <c r="BM63" s="85"/>
      <c r="BN63" s="85"/>
      <c r="BO63" s="85"/>
      <c r="BP63" s="91"/>
      <c r="BQ63" s="2651"/>
      <c r="BR63" s="92"/>
      <c r="BS63" s="93" t="s">
        <v>1034</v>
      </c>
    </row>
    <row r="64" spans="1:71" s="80" customFormat="1" ht="31.5">
      <c r="A64" s="230">
        <f t="shared" si="4"/>
        <v>43</v>
      </c>
      <c r="B64" s="2655" t="s">
        <v>1035</v>
      </c>
      <c r="C64" s="82" t="s">
        <v>78</v>
      </c>
      <c r="D64" s="83"/>
      <c r="E64" s="84"/>
      <c r="F64" s="2644"/>
      <c r="G64" s="88"/>
      <c r="H64" s="86"/>
      <c r="I64" s="2645"/>
      <c r="J64" s="84" t="s">
        <v>78</v>
      </c>
      <c r="K64" s="2644" t="s">
        <v>1036</v>
      </c>
      <c r="L64" s="88">
        <v>42149</v>
      </c>
      <c r="M64" s="254">
        <v>0</v>
      </c>
      <c r="N64" s="2647"/>
      <c r="O64" s="2648" t="s">
        <v>843</v>
      </c>
      <c r="P64" s="268">
        <v>1</v>
      </c>
      <c r="Q64" s="2649"/>
      <c r="R64" s="2649">
        <v>1</v>
      </c>
      <c r="S64" s="2649"/>
      <c r="T64" s="2649"/>
      <c r="U64" s="274"/>
      <c r="V64" s="87" t="s">
        <v>996</v>
      </c>
      <c r="W64" s="88">
        <v>42208</v>
      </c>
      <c r="X64" s="254">
        <v>5151042</v>
      </c>
      <c r="Y64" s="283" t="s">
        <v>95</v>
      </c>
      <c r="Z64" s="282">
        <v>1</v>
      </c>
      <c r="AA64" s="2650"/>
      <c r="AB64" s="2650">
        <v>1</v>
      </c>
      <c r="AC64" s="2650"/>
      <c r="AD64" s="2650"/>
      <c r="AE64" s="2650"/>
      <c r="AF64" s="2650"/>
      <c r="AG64" s="283"/>
      <c r="AH64" s="2651"/>
      <c r="AI64" s="91"/>
      <c r="AJ64" s="89"/>
      <c r="AK64" s="90"/>
      <c r="AL64" s="298"/>
      <c r="AM64" s="323"/>
      <c r="AN64" s="307"/>
      <c r="AO64" s="307"/>
      <c r="AP64" s="307"/>
      <c r="AQ64" s="307"/>
      <c r="AR64" s="308"/>
      <c r="AS64" s="298"/>
      <c r="AT64" s="227"/>
      <c r="AU64" s="5683" t="s">
        <v>920</v>
      </c>
      <c r="AV64" s="5684"/>
      <c r="AW64" s="5684"/>
      <c r="AX64" s="5684"/>
      <c r="AY64" s="5684"/>
      <c r="AZ64" s="5684"/>
      <c r="BA64" s="5685"/>
      <c r="BB64" s="318"/>
      <c r="BC64" s="331">
        <v>1</v>
      </c>
      <c r="BD64" s="2656"/>
      <c r="BE64" s="2656"/>
      <c r="BF64" s="2656"/>
      <c r="BG64" s="2656"/>
      <c r="BH64" s="2656"/>
      <c r="BI64" s="2657"/>
      <c r="BJ64" s="87"/>
      <c r="BK64" s="85"/>
      <c r="BL64" s="85"/>
      <c r="BM64" s="85"/>
      <c r="BN64" s="85"/>
      <c r="BO64" s="85"/>
      <c r="BP64" s="91"/>
      <c r="BQ64" s="2651"/>
      <c r="BR64" s="92"/>
      <c r="BS64" s="93"/>
    </row>
    <row r="65" spans="1:71" s="80" customFormat="1" ht="31.5">
      <c r="A65" s="94">
        <f t="shared" si="4"/>
        <v>44</v>
      </c>
      <c r="B65" s="2660" t="s">
        <v>1037</v>
      </c>
      <c r="C65" s="95" t="s">
        <v>103</v>
      </c>
      <c r="D65" s="96"/>
      <c r="E65" s="97" t="s">
        <v>103</v>
      </c>
      <c r="F65" s="2658" t="s">
        <v>1004</v>
      </c>
      <c r="G65" s="100">
        <v>42155</v>
      </c>
      <c r="H65" s="99">
        <v>8000000</v>
      </c>
      <c r="I65" s="2659"/>
      <c r="J65" s="84" t="s">
        <v>103</v>
      </c>
      <c r="K65" s="2644" t="s">
        <v>1038</v>
      </c>
      <c r="L65" s="88">
        <v>42149</v>
      </c>
      <c r="M65" s="254"/>
      <c r="N65" s="2647"/>
      <c r="O65" s="2648" t="s">
        <v>843</v>
      </c>
      <c r="P65" s="268">
        <v>1</v>
      </c>
      <c r="Q65" s="2649"/>
      <c r="R65" s="2649">
        <v>1</v>
      </c>
      <c r="S65" s="2649"/>
      <c r="T65" s="2649"/>
      <c r="U65" s="274"/>
      <c r="V65" s="101" t="s">
        <v>1039</v>
      </c>
      <c r="W65" s="100">
        <v>42298</v>
      </c>
      <c r="X65" s="255">
        <v>8095000</v>
      </c>
      <c r="Y65" s="285" t="s">
        <v>95</v>
      </c>
      <c r="Z65" s="284">
        <v>1</v>
      </c>
      <c r="AA65" s="2661"/>
      <c r="AB65" s="2661">
        <v>1</v>
      </c>
      <c r="AC65" s="2661"/>
      <c r="AD65" s="2661"/>
      <c r="AE65" s="2661"/>
      <c r="AF65" s="2661"/>
      <c r="AG65" s="285"/>
      <c r="AH65" s="2662"/>
      <c r="AI65" s="105"/>
      <c r="AJ65" s="102"/>
      <c r="AK65" s="103"/>
      <c r="AL65" s="298"/>
      <c r="AM65" s="323"/>
      <c r="AN65" s="307"/>
      <c r="AO65" s="307"/>
      <c r="AP65" s="307"/>
      <c r="AQ65" s="307"/>
      <c r="AR65" s="308"/>
      <c r="AS65" s="298"/>
      <c r="AT65" s="227"/>
      <c r="AU65" s="102"/>
      <c r="AV65" s="104"/>
      <c r="AW65" s="104"/>
      <c r="AX65" s="104"/>
      <c r="AY65" s="104"/>
      <c r="AZ65" s="104"/>
      <c r="BA65" s="105"/>
      <c r="BB65" s="99"/>
      <c r="BC65" s="333"/>
      <c r="BD65" s="2663"/>
      <c r="BE65" s="2663"/>
      <c r="BF65" s="2663"/>
      <c r="BG65" s="2663"/>
      <c r="BH65" s="2663"/>
      <c r="BI65" s="2664"/>
      <c r="BJ65" s="101"/>
      <c r="BK65" s="104"/>
      <c r="BL65" s="104"/>
      <c r="BM65" s="104"/>
      <c r="BN65" s="104"/>
      <c r="BO65" s="104"/>
      <c r="BP65" s="105"/>
      <c r="BQ65" s="2662"/>
      <c r="BR65" s="106"/>
      <c r="BS65" s="107" t="s">
        <v>1040</v>
      </c>
    </row>
    <row r="66" spans="1:71" s="80" customFormat="1" ht="33" customHeight="1">
      <c r="A66" s="81">
        <f t="shared" si="4"/>
        <v>45</v>
      </c>
      <c r="B66" s="2655" t="s">
        <v>1041</v>
      </c>
      <c r="C66" s="82" t="s">
        <v>78</v>
      </c>
      <c r="D66" s="83"/>
      <c r="E66" s="84"/>
      <c r="F66" s="2644"/>
      <c r="G66" s="85"/>
      <c r="H66" s="86"/>
      <c r="I66" s="2645"/>
      <c r="J66" s="84" t="s">
        <v>78</v>
      </c>
      <c r="K66" s="2644" t="s">
        <v>1042</v>
      </c>
      <c r="L66" s="88">
        <v>42149</v>
      </c>
      <c r="M66" s="254">
        <v>0</v>
      </c>
      <c r="N66" s="2647"/>
      <c r="O66" s="2648" t="s">
        <v>552</v>
      </c>
      <c r="P66" s="268">
        <v>1</v>
      </c>
      <c r="Q66" s="2649">
        <v>1</v>
      </c>
      <c r="R66" s="2649"/>
      <c r="S66" s="2649"/>
      <c r="T66" s="2649"/>
      <c r="U66" s="274"/>
      <c r="V66" s="87"/>
      <c r="W66" s="88"/>
      <c r="X66" s="254"/>
      <c r="Y66" s="283"/>
      <c r="Z66" s="282"/>
      <c r="AA66" s="2650"/>
      <c r="AB66" s="2650"/>
      <c r="AC66" s="2650"/>
      <c r="AD66" s="2650"/>
      <c r="AE66" s="2650"/>
      <c r="AF66" s="2650"/>
      <c r="AG66" s="283"/>
      <c r="AH66" s="2651"/>
      <c r="AI66" s="91"/>
      <c r="AJ66" s="89"/>
      <c r="AK66" s="90"/>
      <c r="AL66" s="298"/>
      <c r="AM66" s="323"/>
      <c r="AN66" s="307"/>
      <c r="AO66" s="307"/>
      <c r="AP66" s="307"/>
      <c r="AQ66" s="307"/>
      <c r="AR66" s="308"/>
      <c r="AS66" s="298"/>
      <c r="AT66" s="227"/>
      <c r="AU66" s="89"/>
      <c r="AV66" s="85"/>
      <c r="AW66" s="85"/>
      <c r="AX66" s="85"/>
      <c r="AY66" s="85"/>
      <c r="AZ66" s="85"/>
      <c r="BA66" s="91"/>
      <c r="BB66" s="86"/>
      <c r="BC66" s="330"/>
      <c r="BD66" s="2652"/>
      <c r="BE66" s="2652"/>
      <c r="BF66" s="2652"/>
      <c r="BG66" s="2652"/>
      <c r="BH66" s="2652"/>
      <c r="BI66" s="2653"/>
      <c r="BJ66" s="87"/>
      <c r="BK66" s="85"/>
      <c r="BL66" s="85"/>
      <c r="BM66" s="85"/>
      <c r="BN66" s="85"/>
      <c r="BO66" s="85"/>
      <c r="BP66" s="91"/>
      <c r="BQ66" s="2651"/>
      <c r="BR66" s="92"/>
      <c r="BS66" s="93" t="s">
        <v>1043</v>
      </c>
    </row>
    <row r="67" spans="1:71" s="80" customFormat="1" ht="31.5">
      <c r="A67" s="94">
        <f t="shared" si="4"/>
        <v>46</v>
      </c>
      <c r="B67" s="2660" t="s">
        <v>1044</v>
      </c>
      <c r="C67" s="95" t="s">
        <v>103</v>
      </c>
      <c r="D67" s="96"/>
      <c r="E67" s="97"/>
      <c r="F67" s="2658"/>
      <c r="G67" s="100"/>
      <c r="H67" s="99"/>
      <c r="I67" s="2659"/>
      <c r="J67" s="84" t="s">
        <v>103</v>
      </c>
      <c r="K67" s="2644" t="s">
        <v>1045</v>
      </c>
      <c r="L67" s="88">
        <v>42149</v>
      </c>
      <c r="M67" s="254">
        <v>0</v>
      </c>
      <c r="N67" s="2647"/>
      <c r="O67" s="2648" t="s">
        <v>843</v>
      </c>
      <c r="P67" s="268">
        <v>1</v>
      </c>
      <c r="Q67" s="2649"/>
      <c r="R67" s="2649">
        <v>1</v>
      </c>
      <c r="S67" s="2649"/>
      <c r="T67" s="2649"/>
      <c r="U67" s="274"/>
      <c r="V67" s="101" t="s">
        <v>1046</v>
      </c>
      <c r="W67" s="100">
        <v>42298</v>
      </c>
      <c r="X67" s="255">
        <v>150000</v>
      </c>
      <c r="Y67" s="285" t="s">
        <v>95</v>
      </c>
      <c r="Z67" s="284">
        <v>1</v>
      </c>
      <c r="AA67" s="2661"/>
      <c r="AB67" s="2661"/>
      <c r="AC67" s="2661">
        <v>1</v>
      </c>
      <c r="AD67" s="2661"/>
      <c r="AE67" s="2661"/>
      <c r="AF67" s="2661"/>
      <c r="AG67" s="285"/>
      <c r="AH67" s="2662"/>
      <c r="AI67" s="105"/>
      <c r="AJ67" s="102"/>
      <c r="AK67" s="103"/>
      <c r="AL67" s="298"/>
      <c r="AM67" s="323"/>
      <c r="AN67" s="307"/>
      <c r="AO67" s="307"/>
      <c r="AP67" s="307"/>
      <c r="AQ67" s="307"/>
      <c r="AR67" s="308"/>
      <c r="AS67" s="298"/>
      <c r="AT67" s="227"/>
      <c r="AU67" s="102"/>
      <c r="AV67" s="104"/>
      <c r="AW67" s="104"/>
      <c r="AX67" s="104"/>
      <c r="AY67" s="104"/>
      <c r="AZ67" s="104"/>
      <c r="BA67" s="105"/>
      <c r="BB67" s="99"/>
      <c r="BC67" s="333"/>
      <c r="BD67" s="2663"/>
      <c r="BE67" s="2663"/>
      <c r="BF67" s="2663"/>
      <c r="BG67" s="2663"/>
      <c r="BH67" s="2663"/>
      <c r="BI67" s="2664"/>
      <c r="BJ67" s="101"/>
      <c r="BK67" s="104"/>
      <c r="BL67" s="104"/>
      <c r="BM67" s="104"/>
      <c r="BN67" s="104"/>
      <c r="BO67" s="98"/>
      <c r="BP67" s="105"/>
      <c r="BQ67" s="2662"/>
      <c r="BR67" s="106"/>
      <c r="BS67" s="107" t="s">
        <v>1047</v>
      </c>
    </row>
    <row r="68" spans="1:71" s="80" customFormat="1" ht="47.25">
      <c r="A68" s="81">
        <f t="shared" si="4"/>
        <v>47</v>
      </c>
      <c r="B68" s="2655" t="s">
        <v>1048</v>
      </c>
      <c r="C68" s="82" t="s">
        <v>78</v>
      </c>
      <c r="D68" s="83"/>
      <c r="E68" s="84"/>
      <c r="F68" s="2644"/>
      <c r="G68" s="88"/>
      <c r="H68" s="86"/>
      <c r="I68" s="2645"/>
      <c r="J68" s="84" t="s">
        <v>78</v>
      </c>
      <c r="K68" s="2644" t="s">
        <v>1049</v>
      </c>
      <c r="L68" s="88"/>
      <c r="M68" s="254">
        <f>-562667*0</f>
        <v>0</v>
      </c>
      <c r="N68" s="2647"/>
      <c r="O68" s="2672" t="s">
        <v>552</v>
      </c>
      <c r="P68" s="270">
        <v>1</v>
      </c>
      <c r="Q68" s="2673">
        <v>1</v>
      </c>
      <c r="R68" s="2673"/>
      <c r="S68" s="2673"/>
      <c r="T68" s="2673"/>
      <c r="U68" s="276"/>
      <c r="V68" s="87"/>
      <c r="W68" s="205"/>
      <c r="X68" s="256"/>
      <c r="Y68" s="283"/>
      <c r="Z68" s="282"/>
      <c r="AA68" s="2650"/>
      <c r="AB68" s="2650"/>
      <c r="AC68" s="2650"/>
      <c r="AD68" s="2650"/>
      <c r="AE68" s="2650"/>
      <c r="AF68" s="2650"/>
      <c r="AG68" s="283"/>
      <c r="AH68" s="2651"/>
      <c r="AI68" s="91"/>
      <c r="AJ68" s="89"/>
      <c r="AK68" s="90"/>
      <c r="AL68" s="298"/>
      <c r="AM68" s="323"/>
      <c r="AN68" s="307"/>
      <c r="AO68" s="307"/>
      <c r="AP68" s="307"/>
      <c r="AQ68" s="307"/>
      <c r="AR68" s="308"/>
      <c r="AS68" s="298"/>
      <c r="AT68" s="227"/>
      <c r="AU68" s="89"/>
      <c r="AV68" s="85"/>
      <c r="AW68" s="85"/>
      <c r="AX68" s="85"/>
      <c r="AY68" s="85"/>
      <c r="AZ68" s="85"/>
      <c r="BA68" s="91"/>
      <c r="BB68" s="86"/>
      <c r="BC68" s="330"/>
      <c r="BD68" s="2652"/>
      <c r="BE68" s="2652"/>
      <c r="BF68" s="2652"/>
      <c r="BG68" s="2652"/>
      <c r="BH68" s="2652"/>
      <c r="BI68" s="2653"/>
      <c r="BJ68" s="87"/>
      <c r="BK68" s="85"/>
      <c r="BL68" s="85"/>
      <c r="BM68" s="85"/>
      <c r="BN68" s="85"/>
      <c r="BO68" s="85"/>
      <c r="BP68" s="91"/>
      <c r="BQ68" s="2651"/>
      <c r="BR68" s="92"/>
      <c r="BS68" s="93" t="s">
        <v>1050</v>
      </c>
    </row>
    <row r="69" spans="1:71" s="80" customFormat="1" ht="31.5">
      <c r="A69" s="81">
        <f t="shared" si="4"/>
        <v>48</v>
      </c>
      <c r="B69" s="2655" t="s">
        <v>1051</v>
      </c>
      <c r="C69" s="82" t="s">
        <v>78</v>
      </c>
      <c r="D69" s="83"/>
      <c r="E69" s="84"/>
      <c r="F69" s="2644"/>
      <c r="G69" s="88"/>
      <c r="H69" s="86"/>
      <c r="I69" s="2645"/>
      <c r="J69" s="84" t="s">
        <v>78</v>
      </c>
      <c r="K69" s="2644" t="s">
        <v>1052</v>
      </c>
      <c r="L69" s="88"/>
      <c r="M69" s="254">
        <v>0</v>
      </c>
      <c r="N69" s="2647"/>
      <c r="O69" s="2672" t="s">
        <v>552</v>
      </c>
      <c r="P69" s="270">
        <v>1</v>
      </c>
      <c r="Q69" s="2673">
        <v>1</v>
      </c>
      <c r="R69" s="2673"/>
      <c r="S69" s="2673"/>
      <c r="T69" s="2673"/>
      <c r="U69" s="276"/>
      <c r="V69" s="87"/>
      <c r="W69" s="205"/>
      <c r="X69" s="256"/>
      <c r="Y69" s="283"/>
      <c r="Z69" s="282"/>
      <c r="AA69" s="2650"/>
      <c r="AB69" s="2650"/>
      <c r="AC69" s="2650"/>
      <c r="AD69" s="2650"/>
      <c r="AE69" s="2650"/>
      <c r="AF69" s="2650"/>
      <c r="AG69" s="283"/>
      <c r="AH69" s="2651"/>
      <c r="AI69" s="91"/>
      <c r="AJ69" s="89"/>
      <c r="AK69" s="90"/>
      <c r="AL69" s="298"/>
      <c r="AM69" s="323"/>
      <c r="AN69" s="307"/>
      <c r="AO69" s="307"/>
      <c r="AP69" s="307"/>
      <c r="AQ69" s="307"/>
      <c r="AR69" s="308"/>
      <c r="AS69" s="298"/>
      <c r="AT69" s="227"/>
      <c r="AU69" s="89"/>
      <c r="AV69" s="85"/>
      <c r="AW69" s="85"/>
      <c r="AX69" s="85"/>
      <c r="AY69" s="85"/>
      <c r="AZ69" s="85"/>
      <c r="BA69" s="91"/>
      <c r="BB69" s="86"/>
      <c r="BC69" s="330"/>
      <c r="BD69" s="2652"/>
      <c r="BE69" s="2652"/>
      <c r="BF69" s="2652"/>
      <c r="BG69" s="2652"/>
      <c r="BH69" s="2652"/>
      <c r="BI69" s="2653"/>
      <c r="BJ69" s="87"/>
      <c r="BK69" s="85"/>
      <c r="BL69" s="85"/>
      <c r="BM69" s="85"/>
      <c r="BN69" s="85"/>
      <c r="BO69" s="85"/>
      <c r="BP69" s="91"/>
      <c r="BQ69" s="2651"/>
      <c r="BR69" s="92"/>
      <c r="BS69" s="93" t="s">
        <v>1053</v>
      </c>
    </row>
    <row r="70" spans="1:71" s="80" customFormat="1" ht="15.75">
      <c r="A70" s="81">
        <f t="shared" si="4"/>
        <v>49</v>
      </c>
      <c r="B70" s="2655" t="s">
        <v>1054</v>
      </c>
      <c r="C70" s="82" t="s">
        <v>883</v>
      </c>
      <c r="D70" s="83"/>
      <c r="E70" s="84"/>
      <c r="F70" s="2644"/>
      <c r="G70" s="88"/>
      <c r="H70" s="86"/>
      <c r="I70" s="2645"/>
      <c r="J70" s="84" t="s">
        <v>883</v>
      </c>
      <c r="K70" s="2644" t="s">
        <v>1055</v>
      </c>
      <c r="L70" s="88">
        <v>42171</v>
      </c>
      <c r="M70" s="254">
        <v>0</v>
      </c>
      <c r="N70" s="2647"/>
      <c r="O70" s="2648" t="s">
        <v>552</v>
      </c>
      <c r="P70" s="268">
        <v>1</v>
      </c>
      <c r="Q70" s="2649">
        <v>1</v>
      </c>
      <c r="R70" s="2649"/>
      <c r="S70" s="2649"/>
      <c r="T70" s="2649"/>
      <c r="U70" s="274"/>
      <c r="V70" s="87"/>
      <c r="W70" s="88"/>
      <c r="X70" s="254"/>
      <c r="Y70" s="283"/>
      <c r="Z70" s="282"/>
      <c r="AA70" s="2650"/>
      <c r="AB70" s="2650"/>
      <c r="AC70" s="2650"/>
      <c r="AD70" s="2650"/>
      <c r="AE70" s="2650"/>
      <c r="AF70" s="2650"/>
      <c r="AG70" s="283"/>
      <c r="AH70" s="2651"/>
      <c r="AI70" s="91"/>
      <c r="AJ70" s="89"/>
      <c r="AK70" s="90"/>
      <c r="AL70" s="298"/>
      <c r="AM70" s="323"/>
      <c r="AN70" s="307"/>
      <c r="AO70" s="307"/>
      <c r="AP70" s="307"/>
      <c r="AQ70" s="307"/>
      <c r="AR70" s="308"/>
      <c r="AS70" s="298"/>
      <c r="AT70" s="227"/>
      <c r="AU70" s="89"/>
      <c r="AV70" s="85"/>
      <c r="AW70" s="85"/>
      <c r="AX70" s="85"/>
      <c r="AY70" s="85"/>
      <c r="AZ70" s="85"/>
      <c r="BA70" s="91"/>
      <c r="BB70" s="86"/>
      <c r="BC70" s="330"/>
      <c r="BD70" s="2652"/>
      <c r="BE70" s="2652"/>
      <c r="BF70" s="2652"/>
      <c r="BG70" s="2652"/>
      <c r="BH70" s="2652"/>
      <c r="BI70" s="2653"/>
      <c r="BJ70" s="87"/>
      <c r="BK70" s="85"/>
      <c r="BL70" s="85"/>
      <c r="BM70" s="85"/>
      <c r="BN70" s="85"/>
      <c r="BO70" s="85"/>
      <c r="BP70" s="91"/>
      <c r="BQ70" s="2651"/>
      <c r="BR70" s="92"/>
      <c r="BS70" s="93" t="s">
        <v>1056</v>
      </c>
    </row>
    <row r="71" spans="1:71" s="80" customFormat="1" ht="33" customHeight="1">
      <c r="A71" s="230">
        <f t="shared" si="4"/>
        <v>50</v>
      </c>
      <c r="B71" s="201" t="s">
        <v>1057</v>
      </c>
      <c r="C71" s="82" t="s">
        <v>876</v>
      </c>
      <c r="D71" s="83"/>
      <c r="E71" s="84" t="s">
        <v>876</v>
      </c>
      <c r="F71" s="2644" t="s">
        <v>958</v>
      </c>
      <c r="G71" s="88">
        <v>42148</v>
      </c>
      <c r="H71" s="86">
        <v>1110000</v>
      </c>
      <c r="I71" s="2645"/>
      <c r="J71" s="84" t="s">
        <v>876</v>
      </c>
      <c r="K71" s="2644" t="s">
        <v>1058</v>
      </c>
      <c r="L71" s="88">
        <v>42163</v>
      </c>
      <c r="M71" s="254">
        <v>0</v>
      </c>
      <c r="N71" s="2647"/>
      <c r="O71" s="2648" t="s">
        <v>843</v>
      </c>
      <c r="P71" s="268">
        <v>1</v>
      </c>
      <c r="Q71" s="2649"/>
      <c r="R71" s="2649">
        <v>1</v>
      </c>
      <c r="S71" s="2649"/>
      <c r="T71" s="2649"/>
      <c r="U71" s="274"/>
      <c r="V71" s="87" t="s">
        <v>1059</v>
      </c>
      <c r="W71" s="88">
        <v>42297</v>
      </c>
      <c r="X71" s="254">
        <v>1128000</v>
      </c>
      <c r="Y71" s="283" t="s">
        <v>95</v>
      </c>
      <c r="Z71" s="282">
        <v>1</v>
      </c>
      <c r="AA71" s="2650"/>
      <c r="AB71" s="2650">
        <v>1</v>
      </c>
      <c r="AC71" s="2650"/>
      <c r="AD71" s="2650"/>
      <c r="AE71" s="2650"/>
      <c r="AF71" s="2650"/>
      <c r="AG71" s="283"/>
      <c r="AH71" s="2651"/>
      <c r="AI71" s="91"/>
      <c r="AJ71" s="89"/>
      <c r="AK71" s="90"/>
      <c r="AL71" s="298"/>
      <c r="AM71" s="323"/>
      <c r="AN71" s="307"/>
      <c r="AO71" s="307"/>
      <c r="AP71" s="307"/>
      <c r="AQ71" s="307"/>
      <c r="AR71" s="308"/>
      <c r="AS71" s="298"/>
      <c r="AT71" s="227"/>
      <c r="AU71" s="5683" t="s">
        <v>920</v>
      </c>
      <c r="AV71" s="5684"/>
      <c r="AW71" s="5684"/>
      <c r="AX71" s="5684"/>
      <c r="AY71" s="5684"/>
      <c r="AZ71" s="5684"/>
      <c r="BA71" s="5685"/>
      <c r="BB71" s="318"/>
      <c r="BC71" s="331">
        <v>1</v>
      </c>
      <c r="BD71" s="2656"/>
      <c r="BE71" s="2656"/>
      <c r="BF71" s="2656"/>
      <c r="BG71" s="2656"/>
      <c r="BH71" s="2656"/>
      <c r="BI71" s="2657"/>
      <c r="BJ71" s="87"/>
      <c r="BK71" s="85"/>
      <c r="BL71" s="85"/>
      <c r="BM71" s="85"/>
      <c r="BN71" s="85"/>
      <c r="BO71" s="85"/>
      <c r="BP71" s="91"/>
      <c r="BQ71" s="2651"/>
      <c r="BR71" s="92"/>
      <c r="BS71" s="93" t="s">
        <v>1060</v>
      </c>
    </row>
    <row r="72" spans="1:71" s="80" customFormat="1" ht="35.25" customHeight="1">
      <c r="A72" s="230">
        <f t="shared" si="4"/>
        <v>51</v>
      </c>
      <c r="B72" s="201" t="s">
        <v>1061</v>
      </c>
      <c r="C72" s="82" t="s">
        <v>876</v>
      </c>
      <c r="D72" s="83"/>
      <c r="E72" s="84" t="s">
        <v>876</v>
      </c>
      <c r="F72" s="2644" t="s">
        <v>1062</v>
      </c>
      <c r="G72" s="88">
        <v>42148</v>
      </c>
      <c r="H72" s="86" t="s">
        <v>1002</v>
      </c>
      <c r="I72" s="2645"/>
      <c r="J72" s="84" t="s">
        <v>876</v>
      </c>
      <c r="K72" s="2644" t="s">
        <v>1063</v>
      </c>
      <c r="L72" s="88">
        <v>42165</v>
      </c>
      <c r="M72" s="254">
        <v>0</v>
      </c>
      <c r="N72" s="2647"/>
      <c r="O72" s="2648" t="s">
        <v>843</v>
      </c>
      <c r="P72" s="268">
        <v>1</v>
      </c>
      <c r="Q72" s="2649"/>
      <c r="R72" s="2649">
        <v>1</v>
      </c>
      <c r="S72" s="2649"/>
      <c r="T72" s="2649"/>
      <c r="U72" s="274"/>
      <c r="V72" s="87" t="s">
        <v>1064</v>
      </c>
      <c r="W72" s="88">
        <v>42297</v>
      </c>
      <c r="X72" s="254">
        <v>1766000</v>
      </c>
      <c r="Y72" s="283" t="s">
        <v>95</v>
      </c>
      <c r="Z72" s="282">
        <v>1</v>
      </c>
      <c r="AA72" s="2650"/>
      <c r="AB72" s="2650">
        <v>1</v>
      </c>
      <c r="AC72" s="2650"/>
      <c r="AD72" s="2650"/>
      <c r="AE72" s="2650"/>
      <c r="AF72" s="2650"/>
      <c r="AG72" s="283"/>
      <c r="AH72" s="2651"/>
      <c r="AI72" s="91"/>
      <c r="AJ72" s="89"/>
      <c r="AK72" s="90"/>
      <c r="AL72" s="298"/>
      <c r="AM72" s="323"/>
      <c r="AN72" s="307"/>
      <c r="AO72" s="307"/>
      <c r="AP72" s="307"/>
      <c r="AQ72" s="307"/>
      <c r="AR72" s="308"/>
      <c r="AS72" s="298"/>
      <c r="AT72" s="227"/>
      <c r="AU72" s="5683" t="s">
        <v>920</v>
      </c>
      <c r="AV72" s="5684"/>
      <c r="AW72" s="5684"/>
      <c r="AX72" s="5684"/>
      <c r="AY72" s="5684"/>
      <c r="AZ72" s="5684"/>
      <c r="BA72" s="5685"/>
      <c r="BB72" s="318"/>
      <c r="BC72" s="331">
        <v>1</v>
      </c>
      <c r="BD72" s="2656"/>
      <c r="BE72" s="2656"/>
      <c r="BF72" s="2656"/>
      <c r="BG72" s="2656"/>
      <c r="BH72" s="2656"/>
      <c r="BI72" s="2657"/>
      <c r="BJ72" s="87"/>
      <c r="BK72" s="85"/>
      <c r="BL72" s="85"/>
      <c r="BM72" s="85"/>
      <c r="BN72" s="85"/>
      <c r="BO72" s="85"/>
      <c r="BP72" s="91"/>
      <c r="BQ72" s="2651"/>
      <c r="BR72" s="92"/>
      <c r="BS72" s="93" t="s">
        <v>1065</v>
      </c>
    </row>
    <row r="73" spans="1:71" s="80" customFormat="1" ht="15.75">
      <c r="A73" s="81">
        <f t="shared" si="4"/>
        <v>52</v>
      </c>
      <c r="B73" s="201" t="s">
        <v>1066</v>
      </c>
      <c r="C73" s="82" t="s">
        <v>883</v>
      </c>
      <c r="D73" s="83"/>
      <c r="E73" s="84"/>
      <c r="F73" s="2644"/>
      <c r="G73" s="88"/>
      <c r="H73" s="86"/>
      <c r="I73" s="2645"/>
      <c r="J73" s="84" t="s">
        <v>883</v>
      </c>
      <c r="K73" s="2644" t="s">
        <v>1067</v>
      </c>
      <c r="L73" s="88">
        <v>42171</v>
      </c>
      <c r="M73" s="254">
        <v>0</v>
      </c>
      <c r="N73" s="2647"/>
      <c r="O73" s="2648" t="s">
        <v>552</v>
      </c>
      <c r="P73" s="268">
        <v>1</v>
      </c>
      <c r="Q73" s="2649">
        <v>1</v>
      </c>
      <c r="R73" s="2649"/>
      <c r="S73" s="2649"/>
      <c r="T73" s="2649"/>
      <c r="U73" s="274"/>
      <c r="V73" s="87"/>
      <c r="W73" s="88"/>
      <c r="X73" s="254"/>
      <c r="Y73" s="283"/>
      <c r="Z73" s="282"/>
      <c r="AA73" s="2650"/>
      <c r="AB73" s="2650"/>
      <c r="AC73" s="2650"/>
      <c r="AD73" s="2650"/>
      <c r="AE73" s="2650"/>
      <c r="AF73" s="2650"/>
      <c r="AG73" s="283"/>
      <c r="AH73" s="2651"/>
      <c r="AI73" s="91"/>
      <c r="AJ73" s="89"/>
      <c r="AK73" s="90"/>
      <c r="AL73" s="298"/>
      <c r="AM73" s="323"/>
      <c r="AN73" s="307"/>
      <c r="AO73" s="307"/>
      <c r="AP73" s="307"/>
      <c r="AQ73" s="307"/>
      <c r="AR73" s="308"/>
      <c r="AS73" s="298"/>
      <c r="AT73" s="227"/>
      <c r="AU73" s="5683" t="s">
        <v>920</v>
      </c>
      <c r="AV73" s="5684"/>
      <c r="AW73" s="5684"/>
      <c r="AX73" s="5684"/>
      <c r="AY73" s="5684"/>
      <c r="AZ73" s="5684"/>
      <c r="BA73" s="5685"/>
      <c r="BB73" s="318"/>
      <c r="BC73" s="331">
        <v>1</v>
      </c>
      <c r="BD73" s="2656"/>
      <c r="BE73" s="2656"/>
      <c r="BF73" s="2656"/>
      <c r="BG73" s="2656"/>
      <c r="BH73" s="2656"/>
      <c r="BI73" s="2657"/>
      <c r="BJ73" s="87"/>
      <c r="BK73" s="85"/>
      <c r="BL73" s="85"/>
      <c r="BM73" s="85"/>
      <c r="BN73" s="85"/>
      <c r="BO73" s="85"/>
      <c r="BP73" s="91"/>
      <c r="BQ73" s="2651"/>
      <c r="BR73" s="92"/>
      <c r="BS73" s="93"/>
    </row>
    <row r="74" spans="1:71" s="80" customFormat="1" ht="15.75">
      <c r="A74" s="81">
        <f t="shared" si="4"/>
        <v>53</v>
      </c>
      <c r="B74" s="201" t="s">
        <v>1068</v>
      </c>
      <c r="C74" s="82" t="s">
        <v>883</v>
      </c>
      <c r="D74" s="83"/>
      <c r="E74" s="84"/>
      <c r="F74" s="2644"/>
      <c r="G74" s="88"/>
      <c r="H74" s="86"/>
      <c r="I74" s="2645"/>
      <c r="J74" s="84" t="s">
        <v>883</v>
      </c>
      <c r="K74" s="2644" t="s">
        <v>1069</v>
      </c>
      <c r="L74" s="88">
        <v>42171</v>
      </c>
      <c r="M74" s="254">
        <f>1880655*0</f>
        <v>0</v>
      </c>
      <c r="N74" s="2647"/>
      <c r="O74" s="2648" t="s">
        <v>552</v>
      </c>
      <c r="P74" s="268">
        <v>1</v>
      </c>
      <c r="Q74" s="2649">
        <v>1</v>
      </c>
      <c r="R74" s="2649"/>
      <c r="S74" s="2649"/>
      <c r="T74" s="2649"/>
      <c r="U74" s="274"/>
      <c r="V74" s="87"/>
      <c r="W74" s="88"/>
      <c r="X74" s="254"/>
      <c r="Y74" s="283"/>
      <c r="Z74" s="282"/>
      <c r="AA74" s="2650"/>
      <c r="AB74" s="2650"/>
      <c r="AC74" s="2650"/>
      <c r="AD74" s="2650"/>
      <c r="AE74" s="2650"/>
      <c r="AF74" s="2650"/>
      <c r="AG74" s="283"/>
      <c r="AH74" s="2651"/>
      <c r="AI74" s="91"/>
      <c r="AJ74" s="89"/>
      <c r="AK74" s="90"/>
      <c r="AL74" s="298"/>
      <c r="AM74" s="323"/>
      <c r="AN74" s="307"/>
      <c r="AO74" s="307"/>
      <c r="AP74" s="307"/>
      <c r="AQ74" s="307"/>
      <c r="AR74" s="308"/>
      <c r="AS74" s="298"/>
      <c r="AT74" s="227"/>
      <c r="AU74" s="89"/>
      <c r="AV74" s="85"/>
      <c r="AW74" s="85"/>
      <c r="AX74" s="85"/>
      <c r="AY74" s="85"/>
      <c r="AZ74" s="85"/>
      <c r="BA74" s="91"/>
      <c r="BB74" s="86"/>
      <c r="BC74" s="330"/>
      <c r="BD74" s="2652"/>
      <c r="BE74" s="2652"/>
      <c r="BF74" s="2652"/>
      <c r="BG74" s="2652"/>
      <c r="BH74" s="2652"/>
      <c r="BI74" s="2653"/>
      <c r="BJ74" s="87"/>
      <c r="BK74" s="85"/>
      <c r="BL74" s="85"/>
      <c r="BM74" s="85"/>
      <c r="BN74" s="85"/>
      <c r="BO74" s="85"/>
      <c r="BP74" s="91"/>
      <c r="BQ74" s="2651"/>
      <c r="BR74" s="92"/>
      <c r="BS74" s="93" t="s">
        <v>1056</v>
      </c>
    </row>
    <row r="75" spans="1:71" s="80" customFormat="1" ht="31.5">
      <c r="A75" s="81">
        <f t="shared" si="4"/>
        <v>54</v>
      </c>
      <c r="B75" s="201" t="s">
        <v>1070</v>
      </c>
      <c r="C75" s="82" t="s">
        <v>883</v>
      </c>
      <c r="D75" s="83"/>
      <c r="E75" s="84"/>
      <c r="F75" s="2644"/>
      <c r="G75" s="88"/>
      <c r="H75" s="86"/>
      <c r="I75" s="2645"/>
      <c r="J75" s="84" t="s">
        <v>883</v>
      </c>
      <c r="K75" s="2644" t="s">
        <v>1071</v>
      </c>
      <c r="L75" s="88">
        <v>42171</v>
      </c>
      <c r="M75" s="254">
        <v>0</v>
      </c>
      <c r="N75" s="2647"/>
      <c r="O75" s="2648" t="s">
        <v>552</v>
      </c>
      <c r="P75" s="268">
        <v>1</v>
      </c>
      <c r="Q75" s="2649">
        <v>1</v>
      </c>
      <c r="R75" s="2649"/>
      <c r="S75" s="2649"/>
      <c r="T75" s="2649"/>
      <c r="U75" s="274"/>
      <c r="V75" s="87"/>
      <c r="W75" s="88"/>
      <c r="X75" s="254"/>
      <c r="Y75" s="283"/>
      <c r="Z75" s="282"/>
      <c r="AA75" s="2650"/>
      <c r="AB75" s="2650"/>
      <c r="AC75" s="2650"/>
      <c r="AD75" s="2650"/>
      <c r="AE75" s="2650"/>
      <c r="AF75" s="2650"/>
      <c r="AG75" s="283"/>
      <c r="AH75" s="2651"/>
      <c r="AI75" s="91"/>
      <c r="AJ75" s="89"/>
      <c r="AK75" s="90"/>
      <c r="AL75" s="298"/>
      <c r="AM75" s="323"/>
      <c r="AN75" s="307"/>
      <c r="AO75" s="307"/>
      <c r="AP75" s="307"/>
      <c r="AQ75" s="307"/>
      <c r="AR75" s="308"/>
      <c r="AS75" s="298"/>
      <c r="AT75" s="227"/>
      <c r="AU75" s="89"/>
      <c r="AV75" s="85"/>
      <c r="AW75" s="85"/>
      <c r="AX75" s="85"/>
      <c r="AY75" s="85"/>
      <c r="AZ75" s="85"/>
      <c r="BA75" s="91"/>
      <c r="BB75" s="86"/>
      <c r="BC75" s="330"/>
      <c r="BD75" s="2652"/>
      <c r="BE75" s="2652"/>
      <c r="BF75" s="2652"/>
      <c r="BG75" s="2652"/>
      <c r="BH75" s="2652"/>
      <c r="BI75" s="2653"/>
      <c r="BJ75" s="87"/>
      <c r="BK75" s="85"/>
      <c r="BL75" s="85"/>
      <c r="BM75" s="85"/>
      <c r="BN75" s="85"/>
      <c r="BO75" s="85"/>
      <c r="BP75" s="91"/>
      <c r="BQ75" s="2651"/>
      <c r="BR75" s="92"/>
      <c r="BS75" s="93" t="s">
        <v>1056</v>
      </c>
    </row>
    <row r="76" spans="1:71" s="80" customFormat="1" ht="33" customHeight="1">
      <c r="A76" s="81">
        <f t="shared" si="4"/>
        <v>55</v>
      </c>
      <c r="B76" s="201" t="s">
        <v>1072</v>
      </c>
      <c r="C76" s="82" t="s">
        <v>876</v>
      </c>
      <c r="D76" s="83"/>
      <c r="E76" s="84"/>
      <c r="F76" s="2644"/>
      <c r="G76" s="88"/>
      <c r="H76" s="86"/>
      <c r="I76" s="2645"/>
      <c r="J76" s="84" t="s">
        <v>876</v>
      </c>
      <c r="K76" s="2644" t="s">
        <v>1073</v>
      </c>
      <c r="L76" s="88">
        <v>42177</v>
      </c>
      <c r="M76" s="254">
        <f>(18548849-11519135)*0</f>
        <v>0</v>
      </c>
      <c r="N76" s="2647"/>
      <c r="O76" s="2648" t="s">
        <v>843</v>
      </c>
      <c r="P76" s="268">
        <v>1</v>
      </c>
      <c r="Q76" s="2649"/>
      <c r="R76" s="2649">
        <v>1</v>
      </c>
      <c r="S76" s="2649"/>
      <c r="T76" s="2649"/>
      <c r="U76" s="274"/>
      <c r="V76" s="2632" t="s">
        <v>1074</v>
      </c>
      <c r="W76" s="2628">
        <v>42183</v>
      </c>
      <c r="X76" s="253">
        <f>8194000*0</f>
        <v>0</v>
      </c>
      <c r="Y76" s="2633" t="s">
        <v>552</v>
      </c>
      <c r="Z76" s="282">
        <v>1</v>
      </c>
      <c r="AA76" s="2650">
        <v>1</v>
      </c>
      <c r="AB76" s="2650"/>
      <c r="AC76" s="2650"/>
      <c r="AD76" s="2650"/>
      <c r="AE76" s="2650"/>
      <c r="AF76" s="2650"/>
      <c r="AG76" s="283"/>
      <c r="AH76" s="2651"/>
      <c r="AI76" s="91"/>
      <c r="AJ76" s="89"/>
      <c r="AK76" s="90"/>
      <c r="AL76" s="298"/>
      <c r="AM76" s="323"/>
      <c r="AN76" s="307"/>
      <c r="AO76" s="307"/>
      <c r="AP76" s="307"/>
      <c r="AQ76" s="307"/>
      <c r="AR76" s="308"/>
      <c r="AS76" s="298"/>
      <c r="AT76" s="227"/>
      <c r="AU76" s="89"/>
      <c r="AV76" s="85"/>
      <c r="AW76" s="85"/>
      <c r="AX76" s="85"/>
      <c r="AY76" s="85"/>
      <c r="AZ76" s="85"/>
      <c r="BA76" s="91"/>
      <c r="BB76" s="86"/>
      <c r="BC76" s="330"/>
      <c r="BD76" s="2652"/>
      <c r="BE76" s="2652"/>
      <c r="BF76" s="2652"/>
      <c r="BG76" s="2652"/>
      <c r="BH76" s="2652"/>
      <c r="BI76" s="2653"/>
      <c r="BJ76" s="87"/>
      <c r="BK76" s="85"/>
      <c r="BL76" s="85"/>
      <c r="BM76" s="85"/>
      <c r="BN76" s="85"/>
      <c r="BO76" s="85"/>
      <c r="BP76" s="91"/>
      <c r="BQ76" s="2651"/>
      <c r="BR76" s="92"/>
      <c r="BS76" s="93" t="s">
        <v>1075</v>
      </c>
    </row>
    <row r="77" spans="1:71" s="80" customFormat="1" ht="47.25">
      <c r="A77" s="81">
        <f t="shared" si="4"/>
        <v>56</v>
      </c>
      <c r="B77" s="201" t="s">
        <v>1076</v>
      </c>
      <c r="C77" s="82" t="s">
        <v>78</v>
      </c>
      <c r="D77" s="83"/>
      <c r="E77" s="84"/>
      <c r="F77" s="2644"/>
      <c r="G77" s="88"/>
      <c r="H77" s="86"/>
      <c r="I77" s="2645"/>
      <c r="J77" s="2626" t="s">
        <v>78</v>
      </c>
      <c r="K77" s="2644" t="s">
        <v>1077</v>
      </c>
      <c r="L77" s="88">
        <v>42198</v>
      </c>
      <c r="M77" s="254">
        <v>0</v>
      </c>
      <c r="N77" s="2647"/>
      <c r="O77" s="2648" t="s">
        <v>552</v>
      </c>
      <c r="P77" s="268">
        <v>1</v>
      </c>
      <c r="Q77" s="2649">
        <v>1</v>
      </c>
      <c r="R77" s="2649"/>
      <c r="S77" s="2649"/>
      <c r="T77" s="2649"/>
      <c r="U77" s="274"/>
      <c r="V77" s="87"/>
      <c r="W77" s="88"/>
      <c r="X77" s="254"/>
      <c r="Y77" s="283"/>
      <c r="Z77" s="282"/>
      <c r="AA77" s="2650"/>
      <c r="AB77" s="2650"/>
      <c r="AC77" s="2650"/>
      <c r="AD77" s="2650"/>
      <c r="AE77" s="2650"/>
      <c r="AF77" s="2650"/>
      <c r="AG77" s="283"/>
      <c r="AH77" s="2651"/>
      <c r="AI77" s="91"/>
      <c r="AJ77" s="89"/>
      <c r="AK77" s="90"/>
      <c r="AL77" s="298"/>
      <c r="AM77" s="323"/>
      <c r="AN77" s="307"/>
      <c r="AO77" s="307"/>
      <c r="AP77" s="307"/>
      <c r="AQ77" s="307"/>
      <c r="AR77" s="308"/>
      <c r="AS77" s="298"/>
      <c r="AT77" s="227"/>
      <c r="AU77" s="5683" t="s">
        <v>1078</v>
      </c>
      <c r="AV77" s="5684"/>
      <c r="AW77" s="5684"/>
      <c r="AX77" s="5684"/>
      <c r="AY77" s="5684"/>
      <c r="AZ77" s="5684"/>
      <c r="BA77" s="5685"/>
      <c r="BB77" s="318"/>
      <c r="BC77" s="331">
        <v>1</v>
      </c>
      <c r="BD77" s="2656"/>
      <c r="BE77" s="2656"/>
      <c r="BF77" s="2656"/>
      <c r="BG77" s="2656"/>
      <c r="BH77" s="2656"/>
      <c r="BI77" s="2657"/>
      <c r="BJ77" s="87"/>
      <c r="BK77" s="85"/>
      <c r="BL77" s="85"/>
      <c r="BM77" s="85"/>
      <c r="BN77" s="85"/>
      <c r="BO77" s="85"/>
      <c r="BP77" s="91"/>
      <c r="BQ77" s="2651"/>
      <c r="BR77" s="92"/>
      <c r="BS77" s="93" t="s">
        <v>1079</v>
      </c>
    </row>
    <row r="78" spans="1:71" s="80" customFormat="1" ht="31.5">
      <c r="A78" s="81">
        <f t="shared" si="4"/>
        <v>57</v>
      </c>
      <c r="B78" s="201" t="s">
        <v>1080</v>
      </c>
      <c r="C78" s="82" t="s">
        <v>883</v>
      </c>
      <c r="D78" s="83"/>
      <c r="E78" s="84"/>
      <c r="F78" s="2644"/>
      <c r="G78" s="88"/>
      <c r="H78" s="86"/>
      <c r="I78" s="2645"/>
      <c r="J78" s="84" t="s">
        <v>883</v>
      </c>
      <c r="K78" s="2644" t="s">
        <v>1081</v>
      </c>
      <c r="L78" s="88">
        <v>42198</v>
      </c>
      <c r="M78" s="254">
        <v>0</v>
      </c>
      <c r="N78" s="2647"/>
      <c r="O78" s="2648" t="s">
        <v>552</v>
      </c>
      <c r="P78" s="268">
        <v>1</v>
      </c>
      <c r="Q78" s="2649">
        <v>1</v>
      </c>
      <c r="R78" s="2649"/>
      <c r="S78" s="2649"/>
      <c r="T78" s="2649"/>
      <c r="U78" s="274"/>
      <c r="V78" s="87"/>
      <c r="W78" s="88"/>
      <c r="X78" s="254"/>
      <c r="Y78" s="283"/>
      <c r="Z78" s="282"/>
      <c r="AA78" s="2650"/>
      <c r="AB78" s="2650"/>
      <c r="AC78" s="2650"/>
      <c r="AD78" s="2650"/>
      <c r="AE78" s="2650"/>
      <c r="AF78" s="2650"/>
      <c r="AG78" s="283"/>
      <c r="AH78" s="2651"/>
      <c r="AI78" s="91"/>
      <c r="AJ78" s="89"/>
      <c r="AK78" s="90"/>
      <c r="AL78" s="298"/>
      <c r="AM78" s="323"/>
      <c r="AN78" s="307"/>
      <c r="AO78" s="307"/>
      <c r="AP78" s="307"/>
      <c r="AQ78" s="307"/>
      <c r="AR78" s="308"/>
      <c r="AS78" s="298"/>
      <c r="AT78" s="227"/>
      <c r="AU78" s="5683" t="s">
        <v>920</v>
      </c>
      <c r="AV78" s="5684"/>
      <c r="AW78" s="5684"/>
      <c r="AX78" s="5684"/>
      <c r="AY78" s="5684"/>
      <c r="AZ78" s="5684"/>
      <c r="BA78" s="5685"/>
      <c r="BB78" s="318"/>
      <c r="BC78" s="331">
        <v>1</v>
      </c>
      <c r="BD78" s="2656"/>
      <c r="BE78" s="2656"/>
      <c r="BF78" s="2656"/>
      <c r="BG78" s="2656"/>
      <c r="BH78" s="2656"/>
      <c r="BI78" s="2657"/>
      <c r="BJ78" s="87"/>
      <c r="BK78" s="85"/>
      <c r="BL78" s="85"/>
      <c r="BM78" s="85"/>
      <c r="BN78" s="85"/>
      <c r="BO78" s="85"/>
      <c r="BP78" s="91"/>
      <c r="BQ78" s="2651"/>
      <c r="BR78" s="92"/>
      <c r="BS78" s="93" t="s">
        <v>1082</v>
      </c>
    </row>
    <row r="79" spans="1:71" s="80" customFormat="1" ht="35.450000000000003" customHeight="1">
      <c r="A79" s="81">
        <f t="shared" si="4"/>
        <v>58</v>
      </c>
      <c r="B79" s="201" t="s">
        <v>1083</v>
      </c>
      <c r="C79" s="82" t="s">
        <v>883</v>
      </c>
      <c r="D79" s="83"/>
      <c r="E79" s="84"/>
      <c r="F79" s="2644"/>
      <c r="G79" s="88"/>
      <c r="H79" s="86"/>
      <c r="I79" s="2645"/>
      <c r="J79" s="84" t="s">
        <v>883</v>
      </c>
      <c r="K79" s="2644" t="s">
        <v>1084</v>
      </c>
      <c r="L79" s="88">
        <v>42200</v>
      </c>
      <c r="M79" s="254">
        <v>0</v>
      </c>
      <c r="N79" s="2647"/>
      <c r="O79" s="2648" t="s">
        <v>552</v>
      </c>
      <c r="P79" s="268">
        <v>1</v>
      </c>
      <c r="Q79" s="2649">
        <v>1</v>
      </c>
      <c r="R79" s="2649"/>
      <c r="S79" s="2649"/>
      <c r="T79" s="2649"/>
      <c r="U79" s="274"/>
      <c r="V79" s="87"/>
      <c r="W79" s="88"/>
      <c r="X79" s="254"/>
      <c r="Y79" s="283"/>
      <c r="Z79" s="282"/>
      <c r="AA79" s="2650"/>
      <c r="AB79" s="2650"/>
      <c r="AC79" s="2650"/>
      <c r="AD79" s="2650"/>
      <c r="AE79" s="2650"/>
      <c r="AF79" s="2650"/>
      <c r="AG79" s="283"/>
      <c r="AH79" s="2651"/>
      <c r="AI79" s="91"/>
      <c r="AJ79" s="89"/>
      <c r="AK79" s="90"/>
      <c r="AL79" s="298"/>
      <c r="AM79" s="323"/>
      <c r="AN79" s="307"/>
      <c r="AO79" s="307"/>
      <c r="AP79" s="307"/>
      <c r="AQ79" s="307"/>
      <c r="AR79" s="308"/>
      <c r="AS79" s="298"/>
      <c r="AT79" s="227"/>
      <c r="AU79" s="89"/>
      <c r="AV79" s="85"/>
      <c r="AW79" s="85"/>
      <c r="AX79" s="85"/>
      <c r="AY79" s="85"/>
      <c r="AZ79" s="85"/>
      <c r="BA79" s="91"/>
      <c r="BB79" s="86"/>
      <c r="BC79" s="330"/>
      <c r="BD79" s="2652"/>
      <c r="BE79" s="2652"/>
      <c r="BF79" s="2652"/>
      <c r="BG79" s="2652"/>
      <c r="BH79" s="2652"/>
      <c r="BI79" s="2653"/>
      <c r="BJ79" s="87"/>
      <c r="BK79" s="85"/>
      <c r="BL79" s="85"/>
      <c r="BM79" s="85"/>
      <c r="BN79" s="85"/>
      <c r="BO79" s="85"/>
      <c r="BP79" s="91"/>
      <c r="BQ79" s="2651"/>
      <c r="BR79" s="92"/>
      <c r="BS79" s="93"/>
    </row>
    <row r="80" spans="1:71" s="80" customFormat="1" ht="47.25">
      <c r="A80" s="81">
        <f t="shared" si="4"/>
        <v>59</v>
      </c>
      <c r="B80" s="201" t="s">
        <v>1085</v>
      </c>
      <c r="C80" s="82" t="s">
        <v>883</v>
      </c>
      <c r="D80" s="83"/>
      <c r="E80" s="84"/>
      <c r="F80" s="2644"/>
      <c r="G80" s="88"/>
      <c r="H80" s="86"/>
      <c r="I80" s="2645"/>
      <c r="J80" s="84" t="s">
        <v>883</v>
      </c>
      <c r="K80" s="2644" t="s">
        <v>1086</v>
      </c>
      <c r="L80" s="88">
        <v>42198</v>
      </c>
      <c r="M80" s="254">
        <v>0</v>
      </c>
      <c r="N80" s="2647"/>
      <c r="O80" s="2648" t="s">
        <v>552</v>
      </c>
      <c r="P80" s="268">
        <v>1</v>
      </c>
      <c r="Q80" s="2649">
        <v>1</v>
      </c>
      <c r="R80" s="2649"/>
      <c r="S80" s="2649"/>
      <c r="T80" s="2649"/>
      <c r="U80" s="274"/>
      <c r="V80" s="87"/>
      <c r="W80" s="88"/>
      <c r="X80" s="254"/>
      <c r="Y80" s="283"/>
      <c r="Z80" s="282"/>
      <c r="AA80" s="2650"/>
      <c r="AB80" s="2650"/>
      <c r="AC80" s="2650"/>
      <c r="AD80" s="2650"/>
      <c r="AE80" s="2650"/>
      <c r="AF80" s="2650"/>
      <c r="AG80" s="283"/>
      <c r="AH80" s="2651"/>
      <c r="AI80" s="91"/>
      <c r="AJ80" s="89"/>
      <c r="AK80" s="90"/>
      <c r="AL80" s="298"/>
      <c r="AM80" s="323"/>
      <c r="AN80" s="307"/>
      <c r="AO80" s="307"/>
      <c r="AP80" s="307"/>
      <c r="AQ80" s="307"/>
      <c r="AR80" s="308"/>
      <c r="AS80" s="298"/>
      <c r="AT80" s="227"/>
      <c r="AU80" s="5683" t="s">
        <v>920</v>
      </c>
      <c r="AV80" s="5684"/>
      <c r="AW80" s="5684"/>
      <c r="AX80" s="5684"/>
      <c r="AY80" s="5684"/>
      <c r="AZ80" s="5684"/>
      <c r="BA80" s="5685"/>
      <c r="BB80" s="318"/>
      <c r="BC80" s="331">
        <v>1</v>
      </c>
      <c r="BD80" s="2656"/>
      <c r="BE80" s="2656"/>
      <c r="BF80" s="2656"/>
      <c r="BG80" s="2656"/>
      <c r="BH80" s="2656"/>
      <c r="BI80" s="2657"/>
      <c r="BJ80" s="87"/>
      <c r="BK80" s="85"/>
      <c r="BL80" s="85"/>
      <c r="BM80" s="85"/>
      <c r="BN80" s="85"/>
      <c r="BO80" s="85"/>
      <c r="BP80" s="91"/>
      <c r="BQ80" s="2651"/>
      <c r="BR80" s="92"/>
      <c r="BS80" s="93" t="s">
        <v>1087</v>
      </c>
    </row>
    <row r="81" spans="1:71" s="80" customFormat="1" ht="33.75" customHeight="1">
      <c r="A81" s="81">
        <f t="shared" si="4"/>
        <v>60</v>
      </c>
      <c r="B81" s="201" t="s">
        <v>1088</v>
      </c>
      <c r="C81" s="82" t="s">
        <v>883</v>
      </c>
      <c r="D81" s="83"/>
      <c r="E81" s="84"/>
      <c r="F81" s="2644"/>
      <c r="G81" s="88"/>
      <c r="H81" s="86"/>
      <c r="I81" s="2645"/>
      <c r="J81" s="84" t="s">
        <v>883</v>
      </c>
      <c r="K81" s="2644" t="s">
        <v>1089</v>
      </c>
      <c r="L81" s="88">
        <v>42200</v>
      </c>
      <c r="M81" s="254">
        <v>0</v>
      </c>
      <c r="N81" s="2647"/>
      <c r="O81" s="2648" t="s">
        <v>552</v>
      </c>
      <c r="P81" s="268">
        <v>1</v>
      </c>
      <c r="Q81" s="2649">
        <v>1</v>
      </c>
      <c r="R81" s="2649"/>
      <c r="S81" s="2649"/>
      <c r="T81" s="2649"/>
      <c r="U81" s="274"/>
      <c r="V81" s="87"/>
      <c r="W81" s="88"/>
      <c r="X81" s="254"/>
      <c r="Y81" s="283"/>
      <c r="Z81" s="282"/>
      <c r="AA81" s="2650"/>
      <c r="AB81" s="2650"/>
      <c r="AC81" s="2650"/>
      <c r="AD81" s="2650"/>
      <c r="AE81" s="2650"/>
      <c r="AF81" s="2650"/>
      <c r="AG81" s="283"/>
      <c r="AH81" s="2651"/>
      <c r="AI81" s="91"/>
      <c r="AJ81" s="89"/>
      <c r="AK81" s="90"/>
      <c r="AL81" s="298"/>
      <c r="AM81" s="323"/>
      <c r="AN81" s="307"/>
      <c r="AO81" s="307"/>
      <c r="AP81" s="307"/>
      <c r="AQ81" s="307"/>
      <c r="AR81" s="308"/>
      <c r="AS81" s="298"/>
      <c r="AT81" s="227"/>
      <c r="AU81" s="89"/>
      <c r="AV81" s="85"/>
      <c r="AW81" s="85"/>
      <c r="AX81" s="85"/>
      <c r="AY81" s="85"/>
      <c r="AZ81" s="85"/>
      <c r="BA81" s="91"/>
      <c r="BB81" s="86"/>
      <c r="BC81" s="330"/>
      <c r="BD81" s="2652"/>
      <c r="BE81" s="2652"/>
      <c r="BF81" s="2652"/>
      <c r="BG81" s="2652"/>
      <c r="BH81" s="2652"/>
      <c r="BI81" s="2653"/>
      <c r="BJ81" s="87"/>
      <c r="BK81" s="85"/>
      <c r="BL81" s="85"/>
      <c r="BM81" s="85"/>
      <c r="BN81" s="85"/>
      <c r="BO81" s="85"/>
      <c r="BP81" s="91"/>
      <c r="BQ81" s="2651"/>
      <c r="BR81" s="92"/>
      <c r="BS81" s="93"/>
    </row>
    <row r="82" spans="1:71" s="80" customFormat="1" ht="35.25" customHeight="1">
      <c r="A82" s="2623">
        <f t="shared" si="4"/>
        <v>61</v>
      </c>
      <c r="B82" s="2655" t="s">
        <v>1090</v>
      </c>
      <c r="C82" s="82" t="s">
        <v>78</v>
      </c>
      <c r="D82" s="83"/>
      <c r="E82" s="84"/>
      <c r="F82" s="2644"/>
      <c r="G82" s="88"/>
      <c r="H82" s="86"/>
      <c r="I82" s="2645"/>
      <c r="J82" s="2626" t="s">
        <v>78</v>
      </c>
      <c r="K82" s="2627" t="s">
        <v>1091</v>
      </c>
      <c r="L82" s="88"/>
      <c r="M82" s="254">
        <v>0</v>
      </c>
      <c r="N82" s="2647"/>
      <c r="O82" s="2648" t="s">
        <v>843</v>
      </c>
      <c r="P82" s="268">
        <v>1</v>
      </c>
      <c r="Q82" s="2649"/>
      <c r="R82" s="2649">
        <v>1</v>
      </c>
      <c r="S82" s="2649"/>
      <c r="T82" s="2649"/>
      <c r="U82" s="274"/>
      <c r="V82" s="87" t="s">
        <v>1092</v>
      </c>
      <c r="W82" s="88">
        <v>42208</v>
      </c>
      <c r="X82" s="254">
        <f>-12860000*0</f>
        <v>0</v>
      </c>
      <c r="Y82" s="283" t="s">
        <v>552</v>
      </c>
      <c r="Z82" s="282">
        <v>1</v>
      </c>
      <c r="AA82" s="2650">
        <v>1</v>
      </c>
      <c r="AB82" s="2650"/>
      <c r="AC82" s="2650"/>
      <c r="AD82" s="2650"/>
      <c r="AE82" s="2650"/>
      <c r="AF82" s="2650"/>
      <c r="AG82" s="283"/>
      <c r="AH82" s="2651"/>
      <c r="AI82" s="91"/>
      <c r="AJ82" s="89"/>
      <c r="AK82" s="90"/>
      <c r="AL82" s="298"/>
      <c r="AM82" s="323"/>
      <c r="AN82" s="307"/>
      <c r="AO82" s="307"/>
      <c r="AP82" s="307"/>
      <c r="AQ82" s="307"/>
      <c r="AR82" s="308"/>
      <c r="AS82" s="298"/>
      <c r="AT82" s="227"/>
      <c r="AU82" s="5683" t="s">
        <v>920</v>
      </c>
      <c r="AV82" s="5684"/>
      <c r="AW82" s="5684"/>
      <c r="AX82" s="5684"/>
      <c r="AY82" s="5684"/>
      <c r="AZ82" s="5684"/>
      <c r="BA82" s="5685"/>
      <c r="BB82" s="318"/>
      <c r="BC82" s="331">
        <v>1</v>
      </c>
      <c r="BD82" s="2656"/>
      <c r="BE82" s="2656"/>
      <c r="BF82" s="2656"/>
      <c r="BG82" s="2656"/>
      <c r="BH82" s="2656"/>
      <c r="BI82" s="2657"/>
      <c r="BJ82" s="87"/>
      <c r="BK82" s="85"/>
      <c r="BL82" s="85"/>
      <c r="BM82" s="85"/>
      <c r="BN82" s="85"/>
      <c r="BO82" s="85"/>
      <c r="BP82" s="91"/>
      <c r="BQ82" s="2651"/>
      <c r="BR82" s="92"/>
      <c r="BS82" s="93" t="s">
        <v>1093</v>
      </c>
    </row>
    <row r="83" spans="1:71" s="80" customFormat="1" ht="49.5" customHeight="1">
      <c r="A83" s="2623">
        <f t="shared" si="4"/>
        <v>62</v>
      </c>
      <c r="B83" s="2624" t="s">
        <v>1094</v>
      </c>
      <c r="C83" s="82" t="s">
        <v>883</v>
      </c>
      <c r="D83" s="220"/>
      <c r="E83" s="2626"/>
      <c r="F83" s="2627"/>
      <c r="G83" s="2628"/>
      <c r="H83" s="211"/>
      <c r="I83" s="2629"/>
      <c r="J83" s="84" t="s">
        <v>883</v>
      </c>
      <c r="K83" s="2627" t="s">
        <v>1095</v>
      </c>
      <c r="L83" s="2628">
        <v>42229</v>
      </c>
      <c r="M83" s="253">
        <v>0</v>
      </c>
      <c r="N83" s="219"/>
      <c r="O83" s="2630" t="s">
        <v>552</v>
      </c>
      <c r="P83" s="2674">
        <v>1</v>
      </c>
      <c r="Q83" s="2675">
        <v>1</v>
      </c>
      <c r="R83" s="2675"/>
      <c r="S83" s="2675"/>
      <c r="T83" s="2675"/>
      <c r="U83" s="2676"/>
      <c r="V83" s="2632"/>
      <c r="W83" s="2628"/>
      <c r="X83" s="253"/>
      <c r="Y83" s="2633"/>
      <c r="Z83" s="2677"/>
      <c r="AA83" s="2678"/>
      <c r="AB83" s="2678"/>
      <c r="AC83" s="2678"/>
      <c r="AD83" s="2678"/>
      <c r="AE83" s="2678"/>
      <c r="AF83" s="2678"/>
      <c r="AG83" s="2633"/>
      <c r="AH83" s="213"/>
      <c r="AI83" s="2639"/>
      <c r="AJ83" s="2637"/>
      <c r="AK83" s="212"/>
      <c r="AL83" s="298"/>
      <c r="AM83" s="323"/>
      <c r="AN83" s="307"/>
      <c r="AO83" s="307"/>
      <c r="AP83" s="307"/>
      <c r="AQ83" s="307"/>
      <c r="AR83" s="308"/>
      <c r="AS83" s="298"/>
      <c r="AT83" s="227"/>
      <c r="AU83" s="5683" t="s">
        <v>920</v>
      </c>
      <c r="AV83" s="5684"/>
      <c r="AW83" s="5684"/>
      <c r="AX83" s="5684"/>
      <c r="AY83" s="5684"/>
      <c r="AZ83" s="5684"/>
      <c r="BA83" s="5685"/>
      <c r="BB83" s="229"/>
      <c r="BC83" s="2679">
        <v>1</v>
      </c>
      <c r="BD83" s="2680"/>
      <c r="BE83" s="2680"/>
      <c r="BF83" s="2680"/>
      <c r="BG83" s="2680"/>
      <c r="BH83" s="2680"/>
      <c r="BI83" s="334"/>
      <c r="BJ83" s="2632"/>
      <c r="BK83" s="2638"/>
      <c r="BL83" s="2638"/>
      <c r="BM83" s="2638"/>
      <c r="BN83" s="2638"/>
      <c r="BO83" s="2638"/>
      <c r="BP83" s="2639"/>
      <c r="BQ83" s="213"/>
      <c r="BR83" s="214"/>
      <c r="BS83" s="215" t="s">
        <v>1096</v>
      </c>
    </row>
    <row r="84" spans="1:71" s="80" customFormat="1" ht="31.5">
      <c r="A84" s="2623">
        <f t="shared" si="4"/>
        <v>63</v>
      </c>
      <c r="B84" s="2624" t="s">
        <v>1097</v>
      </c>
      <c r="C84" s="82" t="s">
        <v>883</v>
      </c>
      <c r="D84" s="220"/>
      <c r="E84" s="2626"/>
      <c r="F84" s="2627"/>
      <c r="G84" s="2628"/>
      <c r="H84" s="211"/>
      <c r="I84" s="2629"/>
      <c r="J84" s="84" t="s">
        <v>883</v>
      </c>
      <c r="K84" s="2627" t="s">
        <v>1098</v>
      </c>
      <c r="L84" s="2628">
        <v>42229</v>
      </c>
      <c r="M84" s="253">
        <v>0</v>
      </c>
      <c r="N84" s="219"/>
      <c r="O84" s="2630" t="s">
        <v>552</v>
      </c>
      <c r="P84" s="2674">
        <v>1</v>
      </c>
      <c r="Q84" s="2675">
        <v>1</v>
      </c>
      <c r="R84" s="2675"/>
      <c r="S84" s="2675"/>
      <c r="T84" s="2675"/>
      <c r="U84" s="2676"/>
      <c r="V84" s="2632"/>
      <c r="W84" s="2628"/>
      <c r="X84" s="253"/>
      <c r="Y84" s="2633"/>
      <c r="Z84" s="2677"/>
      <c r="AA84" s="2678"/>
      <c r="AB84" s="2678"/>
      <c r="AC84" s="2678"/>
      <c r="AD84" s="2678"/>
      <c r="AE84" s="2678"/>
      <c r="AF84" s="2678"/>
      <c r="AG84" s="2633"/>
      <c r="AH84" s="213"/>
      <c r="AI84" s="2639"/>
      <c r="AJ84" s="2637"/>
      <c r="AK84" s="212"/>
      <c r="AL84" s="298"/>
      <c r="AM84" s="323"/>
      <c r="AN84" s="307"/>
      <c r="AO84" s="307"/>
      <c r="AP84" s="307"/>
      <c r="AQ84" s="307"/>
      <c r="AR84" s="308"/>
      <c r="AS84" s="298"/>
      <c r="AT84" s="227"/>
      <c r="AU84" s="5683" t="s">
        <v>920</v>
      </c>
      <c r="AV84" s="5684"/>
      <c r="AW84" s="5684"/>
      <c r="AX84" s="5684"/>
      <c r="AY84" s="5684"/>
      <c r="AZ84" s="5684"/>
      <c r="BA84" s="5685"/>
      <c r="BB84" s="229"/>
      <c r="BC84" s="2679">
        <v>1</v>
      </c>
      <c r="BD84" s="2680"/>
      <c r="BE84" s="2680"/>
      <c r="BF84" s="2680"/>
      <c r="BG84" s="2680"/>
      <c r="BH84" s="2680"/>
      <c r="BI84" s="334"/>
      <c r="BJ84" s="2632"/>
      <c r="BK84" s="2638"/>
      <c r="BL84" s="2638"/>
      <c r="BM84" s="2638"/>
      <c r="BN84" s="2638"/>
      <c r="BO84" s="2638"/>
      <c r="BP84" s="2639"/>
      <c r="BQ84" s="213"/>
      <c r="BR84" s="214"/>
      <c r="BS84" s="215"/>
    </row>
    <row r="85" spans="1:71" s="80" customFormat="1" ht="31.5">
      <c r="A85" s="2623">
        <f t="shared" si="4"/>
        <v>64</v>
      </c>
      <c r="B85" s="2624" t="s">
        <v>1099</v>
      </c>
      <c r="C85" s="2625" t="s">
        <v>78</v>
      </c>
      <c r="D85" s="220"/>
      <c r="E85" s="2626"/>
      <c r="F85" s="2627"/>
      <c r="G85" s="2628"/>
      <c r="H85" s="211"/>
      <c r="I85" s="2629"/>
      <c r="J85" s="84" t="s">
        <v>78</v>
      </c>
      <c r="K85" s="2627" t="s">
        <v>1100</v>
      </c>
      <c r="L85" s="2628">
        <v>42229</v>
      </c>
      <c r="M85" s="253">
        <v>0</v>
      </c>
      <c r="N85" s="219"/>
      <c r="O85" s="2630" t="s">
        <v>552</v>
      </c>
      <c r="P85" s="2674">
        <v>1</v>
      </c>
      <c r="Q85" s="2675">
        <v>1</v>
      </c>
      <c r="R85" s="2675"/>
      <c r="S85" s="2675"/>
      <c r="T85" s="2675"/>
      <c r="U85" s="2676"/>
      <c r="V85" s="2632"/>
      <c r="W85" s="2628"/>
      <c r="X85" s="253"/>
      <c r="Y85" s="2633"/>
      <c r="Z85" s="2677"/>
      <c r="AA85" s="2678"/>
      <c r="AB85" s="2678"/>
      <c r="AC85" s="2678"/>
      <c r="AD85" s="2678"/>
      <c r="AE85" s="2678"/>
      <c r="AF85" s="2678"/>
      <c r="AG85" s="2633"/>
      <c r="AH85" s="213"/>
      <c r="AI85" s="2639"/>
      <c r="AJ85" s="2637"/>
      <c r="AK85" s="212"/>
      <c r="AL85" s="298"/>
      <c r="AM85" s="323"/>
      <c r="AN85" s="307"/>
      <c r="AO85" s="307"/>
      <c r="AP85" s="307"/>
      <c r="AQ85" s="307"/>
      <c r="AR85" s="308"/>
      <c r="AS85" s="298"/>
      <c r="AT85" s="227"/>
      <c r="AU85" s="5683" t="s">
        <v>920</v>
      </c>
      <c r="AV85" s="5684"/>
      <c r="AW85" s="5684"/>
      <c r="AX85" s="5684"/>
      <c r="AY85" s="5684"/>
      <c r="AZ85" s="5684"/>
      <c r="BA85" s="5685"/>
      <c r="BB85" s="229"/>
      <c r="BC85" s="2679">
        <v>1</v>
      </c>
      <c r="BD85" s="2680"/>
      <c r="BE85" s="2680"/>
      <c r="BF85" s="2680"/>
      <c r="BG85" s="2680"/>
      <c r="BH85" s="2680"/>
      <c r="BI85" s="334"/>
      <c r="BJ85" s="2632"/>
      <c r="BK85" s="2638"/>
      <c r="BL85" s="2638"/>
      <c r="BM85" s="2638"/>
      <c r="BN85" s="2638"/>
      <c r="BO85" s="2638"/>
      <c r="BP85" s="2639"/>
      <c r="BQ85" s="213"/>
      <c r="BR85" s="214"/>
      <c r="BS85" s="215" t="s">
        <v>920</v>
      </c>
    </row>
    <row r="86" spans="1:71" s="80" customFormat="1" ht="34.5" customHeight="1">
      <c r="A86" s="2681">
        <f t="shared" si="4"/>
        <v>65</v>
      </c>
      <c r="B86" s="2682" t="s">
        <v>1101</v>
      </c>
      <c r="C86" s="2683" t="s">
        <v>1102</v>
      </c>
      <c r="D86" s="141"/>
      <c r="E86" s="2684"/>
      <c r="F86" s="2685"/>
      <c r="G86" s="2686"/>
      <c r="H86" s="142"/>
      <c r="I86" s="2687"/>
      <c r="J86" s="2684" t="s">
        <v>78</v>
      </c>
      <c r="K86" s="2685" t="s">
        <v>1103</v>
      </c>
      <c r="L86" s="2686">
        <v>42214</v>
      </c>
      <c r="M86" s="257">
        <v>14000000</v>
      </c>
      <c r="N86" s="143"/>
      <c r="O86" s="2688" t="s">
        <v>105</v>
      </c>
      <c r="P86" s="2689">
        <v>1</v>
      </c>
      <c r="Q86" s="2690"/>
      <c r="R86" s="2690"/>
      <c r="S86" s="2690"/>
      <c r="T86" s="2690"/>
      <c r="U86" s="2691">
        <v>1</v>
      </c>
      <c r="V86" s="2692"/>
      <c r="W86" s="2686"/>
      <c r="X86" s="257"/>
      <c r="Y86" s="2693"/>
      <c r="Z86" s="2694"/>
      <c r="AA86" s="2695"/>
      <c r="AB86" s="2695"/>
      <c r="AC86" s="2695"/>
      <c r="AD86" s="2695"/>
      <c r="AE86" s="2695"/>
      <c r="AF86" s="2695"/>
      <c r="AG86" s="2693"/>
      <c r="AH86" s="145"/>
      <c r="AI86" s="2696"/>
      <c r="AJ86" s="2697"/>
      <c r="AK86" s="144"/>
      <c r="AL86" s="298"/>
      <c r="AM86" s="323"/>
      <c r="AN86" s="307"/>
      <c r="AO86" s="307"/>
      <c r="AP86" s="307"/>
      <c r="AQ86" s="307"/>
      <c r="AR86" s="308"/>
      <c r="AS86" s="298"/>
      <c r="AT86" s="227"/>
      <c r="AU86" s="5686"/>
      <c r="AV86" s="5687"/>
      <c r="AW86" s="5687"/>
      <c r="AX86" s="5687"/>
      <c r="AY86" s="5687"/>
      <c r="AZ86" s="5687"/>
      <c r="BA86" s="5688"/>
      <c r="BB86" s="222"/>
      <c r="BC86" s="2698"/>
      <c r="BD86" s="2699"/>
      <c r="BE86" s="2699"/>
      <c r="BF86" s="2699"/>
      <c r="BG86" s="2699"/>
      <c r="BH86" s="2699"/>
      <c r="BI86" s="335"/>
      <c r="BJ86" s="2692"/>
      <c r="BK86" s="2700"/>
      <c r="BL86" s="2700"/>
      <c r="BM86" s="2700"/>
      <c r="BN86" s="2700"/>
      <c r="BO86" s="2700"/>
      <c r="BP86" s="2696"/>
      <c r="BQ86" s="145"/>
      <c r="BR86" s="146"/>
      <c r="BS86" s="147" t="s">
        <v>1104</v>
      </c>
    </row>
    <row r="87" spans="1:71" s="80" customFormat="1" ht="15.75">
      <c r="A87" s="2623">
        <f t="shared" ref="A87:A127" si="5">+A86+1</f>
        <v>66</v>
      </c>
      <c r="B87" s="2624" t="s">
        <v>1105</v>
      </c>
      <c r="C87" s="2625" t="s">
        <v>78</v>
      </c>
      <c r="D87" s="220"/>
      <c r="E87" s="2626"/>
      <c r="F87" s="2627"/>
      <c r="G87" s="2628"/>
      <c r="H87" s="211"/>
      <c r="I87" s="2629"/>
      <c r="J87" s="2626" t="s">
        <v>78</v>
      </c>
      <c r="K87" s="2627" t="s">
        <v>1106</v>
      </c>
      <c r="L87" s="2628">
        <v>42254</v>
      </c>
      <c r="M87" s="253">
        <v>0</v>
      </c>
      <c r="N87" s="219"/>
      <c r="O87" s="2630" t="s">
        <v>552</v>
      </c>
      <c r="P87" s="2674">
        <v>1</v>
      </c>
      <c r="Q87" s="2675">
        <v>1</v>
      </c>
      <c r="R87" s="2675"/>
      <c r="S87" s="2675"/>
      <c r="T87" s="2675"/>
      <c r="U87" s="2676"/>
      <c r="V87" s="2632"/>
      <c r="W87" s="2628"/>
      <c r="X87" s="253"/>
      <c r="Y87" s="2633"/>
      <c r="Z87" s="2677"/>
      <c r="AA87" s="2678"/>
      <c r="AB87" s="2678"/>
      <c r="AC87" s="2678"/>
      <c r="AD87" s="2678"/>
      <c r="AE87" s="2678"/>
      <c r="AF87" s="2678"/>
      <c r="AG87" s="2633"/>
      <c r="AH87" s="213"/>
      <c r="AI87" s="2639"/>
      <c r="AJ87" s="2637"/>
      <c r="AK87" s="212"/>
      <c r="AL87" s="298"/>
      <c r="AM87" s="323"/>
      <c r="AN87" s="307"/>
      <c r="AO87" s="307"/>
      <c r="AP87" s="307"/>
      <c r="AQ87" s="307"/>
      <c r="AR87" s="308"/>
      <c r="AS87" s="298"/>
      <c r="AT87" s="227"/>
      <c r="AU87" s="5683" t="s">
        <v>920</v>
      </c>
      <c r="AV87" s="5684"/>
      <c r="AW87" s="5684"/>
      <c r="AX87" s="5684"/>
      <c r="AY87" s="5684"/>
      <c r="AZ87" s="5684"/>
      <c r="BA87" s="5685"/>
      <c r="BB87" s="229"/>
      <c r="BC87" s="2679">
        <v>1</v>
      </c>
      <c r="BD87" s="2680"/>
      <c r="BE87" s="2680"/>
      <c r="BF87" s="2680"/>
      <c r="BG87" s="2680"/>
      <c r="BH87" s="2680"/>
      <c r="BI87" s="334"/>
      <c r="BJ87" s="2632"/>
      <c r="BK87" s="2638"/>
      <c r="BL87" s="2638"/>
      <c r="BM87" s="2638"/>
      <c r="BN87" s="2638"/>
      <c r="BO87" s="2638"/>
      <c r="BP87" s="2639"/>
      <c r="BQ87" s="213"/>
      <c r="BR87" s="214"/>
      <c r="BS87" s="215"/>
    </row>
    <row r="88" spans="1:71" s="80" customFormat="1" ht="31.5">
      <c r="A88" s="2623">
        <f t="shared" si="5"/>
        <v>67</v>
      </c>
      <c r="B88" s="2624" t="s">
        <v>1107</v>
      </c>
      <c r="C88" s="2625" t="s">
        <v>78</v>
      </c>
      <c r="D88" s="220"/>
      <c r="E88" s="2626"/>
      <c r="F88" s="2627"/>
      <c r="G88" s="2628"/>
      <c r="H88" s="211"/>
      <c r="I88" s="2629"/>
      <c r="J88" s="2626" t="s">
        <v>78</v>
      </c>
      <c r="K88" s="2627" t="s">
        <v>1108</v>
      </c>
      <c r="L88" s="2628">
        <v>42254</v>
      </c>
      <c r="M88" s="253">
        <v>0</v>
      </c>
      <c r="N88" s="219"/>
      <c r="O88" s="2630" t="s">
        <v>552</v>
      </c>
      <c r="P88" s="2674">
        <v>1</v>
      </c>
      <c r="Q88" s="2675">
        <v>1</v>
      </c>
      <c r="R88" s="2675"/>
      <c r="S88" s="2675"/>
      <c r="T88" s="2675"/>
      <c r="U88" s="2676"/>
      <c r="V88" s="2632"/>
      <c r="W88" s="2628"/>
      <c r="X88" s="253"/>
      <c r="Y88" s="2633"/>
      <c r="Z88" s="2677"/>
      <c r="AA88" s="2678"/>
      <c r="AB88" s="2678"/>
      <c r="AC88" s="2678"/>
      <c r="AD88" s="2678"/>
      <c r="AE88" s="2678"/>
      <c r="AF88" s="2678"/>
      <c r="AG88" s="2633"/>
      <c r="AH88" s="213"/>
      <c r="AI88" s="2639"/>
      <c r="AJ88" s="2637"/>
      <c r="AK88" s="212"/>
      <c r="AL88" s="298"/>
      <c r="AM88" s="323"/>
      <c r="AN88" s="307"/>
      <c r="AO88" s="307"/>
      <c r="AP88" s="307"/>
      <c r="AQ88" s="307"/>
      <c r="AR88" s="308"/>
      <c r="AS88" s="298"/>
      <c r="AT88" s="227"/>
      <c r="AU88" s="5683" t="s">
        <v>920</v>
      </c>
      <c r="AV88" s="5684"/>
      <c r="AW88" s="5684"/>
      <c r="AX88" s="5684"/>
      <c r="AY88" s="5684"/>
      <c r="AZ88" s="5684"/>
      <c r="BA88" s="5685"/>
      <c r="BB88" s="229"/>
      <c r="BC88" s="2679">
        <v>1</v>
      </c>
      <c r="BD88" s="2680"/>
      <c r="BE88" s="2680"/>
      <c r="BF88" s="2680"/>
      <c r="BG88" s="2680"/>
      <c r="BH88" s="2680"/>
      <c r="BI88" s="334"/>
      <c r="BJ88" s="2632"/>
      <c r="BK88" s="2638"/>
      <c r="BL88" s="2638"/>
      <c r="BM88" s="2638"/>
      <c r="BN88" s="2638"/>
      <c r="BO88" s="2638"/>
      <c r="BP88" s="2639"/>
      <c r="BQ88" s="213"/>
      <c r="BR88" s="214"/>
      <c r="BS88" s="215" t="s">
        <v>1109</v>
      </c>
    </row>
    <row r="89" spans="1:71" s="80" customFormat="1" ht="15.75">
      <c r="A89" s="2623">
        <f t="shared" si="5"/>
        <v>68</v>
      </c>
      <c r="B89" s="2624" t="s">
        <v>1110</v>
      </c>
      <c r="C89" s="2625" t="s">
        <v>78</v>
      </c>
      <c r="D89" s="220"/>
      <c r="E89" s="2626"/>
      <c r="F89" s="2627"/>
      <c r="G89" s="2628"/>
      <c r="H89" s="211"/>
      <c r="I89" s="2629"/>
      <c r="J89" s="2626" t="s">
        <v>78</v>
      </c>
      <c r="K89" s="2627" t="s">
        <v>1111</v>
      </c>
      <c r="L89" s="2628">
        <v>42254</v>
      </c>
      <c r="M89" s="253">
        <v>0</v>
      </c>
      <c r="N89" s="219"/>
      <c r="O89" s="2630" t="s">
        <v>552</v>
      </c>
      <c r="P89" s="2674">
        <v>1</v>
      </c>
      <c r="Q89" s="2675">
        <v>1</v>
      </c>
      <c r="R89" s="2675"/>
      <c r="S89" s="2675"/>
      <c r="T89" s="2675"/>
      <c r="U89" s="2676"/>
      <c r="V89" s="2632"/>
      <c r="W89" s="2628"/>
      <c r="X89" s="253"/>
      <c r="Y89" s="2633"/>
      <c r="Z89" s="2677"/>
      <c r="AA89" s="2678"/>
      <c r="AB89" s="2678"/>
      <c r="AC89" s="2678"/>
      <c r="AD89" s="2678"/>
      <c r="AE89" s="2678"/>
      <c r="AF89" s="2678"/>
      <c r="AG89" s="2633"/>
      <c r="AH89" s="213"/>
      <c r="AI89" s="2639"/>
      <c r="AJ89" s="2637"/>
      <c r="AK89" s="212"/>
      <c r="AL89" s="296"/>
      <c r="AM89" s="322"/>
      <c r="AN89" s="305"/>
      <c r="AO89" s="305"/>
      <c r="AP89" s="305"/>
      <c r="AQ89" s="305"/>
      <c r="AR89" s="306"/>
      <c r="AS89" s="296"/>
      <c r="AT89" s="144"/>
      <c r="AU89" s="5683" t="s">
        <v>920</v>
      </c>
      <c r="AV89" s="5684"/>
      <c r="AW89" s="5684"/>
      <c r="AX89" s="5684"/>
      <c r="AY89" s="5684"/>
      <c r="AZ89" s="5684"/>
      <c r="BA89" s="5685"/>
      <c r="BB89" s="229"/>
      <c r="BC89" s="2679">
        <v>1</v>
      </c>
      <c r="BD89" s="2680"/>
      <c r="BE89" s="2680"/>
      <c r="BF89" s="2680"/>
      <c r="BG89" s="2680"/>
      <c r="BH89" s="2680"/>
      <c r="BI89" s="334"/>
      <c r="BJ89" s="2632"/>
      <c r="BK89" s="2638"/>
      <c r="BL89" s="2638"/>
      <c r="BM89" s="2638"/>
      <c r="BN89" s="2638"/>
      <c r="BO89" s="2638"/>
      <c r="BP89" s="2639"/>
      <c r="BQ89" s="213"/>
      <c r="BR89" s="214"/>
      <c r="BS89" s="215"/>
    </row>
    <row r="90" spans="1:71" s="80" customFormat="1" ht="31.5">
      <c r="A90" s="2623">
        <f t="shared" si="5"/>
        <v>69</v>
      </c>
      <c r="B90" s="2624" t="s">
        <v>1112</v>
      </c>
      <c r="C90" s="2625" t="s">
        <v>78</v>
      </c>
      <c r="D90" s="220"/>
      <c r="E90" s="2626"/>
      <c r="F90" s="2627"/>
      <c r="G90" s="2628"/>
      <c r="H90" s="211"/>
      <c r="I90" s="2629"/>
      <c r="J90" s="2626" t="s">
        <v>78</v>
      </c>
      <c r="K90" s="2627" t="s">
        <v>1113</v>
      </c>
      <c r="L90" s="2628">
        <v>42262</v>
      </c>
      <c r="M90" s="253">
        <v>0</v>
      </c>
      <c r="N90" s="219"/>
      <c r="O90" s="2648" t="s">
        <v>843</v>
      </c>
      <c r="P90" s="268">
        <v>1</v>
      </c>
      <c r="Q90" s="2649"/>
      <c r="R90" s="2649">
        <v>1</v>
      </c>
      <c r="S90" s="2649"/>
      <c r="T90" s="2649"/>
      <c r="U90" s="274"/>
      <c r="V90" s="2632" t="s">
        <v>1114</v>
      </c>
      <c r="W90" s="2628">
        <v>42296</v>
      </c>
      <c r="X90" s="253">
        <v>0</v>
      </c>
      <c r="Y90" s="2633" t="s">
        <v>552</v>
      </c>
      <c r="Z90" s="2677">
        <v>1</v>
      </c>
      <c r="AA90" s="2678">
        <v>1</v>
      </c>
      <c r="AB90" s="2678"/>
      <c r="AC90" s="2678"/>
      <c r="AD90" s="2678"/>
      <c r="AE90" s="2678"/>
      <c r="AF90" s="2678"/>
      <c r="AG90" s="2633"/>
      <c r="AH90" s="213"/>
      <c r="AI90" s="2639"/>
      <c r="AJ90" s="2637"/>
      <c r="AK90" s="212"/>
      <c r="AL90" s="296"/>
      <c r="AM90" s="322"/>
      <c r="AN90" s="305"/>
      <c r="AO90" s="305"/>
      <c r="AP90" s="305"/>
      <c r="AQ90" s="305"/>
      <c r="AR90" s="306"/>
      <c r="AS90" s="296"/>
      <c r="AT90" s="144"/>
      <c r="AU90" s="5683" t="s">
        <v>920</v>
      </c>
      <c r="AV90" s="5684"/>
      <c r="AW90" s="5684"/>
      <c r="AX90" s="5684"/>
      <c r="AY90" s="5684"/>
      <c r="AZ90" s="5684"/>
      <c r="BA90" s="5685"/>
      <c r="BB90" s="229"/>
      <c r="BC90" s="2679">
        <v>1</v>
      </c>
      <c r="BD90" s="2680"/>
      <c r="BE90" s="2680"/>
      <c r="BF90" s="2680"/>
      <c r="BG90" s="2680"/>
      <c r="BH90" s="2680"/>
      <c r="BI90" s="334"/>
      <c r="BJ90" s="2632"/>
      <c r="BK90" s="2638"/>
      <c r="BL90" s="2638"/>
      <c r="BM90" s="2638"/>
      <c r="BN90" s="2638"/>
      <c r="BO90" s="2638"/>
      <c r="BP90" s="2639"/>
      <c r="BQ90" s="213"/>
      <c r="BR90" s="214"/>
      <c r="BS90" s="215"/>
    </row>
    <row r="91" spans="1:71" s="80" customFormat="1" ht="31.5">
      <c r="A91" s="2623">
        <f t="shared" si="5"/>
        <v>70</v>
      </c>
      <c r="B91" s="2624" t="s">
        <v>1115</v>
      </c>
      <c r="C91" s="2625" t="s">
        <v>78</v>
      </c>
      <c r="D91" s="220"/>
      <c r="E91" s="2626"/>
      <c r="F91" s="2627"/>
      <c r="G91" s="2628"/>
      <c r="H91" s="211"/>
      <c r="I91" s="2629"/>
      <c r="J91" s="2626" t="s">
        <v>78</v>
      </c>
      <c r="K91" s="2627" t="s">
        <v>1116</v>
      </c>
      <c r="L91" s="2628">
        <v>42262</v>
      </c>
      <c r="M91" s="253" t="e">
        <f>+#REF!</f>
        <v>#REF!</v>
      </c>
      <c r="N91" s="219"/>
      <c r="O91" s="2630" t="s">
        <v>552</v>
      </c>
      <c r="P91" s="2674">
        <v>1</v>
      </c>
      <c r="Q91" s="2675">
        <v>1</v>
      </c>
      <c r="R91" s="2675"/>
      <c r="S91" s="2675"/>
      <c r="T91" s="2675"/>
      <c r="U91" s="2676"/>
      <c r="V91" s="2632"/>
      <c r="W91" s="2628"/>
      <c r="X91" s="253"/>
      <c r="Y91" s="2633"/>
      <c r="Z91" s="2677"/>
      <c r="AA91" s="2678"/>
      <c r="AB91" s="2678"/>
      <c r="AC91" s="2678"/>
      <c r="AD91" s="2678"/>
      <c r="AE91" s="2678"/>
      <c r="AF91" s="2678"/>
      <c r="AG91" s="2633"/>
      <c r="AH91" s="213"/>
      <c r="AI91" s="2639"/>
      <c r="AJ91" s="2637"/>
      <c r="AK91" s="212"/>
      <c r="AL91" s="296"/>
      <c r="AM91" s="322"/>
      <c r="AN91" s="305"/>
      <c r="AO91" s="305"/>
      <c r="AP91" s="305"/>
      <c r="AQ91" s="305"/>
      <c r="AR91" s="306"/>
      <c r="AS91" s="296"/>
      <c r="AT91" s="144"/>
      <c r="AU91" s="5683"/>
      <c r="AV91" s="5684"/>
      <c r="AW91" s="5684"/>
      <c r="AX91" s="5684"/>
      <c r="AY91" s="5684"/>
      <c r="AZ91" s="5684"/>
      <c r="BA91" s="5685"/>
      <c r="BB91" s="229"/>
      <c r="BC91" s="2679"/>
      <c r="BD91" s="2680"/>
      <c r="BE91" s="2680"/>
      <c r="BF91" s="2680"/>
      <c r="BG91" s="2680"/>
      <c r="BH91" s="2680"/>
      <c r="BI91" s="334"/>
      <c r="BJ91" s="2632"/>
      <c r="BK91" s="2638"/>
      <c r="BL91" s="2638"/>
      <c r="BM91" s="2638"/>
      <c r="BN91" s="2638"/>
      <c r="BO91" s="2638"/>
      <c r="BP91" s="2639"/>
      <c r="BQ91" s="213"/>
      <c r="BR91" s="214"/>
      <c r="BS91" s="215"/>
    </row>
    <row r="92" spans="1:71" s="80" customFormat="1" ht="33" customHeight="1">
      <c r="A92" s="2623">
        <f t="shared" si="5"/>
        <v>71</v>
      </c>
      <c r="B92" s="2624" t="s">
        <v>1117</v>
      </c>
      <c r="C92" s="2625" t="s">
        <v>78</v>
      </c>
      <c r="D92" s="220"/>
      <c r="E92" s="2626"/>
      <c r="F92" s="2627"/>
      <c r="G92" s="2628"/>
      <c r="H92" s="211"/>
      <c r="I92" s="2629"/>
      <c r="J92" s="2626" t="s">
        <v>78</v>
      </c>
      <c r="K92" s="2627" t="s">
        <v>1118</v>
      </c>
      <c r="L92" s="2628">
        <v>42262</v>
      </c>
      <c r="M92" s="253" t="e">
        <f>+#REF!</f>
        <v>#REF!</v>
      </c>
      <c r="N92" s="219"/>
      <c r="O92" s="2630" t="s">
        <v>552</v>
      </c>
      <c r="P92" s="2674">
        <v>1</v>
      </c>
      <c r="Q92" s="2675">
        <v>1</v>
      </c>
      <c r="R92" s="2675"/>
      <c r="S92" s="2675"/>
      <c r="T92" s="2675"/>
      <c r="U92" s="2676"/>
      <c r="V92" s="2632"/>
      <c r="W92" s="2628"/>
      <c r="X92" s="253"/>
      <c r="Y92" s="2633"/>
      <c r="Z92" s="2677"/>
      <c r="AA92" s="2678"/>
      <c r="AB92" s="2678"/>
      <c r="AC92" s="2678"/>
      <c r="AD92" s="2678"/>
      <c r="AE92" s="2678"/>
      <c r="AF92" s="2678"/>
      <c r="AG92" s="2633"/>
      <c r="AH92" s="213"/>
      <c r="AI92" s="2639"/>
      <c r="AJ92" s="2637"/>
      <c r="AK92" s="212"/>
      <c r="AL92" s="299"/>
      <c r="AM92" s="324"/>
      <c r="AN92" s="309"/>
      <c r="AO92" s="309"/>
      <c r="AP92" s="309"/>
      <c r="AQ92" s="309"/>
      <c r="AR92" s="310"/>
      <c r="AS92" s="299"/>
      <c r="AT92" s="212"/>
      <c r="AU92" s="5683"/>
      <c r="AV92" s="5684"/>
      <c r="AW92" s="5684"/>
      <c r="AX92" s="5684"/>
      <c r="AY92" s="5684"/>
      <c r="AZ92" s="5684"/>
      <c r="BA92" s="5685"/>
      <c r="BB92" s="229"/>
      <c r="BC92" s="2679"/>
      <c r="BD92" s="2680"/>
      <c r="BE92" s="2680"/>
      <c r="BF92" s="2680"/>
      <c r="BG92" s="2680"/>
      <c r="BH92" s="2680"/>
      <c r="BI92" s="334"/>
      <c r="BJ92" s="2632"/>
      <c r="BK92" s="2638"/>
      <c r="BL92" s="2638"/>
      <c r="BM92" s="2638"/>
      <c r="BN92" s="2638"/>
      <c r="BO92" s="2638"/>
      <c r="BP92" s="2639"/>
      <c r="BQ92" s="213"/>
      <c r="BR92" s="214"/>
      <c r="BS92" s="215" t="s">
        <v>1119</v>
      </c>
    </row>
    <row r="93" spans="1:71" s="80" customFormat="1" ht="15.75">
      <c r="A93" s="2681">
        <f t="shared" si="5"/>
        <v>72</v>
      </c>
      <c r="B93" s="2682" t="s">
        <v>1120</v>
      </c>
      <c r="C93" s="2683" t="s">
        <v>78</v>
      </c>
      <c r="D93" s="141"/>
      <c r="E93" s="2684"/>
      <c r="F93" s="2685"/>
      <c r="G93" s="2686"/>
      <c r="H93" s="142"/>
      <c r="I93" s="2687"/>
      <c r="J93" s="2684" t="s">
        <v>78</v>
      </c>
      <c r="K93" s="2685" t="s">
        <v>1121</v>
      </c>
      <c r="L93" s="2686">
        <v>42262</v>
      </c>
      <c r="M93" s="257" t="e">
        <f>+#REF!</f>
        <v>#REF!</v>
      </c>
      <c r="N93" s="143"/>
      <c r="O93" s="2688" t="s">
        <v>105</v>
      </c>
      <c r="P93" s="2689">
        <v>1</v>
      </c>
      <c r="Q93" s="2690"/>
      <c r="R93" s="2690"/>
      <c r="S93" s="2690"/>
      <c r="T93" s="2690"/>
      <c r="U93" s="2691">
        <v>1</v>
      </c>
      <c r="V93" s="2692"/>
      <c r="W93" s="2686"/>
      <c r="X93" s="257"/>
      <c r="Y93" s="2693"/>
      <c r="Z93" s="2694"/>
      <c r="AA93" s="2695"/>
      <c r="AB93" s="2695"/>
      <c r="AC93" s="2695"/>
      <c r="AD93" s="2695"/>
      <c r="AE93" s="2695"/>
      <c r="AF93" s="2695"/>
      <c r="AG93" s="2693"/>
      <c r="AH93" s="145"/>
      <c r="AI93" s="2696"/>
      <c r="AJ93" s="2697"/>
      <c r="AK93" s="144"/>
      <c r="AL93" s="296"/>
      <c r="AM93" s="322"/>
      <c r="AN93" s="305"/>
      <c r="AO93" s="305"/>
      <c r="AP93" s="305"/>
      <c r="AQ93" s="305"/>
      <c r="AR93" s="306"/>
      <c r="AS93" s="296"/>
      <c r="AT93" s="144"/>
      <c r="AU93" s="5686"/>
      <c r="AV93" s="5687"/>
      <c r="AW93" s="5687"/>
      <c r="AX93" s="5687"/>
      <c r="AY93" s="5687"/>
      <c r="AZ93" s="5687"/>
      <c r="BA93" s="5688"/>
      <c r="BB93" s="222"/>
      <c r="BC93" s="2698"/>
      <c r="BD93" s="2699"/>
      <c r="BE93" s="2699"/>
      <c r="BF93" s="2699"/>
      <c r="BG93" s="2699"/>
      <c r="BH93" s="2699"/>
      <c r="BI93" s="335"/>
      <c r="BJ93" s="2692"/>
      <c r="BK93" s="2700"/>
      <c r="BL93" s="2700"/>
      <c r="BM93" s="2700"/>
      <c r="BN93" s="2700"/>
      <c r="BO93" s="2700"/>
      <c r="BP93" s="2696"/>
      <c r="BQ93" s="145"/>
      <c r="BR93" s="146"/>
      <c r="BS93" s="147" t="s">
        <v>1122</v>
      </c>
    </row>
    <row r="94" spans="1:71" s="80" customFormat="1" ht="31.5">
      <c r="A94" s="2623">
        <f t="shared" si="5"/>
        <v>73</v>
      </c>
      <c r="B94" s="2624" t="s">
        <v>1123</v>
      </c>
      <c r="C94" s="2625" t="s">
        <v>78</v>
      </c>
      <c r="D94" s="220"/>
      <c r="E94" s="2626"/>
      <c r="F94" s="2627"/>
      <c r="G94" s="2628"/>
      <c r="H94" s="211"/>
      <c r="I94" s="2629"/>
      <c r="J94" s="2626" t="s">
        <v>78</v>
      </c>
      <c r="K94" s="2627" t="s">
        <v>1124</v>
      </c>
      <c r="L94" s="2628">
        <v>42288</v>
      </c>
      <c r="M94" s="253" t="e">
        <f>+#REF!</f>
        <v>#REF!</v>
      </c>
      <c r="N94" s="219"/>
      <c r="O94" s="2630" t="s">
        <v>552</v>
      </c>
      <c r="P94" s="2674">
        <v>1</v>
      </c>
      <c r="Q94" s="2675">
        <v>1</v>
      </c>
      <c r="R94" s="2675"/>
      <c r="S94" s="2675"/>
      <c r="T94" s="2675"/>
      <c r="U94" s="2676"/>
      <c r="V94" s="2632"/>
      <c r="W94" s="2628"/>
      <c r="X94" s="253"/>
      <c r="Y94" s="2633"/>
      <c r="Z94" s="2677"/>
      <c r="AA94" s="2678"/>
      <c r="AB94" s="2678"/>
      <c r="AC94" s="2678"/>
      <c r="AD94" s="2678"/>
      <c r="AE94" s="2678"/>
      <c r="AF94" s="2678"/>
      <c r="AG94" s="2633"/>
      <c r="AH94" s="213"/>
      <c r="AI94" s="2639"/>
      <c r="AJ94" s="2637"/>
      <c r="AK94" s="212"/>
      <c r="AL94" s="296"/>
      <c r="AM94" s="322"/>
      <c r="AN94" s="305"/>
      <c r="AO94" s="305"/>
      <c r="AP94" s="305"/>
      <c r="AQ94" s="305"/>
      <c r="AR94" s="306"/>
      <c r="AS94" s="296"/>
      <c r="AT94" s="144"/>
      <c r="AU94" s="5683"/>
      <c r="AV94" s="5684"/>
      <c r="AW94" s="5684"/>
      <c r="AX94" s="5684"/>
      <c r="AY94" s="5684"/>
      <c r="AZ94" s="5684"/>
      <c r="BA94" s="5685"/>
      <c r="BB94" s="229"/>
      <c r="BC94" s="2679"/>
      <c r="BD94" s="2680"/>
      <c r="BE94" s="2680"/>
      <c r="BF94" s="2680"/>
      <c r="BG94" s="2680"/>
      <c r="BH94" s="2680"/>
      <c r="BI94" s="334"/>
      <c r="BJ94" s="2632"/>
      <c r="BK94" s="2638"/>
      <c r="BL94" s="2638"/>
      <c r="BM94" s="2638"/>
      <c r="BN94" s="2638"/>
      <c r="BO94" s="2638"/>
      <c r="BP94" s="2639"/>
      <c r="BQ94" s="213"/>
      <c r="BR94" s="214"/>
      <c r="BS94" s="215"/>
    </row>
    <row r="95" spans="1:71" s="80" customFormat="1" ht="31.5">
      <c r="A95" s="2623">
        <f t="shared" si="5"/>
        <v>74</v>
      </c>
      <c r="B95" s="2624" t="s">
        <v>1125</v>
      </c>
      <c r="C95" s="2625" t="s">
        <v>78</v>
      </c>
      <c r="D95" s="220"/>
      <c r="E95" s="2626"/>
      <c r="F95" s="2627"/>
      <c r="G95" s="2628"/>
      <c r="H95" s="211"/>
      <c r="I95" s="2629"/>
      <c r="J95" s="2626" t="s">
        <v>78</v>
      </c>
      <c r="K95" s="2627" t="s">
        <v>1126</v>
      </c>
      <c r="L95" s="2628">
        <v>42288</v>
      </c>
      <c r="M95" s="253">
        <v>0</v>
      </c>
      <c r="N95" s="219"/>
      <c r="O95" s="2630" t="s">
        <v>552</v>
      </c>
      <c r="P95" s="2674">
        <v>1</v>
      </c>
      <c r="Q95" s="2675">
        <v>1</v>
      </c>
      <c r="R95" s="2675"/>
      <c r="S95" s="2675"/>
      <c r="T95" s="2675"/>
      <c r="U95" s="2676"/>
      <c r="V95" s="2632"/>
      <c r="W95" s="2628"/>
      <c r="X95" s="253"/>
      <c r="Y95" s="2633"/>
      <c r="Z95" s="2677"/>
      <c r="AA95" s="2678"/>
      <c r="AB95" s="2678"/>
      <c r="AC95" s="2678"/>
      <c r="AD95" s="2678"/>
      <c r="AE95" s="2678"/>
      <c r="AF95" s="2678"/>
      <c r="AG95" s="2633"/>
      <c r="AH95" s="213"/>
      <c r="AI95" s="2639"/>
      <c r="AJ95" s="2637"/>
      <c r="AK95" s="212"/>
      <c r="AL95" s="296"/>
      <c r="AM95" s="322"/>
      <c r="AN95" s="305"/>
      <c r="AO95" s="305"/>
      <c r="AP95" s="305"/>
      <c r="AQ95" s="305"/>
      <c r="AR95" s="306"/>
      <c r="AS95" s="296"/>
      <c r="AT95" s="144"/>
      <c r="AU95" s="5683"/>
      <c r="AV95" s="5684"/>
      <c r="AW95" s="5684"/>
      <c r="AX95" s="5684"/>
      <c r="AY95" s="5684"/>
      <c r="AZ95" s="5684"/>
      <c r="BA95" s="5685"/>
      <c r="BB95" s="229"/>
      <c r="BC95" s="2679"/>
      <c r="BD95" s="2680"/>
      <c r="BE95" s="2680"/>
      <c r="BF95" s="2680"/>
      <c r="BG95" s="2680"/>
      <c r="BH95" s="2680"/>
      <c r="BI95" s="334"/>
      <c r="BJ95" s="2632"/>
      <c r="BK95" s="2638"/>
      <c r="BL95" s="2638"/>
      <c r="BM95" s="2638"/>
      <c r="BN95" s="2638"/>
      <c r="BO95" s="2638"/>
      <c r="BP95" s="2639"/>
      <c r="BQ95" s="213"/>
      <c r="BR95" s="214"/>
      <c r="BS95" s="215"/>
    </row>
    <row r="96" spans="1:71" s="80" customFormat="1" ht="15.75">
      <c r="A96" s="2623">
        <f t="shared" si="5"/>
        <v>75</v>
      </c>
      <c r="B96" s="2624" t="s">
        <v>1127</v>
      </c>
      <c r="C96" s="2625" t="s">
        <v>78</v>
      </c>
      <c r="D96" s="220"/>
      <c r="E96" s="2626"/>
      <c r="F96" s="2627"/>
      <c r="G96" s="2628"/>
      <c r="H96" s="211"/>
      <c r="I96" s="2629"/>
      <c r="J96" s="2626" t="s">
        <v>78</v>
      </c>
      <c r="K96" s="2627" t="s">
        <v>1128</v>
      </c>
      <c r="L96" s="2628">
        <v>42288</v>
      </c>
      <c r="M96" s="253">
        <v>0</v>
      </c>
      <c r="N96" s="219"/>
      <c r="O96" s="2630" t="s">
        <v>552</v>
      </c>
      <c r="P96" s="2674">
        <v>1</v>
      </c>
      <c r="Q96" s="2675">
        <v>1</v>
      </c>
      <c r="R96" s="2675"/>
      <c r="S96" s="2675"/>
      <c r="T96" s="2675"/>
      <c r="U96" s="2676"/>
      <c r="V96" s="2632"/>
      <c r="W96" s="2628"/>
      <c r="X96" s="253"/>
      <c r="Y96" s="2633"/>
      <c r="Z96" s="2677"/>
      <c r="AA96" s="2678"/>
      <c r="AB96" s="2678"/>
      <c r="AC96" s="2678"/>
      <c r="AD96" s="2678"/>
      <c r="AE96" s="2678"/>
      <c r="AF96" s="2678"/>
      <c r="AG96" s="2633"/>
      <c r="AH96" s="213"/>
      <c r="AI96" s="2639"/>
      <c r="AJ96" s="2637"/>
      <c r="AK96" s="212"/>
      <c r="AL96" s="296"/>
      <c r="AM96" s="322"/>
      <c r="AN96" s="305"/>
      <c r="AO96" s="305"/>
      <c r="AP96" s="305"/>
      <c r="AQ96" s="305"/>
      <c r="AR96" s="306"/>
      <c r="AS96" s="296"/>
      <c r="AT96" s="144"/>
      <c r="AU96" s="5683" t="s">
        <v>920</v>
      </c>
      <c r="AV96" s="5684"/>
      <c r="AW96" s="5684"/>
      <c r="AX96" s="5684"/>
      <c r="AY96" s="5684"/>
      <c r="AZ96" s="5684"/>
      <c r="BA96" s="5685"/>
      <c r="BB96" s="229"/>
      <c r="BC96" s="2679">
        <v>1</v>
      </c>
      <c r="BD96" s="2680"/>
      <c r="BE96" s="2680"/>
      <c r="BF96" s="2680"/>
      <c r="BG96" s="2680"/>
      <c r="BH96" s="2680"/>
      <c r="BI96" s="334"/>
      <c r="BJ96" s="2632"/>
      <c r="BK96" s="2638"/>
      <c r="BL96" s="2638"/>
      <c r="BM96" s="2638"/>
      <c r="BN96" s="2638"/>
      <c r="BO96" s="2638"/>
      <c r="BP96" s="2639"/>
      <c r="BQ96" s="213"/>
      <c r="BR96" s="214"/>
      <c r="BS96" s="215"/>
    </row>
    <row r="97" spans="1:74" s="80" customFormat="1" ht="31.5">
      <c r="A97" s="2623">
        <f t="shared" si="5"/>
        <v>76</v>
      </c>
      <c r="B97" s="2624" t="s">
        <v>1129</v>
      </c>
      <c r="C97" s="2625" t="s">
        <v>78</v>
      </c>
      <c r="D97" s="220"/>
      <c r="E97" s="2626"/>
      <c r="F97" s="2627"/>
      <c r="G97" s="2628"/>
      <c r="H97" s="211"/>
      <c r="I97" s="2629"/>
      <c r="J97" s="2626" t="s">
        <v>78</v>
      </c>
      <c r="K97" s="2627" t="s">
        <v>1130</v>
      </c>
      <c r="L97" s="2628">
        <v>42288</v>
      </c>
      <c r="M97" s="253" t="e">
        <f>+#REF!</f>
        <v>#REF!</v>
      </c>
      <c r="N97" s="219"/>
      <c r="O97" s="2630" t="s">
        <v>552</v>
      </c>
      <c r="P97" s="2674">
        <v>1</v>
      </c>
      <c r="Q97" s="2675">
        <v>1</v>
      </c>
      <c r="R97" s="2675"/>
      <c r="S97" s="2675"/>
      <c r="T97" s="2675"/>
      <c r="U97" s="2676"/>
      <c r="V97" s="2632"/>
      <c r="W97" s="2628"/>
      <c r="X97" s="253"/>
      <c r="Y97" s="2633"/>
      <c r="Z97" s="2677"/>
      <c r="AA97" s="2678"/>
      <c r="AB97" s="2678"/>
      <c r="AC97" s="2678"/>
      <c r="AD97" s="2678"/>
      <c r="AE97" s="2678"/>
      <c r="AF97" s="2678"/>
      <c r="AG97" s="2633"/>
      <c r="AH97" s="213"/>
      <c r="AI97" s="2639"/>
      <c r="AJ97" s="2637"/>
      <c r="AK97" s="212"/>
      <c r="AL97" s="299"/>
      <c r="AM97" s="324"/>
      <c r="AN97" s="309"/>
      <c r="AO97" s="309"/>
      <c r="AP97" s="309"/>
      <c r="AQ97" s="309"/>
      <c r="AR97" s="310"/>
      <c r="AS97" s="299"/>
      <c r="AT97" s="212"/>
      <c r="AU97" s="228"/>
      <c r="AV97" s="229"/>
      <c r="AW97" s="229"/>
      <c r="AX97" s="229"/>
      <c r="AY97" s="229"/>
      <c r="AZ97" s="229"/>
      <c r="BA97" s="2701"/>
      <c r="BB97" s="229"/>
      <c r="BC97" s="2679"/>
      <c r="BD97" s="2680"/>
      <c r="BE97" s="2680"/>
      <c r="BF97" s="2680"/>
      <c r="BG97" s="2680"/>
      <c r="BH97" s="2680"/>
      <c r="BI97" s="334"/>
      <c r="BJ97" s="2632"/>
      <c r="BK97" s="2638"/>
      <c r="BL97" s="2638"/>
      <c r="BM97" s="2638"/>
      <c r="BN97" s="2638"/>
      <c r="BO97" s="2638"/>
      <c r="BP97" s="2639"/>
      <c r="BQ97" s="213"/>
      <c r="BR97" s="214"/>
      <c r="BS97" s="215"/>
    </row>
    <row r="98" spans="1:74" s="80" customFormat="1" ht="15.75">
      <c r="A98" s="2623">
        <f t="shared" si="5"/>
        <v>77</v>
      </c>
      <c r="B98" s="2624" t="s">
        <v>1131</v>
      </c>
      <c r="C98" s="2625" t="s">
        <v>78</v>
      </c>
      <c r="D98" s="220"/>
      <c r="E98" s="2626"/>
      <c r="F98" s="2627"/>
      <c r="G98" s="2628"/>
      <c r="H98" s="211"/>
      <c r="I98" s="2629"/>
      <c r="J98" s="2626" t="s">
        <v>78</v>
      </c>
      <c r="K98" s="2627" t="s">
        <v>1132</v>
      </c>
      <c r="L98" s="2628">
        <v>42288</v>
      </c>
      <c r="M98" s="253">
        <v>0</v>
      </c>
      <c r="N98" s="219"/>
      <c r="O98" s="2630" t="s">
        <v>552</v>
      </c>
      <c r="P98" s="2674">
        <v>1</v>
      </c>
      <c r="Q98" s="2675">
        <v>1</v>
      </c>
      <c r="R98" s="2675"/>
      <c r="S98" s="2675"/>
      <c r="T98" s="2675"/>
      <c r="U98" s="2676"/>
      <c r="V98" s="2632"/>
      <c r="W98" s="2628"/>
      <c r="X98" s="253"/>
      <c r="Y98" s="2633"/>
      <c r="Z98" s="2677"/>
      <c r="AA98" s="2678"/>
      <c r="AB98" s="2678"/>
      <c r="AC98" s="2678"/>
      <c r="AD98" s="2678"/>
      <c r="AE98" s="2678"/>
      <c r="AF98" s="2678"/>
      <c r="AG98" s="2633"/>
      <c r="AH98" s="213"/>
      <c r="AI98" s="2639"/>
      <c r="AJ98" s="2637"/>
      <c r="AK98" s="212"/>
      <c r="AL98" s="296"/>
      <c r="AM98" s="322"/>
      <c r="AN98" s="305"/>
      <c r="AO98" s="305"/>
      <c r="AP98" s="305"/>
      <c r="AQ98" s="305"/>
      <c r="AR98" s="306"/>
      <c r="AS98" s="296"/>
      <c r="AT98" s="144"/>
      <c r="AU98" s="5683" t="s">
        <v>920</v>
      </c>
      <c r="AV98" s="5684"/>
      <c r="AW98" s="5684"/>
      <c r="AX98" s="5684"/>
      <c r="AY98" s="5684"/>
      <c r="AZ98" s="5684"/>
      <c r="BA98" s="5685"/>
      <c r="BB98" s="229"/>
      <c r="BC98" s="2679">
        <v>1</v>
      </c>
      <c r="BD98" s="2680"/>
      <c r="BE98" s="2680"/>
      <c r="BF98" s="2680"/>
      <c r="BG98" s="2680"/>
      <c r="BH98" s="2680"/>
      <c r="BI98" s="334"/>
      <c r="BJ98" s="2632"/>
      <c r="BK98" s="2638"/>
      <c r="BL98" s="2638"/>
      <c r="BM98" s="2638"/>
      <c r="BN98" s="2638"/>
      <c r="BO98" s="2638"/>
      <c r="BP98" s="2639"/>
      <c r="BQ98" s="213"/>
      <c r="BR98" s="214"/>
      <c r="BS98" s="215"/>
    </row>
    <row r="99" spans="1:74" s="80" customFormat="1" ht="15.75">
      <c r="A99" s="2681">
        <f t="shared" si="5"/>
        <v>78</v>
      </c>
      <c r="B99" s="2682" t="s">
        <v>1133</v>
      </c>
      <c r="C99" s="2683" t="s">
        <v>78</v>
      </c>
      <c r="D99" s="141"/>
      <c r="E99" s="2684"/>
      <c r="F99" s="2685"/>
      <c r="G99" s="2702"/>
      <c r="H99" s="142"/>
      <c r="I99" s="2687"/>
      <c r="J99" s="2684" t="s">
        <v>876</v>
      </c>
      <c r="K99" s="2685"/>
      <c r="L99" s="2702"/>
      <c r="M99" s="257"/>
      <c r="N99" s="143"/>
      <c r="O99" s="2688"/>
      <c r="P99" s="2689"/>
      <c r="Q99" s="2690"/>
      <c r="R99" s="2690"/>
      <c r="S99" s="2690"/>
      <c r="T99" s="2690"/>
      <c r="U99" s="2691"/>
      <c r="V99" s="2692" t="s">
        <v>1134</v>
      </c>
      <c r="W99" s="2702">
        <v>42277</v>
      </c>
      <c r="X99" s="257">
        <v>58501</v>
      </c>
      <c r="Y99" s="2693" t="s">
        <v>105</v>
      </c>
      <c r="Z99" s="2694">
        <v>1</v>
      </c>
      <c r="AA99" s="2695"/>
      <c r="AB99" s="2695"/>
      <c r="AC99" s="2695"/>
      <c r="AD99" s="2695"/>
      <c r="AE99" s="2695"/>
      <c r="AF99" s="2695"/>
      <c r="AG99" s="2693">
        <v>1</v>
      </c>
      <c r="AH99" s="145">
        <v>1</v>
      </c>
      <c r="AI99" s="2696"/>
      <c r="AJ99" s="2697"/>
      <c r="AK99" s="144"/>
      <c r="AL99" s="296"/>
      <c r="AM99" s="322"/>
      <c r="AN99" s="305"/>
      <c r="AO99" s="305"/>
      <c r="AP99" s="305"/>
      <c r="AQ99" s="305"/>
      <c r="AR99" s="306"/>
      <c r="AS99" s="296"/>
      <c r="AT99" s="144"/>
      <c r="AU99" s="221"/>
      <c r="AV99" s="222"/>
      <c r="AW99" s="222"/>
      <c r="AX99" s="222"/>
      <c r="AY99" s="222"/>
      <c r="AZ99" s="222"/>
      <c r="BA99" s="2703"/>
      <c r="BB99" s="222"/>
      <c r="BC99" s="2698"/>
      <c r="BD99" s="2699"/>
      <c r="BE99" s="2699"/>
      <c r="BF99" s="2699"/>
      <c r="BG99" s="2699"/>
      <c r="BH99" s="2699"/>
      <c r="BI99" s="335"/>
      <c r="BJ99" s="2692"/>
      <c r="BK99" s="2700"/>
      <c r="BL99" s="2700"/>
      <c r="BM99" s="2700"/>
      <c r="BN99" s="2700"/>
      <c r="BO99" s="2700"/>
      <c r="BP99" s="2696"/>
      <c r="BQ99" s="145"/>
      <c r="BR99" s="146"/>
      <c r="BS99" s="147"/>
    </row>
    <row r="100" spans="1:74" s="80" customFormat="1" ht="63">
      <c r="A100" s="2681">
        <f t="shared" si="5"/>
        <v>79</v>
      </c>
      <c r="B100" s="2682" t="s">
        <v>1135</v>
      </c>
      <c r="C100" s="2683" t="s">
        <v>1102</v>
      </c>
      <c r="D100" s="141"/>
      <c r="E100" s="2684"/>
      <c r="F100" s="2685"/>
      <c r="G100" s="2702"/>
      <c r="H100" s="142"/>
      <c r="I100" s="2687"/>
      <c r="J100" s="2684" t="s">
        <v>78</v>
      </c>
      <c r="K100" s="2685" t="s">
        <v>1136</v>
      </c>
      <c r="L100" s="2702">
        <v>42292</v>
      </c>
      <c r="M100" s="257">
        <f>2500000*5</f>
        <v>12500000</v>
      </c>
      <c r="N100" s="143"/>
      <c r="O100" s="2688" t="s">
        <v>105</v>
      </c>
      <c r="P100" s="2689">
        <v>1</v>
      </c>
      <c r="Q100" s="2690"/>
      <c r="R100" s="2690"/>
      <c r="S100" s="2690"/>
      <c r="T100" s="2690">
        <v>1</v>
      </c>
      <c r="U100" s="2691"/>
      <c r="V100" s="2692"/>
      <c r="W100" s="2702"/>
      <c r="X100" s="257"/>
      <c r="Y100" s="2693"/>
      <c r="Z100" s="2694"/>
      <c r="AA100" s="2695"/>
      <c r="AB100" s="2695"/>
      <c r="AC100" s="2695"/>
      <c r="AD100" s="2695"/>
      <c r="AE100" s="2695"/>
      <c r="AF100" s="2695"/>
      <c r="AG100" s="2693"/>
      <c r="AH100" s="145"/>
      <c r="AI100" s="2696"/>
      <c r="AJ100" s="2697"/>
      <c r="AK100" s="144"/>
      <c r="AL100" s="296"/>
      <c r="AM100" s="322"/>
      <c r="AN100" s="305"/>
      <c r="AO100" s="305"/>
      <c r="AP100" s="305"/>
      <c r="AQ100" s="305"/>
      <c r="AR100" s="306"/>
      <c r="AS100" s="296"/>
      <c r="AT100" s="144"/>
      <c r="AU100" s="221"/>
      <c r="AV100" s="222"/>
      <c r="AW100" s="222"/>
      <c r="AX100" s="222"/>
      <c r="AY100" s="222"/>
      <c r="AZ100" s="222"/>
      <c r="BA100" s="2703"/>
      <c r="BB100" s="222"/>
      <c r="BC100" s="2698"/>
      <c r="BD100" s="2699"/>
      <c r="BE100" s="2699"/>
      <c r="BF100" s="2699"/>
      <c r="BG100" s="2699"/>
      <c r="BH100" s="2699"/>
      <c r="BI100" s="335"/>
      <c r="BJ100" s="2692"/>
      <c r="BK100" s="2700"/>
      <c r="BL100" s="2700"/>
      <c r="BM100" s="2700"/>
      <c r="BN100" s="2700"/>
      <c r="BO100" s="2700"/>
      <c r="BP100" s="2696"/>
      <c r="BQ100" s="145"/>
      <c r="BR100" s="146"/>
      <c r="BS100" s="147"/>
    </row>
    <row r="101" spans="1:74" s="80" customFormat="1" ht="32.25" customHeight="1">
      <c r="A101" s="2623">
        <f t="shared" si="5"/>
        <v>80</v>
      </c>
      <c r="B101" s="2624" t="s">
        <v>1137</v>
      </c>
      <c r="C101" s="2625" t="s">
        <v>78</v>
      </c>
      <c r="D101" s="220"/>
      <c r="E101" s="2626"/>
      <c r="F101" s="2627"/>
      <c r="G101" s="2628"/>
      <c r="H101" s="211"/>
      <c r="I101" s="2629"/>
      <c r="J101" s="2626" t="s">
        <v>78</v>
      </c>
      <c r="K101" s="2627" t="s">
        <v>1138</v>
      </c>
      <c r="L101" s="2628">
        <v>42292</v>
      </c>
      <c r="M101" s="253">
        <v>0</v>
      </c>
      <c r="N101" s="219"/>
      <c r="O101" s="2630" t="s">
        <v>552</v>
      </c>
      <c r="P101" s="2674">
        <v>1</v>
      </c>
      <c r="Q101" s="2675">
        <v>1</v>
      </c>
      <c r="R101" s="2675"/>
      <c r="S101" s="2675"/>
      <c r="T101" s="2675"/>
      <c r="U101" s="2676"/>
      <c r="V101" s="2632"/>
      <c r="W101" s="2628"/>
      <c r="X101" s="253"/>
      <c r="Y101" s="2633"/>
      <c r="Z101" s="2677"/>
      <c r="AA101" s="2678"/>
      <c r="AB101" s="2678"/>
      <c r="AC101" s="2678"/>
      <c r="AD101" s="2678"/>
      <c r="AE101" s="2678"/>
      <c r="AF101" s="2678"/>
      <c r="AG101" s="2633"/>
      <c r="AH101" s="213"/>
      <c r="AI101" s="2639"/>
      <c r="AJ101" s="2637"/>
      <c r="AK101" s="212"/>
      <c r="AL101" s="296"/>
      <c r="AM101" s="322"/>
      <c r="AN101" s="305"/>
      <c r="AO101" s="305"/>
      <c r="AP101" s="305"/>
      <c r="AQ101" s="305"/>
      <c r="AR101" s="306"/>
      <c r="AS101" s="296"/>
      <c r="AT101" s="144"/>
      <c r="AU101" s="5683" t="s">
        <v>920</v>
      </c>
      <c r="AV101" s="5684"/>
      <c r="AW101" s="5684"/>
      <c r="AX101" s="5684"/>
      <c r="AY101" s="5684"/>
      <c r="AZ101" s="5684"/>
      <c r="BA101" s="5685"/>
      <c r="BB101" s="229"/>
      <c r="BC101" s="2679">
        <v>1</v>
      </c>
      <c r="BD101" s="2680"/>
      <c r="BE101" s="2680"/>
      <c r="BF101" s="2680"/>
      <c r="BG101" s="2680"/>
      <c r="BH101" s="2680"/>
      <c r="BI101" s="334"/>
      <c r="BJ101" s="2632"/>
      <c r="BK101" s="2638"/>
      <c r="BL101" s="2638"/>
      <c r="BM101" s="2638"/>
      <c r="BN101" s="2638"/>
      <c r="BO101" s="2638"/>
      <c r="BP101" s="2639"/>
      <c r="BQ101" s="213"/>
      <c r="BR101" s="214"/>
      <c r="BS101" s="215"/>
    </row>
    <row r="102" spans="1:74" s="80" customFormat="1" ht="15.75">
      <c r="A102" s="2623">
        <f t="shared" si="5"/>
        <v>81</v>
      </c>
      <c r="B102" s="2624" t="s">
        <v>1139</v>
      </c>
      <c r="C102" s="2625" t="s">
        <v>78</v>
      </c>
      <c r="D102" s="220"/>
      <c r="E102" s="2626"/>
      <c r="F102" s="2627"/>
      <c r="G102" s="2628"/>
      <c r="H102" s="211"/>
      <c r="I102" s="2629"/>
      <c r="J102" s="2626" t="s">
        <v>78</v>
      </c>
      <c r="K102" s="2627" t="s">
        <v>1140</v>
      </c>
      <c r="L102" s="2628">
        <v>42292</v>
      </c>
      <c r="M102" s="253">
        <v>0</v>
      </c>
      <c r="N102" s="219"/>
      <c r="O102" s="2630" t="s">
        <v>552</v>
      </c>
      <c r="P102" s="2674">
        <v>1</v>
      </c>
      <c r="Q102" s="2675">
        <v>1</v>
      </c>
      <c r="R102" s="2675"/>
      <c r="S102" s="2675"/>
      <c r="T102" s="2675"/>
      <c r="U102" s="2676"/>
      <c r="V102" s="2632"/>
      <c r="W102" s="2628"/>
      <c r="X102" s="253"/>
      <c r="Y102" s="2633"/>
      <c r="Z102" s="2677"/>
      <c r="AA102" s="2678"/>
      <c r="AB102" s="2678"/>
      <c r="AC102" s="2678"/>
      <c r="AD102" s="2678"/>
      <c r="AE102" s="2678"/>
      <c r="AF102" s="2678"/>
      <c r="AG102" s="2633"/>
      <c r="AH102" s="213"/>
      <c r="AI102" s="2639"/>
      <c r="AJ102" s="2637"/>
      <c r="AK102" s="212"/>
      <c r="AL102" s="296"/>
      <c r="AM102" s="322"/>
      <c r="AN102" s="305"/>
      <c r="AO102" s="305"/>
      <c r="AP102" s="305"/>
      <c r="AQ102" s="305"/>
      <c r="AR102" s="306"/>
      <c r="AS102" s="296"/>
      <c r="AT102" s="144"/>
      <c r="AU102" s="5683" t="s">
        <v>920</v>
      </c>
      <c r="AV102" s="5684"/>
      <c r="AW102" s="5684"/>
      <c r="AX102" s="5684"/>
      <c r="AY102" s="5684"/>
      <c r="AZ102" s="5684"/>
      <c r="BA102" s="5685"/>
      <c r="BB102" s="229"/>
      <c r="BC102" s="2679">
        <v>1</v>
      </c>
      <c r="BD102" s="2680"/>
      <c r="BE102" s="2680"/>
      <c r="BF102" s="2680"/>
      <c r="BG102" s="2680"/>
      <c r="BH102" s="2680"/>
      <c r="BI102" s="334"/>
      <c r="BJ102" s="2632"/>
      <c r="BK102" s="2638"/>
      <c r="BL102" s="2638"/>
      <c r="BM102" s="2638"/>
      <c r="BN102" s="2638"/>
      <c r="BO102" s="2638"/>
      <c r="BP102" s="2639"/>
      <c r="BQ102" s="213"/>
      <c r="BR102" s="214"/>
      <c r="BS102" s="215" t="s">
        <v>1141</v>
      </c>
      <c r="BV102" s="218">
        <f>7983680*1.06</f>
        <v>8462700.8000000007</v>
      </c>
    </row>
    <row r="103" spans="1:74" s="80" customFormat="1" ht="15.75">
      <c r="A103" s="2704">
        <f t="shared" si="5"/>
        <v>82</v>
      </c>
      <c r="B103" s="2682" t="s">
        <v>1142</v>
      </c>
      <c r="C103" s="2683" t="s">
        <v>78</v>
      </c>
      <c r="D103" s="141"/>
      <c r="E103" s="2684"/>
      <c r="F103" s="2685"/>
      <c r="G103" s="2702"/>
      <c r="H103" s="142"/>
      <c r="I103" s="2687"/>
      <c r="J103" s="2626"/>
      <c r="K103" s="2627"/>
      <c r="L103" s="2628"/>
      <c r="M103" s="253"/>
      <c r="N103" s="219"/>
      <c r="O103" s="2630"/>
      <c r="P103" s="2674"/>
      <c r="Q103" s="2675"/>
      <c r="R103" s="2675"/>
      <c r="S103" s="2675"/>
      <c r="T103" s="2675"/>
      <c r="U103" s="2676"/>
      <c r="V103" s="2692" t="s">
        <v>1143</v>
      </c>
      <c r="W103" s="2702">
        <v>42303</v>
      </c>
      <c r="X103" s="257">
        <v>-1236785</v>
      </c>
      <c r="Y103" s="2693" t="s">
        <v>105</v>
      </c>
      <c r="Z103" s="2694">
        <v>1</v>
      </c>
      <c r="AA103" s="2695"/>
      <c r="AB103" s="2695"/>
      <c r="AC103" s="2695"/>
      <c r="AD103" s="2695"/>
      <c r="AE103" s="2695"/>
      <c r="AF103" s="2695">
        <v>1</v>
      </c>
      <c r="AG103" s="2693"/>
      <c r="AH103" s="145">
        <v>1</v>
      </c>
      <c r="AI103" s="2696"/>
      <c r="AJ103" s="2697"/>
      <c r="AK103" s="144"/>
      <c r="AL103" s="296"/>
      <c r="AM103" s="322"/>
      <c r="AN103" s="305"/>
      <c r="AO103" s="305"/>
      <c r="AP103" s="305"/>
      <c r="AQ103" s="305"/>
      <c r="AR103" s="306"/>
      <c r="AS103" s="296"/>
      <c r="AT103" s="144"/>
      <c r="AU103" s="221"/>
      <c r="AV103" s="222"/>
      <c r="AW103" s="222"/>
      <c r="AX103" s="222"/>
      <c r="AY103" s="222"/>
      <c r="AZ103" s="222"/>
      <c r="BA103" s="2703"/>
      <c r="BB103" s="222"/>
      <c r="BC103" s="2698"/>
      <c r="BD103" s="2699"/>
      <c r="BE103" s="2699"/>
      <c r="BF103" s="2699"/>
      <c r="BG103" s="2699"/>
      <c r="BH103" s="2699"/>
      <c r="BI103" s="335"/>
      <c r="BJ103" s="2692"/>
      <c r="BK103" s="2700"/>
      <c r="BL103" s="2700"/>
      <c r="BM103" s="2700"/>
      <c r="BN103" s="2700"/>
      <c r="BO103" s="2700"/>
      <c r="BP103" s="2696"/>
      <c r="BQ103" s="145"/>
      <c r="BR103" s="146"/>
      <c r="BS103" s="147" t="s">
        <v>1144</v>
      </c>
      <c r="BV103" s="218"/>
    </row>
    <row r="104" spans="1:74" s="80" customFormat="1" ht="15.75">
      <c r="A104" s="2704">
        <f t="shared" si="5"/>
        <v>83</v>
      </c>
      <c r="B104" s="2682" t="s">
        <v>1145</v>
      </c>
      <c r="C104" s="2683" t="s">
        <v>78</v>
      </c>
      <c r="D104" s="141"/>
      <c r="E104" s="2684"/>
      <c r="F104" s="2685"/>
      <c r="G104" s="2702"/>
      <c r="H104" s="142"/>
      <c r="I104" s="2687"/>
      <c r="J104" s="2626"/>
      <c r="K104" s="2627"/>
      <c r="L104" s="2628"/>
      <c r="M104" s="253"/>
      <c r="N104" s="219"/>
      <c r="O104" s="2630"/>
      <c r="P104" s="2674"/>
      <c r="Q104" s="2675"/>
      <c r="R104" s="2675"/>
      <c r="S104" s="2675"/>
      <c r="T104" s="2675"/>
      <c r="U104" s="2676"/>
      <c r="V104" s="2692" t="s">
        <v>1146</v>
      </c>
      <c r="W104" s="2702">
        <v>42303</v>
      </c>
      <c r="X104" s="257">
        <v>-2622891</v>
      </c>
      <c r="Y104" s="2693" t="s">
        <v>105</v>
      </c>
      <c r="Z104" s="2694">
        <v>1</v>
      </c>
      <c r="AA104" s="2695"/>
      <c r="AB104" s="2695"/>
      <c r="AC104" s="2695"/>
      <c r="AD104" s="2695"/>
      <c r="AE104" s="2695"/>
      <c r="AF104" s="2695">
        <v>1</v>
      </c>
      <c r="AG104" s="2693"/>
      <c r="AH104" s="145">
        <v>1</v>
      </c>
      <c r="AI104" s="2696"/>
      <c r="AJ104" s="2697"/>
      <c r="AK104" s="144"/>
      <c r="AL104" s="296"/>
      <c r="AM104" s="322"/>
      <c r="AN104" s="305"/>
      <c r="AO104" s="305"/>
      <c r="AP104" s="305"/>
      <c r="AQ104" s="305"/>
      <c r="AR104" s="306"/>
      <c r="AS104" s="296"/>
      <c r="AT104" s="144"/>
      <c r="AU104" s="221"/>
      <c r="AV104" s="222"/>
      <c r="AW104" s="222"/>
      <c r="AX104" s="222"/>
      <c r="AY104" s="222"/>
      <c r="AZ104" s="222"/>
      <c r="BA104" s="2703"/>
      <c r="BB104" s="222"/>
      <c r="BC104" s="2698"/>
      <c r="BD104" s="2699"/>
      <c r="BE104" s="2699"/>
      <c r="BF104" s="2699"/>
      <c r="BG104" s="2699"/>
      <c r="BH104" s="2699"/>
      <c r="BI104" s="335"/>
      <c r="BJ104" s="2692"/>
      <c r="BK104" s="2700"/>
      <c r="BL104" s="2700"/>
      <c r="BM104" s="2700"/>
      <c r="BN104" s="2700"/>
      <c r="BO104" s="2700"/>
      <c r="BP104" s="2696"/>
      <c r="BQ104" s="145"/>
      <c r="BR104" s="146"/>
      <c r="BS104" s="147" t="s">
        <v>1144</v>
      </c>
      <c r="BV104" s="218"/>
    </row>
    <row r="105" spans="1:74" s="80" customFormat="1" ht="15.75">
      <c r="A105" s="2704">
        <f t="shared" si="5"/>
        <v>84</v>
      </c>
      <c r="B105" s="2682" t="s">
        <v>1147</v>
      </c>
      <c r="C105" s="2683" t="s">
        <v>78</v>
      </c>
      <c r="D105" s="141"/>
      <c r="E105" s="2684"/>
      <c r="F105" s="2685"/>
      <c r="G105" s="2702"/>
      <c r="H105" s="142"/>
      <c r="I105" s="2687"/>
      <c r="J105" s="2626"/>
      <c r="K105" s="2627"/>
      <c r="L105" s="2628"/>
      <c r="M105" s="253"/>
      <c r="N105" s="219"/>
      <c r="O105" s="2630"/>
      <c r="P105" s="2674"/>
      <c r="Q105" s="2675"/>
      <c r="R105" s="2675"/>
      <c r="S105" s="2675"/>
      <c r="T105" s="2675"/>
      <c r="U105" s="2676"/>
      <c r="V105" s="2692" t="s">
        <v>1148</v>
      </c>
      <c r="W105" s="2702">
        <v>42303</v>
      </c>
      <c r="X105" s="257">
        <v>-5781473</v>
      </c>
      <c r="Y105" s="2693" t="s">
        <v>105</v>
      </c>
      <c r="Z105" s="2694">
        <v>1</v>
      </c>
      <c r="AA105" s="2695"/>
      <c r="AB105" s="2695"/>
      <c r="AC105" s="2695"/>
      <c r="AD105" s="2695"/>
      <c r="AE105" s="2695"/>
      <c r="AF105" s="2695">
        <v>1</v>
      </c>
      <c r="AG105" s="2693"/>
      <c r="AH105" s="145">
        <v>1</v>
      </c>
      <c r="AI105" s="2696"/>
      <c r="AJ105" s="2697"/>
      <c r="AK105" s="144"/>
      <c r="AL105" s="296"/>
      <c r="AM105" s="322"/>
      <c r="AN105" s="305"/>
      <c r="AO105" s="305"/>
      <c r="AP105" s="305"/>
      <c r="AQ105" s="305"/>
      <c r="AR105" s="306"/>
      <c r="AS105" s="296"/>
      <c r="AT105" s="144"/>
      <c r="AU105" s="221"/>
      <c r="AV105" s="222"/>
      <c r="AW105" s="222"/>
      <c r="AX105" s="222"/>
      <c r="AY105" s="222"/>
      <c r="AZ105" s="222"/>
      <c r="BA105" s="2703"/>
      <c r="BB105" s="222"/>
      <c r="BC105" s="2698"/>
      <c r="BD105" s="2699"/>
      <c r="BE105" s="2699"/>
      <c r="BF105" s="2699"/>
      <c r="BG105" s="2699"/>
      <c r="BH105" s="2699"/>
      <c r="BI105" s="335"/>
      <c r="BJ105" s="2692"/>
      <c r="BK105" s="2700"/>
      <c r="BL105" s="2700"/>
      <c r="BM105" s="2700"/>
      <c r="BN105" s="2700"/>
      <c r="BO105" s="2700"/>
      <c r="BP105" s="2696"/>
      <c r="BQ105" s="145"/>
      <c r="BR105" s="146"/>
      <c r="BS105" s="147" t="s">
        <v>1144</v>
      </c>
      <c r="BV105" s="218"/>
    </row>
    <row r="106" spans="1:74" s="80" customFormat="1" ht="31.5">
      <c r="A106" s="2623">
        <f t="shared" si="5"/>
        <v>85</v>
      </c>
      <c r="B106" s="2624" t="s">
        <v>1149</v>
      </c>
      <c r="C106" s="2625" t="s">
        <v>78</v>
      </c>
      <c r="D106" s="220"/>
      <c r="E106" s="2626"/>
      <c r="F106" s="2627"/>
      <c r="G106" s="2628"/>
      <c r="H106" s="211"/>
      <c r="I106" s="2629"/>
      <c r="J106" s="2626"/>
      <c r="K106" s="2627"/>
      <c r="L106" s="2628"/>
      <c r="M106" s="253"/>
      <c r="N106" s="219"/>
      <c r="O106" s="2630"/>
      <c r="P106" s="2674"/>
      <c r="Q106" s="2675"/>
      <c r="R106" s="2675"/>
      <c r="S106" s="2675"/>
      <c r="T106" s="2675"/>
      <c r="U106" s="2676"/>
      <c r="V106" s="2632" t="s">
        <v>1150</v>
      </c>
      <c r="W106" s="2628">
        <v>42303</v>
      </c>
      <c r="X106" s="253">
        <f>-1457871*0</f>
        <v>0</v>
      </c>
      <c r="Y106" s="2633" t="s">
        <v>552</v>
      </c>
      <c r="Z106" s="2677">
        <v>1</v>
      </c>
      <c r="AA106" s="2678">
        <v>1</v>
      </c>
      <c r="AB106" s="2678"/>
      <c r="AC106" s="2678"/>
      <c r="AD106" s="2678"/>
      <c r="AE106" s="2678"/>
      <c r="AF106" s="2678"/>
      <c r="AG106" s="2633"/>
      <c r="AH106" s="213"/>
      <c r="AI106" s="2639"/>
      <c r="AJ106" s="2637"/>
      <c r="AK106" s="212"/>
      <c r="AL106" s="296"/>
      <c r="AM106" s="322"/>
      <c r="AN106" s="305"/>
      <c r="AO106" s="305"/>
      <c r="AP106" s="305"/>
      <c r="AQ106" s="305"/>
      <c r="AR106" s="306"/>
      <c r="AS106" s="296"/>
      <c r="AT106" s="144"/>
      <c r="AU106" s="5683"/>
      <c r="AV106" s="5684"/>
      <c r="AW106" s="5684"/>
      <c r="AX106" s="5684"/>
      <c r="AY106" s="5684"/>
      <c r="AZ106" s="5684"/>
      <c r="BA106" s="5685"/>
      <c r="BB106" s="229"/>
      <c r="BC106" s="2679"/>
      <c r="BD106" s="2680"/>
      <c r="BE106" s="2680"/>
      <c r="BF106" s="2680"/>
      <c r="BG106" s="2680"/>
      <c r="BH106" s="2680"/>
      <c r="BI106" s="334"/>
      <c r="BJ106" s="2632"/>
      <c r="BK106" s="2638"/>
      <c r="BL106" s="2638"/>
      <c r="BM106" s="2638"/>
      <c r="BN106" s="2638"/>
      <c r="BO106" s="2638"/>
      <c r="BP106" s="2639"/>
      <c r="BQ106" s="213"/>
      <c r="BR106" s="214"/>
      <c r="BS106" s="215" t="s">
        <v>1151</v>
      </c>
      <c r="BV106" s="218"/>
    </row>
    <row r="107" spans="1:74" s="80" customFormat="1" ht="31.5">
      <c r="A107" s="2623">
        <f t="shared" si="5"/>
        <v>86</v>
      </c>
      <c r="B107" s="2624" t="s">
        <v>1152</v>
      </c>
      <c r="C107" s="2625" t="s">
        <v>78</v>
      </c>
      <c r="D107" s="220"/>
      <c r="E107" s="2626"/>
      <c r="F107" s="2627"/>
      <c r="G107" s="2628"/>
      <c r="H107" s="211"/>
      <c r="I107" s="2629"/>
      <c r="J107" s="2626"/>
      <c r="K107" s="2627"/>
      <c r="L107" s="2628"/>
      <c r="M107" s="253"/>
      <c r="N107" s="219"/>
      <c r="O107" s="2630"/>
      <c r="P107" s="2674"/>
      <c r="Q107" s="2675"/>
      <c r="R107" s="2675"/>
      <c r="S107" s="2675"/>
      <c r="T107" s="2675"/>
      <c r="U107" s="2676"/>
      <c r="V107" s="2632" t="s">
        <v>1153</v>
      </c>
      <c r="W107" s="2628">
        <v>42303</v>
      </c>
      <c r="X107" s="253">
        <f>-1742958*0</f>
        <v>0</v>
      </c>
      <c r="Y107" s="2633" t="s">
        <v>552</v>
      </c>
      <c r="Z107" s="2677">
        <v>1</v>
      </c>
      <c r="AA107" s="2678">
        <v>1</v>
      </c>
      <c r="AB107" s="2678"/>
      <c r="AC107" s="2678"/>
      <c r="AD107" s="2678"/>
      <c r="AE107" s="2678"/>
      <c r="AF107" s="2678"/>
      <c r="AG107" s="2633"/>
      <c r="AH107" s="213"/>
      <c r="AI107" s="2639"/>
      <c r="AJ107" s="2637"/>
      <c r="AK107" s="212"/>
      <c r="AL107" s="296"/>
      <c r="AM107" s="322"/>
      <c r="AN107" s="305"/>
      <c r="AO107" s="305"/>
      <c r="AP107" s="305"/>
      <c r="AQ107" s="305"/>
      <c r="AR107" s="306"/>
      <c r="AS107" s="296"/>
      <c r="AT107" s="144"/>
      <c r="AU107" s="5683"/>
      <c r="AV107" s="5684"/>
      <c r="AW107" s="5684"/>
      <c r="AX107" s="5684"/>
      <c r="AY107" s="5684"/>
      <c r="AZ107" s="5684"/>
      <c r="BA107" s="5685"/>
      <c r="BB107" s="229"/>
      <c r="BC107" s="2679"/>
      <c r="BD107" s="2680"/>
      <c r="BE107" s="2680"/>
      <c r="BF107" s="2680"/>
      <c r="BG107" s="2680"/>
      <c r="BH107" s="2680"/>
      <c r="BI107" s="334"/>
      <c r="BJ107" s="2632"/>
      <c r="BK107" s="2638"/>
      <c r="BL107" s="2638"/>
      <c r="BM107" s="2638"/>
      <c r="BN107" s="2638"/>
      <c r="BO107" s="2638"/>
      <c r="BP107" s="2639"/>
      <c r="BQ107" s="213"/>
      <c r="BR107" s="214"/>
      <c r="BS107" s="215" t="s">
        <v>1154</v>
      </c>
      <c r="BV107" s="218"/>
    </row>
    <row r="108" spans="1:74" s="80" customFormat="1" ht="37.5" customHeight="1">
      <c r="A108" s="2704">
        <f t="shared" si="5"/>
        <v>87</v>
      </c>
      <c r="B108" s="2682" t="s">
        <v>1155</v>
      </c>
      <c r="C108" s="2683" t="s">
        <v>78</v>
      </c>
      <c r="D108" s="141"/>
      <c r="E108" s="2684"/>
      <c r="F108" s="2685"/>
      <c r="G108" s="2686"/>
      <c r="H108" s="142"/>
      <c r="I108" s="2687"/>
      <c r="J108" s="2626"/>
      <c r="K108" s="2627"/>
      <c r="L108" s="2628"/>
      <c r="M108" s="253"/>
      <c r="N108" s="219"/>
      <c r="O108" s="2630"/>
      <c r="P108" s="2674"/>
      <c r="Q108" s="2675"/>
      <c r="R108" s="2675"/>
      <c r="S108" s="2675"/>
      <c r="T108" s="2675"/>
      <c r="U108" s="2676"/>
      <c r="V108" s="2692" t="s">
        <v>1156</v>
      </c>
      <c r="W108" s="2686">
        <v>42303</v>
      </c>
      <c r="X108" s="257">
        <v>-644395</v>
      </c>
      <c r="Y108" s="2693" t="s">
        <v>105</v>
      </c>
      <c r="Z108" s="2694">
        <v>1</v>
      </c>
      <c r="AA108" s="2695"/>
      <c r="AB108" s="2695"/>
      <c r="AC108" s="2695"/>
      <c r="AD108" s="2695"/>
      <c r="AE108" s="2695"/>
      <c r="AF108" s="2695">
        <v>1</v>
      </c>
      <c r="AG108" s="2693"/>
      <c r="AH108" s="145">
        <v>1</v>
      </c>
      <c r="AI108" s="2696"/>
      <c r="AJ108" s="2697"/>
      <c r="AK108" s="144"/>
      <c r="AL108" s="296"/>
      <c r="AM108" s="322"/>
      <c r="AN108" s="305"/>
      <c r="AO108" s="305"/>
      <c r="AP108" s="305"/>
      <c r="AQ108" s="305"/>
      <c r="AR108" s="306"/>
      <c r="AS108" s="296"/>
      <c r="AT108" s="144"/>
      <c r="AU108" s="221"/>
      <c r="AV108" s="222"/>
      <c r="AW108" s="222"/>
      <c r="AX108" s="222"/>
      <c r="AY108" s="222"/>
      <c r="AZ108" s="222"/>
      <c r="BA108" s="2703"/>
      <c r="BB108" s="222"/>
      <c r="BC108" s="2698"/>
      <c r="BD108" s="2699"/>
      <c r="BE108" s="2699"/>
      <c r="BF108" s="2699"/>
      <c r="BG108" s="2699"/>
      <c r="BH108" s="2699"/>
      <c r="BI108" s="335"/>
      <c r="BJ108" s="2692"/>
      <c r="BK108" s="2700"/>
      <c r="BL108" s="2700"/>
      <c r="BM108" s="2700"/>
      <c r="BN108" s="2700"/>
      <c r="BO108" s="2700"/>
      <c r="BP108" s="2696"/>
      <c r="BQ108" s="145"/>
      <c r="BR108" s="146"/>
      <c r="BS108" s="147" t="s">
        <v>1144</v>
      </c>
      <c r="BV108" s="223"/>
    </row>
    <row r="109" spans="1:74" s="80" customFormat="1" ht="47.25">
      <c r="A109" s="2623">
        <f t="shared" si="5"/>
        <v>88</v>
      </c>
      <c r="B109" s="2624" t="s">
        <v>1157</v>
      </c>
      <c r="C109" s="2625" t="s">
        <v>78</v>
      </c>
      <c r="D109" s="220"/>
      <c r="E109" s="2626"/>
      <c r="F109" s="2627"/>
      <c r="G109" s="2628"/>
      <c r="H109" s="211"/>
      <c r="I109" s="2629"/>
      <c r="J109" s="2626"/>
      <c r="K109" s="2627"/>
      <c r="L109" s="2628"/>
      <c r="M109" s="253"/>
      <c r="N109" s="219"/>
      <c r="O109" s="2630"/>
      <c r="P109" s="2674"/>
      <c r="Q109" s="2675"/>
      <c r="R109" s="2675"/>
      <c r="S109" s="2675"/>
      <c r="T109" s="2675"/>
      <c r="U109" s="2676"/>
      <c r="V109" s="2632" t="s">
        <v>1158</v>
      </c>
      <c r="W109" s="2628">
        <v>42303</v>
      </c>
      <c r="X109" s="253">
        <f>-1523814*0</f>
        <v>0</v>
      </c>
      <c r="Y109" s="2633" t="s">
        <v>552</v>
      </c>
      <c r="Z109" s="2677">
        <v>1</v>
      </c>
      <c r="AA109" s="2678">
        <v>1</v>
      </c>
      <c r="AB109" s="2678"/>
      <c r="AC109" s="2678"/>
      <c r="AD109" s="2678"/>
      <c r="AE109" s="2678"/>
      <c r="AF109" s="2678"/>
      <c r="AG109" s="2633"/>
      <c r="AH109" s="213"/>
      <c r="AI109" s="2639"/>
      <c r="AJ109" s="2637"/>
      <c r="AK109" s="212"/>
      <c r="AL109" s="296"/>
      <c r="AM109" s="322"/>
      <c r="AN109" s="305"/>
      <c r="AO109" s="305"/>
      <c r="AP109" s="305"/>
      <c r="AQ109" s="305"/>
      <c r="AR109" s="306"/>
      <c r="AS109" s="296"/>
      <c r="AT109" s="144"/>
      <c r="AU109" s="5683"/>
      <c r="AV109" s="5684"/>
      <c r="AW109" s="5684"/>
      <c r="AX109" s="5684"/>
      <c r="AY109" s="5684"/>
      <c r="AZ109" s="5684"/>
      <c r="BA109" s="5685"/>
      <c r="BB109" s="229"/>
      <c r="BC109" s="2679"/>
      <c r="BD109" s="2680"/>
      <c r="BE109" s="2680"/>
      <c r="BF109" s="2680"/>
      <c r="BG109" s="2680"/>
      <c r="BH109" s="2680"/>
      <c r="BI109" s="334"/>
      <c r="BJ109" s="2632"/>
      <c r="BK109" s="2638"/>
      <c r="BL109" s="2638"/>
      <c r="BM109" s="2638"/>
      <c r="BN109" s="2638"/>
      <c r="BO109" s="2638"/>
      <c r="BP109" s="2639"/>
      <c r="BQ109" s="213"/>
      <c r="BR109" s="214"/>
      <c r="BS109" s="215" t="s">
        <v>1159</v>
      </c>
      <c r="BV109" s="218"/>
    </row>
    <row r="110" spans="1:74" s="80" customFormat="1" ht="31.5">
      <c r="A110" s="2704">
        <f t="shared" si="5"/>
        <v>89</v>
      </c>
      <c r="B110" s="2682" t="s">
        <v>1160</v>
      </c>
      <c r="C110" s="2683" t="s">
        <v>78</v>
      </c>
      <c r="D110" s="141"/>
      <c r="E110" s="2684"/>
      <c r="F110" s="2685"/>
      <c r="G110" s="2686"/>
      <c r="H110" s="142"/>
      <c r="I110" s="2687"/>
      <c r="J110" s="2626"/>
      <c r="K110" s="2627"/>
      <c r="L110" s="2628"/>
      <c r="M110" s="253"/>
      <c r="N110" s="219"/>
      <c r="O110" s="2630"/>
      <c r="P110" s="2674"/>
      <c r="Q110" s="2675"/>
      <c r="R110" s="2675"/>
      <c r="S110" s="2675"/>
      <c r="T110" s="2675"/>
      <c r="U110" s="2676"/>
      <c r="V110" s="2692" t="s">
        <v>1161</v>
      </c>
      <c r="W110" s="2686">
        <v>42303</v>
      </c>
      <c r="X110" s="257">
        <v>-4757348</v>
      </c>
      <c r="Y110" s="2693" t="s">
        <v>105</v>
      </c>
      <c r="Z110" s="2694">
        <v>1</v>
      </c>
      <c r="AA110" s="2695"/>
      <c r="AB110" s="2695"/>
      <c r="AC110" s="2695"/>
      <c r="AD110" s="2695"/>
      <c r="AE110" s="2695"/>
      <c r="AF110" s="2695">
        <v>1</v>
      </c>
      <c r="AG110" s="2693"/>
      <c r="AH110" s="145">
        <v>1</v>
      </c>
      <c r="AI110" s="2696"/>
      <c r="AJ110" s="2697"/>
      <c r="AK110" s="144"/>
      <c r="AL110" s="296"/>
      <c r="AM110" s="322"/>
      <c r="AN110" s="305"/>
      <c r="AO110" s="305"/>
      <c r="AP110" s="305"/>
      <c r="AQ110" s="305"/>
      <c r="AR110" s="306"/>
      <c r="AS110" s="296"/>
      <c r="AT110" s="144"/>
      <c r="AU110" s="221"/>
      <c r="AV110" s="222"/>
      <c r="AW110" s="222"/>
      <c r="AX110" s="222"/>
      <c r="AY110" s="222"/>
      <c r="AZ110" s="222"/>
      <c r="BA110" s="2703"/>
      <c r="BB110" s="222"/>
      <c r="BC110" s="2698"/>
      <c r="BD110" s="2699"/>
      <c r="BE110" s="2699"/>
      <c r="BF110" s="2699"/>
      <c r="BG110" s="2699"/>
      <c r="BH110" s="2699"/>
      <c r="BI110" s="335"/>
      <c r="BJ110" s="2692"/>
      <c r="BK110" s="2700"/>
      <c r="BL110" s="2700"/>
      <c r="BM110" s="2700"/>
      <c r="BN110" s="2700"/>
      <c r="BO110" s="2700"/>
      <c r="BP110" s="2696"/>
      <c r="BQ110" s="145"/>
      <c r="BR110" s="146"/>
      <c r="BS110" s="147" t="s">
        <v>1144</v>
      </c>
      <c r="BV110" s="223"/>
    </row>
    <row r="111" spans="1:74" s="80" customFormat="1" ht="31.5">
      <c r="A111" s="2705">
        <f t="shared" si="5"/>
        <v>90</v>
      </c>
      <c r="B111" s="2624" t="s">
        <v>1162</v>
      </c>
      <c r="C111" s="2625" t="s">
        <v>78</v>
      </c>
      <c r="D111" s="141"/>
      <c r="E111" s="2684"/>
      <c r="F111" s="2685"/>
      <c r="G111" s="2686"/>
      <c r="H111" s="142"/>
      <c r="I111" s="2687"/>
      <c r="J111" s="2626"/>
      <c r="K111" s="2627"/>
      <c r="L111" s="2628"/>
      <c r="M111" s="253"/>
      <c r="N111" s="219"/>
      <c r="O111" s="2630"/>
      <c r="P111" s="2674"/>
      <c r="Q111" s="2675"/>
      <c r="R111" s="2675"/>
      <c r="S111" s="2675"/>
      <c r="T111" s="2675"/>
      <c r="U111" s="2676"/>
      <c r="V111" s="2632" t="s">
        <v>1163</v>
      </c>
      <c r="W111" s="2628">
        <v>42303</v>
      </c>
      <c r="X111" s="253">
        <v>-783139</v>
      </c>
      <c r="Y111" s="2633" t="s">
        <v>105</v>
      </c>
      <c r="Z111" s="2677">
        <v>1</v>
      </c>
      <c r="AA111" s="2678"/>
      <c r="AB111" s="2678"/>
      <c r="AC111" s="2678"/>
      <c r="AD111" s="2678"/>
      <c r="AE111" s="2678"/>
      <c r="AF111" s="2678">
        <v>1</v>
      </c>
      <c r="AG111" s="2633"/>
      <c r="AH111" s="213">
        <v>1</v>
      </c>
      <c r="AI111" s="2639"/>
      <c r="AJ111" s="2637"/>
      <c r="AK111" s="212"/>
      <c r="AL111" s="296"/>
      <c r="AM111" s="322"/>
      <c r="AN111" s="305"/>
      <c r="AO111" s="305"/>
      <c r="AP111" s="305"/>
      <c r="AQ111" s="305"/>
      <c r="AR111" s="306"/>
      <c r="AS111" s="296"/>
      <c r="AT111" s="144"/>
      <c r="AU111" s="5683" t="s">
        <v>920</v>
      </c>
      <c r="AV111" s="5684"/>
      <c r="AW111" s="5684"/>
      <c r="AX111" s="5684"/>
      <c r="AY111" s="5684"/>
      <c r="AZ111" s="5684"/>
      <c r="BA111" s="5685"/>
      <c r="BB111" s="229"/>
      <c r="BC111" s="2679">
        <v>1</v>
      </c>
      <c r="BD111" s="2680"/>
      <c r="BE111" s="2680"/>
      <c r="BF111" s="2680"/>
      <c r="BG111" s="2680"/>
      <c r="BH111" s="2680"/>
      <c r="BI111" s="334"/>
      <c r="BJ111" s="2632"/>
      <c r="BK111" s="2638"/>
      <c r="BL111" s="2638"/>
      <c r="BM111" s="2638"/>
      <c r="BN111" s="2638"/>
      <c r="BO111" s="2638"/>
      <c r="BP111" s="2639"/>
      <c r="BQ111" s="213"/>
      <c r="BR111" s="214"/>
      <c r="BS111" s="215"/>
      <c r="BV111" s="223"/>
    </row>
    <row r="112" spans="1:74" s="80" customFormat="1" ht="47.25">
      <c r="A112" s="2623">
        <f t="shared" si="5"/>
        <v>91</v>
      </c>
      <c r="B112" s="2624" t="s">
        <v>1164</v>
      </c>
      <c r="C112" s="2625" t="s">
        <v>78</v>
      </c>
      <c r="D112" s="141"/>
      <c r="E112" s="2684"/>
      <c r="F112" s="2685"/>
      <c r="G112" s="2702"/>
      <c r="H112" s="142"/>
      <c r="I112" s="2687"/>
      <c r="J112" s="2626"/>
      <c r="K112" s="2627"/>
      <c r="L112" s="2628"/>
      <c r="M112" s="253"/>
      <c r="N112" s="219"/>
      <c r="O112" s="2630"/>
      <c r="P112" s="2674"/>
      <c r="Q112" s="2675"/>
      <c r="R112" s="2675"/>
      <c r="S112" s="2675"/>
      <c r="T112" s="2675"/>
      <c r="U112" s="2676"/>
      <c r="V112" s="2632" t="s">
        <v>1165</v>
      </c>
      <c r="W112" s="2628">
        <v>42303</v>
      </c>
      <c r="X112" s="253">
        <f>-326363*0</f>
        <v>0</v>
      </c>
      <c r="Y112" s="2633" t="s">
        <v>552</v>
      </c>
      <c r="Z112" s="2677">
        <v>1</v>
      </c>
      <c r="AA112" s="2678">
        <v>1</v>
      </c>
      <c r="AB112" s="2678"/>
      <c r="AC112" s="2678"/>
      <c r="AD112" s="2678"/>
      <c r="AE112" s="2678"/>
      <c r="AF112" s="2678"/>
      <c r="AG112" s="2633"/>
      <c r="AH112" s="213"/>
      <c r="AI112" s="2639"/>
      <c r="AJ112" s="2637"/>
      <c r="AK112" s="212"/>
      <c r="AL112" s="299"/>
      <c r="AM112" s="324"/>
      <c r="AN112" s="309"/>
      <c r="AO112" s="309"/>
      <c r="AP112" s="309"/>
      <c r="AQ112" s="309"/>
      <c r="AR112" s="310"/>
      <c r="AS112" s="299"/>
      <c r="AT112" s="212"/>
      <c r="AU112" s="228"/>
      <c r="AV112" s="229"/>
      <c r="AW112" s="229"/>
      <c r="AX112" s="229"/>
      <c r="AY112" s="229"/>
      <c r="AZ112" s="229"/>
      <c r="BA112" s="2701"/>
      <c r="BB112" s="229"/>
      <c r="BC112" s="2679"/>
      <c r="BD112" s="2680"/>
      <c r="BE112" s="2680"/>
      <c r="BF112" s="2680"/>
      <c r="BG112" s="2680"/>
      <c r="BH112" s="2680"/>
      <c r="BI112" s="334"/>
      <c r="BJ112" s="2632"/>
      <c r="BK112" s="2638"/>
      <c r="BL112" s="2638"/>
      <c r="BM112" s="2638"/>
      <c r="BN112" s="2638"/>
      <c r="BO112" s="2638"/>
      <c r="BP112" s="2639"/>
      <c r="BQ112" s="213"/>
      <c r="BR112" s="214"/>
      <c r="BS112" s="215" t="s">
        <v>1166</v>
      </c>
      <c r="BV112" s="218"/>
    </row>
    <row r="113" spans="1:74" s="80" customFormat="1" ht="31.5">
      <c r="A113" s="2681">
        <f t="shared" si="5"/>
        <v>92</v>
      </c>
      <c r="B113" s="2682" t="s">
        <v>1167</v>
      </c>
      <c r="C113" s="2683" t="s">
        <v>78</v>
      </c>
      <c r="D113" s="141"/>
      <c r="E113" s="2684"/>
      <c r="F113" s="2685"/>
      <c r="G113" s="2702"/>
      <c r="H113" s="142"/>
      <c r="I113" s="2687"/>
      <c r="J113" s="2626"/>
      <c r="K113" s="2627"/>
      <c r="L113" s="2628"/>
      <c r="M113" s="253"/>
      <c r="N113" s="219"/>
      <c r="O113" s="2630"/>
      <c r="P113" s="2674"/>
      <c r="Q113" s="2675"/>
      <c r="R113" s="2675"/>
      <c r="S113" s="2675"/>
      <c r="T113" s="2675"/>
      <c r="U113" s="2676"/>
      <c r="V113" s="2692" t="s">
        <v>1168</v>
      </c>
      <c r="W113" s="2702">
        <v>42303</v>
      </c>
      <c r="X113" s="257">
        <v>-1607087</v>
      </c>
      <c r="Y113" s="2693" t="s">
        <v>105</v>
      </c>
      <c r="Z113" s="2694">
        <v>1</v>
      </c>
      <c r="AA113" s="2695"/>
      <c r="AB113" s="2695"/>
      <c r="AC113" s="2695"/>
      <c r="AD113" s="2695"/>
      <c r="AE113" s="2695"/>
      <c r="AF113" s="2695">
        <v>1</v>
      </c>
      <c r="AG113" s="2693"/>
      <c r="AH113" s="145">
        <v>1</v>
      </c>
      <c r="AI113" s="2696"/>
      <c r="AJ113" s="2697"/>
      <c r="AK113" s="144"/>
      <c r="AL113" s="296"/>
      <c r="AM113" s="322"/>
      <c r="AN113" s="305"/>
      <c r="AO113" s="305"/>
      <c r="AP113" s="305"/>
      <c r="AQ113" s="305"/>
      <c r="AR113" s="306"/>
      <c r="AS113" s="296"/>
      <c r="AT113" s="144"/>
      <c r="AU113" s="221"/>
      <c r="AV113" s="222"/>
      <c r="AW113" s="222"/>
      <c r="AX113" s="222"/>
      <c r="AY113" s="222"/>
      <c r="AZ113" s="222"/>
      <c r="BA113" s="2703"/>
      <c r="BB113" s="222"/>
      <c r="BC113" s="2698"/>
      <c r="BD113" s="2699"/>
      <c r="BE113" s="2699"/>
      <c r="BF113" s="2699"/>
      <c r="BG113" s="2699"/>
      <c r="BH113" s="2699"/>
      <c r="BI113" s="335"/>
      <c r="BJ113" s="2692"/>
      <c r="BK113" s="2700"/>
      <c r="BL113" s="2700"/>
      <c r="BM113" s="2700"/>
      <c r="BN113" s="2700"/>
      <c r="BO113" s="2700"/>
      <c r="BP113" s="2696"/>
      <c r="BQ113" s="145"/>
      <c r="BR113" s="146"/>
      <c r="BS113" s="147"/>
      <c r="BV113" s="218"/>
    </row>
    <row r="114" spans="1:74" s="80" customFormat="1" ht="31.5">
      <c r="A114" s="2681">
        <f t="shared" si="5"/>
        <v>93</v>
      </c>
      <c r="B114" s="2682" t="s">
        <v>1169</v>
      </c>
      <c r="C114" s="2683" t="s">
        <v>78</v>
      </c>
      <c r="D114" s="141"/>
      <c r="E114" s="2684"/>
      <c r="F114" s="2685"/>
      <c r="G114" s="2702"/>
      <c r="H114" s="142"/>
      <c r="I114" s="2687"/>
      <c r="J114" s="2626"/>
      <c r="K114" s="2627"/>
      <c r="L114" s="2628"/>
      <c r="M114" s="253"/>
      <c r="N114" s="219"/>
      <c r="O114" s="2630"/>
      <c r="P114" s="2674"/>
      <c r="Q114" s="2675"/>
      <c r="R114" s="2675"/>
      <c r="S114" s="2675"/>
      <c r="T114" s="2675"/>
      <c r="U114" s="2676"/>
      <c r="V114" s="2692" t="s">
        <v>1170</v>
      </c>
      <c r="W114" s="2702">
        <v>42303</v>
      </c>
      <c r="X114" s="257">
        <v>-769888</v>
      </c>
      <c r="Y114" s="2693" t="s">
        <v>105</v>
      </c>
      <c r="Z114" s="2694">
        <v>1</v>
      </c>
      <c r="AA114" s="2695"/>
      <c r="AB114" s="2695"/>
      <c r="AC114" s="2695"/>
      <c r="AD114" s="2695"/>
      <c r="AE114" s="2695"/>
      <c r="AF114" s="2695">
        <v>1</v>
      </c>
      <c r="AG114" s="2693"/>
      <c r="AH114" s="145">
        <v>1</v>
      </c>
      <c r="AI114" s="2696"/>
      <c r="AJ114" s="2697"/>
      <c r="AK114" s="144"/>
      <c r="AL114" s="296"/>
      <c r="AM114" s="322"/>
      <c r="AN114" s="305"/>
      <c r="AO114" s="305"/>
      <c r="AP114" s="305"/>
      <c r="AQ114" s="305"/>
      <c r="AR114" s="306"/>
      <c r="AS114" s="296"/>
      <c r="AT114" s="144"/>
      <c r="AU114" s="221"/>
      <c r="AV114" s="222"/>
      <c r="AW114" s="222"/>
      <c r="AX114" s="222"/>
      <c r="AY114" s="222"/>
      <c r="AZ114" s="222"/>
      <c r="BA114" s="2703"/>
      <c r="BB114" s="222"/>
      <c r="BC114" s="2698"/>
      <c r="BD114" s="2699"/>
      <c r="BE114" s="2699"/>
      <c r="BF114" s="2699"/>
      <c r="BG114" s="2699"/>
      <c r="BH114" s="2699"/>
      <c r="BI114" s="335"/>
      <c r="BJ114" s="2692"/>
      <c r="BK114" s="2700"/>
      <c r="BL114" s="2700"/>
      <c r="BM114" s="2700"/>
      <c r="BN114" s="2700"/>
      <c r="BO114" s="2700"/>
      <c r="BP114" s="2696"/>
      <c r="BQ114" s="145"/>
      <c r="BR114" s="146"/>
      <c r="BS114" s="147"/>
      <c r="BV114" s="218"/>
    </row>
    <row r="115" spans="1:74" s="80" customFormat="1" ht="31.5">
      <c r="A115" s="2623">
        <f t="shared" si="5"/>
        <v>94</v>
      </c>
      <c r="B115" s="2624" t="s">
        <v>1171</v>
      </c>
      <c r="C115" s="2625" t="s">
        <v>78</v>
      </c>
      <c r="D115" s="220"/>
      <c r="E115" s="2626"/>
      <c r="F115" s="2627"/>
      <c r="G115" s="2628"/>
      <c r="H115" s="211"/>
      <c r="I115" s="2629"/>
      <c r="J115" s="2626"/>
      <c r="K115" s="2627"/>
      <c r="L115" s="2628"/>
      <c r="M115" s="253"/>
      <c r="N115" s="219"/>
      <c r="O115" s="2630"/>
      <c r="P115" s="2674"/>
      <c r="Q115" s="2675"/>
      <c r="R115" s="2675"/>
      <c r="S115" s="2675"/>
      <c r="T115" s="2675"/>
      <c r="U115" s="2676"/>
      <c r="V115" s="2632" t="s">
        <v>1172</v>
      </c>
      <c r="W115" s="2628">
        <v>42302</v>
      </c>
      <c r="X115" s="253">
        <f>-1368000*0</f>
        <v>0</v>
      </c>
      <c r="Y115" s="2633" t="s">
        <v>552</v>
      </c>
      <c r="Z115" s="2677">
        <v>1</v>
      </c>
      <c r="AA115" s="2678">
        <v>1</v>
      </c>
      <c r="AB115" s="2678"/>
      <c r="AC115" s="2678"/>
      <c r="AD115" s="2678"/>
      <c r="AE115" s="2678"/>
      <c r="AF115" s="2678"/>
      <c r="AG115" s="2633"/>
      <c r="AH115" s="213"/>
      <c r="AI115" s="2639"/>
      <c r="AJ115" s="2637"/>
      <c r="AK115" s="212"/>
      <c r="AL115" s="296"/>
      <c r="AM115" s="322"/>
      <c r="AN115" s="305"/>
      <c r="AO115" s="305"/>
      <c r="AP115" s="305"/>
      <c r="AQ115" s="305"/>
      <c r="AR115" s="306"/>
      <c r="AS115" s="296"/>
      <c r="AT115" s="144"/>
      <c r="AU115" s="5683"/>
      <c r="AV115" s="5684"/>
      <c r="AW115" s="5684"/>
      <c r="AX115" s="5684"/>
      <c r="AY115" s="5684"/>
      <c r="AZ115" s="5684"/>
      <c r="BA115" s="5685"/>
      <c r="BB115" s="229"/>
      <c r="BC115" s="2679"/>
      <c r="BD115" s="2680"/>
      <c r="BE115" s="2680"/>
      <c r="BF115" s="2680"/>
      <c r="BG115" s="2680"/>
      <c r="BH115" s="2680"/>
      <c r="BI115" s="334"/>
      <c r="BJ115" s="2632"/>
      <c r="BK115" s="2638"/>
      <c r="BL115" s="2638"/>
      <c r="BM115" s="2638"/>
      <c r="BN115" s="2638"/>
      <c r="BO115" s="2638"/>
      <c r="BP115" s="2639"/>
      <c r="BQ115" s="213"/>
      <c r="BR115" s="214"/>
      <c r="BS115" s="215" t="s">
        <v>1173</v>
      </c>
      <c r="BV115" s="218"/>
    </row>
    <row r="116" spans="1:74" s="80" customFormat="1" ht="31.5">
      <c r="A116" s="2705">
        <f t="shared" si="5"/>
        <v>95</v>
      </c>
      <c r="B116" s="2624" t="s">
        <v>1174</v>
      </c>
      <c r="C116" s="2625" t="s">
        <v>78</v>
      </c>
      <c r="D116" s="141"/>
      <c r="E116" s="2684"/>
      <c r="F116" s="2685"/>
      <c r="G116" s="2702"/>
      <c r="H116" s="142"/>
      <c r="I116" s="2687"/>
      <c r="J116" s="2626"/>
      <c r="K116" s="2627"/>
      <c r="L116" s="2628"/>
      <c r="M116" s="253"/>
      <c r="N116" s="219"/>
      <c r="O116" s="2630"/>
      <c r="P116" s="2674"/>
      <c r="Q116" s="2675"/>
      <c r="R116" s="2675"/>
      <c r="S116" s="2675"/>
      <c r="T116" s="2675"/>
      <c r="U116" s="2676"/>
      <c r="V116" s="2632" t="s">
        <v>1175</v>
      </c>
      <c r="W116" s="2628">
        <v>42302</v>
      </c>
      <c r="X116" s="253">
        <v>-722019</v>
      </c>
      <c r="Y116" s="2633" t="s">
        <v>105</v>
      </c>
      <c r="Z116" s="2677">
        <v>1</v>
      </c>
      <c r="AA116" s="2678"/>
      <c r="AB116" s="2678"/>
      <c r="AC116" s="2678"/>
      <c r="AD116" s="2678"/>
      <c r="AE116" s="2678"/>
      <c r="AF116" s="2678">
        <v>1</v>
      </c>
      <c r="AG116" s="2633"/>
      <c r="AH116" s="213">
        <v>1</v>
      </c>
      <c r="AI116" s="2639"/>
      <c r="AJ116" s="2637"/>
      <c r="AK116" s="212"/>
      <c r="AL116" s="296"/>
      <c r="AM116" s="322"/>
      <c r="AN116" s="305"/>
      <c r="AO116" s="305"/>
      <c r="AP116" s="305"/>
      <c r="AQ116" s="305"/>
      <c r="AR116" s="306"/>
      <c r="AS116" s="296"/>
      <c r="AT116" s="144"/>
      <c r="AU116" s="5683" t="s">
        <v>920</v>
      </c>
      <c r="AV116" s="5684"/>
      <c r="AW116" s="5684"/>
      <c r="AX116" s="5684"/>
      <c r="AY116" s="5684"/>
      <c r="AZ116" s="5684"/>
      <c r="BA116" s="5685"/>
      <c r="BB116" s="229"/>
      <c r="BC116" s="2679">
        <v>1</v>
      </c>
      <c r="BD116" s="2680"/>
      <c r="BE116" s="2680"/>
      <c r="BF116" s="2680"/>
      <c r="BG116" s="2680"/>
      <c r="BH116" s="2680"/>
      <c r="BI116" s="334"/>
      <c r="BJ116" s="2632"/>
      <c r="BK116" s="2638"/>
      <c r="BL116" s="2638"/>
      <c r="BM116" s="2638"/>
      <c r="BN116" s="2638"/>
      <c r="BO116" s="2638"/>
      <c r="BP116" s="2639"/>
      <c r="BQ116" s="213"/>
      <c r="BR116" s="214"/>
      <c r="BS116" s="215"/>
      <c r="BV116" s="218"/>
    </row>
    <row r="117" spans="1:74" s="80" customFormat="1" ht="30" customHeight="1">
      <c r="A117" s="2705">
        <f t="shared" si="5"/>
        <v>96</v>
      </c>
      <c r="B117" s="2624" t="s">
        <v>1176</v>
      </c>
      <c r="C117" s="2625" t="s">
        <v>78</v>
      </c>
      <c r="D117" s="220"/>
      <c r="E117" s="2626"/>
      <c r="F117" s="2627"/>
      <c r="G117" s="2628"/>
      <c r="H117" s="211"/>
      <c r="I117" s="2629"/>
      <c r="J117" s="2626"/>
      <c r="K117" s="2627"/>
      <c r="L117" s="2628"/>
      <c r="M117" s="253"/>
      <c r="N117" s="219"/>
      <c r="O117" s="2630"/>
      <c r="P117" s="2674"/>
      <c r="Q117" s="2675"/>
      <c r="R117" s="2675"/>
      <c r="S117" s="2675"/>
      <c r="T117" s="2675"/>
      <c r="U117" s="2676"/>
      <c r="V117" s="2632" t="s">
        <v>1177</v>
      </c>
      <c r="W117" s="2628">
        <v>42302</v>
      </c>
      <c r="X117" s="253">
        <v>-5275731</v>
      </c>
      <c r="Y117" s="2633" t="s">
        <v>105</v>
      </c>
      <c r="Z117" s="2677">
        <v>1</v>
      </c>
      <c r="AA117" s="2678"/>
      <c r="AB117" s="2678"/>
      <c r="AC117" s="2678"/>
      <c r="AD117" s="2678"/>
      <c r="AE117" s="2678"/>
      <c r="AF117" s="2678">
        <v>1</v>
      </c>
      <c r="AG117" s="2633"/>
      <c r="AH117" s="213">
        <v>1</v>
      </c>
      <c r="AI117" s="2639"/>
      <c r="AJ117" s="2637"/>
      <c r="AK117" s="212"/>
      <c r="AL117" s="299"/>
      <c r="AM117" s="324"/>
      <c r="AN117" s="309"/>
      <c r="AO117" s="309"/>
      <c r="AP117" s="309"/>
      <c r="AQ117" s="309"/>
      <c r="AR117" s="310"/>
      <c r="AS117" s="299"/>
      <c r="AT117" s="212"/>
      <c r="AU117" s="228" t="s">
        <v>920</v>
      </c>
      <c r="AV117" s="229"/>
      <c r="AW117" s="229"/>
      <c r="AX117" s="229"/>
      <c r="AY117" s="229"/>
      <c r="AZ117" s="229"/>
      <c r="BA117" s="2701"/>
      <c r="BB117" s="229"/>
      <c r="BC117" s="2679">
        <v>1</v>
      </c>
      <c r="BD117" s="2680"/>
      <c r="BE117" s="2680"/>
      <c r="BF117" s="2680"/>
      <c r="BG117" s="2680"/>
      <c r="BH117" s="2680"/>
      <c r="BI117" s="334"/>
      <c r="BJ117" s="2632"/>
      <c r="BK117" s="2638"/>
      <c r="BL117" s="2638"/>
      <c r="BM117" s="2638"/>
      <c r="BN117" s="2638"/>
      <c r="BO117" s="2638"/>
      <c r="BP117" s="2639"/>
      <c r="BQ117" s="213"/>
      <c r="BR117" s="214"/>
      <c r="BS117" s="215"/>
      <c r="BV117" s="218"/>
    </row>
    <row r="118" spans="1:74" s="80" customFormat="1" ht="15.75">
      <c r="A118" s="2705">
        <f t="shared" si="5"/>
        <v>97</v>
      </c>
      <c r="B118" s="2624" t="s">
        <v>1178</v>
      </c>
      <c r="C118" s="2625" t="s">
        <v>78</v>
      </c>
      <c r="D118" s="141"/>
      <c r="E118" s="2684"/>
      <c r="F118" s="2685"/>
      <c r="G118" s="2702"/>
      <c r="H118" s="142"/>
      <c r="I118" s="2687"/>
      <c r="J118" s="2626"/>
      <c r="K118" s="2627"/>
      <c r="L118" s="2628"/>
      <c r="M118" s="253"/>
      <c r="N118" s="219"/>
      <c r="O118" s="2630"/>
      <c r="P118" s="2674"/>
      <c r="Q118" s="2675"/>
      <c r="R118" s="2675"/>
      <c r="S118" s="2675"/>
      <c r="T118" s="2675"/>
      <c r="U118" s="2676"/>
      <c r="V118" s="2632" t="s">
        <v>1179</v>
      </c>
      <c r="W118" s="2628">
        <v>42302</v>
      </c>
      <c r="X118" s="253">
        <v>-757900</v>
      </c>
      <c r="Y118" s="2633" t="s">
        <v>95</v>
      </c>
      <c r="Z118" s="2677">
        <v>1</v>
      </c>
      <c r="AA118" s="2678"/>
      <c r="AB118" s="2678">
        <v>1</v>
      </c>
      <c r="AC118" s="2678"/>
      <c r="AD118" s="2678"/>
      <c r="AE118" s="2678"/>
      <c r="AF118" s="2678"/>
      <c r="AG118" s="2633"/>
      <c r="AH118" s="213"/>
      <c r="AI118" s="2639"/>
      <c r="AJ118" s="2637"/>
      <c r="AK118" s="212"/>
      <c r="AL118" s="296"/>
      <c r="AM118" s="322"/>
      <c r="AN118" s="305"/>
      <c r="AO118" s="305"/>
      <c r="AP118" s="305"/>
      <c r="AQ118" s="305"/>
      <c r="AR118" s="306"/>
      <c r="AS118" s="296"/>
      <c r="AT118" s="144"/>
      <c r="AU118" s="5683" t="s">
        <v>920</v>
      </c>
      <c r="AV118" s="5684"/>
      <c r="AW118" s="5684"/>
      <c r="AX118" s="5684"/>
      <c r="AY118" s="5684"/>
      <c r="AZ118" s="5684"/>
      <c r="BA118" s="5685"/>
      <c r="BB118" s="229"/>
      <c r="BC118" s="2679">
        <v>1</v>
      </c>
      <c r="BD118" s="2680"/>
      <c r="BE118" s="2680"/>
      <c r="BF118" s="2680"/>
      <c r="BG118" s="2680"/>
      <c r="BH118" s="2680"/>
      <c r="BI118" s="334"/>
      <c r="BJ118" s="2632"/>
      <c r="BK118" s="2638"/>
      <c r="BL118" s="2638"/>
      <c r="BM118" s="2638"/>
      <c r="BN118" s="2638"/>
      <c r="BO118" s="2638"/>
      <c r="BP118" s="2639"/>
      <c r="BQ118" s="213"/>
      <c r="BR118" s="214"/>
      <c r="BS118" s="215"/>
      <c r="BV118" s="218"/>
    </row>
    <row r="119" spans="1:74" s="80" customFormat="1" ht="31.5">
      <c r="A119" s="2623">
        <f t="shared" si="5"/>
        <v>98</v>
      </c>
      <c r="B119" s="2624" t="s">
        <v>1180</v>
      </c>
      <c r="C119" s="2625" t="s">
        <v>78</v>
      </c>
      <c r="D119" s="141"/>
      <c r="E119" s="2684"/>
      <c r="F119" s="2685"/>
      <c r="G119" s="2702"/>
      <c r="H119" s="142"/>
      <c r="I119" s="2687"/>
      <c r="J119" s="2626"/>
      <c r="K119" s="2627"/>
      <c r="L119" s="2628"/>
      <c r="M119" s="253"/>
      <c r="N119" s="219"/>
      <c r="O119" s="2630"/>
      <c r="P119" s="2674"/>
      <c r="Q119" s="2675"/>
      <c r="R119" s="2675"/>
      <c r="S119" s="2675"/>
      <c r="T119" s="2675"/>
      <c r="U119" s="2676"/>
      <c r="V119" s="2632" t="s">
        <v>1181</v>
      </c>
      <c r="W119" s="2628">
        <v>42302</v>
      </c>
      <c r="X119" s="253">
        <f>-954445*0</f>
        <v>0</v>
      </c>
      <c r="Y119" s="2633" t="s">
        <v>552</v>
      </c>
      <c r="Z119" s="2677">
        <v>1</v>
      </c>
      <c r="AA119" s="2678">
        <v>1</v>
      </c>
      <c r="AB119" s="2678"/>
      <c r="AC119" s="2678"/>
      <c r="AD119" s="2678"/>
      <c r="AE119" s="2678"/>
      <c r="AF119" s="2678"/>
      <c r="AG119" s="2633"/>
      <c r="AH119" s="213"/>
      <c r="AI119" s="2639"/>
      <c r="AJ119" s="2637"/>
      <c r="AK119" s="212"/>
      <c r="AL119" s="296"/>
      <c r="AM119" s="322"/>
      <c r="AN119" s="305"/>
      <c r="AO119" s="305"/>
      <c r="AP119" s="305"/>
      <c r="AQ119" s="305"/>
      <c r="AR119" s="306"/>
      <c r="AS119" s="296"/>
      <c r="AT119" s="144"/>
      <c r="AU119" s="5683" t="s">
        <v>920</v>
      </c>
      <c r="AV119" s="5684"/>
      <c r="AW119" s="5684"/>
      <c r="AX119" s="5684"/>
      <c r="AY119" s="5684"/>
      <c r="AZ119" s="5684"/>
      <c r="BA119" s="5685"/>
      <c r="BB119" s="229"/>
      <c r="BC119" s="2679">
        <v>1</v>
      </c>
      <c r="BD119" s="2680"/>
      <c r="BE119" s="2680"/>
      <c r="BF119" s="2680"/>
      <c r="BG119" s="2680"/>
      <c r="BH119" s="2680"/>
      <c r="BI119" s="334"/>
      <c r="BJ119" s="2632"/>
      <c r="BK119" s="2638"/>
      <c r="BL119" s="2638"/>
      <c r="BM119" s="2638"/>
      <c r="BN119" s="2638"/>
      <c r="BO119" s="2638"/>
      <c r="BP119" s="2639"/>
      <c r="BQ119" s="213"/>
      <c r="BR119" s="214"/>
      <c r="BS119" s="215" t="s">
        <v>1182</v>
      </c>
      <c r="BV119" s="218"/>
    </row>
    <row r="120" spans="1:74" s="80" customFormat="1" ht="32.450000000000003" customHeight="1">
      <c r="A120" s="2623">
        <f t="shared" si="5"/>
        <v>99</v>
      </c>
      <c r="B120" s="2624" t="s">
        <v>1183</v>
      </c>
      <c r="C120" s="2625" t="s">
        <v>78</v>
      </c>
      <c r="D120" s="141"/>
      <c r="E120" s="2684"/>
      <c r="F120" s="2685"/>
      <c r="G120" s="2702"/>
      <c r="H120" s="142"/>
      <c r="I120" s="2687"/>
      <c r="J120" s="2626"/>
      <c r="K120" s="2627"/>
      <c r="L120" s="2628"/>
      <c r="M120" s="253"/>
      <c r="N120" s="219"/>
      <c r="O120" s="2630"/>
      <c r="P120" s="2674"/>
      <c r="Q120" s="2675"/>
      <c r="R120" s="2675"/>
      <c r="S120" s="2675"/>
      <c r="T120" s="2675"/>
      <c r="U120" s="2676"/>
      <c r="V120" s="2632" t="s">
        <v>1184</v>
      </c>
      <c r="W120" s="2628">
        <v>42302</v>
      </c>
      <c r="X120" s="253">
        <f>-397415*0</f>
        <v>0</v>
      </c>
      <c r="Y120" s="2633" t="s">
        <v>552</v>
      </c>
      <c r="Z120" s="2677">
        <v>1</v>
      </c>
      <c r="AA120" s="2678">
        <v>1</v>
      </c>
      <c r="AB120" s="2678"/>
      <c r="AC120" s="2678"/>
      <c r="AD120" s="2678"/>
      <c r="AE120" s="2678"/>
      <c r="AF120" s="2678"/>
      <c r="AG120" s="2633"/>
      <c r="AH120" s="213"/>
      <c r="AI120" s="2639"/>
      <c r="AJ120" s="2637"/>
      <c r="AK120" s="212"/>
      <c r="AL120" s="296"/>
      <c r="AM120" s="322"/>
      <c r="AN120" s="305"/>
      <c r="AO120" s="305"/>
      <c r="AP120" s="305"/>
      <c r="AQ120" s="305"/>
      <c r="AR120" s="306"/>
      <c r="AS120" s="296"/>
      <c r="AT120" s="144"/>
      <c r="AU120" s="5683" t="s">
        <v>920</v>
      </c>
      <c r="AV120" s="5684"/>
      <c r="AW120" s="5684"/>
      <c r="AX120" s="5684"/>
      <c r="AY120" s="5684"/>
      <c r="AZ120" s="5684"/>
      <c r="BA120" s="5685"/>
      <c r="BB120" s="229"/>
      <c r="BC120" s="2679">
        <v>1</v>
      </c>
      <c r="BD120" s="2680"/>
      <c r="BE120" s="2680"/>
      <c r="BF120" s="2680"/>
      <c r="BG120" s="2680"/>
      <c r="BH120" s="2680"/>
      <c r="BI120" s="334"/>
      <c r="BJ120" s="2632"/>
      <c r="BK120" s="2638"/>
      <c r="BL120" s="2638"/>
      <c r="BM120" s="2638"/>
      <c r="BN120" s="2638"/>
      <c r="BO120" s="2638"/>
      <c r="BP120" s="2639"/>
      <c r="BQ120" s="213"/>
      <c r="BR120" s="214"/>
      <c r="BS120" s="215" t="s">
        <v>1185</v>
      </c>
      <c r="BV120" s="218"/>
    </row>
    <row r="121" spans="1:74" s="80" customFormat="1" ht="15.75">
      <c r="A121" s="2705">
        <f t="shared" si="5"/>
        <v>100</v>
      </c>
      <c r="B121" s="2624" t="s">
        <v>1186</v>
      </c>
      <c r="C121" s="2625" t="s">
        <v>78</v>
      </c>
      <c r="D121" s="141"/>
      <c r="E121" s="2684"/>
      <c r="F121" s="2685"/>
      <c r="G121" s="2702"/>
      <c r="H121" s="142"/>
      <c r="I121" s="2687"/>
      <c r="J121" s="2626"/>
      <c r="K121" s="2627"/>
      <c r="L121" s="2628"/>
      <c r="M121" s="253"/>
      <c r="N121" s="219"/>
      <c r="O121" s="2630"/>
      <c r="P121" s="2674"/>
      <c r="Q121" s="2675"/>
      <c r="R121" s="2675"/>
      <c r="S121" s="2675"/>
      <c r="T121" s="2675"/>
      <c r="U121" s="2676"/>
      <c r="V121" s="2632" t="s">
        <v>1187</v>
      </c>
      <c r="W121" s="2628">
        <v>42299</v>
      </c>
      <c r="X121" s="253">
        <v>-3757233</v>
      </c>
      <c r="Y121" s="2633" t="s">
        <v>95</v>
      </c>
      <c r="Z121" s="2677">
        <v>1</v>
      </c>
      <c r="AA121" s="2678"/>
      <c r="AB121" s="2678">
        <v>1</v>
      </c>
      <c r="AC121" s="2678"/>
      <c r="AD121" s="2678"/>
      <c r="AE121" s="2678"/>
      <c r="AF121" s="2678"/>
      <c r="AG121" s="2633"/>
      <c r="AH121" s="213"/>
      <c r="AI121" s="2639"/>
      <c r="AJ121" s="2637"/>
      <c r="AK121" s="212"/>
      <c r="AL121" s="296"/>
      <c r="AM121" s="322"/>
      <c r="AN121" s="305"/>
      <c r="AO121" s="305"/>
      <c r="AP121" s="305"/>
      <c r="AQ121" s="305"/>
      <c r="AR121" s="306"/>
      <c r="AS121" s="296"/>
      <c r="AT121" s="144"/>
      <c r="AU121" s="5683" t="s">
        <v>920</v>
      </c>
      <c r="AV121" s="5684"/>
      <c r="AW121" s="5684"/>
      <c r="AX121" s="5684"/>
      <c r="AY121" s="5684"/>
      <c r="AZ121" s="5684"/>
      <c r="BA121" s="5685"/>
      <c r="BB121" s="229"/>
      <c r="BC121" s="2679">
        <v>1</v>
      </c>
      <c r="BD121" s="2680"/>
      <c r="BE121" s="2680"/>
      <c r="BF121" s="2680"/>
      <c r="BG121" s="2680"/>
      <c r="BH121" s="2680"/>
      <c r="BI121" s="334"/>
      <c r="BJ121" s="2632"/>
      <c r="BK121" s="2638"/>
      <c r="BL121" s="2638"/>
      <c r="BM121" s="2638"/>
      <c r="BN121" s="2638"/>
      <c r="BO121" s="2638"/>
      <c r="BP121" s="2639"/>
      <c r="BQ121" s="213"/>
      <c r="BR121" s="214"/>
      <c r="BS121" s="215"/>
      <c r="BV121" s="218"/>
    </row>
    <row r="122" spans="1:74" s="80" customFormat="1" ht="15.75">
      <c r="A122" s="2705">
        <f t="shared" si="5"/>
        <v>101</v>
      </c>
      <c r="B122" s="2624" t="s">
        <v>1188</v>
      </c>
      <c r="C122" s="2625" t="s">
        <v>78</v>
      </c>
      <c r="D122" s="141"/>
      <c r="E122" s="2684"/>
      <c r="F122" s="2685"/>
      <c r="G122" s="2702"/>
      <c r="H122" s="142"/>
      <c r="I122" s="2687"/>
      <c r="J122" s="2626"/>
      <c r="K122" s="2627"/>
      <c r="L122" s="2628"/>
      <c r="M122" s="253"/>
      <c r="N122" s="219"/>
      <c r="O122" s="2630"/>
      <c r="P122" s="2674"/>
      <c r="Q122" s="2675"/>
      <c r="R122" s="2675"/>
      <c r="S122" s="2675"/>
      <c r="T122" s="2675"/>
      <c r="U122" s="2676"/>
      <c r="V122" s="2632" t="s">
        <v>1189</v>
      </c>
      <c r="W122" s="2628">
        <v>42304</v>
      </c>
      <c r="X122" s="253">
        <v>123000</v>
      </c>
      <c r="Y122" s="2633" t="s">
        <v>105</v>
      </c>
      <c r="Z122" s="2677">
        <v>1</v>
      </c>
      <c r="AA122" s="2678"/>
      <c r="AB122" s="2678"/>
      <c r="AC122" s="2678"/>
      <c r="AD122" s="2678"/>
      <c r="AE122" s="2678"/>
      <c r="AF122" s="2678">
        <v>1</v>
      </c>
      <c r="AG122" s="2633"/>
      <c r="AH122" s="213">
        <v>1</v>
      </c>
      <c r="AI122" s="2639"/>
      <c r="AJ122" s="2637"/>
      <c r="AK122" s="212"/>
      <c r="AL122" s="296"/>
      <c r="AM122" s="322"/>
      <c r="AN122" s="305"/>
      <c r="AO122" s="305"/>
      <c r="AP122" s="305"/>
      <c r="AQ122" s="305"/>
      <c r="AR122" s="306"/>
      <c r="AS122" s="296"/>
      <c r="AT122" s="144"/>
      <c r="AU122" s="5683" t="s">
        <v>920</v>
      </c>
      <c r="AV122" s="5684"/>
      <c r="AW122" s="5684"/>
      <c r="AX122" s="5684"/>
      <c r="AY122" s="5684"/>
      <c r="AZ122" s="5684"/>
      <c r="BA122" s="5685"/>
      <c r="BB122" s="229"/>
      <c r="BC122" s="2679">
        <v>1</v>
      </c>
      <c r="BD122" s="2680"/>
      <c r="BE122" s="2680"/>
      <c r="BF122" s="2680"/>
      <c r="BG122" s="2680"/>
      <c r="BH122" s="2680"/>
      <c r="BI122" s="334"/>
      <c r="BJ122" s="2632"/>
      <c r="BK122" s="2638"/>
      <c r="BL122" s="2638"/>
      <c r="BM122" s="2638"/>
      <c r="BN122" s="2638"/>
      <c r="BO122" s="2638"/>
      <c r="BP122" s="2639"/>
      <c r="BQ122" s="213"/>
      <c r="BR122" s="214"/>
      <c r="BS122" s="215"/>
      <c r="BV122" s="218"/>
    </row>
    <row r="123" spans="1:74" s="80" customFormat="1" ht="15.75">
      <c r="A123" s="2623">
        <f t="shared" si="5"/>
        <v>102</v>
      </c>
      <c r="B123" s="2624" t="s">
        <v>1190</v>
      </c>
      <c r="C123" s="2625" t="s">
        <v>78</v>
      </c>
      <c r="D123" s="141"/>
      <c r="E123" s="2684"/>
      <c r="F123" s="2685"/>
      <c r="G123" s="2702"/>
      <c r="H123" s="142"/>
      <c r="I123" s="2687"/>
      <c r="J123" s="2626"/>
      <c r="K123" s="2627"/>
      <c r="L123" s="2628"/>
      <c r="M123" s="253"/>
      <c r="N123" s="219"/>
      <c r="O123" s="2630"/>
      <c r="P123" s="2674"/>
      <c r="Q123" s="2675"/>
      <c r="R123" s="2675"/>
      <c r="S123" s="2675"/>
      <c r="T123" s="2675"/>
      <c r="U123" s="2676"/>
      <c r="V123" s="2632" t="s">
        <v>1191</v>
      </c>
      <c r="W123" s="2628">
        <v>42312</v>
      </c>
      <c r="X123" s="253">
        <v>0</v>
      </c>
      <c r="Y123" s="2633" t="s">
        <v>552</v>
      </c>
      <c r="Z123" s="2677">
        <v>1</v>
      </c>
      <c r="AA123" s="2678">
        <v>1</v>
      </c>
      <c r="AB123" s="2678"/>
      <c r="AC123" s="2678"/>
      <c r="AD123" s="2678"/>
      <c r="AE123" s="2678"/>
      <c r="AF123" s="2678"/>
      <c r="AG123" s="2633"/>
      <c r="AH123" s="213"/>
      <c r="AI123" s="2639"/>
      <c r="AJ123" s="2637"/>
      <c r="AK123" s="212"/>
      <c r="AL123" s="299"/>
      <c r="AM123" s="324"/>
      <c r="AN123" s="309"/>
      <c r="AO123" s="309"/>
      <c r="AP123" s="309"/>
      <c r="AQ123" s="309"/>
      <c r="AR123" s="310"/>
      <c r="AS123" s="299"/>
      <c r="AT123" s="212"/>
      <c r="AU123" s="228" t="s">
        <v>920</v>
      </c>
      <c r="AV123" s="229"/>
      <c r="AW123" s="229"/>
      <c r="AX123" s="229"/>
      <c r="AY123" s="229"/>
      <c r="AZ123" s="229"/>
      <c r="BA123" s="2701"/>
      <c r="BB123" s="229"/>
      <c r="BC123" s="2679">
        <v>1</v>
      </c>
      <c r="BD123" s="2680"/>
      <c r="BE123" s="2680"/>
      <c r="BF123" s="2680"/>
      <c r="BG123" s="2680"/>
      <c r="BH123" s="2680"/>
      <c r="BI123" s="334"/>
      <c r="BJ123" s="2632"/>
      <c r="BK123" s="2638"/>
      <c r="BL123" s="2638"/>
      <c r="BM123" s="2638"/>
      <c r="BN123" s="2638"/>
      <c r="BO123" s="2638"/>
      <c r="BP123" s="2639"/>
      <c r="BQ123" s="213"/>
      <c r="BR123" s="214"/>
      <c r="BS123" s="215"/>
      <c r="BV123" s="218"/>
    </row>
    <row r="124" spans="1:74" s="80" customFormat="1" ht="31.5">
      <c r="A124" s="2705">
        <f>+A123+1</f>
        <v>103</v>
      </c>
      <c r="B124" s="2624" t="s">
        <v>1192</v>
      </c>
      <c r="C124" s="2625" t="s">
        <v>78</v>
      </c>
      <c r="D124" s="220"/>
      <c r="E124" s="2626"/>
      <c r="F124" s="2627"/>
      <c r="G124" s="2628"/>
      <c r="H124" s="211"/>
      <c r="I124" s="2629"/>
      <c r="J124" s="2626"/>
      <c r="K124" s="2627"/>
      <c r="L124" s="2628"/>
      <c r="M124" s="253"/>
      <c r="N124" s="219"/>
      <c r="O124" s="2630"/>
      <c r="P124" s="2674"/>
      <c r="Q124" s="2675"/>
      <c r="R124" s="2675"/>
      <c r="S124" s="2675"/>
      <c r="T124" s="2675"/>
      <c r="U124" s="2676"/>
      <c r="V124" s="2632" t="s">
        <v>1193</v>
      </c>
      <c r="W124" s="2628">
        <v>42312</v>
      </c>
      <c r="X124" s="253">
        <v>-2387000</v>
      </c>
      <c r="Y124" s="2633" t="s">
        <v>105</v>
      </c>
      <c r="Z124" s="2677">
        <v>1</v>
      </c>
      <c r="AA124" s="2678"/>
      <c r="AB124" s="2678"/>
      <c r="AC124" s="2678"/>
      <c r="AD124" s="2678"/>
      <c r="AE124" s="2678"/>
      <c r="AF124" s="2678">
        <v>1</v>
      </c>
      <c r="AG124" s="2633"/>
      <c r="AH124" s="213">
        <v>1</v>
      </c>
      <c r="AI124" s="2639"/>
      <c r="AJ124" s="2637"/>
      <c r="AK124" s="212"/>
      <c r="AL124" s="299"/>
      <c r="AM124" s="324"/>
      <c r="AN124" s="309"/>
      <c r="AO124" s="309"/>
      <c r="AP124" s="309"/>
      <c r="AQ124" s="309"/>
      <c r="AR124" s="310"/>
      <c r="AS124" s="299"/>
      <c r="AT124" s="212"/>
      <c r="AU124" s="228" t="s">
        <v>920</v>
      </c>
      <c r="AV124" s="229"/>
      <c r="AW124" s="229"/>
      <c r="AX124" s="229"/>
      <c r="AY124" s="229"/>
      <c r="AZ124" s="229"/>
      <c r="BA124" s="2701"/>
      <c r="BB124" s="229"/>
      <c r="BC124" s="2679">
        <v>1</v>
      </c>
      <c r="BD124" s="2680"/>
      <c r="BE124" s="2680"/>
      <c r="BF124" s="2680"/>
      <c r="BG124" s="2680"/>
      <c r="BH124" s="2680"/>
      <c r="BI124" s="334"/>
      <c r="BJ124" s="2632"/>
      <c r="BK124" s="2638"/>
      <c r="BL124" s="2638"/>
      <c r="BM124" s="2638"/>
      <c r="BN124" s="2638"/>
      <c r="BO124" s="2638"/>
      <c r="BP124" s="2639"/>
      <c r="BQ124" s="213"/>
      <c r="BR124" s="214"/>
      <c r="BS124" s="215"/>
      <c r="BV124" s="218"/>
    </row>
    <row r="125" spans="1:74" s="80" customFormat="1" ht="15.75">
      <c r="A125" s="2623">
        <f t="shared" si="5"/>
        <v>104</v>
      </c>
      <c r="B125" s="2624" t="s">
        <v>1194</v>
      </c>
      <c r="C125" s="2625" t="s">
        <v>78</v>
      </c>
      <c r="D125" s="220"/>
      <c r="E125" s="2626"/>
      <c r="F125" s="2627"/>
      <c r="G125" s="2628"/>
      <c r="H125" s="211"/>
      <c r="I125" s="2629"/>
      <c r="J125" s="2626"/>
      <c r="K125" s="2627"/>
      <c r="L125" s="2628"/>
      <c r="M125" s="253"/>
      <c r="N125" s="219"/>
      <c r="O125" s="2630"/>
      <c r="P125" s="2674"/>
      <c r="Q125" s="2675"/>
      <c r="R125" s="2675"/>
      <c r="S125" s="2675"/>
      <c r="T125" s="2675"/>
      <c r="U125" s="2676"/>
      <c r="V125" s="2632" t="s">
        <v>1195</v>
      </c>
      <c r="W125" s="2628">
        <v>42312</v>
      </c>
      <c r="X125" s="253">
        <v>-19000</v>
      </c>
      <c r="Y125" s="2633" t="s">
        <v>95</v>
      </c>
      <c r="Z125" s="2677">
        <v>1</v>
      </c>
      <c r="AA125" s="2678"/>
      <c r="AB125" s="2678">
        <v>1</v>
      </c>
      <c r="AC125" s="2678"/>
      <c r="AD125" s="2678"/>
      <c r="AE125" s="2678"/>
      <c r="AF125" s="2678"/>
      <c r="AG125" s="2633"/>
      <c r="AH125" s="213"/>
      <c r="AI125" s="2639"/>
      <c r="AJ125" s="2637"/>
      <c r="AK125" s="212"/>
      <c r="AL125" s="299"/>
      <c r="AM125" s="324"/>
      <c r="AN125" s="309"/>
      <c r="AO125" s="309"/>
      <c r="AP125" s="309"/>
      <c r="AQ125" s="309"/>
      <c r="AR125" s="310"/>
      <c r="AS125" s="299"/>
      <c r="AT125" s="212"/>
      <c r="AU125" s="228"/>
      <c r="AV125" s="229"/>
      <c r="AW125" s="229"/>
      <c r="AX125" s="229"/>
      <c r="AY125" s="229"/>
      <c r="AZ125" s="229"/>
      <c r="BA125" s="2701"/>
      <c r="BB125" s="229"/>
      <c r="BC125" s="2679"/>
      <c r="BD125" s="2680"/>
      <c r="BE125" s="2680"/>
      <c r="BF125" s="2680"/>
      <c r="BG125" s="2680"/>
      <c r="BH125" s="2680"/>
      <c r="BI125" s="334"/>
      <c r="BJ125" s="2632"/>
      <c r="BK125" s="2638"/>
      <c r="BL125" s="2638"/>
      <c r="BM125" s="2638"/>
      <c r="BN125" s="2638"/>
      <c r="BO125" s="2638"/>
      <c r="BP125" s="2639"/>
      <c r="BQ125" s="213"/>
      <c r="BR125" s="214"/>
      <c r="BS125" s="215"/>
      <c r="BV125" s="218"/>
    </row>
    <row r="126" spans="1:74" s="80" customFormat="1" ht="31.5">
      <c r="A126" s="2705">
        <f t="shared" si="5"/>
        <v>105</v>
      </c>
      <c r="B126" s="2624" t="s">
        <v>1196</v>
      </c>
      <c r="C126" s="2625" t="s">
        <v>78</v>
      </c>
      <c r="D126" s="220"/>
      <c r="E126" s="2626"/>
      <c r="F126" s="2627"/>
      <c r="G126" s="2628"/>
      <c r="H126" s="211"/>
      <c r="I126" s="2629"/>
      <c r="J126" s="2626"/>
      <c r="K126" s="2627"/>
      <c r="L126" s="2628"/>
      <c r="M126" s="253"/>
      <c r="N126" s="219"/>
      <c r="O126" s="2630"/>
      <c r="P126" s="2674"/>
      <c r="Q126" s="2675"/>
      <c r="R126" s="2675"/>
      <c r="S126" s="2675"/>
      <c r="T126" s="2675"/>
      <c r="U126" s="2676"/>
      <c r="V126" s="2632" t="s">
        <v>1197</v>
      </c>
      <c r="W126" s="2628">
        <v>42312</v>
      </c>
      <c r="X126" s="253">
        <v>-1365000</v>
      </c>
      <c r="Y126" s="2633" t="s">
        <v>105</v>
      </c>
      <c r="Z126" s="2677">
        <v>1</v>
      </c>
      <c r="AA126" s="2678"/>
      <c r="AB126" s="2678"/>
      <c r="AC126" s="2678"/>
      <c r="AD126" s="2678"/>
      <c r="AE126" s="2678"/>
      <c r="AF126" s="2678">
        <v>1</v>
      </c>
      <c r="AG126" s="2633"/>
      <c r="AH126" s="213">
        <v>1</v>
      </c>
      <c r="AI126" s="2639"/>
      <c r="AJ126" s="2637"/>
      <c r="AK126" s="212"/>
      <c r="AL126" s="299"/>
      <c r="AM126" s="324"/>
      <c r="AN126" s="309"/>
      <c r="AO126" s="309"/>
      <c r="AP126" s="309"/>
      <c r="AQ126" s="309"/>
      <c r="AR126" s="310"/>
      <c r="AS126" s="299"/>
      <c r="AT126" s="212"/>
      <c r="AU126" s="5683" t="s">
        <v>920</v>
      </c>
      <c r="AV126" s="5684"/>
      <c r="AW126" s="5684"/>
      <c r="AX126" s="5684"/>
      <c r="AY126" s="5684"/>
      <c r="AZ126" s="5684"/>
      <c r="BA126" s="5685"/>
      <c r="BB126" s="229"/>
      <c r="BC126" s="2679" t="s">
        <v>696</v>
      </c>
      <c r="BD126" s="2680"/>
      <c r="BE126" s="2680"/>
      <c r="BF126" s="2680"/>
      <c r="BG126" s="2680"/>
      <c r="BH126" s="2680"/>
      <c r="BI126" s="334"/>
      <c r="BJ126" s="2632"/>
      <c r="BK126" s="2638"/>
      <c r="BL126" s="2638"/>
      <c r="BM126" s="2638"/>
      <c r="BN126" s="2638"/>
      <c r="BO126" s="2638"/>
      <c r="BP126" s="2639"/>
      <c r="BQ126" s="213"/>
      <c r="BR126" s="214"/>
      <c r="BS126" s="215"/>
      <c r="BV126" s="218"/>
    </row>
    <row r="127" spans="1:74" s="80" customFormat="1" ht="31.5">
      <c r="A127" s="2681">
        <f t="shared" si="5"/>
        <v>106</v>
      </c>
      <c r="B127" s="2682" t="s">
        <v>1198</v>
      </c>
      <c r="C127" s="2683" t="s">
        <v>78</v>
      </c>
      <c r="D127" s="141"/>
      <c r="E127" s="2684"/>
      <c r="F127" s="2685"/>
      <c r="G127" s="2702"/>
      <c r="H127" s="142"/>
      <c r="I127" s="2687"/>
      <c r="J127" s="2626"/>
      <c r="K127" s="2627"/>
      <c r="L127" s="2628"/>
      <c r="M127" s="253"/>
      <c r="N127" s="219"/>
      <c r="O127" s="2630"/>
      <c r="P127" s="2674"/>
      <c r="Q127" s="2675"/>
      <c r="R127" s="2675"/>
      <c r="S127" s="2675"/>
      <c r="T127" s="2675"/>
      <c r="U127" s="2676"/>
      <c r="V127" s="2692" t="s">
        <v>1199</v>
      </c>
      <c r="W127" s="2702">
        <v>42317</v>
      </c>
      <c r="X127" s="257">
        <v>679000</v>
      </c>
      <c r="Y127" s="2693" t="s">
        <v>105</v>
      </c>
      <c r="Z127" s="2694">
        <v>1</v>
      </c>
      <c r="AA127" s="2695"/>
      <c r="AB127" s="2695"/>
      <c r="AC127" s="2695"/>
      <c r="AD127" s="2695"/>
      <c r="AE127" s="2695"/>
      <c r="AF127" s="2695">
        <v>1</v>
      </c>
      <c r="AG127" s="2693"/>
      <c r="AH127" s="145">
        <v>1</v>
      </c>
      <c r="AI127" s="2696"/>
      <c r="AJ127" s="2697"/>
      <c r="AK127" s="144"/>
      <c r="AL127" s="296"/>
      <c r="AM127" s="322"/>
      <c r="AN127" s="305"/>
      <c r="AO127" s="305"/>
      <c r="AP127" s="305"/>
      <c r="AQ127" s="305"/>
      <c r="AR127" s="306"/>
      <c r="AS127" s="296"/>
      <c r="AT127" s="144"/>
      <c r="AU127" s="221"/>
      <c r="AV127" s="222"/>
      <c r="AW127" s="222"/>
      <c r="AX127" s="222"/>
      <c r="AY127" s="222"/>
      <c r="AZ127" s="222"/>
      <c r="BA127" s="2703"/>
      <c r="BB127" s="222"/>
      <c r="BC127" s="2698"/>
      <c r="BD127" s="2699"/>
      <c r="BE127" s="2699"/>
      <c r="BF127" s="2699"/>
      <c r="BG127" s="2699"/>
      <c r="BH127" s="2699"/>
      <c r="BI127" s="335"/>
      <c r="BJ127" s="2692"/>
      <c r="BK127" s="2700"/>
      <c r="BL127" s="2700"/>
      <c r="BM127" s="2700"/>
      <c r="BN127" s="2700"/>
      <c r="BO127" s="2700"/>
      <c r="BP127" s="2696"/>
      <c r="BQ127" s="145"/>
      <c r="BR127" s="146"/>
      <c r="BS127" s="147"/>
      <c r="BV127" s="218"/>
    </row>
    <row r="128" spans="1:74" s="80" customFormat="1" ht="31.5">
      <c r="A128" s="2705">
        <v>107</v>
      </c>
      <c r="B128" s="2624" t="s">
        <v>1200</v>
      </c>
      <c r="C128" s="2625" t="s">
        <v>78</v>
      </c>
      <c r="D128" s="220"/>
      <c r="E128" s="2626"/>
      <c r="F128" s="2627"/>
      <c r="G128" s="2628"/>
      <c r="H128" s="211"/>
      <c r="I128" s="2629"/>
      <c r="J128" s="2626"/>
      <c r="K128" s="2627" t="s">
        <v>1201</v>
      </c>
      <c r="L128" s="2628">
        <v>42323</v>
      </c>
      <c r="M128" s="253">
        <v>0</v>
      </c>
      <c r="N128" s="219"/>
      <c r="O128" s="2630" t="s">
        <v>843</v>
      </c>
      <c r="P128" s="2674">
        <v>1</v>
      </c>
      <c r="Q128" s="2675"/>
      <c r="R128" s="2675">
        <v>1</v>
      </c>
      <c r="S128" s="2675"/>
      <c r="T128" s="2675"/>
      <c r="U128" s="2676"/>
      <c r="V128" s="2632" t="s">
        <v>1202</v>
      </c>
      <c r="W128" s="2628">
        <v>42353</v>
      </c>
      <c r="X128" s="253">
        <v>-4708520</v>
      </c>
      <c r="Y128" s="2633" t="s">
        <v>95</v>
      </c>
      <c r="Z128" s="2677">
        <v>1</v>
      </c>
      <c r="AA128" s="2678"/>
      <c r="AB128" s="2678">
        <v>1</v>
      </c>
      <c r="AC128" s="2678"/>
      <c r="AD128" s="2678"/>
      <c r="AE128" s="2678"/>
      <c r="AF128" s="2678"/>
      <c r="AG128" s="2633"/>
      <c r="AH128" s="213"/>
      <c r="AI128" s="2639"/>
      <c r="AJ128" s="2637"/>
      <c r="AK128" s="212"/>
      <c r="AL128" s="299"/>
      <c r="AM128" s="324"/>
      <c r="AN128" s="309"/>
      <c r="AO128" s="309"/>
      <c r="AP128" s="309"/>
      <c r="AQ128" s="309"/>
      <c r="AR128" s="310"/>
      <c r="AS128" s="299"/>
      <c r="AT128" s="212"/>
      <c r="AU128" s="228" t="s">
        <v>1203</v>
      </c>
      <c r="AV128" s="229"/>
      <c r="AW128" s="229"/>
      <c r="AX128" s="229"/>
      <c r="AY128" s="229"/>
      <c r="AZ128" s="229"/>
      <c r="BA128" s="2701"/>
      <c r="BB128" s="229"/>
      <c r="BC128" s="2679">
        <v>1</v>
      </c>
      <c r="BD128" s="2680"/>
      <c r="BE128" s="2680"/>
      <c r="BF128" s="2680"/>
      <c r="BG128" s="2680"/>
      <c r="BH128" s="2680"/>
      <c r="BI128" s="334"/>
      <c r="BJ128" s="2632"/>
      <c r="BK128" s="2638"/>
      <c r="BL128" s="2638"/>
      <c r="BM128" s="2638"/>
      <c r="BN128" s="2638"/>
      <c r="BO128" s="2638"/>
      <c r="BP128" s="2639"/>
      <c r="BQ128" s="213"/>
      <c r="BR128" s="214"/>
      <c r="BS128" s="215"/>
      <c r="BV128" s="218"/>
    </row>
    <row r="129" spans="1:74" s="80" customFormat="1" ht="31.5">
      <c r="A129" s="2705">
        <v>108</v>
      </c>
      <c r="B129" s="2624" t="s">
        <v>1204</v>
      </c>
      <c r="C129" s="2625" t="s">
        <v>78</v>
      </c>
      <c r="D129" s="220"/>
      <c r="E129" s="2626"/>
      <c r="F129" s="2627"/>
      <c r="G129" s="2628"/>
      <c r="H129" s="211"/>
      <c r="I129" s="2629"/>
      <c r="J129" s="2626"/>
      <c r="K129" s="2627"/>
      <c r="L129" s="2628"/>
      <c r="M129" s="253"/>
      <c r="N129" s="219"/>
      <c r="O129" s="2630"/>
      <c r="P129" s="2674"/>
      <c r="Q129" s="2675"/>
      <c r="R129" s="2675"/>
      <c r="S129" s="2675"/>
      <c r="T129" s="2675"/>
      <c r="U129" s="2676"/>
      <c r="V129" s="2632" t="s">
        <v>1205</v>
      </c>
      <c r="W129" s="2628">
        <v>42327</v>
      </c>
      <c r="X129" s="253">
        <v>967119</v>
      </c>
      <c r="Y129" s="2633" t="s">
        <v>105</v>
      </c>
      <c r="Z129" s="2677">
        <v>1</v>
      </c>
      <c r="AA129" s="2678"/>
      <c r="AB129" s="2678"/>
      <c r="AC129" s="2678"/>
      <c r="AD129" s="2678"/>
      <c r="AE129" s="2678"/>
      <c r="AF129" s="2678">
        <v>1</v>
      </c>
      <c r="AG129" s="2633"/>
      <c r="AH129" s="213">
        <v>1</v>
      </c>
      <c r="AI129" s="2639"/>
      <c r="AJ129" s="2637"/>
      <c r="AK129" s="212"/>
      <c r="AL129" s="299"/>
      <c r="AM129" s="324"/>
      <c r="AN129" s="309"/>
      <c r="AO129" s="309"/>
      <c r="AP129" s="309"/>
      <c r="AQ129" s="309"/>
      <c r="AR129" s="310"/>
      <c r="AS129" s="299"/>
      <c r="AT129" s="212"/>
      <c r="AU129" s="228" t="s">
        <v>1203</v>
      </c>
      <c r="AV129" s="229"/>
      <c r="AW129" s="229"/>
      <c r="AX129" s="229"/>
      <c r="AY129" s="229"/>
      <c r="AZ129" s="229"/>
      <c r="BA129" s="2701"/>
      <c r="BB129" s="229"/>
      <c r="BC129" s="2679">
        <v>1</v>
      </c>
      <c r="BD129" s="2680"/>
      <c r="BE129" s="2680"/>
      <c r="BF129" s="2680"/>
      <c r="BG129" s="2680"/>
      <c r="BH129" s="2680"/>
      <c r="BI129" s="334"/>
      <c r="BJ129" s="2632"/>
      <c r="BK129" s="2638"/>
      <c r="BL129" s="2638"/>
      <c r="BM129" s="2638"/>
      <c r="BN129" s="2638"/>
      <c r="BO129" s="2638"/>
      <c r="BP129" s="2639"/>
      <c r="BQ129" s="213"/>
      <c r="BR129" s="214"/>
      <c r="BS129" s="215"/>
      <c r="BV129" s="218"/>
    </row>
    <row r="130" spans="1:74" s="80" customFormat="1" ht="15.75">
      <c r="A130" s="2623">
        <v>109</v>
      </c>
      <c r="B130" s="2624" t="s">
        <v>1206</v>
      </c>
      <c r="C130" s="2625" t="s">
        <v>78</v>
      </c>
      <c r="D130" s="220"/>
      <c r="E130" s="2626"/>
      <c r="F130" s="2627"/>
      <c r="G130" s="2628"/>
      <c r="H130" s="211"/>
      <c r="I130" s="2629"/>
      <c r="J130" s="2626"/>
      <c r="K130" s="2627"/>
      <c r="L130" s="2628"/>
      <c r="M130" s="253"/>
      <c r="N130" s="219"/>
      <c r="O130" s="2630"/>
      <c r="P130" s="2674"/>
      <c r="Q130" s="2675"/>
      <c r="R130" s="2675"/>
      <c r="S130" s="2675"/>
      <c r="T130" s="2675"/>
      <c r="U130" s="2676"/>
      <c r="V130" s="2632" t="s">
        <v>1207</v>
      </c>
      <c r="W130" s="2628">
        <v>42298</v>
      </c>
      <c r="X130" s="253">
        <v>0</v>
      </c>
      <c r="Y130" s="2633" t="s">
        <v>552</v>
      </c>
      <c r="Z130" s="2677">
        <v>1</v>
      </c>
      <c r="AA130" s="2678">
        <v>1</v>
      </c>
      <c r="AB130" s="2678"/>
      <c r="AC130" s="2678"/>
      <c r="AD130" s="2678"/>
      <c r="AE130" s="2678"/>
      <c r="AF130" s="2678"/>
      <c r="AG130" s="2633"/>
      <c r="AH130" s="213"/>
      <c r="AI130" s="2639"/>
      <c r="AJ130" s="2637"/>
      <c r="AK130" s="212"/>
      <c r="AL130" s="299"/>
      <c r="AM130" s="324"/>
      <c r="AN130" s="309"/>
      <c r="AO130" s="309"/>
      <c r="AP130" s="309"/>
      <c r="AQ130" s="309"/>
      <c r="AR130" s="310"/>
      <c r="AS130" s="299"/>
      <c r="AT130" s="212"/>
      <c r="AU130" s="228"/>
      <c r="AV130" s="229"/>
      <c r="AW130" s="229"/>
      <c r="AX130" s="229"/>
      <c r="AY130" s="229"/>
      <c r="AZ130" s="229"/>
      <c r="BA130" s="2701"/>
      <c r="BB130" s="229"/>
      <c r="BC130" s="2679"/>
      <c r="BD130" s="2680"/>
      <c r="BE130" s="2680"/>
      <c r="BF130" s="2680"/>
      <c r="BG130" s="2680"/>
      <c r="BH130" s="2680"/>
      <c r="BI130" s="334"/>
      <c r="BJ130" s="2632"/>
      <c r="BK130" s="2638"/>
      <c r="BL130" s="2638"/>
      <c r="BM130" s="2638"/>
      <c r="BN130" s="2638"/>
      <c r="BO130" s="2638"/>
      <c r="BP130" s="2639"/>
      <c r="BQ130" s="213"/>
      <c r="BR130" s="214"/>
      <c r="BS130" s="215"/>
      <c r="BV130" s="218"/>
    </row>
    <row r="131" spans="1:74" s="80" customFormat="1" ht="31.5">
      <c r="A131" s="2681">
        <v>110</v>
      </c>
      <c r="B131" s="2682" t="s">
        <v>1208</v>
      </c>
      <c r="C131" s="2683" t="s">
        <v>78</v>
      </c>
      <c r="D131" s="141"/>
      <c r="E131" s="2684"/>
      <c r="F131" s="2685"/>
      <c r="G131" s="2686"/>
      <c r="H131" s="142"/>
      <c r="I131" s="2687"/>
      <c r="J131" s="2684"/>
      <c r="K131" s="2685" t="s">
        <v>1209</v>
      </c>
      <c r="L131" s="2686">
        <v>42353</v>
      </c>
      <c r="M131" s="257">
        <v>0</v>
      </c>
      <c r="N131" s="143"/>
      <c r="O131" s="2688" t="s">
        <v>105</v>
      </c>
      <c r="P131" s="2689">
        <v>1</v>
      </c>
      <c r="Q131" s="2690"/>
      <c r="R131" s="2690"/>
      <c r="S131" s="2690">
        <v>1</v>
      </c>
      <c r="T131" s="2690"/>
      <c r="U131" s="2691"/>
      <c r="V131" s="2692"/>
      <c r="W131" s="2686"/>
      <c r="X131" s="257"/>
      <c r="Y131" s="2693"/>
      <c r="Z131" s="2694"/>
      <c r="AA131" s="2695"/>
      <c r="AB131" s="2695"/>
      <c r="AC131" s="2695"/>
      <c r="AD131" s="2695"/>
      <c r="AE131" s="2695"/>
      <c r="AF131" s="2695"/>
      <c r="AG131" s="2693"/>
      <c r="AH131" s="145"/>
      <c r="AI131" s="2696"/>
      <c r="AJ131" s="2697"/>
      <c r="AK131" s="144"/>
      <c r="AL131" s="296"/>
      <c r="AM131" s="322"/>
      <c r="AN131" s="305"/>
      <c r="AO131" s="305"/>
      <c r="AP131" s="305"/>
      <c r="AQ131" s="305"/>
      <c r="AR131" s="306"/>
      <c r="AS131" s="296"/>
      <c r="AT131" s="144"/>
      <c r="AU131" s="221"/>
      <c r="AV131" s="222"/>
      <c r="AW131" s="222"/>
      <c r="AX131" s="222"/>
      <c r="AY131" s="222"/>
      <c r="AZ131" s="222"/>
      <c r="BA131" s="2703"/>
      <c r="BB131" s="222"/>
      <c r="BC131" s="2698"/>
      <c r="BD131" s="2699"/>
      <c r="BE131" s="2699"/>
      <c r="BF131" s="2699"/>
      <c r="BG131" s="2699"/>
      <c r="BH131" s="2699"/>
      <c r="BI131" s="335"/>
      <c r="BJ131" s="2692"/>
      <c r="BK131" s="2700"/>
      <c r="BL131" s="2700"/>
      <c r="BM131" s="2700"/>
      <c r="BN131" s="2700"/>
      <c r="BO131" s="2700"/>
      <c r="BP131" s="2696"/>
      <c r="BQ131" s="145"/>
      <c r="BR131" s="146"/>
      <c r="BS131" s="147"/>
      <c r="BV131" s="218"/>
    </row>
    <row r="132" spans="1:74" s="80" customFormat="1" ht="31.5">
      <c r="A132" s="2681">
        <v>111</v>
      </c>
      <c r="B132" s="2682" t="s">
        <v>1210</v>
      </c>
      <c r="C132" s="2683" t="s">
        <v>78</v>
      </c>
      <c r="D132" s="141"/>
      <c r="E132" s="2684"/>
      <c r="F132" s="2685"/>
      <c r="G132" s="2686"/>
      <c r="H132" s="142"/>
      <c r="I132" s="2687"/>
      <c r="J132" s="2684"/>
      <c r="K132" s="2685"/>
      <c r="L132" s="2686"/>
      <c r="M132" s="257"/>
      <c r="N132" s="143"/>
      <c r="O132" s="2688"/>
      <c r="P132" s="2689"/>
      <c r="Q132" s="2690"/>
      <c r="R132" s="2690"/>
      <c r="S132" s="2690"/>
      <c r="T132" s="2690"/>
      <c r="U132" s="2691"/>
      <c r="V132" s="2692" t="s">
        <v>1211</v>
      </c>
      <c r="W132" s="2686">
        <v>42353</v>
      </c>
      <c r="X132" s="257">
        <v>405588</v>
      </c>
      <c r="Y132" s="2693" t="s">
        <v>105</v>
      </c>
      <c r="Z132" s="2694">
        <v>1</v>
      </c>
      <c r="AA132" s="2695"/>
      <c r="AB132" s="2695"/>
      <c r="AC132" s="2695"/>
      <c r="AD132" s="2695"/>
      <c r="AE132" s="2695">
        <v>1</v>
      </c>
      <c r="AF132" s="2695"/>
      <c r="AG132" s="2693"/>
      <c r="AH132" s="145">
        <v>1</v>
      </c>
      <c r="AI132" s="2696"/>
      <c r="AJ132" s="2697"/>
      <c r="AK132" s="144"/>
      <c r="AL132" s="296"/>
      <c r="AM132" s="322"/>
      <c r="AN132" s="305"/>
      <c r="AO132" s="305"/>
      <c r="AP132" s="305"/>
      <c r="AQ132" s="305"/>
      <c r="AR132" s="306"/>
      <c r="AS132" s="296"/>
      <c r="AT132" s="144"/>
      <c r="AU132" s="221"/>
      <c r="AV132" s="222"/>
      <c r="AW132" s="222"/>
      <c r="AX132" s="222"/>
      <c r="AY132" s="222"/>
      <c r="AZ132" s="222"/>
      <c r="BA132" s="2703"/>
      <c r="BB132" s="222"/>
      <c r="BC132" s="2698"/>
      <c r="BD132" s="2699"/>
      <c r="BE132" s="2699"/>
      <c r="BF132" s="2699"/>
      <c r="BG132" s="2699"/>
      <c r="BH132" s="2699"/>
      <c r="BI132" s="335"/>
      <c r="BJ132" s="2692"/>
      <c r="BK132" s="2700"/>
      <c r="BL132" s="2700"/>
      <c r="BM132" s="2700"/>
      <c r="BN132" s="2700"/>
      <c r="BO132" s="2700"/>
      <c r="BP132" s="2696"/>
      <c r="BQ132" s="145"/>
      <c r="BR132" s="146"/>
      <c r="BS132" s="147"/>
      <c r="BV132" s="218"/>
    </row>
    <row r="133" spans="1:74" s="80" customFormat="1" ht="31.5">
      <c r="A133" s="2681">
        <v>112</v>
      </c>
      <c r="B133" s="2682" t="s">
        <v>1212</v>
      </c>
      <c r="C133" s="2683" t="s">
        <v>78</v>
      </c>
      <c r="D133" s="141"/>
      <c r="E133" s="2684"/>
      <c r="F133" s="2685"/>
      <c r="G133" s="2686"/>
      <c r="H133" s="142"/>
      <c r="I133" s="2687"/>
      <c r="J133" s="2684"/>
      <c r="K133" s="2685" t="s">
        <v>1213</v>
      </c>
      <c r="L133" s="2686">
        <v>42353</v>
      </c>
      <c r="M133" s="257">
        <v>29745</v>
      </c>
      <c r="N133" s="143"/>
      <c r="O133" s="2688" t="s">
        <v>105</v>
      </c>
      <c r="P133" s="2689">
        <v>1</v>
      </c>
      <c r="Q133" s="2690"/>
      <c r="R133" s="2690"/>
      <c r="S133" s="2690">
        <v>1</v>
      </c>
      <c r="T133" s="2690"/>
      <c r="U133" s="2691"/>
      <c r="V133" s="2692"/>
      <c r="W133" s="2686"/>
      <c r="X133" s="257"/>
      <c r="Y133" s="2693"/>
      <c r="Z133" s="2694"/>
      <c r="AA133" s="2695"/>
      <c r="AB133" s="2695"/>
      <c r="AC133" s="2695"/>
      <c r="AD133" s="2695"/>
      <c r="AE133" s="2695"/>
      <c r="AF133" s="2695"/>
      <c r="AG133" s="2693"/>
      <c r="AH133" s="145"/>
      <c r="AI133" s="2696"/>
      <c r="AJ133" s="2697"/>
      <c r="AK133" s="144"/>
      <c r="AL133" s="296"/>
      <c r="AM133" s="322"/>
      <c r="AN133" s="305"/>
      <c r="AO133" s="305"/>
      <c r="AP133" s="305"/>
      <c r="AQ133" s="305"/>
      <c r="AR133" s="306"/>
      <c r="AS133" s="296"/>
      <c r="AT133" s="144"/>
      <c r="AU133" s="221"/>
      <c r="AV133" s="222"/>
      <c r="AW133" s="222"/>
      <c r="AX133" s="222"/>
      <c r="AY133" s="222"/>
      <c r="AZ133" s="222"/>
      <c r="BA133" s="2703"/>
      <c r="BB133" s="222"/>
      <c r="BC133" s="2698"/>
      <c r="BD133" s="2699"/>
      <c r="BE133" s="2699"/>
      <c r="BF133" s="2699"/>
      <c r="BG133" s="2699"/>
      <c r="BH133" s="2699"/>
      <c r="BI133" s="335"/>
      <c r="BJ133" s="2692"/>
      <c r="BK133" s="2700"/>
      <c r="BL133" s="2700"/>
      <c r="BM133" s="2700"/>
      <c r="BN133" s="2700"/>
      <c r="BO133" s="2700"/>
      <c r="BP133" s="2696"/>
      <c r="BQ133" s="145"/>
      <c r="BR133" s="146"/>
      <c r="BS133" s="147"/>
      <c r="BV133" s="218"/>
    </row>
    <row r="134" spans="1:74" s="80" customFormat="1" ht="47.25">
      <c r="A134" s="2681">
        <v>113</v>
      </c>
      <c r="B134" s="2682" t="s">
        <v>1214</v>
      </c>
      <c r="C134" s="2683" t="s">
        <v>78</v>
      </c>
      <c r="D134" s="141"/>
      <c r="E134" s="2684"/>
      <c r="F134" s="2685"/>
      <c r="G134" s="2686"/>
      <c r="H134" s="142"/>
      <c r="I134" s="2687"/>
      <c r="J134" s="2684"/>
      <c r="K134" s="2685" t="s">
        <v>1215</v>
      </c>
      <c r="L134" s="2686">
        <v>42353</v>
      </c>
      <c r="M134" s="257">
        <v>375000</v>
      </c>
      <c r="N134" s="143"/>
      <c r="O134" s="2688" t="s">
        <v>105</v>
      </c>
      <c r="P134" s="2689">
        <v>1</v>
      </c>
      <c r="Q134" s="2690"/>
      <c r="R134" s="2690"/>
      <c r="S134" s="2690">
        <v>1</v>
      </c>
      <c r="T134" s="2690"/>
      <c r="U134" s="2691"/>
      <c r="V134" s="2692"/>
      <c r="W134" s="2686"/>
      <c r="X134" s="257"/>
      <c r="Y134" s="2693"/>
      <c r="Z134" s="2694"/>
      <c r="AA134" s="2695"/>
      <c r="AB134" s="2695"/>
      <c r="AC134" s="2695"/>
      <c r="AD134" s="2695"/>
      <c r="AE134" s="2695"/>
      <c r="AF134" s="2695"/>
      <c r="AG134" s="2693"/>
      <c r="AH134" s="145"/>
      <c r="AI134" s="2696"/>
      <c r="AJ134" s="2697"/>
      <c r="AK134" s="144"/>
      <c r="AL134" s="296"/>
      <c r="AM134" s="322"/>
      <c r="AN134" s="305"/>
      <c r="AO134" s="305"/>
      <c r="AP134" s="305"/>
      <c r="AQ134" s="305"/>
      <c r="AR134" s="306"/>
      <c r="AS134" s="296"/>
      <c r="AT134" s="144"/>
      <c r="AU134" s="221"/>
      <c r="AV134" s="222"/>
      <c r="AW134" s="222"/>
      <c r="AX134" s="222"/>
      <c r="AY134" s="222"/>
      <c r="AZ134" s="222"/>
      <c r="BA134" s="2703"/>
      <c r="BB134" s="222"/>
      <c r="BC134" s="2698"/>
      <c r="BD134" s="2699"/>
      <c r="BE134" s="2699"/>
      <c r="BF134" s="2699"/>
      <c r="BG134" s="2699"/>
      <c r="BH134" s="2699"/>
      <c r="BI134" s="335"/>
      <c r="BJ134" s="2692"/>
      <c r="BK134" s="2700"/>
      <c r="BL134" s="2700"/>
      <c r="BM134" s="2700"/>
      <c r="BN134" s="2700"/>
      <c r="BO134" s="2700"/>
      <c r="BP134" s="2696"/>
      <c r="BQ134" s="145"/>
      <c r="BR134" s="146"/>
      <c r="BS134" s="147"/>
      <c r="BV134" s="218"/>
    </row>
    <row r="135" spans="1:74" s="80" customFormat="1" ht="31.5">
      <c r="A135" s="2681">
        <v>114</v>
      </c>
      <c r="B135" s="2682" t="s">
        <v>1216</v>
      </c>
      <c r="C135" s="2683" t="s">
        <v>78</v>
      </c>
      <c r="D135" s="141"/>
      <c r="E135" s="2684"/>
      <c r="F135" s="2685"/>
      <c r="G135" s="2686"/>
      <c r="H135" s="142"/>
      <c r="I135" s="2687"/>
      <c r="J135" s="2684"/>
      <c r="K135" s="2685" t="s">
        <v>1217</v>
      </c>
      <c r="L135" s="2686">
        <v>42353</v>
      </c>
      <c r="M135" s="257">
        <v>6296</v>
      </c>
      <c r="N135" s="143"/>
      <c r="O135" s="2688" t="s">
        <v>105</v>
      </c>
      <c r="P135" s="2689">
        <v>1</v>
      </c>
      <c r="Q135" s="2690"/>
      <c r="R135" s="2690"/>
      <c r="S135" s="2690">
        <v>1</v>
      </c>
      <c r="T135" s="2690"/>
      <c r="U135" s="2691"/>
      <c r="V135" s="2692"/>
      <c r="W135" s="2686"/>
      <c r="X135" s="257"/>
      <c r="Y135" s="2693"/>
      <c r="Z135" s="2694"/>
      <c r="AA135" s="2695"/>
      <c r="AB135" s="2695"/>
      <c r="AC135" s="2695"/>
      <c r="AD135" s="2695"/>
      <c r="AE135" s="2695"/>
      <c r="AF135" s="2695"/>
      <c r="AG135" s="2693"/>
      <c r="AH135" s="145"/>
      <c r="AI135" s="2696"/>
      <c r="AJ135" s="2697"/>
      <c r="AK135" s="144"/>
      <c r="AL135" s="296"/>
      <c r="AM135" s="322"/>
      <c r="AN135" s="305"/>
      <c r="AO135" s="305"/>
      <c r="AP135" s="305"/>
      <c r="AQ135" s="305"/>
      <c r="AR135" s="306"/>
      <c r="AS135" s="296"/>
      <c r="AT135" s="144"/>
      <c r="AU135" s="221"/>
      <c r="AV135" s="222"/>
      <c r="AW135" s="222"/>
      <c r="AX135" s="222"/>
      <c r="AY135" s="222"/>
      <c r="AZ135" s="222"/>
      <c r="BA135" s="2703"/>
      <c r="BB135" s="222"/>
      <c r="BC135" s="2698"/>
      <c r="BD135" s="2699"/>
      <c r="BE135" s="2699"/>
      <c r="BF135" s="2699"/>
      <c r="BG135" s="2699"/>
      <c r="BH135" s="2699"/>
      <c r="BI135" s="335"/>
      <c r="BJ135" s="2692"/>
      <c r="BK135" s="2700"/>
      <c r="BL135" s="2700"/>
      <c r="BM135" s="2700"/>
      <c r="BN135" s="2700"/>
      <c r="BO135" s="2700"/>
      <c r="BP135" s="2696"/>
      <c r="BQ135" s="145"/>
      <c r="BR135" s="146"/>
      <c r="BS135" s="147"/>
      <c r="BV135" s="218"/>
    </row>
    <row r="136" spans="1:74" s="80" customFormat="1" ht="15.75">
      <c r="A136" s="2681">
        <v>115</v>
      </c>
      <c r="B136" s="2682" t="s">
        <v>1218</v>
      </c>
      <c r="C136" s="2683" t="s">
        <v>78</v>
      </c>
      <c r="D136" s="141"/>
      <c r="E136" s="2684"/>
      <c r="F136" s="2685"/>
      <c r="G136" s="2686"/>
      <c r="H136" s="142"/>
      <c r="I136" s="2687"/>
      <c r="J136" s="2684"/>
      <c r="K136" s="2685" t="s">
        <v>1219</v>
      </c>
      <c r="L136" s="2686">
        <v>42353</v>
      </c>
      <c r="M136" s="257">
        <v>100674</v>
      </c>
      <c r="N136" s="143"/>
      <c r="O136" s="2688" t="s">
        <v>105</v>
      </c>
      <c r="P136" s="2689">
        <v>1</v>
      </c>
      <c r="Q136" s="2690"/>
      <c r="R136" s="2690"/>
      <c r="S136" s="2690">
        <v>1</v>
      </c>
      <c r="T136" s="2690"/>
      <c r="U136" s="2691"/>
      <c r="V136" s="2692"/>
      <c r="W136" s="2686"/>
      <c r="X136" s="257"/>
      <c r="Y136" s="2693"/>
      <c r="Z136" s="2694"/>
      <c r="AA136" s="2695"/>
      <c r="AB136" s="2695"/>
      <c r="AC136" s="2695"/>
      <c r="AD136" s="2695"/>
      <c r="AE136" s="2695"/>
      <c r="AF136" s="2695"/>
      <c r="AG136" s="2693"/>
      <c r="AH136" s="145"/>
      <c r="AI136" s="2696"/>
      <c r="AJ136" s="2697"/>
      <c r="AK136" s="144"/>
      <c r="AL136" s="296"/>
      <c r="AM136" s="322"/>
      <c r="AN136" s="305"/>
      <c r="AO136" s="305"/>
      <c r="AP136" s="305"/>
      <c r="AQ136" s="305"/>
      <c r="AR136" s="306"/>
      <c r="AS136" s="296"/>
      <c r="AT136" s="144"/>
      <c r="AU136" s="221"/>
      <c r="AV136" s="222"/>
      <c r="AW136" s="222"/>
      <c r="AX136" s="222"/>
      <c r="AY136" s="222"/>
      <c r="AZ136" s="222"/>
      <c r="BA136" s="2703"/>
      <c r="BB136" s="222"/>
      <c r="BC136" s="2698"/>
      <c r="BD136" s="2699"/>
      <c r="BE136" s="2699"/>
      <c r="BF136" s="2699"/>
      <c r="BG136" s="2699"/>
      <c r="BH136" s="2699"/>
      <c r="BI136" s="335"/>
      <c r="BJ136" s="2692"/>
      <c r="BK136" s="2700"/>
      <c r="BL136" s="2700"/>
      <c r="BM136" s="2700"/>
      <c r="BN136" s="2700"/>
      <c r="BO136" s="2700"/>
      <c r="BP136" s="2696"/>
      <c r="BQ136" s="145"/>
      <c r="BR136" s="146"/>
      <c r="BS136" s="147"/>
      <c r="BV136" s="218"/>
    </row>
    <row r="137" spans="1:74" s="80" customFormat="1" ht="63">
      <c r="A137" s="2681">
        <v>116</v>
      </c>
      <c r="B137" s="2682" t="s">
        <v>1220</v>
      </c>
      <c r="C137" s="2683" t="s">
        <v>78</v>
      </c>
      <c r="D137" s="141"/>
      <c r="E137" s="2684"/>
      <c r="F137" s="2685"/>
      <c r="G137" s="2686"/>
      <c r="H137" s="142"/>
      <c r="I137" s="2687"/>
      <c r="J137" s="2684"/>
      <c r="K137" s="2685" t="s">
        <v>1221</v>
      </c>
      <c r="L137" s="2686">
        <v>42353</v>
      </c>
      <c r="M137" s="257">
        <v>689900</v>
      </c>
      <c r="N137" s="143"/>
      <c r="O137" s="2688" t="s">
        <v>105</v>
      </c>
      <c r="P137" s="2689">
        <v>1</v>
      </c>
      <c r="Q137" s="2690"/>
      <c r="R137" s="2690"/>
      <c r="S137" s="2690">
        <v>1</v>
      </c>
      <c r="T137" s="2690"/>
      <c r="U137" s="2691"/>
      <c r="V137" s="2692"/>
      <c r="W137" s="2686"/>
      <c r="X137" s="257"/>
      <c r="Y137" s="2693"/>
      <c r="Z137" s="2694"/>
      <c r="AA137" s="2695"/>
      <c r="AB137" s="2695"/>
      <c r="AC137" s="2695"/>
      <c r="AD137" s="2695"/>
      <c r="AE137" s="2695"/>
      <c r="AF137" s="2695"/>
      <c r="AG137" s="2693"/>
      <c r="AH137" s="145"/>
      <c r="AI137" s="2696"/>
      <c r="AJ137" s="2697"/>
      <c r="AK137" s="144"/>
      <c r="AL137" s="296"/>
      <c r="AM137" s="322"/>
      <c r="AN137" s="305"/>
      <c r="AO137" s="305"/>
      <c r="AP137" s="305"/>
      <c r="AQ137" s="305"/>
      <c r="AR137" s="306"/>
      <c r="AS137" s="296"/>
      <c r="AT137" s="144"/>
      <c r="AU137" s="221"/>
      <c r="AV137" s="222"/>
      <c r="AW137" s="222"/>
      <c r="AX137" s="222"/>
      <c r="AY137" s="222"/>
      <c r="AZ137" s="222"/>
      <c r="BA137" s="2703"/>
      <c r="BB137" s="222"/>
      <c r="BC137" s="2698"/>
      <c r="BD137" s="2699"/>
      <c r="BE137" s="2699"/>
      <c r="BF137" s="2699"/>
      <c r="BG137" s="2699"/>
      <c r="BH137" s="2699"/>
      <c r="BI137" s="335"/>
      <c r="BJ137" s="2692"/>
      <c r="BK137" s="2700"/>
      <c r="BL137" s="2700"/>
      <c r="BM137" s="2700"/>
      <c r="BN137" s="2700"/>
      <c r="BO137" s="2700"/>
      <c r="BP137" s="2696"/>
      <c r="BQ137" s="145"/>
      <c r="BR137" s="146"/>
      <c r="BS137" s="147"/>
      <c r="BV137" s="218"/>
    </row>
    <row r="138" spans="1:74" s="80" customFormat="1" ht="78.75">
      <c r="A138" s="2681">
        <v>117</v>
      </c>
      <c r="B138" s="2682" t="s">
        <v>1222</v>
      </c>
      <c r="C138" s="2683" t="s">
        <v>78</v>
      </c>
      <c r="D138" s="141"/>
      <c r="E138" s="2684"/>
      <c r="F138" s="2685"/>
      <c r="G138" s="2686"/>
      <c r="H138" s="142"/>
      <c r="I138" s="2687"/>
      <c r="J138" s="2684"/>
      <c r="K138" s="2685" t="s">
        <v>1223</v>
      </c>
      <c r="L138" s="2686">
        <v>42353</v>
      </c>
      <c r="M138" s="257">
        <v>-663402</v>
      </c>
      <c r="N138" s="143"/>
      <c r="O138" s="2688" t="s">
        <v>105</v>
      </c>
      <c r="P138" s="2689">
        <v>1</v>
      </c>
      <c r="Q138" s="2690"/>
      <c r="R138" s="2690"/>
      <c r="S138" s="2690">
        <v>1</v>
      </c>
      <c r="T138" s="2690"/>
      <c r="U138" s="2691"/>
      <c r="V138" s="2692"/>
      <c r="W138" s="2686"/>
      <c r="X138" s="257"/>
      <c r="Y138" s="2693"/>
      <c r="Z138" s="2694"/>
      <c r="AA138" s="2695"/>
      <c r="AB138" s="2695"/>
      <c r="AC138" s="2695"/>
      <c r="AD138" s="2695"/>
      <c r="AE138" s="2695"/>
      <c r="AF138" s="2695"/>
      <c r="AG138" s="2693"/>
      <c r="AH138" s="145"/>
      <c r="AI138" s="2696"/>
      <c r="AJ138" s="2697"/>
      <c r="AK138" s="144"/>
      <c r="AL138" s="296"/>
      <c r="AM138" s="322"/>
      <c r="AN138" s="305"/>
      <c r="AO138" s="305"/>
      <c r="AP138" s="305"/>
      <c r="AQ138" s="305"/>
      <c r="AR138" s="306"/>
      <c r="AS138" s="296"/>
      <c r="AT138" s="144"/>
      <c r="AU138" s="221"/>
      <c r="AV138" s="222"/>
      <c r="AW138" s="222"/>
      <c r="AX138" s="222"/>
      <c r="AY138" s="222"/>
      <c r="AZ138" s="222"/>
      <c r="BA138" s="2703"/>
      <c r="BB138" s="222"/>
      <c r="BC138" s="2698"/>
      <c r="BD138" s="2699"/>
      <c r="BE138" s="2699"/>
      <c r="BF138" s="2699"/>
      <c r="BG138" s="2699"/>
      <c r="BH138" s="2699"/>
      <c r="BI138" s="335"/>
      <c r="BJ138" s="2692"/>
      <c r="BK138" s="2700"/>
      <c r="BL138" s="2700"/>
      <c r="BM138" s="2700"/>
      <c r="BN138" s="2700"/>
      <c r="BO138" s="2700"/>
      <c r="BP138" s="2696"/>
      <c r="BQ138" s="145"/>
      <c r="BR138" s="146"/>
      <c r="BS138" s="147"/>
      <c r="BV138" s="218"/>
    </row>
    <row r="139" spans="1:74" s="80" customFormat="1" ht="36.75" customHeight="1">
      <c r="A139" s="2681">
        <v>118</v>
      </c>
      <c r="B139" s="2682" t="s">
        <v>1224</v>
      </c>
      <c r="C139" s="2683" t="s">
        <v>78</v>
      </c>
      <c r="D139" s="141"/>
      <c r="E139" s="2684"/>
      <c r="F139" s="2685"/>
      <c r="G139" s="2686"/>
      <c r="H139" s="142"/>
      <c r="I139" s="2687"/>
      <c r="J139" s="2684"/>
      <c r="K139" s="2685" t="s">
        <v>1225</v>
      </c>
      <c r="L139" s="2686">
        <v>42353</v>
      </c>
      <c r="M139" s="257">
        <v>5000000</v>
      </c>
      <c r="N139" s="143"/>
      <c r="O139" s="2688" t="s">
        <v>105</v>
      </c>
      <c r="P139" s="2689">
        <v>1</v>
      </c>
      <c r="Q139" s="2690"/>
      <c r="R139" s="2690"/>
      <c r="S139" s="2690">
        <v>1</v>
      </c>
      <c r="T139" s="2690"/>
      <c r="U139" s="2691"/>
      <c r="V139" s="2692"/>
      <c r="W139" s="2686"/>
      <c r="X139" s="257"/>
      <c r="Y139" s="2693"/>
      <c r="Z139" s="2694"/>
      <c r="AA139" s="2695"/>
      <c r="AB139" s="2695"/>
      <c r="AC139" s="2695"/>
      <c r="AD139" s="2695"/>
      <c r="AE139" s="2695"/>
      <c r="AF139" s="2695"/>
      <c r="AG139" s="2693"/>
      <c r="AH139" s="145"/>
      <c r="AI139" s="2696"/>
      <c r="AJ139" s="2697"/>
      <c r="AK139" s="144"/>
      <c r="AL139" s="296"/>
      <c r="AM139" s="322"/>
      <c r="AN139" s="305"/>
      <c r="AO139" s="305"/>
      <c r="AP139" s="305"/>
      <c r="AQ139" s="305"/>
      <c r="AR139" s="306"/>
      <c r="AS139" s="296"/>
      <c r="AT139" s="144"/>
      <c r="AU139" s="221"/>
      <c r="AV139" s="222"/>
      <c r="AW139" s="222"/>
      <c r="AX139" s="222"/>
      <c r="AY139" s="222"/>
      <c r="AZ139" s="222"/>
      <c r="BA139" s="2703"/>
      <c r="BB139" s="222"/>
      <c r="BC139" s="2698"/>
      <c r="BD139" s="2699"/>
      <c r="BE139" s="2699"/>
      <c r="BF139" s="2699"/>
      <c r="BG139" s="2699"/>
      <c r="BH139" s="2699"/>
      <c r="BI139" s="335"/>
      <c r="BJ139" s="2692"/>
      <c r="BK139" s="2700"/>
      <c r="BL139" s="2700"/>
      <c r="BM139" s="2700"/>
      <c r="BN139" s="2700"/>
      <c r="BO139" s="2700"/>
      <c r="BP139" s="2696"/>
      <c r="BQ139" s="145"/>
      <c r="BR139" s="146"/>
      <c r="BS139" s="147"/>
      <c r="BV139" s="218"/>
    </row>
    <row r="140" spans="1:74" s="80" customFormat="1" ht="31.5">
      <c r="A140" s="2681">
        <v>119</v>
      </c>
      <c r="B140" s="2682" t="s">
        <v>1226</v>
      </c>
      <c r="C140" s="2683" t="s">
        <v>78</v>
      </c>
      <c r="D140" s="141"/>
      <c r="E140" s="2684"/>
      <c r="F140" s="2685"/>
      <c r="G140" s="2686"/>
      <c r="H140" s="142"/>
      <c r="I140" s="2687"/>
      <c r="J140" s="2684"/>
      <c r="K140" s="2685" t="s">
        <v>1227</v>
      </c>
      <c r="L140" s="2686">
        <v>42353</v>
      </c>
      <c r="M140" s="257">
        <v>110982</v>
      </c>
      <c r="N140" s="143"/>
      <c r="O140" s="2688" t="s">
        <v>105</v>
      </c>
      <c r="P140" s="2689">
        <v>1</v>
      </c>
      <c r="Q140" s="2690"/>
      <c r="R140" s="2690"/>
      <c r="S140" s="2690">
        <v>1</v>
      </c>
      <c r="T140" s="2690"/>
      <c r="U140" s="2691"/>
      <c r="V140" s="2692"/>
      <c r="W140" s="2686"/>
      <c r="X140" s="257"/>
      <c r="Y140" s="2693"/>
      <c r="Z140" s="2694"/>
      <c r="AA140" s="2695"/>
      <c r="AB140" s="2695"/>
      <c r="AC140" s="2695"/>
      <c r="AD140" s="2695"/>
      <c r="AE140" s="2695"/>
      <c r="AF140" s="2695"/>
      <c r="AG140" s="2693"/>
      <c r="AH140" s="145"/>
      <c r="AI140" s="2696"/>
      <c r="AJ140" s="2697"/>
      <c r="AK140" s="144"/>
      <c r="AL140" s="296"/>
      <c r="AM140" s="322"/>
      <c r="AN140" s="305"/>
      <c r="AO140" s="305"/>
      <c r="AP140" s="305"/>
      <c r="AQ140" s="305"/>
      <c r="AR140" s="306"/>
      <c r="AS140" s="296"/>
      <c r="AT140" s="144"/>
      <c r="AU140" s="221"/>
      <c r="AV140" s="222"/>
      <c r="AW140" s="222"/>
      <c r="AX140" s="222"/>
      <c r="AY140" s="222"/>
      <c r="AZ140" s="222"/>
      <c r="BA140" s="2703"/>
      <c r="BB140" s="222"/>
      <c r="BC140" s="2698"/>
      <c r="BD140" s="2699"/>
      <c r="BE140" s="2699"/>
      <c r="BF140" s="2699"/>
      <c r="BG140" s="2699"/>
      <c r="BH140" s="2699"/>
      <c r="BI140" s="335"/>
      <c r="BJ140" s="2692"/>
      <c r="BK140" s="2700"/>
      <c r="BL140" s="2700"/>
      <c r="BM140" s="2700"/>
      <c r="BN140" s="2700"/>
      <c r="BO140" s="2700"/>
      <c r="BP140" s="2696"/>
      <c r="BQ140" s="145"/>
      <c r="BR140" s="146"/>
      <c r="BS140" s="147"/>
      <c r="BV140" s="218"/>
    </row>
    <row r="141" spans="1:74" s="80" customFormat="1" ht="31.5">
      <c r="A141" s="2681">
        <v>120</v>
      </c>
      <c r="B141" s="2682" t="s">
        <v>1228</v>
      </c>
      <c r="C141" s="2683" t="s">
        <v>78</v>
      </c>
      <c r="D141" s="141"/>
      <c r="E141" s="2684"/>
      <c r="F141" s="2685"/>
      <c r="G141" s="2686"/>
      <c r="H141" s="142"/>
      <c r="I141" s="2687"/>
      <c r="J141" s="2684"/>
      <c r="K141" s="2685" t="s">
        <v>1229</v>
      </c>
      <c r="L141" s="2686">
        <v>42353</v>
      </c>
      <c r="M141" s="257">
        <v>-17060</v>
      </c>
      <c r="N141" s="143"/>
      <c r="O141" s="2688" t="s">
        <v>105</v>
      </c>
      <c r="P141" s="2689">
        <v>1</v>
      </c>
      <c r="Q141" s="2690"/>
      <c r="R141" s="2690"/>
      <c r="S141" s="2690">
        <v>1</v>
      </c>
      <c r="T141" s="2690"/>
      <c r="U141" s="2691"/>
      <c r="V141" s="2692"/>
      <c r="W141" s="2686"/>
      <c r="X141" s="257"/>
      <c r="Y141" s="2693"/>
      <c r="Z141" s="2694"/>
      <c r="AA141" s="2695"/>
      <c r="AB141" s="2695"/>
      <c r="AC141" s="2695"/>
      <c r="AD141" s="2695"/>
      <c r="AE141" s="2695"/>
      <c r="AF141" s="2695"/>
      <c r="AG141" s="2693"/>
      <c r="AH141" s="145"/>
      <c r="AI141" s="2696"/>
      <c r="AJ141" s="2697"/>
      <c r="AK141" s="144"/>
      <c r="AL141" s="296"/>
      <c r="AM141" s="322"/>
      <c r="AN141" s="305"/>
      <c r="AO141" s="305"/>
      <c r="AP141" s="305"/>
      <c r="AQ141" s="305"/>
      <c r="AR141" s="306"/>
      <c r="AS141" s="296"/>
      <c r="AT141" s="144"/>
      <c r="AU141" s="221"/>
      <c r="AV141" s="222"/>
      <c r="AW141" s="222"/>
      <c r="AX141" s="222"/>
      <c r="AY141" s="222"/>
      <c r="AZ141" s="222"/>
      <c r="BA141" s="2703"/>
      <c r="BB141" s="222"/>
      <c r="BC141" s="2698"/>
      <c r="BD141" s="2699"/>
      <c r="BE141" s="2699"/>
      <c r="BF141" s="2699"/>
      <c r="BG141" s="2699"/>
      <c r="BH141" s="2699"/>
      <c r="BI141" s="335"/>
      <c r="BJ141" s="2692"/>
      <c r="BK141" s="2700"/>
      <c r="BL141" s="2700"/>
      <c r="BM141" s="2700"/>
      <c r="BN141" s="2700"/>
      <c r="BO141" s="2700"/>
      <c r="BP141" s="2696"/>
      <c r="BQ141" s="145"/>
      <c r="BR141" s="146"/>
      <c r="BS141" s="147"/>
      <c r="BV141" s="218"/>
    </row>
    <row r="142" spans="1:74" s="80" customFormat="1" ht="31.5">
      <c r="A142" s="2681">
        <v>121</v>
      </c>
      <c r="B142" s="2682" t="s">
        <v>1230</v>
      </c>
      <c r="C142" s="2683" t="s">
        <v>78</v>
      </c>
      <c r="D142" s="141"/>
      <c r="E142" s="2684"/>
      <c r="F142" s="2685"/>
      <c r="G142" s="2686"/>
      <c r="H142" s="142"/>
      <c r="I142" s="2687"/>
      <c r="J142" s="2684"/>
      <c r="K142" s="2685" t="s">
        <v>1231</v>
      </c>
      <c r="L142" s="2686">
        <v>42353</v>
      </c>
      <c r="M142" s="257">
        <v>-1546752</v>
      </c>
      <c r="N142" s="143"/>
      <c r="O142" s="2688" t="s">
        <v>105</v>
      </c>
      <c r="P142" s="2689">
        <v>1</v>
      </c>
      <c r="Q142" s="2690"/>
      <c r="R142" s="2690"/>
      <c r="S142" s="2690">
        <v>1</v>
      </c>
      <c r="T142" s="2690"/>
      <c r="U142" s="2691"/>
      <c r="V142" s="2692"/>
      <c r="W142" s="2686"/>
      <c r="X142" s="257"/>
      <c r="Y142" s="2693"/>
      <c r="Z142" s="2694"/>
      <c r="AA142" s="2695"/>
      <c r="AB142" s="2695"/>
      <c r="AC142" s="2695"/>
      <c r="AD142" s="2695"/>
      <c r="AE142" s="2695"/>
      <c r="AF142" s="2695"/>
      <c r="AG142" s="2693"/>
      <c r="AH142" s="145"/>
      <c r="AI142" s="2696"/>
      <c r="AJ142" s="2697"/>
      <c r="AK142" s="144"/>
      <c r="AL142" s="296"/>
      <c r="AM142" s="322"/>
      <c r="AN142" s="305"/>
      <c r="AO142" s="305"/>
      <c r="AP142" s="305"/>
      <c r="AQ142" s="305"/>
      <c r="AR142" s="306"/>
      <c r="AS142" s="296"/>
      <c r="AT142" s="144"/>
      <c r="AU142" s="221"/>
      <c r="AV142" s="222"/>
      <c r="AW142" s="222"/>
      <c r="AX142" s="222"/>
      <c r="AY142" s="222"/>
      <c r="AZ142" s="222"/>
      <c r="BA142" s="2703"/>
      <c r="BB142" s="222"/>
      <c r="BC142" s="2698"/>
      <c r="BD142" s="2699"/>
      <c r="BE142" s="2699"/>
      <c r="BF142" s="2699"/>
      <c r="BG142" s="2699"/>
      <c r="BH142" s="2699"/>
      <c r="BI142" s="335"/>
      <c r="BJ142" s="2692"/>
      <c r="BK142" s="2700"/>
      <c r="BL142" s="2700"/>
      <c r="BM142" s="2700"/>
      <c r="BN142" s="2700"/>
      <c r="BO142" s="2700"/>
      <c r="BP142" s="2696"/>
      <c r="BQ142" s="145"/>
      <c r="BR142" s="146"/>
      <c r="BS142" s="147"/>
      <c r="BV142" s="218"/>
    </row>
    <row r="143" spans="1:74" s="80" customFormat="1" ht="15.75">
      <c r="A143" s="2681">
        <v>122</v>
      </c>
      <c r="B143" s="2682" t="s">
        <v>1232</v>
      </c>
      <c r="C143" s="2683" t="s">
        <v>78</v>
      </c>
      <c r="D143" s="141"/>
      <c r="E143" s="2684"/>
      <c r="F143" s="2685"/>
      <c r="G143" s="2686"/>
      <c r="H143" s="142"/>
      <c r="I143" s="2687"/>
      <c r="J143" s="2684"/>
      <c r="K143" s="2685" t="s">
        <v>1233</v>
      </c>
      <c r="L143" s="2686">
        <v>42353</v>
      </c>
      <c r="M143" s="257">
        <v>-39661196</v>
      </c>
      <c r="N143" s="143"/>
      <c r="O143" s="2688" t="s">
        <v>105</v>
      </c>
      <c r="P143" s="2689">
        <v>1</v>
      </c>
      <c r="Q143" s="2690"/>
      <c r="R143" s="2690"/>
      <c r="S143" s="2690">
        <v>1</v>
      </c>
      <c r="T143" s="2690"/>
      <c r="U143" s="2691"/>
      <c r="V143" s="2692"/>
      <c r="W143" s="2686"/>
      <c r="X143" s="257"/>
      <c r="Y143" s="2693"/>
      <c r="Z143" s="2694"/>
      <c r="AA143" s="2695"/>
      <c r="AB143" s="2695"/>
      <c r="AC143" s="2695"/>
      <c r="AD143" s="2695"/>
      <c r="AE143" s="2695"/>
      <c r="AF143" s="2695"/>
      <c r="AG143" s="2693"/>
      <c r="AH143" s="145"/>
      <c r="AI143" s="2696"/>
      <c r="AJ143" s="2697"/>
      <c r="AK143" s="144"/>
      <c r="AL143" s="296"/>
      <c r="AM143" s="322"/>
      <c r="AN143" s="305"/>
      <c r="AO143" s="305"/>
      <c r="AP143" s="305"/>
      <c r="AQ143" s="305"/>
      <c r="AR143" s="306"/>
      <c r="AS143" s="296"/>
      <c r="AT143" s="144"/>
      <c r="AU143" s="221"/>
      <c r="AV143" s="222"/>
      <c r="AW143" s="222"/>
      <c r="AX143" s="222"/>
      <c r="AY143" s="222"/>
      <c r="AZ143" s="222"/>
      <c r="BA143" s="2703"/>
      <c r="BB143" s="222"/>
      <c r="BC143" s="2698"/>
      <c r="BD143" s="2699"/>
      <c r="BE143" s="2699"/>
      <c r="BF143" s="2699"/>
      <c r="BG143" s="2699"/>
      <c r="BH143" s="2699"/>
      <c r="BI143" s="335"/>
      <c r="BJ143" s="2692"/>
      <c r="BK143" s="2700"/>
      <c r="BL143" s="2700"/>
      <c r="BM143" s="2700"/>
      <c r="BN143" s="2700"/>
      <c r="BO143" s="2700"/>
      <c r="BP143" s="2696"/>
      <c r="BQ143" s="145"/>
      <c r="BR143" s="146"/>
      <c r="BS143" s="147"/>
      <c r="BV143" s="223"/>
    </row>
    <row r="144" spans="1:74" s="80" customFormat="1" ht="31.5">
      <c r="A144" s="2681">
        <v>123</v>
      </c>
      <c r="B144" s="231" t="s">
        <v>1234</v>
      </c>
      <c r="C144" s="2683" t="s">
        <v>78</v>
      </c>
      <c r="D144" s="232"/>
      <c r="E144" s="233"/>
      <c r="F144" s="234"/>
      <c r="G144" s="235"/>
      <c r="H144" s="236"/>
      <c r="I144" s="237"/>
      <c r="J144" s="233"/>
      <c r="K144" s="252" t="s">
        <v>1235</v>
      </c>
      <c r="L144" s="251">
        <v>42353</v>
      </c>
      <c r="M144" s="258">
        <v>4400000</v>
      </c>
      <c r="N144" s="238"/>
      <c r="O144" s="239" t="s">
        <v>105</v>
      </c>
      <c r="P144" s="271">
        <v>1</v>
      </c>
      <c r="Q144" s="272"/>
      <c r="R144" s="272"/>
      <c r="S144" s="272">
        <v>1</v>
      </c>
      <c r="T144" s="272"/>
      <c r="U144" s="277"/>
      <c r="V144" s="240"/>
      <c r="W144" s="235"/>
      <c r="X144" s="258"/>
      <c r="Y144" s="241"/>
      <c r="Z144" s="286"/>
      <c r="AA144" s="287"/>
      <c r="AB144" s="287"/>
      <c r="AC144" s="287"/>
      <c r="AD144" s="287"/>
      <c r="AE144" s="287"/>
      <c r="AF144" s="287"/>
      <c r="AG144" s="241"/>
      <c r="AH144" s="248"/>
      <c r="AI144" s="247"/>
      <c r="AJ144" s="242"/>
      <c r="AK144" s="227"/>
      <c r="AL144" s="296"/>
      <c r="AM144" s="325"/>
      <c r="AN144" s="311"/>
      <c r="AO144" s="311"/>
      <c r="AP144" s="311"/>
      <c r="AQ144" s="311"/>
      <c r="AR144" s="312"/>
      <c r="AS144" s="300"/>
      <c r="AT144" s="226"/>
      <c r="AU144" s="243"/>
      <c r="AV144" s="244"/>
      <c r="AW144" s="244"/>
      <c r="AX144" s="244"/>
      <c r="AY144" s="244"/>
      <c r="AZ144" s="244"/>
      <c r="BA144" s="245"/>
      <c r="BB144" s="319"/>
      <c r="BC144" s="336"/>
      <c r="BD144" s="337"/>
      <c r="BE144" s="337"/>
      <c r="BF144" s="337"/>
      <c r="BG144" s="337"/>
      <c r="BH144" s="337"/>
      <c r="BI144" s="338"/>
      <c r="BJ144" s="240"/>
      <c r="BK144" s="246"/>
      <c r="BL144" s="246"/>
      <c r="BM144" s="246"/>
      <c r="BN144" s="246"/>
      <c r="BO144" s="246"/>
      <c r="BP144" s="247"/>
      <c r="BQ144" s="248"/>
      <c r="BR144" s="249"/>
      <c r="BS144" s="250"/>
      <c r="BV144" s="218"/>
    </row>
    <row r="145" spans="1:75" s="80" customFormat="1" ht="31.5">
      <c r="A145" s="2681">
        <v>124</v>
      </c>
      <c r="B145" s="2706" t="s">
        <v>1236</v>
      </c>
      <c r="C145" s="2683" t="s">
        <v>78</v>
      </c>
      <c r="D145" s="141"/>
      <c r="E145" s="2684"/>
      <c r="F145" s="2685"/>
      <c r="G145" s="2702"/>
      <c r="H145" s="142"/>
      <c r="I145" s="2687"/>
      <c r="J145" s="2684"/>
      <c r="K145" s="2685" t="s">
        <v>1237</v>
      </c>
      <c r="L145" s="2686">
        <v>42353</v>
      </c>
      <c r="M145" s="257">
        <f>-X103-X104-X105-X108-X110</f>
        <v>15042892</v>
      </c>
      <c r="N145" s="143"/>
      <c r="O145" s="2688" t="s">
        <v>105</v>
      </c>
      <c r="P145" s="2689">
        <v>1</v>
      </c>
      <c r="Q145" s="2690"/>
      <c r="R145" s="2690"/>
      <c r="S145" s="2690">
        <v>1</v>
      </c>
      <c r="T145" s="2690"/>
      <c r="U145" s="2691"/>
      <c r="V145" s="2692"/>
      <c r="W145" s="2702"/>
      <c r="X145" s="257"/>
      <c r="Y145" s="2693"/>
      <c r="Z145" s="2694"/>
      <c r="AA145" s="2695"/>
      <c r="AB145" s="2695"/>
      <c r="AC145" s="2695"/>
      <c r="AD145" s="2695"/>
      <c r="AE145" s="2695"/>
      <c r="AF145" s="2695"/>
      <c r="AG145" s="2693"/>
      <c r="AH145" s="145"/>
      <c r="AI145" s="2696"/>
      <c r="AJ145" s="2697"/>
      <c r="AK145" s="2707"/>
      <c r="AL145" s="296"/>
      <c r="AM145" s="325"/>
      <c r="AN145" s="311"/>
      <c r="AO145" s="311"/>
      <c r="AP145" s="311"/>
      <c r="AQ145" s="311"/>
      <c r="AR145" s="312"/>
      <c r="AS145" s="300"/>
      <c r="AT145" s="226"/>
      <c r="AU145" s="243"/>
      <c r="AV145" s="244"/>
      <c r="AW145" s="244"/>
      <c r="AX145" s="244"/>
      <c r="AY145" s="244"/>
      <c r="AZ145" s="244"/>
      <c r="BA145" s="245"/>
      <c r="BB145" s="319"/>
      <c r="BC145" s="336"/>
      <c r="BD145" s="337"/>
      <c r="BE145" s="337"/>
      <c r="BF145" s="337"/>
      <c r="BG145" s="337"/>
      <c r="BH145" s="337"/>
      <c r="BI145" s="338"/>
      <c r="BJ145" s="240"/>
      <c r="BK145" s="246"/>
      <c r="BL145" s="246"/>
      <c r="BM145" s="246"/>
      <c r="BN145" s="246"/>
      <c r="BO145" s="246"/>
      <c r="BP145" s="247"/>
      <c r="BQ145" s="248"/>
      <c r="BR145" s="249"/>
      <c r="BS145" s="250"/>
      <c r="BV145" s="218"/>
    </row>
    <row r="146" spans="1:75" s="80" customFormat="1" ht="31.5">
      <c r="A146" s="2623">
        <v>125</v>
      </c>
      <c r="B146" s="2624" t="s">
        <v>1238</v>
      </c>
      <c r="C146" s="2625" t="s">
        <v>78</v>
      </c>
      <c r="D146" s="220"/>
      <c r="E146" s="2626"/>
      <c r="F146" s="2627"/>
      <c r="G146" s="2628"/>
      <c r="H146" s="211"/>
      <c r="I146" s="2629"/>
      <c r="J146" s="2626"/>
      <c r="K146" s="2627" t="s">
        <v>1239</v>
      </c>
      <c r="L146" s="2628">
        <v>42353</v>
      </c>
      <c r="M146" s="253" t="e">
        <f>'Schedule B'!#REF!</f>
        <v>#REF!</v>
      </c>
      <c r="N146" s="219"/>
      <c r="O146" s="2630" t="s">
        <v>105</v>
      </c>
      <c r="P146" s="2674">
        <v>1</v>
      </c>
      <c r="Q146" s="2675"/>
      <c r="R146" s="2675"/>
      <c r="S146" s="2675">
        <v>1</v>
      </c>
      <c r="T146" s="2675"/>
      <c r="U146" s="2676"/>
      <c r="V146" s="2632"/>
      <c r="W146" s="2628"/>
      <c r="X146" s="253"/>
      <c r="Y146" s="2633"/>
      <c r="Z146" s="2677"/>
      <c r="AA146" s="2678"/>
      <c r="AB146" s="2678"/>
      <c r="AC146" s="2678"/>
      <c r="AD146" s="2678"/>
      <c r="AE146" s="2678"/>
      <c r="AF146" s="2678"/>
      <c r="AG146" s="2633"/>
      <c r="AH146" s="213"/>
      <c r="AI146" s="2639"/>
      <c r="AJ146" s="2637"/>
      <c r="AK146" s="212"/>
      <c r="AL146" s="299"/>
      <c r="AM146" s="324"/>
      <c r="AN146" s="309"/>
      <c r="AO146" s="309"/>
      <c r="AP146" s="309"/>
      <c r="AQ146" s="309"/>
      <c r="AR146" s="310"/>
      <c r="AS146" s="299"/>
      <c r="AT146" s="212"/>
      <c r="AU146" s="228"/>
      <c r="AV146" s="229"/>
      <c r="AW146" s="229"/>
      <c r="AX146" s="229"/>
      <c r="AY146" s="229"/>
      <c r="AZ146" s="229"/>
      <c r="BA146" s="2701"/>
      <c r="BB146" s="229"/>
      <c r="BC146" s="2679"/>
      <c r="BD146" s="2680"/>
      <c r="BE146" s="2680"/>
      <c r="BF146" s="2680"/>
      <c r="BG146" s="2680"/>
      <c r="BH146" s="2680"/>
      <c r="BI146" s="334"/>
      <c r="BJ146" s="2632"/>
      <c r="BK146" s="2638"/>
      <c r="BL146" s="2638"/>
      <c r="BM146" s="2638"/>
      <c r="BN146" s="2638"/>
      <c r="BO146" s="2638"/>
      <c r="BP146" s="2639"/>
      <c r="BQ146" s="213"/>
      <c r="BR146" s="214"/>
      <c r="BS146" s="215"/>
      <c r="BV146" s="218"/>
    </row>
    <row r="147" spans="1:75" s="80" customFormat="1" ht="31.5">
      <c r="A147" s="2623">
        <v>126</v>
      </c>
      <c r="B147" s="2624" t="s">
        <v>1240</v>
      </c>
      <c r="C147" s="2625" t="s">
        <v>78</v>
      </c>
      <c r="D147" s="220"/>
      <c r="E147" s="2626"/>
      <c r="F147" s="2627"/>
      <c r="G147" s="2628"/>
      <c r="H147" s="211"/>
      <c r="I147" s="2629"/>
      <c r="J147" s="2626"/>
      <c r="K147" s="2627"/>
      <c r="L147" s="2628"/>
      <c r="M147" s="253"/>
      <c r="N147" s="219"/>
      <c r="O147" s="2630"/>
      <c r="P147" s="2674"/>
      <c r="Q147" s="2675"/>
      <c r="R147" s="2675"/>
      <c r="S147" s="2675"/>
      <c r="T147" s="2675"/>
      <c r="U147" s="2676"/>
      <c r="V147" s="2632" t="s">
        <v>1241</v>
      </c>
      <c r="W147" s="2628">
        <v>42353</v>
      </c>
      <c r="X147" s="253" t="e">
        <f>'Schedule B'!#REF!</f>
        <v>#REF!</v>
      </c>
      <c r="Y147" s="2633" t="s">
        <v>95</v>
      </c>
      <c r="Z147" s="2677">
        <v>1</v>
      </c>
      <c r="AA147" s="2678"/>
      <c r="AB147" s="2678">
        <v>1</v>
      </c>
      <c r="AC147" s="2678"/>
      <c r="AD147" s="2678"/>
      <c r="AE147" s="2678"/>
      <c r="AF147" s="2678"/>
      <c r="AG147" s="2633"/>
      <c r="AH147" s="213"/>
      <c r="AI147" s="2639"/>
      <c r="AJ147" s="2637"/>
      <c r="AK147" s="212"/>
      <c r="AL147" s="299"/>
      <c r="AM147" s="324"/>
      <c r="AN147" s="309"/>
      <c r="AO147" s="309"/>
      <c r="AP147" s="309"/>
      <c r="AQ147" s="309"/>
      <c r="AR147" s="310"/>
      <c r="AS147" s="299"/>
      <c r="AT147" s="212"/>
      <c r="AU147" s="228"/>
      <c r="AV147" s="229"/>
      <c r="AW147" s="229"/>
      <c r="AX147" s="229"/>
      <c r="AY147" s="229"/>
      <c r="AZ147" s="229"/>
      <c r="BA147" s="2701"/>
      <c r="BB147" s="229"/>
      <c r="BC147" s="2679"/>
      <c r="BD147" s="2680"/>
      <c r="BE147" s="2680"/>
      <c r="BF147" s="2680"/>
      <c r="BG147" s="2680"/>
      <c r="BH147" s="2680"/>
      <c r="BI147" s="334"/>
      <c r="BJ147" s="2632"/>
      <c r="BK147" s="2638"/>
      <c r="BL147" s="2638"/>
      <c r="BM147" s="2638"/>
      <c r="BN147" s="2638"/>
      <c r="BO147" s="2638"/>
      <c r="BP147" s="2639"/>
      <c r="BQ147" s="213"/>
      <c r="BR147" s="214"/>
      <c r="BS147" s="215"/>
      <c r="BV147" s="218"/>
    </row>
    <row r="148" spans="1:75" s="80" customFormat="1" ht="16.5" thickBot="1">
      <c r="A148" s="2708"/>
      <c r="B148" s="2709"/>
      <c r="C148" s="2710"/>
      <c r="D148" s="2711"/>
      <c r="E148" s="2712"/>
      <c r="F148" s="2713"/>
      <c r="G148" s="2714"/>
      <c r="H148" s="2715"/>
      <c r="I148" s="2716"/>
      <c r="J148" s="2712"/>
      <c r="K148" s="2713"/>
      <c r="L148" s="2717"/>
      <c r="M148" s="2718"/>
      <c r="N148" s="2719"/>
      <c r="O148" s="2720"/>
      <c r="P148" s="2721"/>
      <c r="Q148" s="2721"/>
      <c r="R148" s="2721"/>
      <c r="S148" s="2721"/>
      <c r="T148" s="2721"/>
      <c r="U148" s="2721"/>
      <c r="V148" s="2722"/>
      <c r="W148" s="2714"/>
      <c r="X148" s="2718"/>
      <c r="Y148" s="2723"/>
      <c r="Z148" s="2724"/>
      <c r="AA148" s="2725"/>
      <c r="AB148" s="2725"/>
      <c r="AC148" s="2725"/>
      <c r="AD148" s="2725"/>
      <c r="AE148" s="2725"/>
      <c r="AF148" s="2725"/>
      <c r="AG148" s="2723"/>
      <c r="AH148" s="2726"/>
      <c r="AI148" s="2727"/>
      <c r="AJ148" s="2728"/>
      <c r="AK148" s="2729"/>
      <c r="AL148" s="296"/>
      <c r="AM148" s="326"/>
      <c r="AN148" s="313"/>
      <c r="AO148" s="313"/>
      <c r="AP148" s="313"/>
      <c r="AQ148" s="313"/>
      <c r="AR148" s="2730"/>
      <c r="AS148" s="300"/>
      <c r="AT148" s="226"/>
      <c r="AU148" s="224"/>
      <c r="AV148" s="225"/>
      <c r="AW148" s="225"/>
      <c r="AX148" s="225"/>
      <c r="AY148" s="225"/>
      <c r="AZ148" s="225"/>
      <c r="BA148" s="2731"/>
      <c r="BB148" s="2732"/>
      <c r="BC148" s="2732"/>
      <c r="BD148" s="2732"/>
      <c r="BE148" s="2732"/>
      <c r="BF148" s="2732"/>
      <c r="BG148" s="2732"/>
      <c r="BH148" s="2732"/>
      <c r="BI148" s="2732"/>
      <c r="BJ148" s="2722"/>
      <c r="BK148" s="2733"/>
      <c r="BL148" s="2733"/>
      <c r="BM148" s="2733"/>
      <c r="BN148" s="2733"/>
      <c r="BO148" s="2734"/>
      <c r="BP148" s="2727"/>
      <c r="BQ148" s="2726"/>
      <c r="BR148" s="129"/>
      <c r="BS148" s="2735"/>
    </row>
    <row r="149" spans="1:75" ht="16.5" thickBot="1">
      <c r="A149" s="108"/>
      <c r="B149" s="108"/>
      <c r="C149" s="109"/>
      <c r="D149" s="109"/>
      <c r="E149" s="108"/>
      <c r="F149" s="108"/>
      <c r="G149" s="108"/>
      <c r="H149" s="2736">
        <f>SUM(H21:H148)</f>
        <v>60366070</v>
      </c>
      <c r="I149" s="108"/>
      <c r="J149" s="108"/>
      <c r="K149" s="108"/>
      <c r="L149" s="108"/>
      <c r="M149" s="2737" t="e">
        <f>SUM(M21:M148)</f>
        <v>#REF!</v>
      </c>
      <c r="N149" s="108"/>
      <c r="O149" s="108"/>
      <c r="P149" s="108"/>
      <c r="Q149" s="108"/>
      <c r="R149" s="108"/>
      <c r="S149" s="108"/>
      <c r="T149" s="108"/>
      <c r="U149" s="108"/>
      <c r="V149" s="108"/>
      <c r="W149" s="108"/>
      <c r="X149" s="2737" t="e">
        <f>SUM(X21:X148)</f>
        <v>#REF!</v>
      </c>
      <c r="Y149" s="110"/>
      <c r="Z149" s="110"/>
      <c r="AA149" s="110"/>
      <c r="AB149" s="110"/>
      <c r="AC149" s="110"/>
      <c r="AD149" s="110"/>
      <c r="AE149" s="110"/>
      <c r="AF149" s="110"/>
      <c r="AG149" s="110"/>
      <c r="AH149" s="110"/>
      <c r="AI149" s="110"/>
      <c r="AJ149" s="108"/>
      <c r="AK149" s="108"/>
      <c r="AL149" s="226"/>
      <c r="AM149" s="227"/>
      <c r="AN149" s="227"/>
      <c r="AO149" s="227"/>
      <c r="AP149" s="227"/>
      <c r="AQ149" s="227"/>
      <c r="AR149" s="227"/>
      <c r="AS149" s="227"/>
      <c r="AT149" s="227"/>
      <c r="AU149" s="108"/>
      <c r="AV149" s="108"/>
      <c r="AW149" s="108"/>
      <c r="AX149" s="108"/>
      <c r="AY149" s="108"/>
      <c r="AZ149" s="108"/>
      <c r="BA149" s="2736">
        <f>SUM(BA22:BA148)</f>
        <v>39810</v>
      </c>
      <c r="BB149" s="110"/>
      <c r="BC149" s="110"/>
      <c r="BD149" s="110"/>
      <c r="BE149" s="110"/>
      <c r="BF149" s="110"/>
      <c r="BG149" s="110"/>
      <c r="BH149" s="110"/>
      <c r="BI149" s="110"/>
      <c r="BJ149" s="108"/>
      <c r="BK149" s="108"/>
      <c r="BL149" s="108"/>
      <c r="BM149" s="108"/>
      <c r="BN149" s="108"/>
      <c r="BO149" s="108"/>
      <c r="BP149" s="2736">
        <f>SUM(BP22:BP148)</f>
        <v>0</v>
      </c>
      <c r="BQ149" s="108"/>
      <c r="BR149" s="108"/>
      <c r="BS149" s="108"/>
      <c r="BV149" s="29">
        <f>SUM(BV22:BV148)</f>
        <v>8462700.8000000007</v>
      </c>
      <c r="BW149" s="29">
        <f>SUM(BW22:BW148)</f>
        <v>0</v>
      </c>
    </row>
    <row r="150" spans="1:75" ht="15.75">
      <c r="A150" s="108"/>
      <c r="B150" s="108"/>
      <c r="C150" s="109"/>
      <c r="D150" s="109"/>
      <c r="E150" s="108"/>
      <c r="F150" s="108"/>
      <c r="G150" s="108"/>
      <c r="H150" s="110"/>
      <c r="I150" s="108"/>
      <c r="J150" s="108"/>
      <c r="K150" s="108"/>
      <c r="L150" s="108"/>
      <c r="M150" s="259"/>
      <c r="N150" s="108"/>
      <c r="O150" s="108"/>
      <c r="P150" s="108"/>
      <c r="Q150" s="108"/>
      <c r="R150" s="108"/>
      <c r="S150" s="108"/>
      <c r="T150" s="108"/>
      <c r="U150" s="108"/>
      <c r="V150" s="108"/>
      <c r="W150" s="108"/>
      <c r="X150" s="259"/>
      <c r="Y150" s="110"/>
      <c r="Z150" s="110"/>
      <c r="AA150" s="110"/>
      <c r="AB150" s="110"/>
      <c r="AC150" s="110"/>
      <c r="AD150" s="110"/>
      <c r="AE150" s="110"/>
      <c r="AF150" s="110"/>
      <c r="AG150" s="110"/>
      <c r="AH150" s="110"/>
      <c r="AI150" s="110"/>
      <c r="AJ150" s="108"/>
      <c r="AK150" s="108"/>
      <c r="AL150" s="227"/>
      <c r="AM150" s="227"/>
      <c r="AN150" s="227"/>
      <c r="AO150" s="227"/>
      <c r="AP150" s="227"/>
      <c r="AQ150" s="227"/>
      <c r="AR150" s="227"/>
      <c r="AS150" s="227"/>
      <c r="AT150" s="227"/>
      <c r="AU150" s="108"/>
      <c r="AV150" s="108"/>
      <c r="AW150" s="108"/>
      <c r="AX150" s="108"/>
      <c r="AY150" s="108"/>
      <c r="AZ150" s="108"/>
      <c r="BA150" s="110"/>
      <c r="BB150" s="110"/>
      <c r="BC150" s="110"/>
      <c r="BD150" s="110"/>
      <c r="BE150" s="110"/>
      <c r="BF150" s="110"/>
      <c r="BG150" s="110"/>
      <c r="BH150" s="110"/>
      <c r="BI150" s="110"/>
      <c r="BJ150" s="108"/>
      <c r="BK150" s="108"/>
      <c r="BL150" s="108"/>
      <c r="BM150" s="108"/>
      <c r="BN150" s="108"/>
      <c r="BO150" s="108"/>
      <c r="BP150" s="110"/>
      <c r="BQ150" s="108"/>
      <c r="BR150" s="108"/>
      <c r="BS150" s="108"/>
    </row>
    <row r="151" spans="1:75" ht="15.75">
      <c r="A151" s="260" t="s">
        <v>1242</v>
      </c>
      <c r="B151" s="108"/>
      <c r="C151" s="109"/>
      <c r="D151" s="109"/>
      <c r="E151" s="108"/>
      <c r="F151" s="108"/>
      <c r="G151" s="108"/>
      <c r="H151" s="110"/>
      <c r="I151" s="108"/>
      <c r="J151" s="108"/>
      <c r="K151" s="108"/>
      <c r="L151" s="108"/>
      <c r="M151" s="259"/>
      <c r="N151" s="108"/>
      <c r="O151" s="108"/>
      <c r="P151" s="108"/>
      <c r="Q151" s="108"/>
      <c r="R151" s="108"/>
      <c r="S151" s="108"/>
      <c r="T151" s="108"/>
      <c r="U151" s="108"/>
      <c r="V151" s="108"/>
      <c r="W151" s="108"/>
      <c r="X151" s="259"/>
      <c r="Y151" s="110"/>
      <c r="Z151" s="110"/>
      <c r="AA151" s="110"/>
      <c r="AB151" s="110"/>
      <c r="AC151" s="110"/>
      <c r="AD151" s="110"/>
      <c r="AE151" s="110"/>
      <c r="AF151" s="110"/>
      <c r="AG151" s="110"/>
      <c r="AH151" s="110"/>
      <c r="AI151" s="110"/>
      <c r="AJ151" s="108"/>
      <c r="AK151" s="108"/>
      <c r="AL151" s="227"/>
      <c r="AM151" s="227"/>
      <c r="AN151" s="227"/>
      <c r="AO151" s="227"/>
      <c r="AP151" s="227"/>
      <c r="AQ151" s="227"/>
      <c r="AR151" s="227"/>
      <c r="AS151" s="227"/>
      <c r="AT151" s="227"/>
      <c r="AU151" s="108"/>
      <c r="AV151" s="108"/>
      <c r="AW151" s="108"/>
      <c r="AX151" s="108"/>
      <c r="AY151" s="108"/>
      <c r="AZ151" s="108"/>
      <c r="BA151" s="110"/>
      <c r="BB151" s="110"/>
      <c r="BC151" s="110"/>
      <c r="BD151" s="110"/>
      <c r="BE151" s="110"/>
      <c r="BF151" s="110"/>
      <c r="BG151" s="110"/>
      <c r="BH151" s="110"/>
      <c r="BI151" s="110"/>
      <c r="BJ151" s="108"/>
      <c r="BK151" s="108"/>
      <c r="BL151" s="108"/>
      <c r="BM151" s="108"/>
      <c r="BN151" s="108"/>
      <c r="BO151" s="108"/>
      <c r="BP151" s="110"/>
      <c r="BQ151" s="108"/>
      <c r="BR151" s="108"/>
      <c r="BS151" s="108"/>
    </row>
    <row r="152" spans="1:75" ht="15.75">
      <c r="A152" s="261" t="s">
        <v>1243</v>
      </c>
      <c r="B152" s="112"/>
      <c r="C152" s="113"/>
      <c r="D152" s="113"/>
      <c r="E152" s="111"/>
      <c r="F152" s="108"/>
      <c r="G152" s="108"/>
      <c r="H152" s="108"/>
      <c r="I152" s="108"/>
      <c r="J152" s="111"/>
      <c r="K152" s="108"/>
      <c r="L152" s="108"/>
      <c r="M152" s="108"/>
      <c r="N152" s="108"/>
      <c r="O152" s="108"/>
      <c r="P152" s="108"/>
      <c r="Q152" s="108"/>
      <c r="R152" s="108"/>
      <c r="S152" s="108"/>
      <c r="T152" s="108"/>
      <c r="U152" s="108"/>
      <c r="V152" s="108"/>
      <c r="W152" s="108"/>
      <c r="X152" s="108"/>
      <c r="Y152" s="108"/>
      <c r="Z152" s="108"/>
      <c r="AA152" s="108"/>
      <c r="AB152" s="108"/>
      <c r="AC152" s="108"/>
      <c r="AD152" s="108"/>
      <c r="AE152" s="108"/>
      <c r="AF152" s="108"/>
      <c r="AG152" s="108"/>
      <c r="AH152" s="108"/>
      <c r="AI152" s="108"/>
      <c r="AJ152" s="108"/>
      <c r="AK152" s="108"/>
      <c r="AL152" s="227"/>
      <c r="AM152" s="227"/>
      <c r="AN152" s="227"/>
      <c r="AO152" s="227"/>
      <c r="AP152" s="227"/>
      <c r="AQ152" s="227"/>
      <c r="AR152" s="227"/>
      <c r="AS152" s="227"/>
      <c r="AT152" s="227"/>
      <c r="AU152" s="108"/>
      <c r="AV152" s="108"/>
      <c r="AW152" s="108"/>
      <c r="AX152" s="108"/>
      <c r="AY152" s="108"/>
      <c r="AZ152" s="108"/>
      <c r="BA152" s="108"/>
      <c r="BB152" s="108"/>
      <c r="BC152" s="108"/>
      <c r="BD152" s="108"/>
      <c r="BE152" s="108"/>
      <c r="BF152" s="108"/>
      <c r="BG152" s="108"/>
      <c r="BH152" s="108"/>
      <c r="BI152" s="108"/>
      <c r="BJ152" s="108"/>
      <c r="BK152" s="111"/>
      <c r="BL152" s="108"/>
      <c r="BM152" s="108"/>
      <c r="BN152" s="108"/>
      <c r="BO152" s="108"/>
      <c r="BP152" s="108"/>
      <c r="BQ152" s="114"/>
      <c r="BR152" s="114"/>
      <c r="BS152" s="108"/>
    </row>
    <row r="153" spans="1:75" ht="16.5" thickBot="1">
      <c r="A153" s="261" t="s">
        <v>1244</v>
      </c>
      <c r="B153" s="112"/>
      <c r="C153" s="113"/>
      <c r="D153" s="113"/>
      <c r="E153" s="111"/>
      <c r="F153" s="108"/>
      <c r="G153" s="108"/>
      <c r="H153" s="108"/>
      <c r="I153" s="108"/>
      <c r="J153" s="111"/>
      <c r="K153" s="108"/>
      <c r="L153" s="108"/>
      <c r="M153" s="108"/>
      <c r="N153" s="108"/>
      <c r="O153" s="108"/>
      <c r="P153" s="108"/>
      <c r="Q153" s="108"/>
      <c r="R153" s="108"/>
      <c r="S153" s="108"/>
      <c r="T153" s="108"/>
      <c r="U153" s="108"/>
      <c r="V153" s="108"/>
      <c r="W153" s="108"/>
      <c r="X153" s="108"/>
      <c r="Y153" s="108"/>
      <c r="Z153" s="108"/>
      <c r="AA153" s="108"/>
      <c r="AB153" s="108"/>
      <c r="AC153" s="108"/>
      <c r="AD153" s="108"/>
      <c r="AE153" s="108"/>
      <c r="AF153" s="108"/>
      <c r="AG153" s="108"/>
      <c r="AH153" s="108"/>
      <c r="AI153" s="108"/>
      <c r="AJ153" s="108"/>
      <c r="AK153" s="108"/>
      <c r="AL153" s="227"/>
      <c r="AM153" s="227"/>
      <c r="AN153" s="227"/>
      <c r="AO153" s="227"/>
      <c r="AP153" s="227"/>
      <c r="AQ153" s="227"/>
      <c r="AR153" s="227"/>
      <c r="AS153" s="227"/>
      <c r="AT153" s="227"/>
      <c r="AU153" s="108"/>
      <c r="AV153" s="108"/>
      <c r="AW153" s="108"/>
      <c r="AX153" s="108"/>
      <c r="AY153" s="108"/>
      <c r="AZ153" s="108"/>
      <c r="BA153" s="108"/>
      <c r="BB153" s="108"/>
      <c r="BC153" s="108"/>
      <c r="BD153" s="108"/>
      <c r="BE153" s="108"/>
      <c r="BF153" s="108"/>
      <c r="BG153" s="108"/>
      <c r="BH153" s="108"/>
      <c r="BI153" s="108"/>
      <c r="BJ153" s="108"/>
      <c r="BK153" s="111"/>
      <c r="BL153" s="108"/>
      <c r="BM153" s="108"/>
      <c r="BN153" s="108"/>
      <c r="BO153" s="108"/>
      <c r="BP153" s="108"/>
      <c r="BQ153" s="114"/>
      <c r="BR153" s="114"/>
      <c r="BS153" s="108"/>
    </row>
    <row r="154" spans="1:75" ht="16.5" thickBot="1">
      <c r="A154" s="115"/>
      <c r="B154" s="116"/>
      <c r="C154" s="117"/>
      <c r="D154" s="117"/>
      <c r="E154" s="118"/>
      <c r="F154" s="118"/>
      <c r="G154" s="118"/>
      <c r="H154" s="118"/>
      <c r="I154" s="118"/>
      <c r="J154" s="5706" t="s">
        <v>1245</v>
      </c>
      <c r="K154" s="5708"/>
      <c r="L154" s="5709"/>
      <c r="M154" s="119"/>
      <c r="N154" s="118"/>
      <c r="O154" s="5706" t="s">
        <v>1245</v>
      </c>
      <c r="P154" s="5707"/>
      <c r="Q154" s="5707"/>
      <c r="R154" s="5707"/>
      <c r="S154" s="5707"/>
      <c r="T154" s="5707"/>
      <c r="U154" s="5707"/>
      <c r="V154" s="5708"/>
      <c r="W154" s="5709"/>
      <c r="X154" s="118"/>
      <c r="Y154" s="118"/>
      <c r="Z154" s="118"/>
      <c r="AA154" s="118"/>
      <c r="AB154" s="118"/>
      <c r="AC154" s="118"/>
      <c r="AD154" s="118"/>
      <c r="AE154" s="118"/>
      <c r="AF154" s="118"/>
      <c r="AG154" s="118"/>
      <c r="AH154" s="118"/>
      <c r="AI154" s="118"/>
      <c r="AK154" s="108"/>
      <c r="AL154" s="227"/>
      <c r="AM154" s="227"/>
      <c r="AN154" s="227"/>
      <c r="AO154" s="227"/>
      <c r="AP154" s="227"/>
      <c r="AQ154" s="227"/>
      <c r="AR154" s="227"/>
      <c r="AS154" s="227"/>
      <c r="AT154" s="227"/>
      <c r="AU154" s="108"/>
      <c r="AV154" s="118"/>
      <c r="AW154" s="118"/>
      <c r="AX154" s="118"/>
      <c r="AY154" s="118"/>
      <c r="AZ154" s="118"/>
      <c r="BA154" s="118"/>
      <c r="BB154" s="118"/>
      <c r="BC154" s="118"/>
      <c r="BD154" s="118"/>
      <c r="BE154" s="118"/>
      <c r="BF154" s="118"/>
      <c r="BG154" s="118"/>
      <c r="BH154" s="118"/>
      <c r="BI154" s="118"/>
      <c r="BJ154" s="118"/>
      <c r="BK154" s="118"/>
      <c r="BL154" s="118"/>
      <c r="BM154" s="5706" t="s">
        <v>1245</v>
      </c>
      <c r="BN154" s="5708"/>
      <c r="BO154" s="5709"/>
      <c r="BP154" s="118"/>
      <c r="BQ154" s="120"/>
      <c r="BR154" s="120"/>
      <c r="BS154" s="118"/>
    </row>
    <row r="155" spans="1:75" ht="16.5" customHeight="1" thickBot="1">
      <c r="A155" s="115"/>
      <c r="C155" s="29"/>
      <c r="D155" s="29"/>
      <c r="G155" s="118"/>
      <c r="H155" s="118"/>
      <c r="I155" s="118"/>
      <c r="J155" s="5710" t="s">
        <v>78</v>
      </c>
      <c r="K155" s="5711"/>
      <c r="L155" s="5712"/>
      <c r="M155" s="121" t="e">
        <f>SUMIF($J$21:$J$148,J155,$M$21:$M$148)</f>
        <v>#REF!</v>
      </c>
      <c r="N155" s="118"/>
      <c r="O155" s="5710" t="s">
        <v>78</v>
      </c>
      <c r="P155" s="5711"/>
      <c r="Q155" s="5711"/>
      <c r="R155" s="5711"/>
      <c r="S155" s="5711"/>
      <c r="T155" s="5711"/>
      <c r="U155" s="5711"/>
      <c r="V155" s="5711"/>
      <c r="W155" s="5712"/>
      <c r="X155" s="121">
        <f>SUMIF($J$21:$J$148,J155,$X$21:$X$148)</f>
        <v>10928378</v>
      </c>
      <c r="Y155" s="118"/>
      <c r="Z155" s="118"/>
      <c r="AA155" s="118"/>
      <c r="AB155" s="118"/>
      <c r="AC155" s="118"/>
      <c r="AD155" s="118"/>
      <c r="AE155" s="118"/>
      <c r="AF155" s="118"/>
      <c r="AG155" s="118"/>
      <c r="AH155" s="118"/>
      <c r="AI155" s="118"/>
      <c r="AJ155" s="118"/>
      <c r="AK155" s="108"/>
      <c r="AL155" s="227"/>
      <c r="AM155" s="227"/>
      <c r="AN155" s="227"/>
      <c r="AO155" s="227"/>
      <c r="AP155" s="227"/>
      <c r="AQ155" s="227"/>
      <c r="AR155" s="227"/>
      <c r="AS155" s="227"/>
      <c r="AT155" s="227"/>
      <c r="AU155" s="108"/>
      <c r="AV155" s="118"/>
      <c r="AW155" s="118"/>
      <c r="AX155" s="118"/>
      <c r="AY155" s="118"/>
      <c r="AZ155" s="118"/>
      <c r="BA155" s="118"/>
      <c r="BB155" s="118"/>
      <c r="BC155" s="118"/>
      <c r="BD155" s="118"/>
      <c r="BE155" s="118"/>
      <c r="BF155" s="118"/>
      <c r="BG155" s="118"/>
      <c r="BH155" s="118"/>
      <c r="BI155" s="118"/>
      <c r="BJ155" s="118"/>
      <c r="BK155" s="118"/>
      <c r="BL155" s="118"/>
      <c r="BM155" s="5710" t="s">
        <v>78</v>
      </c>
      <c r="BN155" s="5711"/>
      <c r="BO155" s="5712"/>
      <c r="BP155" s="122">
        <f>SUMIF($J$22:$J$148,J155,$BP$22:$BP$148)</f>
        <v>0</v>
      </c>
      <c r="BQ155" s="120"/>
      <c r="BR155" s="120"/>
      <c r="BS155" s="118"/>
    </row>
    <row r="156" spans="1:75" ht="16.5" customHeight="1" thickBot="1">
      <c r="A156" s="115"/>
      <c r="C156" s="29"/>
      <c r="D156" s="29"/>
      <c r="G156" s="118"/>
      <c r="H156" s="118"/>
      <c r="I156" s="118"/>
      <c r="J156" s="5809" t="s">
        <v>876</v>
      </c>
      <c r="K156" s="5810"/>
      <c r="L156" s="5811"/>
      <c r="M156" s="123">
        <f>SUMIF($J$21:$J$148,J156,$M$21:$M$148)</f>
        <v>0</v>
      </c>
      <c r="N156" s="118"/>
      <c r="O156" s="5809" t="s">
        <v>876</v>
      </c>
      <c r="P156" s="5810"/>
      <c r="Q156" s="5810"/>
      <c r="R156" s="5810"/>
      <c r="S156" s="5810"/>
      <c r="T156" s="5810"/>
      <c r="U156" s="5810"/>
      <c r="V156" s="5810"/>
      <c r="W156" s="5811"/>
      <c r="X156" s="121">
        <f>SUMIF($J$21:$J$148,J156,$X$21:$X$148)</f>
        <v>58231234</v>
      </c>
      <c r="Y156" s="118"/>
      <c r="Z156" s="118"/>
      <c r="AA156" s="118"/>
      <c r="AB156" s="118"/>
      <c r="AC156" s="118"/>
      <c r="AD156" s="118"/>
      <c r="AE156" s="118"/>
      <c r="AF156" s="118"/>
      <c r="AG156" s="118"/>
      <c r="AH156" s="118"/>
      <c r="AI156" s="118"/>
      <c r="AJ156" s="118"/>
      <c r="AK156" s="118"/>
      <c r="AL156" s="118"/>
      <c r="AM156" s="118"/>
      <c r="AN156" s="118"/>
      <c r="AO156" s="118"/>
      <c r="AP156" s="118"/>
      <c r="AQ156" s="118"/>
      <c r="AR156" s="118"/>
      <c r="AS156" s="118"/>
      <c r="AT156" s="118"/>
      <c r="AU156" s="118"/>
      <c r="AV156" s="118"/>
      <c r="AW156" s="118"/>
      <c r="AX156" s="118"/>
      <c r="AY156" s="118"/>
      <c r="AZ156" s="118"/>
      <c r="BA156" s="118"/>
      <c r="BB156" s="118"/>
      <c r="BC156" s="118"/>
      <c r="BD156" s="118"/>
      <c r="BE156" s="118"/>
      <c r="BF156" s="118"/>
      <c r="BG156" s="118"/>
      <c r="BH156" s="118"/>
      <c r="BI156" s="118"/>
      <c r="BJ156" s="118"/>
      <c r="BK156" s="118"/>
      <c r="BL156" s="118"/>
      <c r="BM156" s="5809" t="s">
        <v>876</v>
      </c>
      <c r="BN156" s="5810"/>
      <c r="BO156" s="5811"/>
      <c r="BP156" s="124">
        <f>SUMIF($J$22:$J$148,J156,$BP$22:$BP$148)</f>
        <v>0</v>
      </c>
      <c r="BQ156" s="120"/>
      <c r="BR156" s="120"/>
      <c r="BS156" s="118"/>
    </row>
    <row r="157" spans="1:75" ht="16.5" thickBot="1">
      <c r="A157" s="118"/>
      <c r="C157" s="29"/>
      <c r="D157" s="29"/>
      <c r="G157" s="118"/>
      <c r="H157" s="118"/>
      <c r="I157" s="118"/>
      <c r="J157" s="5809" t="s">
        <v>103</v>
      </c>
      <c r="K157" s="5810"/>
      <c r="L157" s="5811"/>
      <c r="M157" s="123">
        <f>SUMIF($J$21:$J$148,J157,$M$21:$M$148)</f>
        <v>0</v>
      </c>
      <c r="N157" s="118"/>
      <c r="O157" s="5809" t="s">
        <v>103</v>
      </c>
      <c r="P157" s="5810"/>
      <c r="Q157" s="5810"/>
      <c r="R157" s="5810"/>
      <c r="S157" s="5810"/>
      <c r="T157" s="5810"/>
      <c r="U157" s="5810"/>
      <c r="V157" s="5810"/>
      <c r="W157" s="5811"/>
      <c r="X157" s="121">
        <f>SUMIF($J$21:$J$148,J157,$X$21:$X$148)</f>
        <v>11799070</v>
      </c>
      <c r="Y157" s="118"/>
      <c r="Z157" s="118"/>
      <c r="AA157" s="118"/>
      <c r="AB157" s="118"/>
      <c r="AC157" s="118"/>
      <c r="AD157" s="118"/>
      <c r="AE157" s="118"/>
      <c r="AF157" s="118"/>
      <c r="AG157" s="118"/>
      <c r="AH157" s="118"/>
      <c r="AI157" s="118"/>
      <c r="AJ157" s="118"/>
      <c r="AK157" s="118"/>
      <c r="AL157" s="118"/>
      <c r="AM157" s="118"/>
      <c r="AN157" s="118"/>
      <c r="AO157" s="118"/>
      <c r="AP157" s="118"/>
      <c r="AQ157" s="118"/>
      <c r="AR157" s="118"/>
      <c r="AS157" s="118"/>
      <c r="AT157" s="118"/>
      <c r="AU157" s="118"/>
      <c r="AV157" s="118"/>
      <c r="AW157" s="118">
        <f>71-37</f>
        <v>34</v>
      </c>
      <c r="AX157" s="118"/>
      <c r="AY157" s="118"/>
      <c r="AZ157" s="118"/>
      <c r="BA157" s="118"/>
      <c r="BB157" s="118"/>
      <c r="BC157" s="118"/>
      <c r="BD157" s="118"/>
      <c r="BE157" s="118"/>
      <c r="BF157" s="118"/>
      <c r="BG157" s="118"/>
      <c r="BH157" s="118"/>
      <c r="BI157" s="118"/>
      <c r="BJ157" s="118"/>
      <c r="BK157" s="118"/>
      <c r="BL157" s="118"/>
      <c r="BM157" s="5809" t="s">
        <v>103</v>
      </c>
      <c r="BN157" s="5810"/>
      <c r="BO157" s="5811"/>
      <c r="BP157" s="124">
        <f>SUMIF($J$22:$J$148,J157,$BP$22:$BP$148)</f>
        <v>0</v>
      </c>
      <c r="BQ157" s="120"/>
      <c r="BR157" s="120"/>
      <c r="BS157" s="118"/>
    </row>
    <row r="158" spans="1:75" ht="16.5" customHeight="1" thickBot="1">
      <c r="A158" s="118"/>
      <c r="C158" s="29"/>
      <c r="D158" s="29"/>
      <c r="G158" s="118"/>
      <c r="H158" s="118"/>
      <c r="I158" s="118"/>
      <c r="J158" s="5809" t="s">
        <v>883</v>
      </c>
      <c r="K158" s="5810"/>
      <c r="L158" s="5811"/>
      <c r="M158" s="123">
        <f>SUMIF($J$21:$J$148,J158,$M$21:$M$148)</f>
        <v>0</v>
      </c>
      <c r="N158" s="118"/>
      <c r="O158" s="5809" t="s">
        <v>883</v>
      </c>
      <c r="P158" s="5810"/>
      <c r="Q158" s="5810"/>
      <c r="R158" s="5810"/>
      <c r="S158" s="5810"/>
      <c r="T158" s="5810"/>
      <c r="U158" s="5810"/>
      <c r="V158" s="5810"/>
      <c r="W158" s="5811"/>
      <c r="X158" s="121">
        <f>SUMIF($J$21:$J$148,J158,$X$21:$X$148)</f>
        <v>0</v>
      </c>
      <c r="Y158" s="118"/>
      <c r="Z158" s="118"/>
      <c r="AA158" s="118"/>
      <c r="AB158" s="118"/>
      <c r="AC158" s="118"/>
      <c r="AD158" s="118"/>
      <c r="AE158" s="118"/>
      <c r="AF158" s="118"/>
      <c r="AG158" s="118"/>
      <c r="AH158" s="118"/>
      <c r="AI158" s="118"/>
      <c r="AJ158" s="118"/>
      <c r="AK158" s="118"/>
      <c r="AL158" s="118"/>
      <c r="AM158" s="118"/>
      <c r="AN158" s="118"/>
      <c r="AO158" s="118"/>
      <c r="AP158" s="118"/>
      <c r="AQ158" s="118"/>
      <c r="AR158" s="118"/>
      <c r="AS158" s="118"/>
      <c r="AT158" s="118"/>
      <c r="AU158" s="118"/>
      <c r="AV158" s="118"/>
      <c r="AW158" s="118"/>
      <c r="AX158" s="118"/>
      <c r="AY158" s="118"/>
      <c r="AZ158" s="118"/>
      <c r="BA158" s="118"/>
      <c r="BB158" s="118"/>
      <c r="BC158" s="118"/>
      <c r="BD158" s="118"/>
      <c r="BE158" s="118"/>
      <c r="BF158" s="118"/>
      <c r="BG158" s="118"/>
      <c r="BH158" s="118"/>
      <c r="BI158" s="118"/>
      <c r="BJ158" s="118"/>
      <c r="BK158" s="118"/>
      <c r="BL158" s="118"/>
      <c r="BM158" s="5809" t="s">
        <v>883</v>
      </c>
      <c r="BN158" s="5810"/>
      <c r="BO158" s="5811"/>
      <c r="BP158" s="124">
        <f>SUMIF($J$22:$J$148,J158,$BP$22:$BP$148)</f>
        <v>0</v>
      </c>
      <c r="BQ158" s="120"/>
      <c r="BR158" s="120"/>
      <c r="BS158" s="118"/>
    </row>
    <row r="159" spans="1:75" ht="16.5" customHeight="1" thickBot="1">
      <c r="A159" s="118"/>
      <c r="C159" s="29"/>
      <c r="D159" s="29"/>
      <c r="G159" s="118"/>
      <c r="H159" s="118"/>
      <c r="I159" s="118"/>
      <c r="J159" s="5806" t="s">
        <v>1246</v>
      </c>
      <c r="K159" s="5807"/>
      <c r="L159" s="5808"/>
      <c r="M159" s="123">
        <f>SUMIF($J$21:$J$148,J159,$M$21:$M$148)</f>
        <v>0</v>
      </c>
      <c r="N159" s="118"/>
      <c r="O159" s="5806" t="s">
        <v>1246</v>
      </c>
      <c r="P159" s="5807"/>
      <c r="Q159" s="5807"/>
      <c r="R159" s="5807"/>
      <c r="S159" s="5807"/>
      <c r="T159" s="5807"/>
      <c r="U159" s="5807"/>
      <c r="V159" s="5807"/>
      <c r="W159" s="5808"/>
      <c r="X159" s="121">
        <f>SUMIF($J$21:$J$148,J159,$X$21:$X$148)</f>
        <v>0</v>
      </c>
      <c r="Y159" s="118"/>
      <c r="Z159" s="118"/>
      <c r="AA159" s="118"/>
      <c r="AB159" s="118"/>
      <c r="AC159" s="118"/>
      <c r="AD159" s="118"/>
      <c r="AE159" s="118"/>
      <c r="AF159" s="118"/>
      <c r="AG159" s="118"/>
      <c r="AH159" s="118"/>
      <c r="AI159" s="118"/>
      <c r="AJ159" s="118"/>
      <c r="AK159" s="118"/>
      <c r="AL159" s="118"/>
      <c r="AM159" s="118"/>
      <c r="AN159" s="118"/>
      <c r="AO159" s="118"/>
      <c r="AP159" s="118"/>
      <c r="AQ159" s="118"/>
      <c r="AR159" s="118"/>
      <c r="AS159" s="118"/>
      <c r="AT159" s="118"/>
      <c r="AU159" s="118"/>
      <c r="AV159" s="118"/>
      <c r="AW159" s="118"/>
      <c r="AX159" s="118"/>
      <c r="AY159" s="118"/>
      <c r="AZ159" s="118"/>
      <c r="BA159" s="118"/>
      <c r="BB159" s="118"/>
      <c r="BC159" s="118"/>
      <c r="BD159" s="118"/>
      <c r="BE159" s="118"/>
      <c r="BF159" s="118"/>
      <c r="BG159" s="118"/>
      <c r="BH159" s="118"/>
      <c r="BI159" s="118"/>
      <c r="BJ159" s="118"/>
      <c r="BK159" s="118"/>
      <c r="BL159" s="118"/>
      <c r="BM159" s="5806" t="s">
        <v>1246</v>
      </c>
      <c r="BN159" s="5807"/>
      <c r="BO159" s="5808"/>
      <c r="BP159" s="125">
        <f>SUMIF($J$22:$J$148,J159,$BP$22:$BP$148)</f>
        <v>0</v>
      </c>
      <c r="BQ159" s="120"/>
      <c r="BR159" s="120"/>
      <c r="BS159" s="118"/>
    </row>
    <row r="160" spans="1:75" ht="16.5" customHeight="1" thickBot="1">
      <c r="A160" s="118"/>
      <c r="C160" s="29"/>
      <c r="D160" s="29"/>
      <c r="G160" s="118"/>
      <c r="H160" s="118"/>
      <c r="I160" s="118"/>
      <c r="J160" s="5699" t="s">
        <v>845</v>
      </c>
      <c r="K160" s="5700"/>
      <c r="L160" s="5701"/>
      <c r="M160" s="126" t="e">
        <f>SUM(M155:M159)</f>
        <v>#REF!</v>
      </c>
      <c r="N160" s="118"/>
      <c r="O160" s="5699" t="s">
        <v>845</v>
      </c>
      <c r="P160" s="5700"/>
      <c r="Q160" s="5700"/>
      <c r="R160" s="5700"/>
      <c r="S160" s="5700"/>
      <c r="T160" s="5700"/>
      <c r="U160" s="5700"/>
      <c r="V160" s="5700"/>
      <c r="W160" s="5701"/>
      <c r="X160" s="126">
        <f>SUM(X155:X159)</f>
        <v>80958682</v>
      </c>
      <c r="Y160" s="118"/>
      <c r="Z160" s="118"/>
      <c r="AA160" s="118"/>
      <c r="AB160" s="118"/>
      <c r="AC160" s="118"/>
      <c r="AD160" s="118"/>
      <c r="AE160" s="118"/>
      <c r="AF160" s="118"/>
      <c r="AG160" s="118"/>
      <c r="AH160" s="118"/>
      <c r="AI160" s="118"/>
      <c r="AJ160" s="118"/>
      <c r="AK160" s="118"/>
      <c r="AL160" s="118"/>
      <c r="AM160" s="118"/>
      <c r="AN160" s="118"/>
      <c r="AO160" s="118"/>
      <c r="AP160" s="118"/>
      <c r="AQ160" s="118"/>
      <c r="AR160" s="118"/>
      <c r="AS160" s="118"/>
      <c r="AT160" s="118"/>
      <c r="AU160" s="118"/>
      <c r="AV160" s="118"/>
      <c r="AW160" s="118"/>
      <c r="AX160" s="118"/>
      <c r="AY160" s="118"/>
      <c r="AZ160" s="118"/>
      <c r="BA160" s="118"/>
      <c r="BB160" s="118"/>
      <c r="BC160" s="118"/>
      <c r="BD160" s="118"/>
      <c r="BE160" s="118"/>
      <c r="BF160" s="118"/>
      <c r="BG160" s="118"/>
      <c r="BH160" s="118"/>
      <c r="BI160" s="118"/>
      <c r="BJ160" s="118"/>
      <c r="BK160" s="118"/>
      <c r="BL160" s="118"/>
      <c r="BM160" s="5699" t="s">
        <v>845</v>
      </c>
      <c r="BN160" s="5700"/>
      <c r="BO160" s="5701"/>
      <c r="BP160" s="126">
        <f>SUM(BP155:BP159)</f>
        <v>0</v>
      </c>
      <c r="BQ160" s="120"/>
      <c r="BR160" s="120"/>
      <c r="BS160" s="118"/>
    </row>
    <row r="161" spans="1:71" ht="16.5" customHeight="1">
      <c r="A161" s="118"/>
      <c r="C161" s="29"/>
      <c r="D161" s="29"/>
      <c r="G161" s="118"/>
      <c r="H161" s="118"/>
      <c r="I161" s="118"/>
      <c r="J161" s="118"/>
      <c r="K161" s="118"/>
      <c r="L161" s="118"/>
      <c r="M161" s="118"/>
      <c r="N161" s="118"/>
      <c r="O161" s="118"/>
      <c r="P161" s="118"/>
      <c r="Q161" s="118"/>
      <c r="R161" s="118"/>
      <c r="S161" s="118"/>
      <c r="T161" s="118"/>
      <c r="U161" s="118"/>
      <c r="V161" s="118"/>
      <c r="W161" s="118"/>
      <c r="X161" s="118"/>
      <c r="Y161" s="118"/>
      <c r="Z161" s="118"/>
      <c r="AA161" s="118"/>
      <c r="AB161" s="118"/>
      <c r="AC161" s="118"/>
      <c r="AD161" s="118"/>
      <c r="AE161" s="118"/>
      <c r="AF161" s="118"/>
      <c r="AG161" s="118"/>
      <c r="AH161" s="118"/>
      <c r="AI161" s="118"/>
      <c r="AJ161" s="118"/>
      <c r="AK161" s="118"/>
      <c r="AL161" s="118"/>
      <c r="AM161" s="118"/>
      <c r="AN161" s="118"/>
      <c r="AO161" s="118"/>
      <c r="AP161" s="118"/>
      <c r="AQ161" s="118"/>
      <c r="AR161" s="118"/>
      <c r="AS161" s="118"/>
      <c r="AT161" s="118"/>
      <c r="AU161" s="118"/>
      <c r="AV161" s="118"/>
      <c r="AW161" s="118"/>
      <c r="AX161" s="118"/>
      <c r="AY161" s="118"/>
      <c r="AZ161" s="118"/>
      <c r="BA161" s="118"/>
      <c r="BB161" s="118"/>
      <c r="BC161" s="118"/>
      <c r="BD161" s="118"/>
      <c r="BE161" s="118"/>
      <c r="BF161" s="118"/>
      <c r="BG161" s="118"/>
      <c r="BH161" s="118"/>
      <c r="BI161" s="118"/>
      <c r="BJ161" s="118"/>
      <c r="BK161" s="118"/>
      <c r="BL161" s="118"/>
      <c r="BM161" s="118"/>
      <c r="BN161" s="118"/>
      <c r="BO161" s="118"/>
      <c r="BP161" s="118"/>
      <c r="BQ161" s="120"/>
      <c r="BR161" s="120"/>
      <c r="BS161" s="118"/>
    </row>
    <row r="162" spans="1:71" ht="15.75">
      <c r="A162" s="118"/>
      <c r="C162" s="29"/>
      <c r="D162" s="29"/>
      <c r="G162" s="118"/>
      <c r="H162" s="118"/>
      <c r="I162" s="118"/>
      <c r="J162" s="118"/>
      <c r="K162" s="118"/>
      <c r="L162" s="118"/>
      <c r="M162" s="118"/>
      <c r="N162" s="118"/>
      <c r="O162" s="118"/>
      <c r="P162" s="118"/>
      <c r="Q162" s="118"/>
      <c r="R162" s="118"/>
      <c r="S162" s="118"/>
      <c r="T162" s="118"/>
      <c r="U162" s="118"/>
      <c r="V162" s="118"/>
      <c r="W162" s="118"/>
      <c r="X162" s="118"/>
      <c r="Y162" s="118"/>
      <c r="Z162" s="118"/>
      <c r="AA162" s="118"/>
      <c r="AB162" s="118"/>
      <c r="AC162" s="118"/>
      <c r="AD162" s="118"/>
      <c r="AE162" s="118"/>
      <c r="AF162" s="118"/>
      <c r="AG162" s="118"/>
      <c r="AH162" s="118"/>
      <c r="AI162" s="118"/>
      <c r="AJ162" s="118"/>
      <c r="AK162" s="118"/>
      <c r="AL162" s="118"/>
      <c r="AM162" s="118"/>
      <c r="AN162" s="118"/>
      <c r="AO162" s="118"/>
      <c r="AP162" s="118"/>
      <c r="AQ162" s="118"/>
      <c r="AR162" s="118"/>
      <c r="AS162" s="118"/>
      <c r="AT162" s="118"/>
      <c r="AU162" s="118"/>
      <c r="AV162" s="118"/>
      <c r="AW162" s="118"/>
      <c r="AX162" s="118"/>
      <c r="AY162" s="118"/>
      <c r="AZ162" s="118"/>
      <c r="BA162" s="118"/>
      <c r="BB162" s="118"/>
      <c r="BC162" s="118"/>
      <c r="BD162" s="118"/>
      <c r="BE162" s="118"/>
      <c r="BF162" s="118"/>
      <c r="BG162" s="118"/>
      <c r="BH162" s="118"/>
      <c r="BI162" s="118"/>
      <c r="BJ162" s="118"/>
      <c r="BK162" s="118"/>
      <c r="BL162" s="118"/>
      <c r="BM162" s="118"/>
      <c r="BN162" s="118"/>
      <c r="BO162" s="118"/>
      <c r="BP162" s="118"/>
      <c r="BQ162" s="120"/>
      <c r="BR162" s="120"/>
      <c r="BS162" s="118"/>
    </row>
    <row r="163" spans="1:71" ht="15.75">
      <c r="A163" s="118"/>
      <c r="B163" s="118"/>
      <c r="C163" s="117"/>
      <c r="D163" s="117"/>
      <c r="E163" s="118"/>
      <c r="F163" s="118"/>
      <c r="G163" s="118"/>
      <c r="H163" s="118"/>
      <c r="I163" s="118"/>
      <c r="J163" s="118"/>
      <c r="K163" s="118"/>
      <c r="L163" s="203" t="s">
        <v>1247</v>
      </c>
      <c r="M163" s="118" t="e">
        <f>+M149+X149</f>
        <v>#REF!</v>
      </c>
      <c r="N163" s="118"/>
      <c r="O163" s="118" t="e">
        <f>-#REF!</f>
        <v>#REF!</v>
      </c>
      <c r="P163" s="118"/>
      <c r="Q163" s="118"/>
      <c r="R163" s="118"/>
      <c r="S163" s="118"/>
      <c r="T163" s="118"/>
      <c r="U163" s="118"/>
      <c r="V163" s="118" t="s">
        <v>66</v>
      </c>
      <c r="W163" s="118"/>
      <c r="X163" s="118"/>
      <c r="Y163" s="118"/>
      <c r="Z163" s="118"/>
      <c r="AA163" s="118"/>
      <c r="AB163" s="118"/>
      <c r="AC163" s="118"/>
      <c r="AD163" s="118"/>
      <c r="AE163" s="118"/>
      <c r="AF163" s="118"/>
      <c r="AG163" s="118"/>
      <c r="AH163" s="118"/>
      <c r="AI163" s="118"/>
      <c r="AJ163" s="118"/>
      <c r="AK163" s="118"/>
      <c r="AL163" s="118"/>
      <c r="AM163" s="118"/>
      <c r="AN163" s="118"/>
      <c r="AO163" s="118"/>
      <c r="AP163" s="118"/>
      <c r="AQ163" s="118"/>
      <c r="AR163" s="118"/>
      <c r="AS163" s="118"/>
      <c r="AT163" s="118"/>
      <c r="AU163" s="118"/>
      <c r="AV163" s="118"/>
      <c r="AW163" s="118"/>
      <c r="AX163" s="118"/>
      <c r="AY163" s="118"/>
      <c r="AZ163" s="118"/>
      <c r="BA163" s="118"/>
      <c r="BB163" s="118"/>
      <c r="BC163" s="118"/>
      <c r="BD163" s="118"/>
      <c r="BE163" s="118"/>
      <c r="BF163" s="118"/>
      <c r="BG163" s="118"/>
      <c r="BH163" s="118"/>
      <c r="BI163" s="118"/>
      <c r="BJ163" s="118"/>
      <c r="BK163" s="118"/>
      <c r="BL163" s="118"/>
      <c r="BM163" s="118"/>
      <c r="BN163" s="118"/>
      <c r="BO163" s="118"/>
      <c r="BP163" s="118"/>
      <c r="BQ163" s="120"/>
      <c r="BR163" s="120"/>
      <c r="BS163" s="118"/>
    </row>
    <row r="164" spans="1:71" ht="15.75">
      <c r="A164" s="118"/>
      <c r="B164" s="118"/>
      <c r="C164" s="117"/>
      <c r="D164" s="117"/>
      <c r="E164" s="118"/>
      <c r="F164" s="118"/>
      <c r="G164" s="118"/>
      <c r="H164" s="118"/>
      <c r="I164" s="118"/>
      <c r="J164" s="118"/>
      <c r="K164" s="118"/>
      <c r="L164" s="203" t="s">
        <v>1248</v>
      </c>
      <c r="M164" s="118" t="e">
        <f>+'Schedule B'!#REF!+'Schedule B'!#REF!+'Schedule B'!#REF!+'Schedule B'!#REF!</f>
        <v>#REF!</v>
      </c>
      <c r="N164" s="118"/>
      <c r="O164" s="118" t="e">
        <f>+M176</f>
        <v>#REF!</v>
      </c>
      <c r="P164" s="118"/>
      <c r="Q164" s="118"/>
      <c r="R164" s="118"/>
      <c r="S164" s="118"/>
      <c r="T164" s="118"/>
      <c r="U164" s="118"/>
      <c r="V164" s="118" t="s">
        <v>1249</v>
      </c>
      <c r="W164" s="118"/>
      <c r="X164" s="118"/>
      <c r="Y164" s="118"/>
      <c r="Z164" s="118"/>
      <c r="AA164" s="118"/>
      <c r="AB164" s="118"/>
      <c r="AC164" s="118"/>
      <c r="AD164" s="118"/>
      <c r="AE164" s="118"/>
      <c r="AF164" s="118"/>
      <c r="AG164" s="118"/>
      <c r="AH164" s="118"/>
      <c r="AI164" s="118"/>
      <c r="AJ164" s="118"/>
      <c r="AK164" s="118"/>
      <c r="AL164" s="118"/>
      <c r="AM164" s="118"/>
      <c r="AN164" s="118"/>
      <c r="AO164" s="118"/>
      <c r="AP164" s="118"/>
      <c r="AQ164" s="118"/>
      <c r="AR164" s="118"/>
      <c r="AS164" s="118"/>
      <c r="AT164" s="118"/>
      <c r="AU164" s="118"/>
      <c r="AV164" s="118"/>
      <c r="AW164" s="118"/>
      <c r="AX164" s="118"/>
      <c r="AY164" s="118"/>
      <c r="AZ164" s="118"/>
      <c r="BA164" s="118"/>
      <c r="BB164" s="118"/>
      <c r="BC164" s="118"/>
      <c r="BD164" s="118"/>
      <c r="BE164" s="118"/>
      <c r="BF164" s="118"/>
      <c r="BG164" s="118"/>
      <c r="BH164" s="118"/>
      <c r="BI164" s="118"/>
      <c r="BJ164" s="118"/>
      <c r="BK164" s="118"/>
      <c r="BL164" s="118"/>
      <c r="BM164" s="118"/>
      <c r="BN164" s="118"/>
      <c r="BO164" s="118"/>
      <c r="BP164" s="118"/>
      <c r="BQ164" s="120"/>
      <c r="BR164" s="120"/>
      <c r="BS164" s="118"/>
    </row>
    <row r="165" spans="1:71" ht="15.75">
      <c r="A165" s="37"/>
      <c r="B165" s="37"/>
      <c r="C165" s="36"/>
      <c r="D165" s="36"/>
      <c r="E165" s="37"/>
      <c r="F165" s="37"/>
      <c r="G165" s="37"/>
      <c r="H165" s="37"/>
      <c r="I165" s="37"/>
      <c r="J165" s="37"/>
      <c r="K165" s="37"/>
      <c r="L165" s="204" t="s">
        <v>1250</v>
      </c>
      <c r="M165" s="118" t="e">
        <f>+M163+M164</f>
        <v>#REF!</v>
      </c>
      <c r="N165" s="37"/>
      <c r="O165" s="37" t="e">
        <f>+O163+O164</f>
        <v>#REF!</v>
      </c>
      <c r="P165" s="37"/>
      <c r="Q165" s="37"/>
      <c r="R165" s="37"/>
      <c r="S165" s="37"/>
      <c r="T165" s="37"/>
      <c r="U165" s="37"/>
      <c r="V165" s="37"/>
      <c r="W165" s="37"/>
      <c r="X165" s="37"/>
      <c r="Y165" s="37"/>
      <c r="Z165" s="37"/>
      <c r="AA165" s="37"/>
      <c r="AB165" s="37"/>
      <c r="AC165" s="37"/>
      <c r="AD165" s="37"/>
      <c r="AE165" s="37"/>
      <c r="AF165" s="37"/>
      <c r="AG165" s="37"/>
      <c r="AH165" s="37"/>
      <c r="AI165" s="37"/>
      <c r="AJ165" s="37"/>
      <c r="AK165" s="37"/>
      <c r="AL165" s="37"/>
      <c r="AM165" s="37"/>
      <c r="AN165" s="37"/>
      <c r="AO165" s="37"/>
      <c r="AP165" s="37"/>
      <c r="AQ165" s="37"/>
      <c r="AR165" s="37"/>
      <c r="AS165" s="37"/>
      <c r="AT165" s="37"/>
      <c r="AU165" s="37"/>
      <c r="AV165" s="37"/>
      <c r="AW165" s="37"/>
      <c r="AX165" s="37"/>
      <c r="AY165" s="37"/>
      <c r="AZ165" s="37"/>
      <c r="BA165" s="37"/>
      <c r="BB165" s="37"/>
      <c r="BC165" s="37"/>
      <c r="BD165" s="37"/>
      <c r="BE165" s="37"/>
      <c r="BF165" s="37"/>
      <c r="BG165" s="37"/>
      <c r="BH165" s="37"/>
      <c r="BI165" s="37"/>
      <c r="BJ165" s="37"/>
      <c r="BK165" s="37"/>
      <c r="BL165" s="37"/>
      <c r="BM165" s="37"/>
      <c r="BN165" s="37"/>
      <c r="BO165" s="37"/>
      <c r="BP165" s="37"/>
      <c r="BQ165" s="38"/>
      <c r="BR165" s="38"/>
      <c r="BS165" s="37"/>
    </row>
    <row r="166" spans="1:71">
      <c r="A166" s="37"/>
      <c r="B166" s="37"/>
      <c r="C166" s="36"/>
      <c r="D166" s="36"/>
      <c r="E166" s="37"/>
      <c r="F166" s="37"/>
      <c r="G166" s="37"/>
      <c r="H166" s="37"/>
      <c r="I166" s="37"/>
      <c r="J166" s="37"/>
      <c r="K166" s="37"/>
      <c r="L166" s="204" t="s">
        <v>1251</v>
      </c>
      <c r="M166" s="37" t="e">
        <f>+'Schedule A'!#REF!-'Schedule A'!#REF!</f>
        <v>#REF!</v>
      </c>
      <c r="N166" s="37"/>
      <c r="O166" s="37" t="e">
        <f>+#REF!</f>
        <v>#REF!</v>
      </c>
      <c r="P166" s="37"/>
      <c r="Q166" s="37"/>
      <c r="R166" s="37"/>
      <c r="S166" s="37"/>
      <c r="T166" s="37"/>
      <c r="U166" s="37"/>
      <c r="V166" s="37" t="s">
        <v>1252</v>
      </c>
      <c r="W166" s="37"/>
      <c r="X166" s="37"/>
      <c r="Y166" s="37"/>
      <c r="Z166" s="37"/>
      <c r="AA166" s="37"/>
      <c r="AB166" s="37"/>
      <c r="AC166" s="37"/>
      <c r="AD166" s="37"/>
      <c r="AE166" s="37"/>
      <c r="AF166" s="37"/>
      <c r="AG166" s="37"/>
      <c r="AH166" s="37"/>
      <c r="AI166" s="37"/>
      <c r="AJ166" s="37"/>
      <c r="AK166" s="37"/>
      <c r="AL166" s="37"/>
      <c r="AM166" s="37"/>
      <c r="AN166" s="37"/>
      <c r="AO166" s="37"/>
      <c r="AP166" s="37"/>
      <c r="AQ166" s="37"/>
      <c r="AR166" s="37"/>
      <c r="AS166" s="37"/>
      <c r="AT166" s="37"/>
      <c r="AU166" s="37"/>
      <c r="AV166" s="37"/>
      <c r="AW166" s="37"/>
      <c r="AX166" s="37"/>
      <c r="AY166" s="37"/>
      <c r="AZ166" s="37"/>
      <c r="BA166" s="37"/>
      <c r="BB166" s="37"/>
      <c r="BC166" s="37"/>
      <c r="BD166" s="37"/>
      <c r="BE166" s="37"/>
      <c r="BF166" s="37"/>
      <c r="BG166" s="37"/>
      <c r="BH166" s="37"/>
      <c r="BI166" s="37"/>
      <c r="BJ166" s="37"/>
      <c r="BK166" s="37"/>
      <c r="BL166" s="37"/>
      <c r="BM166" s="37"/>
      <c r="BN166" s="37"/>
      <c r="BO166" s="37"/>
      <c r="BP166" s="37"/>
      <c r="BQ166" s="38"/>
      <c r="BR166" s="38"/>
      <c r="BS166" s="37"/>
    </row>
    <row r="167" spans="1:71" ht="15.75" thickBot="1">
      <c r="A167" s="37"/>
      <c r="B167" s="37"/>
      <c r="C167" s="36"/>
      <c r="D167" s="36"/>
      <c r="E167" s="37"/>
      <c r="F167" s="37"/>
      <c r="G167" s="37"/>
      <c r="H167" s="37"/>
      <c r="I167" s="37"/>
      <c r="J167" s="37"/>
      <c r="K167" s="37"/>
      <c r="L167" s="37"/>
      <c r="M167" s="37" t="e">
        <f>+M166-M165</f>
        <v>#REF!</v>
      </c>
      <c r="N167" s="37"/>
      <c r="O167" s="2738" t="e">
        <f>+O165+O166</f>
        <v>#REF!</v>
      </c>
      <c r="P167" s="37"/>
      <c r="Q167" s="37"/>
      <c r="R167" s="37"/>
      <c r="S167" s="37"/>
      <c r="T167" s="37"/>
      <c r="U167" s="37"/>
      <c r="V167" s="37"/>
      <c r="W167" s="37"/>
      <c r="X167" s="37"/>
      <c r="Y167" s="37"/>
      <c r="Z167" s="37"/>
      <c r="AA167" s="37"/>
      <c r="AB167" s="37"/>
      <c r="AC167" s="37"/>
      <c r="AD167" s="37"/>
      <c r="AE167" s="37"/>
      <c r="AF167" s="37"/>
      <c r="AG167" s="37"/>
      <c r="AH167" s="37"/>
      <c r="AI167" s="37"/>
      <c r="AJ167" s="37"/>
      <c r="AK167" s="37"/>
      <c r="AL167" s="37"/>
      <c r="AM167" s="37"/>
      <c r="AN167" s="37"/>
      <c r="AO167" s="37"/>
      <c r="AP167" s="37"/>
      <c r="AQ167" s="37"/>
      <c r="AR167" s="37"/>
      <c r="AS167" s="37"/>
      <c r="AT167" s="37"/>
      <c r="AU167" s="37"/>
      <c r="AV167" s="37"/>
      <c r="AW167" s="37"/>
      <c r="AX167" s="37"/>
      <c r="AY167" s="37"/>
      <c r="AZ167" s="37"/>
      <c r="BA167" s="37"/>
      <c r="BB167" s="37"/>
      <c r="BC167" s="37"/>
      <c r="BD167" s="37"/>
      <c r="BE167" s="37"/>
      <c r="BF167" s="37"/>
      <c r="BG167" s="37"/>
      <c r="BH167" s="37"/>
      <c r="BI167" s="37"/>
      <c r="BJ167" s="37"/>
      <c r="BK167" s="37"/>
      <c r="BL167" s="37"/>
      <c r="BM167" s="37"/>
      <c r="BN167" s="37"/>
      <c r="BO167" s="37"/>
      <c r="BP167" s="37"/>
      <c r="BQ167" s="38"/>
      <c r="BR167" s="38"/>
      <c r="BS167" s="37"/>
    </row>
    <row r="168" spans="1:71">
      <c r="A168" s="37"/>
      <c r="B168" s="37"/>
      <c r="C168" s="36"/>
      <c r="D168" s="36"/>
      <c r="E168" s="37"/>
      <c r="F168" s="37"/>
      <c r="G168" s="37"/>
      <c r="H168" s="37"/>
      <c r="I168" s="37"/>
      <c r="J168" s="37"/>
      <c r="K168" s="37"/>
      <c r="L168" s="37"/>
      <c r="M168" s="37"/>
      <c r="N168" s="37"/>
      <c r="O168" s="37" t="e">
        <f>+O167+#REF!+#REF!</f>
        <v>#REF!</v>
      </c>
      <c r="P168" s="37"/>
      <c r="Q168" s="37"/>
      <c r="R168" s="37"/>
      <c r="S168" s="37"/>
      <c r="T168" s="37"/>
      <c r="U168" s="37"/>
      <c r="V168" s="37"/>
      <c r="W168" s="37"/>
      <c r="X168" s="37"/>
      <c r="Y168" s="37"/>
      <c r="Z168" s="37"/>
      <c r="AA168" s="37"/>
      <c r="AB168" s="37"/>
      <c r="AC168" s="37"/>
      <c r="AD168" s="37"/>
      <c r="AE168" s="37"/>
      <c r="AF168" s="37"/>
      <c r="AG168" s="37"/>
      <c r="AH168" s="37"/>
      <c r="AI168" s="37"/>
      <c r="AJ168" s="37"/>
      <c r="AK168" s="37"/>
      <c r="AL168" s="37"/>
      <c r="AM168" s="37"/>
      <c r="AN168" s="37"/>
      <c r="AO168" s="37"/>
      <c r="AP168" s="37"/>
      <c r="AQ168" s="37"/>
      <c r="AR168" s="37"/>
      <c r="AS168" s="37"/>
      <c r="AT168" s="37"/>
      <c r="AU168" s="37"/>
      <c r="AV168" s="37"/>
      <c r="AW168" s="37"/>
      <c r="AX168" s="37"/>
      <c r="AY168" s="37"/>
      <c r="AZ168" s="37"/>
      <c r="BA168" s="37"/>
      <c r="BB168" s="37"/>
      <c r="BC168" s="37"/>
      <c r="BD168" s="37"/>
      <c r="BE168" s="37"/>
      <c r="BF168" s="37"/>
      <c r="BG168" s="37"/>
      <c r="BH168" s="37"/>
      <c r="BI168" s="37"/>
      <c r="BJ168" s="37"/>
      <c r="BK168" s="37"/>
      <c r="BL168" s="37"/>
      <c r="BM168" s="37"/>
      <c r="BN168" s="37"/>
      <c r="BO168" s="37"/>
      <c r="BP168" s="37"/>
      <c r="BQ168" s="38"/>
      <c r="BR168" s="38"/>
      <c r="BS168" s="37"/>
    </row>
    <row r="169" spans="1:71">
      <c r="A169" s="37"/>
      <c r="B169" s="37"/>
      <c r="C169" s="36"/>
      <c r="D169" s="36"/>
      <c r="E169" s="37"/>
      <c r="F169" s="37"/>
      <c r="G169" s="37"/>
      <c r="H169" s="37"/>
      <c r="I169" s="37"/>
      <c r="J169" s="37"/>
      <c r="K169" s="37"/>
      <c r="L169" s="37"/>
      <c r="M169" s="37"/>
      <c r="N169" s="37"/>
      <c r="O169" s="37"/>
      <c r="P169" s="37"/>
      <c r="Q169" s="37"/>
      <c r="R169" s="37"/>
      <c r="S169" s="37"/>
      <c r="T169" s="37"/>
      <c r="U169" s="37"/>
      <c r="V169" s="37"/>
      <c r="W169" s="37"/>
      <c r="X169" s="37"/>
      <c r="Y169" s="37"/>
      <c r="Z169" s="37"/>
      <c r="AA169" s="37"/>
      <c r="AB169" s="37"/>
      <c r="AC169" s="37"/>
      <c r="AD169" s="37"/>
      <c r="AE169" s="37"/>
      <c r="AF169" s="37"/>
      <c r="AG169" s="37"/>
      <c r="AH169" s="37"/>
      <c r="AI169" s="37"/>
      <c r="AJ169" s="37"/>
      <c r="AK169" s="37"/>
      <c r="AL169" s="37"/>
      <c r="AM169" s="37"/>
      <c r="AN169" s="37"/>
      <c r="AO169" s="37"/>
      <c r="AP169" s="37"/>
      <c r="AQ169" s="37"/>
      <c r="AR169" s="37"/>
      <c r="AS169" s="37"/>
      <c r="AT169" s="37"/>
      <c r="AU169" s="37"/>
      <c r="AV169" s="37"/>
      <c r="AW169" s="37"/>
      <c r="AX169" s="37"/>
      <c r="AY169" s="37"/>
      <c r="AZ169" s="37"/>
      <c r="BA169" s="37"/>
      <c r="BB169" s="37"/>
      <c r="BC169" s="37"/>
      <c r="BD169" s="37"/>
      <c r="BE169" s="37"/>
      <c r="BF169" s="37"/>
      <c r="BG169" s="37"/>
      <c r="BH169" s="37"/>
      <c r="BI169" s="37"/>
      <c r="BJ169" s="37"/>
      <c r="BK169" s="37"/>
      <c r="BL169" s="37"/>
      <c r="BM169" s="37"/>
      <c r="BN169" s="37"/>
      <c r="BO169" s="37"/>
      <c r="BP169" s="37"/>
      <c r="BQ169" s="38"/>
      <c r="BR169" s="38"/>
      <c r="BS169" s="37"/>
    </row>
    <row r="170" spans="1:71">
      <c r="A170" s="37"/>
      <c r="B170" s="37"/>
      <c r="C170" s="36"/>
      <c r="D170" s="36"/>
      <c r="E170" s="37"/>
      <c r="F170" s="37"/>
      <c r="G170" s="37"/>
      <c r="H170" s="37"/>
      <c r="I170" s="37"/>
      <c r="J170" s="37"/>
      <c r="K170" s="37"/>
      <c r="L170" s="204" t="s">
        <v>1253</v>
      </c>
      <c r="M170" s="37" t="e">
        <f>-(M21-M149)</f>
        <v>#REF!</v>
      </c>
      <c r="N170" s="37"/>
      <c r="O170" s="37" t="e">
        <f>+M149</f>
        <v>#REF!</v>
      </c>
      <c r="P170" s="37"/>
      <c r="Q170" s="37"/>
      <c r="R170" s="37"/>
      <c r="S170" s="37"/>
      <c r="T170" s="37"/>
      <c r="U170" s="37"/>
      <c r="V170" s="37" t="s">
        <v>839</v>
      </c>
      <c r="W170" s="37"/>
      <c r="X170" s="37"/>
      <c r="Y170" s="37"/>
      <c r="Z170" s="37"/>
      <c r="AA170" s="37"/>
      <c r="AB170" s="37"/>
      <c r="AC170" s="37"/>
      <c r="AD170" s="37"/>
      <c r="AE170" s="37"/>
      <c r="AF170" s="37"/>
      <c r="AG170" s="37"/>
      <c r="AH170" s="37"/>
      <c r="AI170" s="37"/>
      <c r="AJ170" s="37"/>
      <c r="AK170" s="37"/>
      <c r="AL170" s="37"/>
      <c r="AM170" s="37"/>
      <c r="AN170" s="37"/>
      <c r="AO170" s="37"/>
      <c r="AP170" s="37"/>
      <c r="AQ170" s="37"/>
      <c r="AR170" s="37"/>
      <c r="AS170" s="37"/>
      <c r="AT170" s="37"/>
      <c r="AU170" s="37"/>
      <c r="AV170" s="37"/>
      <c r="AW170" s="37"/>
      <c r="AX170" s="37"/>
      <c r="AY170" s="37"/>
      <c r="AZ170" s="37"/>
      <c r="BA170" s="37"/>
      <c r="BB170" s="37"/>
      <c r="BC170" s="37"/>
      <c r="BD170" s="37"/>
      <c r="BE170" s="37"/>
      <c r="BF170" s="37"/>
      <c r="BG170" s="37"/>
      <c r="BH170" s="37"/>
      <c r="BI170" s="37"/>
      <c r="BJ170" s="37"/>
      <c r="BK170" s="37"/>
      <c r="BL170" s="37"/>
      <c r="BM170" s="37"/>
      <c r="BN170" s="37"/>
      <c r="BO170" s="37"/>
      <c r="BP170" s="37"/>
      <c r="BQ170" s="38"/>
      <c r="BR170" s="38"/>
      <c r="BS170" s="37"/>
    </row>
    <row r="171" spans="1:71">
      <c r="A171" s="37"/>
      <c r="B171" s="37"/>
      <c r="C171" s="36"/>
      <c r="D171" s="36"/>
      <c r="E171" s="37"/>
      <c r="F171" s="37"/>
      <c r="G171" s="37"/>
      <c r="H171" s="37"/>
      <c r="I171" s="37"/>
      <c r="J171" s="37"/>
      <c r="K171" s="37"/>
      <c r="L171" s="204" t="s">
        <v>1254</v>
      </c>
      <c r="M171" s="37">
        <f>-M28</f>
        <v>0</v>
      </c>
      <c r="N171" s="37"/>
      <c r="O171" s="37">
        <f>-M21</f>
        <v>0</v>
      </c>
      <c r="P171" s="37"/>
      <c r="Q171" s="37"/>
      <c r="R171" s="37"/>
      <c r="S171" s="37"/>
      <c r="T171" s="37"/>
      <c r="U171" s="37"/>
      <c r="V171" s="37" t="s">
        <v>1255</v>
      </c>
      <c r="W171" s="37"/>
      <c r="X171" s="37"/>
      <c r="Y171" s="37"/>
      <c r="Z171" s="37"/>
      <c r="AA171" s="37"/>
      <c r="AB171" s="37"/>
      <c r="AC171" s="37"/>
      <c r="AD171" s="37"/>
      <c r="AE171" s="37"/>
      <c r="AF171" s="37"/>
      <c r="AG171" s="37"/>
      <c r="AH171" s="37"/>
      <c r="AI171" s="37"/>
      <c r="AJ171" s="37"/>
      <c r="AK171" s="37"/>
      <c r="AL171" s="37"/>
      <c r="AM171" s="37"/>
      <c r="AN171" s="37"/>
      <c r="AO171" s="37"/>
      <c r="AP171" s="37"/>
      <c r="AQ171" s="37"/>
      <c r="AR171" s="37"/>
      <c r="AS171" s="37"/>
      <c r="AT171" s="37"/>
      <c r="AU171" s="37"/>
      <c r="AV171" s="37"/>
      <c r="AW171" s="37"/>
      <c r="AX171" s="37"/>
      <c r="AY171" s="37"/>
      <c r="AZ171" s="37"/>
      <c r="BA171" s="37"/>
      <c r="BB171" s="37"/>
      <c r="BC171" s="37"/>
      <c r="BD171" s="37"/>
      <c r="BE171" s="37"/>
      <c r="BF171" s="37"/>
      <c r="BG171" s="37"/>
      <c r="BH171" s="37"/>
      <c r="BI171" s="37"/>
      <c r="BJ171" s="37"/>
      <c r="BK171" s="37"/>
      <c r="BL171" s="37"/>
      <c r="BM171" s="37"/>
      <c r="BN171" s="37"/>
      <c r="BO171" s="37"/>
      <c r="BP171" s="37"/>
      <c r="BQ171" s="38"/>
      <c r="BR171" s="38"/>
      <c r="BS171" s="37"/>
    </row>
    <row r="172" spans="1:71">
      <c r="A172" s="37"/>
      <c r="B172" s="37"/>
      <c r="C172" s="36"/>
      <c r="D172" s="36"/>
      <c r="E172" s="37"/>
      <c r="F172" s="37"/>
      <c r="G172" s="37"/>
      <c r="H172" s="37"/>
      <c r="I172" s="37"/>
      <c r="J172" s="37"/>
      <c r="K172" s="37"/>
      <c r="L172" s="204" t="s">
        <v>1256</v>
      </c>
      <c r="M172" s="37" t="e">
        <f>SUM(M170:M171)</f>
        <v>#REF!</v>
      </c>
      <c r="N172" s="37"/>
      <c r="O172" s="206">
        <f>-M28</f>
        <v>0</v>
      </c>
      <c r="P172" s="37"/>
      <c r="Q172" s="37"/>
      <c r="R172" s="37"/>
      <c r="S172" s="37"/>
      <c r="T172" s="37"/>
      <c r="U172" s="37"/>
      <c r="V172" s="37" t="s">
        <v>1254</v>
      </c>
      <c r="W172" s="37"/>
      <c r="X172" s="37"/>
      <c r="Y172" s="37"/>
      <c r="Z172" s="37"/>
      <c r="AA172" s="37"/>
      <c r="AB172" s="37"/>
      <c r="AC172" s="37"/>
      <c r="AD172" s="37"/>
      <c r="AE172" s="37"/>
      <c r="AF172" s="37"/>
      <c r="AG172" s="37"/>
      <c r="AH172" s="37"/>
      <c r="AI172" s="37"/>
      <c r="AJ172" s="37"/>
      <c r="AK172" s="37"/>
      <c r="AL172" s="37"/>
      <c r="AM172" s="37"/>
      <c r="AN172" s="37"/>
      <c r="AO172" s="37"/>
      <c r="AP172" s="37"/>
      <c r="AQ172" s="37"/>
      <c r="AR172" s="37"/>
      <c r="AS172" s="37"/>
      <c r="AT172" s="37"/>
      <c r="AU172" s="37"/>
      <c r="AV172" s="37"/>
      <c r="AW172" s="37"/>
      <c r="AX172" s="37"/>
      <c r="AY172" s="37"/>
      <c r="AZ172" s="37"/>
      <c r="BA172" s="37"/>
      <c r="BB172" s="37"/>
      <c r="BC172" s="37"/>
      <c r="BD172" s="37"/>
      <c r="BE172" s="37"/>
      <c r="BF172" s="37"/>
      <c r="BG172" s="37"/>
      <c r="BH172" s="37"/>
      <c r="BI172" s="37"/>
      <c r="BJ172" s="37"/>
      <c r="BK172" s="37"/>
      <c r="BL172" s="37"/>
      <c r="BM172" s="37"/>
      <c r="BN172" s="37"/>
      <c r="BO172" s="37"/>
      <c r="BP172" s="37"/>
      <c r="BQ172" s="38"/>
      <c r="BR172" s="38"/>
      <c r="BS172" s="37"/>
    </row>
    <row r="173" spans="1:71">
      <c r="A173" s="37"/>
      <c r="B173" s="37"/>
      <c r="C173" s="36"/>
      <c r="D173" s="36"/>
      <c r="E173" s="37"/>
      <c r="F173" s="37"/>
      <c r="G173" s="37"/>
      <c r="H173" s="37"/>
      <c r="I173" s="37"/>
      <c r="J173" s="37"/>
      <c r="K173" s="37"/>
      <c r="L173" s="204" t="s">
        <v>1257</v>
      </c>
      <c r="M173" s="206" t="e">
        <f>+M164</f>
        <v>#REF!</v>
      </c>
      <c r="N173" s="37"/>
      <c r="O173" s="37" t="e">
        <f>SUM(O170:O172)</f>
        <v>#REF!</v>
      </c>
      <c r="P173" s="37"/>
      <c r="Q173" s="37"/>
      <c r="R173" s="37"/>
      <c r="S173" s="37"/>
      <c r="T173" s="37"/>
      <c r="U173" s="37"/>
      <c r="V173" s="37" t="s">
        <v>1256</v>
      </c>
      <c r="W173" s="37"/>
      <c r="X173" s="37"/>
      <c r="Y173" s="37"/>
      <c r="Z173" s="37"/>
      <c r="AA173" s="37"/>
      <c r="AB173" s="37"/>
      <c r="AC173" s="37"/>
      <c r="AD173" s="37"/>
      <c r="AE173" s="37"/>
      <c r="AF173" s="37"/>
      <c r="AG173" s="37"/>
      <c r="AH173" s="37"/>
      <c r="AI173" s="37"/>
      <c r="AJ173" s="37"/>
      <c r="AK173" s="37"/>
      <c r="AL173" s="37"/>
      <c r="AM173" s="37"/>
      <c r="AN173" s="37"/>
      <c r="AO173" s="37"/>
      <c r="AP173" s="37"/>
      <c r="AQ173" s="37"/>
      <c r="AR173" s="37"/>
      <c r="AS173" s="37"/>
      <c r="AT173" s="37"/>
      <c r="AU173" s="37"/>
      <c r="AV173" s="37"/>
      <c r="AW173" s="37"/>
      <c r="AX173" s="37"/>
      <c r="AY173" s="37"/>
      <c r="AZ173" s="37"/>
      <c r="BA173" s="37"/>
      <c r="BB173" s="37"/>
      <c r="BC173" s="37"/>
      <c r="BD173" s="37"/>
      <c r="BE173" s="37"/>
      <c r="BF173" s="37"/>
      <c r="BG173" s="37"/>
      <c r="BH173" s="37"/>
      <c r="BI173" s="37"/>
      <c r="BJ173" s="37"/>
      <c r="BK173" s="37"/>
      <c r="BL173" s="37"/>
      <c r="BM173" s="37"/>
      <c r="BN173" s="37"/>
      <c r="BO173" s="37"/>
      <c r="BP173" s="37"/>
      <c r="BQ173" s="38"/>
      <c r="BR173" s="38"/>
      <c r="BS173" s="37"/>
    </row>
    <row r="174" spans="1:71">
      <c r="A174" s="37"/>
      <c r="B174" s="37"/>
      <c r="C174" s="36"/>
      <c r="D174" s="36"/>
      <c r="E174" s="37"/>
      <c r="F174" s="37"/>
      <c r="G174" s="37"/>
      <c r="H174" s="37"/>
      <c r="I174" s="37"/>
      <c r="J174" s="37"/>
      <c r="K174" s="37"/>
      <c r="L174" s="204"/>
      <c r="M174" s="37" t="e">
        <f>+M172+M173</f>
        <v>#REF!</v>
      </c>
      <c r="N174" s="37"/>
      <c r="O174" s="37" t="e">
        <f>+X149</f>
        <v>#REF!</v>
      </c>
      <c r="P174" s="37"/>
      <c r="Q174" s="37"/>
      <c r="R174" s="37"/>
      <c r="S174" s="37"/>
      <c r="T174" s="37"/>
      <c r="U174" s="37"/>
      <c r="V174" s="37" t="s">
        <v>1258</v>
      </c>
      <c r="W174" s="37"/>
      <c r="X174" s="37"/>
      <c r="Y174" s="37"/>
      <c r="Z174" s="37"/>
      <c r="AA174" s="37"/>
      <c r="AB174" s="37"/>
      <c r="AC174" s="37"/>
      <c r="AD174" s="37"/>
      <c r="AE174" s="37"/>
      <c r="AF174" s="37"/>
      <c r="AG174" s="37"/>
      <c r="AH174" s="37"/>
      <c r="AI174" s="37"/>
      <c r="AJ174" s="37"/>
      <c r="AK174" s="37"/>
      <c r="AL174" s="37"/>
      <c r="AM174" s="37"/>
      <c r="AN174" s="37"/>
      <c r="AO174" s="37"/>
      <c r="AP174" s="37"/>
      <c r="AQ174" s="37"/>
      <c r="AR174" s="37"/>
      <c r="AS174" s="37"/>
      <c r="AT174" s="37"/>
      <c r="AU174" s="37"/>
      <c r="AV174" s="37"/>
      <c r="AW174" s="37"/>
      <c r="AX174" s="37"/>
      <c r="AY174" s="37"/>
      <c r="AZ174" s="37"/>
      <c r="BA174" s="37"/>
      <c r="BB174" s="37"/>
      <c r="BC174" s="37"/>
      <c r="BD174" s="37"/>
      <c r="BE174" s="37"/>
      <c r="BF174" s="37"/>
      <c r="BG174" s="37"/>
      <c r="BH174" s="37"/>
      <c r="BI174" s="37"/>
      <c r="BJ174" s="37"/>
      <c r="BK174" s="37"/>
      <c r="BL174" s="37"/>
      <c r="BM174" s="37"/>
      <c r="BN174" s="37"/>
      <c r="BO174" s="37"/>
      <c r="BP174" s="37"/>
      <c r="BQ174" s="38"/>
      <c r="BR174" s="38"/>
      <c r="BS174" s="37"/>
    </row>
    <row r="175" spans="1:71" ht="15.75" thickBot="1">
      <c r="A175" s="37"/>
      <c r="B175" s="37"/>
      <c r="C175" s="36"/>
      <c r="D175" s="36"/>
      <c r="E175" s="37"/>
      <c r="F175" s="37"/>
      <c r="G175" s="37"/>
      <c r="H175" s="37"/>
      <c r="I175" s="37"/>
      <c r="J175" s="37"/>
      <c r="K175" s="37"/>
      <c r="L175" s="204" t="s">
        <v>1259</v>
      </c>
      <c r="M175" s="208" t="e">
        <f>+X149</f>
        <v>#REF!</v>
      </c>
      <c r="N175" s="37"/>
      <c r="O175" s="207" t="e">
        <f>SUM(O173:O174)</f>
        <v>#REF!</v>
      </c>
      <c r="P175" s="37"/>
      <c r="Q175" s="37"/>
      <c r="R175" s="37"/>
      <c r="S175" s="37"/>
      <c r="T175" s="37"/>
      <c r="U175" s="37"/>
      <c r="V175" s="37" t="s">
        <v>1260</v>
      </c>
      <c r="W175" s="37"/>
      <c r="X175" s="37"/>
      <c r="Y175" s="37"/>
      <c r="Z175" s="37"/>
      <c r="AA175" s="37"/>
      <c r="AB175" s="37"/>
      <c r="AC175" s="37"/>
      <c r="AD175" s="37"/>
      <c r="AE175" s="37"/>
      <c r="AF175" s="37"/>
      <c r="AG175" s="37"/>
      <c r="AH175" s="37"/>
      <c r="AI175" s="37"/>
      <c r="AJ175" s="37"/>
      <c r="AK175" s="37"/>
      <c r="AL175" s="37"/>
      <c r="AM175" s="37"/>
      <c r="AN175" s="37"/>
      <c r="AO175" s="37"/>
      <c r="AP175" s="37"/>
      <c r="AQ175" s="37"/>
      <c r="AR175" s="37"/>
      <c r="AS175" s="37"/>
      <c r="AT175" s="37"/>
      <c r="AU175" s="37"/>
      <c r="AV175" s="37"/>
      <c r="AW175" s="37"/>
      <c r="AX175" s="37"/>
      <c r="AY175" s="37"/>
      <c r="AZ175" s="37"/>
      <c r="BA175" s="37"/>
      <c r="BB175" s="37"/>
      <c r="BC175" s="37"/>
      <c r="BD175" s="37"/>
      <c r="BE175" s="37"/>
      <c r="BF175" s="37"/>
      <c r="BG175" s="37"/>
      <c r="BH175" s="37"/>
      <c r="BI175" s="37"/>
      <c r="BJ175" s="37"/>
      <c r="BK175" s="37"/>
      <c r="BL175" s="37"/>
      <c r="BM175" s="37"/>
      <c r="BN175" s="37"/>
      <c r="BO175" s="37"/>
      <c r="BP175" s="37"/>
      <c r="BQ175" s="38"/>
      <c r="BR175" s="38"/>
      <c r="BS175" s="37"/>
    </row>
    <row r="176" spans="1:71" ht="16.5" thickTop="1" thickBot="1">
      <c r="A176" s="37"/>
      <c r="B176" s="37"/>
      <c r="C176" s="36"/>
      <c r="D176" s="36"/>
      <c r="E176" s="37"/>
      <c r="F176" s="37"/>
      <c r="G176" s="37"/>
      <c r="H176" s="37"/>
      <c r="I176" s="37"/>
      <c r="J176" s="37"/>
      <c r="K176" s="37"/>
      <c r="L176" s="37"/>
      <c r="M176" s="207" t="e">
        <f>SUM(M174:M175)</f>
        <v>#REF!</v>
      </c>
      <c r="N176" s="37"/>
      <c r="O176" s="37"/>
      <c r="P176" s="37"/>
      <c r="Q176" s="37"/>
      <c r="R176" s="37"/>
      <c r="S176" s="37"/>
      <c r="T176" s="37"/>
      <c r="U176" s="37"/>
      <c r="V176" s="37"/>
      <c r="W176" s="37"/>
      <c r="X176" s="37"/>
      <c r="Y176" s="37"/>
      <c r="Z176" s="37"/>
      <c r="AA176" s="37"/>
      <c r="AB176" s="37"/>
      <c r="AC176" s="37"/>
      <c r="AD176" s="37"/>
      <c r="AE176" s="37"/>
      <c r="AF176" s="37"/>
      <c r="AG176" s="37"/>
      <c r="AH176" s="37"/>
      <c r="AI176" s="37"/>
      <c r="AJ176" s="37"/>
      <c r="AK176" s="37"/>
      <c r="AL176" s="37"/>
      <c r="AM176" s="37"/>
      <c r="AN176" s="37"/>
      <c r="AO176" s="37"/>
      <c r="AP176" s="37"/>
      <c r="AQ176" s="37"/>
      <c r="AR176" s="37"/>
      <c r="AS176" s="37"/>
      <c r="AT176" s="37"/>
      <c r="AU176" s="37"/>
      <c r="AV176" s="37"/>
      <c r="AW176" s="37"/>
      <c r="AX176" s="37"/>
      <c r="AY176" s="37"/>
      <c r="AZ176" s="37"/>
      <c r="BA176" s="37"/>
      <c r="BB176" s="37"/>
      <c r="BC176" s="37"/>
      <c r="BD176" s="37"/>
      <c r="BE176" s="37"/>
      <c r="BF176" s="37"/>
      <c r="BG176" s="37"/>
      <c r="BH176" s="37"/>
      <c r="BI176" s="37"/>
      <c r="BJ176" s="37"/>
      <c r="BK176" s="37"/>
      <c r="BL176" s="37"/>
      <c r="BM176" s="37"/>
      <c r="BN176" s="37"/>
      <c r="BO176" s="37"/>
      <c r="BP176" s="37"/>
      <c r="BQ176" s="38"/>
      <c r="BR176" s="38"/>
      <c r="BS176" s="37"/>
    </row>
    <row r="177" spans="1:71" ht="15.75" thickTop="1">
      <c r="A177" s="37"/>
      <c r="B177" s="37"/>
      <c r="C177" s="36"/>
      <c r="D177" s="36"/>
      <c r="E177" s="37"/>
      <c r="F177" s="37"/>
      <c r="G177" s="37"/>
      <c r="H177" s="37"/>
      <c r="I177" s="37"/>
      <c r="J177" s="37"/>
      <c r="K177" s="37"/>
      <c r="L177" s="204" t="s">
        <v>1261</v>
      </c>
      <c r="M177" s="37" t="e">
        <f>-#REF!</f>
        <v>#REF!</v>
      </c>
      <c r="N177" s="37"/>
      <c r="O177" s="37"/>
      <c r="P177" s="37"/>
      <c r="Q177" s="37"/>
      <c r="R177" s="37"/>
      <c r="S177" s="37"/>
      <c r="T177" s="37"/>
      <c r="U177" s="37"/>
      <c r="V177" s="37"/>
      <c r="W177" s="37"/>
      <c r="X177" s="37"/>
      <c r="Y177" s="37"/>
      <c r="Z177" s="37"/>
      <c r="AA177" s="37"/>
      <c r="AB177" s="37"/>
      <c r="AC177" s="37"/>
      <c r="AD177" s="37"/>
      <c r="AE177" s="37"/>
      <c r="AF177" s="37"/>
      <c r="AG177" s="37"/>
      <c r="AH177" s="37"/>
      <c r="AI177" s="37"/>
      <c r="AJ177" s="37"/>
      <c r="AK177" s="37"/>
      <c r="AL177" s="37"/>
      <c r="AM177" s="37"/>
      <c r="AN177" s="37"/>
      <c r="AO177" s="37"/>
      <c r="AP177" s="37"/>
      <c r="AQ177" s="37"/>
      <c r="AR177" s="37"/>
      <c r="AS177" s="37"/>
      <c r="AT177" s="37"/>
      <c r="AU177" s="37"/>
      <c r="AV177" s="37"/>
      <c r="AW177" s="37"/>
      <c r="AX177" s="37"/>
      <c r="AY177" s="37"/>
      <c r="AZ177" s="37"/>
      <c r="BA177" s="37"/>
      <c r="BB177" s="37"/>
      <c r="BC177" s="37"/>
      <c r="BD177" s="37"/>
      <c r="BE177" s="37"/>
      <c r="BF177" s="37"/>
      <c r="BG177" s="37"/>
      <c r="BH177" s="37"/>
      <c r="BI177" s="37"/>
      <c r="BJ177" s="37"/>
      <c r="BK177" s="37"/>
      <c r="BL177" s="37"/>
      <c r="BM177" s="37"/>
      <c r="BN177" s="37"/>
      <c r="BO177" s="37"/>
      <c r="BP177" s="37"/>
      <c r="BQ177" s="38"/>
      <c r="BR177" s="38"/>
      <c r="BS177" s="37"/>
    </row>
    <row r="178" spans="1:71">
      <c r="A178" s="37"/>
      <c r="B178" s="37"/>
      <c r="C178" s="36"/>
      <c r="D178" s="36"/>
      <c r="E178" s="37"/>
      <c r="F178" s="37"/>
      <c r="G178" s="37"/>
      <c r="H178" s="37"/>
      <c r="I178" s="37"/>
      <c r="J178" s="37"/>
      <c r="K178" s="37"/>
      <c r="L178" s="204" t="s">
        <v>1262</v>
      </c>
      <c r="M178" s="37" t="e">
        <f>-#REF!</f>
        <v>#REF!</v>
      </c>
      <c r="N178" s="37"/>
      <c r="O178" s="37"/>
      <c r="P178" s="37"/>
      <c r="Q178" s="37"/>
      <c r="R178" s="37"/>
      <c r="S178" s="37"/>
      <c r="T178" s="37"/>
      <c r="U178" s="37"/>
      <c r="V178" s="37"/>
      <c r="W178" s="37"/>
      <c r="X178" s="37"/>
      <c r="Y178" s="37"/>
      <c r="Z178" s="37"/>
      <c r="AA178" s="37"/>
      <c r="AB178" s="37"/>
      <c r="AC178" s="37"/>
      <c r="AD178" s="37"/>
      <c r="AE178" s="37"/>
      <c r="AF178" s="37"/>
      <c r="AG178" s="37"/>
      <c r="AH178" s="37"/>
      <c r="AI178" s="37"/>
      <c r="AJ178" s="37"/>
      <c r="AK178" s="37"/>
      <c r="AL178" s="37"/>
      <c r="AM178" s="37"/>
      <c r="AN178" s="37"/>
      <c r="AO178" s="37"/>
      <c r="AP178" s="37"/>
      <c r="AQ178" s="37"/>
      <c r="AR178" s="37"/>
      <c r="AS178" s="37"/>
      <c r="AT178" s="37"/>
      <c r="AU178" s="37"/>
      <c r="AV178" s="37"/>
      <c r="AW178" s="37"/>
      <c r="AX178" s="37"/>
      <c r="AY178" s="37"/>
      <c r="AZ178" s="37"/>
      <c r="BA178" s="37"/>
      <c r="BB178" s="37"/>
      <c r="BC178" s="37"/>
      <c r="BD178" s="37"/>
      <c r="BE178" s="37"/>
      <c r="BF178" s="37"/>
      <c r="BG178" s="37"/>
      <c r="BH178" s="37"/>
      <c r="BI178" s="37"/>
      <c r="BJ178" s="37"/>
      <c r="BK178" s="37"/>
      <c r="BL178" s="37"/>
      <c r="BM178" s="37"/>
      <c r="BN178" s="37"/>
      <c r="BO178" s="37"/>
      <c r="BP178" s="37"/>
      <c r="BQ178" s="38"/>
      <c r="BR178" s="38"/>
      <c r="BS178" s="37"/>
    </row>
    <row r="179" spans="1:71" ht="15.75" thickBot="1">
      <c r="A179" s="37"/>
      <c r="B179" s="37"/>
      <c r="C179" s="36"/>
      <c r="D179" s="36"/>
      <c r="E179" s="37"/>
      <c r="F179" s="37"/>
      <c r="G179" s="37"/>
      <c r="H179" s="37"/>
      <c r="I179" s="37"/>
      <c r="J179" s="37"/>
      <c r="K179" s="37"/>
      <c r="L179" s="37"/>
      <c r="M179" s="2738" t="e">
        <f>+M176+M177+M178</f>
        <v>#REF!</v>
      </c>
      <c r="N179" s="37"/>
      <c r="O179" s="37"/>
      <c r="P179" s="37"/>
      <c r="Q179" s="37"/>
      <c r="R179" s="37"/>
      <c r="S179" s="37"/>
      <c r="T179" s="37"/>
      <c r="U179" s="37"/>
      <c r="V179" s="37"/>
      <c r="W179" s="37"/>
      <c r="X179" s="37"/>
      <c r="Y179" s="37"/>
      <c r="Z179" s="37"/>
      <c r="AA179" s="37"/>
      <c r="AB179" s="37"/>
      <c r="AC179" s="37"/>
      <c r="AD179" s="37"/>
      <c r="AE179" s="37"/>
      <c r="AF179" s="37"/>
      <c r="AG179" s="37"/>
      <c r="AH179" s="37"/>
      <c r="AI179" s="37"/>
      <c r="AJ179" s="37"/>
      <c r="AK179" s="37"/>
      <c r="AL179" s="37"/>
      <c r="AM179" s="37"/>
      <c r="AN179" s="37"/>
      <c r="AO179" s="37"/>
      <c r="AP179" s="37"/>
      <c r="AQ179" s="37"/>
      <c r="AR179" s="37"/>
      <c r="AS179" s="37"/>
      <c r="AT179" s="37"/>
      <c r="AU179" s="37"/>
      <c r="AV179" s="37"/>
      <c r="AW179" s="37"/>
      <c r="AX179" s="37"/>
      <c r="AY179" s="37"/>
      <c r="AZ179" s="37"/>
      <c r="BA179" s="37"/>
      <c r="BB179" s="37"/>
      <c r="BC179" s="37"/>
      <c r="BD179" s="37"/>
      <c r="BE179" s="37"/>
      <c r="BF179" s="37"/>
      <c r="BG179" s="37"/>
      <c r="BH179" s="37"/>
      <c r="BI179" s="37"/>
      <c r="BJ179" s="37"/>
      <c r="BK179" s="37"/>
      <c r="BL179" s="37"/>
      <c r="BM179" s="37"/>
      <c r="BN179" s="37"/>
      <c r="BO179" s="37"/>
      <c r="BP179" s="37"/>
      <c r="BQ179" s="38"/>
      <c r="BR179" s="38"/>
      <c r="BS179" s="37"/>
    </row>
    <row r="180" spans="1:71">
      <c r="A180" s="37"/>
      <c r="B180" s="37"/>
      <c r="C180" s="36"/>
      <c r="D180" s="36"/>
      <c r="E180" s="37"/>
      <c r="F180" s="37"/>
      <c r="G180" s="37"/>
      <c r="H180" s="37"/>
      <c r="I180" s="37"/>
      <c r="J180" s="37"/>
      <c r="K180" s="37"/>
      <c r="L180" s="37"/>
      <c r="M180" s="37"/>
      <c r="N180" s="37"/>
      <c r="O180" s="37"/>
      <c r="P180" s="37"/>
      <c r="Q180" s="37"/>
      <c r="R180" s="37"/>
      <c r="S180" s="37"/>
      <c r="T180" s="37"/>
      <c r="U180" s="37"/>
      <c r="V180" s="37"/>
      <c r="W180" s="37"/>
      <c r="X180" s="37"/>
      <c r="Y180" s="37"/>
      <c r="Z180" s="37"/>
      <c r="AA180" s="37"/>
      <c r="AB180" s="37"/>
      <c r="AC180" s="37"/>
      <c r="AD180" s="37"/>
      <c r="AE180" s="37"/>
      <c r="AF180" s="37"/>
      <c r="AG180" s="37"/>
      <c r="AH180" s="37"/>
      <c r="AI180" s="37"/>
      <c r="AJ180" s="37"/>
      <c r="AK180" s="37"/>
      <c r="AL180" s="37"/>
      <c r="AM180" s="37"/>
      <c r="AN180" s="37"/>
      <c r="AO180" s="37"/>
      <c r="AP180" s="37"/>
      <c r="AQ180" s="37"/>
      <c r="AR180" s="37"/>
      <c r="AS180" s="37"/>
      <c r="AT180" s="37"/>
      <c r="AU180" s="37"/>
      <c r="AV180" s="37"/>
      <c r="AW180" s="37"/>
      <c r="AX180" s="37"/>
      <c r="AY180" s="37"/>
      <c r="AZ180" s="37"/>
      <c r="BA180" s="37"/>
      <c r="BB180" s="37"/>
      <c r="BC180" s="37"/>
      <c r="BD180" s="37"/>
      <c r="BE180" s="37"/>
      <c r="BF180" s="37"/>
      <c r="BG180" s="37"/>
      <c r="BH180" s="37"/>
      <c r="BI180" s="37"/>
      <c r="BJ180" s="37"/>
      <c r="BK180" s="37"/>
      <c r="BL180" s="37"/>
      <c r="BM180" s="37"/>
      <c r="BN180" s="37"/>
      <c r="BO180" s="37"/>
      <c r="BP180" s="37"/>
      <c r="BQ180" s="38"/>
      <c r="BR180" s="38"/>
      <c r="BS180" s="37"/>
    </row>
    <row r="181" spans="1:71">
      <c r="A181" s="37"/>
      <c r="B181" s="37"/>
      <c r="C181" s="36"/>
      <c r="D181" s="36"/>
      <c r="E181" s="37"/>
      <c r="F181" s="37"/>
      <c r="G181" s="37"/>
      <c r="H181" s="37"/>
      <c r="I181" s="37"/>
      <c r="J181" s="37"/>
      <c r="K181" s="37"/>
      <c r="L181" s="37"/>
      <c r="M181" s="37"/>
      <c r="N181" s="37"/>
      <c r="O181" s="37"/>
      <c r="P181" s="37"/>
      <c r="Q181" s="37"/>
      <c r="R181" s="37"/>
      <c r="S181" s="37"/>
      <c r="T181" s="37"/>
      <c r="U181" s="37"/>
      <c r="V181" s="37"/>
      <c r="W181" s="37"/>
      <c r="X181" s="37"/>
      <c r="Y181" s="37"/>
      <c r="Z181" s="37"/>
      <c r="AA181" s="37"/>
      <c r="AB181" s="37"/>
      <c r="AC181" s="37"/>
      <c r="AD181" s="37"/>
      <c r="AE181" s="37"/>
      <c r="AF181" s="37"/>
      <c r="AG181" s="37"/>
      <c r="AH181" s="37"/>
      <c r="AI181" s="37"/>
      <c r="AJ181" s="37"/>
      <c r="AK181" s="37"/>
      <c r="AL181" s="37"/>
      <c r="AM181" s="37"/>
      <c r="AN181" s="37"/>
      <c r="AO181" s="37"/>
      <c r="AP181" s="37"/>
      <c r="AQ181" s="37"/>
      <c r="AR181" s="37"/>
      <c r="AS181" s="37"/>
      <c r="AT181" s="37"/>
      <c r="AU181" s="37"/>
      <c r="AV181" s="37"/>
      <c r="AW181" s="37"/>
      <c r="AX181" s="37"/>
      <c r="AY181" s="37"/>
      <c r="AZ181" s="37"/>
      <c r="BA181" s="37"/>
      <c r="BB181" s="37"/>
      <c r="BC181" s="37"/>
      <c r="BD181" s="37"/>
      <c r="BE181" s="37"/>
      <c r="BF181" s="37"/>
      <c r="BG181" s="37"/>
      <c r="BH181" s="37"/>
      <c r="BI181" s="37"/>
      <c r="BJ181" s="37"/>
      <c r="BK181" s="37"/>
      <c r="BL181" s="37"/>
      <c r="BM181" s="37"/>
      <c r="BN181" s="37"/>
      <c r="BO181" s="37"/>
      <c r="BP181" s="37"/>
      <c r="BQ181" s="38"/>
      <c r="BR181" s="38"/>
      <c r="BS181" s="37"/>
    </row>
    <row r="182" spans="1:71">
      <c r="A182" s="37"/>
      <c r="B182" s="37"/>
      <c r="C182" s="36"/>
      <c r="D182" s="36"/>
      <c r="E182" s="37"/>
      <c r="F182" s="37"/>
      <c r="G182" s="37"/>
      <c r="H182" s="37" t="e">
        <f>+'Schedule A'!#REF!-'Schedule A'!#REF!-'Schedule A'!#REF!</f>
        <v>#REF!</v>
      </c>
      <c r="I182" s="37"/>
      <c r="J182" s="37"/>
      <c r="K182" s="37"/>
      <c r="L182" s="37"/>
      <c r="M182" s="37"/>
      <c r="N182" s="37"/>
      <c r="O182" s="37"/>
      <c r="P182" s="37"/>
      <c r="Q182" s="37"/>
      <c r="R182" s="37"/>
      <c r="S182" s="37"/>
      <c r="T182" s="37"/>
      <c r="U182" s="37"/>
      <c r="V182" s="37"/>
      <c r="W182" s="37"/>
      <c r="X182" s="37"/>
      <c r="Y182" s="37"/>
      <c r="Z182" s="37"/>
      <c r="AA182" s="37"/>
      <c r="AB182" s="37"/>
      <c r="AC182" s="37"/>
      <c r="AD182" s="37"/>
      <c r="AE182" s="37"/>
      <c r="AF182" s="37"/>
      <c r="AG182" s="37"/>
      <c r="AH182" s="37"/>
      <c r="AI182" s="37"/>
      <c r="AJ182" s="37"/>
      <c r="AK182" s="37"/>
      <c r="AL182" s="37"/>
      <c r="AM182" s="37"/>
      <c r="AN182" s="37"/>
      <c r="AO182" s="37"/>
      <c r="AP182" s="37"/>
      <c r="AQ182" s="37"/>
      <c r="AR182" s="37"/>
      <c r="AS182" s="37"/>
      <c r="AT182" s="37"/>
      <c r="AU182" s="37"/>
      <c r="AV182" s="37"/>
      <c r="AW182" s="37"/>
      <c r="AX182" s="37"/>
      <c r="AY182" s="37"/>
      <c r="AZ182" s="37"/>
      <c r="BA182" s="37"/>
      <c r="BB182" s="37"/>
      <c r="BC182" s="37"/>
      <c r="BD182" s="37"/>
      <c r="BE182" s="37"/>
      <c r="BF182" s="37"/>
      <c r="BG182" s="37"/>
      <c r="BH182" s="37"/>
      <c r="BI182" s="37"/>
      <c r="BJ182" s="37"/>
      <c r="BK182" s="37"/>
      <c r="BL182" s="37"/>
      <c r="BM182" s="37"/>
      <c r="BN182" s="37"/>
      <c r="BO182" s="37"/>
      <c r="BP182" s="37"/>
      <c r="BQ182" s="38"/>
      <c r="BR182" s="38"/>
      <c r="BS182" s="37"/>
    </row>
    <row r="183" spans="1:71">
      <c r="A183" s="37"/>
      <c r="B183" s="37"/>
      <c r="C183" s="36"/>
      <c r="D183" s="36"/>
      <c r="E183" s="37"/>
      <c r="F183" s="37"/>
      <c r="G183" s="37"/>
      <c r="H183" s="37"/>
      <c r="I183" s="37"/>
      <c r="J183" s="37"/>
      <c r="K183" s="37"/>
      <c r="L183" s="209" t="s">
        <v>1263</v>
      </c>
      <c r="N183" s="37"/>
      <c r="O183" s="37"/>
      <c r="P183" s="37"/>
      <c r="Q183" s="37"/>
      <c r="R183" s="37"/>
      <c r="S183" s="37"/>
      <c r="T183" s="37"/>
      <c r="U183" s="37"/>
      <c r="V183" s="37"/>
      <c r="W183" s="37"/>
      <c r="X183" s="37"/>
      <c r="Y183" s="37"/>
      <c r="Z183" s="37"/>
      <c r="AA183" s="37"/>
      <c r="AB183" s="37"/>
      <c r="AC183" s="37"/>
      <c r="AD183" s="37"/>
      <c r="AE183" s="37"/>
      <c r="AF183" s="37"/>
      <c r="AG183" s="37"/>
      <c r="AH183" s="37"/>
      <c r="AI183" s="37"/>
      <c r="AJ183" s="37"/>
      <c r="AK183" s="37"/>
      <c r="AL183" s="37"/>
      <c r="AM183" s="37"/>
      <c r="AN183" s="37"/>
      <c r="AO183" s="37"/>
      <c r="AP183" s="37"/>
      <c r="AQ183" s="37"/>
      <c r="AR183" s="37"/>
      <c r="AS183" s="37"/>
      <c r="AT183" s="37"/>
      <c r="AU183" s="37"/>
      <c r="AV183" s="37"/>
      <c r="AW183" s="37"/>
      <c r="AX183" s="37"/>
      <c r="AY183" s="37"/>
      <c r="AZ183" s="37"/>
      <c r="BA183" s="37"/>
      <c r="BB183" s="37"/>
      <c r="BC183" s="37"/>
      <c r="BD183" s="37"/>
      <c r="BE183" s="37"/>
      <c r="BF183" s="37"/>
      <c r="BG183" s="37"/>
      <c r="BH183" s="37"/>
      <c r="BI183" s="37"/>
      <c r="BJ183" s="37"/>
      <c r="BK183" s="37"/>
      <c r="BL183" s="37"/>
      <c r="BM183" s="37"/>
      <c r="BN183" s="37"/>
      <c r="BO183" s="37"/>
      <c r="BP183" s="37"/>
      <c r="BQ183" s="38"/>
      <c r="BR183" s="38"/>
      <c r="BS183" s="37"/>
    </row>
    <row r="184" spans="1:71">
      <c r="A184" s="37"/>
      <c r="B184" s="37"/>
      <c r="C184" s="36"/>
      <c r="D184" s="36"/>
      <c r="E184" s="37"/>
      <c r="F184" s="37"/>
      <c r="G184" s="37"/>
      <c r="H184" s="37"/>
      <c r="I184" s="37"/>
      <c r="J184" s="37"/>
      <c r="K184" s="37"/>
      <c r="L184" s="204" t="s">
        <v>1264</v>
      </c>
      <c r="M184" s="37" t="e">
        <f>+M174</f>
        <v>#REF!</v>
      </c>
      <c r="N184" s="37"/>
      <c r="O184" s="37"/>
      <c r="P184" s="37"/>
      <c r="Q184" s="37"/>
      <c r="R184" s="37"/>
      <c r="S184" s="37"/>
      <c r="T184" s="37"/>
      <c r="U184" s="37"/>
      <c r="V184" s="37"/>
      <c r="W184" s="37"/>
      <c r="X184" s="37"/>
      <c r="Y184" s="37"/>
      <c r="Z184" s="37"/>
      <c r="AA184" s="37"/>
      <c r="AB184" s="37"/>
      <c r="AC184" s="37"/>
      <c r="AD184" s="37"/>
      <c r="AE184" s="37"/>
      <c r="AF184" s="37"/>
      <c r="AG184" s="37"/>
      <c r="AH184" s="37"/>
      <c r="AI184" s="37"/>
      <c r="AJ184" s="37"/>
      <c r="AK184" s="37"/>
      <c r="AL184" s="37"/>
      <c r="AM184" s="37"/>
      <c r="AN184" s="37"/>
      <c r="AO184" s="37"/>
      <c r="AP184" s="37"/>
      <c r="AQ184" s="37"/>
      <c r="AR184" s="37"/>
      <c r="AS184" s="37"/>
      <c r="AT184" s="37"/>
      <c r="AU184" s="37"/>
      <c r="AV184" s="37"/>
      <c r="AW184" s="37"/>
      <c r="AX184" s="37"/>
      <c r="AY184" s="37"/>
      <c r="AZ184" s="37"/>
      <c r="BA184" s="37"/>
      <c r="BB184" s="37"/>
      <c r="BC184" s="37"/>
      <c r="BD184" s="37"/>
      <c r="BE184" s="37"/>
      <c r="BF184" s="37"/>
      <c r="BG184" s="37"/>
      <c r="BH184" s="37"/>
      <c r="BI184" s="37"/>
      <c r="BJ184" s="37"/>
      <c r="BK184" s="37"/>
      <c r="BL184" s="37"/>
      <c r="BM184" s="37"/>
      <c r="BN184" s="37"/>
      <c r="BO184" s="37"/>
      <c r="BP184" s="37"/>
      <c r="BQ184" s="38"/>
      <c r="BR184" s="38"/>
      <c r="BS184" s="37"/>
    </row>
    <row r="185" spans="1:71">
      <c r="A185" s="37"/>
      <c r="B185" s="37"/>
      <c r="C185" s="36"/>
      <c r="D185" s="36"/>
      <c r="E185" s="37"/>
      <c r="F185" s="37"/>
      <c r="G185" s="37"/>
      <c r="H185" s="37"/>
      <c r="I185" s="37"/>
      <c r="J185" s="37"/>
      <c r="K185" s="37"/>
      <c r="L185" s="204" t="s">
        <v>1265</v>
      </c>
      <c r="M185" s="37"/>
      <c r="N185" s="37"/>
      <c r="O185" s="37"/>
      <c r="P185" s="37"/>
      <c r="Q185" s="37"/>
      <c r="R185" s="37"/>
      <c r="S185" s="37"/>
      <c r="T185" s="37"/>
      <c r="U185" s="37"/>
      <c r="V185" s="37"/>
      <c r="W185" s="37"/>
      <c r="X185" s="37"/>
      <c r="Y185" s="37"/>
      <c r="Z185" s="37"/>
      <c r="AA185" s="37"/>
      <c r="AB185" s="37"/>
      <c r="AC185" s="37"/>
      <c r="AD185" s="37"/>
      <c r="AE185" s="37"/>
      <c r="AF185" s="37"/>
      <c r="AG185" s="37"/>
      <c r="AH185" s="37"/>
      <c r="AI185" s="37"/>
      <c r="AJ185" s="37"/>
      <c r="AK185" s="37"/>
      <c r="AL185" s="37"/>
      <c r="AM185" s="37"/>
      <c r="AN185" s="37"/>
      <c r="AO185" s="37"/>
      <c r="AP185" s="37"/>
      <c r="AQ185" s="37"/>
      <c r="AR185" s="37"/>
      <c r="AS185" s="37"/>
      <c r="AT185" s="37"/>
      <c r="AU185" s="37"/>
      <c r="AV185" s="37"/>
      <c r="AW185" s="37"/>
      <c r="AX185" s="37"/>
      <c r="AY185" s="37"/>
      <c r="AZ185" s="37"/>
      <c r="BA185" s="37"/>
      <c r="BB185" s="37"/>
      <c r="BC185" s="37"/>
      <c r="BD185" s="37"/>
      <c r="BE185" s="37"/>
      <c r="BF185" s="37"/>
      <c r="BG185" s="37"/>
      <c r="BH185" s="37"/>
      <c r="BI185" s="37"/>
      <c r="BJ185" s="37"/>
      <c r="BK185" s="37"/>
      <c r="BL185" s="37"/>
      <c r="BM185" s="37"/>
      <c r="BN185" s="37"/>
      <c r="BO185" s="37"/>
      <c r="BP185" s="37"/>
      <c r="BQ185" s="38"/>
      <c r="BR185" s="38"/>
      <c r="BS185" s="37"/>
    </row>
    <row r="186" spans="1:71">
      <c r="A186" s="37"/>
      <c r="B186" s="37"/>
      <c r="C186" s="36"/>
      <c r="D186" s="36"/>
      <c r="E186" s="37"/>
      <c r="F186" s="37"/>
      <c r="G186" s="37"/>
      <c r="H186" s="37"/>
      <c r="I186" s="37"/>
      <c r="J186" s="37"/>
      <c r="K186" s="37"/>
      <c r="L186" s="204" t="s">
        <v>1112</v>
      </c>
      <c r="M186" s="37">
        <f>ROUND(1394000*1.06,-3)*-1</f>
        <v>-1478000</v>
      </c>
      <c r="N186" s="37" t="s">
        <v>1266</v>
      </c>
      <c r="O186" s="37"/>
      <c r="P186" s="37"/>
      <c r="Q186" s="37"/>
      <c r="R186" s="37"/>
      <c r="S186" s="37"/>
      <c r="T186" s="37"/>
      <c r="U186" s="37"/>
      <c r="V186" s="37"/>
      <c r="W186" s="37"/>
      <c r="X186" s="37"/>
      <c r="Y186" s="37"/>
      <c r="Z186" s="37"/>
      <c r="AA186" s="37"/>
      <c r="AB186" s="37"/>
      <c r="AC186" s="37"/>
      <c r="AD186" s="37"/>
      <c r="AE186" s="37"/>
      <c r="AF186" s="37"/>
      <c r="AG186" s="37"/>
      <c r="AH186" s="37"/>
      <c r="AI186" s="37"/>
      <c r="AJ186" s="37"/>
      <c r="AK186" s="37"/>
      <c r="AL186" s="37"/>
      <c r="AM186" s="37"/>
      <c r="AN186" s="37"/>
      <c r="AO186" s="37"/>
      <c r="AP186" s="37"/>
      <c r="AQ186" s="37"/>
      <c r="AR186" s="37"/>
      <c r="AS186" s="37"/>
      <c r="AT186" s="37"/>
      <c r="AU186" s="37"/>
      <c r="AV186" s="37"/>
      <c r="AW186" s="37"/>
      <c r="AX186" s="37"/>
      <c r="AY186" s="37"/>
      <c r="AZ186" s="37"/>
      <c r="BA186" s="37"/>
      <c r="BB186" s="37"/>
      <c r="BC186" s="37"/>
      <c r="BD186" s="37"/>
      <c r="BE186" s="37"/>
      <c r="BF186" s="37"/>
      <c r="BG186" s="37"/>
      <c r="BH186" s="37"/>
      <c r="BI186" s="37"/>
      <c r="BJ186" s="37"/>
      <c r="BK186" s="37"/>
      <c r="BL186" s="37"/>
      <c r="BM186" s="37"/>
      <c r="BN186" s="37"/>
      <c r="BO186" s="37"/>
      <c r="BP186" s="37"/>
      <c r="BQ186" s="38"/>
      <c r="BR186" s="38"/>
      <c r="BS186" s="37"/>
    </row>
    <row r="187" spans="1:71">
      <c r="A187" s="37"/>
      <c r="B187" s="37"/>
      <c r="C187" s="36"/>
      <c r="D187" s="36"/>
      <c r="E187" s="37"/>
      <c r="F187" s="37"/>
      <c r="G187" s="37"/>
      <c r="H187" s="37"/>
      <c r="I187" s="37"/>
      <c r="J187" s="37"/>
      <c r="K187" s="37"/>
      <c r="L187" s="204" t="s">
        <v>1115</v>
      </c>
      <c r="M187" s="37" t="e">
        <f>SUM(#REF!)*-1</f>
        <v>#REF!</v>
      </c>
      <c r="N187" s="37" t="s">
        <v>1267</v>
      </c>
      <c r="O187" s="37"/>
      <c r="P187" s="37"/>
      <c r="Q187" s="37"/>
      <c r="R187" s="37"/>
      <c r="S187" s="37"/>
      <c r="T187" s="37"/>
      <c r="U187" s="37"/>
      <c r="V187" s="37"/>
      <c r="W187" s="37"/>
      <c r="X187" s="37"/>
      <c r="Y187" s="37"/>
      <c r="Z187" s="37"/>
      <c r="AA187" s="37"/>
      <c r="AB187" s="37"/>
      <c r="AC187" s="37"/>
      <c r="AD187" s="37"/>
      <c r="AE187" s="37"/>
      <c r="AF187" s="37"/>
      <c r="AG187" s="37"/>
      <c r="AH187" s="37"/>
      <c r="AI187" s="37"/>
      <c r="AJ187" s="37"/>
      <c r="AK187" s="37"/>
      <c r="AL187" s="37"/>
      <c r="AM187" s="37"/>
      <c r="AN187" s="37"/>
      <c r="AO187" s="37"/>
      <c r="AP187" s="37"/>
      <c r="AQ187" s="37"/>
      <c r="AR187" s="37"/>
      <c r="AS187" s="37"/>
      <c r="AT187" s="37"/>
      <c r="AU187" s="37"/>
      <c r="AV187" s="37"/>
      <c r="AW187" s="37"/>
      <c r="AX187" s="37"/>
      <c r="AY187" s="37"/>
      <c r="AZ187" s="37"/>
      <c r="BA187" s="37"/>
      <c r="BB187" s="37"/>
      <c r="BC187" s="37"/>
      <c r="BD187" s="37"/>
      <c r="BE187" s="37"/>
      <c r="BF187" s="37"/>
      <c r="BG187" s="37"/>
      <c r="BH187" s="37"/>
      <c r="BI187" s="37"/>
      <c r="BJ187" s="37"/>
      <c r="BK187" s="37"/>
      <c r="BL187" s="37"/>
      <c r="BM187" s="37"/>
      <c r="BN187" s="37"/>
      <c r="BO187" s="37"/>
      <c r="BP187" s="37"/>
      <c r="BQ187" s="38"/>
      <c r="BR187" s="38"/>
      <c r="BS187" s="37"/>
    </row>
    <row r="188" spans="1:71">
      <c r="A188" s="37"/>
      <c r="B188" s="37"/>
      <c r="C188" s="36"/>
      <c r="D188" s="36"/>
      <c r="E188" s="37"/>
      <c r="F188" s="37"/>
      <c r="G188" s="37"/>
      <c r="H188" s="37"/>
      <c r="I188" s="37"/>
      <c r="J188" s="37"/>
      <c r="K188" s="37"/>
      <c r="L188" s="204" t="s">
        <v>1268</v>
      </c>
      <c r="M188" s="37" t="e">
        <f>SUM(#REF!)*-1+(#REF!+#REF!+#REF!+#REF!)*0</f>
        <v>#REF!</v>
      </c>
      <c r="N188" s="37" t="s">
        <v>1269</v>
      </c>
      <c r="O188" s="37"/>
      <c r="P188" s="37"/>
      <c r="Q188" s="37"/>
      <c r="R188" s="37"/>
      <c r="S188" s="37"/>
      <c r="T188" s="37"/>
      <c r="U188" s="37"/>
      <c r="V188" s="37"/>
      <c r="W188" s="37"/>
      <c r="X188" s="37"/>
      <c r="Y188" s="37"/>
      <c r="Z188" s="37"/>
      <c r="AA188" s="37"/>
      <c r="AB188" s="37"/>
      <c r="AC188" s="37"/>
      <c r="AD188" s="37"/>
      <c r="AE188" s="37"/>
      <c r="AF188" s="37"/>
      <c r="AG188" s="37"/>
      <c r="AH188" s="37"/>
      <c r="AI188" s="37"/>
      <c r="AJ188" s="37"/>
      <c r="AK188" s="37"/>
      <c r="AL188" s="37"/>
      <c r="AM188" s="37"/>
      <c r="AN188" s="37"/>
      <c r="AO188" s="37"/>
      <c r="AP188" s="37"/>
      <c r="AQ188" s="37"/>
      <c r="AR188" s="37"/>
      <c r="AS188" s="37"/>
      <c r="AT188" s="37"/>
      <c r="AU188" s="37"/>
      <c r="AV188" s="37"/>
      <c r="AW188" s="37"/>
      <c r="AX188" s="37"/>
      <c r="AY188" s="37"/>
      <c r="AZ188" s="37"/>
      <c r="BA188" s="37"/>
      <c r="BB188" s="37"/>
      <c r="BC188" s="37"/>
      <c r="BD188" s="37"/>
      <c r="BE188" s="37"/>
      <c r="BF188" s="37"/>
      <c r="BG188" s="37"/>
      <c r="BH188" s="37"/>
      <c r="BI188" s="37"/>
      <c r="BJ188" s="37"/>
      <c r="BK188" s="37"/>
      <c r="BL188" s="37"/>
      <c r="BM188" s="37"/>
      <c r="BN188" s="37"/>
      <c r="BO188" s="37"/>
      <c r="BP188" s="37"/>
      <c r="BQ188" s="38"/>
      <c r="BR188" s="38"/>
      <c r="BS188" s="37"/>
    </row>
    <row r="189" spans="1:71">
      <c r="A189" s="37"/>
      <c r="B189" s="37"/>
      <c r="C189" s="36"/>
      <c r="D189" s="36"/>
      <c r="E189" s="37"/>
      <c r="F189" s="37"/>
      <c r="G189" s="37"/>
      <c r="H189" s="37"/>
      <c r="I189" s="37"/>
      <c r="J189" s="37"/>
      <c r="K189" s="37"/>
      <c r="L189" s="204" t="s">
        <v>1120</v>
      </c>
      <c r="M189" s="37" t="e">
        <f>+#REF!*-1</f>
        <v>#REF!</v>
      </c>
      <c r="N189" s="37" t="s">
        <v>1267</v>
      </c>
      <c r="O189" s="37"/>
      <c r="P189" s="37"/>
      <c r="Q189" s="37"/>
      <c r="R189" s="37"/>
      <c r="S189" s="37"/>
      <c r="T189" s="37"/>
      <c r="U189" s="37"/>
      <c r="V189" s="37"/>
      <c r="W189" s="37"/>
      <c r="X189" s="37"/>
      <c r="Y189" s="37"/>
      <c r="Z189" s="37"/>
      <c r="AA189" s="37"/>
      <c r="AB189" s="37"/>
      <c r="AC189" s="37"/>
      <c r="AD189" s="37"/>
      <c r="AE189" s="37"/>
      <c r="AF189" s="37"/>
      <c r="AG189" s="37"/>
      <c r="AH189" s="37"/>
      <c r="AI189" s="37"/>
      <c r="AJ189" s="37"/>
      <c r="AK189" s="37"/>
      <c r="AL189" s="37"/>
      <c r="AM189" s="37"/>
      <c r="AN189" s="37"/>
      <c r="AO189" s="37"/>
      <c r="AP189" s="37"/>
      <c r="AQ189" s="37"/>
      <c r="AR189" s="37"/>
      <c r="AS189" s="37"/>
      <c r="AT189" s="37"/>
      <c r="AU189" s="37"/>
      <c r="AV189" s="37"/>
      <c r="AW189" s="37"/>
      <c r="AX189" s="37"/>
      <c r="AY189" s="37"/>
      <c r="AZ189" s="37"/>
      <c r="BA189" s="37"/>
      <c r="BB189" s="37"/>
      <c r="BC189" s="37"/>
      <c r="BD189" s="37"/>
      <c r="BE189" s="37"/>
      <c r="BF189" s="37"/>
      <c r="BG189" s="37"/>
      <c r="BH189" s="37"/>
      <c r="BI189" s="37"/>
      <c r="BJ189" s="37"/>
      <c r="BK189" s="37"/>
      <c r="BL189" s="37"/>
      <c r="BM189" s="37"/>
      <c r="BN189" s="37"/>
      <c r="BO189" s="37"/>
      <c r="BP189" s="37"/>
      <c r="BQ189" s="38"/>
      <c r="BR189" s="38"/>
      <c r="BS189" s="37"/>
    </row>
    <row r="190" spans="1:71" ht="15.75" thickBot="1">
      <c r="A190" s="37"/>
      <c r="B190" s="37"/>
      <c r="C190" s="36"/>
      <c r="D190" s="36"/>
      <c r="E190" s="37"/>
      <c r="F190" s="37"/>
      <c r="G190" s="37"/>
      <c r="H190" s="37"/>
      <c r="I190" s="37"/>
      <c r="J190" s="37"/>
      <c r="K190" s="37"/>
      <c r="L190" s="37"/>
      <c r="M190" s="37"/>
      <c r="N190" s="37"/>
      <c r="O190" s="37"/>
      <c r="P190" s="37"/>
      <c r="Q190" s="37"/>
      <c r="R190" s="37"/>
      <c r="S190" s="37"/>
      <c r="T190" s="37"/>
      <c r="U190" s="37"/>
      <c r="V190" s="37"/>
      <c r="W190" s="37"/>
      <c r="X190" s="37"/>
      <c r="Y190" s="37"/>
      <c r="Z190" s="37"/>
      <c r="AA190" s="37"/>
      <c r="AB190" s="37"/>
      <c r="AC190" s="37"/>
      <c r="AD190" s="37"/>
      <c r="AE190" s="37"/>
      <c r="AF190" s="37"/>
      <c r="AG190" s="37"/>
      <c r="AH190" s="37"/>
      <c r="AI190" s="37"/>
      <c r="AJ190" s="37"/>
      <c r="AK190" s="37"/>
      <c r="AL190" s="37"/>
      <c r="AM190" s="37"/>
      <c r="AN190" s="37"/>
      <c r="AO190" s="37"/>
      <c r="AP190" s="37"/>
      <c r="AQ190" s="37"/>
      <c r="AR190" s="37"/>
      <c r="AS190" s="37"/>
      <c r="AT190" s="37"/>
      <c r="AU190" s="37"/>
      <c r="AV190" s="37"/>
      <c r="AW190" s="37"/>
      <c r="AX190" s="37"/>
      <c r="AY190" s="37"/>
      <c r="AZ190" s="37"/>
      <c r="BA190" s="37"/>
      <c r="BB190" s="37"/>
      <c r="BC190" s="37"/>
      <c r="BD190" s="37"/>
      <c r="BE190" s="37"/>
      <c r="BF190" s="37"/>
      <c r="BG190" s="37"/>
      <c r="BH190" s="37"/>
      <c r="BI190" s="37"/>
      <c r="BJ190" s="37"/>
      <c r="BK190" s="37"/>
      <c r="BL190" s="37"/>
      <c r="BM190" s="37"/>
      <c r="BN190" s="37"/>
      <c r="BO190" s="37"/>
      <c r="BP190" s="37"/>
      <c r="BQ190" s="38"/>
      <c r="BR190" s="38"/>
      <c r="BS190" s="37"/>
    </row>
    <row r="191" spans="1:71" ht="15.75" thickBot="1">
      <c r="A191" s="37"/>
      <c r="B191" s="37"/>
      <c r="C191" s="36"/>
      <c r="D191" s="36"/>
      <c r="E191" s="37"/>
      <c r="F191" s="37"/>
      <c r="G191" s="37"/>
      <c r="H191" s="37"/>
      <c r="I191" s="37"/>
      <c r="J191" s="37"/>
      <c r="K191" s="37"/>
      <c r="L191" s="37"/>
      <c r="M191" s="210" t="e">
        <f>SUM(M184:M190)</f>
        <v>#REF!</v>
      </c>
      <c r="N191" s="37"/>
      <c r="O191" s="37"/>
      <c r="P191" s="37"/>
      <c r="Q191" s="37"/>
      <c r="R191" s="37"/>
      <c r="S191" s="37"/>
      <c r="T191" s="37"/>
      <c r="U191" s="37"/>
      <c r="V191" s="37"/>
      <c r="W191" s="37"/>
      <c r="X191" s="37"/>
      <c r="Y191" s="37"/>
      <c r="Z191" s="37"/>
      <c r="AA191" s="37"/>
      <c r="AB191" s="37"/>
      <c r="AC191" s="37"/>
      <c r="AD191" s="37"/>
      <c r="AE191" s="37"/>
      <c r="AF191" s="37"/>
      <c r="AG191" s="37"/>
      <c r="AH191" s="37"/>
      <c r="AI191" s="37"/>
      <c r="AJ191" s="37"/>
      <c r="AK191" s="37"/>
      <c r="AL191" s="37"/>
      <c r="AM191" s="37"/>
      <c r="AN191" s="37"/>
      <c r="AO191" s="37"/>
      <c r="AP191" s="37"/>
      <c r="AQ191" s="37"/>
      <c r="AR191" s="37"/>
      <c r="AS191" s="37"/>
      <c r="AT191" s="37"/>
      <c r="AU191" s="37"/>
      <c r="AV191" s="37"/>
      <c r="AW191" s="37"/>
      <c r="AX191" s="37"/>
      <c r="AY191" s="37"/>
      <c r="AZ191" s="37"/>
      <c r="BA191" s="37"/>
      <c r="BB191" s="37"/>
      <c r="BC191" s="37"/>
      <c r="BD191" s="37"/>
      <c r="BE191" s="37"/>
      <c r="BF191" s="37"/>
      <c r="BG191" s="37"/>
      <c r="BH191" s="37"/>
      <c r="BI191" s="37"/>
      <c r="BJ191" s="37"/>
      <c r="BK191" s="37"/>
      <c r="BL191" s="37"/>
      <c r="BM191" s="37"/>
      <c r="BN191" s="37"/>
      <c r="BO191" s="37"/>
      <c r="BP191" s="37"/>
      <c r="BQ191" s="38"/>
      <c r="BR191" s="38"/>
      <c r="BS191" s="37"/>
    </row>
    <row r="192" spans="1:71">
      <c r="A192" s="37"/>
      <c r="B192" s="37"/>
      <c r="C192" s="36"/>
      <c r="D192" s="36"/>
      <c r="E192" s="37"/>
      <c r="F192" s="37"/>
      <c r="G192" s="37"/>
      <c r="H192" s="37"/>
      <c r="I192" s="37"/>
      <c r="J192" s="37"/>
      <c r="K192" s="37"/>
      <c r="L192" s="37"/>
      <c r="M192" s="37"/>
      <c r="N192" s="37"/>
      <c r="O192" s="37"/>
      <c r="P192" s="37"/>
      <c r="Q192" s="37"/>
      <c r="R192" s="37"/>
      <c r="S192" s="37"/>
      <c r="T192" s="37"/>
      <c r="U192" s="37"/>
      <c r="V192" s="37"/>
      <c r="W192" s="37"/>
      <c r="X192" s="37"/>
      <c r="Y192" s="37"/>
      <c r="Z192" s="37"/>
      <c r="AA192" s="37"/>
      <c r="AB192" s="37"/>
      <c r="AC192" s="37"/>
      <c r="AD192" s="37"/>
      <c r="AE192" s="37"/>
      <c r="AF192" s="37"/>
      <c r="AG192" s="37"/>
      <c r="AH192" s="37"/>
      <c r="AI192" s="37"/>
      <c r="AJ192" s="37"/>
      <c r="AK192" s="37"/>
      <c r="AL192" s="37"/>
      <c r="AM192" s="37"/>
      <c r="AN192" s="37"/>
      <c r="AO192" s="37"/>
      <c r="AP192" s="37"/>
      <c r="AQ192" s="37"/>
      <c r="AR192" s="37"/>
      <c r="AS192" s="37"/>
      <c r="AT192" s="37"/>
      <c r="AU192" s="37"/>
      <c r="AV192" s="37"/>
      <c r="AW192" s="37"/>
      <c r="AX192" s="37"/>
      <c r="AY192" s="37"/>
      <c r="AZ192" s="37"/>
      <c r="BA192" s="37"/>
      <c r="BB192" s="37"/>
      <c r="BC192" s="37"/>
      <c r="BD192" s="37"/>
      <c r="BE192" s="37"/>
      <c r="BF192" s="37"/>
      <c r="BG192" s="37"/>
      <c r="BH192" s="37"/>
      <c r="BI192" s="37"/>
      <c r="BJ192" s="37"/>
      <c r="BK192" s="37"/>
      <c r="BL192" s="37"/>
      <c r="BM192" s="37"/>
      <c r="BN192" s="37"/>
      <c r="BO192" s="37"/>
      <c r="BP192" s="37"/>
      <c r="BQ192" s="38"/>
      <c r="BR192" s="38"/>
      <c r="BS192" s="37"/>
    </row>
    <row r="193" spans="1:71">
      <c r="A193" s="37"/>
      <c r="B193" s="37"/>
      <c r="C193" s="36"/>
      <c r="D193" s="36"/>
      <c r="E193" s="37"/>
      <c r="F193" s="37"/>
      <c r="G193" s="37"/>
      <c r="H193" s="37"/>
      <c r="I193" s="37"/>
      <c r="J193" s="37"/>
      <c r="K193" s="37"/>
      <c r="L193" s="37"/>
      <c r="M193" s="37"/>
      <c r="N193" s="37"/>
      <c r="O193" s="37"/>
      <c r="P193" s="37"/>
      <c r="Q193" s="37"/>
      <c r="R193" s="37"/>
      <c r="S193" s="37"/>
      <c r="T193" s="37"/>
      <c r="U193" s="37"/>
      <c r="V193" s="37"/>
      <c r="W193" s="37"/>
      <c r="X193" s="37"/>
      <c r="Y193" s="37"/>
      <c r="Z193" s="37"/>
      <c r="AA193" s="37"/>
      <c r="AB193" s="37"/>
      <c r="AC193" s="37"/>
      <c r="AD193" s="37"/>
      <c r="AE193" s="37"/>
      <c r="AF193" s="37"/>
      <c r="AG193" s="37"/>
      <c r="AH193" s="37"/>
      <c r="AI193" s="37"/>
      <c r="AJ193" s="37"/>
      <c r="AK193" s="37"/>
      <c r="AL193" s="37"/>
      <c r="AM193" s="37"/>
      <c r="AN193" s="37"/>
      <c r="AO193" s="37"/>
      <c r="AP193" s="37"/>
      <c r="AQ193" s="37"/>
      <c r="AR193" s="37"/>
      <c r="AS193" s="37"/>
      <c r="AT193" s="37"/>
      <c r="AU193" s="37"/>
      <c r="AV193" s="37"/>
      <c r="AW193" s="37"/>
      <c r="AX193" s="37"/>
      <c r="AY193" s="37"/>
      <c r="AZ193" s="37"/>
      <c r="BA193" s="37"/>
      <c r="BB193" s="37"/>
      <c r="BC193" s="37"/>
      <c r="BD193" s="37"/>
      <c r="BE193" s="37"/>
      <c r="BF193" s="37"/>
      <c r="BG193" s="37"/>
      <c r="BH193" s="37"/>
      <c r="BI193" s="37"/>
      <c r="BJ193" s="37"/>
      <c r="BK193" s="37"/>
      <c r="BL193" s="37"/>
      <c r="BM193" s="37"/>
      <c r="BN193" s="37"/>
      <c r="BO193" s="37"/>
      <c r="BP193" s="37"/>
      <c r="BQ193" s="38"/>
      <c r="BR193" s="38"/>
      <c r="BS193" s="37"/>
    </row>
    <row r="194" spans="1:71">
      <c r="A194" s="37"/>
      <c r="B194" s="37"/>
      <c r="C194" s="36"/>
      <c r="D194" s="36"/>
      <c r="E194" s="37"/>
      <c r="F194" s="37"/>
      <c r="G194" s="37"/>
      <c r="H194" s="37"/>
      <c r="I194" s="37"/>
      <c r="J194" s="37"/>
      <c r="K194" s="37"/>
      <c r="L194" s="37"/>
      <c r="M194" s="37"/>
      <c r="N194" s="37"/>
      <c r="O194" s="37"/>
      <c r="P194" s="37"/>
      <c r="Q194" s="37"/>
      <c r="R194" s="37"/>
      <c r="S194" s="37"/>
      <c r="T194" s="37"/>
      <c r="U194" s="37"/>
      <c r="V194" s="37"/>
      <c r="W194" s="37"/>
      <c r="X194" s="37"/>
      <c r="Y194" s="37"/>
      <c r="Z194" s="37"/>
      <c r="AA194" s="37"/>
      <c r="AB194" s="37"/>
      <c r="AC194" s="37"/>
      <c r="AD194" s="37"/>
      <c r="AE194" s="37"/>
      <c r="AF194" s="37"/>
      <c r="AG194" s="37"/>
      <c r="AH194" s="37"/>
      <c r="AI194" s="37"/>
      <c r="AJ194" s="37"/>
      <c r="AK194" s="37"/>
      <c r="AL194" s="37"/>
      <c r="AM194" s="37"/>
      <c r="AN194" s="37"/>
      <c r="AO194" s="37"/>
      <c r="AP194" s="37"/>
      <c r="AQ194" s="37"/>
      <c r="AR194" s="37"/>
      <c r="AS194" s="37"/>
      <c r="AT194" s="37"/>
      <c r="AU194" s="37"/>
      <c r="AV194" s="37"/>
      <c r="AW194" s="37"/>
      <c r="AX194" s="37"/>
      <c r="AY194" s="37"/>
      <c r="AZ194" s="37"/>
      <c r="BA194" s="37"/>
      <c r="BB194" s="37"/>
      <c r="BC194" s="37"/>
      <c r="BD194" s="37"/>
      <c r="BE194" s="37"/>
      <c r="BF194" s="37"/>
      <c r="BG194" s="37"/>
      <c r="BH194" s="37"/>
      <c r="BI194" s="37"/>
      <c r="BJ194" s="37"/>
      <c r="BK194" s="37"/>
      <c r="BL194" s="37"/>
      <c r="BM194" s="37"/>
      <c r="BN194" s="37"/>
      <c r="BO194" s="37"/>
      <c r="BP194" s="37"/>
      <c r="BQ194" s="38"/>
      <c r="BR194" s="38"/>
      <c r="BS194" s="37"/>
    </row>
    <row r="195" spans="1:71">
      <c r="A195" s="37"/>
      <c r="B195" s="37"/>
      <c r="C195" s="36"/>
      <c r="D195" s="36"/>
      <c r="E195" s="37"/>
      <c r="F195" s="37"/>
      <c r="G195" s="37"/>
      <c r="H195" s="37"/>
      <c r="I195" s="37"/>
      <c r="J195" s="37"/>
      <c r="K195" s="37"/>
      <c r="L195" s="37"/>
      <c r="M195" s="37"/>
      <c r="N195" s="37"/>
      <c r="O195" s="37"/>
      <c r="P195" s="37"/>
      <c r="Q195" s="37"/>
      <c r="R195" s="37"/>
      <c r="S195" s="37"/>
      <c r="T195" s="37"/>
      <c r="U195" s="37"/>
      <c r="V195" s="37"/>
      <c r="W195" s="37"/>
      <c r="X195" s="37"/>
      <c r="Y195" s="37"/>
      <c r="Z195" s="37"/>
      <c r="AA195" s="37"/>
      <c r="AB195" s="37"/>
      <c r="AC195" s="37"/>
      <c r="AD195" s="37"/>
      <c r="AE195" s="37"/>
      <c r="AF195" s="37"/>
      <c r="AG195" s="37"/>
      <c r="AH195" s="37"/>
      <c r="AI195" s="37"/>
      <c r="AJ195" s="37"/>
      <c r="AK195" s="37"/>
      <c r="AL195" s="37"/>
      <c r="AM195" s="37"/>
      <c r="AN195" s="37"/>
      <c r="AO195" s="37"/>
      <c r="AP195" s="37"/>
      <c r="AQ195" s="37"/>
      <c r="AR195" s="37"/>
      <c r="AS195" s="37"/>
      <c r="AT195" s="37"/>
      <c r="AU195" s="37"/>
      <c r="AV195" s="37"/>
      <c r="AW195" s="37"/>
      <c r="AX195" s="37"/>
      <c r="AY195" s="37"/>
      <c r="AZ195" s="37"/>
      <c r="BA195" s="37"/>
      <c r="BB195" s="37"/>
      <c r="BC195" s="37"/>
      <c r="BD195" s="37"/>
      <c r="BE195" s="37"/>
      <c r="BF195" s="37"/>
      <c r="BG195" s="37"/>
      <c r="BH195" s="37"/>
      <c r="BI195" s="37"/>
      <c r="BJ195" s="37"/>
      <c r="BK195" s="37"/>
      <c r="BL195" s="37"/>
      <c r="BM195" s="37"/>
      <c r="BN195" s="37"/>
      <c r="BO195" s="37"/>
      <c r="BP195" s="37"/>
      <c r="BQ195" s="38"/>
      <c r="BR195" s="38"/>
      <c r="BS195" s="37"/>
    </row>
    <row r="196" spans="1:71">
      <c r="A196" s="37"/>
      <c r="B196" s="37"/>
      <c r="C196" s="36"/>
      <c r="D196" s="36"/>
      <c r="E196" s="37"/>
      <c r="F196" s="37"/>
      <c r="G196" s="37"/>
      <c r="H196" s="37"/>
      <c r="I196" s="37"/>
      <c r="J196" s="37"/>
      <c r="K196" s="37"/>
      <c r="L196" s="37"/>
      <c r="M196" s="37"/>
      <c r="N196" s="37"/>
      <c r="O196" s="37"/>
      <c r="P196" s="37"/>
      <c r="Q196" s="37"/>
      <c r="R196" s="37"/>
      <c r="S196" s="37"/>
      <c r="T196" s="37"/>
      <c r="U196" s="37"/>
      <c r="V196" s="37"/>
      <c r="W196" s="37"/>
      <c r="X196" s="37"/>
      <c r="Y196" s="37"/>
      <c r="Z196" s="37"/>
      <c r="AA196" s="37"/>
      <c r="AB196" s="37"/>
      <c r="AC196" s="37"/>
      <c r="AD196" s="37"/>
      <c r="AE196" s="37"/>
      <c r="AF196" s="37"/>
      <c r="AG196" s="37"/>
      <c r="AH196" s="37"/>
      <c r="AI196" s="37"/>
      <c r="AJ196" s="37"/>
      <c r="AK196" s="37"/>
      <c r="AL196" s="37"/>
      <c r="AM196" s="37"/>
      <c r="AN196" s="37"/>
      <c r="AO196" s="37"/>
      <c r="AP196" s="37"/>
      <c r="AQ196" s="37"/>
      <c r="AR196" s="37"/>
      <c r="AS196" s="37"/>
      <c r="AT196" s="37"/>
      <c r="AU196" s="37"/>
      <c r="AV196" s="37"/>
      <c r="AW196" s="37"/>
      <c r="AX196" s="37"/>
      <c r="AY196" s="37"/>
      <c r="AZ196" s="37"/>
      <c r="BA196" s="37"/>
      <c r="BB196" s="37"/>
      <c r="BC196" s="37"/>
      <c r="BD196" s="37"/>
      <c r="BE196" s="37"/>
      <c r="BF196" s="37"/>
      <c r="BG196" s="37"/>
      <c r="BH196" s="37"/>
      <c r="BI196" s="37"/>
      <c r="BJ196" s="37"/>
      <c r="BK196" s="37"/>
      <c r="BL196" s="37"/>
      <c r="BM196" s="37"/>
      <c r="BN196" s="37"/>
      <c r="BO196" s="37"/>
      <c r="BP196" s="37"/>
      <c r="BQ196" s="38"/>
      <c r="BR196" s="38"/>
      <c r="BS196" s="37"/>
    </row>
    <row r="197" spans="1:71">
      <c r="A197" s="37"/>
      <c r="B197" s="37"/>
      <c r="C197" s="36"/>
      <c r="D197" s="36"/>
      <c r="E197" s="37"/>
      <c r="F197" s="37"/>
      <c r="G197" s="37"/>
      <c r="H197" s="37"/>
      <c r="I197" s="37"/>
      <c r="J197" s="37"/>
      <c r="K197" s="37"/>
      <c r="L197" s="37"/>
      <c r="M197" s="37"/>
      <c r="N197" s="37"/>
      <c r="O197" s="37"/>
      <c r="P197" s="37"/>
      <c r="Q197" s="37"/>
      <c r="R197" s="37"/>
      <c r="S197" s="37"/>
      <c r="T197" s="37"/>
      <c r="U197" s="37"/>
      <c r="V197" s="37"/>
      <c r="W197" s="37"/>
      <c r="X197" s="37"/>
      <c r="Y197" s="37"/>
      <c r="Z197" s="37"/>
      <c r="AA197" s="37"/>
      <c r="AB197" s="37"/>
      <c r="AC197" s="37"/>
      <c r="AD197" s="37"/>
      <c r="AE197" s="37"/>
      <c r="AF197" s="37"/>
      <c r="AG197" s="37"/>
      <c r="AH197" s="37"/>
      <c r="AI197" s="37"/>
      <c r="AJ197" s="37"/>
      <c r="AK197" s="37"/>
      <c r="AL197" s="37"/>
      <c r="AM197" s="37"/>
      <c r="AN197" s="37"/>
      <c r="AO197" s="37"/>
      <c r="AP197" s="37"/>
      <c r="AQ197" s="37"/>
      <c r="AR197" s="37"/>
      <c r="AS197" s="37"/>
      <c r="AT197" s="37"/>
      <c r="AU197" s="37"/>
      <c r="AV197" s="37"/>
      <c r="AW197" s="37"/>
      <c r="AX197" s="37"/>
      <c r="AY197" s="37"/>
      <c r="AZ197" s="37"/>
      <c r="BA197" s="37"/>
      <c r="BB197" s="37"/>
      <c r="BC197" s="37"/>
      <c r="BD197" s="37"/>
      <c r="BE197" s="37"/>
      <c r="BF197" s="37"/>
      <c r="BG197" s="37"/>
      <c r="BH197" s="37"/>
      <c r="BI197" s="37"/>
      <c r="BJ197" s="37"/>
      <c r="BK197" s="37"/>
      <c r="BL197" s="37"/>
      <c r="BM197" s="37"/>
      <c r="BN197" s="37"/>
      <c r="BO197" s="37"/>
      <c r="BP197" s="37"/>
      <c r="BQ197" s="38"/>
      <c r="BR197" s="38"/>
      <c r="BS197" s="37"/>
    </row>
    <row r="198" spans="1:71">
      <c r="A198" s="37"/>
      <c r="B198" s="37"/>
      <c r="C198" s="36"/>
      <c r="D198" s="36"/>
      <c r="E198" s="37"/>
      <c r="F198" s="37"/>
      <c r="G198" s="37"/>
      <c r="H198" s="37"/>
      <c r="I198" s="37"/>
      <c r="J198" s="37"/>
      <c r="K198" s="37"/>
      <c r="L198" s="37"/>
      <c r="M198" s="37"/>
      <c r="N198" s="37"/>
      <c r="O198" s="37"/>
      <c r="P198" s="37"/>
      <c r="Q198" s="37"/>
      <c r="R198" s="37"/>
      <c r="S198" s="37"/>
      <c r="T198" s="37"/>
      <c r="U198" s="37"/>
      <c r="V198" s="37"/>
      <c r="W198" s="37"/>
      <c r="X198" s="37"/>
      <c r="Y198" s="37"/>
      <c r="Z198" s="37"/>
      <c r="AA198" s="37"/>
      <c r="AB198" s="37"/>
      <c r="AC198" s="37"/>
      <c r="AD198" s="37"/>
      <c r="AE198" s="37"/>
      <c r="AF198" s="37"/>
      <c r="AG198" s="37"/>
      <c r="AH198" s="37"/>
      <c r="AI198" s="37"/>
      <c r="AJ198" s="37"/>
      <c r="AK198" s="37"/>
      <c r="AL198" s="37"/>
      <c r="AM198" s="37"/>
      <c r="AN198" s="37"/>
      <c r="AO198" s="37"/>
      <c r="AP198" s="37"/>
      <c r="AQ198" s="37"/>
      <c r="AR198" s="37"/>
      <c r="AS198" s="37"/>
      <c r="AT198" s="37"/>
      <c r="AU198" s="37"/>
      <c r="AV198" s="37"/>
      <c r="AW198" s="37"/>
      <c r="AX198" s="37"/>
      <c r="AY198" s="37"/>
      <c r="AZ198" s="37"/>
      <c r="BA198" s="37"/>
      <c r="BB198" s="37"/>
      <c r="BC198" s="37"/>
      <c r="BD198" s="37"/>
      <c r="BE198" s="37"/>
      <c r="BF198" s="37"/>
      <c r="BG198" s="37"/>
      <c r="BH198" s="37"/>
      <c r="BI198" s="37"/>
      <c r="BJ198" s="37"/>
      <c r="BK198" s="37"/>
      <c r="BL198" s="37"/>
      <c r="BM198" s="37"/>
      <c r="BN198" s="37"/>
      <c r="BO198" s="37"/>
      <c r="BP198" s="37"/>
      <c r="BQ198" s="38"/>
      <c r="BR198" s="38"/>
      <c r="BS198" s="37"/>
    </row>
    <row r="199" spans="1:71">
      <c r="A199" s="37"/>
      <c r="B199" s="37"/>
      <c r="C199" s="36"/>
      <c r="D199" s="36"/>
      <c r="E199" s="37"/>
      <c r="F199" s="37"/>
      <c r="G199" s="37"/>
      <c r="H199" s="37"/>
      <c r="I199" s="37"/>
      <c r="J199" s="37"/>
      <c r="K199" s="37"/>
      <c r="L199" s="37"/>
      <c r="M199" s="37"/>
      <c r="N199" s="37"/>
      <c r="O199" s="37"/>
      <c r="P199" s="37"/>
      <c r="Q199" s="37"/>
      <c r="R199" s="37"/>
      <c r="S199" s="37"/>
      <c r="T199" s="37"/>
      <c r="U199" s="37"/>
      <c r="V199" s="37"/>
      <c r="W199" s="37"/>
      <c r="X199" s="37"/>
      <c r="Y199" s="37"/>
      <c r="Z199" s="37"/>
      <c r="AA199" s="37"/>
      <c r="AB199" s="37"/>
      <c r="AC199" s="37"/>
      <c r="AD199" s="37"/>
      <c r="AE199" s="37"/>
      <c r="AF199" s="37"/>
      <c r="AG199" s="37"/>
      <c r="AH199" s="37"/>
      <c r="AI199" s="37"/>
      <c r="AJ199" s="37"/>
      <c r="AK199" s="37"/>
      <c r="AL199" s="37"/>
      <c r="AM199" s="37"/>
      <c r="AN199" s="37"/>
      <c r="AO199" s="37"/>
      <c r="AP199" s="37"/>
      <c r="AQ199" s="37"/>
      <c r="AR199" s="37"/>
      <c r="AS199" s="37"/>
      <c r="AT199" s="37"/>
      <c r="AU199" s="37"/>
      <c r="AV199" s="37"/>
      <c r="AW199" s="37"/>
      <c r="AX199" s="37"/>
      <c r="AY199" s="37"/>
      <c r="AZ199" s="37"/>
      <c r="BA199" s="37"/>
      <c r="BB199" s="37"/>
      <c r="BC199" s="37"/>
      <c r="BD199" s="37"/>
      <c r="BE199" s="37"/>
      <c r="BF199" s="37"/>
      <c r="BG199" s="37"/>
      <c r="BH199" s="37"/>
      <c r="BI199" s="37"/>
      <c r="BJ199" s="37"/>
      <c r="BK199" s="37"/>
      <c r="BL199" s="37"/>
      <c r="BM199" s="37"/>
      <c r="BN199" s="37"/>
      <c r="BO199" s="37"/>
      <c r="BP199" s="37"/>
      <c r="BQ199" s="38"/>
      <c r="BR199" s="38"/>
      <c r="BS199" s="37"/>
    </row>
    <row r="200" spans="1:71">
      <c r="A200" s="37"/>
      <c r="B200" s="37"/>
      <c r="C200" s="36"/>
      <c r="D200" s="36"/>
      <c r="E200" s="37"/>
      <c r="F200" s="37"/>
      <c r="G200" s="37"/>
      <c r="H200" s="37"/>
      <c r="I200" s="37"/>
      <c r="J200" s="37"/>
      <c r="K200" s="37"/>
      <c r="L200" s="37"/>
      <c r="M200" s="37"/>
      <c r="N200" s="37"/>
      <c r="O200" s="37"/>
      <c r="P200" s="37"/>
      <c r="Q200" s="37"/>
      <c r="R200" s="37"/>
      <c r="S200" s="37"/>
      <c r="T200" s="37"/>
      <c r="U200" s="37"/>
      <c r="V200" s="37"/>
      <c r="W200" s="37"/>
      <c r="X200" s="37"/>
      <c r="Y200" s="37"/>
      <c r="Z200" s="37"/>
      <c r="AA200" s="37"/>
      <c r="AB200" s="37"/>
      <c r="AC200" s="37"/>
      <c r="AD200" s="37"/>
      <c r="AE200" s="37"/>
      <c r="AF200" s="37"/>
      <c r="AG200" s="37"/>
      <c r="AH200" s="37"/>
      <c r="AI200" s="37"/>
      <c r="AJ200" s="37"/>
      <c r="AK200" s="37"/>
      <c r="AL200" s="37"/>
      <c r="AM200" s="37"/>
      <c r="AN200" s="37"/>
      <c r="AO200" s="37"/>
      <c r="AP200" s="37"/>
      <c r="AQ200" s="37"/>
      <c r="AR200" s="37"/>
      <c r="AS200" s="37"/>
      <c r="AT200" s="37"/>
      <c r="AU200" s="37"/>
      <c r="AV200" s="37"/>
      <c r="AW200" s="37"/>
      <c r="AX200" s="37"/>
      <c r="AY200" s="37"/>
      <c r="AZ200" s="37"/>
      <c r="BA200" s="37"/>
      <c r="BB200" s="37"/>
      <c r="BC200" s="37"/>
      <c r="BD200" s="37"/>
      <c r="BE200" s="37"/>
      <c r="BF200" s="37"/>
      <c r="BG200" s="37"/>
      <c r="BH200" s="37"/>
      <c r="BI200" s="37"/>
      <c r="BJ200" s="37"/>
      <c r="BK200" s="37"/>
      <c r="BL200" s="37"/>
      <c r="BM200" s="37"/>
      <c r="BN200" s="37"/>
      <c r="BO200" s="37"/>
      <c r="BP200" s="37"/>
      <c r="BQ200" s="38"/>
      <c r="BR200" s="38"/>
      <c r="BS200" s="37"/>
    </row>
    <row r="201" spans="1:71">
      <c r="A201" s="37"/>
      <c r="B201" s="37"/>
      <c r="C201" s="36"/>
      <c r="D201" s="36"/>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c r="AE201" s="37"/>
      <c r="AF201" s="37"/>
      <c r="AG201" s="37"/>
      <c r="AH201" s="37"/>
      <c r="AI201" s="37"/>
      <c r="AJ201" s="37"/>
      <c r="AK201" s="37"/>
      <c r="AL201" s="37"/>
      <c r="AM201" s="37"/>
      <c r="AN201" s="37"/>
      <c r="AO201" s="37"/>
      <c r="AP201" s="37"/>
      <c r="AQ201" s="37"/>
      <c r="AR201" s="37"/>
      <c r="AS201" s="37"/>
      <c r="AT201" s="37"/>
      <c r="AU201" s="37"/>
      <c r="AV201" s="37"/>
      <c r="AW201" s="37"/>
      <c r="AX201" s="37"/>
      <c r="AY201" s="37"/>
      <c r="AZ201" s="37"/>
      <c r="BA201" s="37"/>
      <c r="BB201" s="37"/>
      <c r="BC201" s="37"/>
      <c r="BD201" s="37"/>
      <c r="BE201" s="37"/>
      <c r="BF201" s="37"/>
      <c r="BG201" s="37"/>
      <c r="BH201" s="37"/>
      <c r="BI201" s="37"/>
      <c r="BJ201" s="37"/>
      <c r="BK201" s="37"/>
      <c r="BL201" s="37"/>
      <c r="BM201" s="37"/>
      <c r="BN201" s="37"/>
      <c r="BO201" s="37"/>
      <c r="BP201" s="37"/>
      <c r="BQ201" s="38"/>
      <c r="BR201" s="38"/>
      <c r="BS201" s="37"/>
    </row>
    <row r="202" spans="1:71">
      <c r="A202" s="37"/>
      <c r="B202" s="37"/>
      <c r="C202" s="36"/>
      <c r="D202" s="36"/>
      <c r="E202" s="37"/>
      <c r="F202" s="37"/>
      <c r="G202" s="37"/>
      <c r="H202" s="37"/>
      <c r="I202" s="37"/>
      <c r="J202" s="37"/>
      <c r="K202" s="37"/>
      <c r="L202" s="37"/>
      <c r="M202" s="37"/>
      <c r="N202" s="37"/>
      <c r="O202" s="37"/>
      <c r="P202" s="37"/>
      <c r="Q202" s="37"/>
      <c r="R202" s="37"/>
      <c r="S202" s="37"/>
      <c r="T202" s="37"/>
      <c r="U202" s="37"/>
      <c r="V202" s="37"/>
      <c r="W202" s="37"/>
      <c r="X202" s="37"/>
      <c r="Y202" s="37"/>
      <c r="Z202" s="37"/>
      <c r="AA202" s="37"/>
      <c r="AB202" s="37"/>
      <c r="AC202" s="37"/>
      <c r="AD202" s="37"/>
      <c r="AE202" s="37"/>
      <c r="AF202" s="37"/>
      <c r="AG202" s="37"/>
      <c r="AH202" s="37"/>
      <c r="AI202" s="37"/>
      <c r="AJ202" s="37"/>
      <c r="AK202" s="37"/>
      <c r="AL202" s="37"/>
      <c r="AM202" s="37"/>
      <c r="AN202" s="37"/>
      <c r="AO202" s="37"/>
      <c r="AP202" s="37"/>
      <c r="AQ202" s="37"/>
      <c r="AR202" s="37"/>
      <c r="AS202" s="37"/>
      <c r="AT202" s="37"/>
      <c r="AU202" s="37"/>
      <c r="AV202" s="37"/>
      <c r="AW202" s="37"/>
      <c r="AX202" s="37"/>
      <c r="AY202" s="37"/>
      <c r="AZ202" s="37"/>
      <c r="BA202" s="37"/>
      <c r="BB202" s="37"/>
      <c r="BC202" s="37"/>
      <c r="BD202" s="37"/>
      <c r="BE202" s="37"/>
      <c r="BF202" s="37"/>
      <c r="BG202" s="37"/>
      <c r="BH202" s="37"/>
      <c r="BI202" s="37"/>
      <c r="BJ202" s="37"/>
      <c r="BK202" s="37"/>
      <c r="BL202" s="37"/>
      <c r="BM202" s="37"/>
      <c r="BN202" s="37"/>
      <c r="BO202" s="37"/>
      <c r="BP202" s="37"/>
      <c r="BQ202" s="38"/>
      <c r="BR202" s="38"/>
      <c r="BS202" s="37"/>
    </row>
    <row r="203" spans="1:71">
      <c r="A203" s="37"/>
      <c r="B203" s="37"/>
      <c r="C203" s="36"/>
      <c r="D203" s="36"/>
      <c r="E203" s="37"/>
      <c r="F203" s="37"/>
      <c r="G203" s="37"/>
      <c r="H203" s="37"/>
      <c r="I203" s="37"/>
      <c r="J203" s="37"/>
      <c r="K203" s="37"/>
      <c r="L203" s="37"/>
      <c r="M203" s="37"/>
      <c r="N203" s="37"/>
      <c r="O203" s="37"/>
      <c r="P203" s="37"/>
      <c r="Q203" s="37"/>
      <c r="R203" s="37"/>
      <c r="S203" s="37"/>
      <c r="T203" s="37"/>
      <c r="U203" s="37"/>
      <c r="V203" s="37"/>
      <c r="W203" s="37"/>
      <c r="X203" s="37"/>
      <c r="Y203" s="37"/>
      <c r="Z203" s="37"/>
      <c r="AA203" s="37"/>
      <c r="AB203" s="37"/>
      <c r="AC203" s="37"/>
      <c r="AD203" s="37"/>
      <c r="AE203" s="37"/>
      <c r="AF203" s="37"/>
      <c r="AG203" s="37"/>
      <c r="AH203" s="37"/>
      <c r="AI203" s="37"/>
      <c r="AJ203" s="37"/>
      <c r="AK203" s="37"/>
      <c r="AL203" s="37"/>
      <c r="AM203" s="37"/>
      <c r="AN203" s="37"/>
      <c r="AO203" s="37"/>
      <c r="AP203" s="37"/>
      <c r="AQ203" s="37"/>
      <c r="AR203" s="37"/>
      <c r="AS203" s="37"/>
      <c r="AT203" s="37"/>
      <c r="AU203" s="37"/>
      <c r="AV203" s="37"/>
      <c r="AW203" s="37"/>
      <c r="AX203" s="37"/>
      <c r="AY203" s="37"/>
      <c r="AZ203" s="37"/>
      <c r="BA203" s="37"/>
      <c r="BB203" s="37"/>
      <c r="BC203" s="37"/>
      <c r="BD203" s="37"/>
      <c r="BE203" s="37"/>
      <c r="BF203" s="37"/>
      <c r="BG203" s="37"/>
      <c r="BH203" s="37"/>
      <c r="BI203" s="37"/>
      <c r="BJ203" s="37"/>
      <c r="BK203" s="37"/>
      <c r="BL203" s="37"/>
      <c r="BM203" s="37"/>
      <c r="BN203" s="37"/>
      <c r="BO203" s="37"/>
      <c r="BP203" s="37"/>
      <c r="BQ203" s="38"/>
      <c r="BR203" s="38"/>
      <c r="BS203" s="37"/>
    </row>
    <row r="204" spans="1:71">
      <c r="A204" s="37"/>
      <c r="B204" s="37"/>
      <c r="C204" s="36"/>
      <c r="D204" s="36"/>
      <c r="E204" s="37"/>
      <c r="F204" s="37"/>
      <c r="G204" s="37"/>
      <c r="H204" s="37"/>
      <c r="I204" s="37"/>
      <c r="J204" s="37"/>
      <c r="K204" s="37"/>
      <c r="L204" s="37"/>
      <c r="M204" s="37"/>
      <c r="N204" s="37"/>
      <c r="O204" s="37"/>
      <c r="P204" s="37"/>
      <c r="Q204" s="37"/>
      <c r="R204" s="37"/>
      <c r="S204" s="37"/>
      <c r="T204" s="37"/>
      <c r="U204" s="37"/>
      <c r="V204" s="37"/>
      <c r="W204" s="37"/>
      <c r="X204" s="37"/>
      <c r="Y204" s="37"/>
      <c r="Z204" s="37"/>
      <c r="AA204" s="37"/>
      <c r="AB204" s="37"/>
      <c r="AC204" s="37"/>
      <c r="AD204" s="37"/>
      <c r="AE204" s="37"/>
      <c r="AF204" s="37"/>
      <c r="AG204" s="37"/>
      <c r="AH204" s="37"/>
      <c r="AI204" s="37"/>
      <c r="AJ204" s="37"/>
      <c r="AK204" s="37"/>
      <c r="AL204" s="37"/>
      <c r="AM204" s="37"/>
      <c r="AN204" s="37"/>
      <c r="AO204" s="37"/>
      <c r="AP204" s="37"/>
      <c r="AQ204" s="37"/>
      <c r="AR204" s="37"/>
      <c r="AS204" s="37"/>
      <c r="AT204" s="37"/>
      <c r="AU204" s="37"/>
      <c r="AV204" s="37"/>
      <c r="AW204" s="37"/>
      <c r="AX204" s="37"/>
      <c r="AY204" s="37"/>
      <c r="AZ204" s="37"/>
      <c r="BA204" s="37"/>
      <c r="BB204" s="37"/>
      <c r="BC204" s="37"/>
      <c r="BD204" s="37"/>
      <c r="BE204" s="37"/>
      <c r="BF204" s="37"/>
      <c r="BG204" s="37"/>
      <c r="BH204" s="37"/>
      <c r="BI204" s="37"/>
      <c r="BJ204" s="37"/>
      <c r="BK204" s="37"/>
      <c r="BL204" s="37"/>
      <c r="BM204" s="37"/>
      <c r="BN204" s="37"/>
      <c r="BO204" s="37"/>
      <c r="BP204" s="37"/>
      <c r="BQ204" s="38"/>
      <c r="BR204" s="38"/>
      <c r="BS204" s="37"/>
    </row>
    <row r="205" spans="1:71">
      <c r="A205" s="37"/>
      <c r="B205" s="37"/>
      <c r="C205" s="36"/>
      <c r="D205" s="36"/>
      <c r="E205" s="37"/>
      <c r="F205" s="37"/>
      <c r="G205" s="37"/>
      <c r="H205" s="37"/>
      <c r="I205" s="37"/>
      <c r="J205" s="37"/>
      <c r="K205" s="37"/>
      <c r="L205" s="37"/>
      <c r="M205" s="37"/>
      <c r="N205" s="37"/>
      <c r="O205" s="37"/>
      <c r="P205" s="37"/>
      <c r="Q205" s="37"/>
      <c r="R205" s="37"/>
      <c r="S205" s="37"/>
      <c r="T205" s="37"/>
      <c r="U205" s="37"/>
      <c r="V205" s="37"/>
      <c r="W205" s="37"/>
      <c r="X205" s="37"/>
      <c r="Y205" s="37"/>
      <c r="Z205" s="37"/>
      <c r="AA205" s="37"/>
      <c r="AB205" s="37"/>
      <c r="AC205" s="37"/>
      <c r="AD205" s="37"/>
      <c r="AE205" s="37"/>
      <c r="AF205" s="37"/>
      <c r="AG205" s="37"/>
      <c r="AH205" s="37"/>
      <c r="AI205" s="37"/>
      <c r="AJ205" s="37"/>
      <c r="AK205" s="37"/>
      <c r="AL205" s="37"/>
      <c r="AM205" s="37"/>
      <c r="AN205" s="37"/>
      <c r="AO205" s="37"/>
      <c r="AP205" s="37"/>
      <c r="AQ205" s="37"/>
      <c r="AR205" s="37"/>
      <c r="AS205" s="37"/>
      <c r="AT205" s="37"/>
      <c r="AU205" s="37"/>
      <c r="AV205" s="37"/>
      <c r="AW205" s="37"/>
      <c r="AX205" s="37"/>
      <c r="AY205" s="37"/>
      <c r="AZ205" s="37"/>
      <c r="BA205" s="37"/>
      <c r="BB205" s="37"/>
      <c r="BC205" s="37"/>
      <c r="BD205" s="37"/>
      <c r="BE205" s="37"/>
      <c r="BF205" s="37"/>
      <c r="BG205" s="37"/>
      <c r="BH205" s="37"/>
      <c r="BI205" s="37"/>
      <c r="BJ205" s="37"/>
      <c r="BK205" s="37"/>
      <c r="BL205" s="37"/>
      <c r="BM205" s="37"/>
      <c r="BN205" s="37"/>
      <c r="BO205" s="37"/>
      <c r="BP205" s="37"/>
      <c r="BQ205" s="38"/>
      <c r="BR205" s="38"/>
      <c r="BS205" s="37"/>
    </row>
    <row r="206" spans="1:71">
      <c r="A206" s="37"/>
      <c r="B206" s="37"/>
      <c r="C206" s="36"/>
      <c r="D206" s="36"/>
      <c r="E206" s="37"/>
      <c r="F206" s="37"/>
      <c r="G206" s="37"/>
      <c r="H206" s="37"/>
      <c r="I206" s="37"/>
      <c r="J206" s="37"/>
      <c r="K206" s="37"/>
      <c r="L206" s="37"/>
      <c r="M206" s="37"/>
      <c r="N206" s="37"/>
      <c r="O206" s="37"/>
      <c r="P206" s="37"/>
      <c r="Q206" s="37"/>
      <c r="R206" s="37"/>
      <c r="S206" s="37"/>
      <c r="T206" s="37"/>
      <c r="U206" s="37"/>
      <c r="V206" s="37"/>
      <c r="W206" s="37"/>
      <c r="X206" s="37"/>
      <c r="Y206" s="37"/>
      <c r="Z206" s="37"/>
      <c r="AA206" s="37"/>
      <c r="AB206" s="37"/>
      <c r="AC206" s="37"/>
      <c r="AD206" s="37"/>
      <c r="AE206" s="37"/>
      <c r="AF206" s="37"/>
      <c r="AG206" s="37"/>
      <c r="AH206" s="37"/>
      <c r="AI206" s="37"/>
      <c r="AJ206" s="37"/>
      <c r="AK206" s="37"/>
      <c r="AL206" s="37"/>
      <c r="AM206" s="37"/>
      <c r="AN206" s="37"/>
      <c r="AO206" s="37"/>
      <c r="AP206" s="37"/>
      <c r="AQ206" s="37"/>
      <c r="AR206" s="37"/>
      <c r="AS206" s="37"/>
      <c r="AT206" s="37"/>
      <c r="AU206" s="37"/>
      <c r="AV206" s="37"/>
      <c r="AW206" s="37"/>
      <c r="AX206" s="37"/>
      <c r="AY206" s="37"/>
      <c r="AZ206" s="37"/>
      <c r="BA206" s="37"/>
      <c r="BB206" s="37"/>
      <c r="BC206" s="37"/>
      <c r="BD206" s="37"/>
      <c r="BE206" s="37"/>
      <c r="BF206" s="37"/>
      <c r="BG206" s="37"/>
      <c r="BH206" s="37"/>
      <c r="BI206" s="37"/>
      <c r="BJ206" s="37"/>
      <c r="BK206" s="37"/>
      <c r="BL206" s="37"/>
      <c r="BM206" s="37"/>
      <c r="BN206" s="37"/>
      <c r="BO206" s="37"/>
      <c r="BP206" s="37"/>
      <c r="BQ206" s="38"/>
      <c r="BR206" s="38"/>
      <c r="BS206" s="37"/>
    </row>
    <row r="207" spans="1:71">
      <c r="A207" s="37"/>
      <c r="B207" s="37"/>
      <c r="C207" s="36"/>
      <c r="D207" s="36"/>
      <c r="E207" s="37"/>
      <c r="F207" s="37"/>
      <c r="G207" s="37"/>
      <c r="H207" s="37"/>
      <c r="I207" s="37"/>
      <c r="J207" s="37"/>
      <c r="K207" s="37"/>
      <c r="L207" s="37"/>
      <c r="M207" s="37"/>
      <c r="N207" s="37"/>
      <c r="O207" s="37"/>
      <c r="P207" s="37"/>
      <c r="Q207" s="37"/>
      <c r="R207" s="37"/>
      <c r="S207" s="37"/>
      <c r="T207" s="37"/>
      <c r="U207" s="37"/>
      <c r="V207" s="37"/>
      <c r="W207" s="37"/>
      <c r="X207" s="37"/>
      <c r="Y207" s="37"/>
      <c r="Z207" s="37"/>
      <c r="AA207" s="37"/>
      <c r="AB207" s="37"/>
      <c r="AC207" s="37"/>
      <c r="AD207" s="37"/>
      <c r="AE207" s="37"/>
      <c r="AF207" s="37"/>
      <c r="AG207" s="37"/>
      <c r="AH207" s="37"/>
      <c r="AI207" s="37"/>
      <c r="AJ207" s="37"/>
      <c r="AK207" s="37"/>
      <c r="AL207" s="37"/>
      <c r="AM207" s="37"/>
      <c r="AN207" s="37"/>
      <c r="AO207" s="37"/>
      <c r="AP207" s="37"/>
      <c r="AQ207" s="37"/>
      <c r="AR207" s="37"/>
      <c r="AS207" s="37"/>
      <c r="AT207" s="37"/>
      <c r="AU207" s="37"/>
      <c r="AV207" s="37"/>
      <c r="AW207" s="37"/>
      <c r="AX207" s="37"/>
      <c r="AY207" s="37"/>
      <c r="AZ207" s="37"/>
      <c r="BA207" s="37"/>
      <c r="BB207" s="37"/>
      <c r="BC207" s="37"/>
      <c r="BD207" s="37"/>
      <c r="BE207" s="37"/>
      <c r="BF207" s="37"/>
      <c r="BG207" s="37"/>
      <c r="BH207" s="37"/>
      <c r="BI207" s="37"/>
      <c r="BJ207" s="37"/>
      <c r="BK207" s="37"/>
      <c r="BL207" s="37"/>
      <c r="BM207" s="37"/>
      <c r="BN207" s="37"/>
      <c r="BO207" s="37"/>
      <c r="BP207" s="37"/>
      <c r="BQ207" s="38"/>
      <c r="BR207" s="38"/>
      <c r="BS207" s="37"/>
    </row>
    <row r="208" spans="1:71">
      <c r="A208" s="37"/>
      <c r="B208" s="37"/>
      <c r="C208" s="36"/>
      <c r="D208" s="36"/>
      <c r="E208" s="37"/>
      <c r="F208" s="37"/>
      <c r="G208" s="37"/>
      <c r="H208" s="37"/>
      <c r="I208" s="37"/>
      <c r="J208" s="37"/>
      <c r="K208" s="37"/>
      <c r="L208" s="37"/>
      <c r="M208" s="37"/>
      <c r="N208" s="37"/>
      <c r="O208" s="37"/>
      <c r="P208" s="37"/>
      <c r="Q208" s="37"/>
      <c r="R208" s="37"/>
      <c r="S208" s="37"/>
      <c r="T208" s="37"/>
      <c r="U208" s="37"/>
      <c r="V208" s="37"/>
      <c r="W208" s="37"/>
      <c r="X208" s="37"/>
      <c r="Y208" s="37"/>
      <c r="Z208" s="37"/>
      <c r="AA208" s="37"/>
      <c r="AB208" s="37"/>
      <c r="AC208" s="37"/>
      <c r="AD208" s="37"/>
      <c r="AE208" s="37"/>
      <c r="AF208" s="37"/>
      <c r="AG208" s="37"/>
      <c r="AH208" s="37"/>
      <c r="AI208" s="37"/>
      <c r="AJ208" s="37"/>
      <c r="AK208" s="37"/>
      <c r="AL208" s="37"/>
      <c r="AM208" s="37"/>
      <c r="AN208" s="37"/>
      <c r="AO208" s="37"/>
      <c r="AP208" s="37"/>
      <c r="AQ208" s="37"/>
      <c r="AR208" s="37"/>
      <c r="AS208" s="37"/>
      <c r="AT208" s="37"/>
      <c r="AU208" s="37"/>
      <c r="AV208" s="37"/>
      <c r="AW208" s="37"/>
      <c r="AX208" s="37"/>
      <c r="AY208" s="37"/>
      <c r="AZ208" s="37"/>
      <c r="BA208" s="37"/>
      <c r="BB208" s="37"/>
      <c r="BC208" s="37"/>
      <c r="BD208" s="37"/>
      <c r="BE208" s="37"/>
      <c r="BF208" s="37"/>
      <c r="BG208" s="37"/>
      <c r="BH208" s="37"/>
      <c r="BI208" s="37"/>
      <c r="BJ208" s="37"/>
      <c r="BK208" s="37"/>
      <c r="BL208" s="37"/>
      <c r="BM208" s="37"/>
      <c r="BN208" s="37"/>
      <c r="BO208" s="37"/>
      <c r="BP208" s="37"/>
      <c r="BQ208" s="38"/>
      <c r="BR208" s="38"/>
      <c r="BS208" s="37"/>
    </row>
    <row r="209" spans="1:71">
      <c r="A209" s="37"/>
      <c r="B209" s="37"/>
      <c r="C209" s="36"/>
      <c r="D209" s="36"/>
      <c r="E209" s="37"/>
      <c r="F209" s="37"/>
      <c r="G209" s="37"/>
      <c r="H209" s="37"/>
      <c r="I209" s="37"/>
      <c r="J209" s="37"/>
      <c r="K209" s="37"/>
      <c r="L209" s="37"/>
      <c r="M209" s="37"/>
      <c r="N209" s="37"/>
      <c r="O209" s="37"/>
      <c r="P209" s="37"/>
      <c r="Q209" s="37"/>
      <c r="R209" s="37"/>
      <c r="S209" s="37"/>
      <c r="T209" s="37"/>
      <c r="U209" s="37"/>
      <c r="V209" s="37"/>
      <c r="W209" s="37"/>
      <c r="X209" s="37"/>
      <c r="Y209" s="37"/>
      <c r="Z209" s="37"/>
      <c r="AA209" s="37"/>
      <c r="AB209" s="37"/>
      <c r="AC209" s="37"/>
      <c r="AD209" s="37"/>
      <c r="AE209" s="37"/>
      <c r="AF209" s="37"/>
      <c r="AG209" s="37"/>
      <c r="AH209" s="37"/>
      <c r="AI209" s="37"/>
      <c r="AJ209" s="37"/>
      <c r="AK209" s="37"/>
      <c r="AL209" s="37"/>
      <c r="AM209" s="37"/>
      <c r="AN209" s="37"/>
      <c r="AO209" s="37"/>
      <c r="AP209" s="37"/>
      <c r="AQ209" s="37"/>
      <c r="AR209" s="37"/>
      <c r="AS209" s="37"/>
      <c r="AT209" s="37"/>
      <c r="AU209" s="37"/>
      <c r="AV209" s="37"/>
      <c r="AW209" s="37"/>
      <c r="AX209" s="37"/>
      <c r="AY209" s="37"/>
      <c r="AZ209" s="37"/>
      <c r="BA209" s="37"/>
      <c r="BB209" s="37"/>
      <c r="BC209" s="37"/>
      <c r="BD209" s="37"/>
      <c r="BE209" s="37"/>
      <c r="BF209" s="37"/>
      <c r="BG209" s="37"/>
      <c r="BH209" s="37"/>
      <c r="BI209" s="37"/>
      <c r="BJ209" s="37"/>
      <c r="BK209" s="37"/>
      <c r="BL209" s="37"/>
      <c r="BM209" s="37"/>
      <c r="BN209" s="37"/>
      <c r="BO209" s="37"/>
      <c r="BP209" s="37"/>
      <c r="BQ209" s="38"/>
      <c r="BR209" s="38"/>
      <c r="BS209" s="37"/>
    </row>
    <row r="210" spans="1:71">
      <c r="A210" s="37"/>
      <c r="B210" s="37"/>
      <c r="C210" s="36"/>
      <c r="D210" s="36"/>
      <c r="E210" s="37"/>
      <c r="F210" s="37"/>
      <c r="G210" s="37"/>
      <c r="H210" s="37"/>
      <c r="I210" s="37"/>
      <c r="J210" s="37"/>
      <c r="K210" s="37"/>
      <c r="L210" s="37"/>
      <c r="M210" s="37"/>
      <c r="N210" s="37"/>
      <c r="O210" s="37"/>
      <c r="P210" s="37"/>
      <c r="Q210" s="37"/>
      <c r="R210" s="37"/>
      <c r="S210" s="37"/>
      <c r="T210" s="37"/>
      <c r="U210" s="37"/>
      <c r="V210" s="37"/>
      <c r="W210" s="37"/>
      <c r="X210" s="37"/>
      <c r="Y210" s="37"/>
      <c r="Z210" s="37"/>
      <c r="AA210" s="37"/>
      <c r="AB210" s="37"/>
      <c r="AC210" s="37"/>
      <c r="AD210" s="37"/>
      <c r="AE210" s="37"/>
      <c r="AF210" s="37"/>
      <c r="AG210" s="37"/>
      <c r="AH210" s="37"/>
      <c r="AI210" s="37"/>
      <c r="AJ210" s="37"/>
      <c r="AK210" s="37"/>
      <c r="AL210" s="37"/>
      <c r="AM210" s="37"/>
      <c r="AN210" s="37"/>
      <c r="AO210" s="37"/>
      <c r="AP210" s="37"/>
      <c r="AQ210" s="37"/>
      <c r="AR210" s="37"/>
      <c r="AS210" s="37"/>
      <c r="AT210" s="37"/>
      <c r="AU210" s="37"/>
      <c r="AV210" s="37"/>
      <c r="AW210" s="37"/>
      <c r="AX210" s="37"/>
      <c r="AY210" s="37"/>
      <c r="AZ210" s="37"/>
      <c r="BA210" s="37"/>
      <c r="BB210" s="37"/>
      <c r="BC210" s="37"/>
      <c r="BD210" s="37"/>
      <c r="BE210" s="37"/>
      <c r="BF210" s="37"/>
      <c r="BG210" s="37"/>
      <c r="BH210" s="37"/>
      <c r="BI210" s="37"/>
      <c r="BJ210" s="37"/>
      <c r="BK210" s="37"/>
      <c r="BL210" s="37"/>
      <c r="BM210" s="37"/>
      <c r="BN210" s="37"/>
      <c r="BO210" s="37"/>
      <c r="BP210" s="37"/>
      <c r="BQ210" s="38"/>
      <c r="BR210" s="38"/>
      <c r="BS210" s="37"/>
    </row>
    <row r="211" spans="1:71">
      <c r="A211" s="37"/>
      <c r="B211" s="37"/>
      <c r="C211" s="36"/>
      <c r="D211" s="36"/>
      <c r="E211" s="37"/>
      <c r="F211" s="37"/>
      <c r="G211" s="37"/>
      <c r="H211" s="37"/>
      <c r="I211" s="37"/>
      <c r="J211" s="37"/>
      <c r="K211" s="37"/>
      <c r="L211" s="37"/>
      <c r="M211" s="37"/>
      <c r="N211" s="37"/>
      <c r="O211" s="37"/>
      <c r="P211" s="37"/>
      <c r="Q211" s="37"/>
      <c r="R211" s="37"/>
      <c r="S211" s="37"/>
      <c r="T211" s="37"/>
      <c r="U211" s="37"/>
      <c r="V211" s="37"/>
      <c r="W211" s="37"/>
      <c r="X211" s="37"/>
      <c r="Y211" s="37"/>
      <c r="Z211" s="37"/>
      <c r="AA211" s="37"/>
      <c r="AB211" s="37"/>
      <c r="AC211" s="37"/>
      <c r="AD211" s="37"/>
      <c r="AE211" s="37"/>
      <c r="AF211" s="37"/>
      <c r="AG211" s="37"/>
      <c r="AH211" s="37"/>
      <c r="AI211" s="37"/>
      <c r="AJ211" s="37"/>
      <c r="AK211" s="37"/>
      <c r="AL211" s="37"/>
      <c r="AM211" s="37"/>
      <c r="AN211" s="37"/>
      <c r="AO211" s="37"/>
      <c r="AP211" s="37"/>
      <c r="AQ211" s="37"/>
      <c r="AR211" s="37"/>
      <c r="AS211" s="37"/>
      <c r="AT211" s="37"/>
      <c r="AU211" s="37"/>
      <c r="AV211" s="37"/>
      <c r="AW211" s="37"/>
      <c r="AX211" s="37"/>
      <c r="AY211" s="37"/>
      <c r="AZ211" s="37"/>
      <c r="BA211" s="37"/>
      <c r="BB211" s="37"/>
      <c r="BC211" s="37"/>
      <c r="BD211" s="37"/>
      <c r="BE211" s="37"/>
      <c r="BF211" s="37"/>
      <c r="BG211" s="37"/>
      <c r="BH211" s="37"/>
      <c r="BI211" s="37"/>
      <c r="BJ211" s="37"/>
      <c r="BK211" s="37"/>
      <c r="BL211" s="37"/>
      <c r="BM211" s="37"/>
      <c r="BN211" s="37"/>
      <c r="BO211" s="37"/>
      <c r="BP211" s="37"/>
      <c r="BQ211" s="38"/>
      <c r="BR211" s="38"/>
      <c r="BS211" s="37"/>
    </row>
    <row r="212" spans="1:71">
      <c r="A212" s="37"/>
      <c r="B212" s="37"/>
      <c r="C212" s="36"/>
      <c r="D212" s="36"/>
      <c r="E212" s="37"/>
      <c r="F212" s="37"/>
      <c r="G212" s="37"/>
      <c r="H212" s="37"/>
      <c r="I212" s="37"/>
      <c r="J212" s="37"/>
      <c r="K212" s="37"/>
      <c r="L212" s="37"/>
      <c r="M212" s="37"/>
      <c r="N212" s="37"/>
      <c r="O212" s="37"/>
      <c r="P212" s="37"/>
      <c r="Q212" s="37"/>
      <c r="R212" s="37"/>
      <c r="S212" s="37"/>
      <c r="T212" s="37"/>
      <c r="U212" s="37"/>
      <c r="V212" s="37"/>
      <c r="W212" s="37"/>
      <c r="X212" s="37"/>
      <c r="Y212" s="37"/>
      <c r="Z212" s="37"/>
      <c r="AA212" s="37"/>
      <c r="AB212" s="37"/>
      <c r="AC212" s="37"/>
      <c r="AD212" s="37"/>
      <c r="AE212" s="37"/>
      <c r="AF212" s="37"/>
      <c r="AG212" s="37"/>
      <c r="AH212" s="37"/>
      <c r="AI212" s="37"/>
      <c r="AJ212" s="37"/>
      <c r="AK212" s="37"/>
      <c r="AL212" s="37"/>
      <c r="AM212" s="37"/>
      <c r="AN212" s="37"/>
      <c r="AO212" s="37"/>
      <c r="AP212" s="37"/>
      <c r="AQ212" s="37"/>
      <c r="AR212" s="37"/>
      <c r="AS212" s="37"/>
      <c r="AT212" s="37"/>
      <c r="AU212" s="37"/>
      <c r="AV212" s="37"/>
      <c r="AW212" s="37"/>
      <c r="AX212" s="37"/>
      <c r="AY212" s="37"/>
      <c r="AZ212" s="37"/>
      <c r="BA212" s="37"/>
      <c r="BB212" s="37"/>
      <c r="BC212" s="37"/>
      <c r="BD212" s="37"/>
      <c r="BE212" s="37"/>
      <c r="BF212" s="37"/>
      <c r="BG212" s="37"/>
      <c r="BH212" s="37"/>
      <c r="BI212" s="37"/>
      <c r="BJ212" s="37"/>
      <c r="BK212" s="37"/>
      <c r="BL212" s="37"/>
      <c r="BM212" s="37"/>
      <c r="BN212" s="37"/>
      <c r="BO212" s="37"/>
      <c r="BP212" s="37"/>
      <c r="BQ212" s="38"/>
      <c r="BR212" s="38"/>
      <c r="BS212" s="37"/>
    </row>
    <row r="213" spans="1:71">
      <c r="A213" s="37"/>
      <c r="B213" s="37"/>
      <c r="C213" s="36"/>
      <c r="D213" s="36"/>
      <c r="E213" s="37"/>
      <c r="F213" s="37"/>
      <c r="G213" s="37"/>
      <c r="H213" s="37"/>
      <c r="I213" s="37"/>
      <c r="J213" s="37"/>
      <c r="K213" s="37"/>
      <c r="L213" s="37"/>
      <c r="M213" s="37"/>
      <c r="N213" s="37"/>
      <c r="O213" s="37"/>
      <c r="P213" s="37"/>
      <c r="Q213" s="37"/>
      <c r="R213" s="37"/>
      <c r="S213" s="37"/>
      <c r="T213" s="37"/>
      <c r="U213" s="37"/>
      <c r="V213" s="37"/>
      <c r="W213" s="37"/>
      <c r="X213" s="37"/>
      <c r="Y213" s="37"/>
      <c r="Z213" s="37"/>
      <c r="AA213" s="37"/>
      <c r="AB213" s="37"/>
      <c r="AC213" s="37"/>
      <c r="AD213" s="37"/>
      <c r="AE213" s="37"/>
      <c r="AF213" s="37"/>
      <c r="AG213" s="37"/>
      <c r="AH213" s="37"/>
      <c r="AI213" s="37"/>
      <c r="AJ213" s="37"/>
      <c r="AK213" s="37"/>
      <c r="AL213" s="37"/>
      <c r="AM213" s="37"/>
      <c r="AN213" s="37"/>
      <c r="AO213" s="37"/>
      <c r="AP213" s="37"/>
      <c r="AQ213" s="37"/>
      <c r="AR213" s="37"/>
      <c r="AS213" s="37"/>
      <c r="AT213" s="37"/>
      <c r="AU213" s="37"/>
      <c r="AV213" s="37"/>
      <c r="AW213" s="37"/>
      <c r="AX213" s="37"/>
      <c r="AY213" s="37"/>
      <c r="AZ213" s="37"/>
      <c r="BA213" s="37"/>
      <c r="BB213" s="37"/>
      <c r="BC213" s="37"/>
      <c r="BD213" s="37"/>
      <c r="BE213" s="37"/>
      <c r="BF213" s="37"/>
      <c r="BG213" s="37"/>
      <c r="BH213" s="37"/>
      <c r="BI213" s="37"/>
      <c r="BJ213" s="37"/>
      <c r="BK213" s="37"/>
      <c r="BL213" s="37"/>
      <c r="BM213" s="37"/>
      <c r="BN213" s="37"/>
      <c r="BO213" s="37"/>
      <c r="BP213" s="37"/>
      <c r="BQ213" s="38"/>
      <c r="BR213" s="38"/>
      <c r="BS213" s="37"/>
    </row>
    <row r="214" spans="1:71">
      <c r="A214" s="37"/>
      <c r="B214" s="37"/>
      <c r="C214" s="36"/>
      <c r="D214" s="36"/>
      <c r="E214" s="37"/>
      <c r="F214" s="37"/>
      <c r="G214" s="37"/>
      <c r="H214" s="37"/>
      <c r="I214" s="37"/>
      <c r="J214" s="37"/>
      <c r="K214" s="37"/>
      <c r="L214" s="37"/>
      <c r="M214" s="37"/>
      <c r="N214" s="37"/>
      <c r="O214" s="37"/>
      <c r="P214" s="37"/>
      <c r="Q214" s="37"/>
      <c r="R214" s="37"/>
      <c r="S214" s="37"/>
      <c r="T214" s="37"/>
      <c r="U214" s="37"/>
      <c r="V214" s="37"/>
      <c r="W214" s="37"/>
      <c r="X214" s="37"/>
      <c r="Y214" s="37"/>
      <c r="Z214" s="37"/>
      <c r="AA214" s="37"/>
      <c r="AB214" s="37"/>
      <c r="AC214" s="37"/>
      <c r="AD214" s="37"/>
      <c r="AE214" s="37"/>
      <c r="AF214" s="37"/>
      <c r="AG214" s="37"/>
      <c r="AH214" s="37"/>
      <c r="AI214" s="37"/>
      <c r="AJ214" s="37"/>
      <c r="AK214" s="37"/>
      <c r="AL214" s="37"/>
      <c r="AM214" s="37"/>
      <c r="AN214" s="37"/>
      <c r="AO214" s="37"/>
      <c r="AP214" s="37"/>
      <c r="AQ214" s="37"/>
      <c r="AR214" s="37"/>
      <c r="AS214" s="37"/>
      <c r="AT214" s="37"/>
      <c r="AU214" s="37"/>
      <c r="AV214" s="37"/>
      <c r="AW214" s="37"/>
      <c r="AX214" s="37"/>
      <c r="AY214" s="37"/>
      <c r="AZ214" s="37"/>
      <c r="BA214" s="37"/>
      <c r="BB214" s="37"/>
      <c r="BC214" s="37"/>
      <c r="BD214" s="37"/>
      <c r="BE214" s="37"/>
      <c r="BF214" s="37"/>
      <c r="BG214" s="37"/>
      <c r="BH214" s="37"/>
      <c r="BI214" s="37"/>
      <c r="BJ214" s="37"/>
      <c r="BK214" s="37"/>
      <c r="BL214" s="37"/>
      <c r="BM214" s="37"/>
      <c r="BN214" s="37"/>
      <c r="BO214" s="37"/>
      <c r="BP214" s="37"/>
      <c r="BQ214" s="38"/>
      <c r="BR214" s="38"/>
      <c r="BS214" s="37"/>
    </row>
    <row r="215" spans="1:71">
      <c r="A215" s="37"/>
      <c r="B215" s="37"/>
      <c r="C215" s="36"/>
      <c r="D215" s="36"/>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c r="AE215" s="37"/>
      <c r="AF215" s="37"/>
      <c r="AG215" s="37"/>
      <c r="AH215" s="37"/>
      <c r="AI215" s="37"/>
      <c r="AJ215" s="37"/>
      <c r="AK215" s="37"/>
      <c r="AL215" s="37"/>
      <c r="AM215" s="37"/>
      <c r="AN215" s="37"/>
      <c r="AO215" s="37"/>
      <c r="AP215" s="37"/>
      <c r="AQ215" s="37"/>
      <c r="AR215" s="37"/>
      <c r="AS215" s="37"/>
      <c r="AT215" s="37"/>
      <c r="AU215" s="37"/>
      <c r="AV215" s="37"/>
      <c r="AW215" s="37"/>
      <c r="AX215" s="37"/>
      <c r="AY215" s="37"/>
      <c r="AZ215" s="37"/>
      <c r="BA215" s="37"/>
      <c r="BB215" s="37"/>
      <c r="BC215" s="37"/>
      <c r="BD215" s="37"/>
      <c r="BE215" s="37"/>
      <c r="BF215" s="37"/>
      <c r="BG215" s="37"/>
      <c r="BH215" s="37"/>
      <c r="BI215" s="37"/>
      <c r="BJ215" s="37"/>
      <c r="BK215" s="37"/>
      <c r="BL215" s="37"/>
      <c r="BM215" s="37"/>
      <c r="BN215" s="37"/>
      <c r="BO215" s="37"/>
      <c r="BP215" s="37"/>
      <c r="BQ215" s="38"/>
      <c r="BR215" s="38"/>
      <c r="BS215" s="37"/>
    </row>
    <row r="216" spans="1:71">
      <c r="A216" s="37"/>
      <c r="B216" s="37"/>
      <c r="C216" s="36"/>
      <c r="D216" s="36"/>
      <c r="E216" s="37"/>
      <c r="F216" s="37"/>
      <c r="G216" s="37"/>
      <c r="H216" s="37"/>
      <c r="I216" s="37"/>
      <c r="J216" s="37"/>
      <c r="K216" s="37"/>
      <c r="L216" s="37"/>
      <c r="M216" s="37"/>
      <c r="N216" s="37"/>
      <c r="O216" s="37"/>
      <c r="P216" s="37"/>
      <c r="Q216" s="37"/>
      <c r="R216" s="37"/>
      <c r="S216" s="37"/>
      <c r="T216" s="37"/>
      <c r="U216" s="37"/>
      <c r="V216" s="37"/>
      <c r="W216" s="37"/>
      <c r="X216" s="37"/>
      <c r="Y216" s="37"/>
      <c r="Z216" s="37"/>
      <c r="AA216" s="37"/>
      <c r="AB216" s="37"/>
      <c r="AC216" s="37"/>
      <c r="AD216" s="37"/>
      <c r="AE216" s="37"/>
      <c r="AF216" s="37"/>
      <c r="AG216" s="37"/>
      <c r="AH216" s="37"/>
      <c r="AI216" s="37"/>
      <c r="AJ216" s="37"/>
      <c r="AK216" s="37"/>
      <c r="AL216" s="37"/>
      <c r="AM216" s="37"/>
      <c r="AN216" s="37"/>
      <c r="AO216" s="37"/>
      <c r="AP216" s="37"/>
      <c r="AQ216" s="37"/>
      <c r="AR216" s="37"/>
      <c r="AS216" s="37"/>
      <c r="AT216" s="37"/>
      <c r="AU216" s="37"/>
      <c r="AV216" s="37"/>
      <c r="AW216" s="37"/>
      <c r="AX216" s="37"/>
      <c r="AY216" s="37"/>
      <c r="AZ216" s="37"/>
      <c r="BA216" s="37"/>
      <c r="BB216" s="37"/>
      <c r="BC216" s="37"/>
      <c r="BD216" s="37"/>
      <c r="BE216" s="37"/>
      <c r="BF216" s="37"/>
      <c r="BG216" s="37"/>
      <c r="BH216" s="37"/>
      <c r="BI216" s="37"/>
      <c r="BJ216" s="37"/>
      <c r="BK216" s="37"/>
      <c r="BL216" s="37"/>
      <c r="BM216" s="37"/>
      <c r="BN216" s="37"/>
      <c r="BO216" s="37"/>
      <c r="BP216" s="37"/>
      <c r="BQ216" s="38"/>
      <c r="BR216" s="38"/>
      <c r="BS216" s="37"/>
    </row>
    <row r="217" spans="1:71">
      <c r="A217" s="37"/>
      <c r="B217" s="37"/>
      <c r="C217" s="36"/>
      <c r="D217" s="36"/>
      <c r="E217" s="37"/>
      <c r="F217" s="37"/>
      <c r="G217" s="37"/>
      <c r="H217" s="37"/>
      <c r="I217" s="37"/>
      <c r="J217" s="37"/>
      <c r="K217" s="37"/>
      <c r="L217" s="37"/>
      <c r="M217" s="37"/>
      <c r="N217" s="37"/>
      <c r="O217" s="37"/>
      <c r="P217" s="37"/>
      <c r="Q217" s="37"/>
      <c r="R217" s="37"/>
      <c r="S217" s="37"/>
      <c r="T217" s="37"/>
      <c r="U217" s="37"/>
      <c r="V217" s="37"/>
      <c r="W217" s="37"/>
      <c r="X217" s="37"/>
      <c r="Y217" s="37"/>
      <c r="Z217" s="37"/>
      <c r="AA217" s="37"/>
      <c r="AB217" s="37"/>
      <c r="AC217" s="37"/>
      <c r="AD217" s="37"/>
      <c r="AE217" s="37"/>
      <c r="AF217" s="37"/>
      <c r="AG217" s="37"/>
      <c r="AH217" s="37"/>
      <c r="AI217" s="37"/>
      <c r="AJ217" s="37"/>
      <c r="AK217" s="37"/>
      <c r="AL217" s="37"/>
      <c r="AM217" s="37"/>
      <c r="AN217" s="37"/>
      <c r="AO217" s="37"/>
      <c r="AP217" s="37"/>
      <c r="AQ217" s="37"/>
      <c r="AR217" s="37"/>
      <c r="AS217" s="37"/>
      <c r="AT217" s="37"/>
      <c r="AU217" s="37"/>
      <c r="AV217" s="37"/>
      <c r="AW217" s="37"/>
      <c r="AX217" s="37"/>
      <c r="AY217" s="37"/>
      <c r="AZ217" s="37"/>
      <c r="BA217" s="37"/>
      <c r="BB217" s="37"/>
      <c r="BC217" s="37"/>
      <c r="BD217" s="37"/>
      <c r="BE217" s="37"/>
      <c r="BF217" s="37"/>
      <c r="BG217" s="37"/>
      <c r="BH217" s="37"/>
      <c r="BI217" s="37"/>
      <c r="BJ217" s="37"/>
      <c r="BK217" s="37"/>
      <c r="BL217" s="37"/>
      <c r="BM217" s="37"/>
      <c r="BN217" s="37"/>
      <c r="BO217" s="37"/>
      <c r="BP217" s="37"/>
      <c r="BQ217" s="38"/>
      <c r="BR217" s="38"/>
      <c r="BS217" s="37"/>
    </row>
    <row r="218" spans="1:71">
      <c r="A218" s="37"/>
      <c r="B218" s="37"/>
      <c r="C218" s="36"/>
      <c r="D218" s="36"/>
      <c r="E218" s="37"/>
      <c r="F218" s="37"/>
      <c r="G218" s="37"/>
      <c r="H218" s="37"/>
      <c r="I218" s="37"/>
      <c r="J218" s="37"/>
      <c r="K218" s="37"/>
      <c r="L218" s="37"/>
      <c r="M218" s="37"/>
      <c r="N218" s="37"/>
      <c r="O218" s="37"/>
      <c r="P218" s="37"/>
      <c r="Q218" s="37"/>
      <c r="R218" s="37"/>
      <c r="S218" s="37"/>
      <c r="T218" s="37"/>
      <c r="U218" s="37"/>
      <c r="V218" s="37"/>
      <c r="W218" s="37"/>
      <c r="X218" s="37"/>
      <c r="Y218" s="37"/>
      <c r="Z218" s="37"/>
      <c r="AA218" s="37"/>
      <c r="AB218" s="37"/>
      <c r="AC218" s="37"/>
      <c r="AD218" s="37"/>
      <c r="AE218" s="37"/>
      <c r="AF218" s="37"/>
      <c r="AG218" s="37"/>
      <c r="AH218" s="37"/>
      <c r="AI218" s="37"/>
      <c r="AJ218" s="37"/>
      <c r="AK218" s="37"/>
      <c r="AL218" s="37"/>
      <c r="AM218" s="37"/>
      <c r="AN218" s="37"/>
      <c r="AO218" s="37"/>
      <c r="AP218" s="37"/>
      <c r="AQ218" s="37"/>
      <c r="AR218" s="37"/>
      <c r="AS218" s="37"/>
      <c r="AT218" s="37"/>
      <c r="AU218" s="37"/>
      <c r="AV218" s="37"/>
      <c r="AW218" s="37"/>
      <c r="AX218" s="37"/>
      <c r="AY218" s="37"/>
      <c r="AZ218" s="37"/>
      <c r="BA218" s="37"/>
      <c r="BB218" s="37"/>
      <c r="BC218" s="37"/>
      <c r="BD218" s="37"/>
      <c r="BE218" s="37"/>
      <c r="BF218" s="37"/>
      <c r="BG218" s="37"/>
      <c r="BH218" s="37"/>
      <c r="BI218" s="37"/>
      <c r="BJ218" s="37"/>
      <c r="BK218" s="37"/>
      <c r="BL218" s="37"/>
      <c r="BM218" s="37"/>
      <c r="BN218" s="37"/>
      <c r="BO218" s="37"/>
      <c r="BP218" s="37"/>
      <c r="BQ218" s="38"/>
      <c r="BR218" s="38"/>
      <c r="BS218" s="37"/>
    </row>
    <row r="219" spans="1:71">
      <c r="A219" s="37"/>
      <c r="B219" s="37"/>
      <c r="C219" s="36"/>
      <c r="D219" s="36"/>
      <c r="E219" s="37"/>
      <c r="F219" s="37"/>
      <c r="G219" s="37"/>
      <c r="H219" s="37"/>
      <c r="I219" s="37"/>
      <c r="J219" s="37"/>
      <c r="K219" s="37"/>
      <c r="L219" s="37"/>
      <c r="M219" s="37"/>
      <c r="N219" s="37"/>
      <c r="O219" s="37"/>
      <c r="P219" s="37"/>
      <c r="Q219" s="37"/>
      <c r="R219" s="37"/>
      <c r="S219" s="37"/>
      <c r="T219" s="37"/>
      <c r="U219" s="37"/>
      <c r="V219" s="37"/>
      <c r="W219" s="37"/>
      <c r="X219" s="37"/>
      <c r="Y219" s="37"/>
      <c r="Z219" s="37"/>
      <c r="AA219" s="37"/>
      <c r="AB219" s="37"/>
      <c r="AC219" s="37"/>
      <c r="AD219" s="37"/>
      <c r="AE219" s="37"/>
      <c r="AF219" s="37"/>
      <c r="AG219" s="37"/>
      <c r="AH219" s="37"/>
      <c r="AI219" s="37"/>
      <c r="AJ219" s="37"/>
      <c r="AK219" s="37"/>
      <c r="AL219" s="37"/>
      <c r="AM219" s="37"/>
      <c r="AN219" s="37"/>
      <c r="AO219" s="37"/>
      <c r="AP219" s="37"/>
      <c r="AQ219" s="37"/>
      <c r="AR219" s="37"/>
      <c r="AS219" s="37"/>
      <c r="AT219" s="37"/>
      <c r="AU219" s="37"/>
      <c r="AV219" s="37"/>
      <c r="AW219" s="37"/>
      <c r="AX219" s="37"/>
      <c r="AY219" s="37"/>
      <c r="AZ219" s="37"/>
      <c r="BA219" s="37"/>
      <c r="BB219" s="37"/>
      <c r="BC219" s="37"/>
      <c r="BD219" s="37"/>
      <c r="BE219" s="37"/>
      <c r="BF219" s="37"/>
      <c r="BG219" s="37"/>
      <c r="BH219" s="37"/>
      <c r="BI219" s="37"/>
      <c r="BJ219" s="37"/>
      <c r="BK219" s="37"/>
      <c r="BL219" s="37"/>
      <c r="BM219" s="37"/>
      <c r="BN219" s="37"/>
      <c r="BO219" s="37"/>
      <c r="BP219" s="37"/>
      <c r="BQ219" s="38"/>
      <c r="BR219" s="38"/>
      <c r="BS219" s="37"/>
    </row>
    <row r="220" spans="1:71">
      <c r="A220" s="37"/>
      <c r="B220" s="37"/>
      <c r="C220" s="36"/>
      <c r="D220" s="36"/>
      <c r="E220" s="37"/>
      <c r="F220" s="37"/>
      <c r="G220" s="37"/>
      <c r="H220" s="37"/>
      <c r="I220" s="37"/>
      <c r="J220" s="37"/>
      <c r="K220" s="37"/>
      <c r="L220" s="37"/>
      <c r="M220" s="37"/>
      <c r="N220" s="37"/>
      <c r="O220" s="37"/>
      <c r="P220" s="37"/>
      <c r="Q220" s="37"/>
      <c r="R220" s="37"/>
      <c r="S220" s="37"/>
      <c r="T220" s="37"/>
      <c r="U220" s="37"/>
      <c r="V220" s="37"/>
      <c r="W220" s="37"/>
      <c r="X220" s="37"/>
      <c r="Y220" s="37"/>
      <c r="Z220" s="37"/>
      <c r="AA220" s="37"/>
      <c r="AB220" s="37"/>
      <c r="AC220" s="37"/>
      <c r="AD220" s="37"/>
      <c r="AE220" s="37"/>
      <c r="AF220" s="37"/>
      <c r="AG220" s="37"/>
      <c r="AH220" s="37"/>
      <c r="AI220" s="37"/>
      <c r="AJ220" s="37"/>
      <c r="AK220" s="37"/>
      <c r="AL220" s="37"/>
      <c r="AM220" s="37"/>
      <c r="AN220" s="37"/>
      <c r="AO220" s="37"/>
      <c r="AP220" s="37"/>
      <c r="AQ220" s="37"/>
      <c r="AR220" s="37"/>
      <c r="AS220" s="37"/>
      <c r="AT220" s="37"/>
      <c r="AU220" s="37"/>
      <c r="AV220" s="37"/>
      <c r="AW220" s="37"/>
      <c r="AX220" s="37"/>
      <c r="AY220" s="37"/>
      <c r="AZ220" s="37"/>
      <c r="BA220" s="37"/>
      <c r="BB220" s="37"/>
      <c r="BC220" s="37"/>
      <c r="BD220" s="37"/>
      <c r="BE220" s="37"/>
      <c r="BF220" s="37"/>
      <c r="BG220" s="37"/>
      <c r="BH220" s="37"/>
      <c r="BI220" s="37"/>
      <c r="BJ220" s="37"/>
      <c r="BK220" s="37"/>
      <c r="BL220" s="37"/>
      <c r="BM220" s="37"/>
      <c r="BN220" s="37"/>
      <c r="BO220" s="37"/>
      <c r="BP220" s="37"/>
      <c r="BQ220" s="38"/>
      <c r="BR220" s="38"/>
      <c r="BS220" s="37"/>
    </row>
    <row r="221" spans="1:71">
      <c r="A221" s="37"/>
      <c r="B221" s="37"/>
      <c r="C221" s="36"/>
      <c r="D221" s="36"/>
      <c r="E221" s="37"/>
      <c r="F221" s="37"/>
      <c r="G221" s="37"/>
      <c r="H221" s="37"/>
      <c r="I221" s="37"/>
      <c r="J221" s="37"/>
      <c r="K221" s="37"/>
      <c r="L221" s="37"/>
      <c r="M221" s="37"/>
      <c r="N221" s="37"/>
      <c r="O221" s="37"/>
      <c r="P221" s="37"/>
      <c r="Q221" s="37"/>
      <c r="R221" s="37"/>
      <c r="S221" s="37"/>
      <c r="T221" s="37"/>
      <c r="U221" s="37"/>
      <c r="V221" s="37"/>
      <c r="W221" s="37"/>
      <c r="X221" s="37"/>
      <c r="Y221" s="37"/>
      <c r="Z221" s="37"/>
      <c r="AA221" s="37"/>
      <c r="AB221" s="37"/>
      <c r="AC221" s="37"/>
      <c r="AD221" s="37"/>
      <c r="AE221" s="37"/>
      <c r="AF221" s="37"/>
      <c r="AG221" s="37"/>
      <c r="AH221" s="37"/>
      <c r="AI221" s="37"/>
      <c r="AJ221" s="37"/>
      <c r="AK221" s="37"/>
      <c r="AL221" s="37"/>
      <c r="AM221" s="37"/>
      <c r="AN221" s="37"/>
      <c r="AO221" s="37"/>
      <c r="AP221" s="37"/>
      <c r="AQ221" s="37"/>
      <c r="AR221" s="37"/>
      <c r="AS221" s="37"/>
      <c r="AT221" s="37"/>
      <c r="AU221" s="37"/>
      <c r="AV221" s="37"/>
      <c r="AW221" s="37"/>
      <c r="AX221" s="37"/>
      <c r="AY221" s="37"/>
      <c r="AZ221" s="37"/>
      <c r="BA221" s="37"/>
      <c r="BB221" s="37"/>
      <c r="BC221" s="37"/>
      <c r="BD221" s="37"/>
      <c r="BE221" s="37"/>
      <c r="BF221" s="37"/>
      <c r="BG221" s="37"/>
      <c r="BH221" s="37"/>
      <c r="BI221" s="37"/>
      <c r="BJ221" s="37"/>
      <c r="BK221" s="37"/>
      <c r="BL221" s="37"/>
      <c r="BM221" s="37"/>
      <c r="BN221" s="37"/>
      <c r="BO221" s="37"/>
      <c r="BP221" s="37"/>
      <c r="BQ221" s="38"/>
      <c r="BR221" s="38"/>
      <c r="BS221" s="37"/>
    </row>
    <row r="222" spans="1:71">
      <c r="A222" s="37"/>
      <c r="B222" s="37"/>
      <c r="C222" s="36"/>
      <c r="D222" s="36"/>
      <c r="E222" s="37"/>
      <c r="F222" s="37"/>
      <c r="G222" s="37"/>
      <c r="H222" s="37"/>
      <c r="I222" s="37"/>
      <c r="J222" s="37"/>
      <c r="K222" s="37"/>
      <c r="L222" s="37"/>
      <c r="M222" s="37"/>
      <c r="N222" s="37"/>
      <c r="O222" s="37"/>
      <c r="P222" s="37"/>
      <c r="Q222" s="37"/>
      <c r="R222" s="37"/>
      <c r="S222" s="37"/>
      <c r="T222" s="37"/>
      <c r="U222" s="37"/>
      <c r="V222" s="37"/>
      <c r="W222" s="37"/>
      <c r="X222" s="37"/>
      <c r="Y222" s="37"/>
      <c r="Z222" s="37"/>
      <c r="AA222" s="37"/>
      <c r="AB222" s="37"/>
      <c r="AC222" s="37"/>
      <c r="AD222" s="37"/>
      <c r="AE222" s="37"/>
      <c r="AF222" s="37"/>
      <c r="AG222" s="37"/>
      <c r="AH222" s="37"/>
      <c r="AI222" s="37"/>
      <c r="AJ222" s="37"/>
      <c r="AK222" s="37"/>
      <c r="AL222" s="37"/>
      <c r="AM222" s="37"/>
      <c r="AN222" s="37"/>
      <c r="AO222" s="37"/>
      <c r="AP222" s="37"/>
      <c r="AQ222" s="37"/>
      <c r="AR222" s="37"/>
      <c r="AS222" s="37"/>
      <c r="AT222" s="37"/>
      <c r="AU222" s="37"/>
      <c r="AV222" s="37"/>
      <c r="AW222" s="37"/>
      <c r="AX222" s="37"/>
      <c r="AY222" s="37"/>
      <c r="AZ222" s="37"/>
      <c r="BA222" s="37"/>
      <c r="BB222" s="37"/>
      <c r="BC222" s="37"/>
      <c r="BD222" s="37"/>
      <c r="BE222" s="37"/>
      <c r="BF222" s="37"/>
      <c r="BG222" s="37"/>
      <c r="BH222" s="37"/>
      <c r="BI222" s="37"/>
      <c r="BJ222" s="37"/>
      <c r="BK222" s="37"/>
      <c r="BL222" s="37"/>
      <c r="BM222" s="37"/>
      <c r="BN222" s="37"/>
      <c r="BO222" s="37"/>
      <c r="BP222" s="37"/>
      <c r="BQ222" s="38"/>
      <c r="BR222" s="38"/>
      <c r="BS222" s="37"/>
    </row>
    <row r="223" spans="1:71">
      <c r="A223" s="37"/>
      <c r="B223" s="37"/>
      <c r="C223" s="36"/>
      <c r="D223" s="36"/>
      <c r="E223" s="37"/>
      <c r="F223" s="37"/>
      <c r="G223" s="37"/>
      <c r="H223" s="37"/>
      <c r="I223" s="37"/>
      <c r="J223" s="37"/>
      <c r="K223" s="37"/>
      <c r="L223" s="37"/>
      <c r="M223" s="37"/>
      <c r="N223" s="37"/>
      <c r="O223" s="37"/>
      <c r="P223" s="37"/>
      <c r="Q223" s="37"/>
      <c r="R223" s="37"/>
      <c r="S223" s="37"/>
      <c r="T223" s="37"/>
      <c r="U223" s="37"/>
      <c r="V223" s="37"/>
      <c r="W223" s="37"/>
      <c r="X223" s="37"/>
      <c r="Y223" s="37"/>
      <c r="Z223" s="37"/>
      <c r="AA223" s="37"/>
      <c r="AB223" s="37"/>
      <c r="AC223" s="37"/>
      <c r="AD223" s="37"/>
      <c r="AE223" s="37"/>
      <c r="AF223" s="37"/>
      <c r="AG223" s="37"/>
      <c r="AH223" s="37"/>
      <c r="AI223" s="37"/>
      <c r="AJ223" s="37"/>
      <c r="AK223" s="37"/>
      <c r="AL223" s="37"/>
      <c r="AM223" s="37"/>
      <c r="AN223" s="37"/>
      <c r="AO223" s="37"/>
      <c r="AP223" s="37"/>
      <c r="AQ223" s="37"/>
      <c r="AR223" s="37"/>
      <c r="AS223" s="37"/>
      <c r="AT223" s="37"/>
      <c r="AU223" s="37"/>
      <c r="AV223" s="37"/>
      <c r="AW223" s="37"/>
      <c r="AX223" s="37"/>
      <c r="AY223" s="37"/>
      <c r="AZ223" s="37"/>
      <c r="BA223" s="37"/>
      <c r="BB223" s="37"/>
      <c r="BC223" s="37"/>
      <c r="BD223" s="37"/>
      <c r="BE223" s="37"/>
      <c r="BF223" s="37"/>
      <c r="BG223" s="37"/>
      <c r="BH223" s="37"/>
      <c r="BI223" s="37"/>
      <c r="BJ223" s="37"/>
      <c r="BK223" s="37"/>
      <c r="BL223" s="37"/>
      <c r="BM223" s="37"/>
      <c r="BN223" s="37"/>
      <c r="BO223" s="37"/>
      <c r="BP223" s="37"/>
      <c r="BQ223" s="38"/>
      <c r="BR223" s="38"/>
      <c r="BS223" s="37"/>
    </row>
    <row r="224" spans="1:71">
      <c r="A224" s="37"/>
      <c r="B224" s="37"/>
      <c r="C224" s="36"/>
      <c r="D224" s="36"/>
      <c r="E224" s="37"/>
      <c r="F224" s="37"/>
      <c r="G224" s="37"/>
      <c r="H224" s="37"/>
      <c r="I224" s="37"/>
      <c r="J224" s="37"/>
      <c r="K224" s="37"/>
      <c r="L224" s="37"/>
      <c r="M224" s="37"/>
      <c r="N224" s="37"/>
      <c r="O224" s="37"/>
      <c r="P224" s="37"/>
      <c r="Q224" s="37"/>
      <c r="R224" s="37"/>
      <c r="S224" s="37"/>
      <c r="T224" s="37"/>
      <c r="U224" s="37"/>
      <c r="V224" s="37"/>
      <c r="W224" s="37"/>
      <c r="X224" s="37"/>
      <c r="Y224" s="37"/>
      <c r="Z224" s="37"/>
      <c r="AA224" s="37"/>
      <c r="AB224" s="37"/>
      <c r="AC224" s="37"/>
      <c r="AD224" s="37"/>
      <c r="AE224" s="37"/>
      <c r="AF224" s="37"/>
      <c r="AG224" s="37"/>
      <c r="AH224" s="37"/>
      <c r="AI224" s="37"/>
      <c r="AJ224" s="37"/>
      <c r="AK224" s="37"/>
      <c r="AL224" s="37"/>
      <c r="AM224" s="37"/>
      <c r="AN224" s="37"/>
      <c r="AO224" s="37"/>
      <c r="AP224" s="37"/>
      <c r="AQ224" s="37"/>
      <c r="AR224" s="37"/>
      <c r="AS224" s="37"/>
      <c r="AT224" s="37"/>
      <c r="AU224" s="37"/>
      <c r="AV224" s="37"/>
      <c r="AW224" s="37"/>
      <c r="AX224" s="37"/>
      <c r="AY224" s="37"/>
      <c r="AZ224" s="37"/>
      <c r="BA224" s="37"/>
      <c r="BB224" s="37"/>
      <c r="BC224" s="37"/>
      <c r="BD224" s="37"/>
      <c r="BE224" s="37"/>
      <c r="BF224" s="37"/>
      <c r="BG224" s="37"/>
      <c r="BH224" s="37"/>
      <c r="BI224" s="37"/>
      <c r="BJ224" s="37"/>
      <c r="BK224" s="37"/>
      <c r="BL224" s="37"/>
      <c r="BM224" s="37"/>
      <c r="BN224" s="37"/>
      <c r="BO224" s="37"/>
      <c r="BP224" s="37"/>
      <c r="BQ224" s="38"/>
      <c r="BR224" s="38"/>
      <c r="BS224" s="37"/>
    </row>
    <row r="225" spans="1:71">
      <c r="A225" s="37"/>
      <c r="B225" s="37"/>
      <c r="C225" s="36"/>
      <c r="D225" s="36"/>
      <c r="E225" s="37"/>
      <c r="F225" s="37"/>
      <c r="G225" s="37"/>
      <c r="H225" s="37"/>
      <c r="I225" s="37"/>
      <c r="J225" s="37"/>
      <c r="K225" s="37"/>
      <c r="L225" s="37"/>
      <c r="M225" s="37"/>
      <c r="N225" s="37"/>
      <c r="O225" s="37"/>
      <c r="P225" s="37"/>
      <c r="Q225" s="37"/>
      <c r="R225" s="37"/>
      <c r="S225" s="37"/>
      <c r="T225" s="37"/>
      <c r="U225" s="37"/>
      <c r="V225" s="37"/>
      <c r="W225" s="37"/>
      <c r="X225" s="37"/>
      <c r="Y225" s="37"/>
      <c r="Z225" s="37"/>
      <c r="AA225" s="37"/>
      <c r="AB225" s="37"/>
      <c r="AC225" s="37"/>
      <c r="AD225" s="37"/>
      <c r="AE225" s="37"/>
      <c r="AF225" s="37"/>
      <c r="AG225" s="37"/>
      <c r="AH225" s="37"/>
      <c r="AI225" s="37"/>
      <c r="AJ225" s="37"/>
      <c r="AK225" s="37"/>
      <c r="AL225" s="37"/>
      <c r="AM225" s="37"/>
      <c r="AN225" s="37"/>
      <c r="AO225" s="37"/>
      <c r="AP225" s="37"/>
      <c r="AQ225" s="37"/>
      <c r="AR225" s="37"/>
      <c r="AS225" s="37"/>
      <c r="AT225" s="37"/>
      <c r="AU225" s="37"/>
      <c r="AV225" s="37"/>
      <c r="AW225" s="37"/>
      <c r="AX225" s="37"/>
      <c r="AY225" s="37"/>
      <c r="AZ225" s="37"/>
      <c r="BA225" s="37"/>
      <c r="BB225" s="37"/>
      <c r="BC225" s="37"/>
      <c r="BD225" s="37"/>
      <c r="BE225" s="37"/>
      <c r="BF225" s="37"/>
      <c r="BG225" s="37"/>
      <c r="BH225" s="37"/>
      <c r="BI225" s="37"/>
      <c r="BJ225" s="37"/>
      <c r="BK225" s="37"/>
      <c r="BL225" s="37"/>
      <c r="BM225" s="37"/>
      <c r="BN225" s="37"/>
      <c r="BO225" s="37"/>
      <c r="BP225" s="37"/>
      <c r="BQ225" s="38"/>
      <c r="BR225" s="38"/>
      <c r="BS225" s="37"/>
    </row>
    <row r="226" spans="1:71">
      <c r="A226" s="37"/>
      <c r="B226" s="37"/>
      <c r="C226" s="36"/>
      <c r="D226" s="36"/>
      <c r="E226" s="37"/>
      <c r="F226" s="37"/>
      <c r="G226" s="37"/>
      <c r="H226" s="37"/>
      <c r="I226" s="37"/>
      <c r="J226" s="37"/>
      <c r="K226" s="37"/>
      <c r="L226" s="37"/>
      <c r="M226" s="37"/>
      <c r="N226" s="37"/>
      <c r="O226" s="37"/>
      <c r="P226" s="37"/>
      <c r="Q226" s="37"/>
      <c r="R226" s="37"/>
      <c r="S226" s="37"/>
      <c r="T226" s="37"/>
      <c r="U226" s="37"/>
      <c r="V226" s="37"/>
      <c r="W226" s="37"/>
      <c r="X226" s="37"/>
      <c r="Y226" s="37"/>
      <c r="Z226" s="37"/>
      <c r="AA226" s="37"/>
      <c r="AB226" s="37"/>
      <c r="AC226" s="37"/>
      <c r="AD226" s="37"/>
      <c r="AE226" s="37"/>
      <c r="AF226" s="37"/>
      <c r="AG226" s="37"/>
      <c r="AH226" s="37"/>
      <c r="AI226" s="37"/>
      <c r="AJ226" s="37"/>
      <c r="AK226" s="37"/>
      <c r="AL226" s="37"/>
      <c r="AM226" s="37"/>
      <c r="AN226" s="37"/>
      <c r="AO226" s="37"/>
      <c r="AP226" s="37"/>
      <c r="AQ226" s="37"/>
      <c r="AR226" s="37"/>
      <c r="AS226" s="37"/>
      <c r="AT226" s="37"/>
      <c r="AU226" s="37"/>
      <c r="AV226" s="37"/>
      <c r="AW226" s="37"/>
      <c r="AX226" s="37"/>
      <c r="AY226" s="37"/>
      <c r="AZ226" s="37"/>
      <c r="BA226" s="37"/>
      <c r="BB226" s="37"/>
      <c r="BC226" s="37"/>
      <c r="BD226" s="37"/>
      <c r="BE226" s="37"/>
      <c r="BF226" s="37"/>
      <c r="BG226" s="37"/>
      <c r="BH226" s="37"/>
      <c r="BI226" s="37"/>
      <c r="BJ226" s="37"/>
      <c r="BK226" s="37"/>
      <c r="BL226" s="37"/>
      <c r="BM226" s="37"/>
      <c r="BN226" s="37"/>
      <c r="BO226" s="37"/>
      <c r="BP226" s="37"/>
      <c r="BQ226" s="38"/>
      <c r="BR226" s="38"/>
      <c r="BS226" s="37"/>
    </row>
    <row r="227" spans="1:71">
      <c r="A227" s="37"/>
      <c r="B227" s="37"/>
      <c r="C227" s="36"/>
      <c r="D227" s="36"/>
      <c r="E227" s="37"/>
      <c r="F227" s="37"/>
      <c r="G227" s="37"/>
      <c r="H227" s="37"/>
      <c r="I227" s="37"/>
      <c r="J227" s="37"/>
      <c r="K227" s="37"/>
      <c r="L227" s="37"/>
      <c r="M227" s="37"/>
      <c r="N227" s="37"/>
      <c r="O227" s="37"/>
      <c r="P227" s="37"/>
      <c r="Q227" s="37"/>
      <c r="R227" s="37"/>
      <c r="S227" s="37"/>
      <c r="T227" s="37"/>
      <c r="U227" s="37"/>
      <c r="V227" s="37"/>
      <c r="W227" s="37"/>
      <c r="X227" s="37"/>
      <c r="Y227" s="37"/>
      <c r="Z227" s="37"/>
      <c r="AA227" s="37"/>
      <c r="AB227" s="37"/>
      <c r="AC227" s="37"/>
      <c r="AD227" s="37"/>
      <c r="AE227" s="37"/>
      <c r="AF227" s="37"/>
      <c r="AG227" s="37"/>
      <c r="AH227" s="37"/>
      <c r="AI227" s="37"/>
      <c r="AJ227" s="37"/>
      <c r="AK227" s="37"/>
      <c r="AL227" s="37"/>
      <c r="AM227" s="37"/>
      <c r="AN227" s="37"/>
      <c r="AO227" s="37"/>
      <c r="AP227" s="37"/>
      <c r="AQ227" s="37"/>
      <c r="AR227" s="37"/>
      <c r="AS227" s="37"/>
      <c r="AT227" s="37"/>
      <c r="AU227" s="37"/>
      <c r="AV227" s="37"/>
      <c r="AW227" s="37"/>
      <c r="AX227" s="37"/>
      <c r="AY227" s="37"/>
      <c r="AZ227" s="37"/>
      <c r="BA227" s="37"/>
      <c r="BB227" s="37"/>
      <c r="BC227" s="37"/>
      <c r="BD227" s="37"/>
      <c r="BE227" s="37"/>
      <c r="BF227" s="37"/>
      <c r="BG227" s="37"/>
      <c r="BH227" s="37"/>
      <c r="BI227" s="37"/>
      <c r="BJ227" s="37"/>
      <c r="BK227" s="37"/>
      <c r="BL227" s="37"/>
      <c r="BM227" s="37"/>
      <c r="BN227" s="37"/>
      <c r="BO227" s="37"/>
      <c r="BP227" s="37"/>
      <c r="BQ227" s="38"/>
      <c r="BR227" s="38"/>
      <c r="BS227" s="37"/>
    </row>
    <row r="228" spans="1:71">
      <c r="A228" s="37"/>
      <c r="B228" s="37"/>
      <c r="C228" s="36"/>
      <c r="D228" s="36"/>
      <c r="E228" s="37"/>
      <c r="F228" s="37"/>
      <c r="G228" s="37"/>
      <c r="H228" s="37"/>
      <c r="I228" s="37"/>
      <c r="J228" s="37"/>
      <c r="K228" s="37"/>
      <c r="L228" s="37"/>
      <c r="M228" s="37"/>
      <c r="N228" s="37"/>
      <c r="O228" s="37"/>
      <c r="P228" s="37"/>
      <c r="Q228" s="37"/>
      <c r="R228" s="37"/>
      <c r="S228" s="37"/>
      <c r="T228" s="37"/>
      <c r="U228" s="37"/>
      <c r="V228" s="37"/>
      <c r="W228" s="37"/>
      <c r="X228" s="37"/>
      <c r="Y228" s="37"/>
      <c r="Z228" s="37"/>
      <c r="AA228" s="37"/>
      <c r="AB228" s="37"/>
      <c r="AC228" s="37"/>
      <c r="AD228" s="37"/>
      <c r="AE228" s="37"/>
      <c r="AF228" s="37"/>
      <c r="AG228" s="37"/>
      <c r="AH228" s="37"/>
      <c r="AI228" s="37"/>
      <c r="AJ228" s="37"/>
      <c r="AK228" s="37"/>
      <c r="AL228" s="37"/>
      <c r="AM228" s="37"/>
      <c r="AN228" s="37"/>
      <c r="AO228" s="37"/>
      <c r="AP228" s="37"/>
      <c r="AQ228" s="37"/>
      <c r="AR228" s="37"/>
      <c r="AS228" s="37"/>
      <c r="AT228" s="37"/>
      <c r="AU228" s="37"/>
      <c r="AV228" s="37"/>
      <c r="AW228" s="37"/>
      <c r="AX228" s="37"/>
      <c r="AY228" s="37"/>
      <c r="AZ228" s="37"/>
      <c r="BA228" s="37"/>
      <c r="BB228" s="37"/>
      <c r="BC228" s="37"/>
      <c r="BD228" s="37"/>
      <c r="BE228" s="37"/>
      <c r="BF228" s="37"/>
      <c r="BG228" s="37"/>
      <c r="BH228" s="37"/>
      <c r="BI228" s="37"/>
      <c r="BJ228" s="37"/>
      <c r="BK228" s="37"/>
      <c r="BL228" s="37"/>
      <c r="BM228" s="37"/>
      <c r="BN228" s="37"/>
      <c r="BO228" s="37"/>
      <c r="BP228" s="37"/>
      <c r="BQ228" s="38"/>
      <c r="BR228" s="38"/>
      <c r="BS228" s="37"/>
    </row>
    <row r="229" spans="1:71">
      <c r="A229" s="37"/>
      <c r="B229" s="37"/>
      <c r="C229" s="36"/>
      <c r="D229" s="36"/>
      <c r="E229" s="37"/>
      <c r="F229" s="37"/>
      <c r="G229" s="37"/>
      <c r="H229" s="37"/>
      <c r="I229" s="37"/>
      <c r="J229" s="37"/>
      <c r="K229" s="37"/>
      <c r="L229" s="37"/>
      <c r="M229" s="37"/>
      <c r="N229" s="37"/>
      <c r="O229" s="37"/>
      <c r="P229" s="37"/>
      <c r="Q229" s="37"/>
      <c r="R229" s="37"/>
      <c r="S229" s="37"/>
      <c r="T229" s="37"/>
      <c r="U229" s="37"/>
      <c r="V229" s="37"/>
      <c r="W229" s="37"/>
      <c r="X229" s="37"/>
      <c r="Y229" s="37"/>
      <c r="Z229" s="37"/>
      <c r="AA229" s="37"/>
      <c r="AB229" s="37"/>
      <c r="AC229" s="37"/>
      <c r="AD229" s="37"/>
      <c r="AE229" s="37"/>
      <c r="AF229" s="37"/>
      <c r="AG229" s="37"/>
      <c r="AH229" s="37"/>
      <c r="AI229" s="37"/>
      <c r="AJ229" s="37"/>
      <c r="AK229" s="37"/>
      <c r="AL229" s="37"/>
      <c r="AM229" s="37"/>
      <c r="AN229" s="37"/>
      <c r="AO229" s="37"/>
      <c r="AP229" s="37"/>
      <c r="AQ229" s="37"/>
      <c r="AR229" s="37"/>
      <c r="AS229" s="37"/>
      <c r="AT229" s="37"/>
      <c r="AU229" s="37"/>
      <c r="AV229" s="37"/>
      <c r="AW229" s="37"/>
      <c r="AX229" s="37"/>
      <c r="AY229" s="37"/>
      <c r="AZ229" s="37"/>
      <c r="BA229" s="37"/>
      <c r="BB229" s="37"/>
      <c r="BC229" s="37"/>
      <c r="BD229" s="37"/>
      <c r="BE229" s="37"/>
      <c r="BF229" s="37"/>
      <c r="BG229" s="37"/>
      <c r="BH229" s="37"/>
      <c r="BI229" s="37"/>
      <c r="BJ229" s="37"/>
      <c r="BK229" s="37"/>
      <c r="BL229" s="37"/>
      <c r="BM229" s="37"/>
      <c r="BN229" s="37"/>
      <c r="BO229" s="37"/>
      <c r="BP229" s="37"/>
      <c r="BQ229" s="38"/>
      <c r="BR229" s="38"/>
      <c r="BS229" s="37"/>
    </row>
    <row r="230" spans="1:71">
      <c r="A230" s="37"/>
      <c r="B230" s="37"/>
      <c r="C230" s="36"/>
      <c r="D230" s="36"/>
      <c r="E230" s="37"/>
      <c r="F230" s="37"/>
      <c r="G230" s="37"/>
      <c r="H230" s="37"/>
      <c r="I230" s="37"/>
      <c r="J230" s="37"/>
      <c r="K230" s="37"/>
      <c r="L230" s="37"/>
      <c r="M230" s="37"/>
      <c r="N230" s="37"/>
      <c r="O230" s="37"/>
      <c r="P230" s="37"/>
      <c r="Q230" s="37"/>
      <c r="R230" s="37"/>
      <c r="S230" s="37"/>
      <c r="T230" s="37"/>
      <c r="U230" s="37"/>
      <c r="V230" s="37"/>
      <c r="W230" s="37"/>
      <c r="X230" s="37"/>
      <c r="Y230" s="37"/>
      <c r="Z230" s="37"/>
      <c r="AA230" s="37"/>
      <c r="AB230" s="37"/>
      <c r="AC230" s="37"/>
      <c r="AD230" s="37"/>
      <c r="AE230" s="37"/>
      <c r="AF230" s="37"/>
      <c r="AG230" s="37"/>
      <c r="AH230" s="37"/>
      <c r="AI230" s="37"/>
      <c r="AJ230" s="37"/>
      <c r="AK230" s="37"/>
      <c r="AL230" s="37"/>
      <c r="AM230" s="37"/>
      <c r="AN230" s="37"/>
      <c r="AO230" s="37"/>
      <c r="AP230" s="37"/>
      <c r="AQ230" s="37"/>
      <c r="AR230" s="37"/>
      <c r="AS230" s="37"/>
      <c r="AT230" s="37"/>
      <c r="AU230" s="37"/>
      <c r="AV230" s="37"/>
      <c r="AW230" s="37"/>
      <c r="AX230" s="37"/>
      <c r="AY230" s="37"/>
      <c r="AZ230" s="37"/>
      <c r="BA230" s="37"/>
      <c r="BB230" s="37"/>
      <c r="BC230" s="37"/>
      <c r="BD230" s="37"/>
      <c r="BE230" s="37"/>
      <c r="BF230" s="37"/>
      <c r="BG230" s="37"/>
      <c r="BH230" s="37"/>
      <c r="BI230" s="37"/>
      <c r="BJ230" s="37"/>
      <c r="BK230" s="37"/>
      <c r="BL230" s="37"/>
      <c r="BM230" s="37"/>
      <c r="BN230" s="37"/>
      <c r="BO230" s="37"/>
      <c r="BP230" s="37"/>
      <c r="BQ230" s="38"/>
      <c r="BR230" s="38"/>
      <c r="BS230" s="37"/>
    </row>
    <row r="231" spans="1:71">
      <c r="A231" s="37"/>
      <c r="B231" s="37"/>
      <c r="C231" s="36"/>
      <c r="D231" s="36"/>
      <c r="E231" s="37"/>
      <c r="F231" s="37"/>
      <c r="G231" s="37"/>
      <c r="H231" s="37"/>
      <c r="I231" s="37"/>
      <c r="J231" s="37"/>
      <c r="K231" s="37"/>
      <c r="L231" s="37"/>
      <c r="M231" s="37"/>
      <c r="N231" s="37"/>
      <c r="O231" s="37"/>
      <c r="P231" s="37"/>
      <c r="Q231" s="37"/>
      <c r="R231" s="37"/>
      <c r="S231" s="37"/>
      <c r="T231" s="37"/>
      <c r="U231" s="37"/>
      <c r="V231" s="37"/>
      <c r="W231" s="37"/>
      <c r="X231" s="37"/>
      <c r="Y231" s="37"/>
      <c r="Z231" s="37"/>
      <c r="AA231" s="37"/>
      <c r="AB231" s="37"/>
      <c r="AC231" s="37"/>
      <c r="AD231" s="37"/>
      <c r="AE231" s="37"/>
      <c r="AF231" s="37"/>
      <c r="AG231" s="37"/>
      <c r="AH231" s="37"/>
      <c r="AI231" s="37"/>
      <c r="AJ231" s="37"/>
      <c r="AK231" s="37"/>
      <c r="AL231" s="37"/>
      <c r="AM231" s="37"/>
      <c r="AN231" s="37"/>
      <c r="AO231" s="37"/>
      <c r="AP231" s="37"/>
      <c r="AQ231" s="37"/>
      <c r="AR231" s="37"/>
      <c r="AS231" s="37"/>
      <c r="AT231" s="37"/>
      <c r="AU231" s="37"/>
      <c r="AV231" s="37"/>
      <c r="AW231" s="37"/>
      <c r="AX231" s="37"/>
      <c r="AY231" s="37"/>
      <c r="AZ231" s="37"/>
      <c r="BA231" s="37"/>
      <c r="BB231" s="37"/>
      <c r="BC231" s="37"/>
      <c r="BD231" s="37"/>
      <c r="BE231" s="37"/>
      <c r="BF231" s="37"/>
      <c r="BG231" s="37"/>
      <c r="BH231" s="37"/>
      <c r="BI231" s="37"/>
      <c r="BJ231" s="37"/>
      <c r="BK231" s="37"/>
      <c r="BL231" s="37"/>
      <c r="BM231" s="37"/>
      <c r="BN231" s="37"/>
      <c r="BO231" s="37"/>
      <c r="BP231" s="37"/>
      <c r="BQ231" s="38"/>
      <c r="BR231" s="38"/>
      <c r="BS231" s="37"/>
    </row>
    <row r="232" spans="1:71">
      <c r="A232" s="37"/>
      <c r="B232" s="37"/>
      <c r="C232" s="36"/>
      <c r="D232" s="36"/>
      <c r="E232" s="37"/>
      <c r="F232" s="37"/>
      <c r="G232" s="37"/>
      <c r="H232" s="37"/>
      <c r="I232" s="37"/>
      <c r="J232" s="37"/>
      <c r="K232" s="37"/>
      <c r="L232" s="37"/>
      <c r="M232" s="37"/>
      <c r="N232" s="37"/>
      <c r="O232" s="37"/>
      <c r="P232" s="37"/>
      <c r="Q232" s="37"/>
      <c r="R232" s="37"/>
      <c r="S232" s="37"/>
      <c r="T232" s="37"/>
      <c r="U232" s="37"/>
      <c r="V232" s="37"/>
      <c r="W232" s="37"/>
      <c r="X232" s="37"/>
      <c r="Y232" s="37"/>
      <c r="Z232" s="37"/>
      <c r="AA232" s="37"/>
      <c r="AB232" s="37"/>
      <c r="AC232" s="37"/>
      <c r="AD232" s="37"/>
      <c r="AE232" s="37"/>
      <c r="AF232" s="37"/>
      <c r="AG232" s="37"/>
      <c r="AH232" s="37"/>
      <c r="AI232" s="37"/>
      <c r="AJ232" s="37"/>
      <c r="AK232" s="37"/>
      <c r="AL232" s="37"/>
      <c r="AM232" s="37"/>
      <c r="AN232" s="37"/>
      <c r="AO232" s="37"/>
      <c r="AP232" s="37"/>
      <c r="AQ232" s="37"/>
      <c r="AR232" s="37"/>
      <c r="AS232" s="37"/>
      <c r="AT232" s="37"/>
      <c r="AU232" s="37"/>
      <c r="AV232" s="37"/>
      <c r="AW232" s="37"/>
      <c r="AX232" s="37"/>
      <c r="AY232" s="37"/>
      <c r="AZ232" s="37"/>
      <c r="BA232" s="37"/>
      <c r="BB232" s="37"/>
      <c r="BC232" s="37"/>
      <c r="BD232" s="37"/>
      <c r="BE232" s="37"/>
      <c r="BF232" s="37"/>
      <c r="BG232" s="37"/>
      <c r="BH232" s="37"/>
      <c r="BI232" s="37"/>
      <c r="BJ232" s="37"/>
      <c r="BK232" s="37"/>
      <c r="BL232" s="37"/>
      <c r="BM232" s="37"/>
      <c r="BN232" s="37"/>
      <c r="BO232" s="37"/>
      <c r="BP232" s="37"/>
      <c r="BQ232" s="38"/>
      <c r="BR232" s="38"/>
      <c r="BS232" s="37"/>
    </row>
    <row r="233" spans="1:71">
      <c r="A233" s="37"/>
      <c r="B233" s="37"/>
      <c r="C233" s="36"/>
      <c r="D233" s="36"/>
      <c r="E233" s="37"/>
      <c r="F233" s="37"/>
      <c r="G233" s="37"/>
      <c r="H233" s="37"/>
      <c r="I233" s="37"/>
      <c r="J233" s="37"/>
      <c r="K233" s="37"/>
      <c r="L233" s="37"/>
      <c r="M233" s="37"/>
      <c r="N233" s="37"/>
      <c r="O233" s="37"/>
      <c r="P233" s="37"/>
      <c r="Q233" s="37"/>
      <c r="R233" s="37"/>
      <c r="S233" s="37"/>
      <c r="T233" s="37"/>
      <c r="U233" s="37"/>
      <c r="V233" s="37"/>
      <c r="W233" s="37"/>
      <c r="X233" s="37"/>
      <c r="Y233" s="37"/>
      <c r="Z233" s="37"/>
      <c r="AA233" s="37"/>
      <c r="AB233" s="37"/>
      <c r="AC233" s="37"/>
      <c r="AD233" s="37"/>
      <c r="AE233" s="37"/>
      <c r="AF233" s="37"/>
      <c r="AG233" s="37"/>
      <c r="AH233" s="37"/>
      <c r="AI233" s="37"/>
      <c r="AJ233" s="37"/>
      <c r="AK233" s="37"/>
      <c r="AL233" s="37"/>
      <c r="AM233" s="37"/>
      <c r="AN233" s="37"/>
      <c r="AO233" s="37"/>
      <c r="AP233" s="37"/>
      <c r="AQ233" s="37"/>
      <c r="AR233" s="37"/>
      <c r="AS233" s="37"/>
      <c r="AT233" s="37"/>
      <c r="AU233" s="37"/>
      <c r="AV233" s="37"/>
      <c r="AW233" s="37"/>
      <c r="AX233" s="37"/>
      <c r="AY233" s="37"/>
      <c r="AZ233" s="37"/>
      <c r="BA233" s="37"/>
      <c r="BB233" s="37"/>
      <c r="BC233" s="37"/>
      <c r="BD233" s="37"/>
      <c r="BE233" s="37"/>
      <c r="BF233" s="37"/>
      <c r="BG233" s="37"/>
      <c r="BH233" s="37"/>
      <c r="BI233" s="37"/>
      <c r="BJ233" s="37"/>
      <c r="BK233" s="37"/>
      <c r="BL233" s="37"/>
      <c r="BM233" s="37"/>
      <c r="BN233" s="37"/>
      <c r="BO233" s="37"/>
      <c r="BP233" s="37"/>
      <c r="BQ233" s="38"/>
      <c r="BR233" s="38"/>
      <c r="BS233" s="37"/>
    </row>
    <row r="234" spans="1:71">
      <c r="A234" s="37"/>
      <c r="B234" s="37"/>
      <c r="C234" s="36"/>
      <c r="D234" s="36"/>
      <c r="E234" s="37"/>
      <c r="F234" s="37"/>
      <c r="G234" s="37"/>
      <c r="H234" s="37"/>
      <c r="I234" s="37"/>
      <c r="J234" s="37"/>
      <c r="K234" s="37"/>
      <c r="L234" s="37"/>
      <c r="M234" s="37"/>
      <c r="N234" s="37"/>
      <c r="O234" s="37"/>
      <c r="P234" s="37"/>
      <c r="Q234" s="37"/>
      <c r="R234" s="37"/>
      <c r="S234" s="37"/>
      <c r="T234" s="37"/>
      <c r="U234" s="37"/>
      <c r="V234" s="37"/>
      <c r="W234" s="37"/>
      <c r="X234" s="37"/>
      <c r="Y234" s="37"/>
      <c r="Z234" s="37"/>
      <c r="AA234" s="37"/>
      <c r="AB234" s="37"/>
      <c r="AC234" s="37"/>
      <c r="AD234" s="37"/>
      <c r="AE234" s="37"/>
      <c r="AF234" s="37"/>
      <c r="AG234" s="37"/>
      <c r="AH234" s="37"/>
      <c r="AI234" s="37"/>
      <c r="AJ234" s="37"/>
      <c r="AK234" s="37"/>
      <c r="AL234" s="37"/>
      <c r="AM234" s="37"/>
      <c r="AN234" s="37"/>
      <c r="AO234" s="37"/>
      <c r="AP234" s="37"/>
      <c r="AQ234" s="37"/>
      <c r="AR234" s="37"/>
      <c r="AS234" s="37"/>
      <c r="AT234" s="37"/>
      <c r="AU234" s="37"/>
      <c r="AV234" s="37"/>
      <c r="AW234" s="37"/>
      <c r="AX234" s="37"/>
      <c r="AY234" s="37"/>
      <c r="AZ234" s="37"/>
      <c r="BA234" s="37"/>
      <c r="BB234" s="37"/>
      <c r="BC234" s="37"/>
      <c r="BD234" s="37"/>
      <c r="BE234" s="37"/>
      <c r="BF234" s="37"/>
      <c r="BG234" s="37"/>
      <c r="BH234" s="37"/>
      <c r="BI234" s="37"/>
      <c r="BJ234" s="37"/>
      <c r="BK234" s="37"/>
      <c r="BL234" s="37"/>
      <c r="BM234" s="37"/>
      <c r="BN234" s="37"/>
      <c r="BO234" s="37"/>
      <c r="BP234" s="37"/>
      <c r="BQ234" s="38"/>
      <c r="BR234" s="38"/>
      <c r="BS234" s="37"/>
    </row>
    <row r="235" spans="1:71">
      <c r="A235" s="37"/>
      <c r="B235" s="37"/>
      <c r="C235" s="36"/>
      <c r="D235" s="36"/>
      <c r="E235" s="37"/>
      <c r="F235" s="37"/>
      <c r="G235" s="37"/>
      <c r="H235" s="37"/>
      <c r="I235" s="37"/>
      <c r="J235" s="37"/>
      <c r="K235" s="37"/>
      <c r="L235" s="37"/>
      <c r="M235" s="37"/>
      <c r="N235" s="37"/>
      <c r="O235" s="37"/>
      <c r="P235" s="37"/>
      <c r="Q235" s="37"/>
      <c r="R235" s="37"/>
      <c r="S235" s="37"/>
      <c r="T235" s="37"/>
      <c r="U235" s="37"/>
      <c r="V235" s="37"/>
      <c r="W235" s="37"/>
      <c r="X235" s="37"/>
      <c r="Y235" s="37"/>
      <c r="Z235" s="37"/>
      <c r="AA235" s="37"/>
      <c r="AB235" s="37"/>
      <c r="AC235" s="37"/>
      <c r="AD235" s="37"/>
      <c r="AE235" s="37"/>
      <c r="AF235" s="37"/>
      <c r="AG235" s="37"/>
      <c r="AH235" s="37"/>
      <c r="AI235" s="37"/>
      <c r="AJ235" s="37"/>
      <c r="AK235" s="37"/>
      <c r="AL235" s="37"/>
      <c r="AM235" s="37"/>
      <c r="AN235" s="37"/>
      <c r="AO235" s="37"/>
      <c r="AP235" s="37"/>
      <c r="AQ235" s="37"/>
      <c r="AR235" s="37"/>
      <c r="AS235" s="37"/>
      <c r="AT235" s="37"/>
      <c r="AU235" s="37"/>
      <c r="AV235" s="37"/>
      <c r="AW235" s="37"/>
      <c r="AX235" s="37"/>
      <c r="AY235" s="37"/>
      <c r="AZ235" s="37"/>
      <c r="BA235" s="37"/>
      <c r="BB235" s="37"/>
      <c r="BC235" s="37"/>
      <c r="BD235" s="37"/>
      <c r="BE235" s="37"/>
      <c r="BF235" s="37"/>
      <c r="BG235" s="37"/>
      <c r="BH235" s="37"/>
      <c r="BI235" s="37"/>
      <c r="BJ235" s="37"/>
      <c r="BK235" s="37"/>
      <c r="BL235" s="37"/>
      <c r="BM235" s="37"/>
      <c r="BN235" s="37"/>
      <c r="BO235" s="37"/>
      <c r="BP235" s="37"/>
      <c r="BQ235" s="38"/>
      <c r="BR235" s="38"/>
      <c r="BS235" s="37"/>
    </row>
    <row r="236" spans="1:71">
      <c r="A236" s="37"/>
      <c r="B236" s="37"/>
      <c r="C236" s="36"/>
      <c r="D236" s="36"/>
      <c r="E236" s="37"/>
      <c r="F236" s="37"/>
      <c r="G236" s="37"/>
      <c r="H236" s="37"/>
      <c r="I236" s="37"/>
      <c r="J236" s="37"/>
      <c r="K236" s="37"/>
      <c r="L236" s="37"/>
      <c r="M236" s="37"/>
      <c r="N236" s="37"/>
      <c r="O236" s="37"/>
      <c r="P236" s="37"/>
      <c r="Q236" s="37"/>
      <c r="R236" s="37"/>
      <c r="S236" s="37"/>
      <c r="T236" s="37"/>
      <c r="U236" s="37"/>
      <c r="V236" s="37"/>
      <c r="W236" s="37"/>
      <c r="X236" s="37"/>
      <c r="Y236" s="37"/>
      <c r="Z236" s="37"/>
      <c r="AA236" s="37"/>
      <c r="AB236" s="37"/>
      <c r="AC236" s="37"/>
      <c r="AD236" s="37"/>
      <c r="AE236" s="37"/>
      <c r="AF236" s="37"/>
      <c r="AG236" s="37"/>
      <c r="AH236" s="37"/>
      <c r="AI236" s="37"/>
      <c r="AJ236" s="37"/>
      <c r="AK236" s="37"/>
      <c r="AL236" s="37"/>
      <c r="AM236" s="37"/>
      <c r="AN236" s="37"/>
      <c r="AO236" s="37"/>
      <c r="AP236" s="37"/>
      <c r="AQ236" s="37"/>
      <c r="AR236" s="37"/>
      <c r="AS236" s="37"/>
      <c r="AT236" s="37"/>
      <c r="AU236" s="37"/>
      <c r="AV236" s="37"/>
      <c r="AW236" s="37"/>
      <c r="AX236" s="37"/>
      <c r="AY236" s="37"/>
      <c r="AZ236" s="37"/>
      <c r="BA236" s="37"/>
      <c r="BB236" s="37"/>
      <c r="BC236" s="37"/>
      <c r="BD236" s="37"/>
      <c r="BE236" s="37"/>
      <c r="BF236" s="37"/>
      <c r="BG236" s="37"/>
      <c r="BH236" s="37"/>
      <c r="BI236" s="37"/>
      <c r="BJ236" s="37"/>
      <c r="BK236" s="37"/>
      <c r="BL236" s="37"/>
      <c r="BM236" s="37"/>
      <c r="BN236" s="37"/>
      <c r="BO236" s="37"/>
      <c r="BP236" s="37"/>
      <c r="BQ236" s="38"/>
      <c r="BR236" s="38"/>
      <c r="BS236" s="37"/>
    </row>
    <row r="237" spans="1:71">
      <c r="A237" s="37"/>
      <c r="B237" s="37"/>
      <c r="C237" s="36"/>
      <c r="D237" s="36"/>
      <c r="E237" s="37"/>
      <c r="F237" s="37"/>
      <c r="G237" s="37"/>
      <c r="H237" s="37"/>
      <c r="I237" s="37"/>
      <c r="J237" s="37"/>
      <c r="K237" s="37"/>
      <c r="L237" s="37"/>
      <c r="M237" s="37"/>
      <c r="N237" s="37"/>
      <c r="O237" s="37"/>
      <c r="P237" s="37"/>
      <c r="Q237" s="37"/>
      <c r="R237" s="37"/>
      <c r="S237" s="37"/>
      <c r="T237" s="37"/>
      <c r="U237" s="37"/>
      <c r="V237" s="37"/>
      <c r="W237" s="37"/>
      <c r="X237" s="37"/>
      <c r="Y237" s="37"/>
      <c r="Z237" s="37"/>
      <c r="AA237" s="37"/>
      <c r="AB237" s="37"/>
      <c r="AC237" s="37"/>
      <c r="AD237" s="37"/>
      <c r="AE237" s="37"/>
      <c r="AF237" s="37"/>
      <c r="AG237" s="37"/>
      <c r="AH237" s="37"/>
      <c r="AI237" s="37"/>
      <c r="AJ237" s="37"/>
      <c r="AK237" s="37"/>
      <c r="AL237" s="37"/>
      <c r="AM237" s="37"/>
      <c r="AN237" s="37"/>
      <c r="AO237" s="37"/>
      <c r="AP237" s="37"/>
      <c r="AQ237" s="37"/>
      <c r="AR237" s="37"/>
      <c r="AS237" s="37"/>
      <c r="AT237" s="37"/>
      <c r="AU237" s="37"/>
      <c r="AV237" s="37"/>
      <c r="AW237" s="37"/>
      <c r="AX237" s="37"/>
      <c r="AY237" s="37"/>
      <c r="AZ237" s="37"/>
      <c r="BA237" s="37"/>
      <c r="BB237" s="37"/>
      <c r="BC237" s="37"/>
      <c r="BD237" s="37"/>
      <c r="BE237" s="37"/>
      <c r="BF237" s="37"/>
      <c r="BG237" s="37"/>
      <c r="BH237" s="37"/>
      <c r="BI237" s="37"/>
      <c r="BJ237" s="37"/>
      <c r="BK237" s="37"/>
      <c r="BL237" s="37"/>
      <c r="BM237" s="37"/>
      <c r="BN237" s="37"/>
      <c r="BO237" s="37"/>
      <c r="BP237" s="37"/>
      <c r="BQ237" s="38"/>
      <c r="BR237" s="38"/>
      <c r="BS237" s="37"/>
    </row>
    <row r="238" spans="1:71">
      <c r="A238" s="37"/>
      <c r="B238" s="37"/>
      <c r="C238" s="36"/>
      <c r="D238" s="36"/>
      <c r="E238" s="37"/>
      <c r="F238" s="37"/>
      <c r="G238" s="37"/>
      <c r="H238" s="37"/>
      <c r="I238" s="37"/>
      <c r="J238" s="37"/>
      <c r="K238" s="37"/>
      <c r="L238" s="37"/>
      <c r="M238" s="37"/>
      <c r="N238" s="37"/>
      <c r="O238" s="37"/>
      <c r="P238" s="37"/>
      <c r="Q238" s="37"/>
      <c r="R238" s="37"/>
      <c r="S238" s="37"/>
      <c r="T238" s="37"/>
      <c r="U238" s="37"/>
      <c r="V238" s="37"/>
      <c r="W238" s="37"/>
      <c r="X238" s="37"/>
      <c r="Y238" s="37"/>
      <c r="Z238" s="37"/>
      <c r="AA238" s="37"/>
      <c r="AB238" s="37"/>
      <c r="AC238" s="37"/>
      <c r="AD238" s="37"/>
      <c r="AE238" s="37"/>
      <c r="AF238" s="37"/>
      <c r="AG238" s="37"/>
      <c r="AH238" s="37"/>
      <c r="AI238" s="37"/>
      <c r="AJ238" s="37"/>
      <c r="AK238" s="37"/>
      <c r="AL238" s="37"/>
      <c r="AM238" s="37"/>
      <c r="AN238" s="37"/>
      <c r="AO238" s="37"/>
      <c r="AP238" s="37"/>
      <c r="AQ238" s="37"/>
      <c r="AR238" s="37"/>
      <c r="AS238" s="37"/>
      <c r="AT238" s="37"/>
      <c r="AU238" s="37"/>
      <c r="AV238" s="37"/>
      <c r="AW238" s="37"/>
      <c r="AX238" s="37"/>
      <c r="AY238" s="37"/>
      <c r="AZ238" s="37"/>
      <c r="BA238" s="37"/>
      <c r="BB238" s="37"/>
      <c r="BC238" s="37"/>
      <c r="BD238" s="37"/>
      <c r="BE238" s="37"/>
      <c r="BF238" s="37"/>
      <c r="BG238" s="37"/>
      <c r="BH238" s="37"/>
      <c r="BI238" s="37"/>
      <c r="BJ238" s="37"/>
      <c r="BK238" s="37"/>
      <c r="BL238" s="37"/>
      <c r="BM238" s="37"/>
      <c r="BN238" s="37"/>
      <c r="BO238" s="37"/>
      <c r="BP238" s="37"/>
      <c r="BQ238" s="38"/>
      <c r="BR238" s="38"/>
      <c r="BS238" s="37"/>
    </row>
    <row r="239" spans="1:71">
      <c r="A239" s="37"/>
      <c r="B239" s="37"/>
      <c r="C239" s="36"/>
      <c r="D239" s="36"/>
      <c r="E239" s="37"/>
      <c r="F239" s="37"/>
      <c r="G239" s="37"/>
      <c r="H239" s="37"/>
      <c r="I239" s="37"/>
      <c r="J239" s="37"/>
      <c r="K239" s="37"/>
      <c r="L239" s="37"/>
      <c r="M239" s="37"/>
      <c r="N239" s="37"/>
      <c r="O239" s="37"/>
      <c r="P239" s="37"/>
      <c r="Q239" s="37"/>
      <c r="R239" s="37"/>
      <c r="S239" s="37"/>
      <c r="T239" s="37"/>
      <c r="U239" s="37"/>
      <c r="V239" s="37"/>
      <c r="W239" s="37"/>
      <c r="X239" s="37"/>
      <c r="Y239" s="37"/>
      <c r="Z239" s="37"/>
      <c r="AA239" s="37"/>
      <c r="AB239" s="37"/>
      <c r="AC239" s="37"/>
      <c r="AD239" s="37"/>
      <c r="AE239" s="37"/>
      <c r="AF239" s="37"/>
      <c r="AG239" s="37"/>
      <c r="AH239" s="37"/>
      <c r="AI239" s="37"/>
      <c r="AJ239" s="37"/>
      <c r="AK239" s="37"/>
      <c r="AL239" s="37"/>
      <c r="AM239" s="37"/>
      <c r="AN239" s="37"/>
      <c r="AO239" s="37"/>
      <c r="AP239" s="37"/>
      <c r="AQ239" s="37"/>
      <c r="AR239" s="37"/>
      <c r="AS239" s="37"/>
      <c r="AT239" s="37"/>
      <c r="AU239" s="37"/>
      <c r="AV239" s="37"/>
      <c r="AW239" s="37"/>
      <c r="AX239" s="37"/>
      <c r="AY239" s="37"/>
      <c r="AZ239" s="37"/>
      <c r="BA239" s="37"/>
      <c r="BB239" s="37"/>
      <c r="BC239" s="37"/>
      <c r="BD239" s="37"/>
      <c r="BE239" s="37"/>
      <c r="BF239" s="37"/>
      <c r="BG239" s="37"/>
      <c r="BH239" s="37"/>
      <c r="BI239" s="37"/>
      <c r="BJ239" s="37"/>
      <c r="BK239" s="37"/>
      <c r="BL239" s="37"/>
      <c r="BM239" s="37"/>
      <c r="BN239" s="37"/>
      <c r="BO239" s="37"/>
      <c r="BP239" s="37"/>
      <c r="BQ239" s="38"/>
      <c r="BR239" s="38"/>
      <c r="BS239" s="37"/>
    </row>
    <row r="240" spans="1:71">
      <c r="A240" s="37"/>
      <c r="B240" s="37"/>
      <c r="C240" s="36"/>
      <c r="D240" s="36"/>
      <c r="E240" s="37"/>
      <c r="F240" s="37"/>
      <c r="G240" s="37"/>
      <c r="H240" s="37"/>
      <c r="I240" s="37"/>
      <c r="J240" s="37"/>
      <c r="K240" s="37"/>
      <c r="L240" s="37"/>
      <c r="M240" s="37"/>
      <c r="N240" s="37"/>
      <c r="O240" s="37"/>
      <c r="P240" s="37"/>
      <c r="Q240" s="37"/>
      <c r="R240" s="37"/>
      <c r="S240" s="37"/>
      <c r="T240" s="37"/>
      <c r="U240" s="37"/>
      <c r="V240" s="37"/>
      <c r="W240" s="37"/>
      <c r="X240" s="37"/>
      <c r="Y240" s="37"/>
      <c r="Z240" s="37"/>
      <c r="AA240" s="37"/>
      <c r="AB240" s="37"/>
      <c r="AC240" s="37"/>
      <c r="AD240" s="37"/>
      <c r="AE240" s="37"/>
      <c r="AF240" s="37"/>
      <c r="AG240" s="37"/>
      <c r="AH240" s="37"/>
      <c r="AI240" s="37"/>
      <c r="AJ240" s="37"/>
      <c r="AK240" s="37"/>
      <c r="AL240" s="37"/>
      <c r="AM240" s="37"/>
      <c r="AN240" s="37"/>
      <c r="AO240" s="37"/>
      <c r="AP240" s="37"/>
      <c r="AQ240" s="37"/>
      <c r="AR240" s="37"/>
      <c r="AS240" s="37"/>
      <c r="AT240" s="37"/>
      <c r="AU240" s="37"/>
      <c r="AV240" s="37"/>
      <c r="AW240" s="37"/>
      <c r="AX240" s="37"/>
      <c r="AY240" s="37"/>
      <c r="AZ240" s="37"/>
      <c r="BA240" s="37"/>
      <c r="BB240" s="37"/>
      <c r="BC240" s="37"/>
      <c r="BD240" s="37"/>
      <c r="BE240" s="37"/>
      <c r="BF240" s="37"/>
      <c r="BG240" s="37"/>
      <c r="BH240" s="37"/>
      <c r="BI240" s="37"/>
      <c r="BJ240" s="37"/>
      <c r="BK240" s="37"/>
      <c r="BL240" s="37"/>
      <c r="BM240" s="37"/>
      <c r="BN240" s="37"/>
      <c r="BO240" s="37"/>
      <c r="BP240" s="37"/>
      <c r="BQ240" s="38"/>
      <c r="BR240" s="38"/>
      <c r="BS240" s="37"/>
    </row>
    <row r="241" spans="1:71">
      <c r="A241" s="37"/>
      <c r="B241" s="37"/>
      <c r="C241" s="36"/>
      <c r="D241" s="36"/>
      <c r="E241" s="37"/>
      <c r="F241" s="37"/>
      <c r="G241" s="37"/>
      <c r="H241" s="37"/>
      <c r="I241" s="37"/>
      <c r="J241" s="37"/>
      <c r="K241" s="37"/>
      <c r="L241" s="37"/>
      <c r="M241" s="37"/>
      <c r="N241" s="37"/>
      <c r="O241" s="37"/>
      <c r="P241" s="37"/>
      <c r="Q241" s="37"/>
      <c r="R241" s="37"/>
      <c r="S241" s="37"/>
      <c r="T241" s="37"/>
      <c r="U241" s="37"/>
      <c r="V241" s="37"/>
      <c r="W241" s="37"/>
      <c r="X241" s="37"/>
      <c r="Y241" s="37"/>
      <c r="Z241" s="37"/>
      <c r="AA241" s="37"/>
      <c r="AB241" s="37"/>
      <c r="AC241" s="37"/>
      <c r="AD241" s="37"/>
      <c r="AE241" s="37"/>
      <c r="AF241" s="37"/>
      <c r="AG241" s="37"/>
      <c r="AH241" s="37"/>
      <c r="AI241" s="37"/>
      <c r="AJ241" s="37"/>
      <c r="AK241" s="37"/>
      <c r="AL241" s="37"/>
      <c r="AM241" s="37"/>
      <c r="AN241" s="37"/>
      <c r="AO241" s="37"/>
      <c r="AP241" s="37"/>
      <c r="AQ241" s="37"/>
      <c r="AR241" s="37"/>
      <c r="AS241" s="37"/>
      <c r="AT241" s="37"/>
      <c r="AU241" s="37"/>
      <c r="AV241" s="37"/>
      <c r="AW241" s="37"/>
      <c r="AX241" s="37"/>
      <c r="AY241" s="37"/>
      <c r="AZ241" s="37"/>
      <c r="BA241" s="37"/>
      <c r="BB241" s="37"/>
      <c r="BC241" s="37"/>
      <c r="BD241" s="37"/>
      <c r="BE241" s="37"/>
      <c r="BF241" s="37"/>
      <c r="BG241" s="37"/>
      <c r="BH241" s="37"/>
      <c r="BI241" s="37"/>
      <c r="BJ241" s="37"/>
      <c r="BK241" s="37"/>
      <c r="BL241" s="37"/>
      <c r="BM241" s="37"/>
      <c r="BN241" s="37"/>
      <c r="BO241" s="37"/>
      <c r="BP241" s="37"/>
      <c r="BQ241" s="38"/>
      <c r="BR241" s="38"/>
      <c r="BS241" s="37"/>
    </row>
    <row r="242" spans="1:71">
      <c r="A242" s="37"/>
      <c r="B242" s="37"/>
      <c r="C242" s="36"/>
      <c r="D242" s="36"/>
      <c r="E242" s="37"/>
      <c r="F242" s="37"/>
      <c r="G242" s="37"/>
      <c r="H242" s="37"/>
      <c r="I242" s="37"/>
      <c r="J242" s="37"/>
      <c r="K242" s="37"/>
      <c r="L242" s="37"/>
      <c r="M242" s="37"/>
      <c r="N242" s="37"/>
      <c r="O242" s="37"/>
      <c r="P242" s="37"/>
      <c r="Q242" s="37"/>
      <c r="R242" s="37"/>
      <c r="S242" s="37"/>
      <c r="T242" s="37"/>
      <c r="U242" s="37"/>
      <c r="V242" s="37"/>
      <c r="W242" s="37"/>
      <c r="X242" s="37"/>
      <c r="Y242" s="37"/>
      <c r="Z242" s="37"/>
      <c r="AA242" s="37"/>
      <c r="AB242" s="37"/>
      <c r="AC242" s="37"/>
      <c r="AD242" s="37"/>
      <c r="AE242" s="37"/>
      <c r="AF242" s="37"/>
      <c r="AG242" s="37"/>
      <c r="AH242" s="37"/>
      <c r="AI242" s="37"/>
      <c r="AJ242" s="37"/>
      <c r="AK242" s="37"/>
      <c r="AL242" s="37"/>
      <c r="AM242" s="37"/>
      <c r="AN242" s="37"/>
      <c r="AO242" s="37"/>
      <c r="AP242" s="37"/>
      <c r="AQ242" s="37"/>
      <c r="AR242" s="37"/>
      <c r="AS242" s="37"/>
      <c r="AT242" s="37"/>
      <c r="AU242" s="37"/>
      <c r="AV242" s="37"/>
      <c r="AW242" s="37"/>
      <c r="AX242" s="37"/>
      <c r="AY242" s="37"/>
      <c r="AZ242" s="37"/>
      <c r="BA242" s="37"/>
      <c r="BB242" s="37"/>
      <c r="BC242" s="37"/>
      <c r="BD242" s="37"/>
      <c r="BE242" s="37"/>
      <c r="BF242" s="37"/>
      <c r="BG242" s="37"/>
      <c r="BH242" s="37"/>
      <c r="BI242" s="37"/>
      <c r="BJ242" s="37"/>
      <c r="BK242" s="37"/>
      <c r="BL242" s="37"/>
      <c r="BM242" s="37"/>
      <c r="BN242" s="37"/>
      <c r="BO242" s="37"/>
      <c r="BP242" s="37"/>
      <c r="BQ242" s="38"/>
      <c r="BR242" s="38"/>
      <c r="BS242" s="37"/>
    </row>
    <row r="243" spans="1:71">
      <c r="A243" s="37"/>
      <c r="B243" s="37"/>
      <c r="C243" s="36"/>
      <c r="D243" s="36"/>
      <c r="E243" s="37"/>
      <c r="F243" s="37"/>
      <c r="G243" s="37"/>
      <c r="H243" s="37"/>
      <c r="I243" s="37"/>
      <c r="J243" s="37"/>
      <c r="K243" s="37"/>
      <c r="L243" s="37"/>
      <c r="M243" s="37"/>
      <c r="N243" s="37"/>
      <c r="O243" s="37"/>
      <c r="P243" s="37"/>
      <c r="Q243" s="37"/>
      <c r="R243" s="37"/>
      <c r="S243" s="37"/>
      <c r="T243" s="37"/>
      <c r="U243" s="37"/>
      <c r="V243" s="37"/>
      <c r="W243" s="37"/>
      <c r="X243" s="37"/>
      <c r="Y243" s="37"/>
      <c r="Z243" s="37"/>
      <c r="AA243" s="37"/>
      <c r="AB243" s="37"/>
      <c r="AC243" s="37"/>
      <c r="AD243" s="37"/>
      <c r="AE243" s="37"/>
      <c r="AF243" s="37"/>
      <c r="AG243" s="37"/>
      <c r="AH243" s="37"/>
      <c r="AI243" s="37"/>
      <c r="AJ243" s="37"/>
      <c r="AK243" s="37"/>
      <c r="AL243" s="37"/>
      <c r="AM243" s="37"/>
      <c r="AN243" s="37"/>
      <c r="AO243" s="37"/>
      <c r="AP243" s="37"/>
      <c r="AQ243" s="37"/>
      <c r="AR243" s="37"/>
      <c r="AS243" s="37"/>
      <c r="AT243" s="37"/>
      <c r="AU243" s="37"/>
      <c r="AV243" s="37"/>
      <c r="AW243" s="37"/>
      <c r="AX243" s="37"/>
      <c r="AY243" s="37"/>
      <c r="AZ243" s="37"/>
      <c r="BA243" s="37"/>
      <c r="BB243" s="37"/>
      <c r="BC243" s="37"/>
      <c r="BD243" s="37"/>
      <c r="BE243" s="37"/>
      <c r="BF243" s="37"/>
      <c r="BG243" s="37"/>
      <c r="BH243" s="37"/>
      <c r="BI243" s="37"/>
      <c r="BJ243" s="37"/>
      <c r="BK243" s="37"/>
      <c r="BL243" s="37"/>
      <c r="BM243" s="37"/>
      <c r="BN243" s="37"/>
      <c r="BO243" s="37"/>
      <c r="BP243" s="37"/>
      <c r="BQ243" s="38"/>
      <c r="BR243" s="38"/>
      <c r="BS243" s="37"/>
    </row>
    <row r="244" spans="1:71">
      <c r="A244" s="37"/>
      <c r="B244" s="37"/>
      <c r="C244" s="36"/>
      <c r="D244" s="36"/>
      <c r="E244" s="37"/>
      <c r="F244" s="37"/>
      <c r="G244" s="37"/>
      <c r="H244" s="37"/>
      <c r="I244" s="37"/>
      <c r="J244" s="37"/>
      <c r="K244" s="37"/>
      <c r="L244" s="37"/>
      <c r="M244" s="37"/>
      <c r="N244" s="37"/>
      <c r="O244" s="37"/>
      <c r="P244" s="37"/>
      <c r="Q244" s="37"/>
      <c r="R244" s="37"/>
      <c r="S244" s="37"/>
      <c r="T244" s="37"/>
      <c r="U244" s="37"/>
      <c r="V244" s="37"/>
      <c r="W244" s="37"/>
      <c r="X244" s="37"/>
      <c r="Y244" s="37"/>
      <c r="Z244" s="37"/>
      <c r="AA244" s="37"/>
      <c r="AB244" s="37"/>
      <c r="AC244" s="37"/>
      <c r="AD244" s="37"/>
      <c r="AE244" s="37"/>
      <c r="AF244" s="37"/>
      <c r="AG244" s="37"/>
      <c r="AH244" s="37"/>
      <c r="AI244" s="37"/>
      <c r="AJ244" s="37"/>
      <c r="AK244" s="37"/>
      <c r="AL244" s="37"/>
      <c r="AM244" s="37"/>
      <c r="AN244" s="37"/>
      <c r="AO244" s="37"/>
      <c r="AP244" s="37"/>
      <c r="AQ244" s="37"/>
      <c r="AR244" s="37"/>
      <c r="AS244" s="37"/>
      <c r="AT244" s="37"/>
      <c r="AU244" s="37"/>
      <c r="AV244" s="37"/>
      <c r="AW244" s="37"/>
      <c r="AX244" s="37"/>
      <c r="AY244" s="37"/>
      <c r="AZ244" s="37"/>
      <c r="BA244" s="37"/>
      <c r="BB244" s="37"/>
      <c r="BC244" s="37"/>
      <c r="BD244" s="37"/>
      <c r="BE244" s="37"/>
      <c r="BF244" s="37"/>
      <c r="BG244" s="37"/>
      <c r="BH244" s="37"/>
      <c r="BI244" s="37"/>
      <c r="BJ244" s="37"/>
      <c r="BK244" s="37"/>
      <c r="BL244" s="37"/>
      <c r="BM244" s="37"/>
      <c r="BN244" s="37"/>
      <c r="BO244" s="37"/>
      <c r="BP244" s="37"/>
      <c r="BQ244" s="38"/>
      <c r="BR244" s="38"/>
      <c r="BS244" s="37"/>
    </row>
    <row r="245" spans="1:71">
      <c r="A245" s="37"/>
      <c r="B245" s="37"/>
      <c r="C245" s="36"/>
      <c r="D245" s="36"/>
      <c r="E245" s="37"/>
      <c r="F245" s="37"/>
      <c r="G245" s="37"/>
      <c r="H245" s="37"/>
      <c r="I245" s="37"/>
      <c r="J245" s="37"/>
      <c r="K245" s="37"/>
      <c r="L245" s="37"/>
      <c r="M245" s="37"/>
      <c r="N245" s="37"/>
      <c r="O245" s="37"/>
      <c r="P245" s="37"/>
      <c r="Q245" s="37"/>
      <c r="R245" s="37"/>
      <c r="S245" s="37"/>
      <c r="T245" s="37"/>
      <c r="U245" s="37"/>
      <c r="V245" s="37"/>
      <c r="W245" s="37"/>
      <c r="X245" s="37"/>
      <c r="Y245" s="37"/>
      <c r="Z245" s="37"/>
      <c r="AA245" s="37"/>
      <c r="AB245" s="37"/>
      <c r="AC245" s="37"/>
      <c r="AD245" s="37"/>
      <c r="AE245" s="37"/>
      <c r="AF245" s="37"/>
      <c r="AG245" s="37"/>
      <c r="AH245" s="37"/>
      <c r="AI245" s="37"/>
      <c r="AJ245" s="37"/>
      <c r="AK245" s="37"/>
      <c r="AL245" s="37"/>
      <c r="AM245" s="37"/>
      <c r="AN245" s="37"/>
      <c r="AO245" s="37"/>
      <c r="AP245" s="37"/>
      <c r="AQ245" s="37"/>
      <c r="AR245" s="37"/>
      <c r="AS245" s="37"/>
      <c r="AT245" s="37"/>
      <c r="AU245" s="37"/>
      <c r="AV245" s="37"/>
      <c r="AW245" s="37"/>
      <c r="AX245" s="37"/>
      <c r="AY245" s="37"/>
      <c r="AZ245" s="37"/>
      <c r="BA245" s="37"/>
      <c r="BB245" s="37"/>
      <c r="BC245" s="37"/>
      <c r="BD245" s="37"/>
      <c r="BE245" s="37"/>
      <c r="BF245" s="37"/>
      <c r="BG245" s="37"/>
      <c r="BH245" s="37"/>
      <c r="BI245" s="37"/>
      <c r="BJ245" s="37"/>
      <c r="BK245" s="37"/>
      <c r="BL245" s="37"/>
      <c r="BM245" s="37"/>
      <c r="BN245" s="37"/>
      <c r="BO245" s="37"/>
      <c r="BP245" s="37"/>
      <c r="BQ245" s="38"/>
      <c r="BR245" s="38"/>
      <c r="BS245" s="37"/>
    </row>
    <row r="246" spans="1:71">
      <c r="A246" s="37"/>
      <c r="B246" s="37"/>
      <c r="C246" s="36"/>
      <c r="D246" s="36"/>
      <c r="E246" s="37"/>
      <c r="F246" s="37"/>
      <c r="G246" s="37"/>
      <c r="H246" s="37"/>
      <c r="I246" s="37"/>
      <c r="J246" s="37"/>
      <c r="K246" s="37"/>
      <c r="L246" s="37"/>
      <c r="M246" s="37"/>
      <c r="N246" s="37"/>
      <c r="O246" s="37"/>
      <c r="P246" s="37"/>
      <c r="Q246" s="37"/>
      <c r="R246" s="37"/>
      <c r="S246" s="37"/>
      <c r="T246" s="37"/>
      <c r="U246" s="37"/>
      <c r="V246" s="37"/>
      <c r="W246" s="37"/>
      <c r="X246" s="37"/>
      <c r="Y246" s="37"/>
      <c r="Z246" s="37"/>
      <c r="AA246" s="37"/>
      <c r="AB246" s="37"/>
      <c r="AC246" s="37"/>
      <c r="AD246" s="37"/>
      <c r="AE246" s="37"/>
      <c r="AF246" s="37"/>
      <c r="AG246" s="37"/>
      <c r="AH246" s="37"/>
      <c r="AI246" s="37"/>
      <c r="AJ246" s="37"/>
      <c r="AK246" s="37"/>
      <c r="AL246" s="37"/>
      <c r="AM246" s="37"/>
      <c r="AN246" s="37"/>
      <c r="AO246" s="37"/>
      <c r="AP246" s="37"/>
      <c r="AQ246" s="37"/>
      <c r="AR246" s="37"/>
      <c r="AS246" s="37"/>
      <c r="AT246" s="37"/>
      <c r="AU246" s="37"/>
      <c r="AV246" s="37"/>
      <c r="AW246" s="37"/>
      <c r="AX246" s="37"/>
      <c r="AY246" s="37"/>
      <c r="AZ246" s="37"/>
      <c r="BA246" s="37"/>
      <c r="BB246" s="37"/>
      <c r="BC246" s="37"/>
      <c r="BD246" s="37"/>
      <c r="BE246" s="37"/>
      <c r="BF246" s="37"/>
      <c r="BG246" s="37"/>
      <c r="BH246" s="37"/>
      <c r="BI246" s="37"/>
      <c r="BJ246" s="37"/>
      <c r="BK246" s="37"/>
      <c r="BL246" s="37"/>
      <c r="BM246" s="37"/>
      <c r="BN246" s="37"/>
      <c r="BO246" s="37"/>
      <c r="BP246" s="37"/>
      <c r="BQ246" s="38"/>
      <c r="BR246" s="38"/>
      <c r="BS246" s="37"/>
    </row>
    <row r="247" spans="1:71">
      <c r="A247" s="37"/>
      <c r="B247" s="37"/>
      <c r="C247" s="36"/>
      <c r="D247" s="36"/>
      <c r="E247" s="37"/>
      <c r="F247" s="37"/>
      <c r="G247" s="37"/>
      <c r="H247" s="37"/>
      <c r="I247" s="37"/>
      <c r="J247" s="37"/>
      <c r="K247" s="37"/>
      <c r="L247" s="37"/>
      <c r="M247" s="37"/>
      <c r="N247" s="37"/>
      <c r="O247" s="37"/>
      <c r="P247" s="37"/>
      <c r="Q247" s="37"/>
      <c r="R247" s="37"/>
      <c r="S247" s="37"/>
      <c r="T247" s="37"/>
      <c r="U247" s="37"/>
      <c r="V247" s="37"/>
      <c r="W247" s="37"/>
      <c r="X247" s="37"/>
      <c r="Y247" s="37"/>
      <c r="Z247" s="37"/>
      <c r="AA247" s="37"/>
      <c r="AB247" s="37"/>
      <c r="AC247" s="37"/>
      <c r="AD247" s="37"/>
      <c r="AE247" s="37"/>
      <c r="AF247" s="37"/>
      <c r="AG247" s="37"/>
      <c r="AH247" s="37"/>
      <c r="AI247" s="37"/>
      <c r="AJ247" s="37"/>
      <c r="AK247" s="37"/>
      <c r="AL247" s="37"/>
      <c r="AM247" s="37"/>
      <c r="AN247" s="37"/>
      <c r="AO247" s="37"/>
      <c r="AP247" s="37"/>
      <c r="AQ247" s="37"/>
      <c r="AR247" s="37"/>
      <c r="AS247" s="37"/>
      <c r="AT247" s="37"/>
      <c r="AU247" s="37"/>
      <c r="AV247" s="37"/>
      <c r="AW247" s="37"/>
      <c r="AX247" s="37"/>
      <c r="AY247" s="37"/>
      <c r="AZ247" s="37"/>
      <c r="BA247" s="37"/>
      <c r="BB247" s="37"/>
      <c r="BC247" s="37"/>
      <c r="BD247" s="37"/>
      <c r="BE247" s="37"/>
      <c r="BF247" s="37"/>
      <c r="BG247" s="37"/>
      <c r="BH247" s="37"/>
      <c r="BI247" s="37"/>
      <c r="BJ247" s="37"/>
      <c r="BK247" s="37"/>
      <c r="BL247" s="37"/>
      <c r="BM247" s="37"/>
      <c r="BN247" s="37"/>
      <c r="BO247" s="37"/>
      <c r="BP247" s="37"/>
      <c r="BQ247" s="38"/>
      <c r="BR247" s="38"/>
      <c r="BS247" s="37"/>
    </row>
    <row r="248" spans="1:71">
      <c r="A248" s="37"/>
      <c r="B248" s="37"/>
      <c r="C248" s="36"/>
      <c r="D248" s="36"/>
      <c r="E248" s="37"/>
      <c r="F248" s="37"/>
      <c r="G248" s="37"/>
      <c r="H248" s="37"/>
      <c r="I248" s="37"/>
      <c r="J248" s="37"/>
      <c r="K248" s="37"/>
      <c r="L248" s="37"/>
      <c r="M248" s="37"/>
      <c r="N248" s="37"/>
      <c r="O248" s="37"/>
      <c r="P248" s="37"/>
      <c r="Q248" s="37"/>
      <c r="R248" s="37"/>
      <c r="S248" s="37"/>
      <c r="T248" s="37"/>
      <c r="U248" s="37"/>
      <c r="V248" s="37"/>
      <c r="W248" s="37"/>
      <c r="X248" s="37"/>
      <c r="Y248" s="37"/>
      <c r="Z248" s="37"/>
      <c r="AA248" s="37"/>
      <c r="AB248" s="37"/>
      <c r="AC248" s="37"/>
      <c r="AD248" s="37"/>
      <c r="AE248" s="37"/>
      <c r="AF248" s="37"/>
      <c r="AG248" s="37"/>
      <c r="AH248" s="37"/>
      <c r="AI248" s="37"/>
      <c r="AJ248" s="37"/>
      <c r="AK248" s="37"/>
      <c r="AL248" s="37"/>
      <c r="AM248" s="37"/>
      <c r="AN248" s="37"/>
      <c r="AO248" s="37"/>
      <c r="AP248" s="37"/>
      <c r="AQ248" s="37"/>
      <c r="AR248" s="37"/>
      <c r="AS248" s="37"/>
      <c r="AT248" s="37"/>
      <c r="AU248" s="37"/>
      <c r="AV248" s="37"/>
      <c r="AW248" s="37"/>
      <c r="AX248" s="37"/>
      <c r="AY248" s="37"/>
      <c r="AZ248" s="37"/>
      <c r="BA248" s="37"/>
      <c r="BB248" s="37"/>
      <c r="BC248" s="37"/>
      <c r="BD248" s="37"/>
      <c r="BE248" s="37"/>
      <c r="BF248" s="37"/>
      <c r="BG248" s="37"/>
      <c r="BH248" s="37"/>
      <c r="BI248" s="37"/>
      <c r="BJ248" s="37"/>
      <c r="BK248" s="37"/>
      <c r="BL248" s="37"/>
      <c r="BM248" s="37"/>
      <c r="BN248" s="37"/>
      <c r="BO248" s="37"/>
      <c r="BP248" s="37"/>
      <c r="BQ248" s="38"/>
      <c r="BR248" s="38"/>
      <c r="BS248" s="37"/>
    </row>
    <row r="249" spans="1:71">
      <c r="A249" s="37"/>
      <c r="B249" s="37"/>
      <c r="C249" s="36"/>
      <c r="D249" s="36"/>
      <c r="E249" s="37"/>
      <c r="F249" s="37"/>
      <c r="G249" s="37"/>
      <c r="H249" s="37"/>
      <c r="I249" s="37"/>
      <c r="J249" s="37"/>
      <c r="K249" s="37"/>
      <c r="L249" s="37"/>
      <c r="M249" s="37"/>
      <c r="N249" s="37"/>
      <c r="O249" s="37"/>
      <c r="P249" s="37"/>
      <c r="Q249" s="37"/>
      <c r="R249" s="37"/>
      <c r="S249" s="37"/>
      <c r="T249" s="37"/>
      <c r="U249" s="37"/>
      <c r="V249" s="37"/>
      <c r="W249" s="37"/>
      <c r="X249" s="37"/>
      <c r="Y249" s="37"/>
      <c r="Z249" s="37"/>
      <c r="AA249" s="37"/>
      <c r="AB249" s="37"/>
      <c r="AC249" s="37"/>
      <c r="AD249" s="37"/>
      <c r="AE249" s="37"/>
      <c r="AF249" s="37"/>
      <c r="AG249" s="37"/>
      <c r="AH249" s="37"/>
      <c r="AI249" s="37"/>
      <c r="AJ249" s="37"/>
      <c r="AK249" s="37"/>
      <c r="AL249" s="37"/>
      <c r="AM249" s="37"/>
      <c r="AN249" s="37"/>
      <c r="AO249" s="37"/>
      <c r="AP249" s="37"/>
      <c r="AQ249" s="37"/>
      <c r="AR249" s="37"/>
      <c r="AS249" s="37"/>
      <c r="AT249" s="37"/>
      <c r="AU249" s="37"/>
      <c r="AV249" s="37"/>
      <c r="AW249" s="37"/>
      <c r="AX249" s="37"/>
      <c r="AY249" s="37"/>
      <c r="AZ249" s="37"/>
      <c r="BA249" s="37"/>
      <c r="BB249" s="37"/>
      <c r="BC249" s="37"/>
      <c r="BD249" s="37"/>
      <c r="BE249" s="37"/>
      <c r="BF249" s="37"/>
      <c r="BG249" s="37"/>
      <c r="BH249" s="37"/>
      <c r="BI249" s="37"/>
      <c r="BJ249" s="37"/>
      <c r="BK249" s="37"/>
      <c r="BL249" s="37"/>
      <c r="BM249" s="37"/>
      <c r="BN249" s="37"/>
      <c r="BO249" s="37"/>
      <c r="BP249" s="37"/>
      <c r="BQ249" s="38"/>
      <c r="BR249" s="38"/>
      <c r="BS249" s="37"/>
    </row>
    <row r="250" spans="1:71">
      <c r="A250" s="37"/>
      <c r="B250" s="37"/>
      <c r="C250" s="36"/>
      <c r="D250" s="36"/>
      <c r="E250" s="37"/>
      <c r="F250" s="37"/>
      <c r="G250" s="37"/>
      <c r="H250" s="37"/>
      <c r="I250" s="37"/>
      <c r="J250" s="37"/>
      <c r="K250" s="37"/>
      <c r="L250" s="37"/>
      <c r="M250" s="37"/>
      <c r="N250" s="37"/>
      <c r="O250" s="37"/>
      <c r="P250" s="37"/>
      <c r="Q250" s="37"/>
      <c r="R250" s="37"/>
      <c r="S250" s="37"/>
      <c r="T250" s="37"/>
      <c r="U250" s="37"/>
      <c r="V250" s="37"/>
      <c r="W250" s="37"/>
      <c r="X250" s="37"/>
      <c r="Y250" s="37"/>
      <c r="Z250" s="37"/>
      <c r="AA250" s="37"/>
      <c r="AB250" s="37"/>
      <c r="AC250" s="37"/>
      <c r="AD250" s="37"/>
      <c r="AE250" s="37"/>
      <c r="AF250" s="37"/>
      <c r="AG250" s="37"/>
      <c r="AH250" s="37"/>
      <c r="AI250" s="37"/>
      <c r="AJ250" s="37"/>
      <c r="AK250" s="37"/>
      <c r="AL250" s="37"/>
      <c r="AM250" s="37"/>
      <c r="AN250" s="37"/>
      <c r="AO250" s="37"/>
      <c r="AP250" s="37"/>
      <c r="AQ250" s="37"/>
      <c r="AR250" s="37"/>
      <c r="AS250" s="37"/>
      <c r="AT250" s="37"/>
      <c r="AU250" s="37"/>
      <c r="AV250" s="37"/>
      <c r="AW250" s="37"/>
      <c r="AX250" s="37"/>
      <c r="AY250" s="37"/>
      <c r="AZ250" s="37"/>
      <c r="BA250" s="37"/>
      <c r="BB250" s="37"/>
      <c r="BC250" s="37"/>
      <c r="BD250" s="37"/>
      <c r="BE250" s="37"/>
      <c r="BF250" s="37"/>
      <c r="BG250" s="37"/>
      <c r="BH250" s="37"/>
      <c r="BI250" s="37"/>
      <c r="BJ250" s="37"/>
      <c r="BK250" s="37"/>
      <c r="BL250" s="37"/>
      <c r="BM250" s="37"/>
      <c r="BN250" s="37"/>
      <c r="BO250" s="37"/>
      <c r="BP250" s="37"/>
      <c r="BQ250" s="38"/>
      <c r="BR250" s="38"/>
      <c r="BS250" s="37"/>
    </row>
    <row r="251" spans="1:71">
      <c r="A251" s="37"/>
      <c r="B251" s="37"/>
      <c r="C251" s="36"/>
      <c r="D251" s="36"/>
      <c r="E251" s="37"/>
      <c r="F251" s="37"/>
      <c r="G251" s="37"/>
      <c r="H251" s="37"/>
      <c r="I251" s="37"/>
      <c r="J251" s="37"/>
      <c r="K251" s="37"/>
      <c r="L251" s="37"/>
      <c r="M251" s="37"/>
      <c r="N251" s="37"/>
      <c r="O251" s="37"/>
      <c r="P251" s="37"/>
      <c r="Q251" s="37"/>
      <c r="R251" s="37"/>
      <c r="S251" s="37"/>
      <c r="T251" s="37"/>
      <c r="U251" s="37"/>
      <c r="V251" s="37"/>
      <c r="W251" s="37"/>
      <c r="X251" s="37"/>
      <c r="Y251" s="37"/>
      <c r="Z251" s="37"/>
      <c r="AA251" s="37"/>
      <c r="AB251" s="37"/>
      <c r="AC251" s="37"/>
      <c r="AD251" s="37"/>
      <c r="AE251" s="37"/>
      <c r="AF251" s="37"/>
      <c r="AG251" s="37"/>
      <c r="AH251" s="37"/>
      <c r="AI251" s="37"/>
      <c r="AJ251" s="37"/>
      <c r="AK251" s="37"/>
      <c r="AL251" s="37"/>
      <c r="AM251" s="37"/>
      <c r="AN251" s="37"/>
      <c r="AO251" s="37"/>
      <c r="AP251" s="37"/>
      <c r="AQ251" s="37"/>
      <c r="AR251" s="37"/>
      <c r="AS251" s="37"/>
      <c r="AT251" s="37"/>
      <c r="AU251" s="37"/>
      <c r="AV251" s="37"/>
      <c r="AW251" s="37"/>
      <c r="AX251" s="37"/>
      <c r="AY251" s="37"/>
      <c r="AZ251" s="37"/>
      <c r="BA251" s="37"/>
      <c r="BB251" s="37"/>
      <c r="BC251" s="37"/>
      <c r="BD251" s="37"/>
      <c r="BE251" s="37"/>
      <c r="BF251" s="37"/>
      <c r="BG251" s="37"/>
      <c r="BH251" s="37"/>
      <c r="BI251" s="37"/>
      <c r="BJ251" s="37"/>
      <c r="BK251" s="37"/>
      <c r="BL251" s="37"/>
      <c r="BM251" s="37"/>
      <c r="BN251" s="37"/>
      <c r="BO251" s="37"/>
      <c r="BP251" s="37"/>
      <c r="BQ251" s="38"/>
      <c r="BR251" s="38"/>
      <c r="BS251" s="37"/>
    </row>
    <row r="252" spans="1:71">
      <c r="A252" s="37"/>
      <c r="B252" s="37"/>
      <c r="C252" s="36"/>
      <c r="D252" s="36"/>
      <c r="E252" s="37"/>
      <c r="F252" s="37"/>
      <c r="G252" s="37"/>
      <c r="H252" s="37"/>
      <c r="I252" s="37"/>
      <c r="J252" s="37"/>
      <c r="K252" s="37"/>
      <c r="L252" s="37"/>
      <c r="M252" s="37"/>
      <c r="N252" s="37"/>
      <c r="O252" s="37"/>
      <c r="P252" s="37"/>
      <c r="Q252" s="37"/>
      <c r="R252" s="37"/>
      <c r="S252" s="37"/>
      <c r="T252" s="37"/>
      <c r="U252" s="37"/>
      <c r="V252" s="37"/>
      <c r="W252" s="37"/>
      <c r="X252" s="37"/>
      <c r="Y252" s="37"/>
      <c r="Z252" s="37"/>
      <c r="AA252" s="37"/>
      <c r="AB252" s="37"/>
      <c r="AC252" s="37"/>
      <c r="AD252" s="37"/>
      <c r="AE252" s="37"/>
      <c r="AF252" s="37"/>
      <c r="AG252" s="37"/>
      <c r="AH252" s="37"/>
      <c r="AI252" s="37"/>
      <c r="AJ252" s="37"/>
      <c r="AK252" s="37"/>
      <c r="AL252" s="37"/>
      <c r="AM252" s="37"/>
      <c r="AN252" s="37"/>
      <c r="AO252" s="37"/>
      <c r="AP252" s="37"/>
      <c r="AQ252" s="37"/>
      <c r="AR252" s="37"/>
      <c r="AS252" s="37"/>
      <c r="AT252" s="37"/>
      <c r="AU252" s="37"/>
      <c r="AV252" s="37"/>
      <c r="AW252" s="37"/>
      <c r="AX252" s="37"/>
      <c r="AY252" s="37"/>
      <c r="AZ252" s="37"/>
      <c r="BA252" s="37"/>
      <c r="BB252" s="37"/>
      <c r="BC252" s="37"/>
      <c r="BD252" s="37"/>
      <c r="BE252" s="37"/>
      <c r="BF252" s="37"/>
      <c r="BG252" s="37"/>
      <c r="BH252" s="37"/>
      <c r="BI252" s="37"/>
      <c r="BJ252" s="37"/>
      <c r="BK252" s="37"/>
      <c r="BL252" s="37"/>
      <c r="BM252" s="37"/>
      <c r="BN252" s="37"/>
      <c r="BO252" s="37"/>
      <c r="BP252" s="37"/>
      <c r="BQ252" s="38"/>
      <c r="BR252" s="38"/>
      <c r="BS252" s="37"/>
    </row>
    <row r="253" spans="1:71">
      <c r="A253" s="37"/>
      <c r="B253" s="37"/>
      <c r="C253" s="36"/>
      <c r="D253" s="36"/>
      <c r="E253" s="37"/>
      <c r="F253" s="37"/>
      <c r="G253" s="37"/>
      <c r="H253" s="37"/>
      <c r="I253" s="37"/>
      <c r="J253" s="37"/>
      <c r="K253" s="37"/>
      <c r="L253" s="37"/>
      <c r="M253" s="37"/>
      <c r="N253" s="37"/>
      <c r="O253" s="37"/>
      <c r="P253" s="37"/>
      <c r="Q253" s="37"/>
      <c r="R253" s="37"/>
      <c r="S253" s="37"/>
      <c r="T253" s="37"/>
      <c r="U253" s="37"/>
      <c r="V253" s="37"/>
      <c r="W253" s="37"/>
      <c r="X253" s="37"/>
      <c r="Y253" s="37"/>
      <c r="Z253" s="37"/>
      <c r="AA253" s="37"/>
      <c r="AB253" s="37"/>
      <c r="AC253" s="37"/>
      <c r="AD253" s="37"/>
      <c r="AE253" s="37"/>
      <c r="AF253" s="37"/>
      <c r="AG253" s="37"/>
      <c r="AH253" s="37"/>
      <c r="AI253" s="37"/>
      <c r="AJ253" s="37"/>
      <c r="AK253" s="37"/>
      <c r="AL253" s="37"/>
      <c r="AM253" s="37"/>
      <c r="AN253" s="37"/>
      <c r="AO253" s="37"/>
      <c r="AP253" s="37"/>
      <c r="AQ253" s="37"/>
      <c r="AR253" s="37"/>
      <c r="AS253" s="37"/>
      <c r="AT253" s="37"/>
      <c r="AU253" s="37"/>
      <c r="AV253" s="37"/>
      <c r="AW253" s="37"/>
      <c r="AX253" s="37"/>
      <c r="AY253" s="37"/>
      <c r="AZ253" s="37"/>
      <c r="BA253" s="37"/>
      <c r="BB253" s="37"/>
      <c r="BC253" s="37"/>
      <c r="BD253" s="37"/>
      <c r="BE253" s="37"/>
      <c r="BF253" s="37"/>
      <c r="BG253" s="37"/>
      <c r="BH253" s="37"/>
      <c r="BI253" s="37"/>
      <c r="BJ253" s="37"/>
      <c r="BK253" s="37"/>
      <c r="BL253" s="37"/>
      <c r="BM253" s="37"/>
      <c r="BN253" s="37"/>
      <c r="BO253" s="37"/>
      <c r="BP253" s="37"/>
      <c r="BQ253" s="38"/>
      <c r="BR253" s="38"/>
      <c r="BS253" s="37"/>
    </row>
    <row r="254" spans="1:71">
      <c r="A254" s="37"/>
      <c r="B254" s="37"/>
      <c r="C254" s="36"/>
      <c r="D254" s="36"/>
      <c r="E254" s="37"/>
      <c r="F254" s="37"/>
      <c r="G254" s="37"/>
      <c r="H254" s="37"/>
      <c r="I254" s="37"/>
      <c r="J254" s="37"/>
      <c r="K254" s="37"/>
      <c r="L254" s="37"/>
      <c r="M254" s="37"/>
      <c r="N254" s="37"/>
      <c r="O254" s="37"/>
      <c r="P254" s="37"/>
      <c r="Q254" s="37"/>
      <c r="R254" s="37"/>
      <c r="S254" s="37"/>
      <c r="T254" s="37"/>
      <c r="U254" s="37"/>
      <c r="V254" s="37"/>
      <c r="W254" s="37"/>
      <c r="X254" s="37"/>
      <c r="Y254" s="37"/>
      <c r="Z254" s="37"/>
      <c r="AA254" s="37"/>
      <c r="AB254" s="37"/>
      <c r="AC254" s="37"/>
      <c r="AD254" s="37"/>
      <c r="AE254" s="37"/>
      <c r="AF254" s="37"/>
      <c r="AG254" s="37"/>
      <c r="AH254" s="37"/>
      <c r="AI254" s="37"/>
      <c r="AJ254" s="37"/>
      <c r="AK254" s="37"/>
      <c r="AL254" s="37"/>
      <c r="AM254" s="37"/>
      <c r="AN254" s="37"/>
      <c r="AO254" s="37"/>
      <c r="AP254" s="37"/>
      <c r="AQ254" s="37"/>
      <c r="AR254" s="37"/>
      <c r="AS254" s="37"/>
      <c r="AT254" s="37"/>
      <c r="AU254" s="37"/>
      <c r="AV254" s="37"/>
      <c r="AW254" s="37"/>
      <c r="AX254" s="37"/>
      <c r="AY254" s="37"/>
      <c r="AZ254" s="37"/>
      <c r="BA254" s="37"/>
      <c r="BB254" s="37"/>
      <c r="BC254" s="37"/>
      <c r="BD254" s="37"/>
      <c r="BE254" s="37"/>
      <c r="BF254" s="37"/>
      <c r="BG254" s="37"/>
      <c r="BH254" s="37"/>
      <c r="BI254" s="37"/>
      <c r="BJ254" s="37"/>
      <c r="BK254" s="37"/>
      <c r="BL254" s="37"/>
      <c r="BM254" s="37"/>
      <c r="BN254" s="37"/>
      <c r="BO254" s="37"/>
      <c r="BP254" s="37"/>
      <c r="BQ254" s="38"/>
      <c r="BR254" s="38"/>
      <c r="BS254" s="37"/>
    </row>
    <row r="255" spans="1:71">
      <c r="A255" s="37"/>
      <c r="B255" s="37"/>
      <c r="C255" s="36"/>
      <c r="D255" s="36"/>
      <c r="E255" s="37"/>
      <c r="F255" s="37"/>
      <c r="G255" s="37"/>
      <c r="H255" s="37"/>
      <c r="I255" s="37"/>
      <c r="J255" s="37"/>
      <c r="K255" s="37"/>
      <c r="L255" s="37"/>
      <c r="M255" s="37"/>
      <c r="N255" s="37"/>
      <c r="O255" s="37"/>
      <c r="P255" s="37"/>
      <c r="Q255" s="37"/>
      <c r="R255" s="37"/>
      <c r="S255" s="37"/>
      <c r="T255" s="37"/>
      <c r="U255" s="37"/>
      <c r="V255" s="37"/>
      <c r="W255" s="37"/>
      <c r="X255" s="37"/>
      <c r="Y255" s="37"/>
      <c r="Z255" s="37"/>
      <c r="AA255" s="37"/>
      <c r="AB255" s="37"/>
      <c r="AC255" s="37"/>
      <c r="AD255" s="37"/>
      <c r="AE255" s="37"/>
      <c r="AF255" s="37"/>
      <c r="AG255" s="37"/>
      <c r="AH255" s="37"/>
      <c r="AI255" s="37"/>
      <c r="AJ255" s="37"/>
      <c r="AK255" s="37"/>
      <c r="AL255" s="37"/>
      <c r="AM255" s="37"/>
      <c r="AN255" s="37"/>
      <c r="AO255" s="37"/>
      <c r="AP255" s="37"/>
      <c r="AQ255" s="37"/>
      <c r="AR255" s="37"/>
      <c r="AS255" s="37"/>
      <c r="AT255" s="37"/>
      <c r="AU255" s="37"/>
      <c r="AV255" s="37"/>
      <c r="AW255" s="37"/>
      <c r="AX255" s="37"/>
      <c r="AY255" s="37"/>
      <c r="AZ255" s="37"/>
      <c r="BA255" s="37"/>
      <c r="BB255" s="37"/>
      <c r="BC255" s="37"/>
      <c r="BD255" s="37"/>
      <c r="BE255" s="37"/>
      <c r="BF255" s="37"/>
      <c r="BG255" s="37"/>
      <c r="BH255" s="37"/>
      <c r="BI255" s="37"/>
      <c r="BJ255" s="37"/>
      <c r="BK255" s="37"/>
      <c r="BL255" s="37"/>
      <c r="BM255" s="37"/>
      <c r="BN255" s="37"/>
      <c r="BO255" s="37"/>
      <c r="BP255" s="37"/>
      <c r="BQ255" s="38"/>
      <c r="BR255" s="38"/>
      <c r="BS255" s="37"/>
    </row>
    <row r="256" spans="1:71">
      <c r="A256" s="37"/>
      <c r="B256" s="37"/>
      <c r="C256" s="36"/>
      <c r="D256" s="36"/>
      <c r="E256" s="37"/>
      <c r="F256" s="37"/>
      <c r="G256" s="37"/>
      <c r="H256" s="37"/>
      <c r="I256" s="37"/>
      <c r="J256" s="37"/>
      <c r="K256" s="37"/>
      <c r="L256" s="37"/>
      <c r="M256" s="37"/>
      <c r="N256" s="37"/>
      <c r="O256" s="37"/>
      <c r="P256" s="37"/>
      <c r="Q256" s="37"/>
      <c r="R256" s="37"/>
      <c r="S256" s="37"/>
      <c r="T256" s="37"/>
      <c r="U256" s="37"/>
      <c r="V256" s="37"/>
      <c r="W256" s="37"/>
      <c r="X256" s="37"/>
      <c r="Y256" s="37"/>
      <c r="Z256" s="37"/>
      <c r="AA256" s="37"/>
      <c r="AB256" s="37"/>
      <c r="AC256" s="37"/>
      <c r="AD256" s="37"/>
      <c r="AE256" s="37"/>
      <c r="AF256" s="37"/>
      <c r="AG256" s="37"/>
      <c r="AH256" s="37"/>
      <c r="AI256" s="37"/>
      <c r="AJ256" s="37"/>
      <c r="AK256" s="37"/>
      <c r="AL256" s="37"/>
      <c r="AM256" s="37"/>
      <c r="AN256" s="37"/>
      <c r="AO256" s="37"/>
      <c r="AP256" s="37"/>
      <c r="AQ256" s="37"/>
      <c r="AR256" s="37"/>
      <c r="AS256" s="37"/>
      <c r="AT256" s="37"/>
      <c r="AU256" s="37"/>
      <c r="AV256" s="37"/>
      <c r="AW256" s="37"/>
      <c r="AX256" s="37"/>
      <c r="AY256" s="37"/>
      <c r="AZ256" s="37"/>
      <c r="BA256" s="37"/>
      <c r="BB256" s="37"/>
      <c r="BC256" s="37"/>
      <c r="BD256" s="37"/>
      <c r="BE256" s="37"/>
      <c r="BF256" s="37"/>
      <c r="BG256" s="37"/>
      <c r="BH256" s="37"/>
      <c r="BI256" s="37"/>
      <c r="BJ256" s="37"/>
      <c r="BK256" s="37"/>
      <c r="BL256" s="37"/>
      <c r="BM256" s="37"/>
      <c r="BN256" s="37"/>
      <c r="BO256" s="37"/>
      <c r="BP256" s="37"/>
      <c r="BQ256" s="38"/>
      <c r="BR256" s="38"/>
      <c r="BS256" s="37"/>
    </row>
    <row r="257" spans="1:71">
      <c r="A257" s="37"/>
      <c r="B257" s="37"/>
      <c r="C257" s="36"/>
      <c r="D257" s="36"/>
      <c r="E257" s="37"/>
      <c r="F257" s="37"/>
      <c r="G257" s="37"/>
      <c r="H257" s="37"/>
      <c r="I257" s="37"/>
      <c r="J257" s="37"/>
      <c r="K257" s="37"/>
      <c r="L257" s="37"/>
      <c r="M257" s="37"/>
      <c r="N257" s="37"/>
      <c r="O257" s="37"/>
      <c r="P257" s="37"/>
      <c r="Q257" s="37"/>
      <c r="R257" s="37"/>
      <c r="S257" s="37"/>
      <c r="T257" s="37"/>
      <c r="U257" s="37"/>
      <c r="V257" s="37"/>
      <c r="W257" s="37"/>
      <c r="X257" s="37"/>
      <c r="Y257" s="37"/>
      <c r="Z257" s="37"/>
      <c r="AA257" s="37"/>
      <c r="AB257" s="37"/>
      <c r="AC257" s="37"/>
      <c r="AD257" s="37"/>
      <c r="AE257" s="37"/>
      <c r="AF257" s="37"/>
      <c r="AG257" s="37"/>
      <c r="AH257" s="37"/>
      <c r="AI257" s="37"/>
      <c r="AJ257" s="37"/>
      <c r="AK257" s="37"/>
      <c r="AL257" s="37"/>
      <c r="AM257" s="37"/>
      <c r="AN257" s="37"/>
      <c r="AO257" s="37"/>
      <c r="AP257" s="37"/>
      <c r="AQ257" s="37"/>
      <c r="AR257" s="37"/>
      <c r="AS257" s="37"/>
      <c r="AT257" s="37"/>
      <c r="AU257" s="37"/>
      <c r="AV257" s="37"/>
      <c r="AW257" s="37"/>
      <c r="AX257" s="37"/>
      <c r="AY257" s="37"/>
      <c r="AZ257" s="37"/>
      <c r="BA257" s="37"/>
      <c r="BB257" s="37"/>
      <c r="BC257" s="37"/>
      <c r="BD257" s="37"/>
      <c r="BE257" s="37"/>
      <c r="BF257" s="37"/>
      <c r="BG257" s="37"/>
      <c r="BH257" s="37"/>
      <c r="BI257" s="37"/>
      <c r="BJ257" s="37"/>
      <c r="BK257" s="37"/>
      <c r="BL257" s="37"/>
      <c r="BM257" s="37"/>
      <c r="BN257" s="37"/>
      <c r="BO257" s="37"/>
      <c r="BP257" s="37"/>
      <c r="BQ257" s="38"/>
      <c r="BR257" s="38"/>
      <c r="BS257" s="37"/>
    </row>
    <row r="258" spans="1:71">
      <c r="A258" s="37"/>
      <c r="B258" s="37"/>
      <c r="C258" s="36"/>
      <c r="D258" s="36"/>
      <c r="E258" s="37"/>
      <c r="F258" s="37"/>
      <c r="G258" s="37"/>
      <c r="H258" s="37"/>
      <c r="I258" s="37"/>
      <c r="J258" s="37"/>
      <c r="K258" s="37"/>
      <c r="L258" s="37"/>
      <c r="M258" s="37"/>
      <c r="N258" s="37"/>
      <c r="O258" s="37"/>
      <c r="P258" s="37"/>
      <c r="Q258" s="37"/>
      <c r="R258" s="37"/>
      <c r="S258" s="37"/>
      <c r="T258" s="37"/>
      <c r="U258" s="37"/>
      <c r="V258" s="37"/>
      <c r="W258" s="37"/>
      <c r="X258" s="37"/>
      <c r="Y258" s="37"/>
      <c r="Z258" s="37"/>
      <c r="AA258" s="37"/>
      <c r="AB258" s="37"/>
      <c r="AC258" s="37"/>
      <c r="AD258" s="37"/>
      <c r="AE258" s="37"/>
      <c r="AF258" s="37"/>
      <c r="AG258" s="37"/>
      <c r="AH258" s="37"/>
      <c r="AI258" s="37"/>
      <c r="AJ258" s="37"/>
      <c r="AK258" s="37"/>
      <c r="AL258" s="37"/>
      <c r="AM258" s="37"/>
      <c r="AN258" s="37"/>
      <c r="AO258" s="37"/>
      <c r="AP258" s="37"/>
      <c r="AQ258" s="37"/>
      <c r="AR258" s="37"/>
      <c r="AS258" s="37"/>
      <c r="AT258" s="37"/>
      <c r="AU258" s="37"/>
      <c r="AV258" s="37"/>
      <c r="AW258" s="37"/>
      <c r="AX258" s="37"/>
      <c r="AY258" s="37"/>
      <c r="AZ258" s="37"/>
      <c r="BA258" s="37"/>
      <c r="BB258" s="37"/>
      <c r="BC258" s="37"/>
      <c r="BD258" s="37"/>
      <c r="BE258" s="37"/>
      <c r="BF258" s="37"/>
      <c r="BG258" s="37"/>
      <c r="BH258" s="37"/>
      <c r="BI258" s="37"/>
      <c r="BJ258" s="37"/>
      <c r="BK258" s="37"/>
      <c r="BL258" s="37"/>
      <c r="BM258" s="37"/>
      <c r="BN258" s="37"/>
      <c r="BO258" s="37"/>
      <c r="BP258" s="37"/>
      <c r="BQ258" s="38"/>
      <c r="BR258" s="38"/>
      <c r="BS258" s="37"/>
    </row>
    <row r="259" spans="1:71">
      <c r="A259" s="37"/>
      <c r="B259" s="37"/>
      <c r="C259" s="36"/>
      <c r="D259" s="36"/>
      <c r="E259" s="37"/>
      <c r="F259" s="37"/>
      <c r="G259" s="37"/>
      <c r="H259" s="37"/>
      <c r="I259" s="37"/>
      <c r="J259" s="37"/>
      <c r="K259" s="37"/>
      <c r="L259" s="37"/>
      <c r="M259" s="37"/>
      <c r="N259" s="37"/>
      <c r="O259" s="37"/>
      <c r="P259" s="37"/>
      <c r="Q259" s="37"/>
      <c r="R259" s="37"/>
      <c r="S259" s="37"/>
      <c r="T259" s="37"/>
      <c r="U259" s="37"/>
      <c r="V259" s="37"/>
      <c r="W259" s="37"/>
      <c r="X259" s="37"/>
      <c r="Y259" s="37"/>
      <c r="Z259" s="37"/>
      <c r="AA259" s="37"/>
      <c r="AB259" s="37"/>
      <c r="AC259" s="37"/>
      <c r="AD259" s="37"/>
      <c r="AE259" s="37"/>
      <c r="AF259" s="37"/>
      <c r="AG259" s="37"/>
      <c r="AH259" s="37"/>
      <c r="AI259" s="37"/>
      <c r="AJ259" s="37"/>
      <c r="AK259" s="37"/>
      <c r="AL259" s="37"/>
      <c r="AM259" s="37"/>
      <c r="AN259" s="37"/>
      <c r="AO259" s="37"/>
      <c r="AP259" s="37"/>
      <c r="AQ259" s="37"/>
      <c r="AR259" s="37"/>
      <c r="AS259" s="37"/>
      <c r="AT259" s="37"/>
      <c r="AU259" s="37"/>
      <c r="AV259" s="37"/>
      <c r="AW259" s="37"/>
      <c r="AX259" s="37"/>
      <c r="AY259" s="37"/>
      <c r="AZ259" s="37"/>
      <c r="BA259" s="37"/>
      <c r="BB259" s="37"/>
      <c r="BC259" s="37"/>
      <c r="BD259" s="37"/>
      <c r="BE259" s="37"/>
      <c r="BF259" s="37"/>
      <c r="BG259" s="37"/>
      <c r="BH259" s="37"/>
      <c r="BI259" s="37"/>
      <c r="BJ259" s="37"/>
      <c r="BK259" s="37"/>
      <c r="BL259" s="37"/>
      <c r="BM259" s="37"/>
      <c r="BN259" s="37"/>
      <c r="BO259" s="37"/>
      <c r="BP259" s="37"/>
      <c r="BQ259" s="38"/>
      <c r="BR259" s="38"/>
      <c r="BS259" s="37"/>
    </row>
    <row r="260" spans="1:71">
      <c r="A260" s="37"/>
      <c r="B260" s="37"/>
      <c r="C260" s="36"/>
      <c r="D260" s="36"/>
      <c r="E260" s="37"/>
      <c r="F260" s="37"/>
      <c r="G260" s="37"/>
      <c r="H260" s="37"/>
      <c r="I260" s="37"/>
      <c r="J260" s="37"/>
      <c r="K260" s="37"/>
      <c r="L260" s="37"/>
      <c r="M260" s="37"/>
      <c r="N260" s="37"/>
      <c r="O260" s="37"/>
      <c r="P260" s="37"/>
      <c r="Q260" s="37"/>
      <c r="R260" s="37"/>
      <c r="S260" s="37"/>
      <c r="T260" s="37"/>
      <c r="U260" s="37"/>
      <c r="V260" s="37"/>
      <c r="W260" s="37"/>
      <c r="X260" s="37"/>
      <c r="Y260" s="37"/>
      <c r="Z260" s="37"/>
      <c r="AA260" s="37"/>
      <c r="AB260" s="37"/>
      <c r="AC260" s="37"/>
      <c r="AD260" s="37"/>
      <c r="AE260" s="37"/>
      <c r="AF260" s="37"/>
      <c r="AG260" s="37"/>
      <c r="AH260" s="37"/>
      <c r="AI260" s="37"/>
      <c r="AJ260" s="37"/>
      <c r="AK260" s="37"/>
      <c r="AL260" s="37"/>
      <c r="AM260" s="37"/>
      <c r="AN260" s="37"/>
      <c r="AO260" s="37"/>
      <c r="AP260" s="37"/>
      <c r="AQ260" s="37"/>
      <c r="AR260" s="37"/>
      <c r="AS260" s="37"/>
      <c r="AT260" s="37"/>
      <c r="AU260" s="37"/>
      <c r="AV260" s="37"/>
      <c r="AW260" s="37"/>
      <c r="AX260" s="37"/>
      <c r="AY260" s="37"/>
      <c r="AZ260" s="37"/>
      <c r="BA260" s="37"/>
      <c r="BB260" s="37"/>
      <c r="BC260" s="37"/>
      <c r="BD260" s="37"/>
      <c r="BE260" s="37"/>
      <c r="BF260" s="37"/>
      <c r="BG260" s="37"/>
      <c r="BH260" s="37"/>
      <c r="BI260" s="37"/>
      <c r="BJ260" s="37"/>
      <c r="BK260" s="37"/>
      <c r="BL260" s="37"/>
      <c r="BM260" s="37"/>
      <c r="BN260" s="37"/>
      <c r="BO260" s="37"/>
      <c r="BP260" s="37"/>
      <c r="BQ260" s="38"/>
      <c r="BR260" s="38"/>
      <c r="BS260" s="37"/>
    </row>
    <row r="261" spans="1:71">
      <c r="A261" s="37"/>
      <c r="B261" s="37"/>
      <c r="C261" s="36"/>
      <c r="D261" s="36"/>
      <c r="E261" s="37"/>
      <c r="F261" s="37"/>
      <c r="G261" s="37"/>
      <c r="H261" s="37"/>
      <c r="I261" s="37"/>
      <c r="J261" s="37"/>
      <c r="K261" s="37"/>
      <c r="L261" s="37"/>
      <c r="M261" s="37"/>
      <c r="N261" s="37"/>
      <c r="O261" s="37"/>
      <c r="P261" s="37"/>
      <c r="Q261" s="37"/>
      <c r="R261" s="37"/>
      <c r="S261" s="37"/>
      <c r="T261" s="37"/>
      <c r="U261" s="37"/>
      <c r="V261" s="37"/>
      <c r="W261" s="37"/>
      <c r="X261" s="37"/>
      <c r="Y261" s="37"/>
      <c r="Z261" s="37"/>
      <c r="AA261" s="37"/>
      <c r="AB261" s="37"/>
      <c r="AC261" s="37"/>
      <c r="AD261" s="37"/>
      <c r="AE261" s="37"/>
      <c r="AF261" s="37"/>
      <c r="AG261" s="37"/>
      <c r="AH261" s="37"/>
      <c r="AI261" s="37"/>
      <c r="AJ261" s="37"/>
      <c r="AK261" s="37"/>
      <c r="AL261" s="37"/>
      <c r="AM261" s="37"/>
      <c r="AN261" s="37"/>
      <c r="AO261" s="37"/>
      <c r="AP261" s="37"/>
      <c r="AQ261" s="37"/>
      <c r="AR261" s="37"/>
      <c r="AS261" s="37"/>
      <c r="AT261" s="37"/>
      <c r="AU261" s="37"/>
      <c r="AV261" s="37"/>
      <c r="AW261" s="37"/>
      <c r="AX261" s="37"/>
      <c r="AY261" s="37"/>
      <c r="AZ261" s="37"/>
      <c r="BA261" s="37"/>
      <c r="BB261" s="37"/>
      <c r="BC261" s="37"/>
      <c r="BD261" s="37"/>
      <c r="BE261" s="37"/>
      <c r="BF261" s="37"/>
      <c r="BG261" s="37"/>
      <c r="BH261" s="37"/>
      <c r="BI261" s="37"/>
      <c r="BJ261" s="37"/>
      <c r="BK261" s="37"/>
      <c r="BL261" s="37"/>
      <c r="BM261" s="37"/>
      <c r="BN261" s="37"/>
      <c r="BO261" s="37"/>
      <c r="BP261" s="37"/>
      <c r="BQ261" s="38"/>
      <c r="BR261" s="38"/>
      <c r="BS261" s="37"/>
    </row>
    <row r="262" spans="1:71">
      <c r="A262" s="37"/>
      <c r="B262" s="37"/>
      <c r="C262" s="36"/>
      <c r="D262" s="36"/>
      <c r="E262" s="37"/>
      <c r="F262" s="37"/>
      <c r="G262" s="37"/>
      <c r="H262" s="37"/>
      <c r="I262" s="37"/>
      <c r="J262" s="37"/>
      <c r="K262" s="37"/>
      <c r="L262" s="37"/>
      <c r="M262" s="37"/>
      <c r="N262" s="37"/>
      <c r="O262" s="37"/>
      <c r="P262" s="37"/>
      <c r="Q262" s="37"/>
      <c r="R262" s="37"/>
      <c r="S262" s="37"/>
      <c r="T262" s="37"/>
      <c r="U262" s="37"/>
      <c r="V262" s="37"/>
      <c r="W262" s="37"/>
      <c r="X262" s="37"/>
      <c r="Y262" s="37"/>
      <c r="Z262" s="37"/>
      <c r="AA262" s="37"/>
      <c r="AB262" s="37"/>
      <c r="AC262" s="37"/>
      <c r="AD262" s="37"/>
      <c r="AE262" s="37"/>
      <c r="AF262" s="37"/>
      <c r="AG262" s="37"/>
      <c r="AH262" s="37"/>
      <c r="AI262" s="37"/>
      <c r="AJ262" s="37"/>
      <c r="AK262" s="37"/>
      <c r="AL262" s="37"/>
      <c r="AM262" s="37"/>
      <c r="AN262" s="37"/>
      <c r="AO262" s="37"/>
      <c r="AP262" s="37"/>
      <c r="AQ262" s="37"/>
      <c r="AR262" s="37"/>
      <c r="AS262" s="37"/>
      <c r="AT262" s="37"/>
      <c r="AU262" s="37"/>
      <c r="AV262" s="37"/>
      <c r="AW262" s="37"/>
      <c r="AX262" s="37"/>
      <c r="AY262" s="37"/>
      <c r="AZ262" s="37"/>
      <c r="BA262" s="37"/>
      <c r="BB262" s="37"/>
      <c r="BC262" s="37"/>
      <c r="BD262" s="37"/>
      <c r="BE262" s="37"/>
      <c r="BF262" s="37"/>
      <c r="BG262" s="37"/>
      <c r="BH262" s="37"/>
      <c r="BI262" s="37"/>
      <c r="BJ262" s="37"/>
      <c r="BK262" s="37"/>
      <c r="BL262" s="37"/>
      <c r="BM262" s="37"/>
      <c r="BN262" s="37"/>
      <c r="BO262" s="37"/>
      <c r="BP262" s="37"/>
      <c r="BQ262" s="38"/>
      <c r="BR262" s="38"/>
      <c r="BS262" s="37"/>
    </row>
    <row r="263" spans="1:71">
      <c r="A263" s="37"/>
      <c r="B263" s="37"/>
      <c r="C263" s="36"/>
      <c r="D263" s="36"/>
      <c r="E263" s="37"/>
      <c r="F263" s="37"/>
      <c r="G263" s="37"/>
      <c r="H263" s="37"/>
      <c r="I263" s="37"/>
      <c r="J263" s="37"/>
      <c r="K263" s="37"/>
      <c r="L263" s="37"/>
      <c r="M263" s="37"/>
      <c r="N263" s="37"/>
      <c r="O263" s="37"/>
      <c r="P263" s="37"/>
      <c r="Q263" s="37"/>
      <c r="R263" s="37"/>
      <c r="S263" s="37"/>
      <c r="T263" s="37"/>
      <c r="U263" s="37"/>
      <c r="V263" s="37"/>
      <c r="W263" s="37"/>
      <c r="X263" s="37"/>
      <c r="Y263" s="37"/>
      <c r="Z263" s="37"/>
      <c r="AA263" s="37"/>
      <c r="AB263" s="37"/>
      <c r="AC263" s="37"/>
      <c r="AD263" s="37"/>
      <c r="AE263" s="37"/>
      <c r="AF263" s="37"/>
      <c r="AG263" s="37"/>
      <c r="AH263" s="37"/>
      <c r="AI263" s="37"/>
      <c r="AJ263" s="37"/>
      <c r="AK263" s="37"/>
      <c r="AL263" s="37"/>
      <c r="AM263" s="37"/>
      <c r="AN263" s="37"/>
      <c r="AO263" s="37"/>
      <c r="AP263" s="37"/>
      <c r="AQ263" s="37"/>
      <c r="AR263" s="37"/>
      <c r="AS263" s="37"/>
      <c r="AT263" s="37"/>
      <c r="AU263" s="37"/>
      <c r="AV263" s="37"/>
      <c r="AW263" s="37"/>
      <c r="AX263" s="37"/>
      <c r="AY263" s="37"/>
      <c r="AZ263" s="37"/>
      <c r="BA263" s="37"/>
      <c r="BB263" s="37"/>
      <c r="BC263" s="37"/>
      <c r="BD263" s="37"/>
      <c r="BE263" s="37"/>
      <c r="BF263" s="37"/>
      <c r="BG263" s="37"/>
      <c r="BH263" s="37"/>
      <c r="BI263" s="37"/>
      <c r="BJ263" s="37"/>
      <c r="BK263" s="37"/>
      <c r="BL263" s="37"/>
      <c r="BM263" s="37"/>
      <c r="BN263" s="37"/>
      <c r="BO263" s="37"/>
      <c r="BP263" s="37"/>
      <c r="BQ263" s="38"/>
      <c r="BR263" s="38"/>
      <c r="BS263" s="37"/>
    </row>
    <row r="264" spans="1:71">
      <c r="A264" s="37"/>
      <c r="B264" s="37"/>
      <c r="C264" s="36"/>
      <c r="D264" s="36"/>
      <c r="E264" s="37"/>
      <c r="F264" s="37"/>
      <c r="G264" s="37"/>
      <c r="H264" s="37"/>
      <c r="I264" s="37"/>
      <c r="J264" s="37"/>
      <c r="K264" s="37"/>
      <c r="L264" s="37"/>
      <c r="M264" s="37"/>
      <c r="N264" s="37"/>
      <c r="O264" s="37"/>
      <c r="P264" s="37"/>
      <c r="Q264" s="37"/>
      <c r="R264" s="37"/>
      <c r="S264" s="37"/>
      <c r="T264" s="37"/>
      <c r="U264" s="37"/>
      <c r="V264" s="37"/>
      <c r="W264" s="37"/>
      <c r="X264" s="37"/>
      <c r="Y264" s="37"/>
      <c r="Z264" s="37"/>
      <c r="AA264" s="37"/>
      <c r="AB264" s="37"/>
      <c r="AC264" s="37"/>
      <c r="AD264" s="37"/>
      <c r="AE264" s="37"/>
      <c r="AF264" s="37"/>
      <c r="AG264" s="37"/>
      <c r="AH264" s="37"/>
      <c r="AI264" s="37"/>
      <c r="AJ264" s="37"/>
      <c r="AK264" s="37"/>
      <c r="AL264" s="37"/>
      <c r="AM264" s="37"/>
      <c r="AN264" s="37"/>
      <c r="AO264" s="37"/>
      <c r="AP264" s="37"/>
      <c r="AQ264" s="37"/>
      <c r="AR264" s="37"/>
      <c r="AS264" s="37"/>
      <c r="AT264" s="37"/>
      <c r="AU264" s="37"/>
      <c r="AV264" s="37"/>
      <c r="AW264" s="37"/>
      <c r="AX264" s="37"/>
      <c r="AY264" s="37"/>
      <c r="AZ264" s="37"/>
      <c r="BA264" s="37"/>
      <c r="BB264" s="37"/>
      <c r="BC264" s="37"/>
      <c r="BD264" s="37"/>
      <c r="BE264" s="37"/>
      <c r="BF264" s="37"/>
      <c r="BG264" s="37"/>
      <c r="BH264" s="37"/>
      <c r="BI264" s="37"/>
      <c r="BJ264" s="37"/>
      <c r="BK264" s="37"/>
      <c r="BL264" s="37"/>
      <c r="BM264" s="37"/>
      <c r="BN264" s="37"/>
      <c r="BO264" s="37"/>
      <c r="BP264" s="37"/>
      <c r="BQ264" s="38"/>
      <c r="BR264" s="38"/>
      <c r="BS264" s="37"/>
    </row>
    <row r="265" spans="1:71">
      <c r="A265" s="37"/>
      <c r="B265" s="37"/>
      <c r="C265" s="36"/>
      <c r="D265" s="36"/>
      <c r="E265" s="37"/>
      <c r="F265" s="37"/>
      <c r="G265" s="37"/>
      <c r="H265" s="37"/>
      <c r="I265" s="37"/>
      <c r="J265" s="37"/>
      <c r="K265" s="37"/>
      <c r="L265" s="37"/>
      <c r="M265" s="37"/>
      <c r="N265" s="37"/>
      <c r="O265" s="37"/>
      <c r="P265" s="37"/>
      <c r="Q265" s="37"/>
      <c r="R265" s="37"/>
      <c r="S265" s="37"/>
      <c r="T265" s="37"/>
      <c r="U265" s="37"/>
      <c r="V265" s="37"/>
      <c r="W265" s="37"/>
      <c r="X265" s="37"/>
      <c r="Y265" s="37"/>
      <c r="Z265" s="37"/>
      <c r="AA265" s="37"/>
      <c r="AB265" s="37"/>
      <c r="AC265" s="37"/>
      <c r="AD265" s="37"/>
      <c r="AE265" s="37"/>
      <c r="AF265" s="37"/>
      <c r="AG265" s="37"/>
      <c r="AH265" s="37"/>
      <c r="AI265" s="37"/>
      <c r="AJ265" s="37"/>
      <c r="AK265" s="37"/>
      <c r="AL265" s="37"/>
      <c r="AM265" s="37"/>
      <c r="AN265" s="37"/>
      <c r="AO265" s="37"/>
      <c r="AP265" s="37"/>
      <c r="AQ265" s="37"/>
      <c r="AR265" s="37"/>
      <c r="AS265" s="37"/>
      <c r="AT265" s="37"/>
      <c r="AU265" s="37"/>
      <c r="AV265" s="37"/>
      <c r="AW265" s="37"/>
      <c r="AX265" s="37"/>
      <c r="AY265" s="37"/>
      <c r="AZ265" s="37"/>
      <c r="BA265" s="37"/>
      <c r="BB265" s="37"/>
      <c r="BC265" s="37"/>
      <c r="BD265" s="37"/>
      <c r="BE265" s="37"/>
      <c r="BF265" s="37"/>
      <c r="BG265" s="37"/>
      <c r="BH265" s="37"/>
      <c r="BI265" s="37"/>
      <c r="BJ265" s="37"/>
      <c r="BK265" s="37"/>
      <c r="BL265" s="37"/>
      <c r="BM265" s="37"/>
      <c r="BN265" s="37"/>
      <c r="BO265" s="37"/>
      <c r="BP265" s="37"/>
      <c r="BQ265" s="38"/>
      <c r="BR265" s="38"/>
      <c r="BS265" s="37"/>
    </row>
    <row r="266" spans="1:71">
      <c r="A266" s="37"/>
      <c r="B266" s="37"/>
      <c r="C266" s="36"/>
      <c r="D266" s="36"/>
      <c r="E266" s="37"/>
      <c r="F266" s="37"/>
      <c r="G266" s="37"/>
      <c r="H266" s="37"/>
      <c r="I266" s="37"/>
      <c r="J266" s="37"/>
      <c r="K266" s="37"/>
      <c r="L266" s="37"/>
      <c r="M266" s="37"/>
      <c r="N266" s="37"/>
      <c r="O266" s="37"/>
      <c r="P266" s="37"/>
      <c r="Q266" s="37"/>
      <c r="R266" s="37"/>
      <c r="S266" s="37"/>
      <c r="T266" s="37"/>
      <c r="U266" s="37"/>
      <c r="V266" s="37"/>
      <c r="W266" s="37"/>
      <c r="X266" s="37"/>
      <c r="Y266" s="37"/>
      <c r="Z266" s="37"/>
      <c r="AA266" s="37"/>
      <c r="AB266" s="37"/>
      <c r="AC266" s="37"/>
      <c r="AD266" s="37"/>
      <c r="AE266" s="37"/>
      <c r="AF266" s="37"/>
      <c r="AG266" s="37"/>
      <c r="AH266" s="37"/>
      <c r="AI266" s="37"/>
      <c r="AJ266" s="37"/>
      <c r="AK266" s="37"/>
      <c r="AL266" s="37"/>
      <c r="AM266" s="37"/>
      <c r="AN266" s="37"/>
      <c r="AO266" s="37"/>
      <c r="AP266" s="37"/>
      <c r="AQ266" s="37"/>
      <c r="AR266" s="37"/>
      <c r="AS266" s="37"/>
      <c r="AT266" s="37"/>
      <c r="AU266" s="37"/>
      <c r="AV266" s="37"/>
      <c r="AW266" s="37"/>
      <c r="AX266" s="37"/>
      <c r="AY266" s="37"/>
      <c r="AZ266" s="37"/>
      <c r="BA266" s="37"/>
      <c r="BB266" s="37"/>
      <c r="BC266" s="37"/>
      <c r="BD266" s="37"/>
      <c r="BE266" s="37"/>
      <c r="BF266" s="37"/>
      <c r="BG266" s="37"/>
      <c r="BH266" s="37"/>
      <c r="BI266" s="37"/>
      <c r="BJ266" s="37"/>
      <c r="BK266" s="37"/>
      <c r="BL266" s="37"/>
      <c r="BM266" s="37"/>
      <c r="BN266" s="37"/>
      <c r="BO266" s="37"/>
      <c r="BP266" s="37"/>
      <c r="BQ266" s="38"/>
      <c r="BR266" s="38"/>
      <c r="BS266" s="37"/>
    </row>
    <row r="267" spans="1:71">
      <c r="A267" s="37"/>
      <c r="B267" s="37"/>
      <c r="C267" s="36"/>
      <c r="D267" s="36"/>
      <c r="E267" s="37"/>
      <c r="F267" s="37"/>
      <c r="G267" s="37"/>
      <c r="H267" s="37"/>
      <c r="I267" s="37"/>
      <c r="J267" s="37"/>
      <c r="K267" s="37"/>
      <c r="L267" s="37"/>
      <c r="M267" s="37"/>
      <c r="N267" s="37"/>
      <c r="O267" s="37"/>
      <c r="P267" s="37"/>
      <c r="Q267" s="37"/>
      <c r="R267" s="37"/>
      <c r="S267" s="37"/>
      <c r="T267" s="37"/>
      <c r="U267" s="37"/>
      <c r="V267" s="37"/>
      <c r="W267" s="37"/>
      <c r="X267" s="37"/>
      <c r="Y267" s="37"/>
      <c r="Z267" s="37"/>
      <c r="AA267" s="37"/>
      <c r="AB267" s="37"/>
      <c r="AC267" s="37"/>
      <c r="AD267" s="37"/>
      <c r="AE267" s="37"/>
      <c r="AF267" s="37"/>
      <c r="AG267" s="37"/>
      <c r="AH267" s="37"/>
      <c r="AI267" s="37"/>
      <c r="AJ267" s="37"/>
      <c r="AK267" s="37"/>
      <c r="AL267" s="37"/>
      <c r="AM267" s="37"/>
      <c r="AN267" s="37"/>
      <c r="AO267" s="37"/>
      <c r="AP267" s="37"/>
      <c r="AQ267" s="37"/>
      <c r="AR267" s="37"/>
      <c r="AS267" s="37"/>
      <c r="AT267" s="37"/>
      <c r="AU267" s="37"/>
      <c r="AV267" s="37"/>
      <c r="AW267" s="37"/>
      <c r="AX267" s="37"/>
      <c r="AY267" s="37"/>
      <c r="AZ267" s="37"/>
      <c r="BA267" s="37"/>
      <c r="BB267" s="37"/>
      <c r="BC267" s="37"/>
      <c r="BD267" s="37"/>
      <c r="BE267" s="37"/>
      <c r="BF267" s="37"/>
      <c r="BG267" s="37"/>
      <c r="BH267" s="37"/>
      <c r="BI267" s="37"/>
      <c r="BJ267" s="37"/>
      <c r="BK267" s="37"/>
      <c r="BL267" s="37"/>
      <c r="BM267" s="37"/>
      <c r="BN267" s="37"/>
      <c r="BO267" s="37"/>
      <c r="BP267" s="37"/>
      <c r="BQ267" s="38"/>
      <c r="BR267" s="38"/>
      <c r="BS267" s="37"/>
    </row>
    <row r="268" spans="1:71">
      <c r="A268" s="37"/>
      <c r="B268" s="37"/>
      <c r="C268" s="36"/>
      <c r="D268" s="36"/>
      <c r="E268" s="37"/>
      <c r="F268" s="37"/>
      <c r="G268" s="37"/>
      <c r="H268" s="37"/>
      <c r="I268" s="37"/>
      <c r="J268" s="37"/>
      <c r="K268" s="37"/>
      <c r="L268" s="37"/>
      <c r="M268" s="37"/>
      <c r="N268" s="37"/>
      <c r="O268" s="37"/>
      <c r="P268" s="37"/>
      <c r="Q268" s="37"/>
      <c r="R268" s="37"/>
      <c r="S268" s="37"/>
      <c r="T268" s="37"/>
      <c r="U268" s="37"/>
      <c r="V268" s="37"/>
      <c r="W268" s="37"/>
      <c r="X268" s="37"/>
      <c r="Y268" s="37"/>
      <c r="Z268" s="37"/>
      <c r="AA268" s="37"/>
      <c r="AB268" s="37"/>
      <c r="AC268" s="37"/>
      <c r="AD268" s="37"/>
      <c r="AE268" s="37"/>
      <c r="AF268" s="37"/>
      <c r="AG268" s="37"/>
      <c r="AH268" s="37"/>
      <c r="AI268" s="37"/>
      <c r="AJ268" s="37"/>
      <c r="AK268" s="37"/>
      <c r="AL268" s="37"/>
      <c r="AM268" s="37"/>
      <c r="AN268" s="37"/>
      <c r="AO268" s="37"/>
      <c r="AP268" s="37"/>
      <c r="AQ268" s="37"/>
      <c r="AR268" s="37"/>
      <c r="AS268" s="37"/>
      <c r="AT268" s="37"/>
      <c r="AU268" s="37"/>
      <c r="AV268" s="37"/>
      <c r="AW268" s="37"/>
      <c r="AX268" s="37"/>
      <c r="AY268" s="37"/>
      <c r="AZ268" s="37"/>
      <c r="BA268" s="37"/>
      <c r="BB268" s="37"/>
      <c r="BC268" s="37"/>
      <c r="BD268" s="37"/>
      <c r="BE268" s="37"/>
      <c r="BF268" s="37"/>
      <c r="BG268" s="37"/>
      <c r="BH268" s="37"/>
      <c r="BI268" s="37"/>
      <c r="BJ268" s="37"/>
      <c r="BK268" s="37"/>
      <c r="BL268" s="37"/>
      <c r="BM268" s="37"/>
      <c r="BN268" s="37"/>
      <c r="BO268" s="37"/>
      <c r="BP268" s="37"/>
      <c r="BQ268" s="38"/>
      <c r="BR268" s="38"/>
      <c r="BS268" s="37"/>
    </row>
    <row r="269" spans="1:71">
      <c r="A269" s="37"/>
      <c r="B269" s="37"/>
      <c r="C269" s="36"/>
      <c r="D269" s="36"/>
      <c r="E269" s="37"/>
      <c r="F269" s="37"/>
      <c r="G269" s="37"/>
      <c r="H269" s="37"/>
      <c r="I269" s="37"/>
      <c r="J269" s="37"/>
      <c r="K269" s="37"/>
      <c r="L269" s="37"/>
      <c r="M269" s="37"/>
      <c r="N269" s="37"/>
      <c r="O269" s="37"/>
      <c r="P269" s="37"/>
      <c r="Q269" s="37"/>
      <c r="R269" s="37"/>
      <c r="S269" s="37"/>
      <c r="T269" s="37"/>
      <c r="U269" s="37"/>
      <c r="V269" s="37"/>
      <c r="W269" s="37"/>
      <c r="X269" s="37"/>
      <c r="Y269" s="37"/>
      <c r="Z269" s="37"/>
      <c r="AA269" s="37"/>
      <c r="AB269" s="37"/>
      <c r="AC269" s="37"/>
      <c r="AD269" s="37"/>
      <c r="AE269" s="37"/>
      <c r="AF269" s="37"/>
      <c r="AG269" s="37"/>
      <c r="AH269" s="37"/>
      <c r="AI269" s="37"/>
      <c r="AJ269" s="37"/>
      <c r="AK269" s="37"/>
      <c r="AL269" s="37"/>
      <c r="AM269" s="37"/>
      <c r="AN269" s="37"/>
      <c r="AO269" s="37"/>
      <c r="AP269" s="37"/>
      <c r="AQ269" s="37"/>
      <c r="AR269" s="37"/>
      <c r="AS269" s="37"/>
      <c r="AT269" s="37"/>
      <c r="AU269" s="37"/>
      <c r="AV269" s="37"/>
      <c r="AW269" s="37"/>
      <c r="AX269" s="37"/>
      <c r="AY269" s="37"/>
      <c r="AZ269" s="37"/>
      <c r="BA269" s="37"/>
      <c r="BB269" s="37"/>
      <c r="BC269" s="37"/>
      <c r="BD269" s="37"/>
      <c r="BE269" s="37"/>
      <c r="BF269" s="37"/>
      <c r="BG269" s="37"/>
      <c r="BH269" s="37"/>
      <c r="BI269" s="37"/>
      <c r="BJ269" s="37"/>
      <c r="BK269" s="37"/>
      <c r="BL269" s="37"/>
      <c r="BM269" s="37"/>
      <c r="BN269" s="37"/>
      <c r="BO269" s="37"/>
      <c r="BP269" s="37"/>
      <c r="BQ269" s="38"/>
      <c r="BR269" s="38"/>
      <c r="BS269" s="37"/>
    </row>
    <row r="270" spans="1:71">
      <c r="A270" s="37"/>
      <c r="B270" s="37"/>
      <c r="C270" s="36"/>
      <c r="D270" s="36"/>
      <c r="E270" s="37"/>
      <c r="F270" s="37"/>
      <c r="G270" s="37"/>
      <c r="H270" s="37"/>
      <c r="I270" s="37"/>
      <c r="J270" s="37"/>
      <c r="K270" s="37"/>
      <c r="L270" s="37"/>
      <c r="M270" s="37"/>
      <c r="N270" s="37"/>
      <c r="O270" s="37"/>
      <c r="P270" s="37"/>
      <c r="Q270" s="37"/>
      <c r="R270" s="37"/>
      <c r="S270" s="37"/>
      <c r="T270" s="37"/>
      <c r="U270" s="37"/>
      <c r="V270" s="37"/>
      <c r="W270" s="37"/>
      <c r="X270" s="37"/>
      <c r="Y270" s="37"/>
      <c r="Z270" s="37"/>
      <c r="AA270" s="37"/>
      <c r="AB270" s="37"/>
      <c r="AC270" s="37"/>
      <c r="AD270" s="37"/>
      <c r="AE270" s="37"/>
      <c r="AF270" s="37"/>
      <c r="AG270" s="37"/>
      <c r="AH270" s="37"/>
      <c r="AI270" s="37"/>
      <c r="AJ270" s="37"/>
      <c r="AK270" s="37"/>
      <c r="AL270" s="37"/>
      <c r="AM270" s="37"/>
      <c r="AN270" s="37"/>
      <c r="AO270" s="37"/>
      <c r="AP270" s="37"/>
      <c r="AQ270" s="37"/>
      <c r="AR270" s="37"/>
      <c r="AS270" s="37"/>
      <c r="AT270" s="37"/>
      <c r="AU270" s="37"/>
      <c r="AV270" s="37"/>
      <c r="AW270" s="37"/>
      <c r="AX270" s="37"/>
      <c r="AY270" s="37"/>
      <c r="AZ270" s="37"/>
      <c r="BA270" s="37"/>
      <c r="BB270" s="37"/>
      <c r="BC270" s="37"/>
      <c r="BD270" s="37"/>
      <c r="BE270" s="37"/>
      <c r="BF270" s="37"/>
      <c r="BG270" s="37"/>
      <c r="BH270" s="37"/>
      <c r="BI270" s="37"/>
      <c r="BJ270" s="37"/>
      <c r="BK270" s="37"/>
      <c r="BL270" s="37"/>
      <c r="BM270" s="37"/>
      <c r="BN270" s="37"/>
      <c r="BO270" s="37"/>
      <c r="BP270" s="37"/>
      <c r="BQ270" s="38"/>
      <c r="BR270" s="38"/>
      <c r="BS270" s="37"/>
    </row>
    <row r="271" spans="1:71">
      <c r="A271" s="37"/>
      <c r="B271" s="37"/>
      <c r="C271" s="36"/>
      <c r="D271" s="36"/>
      <c r="E271" s="37"/>
      <c r="F271" s="37"/>
      <c r="G271" s="37"/>
      <c r="H271" s="37"/>
      <c r="I271" s="37"/>
      <c r="J271" s="37"/>
      <c r="K271" s="37"/>
      <c r="L271" s="37"/>
      <c r="M271" s="37"/>
      <c r="N271" s="37"/>
      <c r="O271" s="37"/>
      <c r="P271" s="37"/>
      <c r="Q271" s="37"/>
      <c r="R271" s="37"/>
      <c r="S271" s="37"/>
      <c r="T271" s="37"/>
      <c r="U271" s="37"/>
      <c r="V271" s="37"/>
      <c r="W271" s="37"/>
      <c r="X271" s="37"/>
      <c r="Y271" s="37"/>
      <c r="Z271" s="37"/>
      <c r="AA271" s="37"/>
      <c r="AB271" s="37"/>
      <c r="AC271" s="37"/>
      <c r="AD271" s="37"/>
      <c r="AE271" s="37"/>
      <c r="AF271" s="37"/>
      <c r="AG271" s="37"/>
      <c r="AH271" s="37"/>
      <c r="AI271" s="37"/>
      <c r="AJ271" s="37"/>
      <c r="AK271" s="37"/>
      <c r="AL271" s="37"/>
      <c r="AM271" s="37"/>
      <c r="AN271" s="37"/>
      <c r="AO271" s="37"/>
      <c r="AP271" s="37"/>
      <c r="AQ271" s="37"/>
      <c r="AR271" s="37"/>
      <c r="AS271" s="37"/>
      <c r="AT271" s="37"/>
      <c r="AU271" s="37"/>
      <c r="AV271" s="37"/>
      <c r="AW271" s="37"/>
      <c r="AX271" s="37"/>
      <c r="AY271" s="37"/>
      <c r="AZ271" s="37"/>
      <c r="BA271" s="37"/>
      <c r="BB271" s="37"/>
      <c r="BC271" s="37"/>
      <c r="BD271" s="37"/>
      <c r="BE271" s="37"/>
      <c r="BF271" s="37"/>
      <c r="BG271" s="37"/>
      <c r="BH271" s="37"/>
      <c r="BI271" s="37"/>
      <c r="BJ271" s="37"/>
      <c r="BK271" s="37"/>
      <c r="BL271" s="37"/>
      <c r="BM271" s="37"/>
      <c r="BN271" s="37"/>
      <c r="BO271" s="37"/>
      <c r="BP271" s="37"/>
      <c r="BQ271" s="38"/>
      <c r="BR271" s="38"/>
      <c r="BS271" s="37"/>
    </row>
    <row r="272" spans="1:71">
      <c r="A272" s="37"/>
      <c r="B272" s="37"/>
      <c r="C272" s="36"/>
      <c r="D272" s="36"/>
      <c r="E272" s="37"/>
      <c r="F272" s="37"/>
      <c r="G272" s="37"/>
      <c r="H272" s="37"/>
      <c r="I272" s="37"/>
      <c r="J272" s="37"/>
      <c r="K272" s="37"/>
      <c r="L272" s="37"/>
      <c r="M272" s="37"/>
      <c r="N272" s="37"/>
      <c r="O272" s="37"/>
      <c r="P272" s="37"/>
      <c r="Q272" s="37"/>
      <c r="R272" s="37"/>
      <c r="S272" s="37"/>
      <c r="T272" s="37"/>
      <c r="U272" s="37"/>
      <c r="V272" s="37"/>
      <c r="W272" s="37"/>
      <c r="X272" s="37"/>
      <c r="Y272" s="37"/>
      <c r="Z272" s="37"/>
      <c r="AA272" s="37"/>
      <c r="AB272" s="37"/>
      <c r="AC272" s="37"/>
      <c r="AD272" s="37"/>
      <c r="AE272" s="37"/>
      <c r="AF272" s="37"/>
      <c r="AG272" s="37"/>
      <c r="AH272" s="37"/>
      <c r="AI272" s="37"/>
      <c r="AJ272" s="37"/>
      <c r="AK272" s="37"/>
      <c r="AL272" s="37"/>
      <c r="AM272" s="37"/>
      <c r="AN272" s="37"/>
      <c r="AO272" s="37"/>
      <c r="AP272" s="37"/>
      <c r="AQ272" s="37"/>
      <c r="AR272" s="37"/>
      <c r="AS272" s="37"/>
      <c r="AT272" s="37"/>
      <c r="AU272" s="37"/>
      <c r="AV272" s="37"/>
      <c r="AW272" s="37"/>
      <c r="AX272" s="37"/>
      <c r="AY272" s="37"/>
      <c r="AZ272" s="37"/>
      <c r="BA272" s="37"/>
      <c r="BB272" s="37"/>
      <c r="BC272" s="37"/>
      <c r="BD272" s="37"/>
      <c r="BE272" s="37"/>
      <c r="BF272" s="37"/>
      <c r="BG272" s="37"/>
      <c r="BH272" s="37"/>
      <c r="BI272" s="37"/>
      <c r="BJ272" s="37"/>
      <c r="BK272" s="37"/>
      <c r="BL272" s="37"/>
      <c r="BM272" s="37"/>
      <c r="BN272" s="37"/>
      <c r="BO272" s="37"/>
      <c r="BP272" s="37"/>
      <c r="BQ272" s="38"/>
      <c r="BR272" s="38"/>
      <c r="BS272" s="37"/>
    </row>
    <row r="273" spans="1:71">
      <c r="A273" s="37"/>
      <c r="B273" s="37"/>
      <c r="C273" s="36"/>
      <c r="D273" s="36"/>
      <c r="E273" s="37"/>
      <c r="F273" s="37"/>
      <c r="G273" s="37"/>
      <c r="H273" s="37"/>
      <c r="I273" s="37"/>
      <c r="J273" s="37"/>
      <c r="K273" s="37"/>
      <c r="L273" s="37"/>
      <c r="M273" s="37"/>
      <c r="N273" s="37"/>
      <c r="O273" s="37"/>
      <c r="P273" s="37"/>
      <c r="Q273" s="37"/>
      <c r="R273" s="37"/>
      <c r="S273" s="37"/>
      <c r="T273" s="37"/>
      <c r="U273" s="37"/>
      <c r="V273" s="37"/>
      <c r="W273" s="37"/>
      <c r="X273" s="37"/>
      <c r="Y273" s="37"/>
      <c r="Z273" s="37"/>
      <c r="AA273" s="37"/>
      <c r="AB273" s="37"/>
      <c r="AC273" s="37"/>
      <c r="AD273" s="37"/>
      <c r="AE273" s="37"/>
      <c r="AF273" s="37"/>
      <c r="AG273" s="37"/>
      <c r="AH273" s="37"/>
      <c r="AI273" s="37"/>
      <c r="AJ273" s="37"/>
      <c r="AK273" s="37"/>
      <c r="AL273" s="37"/>
      <c r="AM273" s="37"/>
      <c r="AN273" s="37"/>
      <c r="AO273" s="37"/>
      <c r="AP273" s="37"/>
      <c r="AQ273" s="37"/>
      <c r="AR273" s="37"/>
      <c r="AS273" s="37"/>
      <c r="AT273" s="37"/>
      <c r="AU273" s="37"/>
      <c r="AV273" s="37"/>
      <c r="AW273" s="37"/>
      <c r="AX273" s="37"/>
      <c r="AY273" s="37"/>
      <c r="AZ273" s="37"/>
      <c r="BA273" s="37"/>
      <c r="BB273" s="37"/>
      <c r="BC273" s="37"/>
      <c r="BD273" s="37"/>
      <c r="BE273" s="37"/>
      <c r="BF273" s="37"/>
      <c r="BG273" s="37"/>
      <c r="BH273" s="37"/>
      <c r="BI273" s="37"/>
      <c r="BJ273" s="37"/>
      <c r="BK273" s="37"/>
      <c r="BL273" s="37"/>
      <c r="BM273" s="37"/>
      <c r="BN273" s="37"/>
      <c r="BO273" s="37"/>
      <c r="BP273" s="37"/>
      <c r="BQ273" s="38"/>
      <c r="BR273" s="38"/>
      <c r="BS273" s="37"/>
    </row>
    <row r="274" spans="1:71">
      <c r="A274" s="37"/>
      <c r="B274" s="37"/>
      <c r="C274" s="36"/>
      <c r="D274" s="36"/>
      <c r="E274" s="37"/>
      <c r="F274" s="37"/>
      <c r="G274" s="37"/>
      <c r="H274" s="37"/>
      <c r="I274" s="37"/>
      <c r="J274" s="37"/>
      <c r="K274" s="37"/>
      <c r="L274" s="37"/>
      <c r="M274" s="37"/>
      <c r="N274" s="37"/>
      <c r="O274" s="37"/>
      <c r="P274" s="37"/>
      <c r="Q274" s="37"/>
      <c r="R274" s="37"/>
      <c r="S274" s="37"/>
      <c r="T274" s="37"/>
      <c r="U274" s="37"/>
      <c r="V274" s="37"/>
      <c r="W274" s="37"/>
      <c r="X274" s="37"/>
      <c r="Y274" s="37"/>
      <c r="Z274" s="37"/>
      <c r="AA274" s="37"/>
      <c r="AB274" s="37"/>
      <c r="AC274" s="37"/>
      <c r="AD274" s="37"/>
      <c r="AE274" s="37"/>
      <c r="AF274" s="37"/>
      <c r="AG274" s="37"/>
      <c r="AH274" s="37"/>
      <c r="AI274" s="37"/>
      <c r="AJ274" s="37"/>
      <c r="AK274" s="37"/>
      <c r="AL274" s="37"/>
      <c r="AM274" s="37"/>
      <c r="AN274" s="37"/>
      <c r="AO274" s="37"/>
      <c r="AP274" s="37"/>
      <c r="AQ274" s="37"/>
      <c r="AR274" s="37"/>
      <c r="AS274" s="37"/>
      <c r="AT274" s="37"/>
      <c r="AU274" s="37"/>
      <c r="AV274" s="37"/>
      <c r="AW274" s="37"/>
      <c r="AX274" s="37"/>
      <c r="AY274" s="37"/>
      <c r="AZ274" s="37"/>
      <c r="BA274" s="37"/>
      <c r="BB274" s="37"/>
      <c r="BC274" s="37"/>
      <c r="BD274" s="37"/>
      <c r="BE274" s="37"/>
      <c r="BF274" s="37"/>
      <c r="BG274" s="37"/>
      <c r="BH274" s="37"/>
      <c r="BI274" s="37"/>
      <c r="BJ274" s="37"/>
      <c r="BK274" s="37"/>
      <c r="BL274" s="37"/>
      <c r="BM274" s="37"/>
      <c r="BN274" s="37"/>
      <c r="BO274" s="37"/>
      <c r="BP274" s="37"/>
      <c r="BQ274" s="38"/>
      <c r="BR274" s="38"/>
      <c r="BS274" s="37"/>
    </row>
    <row r="275" spans="1:71">
      <c r="A275" s="37"/>
      <c r="B275" s="37"/>
      <c r="C275" s="36"/>
      <c r="D275" s="36"/>
      <c r="E275" s="37"/>
      <c r="F275" s="37"/>
      <c r="G275" s="37"/>
      <c r="H275" s="37"/>
      <c r="I275" s="37"/>
      <c r="J275" s="37"/>
      <c r="K275" s="37"/>
      <c r="L275" s="37"/>
      <c r="M275" s="37"/>
      <c r="N275" s="37"/>
      <c r="O275" s="37"/>
      <c r="P275" s="37"/>
      <c r="Q275" s="37"/>
      <c r="R275" s="37"/>
      <c r="S275" s="37"/>
      <c r="T275" s="37"/>
      <c r="U275" s="37"/>
      <c r="V275" s="37"/>
      <c r="W275" s="37"/>
      <c r="X275" s="37"/>
      <c r="Y275" s="37"/>
      <c r="Z275" s="37"/>
      <c r="AA275" s="37"/>
      <c r="AB275" s="37"/>
      <c r="AC275" s="37"/>
      <c r="AD275" s="37"/>
      <c r="AE275" s="37"/>
      <c r="AF275" s="37"/>
      <c r="AG275" s="37"/>
      <c r="AH275" s="37"/>
      <c r="AI275" s="37"/>
      <c r="AJ275" s="37"/>
      <c r="AK275" s="37"/>
      <c r="AL275" s="37"/>
      <c r="AM275" s="37"/>
      <c r="AN275" s="37"/>
      <c r="AO275" s="37"/>
      <c r="AP275" s="37"/>
      <c r="AQ275" s="37"/>
      <c r="AR275" s="37"/>
      <c r="AS275" s="37"/>
      <c r="AT275" s="37"/>
      <c r="AU275" s="37"/>
      <c r="AV275" s="37"/>
      <c r="AW275" s="37"/>
      <c r="AX275" s="37"/>
      <c r="AY275" s="37"/>
      <c r="AZ275" s="37"/>
      <c r="BA275" s="37"/>
      <c r="BB275" s="37"/>
      <c r="BC275" s="37"/>
      <c r="BD275" s="37"/>
      <c r="BE275" s="37"/>
      <c r="BF275" s="37"/>
      <c r="BG275" s="37"/>
      <c r="BH275" s="37"/>
      <c r="BI275" s="37"/>
      <c r="BJ275" s="37"/>
      <c r="BK275" s="37"/>
      <c r="BL275" s="37"/>
      <c r="BM275" s="37"/>
      <c r="BN275" s="37"/>
      <c r="BO275" s="37"/>
      <c r="BP275" s="37"/>
      <c r="BQ275" s="38"/>
      <c r="BR275" s="38"/>
      <c r="BS275" s="37"/>
    </row>
    <row r="276" spans="1:71">
      <c r="A276" s="37"/>
      <c r="B276" s="37"/>
      <c r="C276" s="36"/>
      <c r="D276" s="36"/>
      <c r="E276" s="37"/>
      <c r="F276" s="37"/>
      <c r="G276" s="37"/>
      <c r="H276" s="37"/>
      <c r="I276" s="37"/>
      <c r="J276" s="37"/>
      <c r="K276" s="37"/>
      <c r="L276" s="37"/>
      <c r="M276" s="37"/>
      <c r="N276" s="37"/>
      <c r="O276" s="37"/>
      <c r="P276" s="37"/>
      <c r="Q276" s="37"/>
      <c r="R276" s="37"/>
      <c r="S276" s="37"/>
      <c r="T276" s="37"/>
      <c r="U276" s="37"/>
      <c r="V276" s="37"/>
      <c r="W276" s="37"/>
      <c r="X276" s="37"/>
      <c r="Y276" s="37"/>
      <c r="Z276" s="37"/>
      <c r="AA276" s="37"/>
      <c r="AB276" s="37"/>
      <c r="AC276" s="37"/>
      <c r="AD276" s="37"/>
      <c r="AE276" s="37"/>
      <c r="AF276" s="37"/>
      <c r="AG276" s="37"/>
      <c r="AH276" s="37"/>
      <c r="AI276" s="37"/>
      <c r="AJ276" s="37"/>
      <c r="AK276" s="37"/>
      <c r="AL276" s="37"/>
      <c r="AM276" s="37"/>
      <c r="AN276" s="37"/>
      <c r="AO276" s="37"/>
      <c r="AP276" s="37"/>
      <c r="AQ276" s="37"/>
      <c r="AR276" s="37"/>
      <c r="AS276" s="37"/>
      <c r="AT276" s="37"/>
      <c r="AU276" s="37"/>
      <c r="AV276" s="37"/>
      <c r="AW276" s="37"/>
      <c r="AX276" s="37"/>
      <c r="AY276" s="37"/>
      <c r="AZ276" s="37"/>
      <c r="BA276" s="37"/>
      <c r="BB276" s="37"/>
      <c r="BC276" s="37"/>
      <c r="BD276" s="37"/>
      <c r="BE276" s="37"/>
      <c r="BF276" s="37"/>
      <c r="BG276" s="37"/>
      <c r="BH276" s="37"/>
      <c r="BI276" s="37"/>
      <c r="BJ276" s="37"/>
      <c r="BK276" s="37"/>
      <c r="BL276" s="37"/>
      <c r="BM276" s="37"/>
      <c r="BN276" s="37"/>
      <c r="BO276" s="37"/>
      <c r="BP276" s="37"/>
      <c r="BQ276" s="38"/>
      <c r="BR276" s="38"/>
      <c r="BS276" s="37"/>
    </row>
    <row r="277" spans="1:71">
      <c r="A277" s="37"/>
      <c r="B277" s="37"/>
      <c r="C277" s="36"/>
      <c r="D277" s="36"/>
      <c r="E277" s="37"/>
      <c r="F277" s="37"/>
      <c r="G277" s="37"/>
      <c r="H277" s="37"/>
      <c r="I277" s="37"/>
      <c r="J277" s="37"/>
      <c r="K277" s="37"/>
      <c r="L277" s="37"/>
      <c r="M277" s="37"/>
      <c r="N277" s="37"/>
      <c r="O277" s="37"/>
      <c r="P277" s="37"/>
      <c r="Q277" s="37"/>
      <c r="R277" s="37"/>
      <c r="S277" s="37"/>
      <c r="T277" s="37"/>
      <c r="U277" s="37"/>
      <c r="V277" s="37"/>
      <c r="W277" s="37"/>
      <c r="X277" s="37"/>
      <c r="Y277" s="37"/>
      <c r="Z277" s="37"/>
      <c r="AA277" s="37"/>
      <c r="AB277" s="37"/>
      <c r="AC277" s="37"/>
      <c r="AD277" s="37"/>
      <c r="AE277" s="37"/>
      <c r="AF277" s="37"/>
      <c r="AG277" s="37"/>
      <c r="AH277" s="37"/>
      <c r="AI277" s="37"/>
      <c r="AJ277" s="37"/>
      <c r="AK277" s="37"/>
      <c r="AL277" s="37"/>
      <c r="AM277" s="37"/>
      <c r="AN277" s="37"/>
      <c r="AO277" s="37"/>
      <c r="AP277" s="37"/>
      <c r="AQ277" s="37"/>
      <c r="AR277" s="37"/>
      <c r="AS277" s="37"/>
      <c r="AT277" s="37"/>
      <c r="AU277" s="37"/>
      <c r="AV277" s="37"/>
      <c r="AW277" s="37"/>
      <c r="AX277" s="37"/>
      <c r="AY277" s="37"/>
      <c r="AZ277" s="37"/>
      <c r="BA277" s="37"/>
      <c r="BB277" s="37"/>
      <c r="BC277" s="37"/>
      <c r="BD277" s="37"/>
      <c r="BE277" s="37"/>
      <c r="BF277" s="37"/>
      <c r="BG277" s="37"/>
      <c r="BH277" s="37"/>
      <c r="BI277" s="37"/>
      <c r="BJ277" s="37"/>
      <c r="BK277" s="37"/>
      <c r="BL277" s="37"/>
      <c r="BM277" s="37"/>
      <c r="BN277" s="37"/>
      <c r="BO277" s="37"/>
      <c r="BP277" s="37"/>
      <c r="BQ277" s="38"/>
      <c r="BR277" s="38"/>
      <c r="BS277" s="37"/>
    </row>
    <row r="278" spans="1:71">
      <c r="A278" s="37"/>
      <c r="B278" s="37"/>
      <c r="C278" s="36"/>
      <c r="D278" s="36"/>
      <c r="E278" s="37"/>
      <c r="F278" s="37"/>
      <c r="G278" s="37"/>
      <c r="H278" s="37"/>
      <c r="I278" s="37"/>
      <c r="J278" s="37"/>
      <c r="K278" s="37"/>
      <c r="L278" s="37"/>
      <c r="M278" s="37"/>
      <c r="N278" s="37"/>
      <c r="O278" s="37"/>
      <c r="P278" s="37"/>
      <c r="Q278" s="37"/>
      <c r="R278" s="37"/>
      <c r="S278" s="37"/>
      <c r="T278" s="37"/>
      <c r="U278" s="37"/>
      <c r="V278" s="37"/>
      <c r="W278" s="37"/>
      <c r="X278" s="37"/>
      <c r="Y278" s="37"/>
      <c r="Z278" s="37"/>
      <c r="AA278" s="37"/>
      <c r="AB278" s="37"/>
      <c r="AC278" s="37"/>
      <c r="AD278" s="37"/>
      <c r="AE278" s="37"/>
      <c r="AF278" s="37"/>
      <c r="AG278" s="37"/>
      <c r="AH278" s="37"/>
      <c r="AI278" s="37"/>
      <c r="AJ278" s="37"/>
      <c r="AK278" s="37"/>
      <c r="AL278" s="37"/>
      <c r="AM278" s="37"/>
      <c r="AN278" s="37"/>
      <c r="AO278" s="37"/>
      <c r="AP278" s="37"/>
      <c r="AQ278" s="37"/>
      <c r="AR278" s="37"/>
      <c r="AS278" s="37"/>
      <c r="AT278" s="37"/>
      <c r="AU278" s="37"/>
      <c r="AV278" s="37"/>
      <c r="AW278" s="37"/>
      <c r="AX278" s="37"/>
      <c r="AY278" s="37"/>
      <c r="AZ278" s="37"/>
      <c r="BA278" s="37"/>
      <c r="BB278" s="37"/>
      <c r="BC278" s="37"/>
      <c r="BD278" s="37"/>
      <c r="BE278" s="37"/>
      <c r="BF278" s="37"/>
      <c r="BG278" s="37"/>
      <c r="BH278" s="37"/>
      <c r="BI278" s="37"/>
      <c r="BJ278" s="37"/>
      <c r="BK278" s="37"/>
      <c r="BL278" s="37"/>
      <c r="BM278" s="37"/>
      <c r="BN278" s="37"/>
      <c r="BO278" s="37"/>
      <c r="BP278" s="37"/>
      <c r="BQ278" s="38"/>
      <c r="BR278" s="38"/>
      <c r="BS278" s="37"/>
    </row>
    <row r="279" spans="1:71">
      <c r="A279" s="37"/>
      <c r="B279" s="37"/>
      <c r="C279" s="36"/>
      <c r="D279" s="36"/>
      <c r="E279" s="37"/>
      <c r="F279" s="37"/>
      <c r="G279" s="37"/>
      <c r="H279" s="37"/>
      <c r="I279" s="37"/>
      <c r="J279" s="37"/>
      <c r="K279" s="37"/>
      <c r="L279" s="37"/>
      <c r="M279" s="37"/>
      <c r="N279" s="37"/>
      <c r="O279" s="37"/>
      <c r="P279" s="37"/>
      <c r="Q279" s="37"/>
      <c r="R279" s="37"/>
      <c r="S279" s="37"/>
      <c r="T279" s="37"/>
      <c r="U279" s="37"/>
      <c r="V279" s="37"/>
      <c r="W279" s="37"/>
      <c r="X279" s="37"/>
      <c r="Y279" s="37"/>
      <c r="Z279" s="37"/>
      <c r="AA279" s="37"/>
      <c r="AB279" s="37"/>
      <c r="AC279" s="37"/>
      <c r="AD279" s="37"/>
      <c r="AE279" s="37"/>
      <c r="AF279" s="37"/>
      <c r="AG279" s="37"/>
      <c r="AH279" s="37"/>
      <c r="AI279" s="37"/>
      <c r="AJ279" s="37"/>
      <c r="AK279" s="37"/>
      <c r="AL279" s="37"/>
      <c r="AM279" s="37"/>
      <c r="AN279" s="37"/>
      <c r="AO279" s="37"/>
      <c r="AP279" s="37"/>
      <c r="AQ279" s="37"/>
      <c r="AR279" s="37"/>
      <c r="AS279" s="37"/>
      <c r="AT279" s="37"/>
      <c r="AU279" s="37"/>
      <c r="AV279" s="37"/>
      <c r="AW279" s="37"/>
      <c r="AX279" s="37"/>
      <c r="AY279" s="37"/>
      <c r="AZ279" s="37"/>
      <c r="BA279" s="37"/>
      <c r="BB279" s="37"/>
      <c r="BC279" s="37"/>
      <c r="BD279" s="37"/>
      <c r="BE279" s="37"/>
      <c r="BF279" s="37"/>
      <c r="BG279" s="37"/>
      <c r="BH279" s="37"/>
      <c r="BI279" s="37"/>
      <c r="BJ279" s="37"/>
      <c r="BK279" s="37"/>
      <c r="BL279" s="37"/>
      <c r="BM279" s="37"/>
      <c r="BN279" s="37"/>
      <c r="BO279" s="37"/>
      <c r="BP279" s="37"/>
      <c r="BQ279" s="38"/>
      <c r="BR279" s="38"/>
      <c r="BS279" s="37"/>
    </row>
    <row r="280" spans="1:71">
      <c r="A280" s="37"/>
      <c r="B280" s="37"/>
      <c r="C280" s="36"/>
      <c r="D280" s="36"/>
      <c r="E280" s="37"/>
      <c r="F280" s="37"/>
      <c r="G280" s="37"/>
      <c r="H280" s="37"/>
      <c r="I280" s="37"/>
      <c r="J280" s="37"/>
      <c r="K280" s="37"/>
      <c r="L280" s="37"/>
      <c r="M280" s="37"/>
      <c r="N280" s="37"/>
      <c r="O280" s="37"/>
      <c r="P280" s="37"/>
      <c r="Q280" s="37"/>
      <c r="R280" s="37"/>
      <c r="S280" s="37"/>
      <c r="T280" s="37"/>
      <c r="U280" s="37"/>
      <c r="V280" s="37"/>
      <c r="W280" s="37"/>
      <c r="X280" s="37"/>
      <c r="Y280" s="37"/>
      <c r="Z280" s="37"/>
      <c r="AA280" s="37"/>
      <c r="AB280" s="37"/>
      <c r="AC280" s="37"/>
      <c r="AD280" s="37"/>
      <c r="AE280" s="37"/>
      <c r="AF280" s="37"/>
      <c r="AG280" s="37"/>
      <c r="AH280" s="37"/>
      <c r="AI280" s="37"/>
      <c r="AJ280" s="37"/>
      <c r="AK280" s="37"/>
      <c r="AL280" s="37"/>
      <c r="AM280" s="37"/>
      <c r="AN280" s="37"/>
      <c r="AO280" s="37"/>
      <c r="AP280" s="37"/>
      <c r="AQ280" s="37"/>
      <c r="AR280" s="37"/>
      <c r="AS280" s="37"/>
      <c r="AT280" s="37"/>
      <c r="AU280" s="37"/>
      <c r="AV280" s="37"/>
      <c r="AW280" s="37"/>
      <c r="AX280" s="37"/>
      <c r="AY280" s="37"/>
      <c r="AZ280" s="37"/>
      <c r="BA280" s="37"/>
      <c r="BB280" s="37"/>
      <c r="BC280" s="37"/>
      <c r="BD280" s="37"/>
      <c r="BE280" s="37"/>
      <c r="BF280" s="37"/>
      <c r="BG280" s="37"/>
      <c r="BH280" s="37"/>
      <c r="BI280" s="37"/>
      <c r="BJ280" s="37"/>
      <c r="BK280" s="37"/>
      <c r="BL280" s="37"/>
      <c r="BM280" s="37"/>
      <c r="BN280" s="37"/>
      <c r="BO280" s="37"/>
      <c r="BP280" s="37"/>
      <c r="BQ280" s="38"/>
      <c r="BR280" s="38"/>
      <c r="BS280" s="37"/>
    </row>
    <row r="281" spans="1:71">
      <c r="A281" s="37"/>
      <c r="B281" s="37"/>
      <c r="C281" s="36"/>
      <c r="D281" s="36"/>
      <c r="E281" s="37"/>
      <c r="F281" s="37"/>
      <c r="G281" s="37"/>
      <c r="H281" s="37"/>
      <c r="I281" s="37"/>
      <c r="J281" s="37"/>
      <c r="K281" s="37"/>
      <c r="L281" s="37"/>
      <c r="M281" s="37"/>
      <c r="N281" s="37"/>
      <c r="O281" s="37"/>
      <c r="P281" s="37"/>
      <c r="Q281" s="37"/>
      <c r="R281" s="37"/>
      <c r="S281" s="37"/>
      <c r="T281" s="37"/>
      <c r="U281" s="37"/>
      <c r="V281" s="37"/>
      <c r="W281" s="37"/>
      <c r="X281" s="37"/>
      <c r="Y281" s="37"/>
      <c r="Z281" s="37"/>
      <c r="AA281" s="37"/>
      <c r="AB281" s="37"/>
      <c r="AC281" s="37"/>
      <c r="AD281" s="37"/>
      <c r="AE281" s="37"/>
      <c r="AF281" s="37"/>
      <c r="AG281" s="37"/>
      <c r="AH281" s="37"/>
      <c r="AI281" s="37"/>
      <c r="AJ281" s="37"/>
      <c r="AK281" s="37"/>
      <c r="AL281" s="37"/>
      <c r="AM281" s="37"/>
      <c r="AN281" s="37"/>
      <c r="AO281" s="37"/>
      <c r="AP281" s="37"/>
      <c r="AQ281" s="37"/>
      <c r="AR281" s="37"/>
      <c r="AS281" s="37"/>
      <c r="AT281" s="37"/>
      <c r="AU281" s="37"/>
      <c r="AV281" s="37"/>
      <c r="AW281" s="37"/>
      <c r="AX281" s="37"/>
      <c r="AY281" s="37"/>
      <c r="AZ281" s="37"/>
      <c r="BA281" s="37"/>
      <c r="BB281" s="37"/>
      <c r="BC281" s="37"/>
      <c r="BD281" s="37"/>
      <c r="BE281" s="37"/>
      <c r="BF281" s="37"/>
      <c r="BG281" s="37"/>
      <c r="BH281" s="37"/>
      <c r="BI281" s="37"/>
      <c r="BJ281" s="37"/>
      <c r="BK281" s="37"/>
      <c r="BL281" s="37"/>
      <c r="BM281" s="37"/>
      <c r="BN281" s="37"/>
      <c r="BO281" s="37"/>
      <c r="BP281" s="37"/>
      <c r="BQ281" s="38"/>
      <c r="BR281" s="38"/>
      <c r="BS281" s="37"/>
    </row>
    <row r="282" spans="1:71">
      <c r="A282" s="37"/>
      <c r="B282" s="37"/>
      <c r="C282" s="36"/>
      <c r="D282" s="36"/>
      <c r="E282" s="37"/>
      <c r="F282" s="37"/>
      <c r="G282" s="37"/>
      <c r="H282" s="37"/>
      <c r="I282" s="37"/>
      <c r="J282" s="37"/>
      <c r="K282" s="37"/>
      <c r="L282" s="37"/>
      <c r="M282" s="37"/>
      <c r="N282" s="37"/>
      <c r="O282" s="37"/>
      <c r="P282" s="37"/>
      <c r="Q282" s="37"/>
      <c r="R282" s="37"/>
      <c r="S282" s="37"/>
      <c r="T282" s="37"/>
      <c r="U282" s="37"/>
      <c r="V282" s="37"/>
      <c r="W282" s="37"/>
      <c r="X282" s="37"/>
      <c r="Y282" s="37"/>
      <c r="Z282" s="37"/>
      <c r="AA282" s="37"/>
      <c r="AB282" s="37"/>
      <c r="AC282" s="37"/>
      <c r="AD282" s="37"/>
      <c r="AE282" s="37"/>
      <c r="AF282" s="37"/>
      <c r="AG282" s="37"/>
      <c r="AH282" s="37"/>
      <c r="AI282" s="37"/>
      <c r="AJ282" s="37"/>
      <c r="AK282" s="37"/>
      <c r="AL282" s="37"/>
      <c r="AM282" s="37"/>
      <c r="AN282" s="37"/>
      <c r="AO282" s="37"/>
      <c r="AP282" s="37"/>
      <c r="AQ282" s="37"/>
      <c r="AR282" s="37"/>
      <c r="AS282" s="37"/>
      <c r="AT282" s="37"/>
      <c r="AU282" s="37"/>
      <c r="AV282" s="37"/>
      <c r="AW282" s="37"/>
      <c r="AX282" s="37"/>
      <c r="AY282" s="37"/>
      <c r="AZ282" s="37"/>
      <c r="BA282" s="37"/>
      <c r="BB282" s="37"/>
      <c r="BC282" s="37"/>
      <c r="BD282" s="37"/>
      <c r="BE282" s="37"/>
      <c r="BF282" s="37"/>
      <c r="BG282" s="37"/>
      <c r="BH282" s="37"/>
      <c r="BI282" s="37"/>
      <c r="BJ282" s="37"/>
      <c r="BK282" s="37"/>
      <c r="BL282" s="37"/>
      <c r="BM282" s="37"/>
      <c r="BN282" s="37"/>
      <c r="BO282" s="37"/>
      <c r="BP282" s="37"/>
      <c r="BQ282" s="38"/>
      <c r="BR282" s="38"/>
      <c r="BS282" s="37"/>
    </row>
    <row r="283" spans="1:71">
      <c r="A283" s="37"/>
      <c r="B283" s="37"/>
      <c r="C283" s="36"/>
      <c r="D283" s="36"/>
      <c r="E283" s="37"/>
      <c r="F283" s="37"/>
      <c r="G283" s="37"/>
      <c r="H283" s="37"/>
      <c r="I283" s="37"/>
      <c r="J283" s="37"/>
      <c r="K283" s="37"/>
      <c r="L283" s="37"/>
      <c r="M283" s="37"/>
      <c r="N283" s="37"/>
      <c r="O283" s="37"/>
      <c r="P283" s="37"/>
      <c r="Q283" s="37"/>
      <c r="R283" s="37"/>
      <c r="S283" s="37"/>
      <c r="T283" s="37"/>
      <c r="U283" s="37"/>
      <c r="V283" s="37"/>
      <c r="W283" s="37"/>
      <c r="X283" s="37"/>
      <c r="Y283" s="37"/>
      <c r="Z283" s="37"/>
      <c r="AA283" s="37"/>
      <c r="AB283" s="37"/>
      <c r="AC283" s="37"/>
      <c r="AD283" s="37"/>
      <c r="AE283" s="37"/>
      <c r="AF283" s="37"/>
      <c r="AG283" s="37"/>
      <c r="AH283" s="37"/>
      <c r="AI283" s="37"/>
      <c r="AJ283" s="37"/>
      <c r="AK283" s="37"/>
      <c r="AL283" s="37"/>
      <c r="AM283" s="37"/>
      <c r="AN283" s="37"/>
      <c r="AO283" s="37"/>
      <c r="AP283" s="37"/>
      <c r="AQ283" s="37"/>
      <c r="AR283" s="37"/>
      <c r="AS283" s="37"/>
      <c r="AT283" s="37"/>
      <c r="AU283" s="37"/>
      <c r="AV283" s="37"/>
      <c r="AW283" s="37"/>
      <c r="AX283" s="37"/>
      <c r="AY283" s="37"/>
      <c r="AZ283" s="37"/>
      <c r="BA283" s="37"/>
      <c r="BB283" s="37"/>
      <c r="BC283" s="37"/>
      <c r="BD283" s="37"/>
      <c r="BE283" s="37"/>
      <c r="BF283" s="37"/>
      <c r="BG283" s="37"/>
      <c r="BH283" s="37"/>
      <c r="BI283" s="37"/>
      <c r="BJ283" s="37"/>
      <c r="BK283" s="37"/>
      <c r="BL283" s="37"/>
      <c r="BM283" s="37"/>
      <c r="BN283" s="37"/>
      <c r="BO283" s="37"/>
      <c r="BP283" s="37"/>
      <c r="BQ283" s="38"/>
      <c r="BR283" s="38"/>
      <c r="BS283" s="37"/>
    </row>
    <row r="284" spans="1:71">
      <c r="A284" s="37"/>
      <c r="B284" s="37"/>
      <c r="C284" s="36"/>
      <c r="D284" s="36"/>
      <c r="E284" s="37"/>
      <c r="F284" s="37"/>
      <c r="G284" s="37"/>
      <c r="H284" s="37"/>
      <c r="I284" s="37"/>
      <c r="J284" s="37"/>
      <c r="K284" s="37"/>
      <c r="L284" s="37"/>
      <c r="M284" s="37"/>
      <c r="N284" s="37"/>
      <c r="O284" s="37"/>
      <c r="P284" s="37"/>
      <c r="Q284" s="37"/>
      <c r="R284" s="37"/>
      <c r="S284" s="37"/>
      <c r="T284" s="37"/>
      <c r="U284" s="37"/>
      <c r="V284" s="37"/>
      <c r="W284" s="37"/>
      <c r="X284" s="37"/>
      <c r="Y284" s="37"/>
      <c r="Z284" s="37"/>
      <c r="AA284" s="37"/>
      <c r="AB284" s="37"/>
      <c r="AC284" s="37"/>
      <c r="AD284" s="37"/>
      <c r="AE284" s="37"/>
      <c r="AF284" s="37"/>
      <c r="AG284" s="37"/>
      <c r="AH284" s="37"/>
      <c r="AI284" s="37"/>
      <c r="AJ284" s="37"/>
      <c r="AK284" s="37"/>
      <c r="AL284" s="37"/>
      <c r="AM284" s="37"/>
      <c r="AN284" s="37"/>
      <c r="AO284" s="37"/>
      <c r="AP284" s="37"/>
      <c r="AQ284" s="37"/>
      <c r="AR284" s="37"/>
      <c r="AS284" s="37"/>
      <c r="AT284" s="37"/>
      <c r="AU284" s="37"/>
      <c r="AV284" s="37"/>
      <c r="AW284" s="37"/>
      <c r="AX284" s="37"/>
      <c r="AY284" s="37"/>
      <c r="AZ284" s="37"/>
      <c r="BA284" s="37"/>
      <c r="BB284" s="37"/>
      <c r="BC284" s="37"/>
      <c r="BD284" s="37"/>
      <c r="BE284" s="37"/>
      <c r="BF284" s="37"/>
      <c r="BG284" s="37"/>
      <c r="BH284" s="37"/>
      <c r="BI284" s="37"/>
      <c r="BJ284" s="37"/>
      <c r="BK284" s="37"/>
      <c r="BL284" s="37"/>
      <c r="BM284" s="37"/>
      <c r="BN284" s="37"/>
      <c r="BO284" s="37"/>
      <c r="BP284" s="37"/>
      <c r="BQ284" s="38"/>
      <c r="BR284" s="38"/>
      <c r="BS284" s="37"/>
    </row>
    <row r="285" spans="1:71">
      <c r="A285" s="37"/>
      <c r="B285" s="37"/>
      <c r="C285" s="36"/>
      <c r="D285" s="36"/>
      <c r="E285" s="37"/>
      <c r="F285" s="37"/>
      <c r="G285" s="37"/>
      <c r="H285" s="37"/>
      <c r="I285" s="37"/>
      <c r="J285" s="37"/>
      <c r="K285" s="37"/>
      <c r="L285" s="37"/>
      <c r="M285" s="37"/>
      <c r="N285" s="37"/>
      <c r="O285" s="37"/>
      <c r="P285" s="37"/>
      <c r="Q285" s="37"/>
      <c r="R285" s="37"/>
      <c r="S285" s="37"/>
      <c r="T285" s="37"/>
      <c r="U285" s="37"/>
      <c r="V285" s="37"/>
      <c r="W285" s="37"/>
      <c r="X285" s="37"/>
      <c r="Y285" s="37"/>
      <c r="Z285" s="37"/>
      <c r="AA285" s="37"/>
      <c r="AB285" s="37"/>
      <c r="AC285" s="37"/>
      <c r="AD285" s="37"/>
      <c r="AE285" s="37"/>
      <c r="AF285" s="37"/>
      <c r="AG285" s="37"/>
      <c r="AH285" s="37"/>
      <c r="AI285" s="37"/>
      <c r="AJ285" s="37"/>
      <c r="AK285" s="37"/>
      <c r="AL285" s="37"/>
      <c r="AM285" s="37"/>
      <c r="AN285" s="37"/>
      <c r="AO285" s="37"/>
      <c r="AP285" s="37"/>
      <c r="AQ285" s="37"/>
      <c r="AR285" s="37"/>
      <c r="AS285" s="37"/>
      <c r="AT285" s="37"/>
      <c r="AU285" s="37"/>
      <c r="AV285" s="37"/>
      <c r="AW285" s="37"/>
      <c r="AX285" s="37"/>
      <c r="AY285" s="37"/>
      <c r="AZ285" s="37"/>
      <c r="BA285" s="37"/>
      <c r="BB285" s="37"/>
      <c r="BC285" s="37"/>
      <c r="BD285" s="37"/>
      <c r="BE285" s="37"/>
      <c r="BF285" s="37"/>
      <c r="BG285" s="37"/>
      <c r="BH285" s="37"/>
      <c r="BI285" s="37"/>
      <c r="BJ285" s="37"/>
      <c r="BK285" s="37"/>
      <c r="BL285" s="37"/>
      <c r="BM285" s="37"/>
      <c r="BN285" s="37"/>
      <c r="BO285" s="37"/>
      <c r="BP285" s="37"/>
      <c r="BQ285" s="38"/>
      <c r="BR285" s="38"/>
      <c r="BS285" s="37"/>
    </row>
    <row r="286" spans="1:71">
      <c r="A286" s="37"/>
      <c r="B286" s="37"/>
      <c r="C286" s="36"/>
      <c r="D286" s="36"/>
      <c r="E286" s="37"/>
      <c r="F286" s="37"/>
      <c r="G286" s="37"/>
      <c r="H286" s="37"/>
      <c r="I286" s="37"/>
      <c r="J286" s="37"/>
      <c r="K286" s="37"/>
      <c r="L286" s="37"/>
      <c r="M286" s="37"/>
      <c r="N286" s="37"/>
      <c r="O286" s="37"/>
      <c r="P286" s="37"/>
      <c r="Q286" s="37"/>
      <c r="R286" s="37"/>
      <c r="S286" s="37"/>
      <c r="T286" s="37"/>
      <c r="U286" s="37"/>
      <c r="V286" s="37"/>
      <c r="W286" s="37"/>
      <c r="X286" s="37"/>
      <c r="Y286" s="37"/>
      <c r="Z286" s="37"/>
      <c r="AA286" s="37"/>
      <c r="AB286" s="37"/>
      <c r="AC286" s="37"/>
      <c r="AD286" s="37"/>
      <c r="AE286" s="37"/>
      <c r="AF286" s="37"/>
      <c r="AG286" s="37"/>
      <c r="AH286" s="37"/>
      <c r="AI286" s="37"/>
      <c r="AJ286" s="37"/>
      <c r="AK286" s="37"/>
      <c r="AL286" s="37"/>
      <c r="AM286" s="37"/>
      <c r="AN286" s="37"/>
      <c r="AO286" s="37"/>
      <c r="AP286" s="37"/>
      <c r="AQ286" s="37"/>
      <c r="AR286" s="37"/>
      <c r="AS286" s="37"/>
      <c r="AT286" s="37"/>
      <c r="AU286" s="37"/>
      <c r="AV286" s="37"/>
      <c r="AW286" s="37"/>
      <c r="AX286" s="37"/>
      <c r="AY286" s="37"/>
      <c r="AZ286" s="37"/>
      <c r="BA286" s="37"/>
      <c r="BB286" s="37"/>
      <c r="BC286" s="37"/>
      <c r="BD286" s="37"/>
      <c r="BE286" s="37"/>
      <c r="BF286" s="37"/>
      <c r="BG286" s="37"/>
      <c r="BH286" s="37"/>
      <c r="BI286" s="37"/>
      <c r="BJ286" s="37"/>
      <c r="BK286" s="37"/>
      <c r="BL286" s="37"/>
      <c r="BM286" s="37"/>
      <c r="BN286" s="37"/>
      <c r="BO286" s="37"/>
      <c r="BP286" s="37"/>
      <c r="BQ286" s="38"/>
      <c r="BR286" s="38"/>
      <c r="BS286" s="37"/>
    </row>
    <row r="287" spans="1:71">
      <c r="A287" s="37"/>
      <c r="B287" s="37"/>
      <c r="C287" s="36"/>
      <c r="D287" s="36"/>
      <c r="E287" s="37"/>
      <c r="F287" s="37"/>
      <c r="G287" s="37"/>
      <c r="H287" s="37"/>
      <c r="I287" s="37"/>
      <c r="J287" s="37"/>
      <c r="K287" s="37"/>
      <c r="L287" s="37"/>
      <c r="M287" s="37"/>
      <c r="N287" s="37"/>
      <c r="O287" s="37"/>
      <c r="P287" s="37"/>
      <c r="Q287" s="37"/>
      <c r="R287" s="37"/>
      <c r="S287" s="37"/>
      <c r="T287" s="37"/>
      <c r="U287" s="37"/>
      <c r="V287" s="37"/>
      <c r="W287" s="37"/>
      <c r="X287" s="37"/>
      <c r="Y287" s="37"/>
      <c r="Z287" s="37"/>
      <c r="AA287" s="37"/>
      <c r="AB287" s="37"/>
      <c r="AC287" s="37"/>
      <c r="AD287" s="37"/>
      <c r="AE287" s="37"/>
      <c r="AF287" s="37"/>
      <c r="AG287" s="37"/>
      <c r="AH287" s="37"/>
      <c r="AI287" s="37"/>
      <c r="AJ287" s="37"/>
      <c r="AK287" s="37"/>
      <c r="AL287" s="37"/>
      <c r="AM287" s="37"/>
      <c r="AN287" s="37"/>
      <c r="AO287" s="37"/>
      <c r="AP287" s="37"/>
      <c r="AQ287" s="37"/>
      <c r="AR287" s="37"/>
      <c r="AS287" s="37"/>
      <c r="AT287" s="37"/>
      <c r="AU287" s="37"/>
      <c r="AV287" s="37"/>
      <c r="AW287" s="37"/>
      <c r="AX287" s="37"/>
      <c r="AY287" s="37"/>
      <c r="AZ287" s="37"/>
      <c r="BA287" s="37"/>
      <c r="BB287" s="37"/>
      <c r="BC287" s="37"/>
      <c r="BD287" s="37"/>
      <c r="BE287" s="37"/>
      <c r="BF287" s="37"/>
      <c r="BG287" s="37"/>
      <c r="BH287" s="37"/>
      <c r="BI287" s="37"/>
      <c r="BJ287" s="37"/>
      <c r="BK287" s="37"/>
      <c r="BL287" s="37"/>
      <c r="BM287" s="37"/>
      <c r="BN287" s="37"/>
      <c r="BO287" s="37"/>
      <c r="BP287" s="37"/>
      <c r="BQ287" s="38"/>
      <c r="BR287" s="38"/>
      <c r="BS287" s="37"/>
    </row>
    <row r="288" spans="1:71">
      <c r="A288" s="37"/>
      <c r="B288" s="37"/>
      <c r="C288" s="36"/>
      <c r="D288" s="36"/>
      <c r="E288" s="37"/>
      <c r="F288" s="37"/>
      <c r="G288" s="37"/>
      <c r="H288" s="37"/>
      <c r="I288" s="37"/>
      <c r="J288" s="37"/>
      <c r="K288" s="37"/>
      <c r="L288" s="37"/>
      <c r="M288" s="37"/>
      <c r="N288" s="37"/>
      <c r="O288" s="37"/>
      <c r="P288" s="37"/>
      <c r="Q288" s="37"/>
      <c r="R288" s="37"/>
      <c r="S288" s="37"/>
      <c r="T288" s="37"/>
      <c r="U288" s="37"/>
      <c r="V288" s="37"/>
      <c r="W288" s="37"/>
      <c r="X288" s="37"/>
      <c r="Y288" s="37"/>
      <c r="Z288" s="37"/>
      <c r="AA288" s="37"/>
      <c r="AB288" s="37"/>
      <c r="AC288" s="37"/>
      <c r="AD288" s="37"/>
      <c r="AE288" s="37"/>
      <c r="AF288" s="37"/>
      <c r="AG288" s="37"/>
      <c r="AH288" s="37"/>
      <c r="AI288" s="37"/>
      <c r="AJ288" s="37"/>
      <c r="AK288" s="37"/>
      <c r="AL288" s="37"/>
      <c r="AM288" s="37"/>
      <c r="AN288" s="37"/>
      <c r="AO288" s="37"/>
      <c r="AP288" s="37"/>
      <c r="AQ288" s="37"/>
      <c r="AR288" s="37"/>
      <c r="AS288" s="37"/>
      <c r="AT288" s="37"/>
      <c r="AU288" s="37"/>
      <c r="AV288" s="37"/>
      <c r="AW288" s="37"/>
      <c r="AX288" s="37"/>
      <c r="AY288" s="37"/>
      <c r="AZ288" s="37"/>
      <c r="BA288" s="37"/>
      <c r="BB288" s="37"/>
      <c r="BC288" s="37"/>
      <c r="BD288" s="37"/>
      <c r="BE288" s="37"/>
      <c r="BF288" s="37"/>
      <c r="BG288" s="37"/>
      <c r="BH288" s="37"/>
      <c r="BI288" s="37"/>
      <c r="BJ288" s="37"/>
      <c r="BK288" s="37"/>
      <c r="BL288" s="37"/>
      <c r="BM288" s="37"/>
      <c r="BN288" s="37"/>
      <c r="BO288" s="37"/>
      <c r="BP288" s="37"/>
      <c r="BQ288" s="38"/>
      <c r="BR288" s="38"/>
      <c r="BS288" s="37"/>
    </row>
    <row r="289" spans="1:71">
      <c r="A289" s="37"/>
      <c r="B289" s="37"/>
      <c r="C289" s="36"/>
      <c r="D289" s="36"/>
      <c r="E289" s="37"/>
      <c r="F289" s="37"/>
      <c r="G289" s="37"/>
      <c r="H289" s="37"/>
      <c r="I289" s="37"/>
      <c r="J289" s="37"/>
      <c r="K289" s="37"/>
      <c r="L289" s="37"/>
      <c r="M289" s="37"/>
      <c r="N289" s="37"/>
      <c r="O289" s="37"/>
      <c r="P289" s="37"/>
      <c r="Q289" s="37"/>
      <c r="R289" s="37"/>
      <c r="S289" s="37"/>
      <c r="T289" s="37"/>
      <c r="U289" s="37"/>
      <c r="V289" s="37"/>
      <c r="W289" s="37"/>
      <c r="X289" s="37"/>
      <c r="Y289" s="37"/>
      <c r="Z289" s="37"/>
      <c r="AA289" s="37"/>
      <c r="AB289" s="37"/>
      <c r="AC289" s="37"/>
      <c r="AD289" s="37"/>
      <c r="AE289" s="37"/>
      <c r="AF289" s="37"/>
      <c r="AG289" s="37"/>
      <c r="AH289" s="37"/>
      <c r="AI289" s="37"/>
      <c r="AJ289" s="37"/>
      <c r="AK289" s="37"/>
      <c r="AL289" s="37"/>
      <c r="AM289" s="37"/>
      <c r="AN289" s="37"/>
      <c r="AO289" s="37"/>
      <c r="AP289" s="37"/>
      <c r="AQ289" s="37"/>
      <c r="AR289" s="37"/>
      <c r="AS289" s="37"/>
      <c r="AT289" s="37"/>
      <c r="AU289" s="37"/>
      <c r="AV289" s="37"/>
      <c r="AW289" s="37"/>
      <c r="AX289" s="37"/>
      <c r="AY289" s="37"/>
      <c r="AZ289" s="37"/>
      <c r="BA289" s="37"/>
      <c r="BB289" s="37"/>
      <c r="BC289" s="37"/>
      <c r="BD289" s="37"/>
      <c r="BE289" s="37"/>
      <c r="BF289" s="37"/>
      <c r="BG289" s="37"/>
      <c r="BH289" s="37"/>
      <c r="BI289" s="37"/>
      <c r="BJ289" s="37"/>
      <c r="BK289" s="37"/>
      <c r="BL289" s="37"/>
      <c r="BM289" s="37"/>
      <c r="BN289" s="37"/>
      <c r="BO289" s="37"/>
      <c r="BP289" s="37"/>
      <c r="BQ289" s="38"/>
      <c r="BR289" s="38"/>
      <c r="BS289" s="37"/>
    </row>
    <row r="290" spans="1:71">
      <c r="A290" s="37"/>
      <c r="B290" s="37"/>
      <c r="C290" s="36"/>
      <c r="D290" s="36"/>
      <c r="E290" s="37"/>
      <c r="F290" s="37"/>
      <c r="G290" s="37"/>
      <c r="H290" s="37"/>
      <c r="I290" s="37"/>
      <c r="J290" s="37"/>
      <c r="K290" s="37"/>
      <c r="L290" s="37"/>
      <c r="M290" s="37"/>
      <c r="N290" s="37"/>
      <c r="O290" s="37"/>
      <c r="P290" s="37"/>
      <c r="Q290" s="37"/>
      <c r="R290" s="37"/>
      <c r="S290" s="37"/>
      <c r="T290" s="37"/>
      <c r="U290" s="37"/>
      <c r="V290" s="37"/>
      <c r="W290" s="37"/>
      <c r="X290" s="37"/>
      <c r="Y290" s="37"/>
      <c r="Z290" s="37"/>
      <c r="AA290" s="37"/>
      <c r="AB290" s="37"/>
      <c r="AC290" s="37"/>
      <c r="AD290" s="37"/>
      <c r="AE290" s="37"/>
      <c r="AF290" s="37"/>
      <c r="AG290" s="37"/>
      <c r="AH290" s="37"/>
      <c r="AI290" s="37"/>
      <c r="AJ290" s="37"/>
      <c r="AK290" s="37"/>
      <c r="AL290" s="37"/>
      <c r="AM290" s="37"/>
      <c r="AN290" s="37"/>
      <c r="AO290" s="37"/>
      <c r="AP290" s="37"/>
      <c r="AQ290" s="37"/>
      <c r="AR290" s="37"/>
      <c r="AS290" s="37"/>
      <c r="AT290" s="37"/>
      <c r="AU290" s="37"/>
      <c r="AV290" s="37"/>
      <c r="AW290" s="37"/>
      <c r="AX290" s="37"/>
      <c r="AY290" s="37"/>
      <c r="AZ290" s="37"/>
      <c r="BA290" s="37"/>
      <c r="BB290" s="37"/>
      <c r="BC290" s="37"/>
      <c r="BD290" s="37"/>
      <c r="BE290" s="37"/>
      <c r="BF290" s="37"/>
      <c r="BG290" s="37"/>
      <c r="BH290" s="37"/>
      <c r="BI290" s="37"/>
      <c r="BJ290" s="37"/>
      <c r="BK290" s="37"/>
      <c r="BL290" s="37"/>
      <c r="BM290" s="37"/>
      <c r="BN290" s="37"/>
      <c r="BO290" s="37"/>
      <c r="BP290" s="37"/>
      <c r="BQ290" s="38"/>
      <c r="BR290" s="38"/>
      <c r="BS290" s="37"/>
    </row>
    <row r="291" spans="1:71">
      <c r="A291" s="37"/>
      <c r="B291" s="37"/>
      <c r="C291" s="36"/>
      <c r="D291" s="36"/>
      <c r="E291" s="37"/>
      <c r="F291" s="37"/>
      <c r="G291" s="37"/>
      <c r="H291" s="37"/>
      <c r="I291" s="37"/>
      <c r="J291" s="37"/>
      <c r="K291" s="37"/>
      <c r="L291" s="37"/>
      <c r="M291" s="37"/>
      <c r="N291" s="37"/>
      <c r="O291" s="37"/>
      <c r="P291" s="37"/>
      <c r="Q291" s="37"/>
      <c r="R291" s="37"/>
      <c r="S291" s="37"/>
      <c r="T291" s="37"/>
      <c r="U291" s="37"/>
      <c r="V291" s="37"/>
      <c r="W291" s="37"/>
      <c r="X291" s="37"/>
      <c r="Y291" s="37"/>
      <c r="Z291" s="37"/>
      <c r="AA291" s="37"/>
      <c r="AB291" s="37"/>
      <c r="AC291" s="37"/>
      <c r="AD291" s="37"/>
      <c r="AE291" s="37"/>
      <c r="AF291" s="37"/>
      <c r="AG291" s="37"/>
      <c r="AH291" s="37"/>
      <c r="AI291" s="37"/>
      <c r="AJ291" s="37"/>
      <c r="AK291" s="37"/>
      <c r="AL291" s="37"/>
      <c r="AM291" s="37"/>
      <c r="AN291" s="37"/>
      <c r="AO291" s="37"/>
      <c r="AP291" s="37"/>
      <c r="AQ291" s="37"/>
      <c r="AR291" s="37"/>
      <c r="AS291" s="37"/>
      <c r="AT291" s="37"/>
      <c r="AU291" s="37"/>
      <c r="AV291" s="37"/>
      <c r="AW291" s="37"/>
      <c r="AX291" s="37"/>
      <c r="AY291" s="37"/>
      <c r="AZ291" s="37"/>
      <c r="BA291" s="37"/>
      <c r="BB291" s="37"/>
      <c r="BC291" s="37"/>
      <c r="BD291" s="37"/>
      <c r="BE291" s="37"/>
      <c r="BF291" s="37"/>
      <c r="BG291" s="37"/>
      <c r="BH291" s="37"/>
      <c r="BI291" s="37"/>
      <c r="BJ291" s="37"/>
      <c r="BK291" s="37"/>
      <c r="BL291" s="37"/>
      <c r="BM291" s="37"/>
      <c r="BN291" s="37"/>
      <c r="BO291" s="37"/>
      <c r="BP291" s="37"/>
      <c r="BQ291" s="38"/>
      <c r="BR291" s="38"/>
      <c r="BS291" s="37"/>
    </row>
    <row r="292" spans="1:71">
      <c r="A292" s="37"/>
      <c r="B292" s="37"/>
      <c r="C292" s="36"/>
      <c r="D292" s="36"/>
      <c r="E292" s="37"/>
      <c r="F292" s="37"/>
      <c r="G292" s="37"/>
      <c r="H292" s="37"/>
      <c r="I292" s="37"/>
      <c r="J292" s="37"/>
      <c r="K292" s="37"/>
      <c r="L292" s="37"/>
      <c r="M292" s="37"/>
      <c r="N292" s="37"/>
      <c r="O292" s="37"/>
      <c r="P292" s="37"/>
      <c r="Q292" s="37"/>
      <c r="R292" s="37"/>
      <c r="S292" s="37"/>
      <c r="T292" s="37"/>
      <c r="U292" s="37"/>
      <c r="V292" s="37"/>
      <c r="W292" s="37"/>
      <c r="X292" s="37"/>
      <c r="Y292" s="37"/>
      <c r="Z292" s="37"/>
      <c r="AA292" s="37"/>
      <c r="AB292" s="37"/>
      <c r="AC292" s="37"/>
      <c r="AD292" s="37"/>
      <c r="AE292" s="37"/>
      <c r="AF292" s="37"/>
      <c r="AG292" s="37"/>
      <c r="AH292" s="37"/>
      <c r="AI292" s="37"/>
      <c r="AJ292" s="37"/>
      <c r="AK292" s="37"/>
      <c r="AL292" s="37"/>
      <c r="AM292" s="37"/>
      <c r="AN292" s="37"/>
      <c r="AO292" s="37"/>
      <c r="AP292" s="37"/>
      <c r="AQ292" s="37"/>
      <c r="AR292" s="37"/>
      <c r="AS292" s="37"/>
      <c r="AT292" s="37"/>
      <c r="AU292" s="37"/>
      <c r="AV292" s="37"/>
      <c r="AW292" s="37"/>
      <c r="AX292" s="37"/>
      <c r="AY292" s="37"/>
      <c r="AZ292" s="37"/>
      <c r="BA292" s="37"/>
      <c r="BB292" s="37"/>
      <c r="BC292" s="37"/>
      <c r="BD292" s="37"/>
      <c r="BE292" s="37"/>
      <c r="BF292" s="37"/>
      <c r="BG292" s="37"/>
      <c r="BH292" s="37"/>
      <c r="BI292" s="37"/>
      <c r="BJ292" s="37"/>
      <c r="BK292" s="37"/>
      <c r="BL292" s="37"/>
      <c r="BM292" s="37"/>
      <c r="BN292" s="37"/>
      <c r="BO292" s="37"/>
      <c r="BP292" s="37"/>
      <c r="BQ292" s="38"/>
      <c r="BR292" s="38"/>
      <c r="BS292" s="37"/>
    </row>
    <row r="293" spans="1:71">
      <c r="A293" s="37"/>
      <c r="B293" s="37"/>
      <c r="C293" s="36"/>
      <c r="D293" s="36"/>
      <c r="E293" s="37"/>
      <c r="F293" s="37"/>
      <c r="G293" s="37"/>
      <c r="H293" s="37"/>
      <c r="I293" s="37"/>
      <c r="J293" s="37"/>
      <c r="K293" s="37"/>
      <c r="L293" s="37"/>
      <c r="M293" s="37"/>
      <c r="N293" s="37"/>
      <c r="O293" s="37"/>
      <c r="P293" s="37"/>
      <c r="Q293" s="37"/>
      <c r="R293" s="37"/>
      <c r="S293" s="37"/>
      <c r="T293" s="37"/>
      <c r="U293" s="37"/>
      <c r="V293" s="37"/>
      <c r="W293" s="37"/>
      <c r="X293" s="37"/>
      <c r="Y293" s="37"/>
      <c r="Z293" s="37"/>
      <c r="AA293" s="37"/>
      <c r="AB293" s="37"/>
      <c r="AC293" s="37"/>
      <c r="AD293" s="37"/>
      <c r="AE293" s="37"/>
      <c r="AF293" s="37"/>
      <c r="AG293" s="37"/>
      <c r="AH293" s="37"/>
      <c r="AI293" s="37"/>
      <c r="AJ293" s="37"/>
      <c r="AK293" s="37"/>
      <c r="AL293" s="37"/>
      <c r="AM293" s="37"/>
      <c r="AN293" s="37"/>
      <c r="AO293" s="37"/>
      <c r="AP293" s="37"/>
      <c r="AQ293" s="37"/>
      <c r="AR293" s="37"/>
      <c r="AS293" s="37"/>
      <c r="AT293" s="37"/>
      <c r="AU293" s="37"/>
      <c r="AV293" s="37"/>
      <c r="AW293" s="37"/>
      <c r="AX293" s="37"/>
      <c r="AY293" s="37"/>
      <c r="AZ293" s="37"/>
      <c r="BA293" s="37"/>
      <c r="BB293" s="37"/>
      <c r="BC293" s="37"/>
      <c r="BD293" s="37"/>
      <c r="BE293" s="37"/>
      <c r="BF293" s="37"/>
      <c r="BG293" s="37"/>
      <c r="BH293" s="37"/>
      <c r="BI293" s="37"/>
      <c r="BJ293" s="37"/>
      <c r="BK293" s="37"/>
      <c r="BL293" s="37"/>
      <c r="BM293" s="37"/>
      <c r="BN293" s="37"/>
      <c r="BO293" s="37"/>
      <c r="BP293" s="37"/>
      <c r="BQ293" s="38"/>
      <c r="BR293" s="38"/>
      <c r="BS293" s="37"/>
    </row>
    <row r="294" spans="1:71">
      <c r="A294" s="37"/>
      <c r="B294" s="37"/>
      <c r="C294" s="36"/>
      <c r="D294" s="36"/>
      <c r="E294" s="37"/>
      <c r="F294" s="37"/>
      <c r="G294" s="37"/>
      <c r="H294" s="37"/>
      <c r="I294" s="37"/>
      <c r="J294" s="37"/>
      <c r="K294" s="37"/>
      <c r="L294" s="37"/>
      <c r="M294" s="37"/>
      <c r="N294" s="37"/>
      <c r="O294" s="37"/>
      <c r="P294" s="37"/>
      <c r="Q294" s="37"/>
      <c r="R294" s="37"/>
      <c r="S294" s="37"/>
      <c r="T294" s="37"/>
      <c r="U294" s="37"/>
      <c r="V294" s="37"/>
      <c r="W294" s="37"/>
      <c r="X294" s="37"/>
      <c r="Y294" s="37"/>
      <c r="Z294" s="37"/>
      <c r="AA294" s="37"/>
      <c r="AB294" s="37"/>
      <c r="AC294" s="37"/>
      <c r="AD294" s="37"/>
      <c r="AE294" s="37"/>
      <c r="AF294" s="37"/>
      <c r="AG294" s="37"/>
      <c r="AH294" s="37"/>
      <c r="AI294" s="37"/>
      <c r="AJ294" s="37"/>
      <c r="AK294" s="37"/>
      <c r="AL294" s="37"/>
      <c r="AM294" s="37"/>
      <c r="AN294" s="37"/>
      <c r="AO294" s="37"/>
      <c r="AP294" s="37"/>
      <c r="AQ294" s="37"/>
      <c r="AR294" s="37"/>
      <c r="AS294" s="37"/>
      <c r="AT294" s="37"/>
      <c r="AU294" s="37"/>
      <c r="AV294" s="37"/>
      <c r="AW294" s="37"/>
      <c r="AX294" s="37"/>
      <c r="AY294" s="37"/>
      <c r="AZ294" s="37"/>
      <c r="BA294" s="37"/>
      <c r="BB294" s="37"/>
      <c r="BC294" s="37"/>
      <c r="BD294" s="37"/>
      <c r="BE294" s="37"/>
      <c r="BF294" s="37"/>
      <c r="BG294" s="37"/>
      <c r="BH294" s="37"/>
      <c r="BI294" s="37"/>
      <c r="BJ294" s="37"/>
      <c r="BK294" s="37"/>
      <c r="BL294" s="37"/>
      <c r="BM294" s="37"/>
      <c r="BN294" s="37"/>
      <c r="BO294" s="37"/>
      <c r="BP294" s="37"/>
      <c r="BQ294" s="38"/>
      <c r="BR294" s="38"/>
      <c r="BS294" s="37"/>
    </row>
    <row r="295" spans="1:71">
      <c r="A295" s="37"/>
      <c r="B295" s="37"/>
      <c r="C295" s="36"/>
      <c r="D295" s="36"/>
      <c r="E295" s="37"/>
      <c r="F295" s="37"/>
      <c r="G295" s="37"/>
      <c r="H295" s="37"/>
      <c r="I295" s="37"/>
      <c r="J295" s="37"/>
      <c r="K295" s="37"/>
      <c r="L295" s="37"/>
      <c r="M295" s="37"/>
      <c r="N295" s="37"/>
      <c r="O295" s="37"/>
      <c r="P295" s="37"/>
      <c r="Q295" s="37"/>
      <c r="R295" s="37"/>
      <c r="S295" s="37"/>
      <c r="T295" s="37"/>
      <c r="U295" s="37"/>
      <c r="V295" s="37"/>
      <c r="W295" s="37"/>
      <c r="X295" s="37"/>
      <c r="Y295" s="37"/>
      <c r="Z295" s="37"/>
      <c r="AA295" s="37"/>
      <c r="AB295" s="37"/>
      <c r="AC295" s="37"/>
      <c r="AD295" s="37"/>
      <c r="AE295" s="37"/>
      <c r="AF295" s="37"/>
      <c r="AG295" s="37"/>
      <c r="AH295" s="37"/>
      <c r="AI295" s="37"/>
      <c r="AJ295" s="37"/>
      <c r="AK295" s="37"/>
      <c r="AL295" s="37"/>
      <c r="AM295" s="37"/>
      <c r="AN295" s="37"/>
      <c r="AO295" s="37"/>
      <c r="AP295" s="37"/>
      <c r="AQ295" s="37"/>
      <c r="AR295" s="37"/>
      <c r="AS295" s="37"/>
      <c r="AT295" s="37"/>
      <c r="AU295" s="37"/>
      <c r="AV295" s="37"/>
      <c r="AW295" s="37"/>
      <c r="AX295" s="37"/>
      <c r="AY295" s="37"/>
      <c r="AZ295" s="37"/>
      <c r="BA295" s="37"/>
      <c r="BB295" s="37"/>
      <c r="BC295" s="37"/>
      <c r="BD295" s="37"/>
      <c r="BE295" s="37"/>
      <c r="BF295" s="37"/>
      <c r="BG295" s="37"/>
      <c r="BH295" s="37"/>
      <c r="BI295" s="37"/>
      <c r="BJ295" s="37"/>
      <c r="BK295" s="37"/>
      <c r="BL295" s="37"/>
      <c r="BM295" s="37"/>
      <c r="BN295" s="37"/>
      <c r="BO295" s="37"/>
      <c r="BP295" s="37"/>
      <c r="BQ295" s="38"/>
      <c r="BR295" s="38"/>
      <c r="BS295" s="37"/>
    </row>
    <row r="296" spans="1:71">
      <c r="A296" s="37"/>
      <c r="B296" s="37"/>
      <c r="C296" s="36"/>
      <c r="D296" s="36"/>
      <c r="E296" s="37"/>
      <c r="F296" s="37"/>
      <c r="G296" s="37"/>
      <c r="H296" s="37"/>
      <c r="I296" s="37"/>
      <c r="J296" s="37"/>
      <c r="K296" s="37"/>
      <c r="L296" s="37"/>
      <c r="M296" s="37"/>
      <c r="N296" s="37"/>
      <c r="O296" s="37"/>
      <c r="P296" s="37"/>
      <c r="Q296" s="37"/>
      <c r="R296" s="37"/>
      <c r="S296" s="37"/>
      <c r="T296" s="37"/>
      <c r="U296" s="37"/>
      <c r="V296" s="37"/>
      <c r="W296" s="37"/>
      <c r="X296" s="37"/>
      <c r="Y296" s="37"/>
      <c r="Z296" s="37"/>
      <c r="AA296" s="37"/>
      <c r="AB296" s="37"/>
      <c r="AC296" s="37"/>
      <c r="AD296" s="37"/>
      <c r="AE296" s="37"/>
      <c r="AF296" s="37"/>
      <c r="AG296" s="37"/>
      <c r="AH296" s="37"/>
      <c r="AI296" s="37"/>
      <c r="AJ296" s="37"/>
      <c r="AK296" s="37"/>
      <c r="AL296" s="37"/>
      <c r="AM296" s="37"/>
      <c r="AN296" s="37"/>
      <c r="AO296" s="37"/>
      <c r="AP296" s="37"/>
      <c r="AQ296" s="37"/>
      <c r="AR296" s="37"/>
      <c r="AS296" s="37"/>
      <c r="AT296" s="37"/>
      <c r="AU296" s="37"/>
      <c r="AV296" s="37"/>
      <c r="AW296" s="37"/>
      <c r="AX296" s="37"/>
      <c r="AY296" s="37"/>
      <c r="AZ296" s="37"/>
      <c r="BA296" s="37"/>
      <c r="BB296" s="37"/>
      <c r="BC296" s="37"/>
      <c r="BD296" s="37"/>
      <c r="BE296" s="37"/>
      <c r="BF296" s="37"/>
      <c r="BG296" s="37"/>
      <c r="BH296" s="37"/>
      <c r="BI296" s="37"/>
      <c r="BJ296" s="37"/>
      <c r="BK296" s="37"/>
      <c r="BL296" s="37"/>
      <c r="BM296" s="37"/>
      <c r="BN296" s="37"/>
      <c r="BO296" s="37"/>
      <c r="BP296" s="37"/>
      <c r="BQ296" s="38"/>
      <c r="BR296" s="38"/>
      <c r="BS296" s="37"/>
    </row>
    <row r="297" spans="1:71">
      <c r="A297" s="37"/>
      <c r="B297" s="37"/>
      <c r="C297" s="36"/>
      <c r="D297" s="36"/>
      <c r="E297" s="37"/>
      <c r="F297" s="37"/>
      <c r="G297" s="37"/>
      <c r="H297" s="37"/>
      <c r="I297" s="37"/>
      <c r="J297" s="37"/>
      <c r="K297" s="37"/>
      <c r="L297" s="37"/>
      <c r="M297" s="37"/>
      <c r="N297" s="37"/>
      <c r="O297" s="37"/>
      <c r="P297" s="37"/>
      <c r="Q297" s="37"/>
      <c r="R297" s="37"/>
      <c r="S297" s="37"/>
      <c r="T297" s="37"/>
      <c r="U297" s="37"/>
      <c r="V297" s="37"/>
      <c r="W297" s="37"/>
      <c r="X297" s="37"/>
      <c r="Y297" s="37"/>
      <c r="Z297" s="37"/>
      <c r="AA297" s="37"/>
      <c r="AB297" s="37"/>
      <c r="AC297" s="37"/>
      <c r="AD297" s="37"/>
      <c r="AE297" s="37"/>
      <c r="AF297" s="37"/>
      <c r="AG297" s="37"/>
      <c r="AH297" s="37"/>
      <c r="AI297" s="37"/>
      <c r="AJ297" s="37"/>
      <c r="AK297" s="37"/>
      <c r="AL297" s="37"/>
      <c r="AM297" s="37"/>
      <c r="AN297" s="37"/>
      <c r="AO297" s="37"/>
      <c r="AP297" s="37"/>
      <c r="AQ297" s="37"/>
      <c r="AR297" s="37"/>
      <c r="AS297" s="37"/>
      <c r="AT297" s="37"/>
      <c r="AU297" s="37"/>
      <c r="AV297" s="37"/>
      <c r="AW297" s="37"/>
      <c r="AX297" s="37"/>
      <c r="AY297" s="37"/>
      <c r="AZ297" s="37"/>
      <c r="BA297" s="37"/>
      <c r="BB297" s="37"/>
      <c r="BC297" s="37"/>
      <c r="BD297" s="37"/>
      <c r="BE297" s="37"/>
      <c r="BF297" s="37"/>
      <c r="BG297" s="37"/>
      <c r="BH297" s="37"/>
      <c r="BI297" s="37"/>
      <c r="BJ297" s="37"/>
      <c r="BK297" s="37"/>
      <c r="BL297" s="37"/>
      <c r="BM297" s="37"/>
      <c r="BN297" s="37"/>
      <c r="BO297" s="37"/>
      <c r="BP297" s="37"/>
      <c r="BQ297" s="38"/>
      <c r="BR297" s="38"/>
      <c r="BS297" s="37"/>
    </row>
    <row r="298" spans="1:71">
      <c r="A298" s="37"/>
      <c r="B298" s="37"/>
      <c r="C298" s="36"/>
      <c r="D298" s="36"/>
      <c r="E298" s="37"/>
      <c r="F298" s="37"/>
      <c r="G298" s="37"/>
      <c r="H298" s="37"/>
      <c r="I298" s="37"/>
      <c r="J298" s="37"/>
      <c r="K298" s="37"/>
      <c r="L298" s="37"/>
      <c r="M298" s="37"/>
      <c r="N298" s="37"/>
      <c r="O298" s="37"/>
      <c r="P298" s="37"/>
      <c r="Q298" s="37"/>
      <c r="R298" s="37"/>
      <c r="S298" s="37"/>
      <c r="T298" s="37"/>
      <c r="U298" s="37"/>
      <c r="V298" s="37"/>
      <c r="W298" s="37"/>
      <c r="X298" s="37"/>
      <c r="Y298" s="37"/>
      <c r="Z298" s="37"/>
      <c r="AA298" s="37"/>
      <c r="AB298" s="37"/>
      <c r="AC298" s="37"/>
      <c r="AD298" s="37"/>
      <c r="AE298" s="37"/>
      <c r="AF298" s="37"/>
      <c r="AG298" s="37"/>
      <c r="AH298" s="37"/>
      <c r="AI298" s="37"/>
      <c r="AJ298" s="37"/>
      <c r="AK298" s="37"/>
      <c r="AL298" s="37"/>
      <c r="AM298" s="37"/>
      <c r="AN298" s="37"/>
      <c r="AO298" s="37"/>
      <c r="AP298" s="37"/>
      <c r="AQ298" s="37"/>
      <c r="AR298" s="37"/>
      <c r="AS298" s="37"/>
      <c r="AT298" s="37"/>
      <c r="AU298" s="37"/>
      <c r="AV298" s="37"/>
      <c r="AW298" s="37"/>
      <c r="AX298" s="37"/>
      <c r="AY298" s="37"/>
      <c r="AZ298" s="37"/>
      <c r="BA298" s="37"/>
      <c r="BB298" s="37"/>
      <c r="BC298" s="37"/>
      <c r="BD298" s="37"/>
      <c r="BE298" s="37"/>
      <c r="BF298" s="37"/>
      <c r="BG298" s="37"/>
      <c r="BH298" s="37"/>
      <c r="BI298" s="37"/>
      <c r="BJ298" s="37"/>
      <c r="BK298" s="37"/>
      <c r="BL298" s="37"/>
      <c r="BM298" s="37"/>
      <c r="BN298" s="37"/>
      <c r="BO298" s="37"/>
      <c r="BP298" s="37"/>
      <c r="BQ298" s="38"/>
      <c r="BR298" s="38"/>
      <c r="BS298" s="37"/>
    </row>
    <row r="299" spans="1:71">
      <c r="A299" s="37"/>
      <c r="B299" s="37"/>
      <c r="C299" s="36"/>
      <c r="D299" s="36"/>
      <c r="E299" s="37"/>
      <c r="F299" s="37"/>
      <c r="G299" s="37"/>
      <c r="H299" s="37"/>
      <c r="I299" s="37"/>
      <c r="J299" s="37"/>
      <c r="K299" s="37"/>
      <c r="L299" s="37"/>
      <c r="M299" s="37"/>
      <c r="N299" s="37"/>
      <c r="O299" s="37"/>
      <c r="P299" s="37"/>
      <c r="Q299" s="37"/>
      <c r="R299" s="37"/>
      <c r="S299" s="37"/>
      <c r="T299" s="37"/>
      <c r="U299" s="37"/>
      <c r="V299" s="37"/>
      <c r="W299" s="37"/>
      <c r="X299" s="37"/>
      <c r="Y299" s="37"/>
      <c r="Z299" s="37"/>
      <c r="AA299" s="37"/>
      <c r="AB299" s="37"/>
      <c r="AC299" s="37"/>
      <c r="AD299" s="37"/>
      <c r="AE299" s="37"/>
      <c r="AF299" s="37"/>
      <c r="AG299" s="37"/>
      <c r="AH299" s="37"/>
      <c r="AI299" s="37"/>
      <c r="AJ299" s="37"/>
      <c r="AK299" s="37"/>
      <c r="AL299" s="37"/>
      <c r="AM299" s="37"/>
      <c r="AN299" s="37"/>
      <c r="AO299" s="37"/>
      <c r="AP299" s="37"/>
      <c r="AQ299" s="37"/>
      <c r="AR299" s="37"/>
      <c r="AS299" s="37"/>
      <c r="AT299" s="37"/>
      <c r="AU299" s="37"/>
      <c r="AV299" s="37"/>
      <c r="AW299" s="37"/>
      <c r="AX299" s="37"/>
      <c r="AY299" s="37"/>
      <c r="AZ299" s="37"/>
      <c r="BA299" s="37"/>
      <c r="BB299" s="37"/>
      <c r="BC299" s="37"/>
      <c r="BD299" s="37"/>
      <c r="BE299" s="37"/>
      <c r="BF299" s="37"/>
      <c r="BG299" s="37"/>
      <c r="BH299" s="37"/>
      <c r="BI299" s="37"/>
      <c r="BJ299" s="37"/>
      <c r="BK299" s="37"/>
      <c r="BL299" s="37"/>
      <c r="BM299" s="37"/>
      <c r="BN299" s="37"/>
      <c r="BO299" s="37"/>
      <c r="BP299" s="37"/>
      <c r="BQ299" s="38"/>
      <c r="BR299" s="38"/>
      <c r="BS299" s="37"/>
    </row>
    <row r="300" spans="1:71">
      <c r="A300" s="37"/>
      <c r="B300" s="37"/>
      <c r="C300" s="36"/>
      <c r="D300" s="36"/>
      <c r="E300" s="37"/>
      <c r="F300" s="37"/>
      <c r="G300" s="37"/>
      <c r="H300" s="37"/>
      <c r="I300" s="37"/>
      <c r="J300" s="37"/>
      <c r="K300" s="37"/>
      <c r="L300" s="37"/>
      <c r="M300" s="37"/>
      <c r="N300" s="37"/>
      <c r="O300" s="37"/>
      <c r="P300" s="37"/>
      <c r="Q300" s="37"/>
      <c r="R300" s="37"/>
      <c r="S300" s="37"/>
      <c r="T300" s="37"/>
      <c r="U300" s="37"/>
      <c r="V300" s="37"/>
      <c r="W300" s="37"/>
      <c r="X300" s="37"/>
      <c r="Y300" s="37"/>
      <c r="Z300" s="37"/>
      <c r="AA300" s="37"/>
      <c r="AB300" s="37"/>
      <c r="AC300" s="37"/>
      <c r="AD300" s="37"/>
      <c r="AE300" s="37"/>
      <c r="AF300" s="37"/>
      <c r="AG300" s="37"/>
      <c r="AH300" s="37"/>
      <c r="AI300" s="37"/>
      <c r="AJ300" s="37"/>
      <c r="AK300" s="37"/>
      <c r="AL300" s="37"/>
      <c r="AM300" s="37"/>
      <c r="AN300" s="37"/>
      <c r="AO300" s="37"/>
      <c r="AP300" s="37"/>
      <c r="AQ300" s="37"/>
      <c r="AR300" s="37"/>
      <c r="AS300" s="37"/>
      <c r="AT300" s="37"/>
      <c r="AU300" s="37"/>
      <c r="AV300" s="37"/>
      <c r="AW300" s="37"/>
      <c r="AX300" s="37"/>
      <c r="AY300" s="37"/>
      <c r="AZ300" s="37"/>
      <c r="BA300" s="37"/>
      <c r="BB300" s="37"/>
      <c r="BC300" s="37"/>
      <c r="BD300" s="37"/>
      <c r="BE300" s="37"/>
      <c r="BF300" s="37"/>
      <c r="BG300" s="37"/>
      <c r="BH300" s="37"/>
      <c r="BI300" s="37"/>
      <c r="BJ300" s="37"/>
      <c r="BK300" s="37"/>
      <c r="BL300" s="37"/>
      <c r="BM300" s="37"/>
      <c r="BN300" s="37"/>
      <c r="BO300" s="37"/>
      <c r="BP300" s="37"/>
      <c r="BQ300" s="38"/>
      <c r="BR300" s="38"/>
      <c r="BS300" s="37"/>
    </row>
    <row r="301" spans="1:71">
      <c r="A301" s="37"/>
      <c r="B301" s="37"/>
      <c r="C301" s="36"/>
      <c r="D301" s="36"/>
      <c r="E301" s="37"/>
      <c r="F301" s="37"/>
      <c r="G301" s="37"/>
      <c r="H301" s="37"/>
      <c r="I301" s="37"/>
      <c r="J301" s="37"/>
      <c r="K301" s="37"/>
      <c r="L301" s="37"/>
      <c r="M301" s="37"/>
      <c r="N301" s="37"/>
      <c r="O301" s="37"/>
      <c r="P301" s="37"/>
      <c r="Q301" s="37"/>
      <c r="R301" s="37"/>
      <c r="S301" s="37"/>
      <c r="T301" s="37"/>
      <c r="U301" s="37"/>
      <c r="V301" s="37"/>
      <c r="W301" s="37"/>
      <c r="X301" s="37"/>
      <c r="Y301" s="37"/>
      <c r="Z301" s="37"/>
      <c r="AA301" s="37"/>
      <c r="AB301" s="37"/>
      <c r="AC301" s="37"/>
      <c r="AD301" s="37"/>
      <c r="AE301" s="37"/>
      <c r="AF301" s="37"/>
      <c r="AG301" s="37"/>
      <c r="AH301" s="37"/>
      <c r="AI301" s="37"/>
      <c r="AJ301" s="37"/>
      <c r="AK301" s="37"/>
      <c r="AL301" s="37"/>
      <c r="AM301" s="37"/>
      <c r="AN301" s="37"/>
      <c r="AO301" s="37"/>
      <c r="AP301" s="37"/>
      <c r="AQ301" s="37"/>
      <c r="AR301" s="37"/>
      <c r="AS301" s="37"/>
      <c r="AT301" s="37"/>
      <c r="AU301" s="37"/>
      <c r="AV301" s="37"/>
      <c r="AW301" s="37"/>
      <c r="AX301" s="37"/>
      <c r="AY301" s="37"/>
      <c r="AZ301" s="37"/>
      <c r="BA301" s="37"/>
      <c r="BB301" s="37"/>
      <c r="BC301" s="37"/>
      <c r="BD301" s="37"/>
      <c r="BE301" s="37"/>
      <c r="BF301" s="37"/>
      <c r="BG301" s="37"/>
      <c r="BH301" s="37"/>
      <c r="BI301" s="37"/>
      <c r="BJ301" s="37"/>
      <c r="BK301" s="37"/>
      <c r="BL301" s="37"/>
      <c r="BM301" s="37"/>
      <c r="BN301" s="37"/>
      <c r="BO301" s="37"/>
      <c r="BP301" s="37"/>
      <c r="BQ301" s="38"/>
      <c r="BR301" s="38"/>
      <c r="BS301" s="37"/>
    </row>
    <row r="302" spans="1:71">
      <c r="A302" s="37"/>
      <c r="B302" s="37"/>
      <c r="C302" s="36"/>
      <c r="D302" s="36"/>
      <c r="E302" s="37"/>
      <c r="F302" s="37"/>
      <c r="G302" s="37"/>
      <c r="H302" s="37"/>
      <c r="I302" s="37"/>
      <c r="J302" s="37"/>
      <c r="K302" s="37"/>
      <c r="L302" s="37"/>
      <c r="M302" s="37"/>
      <c r="N302" s="37"/>
      <c r="O302" s="37"/>
      <c r="P302" s="37"/>
      <c r="Q302" s="37"/>
      <c r="R302" s="37"/>
      <c r="S302" s="37"/>
      <c r="T302" s="37"/>
      <c r="U302" s="37"/>
      <c r="V302" s="37"/>
      <c r="W302" s="37"/>
      <c r="X302" s="37"/>
      <c r="Y302" s="37"/>
      <c r="Z302" s="37"/>
      <c r="AA302" s="37"/>
      <c r="AB302" s="37"/>
      <c r="AC302" s="37"/>
      <c r="AD302" s="37"/>
      <c r="AE302" s="37"/>
      <c r="AF302" s="37"/>
      <c r="AG302" s="37"/>
      <c r="AH302" s="37"/>
      <c r="AI302" s="37"/>
      <c r="AJ302" s="37"/>
      <c r="AK302" s="37"/>
      <c r="AL302" s="37"/>
      <c r="AM302" s="37"/>
      <c r="AN302" s="37"/>
      <c r="AO302" s="37"/>
      <c r="AP302" s="37"/>
      <c r="AQ302" s="37"/>
      <c r="AR302" s="37"/>
      <c r="AS302" s="37"/>
      <c r="AT302" s="37"/>
      <c r="AU302" s="37"/>
      <c r="AV302" s="37"/>
      <c r="AW302" s="37"/>
      <c r="AX302" s="37"/>
      <c r="AY302" s="37"/>
      <c r="AZ302" s="37"/>
      <c r="BA302" s="37"/>
      <c r="BB302" s="37"/>
      <c r="BC302" s="37"/>
      <c r="BD302" s="37"/>
      <c r="BE302" s="37"/>
      <c r="BF302" s="37"/>
      <c r="BG302" s="37"/>
      <c r="BH302" s="37"/>
      <c r="BI302" s="37"/>
      <c r="BJ302" s="37"/>
      <c r="BK302" s="37"/>
      <c r="BL302" s="37"/>
      <c r="BM302" s="37"/>
      <c r="BN302" s="37"/>
      <c r="BO302" s="37"/>
      <c r="BP302" s="37"/>
      <c r="BQ302" s="38"/>
      <c r="BR302" s="38"/>
      <c r="BS302" s="37"/>
    </row>
    <row r="303" spans="1:71">
      <c r="A303" s="37"/>
      <c r="B303" s="37"/>
      <c r="C303" s="36"/>
      <c r="D303" s="36"/>
      <c r="E303" s="37"/>
      <c r="F303" s="37"/>
      <c r="G303" s="37"/>
      <c r="H303" s="37"/>
      <c r="I303" s="37"/>
      <c r="J303" s="37"/>
      <c r="K303" s="37"/>
      <c r="L303" s="37"/>
      <c r="M303" s="37"/>
      <c r="N303" s="37"/>
      <c r="O303" s="37"/>
      <c r="P303" s="37"/>
      <c r="Q303" s="37"/>
      <c r="R303" s="37"/>
      <c r="S303" s="37"/>
      <c r="T303" s="37"/>
      <c r="U303" s="37"/>
      <c r="V303" s="37"/>
      <c r="W303" s="37"/>
      <c r="X303" s="37"/>
      <c r="Y303" s="37"/>
      <c r="Z303" s="37"/>
      <c r="AA303" s="37"/>
      <c r="AB303" s="37"/>
      <c r="AC303" s="37"/>
      <c r="AD303" s="37"/>
      <c r="AE303" s="37"/>
      <c r="AF303" s="37"/>
      <c r="AG303" s="37"/>
      <c r="AH303" s="37"/>
      <c r="AI303" s="37"/>
      <c r="AJ303" s="37"/>
      <c r="AK303" s="37"/>
      <c r="AL303" s="37"/>
      <c r="AM303" s="37"/>
      <c r="AN303" s="37"/>
      <c r="AO303" s="37"/>
      <c r="AP303" s="37"/>
      <c r="AQ303" s="37"/>
      <c r="AR303" s="37"/>
      <c r="AS303" s="37"/>
      <c r="AT303" s="37"/>
      <c r="AU303" s="37"/>
      <c r="AV303" s="37"/>
      <c r="AW303" s="37"/>
      <c r="AX303" s="37"/>
      <c r="AY303" s="37"/>
      <c r="AZ303" s="37"/>
      <c r="BA303" s="37"/>
      <c r="BB303" s="37"/>
      <c r="BC303" s="37"/>
      <c r="BD303" s="37"/>
      <c r="BE303" s="37"/>
      <c r="BF303" s="37"/>
      <c r="BG303" s="37"/>
      <c r="BH303" s="37"/>
      <c r="BI303" s="37"/>
      <c r="BJ303" s="37"/>
      <c r="BK303" s="37"/>
      <c r="BL303" s="37"/>
      <c r="BM303" s="37"/>
      <c r="BN303" s="37"/>
      <c r="BO303" s="37"/>
      <c r="BP303" s="37"/>
      <c r="BQ303" s="38"/>
      <c r="BR303" s="38"/>
      <c r="BS303" s="37"/>
    </row>
    <row r="304" spans="1:71">
      <c r="A304" s="37"/>
      <c r="B304" s="37"/>
      <c r="C304" s="36"/>
      <c r="D304" s="36"/>
      <c r="E304" s="37"/>
      <c r="F304" s="37"/>
      <c r="G304" s="37"/>
      <c r="H304" s="37"/>
      <c r="I304" s="37"/>
      <c r="J304" s="37"/>
      <c r="K304" s="37"/>
      <c r="L304" s="37"/>
      <c r="M304" s="37"/>
      <c r="N304" s="37"/>
      <c r="O304" s="37"/>
      <c r="P304" s="37"/>
      <c r="Q304" s="37"/>
      <c r="R304" s="37"/>
      <c r="S304" s="37"/>
      <c r="T304" s="37"/>
      <c r="U304" s="37"/>
      <c r="V304" s="37"/>
      <c r="W304" s="37"/>
      <c r="X304" s="37"/>
      <c r="Y304" s="37"/>
      <c r="Z304" s="37"/>
      <c r="AA304" s="37"/>
      <c r="AB304" s="37"/>
      <c r="AC304" s="37"/>
      <c r="AD304" s="37"/>
      <c r="AE304" s="37"/>
      <c r="AF304" s="37"/>
      <c r="AG304" s="37"/>
      <c r="AH304" s="37"/>
      <c r="AI304" s="37"/>
      <c r="AJ304" s="37"/>
      <c r="AK304" s="37"/>
      <c r="AL304" s="37"/>
      <c r="AM304" s="37"/>
      <c r="AN304" s="37"/>
      <c r="AO304" s="37"/>
      <c r="AP304" s="37"/>
      <c r="AQ304" s="37"/>
      <c r="AR304" s="37"/>
      <c r="AS304" s="37"/>
      <c r="AT304" s="37"/>
      <c r="AU304" s="37"/>
      <c r="AV304" s="37"/>
      <c r="AW304" s="37"/>
      <c r="AX304" s="37"/>
      <c r="AY304" s="37"/>
      <c r="AZ304" s="37"/>
      <c r="BA304" s="37"/>
      <c r="BB304" s="37"/>
      <c r="BC304" s="37"/>
      <c r="BD304" s="37"/>
      <c r="BE304" s="37"/>
      <c r="BF304" s="37"/>
      <c r="BG304" s="37"/>
      <c r="BH304" s="37"/>
      <c r="BI304" s="37"/>
      <c r="BJ304" s="37"/>
      <c r="BK304" s="37"/>
      <c r="BL304" s="37"/>
      <c r="BM304" s="37"/>
      <c r="BN304" s="37"/>
      <c r="BO304" s="37"/>
      <c r="BP304" s="37"/>
      <c r="BQ304" s="38"/>
      <c r="BR304" s="38"/>
      <c r="BS304" s="37"/>
    </row>
    <row r="305" spans="1:71">
      <c r="A305" s="37"/>
      <c r="B305" s="37"/>
      <c r="C305" s="36"/>
      <c r="D305" s="36"/>
      <c r="E305" s="37"/>
      <c r="F305" s="37"/>
      <c r="G305" s="37"/>
      <c r="H305" s="37"/>
      <c r="I305" s="37"/>
      <c r="J305" s="37"/>
      <c r="K305" s="37"/>
      <c r="L305" s="37"/>
      <c r="M305" s="37"/>
      <c r="N305" s="37"/>
      <c r="O305" s="37"/>
      <c r="P305" s="37"/>
      <c r="Q305" s="37"/>
      <c r="R305" s="37"/>
      <c r="S305" s="37"/>
      <c r="T305" s="37"/>
      <c r="U305" s="37"/>
      <c r="V305" s="37"/>
      <c r="W305" s="37"/>
      <c r="X305" s="37"/>
      <c r="Y305" s="37"/>
      <c r="Z305" s="37"/>
      <c r="AA305" s="37"/>
      <c r="AB305" s="37"/>
      <c r="AC305" s="37"/>
      <c r="AD305" s="37"/>
      <c r="AE305" s="37"/>
      <c r="AF305" s="37"/>
      <c r="AG305" s="37"/>
      <c r="AH305" s="37"/>
      <c r="AI305" s="37"/>
      <c r="AJ305" s="37"/>
      <c r="AK305" s="37"/>
      <c r="AL305" s="37"/>
      <c r="AM305" s="37"/>
      <c r="AN305" s="37"/>
      <c r="AO305" s="37"/>
      <c r="AP305" s="37"/>
      <c r="AQ305" s="37"/>
      <c r="AR305" s="37"/>
      <c r="AS305" s="37"/>
      <c r="AT305" s="37"/>
      <c r="AU305" s="37"/>
      <c r="AV305" s="37"/>
      <c r="AW305" s="37"/>
      <c r="AX305" s="37"/>
      <c r="AY305" s="37"/>
      <c r="AZ305" s="37"/>
      <c r="BA305" s="37"/>
      <c r="BB305" s="37"/>
      <c r="BC305" s="37"/>
      <c r="BD305" s="37"/>
      <c r="BE305" s="37"/>
      <c r="BF305" s="37"/>
      <c r="BG305" s="37"/>
      <c r="BH305" s="37"/>
      <c r="BI305" s="37"/>
      <c r="BJ305" s="37"/>
      <c r="BK305" s="37"/>
      <c r="BL305" s="37"/>
      <c r="BM305" s="37"/>
      <c r="BN305" s="37"/>
      <c r="BO305" s="37"/>
      <c r="BP305" s="37"/>
      <c r="BQ305" s="38"/>
      <c r="BR305" s="38"/>
      <c r="BS305" s="37"/>
    </row>
    <row r="306" spans="1:71">
      <c r="A306" s="37"/>
      <c r="B306" s="37"/>
      <c r="C306" s="36"/>
      <c r="D306" s="36"/>
      <c r="E306" s="37"/>
      <c r="F306" s="37"/>
      <c r="G306" s="37"/>
      <c r="H306" s="37"/>
      <c r="I306" s="37"/>
      <c r="J306" s="37"/>
      <c r="K306" s="37"/>
      <c r="L306" s="37"/>
      <c r="M306" s="37"/>
      <c r="N306" s="37"/>
      <c r="O306" s="37"/>
      <c r="P306" s="37"/>
      <c r="Q306" s="37"/>
      <c r="R306" s="37"/>
      <c r="S306" s="37"/>
      <c r="T306" s="37"/>
      <c r="U306" s="37"/>
      <c r="V306" s="37"/>
      <c r="W306" s="37"/>
      <c r="X306" s="37"/>
      <c r="Y306" s="37"/>
      <c r="Z306" s="37"/>
      <c r="AA306" s="37"/>
      <c r="AB306" s="37"/>
      <c r="AC306" s="37"/>
      <c r="AD306" s="37"/>
      <c r="AE306" s="37"/>
      <c r="AF306" s="37"/>
      <c r="AG306" s="37"/>
      <c r="AH306" s="37"/>
      <c r="AI306" s="37"/>
      <c r="AJ306" s="37"/>
      <c r="AK306" s="37"/>
      <c r="AL306" s="37"/>
      <c r="AM306" s="37"/>
      <c r="AN306" s="37"/>
      <c r="AO306" s="37"/>
      <c r="AP306" s="37"/>
      <c r="AQ306" s="37"/>
      <c r="AR306" s="37"/>
      <c r="AS306" s="37"/>
      <c r="AT306" s="37"/>
      <c r="AU306" s="37"/>
      <c r="AV306" s="37"/>
      <c r="AW306" s="37"/>
      <c r="AX306" s="37"/>
      <c r="AY306" s="37"/>
      <c r="AZ306" s="37"/>
      <c r="BA306" s="37"/>
      <c r="BB306" s="37"/>
      <c r="BC306" s="37"/>
      <c r="BD306" s="37"/>
      <c r="BE306" s="37"/>
      <c r="BF306" s="37"/>
      <c r="BG306" s="37"/>
      <c r="BH306" s="37"/>
      <c r="BI306" s="37"/>
      <c r="BJ306" s="37"/>
      <c r="BK306" s="37"/>
      <c r="BL306" s="37"/>
      <c r="BM306" s="37"/>
      <c r="BN306" s="37"/>
      <c r="BO306" s="37"/>
      <c r="BP306" s="37"/>
      <c r="BQ306" s="38"/>
      <c r="BR306" s="38"/>
      <c r="BS306" s="37"/>
    </row>
    <row r="307" spans="1:71">
      <c r="A307" s="37"/>
      <c r="B307" s="37"/>
      <c r="C307" s="36"/>
      <c r="D307" s="36"/>
      <c r="E307" s="37"/>
      <c r="F307" s="37"/>
      <c r="G307" s="37"/>
      <c r="H307" s="37"/>
      <c r="I307" s="37"/>
      <c r="J307" s="37"/>
      <c r="K307" s="37"/>
      <c r="L307" s="37"/>
      <c r="M307" s="37"/>
      <c r="N307" s="37"/>
      <c r="O307" s="37"/>
      <c r="P307" s="37"/>
      <c r="Q307" s="37"/>
      <c r="R307" s="37"/>
      <c r="S307" s="37"/>
      <c r="T307" s="37"/>
      <c r="U307" s="37"/>
      <c r="V307" s="37"/>
      <c r="W307" s="37"/>
      <c r="X307" s="37"/>
      <c r="Y307" s="37"/>
      <c r="Z307" s="37"/>
      <c r="AA307" s="37"/>
      <c r="AB307" s="37"/>
      <c r="AC307" s="37"/>
      <c r="AD307" s="37"/>
      <c r="AE307" s="37"/>
      <c r="AF307" s="37"/>
      <c r="AG307" s="37"/>
      <c r="AH307" s="37"/>
      <c r="AI307" s="37"/>
      <c r="AJ307" s="37"/>
      <c r="AK307" s="37"/>
      <c r="AL307" s="37"/>
      <c r="AM307" s="37"/>
      <c r="AN307" s="37"/>
      <c r="AO307" s="37"/>
      <c r="AP307" s="37"/>
      <c r="AQ307" s="37"/>
      <c r="AR307" s="37"/>
      <c r="AS307" s="37"/>
      <c r="AT307" s="37"/>
      <c r="AU307" s="37"/>
      <c r="AV307" s="37"/>
      <c r="AW307" s="37"/>
      <c r="AX307" s="37"/>
      <c r="AY307" s="37"/>
      <c r="AZ307" s="37"/>
      <c r="BA307" s="37"/>
      <c r="BB307" s="37"/>
      <c r="BC307" s="37"/>
      <c r="BD307" s="37"/>
      <c r="BE307" s="37"/>
      <c r="BF307" s="37"/>
      <c r="BG307" s="37"/>
      <c r="BH307" s="37"/>
      <c r="BI307" s="37"/>
      <c r="BJ307" s="37"/>
      <c r="BK307" s="37"/>
      <c r="BL307" s="37"/>
      <c r="BM307" s="37"/>
      <c r="BN307" s="37"/>
      <c r="BO307" s="37"/>
      <c r="BP307" s="37"/>
      <c r="BQ307" s="38"/>
      <c r="BR307" s="38"/>
      <c r="BS307" s="37"/>
    </row>
    <row r="308" spans="1:71">
      <c r="A308" s="33"/>
      <c r="B308" s="33"/>
      <c r="C308" s="34"/>
      <c r="D308" s="34"/>
      <c r="E308" s="33"/>
      <c r="F308" s="33"/>
      <c r="G308" s="33"/>
      <c r="H308" s="33"/>
      <c r="I308" s="33"/>
      <c r="J308" s="33"/>
      <c r="K308" s="33"/>
      <c r="L308" s="33"/>
      <c r="M308" s="33"/>
      <c r="N308" s="33"/>
      <c r="O308" s="33"/>
      <c r="P308" s="33"/>
      <c r="Q308" s="33"/>
      <c r="R308" s="33"/>
      <c r="S308" s="33"/>
      <c r="T308" s="33"/>
      <c r="U308" s="33"/>
      <c r="V308" s="33"/>
      <c r="W308" s="33"/>
      <c r="X308" s="33"/>
      <c r="Y308" s="33"/>
      <c r="Z308" s="33"/>
      <c r="AA308" s="33"/>
      <c r="AB308" s="33"/>
      <c r="AC308" s="33"/>
      <c r="AD308" s="33"/>
      <c r="AE308" s="33"/>
      <c r="AF308" s="33"/>
      <c r="AG308" s="33"/>
      <c r="AH308" s="33"/>
      <c r="AI308" s="33"/>
      <c r="AJ308" s="33"/>
      <c r="AK308" s="33"/>
      <c r="AL308" s="33"/>
      <c r="AM308" s="33"/>
      <c r="AN308" s="33"/>
      <c r="AO308" s="33"/>
      <c r="AP308" s="33"/>
      <c r="AQ308" s="33"/>
      <c r="AR308" s="33"/>
      <c r="AS308" s="33"/>
      <c r="AT308" s="33"/>
      <c r="AU308" s="33"/>
      <c r="AV308" s="33"/>
      <c r="AW308" s="33"/>
      <c r="AX308" s="33"/>
      <c r="AY308" s="33"/>
      <c r="AZ308" s="33"/>
      <c r="BA308" s="33"/>
      <c r="BB308" s="33"/>
      <c r="BC308" s="33"/>
      <c r="BD308" s="33"/>
      <c r="BE308" s="33"/>
      <c r="BF308" s="33"/>
      <c r="BG308" s="33"/>
      <c r="BH308" s="33"/>
      <c r="BI308" s="33"/>
      <c r="BJ308" s="33"/>
      <c r="BK308" s="33"/>
      <c r="BL308" s="33"/>
      <c r="BM308" s="33"/>
      <c r="BN308" s="33"/>
      <c r="BO308" s="33"/>
      <c r="BP308" s="33"/>
      <c r="BQ308" s="35"/>
      <c r="BR308" s="35"/>
      <c r="BS308" s="33"/>
    </row>
    <row r="309" spans="1:71">
      <c r="A309" s="33"/>
      <c r="B309" s="33"/>
      <c r="C309" s="34"/>
      <c r="D309" s="34"/>
      <c r="E309" s="33"/>
      <c r="F309" s="33"/>
      <c r="G309" s="33"/>
      <c r="H309" s="33"/>
      <c r="I309" s="33"/>
      <c r="J309" s="33"/>
      <c r="K309" s="33"/>
      <c r="L309" s="33"/>
      <c r="M309" s="33"/>
      <c r="N309" s="33"/>
      <c r="O309" s="33"/>
      <c r="P309" s="33"/>
      <c r="Q309" s="33"/>
      <c r="R309" s="33"/>
      <c r="S309" s="33"/>
      <c r="T309" s="33"/>
      <c r="U309" s="33"/>
      <c r="V309" s="33"/>
      <c r="W309" s="33"/>
      <c r="X309" s="33"/>
      <c r="Y309" s="33"/>
      <c r="Z309" s="33"/>
      <c r="AA309" s="33"/>
      <c r="AB309" s="33"/>
      <c r="AC309" s="33"/>
      <c r="AD309" s="33"/>
      <c r="AE309" s="33"/>
      <c r="AF309" s="33"/>
      <c r="AG309" s="33"/>
      <c r="AH309" s="33"/>
      <c r="AI309" s="33"/>
      <c r="AJ309" s="33"/>
      <c r="AK309" s="33"/>
      <c r="AL309" s="33"/>
      <c r="AM309" s="33"/>
      <c r="AN309" s="33"/>
      <c r="AO309" s="33"/>
      <c r="AP309" s="33"/>
      <c r="AQ309" s="33"/>
      <c r="AR309" s="33"/>
      <c r="AS309" s="33"/>
      <c r="AT309" s="33"/>
      <c r="AU309" s="33"/>
      <c r="AV309" s="33"/>
      <c r="AW309" s="33"/>
      <c r="AX309" s="33"/>
      <c r="AY309" s="33"/>
      <c r="AZ309" s="33"/>
      <c r="BA309" s="33"/>
      <c r="BB309" s="33"/>
      <c r="BC309" s="33"/>
      <c r="BD309" s="33"/>
      <c r="BE309" s="33"/>
      <c r="BF309" s="33"/>
      <c r="BG309" s="33"/>
      <c r="BH309" s="33"/>
      <c r="BI309" s="33"/>
      <c r="BJ309" s="33"/>
      <c r="BK309" s="33"/>
      <c r="BL309" s="33"/>
      <c r="BM309" s="33"/>
      <c r="BN309" s="33"/>
      <c r="BO309" s="33"/>
      <c r="BP309" s="33"/>
      <c r="BQ309" s="35"/>
      <c r="BR309" s="35"/>
      <c r="BS309" s="33"/>
    </row>
    <row r="310" spans="1:71">
      <c r="A310" s="33"/>
      <c r="B310" s="33"/>
      <c r="C310" s="34"/>
      <c r="D310" s="34"/>
      <c r="E310" s="33"/>
      <c r="F310" s="33"/>
      <c r="G310" s="33"/>
      <c r="H310" s="33"/>
      <c r="I310" s="33"/>
      <c r="J310" s="33"/>
      <c r="K310" s="33"/>
      <c r="L310" s="33"/>
      <c r="M310" s="33"/>
      <c r="N310" s="33"/>
      <c r="O310" s="33"/>
      <c r="P310" s="33"/>
      <c r="Q310" s="33"/>
      <c r="R310" s="33"/>
      <c r="S310" s="33"/>
      <c r="T310" s="33"/>
      <c r="U310" s="33"/>
      <c r="V310" s="33"/>
      <c r="W310" s="33"/>
      <c r="X310" s="33"/>
      <c r="Y310" s="33"/>
      <c r="Z310" s="33"/>
      <c r="AA310" s="33"/>
      <c r="AB310" s="33"/>
      <c r="AC310" s="33"/>
      <c r="AD310" s="33"/>
      <c r="AE310" s="33"/>
      <c r="AF310" s="33"/>
      <c r="AG310" s="33"/>
      <c r="AH310" s="33"/>
      <c r="AI310" s="33"/>
      <c r="AJ310" s="33"/>
      <c r="AK310" s="33"/>
      <c r="AL310" s="33"/>
      <c r="AM310" s="33"/>
      <c r="AN310" s="33"/>
      <c r="AO310" s="33"/>
      <c r="AP310" s="33"/>
      <c r="AQ310" s="33"/>
      <c r="AR310" s="33"/>
      <c r="AS310" s="33"/>
      <c r="AT310" s="33"/>
      <c r="AU310" s="33"/>
      <c r="AV310" s="33"/>
      <c r="AW310" s="33"/>
      <c r="AX310" s="33"/>
      <c r="AY310" s="33"/>
      <c r="AZ310" s="33"/>
      <c r="BA310" s="33"/>
      <c r="BB310" s="33"/>
      <c r="BC310" s="33"/>
      <c r="BD310" s="33"/>
      <c r="BE310" s="33"/>
      <c r="BF310" s="33"/>
      <c r="BG310" s="33"/>
      <c r="BH310" s="33"/>
      <c r="BI310" s="33"/>
      <c r="BJ310" s="33"/>
      <c r="BK310" s="33"/>
      <c r="BL310" s="33"/>
      <c r="BM310" s="33"/>
      <c r="BN310" s="33"/>
      <c r="BO310" s="33"/>
      <c r="BP310" s="33"/>
      <c r="BQ310" s="35"/>
      <c r="BR310" s="35"/>
      <c r="BS310" s="33"/>
    </row>
    <row r="311" spans="1:71">
      <c r="A311" s="33"/>
      <c r="B311" s="33"/>
      <c r="C311" s="34"/>
      <c r="D311" s="34"/>
      <c r="E311" s="33"/>
      <c r="F311" s="33"/>
      <c r="G311" s="33"/>
      <c r="H311" s="33"/>
      <c r="I311" s="33"/>
      <c r="J311" s="33"/>
      <c r="K311" s="33"/>
      <c r="L311" s="33"/>
      <c r="M311" s="33"/>
      <c r="N311" s="33"/>
      <c r="O311" s="33"/>
      <c r="P311" s="33"/>
      <c r="Q311" s="33"/>
      <c r="R311" s="33"/>
      <c r="S311" s="33"/>
      <c r="T311" s="33"/>
      <c r="U311" s="33"/>
      <c r="V311" s="33"/>
      <c r="W311" s="33"/>
      <c r="X311" s="33"/>
      <c r="Y311" s="33"/>
      <c r="Z311" s="33"/>
      <c r="AA311" s="33"/>
      <c r="AB311" s="33"/>
      <c r="AC311" s="33"/>
      <c r="AD311" s="33"/>
      <c r="AE311" s="33"/>
      <c r="AF311" s="33"/>
      <c r="AG311" s="33"/>
      <c r="AH311" s="33"/>
      <c r="AI311" s="33"/>
      <c r="AJ311" s="33"/>
      <c r="AK311" s="33"/>
      <c r="AL311" s="33"/>
      <c r="AM311" s="33"/>
      <c r="AN311" s="33"/>
      <c r="AO311" s="33"/>
      <c r="AP311" s="33"/>
      <c r="AQ311" s="33"/>
      <c r="AR311" s="33"/>
      <c r="AS311" s="33"/>
      <c r="AT311" s="33"/>
      <c r="AU311" s="33"/>
      <c r="AV311" s="33"/>
      <c r="AW311" s="33"/>
      <c r="AX311" s="33"/>
      <c r="AY311" s="33"/>
      <c r="AZ311" s="33"/>
      <c r="BA311" s="33"/>
      <c r="BB311" s="33"/>
      <c r="BC311" s="33"/>
      <c r="BD311" s="33"/>
      <c r="BE311" s="33"/>
      <c r="BF311" s="33"/>
      <c r="BG311" s="33"/>
      <c r="BH311" s="33"/>
      <c r="BI311" s="33"/>
      <c r="BJ311" s="33"/>
      <c r="BK311" s="33"/>
      <c r="BL311" s="33"/>
      <c r="BM311" s="33"/>
      <c r="BN311" s="33"/>
      <c r="BO311" s="33"/>
      <c r="BP311" s="33"/>
      <c r="BQ311" s="35"/>
      <c r="BR311" s="35"/>
      <c r="BS311" s="33"/>
    </row>
    <row r="312" spans="1:71">
      <c r="A312" s="33"/>
      <c r="B312" s="33"/>
      <c r="C312" s="34"/>
      <c r="D312" s="34"/>
      <c r="E312" s="33"/>
      <c r="F312" s="33"/>
      <c r="G312" s="33"/>
      <c r="H312" s="33"/>
      <c r="I312" s="33"/>
      <c r="J312" s="33"/>
      <c r="K312" s="33"/>
      <c r="L312" s="33"/>
      <c r="M312" s="33"/>
      <c r="N312" s="33"/>
      <c r="O312" s="33"/>
      <c r="P312" s="33"/>
      <c r="Q312" s="33"/>
      <c r="R312" s="33"/>
      <c r="S312" s="33"/>
      <c r="T312" s="33"/>
      <c r="U312" s="33"/>
      <c r="V312" s="33"/>
      <c r="W312" s="33"/>
      <c r="X312" s="33"/>
      <c r="Y312" s="33"/>
      <c r="Z312" s="33"/>
      <c r="AA312" s="33"/>
      <c r="AB312" s="33"/>
      <c r="AC312" s="33"/>
      <c r="AD312" s="33"/>
      <c r="AE312" s="33"/>
      <c r="AF312" s="33"/>
      <c r="AG312" s="33"/>
      <c r="AH312" s="33"/>
      <c r="AI312" s="33"/>
      <c r="AJ312" s="33"/>
      <c r="AK312" s="33"/>
      <c r="AL312" s="33"/>
      <c r="AM312" s="33"/>
      <c r="AN312" s="33"/>
      <c r="AO312" s="33"/>
      <c r="AP312" s="33"/>
      <c r="AQ312" s="33"/>
      <c r="AR312" s="33"/>
      <c r="AS312" s="33"/>
      <c r="AT312" s="33"/>
      <c r="AU312" s="33"/>
      <c r="AV312" s="33"/>
      <c r="AW312" s="33"/>
      <c r="AX312" s="33"/>
      <c r="AY312" s="33"/>
      <c r="AZ312" s="33"/>
      <c r="BA312" s="33"/>
      <c r="BB312" s="33"/>
      <c r="BC312" s="33"/>
      <c r="BD312" s="33"/>
      <c r="BE312" s="33"/>
      <c r="BF312" s="33"/>
      <c r="BG312" s="33"/>
      <c r="BH312" s="33"/>
      <c r="BI312" s="33"/>
      <c r="BJ312" s="33"/>
      <c r="BK312" s="33"/>
      <c r="BL312" s="33"/>
      <c r="BM312" s="33"/>
      <c r="BN312" s="33"/>
      <c r="BO312" s="33"/>
      <c r="BP312" s="33"/>
      <c r="BQ312" s="35"/>
      <c r="BR312" s="35"/>
      <c r="BS312" s="33"/>
    </row>
    <row r="313" spans="1:71">
      <c r="A313" s="33"/>
      <c r="B313" s="33"/>
      <c r="C313" s="34"/>
      <c r="D313" s="34"/>
      <c r="E313" s="33"/>
      <c r="F313" s="33"/>
      <c r="G313" s="33"/>
      <c r="H313" s="33"/>
      <c r="I313" s="33"/>
      <c r="J313" s="33"/>
      <c r="K313" s="33"/>
      <c r="L313" s="33"/>
      <c r="M313" s="33"/>
      <c r="N313" s="33"/>
      <c r="O313" s="33"/>
      <c r="P313" s="33"/>
      <c r="Q313" s="33"/>
      <c r="R313" s="33"/>
      <c r="S313" s="33"/>
      <c r="T313" s="33"/>
      <c r="U313" s="33"/>
      <c r="V313" s="33"/>
      <c r="W313" s="33"/>
      <c r="X313" s="33"/>
      <c r="Y313" s="33"/>
      <c r="Z313" s="33"/>
      <c r="AA313" s="33"/>
      <c r="AB313" s="33"/>
      <c r="AC313" s="33"/>
      <c r="AD313" s="33"/>
      <c r="AE313" s="33"/>
      <c r="AF313" s="33"/>
      <c r="AG313" s="33"/>
      <c r="AH313" s="33"/>
      <c r="AI313" s="33"/>
      <c r="AJ313" s="33"/>
      <c r="AK313" s="33"/>
      <c r="AL313" s="33"/>
      <c r="AM313" s="33"/>
      <c r="AN313" s="33"/>
      <c r="AO313" s="33"/>
      <c r="AP313" s="33"/>
      <c r="AQ313" s="33"/>
      <c r="AR313" s="33"/>
      <c r="AS313" s="33"/>
      <c r="AT313" s="33"/>
      <c r="AU313" s="33"/>
      <c r="AV313" s="33"/>
      <c r="AW313" s="33"/>
      <c r="AX313" s="33"/>
      <c r="AY313" s="33"/>
      <c r="AZ313" s="33"/>
      <c r="BA313" s="33"/>
      <c r="BB313" s="33"/>
      <c r="BC313" s="33"/>
      <c r="BD313" s="33"/>
      <c r="BE313" s="33"/>
      <c r="BF313" s="33"/>
      <c r="BG313" s="33"/>
      <c r="BH313" s="33"/>
      <c r="BI313" s="33"/>
      <c r="BJ313" s="33"/>
      <c r="BK313" s="33"/>
      <c r="BL313" s="33"/>
      <c r="BM313" s="33"/>
      <c r="BN313" s="33"/>
      <c r="BO313" s="33"/>
      <c r="BP313" s="33"/>
      <c r="BQ313" s="35"/>
      <c r="BR313" s="35"/>
      <c r="BS313" s="33"/>
    </row>
    <row r="314" spans="1:71">
      <c r="A314" s="33"/>
      <c r="B314" s="33"/>
      <c r="C314" s="34"/>
      <c r="D314" s="34"/>
      <c r="E314" s="33"/>
      <c r="F314" s="33"/>
      <c r="G314" s="33"/>
      <c r="H314" s="33"/>
      <c r="I314" s="33"/>
      <c r="J314" s="33"/>
      <c r="K314" s="33"/>
      <c r="L314" s="33"/>
      <c r="M314" s="33"/>
      <c r="N314" s="33"/>
      <c r="O314" s="33"/>
      <c r="P314" s="33"/>
      <c r="Q314" s="33"/>
      <c r="R314" s="33"/>
      <c r="S314" s="33"/>
      <c r="T314" s="33"/>
      <c r="U314" s="33"/>
      <c r="V314" s="33"/>
      <c r="W314" s="33"/>
      <c r="X314" s="33"/>
      <c r="Y314" s="33"/>
      <c r="Z314" s="33"/>
      <c r="AA314" s="33"/>
      <c r="AB314" s="33"/>
      <c r="AC314" s="33"/>
      <c r="AD314" s="33"/>
      <c r="AE314" s="33"/>
      <c r="AF314" s="33"/>
      <c r="AG314" s="33"/>
      <c r="AH314" s="33"/>
      <c r="AI314" s="33"/>
      <c r="AJ314" s="33"/>
      <c r="AK314" s="33"/>
      <c r="AL314" s="33"/>
      <c r="AM314" s="33"/>
      <c r="AN314" s="33"/>
      <c r="AO314" s="33"/>
      <c r="AP314" s="33"/>
      <c r="AQ314" s="33"/>
      <c r="AR314" s="33"/>
      <c r="AS314" s="33"/>
      <c r="AT314" s="33"/>
      <c r="AU314" s="33"/>
      <c r="AV314" s="33"/>
      <c r="AW314" s="33"/>
      <c r="AX314" s="33"/>
      <c r="AY314" s="33"/>
      <c r="AZ314" s="33"/>
      <c r="BA314" s="33"/>
      <c r="BB314" s="33"/>
      <c r="BC314" s="33"/>
      <c r="BD314" s="33"/>
      <c r="BE314" s="33"/>
      <c r="BF314" s="33"/>
      <c r="BG314" s="33"/>
      <c r="BH314" s="33"/>
      <c r="BI314" s="33"/>
      <c r="BJ314" s="33"/>
      <c r="BK314" s="33"/>
      <c r="BL314" s="33"/>
      <c r="BM314" s="33"/>
      <c r="BN314" s="33"/>
      <c r="BO314" s="33"/>
      <c r="BP314" s="33"/>
      <c r="BQ314" s="35"/>
      <c r="BR314" s="35"/>
      <c r="BS314" s="33"/>
    </row>
    <row r="315" spans="1:71">
      <c r="A315" s="33"/>
      <c r="B315" s="33"/>
      <c r="C315" s="34"/>
      <c r="D315" s="34"/>
      <c r="E315" s="33"/>
      <c r="F315" s="33"/>
      <c r="G315" s="33"/>
      <c r="H315" s="33"/>
      <c r="I315" s="33"/>
      <c r="J315" s="33"/>
      <c r="K315" s="33"/>
      <c r="L315" s="33"/>
      <c r="M315" s="33"/>
      <c r="N315" s="33"/>
      <c r="O315" s="33"/>
      <c r="P315" s="33"/>
      <c r="Q315" s="33"/>
      <c r="R315" s="33"/>
      <c r="S315" s="33"/>
      <c r="T315" s="33"/>
      <c r="U315" s="33"/>
      <c r="V315" s="33"/>
      <c r="W315" s="33"/>
      <c r="X315" s="33"/>
      <c r="Y315" s="33"/>
      <c r="Z315" s="33"/>
      <c r="AA315" s="33"/>
      <c r="AB315" s="33"/>
      <c r="AC315" s="33"/>
      <c r="AD315" s="33"/>
      <c r="AE315" s="33"/>
      <c r="AF315" s="33"/>
      <c r="AG315" s="33"/>
      <c r="AH315" s="33"/>
      <c r="AI315" s="33"/>
      <c r="AJ315" s="33"/>
      <c r="AK315" s="33"/>
      <c r="AL315" s="33"/>
      <c r="AM315" s="33"/>
      <c r="AN315" s="33"/>
      <c r="AO315" s="33"/>
      <c r="AP315" s="33"/>
      <c r="AQ315" s="33"/>
      <c r="AR315" s="33"/>
      <c r="AS315" s="33"/>
      <c r="AT315" s="33"/>
      <c r="AU315" s="33"/>
      <c r="AV315" s="33"/>
      <c r="AW315" s="33"/>
      <c r="AX315" s="33"/>
      <c r="AY315" s="33"/>
      <c r="AZ315" s="33"/>
      <c r="BA315" s="33"/>
      <c r="BB315" s="33"/>
      <c r="BC315" s="33"/>
      <c r="BD315" s="33"/>
      <c r="BE315" s="33"/>
      <c r="BF315" s="33"/>
      <c r="BG315" s="33"/>
      <c r="BH315" s="33"/>
      <c r="BI315" s="33"/>
      <c r="BJ315" s="33"/>
      <c r="BK315" s="33"/>
      <c r="BL315" s="33"/>
      <c r="BM315" s="33"/>
      <c r="BN315" s="33"/>
      <c r="BO315" s="33"/>
      <c r="BP315" s="33"/>
      <c r="BQ315" s="35"/>
      <c r="BR315" s="35"/>
      <c r="BS315" s="33"/>
    </row>
    <row r="316" spans="1:71">
      <c r="A316" s="33"/>
      <c r="B316" s="33"/>
      <c r="C316" s="34"/>
      <c r="D316" s="34"/>
      <c r="E316" s="33"/>
      <c r="F316" s="33"/>
      <c r="G316" s="33"/>
      <c r="H316" s="33"/>
      <c r="I316" s="33"/>
      <c r="J316" s="33"/>
      <c r="K316" s="33"/>
      <c r="L316" s="33"/>
      <c r="M316" s="33"/>
      <c r="N316" s="33"/>
      <c r="O316" s="33"/>
      <c r="P316" s="33"/>
      <c r="Q316" s="33"/>
      <c r="R316" s="33"/>
      <c r="S316" s="33"/>
      <c r="T316" s="33"/>
      <c r="U316" s="33"/>
      <c r="V316" s="33"/>
      <c r="W316" s="33"/>
      <c r="X316" s="33"/>
      <c r="Y316" s="33"/>
      <c r="Z316" s="33"/>
      <c r="AA316" s="33"/>
      <c r="AB316" s="33"/>
      <c r="AC316" s="33"/>
      <c r="AD316" s="33"/>
      <c r="AE316" s="33"/>
      <c r="AF316" s="33"/>
      <c r="AG316" s="33"/>
      <c r="AH316" s="33"/>
      <c r="AI316" s="33"/>
      <c r="AJ316" s="33"/>
      <c r="AK316" s="33"/>
      <c r="AL316" s="33"/>
      <c r="AM316" s="33"/>
      <c r="AN316" s="33"/>
      <c r="AO316" s="33"/>
      <c r="AP316" s="33"/>
      <c r="AQ316" s="33"/>
      <c r="AR316" s="33"/>
      <c r="AS316" s="33"/>
      <c r="AT316" s="33"/>
      <c r="AU316" s="33"/>
      <c r="AV316" s="33"/>
      <c r="AW316" s="33"/>
      <c r="AX316" s="33"/>
      <c r="AY316" s="33"/>
      <c r="AZ316" s="33"/>
      <c r="BA316" s="33"/>
      <c r="BB316" s="33"/>
      <c r="BC316" s="33"/>
      <c r="BD316" s="33"/>
      <c r="BE316" s="33"/>
      <c r="BF316" s="33"/>
      <c r="BG316" s="33"/>
      <c r="BH316" s="33"/>
      <c r="BI316" s="33"/>
      <c r="BJ316" s="33"/>
      <c r="BK316" s="33"/>
      <c r="BL316" s="33"/>
      <c r="BM316" s="33"/>
      <c r="BN316" s="33"/>
      <c r="BO316" s="33"/>
      <c r="BP316" s="33"/>
      <c r="BQ316" s="35"/>
      <c r="BR316" s="35"/>
      <c r="BS316" s="33"/>
    </row>
    <row r="317" spans="1:71">
      <c r="A317" s="33"/>
      <c r="B317" s="33"/>
      <c r="C317" s="34"/>
      <c r="D317" s="34"/>
      <c r="E317" s="33"/>
      <c r="F317" s="33"/>
      <c r="G317" s="33"/>
      <c r="H317" s="33"/>
      <c r="I317" s="33"/>
      <c r="J317" s="33"/>
      <c r="K317" s="33"/>
      <c r="L317" s="33"/>
      <c r="M317" s="33"/>
      <c r="N317" s="33"/>
      <c r="O317" s="33"/>
      <c r="P317" s="33"/>
      <c r="Q317" s="33"/>
      <c r="R317" s="33"/>
      <c r="S317" s="33"/>
      <c r="T317" s="33"/>
      <c r="U317" s="33"/>
      <c r="V317" s="33"/>
      <c r="W317" s="33"/>
      <c r="X317" s="33"/>
      <c r="Y317" s="33"/>
      <c r="Z317" s="33"/>
      <c r="AA317" s="33"/>
      <c r="AB317" s="33"/>
      <c r="AC317" s="33"/>
      <c r="AD317" s="33"/>
      <c r="AE317" s="33"/>
      <c r="AF317" s="33"/>
      <c r="AG317" s="33"/>
      <c r="AH317" s="33"/>
      <c r="AI317" s="33"/>
      <c r="AJ317" s="33"/>
      <c r="AK317" s="33"/>
      <c r="AL317" s="33"/>
      <c r="AM317" s="33"/>
      <c r="AN317" s="33"/>
      <c r="AO317" s="33"/>
      <c r="AP317" s="33"/>
      <c r="AQ317" s="33"/>
      <c r="AR317" s="33"/>
      <c r="AS317" s="33"/>
      <c r="AT317" s="33"/>
      <c r="AU317" s="33"/>
      <c r="AV317" s="33"/>
      <c r="AW317" s="33"/>
      <c r="AX317" s="33"/>
      <c r="AY317" s="33"/>
      <c r="AZ317" s="33"/>
      <c r="BA317" s="33"/>
      <c r="BB317" s="33"/>
      <c r="BC317" s="33"/>
      <c r="BD317" s="33"/>
      <c r="BE317" s="33"/>
      <c r="BF317" s="33"/>
      <c r="BG317" s="33"/>
      <c r="BH317" s="33"/>
      <c r="BI317" s="33"/>
      <c r="BJ317" s="33"/>
      <c r="BK317" s="33"/>
      <c r="BL317" s="33"/>
      <c r="BM317" s="33"/>
      <c r="BN317" s="33"/>
      <c r="BO317" s="33"/>
      <c r="BP317" s="33"/>
      <c r="BQ317" s="35"/>
      <c r="BR317" s="35"/>
      <c r="BS317" s="33"/>
    </row>
    <row r="318" spans="1:71">
      <c r="A318" s="33"/>
      <c r="B318" s="33"/>
      <c r="C318" s="34"/>
      <c r="D318" s="34"/>
      <c r="E318" s="33"/>
      <c r="F318" s="33"/>
      <c r="G318" s="33"/>
      <c r="H318" s="33"/>
      <c r="I318" s="33"/>
      <c r="J318" s="33"/>
      <c r="K318" s="33"/>
      <c r="L318" s="33"/>
      <c r="M318" s="33"/>
      <c r="N318" s="33"/>
      <c r="O318" s="33"/>
      <c r="P318" s="33"/>
      <c r="Q318" s="33"/>
      <c r="R318" s="33"/>
      <c r="S318" s="33"/>
      <c r="T318" s="33"/>
      <c r="U318" s="33"/>
      <c r="V318" s="33"/>
      <c r="W318" s="33"/>
      <c r="X318" s="33"/>
      <c r="Y318" s="33"/>
      <c r="Z318" s="33"/>
      <c r="AA318" s="33"/>
      <c r="AB318" s="33"/>
      <c r="AC318" s="33"/>
      <c r="AD318" s="33"/>
      <c r="AE318" s="33"/>
      <c r="AF318" s="33"/>
      <c r="AG318" s="33"/>
      <c r="AH318" s="33"/>
      <c r="AI318" s="33"/>
      <c r="AJ318" s="33"/>
      <c r="AK318" s="33"/>
      <c r="AL318" s="33"/>
      <c r="AM318" s="33"/>
      <c r="AN318" s="33"/>
      <c r="AO318" s="33"/>
      <c r="AP318" s="33"/>
      <c r="AQ318" s="33"/>
      <c r="AR318" s="33"/>
      <c r="AS318" s="33"/>
      <c r="AT318" s="33"/>
      <c r="AU318" s="33"/>
      <c r="AV318" s="33"/>
      <c r="AW318" s="33"/>
      <c r="AX318" s="33"/>
      <c r="AY318" s="33"/>
      <c r="AZ318" s="33"/>
      <c r="BA318" s="33"/>
      <c r="BB318" s="33"/>
      <c r="BC318" s="33"/>
      <c r="BD318" s="33"/>
      <c r="BE318" s="33"/>
      <c r="BF318" s="33"/>
      <c r="BG318" s="33"/>
      <c r="BH318" s="33"/>
      <c r="BI318" s="33"/>
      <c r="BJ318" s="33"/>
      <c r="BK318" s="33"/>
      <c r="BL318" s="33"/>
      <c r="BM318" s="33"/>
      <c r="BN318" s="33"/>
      <c r="BO318" s="33"/>
      <c r="BP318" s="33"/>
      <c r="BQ318" s="35"/>
      <c r="BR318" s="35"/>
      <c r="BS318" s="33"/>
    </row>
    <row r="319" spans="1:71">
      <c r="A319" s="33"/>
      <c r="B319" s="33"/>
      <c r="C319" s="34"/>
      <c r="D319" s="34"/>
      <c r="E319" s="33"/>
      <c r="F319" s="33"/>
      <c r="G319" s="33"/>
      <c r="H319" s="33"/>
      <c r="I319" s="33"/>
      <c r="J319" s="33"/>
      <c r="K319" s="33"/>
      <c r="L319" s="33"/>
      <c r="M319" s="33"/>
      <c r="N319" s="33"/>
      <c r="O319" s="33"/>
      <c r="P319" s="33"/>
      <c r="Q319" s="33"/>
      <c r="R319" s="33"/>
      <c r="S319" s="33"/>
      <c r="T319" s="33"/>
      <c r="U319" s="33"/>
      <c r="V319" s="33"/>
      <c r="W319" s="33"/>
      <c r="X319" s="33"/>
      <c r="Y319" s="33"/>
      <c r="Z319" s="33"/>
      <c r="AA319" s="33"/>
      <c r="AB319" s="33"/>
      <c r="AC319" s="33"/>
      <c r="AD319" s="33"/>
      <c r="AE319" s="33"/>
      <c r="AF319" s="33"/>
      <c r="AG319" s="33"/>
      <c r="AH319" s="33"/>
      <c r="AI319" s="33"/>
      <c r="AJ319" s="33"/>
      <c r="AK319" s="33"/>
      <c r="AL319" s="33"/>
      <c r="AM319" s="33"/>
      <c r="AN319" s="33"/>
      <c r="AO319" s="33"/>
      <c r="AP319" s="33"/>
      <c r="AQ319" s="33"/>
      <c r="AR319" s="33"/>
      <c r="AS319" s="33"/>
      <c r="AT319" s="33"/>
      <c r="AU319" s="33"/>
      <c r="AV319" s="33"/>
      <c r="AW319" s="33"/>
      <c r="AX319" s="33"/>
      <c r="AY319" s="33"/>
      <c r="AZ319" s="33"/>
      <c r="BA319" s="33"/>
      <c r="BB319" s="33"/>
      <c r="BC319" s="33"/>
      <c r="BD319" s="33"/>
      <c r="BE319" s="33"/>
      <c r="BF319" s="33"/>
      <c r="BG319" s="33"/>
      <c r="BH319" s="33"/>
      <c r="BI319" s="33"/>
      <c r="BJ319" s="33"/>
      <c r="BK319" s="33"/>
      <c r="BL319" s="33"/>
      <c r="BM319" s="33"/>
      <c r="BN319" s="33"/>
      <c r="BO319" s="33"/>
      <c r="BP319" s="33"/>
      <c r="BQ319" s="35"/>
      <c r="BR319" s="35"/>
      <c r="BS319" s="33"/>
    </row>
    <row r="320" spans="1:71">
      <c r="A320" s="33"/>
      <c r="B320" s="33"/>
      <c r="C320" s="34"/>
      <c r="D320" s="34"/>
      <c r="E320" s="33"/>
      <c r="F320" s="33"/>
      <c r="G320" s="33"/>
      <c r="H320" s="33"/>
      <c r="I320" s="33"/>
      <c r="J320" s="33"/>
      <c r="K320" s="33"/>
      <c r="L320" s="33"/>
      <c r="M320" s="33"/>
      <c r="N320" s="33"/>
      <c r="O320" s="33"/>
      <c r="P320" s="33"/>
      <c r="Q320" s="33"/>
      <c r="R320" s="33"/>
      <c r="S320" s="33"/>
      <c r="T320" s="33"/>
      <c r="U320" s="33"/>
      <c r="V320" s="33"/>
      <c r="W320" s="33"/>
      <c r="X320" s="33"/>
      <c r="Y320" s="33"/>
      <c r="Z320" s="33"/>
      <c r="AA320" s="33"/>
      <c r="AB320" s="33"/>
      <c r="AC320" s="33"/>
      <c r="AD320" s="33"/>
      <c r="AE320" s="33"/>
      <c r="AF320" s="33"/>
      <c r="AG320" s="33"/>
      <c r="AH320" s="33"/>
      <c r="AI320" s="33"/>
      <c r="AJ320" s="33"/>
      <c r="AK320" s="33"/>
      <c r="AL320" s="33"/>
      <c r="AM320" s="33"/>
      <c r="AN320" s="33"/>
      <c r="AO320" s="33"/>
      <c r="AP320" s="33"/>
      <c r="AQ320" s="33"/>
      <c r="AR320" s="33"/>
      <c r="AS320" s="33"/>
      <c r="AT320" s="33"/>
      <c r="AU320" s="33"/>
      <c r="AV320" s="33"/>
      <c r="AW320" s="33"/>
      <c r="AX320" s="33"/>
      <c r="AY320" s="33"/>
      <c r="AZ320" s="33"/>
      <c r="BA320" s="33"/>
      <c r="BB320" s="33"/>
      <c r="BC320" s="33"/>
      <c r="BD320" s="33"/>
      <c r="BE320" s="33"/>
      <c r="BF320" s="33"/>
      <c r="BG320" s="33"/>
      <c r="BH320" s="33"/>
      <c r="BI320" s="33"/>
      <c r="BJ320" s="33"/>
      <c r="BK320" s="33"/>
      <c r="BL320" s="33"/>
      <c r="BM320" s="33"/>
      <c r="BN320" s="33"/>
      <c r="BO320" s="33"/>
      <c r="BP320" s="33"/>
      <c r="BQ320" s="35"/>
      <c r="BR320" s="35"/>
      <c r="BS320" s="33"/>
    </row>
    <row r="321" spans="1:71">
      <c r="A321" s="33"/>
      <c r="B321" s="33"/>
      <c r="C321" s="34"/>
      <c r="D321" s="34"/>
      <c r="E321" s="33"/>
      <c r="F321" s="33"/>
      <c r="G321" s="33"/>
      <c r="H321" s="33"/>
      <c r="I321" s="33"/>
      <c r="J321" s="33"/>
      <c r="K321" s="33"/>
      <c r="L321" s="33"/>
      <c r="M321" s="33"/>
      <c r="N321" s="33"/>
      <c r="O321" s="33"/>
      <c r="P321" s="33"/>
      <c r="Q321" s="33"/>
      <c r="R321" s="33"/>
      <c r="S321" s="33"/>
      <c r="T321" s="33"/>
      <c r="U321" s="33"/>
      <c r="V321" s="33"/>
      <c r="W321" s="33"/>
      <c r="X321" s="33"/>
      <c r="Y321" s="33"/>
      <c r="Z321" s="33"/>
      <c r="AA321" s="33"/>
      <c r="AB321" s="33"/>
      <c r="AC321" s="33"/>
      <c r="AD321" s="33"/>
      <c r="AE321" s="33"/>
      <c r="AF321" s="33"/>
      <c r="AG321" s="33"/>
      <c r="AH321" s="33"/>
      <c r="AI321" s="33"/>
      <c r="AJ321" s="33"/>
      <c r="AK321" s="33"/>
      <c r="AL321" s="33"/>
      <c r="AM321" s="33"/>
      <c r="AN321" s="33"/>
      <c r="AO321" s="33"/>
      <c r="AP321" s="33"/>
      <c r="AQ321" s="33"/>
      <c r="AR321" s="33"/>
      <c r="AS321" s="33"/>
      <c r="AT321" s="33"/>
      <c r="AU321" s="33"/>
      <c r="AV321" s="33"/>
      <c r="AW321" s="33"/>
      <c r="AX321" s="33"/>
      <c r="AY321" s="33"/>
      <c r="AZ321" s="33"/>
      <c r="BA321" s="33"/>
      <c r="BB321" s="33"/>
      <c r="BC321" s="33"/>
      <c r="BD321" s="33"/>
      <c r="BE321" s="33"/>
      <c r="BF321" s="33"/>
      <c r="BG321" s="33"/>
      <c r="BH321" s="33"/>
      <c r="BI321" s="33"/>
      <c r="BJ321" s="33"/>
      <c r="BK321" s="33"/>
      <c r="BL321" s="33"/>
      <c r="BM321" s="33"/>
      <c r="BN321" s="33"/>
      <c r="BO321" s="33"/>
      <c r="BP321" s="33"/>
      <c r="BQ321" s="35"/>
      <c r="BR321" s="35"/>
      <c r="BS321" s="33"/>
    </row>
    <row r="322" spans="1:71">
      <c r="A322" s="33"/>
      <c r="B322" s="33"/>
      <c r="C322" s="34"/>
      <c r="D322" s="34"/>
      <c r="E322" s="33"/>
      <c r="F322" s="33"/>
      <c r="G322" s="33"/>
      <c r="H322" s="33"/>
      <c r="I322" s="33"/>
      <c r="J322" s="33"/>
      <c r="K322" s="33"/>
      <c r="L322" s="33"/>
      <c r="M322" s="33"/>
      <c r="N322" s="33"/>
      <c r="O322" s="33"/>
      <c r="P322" s="33"/>
      <c r="Q322" s="33"/>
      <c r="R322" s="33"/>
      <c r="S322" s="33"/>
      <c r="T322" s="33"/>
      <c r="U322" s="33"/>
      <c r="V322" s="33"/>
      <c r="W322" s="33"/>
      <c r="X322" s="33"/>
      <c r="Y322" s="33"/>
      <c r="Z322" s="33"/>
      <c r="AA322" s="33"/>
      <c r="AB322" s="33"/>
      <c r="AC322" s="33"/>
      <c r="AD322" s="33"/>
      <c r="AE322" s="33"/>
      <c r="AF322" s="33"/>
      <c r="AG322" s="33"/>
      <c r="AH322" s="33"/>
      <c r="AI322" s="33"/>
      <c r="AJ322" s="33"/>
      <c r="AK322" s="33"/>
      <c r="AL322" s="33"/>
      <c r="AM322" s="33"/>
      <c r="AN322" s="33"/>
      <c r="AO322" s="33"/>
      <c r="AP322" s="33"/>
      <c r="AQ322" s="33"/>
      <c r="AR322" s="33"/>
      <c r="AS322" s="33"/>
      <c r="AT322" s="33"/>
      <c r="AU322" s="33"/>
      <c r="AV322" s="33"/>
      <c r="AW322" s="33"/>
      <c r="AX322" s="33"/>
      <c r="AY322" s="33"/>
      <c r="AZ322" s="33"/>
      <c r="BA322" s="33"/>
      <c r="BB322" s="33"/>
      <c r="BC322" s="33"/>
      <c r="BD322" s="33"/>
      <c r="BE322" s="33"/>
      <c r="BF322" s="33"/>
      <c r="BG322" s="33"/>
      <c r="BH322" s="33"/>
      <c r="BI322" s="33"/>
      <c r="BJ322" s="33"/>
      <c r="BK322" s="33"/>
      <c r="BL322" s="33"/>
      <c r="BM322" s="33"/>
      <c r="BN322" s="33"/>
      <c r="BO322" s="33"/>
      <c r="BP322" s="33"/>
      <c r="BQ322" s="35"/>
      <c r="BR322" s="35"/>
      <c r="BS322" s="33"/>
    </row>
    <row r="323" spans="1:71">
      <c r="A323" s="33"/>
      <c r="B323" s="33"/>
      <c r="C323" s="34"/>
      <c r="D323" s="34"/>
      <c r="E323" s="33"/>
      <c r="F323" s="33"/>
      <c r="G323" s="33"/>
      <c r="H323" s="33"/>
      <c r="I323" s="33"/>
      <c r="J323" s="33"/>
      <c r="K323" s="33"/>
      <c r="L323" s="33"/>
      <c r="M323" s="33"/>
      <c r="N323" s="33"/>
      <c r="O323" s="33"/>
      <c r="P323" s="33"/>
      <c r="Q323" s="33"/>
      <c r="R323" s="33"/>
      <c r="S323" s="33"/>
      <c r="T323" s="33"/>
      <c r="U323" s="33"/>
      <c r="V323" s="33"/>
      <c r="W323" s="33"/>
      <c r="X323" s="33"/>
      <c r="Y323" s="33"/>
      <c r="Z323" s="33"/>
      <c r="AA323" s="33"/>
      <c r="AB323" s="33"/>
      <c r="AC323" s="33"/>
      <c r="AD323" s="33"/>
      <c r="AE323" s="33"/>
      <c r="AF323" s="33"/>
      <c r="AG323" s="33"/>
      <c r="AH323" s="33"/>
      <c r="AI323" s="33"/>
      <c r="AJ323" s="33"/>
      <c r="AK323" s="33"/>
      <c r="AL323" s="33"/>
      <c r="AM323" s="33"/>
      <c r="AN323" s="33"/>
      <c r="AO323" s="33"/>
      <c r="AP323" s="33"/>
      <c r="AQ323" s="33"/>
      <c r="AR323" s="33"/>
      <c r="AS323" s="33"/>
      <c r="AT323" s="33"/>
      <c r="AU323" s="33"/>
      <c r="AV323" s="33"/>
      <c r="AW323" s="33"/>
      <c r="AX323" s="33"/>
      <c r="AY323" s="33"/>
      <c r="AZ323" s="33"/>
      <c r="BA323" s="33"/>
      <c r="BB323" s="33"/>
      <c r="BC323" s="33"/>
      <c r="BD323" s="33"/>
      <c r="BE323" s="33"/>
      <c r="BF323" s="33"/>
      <c r="BG323" s="33"/>
      <c r="BH323" s="33"/>
      <c r="BI323" s="33"/>
      <c r="BJ323" s="33"/>
      <c r="BK323" s="33"/>
      <c r="BL323" s="33"/>
      <c r="BM323" s="33"/>
      <c r="BN323" s="33"/>
      <c r="BO323" s="33"/>
      <c r="BP323" s="33"/>
      <c r="BQ323" s="35"/>
      <c r="BR323" s="35"/>
      <c r="BS323" s="33"/>
    </row>
    <row r="324" spans="1:71">
      <c r="A324" s="33"/>
      <c r="B324" s="33"/>
      <c r="C324" s="34"/>
      <c r="D324" s="34"/>
      <c r="E324" s="33"/>
      <c r="F324" s="33"/>
      <c r="G324" s="33"/>
      <c r="H324" s="33"/>
      <c r="I324" s="33"/>
      <c r="J324" s="33"/>
      <c r="K324" s="33"/>
      <c r="L324" s="33"/>
      <c r="M324" s="33"/>
      <c r="N324" s="33"/>
      <c r="O324" s="33"/>
      <c r="P324" s="33"/>
      <c r="Q324" s="33"/>
      <c r="R324" s="33"/>
      <c r="S324" s="33"/>
      <c r="T324" s="33"/>
      <c r="U324" s="33"/>
      <c r="V324" s="33"/>
      <c r="W324" s="33"/>
      <c r="X324" s="33"/>
      <c r="Y324" s="33"/>
      <c r="Z324" s="33"/>
      <c r="AA324" s="33"/>
      <c r="AB324" s="33"/>
      <c r="AC324" s="33"/>
      <c r="AD324" s="33"/>
      <c r="AE324" s="33"/>
      <c r="AF324" s="33"/>
      <c r="AG324" s="33"/>
      <c r="AH324" s="33"/>
      <c r="AI324" s="33"/>
      <c r="AJ324" s="33"/>
      <c r="AK324" s="33"/>
      <c r="AL324" s="33"/>
      <c r="AM324" s="33"/>
      <c r="AN324" s="33"/>
      <c r="AO324" s="33"/>
      <c r="AP324" s="33"/>
      <c r="AQ324" s="33"/>
      <c r="AR324" s="33"/>
      <c r="AS324" s="33"/>
      <c r="AT324" s="33"/>
      <c r="AU324" s="33"/>
      <c r="AV324" s="33"/>
      <c r="AW324" s="33"/>
      <c r="AX324" s="33"/>
      <c r="AY324" s="33"/>
      <c r="AZ324" s="33"/>
      <c r="BA324" s="33"/>
      <c r="BB324" s="33"/>
      <c r="BC324" s="33"/>
      <c r="BD324" s="33"/>
      <c r="BE324" s="33"/>
      <c r="BF324" s="33"/>
      <c r="BG324" s="33"/>
      <c r="BH324" s="33"/>
      <c r="BI324" s="33"/>
      <c r="BJ324" s="33"/>
      <c r="BK324" s="33"/>
      <c r="BL324" s="33"/>
      <c r="BM324" s="33"/>
      <c r="BN324" s="33"/>
      <c r="BO324" s="33"/>
      <c r="BP324" s="33"/>
      <c r="BQ324" s="35"/>
      <c r="BR324" s="35"/>
      <c r="BS324" s="33"/>
    </row>
    <row r="325" spans="1:71">
      <c r="A325" s="33"/>
      <c r="B325" s="33"/>
      <c r="C325" s="34"/>
      <c r="D325" s="34"/>
      <c r="E325" s="33"/>
      <c r="F325" s="33"/>
      <c r="G325" s="33"/>
      <c r="H325" s="33"/>
      <c r="I325" s="33"/>
      <c r="J325" s="33"/>
      <c r="K325" s="33"/>
      <c r="L325" s="33"/>
      <c r="M325" s="33"/>
      <c r="N325" s="33"/>
      <c r="O325" s="33"/>
      <c r="P325" s="33"/>
      <c r="Q325" s="33"/>
      <c r="R325" s="33"/>
      <c r="S325" s="33"/>
      <c r="T325" s="33"/>
      <c r="U325" s="33"/>
      <c r="V325" s="33"/>
      <c r="W325" s="33"/>
      <c r="X325" s="33"/>
      <c r="Y325" s="33"/>
      <c r="Z325" s="33"/>
      <c r="AA325" s="33"/>
      <c r="AB325" s="33"/>
      <c r="AC325" s="33"/>
      <c r="AD325" s="33"/>
      <c r="AE325" s="33"/>
      <c r="AF325" s="33"/>
      <c r="AG325" s="33"/>
      <c r="AH325" s="33"/>
      <c r="AI325" s="33"/>
      <c r="AJ325" s="33"/>
      <c r="AK325" s="33"/>
      <c r="AL325" s="33"/>
      <c r="AM325" s="33"/>
      <c r="AN325" s="33"/>
      <c r="AO325" s="33"/>
      <c r="AP325" s="33"/>
      <c r="AQ325" s="33"/>
      <c r="AR325" s="33"/>
      <c r="AS325" s="33"/>
      <c r="AT325" s="33"/>
      <c r="AU325" s="33"/>
      <c r="AV325" s="33"/>
      <c r="AW325" s="33"/>
      <c r="AX325" s="33"/>
      <c r="AY325" s="33"/>
      <c r="AZ325" s="33"/>
      <c r="BA325" s="33"/>
      <c r="BB325" s="33"/>
      <c r="BC325" s="33"/>
      <c r="BD325" s="33"/>
      <c r="BE325" s="33"/>
      <c r="BF325" s="33"/>
      <c r="BG325" s="33"/>
      <c r="BH325" s="33"/>
      <c r="BI325" s="33"/>
      <c r="BJ325" s="33"/>
      <c r="BK325" s="33"/>
      <c r="BL325" s="33"/>
      <c r="BM325" s="33"/>
      <c r="BN325" s="33"/>
      <c r="BO325" s="33"/>
      <c r="BP325" s="33"/>
      <c r="BQ325" s="35"/>
      <c r="BR325" s="35"/>
      <c r="BS325" s="33"/>
    </row>
    <row r="326" spans="1:71">
      <c r="A326" s="33"/>
      <c r="B326" s="33"/>
      <c r="C326" s="34"/>
      <c r="D326" s="34"/>
      <c r="E326" s="33"/>
      <c r="F326" s="33"/>
      <c r="G326" s="33"/>
      <c r="H326" s="33"/>
      <c r="I326" s="33"/>
      <c r="J326" s="33"/>
      <c r="K326" s="33"/>
      <c r="L326" s="33"/>
      <c r="M326" s="33"/>
      <c r="N326" s="33"/>
      <c r="O326" s="33"/>
      <c r="P326" s="33"/>
      <c r="Q326" s="33"/>
      <c r="R326" s="33"/>
      <c r="S326" s="33"/>
      <c r="T326" s="33"/>
      <c r="U326" s="33"/>
      <c r="V326" s="33"/>
      <c r="W326" s="33"/>
      <c r="X326" s="33"/>
      <c r="Y326" s="33"/>
      <c r="Z326" s="33"/>
      <c r="AA326" s="33"/>
      <c r="AB326" s="33"/>
      <c r="AC326" s="33"/>
      <c r="AD326" s="33"/>
      <c r="AE326" s="33"/>
      <c r="AF326" s="33"/>
      <c r="AG326" s="33"/>
      <c r="AH326" s="33"/>
      <c r="AI326" s="33"/>
      <c r="AJ326" s="33"/>
      <c r="AK326" s="33"/>
      <c r="AL326" s="33"/>
      <c r="AM326" s="33"/>
      <c r="AN326" s="33"/>
      <c r="AO326" s="33"/>
      <c r="AP326" s="33"/>
      <c r="AQ326" s="33"/>
      <c r="AR326" s="33"/>
      <c r="AS326" s="33"/>
      <c r="AT326" s="33"/>
      <c r="AU326" s="33"/>
      <c r="AV326" s="33"/>
      <c r="AW326" s="33"/>
      <c r="AX326" s="33"/>
      <c r="AY326" s="33"/>
      <c r="AZ326" s="33"/>
      <c r="BA326" s="33"/>
      <c r="BB326" s="33"/>
      <c r="BC326" s="33"/>
      <c r="BD326" s="33"/>
      <c r="BE326" s="33"/>
      <c r="BF326" s="33"/>
      <c r="BG326" s="33"/>
      <c r="BH326" s="33"/>
      <c r="BI326" s="33"/>
      <c r="BJ326" s="33"/>
      <c r="BK326" s="33"/>
      <c r="BL326" s="33"/>
      <c r="BM326" s="33"/>
      <c r="BN326" s="33"/>
      <c r="BO326" s="33"/>
      <c r="BP326" s="33"/>
      <c r="BQ326" s="35"/>
      <c r="BR326" s="35"/>
      <c r="BS326" s="33"/>
    </row>
    <row r="327" spans="1:71">
      <c r="A327" s="33"/>
      <c r="B327" s="33"/>
      <c r="C327" s="34"/>
      <c r="D327" s="34"/>
      <c r="E327" s="33"/>
      <c r="F327" s="33"/>
      <c r="G327" s="33"/>
      <c r="H327" s="33"/>
      <c r="I327" s="33"/>
      <c r="J327" s="33"/>
      <c r="K327" s="33"/>
      <c r="L327" s="33"/>
      <c r="M327" s="33"/>
      <c r="N327" s="33"/>
      <c r="O327" s="33"/>
      <c r="P327" s="33"/>
      <c r="Q327" s="33"/>
      <c r="R327" s="33"/>
      <c r="S327" s="33"/>
      <c r="T327" s="33"/>
      <c r="U327" s="33"/>
      <c r="V327" s="33"/>
      <c r="W327" s="33"/>
      <c r="X327" s="33"/>
      <c r="Y327" s="33"/>
      <c r="Z327" s="33"/>
      <c r="AA327" s="33"/>
      <c r="AB327" s="33"/>
      <c r="AC327" s="33"/>
      <c r="AD327" s="33"/>
      <c r="AE327" s="33"/>
      <c r="AF327" s="33"/>
      <c r="AG327" s="33"/>
      <c r="AH327" s="33"/>
      <c r="AI327" s="33"/>
      <c r="AJ327" s="33"/>
      <c r="AK327" s="33"/>
      <c r="AL327" s="33"/>
      <c r="AM327" s="33"/>
      <c r="AN327" s="33"/>
      <c r="AO327" s="33"/>
      <c r="AP327" s="33"/>
      <c r="AQ327" s="33"/>
      <c r="AR327" s="33"/>
      <c r="AS327" s="33"/>
      <c r="AT327" s="33"/>
      <c r="AU327" s="33"/>
      <c r="AV327" s="33"/>
      <c r="AW327" s="33"/>
      <c r="AX327" s="33"/>
      <c r="AY327" s="33"/>
      <c r="AZ327" s="33"/>
      <c r="BA327" s="33"/>
      <c r="BB327" s="33"/>
      <c r="BC327" s="33"/>
      <c r="BD327" s="33"/>
      <c r="BE327" s="33"/>
      <c r="BF327" s="33"/>
      <c r="BG327" s="33"/>
      <c r="BH327" s="33"/>
      <c r="BI327" s="33"/>
      <c r="BJ327" s="33"/>
      <c r="BK327" s="33"/>
      <c r="BL327" s="33"/>
      <c r="BM327" s="33"/>
      <c r="BN327" s="33"/>
      <c r="BO327" s="33"/>
      <c r="BP327" s="33"/>
      <c r="BQ327" s="35"/>
      <c r="BR327" s="35"/>
      <c r="BS327" s="33"/>
    </row>
    <row r="328" spans="1:71">
      <c r="A328" s="33"/>
      <c r="B328" s="33"/>
      <c r="C328" s="34"/>
      <c r="D328" s="34"/>
      <c r="E328" s="33"/>
      <c r="F328" s="33"/>
      <c r="G328" s="33"/>
      <c r="H328" s="33"/>
      <c r="I328" s="33"/>
      <c r="J328" s="33"/>
      <c r="K328" s="33"/>
      <c r="L328" s="33"/>
      <c r="M328" s="33"/>
      <c r="N328" s="33"/>
      <c r="O328" s="33"/>
      <c r="P328" s="33"/>
      <c r="Q328" s="33"/>
      <c r="R328" s="33"/>
      <c r="S328" s="33"/>
      <c r="T328" s="33"/>
      <c r="U328" s="33"/>
      <c r="V328" s="33"/>
      <c r="W328" s="33"/>
      <c r="X328" s="33"/>
      <c r="Y328" s="33"/>
      <c r="Z328" s="33"/>
      <c r="AA328" s="33"/>
      <c r="AB328" s="33"/>
      <c r="AC328" s="33"/>
      <c r="AD328" s="33"/>
      <c r="AE328" s="33"/>
      <c r="AF328" s="33"/>
      <c r="AG328" s="33"/>
      <c r="AH328" s="33"/>
      <c r="AI328" s="33"/>
      <c r="AJ328" s="33"/>
      <c r="AK328" s="33"/>
      <c r="AL328" s="33"/>
      <c r="AM328" s="33"/>
      <c r="AN328" s="33"/>
      <c r="AO328" s="33"/>
      <c r="AP328" s="33"/>
      <c r="AQ328" s="33"/>
      <c r="AR328" s="33"/>
      <c r="AS328" s="33"/>
      <c r="AT328" s="33"/>
      <c r="AU328" s="33"/>
      <c r="AV328" s="33"/>
      <c r="AW328" s="33"/>
      <c r="AX328" s="33"/>
      <c r="AY328" s="33"/>
      <c r="AZ328" s="33"/>
      <c r="BA328" s="33"/>
      <c r="BB328" s="33"/>
      <c r="BC328" s="33"/>
      <c r="BD328" s="33"/>
      <c r="BE328" s="33"/>
      <c r="BF328" s="33"/>
      <c r="BG328" s="33"/>
      <c r="BH328" s="33"/>
      <c r="BI328" s="33"/>
      <c r="BJ328" s="33"/>
      <c r="BK328" s="33"/>
      <c r="BL328" s="33"/>
      <c r="BM328" s="33"/>
      <c r="BN328" s="33"/>
      <c r="BO328" s="33"/>
      <c r="BP328" s="33"/>
      <c r="BQ328" s="35"/>
      <c r="BR328" s="35"/>
      <c r="BS328" s="33"/>
    </row>
    <row r="329" spans="1:71">
      <c r="A329" s="33"/>
      <c r="B329" s="33"/>
      <c r="C329" s="34"/>
      <c r="D329" s="34"/>
      <c r="E329" s="33"/>
      <c r="F329" s="33"/>
      <c r="G329" s="33"/>
      <c r="H329" s="33"/>
      <c r="I329" s="33"/>
      <c r="J329" s="33"/>
      <c r="K329" s="33"/>
      <c r="L329" s="33"/>
      <c r="M329" s="33"/>
      <c r="N329" s="33"/>
      <c r="O329" s="33"/>
      <c r="P329" s="33"/>
      <c r="Q329" s="33"/>
      <c r="R329" s="33"/>
      <c r="S329" s="33"/>
      <c r="T329" s="33"/>
      <c r="U329" s="33"/>
      <c r="V329" s="33"/>
      <c r="W329" s="33"/>
      <c r="X329" s="33"/>
      <c r="Y329" s="33"/>
      <c r="Z329" s="33"/>
      <c r="AA329" s="33"/>
      <c r="AB329" s="33"/>
      <c r="AC329" s="33"/>
      <c r="AD329" s="33"/>
      <c r="AE329" s="33"/>
      <c r="AF329" s="33"/>
      <c r="AG329" s="33"/>
      <c r="AH329" s="33"/>
      <c r="AI329" s="33"/>
      <c r="AJ329" s="33"/>
      <c r="AK329" s="33"/>
      <c r="AL329" s="33"/>
      <c r="AM329" s="33"/>
      <c r="AN329" s="33"/>
      <c r="AO329" s="33"/>
      <c r="AP329" s="33"/>
      <c r="AQ329" s="33"/>
      <c r="AR329" s="33"/>
      <c r="AS329" s="33"/>
      <c r="AT329" s="33"/>
      <c r="AU329" s="33"/>
      <c r="AV329" s="33"/>
      <c r="AW329" s="33"/>
      <c r="AX329" s="33"/>
      <c r="AY329" s="33"/>
      <c r="AZ329" s="33"/>
      <c r="BA329" s="33"/>
      <c r="BB329" s="33"/>
      <c r="BC329" s="33"/>
      <c r="BD329" s="33"/>
      <c r="BE329" s="33"/>
      <c r="BF329" s="33"/>
      <c r="BG329" s="33"/>
      <c r="BH329" s="33"/>
      <c r="BI329" s="33"/>
      <c r="BJ329" s="33"/>
      <c r="BK329" s="33"/>
      <c r="BL329" s="33"/>
      <c r="BM329" s="33"/>
      <c r="BN329" s="33"/>
      <c r="BO329" s="33"/>
      <c r="BP329" s="33"/>
      <c r="BQ329" s="35"/>
      <c r="BR329" s="35"/>
      <c r="BS329" s="33"/>
    </row>
    <row r="330" spans="1:71">
      <c r="A330" s="33"/>
      <c r="B330" s="33"/>
      <c r="C330" s="34"/>
      <c r="D330" s="34"/>
      <c r="E330" s="33"/>
      <c r="F330" s="33"/>
      <c r="G330" s="33"/>
      <c r="H330" s="33"/>
      <c r="I330" s="33"/>
      <c r="J330" s="33"/>
      <c r="K330" s="33"/>
      <c r="L330" s="33"/>
      <c r="M330" s="33"/>
      <c r="N330" s="33"/>
      <c r="O330" s="33"/>
      <c r="P330" s="33"/>
      <c r="Q330" s="33"/>
      <c r="R330" s="33"/>
      <c r="S330" s="33"/>
      <c r="T330" s="33"/>
      <c r="U330" s="33"/>
      <c r="V330" s="33"/>
      <c r="W330" s="33"/>
      <c r="X330" s="33"/>
      <c r="Y330" s="33"/>
      <c r="Z330" s="33"/>
      <c r="AA330" s="33"/>
      <c r="AB330" s="33"/>
      <c r="AC330" s="33"/>
      <c r="AD330" s="33"/>
      <c r="AE330" s="33"/>
      <c r="AF330" s="33"/>
      <c r="AG330" s="33"/>
      <c r="AH330" s="33"/>
      <c r="AI330" s="33"/>
      <c r="AJ330" s="33"/>
      <c r="AK330" s="33"/>
      <c r="AL330" s="33"/>
      <c r="AM330" s="33"/>
      <c r="AN330" s="33"/>
      <c r="AO330" s="33"/>
      <c r="AP330" s="33"/>
      <c r="AQ330" s="33"/>
      <c r="AR330" s="33"/>
      <c r="AS330" s="33"/>
      <c r="AT330" s="33"/>
      <c r="AU330" s="33"/>
      <c r="AV330" s="33"/>
      <c r="AW330" s="33"/>
      <c r="AX330" s="33"/>
      <c r="AY330" s="33"/>
      <c r="AZ330" s="33"/>
      <c r="BA330" s="33"/>
      <c r="BB330" s="33"/>
      <c r="BC330" s="33"/>
      <c r="BD330" s="33"/>
      <c r="BE330" s="33"/>
      <c r="BF330" s="33"/>
      <c r="BG330" s="33"/>
      <c r="BH330" s="33"/>
      <c r="BI330" s="33"/>
      <c r="BJ330" s="33"/>
      <c r="BK330" s="33"/>
      <c r="BL330" s="33"/>
      <c r="BM330" s="33"/>
      <c r="BN330" s="33"/>
      <c r="BO330" s="33"/>
      <c r="BP330" s="33"/>
      <c r="BQ330" s="35"/>
      <c r="BR330" s="35"/>
      <c r="BS330" s="33"/>
    </row>
    <row r="331" spans="1:71">
      <c r="A331" s="33"/>
      <c r="B331" s="33"/>
      <c r="C331" s="34"/>
      <c r="D331" s="34"/>
      <c r="E331" s="33"/>
      <c r="F331" s="33"/>
      <c r="G331" s="33"/>
      <c r="H331" s="33"/>
      <c r="I331" s="33"/>
      <c r="J331" s="33"/>
      <c r="K331" s="33"/>
      <c r="L331" s="33"/>
      <c r="M331" s="33"/>
      <c r="N331" s="33"/>
      <c r="O331" s="33"/>
      <c r="P331" s="33"/>
      <c r="Q331" s="33"/>
      <c r="R331" s="33"/>
      <c r="S331" s="33"/>
      <c r="T331" s="33"/>
      <c r="U331" s="33"/>
      <c r="V331" s="33"/>
      <c r="W331" s="33"/>
      <c r="X331" s="33"/>
      <c r="Y331" s="33"/>
      <c r="Z331" s="33"/>
      <c r="AA331" s="33"/>
      <c r="AB331" s="33"/>
      <c r="AC331" s="33"/>
      <c r="AD331" s="33"/>
      <c r="AE331" s="33"/>
      <c r="AF331" s="33"/>
      <c r="AG331" s="33"/>
      <c r="AH331" s="33"/>
      <c r="AI331" s="33"/>
      <c r="AJ331" s="33"/>
      <c r="AK331" s="33"/>
      <c r="AL331" s="33"/>
      <c r="AM331" s="33"/>
      <c r="AN331" s="33"/>
      <c r="AO331" s="33"/>
      <c r="AP331" s="33"/>
      <c r="AQ331" s="33"/>
      <c r="AR331" s="33"/>
      <c r="AS331" s="33"/>
      <c r="AT331" s="33"/>
      <c r="AU331" s="33"/>
      <c r="AV331" s="33"/>
      <c r="AW331" s="33"/>
      <c r="AX331" s="33"/>
      <c r="AY331" s="33"/>
      <c r="AZ331" s="33"/>
      <c r="BA331" s="33"/>
      <c r="BB331" s="33"/>
      <c r="BC331" s="33"/>
      <c r="BD331" s="33"/>
      <c r="BE331" s="33"/>
      <c r="BF331" s="33"/>
      <c r="BG331" s="33"/>
      <c r="BH331" s="33"/>
      <c r="BI331" s="33"/>
      <c r="BJ331" s="33"/>
      <c r="BK331" s="33"/>
      <c r="BL331" s="33"/>
      <c r="BM331" s="33"/>
      <c r="BN331" s="33"/>
      <c r="BO331" s="33"/>
      <c r="BP331" s="33"/>
      <c r="BQ331" s="35"/>
      <c r="BR331" s="35"/>
      <c r="BS331" s="33"/>
    </row>
    <row r="332" spans="1:71">
      <c r="A332" s="33"/>
      <c r="B332" s="33"/>
      <c r="C332" s="34"/>
      <c r="D332" s="34"/>
      <c r="E332" s="33"/>
      <c r="F332" s="33"/>
      <c r="G332" s="33"/>
      <c r="H332" s="33"/>
      <c r="I332" s="33"/>
      <c r="J332" s="33"/>
      <c r="K332" s="33"/>
      <c r="L332" s="33"/>
      <c r="M332" s="33"/>
      <c r="N332" s="33"/>
      <c r="O332" s="33"/>
      <c r="P332" s="33"/>
      <c r="Q332" s="33"/>
      <c r="R332" s="33"/>
      <c r="S332" s="33"/>
      <c r="T332" s="33"/>
      <c r="U332" s="33"/>
      <c r="V332" s="33"/>
      <c r="W332" s="33"/>
      <c r="X332" s="33"/>
      <c r="Y332" s="33"/>
      <c r="Z332" s="33"/>
      <c r="AA332" s="33"/>
      <c r="AB332" s="33"/>
      <c r="AC332" s="33"/>
      <c r="AD332" s="33"/>
      <c r="AE332" s="33"/>
      <c r="AF332" s="33"/>
      <c r="AG332" s="33"/>
      <c r="AH332" s="33"/>
      <c r="AI332" s="33"/>
      <c r="AJ332" s="33"/>
      <c r="AK332" s="33"/>
      <c r="AL332" s="33"/>
      <c r="AM332" s="33"/>
      <c r="AN332" s="33"/>
      <c r="AO332" s="33"/>
      <c r="AP332" s="33"/>
      <c r="AQ332" s="33"/>
      <c r="AR332" s="33"/>
      <c r="AS332" s="33"/>
      <c r="AT332" s="33"/>
      <c r="AU332" s="33"/>
      <c r="AV332" s="33"/>
      <c r="AW332" s="33"/>
      <c r="AX332" s="33"/>
      <c r="AY332" s="33"/>
      <c r="AZ332" s="33"/>
      <c r="BA332" s="33"/>
      <c r="BB332" s="33"/>
      <c r="BC332" s="33"/>
      <c r="BD332" s="33"/>
      <c r="BE332" s="33"/>
      <c r="BF332" s="33"/>
      <c r="BG332" s="33"/>
      <c r="BH332" s="33"/>
      <c r="BI332" s="33"/>
      <c r="BJ332" s="33"/>
      <c r="BK332" s="33"/>
      <c r="BL332" s="33"/>
      <c r="BM332" s="33"/>
      <c r="BN332" s="33"/>
      <c r="BO332" s="33"/>
      <c r="BP332" s="33"/>
      <c r="BQ332" s="35"/>
      <c r="BR332" s="35"/>
      <c r="BS332" s="33"/>
    </row>
    <row r="333" spans="1:71">
      <c r="A333" s="33"/>
      <c r="B333" s="33"/>
      <c r="C333" s="34"/>
      <c r="D333" s="34"/>
      <c r="E333" s="33"/>
      <c r="F333" s="33"/>
      <c r="G333" s="33"/>
      <c r="H333" s="33"/>
      <c r="I333" s="33"/>
      <c r="J333" s="33"/>
      <c r="K333" s="33"/>
      <c r="L333" s="33"/>
      <c r="M333" s="33"/>
      <c r="N333" s="33"/>
      <c r="O333" s="33"/>
      <c r="P333" s="33"/>
      <c r="Q333" s="33"/>
      <c r="R333" s="33"/>
      <c r="S333" s="33"/>
      <c r="T333" s="33"/>
      <c r="U333" s="33"/>
      <c r="V333" s="33"/>
      <c r="W333" s="33"/>
      <c r="X333" s="33"/>
      <c r="Y333" s="33"/>
      <c r="Z333" s="33"/>
      <c r="AA333" s="33"/>
      <c r="AB333" s="33"/>
      <c r="AC333" s="33"/>
      <c r="AD333" s="33"/>
      <c r="AE333" s="33"/>
      <c r="AF333" s="33"/>
      <c r="AG333" s="33"/>
      <c r="AH333" s="33"/>
      <c r="AI333" s="33"/>
      <c r="AJ333" s="33"/>
      <c r="AK333" s="33"/>
      <c r="AL333" s="33"/>
      <c r="AM333" s="33"/>
      <c r="AN333" s="33"/>
      <c r="AO333" s="33"/>
      <c r="AP333" s="33"/>
      <c r="AQ333" s="33"/>
      <c r="AR333" s="33"/>
      <c r="AS333" s="33"/>
      <c r="AT333" s="33"/>
      <c r="AU333" s="33"/>
      <c r="AV333" s="33"/>
      <c r="AW333" s="33"/>
      <c r="AX333" s="33"/>
      <c r="AY333" s="33"/>
      <c r="AZ333" s="33"/>
      <c r="BA333" s="33"/>
      <c r="BB333" s="33"/>
      <c r="BC333" s="33"/>
      <c r="BD333" s="33"/>
      <c r="BE333" s="33"/>
      <c r="BF333" s="33"/>
      <c r="BG333" s="33"/>
      <c r="BH333" s="33"/>
      <c r="BI333" s="33"/>
      <c r="BJ333" s="33"/>
      <c r="BK333" s="33"/>
      <c r="BL333" s="33"/>
      <c r="BM333" s="33"/>
      <c r="BN333" s="33"/>
      <c r="BO333" s="33"/>
      <c r="BP333" s="33"/>
      <c r="BQ333" s="35"/>
      <c r="BR333" s="35"/>
      <c r="BS333" s="33"/>
    </row>
    <row r="334" spans="1:71">
      <c r="A334" s="33"/>
      <c r="B334" s="33"/>
      <c r="C334" s="34"/>
      <c r="D334" s="34"/>
      <c r="E334" s="33"/>
      <c r="F334" s="33"/>
      <c r="G334" s="33"/>
      <c r="H334" s="33"/>
      <c r="I334" s="33"/>
      <c r="J334" s="33"/>
      <c r="K334" s="33"/>
      <c r="L334" s="33"/>
      <c r="M334" s="33"/>
      <c r="N334" s="33"/>
      <c r="O334" s="33"/>
      <c r="P334" s="33"/>
      <c r="Q334" s="33"/>
      <c r="R334" s="33"/>
      <c r="S334" s="33"/>
      <c r="T334" s="33"/>
      <c r="U334" s="33"/>
      <c r="V334" s="33"/>
      <c r="W334" s="33"/>
      <c r="X334" s="33"/>
      <c r="Y334" s="33"/>
      <c r="Z334" s="33"/>
      <c r="AA334" s="33"/>
      <c r="AB334" s="33"/>
      <c r="AC334" s="33"/>
      <c r="AD334" s="33"/>
      <c r="AE334" s="33"/>
      <c r="AF334" s="33"/>
      <c r="AG334" s="33"/>
      <c r="AH334" s="33"/>
      <c r="AI334" s="33"/>
      <c r="AJ334" s="33"/>
      <c r="AK334" s="33"/>
      <c r="AL334" s="33"/>
      <c r="AM334" s="33"/>
      <c r="AN334" s="33"/>
      <c r="AO334" s="33"/>
      <c r="AP334" s="33"/>
      <c r="AQ334" s="33"/>
      <c r="AR334" s="33"/>
      <c r="AS334" s="33"/>
      <c r="AT334" s="33"/>
      <c r="AU334" s="33"/>
      <c r="AV334" s="33"/>
      <c r="AW334" s="33"/>
      <c r="AX334" s="33"/>
      <c r="AY334" s="33"/>
      <c r="AZ334" s="33"/>
      <c r="BA334" s="33"/>
      <c r="BB334" s="33"/>
      <c r="BC334" s="33"/>
      <c r="BD334" s="33"/>
      <c r="BE334" s="33"/>
      <c r="BF334" s="33"/>
      <c r="BG334" s="33"/>
      <c r="BH334" s="33"/>
      <c r="BI334" s="33"/>
      <c r="BJ334" s="33"/>
      <c r="BK334" s="33"/>
      <c r="BL334" s="33"/>
      <c r="BM334" s="33"/>
      <c r="BN334" s="33"/>
      <c r="BO334" s="33"/>
      <c r="BP334" s="33"/>
      <c r="BQ334" s="35"/>
      <c r="BR334" s="35"/>
      <c r="BS334" s="33"/>
    </row>
    <row r="335" spans="1:71">
      <c r="A335" s="33"/>
      <c r="B335" s="33"/>
      <c r="C335" s="34"/>
      <c r="D335" s="34"/>
      <c r="E335" s="33"/>
      <c r="F335" s="33"/>
      <c r="G335" s="33"/>
      <c r="H335" s="33"/>
      <c r="I335" s="33"/>
      <c r="J335" s="33"/>
      <c r="K335" s="33"/>
      <c r="L335" s="33"/>
      <c r="M335" s="33"/>
      <c r="N335" s="33"/>
      <c r="O335" s="33"/>
      <c r="P335" s="33"/>
      <c r="Q335" s="33"/>
      <c r="R335" s="33"/>
      <c r="S335" s="33"/>
      <c r="T335" s="33"/>
      <c r="U335" s="33"/>
      <c r="V335" s="33"/>
      <c r="W335" s="33"/>
      <c r="X335" s="33"/>
      <c r="Y335" s="33"/>
      <c r="Z335" s="33"/>
      <c r="AA335" s="33"/>
      <c r="AB335" s="33"/>
      <c r="AC335" s="33"/>
      <c r="AD335" s="33"/>
      <c r="AE335" s="33"/>
      <c r="AF335" s="33"/>
      <c r="AG335" s="33"/>
      <c r="AH335" s="33"/>
      <c r="AI335" s="33"/>
      <c r="AJ335" s="33"/>
      <c r="AK335" s="33"/>
      <c r="AL335" s="33"/>
      <c r="AM335" s="33"/>
      <c r="AN335" s="33"/>
      <c r="AO335" s="33"/>
      <c r="AP335" s="33"/>
      <c r="AQ335" s="33"/>
      <c r="AR335" s="33"/>
      <c r="AS335" s="33"/>
      <c r="AT335" s="33"/>
      <c r="AU335" s="33"/>
      <c r="AV335" s="33"/>
      <c r="AW335" s="33"/>
      <c r="AX335" s="33"/>
      <c r="AY335" s="33"/>
      <c r="AZ335" s="33"/>
      <c r="BA335" s="33"/>
      <c r="BB335" s="33"/>
      <c r="BC335" s="33"/>
      <c r="BD335" s="33"/>
      <c r="BE335" s="33"/>
      <c r="BF335" s="33"/>
      <c r="BG335" s="33"/>
      <c r="BH335" s="33"/>
      <c r="BI335" s="33"/>
      <c r="BJ335" s="33"/>
      <c r="BK335" s="33"/>
      <c r="BL335" s="33"/>
      <c r="BM335" s="33"/>
      <c r="BN335" s="33"/>
      <c r="BO335" s="33"/>
      <c r="BP335" s="33"/>
      <c r="BQ335" s="35"/>
      <c r="BR335" s="35"/>
      <c r="BS335" s="33"/>
    </row>
    <row r="336" spans="1:71">
      <c r="A336" s="33"/>
      <c r="B336" s="33"/>
      <c r="C336" s="34"/>
      <c r="D336" s="34"/>
      <c r="E336" s="33"/>
      <c r="F336" s="33"/>
      <c r="G336" s="33"/>
      <c r="H336" s="33"/>
      <c r="I336" s="33"/>
      <c r="J336" s="33"/>
      <c r="K336" s="33"/>
      <c r="L336" s="33"/>
      <c r="M336" s="33"/>
      <c r="N336" s="33"/>
      <c r="O336" s="33"/>
      <c r="P336" s="33"/>
      <c r="Q336" s="33"/>
      <c r="R336" s="33"/>
      <c r="S336" s="33"/>
      <c r="T336" s="33"/>
      <c r="U336" s="33"/>
      <c r="V336" s="33"/>
      <c r="W336" s="33"/>
      <c r="X336" s="33"/>
      <c r="Y336" s="33"/>
      <c r="Z336" s="33"/>
      <c r="AA336" s="33"/>
      <c r="AB336" s="33"/>
      <c r="AC336" s="33"/>
      <c r="AD336" s="33"/>
      <c r="AE336" s="33"/>
      <c r="AF336" s="33"/>
      <c r="AG336" s="33"/>
      <c r="AH336" s="33"/>
      <c r="AI336" s="33"/>
      <c r="AJ336" s="33"/>
      <c r="AK336" s="33"/>
      <c r="AL336" s="33"/>
      <c r="AM336" s="33"/>
      <c r="AN336" s="33"/>
      <c r="AO336" s="33"/>
      <c r="AP336" s="33"/>
      <c r="AQ336" s="33"/>
      <c r="AR336" s="33"/>
      <c r="AS336" s="33"/>
      <c r="AT336" s="33"/>
      <c r="AU336" s="33"/>
      <c r="AV336" s="33"/>
      <c r="AW336" s="33"/>
      <c r="AX336" s="33"/>
      <c r="AY336" s="33"/>
      <c r="AZ336" s="33"/>
      <c r="BA336" s="33"/>
      <c r="BB336" s="33"/>
      <c r="BC336" s="33"/>
      <c r="BD336" s="33"/>
      <c r="BE336" s="33"/>
      <c r="BF336" s="33"/>
      <c r="BG336" s="33"/>
      <c r="BH336" s="33"/>
      <c r="BI336" s="33"/>
      <c r="BJ336" s="33"/>
      <c r="BK336" s="33"/>
      <c r="BL336" s="33"/>
      <c r="BM336" s="33"/>
      <c r="BN336" s="33"/>
      <c r="BO336" s="33"/>
      <c r="BP336" s="33"/>
      <c r="BQ336" s="35"/>
      <c r="BR336" s="35"/>
      <c r="BS336" s="33"/>
    </row>
    <row r="337" spans="1:71">
      <c r="A337" s="33"/>
      <c r="B337" s="33"/>
      <c r="C337" s="34"/>
      <c r="D337" s="34"/>
      <c r="E337" s="33"/>
      <c r="F337" s="33"/>
      <c r="G337" s="33"/>
      <c r="H337" s="33"/>
      <c r="I337" s="33"/>
      <c r="J337" s="33"/>
      <c r="K337" s="33"/>
      <c r="L337" s="33"/>
      <c r="M337" s="33"/>
      <c r="N337" s="33"/>
      <c r="O337" s="33"/>
      <c r="P337" s="33"/>
      <c r="Q337" s="33"/>
      <c r="R337" s="33"/>
      <c r="S337" s="33"/>
      <c r="T337" s="33"/>
      <c r="U337" s="33"/>
      <c r="V337" s="33"/>
      <c r="W337" s="33"/>
      <c r="X337" s="33"/>
      <c r="Y337" s="33"/>
      <c r="Z337" s="33"/>
      <c r="AA337" s="33"/>
      <c r="AB337" s="33"/>
      <c r="AC337" s="33"/>
      <c r="AD337" s="33"/>
      <c r="AE337" s="33"/>
      <c r="AF337" s="33"/>
      <c r="AG337" s="33"/>
      <c r="AH337" s="33"/>
      <c r="AI337" s="33"/>
      <c r="AJ337" s="33"/>
      <c r="AK337" s="33"/>
      <c r="AL337" s="33"/>
      <c r="AM337" s="33"/>
      <c r="AN337" s="33"/>
      <c r="AO337" s="33"/>
      <c r="AP337" s="33"/>
      <c r="AQ337" s="33"/>
      <c r="AR337" s="33"/>
      <c r="AS337" s="33"/>
      <c r="AT337" s="33"/>
      <c r="AU337" s="33"/>
      <c r="AV337" s="33"/>
      <c r="AW337" s="33"/>
      <c r="AX337" s="33"/>
      <c r="AY337" s="33"/>
      <c r="AZ337" s="33"/>
      <c r="BA337" s="33"/>
      <c r="BB337" s="33"/>
      <c r="BC337" s="33"/>
      <c r="BD337" s="33"/>
      <c r="BE337" s="33"/>
      <c r="BF337" s="33"/>
      <c r="BG337" s="33"/>
      <c r="BH337" s="33"/>
      <c r="BI337" s="33"/>
      <c r="BJ337" s="33"/>
      <c r="BK337" s="33"/>
      <c r="BL337" s="33"/>
      <c r="BM337" s="33"/>
      <c r="BN337" s="33"/>
      <c r="BO337" s="33"/>
      <c r="BP337" s="33"/>
      <c r="BQ337" s="35"/>
      <c r="BR337" s="35"/>
      <c r="BS337" s="33"/>
    </row>
    <row r="338" spans="1:71">
      <c r="A338" s="33"/>
      <c r="B338" s="33"/>
      <c r="C338" s="34"/>
      <c r="D338" s="34"/>
      <c r="E338" s="33"/>
      <c r="F338" s="33"/>
      <c r="G338" s="33"/>
      <c r="H338" s="33"/>
      <c r="I338" s="33"/>
      <c r="J338" s="33"/>
      <c r="K338" s="33"/>
      <c r="L338" s="33"/>
      <c r="M338" s="33"/>
      <c r="N338" s="33"/>
      <c r="O338" s="33"/>
      <c r="P338" s="33"/>
      <c r="Q338" s="33"/>
      <c r="R338" s="33"/>
      <c r="S338" s="33"/>
      <c r="T338" s="33"/>
      <c r="U338" s="33"/>
      <c r="V338" s="33"/>
      <c r="W338" s="33"/>
      <c r="X338" s="33"/>
      <c r="Y338" s="33"/>
      <c r="Z338" s="33"/>
      <c r="AA338" s="33"/>
      <c r="AB338" s="33"/>
      <c r="AC338" s="33"/>
      <c r="AD338" s="33"/>
      <c r="AE338" s="33"/>
      <c r="AF338" s="33"/>
      <c r="AG338" s="33"/>
      <c r="AH338" s="33"/>
      <c r="AI338" s="33"/>
      <c r="AJ338" s="33"/>
      <c r="AK338" s="33"/>
      <c r="AL338" s="33"/>
      <c r="AM338" s="33"/>
      <c r="AN338" s="33"/>
      <c r="AO338" s="33"/>
      <c r="AP338" s="33"/>
      <c r="AQ338" s="33"/>
      <c r="AR338" s="33"/>
      <c r="AS338" s="33"/>
      <c r="AT338" s="33"/>
      <c r="AU338" s="33"/>
      <c r="AV338" s="33"/>
      <c r="AW338" s="33"/>
      <c r="AX338" s="33"/>
      <c r="AY338" s="33"/>
      <c r="AZ338" s="33"/>
      <c r="BA338" s="33"/>
      <c r="BB338" s="33"/>
      <c r="BC338" s="33"/>
      <c r="BD338" s="33"/>
      <c r="BE338" s="33"/>
      <c r="BF338" s="33"/>
      <c r="BG338" s="33"/>
      <c r="BH338" s="33"/>
      <c r="BI338" s="33"/>
      <c r="BJ338" s="33"/>
      <c r="BK338" s="33"/>
      <c r="BL338" s="33"/>
      <c r="BM338" s="33"/>
      <c r="BN338" s="33"/>
      <c r="BO338" s="33"/>
      <c r="BP338" s="33"/>
      <c r="BQ338" s="35"/>
      <c r="BR338" s="35"/>
      <c r="BS338" s="33"/>
    </row>
    <row r="339" spans="1:71">
      <c r="A339" s="33"/>
      <c r="B339" s="33"/>
      <c r="C339" s="34"/>
      <c r="D339" s="34"/>
      <c r="E339" s="33"/>
      <c r="F339" s="33"/>
      <c r="G339" s="33"/>
      <c r="H339" s="33"/>
      <c r="I339" s="33"/>
      <c r="J339" s="33"/>
      <c r="K339" s="33"/>
      <c r="L339" s="33"/>
      <c r="M339" s="33"/>
      <c r="N339" s="33"/>
      <c r="O339" s="33"/>
      <c r="P339" s="33"/>
      <c r="Q339" s="33"/>
      <c r="R339" s="33"/>
      <c r="S339" s="33"/>
      <c r="T339" s="33"/>
      <c r="U339" s="33"/>
      <c r="V339" s="33"/>
      <c r="W339" s="33"/>
      <c r="X339" s="33"/>
      <c r="Y339" s="33"/>
      <c r="Z339" s="33"/>
      <c r="AA339" s="33"/>
      <c r="AB339" s="33"/>
      <c r="AC339" s="33"/>
      <c r="AD339" s="33"/>
      <c r="AE339" s="33"/>
      <c r="AF339" s="33"/>
      <c r="AG339" s="33"/>
      <c r="AH339" s="33"/>
      <c r="AI339" s="33"/>
      <c r="AJ339" s="33"/>
      <c r="AK339" s="33"/>
      <c r="AL339" s="33"/>
      <c r="AM339" s="33"/>
      <c r="AN339" s="33"/>
      <c r="AO339" s="33"/>
      <c r="AP339" s="33"/>
      <c r="AQ339" s="33"/>
      <c r="AR339" s="33"/>
      <c r="AS339" s="33"/>
      <c r="AT339" s="33"/>
      <c r="AU339" s="33"/>
      <c r="AV339" s="33"/>
      <c r="AW339" s="33"/>
      <c r="AX339" s="33"/>
      <c r="AY339" s="33"/>
      <c r="AZ339" s="33"/>
      <c r="BA339" s="33"/>
      <c r="BB339" s="33"/>
      <c r="BC339" s="33"/>
      <c r="BD339" s="33"/>
      <c r="BE339" s="33"/>
      <c r="BF339" s="33"/>
      <c r="BG339" s="33"/>
      <c r="BH339" s="33"/>
      <c r="BI339" s="33"/>
      <c r="BJ339" s="33"/>
      <c r="BK339" s="33"/>
      <c r="BL339" s="33"/>
      <c r="BM339" s="33"/>
      <c r="BN339" s="33"/>
      <c r="BO339" s="33"/>
      <c r="BP339" s="33"/>
      <c r="BQ339" s="35"/>
      <c r="BR339" s="35"/>
      <c r="BS339" s="33"/>
    </row>
    <row r="340" spans="1:71">
      <c r="A340" s="33"/>
      <c r="B340" s="33"/>
      <c r="C340" s="34"/>
      <c r="D340" s="34"/>
      <c r="E340" s="33"/>
      <c r="F340" s="33"/>
      <c r="G340" s="33"/>
      <c r="H340" s="33"/>
      <c r="I340" s="33"/>
      <c r="J340" s="33"/>
      <c r="K340" s="33"/>
      <c r="L340" s="33"/>
      <c r="M340" s="33"/>
      <c r="N340" s="33"/>
      <c r="O340" s="33"/>
      <c r="P340" s="33"/>
      <c r="Q340" s="33"/>
      <c r="R340" s="33"/>
      <c r="S340" s="33"/>
      <c r="T340" s="33"/>
      <c r="U340" s="33"/>
      <c r="V340" s="33"/>
      <c r="W340" s="33"/>
      <c r="X340" s="33"/>
      <c r="Y340" s="33"/>
      <c r="Z340" s="33"/>
      <c r="AA340" s="33"/>
      <c r="AB340" s="33"/>
      <c r="AC340" s="33"/>
      <c r="AD340" s="33"/>
      <c r="AE340" s="33"/>
      <c r="AF340" s="33"/>
      <c r="AG340" s="33"/>
      <c r="AH340" s="33"/>
      <c r="AI340" s="33"/>
      <c r="AJ340" s="33"/>
      <c r="AK340" s="33"/>
      <c r="AL340" s="33"/>
      <c r="AM340" s="33"/>
      <c r="AN340" s="33"/>
      <c r="AO340" s="33"/>
      <c r="AP340" s="33"/>
      <c r="AQ340" s="33"/>
      <c r="AR340" s="33"/>
      <c r="AS340" s="33"/>
      <c r="AT340" s="33"/>
      <c r="AU340" s="33"/>
      <c r="AV340" s="33"/>
      <c r="AW340" s="33"/>
      <c r="AX340" s="33"/>
      <c r="AY340" s="33"/>
      <c r="AZ340" s="33"/>
      <c r="BA340" s="33"/>
      <c r="BB340" s="33"/>
      <c r="BC340" s="33"/>
      <c r="BD340" s="33"/>
      <c r="BE340" s="33"/>
      <c r="BF340" s="33"/>
      <c r="BG340" s="33"/>
      <c r="BH340" s="33"/>
      <c r="BI340" s="33"/>
      <c r="BJ340" s="33"/>
      <c r="BK340" s="33"/>
      <c r="BL340" s="33"/>
      <c r="BM340" s="33"/>
      <c r="BN340" s="33"/>
      <c r="BO340" s="33"/>
      <c r="BP340" s="33"/>
      <c r="BQ340" s="35"/>
      <c r="BR340" s="35"/>
      <c r="BS340" s="33"/>
    </row>
    <row r="341" spans="1:71">
      <c r="A341" s="33"/>
      <c r="B341" s="33"/>
      <c r="C341" s="34"/>
      <c r="D341" s="34"/>
      <c r="E341" s="33"/>
      <c r="F341" s="33"/>
      <c r="G341" s="33"/>
      <c r="H341" s="33"/>
      <c r="I341" s="33"/>
      <c r="J341" s="33"/>
      <c r="K341" s="33"/>
      <c r="L341" s="33"/>
      <c r="M341" s="33"/>
      <c r="N341" s="33"/>
      <c r="O341" s="33"/>
      <c r="P341" s="33"/>
      <c r="Q341" s="33"/>
      <c r="R341" s="33"/>
      <c r="S341" s="33"/>
      <c r="T341" s="33"/>
      <c r="U341" s="33"/>
      <c r="V341" s="33"/>
      <c r="W341" s="33"/>
      <c r="X341" s="33"/>
      <c r="Y341" s="33"/>
      <c r="Z341" s="33"/>
      <c r="AA341" s="33"/>
      <c r="AB341" s="33"/>
      <c r="AC341" s="33"/>
      <c r="AD341" s="33"/>
      <c r="AE341" s="33"/>
      <c r="AF341" s="33"/>
      <c r="AG341" s="33"/>
      <c r="AH341" s="33"/>
      <c r="AI341" s="33"/>
      <c r="AJ341" s="33"/>
      <c r="AK341" s="33"/>
      <c r="AL341" s="33"/>
      <c r="AM341" s="33"/>
      <c r="AN341" s="33"/>
      <c r="AO341" s="33"/>
      <c r="AP341" s="33"/>
      <c r="AQ341" s="33"/>
      <c r="AR341" s="33"/>
      <c r="AS341" s="33"/>
      <c r="AT341" s="33"/>
      <c r="AU341" s="33"/>
      <c r="AV341" s="33"/>
      <c r="AW341" s="33"/>
      <c r="AX341" s="33"/>
      <c r="AY341" s="33"/>
      <c r="AZ341" s="33"/>
      <c r="BA341" s="33"/>
      <c r="BB341" s="33"/>
      <c r="BC341" s="33"/>
      <c r="BD341" s="33"/>
      <c r="BE341" s="33"/>
      <c r="BF341" s="33"/>
      <c r="BG341" s="33"/>
      <c r="BH341" s="33"/>
      <c r="BI341" s="33"/>
      <c r="BJ341" s="33"/>
      <c r="BK341" s="33"/>
      <c r="BL341" s="33"/>
      <c r="BM341" s="33"/>
      <c r="BN341" s="33"/>
      <c r="BO341" s="33"/>
      <c r="BP341" s="33"/>
      <c r="BQ341" s="35"/>
      <c r="BR341" s="35"/>
      <c r="BS341" s="33"/>
    </row>
    <row r="342" spans="1:71">
      <c r="A342" s="33"/>
      <c r="B342" s="33"/>
      <c r="C342" s="34"/>
      <c r="D342" s="34"/>
      <c r="E342" s="33"/>
      <c r="F342" s="33"/>
      <c r="G342" s="33"/>
      <c r="H342" s="33"/>
      <c r="I342" s="33"/>
      <c r="J342" s="33"/>
      <c r="K342" s="33"/>
      <c r="L342" s="33"/>
      <c r="M342" s="33"/>
      <c r="N342" s="33"/>
      <c r="O342" s="33"/>
      <c r="P342" s="33"/>
      <c r="Q342" s="33"/>
      <c r="R342" s="33"/>
      <c r="S342" s="33"/>
      <c r="T342" s="33"/>
      <c r="U342" s="33"/>
      <c r="V342" s="33"/>
      <c r="W342" s="33"/>
      <c r="X342" s="33"/>
      <c r="Y342" s="33"/>
      <c r="Z342" s="33"/>
      <c r="AA342" s="33"/>
      <c r="AB342" s="33"/>
      <c r="AC342" s="33"/>
      <c r="AD342" s="33"/>
      <c r="AE342" s="33"/>
      <c r="AF342" s="33"/>
      <c r="AG342" s="33"/>
      <c r="AH342" s="33"/>
      <c r="AI342" s="33"/>
      <c r="AJ342" s="33"/>
      <c r="AK342" s="33"/>
      <c r="AL342" s="33"/>
      <c r="AM342" s="33"/>
      <c r="AN342" s="33"/>
      <c r="AO342" s="33"/>
      <c r="AP342" s="33"/>
      <c r="AQ342" s="33"/>
      <c r="AR342" s="33"/>
      <c r="AS342" s="33"/>
      <c r="AT342" s="33"/>
      <c r="AU342" s="33"/>
      <c r="AV342" s="33"/>
      <c r="AW342" s="33"/>
      <c r="AX342" s="33"/>
      <c r="AY342" s="33"/>
      <c r="AZ342" s="33"/>
      <c r="BA342" s="33"/>
      <c r="BB342" s="33"/>
      <c r="BC342" s="33"/>
      <c r="BD342" s="33"/>
      <c r="BE342" s="33"/>
      <c r="BF342" s="33"/>
      <c r="BG342" s="33"/>
      <c r="BH342" s="33"/>
      <c r="BI342" s="33"/>
      <c r="BJ342" s="33"/>
      <c r="BK342" s="33"/>
      <c r="BL342" s="33"/>
      <c r="BM342" s="33"/>
      <c r="BN342" s="33"/>
      <c r="BO342" s="33"/>
      <c r="BP342" s="33"/>
      <c r="BQ342" s="35"/>
      <c r="BR342" s="35"/>
      <c r="BS342" s="33"/>
    </row>
    <row r="343" spans="1:71">
      <c r="A343" s="33"/>
      <c r="B343" s="33"/>
      <c r="C343" s="34"/>
      <c r="D343" s="34"/>
      <c r="E343" s="33"/>
      <c r="F343" s="33"/>
      <c r="G343" s="33"/>
      <c r="H343" s="33"/>
      <c r="I343" s="33"/>
      <c r="J343" s="33"/>
      <c r="K343" s="33"/>
      <c r="L343" s="33"/>
      <c r="M343" s="33"/>
      <c r="N343" s="33"/>
      <c r="O343" s="33"/>
      <c r="P343" s="33"/>
      <c r="Q343" s="33"/>
      <c r="R343" s="33"/>
      <c r="S343" s="33"/>
      <c r="T343" s="33"/>
      <c r="U343" s="33"/>
      <c r="V343" s="33"/>
      <c r="W343" s="33"/>
      <c r="X343" s="33"/>
      <c r="Y343" s="33"/>
      <c r="Z343" s="33"/>
      <c r="AA343" s="33"/>
      <c r="AB343" s="33"/>
      <c r="AC343" s="33"/>
      <c r="AD343" s="33"/>
      <c r="AE343" s="33"/>
      <c r="AF343" s="33"/>
      <c r="AG343" s="33"/>
      <c r="AH343" s="33"/>
      <c r="AI343" s="33"/>
      <c r="AJ343" s="33"/>
      <c r="AK343" s="33"/>
      <c r="AL343" s="33"/>
      <c r="AM343" s="33"/>
      <c r="AN343" s="33"/>
      <c r="AO343" s="33"/>
      <c r="AP343" s="33"/>
      <c r="AQ343" s="33"/>
      <c r="AR343" s="33"/>
      <c r="AS343" s="33"/>
      <c r="AT343" s="33"/>
      <c r="AU343" s="33"/>
      <c r="AV343" s="33"/>
      <c r="AW343" s="33"/>
      <c r="AX343" s="33"/>
      <c r="AY343" s="33"/>
      <c r="AZ343" s="33"/>
      <c r="BA343" s="33"/>
      <c r="BB343" s="33"/>
      <c r="BC343" s="33"/>
      <c r="BD343" s="33"/>
      <c r="BE343" s="33"/>
      <c r="BF343" s="33"/>
      <c r="BG343" s="33"/>
      <c r="BH343" s="33"/>
      <c r="BI343" s="33"/>
      <c r="BJ343" s="33"/>
      <c r="BK343" s="33"/>
      <c r="BL343" s="33"/>
      <c r="BM343" s="33"/>
      <c r="BN343" s="33"/>
      <c r="BO343" s="33"/>
      <c r="BP343" s="33"/>
      <c r="BQ343" s="35"/>
      <c r="BR343" s="35"/>
      <c r="BS343" s="33"/>
    </row>
    <row r="344" spans="1:71">
      <c r="A344" s="33"/>
      <c r="B344" s="33"/>
      <c r="C344" s="34"/>
      <c r="D344" s="34"/>
      <c r="E344" s="33"/>
      <c r="F344" s="33"/>
      <c r="G344" s="33"/>
      <c r="H344" s="33"/>
      <c r="I344" s="33"/>
      <c r="J344" s="33"/>
      <c r="K344" s="33"/>
      <c r="L344" s="33"/>
      <c r="M344" s="33"/>
      <c r="N344" s="33"/>
      <c r="O344" s="33"/>
      <c r="P344" s="33"/>
      <c r="Q344" s="33"/>
      <c r="R344" s="33"/>
      <c r="S344" s="33"/>
      <c r="T344" s="33"/>
      <c r="U344" s="33"/>
      <c r="V344" s="33"/>
      <c r="W344" s="33"/>
      <c r="X344" s="33"/>
      <c r="Y344" s="33"/>
      <c r="Z344" s="33"/>
      <c r="AA344" s="33"/>
      <c r="AB344" s="33"/>
      <c r="AC344" s="33"/>
      <c r="AD344" s="33"/>
      <c r="AE344" s="33"/>
      <c r="AF344" s="33"/>
      <c r="AG344" s="33"/>
      <c r="AH344" s="33"/>
      <c r="AI344" s="33"/>
      <c r="AJ344" s="33"/>
      <c r="AK344" s="33"/>
      <c r="AL344" s="33"/>
      <c r="AM344" s="33"/>
      <c r="AN344" s="33"/>
      <c r="AO344" s="33"/>
      <c r="AP344" s="33"/>
      <c r="AQ344" s="33"/>
      <c r="AR344" s="33"/>
      <c r="AS344" s="33"/>
      <c r="AT344" s="33"/>
      <c r="AU344" s="33"/>
      <c r="AV344" s="33"/>
      <c r="AW344" s="33"/>
      <c r="AX344" s="33"/>
      <c r="AY344" s="33"/>
      <c r="AZ344" s="33"/>
      <c r="BA344" s="33"/>
      <c r="BB344" s="33"/>
      <c r="BC344" s="33"/>
      <c r="BD344" s="33"/>
      <c r="BE344" s="33"/>
      <c r="BF344" s="33"/>
      <c r="BG344" s="33"/>
      <c r="BH344" s="33"/>
      <c r="BI344" s="33"/>
      <c r="BJ344" s="33"/>
      <c r="BK344" s="33"/>
      <c r="BL344" s="33"/>
      <c r="BM344" s="33"/>
      <c r="BN344" s="33"/>
      <c r="BO344" s="33"/>
      <c r="BP344" s="33"/>
      <c r="BQ344" s="35"/>
      <c r="BR344" s="35"/>
      <c r="BS344" s="33"/>
    </row>
    <row r="345" spans="1:71">
      <c r="A345" s="33"/>
      <c r="B345" s="33"/>
      <c r="C345" s="34"/>
      <c r="D345" s="34"/>
      <c r="E345" s="33"/>
      <c r="F345" s="33"/>
      <c r="G345" s="33"/>
      <c r="H345" s="33"/>
      <c r="I345" s="33"/>
      <c r="J345" s="33"/>
      <c r="K345" s="33"/>
      <c r="L345" s="33"/>
      <c r="M345" s="33"/>
      <c r="N345" s="33"/>
      <c r="O345" s="33"/>
      <c r="P345" s="33"/>
      <c r="Q345" s="33"/>
      <c r="R345" s="33"/>
      <c r="S345" s="33"/>
      <c r="T345" s="33"/>
      <c r="U345" s="33"/>
      <c r="V345" s="33"/>
      <c r="W345" s="33"/>
      <c r="X345" s="33"/>
      <c r="Y345" s="33"/>
      <c r="Z345" s="33"/>
      <c r="AA345" s="33"/>
      <c r="AB345" s="33"/>
      <c r="AC345" s="33"/>
      <c r="AD345" s="33"/>
      <c r="AE345" s="33"/>
      <c r="AF345" s="33"/>
      <c r="AG345" s="33"/>
      <c r="AH345" s="33"/>
      <c r="AI345" s="33"/>
      <c r="AJ345" s="33"/>
      <c r="AK345" s="33"/>
      <c r="AL345" s="33"/>
      <c r="AM345" s="33"/>
      <c r="AN345" s="33"/>
      <c r="AO345" s="33"/>
      <c r="AP345" s="33"/>
      <c r="AQ345" s="33"/>
      <c r="AR345" s="33"/>
      <c r="AS345" s="33"/>
      <c r="AT345" s="33"/>
      <c r="AU345" s="33"/>
      <c r="AV345" s="33"/>
      <c r="AW345" s="33"/>
      <c r="AX345" s="33"/>
      <c r="AY345" s="33"/>
      <c r="AZ345" s="33"/>
      <c r="BA345" s="33"/>
      <c r="BB345" s="33"/>
      <c r="BC345" s="33"/>
      <c r="BD345" s="33"/>
      <c r="BE345" s="33"/>
      <c r="BF345" s="33"/>
      <c r="BG345" s="33"/>
      <c r="BH345" s="33"/>
      <c r="BI345" s="33"/>
      <c r="BJ345" s="33"/>
      <c r="BK345" s="33"/>
      <c r="BL345" s="33"/>
      <c r="BM345" s="33"/>
      <c r="BN345" s="33"/>
      <c r="BO345" s="33"/>
      <c r="BP345" s="33"/>
      <c r="BQ345" s="35"/>
      <c r="BR345" s="35"/>
      <c r="BS345" s="33"/>
    </row>
    <row r="346" spans="1:71">
      <c r="A346" s="33"/>
      <c r="B346" s="33"/>
      <c r="C346" s="34"/>
      <c r="D346" s="34"/>
      <c r="E346" s="33"/>
      <c r="F346" s="33"/>
      <c r="G346" s="33"/>
      <c r="H346" s="33"/>
      <c r="I346" s="33"/>
      <c r="J346" s="33"/>
      <c r="K346" s="33"/>
      <c r="L346" s="33"/>
      <c r="M346" s="33"/>
      <c r="N346" s="33"/>
      <c r="O346" s="33"/>
      <c r="P346" s="33"/>
      <c r="Q346" s="33"/>
      <c r="R346" s="33"/>
      <c r="S346" s="33"/>
      <c r="T346" s="33"/>
      <c r="U346" s="33"/>
      <c r="V346" s="33"/>
      <c r="W346" s="33"/>
      <c r="X346" s="33"/>
      <c r="Y346" s="33"/>
      <c r="Z346" s="33"/>
      <c r="AA346" s="33"/>
      <c r="AB346" s="33"/>
      <c r="AC346" s="33"/>
      <c r="AD346" s="33"/>
      <c r="AE346" s="33"/>
      <c r="AF346" s="33"/>
      <c r="AG346" s="33"/>
      <c r="AH346" s="33"/>
      <c r="AI346" s="33"/>
      <c r="AJ346" s="33"/>
      <c r="AK346" s="33"/>
      <c r="AL346" s="33"/>
      <c r="AM346" s="33"/>
      <c r="AN346" s="33"/>
      <c r="AO346" s="33"/>
      <c r="AP346" s="33"/>
      <c r="AQ346" s="33"/>
      <c r="AR346" s="33"/>
      <c r="AS346" s="33"/>
      <c r="AT346" s="33"/>
      <c r="AU346" s="33"/>
      <c r="AV346" s="33"/>
      <c r="AW346" s="33"/>
      <c r="AX346" s="33"/>
      <c r="AY346" s="33"/>
      <c r="AZ346" s="33"/>
      <c r="BA346" s="33"/>
      <c r="BB346" s="33"/>
      <c r="BC346" s="33"/>
      <c r="BD346" s="33"/>
      <c r="BE346" s="33"/>
      <c r="BF346" s="33"/>
      <c r="BG346" s="33"/>
      <c r="BH346" s="33"/>
      <c r="BI346" s="33"/>
      <c r="BJ346" s="33"/>
      <c r="BK346" s="33"/>
      <c r="BL346" s="33"/>
      <c r="BM346" s="33"/>
      <c r="BN346" s="33"/>
      <c r="BO346" s="33"/>
      <c r="BP346" s="33"/>
      <c r="BQ346" s="35"/>
      <c r="BR346" s="35"/>
      <c r="BS346" s="33"/>
    </row>
    <row r="347" spans="1:71">
      <c r="A347" s="33"/>
      <c r="B347" s="33"/>
      <c r="C347" s="34"/>
      <c r="D347" s="34"/>
      <c r="E347" s="33"/>
      <c r="F347" s="33"/>
      <c r="G347" s="33"/>
      <c r="H347" s="33"/>
      <c r="I347" s="33"/>
      <c r="J347" s="33"/>
      <c r="K347" s="33"/>
      <c r="L347" s="33"/>
      <c r="M347" s="33"/>
      <c r="N347" s="33"/>
      <c r="O347" s="33"/>
      <c r="P347" s="33"/>
      <c r="Q347" s="33"/>
      <c r="R347" s="33"/>
      <c r="S347" s="33"/>
      <c r="T347" s="33"/>
      <c r="U347" s="33"/>
      <c r="V347" s="33"/>
      <c r="W347" s="33"/>
      <c r="X347" s="33"/>
      <c r="Y347" s="33"/>
      <c r="Z347" s="33"/>
      <c r="AA347" s="33"/>
      <c r="AB347" s="33"/>
      <c r="AC347" s="33"/>
      <c r="AD347" s="33"/>
      <c r="AE347" s="33"/>
      <c r="AF347" s="33"/>
      <c r="AG347" s="33"/>
      <c r="AH347" s="33"/>
      <c r="AI347" s="33"/>
      <c r="AJ347" s="33"/>
      <c r="AK347" s="33"/>
      <c r="AL347" s="33"/>
      <c r="AM347" s="33"/>
      <c r="AN347" s="33"/>
      <c r="AO347" s="33"/>
      <c r="AP347" s="33"/>
      <c r="AQ347" s="33"/>
      <c r="AR347" s="33"/>
      <c r="AS347" s="33"/>
      <c r="AT347" s="33"/>
      <c r="AU347" s="33"/>
      <c r="AV347" s="33"/>
      <c r="AW347" s="33"/>
      <c r="AX347" s="33"/>
      <c r="AY347" s="33"/>
      <c r="AZ347" s="33"/>
      <c r="BA347" s="33"/>
      <c r="BB347" s="33"/>
      <c r="BC347" s="33"/>
      <c r="BD347" s="33"/>
      <c r="BE347" s="33"/>
      <c r="BF347" s="33"/>
      <c r="BG347" s="33"/>
      <c r="BH347" s="33"/>
      <c r="BI347" s="33"/>
      <c r="BJ347" s="33"/>
      <c r="BK347" s="33"/>
      <c r="BL347" s="33"/>
      <c r="BM347" s="33"/>
      <c r="BN347" s="33"/>
      <c r="BO347" s="33"/>
      <c r="BP347" s="33"/>
      <c r="BQ347" s="35"/>
      <c r="BR347" s="35"/>
      <c r="BS347" s="33"/>
    </row>
    <row r="348" spans="1:71">
      <c r="A348" s="33"/>
      <c r="B348" s="33"/>
      <c r="C348" s="34"/>
      <c r="D348" s="34"/>
      <c r="E348" s="33"/>
      <c r="F348" s="33"/>
      <c r="G348" s="33"/>
      <c r="H348" s="33"/>
      <c r="I348" s="33"/>
      <c r="J348" s="33"/>
      <c r="K348" s="33"/>
      <c r="L348" s="33"/>
      <c r="M348" s="33"/>
      <c r="N348" s="33"/>
      <c r="O348" s="33"/>
      <c r="P348" s="33"/>
      <c r="Q348" s="33"/>
      <c r="R348" s="33"/>
      <c r="S348" s="33"/>
      <c r="T348" s="33"/>
      <c r="U348" s="33"/>
      <c r="V348" s="33"/>
      <c r="W348" s="33"/>
      <c r="X348" s="33"/>
      <c r="Y348" s="33"/>
      <c r="Z348" s="33"/>
      <c r="AA348" s="33"/>
      <c r="AB348" s="33"/>
      <c r="AC348" s="33"/>
      <c r="AD348" s="33"/>
      <c r="AE348" s="33"/>
      <c r="AF348" s="33"/>
      <c r="AG348" s="33"/>
      <c r="AH348" s="33"/>
      <c r="AI348" s="33"/>
      <c r="AJ348" s="33"/>
      <c r="AK348" s="33"/>
      <c r="AL348" s="33"/>
      <c r="AM348" s="33"/>
      <c r="AN348" s="33"/>
      <c r="AO348" s="33"/>
      <c r="AP348" s="33"/>
      <c r="AQ348" s="33"/>
      <c r="AR348" s="33"/>
      <c r="AS348" s="33"/>
      <c r="AT348" s="33"/>
      <c r="AU348" s="33"/>
      <c r="AV348" s="33"/>
      <c r="AW348" s="33"/>
      <c r="AX348" s="33"/>
      <c r="AY348" s="33"/>
      <c r="AZ348" s="33"/>
      <c r="BA348" s="33"/>
      <c r="BB348" s="33"/>
      <c r="BC348" s="33"/>
      <c r="BD348" s="33"/>
      <c r="BE348" s="33"/>
      <c r="BF348" s="33"/>
      <c r="BG348" s="33"/>
      <c r="BH348" s="33"/>
      <c r="BI348" s="33"/>
      <c r="BJ348" s="33"/>
      <c r="BK348" s="33"/>
      <c r="BL348" s="33"/>
      <c r="BM348" s="33"/>
      <c r="BN348" s="33"/>
      <c r="BO348" s="33"/>
      <c r="BP348" s="33"/>
      <c r="BQ348" s="35"/>
      <c r="BR348" s="35"/>
      <c r="BS348" s="33"/>
    </row>
    <row r="349" spans="1:71">
      <c r="A349" s="33"/>
      <c r="B349" s="33"/>
      <c r="C349" s="34"/>
      <c r="D349" s="34"/>
      <c r="E349" s="33"/>
      <c r="F349" s="33"/>
      <c r="G349" s="33"/>
      <c r="H349" s="33"/>
      <c r="I349" s="33"/>
      <c r="J349" s="33"/>
      <c r="K349" s="33"/>
      <c r="L349" s="33"/>
      <c r="M349" s="33"/>
      <c r="N349" s="33"/>
      <c r="O349" s="33"/>
      <c r="P349" s="33"/>
      <c r="Q349" s="33"/>
      <c r="R349" s="33"/>
      <c r="S349" s="33"/>
      <c r="T349" s="33"/>
      <c r="U349" s="33"/>
      <c r="V349" s="33"/>
      <c r="W349" s="33"/>
      <c r="X349" s="33"/>
      <c r="Y349" s="33"/>
      <c r="Z349" s="33"/>
      <c r="AA349" s="33"/>
      <c r="AB349" s="33"/>
      <c r="AC349" s="33"/>
      <c r="AD349" s="33"/>
      <c r="AE349" s="33"/>
      <c r="AF349" s="33"/>
      <c r="AG349" s="33"/>
      <c r="AH349" s="33"/>
      <c r="AI349" s="33"/>
      <c r="AJ349" s="33"/>
      <c r="AK349" s="33"/>
      <c r="AL349" s="33"/>
      <c r="AM349" s="33"/>
      <c r="AN349" s="33"/>
      <c r="AO349" s="33"/>
      <c r="AP349" s="33"/>
      <c r="AQ349" s="33"/>
      <c r="AR349" s="33"/>
      <c r="AS349" s="33"/>
      <c r="AT349" s="33"/>
      <c r="AU349" s="33"/>
      <c r="AV349" s="33"/>
      <c r="AW349" s="33"/>
      <c r="AX349" s="33"/>
      <c r="AY349" s="33"/>
      <c r="AZ349" s="33"/>
      <c r="BA349" s="33"/>
      <c r="BB349" s="33"/>
      <c r="BC349" s="33"/>
      <c r="BD349" s="33"/>
      <c r="BE349" s="33"/>
      <c r="BF349" s="33"/>
      <c r="BG349" s="33"/>
      <c r="BH349" s="33"/>
      <c r="BI349" s="33"/>
      <c r="BJ349" s="33"/>
      <c r="BK349" s="33"/>
      <c r="BL349" s="33"/>
      <c r="BM349" s="33"/>
      <c r="BN349" s="33"/>
      <c r="BO349" s="33"/>
      <c r="BP349" s="33"/>
      <c r="BQ349" s="35"/>
      <c r="BR349" s="35"/>
      <c r="BS349" s="33"/>
    </row>
    <row r="350" spans="1:71">
      <c r="A350" s="33"/>
      <c r="B350" s="33"/>
      <c r="C350" s="34"/>
      <c r="D350" s="34"/>
      <c r="E350" s="33"/>
      <c r="F350" s="33"/>
      <c r="G350" s="33"/>
      <c r="H350" s="33"/>
      <c r="I350" s="33"/>
      <c r="J350" s="33"/>
      <c r="K350" s="33"/>
      <c r="L350" s="33"/>
      <c r="M350" s="33"/>
      <c r="N350" s="33"/>
      <c r="O350" s="33"/>
      <c r="P350" s="33"/>
      <c r="Q350" s="33"/>
      <c r="R350" s="33"/>
      <c r="S350" s="33"/>
      <c r="T350" s="33"/>
      <c r="U350" s="33"/>
      <c r="V350" s="33"/>
      <c r="W350" s="33"/>
      <c r="X350" s="33"/>
      <c r="Y350" s="33"/>
      <c r="Z350" s="33"/>
      <c r="AA350" s="33"/>
      <c r="AB350" s="33"/>
      <c r="AC350" s="33"/>
      <c r="AD350" s="33"/>
      <c r="AE350" s="33"/>
      <c r="AF350" s="33"/>
      <c r="AG350" s="33"/>
      <c r="AH350" s="33"/>
      <c r="AI350" s="33"/>
      <c r="AJ350" s="33"/>
      <c r="AK350" s="33"/>
      <c r="AL350" s="33"/>
      <c r="AM350" s="33"/>
      <c r="AN350" s="33"/>
      <c r="AO350" s="33"/>
      <c r="AP350" s="33"/>
      <c r="AQ350" s="33"/>
      <c r="AR350" s="33"/>
      <c r="AS350" s="33"/>
      <c r="AT350" s="33"/>
      <c r="AU350" s="33"/>
      <c r="AV350" s="33"/>
      <c r="AW350" s="33"/>
      <c r="AX350" s="33"/>
      <c r="AY350" s="33"/>
      <c r="AZ350" s="33"/>
      <c r="BA350" s="33"/>
      <c r="BB350" s="33"/>
      <c r="BC350" s="33"/>
      <c r="BD350" s="33"/>
      <c r="BE350" s="33"/>
      <c r="BF350" s="33"/>
      <c r="BG350" s="33"/>
      <c r="BH350" s="33"/>
      <c r="BI350" s="33"/>
      <c r="BJ350" s="33"/>
      <c r="BK350" s="33"/>
      <c r="BL350" s="33"/>
      <c r="BM350" s="33"/>
      <c r="BN350" s="33"/>
      <c r="BO350" s="33"/>
      <c r="BP350" s="33"/>
      <c r="BQ350" s="35"/>
      <c r="BR350" s="35"/>
      <c r="BS350" s="33"/>
    </row>
    <row r="351" spans="1:71">
      <c r="A351" s="33"/>
      <c r="B351" s="33"/>
      <c r="C351" s="34"/>
      <c r="D351" s="34"/>
      <c r="E351" s="33"/>
      <c r="F351" s="33"/>
      <c r="G351" s="33"/>
      <c r="H351" s="33"/>
      <c r="I351" s="33"/>
      <c r="J351" s="33"/>
      <c r="K351" s="33"/>
      <c r="L351" s="33"/>
      <c r="M351" s="33"/>
      <c r="N351" s="33"/>
      <c r="O351" s="33"/>
      <c r="P351" s="33"/>
      <c r="Q351" s="33"/>
      <c r="R351" s="33"/>
      <c r="S351" s="33"/>
      <c r="T351" s="33"/>
      <c r="U351" s="33"/>
      <c r="V351" s="33"/>
      <c r="W351" s="33"/>
      <c r="X351" s="33"/>
      <c r="Y351" s="33"/>
      <c r="Z351" s="33"/>
      <c r="AA351" s="33"/>
      <c r="AB351" s="33"/>
      <c r="AC351" s="33"/>
      <c r="AD351" s="33"/>
      <c r="AE351" s="33"/>
      <c r="AF351" s="33"/>
      <c r="AG351" s="33"/>
      <c r="AH351" s="33"/>
      <c r="AI351" s="33"/>
      <c r="AJ351" s="33"/>
      <c r="AK351" s="33"/>
      <c r="AL351" s="33"/>
      <c r="AM351" s="33"/>
      <c r="AN351" s="33"/>
      <c r="AO351" s="33"/>
      <c r="AP351" s="33"/>
      <c r="AQ351" s="33"/>
      <c r="AR351" s="33"/>
      <c r="AS351" s="33"/>
      <c r="AT351" s="33"/>
      <c r="AU351" s="33"/>
      <c r="AV351" s="33"/>
      <c r="AW351" s="33"/>
      <c r="AX351" s="33"/>
      <c r="AY351" s="33"/>
      <c r="AZ351" s="33"/>
      <c r="BA351" s="33"/>
      <c r="BB351" s="33"/>
      <c r="BC351" s="33"/>
      <c r="BD351" s="33"/>
      <c r="BE351" s="33"/>
      <c r="BF351" s="33"/>
      <c r="BG351" s="33"/>
      <c r="BH351" s="33"/>
      <c r="BI351" s="33"/>
      <c r="BJ351" s="33"/>
      <c r="BK351" s="33"/>
      <c r="BL351" s="33"/>
      <c r="BM351" s="33"/>
      <c r="BN351" s="33"/>
      <c r="BO351" s="33"/>
      <c r="BP351" s="33"/>
      <c r="BQ351" s="35"/>
      <c r="BR351" s="35"/>
      <c r="BS351" s="33"/>
    </row>
  </sheetData>
  <autoFilter ref="A20:CB147" xr:uid="{00000000-0009-0000-0000-000007000000}"/>
  <mergeCells count="164">
    <mergeCell ref="AU64:BA64"/>
    <mergeCell ref="AU71:BA71"/>
    <mergeCell ref="AU28:BA28"/>
    <mergeCell ref="AU34:BA34"/>
    <mergeCell ref="AU38:BA38"/>
    <mergeCell ref="AU47:BA47"/>
    <mergeCell ref="AU48:BA48"/>
    <mergeCell ref="AU40:BA40"/>
    <mergeCell ref="AU42:BA42"/>
    <mergeCell ref="AU43:BA43"/>
    <mergeCell ref="AU44:BA44"/>
    <mergeCell ref="AU46:BA46"/>
    <mergeCell ref="AU61:BA61"/>
    <mergeCell ref="AU62:BA62"/>
    <mergeCell ref="J159:L159"/>
    <mergeCell ref="J160:L160"/>
    <mergeCell ref="J154:L154"/>
    <mergeCell ref="J155:L155"/>
    <mergeCell ref="J156:L156"/>
    <mergeCell ref="J157:L157"/>
    <mergeCell ref="J158:L158"/>
    <mergeCell ref="BL18:BL19"/>
    <mergeCell ref="BM18:BO18"/>
    <mergeCell ref="O156:W156"/>
    <mergeCell ref="O157:W157"/>
    <mergeCell ref="O158:W158"/>
    <mergeCell ref="O159:W159"/>
    <mergeCell ref="O160:W160"/>
    <mergeCell ref="BM154:BO154"/>
    <mergeCell ref="BM156:BO156"/>
    <mergeCell ref="BM157:BO157"/>
    <mergeCell ref="BM158:BO158"/>
    <mergeCell ref="BM159:BO159"/>
    <mergeCell ref="AU72:BA72"/>
    <mergeCell ref="AU73:BA73"/>
    <mergeCell ref="AU49:BA49"/>
    <mergeCell ref="AU52:BA52"/>
    <mergeCell ref="AU57:BA57"/>
    <mergeCell ref="V16:Y16"/>
    <mergeCell ref="J17:J19"/>
    <mergeCell ref="K17:K19"/>
    <mergeCell ref="L17:L19"/>
    <mergeCell ref="M17:M19"/>
    <mergeCell ref="N17:N19"/>
    <mergeCell ref="O17:O19"/>
    <mergeCell ref="V17:V19"/>
    <mergeCell ref="W17:W19"/>
    <mergeCell ref="X17:X19"/>
    <mergeCell ref="Y17:Y19"/>
    <mergeCell ref="J16:O16"/>
    <mergeCell ref="P16:T16"/>
    <mergeCell ref="R18:R19"/>
    <mergeCell ref="S18:S19"/>
    <mergeCell ref="T18:T19"/>
    <mergeCell ref="U18:U19"/>
    <mergeCell ref="BJ16:BP16"/>
    <mergeCell ref="BQ16:BR16"/>
    <mergeCell ref="BS16:BS19"/>
    <mergeCell ref="AJ17:AJ19"/>
    <mergeCell ref="AK17:AK19"/>
    <mergeCell ref="AU17:AU19"/>
    <mergeCell ref="AV17:AZ17"/>
    <mergeCell ref="BA17:BA19"/>
    <mergeCell ref="BJ17:BJ19"/>
    <mergeCell ref="BK17:BO17"/>
    <mergeCell ref="AV18:AV19"/>
    <mergeCell ref="AW18:AW19"/>
    <mergeCell ref="AX18:AZ18"/>
    <mergeCell ref="BK18:BK19"/>
    <mergeCell ref="BP17:BP19"/>
    <mergeCell ref="BQ17:BR18"/>
    <mergeCell ref="BC18:BC19"/>
    <mergeCell ref="BD18:BD19"/>
    <mergeCell ref="BE18:BE19"/>
    <mergeCell ref="BF18:BF19"/>
    <mergeCell ref="BG18:BG19"/>
    <mergeCell ref="BH18:BH19"/>
    <mergeCell ref="BI18:BI19"/>
    <mergeCell ref="BC16:BI16"/>
    <mergeCell ref="H17:H19"/>
    <mergeCell ref="I17:I19"/>
    <mergeCell ref="A16:A19"/>
    <mergeCell ref="B16:B19"/>
    <mergeCell ref="C16:C19"/>
    <mergeCell ref="D16:D19"/>
    <mergeCell ref="E16:I16"/>
    <mergeCell ref="E17:E19"/>
    <mergeCell ref="F17:F19"/>
    <mergeCell ref="G17:G19"/>
    <mergeCell ref="BJ5:BP5"/>
    <mergeCell ref="BJ6:BK6"/>
    <mergeCell ref="BL6:BM6"/>
    <mergeCell ref="BN6:BO6"/>
    <mergeCell ref="F7:H7"/>
    <mergeCell ref="BJ7:BK7"/>
    <mergeCell ref="BL7:BM7"/>
    <mergeCell ref="BN7:BO7"/>
    <mergeCell ref="BM160:BO160"/>
    <mergeCell ref="BN8:BO8"/>
    <mergeCell ref="BL8:BM8"/>
    <mergeCell ref="BJ8:BK8"/>
    <mergeCell ref="O154:W154"/>
    <mergeCell ref="O155:W155"/>
    <mergeCell ref="BM155:BO155"/>
    <mergeCell ref="BJ9:BK9"/>
    <mergeCell ref="BL9:BM9"/>
    <mergeCell ref="BN9:BO9"/>
    <mergeCell ref="BJ10:BK10"/>
    <mergeCell ref="BL10:BM10"/>
    <mergeCell ref="BN10:BO10"/>
    <mergeCell ref="BJ11:BK11"/>
    <mergeCell ref="BL11:BM11"/>
    <mergeCell ref="BN11:BO11"/>
    <mergeCell ref="AU77:BA77"/>
    <mergeCell ref="AU78:BA78"/>
    <mergeCell ref="AU80:BA80"/>
    <mergeCell ref="AU82:BA82"/>
    <mergeCell ref="AU83:BA83"/>
    <mergeCell ref="AU84:BA84"/>
    <mergeCell ref="AU85:BA85"/>
    <mergeCell ref="AU86:BA86"/>
    <mergeCell ref="AU87:BA87"/>
    <mergeCell ref="AU122:BA122"/>
    <mergeCell ref="AU126:BA126"/>
    <mergeCell ref="AU98:BA98"/>
    <mergeCell ref="AU101:BA101"/>
    <mergeCell ref="AU102:BA102"/>
    <mergeCell ref="AU88:BA88"/>
    <mergeCell ref="AU89:BA89"/>
    <mergeCell ref="AU90:BA90"/>
    <mergeCell ref="AU91:BA91"/>
    <mergeCell ref="AU92:BA92"/>
    <mergeCell ref="AU93:BA93"/>
    <mergeCell ref="AU94:BA94"/>
    <mergeCell ref="AU95:BA95"/>
    <mergeCell ref="AU96:BA96"/>
    <mergeCell ref="AU106:BA106"/>
    <mergeCell ref="AU107:BA107"/>
    <mergeCell ref="AU109:BA109"/>
    <mergeCell ref="AU115:BA115"/>
    <mergeCell ref="AU118:BA118"/>
    <mergeCell ref="AU119:BA119"/>
    <mergeCell ref="AU116:BA116"/>
    <mergeCell ref="AU111:BA111"/>
    <mergeCell ref="AU120:BA120"/>
    <mergeCell ref="AU121:BA121"/>
    <mergeCell ref="AU16:BA16"/>
    <mergeCell ref="AH18:AH19"/>
    <mergeCell ref="Z16:AH16"/>
    <mergeCell ref="AM16:AS16"/>
    <mergeCell ref="AM18:AM19"/>
    <mergeCell ref="AN18:AN19"/>
    <mergeCell ref="AO18:AO19"/>
    <mergeCell ref="AP18:AP19"/>
    <mergeCell ref="AQ18:AQ19"/>
    <mergeCell ref="AR18:AR19"/>
    <mergeCell ref="AB18:AB19"/>
    <mergeCell ref="AC18:AC19"/>
    <mergeCell ref="AF18:AF19"/>
    <mergeCell ref="AG18:AG19"/>
    <mergeCell ref="AA18:AA19"/>
    <mergeCell ref="AD18:AD19"/>
    <mergeCell ref="AE18:AE19"/>
    <mergeCell ref="AJ16:AK16"/>
  </mergeCells>
  <conditionalFormatting sqref="I21:I148 N70:U148">
    <cfRule type="containsText" dxfId="54" priority="9" operator="containsText" text="High">
      <formula>NOT(ISERROR(SEARCH("High",I21)))</formula>
    </cfRule>
    <cfRule type="containsText" dxfId="53" priority="10" operator="containsText" text="Medium">
      <formula>NOT(ISERROR(SEARCH("Medium",I21)))</formula>
    </cfRule>
    <cfRule type="containsText" dxfId="52" priority="11" operator="containsText" text="Low">
      <formula>NOT(ISERROR(SEARCH("Low",I21)))</formula>
    </cfRule>
  </conditionalFormatting>
  <conditionalFormatting sqref="N6:N9">
    <cfRule type="containsText" dxfId="51" priority="318" operator="containsText" text="High">
      <formula>NOT(ISERROR(SEARCH("High",N6)))</formula>
    </cfRule>
    <cfRule type="containsText" dxfId="50" priority="319" operator="containsText" text="Medium">
      <formula>NOT(ISERROR(SEARCH("Medium",N6)))</formula>
    </cfRule>
    <cfRule type="containsText" dxfId="49" priority="320" operator="containsText" text="Low">
      <formula>NOT(ISERROR(SEARCH("Low",N6)))</formula>
    </cfRule>
  </conditionalFormatting>
  <conditionalFormatting sqref="N11:N12 N52:N55 N56:U56 N57:N58 N59:U60 N68:N69">
    <cfRule type="containsText" dxfId="48" priority="323" operator="containsText" text="High">
      <formula>NOT(ISERROR(SEARCH("High",N11)))</formula>
    </cfRule>
    <cfRule type="containsText" dxfId="47" priority="324" operator="containsText" text="Medium">
      <formula>NOT(ISERROR(SEARCH("Medium",N11)))</formula>
    </cfRule>
    <cfRule type="containsText" dxfId="46" priority="325" operator="containsText" text="Low">
      <formula>NOT(ISERROR(SEARCH("Low",N11)))</formula>
    </cfRule>
  </conditionalFormatting>
  <conditionalFormatting sqref="N61">
    <cfRule type="containsText" dxfId="45" priority="183" operator="containsText" text="High">
      <formula>NOT(ISERROR(SEARCH("High",N61)))</formula>
    </cfRule>
    <cfRule type="containsText" dxfId="44" priority="184" operator="containsText" text="Medium">
      <formula>NOT(ISERROR(SEARCH("Medium",N61)))</formula>
    </cfRule>
    <cfRule type="containsText" dxfId="43" priority="185" operator="containsText" text="Low">
      <formula>NOT(ISERROR(SEARCH("Low",N61)))</formula>
    </cfRule>
  </conditionalFormatting>
  <conditionalFormatting sqref="N21:U51">
    <cfRule type="containsText" dxfId="42" priority="1" operator="containsText" text="High">
      <formula>NOT(ISERROR(SEARCH("High",N21)))</formula>
    </cfRule>
    <cfRule type="containsText" dxfId="41" priority="2" operator="containsText" text="Medium">
      <formula>NOT(ISERROR(SEARCH("Medium",N21)))</formula>
    </cfRule>
    <cfRule type="containsText" dxfId="40" priority="3" operator="containsText" text="Low">
      <formula>NOT(ISERROR(SEARCH("Low",N21)))</formula>
    </cfRule>
  </conditionalFormatting>
  <conditionalFormatting sqref="N62:U67">
    <cfRule type="containsText" dxfId="39" priority="49" operator="containsText" text="High">
      <formula>NOT(ISERROR(SEARCH("High",N62)))</formula>
    </cfRule>
    <cfRule type="containsText" dxfId="38" priority="50" operator="containsText" text="Medium">
      <formula>NOT(ISERROR(SEARCH("Medium",N62)))</formula>
    </cfRule>
    <cfRule type="containsText" dxfId="37" priority="51" operator="containsText" text="Low">
      <formula>NOT(ISERROR(SEARCH("Low",N62)))</formula>
    </cfRule>
  </conditionalFormatting>
  <conditionalFormatting sqref="O52:U53">
    <cfRule type="containsText" dxfId="36" priority="156" operator="containsText" text="High">
      <formula>NOT(ISERROR(SEARCH("High",O52)))</formula>
    </cfRule>
    <cfRule type="containsText" dxfId="35" priority="157" operator="containsText" text="Medium">
      <formula>NOT(ISERROR(SEARCH("Medium",O52)))</formula>
    </cfRule>
    <cfRule type="containsText" dxfId="34" priority="158" operator="containsText" text="Low">
      <formula>NOT(ISERROR(SEARCH("Low",O52)))</formula>
    </cfRule>
  </conditionalFormatting>
  <conditionalFormatting sqref="O58:U58">
    <cfRule type="containsText" dxfId="33" priority="100" operator="containsText" text="High">
      <formula>NOT(ISERROR(SEARCH("High",O58)))</formula>
    </cfRule>
    <cfRule type="containsText" dxfId="32" priority="101" operator="containsText" text="Medium">
      <formula>NOT(ISERROR(SEARCH("Medium",O58)))</formula>
    </cfRule>
    <cfRule type="containsText" dxfId="31" priority="102" operator="containsText" text="Low">
      <formula>NOT(ISERROR(SEARCH("Low",O58)))</formula>
    </cfRule>
  </conditionalFormatting>
  <conditionalFormatting sqref="BQ21:BQ148">
    <cfRule type="containsText" dxfId="30" priority="7" operator="containsText" text="Budget">
      <formula>NOT(ISERROR(SEARCH("Budget",BQ21)))</formula>
    </cfRule>
    <cfRule type="containsText" dxfId="29" priority="8" operator="containsText" text="Contingency">
      <formula>NOT(ISERROR(SEARCH("Contingency",BQ21)))</formula>
    </cfRule>
  </conditionalFormatting>
  <dataValidations count="2">
    <dataValidation type="list" allowBlank="1" showInputMessage="1" showErrorMessage="1" sqref="P148:U148 Z148:AI148 O91:O148 O68:O70 O50:O51 O66 O37 O53:O61 O21:O33 O77:O81 O63 O83:O89 O45 Y21:Y148 O73:O75" xr:uid="{00000000-0002-0000-0700-000000000000}">
      <formula1>$BJ$7:$BJ$10</formula1>
    </dataValidation>
    <dataValidation type="list" allowBlank="1" showInputMessage="1" showErrorMessage="1" sqref="O52 O76 O71:O72 O82 O90 O62 O46:O49 O64:O65 O67 O38:O44 O34:O36" xr:uid="{00000000-0002-0000-0700-000001000000}"/>
  </dataValidations>
  <pageMargins left="0.70866141732283472" right="0.70866141732283472" top="0.55118110236220474" bottom="0.74803149606299213" header="0.31496062992125984" footer="0.31496062992125984"/>
  <pageSetup paperSize="8" scale="38" fitToHeight="0" orientation="landscape" r:id="rId1"/>
  <headerFooter>
    <oddFooter>&amp;L&amp;18BLUEWATERS - RESIDENTIAL&amp;C&amp;18&amp;A&amp;R&amp;18Page &amp;P of &amp;N</oddFooter>
  </headerFooter>
  <drawing r:id="rId2"/>
  <legacyDrawing r:id="rId3"/>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dimension ref="B1:AO62"/>
  <sheetViews>
    <sheetView zoomScale="84" zoomScaleNormal="84" workbookViewId="0">
      <selection activeCell="B6" sqref="B6"/>
    </sheetView>
  </sheetViews>
  <sheetFormatPr defaultColWidth="9" defaultRowHeight="12.75"/>
  <cols>
    <col min="2" max="2" width="2.5703125" customWidth="1"/>
    <col min="3" max="3" width="11.5703125" customWidth="1"/>
    <col min="4" max="4" width="25" customWidth="1"/>
    <col min="5" max="6" width="12.85546875" customWidth="1"/>
    <col min="7" max="9" width="11.85546875" customWidth="1"/>
    <col min="10" max="10" width="14.85546875" customWidth="1"/>
    <col min="11" max="12" width="13" customWidth="1"/>
    <col min="13" max="14" width="14.85546875" customWidth="1"/>
    <col min="15" max="15" width="2.85546875" customWidth="1"/>
    <col min="16" max="16" width="11.5703125" customWidth="1"/>
    <col min="17" max="17" width="26.85546875" customWidth="1"/>
    <col min="18" max="19" width="12.85546875" customWidth="1"/>
    <col min="20" max="22" width="11.85546875" customWidth="1"/>
    <col min="23" max="23" width="14.85546875" customWidth="1"/>
    <col min="24" max="25" width="13" customWidth="1"/>
    <col min="26" max="27" width="14.85546875" customWidth="1"/>
    <col min="28" max="28" width="2.5703125" customWidth="1"/>
    <col min="29" max="29" width="11.5703125" customWidth="1"/>
    <col min="30" max="30" width="28" customWidth="1"/>
    <col min="31" max="32" width="12.85546875" customWidth="1"/>
    <col min="33" max="35" width="11.85546875" customWidth="1"/>
    <col min="36" max="36" width="14.85546875" customWidth="1"/>
    <col min="37" max="37" width="13" customWidth="1"/>
    <col min="38" max="38" width="15.42578125" customWidth="1"/>
    <col min="39" max="40" width="14.85546875" customWidth="1"/>
    <col min="41" max="41" width="2.5703125" customWidth="1"/>
  </cols>
  <sheetData>
    <row r="1" spans="2:41" ht="13.5" thickBot="1"/>
    <row r="2" spans="2:41" ht="45">
      <c r="B2" s="339"/>
      <c r="C2" s="340"/>
      <c r="D2" s="5991" t="s">
        <v>833</v>
      </c>
      <c r="E2" s="5991"/>
      <c r="F2" s="5991"/>
      <c r="G2" s="5991"/>
      <c r="H2" s="5991"/>
      <c r="I2" s="5991"/>
      <c r="J2" s="5991"/>
      <c r="K2" s="5991"/>
      <c r="L2" s="5991"/>
      <c r="M2" s="5991"/>
      <c r="N2" s="5991"/>
      <c r="O2" s="5991"/>
      <c r="P2" s="5991"/>
      <c r="Q2" s="5991"/>
      <c r="R2" s="5991"/>
      <c r="S2" s="5991"/>
      <c r="T2" s="5991"/>
      <c r="U2" s="5991"/>
      <c r="V2" s="5991"/>
      <c r="W2" s="5991"/>
      <c r="X2" s="5991"/>
      <c r="Y2" s="5991"/>
      <c r="Z2" s="5991"/>
      <c r="AA2" s="5991"/>
      <c r="AB2" s="341"/>
      <c r="AC2" s="342"/>
      <c r="AD2" s="342"/>
      <c r="AE2" s="342"/>
      <c r="AF2" s="342"/>
      <c r="AG2" s="342"/>
      <c r="AH2" s="342"/>
      <c r="AI2" s="342"/>
      <c r="AJ2" s="342"/>
      <c r="AK2" s="342"/>
      <c r="AL2" s="342"/>
      <c r="AM2" s="342"/>
      <c r="AN2" s="342"/>
      <c r="AO2" s="343"/>
    </row>
    <row r="3" spans="2:41" ht="30">
      <c r="B3" s="344"/>
      <c r="C3" s="345"/>
      <c r="D3" s="346" t="s">
        <v>837</v>
      </c>
      <c r="E3" s="346"/>
      <c r="F3" s="346"/>
      <c r="G3" s="346"/>
      <c r="H3" s="346"/>
      <c r="I3" s="346"/>
      <c r="J3" s="346"/>
      <c r="K3" s="347"/>
      <c r="L3" s="346"/>
      <c r="M3" s="346"/>
      <c r="N3" s="346"/>
      <c r="O3" s="346"/>
      <c r="P3" s="346"/>
      <c r="Q3" s="5992"/>
      <c r="R3" s="5993"/>
      <c r="S3" s="5993"/>
      <c r="T3" s="5993"/>
      <c r="U3" s="5993"/>
      <c r="V3" s="5993"/>
      <c r="W3" s="5993"/>
      <c r="X3" s="5993"/>
      <c r="Y3" s="346"/>
      <c r="Z3" s="346"/>
      <c r="AA3" s="346"/>
      <c r="AB3" s="346"/>
      <c r="AC3" s="348"/>
      <c r="AD3" s="348"/>
      <c r="AE3" s="348"/>
      <c r="AF3" s="348"/>
      <c r="AG3" s="348"/>
      <c r="AH3" s="348"/>
      <c r="AI3" s="348"/>
      <c r="AJ3" s="348"/>
      <c r="AK3" s="348"/>
      <c r="AL3" s="348"/>
      <c r="AM3" s="348"/>
      <c r="AN3" s="348"/>
      <c r="AO3" s="349"/>
    </row>
    <row r="4" spans="2:41" ht="35.25">
      <c r="B4" s="350"/>
      <c r="C4" s="345"/>
      <c r="D4" s="351" t="s">
        <v>1270</v>
      </c>
      <c r="E4" s="5994">
        <v>42384</v>
      </c>
      <c r="F4" s="5995"/>
      <c r="G4" s="5995"/>
      <c r="H4" s="5996"/>
      <c r="I4" s="352"/>
      <c r="J4" s="352"/>
      <c r="K4" s="352"/>
      <c r="L4" s="352"/>
      <c r="M4" s="352"/>
      <c r="N4" s="352"/>
      <c r="O4" s="352"/>
      <c r="P4" s="352"/>
      <c r="Q4" s="5993"/>
      <c r="R4" s="5993"/>
      <c r="S4" s="5993"/>
      <c r="T4" s="5993"/>
      <c r="U4" s="5993"/>
      <c r="V4" s="5993"/>
      <c r="W4" s="5993"/>
      <c r="X4" s="5993"/>
      <c r="Y4" s="353"/>
      <c r="Z4" s="352"/>
      <c r="AA4" s="352"/>
      <c r="AB4" s="352"/>
      <c r="AC4" s="354"/>
      <c r="AD4" s="354"/>
      <c r="AE4" s="354"/>
      <c r="AF4" s="354"/>
      <c r="AG4" s="354"/>
      <c r="AH4" s="354"/>
      <c r="AI4" s="354"/>
      <c r="AJ4" s="354"/>
      <c r="AK4" s="354"/>
      <c r="AL4" s="354"/>
      <c r="AM4" s="354"/>
      <c r="AN4" s="354"/>
      <c r="AO4" s="355"/>
    </row>
    <row r="5" spans="2:41" ht="35.25">
      <c r="B5" s="350"/>
      <c r="C5" s="345"/>
      <c r="D5" s="5997" t="s">
        <v>1271</v>
      </c>
      <c r="E5" s="5997"/>
      <c r="F5" s="5997"/>
      <c r="G5" s="5997"/>
      <c r="H5" s="5997"/>
      <c r="I5" s="5998"/>
      <c r="J5" s="356"/>
      <c r="K5" s="357"/>
      <c r="L5" s="357"/>
      <c r="M5" s="357"/>
      <c r="N5" s="357"/>
      <c r="O5" s="357"/>
      <c r="P5" s="357"/>
      <c r="Q5" s="357"/>
      <c r="R5" s="357"/>
      <c r="S5" s="358"/>
      <c r="T5" s="358"/>
      <c r="U5" s="358"/>
      <c r="V5" s="358"/>
      <c r="W5" s="358"/>
      <c r="X5" s="358"/>
      <c r="Y5" s="358"/>
      <c r="Z5" s="357"/>
      <c r="AA5" s="357"/>
      <c r="AB5" s="357"/>
      <c r="AC5" s="359"/>
      <c r="AD5" s="359"/>
      <c r="AE5" s="359"/>
      <c r="AF5" s="359"/>
      <c r="AG5" s="359"/>
      <c r="AH5" s="359"/>
      <c r="AI5" s="359"/>
      <c r="AJ5" s="359"/>
      <c r="AK5" s="359"/>
      <c r="AL5" s="359"/>
      <c r="AM5" s="359"/>
      <c r="AN5" s="359"/>
      <c r="AO5" s="360"/>
    </row>
    <row r="6" spans="2:41" ht="13.5" thickBot="1">
      <c r="B6" s="361"/>
      <c r="C6" s="5999"/>
      <c r="D6" s="5999"/>
      <c r="E6" s="5999"/>
      <c r="F6" s="5999"/>
      <c r="G6" s="5999"/>
      <c r="H6" s="5999"/>
      <c r="I6" s="5999"/>
      <c r="J6" s="5999"/>
      <c r="K6" s="5999"/>
      <c r="L6" s="5999"/>
      <c r="M6" s="5999"/>
      <c r="N6" s="5999"/>
      <c r="O6" s="6000"/>
      <c r="P6" s="5999"/>
      <c r="Q6" s="5999"/>
      <c r="R6" s="5999"/>
      <c r="S6" s="5999"/>
      <c r="T6" s="5999"/>
      <c r="U6" s="5999"/>
      <c r="V6" s="5999"/>
      <c r="W6" s="5999"/>
      <c r="X6" s="5999"/>
      <c r="Y6" s="5999"/>
      <c r="Z6" s="5999"/>
      <c r="AA6" s="5999"/>
      <c r="AB6" s="362"/>
      <c r="AC6" s="2739"/>
      <c r="AD6" s="2739"/>
      <c r="AE6" s="2739"/>
      <c r="AF6" s="2739"/>
      <c r="AG6" s="2739"/>
      <c r="AH6" s="2739"/>
      <c r="AI6" s="2739"/>
      <c r="AJ6" s="2739"/>
      <c r="AK6" s="2739"/>
      <c r="AL6" s="2739"/>
      <c r="AM6" s="2739"/>
      <c r="AN6" s="2739"/>
      <c r="AO6" s="363"/>
    </row>
    <row r="7" spans="2:41" ht="26.25">
      <c r="B7" s="361"/>
      <c r="C7" s="5953" t="s">
        <v>1272</v>
      </c>
      <c r="D7" s="5954"/>
      <c r="E7" s="5954"/>
      <c r="F7" s="5954"/>
      <c r="G7" s="5954"/>
      <c r="H7" s="5954"/>
      <c r="I7" s="5954"/>
      <c r="J7" s="5954"/>
      <c r="K7" s="5954"/>
      <c r="L7" s="5954"/>
      <c r="M7" s="5954"/>
      <c r="N7" s="5955"/>
      <c r="O7" s="364"/>
      <c r="P7" s="5953" t="s">
        <v>396</v>
      </c>
      <c r="Q7" s="5954"/>
      <c r="R7" s="5954"/>
      <c r="S7" s="5954"/>
      <c r="T7" s="5954"/>
      <c r="U7" s="5954"/>
      <c r="V7" s="5954"/>
      <c r="W7" s="5954"/>
      <c r="X7" s="5954"/>
      <c r="Y7" s="5954"/>
      <c r="Z7" s="5954"/>
      <c r="AA7" s="5955"/>
      <c r="AB7" s="365"/>
      <c r="AC7" s="5953" t="s">
        <v>1273</v>
      </c>
      <c r="AD7" s="5954"/>
      <c r="AE7" s="5954"/>
      <c r="AF7" s="5954"/>
      <c r="AG7" s="5954"/>
      <c r="AH7" s="5954"/>
      <c r="AI7" s="5954"/>
      <c r="AJ7" s="5954"/>
      <c r="AK7" s="5954"/>
      <c r="AL7" s="5954"/>
      <c r="AM7" s="5954"/>
      <c r="AN7" s="5955"/>
      <c r="AO7" s="363"/>
    </row>
    <row r="8" spans="2:41" ht="26.25">
      <c r="B8" s="361"/>
      <c r="C8" s="366"/>
      <c r="D8" s="367"/>
      <c r="E8" s="5933" t="s">
        <v>1274</v>
      </c>
      <c r="F8" s="5933"/>
      <c r="G8" s="2740" t="s">
        <v>339</v>
      </c>
      <c r="H8" s="2740" t="s">
        <v>340</v>
      </c>
      <c r="I8" s="2740" t="s">
        <v>397</v>
      </c>
      <c r="J8" s="368"/>
      <c r="K8" s="368"/>
      <c r="L8" s="368"/>
      <c r="M8" s="368"/>
      <c r="N8" s="369"/>
      <c r="O8" s="364"/>
      <c r="P8" s="366"/>
      <c r="Q8" s="367"/>
      <c r="R8" s="5933" t="s">
        <v>1274</v>
      </c>
      <c r="S8" s="5933"/>
      <c r="T8" s="2740" t="s">
        <v>339</v>
      </c>
      <c r="U8" s="2740" t="s">
        <v>340</v>
      </c>
      <c r="V8" s="2740" t="s">
        <v>397</v>
      </c>
      <c r="W8" s="368"/>
      <c r="X8" s="368"/>
      <c r="Y8" s="368"/>
      <c r="Z8" s="368"/>
      <c r="AA8" s="369"/>
      <c r="AB8" s="365"/>
      <c r="AC8" s="366"/>
      <c r="AD8" s="367"/>
      <c r="AE8" s="5933" t="s">
        <v>294</v>
      </c>
      <c r="AF8" s="5933"/>
      <c r="AG8" s="2740" t="s">
        <v>339</v>
      </c>
      <c r="AH8" s="2740" t="s">
        <v>340</v>
      </c>
      <c r="AI8" s="2740" t="s">
        <v>397</v>
      </c>
      <c r="AJ8" s="368"/>
      <c r="AK8" s="368"/>
      <c r="AL8" s="368"/>
      <c r="AM8" s="368"/>
      <c r="AN8" s="369"/>
      <c r="AO8" s="363"/>
    </row>
    <row r="9" spans="2:41" ht="21">
      <c r="B9" s="361"/>
      <c r="C9" s="5934" t="s">
        <v>1275</v>
      </c>
      <c r="D9" s="5935"/>
      <c r="E9" s="5930"/>
      <c r="F9" s="5936"/>
      <c r="G9" s="370">
        <f>'Schedule E (SS)'!$P$20</f>
        <v>97</v>
      </c>
      <c r="H9" s="370">
        <v>97</v>
      </c>
      <c r="I9" s="370">
        <f>SUM(I10:I14)</f>
        <v>0</v>
      </c>
      <c r="J9" s="5920"/>
      <c r="K9" s="5920"/>
      <c r="L9" s="5920"/>
      <c r="M9" s="5920"/>
      <c r="N9" s="5921"/>
      <c r="O9" s="371"/>
      <c r="P9" s="5934" t="s">
        <v>1276</v>
      </c>
      <c r="Q9" s="5935"/>
      <c r="R9" s="5930">
        <f>SUM(R10:S16)</f>
        <v>35801243</v>
      </c>
      <c r="S9" s="5936"/>
      <c r="T9" s="370">
        <f>SUM(T10:T16)</f>
        <v>57</v>
      </c>
      <c r="U9" s="370">
        <f>SUM(U10:U16)</f>
        <v>57</v>
      </c>
      <c r="V9" s="370">
        <f>SUM(V10:V16)</f>
        <v>0</v>
      </c>
      <c r="W9" s="5920"/>
      <c r="X9" s="5920"/>
      <c r="Y9" s="5920"/>
      <c r="Z9" s="5920"/>
      <c r="AA9" s="5921"/>
      <c r="AB9" s="372"/>
      <c r="AC9" s="5934" t="s">
        <v>868</v>
      </c>
      <c r="AD9" s="5935"/>
      <c r="AE9" s="5930"/>
      <c r="AF9" s="5936"/>
      <c r="AG9" s="370">
        <f>SUM(AG10:AG14)</f>
        <v>5</v>
      </c>
      <c r="AH9" s="370">
        <f>SUM(AH10:AH14)</f>
        <v>5</v>
      </c>
      <c r="AI9" s="370">
        <f>SUM(AI10:AI14)</f>
        <v>0</v>
      </c>
      <c r="AJ9" s="5920"/>
      <c r="AK9" s="5920"/>
      <c r="AL9" s="5920"/>
      <c r="AM9" s="5920"/>
      <c r="AN9" s="5921"/>
      <c r="AO9" s="363"/>
    </row>
    <row r="10" spans="2:41" ht="21">
      <c r="B10" s="361"/>
      <c r="C10" s="373" t="s">
        <v>1277</v>
      </c>
      <c r="D10" s="2741"/>
      <c r="E10" s="5922"/>
      <c r="F10" s="5923"/>
      <c r="G10" s="2742">
        <f>'Schedule E (SS)'!$Q$20</f>
        <v>53</v>
      </c>
      <c r="H10" s="2743">
        <v>53</v>
      </c>
      <c r="I10" s="2743">
        <f t="shared" ref="I10:I15" si="0">G10-H10</f>
        <v>0</v>
      </c>
      <c r="J10" s="5920"/>
      <c r="K10" s="5920"/>
      <c r="L10" s="5920"/>
      <c r="M10" s="5920"/>
      <c r="N10" s="5921"/>
      <c r="O10" s="371"/>
      <c r="P10" s="373" t="s">
        <v>1277</v>
      </c>
      <c r="Q10" s="2741"/>
      <c r="R10" s="5922"/>
      <c r="S10" s="5923"/>
      <c r="T10" s="2742">
        <f>'Schedule E (SS)'!$AA$20</f>
        <v>14</v>
      </c>
      <c r="U10" s="2742">
        <f>'Schedule E (SS)'!$AA$20</f>
        <v>14</v>
      </c>
      <c r="V10" s="2743">
        <f t="shared" ref="V10:V17" si="1">T10-U10</f>
        <v>0</v>
      </c>
      <c r="W10" s="5920"/>
      <c r="X10" s="5920"/>
      <c r="Y10" s="5920"/>
      <c r="Z10" s="5920"/>
      <c r="AA10" s="5921"/>
      <c r="AB10" s="372"/>
      <c r="AC10" s="373" t="s">
        <v>869</v>
      </c>
      <c r="AD10" s="2741"/>
      <c r="AE10" s="5983" t="s">
        <v>1278</v>
      </c>
      <c r="AF10" s="5936"/>
      <c r="AG10" s="2742">
        <v>4</v>
      </c>
      <c r="AH10" s="2743">
        <v>4</v>
      </c>
      <c r="AI10" s="2743">
        <f t="shared" ref="AI10:AI15" si="2">AG10-AH10</f>
        <v>0</v>
      </c>
      <c r="AJ10" s="5920"/>
      <c r="AK10" s="5920"/>
      <c r="AL10" s="5920"/>
      <c r="AM10" s="5920"/>
      <c r="AN10" s="5921"/>
      <c r="AO10" s="363"/>
    </row>
    <row r="11" spans="2:41" ht="21.75" thickBot="1">
      <c r="B11" s="361"/>
      <c r="C11" s="374" t="s">
        <v>843</v>
      </c>
      <c r="D11" s="2744"/>
      <c r="E11" s="5924"/>
      <c r="F11" s="5925"/>
      <c r="G11" s="2745">
        <f>'Schedule E (SS)'!$R$20</f>
        <v>26</v>
      </c>
      <c r="H11" s="375">
        <v>26</v>
      </c>
      <c r="I11" s="375">
        <f t="shared" si="0"/>
        <v>0</v>
      </c>
      <c r="J11" s="5920"/>
      <c r="K11" s="5920"/>
      <c r="L11" s="5920"/>
      <c r="M11" s="5920"/>
      <c r="N11" s="5921"/>
      <c r="O11" s="371"/>
      <c r="P11" s="374" t="s">
        <v>863</v>
      </c>
      <c r="Q11" s="2744"/>
      <c r="R11" s="5916">
        <v>59300480</v>
      </c>
      <c r="S11" s="5917"/>
      <c r="T11" s="2745">
        <f>'Schedule E (SS)'!$AB$20</f>
        <v>22</v>
      </c>
      <c r="U11" s="2745">
        <f>'Schedule E (SS)'!$AB$20</f>
        <v>22</v>
      </c>
      <c r="V11" s="375">
        <f t="shared" si="1"/>
        <v>0</v>
      </c>
      <c r="W11" s="5920"/>
      <c r="X11" s="5920"/>
      <c r="Y11" s="5920"/>
      <c r="Z11" s="5920"/>
      <c r="AA11" s="5921"/>
      <c r="AB11" s="372"/>
      <c r="AC11" s="2746" t="s">
        <v>870</v>
      </c>
      <c r="AD11" s="2747"/>
      <c r="AE11" s="5984" t="s">
        <v>1279</v>
      </c>
      <c r="AF11" s="5985"/>
      <c r="AG11" s="2748">
        <v>0</v>
      </c>
      <c r="AH11" s="2749">
        <v>0</v>
      </c>
      <c r="AI11" s="2749">
        <f t="shared" si="2"/>
        <v>0</v>
      </c>
      <c r="AJ11" s="5920"/>
      <c r="AK11" s="5920"/>
      <c r="AL11" s="5920"/>
      <c r="AM11" s="5920"/>
      <c r="AN11" s="5921"/>
      <c r="AO11" s="363"/>
    </row>
    <row r="12" spans="2:41" ht="21">
      <c r="B12" s="361"/>
      <c r="C12" s="376" t="s">
        <v>860</v>
      </c>
      <c r="D12" s="377"/>
      <c r="E12" s="5914">
        <v>-45887214</v>
      </c>
      <c r="F12" s="5945"/>
      <c r="G12" s="378">
        <f>'Schedule E (SS)'!$S$20</f>
        <v>15</v>
      </c>
      <c r="H12" s="379">
        <v>15</v>
      </c>
      <c r="I12" s="379">
        <f t="shared" si="0"/>
        <v>0</v>
      </c>
      <c r="J12" s="5920"/>
      <c r="K12" s="5920"/>
      <c r="L12" s="5920"/>
      <c r="M12" s="5920"/>
      <c r="N12" s="5921"/>
      <c r="O12" s="371"/>
      <c r="P12" s="374" t="s">
        <v>119</v>
      </c>
      <c r="Q12" s="2744"/>
      <c r="R12" s="5916">
        <v>3704070</v>
      </c>
      <c r="S12" s="5917"/>
      <c r="T12" s="2745">
        <f>'Schedule E (SS)'!$AC$20</f>
        <v>3</v>
      </c>
      <c r="U12" s="2745">
        <f>'Schedule E (SS)'!$AC$20</f>
        <v>3</v>
      </c>
      <c r="V12" s="375">
        <f t="shared" si="1"/>
        <v>0</v>
      </c>
      <c r="W12" s="5920"/>
      <c r="X12" s="5920"/>
      <c r="Y12" s="5920"/>
      <c r="Z12" s="5920"/>
      <c r="AA12" s="5921"/>
      <c r="AB12" s="372"/>
      <c r="AC12" s="380" t="s">
        <v>871</v>
      </c>
      <c r="AD12" s="381"/>
      <c r="AE12" s="5978" t="s">
        <v>1280</v>
      </c>
      <c r="AF12" s="5979"/>
      <c r="AG12" s="382">
        <v>0</v>
      </c>
      <c r="AH12" s="383">
        <v>0</v>
      </c>
      <c r="AI12" s="383">
        <f t="shared" si="2"/>
        <v>0</v>
      </c>
      <c r="AJ12" s="5920"/>
      <c r="AK12" s="5920"/>
      <c r="AL12" s="5920"/>
      <c r="AM12" s="5920"/>
      <c r="AN12" s="5921"/>
      <c r="AO12" s="363"/>
    </row>
    <row r="13" spans="2:41" ht="21.75" thickBot="1">
      <c r="B13" s="361"/>
      <c r="C13" s="373" t="s">
        <v>861</v>
      </c>
      <c r="D13" s="384"/>
      <c r="E13" s="5916">
        <v>12500000</v>
      </c>
      <c r="F13" s="5901"/>
      <c r="G13" s="2742">
        <f>'Schedule E (SS)'!$T$20</f>
        <v>1</v>
      </c>
      <c r="H13" s="2743">
        <v>1</v>
      </c>
      <c r="I13" s="2743">
        <f t="shared" si="0"/>
        <v>0</v>
      </c>
      <c r="J13" s="5920"/>
      <c r="K13" s="5920"/>
      <c r="L13" s="5920"/>
      <c r="M13" s="5920"/>
      <c r="N13" s="5921"/>
      <c r="O13" s="371"/>
      <c r="P13" s="374" t="s">
        <v>126</v>
      </c>
      <c r="Q13" s="2744"/>
      <c r="R13" s="5916">
        <v>-1483759</v>
      </c>
      <c r="S13" s="5917"/>
      <c r="T13" s="2750">
        <f>'Schedule E (SS)'!$AD$20</f>
        <v>1</v>
      </c>
      <c r="U13" s="2750">
        <f>'Schedule E (SS)'!$AD$20</f>
        <v>1</v>
      </c>
      <c r="V13" s="375">
        <f t="shared" si="1"/>
        <v>0</v>
      </c>
      <c r="W13" s="5920"/>
      <c r="X13" s="5920"/>
      <c r="Y13" s="5920"/>
      <c r="Z13" s="5920"/>
      <c r="AA13" s="5921"/>
      <c r="AB13" s="372"/>
      <c r="AC13" s="373" t="s">
        <v>872</v>
      </c>
      <c r="AD13" s="384"/>
      <c r="AE13" s="5980"/>
      <c r="AF13" s="5979"/>
      <c r="AG13" s="2742">
        <v>0</v>
      </c>
      <c r="AH13" s="2743">
        <v>0</v>
      </c>
      <c r="AI13" s="2743">
        <f t="shared" si="2"/>
        <v>0</v>
      </c>
      <c r="AJ13" s="5920"/>
      <c r="AK13" s="5920"/>
      <c r="AL13" s="5920"/>
      <c r="AM13" s="5920"/>
      <c r="AN13" s="5921"/>
      <c r="AO13" s="363"/>
    </row>
    <row r="14" spans="2:41" ht="21">
      <c r="B14" s="361"/>
      <c r="C14" s="373" t="s">
        <v>862</v>
      </c>
      <c r="D14" s="384"/>
      <c r="E14" s="5916">
        <v>12000000</v>
      </c>
      <c r="F14" s="5901"/>
      <c r="G14" s="2742">
        <f>'Schedule E (SS)'!$U$20</f>
        <v>2</v>
      </c>
      <c r="H14" s="2743">
        <v>2</v>
      </c>
      <c r="I14" s="2743">
        <f t="shared" si="0"/>
        <v>0</v>
      </c>
      <c r="J14" s="5920"/>
      <c r="K14" s="5920"/>
      <c r="L14" s="5920"/>
      <c r="M14" s="5920"/>
      <c r="N14" s="5921"/>
      <c r="O14" s="371"/>
      <c r="P14" s="376" t="s">
        <v>864</v>
      </c>
      <c r="Q14" s="377"/>
      <c r="R14" s="5943">
        <v>405588</v>
      </c>
      <c r="S14" s="5944"/>
      <c r="T14" s="378">
        <f>'Schedule E (SS)'!$AE$20</f>
        <v>1</v>
      </c>
      <c r="U14" s="378">
        <f>'Schedule E (SS)'!$AE$20</f>
        <v>1</v>
      </c>
      <c r="V14" s="379">
        <f t="shared" si="1"/>
        <v>0</v>
      </c>
      <c r="W14" s="5920"/>
      <c r="X14" s="5920"/>
      <c r="Y14" s="5920"/>
      <c r="Z14" s="5920"/>
      <c r="AA14" s="5921"/>
      <c r="AB14" s="372"/>
      <c r="AC14" s="373" t="s">
        <v>873</v>
      </c>
      <c r="AD14" s="384"/>
      <c r="AE14" s="5981"/>
      <c r="AF14" s="5982"/>
      <c r="AG14" s="2742">
        <v>1</v>
      </c>
      <c r="AH14" s="2743">
        <v>1</v>
      </c>
      <c r="AI14" s="2743">
        <f t="shared" si="2"/>
        <v>0</v>
      </c>
      <c r="AJ14" s="5920"/>
      <c r="AK14" s="5920"/>
      <c r="AL14" s="5920"/>
      <c r="AM14" s="5920"/>
      <c r="AN14" s="5921"/>
      <c r="AO14" s="363"/>
    </row>
    <row r="15" spans="2:41" ht="21">
      <c r="B15" s="361"/>
      <c r="C15" s="385" t="s">
        <v>1281</v>
      </c>
      <c r="D15" s="386"/>
      <c r="E15" s="5986">
        <f>SUM(E12:F14)</f>
        <v>-21387214</v>
      </c>
      <c r="F15" s="5987"/>
      <c r="G15" s="2751">
        <f>SUM(G12:G14)</f>
        <v>18</v>
      </c>
      <c r="H15" s="387">
        <f>SUM(H12:H14)</f>
        <v>18</v>
      </c>
      <c r="I15" s="387">
        <f t="shared" si="0"/>
        <v>0</v>
      </c>
      <c r="J15" s="5920"/>
      <c r="K15" s="5920"/>
      <c r="L15" s="5920"/>
      <c r="M15" s="5920"/>
      <c r="N15" s="5921"/>
      <c r="O15" s="371"/>
      <c r="P15" s="373" t="s">
        <v>865</v>
      </c>
      <c r="Q15" s="384"/>
      <c r="R15" s="5916">
        <v>-26183637</v>
      </c>
      <c r="S15" s="5917"/>
      <c r="T15" s="2742">
        <f>'Schedule E (SS)'!$AF$20</f>
        <v>15</v>
      </c>
      <c r="U15" s="2742">
        <f>'Schedule E (SS)'!$AF$20</f>
        <v>15</v>
      </c>
      <c r="V15" s="2743">
        <f t="shared" si="1"/>
        <v>0</v>
      </c>
      <c r="W15" s="5920"/>
      <c r="X15" s="5920"/>
      <c r="Y15" s="5920"/>
      <c r="Z15" s="5920"/>
      <c r="AA15" s="5921"/>
      <c r="AB15" s="372"/>
      <c r="AC15" s="5988" t="s">
        <v>1282</v>
      </c>
      <c r="AD15" s="5989"/>
      <c r="AE15" s="5989"/>
      <c r="AF15" s="5990"/>
      <c r="AG15" s="2751">
        <f>SUM(AG12:AG14)</f>
        <v>1</v>
      </c>
      <c r="AH15" s="387">
        <f>SUM(AH12:AH14)</f>
        <v>1</v>
      </c>
      <c r="AI15" s="387">
        <f t="shared" si="2"/>
        <v>0</v>
      </c>
      <c r="AJ15" s="5920"/>
      <c r="AK15" s="5920"/>
      <c r="AL15" s="5920"/>
      <c r="AM15" s="5920"/>
      <c r="AN15" s="5921"/>
      <c r="AO15" s="363"/>
    </row>
    <row r="16" spans="2:41" ht="21">
      <c r="B16" s="361"/>
      <c r="C16" s="385"/>
      <c r="D16" s="386"/>
      <c r="E16" s="388"/>
      <c r="F16" s="389"/>
      <c r="G16" s="390"/>
      <c r="H16" s="388"/>
      <c r="I16" s="387"/>
      <c r="J16" s="5920"/>
      <c r="K16" s="5920"/>
      <c r="L16" s="5920"/>
      <c r="M16" s="5920"/>
      <c r="N16" s="5921"/>
      <c r="O16" s="371"/>
      <c r="P16" s="373" t="s">
        <v>866</v>
      </c>
      <c r="Q16" s="384"/>
      <c r="R16" s="5918">
        <v>58501</v>
      </c>
      <c r="S16" s="5919"/>
      <c r="T16" s="2742">
        <f>'Schedule E (SS)'!$AG$20</f>
        <v>1</v>
      </c>
      <c r="U16" s="2742">
        <f>'Schedule E (SS)'!$AG$20</f>
        <v>1</v>
      </c>
      <c r="V16" s="2743">
        <f t="shared" si="1"/>
        <v>0</v>
      </c>
      <c r="W16" s="5920"/>
      <c r="X16" s="5920"/>
      <c r="Y16" s="5920"/>
      <c r="Z16" s="5920"/>
      <c r="AA16" s="5921"/>
      <c r="AB16" s="372"/>
      <c r="AC16" s="391"/>
      <c r="AD16" s="392"/>
      <c r="AE16" s="392"/>
      <c r="AF16" s="392"/>
      <c r="AG16" s="390"/>
      <c r="AH16" s="388"/>
      <c r="AI16" s="387"/>
      <c r="AJ16" s="5920"/>
      <c r="AK16" s="5920"/>
      <c r="AL16" s="5920"/>
      <c r="AM16" s="5920"/>
      <c r="AN16" s="5921"/>
      <c r="AO16" s="363"/>
    </row>
    <row r="17" spans="2:41" ht="21">
      <c r="B17" s="361"/>
      <c r="C17" s="393"/>
      <c r="D17" s="394"/>
      <c r="E17" s="394"/>
      <c r="F17" s="394"/>
      <c r="G17" s="394"/>
      <c r="H17" s="394"/>
      <c r="I17" s="395"/>
      <c r="J17" s="5920"/>
      <c r="K17" s="5920"/>
      <c r="L17" s="5920"/>
      <c r="M17" s="5920"/>
      <c r="N17" s="5921"/>
      <c r="O17" s="371"/>
      <c r="P17" s="396" t="s">
        <v>1283</v>
      </c>
      <c r="Q17" s="397"/>
      <c r="R17" s="5930">
        <f>SUM(R14:S16)</f>
        <v>-25719548</v>
      </c>
      <c r="S17" s="5932"/>
      <c r="T17" s="2752">
        <f>SUM(T14:T16)</f>
        <v>17</v>
      </c>
      <c r="U17" s="2753">
        <f>SUM(U14:U16)</f>
        <v>17</v>
      </c>
      <c r="V17" s="2753">
        <f t="shared" si="1"/>
        <v>0</v>
      </c>
      <c r="W17" s="5937"/>
      <c r="X17" s="5937"/>
      <c r="Y17" s="5937"/>
      <c r="Z17" s="5937"/>
      <c r="AA17" s="5938"/>
      <c r="AB17" s="372"/>
      <c r="AC17" s="393"/>
      <c r="AD17" s="394"/>
      <c r="AE17" s="394"/>
      <c r="AF17" s="394"/>
      <c r="AG17" s="394"/>
      <c r="AH17" s="394"/>
      <c r="AI17" s="395"/>
      <c r="AJ17" s="5920"/>
      <c r="AK17" s="5920"/>
      <c r="AL17" s="5920"/>
      <c r="AM17" s="5920"/>
      <c r="AN17" s="5921"/>
      <c r="AO17" s="363"/>
    </row>
    <row r="18" spans="2:41" ht="21">
      <c r="B18" s="361"/>
      <c r="C18" s="5908" t="s">
        <v>1284</v>
      </c>
      <c r="D18" s="5909"/>
      <c r="E18" s="5909"/>
      <c r="F18" s="5909"/>
      <c r="G18" s="5909"/>
      <c r="H18" s="5909"/>
      <c r="I18" s="5909"/>
      <c r="J18" s="5909"/>
      <c r="K18" s="5909"/>
      <c r="L18" s="5909"/>
      <c r="M18" s="5909"/>
      <c r="N18" s="5910"/>
      <c r="O18" s="398"/>
      <c r="P18" s="5904" t="s">
        <v>1285</v>
      </c>
      <c r="Q18" s="5905"/>
      <c r="R18" s="5905"/>
      <c r="S18" s="5905"/>
      <c r="T18" s="5905"/>
      <c r="U18" s="5905"/>
      <c r="V18" s="5905"/>
      <c r="W18" s="5905"/>
      <c r="X18" s="5905"/>
      <c r="Y18" s="5905"/>
      <c r="Z18" s="5905"/>
      <c r="AA18" s="5906"/>
      <c r="AB18" s="399"/>
      <c r="AC18" s="5908" t="s">
        <v>1284</v>
      </c>
      <c r="AD18" s="5909"/>
      <c r="AE18" s="5909"/>
      <c r="AF18" s="5909"/>
      <c r="AG18" s="5909"/>
      <c r="AH18" s="5909"/>
      <c r="AI18" s="5909"/>
      <c r="AJ18" s="5909"/>
      <c r="AK18" s="5909"/>
      <c r="AL18" s="5909"/>
      <c r="AM18" s="5909"/>
      <c r="AN18" s="5910"/>
      <c r="AO18" s="363"/>
    </row>
    <row r="19" spans="2:41" ht="21">
      <c r="B19" s="361"/>
      <c r="C19" s="5907"/>
      <c r="D19" s="5905"/>
      <c r="E19" s="5905"/>
      <c r="F19" s="5905"/>
      <c r="G19" s="5905"/>
      <c r="H19" s="5905"/>
      <c r="I19" s="5905"/>
      <c r="J19" s="5905"/>
      <c r="K19" s="5905"/>
      <c r="L19" s="5905"/>
      <c r="M19" s="5905"/>
      <c r="N19" s="5906"/>
      <c r="O19" s="398"/>
      <c r="P19" s="5907"/>
      <c r="Q19" s="5905"/>
      <c r="R19" s="5905"/>
      <c r="S19" s="5905"/>
      <c r="T19" s="5905"/>
      <c r="U19" s="5905"/>
      <c r="V19" s="5905"/>
      <c r="W19" s="5905"/>
      <c r="X19" s="5905"/>
      <c r="Y19" s="5905"/>
      <c r="Z19" s="5905"/>
      <c r="AA19" s="5906"/>
      <c r="AB19" s="399"/>
      <c r="AC19" s="5907"/>
      <c r="AD19" s="5905"/>
      <c r="AE19" s="5905"/>
      <c r="AF19" s="5905"/>
      <c r="AG19" s="5905"/>
      <c r="AH19" s="5905"/>
      <c r="AI19" s="5905"/>
      <c r="AJ19" s="5905"/>
      <c r="AK19" s="5905"/>
      <c r="AL19" s="5905"/>
      <c r="AM19" s="5905"/>
      <c r="AN19" s="5906"/>
      <c r="AO19" s="363"/>
    </row>
    <row r="20" spans="2:41" ht="21">
      <c r="B20" s="361"/>
      <c r="C20" s="5907"/>
      <c r="D20" s="5905"/>
      <c r="E20" s="5905"/>
      <c r="F20" s="5905"/>
      <c r="G20" s="5905"/>
      <c r="H20" s="5905"/>
      <c r="I20" s="5905"/>
      <c r="J20" s="5905"/>
      <c r="K20" s="5905"/>
      <c r="L20" s="5905"/>
      <c r="M20" s="5905"/>
      <c r="N20" s="5906"/>
      <c r="O20" s="398"/>
      <c r="P20" s="5907"/>
      <c r="Q20" s="5905"/>
      <c r="R20" s="5905"/>
      <c r="S20" s="5905"/>
      <c r="T20" s="5905"/>
      <c r="U20" s="5905"/>
      <c r="V20" s="5905"/>
      <c r="W20" s="5905"/>
      <c r="X20" s="5905"/>
      <c r="Y20" s="5905"/>
      <c r="Z20" s="5905"/>
      <c r="AA20" s="5906"/>
      <c r="AB20" s="399"/>
      <c r="AC20" s="5907"/>
      <c r="AD20" s="5905"/>
      <c r="AE20" s="5905"/>
      <c r="AF20" s="5905"/>
      <c r="AG20" s="5905"/>
      <c r="AH20" s="5905"/>
      <c r="AI20" s="5905"/>
      <c r="AJ20" s="5905"/>
      <c r="AK20" s="5905"/>
      <c r="AL20" s="5905"/>
      <c r="AM20" s="5905"/>
      <c r="AN20" s="5906"/>
      <c r="AO20" s="363"/>
    </row>
    <row r="21" spans="2:41" ht="21">
      <c r="B21" s="361"/>
      <c r="C21" s="5911"/>
      <c r="D21" s="5912"/>
      <c r="E21" s="5912"/>
      <c r="F21" s="5912"/>
      <c r="G21" s="5912"/>
      <c r="H21" s="5912"/>
      <c r="I21" s="5912"/>
      <c r="J21" s="5912"/>
      <c r="K21" s="5912"/>
      <c r="L21" s="5912"/>
      <c r="M21" s="5912"/>
      <c r="N21" s="5913"/>
      <c r="O21" s="398"/>
      <c r="P21" s="5907"/>
      <c r="Q21" s="5905"/>
      <c r="R21" s="5905"/>
      <c r="S21" s="5905"/>
      <c r="T21" s="5905"/>
      <c r="U21" s="5905"/>
      <c r="V21" s="5905"/>
      <c r="W21" s="5905"/>
      <c r="X21" s="5905"/>
      <c r="Y21" s="5905"/>
      <c r="Z21" s="5905"/>
      <c r="AA21" s="5906"/>
      <c r="AB21" s="399"/>
      <c r="AC21" s="5911"/>
      <c r="AD21" s="5912"/>
      <c r="AE21" s="5912"/>
      <c r="AF21" s="5912"/>
      <c r="AG21" s="5912"/>
      <c r="AH21" s="5912"/>
      <c r="AI21" s="5912"/>
      <c r="AJ21" s="5912"/>
      <c r="AK21" s="5912"/>
      <c r="AL21" s="5912"/>
      <c r="AM21" s="5912"/>
      <c r="AN21" s="5913"/>
      <c r="AO21" s="363"/>
    </row>
    <row r="22" spans="2:41" ht="26.25">
      <c r="B22" s="361"/>
      <c r="C22" s="5890" t="s">
        <v>1286</v>
      </c>
      <c r="D22" s="5891"/>
      <c r="E22" s="5891"/>
      <c r="F22" s="5891"/>
      <c r="G22" s="5891"/>
      <c r="H22" s="5891"/>
      <c r="I22" s="5891"/>
      <c r="J22" s="5891"/>
      <c r="K22" s="5891"/>
      <c r="L22" s="5891"/>
      <c r="M22" s="5891"/>
      <c r="N22" s="5892"/>
      <c r="O22" s="400"/>
      <c r="P22" s="5890" t="s">
        <v>1287</v>
      </c>
      <c r="Q22" s="5891"/>
      <c r="R22" s="5891"/>
      <c r="S22" s="5891"/>
      <c r="T22" s="5891"/>
      <c r="U22" s="5891"/>
      <c r="V22" s="5891"/>
      <c r="W22" s="5891"/>
      <c r="X22" s="5891"/>
      <c r="Y22" s="5891"/>
      <c r="Z22" s="5891"/>
      <c r="AA22" s="5892"/>
      <c r="AB22" s="401"/>
      <c r="AC22" s="5890" t="s">
        <v>1288</v>
      </c>
      <c r="AD22" s="5891"/>
      <c r="AE22" s="5891"/>
      <c r="AF22" s="5891"/>
      <c r="AG22" s="5891"/>
      <c r="AH22" s="5891"/>
      <c r="AI22" s="5891"/>
      <c r="AJ22" s="5891"/>
      <c r="AK22" s="5891"/>
      <c r="AL22" s="5891"/>
      <c r="AM22" s="5891"/>
      <c r="AN22" s="5892"/>
      <c r="AO22" s="363"/>
    </row>
    <row r="23" spans="2:41" ht="21">
      <c r="B23" s="361"/>
      <c r="C23" s="2754" t="s">
        <v>1289</v>
      </c>
      <c r="D23" s="5893" t="s">
        <v>292</v>
      </c>
      <c r="E23" s="5894"/>
      <c r="F23" s="5894"/>
      <c r="G23" s="5895"/>
      <c r="H23" s="5896" t="s">
        <v>575</v>
      </c>
      <c r="I23" s="5897"/>
      <c r="J23" s="2755" t="s">
        <v>1290</v>
      </c>
      <c r="K23" s="5898" t="s">
        <v>583</v>
      </c>
      <c r="L23" s="5899"/>
      <c r="M23" s="5893" t="s">
        <v>1291</v>
      </c>
      <c r="N23" s="5900"/>
      <c r="O23" s="2756"/>
      <c r="P23" s="2754" t="s">
        <v>1289</v>
      </c>
      <c r="Q23" s="5893" t="s">
        <v>292</v>
      </c>
      <c r="R23" s="5894"/>
      <c r="S23" s="5894"/>
      <c r="T23" s="5895"/>
      <c r="U23" s="5896" t="s">
        <v>575</v>
      </c>
      <c r="V23" s="5897"/>
      <c r="W23" s="2755" t="s">
        <v>1292</v>
      </c>
      <c r="X23" s="5898" t="s">
        <v>583</v>
      </c>
      <c r="Y23" s="5899"/>
      <c r="Z23" s="5893" t="s">
        <v>1291</v>
      </c>
      <c r="AA23" s="5902"/>
      <c r="AB23" s="2757"/>
      <c r="AC23" s="2754" t="s">
        <v>1293</v>
      </c>
      <c r="AD23" s="5893" t="s">
        <v>292</v>
      </c>
      <c r="AE23" s="5894"/>
      <c r="AF23" s="5894"/>
      <c r="AG23" s="5895"/>
      <c r="AH23" s="5893" t="s">
        <v>1294</v>
      </c>
      <c r="AI23" s="5977"/>
      <c r="AJ23" s="5893" t="s">
        <v>1295</v>
      </c>
      <c r="AK23" s="5901"/>
      <c r="AL23" s="2755" t="s">
        <v>1296</v>
      </c>
      <c r="AM23" s="5893" t="s">
        <v>1297</v>
      </c>
      <c r="AN23" s="5902"/>
      <c r="AO23" s="363"/>
    </row>
    <row r="24" spans="2:41" ht="21">
      <c r="B24" s="361"/>
      <c r="C24" s="5971">
        <v>65</v>
      </c>
      <c r="D24" s="5873" t="s">
        <v>1101</v>
      </c>
      <c r="E24" s="5873"/>
      <c r="F24" s="5873"/>
      <c r="G24" s="5873"/>
      <c r="H24" s="5884" t="s">
        <v>1298</v>
      </c>
      <c r="I24" s="5884"/>
      <c r="J24" s="5972" t="s">
        <v>1189</v>
      </c>
      <c r="K24" s="5881">
        <v>42214</v>
      </c>
      <c r="L24" s="5881"/>
      <c r="M24" s="5973">
        <v>14000000</v>
      </c>
      <c r="N24" s="5976"/>
      <c r="O24" s="402"/>
      <c r="P24" s="5971">
        <v>84</v>
      </c>
      <c r="Q24" s="5873" t="s">
        <v>1147</v>
      </c>
      <c r="R24" s="5874"/>
      <c r="S24" s="5874"/>
      <c r="T24" s="5874"/>
      <c r="U24" s="5884" t="s">
        <v>1299</v>
      </c>
      <c r="V24" s="5885"/>
      <c r="W24" s="5887">
        <v>41</v>
      </c>
      <c r="X24" s="5881">
        <v>42303</v>
      </c>
      <c r="Y24" s="5882"/>
      <c r="Z24" s="5973">
        <f>-5781473</f>
        <v>-5781473</v>
      </c>
      <c r="AA24" s="5974"/>
      <c r="AB24" s="403"/>
      <c r="AC24" s="5971">
        <v>5</v>
      </c>
      <c r="AD24" s="5873" t="s">
        <v>933</v>
      </c>
      <c r="AE24" s="5874"/>
      <c r="AF24" s="5874"/>
      <c r="AG24" s="5874"/>
      <c r="AH24" s="5881">
        <v>42175</v>
      </c>
      <c r="AI24" s="5975"/>
      <c r="AJ24" s="5881" t="s">
        <v>370</v>
      </c>
      <c r="AK24" s="5975"/>
      <c r="AL24" s="5866">
        <v>8</v>
      </c>
      <c r="AM24" s="5973">
        <v>-440000</v>
      </c>
      <c r="AN24" s="5974"/>
      <c r="AO24" s="363"/>
    </row>
    <row r="25" spans="2:41" ht="21">
      <c r="B25" s="361"/>
      <c r="C25" s="5958"/>
      <c r="D25" s="5832"/>
      <c r="E25" s="5832"/>
      <c r="F25" s="5832"/>
      <c r="G25" s="5832"/>
      <c r="H25" s="5815"/>
      <c r="I25" s="5815"/>
      <c r="J25" s="5962"/>
      <c r="K25" s="5840"/>
      <c r="L25" s="5840"/>
      <c r="M25" s="5949"/>
      <c r="N25" s="5950"/>
      <c r="O25" s="402"/>
      <c r="P25" s="5967"/>
      <c r="Q25" s="5833"/>
      <c r="R25" s="5833"/>
      <c r="S25" s="5833"/>
      <c r="T25" s="5833"/>
      <c r="U25" s="5849"/>
      <c r="V25" s="5849"/>
      <c r="W25" s="5820"/>
      <c r="X25" s="5818"/>
      <c r="Y25" s="5818"/>
      <c r="Z25" s="5849"/>
      <c r="AA25" s="5956"/>
      <c r="AB25" s="403"/>
      <c r="AC25" s="5967"/>
      <c r="AD25" s="5833"/>
      <c r="AE25" s="5833"/>
      <c r="AF25" s="5833"/>
      <c r="AG25" s="5833"/>
      <c r="AH25" s="5946"/>
      <c r="AI25" s="5946"/>
      <c r="AJ25" s="5946"/>
      <c r="AK25" s="5946"/>
      <c r="AL25" s="5966"/>
      <c r="AM25" s="5849"/>
      <c r="AN25" s="5956"/>
      <c r="AO25" s="363"/>
    </row>
    <row r="26" spans="2:41" ht="21">
      <c r="B26" s="361"/>
      <c r="C26" s="5958">
        <v>79</v>
      </c>
      <c r="D26" s="5832" t="s">
        <v>1135</v>
      </c>
      <c r="E26" s="5832"/>
      <c r="F26" s="5832"/>
      <c r="G26" s="5832"/>
      <c r="H26" s="5815" t="s">
        <v>1201</v>
      </c>
      <c r="I26" s="5815"/>
      <c r="J26" s="5851">
        <v>77</v>
      </c>
      <c r="K26" s="5840">
        <v>42292</v>
      </c>
      <c r="L26" s="5840"/>
      <c r="M26" s="5949">
        <v>12500000</v>
      </c>
      <c r="N26" s="5950"/>
      <c r="O26" s="404"/>
      <c r="P26" s="5958">
        <v>96</v>
      </c>
      <c r="Q26" s="5832" t="s">
        <v>1176</v>
      </c>
      <c r="R26" s="5833"/>
      <c r="S26" s="5833"/>
      <c r="T26" s="5833"/>
      <c r="U26" s="5815" t="s">
        <v>1299</v>
      </c>
      <c r="V26" s="5849"/>
      <c r="W26" s="5851">
        <v>58</v>
      </c>
      <c r="X26" s="5840">
        <v>42302</v>
      </c>
      <c r="Y26" s="5818"/>
      <c r="Z26" s="5949">
        <f>-5275731</f>
        <v>-5275731</v>
      </c>
      <c r="AA26" s="5956"/>
      <c r="AB26" s="405"/>
      <c r="AC26" s="5958">
        <v>4</v>
      </c>
      <c r="AD26" s="5832" t="s">
        <v>950</v>
      </c>
      <c r="AE26" s="5832"/>
      <c r="AF26" s="5832"/>
      <c r="AG26" s="5832"/>
      <c r="AH26" s="5840">
        <v>42175</v>
      </c>
      <c r="AI26" s="5946"/>
      <c r="AJ26" s="5840" t="s">
        <v>370</v>
      </c>
      <c r="AK26" s="5946"/>
      <c r="AL26" s="5820">
        <v>4</v>
      </c>
      <c r="AM26" s="5949">
        <v>-1483759</v>
      </c>
      <c r="AN26" s="5950"/>
      <c r="AO26" s="363"/>
    </row>
    <row r="27" spans="2:41" ht="21">
      <c r="B27" s="361"/>
      <c r="C27" s="5958"/>
      <c r="D27" s="5832"/>
      <c r="E27" s="5832"/>
      <c r="F27" s="5832"/>
      <c r="G27" s="5832"/>
      <c r="H27" s="5815"/>
      <c r="I27" s="5815"/>
      <c r="J27" s="5851"/>
      <c r="K27" s="5840"/>
      <c r="L27" s="5840"/>
      <c r="M27" s="5949"/>
      <c r="N27" s="5950"/>
      <c r="O27" s="404"/>
      <c r="P27" s="5967"/>
      <c r="Q27" s="5833"/>
      <c r="R27" s="5833"/>
      <c r="S27" s="5833"/>
      <c r="T27" s="5833"/>
      <c r="U27" s="5849"/>
      <c r="V27" s="5849"/>
      <c r="W27" s="5820"/>
      <c r="X27" s="5818"/>
      <c r="Y27" s="5818"/>
      <c r="Z27" s="5849"/>
      <c r="AA27" s="5956"/>
      <c r="AB27" s="405"/>
      <c r="AC27" s="5958"/>
      <c r="AD27" s="5832"/>
      <c r="AE27" s="5832"/>
      <c r="AF27" s="5832"/>
      <c r="AG27" s="5832"/>
      <c r="AH27" s="5946"/>
      <c r="AI27" s="5946"/>
      <c r="AJ27" s="5946"/>
      <c r="AK27" s="5946"/>
      <c r="AL27" s="5966"/>
      <c r="AM27" s="5949"/>
      <c r="AN27" s="5950"/>
      <c r="AO27" s="363"/>
    </row>
    <row r="28" spans="2:41" ht="21">
      <c r="B28" s="361"/>
      <c r="C28" s="5958">
        <v>118</v>
      </c>
      <c r="D28" s="5832" t="s">
        <v>1224</v>
      </c>
      <c r="E28" s="5832"/>
      <c r="F28" s="5832"/>
      <c r="G28" s="5832"/>
      <c r="H28" s="5815" t="s">
        <v>1299</v>
      </c>
      <c r="I28" s="5815"/>
      <c r="J28" s="5962" t="s">
        <v>1300</v>
      </c>
      <c r="K28" s="5840">
        <v>42353</v>
      </c>
      <c r="L28" s="5840"/>
      <c r="M28" s="5949">
        <v>5000000</v>
      </c>
      <c r="N28" s="5950"/>
      <c r="O28" s="404"/>
      <c r="P28" s="5958">
        <v>103</v>
      </c>
      <c r="Q28" s="5832" t="s">
        <v>1192</v>
      </c>
      <c r="R28" s="5833"/>
      <c r="S28" s="5833"/>
      <c r="T28" s="5833"/>
      <c r="U28" s="5815" t="s">
        <v>1299</v>
      </c>
      <c r="V28" s="5849"/>
      <c r="W28" s="5851">
        <v>67</v>
      </c>
      <c r="X28" s="5840">
        <v>42312</v>
      </c>
      <c r="Y28" s="5818"/>
      <c r="Z28" s="5949">
        <v>-2387000</v>
      </c>
      <c r="AA28" s="5956"/>
      <c r="AB28" s="405"/>
      <c r="AC28" s="5958">
        <v>7</v>
      </c>
      <c r="AD28" s="5832" t="s">
        <v>954</v>
      </c>
      <c r="AE28" s="5832"/>
      <c r="AF28" s="5832"/>
      <c r="AG28" s="5832"/>
      <c r="AH28" s="5840">
        <v>42180</v>
      </c>
      <c r="AI28" s="5946"/>
      <c r="AJ28" s="5840" t="s">
        <v>370</v>
      </c>
      <c r="AK28" s="5946"/>
      <c r="AL28" s="5820">
        <v>7</v>
      </c>
      <c r="AM28" s="5949">
        <v>0</v>
      </c>
      <c r="AN28" s="5950"/>
      <c r="AO28" s="363"/>
    </row>
    <row r="29" spans="2:41" ht="21">
      <c r="B29" s="361"/>
      <c r="C29" s="5958"/>
      <c r="D29" s="5832"/>
      <c r="E29" s="5832"/>
      <c r="F29" s="5832"/>
      <c r="G29" s="5832"/>
      <c r="H29" s="5815"/>
      <c r="I29" s="5815"/>
      <c r="J29" s="5962"/>
      <c r="K29" s="5840"/>
      <c r="L29" s="5840"/>
      <c r="M29" s="5949"/>
      <c r="N29" s="5950"/>
      <c r="O29" s="404"/>
      <c r="P29" s="5967"/>
      <c r="Q29" s="5833"/>
      <c r="R29" s="5833"/>
      <c r="S29" s="5833"/>
      <c r="T29" s="5833"/>
      <c r="U29" s="5849"/>
      <c r="V29" s="5849"/>
      <c r="W29" s="5820"/>
      <c r="X29" s="5818"/>
      <c r="Y29" s="5818"/>
      <c r="Z29" s="5849"/>
      <c r="AA29" s="5956"/>
      <c r="AB29" s="405"/>
      <c r="AC29" s="5958"/>
      <c r="AD29" s="5832"/>
      <c r="AE29" s="5832"/>
      <c r="AF29" s="5832"/>
      <c r="AG29" s="5832"/>
      <c r="AH29" s="5946"/>
      <c r="AI29" s="5946"/>
      <c r="AJ29" s="5946"/>
      <c r="AK29" s="5946"/>
      <c r="AL29" s="5966"/>
      <c r="AM29" s="5949"/>
      <c r="AN29" s="5950"/>
      <c r="AO29" s="363"/>
    </row>
    <row r="30" spans="2:41" ht="21">
      <c r="B30" s="361"/>
      <c r="C30" s="5958">
        <v>123</v>
      </c>
      <c r="D30" s="5832" t="s">
        <v>1234</v>
      </c>
      <c r="E30" s="5833"/>
      <c r="F30" s="5833"/>
      <c r="G30" s="5833"/>
      <c r="H30" s="5835" t="s">
        <v>1298</v>
      </c>
      <c r="I30" s="5968"/>
      <c r="J30" s="5962" t="s">
        <v>1301</v>
      </c>
      <c r="K30" s="5840">
        <v>42353</v>
      </c>
      <c r="L30" s="5818"/>
      <c r="M30" s="5949">
        <v>4400000</v>
      </c>
      <c r="N30" s="5956"/>
      <c r="O30" s="404"/>
      <c r="P30" s="5958">
        <v>105</v>
      </c>
      <c r="Q30" s="5832" t="s">
        <v>1196</v>
      </c>
      <c r="R30" s="5833"/>
      <c r="S30" s="5833"/>
      <c r="T30" s="5833"/>
      <c r="U30" s="5815" t="s">
        <v>1299</v>
      </c>
      <c r="V30" s="5849"/>
      <c r="W30" s="5851">
        <v>69</v>
      </c>
      <c r="X30" s="5840">
        <v>42312</v>
      </c>
      <c r="Y30" s="5818"/>
      <c r="Z30" s="5949">
        <v>-1365000</v>
      </c>
      <c r="AA30" s="5956"/>
      <c r="AB30" s="405"/>
      <c r="AC30" s="5958">
        <v>2</v>
      </c>
      <c r="AD30" s="5832" t="s">
        <v>960</v>
      </c>
      <c r="AE30" s="5832"/>
      <c r="AF30" s="5832"/>
      <c r="AG30" s="5832"/>
      <c r="AH30" s="5840">
        <v>42144</v>
      </c>
      <c r="AI30" s="5946"/>
      <c r="AJ30" s="5840" t="s">
        <v>370</v>
      </c>
      <c r="AK30" s="5946"/>
      <c r="AL30" s="5820">
        <v>3</v>
      </c>
      <c r="AM30" s="5949">
        <f>3815024</f>
        <v>3815024</v>
      </c>
      <c r="AN30" s="5950"/>
      <c r="AO30" s="363"/>
    </row>
    <row r="31" spans="2:41" ht="21">
      <c r="B31" s="361"/>
      <c r="C31" s="5967"/>
      <c r="D31" s="5833"/>
      <c r="E31" s="5833"/>
      <c r="F31" s="5833"/>
      <c r="G31" s="5833"/>
      <c r="H31" s="5969"/>
      <c r="I31" s="5970"/>
      <c r="J31" s="5849"/>
      <c r="K31" s="5818"/>
      <c r="L31" s="5818"/>
      <c r="M31" s="5849"/>
      <c r="N31" s="5956"/>
      <c r="O31" s="404"/>
      <c r="P31" s="5967"/>
      <c r="Q31" s="5833"/>
      <c r="R31" s="5833"/>
      <c r="S31" s="5833"/>
      <c r="T31" s="5833"/>
      <c r="U31" s="5849"/>
      <c r="V31" s="5849"/>
      <c r="W31" s="5820"/>
      <c r="X31" s="5818"/>
      <c r="Y31" s="5818"/>
      <c r="Z31" s="5849"/>
      <c r="AA31" s="5956"/>
      <c r="AB31" s="405"/>
      <c r="AC31" s="5958"/>
      <c r="AD31" s="5832"/>
      <c r="AE31" s="5832"/>
      <c r="AF31" s="5832"/>
      <c r="AG31" s="5832"/>
      <c r="AH31" s="5946"/>
      <c r="AI31" s="5946"/>
      <c r="AJ31" s="5946"/>
      <c r="AK31" s="5946"/>
      <c r="AL31" s="5966"/>
      <c r="AM31" s="5949"/>
      <c r="AN31" s="5950"/>
      <c r="AO31" s="363"/>
    </row>
    <row r="32" spans="2:41" ht="21">
      <c r="B32" s="361"/>
      <c r="C32" s="5958">
        <v>124</v>
      </c>
      <c r="D32" s="5832" t="s">
        <v>1236</v>
      </c>
      <c r="E32" s="5832"/>
      <c r="F32" s="5832"/>
      <c r="G32" s="5832"/>
      <c r="H32" s="5815" t="s">
        <v>876</v>
      </c>
      <c r="I32" s="5815"/>
      <c r="J32" s="5962" t="s">
        <v>1302</v>
      </c>
      <c r="K32" s="5840">
        <v>42353</v>
      </c>
      <c r="L32" s="5840"/>
      <c r="M32" s="5949">
        <f>15042892</f>
        <v>15042892</v>
      </c>
      <c r="N32" s="5950"/>
      <c r="O32" s="404"/>
      <c r="P32" s="5958">
        <v>89</v>
      </c>
      <c r="Q32" s="5832" t="s">
        <v>1160</v>
      </c>
      <c r="R32" s="5833"/>
      <c r="S32" s="5833"/>
      <c r="T32" s="5833"/>
      <c r="U32" s="5815" t="s">
        <v>1299</v>
      </c>
      <c r="V32" s="5849"/>
      <c r="W32" s="5851">
        <v>48</v>
      </c>
      <c r="X32" s="5840">
        <v>42303</v>
      </c>
      <c r="Y32" s="5818"/>
      <c r="Z32" s="5949">
        <v>-4757348</v>
      </c>
      <c r="AA32" s="5956"/>
      <c r="AB32" s="405"/>
      <c r="AC32" s="5958">
        <v>6</v>
      </c>
      <c r="AD32" s="5832" t="s">
        <v>968</v>
      </c>
      <c r="AE32" s="5832"/>
      <c r="AF32" s="5832"/>
      <c r="AG32" s="5832"/>
      <c r="AH32" s="5840">
        <v>42178</v>
      </c>
      <c r="AI32" s="5946"/>
      <c r="AJ32" s="5840" t="s">
        <v>370</v>
      </c>
      <c r="AK32" s="5946"/>
      <c r="AL32" s="5820">
        <v>5</v>
      </c>
      <c r="AM32" s="5949">
        <f>10773492</f>
        <v>10773492</v>
      </c>
      <c r="AN32" s="5950"/>
      <c r="AO32" s="363"/>
    </row>
    <row r="33" spans="2:41" ht="21.75" thickBot="1">
      <c r="B33" s="361"/>
      <c r="C33" s="5959"/>
      <c r="D33" s="5960"/>
      <c r="E33" s="5960"/>
      <c r="F33" s="5960"/>
      <c r="G33" s="5960"/>
      <c r="H33" s="5961"/>
      <c r="I33" s="5961"/>
      <c r="J33" s="5963"/>
      <c r="K33" s="5964"/>
      <c r="L33" s="5964"/>
      <c r="M33" s="5951"/>
      <c r="N33" s="5952"/>
      <c r="O33" s="404"/>
      <c r="P33" s="5965"/>
      <c r="Q33" s="5834"/>
      <c r="R33" s="5834"/>
      <c r="S33" s="5834"/>
      <c r="T33" s="5834"/>
      <c r="U33" s="5850"/>
      <c r="V33" s="5850"/>
      <c r="W33" s="5821"/>
      <c r="X33" s="5819"/>
      <c r="Y33" s="5819"/>
      <c r="Z33" s="5850"/>
      <c r="AA33" s="5957"/>
      <c r="AB33" s="405"/>
      <c r="AC33" s="5959"/>
      <c r="AD33" s="5960"/>
      <c r="AE33" s="5960"/>
      <c r="AF33" s="5960"/>
      <c r="AG33" s="5960"/>
      <c r="AH33" s="5947"/>
      <c r="AI33" s="5947"/>
      <c r="AJ33" s="5947"/>
      <c r="AK33" s="5947"/>
      <c r="AL33" s="5948"/>
      <c r="AM33" s="5951"/>
      <c r="AN33" s="5952"/>
      <c r="AO33" s="363"/>
    </row>
    <row r="34" spans="2:41" ht="21.75" thickBot="1">
      <c r="B34" s="361"/>
      <c r="C34" s="406"/>
      <c r="D34" s="406"/>
      <c r="E34" s="406"/>
      <c r="F34" s="406"/>
      <c r="G34" s="406"/>
      <c r="H34" s="406"/>
      <c r="I34" s="406"/>
      <c r="J34" s="406"/>
      <c r="K34" s="406"/>
      <c r="L34" s="406"/>
      <c r="M34" s="406"/>
      <c r="N34" s="406"/>
      <c r="O34" s="407"/>
      <c r="P34" s="406"/>
      <c r="Q34" s="406"/>
      <c r="R34" s="406"/>
      <c r="S34" s="406"/>
      <c r="T34" s="406"/>
      <c r="U34" s="406"/>
      <c r="V34" s="406"/>
      <c r="W34" s="406"/>
      <c r="X34" s="406"/>
      <c r="Y34" s="406"/>
      <c r="Z34" s="406"/>
      <c r="AA34" s="406"/>
      <c r="AB34" s="407"/>
      <c r="AC34" s="406"/>
      <c r="AD34" s="406"/>
      <c r="AE34" s="406"/>
      <c r="AF34" s="406"/>
      <c r="AG34" s="406"/>
      <c r="AH34" s="406"/>
      <c r="AI34" s="406"/>
      <c r="AJ34" s="406"/>
      <c r="AK34" s="406"/>
      <c r="AL34" s="406"/>
      <c r="AM34" s="406"/>
      <c r="AN34" s="406"/>
      <c r="AO34" s="363"/>
    </row>
    <row r="35" spans="2:41" ht="26.25">
      <c r="B35" s="361"/>
      <c r="C35" s="5953" t="s">
        <v>1303</v>
      </c>
      <c r="D35" s="5954"/>
      <c r="E35" s="5954"/>
      <c r="F35" s="5954"/>
      <c r="G35" s="5954"/>
      <c r="H35" s="5954"/>
      <c r="I35" s="5954"/>
      <c r="J35" s="5954"/>
      <c r="K35" s="5954"/>
      <c r="L35" s="5954"/>
      <c r="M35" s="5954"/>
      <c r="N35" s="5955"/>
      <c r="O35" s="364"/>
      <c r="P35" s="5953" t="s">
        <v>1304</v>
      </c>
      <c r="Q35" s="5954"/>
      <c r="R35" s="5954"/>
      <c r="S35" s="5954"/>
      <c r="T35" s="5954"/>
      <c r="U35" s="5954"/>
      <c r="V35" s="5954"/>
      <c r="W35" s="5954"/>
      <c r="X35" s="5954"/>
      <c r="Y35" s="5954"/>
      <c r="Z35" s="5954"/>
      <c r="AA35" s="5955"/>
      <c r="AB35" s="365"/>
      <c r="AC35" s="5953" t="s">
        <v>1305</v>
      </c>
      <c r="AD35" s="5954"/>
      <c r="AE35" s="5954"/>
      <c r="AF35" s="5954"/>
      <c r="AG35" s="5954"/>
      <c r="AH35" s="5954"/>
      <c r="AI35" s="5954"/>
      <c r="AJ35" s="5954"/>
      <c r="AK35" s="5954"/>
      <c r="AL35" s="5954"/>
      <c r="AM35" s="5954"/>
      <c r="AN35" s="5955"/>
      <c r="AO35" s="363"/>
    </row>
    <row r="36" spans="2:41" ht="26.25">
      <c r="B36" s="361"/>
      <c r="C36" s="366"/>
      <c r="D36" s="367"/>
      <c r="E36" s="5933" t="s">
        <v>1274</v>
      </c>
      <c r="F36" s="5933"/>
      <c r="G36" s="2740" t="s">
        <v>339</v>
      </c>
      <c r="H36" s="2740" t="s">
        <v>340</v>
      </c>
      <c r="I36" s="2740" t="s">
        <v>397</v>
      </c>
      <c r="J36" s="368"/>
      <c r="K36" s="368"/>
      <c r="L36" s="368"/>
      <c r="M36" s="368"/>
      <c r="N36" s="369"/>
      <c r="O36" s="364"/>
      <c r="P36" s="366"/>
      <c r="Q36" s="367"/>
      <c r="R36" s="5933" t="s">
        <v>1274</v>
      </c>
      <c r="S36" s="5933"/>
      <c r="T36" s="2740" t="s">
        <v>339</v>
      </c>
      <c r="U36" s="2740" t="s">
        <v>340</v>
      </c>
      <c r="V36" s="2740" t="s">
        <v>397</v>
      </c>
      <c r="W36" s="368"/>
      <c r="X36" s="368"/>
      <c r="Y36" s="368"/>
      <c r="Z36" s="368"/>
      <c r="AA36" s="369"/>
      <c r="AB36" s="365"/>
      <c r="AC36" s="366"/>
      <c r="AD36" s="367"/>
      <c r="AE36" s="5933" t="s">
        <v>1274</v>
      </c>
      <c r="AF36" s="5933"/>
      <c r="AG36" s="2740" t="s">
        <v>339</v>
      </c>
      <c r="AH36" s="2740" t="s">
        <v>340</v>
      </c>
      <c r="AI36" s="2740" t="s">
        <v>397</v>
      </c>
      <c r="AJ36" s="368"/>
      <c r="AK36" s="368"/>
      <c r="AL36" s="368"/>
      <c r="AM36" s="368"/>
      <c r="AN36" s="369"/>
      <c r="AO36" s="363"/>
    </row>
    <row r="37" spans="2:41" ht="21">
      <c r="B37" s="361"/>
      <c r="C37" s="5934" t="s">
        <v>1306</v>
      </c>
      <c r="D37" s="5935"/>
      <c r="E37" s="5930">
        <f>SUM(E38:F44)</f>
        <v>78990</v>
      </c>
      <c r="F37" s="5936"/>
      <c r="G37" s="370">
        <f>SUM(G38:G44)</f>
        <v>48</v>
      </c>
      <c r="H37" s="370">
        <f>SUM(H38:H44)</f>
        <v>48</v>
      </c>
      <c r="I37" s="370">
        <f>SUM(I38:I44)</f>
        <v>0</v>
      </c>
      <c r="J37" s="5920"/>
      <c r="K37" s="5920"/>
      <c r="L37" s="5920"/>
      <c r="M37" s="5920"/>
      <c r="N37" s="5921"/>
      <c r="O37" s="371"/>
      <c r="P37" s="5934" t="s">
        <v>1307</v>
      </c>
      <c r="Q37" s="5935"/>
      <c r="R37" s="5930">
        <f>SUM(R38:S44)</f>
        <v>0</v>
      </c>
      <c r="S37" s="5936"/>
      <c r="T37" s="370">
        <f>SUM(T38:T44)</f>
        <v>42</v>
      </c>
      <c r="U37" s="370">
        <f>SUM(U38:U44)</f>
        <v>42</v>
      </c>
      <c r="V37" s="370">
        <f>SUM(V38:V44)</f>
        <v>0</v>
      </c>
      <c r="W37" s="5920"/>
      <c r="X37" s="5920"/>
      <c r="Y37" s="5920"/>
      <c r="Z37" s="5920"/>
      <c r="AA37" s="5921"/>
      <c r="AB37" s="372"/>
      <c r="AC37" s="5934" t="s">
        <v>1308</v>
      </c>
      <c r="AD37" s="5935"/>
      <c r="AE37" s="5930">
        <f>SUM(AE38:AF44)</f>
        <v>66592588</v>
      </c>
      <c r="AF37" s="5936"/>
      <c r="AG37" s="370">
        <f>SUM(AG38:AG44)</f>
        <v>64</v>
      </c>
      <c r="AH37" s="370">
        <f>SUM(AH38:AH44)</f>
        <v>0</v>
      </c>
      <c r="AI37" s="370">
        <f>SUM(AI38:AI44)</f>
        <v>64</v>
      </c>
      <c r="AJ37" s="5920"/>
      <c r="AK37" s="5920"/>
      <c r="AL37" s="5920"/>
      <c r="AM37" s="5920"/>
      <c r="AN37" s="5921"/>
      <c r="AO37" s="363"/>
    </row>
    <row r="38" spans="2:41" ht="21">
      <c r="B38" s="361"/>
      <c r="C38" s="373" t="s">
        <v>552</v>
      </c>
      <c r="D38" s="2741"/>
      <c r="E38" s="5922"/>
      <c r="F38" s="5923"/>
      <c r="G38" s="2742">
        <v>46</v>
      </c>
      <c r="H38" s="2743">
        <v>46</v>
      </c>
      <c r="I38" s="2743">
        <f t="shared" ref="I38:I45" si="3">G38-H38</f>
        <v>0</v>
      </c>
      <c r="J38" s="5920"/>
      <c r="K38" s="5920"/>
      <c r="L38" s="5920"/>
      <c r="M38" s="5920"/>
      <c r="N38" s="5921"/>
      <c r="O38" s="371"/>
      <c r="P38" s="373" t="s">
        <v>1309</v>
      </c>
      <c r="Q38" s="2741"/>
      <c r="R38" s="5922"/>
      <c r="S38" s="5923"/>
      <c r="T38" s="2742">
        <v>0</v>
      </c>
      <c r="U38" s="2743">
        <v>0</v>
      </c>
      <c r="V38" s="2743">
        <f t="shared" ref="V38:V45" si="4">T38-U38</f>
        <v>0</v>
      </c>
      <c r="W38" s="5920"/>
      <c r="X38" s="5920"/>
      <c r="Y38" s="5920"/>
      <c r="Z38" s="5920"/>
      <c r="AA38" s="5921"/>
      <c r="AB38" s="372"/>
      <c r="AC38" s="373" t="s">
        <v>1310</v>
      </c>
      <c r="AD38" s="2741"/>
      <c r="AE38" s="5922"/>
      <c r="AF38" s="5923"/>
      <c r="AG38" s="2742">
        <v>1</v>
      </c>
      <c r="AH38" s="2743">
        <v>0</v>
      </c>
      <c r="AI38" s="2743">
        <f t="shared" ref="AI38:AI45" si="5">AG38-AH38</f>
        <v>1</v>
      </c>
      <c r="AJ38" s="5920"/>
      <c r="AK38" s="5920"/>
      <c r="AL38" s="5920"/>
      <c r="AM38" s="5920"/>
      <c r="AN38" s="5921"/>
      <c r="AO38" s="363"/>
    </row>
    <row r="39" spans="2:41" ht="21">
      <c r="B39" s="361"/>
      <c r="C39" s="374" t="s">
        <v>877</v>
      </c>
      <c r="D39" s="2744"/>
      <c r="E39" s="5916">
        <v>0</v>
      </c>
      <c r="F39" s="5917"/>
      <c r="G39" s="2745">
        <v>0</v>
      </c>
      <c r="H39" s="375">
        <v>0</v>
      </c>
      <c r="I39" s="375">
        <f t="shared" si="3"/>
        <v>0</v>
      </c>
      <c r="J39" s="5920"/>
      <c r="K39" s="5920"/>
      <c r="L39" s="5920"/>
      <c r="M39" s="5920"/>
      <c r="N39" s="5921"/>
      <c r="O39" s="371"/>
      <c r="P39" s="374" t="s">
        <v>1311</v>
      </c>
      <c r="Q39" s="2744"/>
      <c r="R39" s="5924"/>
      <c r="S39" s="5925"/>
      <c r="T39" s="2745">
        <v>21</v>
      </c>
      <c r="U39" s="375">
        <v>21</v>
      </c>
      <c r="V39" s="375">
        <f t="shared" si="4"/>
        <v>0</v>
      </c>
      <c r="W39" s="5920"/>
      <c r="X39" s="5920"/>
      <c r="Y39" s="5920"/>
      <c r="Z39" s="5920"/>
      <c r="AA39" s="5921"/>
      <c r="AB39" s="372"/>
      <c r="AC39" s="373" t="s">
        <v>1312</v>
      </c>
      <c r="AD39" s="2741"/>
      <c r="AE39" s="5922"/>
      <c r="AF39" s="5923"/>
      <c r="AG39" s="2742">
        <v>62</v>
      </c>
      <c r="AH39" s="2743">
        <v>0</v>
      </c>
      <c r="AI39" s="2743">
        <f t="shared" si="5"/>
        <v>62</v>
      </c>
      <c r="AJ39" s="5920"/>
      <c r="AK39" s="5920"/>
      <c r="AL39" s="5920"/>
      <c r="AM39" s="5920"/>
      <c r="AN39" s="5921"/>
      <c r="AO39" s="363"/>
    </row>
    <row r="40" spans="2:41" ht="21.75" thickBot="1">
      <c r="B40" s="361"/>
      <c r="C40" s="374" t="s">
        <v>878</v>
      </c>
      <c r="D40" s="2744"/>
      <c r="E40" s="5926">
        <f>39810</f>
        <v>39810</v>
      </c>
      <c r="F40" s="5927"/>
      <c r="G40" s="2745">
        <v>1</v>
      </c>
      <c r="H40" s="375">
        <v>1</v>
      </c>
      <c r="I40" s="375">
        <f t="shared" si="3"/>
        <v>0</v>
      </c>
      <c r="J40" s="5920"/>
      <c r="K40" s="5920"/>
      <c r="L40" s="5920"/>
      <c r="M40" s="5920"/>
      <c r="N40" s="5921"/>
      <c r="O40" s="371"/>
      <c r="P40" s="374" t="s">
        <v>1313</v>
      </c>
      <c r="Q40" s="2744"/>
      <c r="R40" s="5928"/>
      <c r="S40" s="5929"/>
      <c r="T40" s="2745">
        <v>0</v>
      </c>
      <c r="U40" s="375">
        <v>0</v>
      </c>
      <c r="V40" s="375">
        <f t="shared" si="4"/>
        <v>0</v>
      </c>
      <c r="W40" s="5920"/>
      <c r="X40" s="5920"/>
      <c r="Y40" s="5920"/>
      <c r="Z40" s="5920"/>
      <c r="AA40" s="5921"/>
      <c r="AB40" s="372"/>
      <c r="AC40" s="374" t="s">
        <v>877</v>
      </c>
      <c r="AD40" s="2744"/>
      <c r="AE40" s="5916">
        <v>0</v>
      </c>
      <c r="AF40" s="5901"/>
      <c r="AG40" s="2745">
        <v>0</v>
      </c>
      <c r="AH40" s="375">
        <v>0</v>
      </c>
      <c r="AI40" s="375">
        <f t="shared" si="5"/>
        <v>0</v>
      </c>
      <c r="AJ40" s="5920"/>
      <c r="AK40" s="5920"/>
      <c r="AL40" s="5920"/>
      <c r="AM40" s="5920"/>
      <c r="AN40" s="5921"/>
      <c r="AO40" s="363"/>
    </row>
    <row r="41" spans="2:41" ht="21.75" thickBot="1">
      <c r="B41" s="361"/>
      <c r="C41" s="376" t="s">
        <v>860</v>
      </c>
      <c r="D41" s="2758"/>
      <c r="E41" s="5914">
        <v>0</v>
      </c>
      <c r="F41" s="5915"/>
      <c r="G41" s="408">
        <v>0</v>
      </c>
      <c r="H41" s="379">
        <v>0</v>
      </c>
      <c r="I41" s="379">
        <f t="shared" si="3"/>
        <v>0</v>
      </c>
      <c r="J41" s="5920"/>
      <c r="K41" s="5920"/>
      <c r="L41" s="5920"/>
      <c r="M41" s="5920"/>
      <c r="N41" s="5921"/>
      <c r="O41" s="371"/>
      <c r="P41" s="374" t="s">
        <v>1314</v>
      </c>
      <c r="Q41" s="2744"/>
      <c r="R41" s="5916">
        <v>0</v>
      </c>
      <c r="S41" s="5917"/>
      <c r="T41" s="2750">
        <v>0</v>
      </c>
      <c r="U41" s="375">
        <v>0</v>
      </c>
      <c r="V41" s="375">
        <f t="shared" si="4"/>
        <v>0</v>
      </c>
      <c r="W41" s="5920"/>
      <c r="X41" s="5920"/>
      <c r="Y41" s="5920"/>
      <c r="Z41" s="5920"/>
      <c r="AA41" s="5921"/>
      <c r="AB41" s="372"/>
      <c r="AC41" s="374" t="s">
        <v>1315</v>
      </c>
      <c r="AD41" s="2744"/>
      <c r="AE41" s="5939">
        <v>0</v>
      </c>
      <c r="AF41" s="5940"/>
      <c r="AG41" s="2745">
        <v>0</v>
      </c>
      <c r="AH41" s="375">
        <v>0</v>
      </c>
      <c r="AI41" s="375">
        <f t="shared" si="5"/>
        <v>0</v>
      </c>
      <c r="AJ41" s="5920"/>
      <c r="AK41" s="5920"/>
      <c r="AL41" s="5920"/>
      <c r="AM41" s="5920"/>
      <c r="AN41" s="5921"/>
      <c r="AO41" s="363"/>
    </row>
    <row r="42" spans="2:41" ht="21.75" thickBot="1">
      <c r="B42" s="361"/>
      <c r="C42" s="409" t="s">
        <v>879</v>
      </c>
      <c r="D42" s="410"/>
      <c r="E42" s="5941">
        <v>0</v>
      </c>
      <c r="F42" s="5942"/>
      <c r="G42" s="411">
        <v>0</v>
      </c>
      <c r="H42" s="412">
        <v>0</v>
      </c>
      <c r="I42" s="412">
        <f t="shared" si="3"/>
        <v>0</v>
      </c>
      <c r="J42" s="5920"/>
      <c r="K42" s="5920"/>
      <c r="L42" s="5920"/>
      <c r="M42" s="5920"/>
      <c r="N42" s="5921"/>
      <c r="O42" s="371"/>
      <c r="P42" s="376" t="s">
        <v>860</v>
      </c>
      <c r="Q42" s="377"/>
      <c r="R42" s="5943">
        <v>0</v>
      </c>
      <c r="S42" s="5944"/>
      <c r="T42" s="378">
        <v>1</v>
      </c>
      <c r="U42" s="379">
        <v>1</v>
      </c>
      <c r="V42" s="379">
        <f t="shared" si="4"/>
        <v>0</v>
      </c>
      <c r="W42" s="5920"/>
      <c r="X42" s="5920"/>
      <c r="Y42" s="5920"/>
      <c r="Z42" s="5920"/>
      <c r="AA42" s="5921"/>
      <c r="AB42" s="372"/>
      <c r="AC42" s="376" t="s">
        <v>860</v>
      </c>
      <c r="AD42" s="377"/>
      <c r="AE42" s="5914">
        <f>66592588</f>
        <v>66592588</v>
      </c>
      <c r="AF42" s="5945"/>
      <c r="AG42" s="378">
        <v>1</v>
      </c>
      <c r="AH42" s="379">
        <v>0</v>
      </c>
      <c r="AI42" s="379">
        <f t="shared" si="5"/>
        <v>1</v>
      </c>
      <c r="AJ42" s="5920"/>
      <c r="AK42" s="5920"/>
      <c r="AL42" s="5920"/>
      <c r="AM42" s="5920"/>
      <c r="AN42" s="5921"/>
      <c r="AO42" s="363"/>
    </row>
    <row r="43" spans="2:41" ht="21">
      <c r="B43" s="361"/>
      <c r="C43" s="376" t="s">
        <v>864</v>
      </c>
      <c r="D43" s="377"/>
      <c r="E43" s="5914">
        <v>39180</v>
      </c>
      <c r="F43" s="5915"/>
      <c r="G43" s="378">
        <v>1</v>
      </c>
      <c r="H43" s="379">
        <v>1</v>
      </c>
      <c r="I43" s="379">
        <f t="shared" si="3"/>
        <v>0</v>
      </c>
      <c r="J43" s="5920"/>
      <c r="K43" s="5920"/>
      <c r="L43" s="5920"/>
      <c r="M43" s="5920"/>
      <c r="N43" s="5921"/>
      <c r="O43" s="371"/>
      <c r="P43" s="373" t="s">
        <v>861</v>
      </c>
      <c r="Q43" s="384"/>
      <c r="R43" s="5916">
        <v>0</v>
      </c>
      <c r="S43" s="5917"/>
      <c r="T43" s="2742">
        <v>0</v>
      </c>
      <c r="U43" s="2743">
        <v>0</v>
      </c>
      <c r="V43" s="2743">
        <f t="shared" si="4"/>
        <v>0</v>
      </c>
      <c r="W43" s="5920"/>
      <c r="X43" s="5920"/>
      <c r="Y43" s="5920"/>
      <c r="Z43" s="5920"/>
      <c r="AA43" s="5921"/>
      <c r="AB43" s="372"/>
      <c r="AC43" s="373" t="s">
        <v>861</v>
      </c>
      <c r="AD43" s="384"/>
      <c r="AE43" s="5916">
        <v>0</v>
      </c>
      <c r="AF43" s="5901"/>
      <c r="AG43" s="2742">
        <v>0</v>
      </c>
      <c r="AH43" s="2743">
        <v>0</v>
      </c>
      <c r="AI43" s="2743">
        <f t="shared" si="5"/>
        <v>0</v>
      </c>
      <c r="AJ43" s="5920"/>
      <c r="AK43" s="5920"/>
      <c r="AL43" s="5920"/>
      <c r="AM43" s="5920"/>
      <c r="AN43" s="5921"/>
      <c r="AO43" s="363"/>
    </row>
    <row r="44" spans="2:41" ht="21">
      <c r="B44" s="361"/>
      <c r="C44" s="373" t="s">
        <v>880</v>
      </c>
      <c r="D44" s="384"/>
      <c r="E44" s="5916">
        <v>0</v>
      </c>
      <c r="F44" s="5917"/>
      <c r="G44" s="2742">
        <v>0</v>
      </c>
      <c r="H44" s="2743">
        <v>0</v>
      </c>
      <c r="I44" s="2743">
        <f t="shared" si="3"/>
        <v>0</v>
      </c>
      <c r="J44" s="5920"/>
      <c r="K44" s="5920"/>
      <c r="L44" s="5920"/>
      <c r="M44" s="5920"/>
      <c r="N44" s="5921"/>
      <c r="O44" s="371"/>
      <c r="P44" s="373" t="s">
        <v>862</v>
      </c>
      <c r="Q44" s="384"/>
      <c r="R44" s="5918">
        <v>0</v>
      </c>
      <c r="S44" s="5919"/>
      <c r="T44" s="2742">
        <v>20</v>
      </c>
      <c r="U44" s="2743">
        <v>20</v>
      </c>
      <c r="V44" s="2743">
        <f t="shared" si="4"/>
        <v>0</v>
      </c>
      <c r="W44" s="5920"/>
      <c r="X44" s="5920"/>
      <c r="Y44" s="5920"/>
      <c r="Z44" s="5920"/>
      <c r="AA44" s="5921"/>
      <c r="AB44" s="372"/>
      <c r="AC44" s="373" t="s">
        <v>862</v>
      </c>
      <c r="AD44" s="384"/>
      <c r="AE44" s="5916">
        <v>0</v>
      </c>
      <c r="AF44" s="5901"/>
      <c r="AG44" s="2742">
        <v>0</v>
      </c>
      <c r="AH44" s="2743">
        <v>0</v>
      </c>
      <c r="AI44" s="2743">
        <f t="shared" si="5"/>
        <v>0</v>
      </c>
      <c r="AJ44" s="5920"/>
      <c r="AK44" s="5920"/>
      <c r="AL44" s="5920"/>
      <c r="AM44" s="5920"/>
      <c r="AN44" s="5921"/>
      <c r="AO44" s="363"/>
    </row>
    <row r="45" spans="2:41" ht="21">
      <c r="B45" s="361"/>
      <c r="C45" s="396" t="s">
        <v>1316</v>
      </c>
      <c r="D45" s="397"/>
      <c r="E45" s="5930">
        <f>SUM(E41:F44)</f>
        <v>39180</v>
      </c>
      <c r="F45" s="5931"/>
      <c r="G45" s="2759">
        <f>SUM(G41:G44)</f>
        <v>1</v>
      </c>
      <c r="H45" s="2753">
        <f>SUM(H41:H44)</f>
        <v>1</v>
      </c>
      <c r="I45" s="2760">
        <f t="shared" si="3"/>
        <v>0</v>
      </c>
      <c r="J45" s="5937"/>
      <c r="K45" s="5937"/>
      <c r="L45" s="5937"/>
      <c r="M45" s="5937"/>
      <c r="N45" s="5938"/>
      <c r="O45" s="371"/>
      <c r="P45" s="396" t="s">
        <v>1283</v>
      </c>
      <c r="Q45" s="397"/>
      <c r="R45" s="5930">
        <f>SUM(R42:S44)</f>
        <v>0</v>
      </c>
      <c r="S45" s="5932"/>
      <c r="T45" s="2752">
        <f>SUM(T42:T44)</f>
        <v>21</v>
      </c>
      <c r="U45" s="2753">
        <f>SUM(U42:U44)</f>
        <v>21</v>
      </c>
      <c r="V45" s="2753">
        <f t="shared" si="4"/>
        <v>0</v>
      </c>
      <c r="W45" s="5937"/>
      <c r="X45" s="5937"/>
      <c r="Y45" s="5937"/>
      <c r="Z45" s="5937"/>
      <c r="AA45" s="5938"/>
      <c r="AB45" s="372"/>
      <c r="AC45" s="385" t="s">
        <v>1317</v>
      </c>
      <c r="AD45" s="386"/>
      <c r="AE45" s="5930">
        <f>SUM(AE42:AF44)</f>
        <v>66592588</v>
      </c>
      <c r="AF45" s="5901"/>
      <c r="AG45" s="2751">
        <f>SUM(AG42:AG44)</f>
        <v>1</v>
      </c>
      <c r="AH45" s="387">
        <f>SUM(AH42:AH44)</f>
        <v>0</v>
      </c>
      <c r="AI45" s="387">
        <f t="shared" si="5"/>
        <v>1</v>
      </c>
      <c r="AJ45" s="5920"/>
      <c r="AK45" s="5920"/>
      <c r="AL45" s="5920"/>
      <c r="AM45" s="5920"/>
      <c r="AN45" s="5921"/>
      <c r="AO45" s="363"/>
    </row>
    <row r="46" spans="2:41" ht="21">
      <c r="B46" s="361"/>
      <c r="C46" s="5904" t="s">
        <v>1318</v>
      </c>
      <c r="D46" s="5905"/>
      <c r="E46" s="5905"/>
      <c r="F46" s="5905"/>
      <c r="G46" s="5905"/>
      <c r="H46" s="5905"/>
      <c r="I46" s="5905"/>
      <c r="J46" s="5905"/>
      <c r="K46" s="5905"/>
      <c r="L46" s="5905"/>
      <c r="M46" s="5905"/>
      <c r="N46" s="5906"/>
      <c r="O46" s="398"/>
      <c r="P46" s="5904" t="s">
        <v>1285</v>
      </c>
      <c r="Q46" s="5905"/>
      <c r="R46" s="5905"/>
      <c r="S46" s="5905"/>
      <c r="T46" s="5905"/>
      <c r="U46" s="5905"/>
      <c r="V46" s="5905"/>
      <c r="W46" s="5905"/>
      <c r="X46" s="5905"/>
      <c r="Y46" s="5905"/>
      <c r="Z46" s="5905"/>
      <c r="AA46" s="5906"/>
      <c r="AB46" s="399"/>
      <c r="AC46" s="5908" t="s">
        <v>1319</v>
      </c>
      <c r="AD46" s="5909"/>
      <c r="AE46" s="5909"/>
      <c r="AF46" s="5909"/>
      <c r="AG46" s="5909"/>
      <c r="AH46" s="5909"/>
      <c r="AI46" s="5909"/>
      <c r="AJ46" s="5909"/>
      <c r="AK46" s="5909"/>
      <c r="AL46" s="5909"/>
      <c r="AM46" s="5909"/>
      <c r="AN46" s="5910"/>
      <c r="AO46" s="363"/>
    </row>
    <row r="47" spans="2:41" ht="21">
      <c r="B47" s="361"/>
      <c r="C47" s="5907"/>
      <c r="D47" s="5905"/>
      <c r="E47" s="5905"/>
      <c r="F47" s="5905"/>
      <c r="G47" s="5905"/>
      <c r="H47" s="5905"/>
      <c r="I47" s="5905"/>
      <c r="J47" s="5905"/>
      <c r="K47" s="5905"/>
      <c r="L47" s="5905"/>
      <c r="M47" s="5905"/>
      <c r="N47" s="5906"/>
      <c r="O47" s="398"/>
      <c r="P47" s="5907"/>
      <c r="Q47" s="5905"/>
      <c r="R47" s="5905"/>
      <c r="S47" s="5905"/>
      <c r="T47" s="5905"/>
      <c r="U47" s="5905"/>
      <c r="V47" s="5905"/>
      <c r="W47" s="5905"/>
      <c r="X47" s="5905"/>
      <c r="Y47" s="5905"/>
      <c r="Z47" s="5905"/>
      <c r="AA47" s="5906"/>
      <c r="AB47" s="399"/>
      <c r="AC47" s="5907"/>
      <c r="AD47" s="5905"/>
      <c r="AE47" s="5905"/>
      <c r="AF47" s="5905"/>
      <c r="AG47" s="5905"/>
      <c r="AH47" s="5905"/>
      <c r="AI47" s="5905"/>
      <c r="AJ47" s="5905"/>
      <c r="AK47" s="5905"/>
      <c r="AL47" s="5905"/>
      <c r="AM47" s="5905"/>
      <c r="AN47" s="5906"/>
      <c r="AO47" s="363"/>
    </row>
    <row r="48" spans="2:41" ht="21">
      <c r="B48" s="361"/>
      <c r="C48" s="5907"/>
      <c r="D48" s="5905"/>
      <c r="E48" s="5905"/>
      <c r="F48" s="5905"/>
      <c r="G48" s="5905"/>
      <c r="H48" s="5905"/>
      <c r="I48" s="5905"/>
      <c r="J48" s="5905"/>
      <c r="K48" s="5905"/>
      <c r="L48" s="5905"/>
      <c r="M48" s="5905"/>
      <c r="N48" s="5906"/>
      <c r="O48" s="398"/>
      <c r="P48" s="5907"/>
      <c r="Q48" s="5905"/>
      <c r="R48" s="5905"/>
      <c r="S48" s="5905"/>
      <c r="T48" s="5905"/>
      <c r="U48" s="5905"/>
      <c r="V48" s="5905"/>
      <c r="W48" s="5905"/>
      <c r="X48" s="5905"/>
      <c r="Y48" s="5905"/>
      <c r="Z48" s="5905"/>
      <c r="AA48" s="5906"/>
      <c r="AB48" s="399"/>
      <c r="AC48" s="5907"/>
      <c r="AD48" s="5905"/>
      <c r="AE48" s="5905"/>
      <c r="AF48" s="5905"/>
      <c r="AG48" s="5905"/>
      <c r="AH48" s="5905"/>
      <c r="AI48" s="5905"/>
      <c r="AJ48" s="5905"/>
      <c r="AK48" s="5905"/>
      <c r="AL48" s="5905"/>
      <c r="AM48" s="5905"/>
      <c r="AN48" s="5906"/>
      <c r="AO48" s="363"/>
    </row>
    <row r="49" spans="2:41" ht="21">
      <c r="B49" s="361"/>
      <c r="C49" s="5907"/>
      <c r="D49" s="5905"/>
      <c r="E49" s="5905"/>
      <c r="F49" s="5905"/>
      <c r="G49" s="5905"/>
      <c r="H49" s="5905"/>
      <c r="I49" s="5905"/>
      <c r="J49" s="5905"/>
      <c r="K49" s="5905"/>
      <c r="L49" s="5905"/>
      <c r="M49" s="5905"/>
      <c r="N49" s="5906"/>
      <c r="O49" s="398"/>
      <c r="P49" s="5907"/>
      <c r="Q49" s="5905"/>
      <c r="R49" s="5905"/>
      <c r="S49" s="5905"/>
      <c r="T49" s="5905"/>
      <c r="U49" s="5905"/>
      <c r="V49" s="5905"/>
      <c r="W49" s="5905"/>
      <c r="X49" s="5905"/>
      <c r="Y49" s="5905"/>
      <c r="Z49" s="5905"/>
      <c r="AA49" s="5906"/>
      <c r="AB49" s="399"/>
      <c r="AC49" s="5911"/>
      <c r="AD49" s="5912"/>
      <c r="AE49" s="5912"/>
      <c r="AF49" s="5912"/>
      <c r="AG49" s="5912"/>
      <c r="AH49" s="5912"/>
      <c r="AI49" s="5912"/>
      <c r="AJ49" s="5912"/>
      <c r="AK49" s="5912"/>
      <c r="AL49" s="5912"/>
      <c r="AM49" s="5912"/>
      <c r="AN49" s="5913"/>
      <c r="AO49" s="363"/>
    </row>
    <row r="50" spans="2:41" ht="26.25">
      <c r="B50" s="361"/>
      <c r="C50" s="5890" t="s">
        <v>1320</v>
      </c>
      <c r="D50" s="5891"/>
      <c r="E50" s="5891"/>
      <c r="F50" s="5891"/>
      <c r="G50" s="5891"/>
      <c r="H50" s="5891"/>
      <c r="I50" s="5891"/>
      <c r="J50" s="5891"/>
      <c r="K50" s="5891"/>
      <c r="L50" s="5891"/>
      <c r="M50" s="5891"/>
      <c r="N50" s="5892"/>
      <c r="O50" s="400"/>
      <c r="P50" s="5890" t="s">
        <v>1321</v>
      </c>
      <c r="Q50" s="5891"/>
      <c r="R50" s="5891"/>
      <c r="S50" s="5891"/>
      <c r="T50" s="5891"/>
      <c r="U50" s="5891"/>
      <c r="V50" s="5891"/>
      <c r="W50" s="5891"/>
      <c r="X50" s="5891"/>
      <c r="Y50" s="5891"/>
      <c r="Z50" s="5891"/>
      <c r="AA50" s="5892"/>
      <c r="AB50" s="401"/>
      <c r="AC50" s="5890" t="s">
        <v>1322</v>
      </c>
      <c r="AD50" s="5891"/>
      <c r="AE50" s="5891"/>
      <c r="AF50" s="5891"/>
      <c r="AG50" s="5891"/>
      <c r="AH50" s="5891"/>
      <c r="AI50" s="5891"/>
      <c r="AJ50" s="5891"/>
      <c r="AK50" s="5891"/>
      <c r="AL50" s="5891"/>
      <c r="AM50" s="5891"/>
      <c r="AN50" s="5892"/>
      <c r="AO50" s="363"/>
    </row>
    <row r="51" spans="2:41" ht="21">
      <c r="B51" s="361"/>
      <c r="C51" s="2754" t="s">
        <v>1289</v>
      </c>
      <c r="D51" s="5893" t="s">
        <v>292</v>
      </c>
      <c r="E51" s="5894"/>
      <c r="F51" s="5894"/>
      <c r="G51" s="5895"/>
      <c r="H51" s="5896" t="s">
        <v>1323</v>
      </c>
      <c r="I51" s="5897"/>
      <c r="J51" s="2755" t="s">
        <v>1324</v>
      </c>
      <c r="K51" s="5898" t="s">
        <v>583</v>
      </c>
      <c r="L51" s="5899"/>
      <c r="M51" s="5893" t="s">
        <v>1291</v>
      </c>
      <c r="N51" s="5900"/>
      <c r="O51" s="2756"/>
      <c r="P51" s="2754" t="s">
        <v>1325</v>
      </c>
      <c r="Q51" s="5893" t="s">
        <v>292</v>
      </c>
      <c r="R51" s="5894"/>
      <c r="S51" s="5894"/>
      <c r="T51" s="5895"/>
      <c r="U51" s="5893" t="s">
        <v>1326</v>
      </c>
      <c r="V51" s="5894"/>
      <c r="W51" s="5901"/>
      <c r="X51" s="5898" t="s">
        <v>583</v>
      </c>
      <c r="Y51" s="5899"/>
      <c r="Z51" s="5893" t="s">
        <v>1291</v>
      </c>
      <c r="AA51" s="5902"/>
      <c r="AB51" s="2757"/>
      <c r="AC51" s="2754" t="s">
        <v>1289</v>
      </c>
      <c r="AD51" s="5893" t="s">
        <v>292</v>
      </c>
      <c r="AE51" s="5894"/>
      <c r="AF51" s="5894"/>
      <c r="AG51" s="5895"/>
      <c r="AH51" s="5898" t="s">
        <v>1326</v>
      </c>
      <c r="AI51" s="5903"/>
      <c r="AJ51" s="5898" t="s">
        <v>583</v>
      </c>
      <c r="AK51" s="5903"/>
      <c r="AL51" s="2761" t="s">
        <v>1327</v>
      </c>
      <c r="AM51" s="5893" t="s">
        <v>1291</v>
      </c>
      <c r="AN51" s="5902"/>
      <c r="AO51" s="363"/>
    </row>
    <row r="52" spans="2:41" ht="21">
      <c r="B52" s="361"/>
      <c r="C52" s="5871">
        <v>1</v>
      </c>
      <c r="D52" s="5873" t="s">
        <v>941</v>
      </c>
      <c r="E52" s="5874"/>
      <c r="F52" s="5874"/>
      <c r="G52" s="5874"/>
      <c r="H52" s="5884" t="s">
        <v>876</v>
      </c>
      <c r="I52" s="5885"/>
      <c r="J52" s="5887">
        <v>1</v>
      </c>
      <c r="K52" s="5881">
        <v>42313</v>
      </c>
      <c r="L52" s="5882"/>
      <c r="M52" s="5867">
        <v>39810</v>
      </c>
      <c r="N52" s="5868"/>
      <c r="O52" s="402"/>
      <c r="P52" s="5871"/>
      <c r="Q52" s="5873"/>
      <c r="R52" s="5874"/>
      <c r="S52" s="5874"/>
      <c r="T52" s="5874"/>
      <c r="U52" s="5876"/>
      <c r="V52" s="5877"/>
      <c r="W52" s="5878"/>
      <c r="X52" s="5881"/>
      <c r="Y52" s="5882"/>
      <c r="Z52" s="5867"/>
      <c r="AA52" s="5868"/>
      <c r="AB52" s="403"/>
      <c r="AC52" s="5871">
        <v>53</v>
      </c>
      <c r="AD52" s="5873" t="s">
        <v>1328</v>
      </c>
      <c r="AE52" s="5874"/>
      <c r="AF52" s="5874"/>
      <c r="AG52" s="5874"/>
      <c r="AH52" s="5884" t="s">
        <v>1329</v>
      </c>
      <c r="AI52" s="5889"/>
      <c r="AJ52" s="5882">
        <v>42214</v>
      </c>
      <c r="AK52" s="5882"/>
      <c r="AL52" s="5866">
        <v>159</v>
      </c>
      <c r="AM52" s="5867">
        <f>31318000</f>
        <v>31318000</v>
      </c>
      <c r="AN52" s="5868"/>
      <c r="AO52" s="363"/>
    </row>
    <row r="53" spans="2:41" ht="21">
      <c r="B53" s="361"/>
      <c r="C53" s="5872"/>
      <c r="D53" s="5875"/>
      <c r="E53" s="5875"/>
      <c r="F53" s="5875"/>
      <c r="G53" s="5875"/>
      <c r="H53" s="5886"/>
      <c r="I53" s="5886"/>
      <c r="J53" s="5888"/>
      <c r="K53" s="5883"/>
      <c r="L53" s="5883"/>
      <c r="M53" s="5869"/>
      <c r="N53" s="5870"/>
      <c r="O53" s="402"/>
      <c r="P53" s="5872"/>
      <c r="Q53" s="5875"/>
      <c r="R53" s="5875"/>
      <c r="S53" s="5875"/>
      <c r="T53" s="5875"/>
      <c r="U53" s="5879"/>
      <c r="V53" s="5869"/>
      <c r="W53" s="5880"/>
      <c r="X53" s="5883"/>
      <c r="Y53" s="5883"/>
      <c r="Z53" s="5869"/>
      <c r="AA53" s="5870"/>
      <c r="AB53" s="403"/>
      <c r="AC53" s="5872"/>
      <c r="AD53" s="5875"/>
      <c r="AE53" s="5875"/>
      <c r="AF53" s="5875"/>
      <c r="AG53" s="5875"/>
      <c r="AH53" s="5816"/>
      <c r="AI53" s="5816"/>
      <c r="AJ53" s="5818"/>
      <c r="AK53" s="5818"/>
      <c r="AL53" s="5820"/>
      <c r="AM53" s="5869"/>
      <c r="AN53" s="5870"/>
      <c r="AO53" s="363"/>
    </row>
    <row r="54" spans="2:41" ht="21">
      <c r="B54" s="413"/>
      <c r="C54" s="5852"/>
      <c r="D54" s="5832"/>
      <c r="E54" s="5833"/>
      <c r="F54" s="5833"/>
      <c r="G54" s="5833"/>
      <c r="H54" s="5815"/>
      <c r="I54" s="5849"/>
      <c r="J54" s="5851"/>
      <c r="K54" s="5840"/>
      <c r="L54" s="5818"/>
      <c r="M54" s="5858"/>
      <c r="N54" s="5859"/>
      <c r="O54" s="402"/>
      <c r="P54" s="5852"/>
      <c r="Q54" s="5832"/>
      <c r="R54" s="5833"/>
      <c r="S54" s="5833"/>
      <c r="T54" s="5833"/>
      <c r="U54" s="5854"/>
      <c r="V54" s="5855"/>
      <c r="W54" s="5856"/>
      <c r="X54" s="5840"/>
      <c r="Y54" s="5818"/>
      <c r="Z54" s="5858"/>
      <c r="AA54" s="5859"/>
      <c r="AB54" s="403"/>
      <c r="AC54" s="5860">
        <v>81</v>
      </c>
      <c r="AD54" s="5841" t="s">
        <v>1330</v>
      </c>
      <c r="AE54" s="5842"/>
      <c r="AF54" s="5842"/>
      <c r="AG54" s="5843"/>
      <c r="AH54" s="5815" t="s">
        <v>1331</v>
      </c>
      <c r="AI54" s="5816"/>
      <c r="AJ54" s="5818">
        <v>42331</v>
      </c>
      <c r="AK54" s="5818"/>
      <c r="AL54" s="5820">
        <v>232</v>
      </c>
      <c r="AM54" s="5822">
        <f>66592588</f>
        <v>66592588</v>
      </c>
      <c r="AN54" s="5823"/>
      <c r="AO54" s="363"/>
    </row>
    <row r="55" spans="2:41" ht="21">
      <c r="B55" s="361"/>
      <c r="C55" s="5853"/>
      <c r="D55" s="5833"/>
      <c r="E55" s="5833"/>
      <c r="F55" s="5833"/>
      <c r="G55" s="5833"/>
      <c r="H55" s="5849"/>
      <c r="I55" s="5849"/>
      <c r="J55" s="5820"/>
      <c r="K55" s="5818"/>
      <c r="L55" s="5818"/>
      <c r="M55" s="5855"/>
      <c r="N55" s="5859"/>
      <c r="O55" s="402"/>
      <c r="P55" s="5853"/>
      <c r="Q55" s="5833"/>
      <c r="R55" s="5833"/>
      <c r="S55" s="5833"/>
      <c r="T55" s="5833"/>
      <c r="U55" s="5857"/>
      <c r="V55" s="5855"/>
      <c r="W55" s="5856"/>
      <c r="X55" s="5818"/>
      <c r="Y55" s="5818"/>
      <c r="Z55" s="5855"/>
      <c r="AA55" s="5859"/>
      <c r="AB55" s="403"/>
      <c r="AC55" s="5861"/>
      <c r="AD55" s="5844"/>
      <c r="AE55" s="5845"/>
      <c r="AF55" s="5845"/>
      <c r="AG55" s="5846"/>
      <c r="AH55" s="5816"/>
      <c r="AI55" s="5816"/>
      <c r="AJ55" s="5818"/>
      <c r="AK55" s="5818"/>
      <c r="AL55" s="5820"/>
      <c r="AM55" s="5847"/>
      <c r="AN55" s="5848"/>
      <c r="AO55" s="363"/>
    </row>
    <row r="56" spans="2:41" ht="21">
      <c r="B56" s="361"/>
      <c r="C56" s="5852"/>
      <c r="D56" s="5832"/>
      <c r="E56" s="5833"/>
      <c r="F56" s="5833"/>
      <c r="G56" s="5833"/>
      <c r="H56" s="5815"/>
      <c r="I56" s="5849"/>
      <c r="J56" s="5851"/>
      <c r="K56" s="5840"/>
      <c r="L56" s="5818"/>
      <c r="M56" s="5858"/>
      <c r="N56" s="5859"/>
      <c r="O56" s="402"/>
      <c r="P56" s="5852"/>
      <c r="Q56" s="5832"/>
      <c r="R56" s="5833"/>
      <c r="S56" s="5833"/>
      <c r="T56" s="5833"/>
      <c r="U56" s="5854"/>
      <c r="V56" s="5855"/>
      <c r="W56" s="5856"/>
      <c r="X56" s="5840"/>
      <c r="Y56" s="5818"/>
      <c r="Z56" s="5858"/>
      <c r="AA56" s="5859"/>
      <c r="AB56" s="403"/>
      <c r="AC56" s="5860"/>
      <c r="AD56" s="5841"/>
      <c r="AE56" s="5842"/>
      <c r="AF56" s="5842"/>
      <c r="AG56" s="5843"/>
      <c r="AH56" s="5815"/>
      <c r="AI56" s="5816"/>
      <c r="AJ56" s="5818"/>
      <c r="AK56" s="5818"/>
      <c r="AL56" s="5820"/>
      <c r="AM56" s="5822"/>
      <c r="AN56" s="5823"/>
      <c r="AO56" s="363"/>
    </row>
    <row r="57" spans="2:41" ht="21">
      <c r="B57" s="361"/>
      <c r="C57" s="5853"/>
      <c r="D57" s="5833"/>
      <c r="E57" s="5833"/>
      <c r="F57" s="5833"/>
      <c r="G57" s="5833"/>
      <c r="H57" s="5849"/>
      <c r="I57" s="5849"/>
      <c r="J57" s="5820"/>
      <c r="K57" s="5818"/>
      <c r="L57" s="5818"/>
      <c r="M57" s="5855"/>
      <c r="N57" s="5859"/>
      <c r="O57" s="402"/>
      <c r="P57" s="5853"/>
      <c r="Q57" s="5833"/>
      <c r="R57" s="5833"/>
      <c r="S57" s="5833"/>
      <c r="T57" s="5833"/>
      <c r="U57" s="5857"/>
      <c r="V57" s="5855"/>
      <c r="W57" s="5856"/>
      <c r="X57" s="5818"/>
      <c r="Y57" s="5818"/>
      <c r="Z57" s="5855"/>
      <c r="AA57" s="5859"/>
      <c r="AB57" s="403"/>
      <c r="AC57" s="5861"/>
      <c r="AD57" s="5844"/>
      <c r="AE57" s="5845"/>
      <c r="AF57" s="5845"/>
      <c r="AG57" s="5846"/>
      <c r="AH57" s="5816"/>
      <c r="AI57" s="5816"/>
      <c r="AJ57" s="5818"/>
      <c r="AK57" s="5818"/>
      <c r="AL57" s="5820"/>
      <c r="AM57" s="5847"/>
      <c r="AN57" s="5848"/>
      <c r="AO57" s="363"/>
    </row>
    <row r="58" spans="2:41" ht="21">
      <c r="B58" s="361"/>
      <c r="C58" s="5852"/>
      <c r="D58" s="5832"/>
      <c r="E58" s="5833"/>
      <c r="F58" s="5833"/>
      <c r="G58" s="5833"/>
      <c r="H58" s="5815"/>
      <c r="I58" s="5849"/>
      <c r="J58" s="5851"/>
      <c r="K58" s="5840"/>
      <c r="L58" s="5818"/>
      <c r="M58" s="5858"/>
      <c r="N58" s="5859"/>
      <c r="O58" s="402"/>
      <c r="P58" s="5852"/>
      <c r="Q58" s="5832"/>
      <c r="R58" s="5833"/>
      <c r="S58" s="5833"/>
      <c r="T58" s="5833"/>
      <c r="U58" s="5854"/>
      <c r="V58" s="5855"/>
      <c r="W58" s="5856"/>
      <c r="X58" s="5840"/>
      <c r="Y58" s="5818"/>
      <c r="Z58" s="5858"/>
      <c r="AA58" s="5859"/>
      <c r="AB58" s="403"/>
      <c r="AC58" s="5860"/>
      <c r="AD58" s="5841"/>
      <c r="AE58" s="5842"/>
      <c r="AF58" s="5842"/>
      <c r="AG58" s="5843"/>
      <c r="AH58" s="5815"/>
      <c r="AI58" s="5816"/>
      <c r="AJ58" s="5818"/>
      <c r="AK58" s="5818"/>
      <c r="AL58" s="5820"/>
      <c r="AM58" s="5822"/>
      <c r="AN58" s="5823"/>
      <c r="AO58" s="363"/>
    </row>
    <row r="59" spans="2:41" ht="21">
      <c r="B59" s="361"/>
      <c r="C59" s="5853"/>
      <c r="D59" s="5833"/>
      <c r="E59" s="5833"/>
      <c r="F59" s="5833"/>
      <c r="G59" s="5833"/>
      <c r="H59" s="5849"/>
      <c r="I59" s="5849"/>
      <c r="J59" s="5820"/>
      <c r="K59" s="5818"/>
      <c r="L59" s="5818"/>
      <c r="M59" s="5855"/>
      <c r="N59" s="5859"/>
      <c r="O59" s="402"/>
      <c r="P59" s="5853"/>
      <c r="Q59" s="5833"/>
      <c r="R59" s="5833"/>
      <c r="S59" s="5833"/>
      <c r="T59" s="5833"/>
      <c r="U59" s="5857"/>
      <c r="V59" s="5855"/>
      <c r="W59" s="5856"/>
      <c r="X59" s="5818"/>
      <c r="Y59" s="5818"/>
      <c r="Z59" s="5855"/>
      <c r="AA59" s="5859"/>
      <c r="AB59" s="403"/>
      <c r="AC59" s="5861"/>
      <c r="AD59" s="5844"/>
      <c r="AE59" s="5845"/>
      <c r="AF59" s="5845"/>
      <c r="AG59" s="5846"/>
      <c r="AH59" s="5816"/>
      <c r="AI59" s="5816"/>
      <c r="AJ59" s="5818"/>
      <c r="AK59" s="5818"/>
      <c r="AL59" s="5820"/>
      <c r="AM59" s="5847"/>
      <c r="AN59" s="5848"/>
      <c r="AO59" s="363"/>
    </row>
    <row r="60" spans="2:41" ht="21">
      <c r="B60" s="361"/>
      <c r="C60" s="5830"/>
      <c r="D60" s="5832"/>
      <c r="E60" s="5833"/>
      <c r="F60" s="5833"/>
      <c r="G60" s="5833"/>
      <c r="H60" s="5815"/>
      <c r="I60" s="5849"/>
      <c r="J60" s="5851"/>
      <c r="K60" s="5840"/>
      <c r="L60" s="5818"/>
      <c r="M60" s="5826"/>
      <c r="N60" s="5827"/>
      <c r="O60" s="402"/>
      <c r="P60" s="5830"/>
      <c r="Q60" s="5832"/>
      <c r="R60" s="5833"/>
      <c r="S60" s="5833"/>
      <c r="T60" s="5833"/>
      <c r="U60" s="5835"/>
      <c r="V60" s="5836"/>
      <c r="W60" s="5837"/>
      <c r="X60" s="5840"/>
      <c r="Y60" s="5818"/>
      <c r="Z60" s="5826"/>
      <c r="AA60" s="5827"/>
      <c r="AB60" s="403"/>
      <c r="AC60" s="5860"/>
      <c r="AD60" s="5841"/>
      <c r="AE60" s="5842"/>
      <c r="AF60" s="5842"/>
      <c r="AG60" s="5843"/>
      <c r="AH60" s="5815"/>
      <c r="AI60" s="5816"/>
      <c r="AJ60" s="5818"/>
      <c r="AK60" s="5818"/>
      <c r="AL60" s="5820"/>
      <c r="AM60" s="5822"/>
      <c r="AN60" s="5823"/>
      <c r="AO60" s="363"/>
    </row>
    <row r="61" spans="2:41" ht="21.75" thickBot="1">
      <c r="B61" s="361"/>
      <c r="C61" s="5831"/>
      <c r="D61" s="5834"/>
      <c r="E61" s="5834"/>
      <c r="F61" s="5834"/>
      <c r="G61" s="5834"/>
      <c r="H61" s="5850"/>
      <c r="I61" s="5850"/>
      <c r="J61" s="5821"/>
      <c r="K61" s="5819"/>
      <c r="L61" s="5819"/>
      <c r="M61" s="5828"/>
      <c r="N61" s="5829"/>
      <c r="O61" s="402"/>
      <c r="P61" s="5831"/>
      <c r="Q61" s="5834"/>
      <c r="R61" s="5834"/>
      <c r="S61" s="5834"/>
      <c r="T61" s="5834"/>
      <c r="U61" s="5838"/>
      <c r="V61" s="5828"/>
      <c r="W61" s="5839"/>
      <c r="X61" s="5819"/>
      <c r="Y61" s="5819"/>
      <c r="Z61" s="5828"/>
      <c r="AA61" s="5829"/>
      <c r="AB61" s="403"/>
      <c r="AC61" s="5862"/>
      <c r="AD61" s="5863"/>
      <c r="AE61" s="5864"/>
      <c r="AF61" s="5864"/>
      <c r="AG61" s="5865"/>
      <c r="AH61" s="5817"/>
      <c r="AI61" s="5817"/>
      <c r="AJ61" s="5819"/>
      <c r="AK61" s="5819"/>
      <c r="AL61" s="5821"/>
      <c r="AM61" s="5824"/>
      <c r="AN61" s="5825"/>
      <c r="AO61" s="363"/>
    </row>
    <row r="62" spans="2:41" ht="13.5" thickBot="1">
      <c r="B62" s="2762"/>
      <c r="C62" s="2763"/>
      <c r="D62" s="2763"/>
      <c r="E62" s="2763"/>
      <c r="F62" s="2763"/>
      <c r="G62" s="2763"/>
      <c r="H62" s="2764"/>
      <c r="I62" s="2763"/>
      <c r="J62" s="2763"/>
      <c r="K62" s="2763"/>
      <c r="L62" s="2763"/>
      <c r="M62" s="2763"/>
      <c r="N62" s="2763"/>
      <c r="O62" s="2763"/>
      <c r="P62" s="2763"/>
      <c r="Q62" s="2763"/>
      <c r="R62" s="2763"/>
      <c r="S62" s="2763"/>
      <c r="T62" s="2763"/>
      <c r="U62" s="2764"/>
      <c r="V62" s="2763"/>
      <c r="W62" s="2763"/>
      <c r="X62" s="2763"/>
      <c r="Y62" s="2763"/>
      <c r="Z62" s="2763"/>
      <c r="AA62" s="2763"/>
      <c r="AB62" s="2763"/>
      <c r="AC62" s="2739"/>
      <c r="AD62" s="2739"/>
      <c r="AE62" s="2739"/>
      <c r="AF62" s="2739"/>
      <c r="AG62" s="2739"/>
      <c r="AH62" s="2739"/>
      <c r="AI62" s="2739"/>
      <c r="AJ62" s="2739"/>
      <c r="AK62" s="2739"/>
      <c r="AL62" s="2739"/>
      <c r="AM62" s="2739"/>
      <c r="AN62" s="2739"/>
      <c r="AO62" s="2765"/>
    </row>
  </sheetData>
  <mergeCells count="288">
    <mergeCell ref="D2:AA2"/>
    <mergeCell ref="Q3:X4"/>
    <mergeCell ref="E4:H4"/>
    <mergeCell ref="D5:I5"/>
    <mergeCell ref="C6:AA6"/>
    <mergeCell ref="C7:N7"/>
    <mergeCell ref="P7:AA7"/>
    <mergeCell ref="AC7:AN7"/>
    <mergeCell ref="E8:F8"/>
    <mergeCell ref="R8:S8"/>
    <mergeCell ref="AE8:AF8"/>
    <mergeCell ref="C9:D9"/>
    <mergeCell ref="E9:F9"/>
    <mergeCell ref="J9:N17"/>
    <mergeCell ref="P9:Q9"/>
    <mergeCell ref="R9:S9"/>
    <mergeCell ref="W9:AA17"/>
    <mergeCell ref="AC9:AD9"/>
    <mergeCell ref="AE9:AF9"/>
    <mergeCell ref="AJ9:AN17"/>
    <mergeCell ref="E10:F10"/>
    <mergeCell ref="R10:S10"/>
    <mergeCell ref="AE10:AF10"/>
    <mergeCell ref="E11:F11"/>
    <mergeCell ref="R11:S11"/>
    <mergeCell ref="AE11:AF11"/>
    <mergeCell ref="E12:F12"/>
    <mergeCell ref="E15:F15"/>
    <mergeCell ref="R15:S15"/>
    <mergeCell ref="AC15:AF15"/>
    <mergeCell ref="R16:S16"/>
    <mergeCell ref="R17:S17"/>
    <mergeCell ref="C18:N21"/>
    <mergeCell ref="P18:AA21"/>
    <mergeCell ref="AC18:AN21"/>
    <mergeCell ref="R12:S12"/>
    <mergeCell ref="AE12:AF14"/>
    <mergeCell ref="E13:F13"/>
    <mergeCell ref="R13:S13"/>
    <mergeCell ref="E14:F14"/>
    <mergeCell ref="R14:S14"/>
    <mergeCell ref="C22:N22"/>
    <mergeCell ref="P22:AA22"/>
    <mergeCell ref="AC22:AN22"/>
    <mergeCell ref="D23:G23"/>
    <mergeCell ref="H23:I23"/>
    <mergeCell ref="K23:L23"/>
    <mergeCell ref="M23:N23"/>
    <mergeCell ref="Q23:T23"/>
    <mergeCell ref="U23:V23"/>
    <mergeCell ref="X23:Y23"/>
    <mergeCell ref="Z23:AA23"/>
    <mergeCell ref="AD23:AG23"/>
    <mergeCell ref="AH23:AI23"/>
    <mergeCell ref="AJ23:AK23"/>
    <mergeCell ref="AM23:AN23"/>
    <mergeCell ref="C24:C25"/>
    <mergeCell ref="D24:G25"/>
    <mergeCell ref="H24:I25"/>
    <mergeCell ref="J24:J25"/>
    <mergeCell ref="K24:L25"/>
    <mergeCell ref="AM24:AN25"/>
    <mergeCell ref="C26:C27"/>
    <mergeCell ref="D26:G27"/>
    <mergeCell ref="H26:I27"/>
    <mergeCell ref="J26:J27"/>
    <mergeCell ref="K26:L27"/>
    <mergeCell ref="M26:N27"/>
    <mergeCell ref="P26:P27"/>
    <mergeCell ref="Q26:T27"/>
    <mergeCell ref="U26:V27"/>
    <mergeCell ref="Z24:AA25"/>
    <mergeCell ref="AC24:AC25"/>
    <mergeCell ref="AD24:AG25"/>
    <mergeCell ref="AH24:AI25"/>
    <mergeCell ref="AJ24:AK25"/>
    <mergeCell ref="AL24:AL25"/>
    <mergeCell ref="M24:N25"/>
    <mergeCell ref="P24:P25"/>
    <mergeCell ref="Q24:T25"/>
    <mergeCell ref="U24:V25"/>
    <mergeCell ref="W24:W25"/>
    <mergeCell ref="X24:Y25"/>
    <mergeCell ref="AJ26:AK27"/>
    <mergeCell ref="AL26:AL27"/>
    <mergeCell ref="AM26:AN27"/>
    <mergeCell ref="C28:C29"/>
    <mergeCell ref="D28:G29"/>
    <mergeCell ref="H28:I29"/>
    <mergeCell ref="J28:J29"/>
    <mergeCell ref="K28:L29"/>
    <mergeCell ref="M28:N29"/>
    <mergeCell ref="P28:P29"/>
    <mergeCell ref="W26:W27"/>
    <mergeCell ref="X26:Y27"/>
    <mergeCell ref="Z26:AA27"/>
    <mergeCell ref="AC26:AC27"/>
    <mergeCell ref="AD26:AG27"/>
    <mergeCell ref="AH26:AI27"/>
    <mergeCell ref="AD28:AG29"/>
    <mergeCell ref="AH28:AI29"/>
    <mergeCell ref="AJ28:AK29"/>
    <mergeCell ref="AL28:AL29"/>
    <mergeCell ref="AM28:AN29"/>
    <mergeCell ref="C30:C31"/>
    <mergeCell ref="D30:G31"/>
    <mergeCell ref="H30:I31"/>
    <mergeCell ref="J30:J31"/>
    <mergeCell ref="K30:L31"/>
    <mergeCell ref="Q28:T29"/>
    <mergeCell ref="U28:V29"/>
    <mergeCell ref="W28:W29"/>
    <mergeCell ref="X28:Y29"/>
    <mergeCell ref="Z28:AA29"/>
    <mergeCell ref="AC28:AC29"/>
    <mergeCell ref="AM30:AN31"/>
    <mergeCell ref="C32:C33"/>
    <mergeCell ref="D32:G33"/>
    <mergeCell ref="H32:I33"/>
    <mergeCell ref="J32:J33"/>
    <mergeCell ref="K32:L33"/>
    <mergeCell ref="M32:N33"/>
    <mergeCell ref="P32:P33"/>
    <mergeCell ref="Q32:T33"/>
    <mergeCell ref="U32:V33"/>
    <mergeCell ref="Z30:AA31"/>
    <mergeCell ref="AC30:AC31"/>
    <mergeCell ref="AD30:AG31"/>
    <mergeCell ref="AH30:AI31"/>
    <mergeCell ref="AJ30:AK31"/>
    <mergeCell ref="AL30:AL31"/>
    <mergeCell ref="M30:N31"/>
    <mergeCell ref="P30:P31"/>
    <mergeCell ref="Q30:T31"/>
    <mergeCell ref="U30:V31"/>
    <mergeCell ref="W30:W31"/>
    <mergeCell ref="X30:Y31"/>
    <mergeCell ref="AJ32:AK33"/>
    <mergeCell ref="AL32:AL33"/>
    <mergeCell ref="AM32:AN33"/>
    <mergeCell ref="C35:N35"/>
    <mergeCell ref="P35:AA35"/>
    <mergeCell ref="AC35:AN35"/>
    <mergeCell ref="W32:W33"/>
    <mergeCell ref="X32:Y33"/>
    <mergeCell ref="Z32:AA33"/>
    <mergeCell ref="AC32:AC33"/>
    <mergeCell ref="AD32:AG33"/>
    <mergeCell ref="AH32:AI33"/>
    <mergeCell ref="E36:F36"/>
    <mergeCell ref="R36:S36"/>
    <mergeCell ref="AE36:AF36"/>
    <mergeCell ref="C37:D37"/>
    <mergeCell ref="E37:F37"/>
    <mergeCell ref="J37:N45"/>
    <mergeCell ref="P37:Q37"/>
    <mergeCell ref="R37:S37"/>
    <mergeCell ref="W37:AA45"/>
    <mergeCell ref="AC37:AD37"/>
    <mergeCell ref="AE40:AF40"/>
    <mergeCell ref="E41:F41"/>
    <mergeCell ref="R41:S41"/>
    <mergeCell ref="AE41:AF41"/>
    <mergeCell ref="E42:F42"/>
    <mergeCell ref="R42:S42"/>
    <mergeCell ref="AE42:AF42"/>
    <mergeCell ref="AE37:AF37"/>
    <mergeCell ref="C46:N49"/>
    <mergeCell ref="P46:AA49"/>
    <mergeCell ref="AC46:AN49"/>
    <mergeCell ref="E43:F43"/>
    <mergeCell ref="R43:S43"/>
    <mergeCell ref="AE43:AF43"/>
    <mergeCell ref="E44:F44"/>
    <mergeCell ref="R44:S44"/>
    <mergeCell ref="AE44:AF44"/>
    <mergeCell ref="AJ37:AN45"/>
    <mergeCell ref="E38:F38"/>
    <mergeCell ref="R38:S38"/>
    <mergeCell ref="AE38:AF38"/>
    <mergeCell ref="E39:F39"/>
    <mergeCell ref="R39:S39"/>
    <mergeCell ref="AE39:AF39"/>
    <mergeCell ref="E40:F40"/>
    <mergeCell ref="R40:S40"/>
    <mergeCell ref="E45:F45"/>
    <mergeCell ref="R45:S45"/>
    <mergeCell ref="AE45:AF45"/>
    <mergeCell ref="C50:N50"/>
    <mergeCell ref="P50:AA50"/>
    <mergeCell ref="AC50:AN50"/>
    <mergeCell ref="D51:G51"/>
    <mergeCell ref="H51:I51"/>
    <mergeCell ref="K51:L51"/>
    <mergeCell ref="M51:N51"/>
    <mergeCell ref="Q51:T51"/>
    <mergeCell ref="U51:W51"/>
    <mergeCell ref="X51:Y51"/>
    <mergeCell ref="Z51:AA51"/>
    <mergeCell ref="AD51:AG51"/>
    <mergeCell ref="AH51:AI51"/>
    <mergeCell ref="AJ51:AK51"/>
    <mergeCell ref="AM51:AN51"/>
    <mergeCell ref="C52:C53"/>
    <mergeCell ref="D52:G53"/>
    <mergeCell ref="H52:I53"/>
    <mergeCell ref="J52:J53"/>
    <mergeCell ref="K52:L53"/>
    <mergeCell ref="AC52:AC53"/>
    <mergeCell ref="AD52:AG53"/>
    <mergeCell ref="AH52:AI53"/>
    <mergeCell ref="AJ52:AK53"/>
    <mergeCell ref="AL52:AL53"/>
    <mergeCell ref="AM52:AN53"/>
    <mergeCell ref="M52:N53"/>
    <mergeCell ref="P52:P53"/>
    <mergeCell ref="Q52:T53"/>
    <mergeCell ref="U52:W53"/>
    <mergeCell ref="X52:Y53"/>
    <mergeCell ref="Z52:AA53"/>
    <mergeCell ref="AD54:AG55"/>
    <mergeCell ref="AH54:AI55"/>
    <mergeCell ref="AJ54:AK55"/>
    <mergeCell ref="AL54:AL55"/>
    <mergeCell ref="AM54:AN55"/>
    <mergeCell ref="Z54:AA55"/>
    <mergeCell ref="AC54:AC55"/>
    <mergeCell ref="C56:C57"/>
    <mergeCell ref="D56:G57"/>
    <mergeCell ref="H56:I57"/>
    <mergeCell ref="J56:J57"/>
    <mergeCell ref="K56:L57"/>
    <mergeCell ref="P54:P55"/>
    <mergeCell ref="Q54:T55"/>
    <mergeCell ref="U54:W55"/>
    <mergeCell ref="X54:Y55"/>
    <mergeCell ref="C54:C55"/>
    <mergeCell ref="D54:G55"/>
    <mergeCell ref="H54:I55"/>
    <mergeCell ref="J54:J55"/>
    <mergeCell ref="K54:L55"/>
    <mergeCell ref="M54:N55"/>
    <mergeCell ref="AC56:AC57"/>
    <mergeCell ref="AD56:AG57"/>
    <mergeCell ref="AH56:AI57"/>
    <mergeCell ref="AJ56:AK57"/>
    <mergeCell ref="AL56:AL57"/>
    <mergeCell ref="AM56:AN57"/>
    <mergeCell ref="M56:N57"/>
    <mergeCell ref="P56:P57"/>
    <mergeCell ref="Q56:T57"/>
    <mergeCell ref="U56:W57"/>
    <mergeCell ref="X56:Y57"/>
    <mergeCell ref="Z56:AA57"/>
    <mergeCell ref="AD58:AG59"/>
    <mergeCell ref="AH58:AI59"/>
    <mergeCell ref="AJ58:AK59"/>
    <mergeCell ref="AL58:AL59"/>
    <mergeCell ref="AM58:AN59"/>
    <mergeCell ref="C60:C61"/>
    <mergeCell ref="D60:G61"/>
    <mergeCell ref="H60:I61"/>
    <mergeCell ref="J60:J61"/>
    <mergeCell ref="K60:L61"/>
    <mergeCell ref="P58:P59"/>
    <mergeCell ref="Q58:T59"/>
    <mergeCell ref="U58:W59"/>
    <mergeCell ref="X58:Y59"/>
    <mergeCell ref="Z58:AA59"/>
    <mergeCell ref="AC58:AC59"/>
    <mergeCell ref="C58:C59"/>
    <mergeCell ref="D58:G59"/>
    <mergeCell ref="H58:I59"/>
    <mergeCell ref="J58:J59"/>
    <mergeCell ref="K58:L59"/>
    <mergeCell ref="M58:N59"/>
    <mergeCell ref="AC60:AC61"/>
    <mergeCell ref="AD60:AG61"/>
    <mergeCell ref="AH60:AI61"/>
    <mergeCell ref="AJ60:AK61"/>
    <mergeCell ref="AL60:AL61"/>
    <mergeCell ref="AM60:AN61"/>
    <mergeCell ref="M60:N61"/>
    <mergeCell ref="P60:P61"/>
    <mergeCell ref="Q60:T61"/>
    <mergeCell ref="U60:W61"/>
    <mergeCell ref="X60:Y61"/>
    <mergeCell ref="Z60:AA61"/>
  </mergeCells>
  <pageMargins left="0.7" right="0.7" top="0.75" bottom="0.75" header="0.3" footer="0.3"/>
  <pageSetup orientation="portrait" r:id="rId1"/>
  <drawing r:id="rId2"/>
  <legacyDrawing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7AC8E-E373-42CE-85B7-85828C00E9E5}">
  <sheetPr codeName="Sheet34" filterMode="1">
    <tabColor rgb="FF2CAE9E"/>
    <pageSetUpPr fitToPage="1"/>
  </sheetPr>
  <dimension ref="A1:BR62"/>
  <sheetViews>
    <sheetView view="pageBreakPreview" zoomScale="85" zoomScaleNormal="50" zoomScaleSheetLayoutView="85" workbookViewId="0">
      <pane xSplit="1" ySplit="12" topLeftCell="B32" activePane="bottomRight" state="frozen"/>
      <selection activeCell="F37" sqref="F37"/>
      <selection pane="topRight" activeCell="F37" sqref="F37"/>
      <selection pane="bottomLeft" activeCell="F37" sqref="F37"/>
      <selection pane="bottomRight" activeCell="F37" sqref="F37"/>
    </sheetView>
  </sheetViews>
  <sheetFormatPr defaultColWidth="9" defaultRowHeight="14.25" outlineLevelCol="1"/>
  <cols>
    <col min="1" max="1" width="13.42578125" style="3027" customWidth="1"/>
    <col min="2" max="2" width="50.42578125" style="3028" customWidth="1"/>
    <col min="3" max="3" width="18.85546875" style="3027" customWidth="1"/>
    <col min="4" max="4" width="18.85546875" style="3028" hidden="1" customWidth="1" outlineLevel="1"/>
    <col min="5" max="5" width="28.42578125" style="3028" hidden="1" customWidth="1" outlineLevel="1"/>
    <col min="6" max="6" width="32" style="3028" hidden="1" customWidth="1" outlineLevel="1"/>
    <col min="7" max="7" width="20.85546875" style="3028" customWidth="1" collapsed="1"/>
    <col min="8" max="12" width="6" style="3028" customWidth="1"/>
    <col min="13" max="13" width="17.42578125" style="3029" customWidth="1" outlineLevel="1"/>
    <col min="14" max="14" width="19" style="3028" customWidth="1" outlineLevel="1"/>
    <col min="15" max="15" width="17.42578125" style="3029" customWidth="1" outlineLevel="1"/>
    <col min="16" max="16" width="14.42578125" style="3028" customWidth="1" outlineLevel="1"/>
    <col min="17" max="17" width="14" style="3027" customWidth="1" outlineLevel="1"/>
    <col min="18" max="18" width="20" style="3028" customWidth="1" outlineLevel="1"/>
    <col min="19" max="19" width="19" style="3029" customWidth="1" outlineLevel="1"/>
    <col min="20" max="20" width="19.85546875" style="3028" customWidth="1"/>
    <col min="21" max="21" width="16" style="3029" customWidth="1"/>
    <col min="22" max="22" width="14.5703125" style="3027" customWidth="1" outlineLevel="1"/>
    <col min="23" max="23" width="15" style="3027" customWidth="1" outlineLevel="1"/>
    <col min="24" max="24" width="17.42578125" style="3028" customWidth="1"/>
    <col min="25" max="25" width="16" style="3029" customWidth="1"/>
    <col min="26" max="26" width="17.42578125" style="3028" customWidth="1"/>
    <col min="27" max="27" width="15.85546875" style="3029" customWidth="1"/>
    <col min="28" max="28" width="14.42578125" style="3028" customWidth="1"/>
    <col min="29" max="29" width="13.85546875" style="3028" customWidth="1"/>
    <col min="30" max="30" width="15" style="3028" customWidth="1"/>
    <col min="31" max="31" width="14.42578125" style="3029" customWidth="1"/>
    <col min="32" max="32" width="16" style="3028" customWidth="1"/>
    <col min="33" max="33" width="16.5703125" style="3028" customWidth="1"/>
    <col min="34" max="34" width="19" style="3028" hidden="1" customWidth="1" outlineLevel="1"/>
    <col min="35" max="35" width="18.42578125" style="3029" hidden="1" customWidth="1" outlineLevel="1"/>
    <col min="36" max="36" width="25" style="3028" hidden="1" customWidth="1" outlineLevel="1"/>
    <col min="37" max="37" width="17.42578125" style="3028" hidden="1" customWidth="1" outlineLevel="1"/>
    <col min="38" max="38" width="16" style="3030" hidden="1" customWidth="1" outlineLevel="1"/>
    <col min="39" max="39" width="24.85546875" style="3028" hidden="1" customWidth="1" outlineLevel="1"/>
    <col min="40" max="40" width="22" style="3028" hidden="1" customWidth="1" outlineLevel="1"/>
    <col min="41" max="41" width="18.42578125" style="3028" hidden="1" customWidth="1" outlineLevel="1"/>
    <col min="42" max="42" width="23" style="3028" bestFit="1" customWidth="1" collapsed="1"/>
    <col min="43" max="43" width="21.5703125" style="3028" customWidth="1"/>
    <col min="44" max="44" width="18.42578125" style="3028" customWidth="1"/>
    <col min="45" max="45" width="16.42578125" style="3027" customWidth="1"/>
    <col min="46" max="46" width="22" style="3028" hidden="1" customWidth="1" outlineLevel="1"/>
    <col min="47" max="47" width="19" style="3028" hidden="1" customWidth="1" outlineLevel="1"/>
    <col min="48" max="48" width="18.85546875" style="3027" hidden="1" customWidth="1" outlineLevel="1"/>
    <col min="49" max="49" width="20.85546875" style="3027" hidden="1" customWidth="1" outlineLevel="1"/>
    <col min="50" max="50" width="21.5703125" style="3027" hidden="1" customWidth="1" outlineLevel="1"/>
    <col min="51" max="51" width="17.85546875" style="3028" hidden="1" customWidth="1" outlineLevel="1"/>
    <col min="52" max="52" width="20.85546875" style="3027" customWidth="1" collapsed="1"/>
    <col min="53" max="53" width="1" style="3027" customWidth="1"/>
    <col min="54" max="54" width="18" style="3031" customWidth="1"/>
    <col min="55" max="55" width="15.5703125" style="3027" customWidth="1"/>
    <col min="56" max="56" width="18" style="3028" customWidth="1"/>
    <col min="57" max="57" width="25.85546875" style="3028" customWidth="1"/>
    <col min="58" max="58" width="0.85546875" style="3028" hidden="1" customWidth="1"/>
    <col min="59" max="59" width="15" style="3028" hidden="1" customWidth="1" outlineLevel="1"/>
    <col min="60" max="60" width="14.85546875" style="3028" hidden="1" customWidth="1" outlineLevel="1"/>
    <col min="61" max="61" width="15.42578125" style="3028" hidden="1" customWidth="1" outlineLevel="1"/>
    <col min="62" max="62" width="0.85546875" style="3028" hidden="1" customWidth="1" outlineLevel="1"/>
    <col min="63" max="64" width="14.85546875" style="3028" hidden="1" customWidth="1" outlineLevel="1"/>
    <col min="65" max="65" width="0.85546875" style="3028" hidden="1" customWidth="1" outlineLevel="1"/>
    <col min="66" max="67" width="18" style="3029" hidden="1" customWidth="1" outlineLevel="1"/>
    <col min="68" max="68" width="0" style="3029" hidden="1" customWidth="1" outlineLevel="1"/>
    <col min="69" max="69" width="17.5703125" style="3175" customWidth="1" collapsed="1"/>
  </cols>
  <sheetData>
    <row r="1" spans="1:69">
      <c r="AZ1" s="3028"/>
      <c r="BA1" s="3028"/>
      <c r="BC1" s="3028"/>
    </row>
    <row r="2" spans="1:69" ht="16.5">
      <c r="A2" s="3183" t="str">
        <f>'Data Input'!A1&amp;" - "&amp;'Data Input'!B1</f>
        <v>PROGRAMME: - MARINA VILLAGE (PROGRAMME 1_TRIPLE BAY)</v>
      </c>
      <c r="AZ2" s="3028"/>
      <c r="BA2" s="3028"/>
      <c r="BC2" s="3028"/>
    </row>
    <row r="3" spans="1:69" ht="16.5">
      <c r="A3" s="3183" t="str">
        <f>'Data Input'!A2&amp;" - "&amp;'Data Input'!B2</f>
        <v>PROGRAMME CODE: - 1TB01003</v>
      </c>
      <c r="AZ3" s="3028"/>
      <c r="BA3" s="3028"/>
      <c r="BC3" s="3028"/>
    </row>
    <row r="4" spans="1:69" ht="16.5">
      <c r="A4" s="3183" t="str">
        <f>'Data Input'!A3&amp;" - "&amp;'Data Input'!B3</f>
        <v>ASSET NAME: - AMAALA YACHT CLUB</v>
      </c>
      <c r="AZ4" s="3028"/>
      <c r="BA4" s="3028"/>
      <c r="BC4" s="3028"/>
    </row>
    <row r="5" spans="1:69" ht="16.5">
      <c r="A5" s="3183" t="str">
        <f>'Data Input'!A4&amp;" - "&amp;'Data Input'!B4</f>
        <v>ASSET CODE: - 1TB01003.01</v>
      </c>
      <c r="AZ5" s="3028"/>
      <c r="BA5" s="3028"/>
      <c r="BC5" s="3028"/>
    </row>
    <row r="6" spans="1:69" ht="16.5">
      <c r="A6" s="3183" t="str">
        <f>'Data Input'!A7&amp;" - "&amp;'Data Input'!B7</f>
        <v>REPORT NO: - MONTHLY REPORT NO. 49</v>
      </c>
      <c r="AZ6" s="3028"/>
      <c r="BA6" s="3028"/>
      <c r="BC6" s="3028"/>
    </row>
    <row r="7" spans="1:69" ht="16.5">
      <c r="A7" s="3183" t="str">
        <f>'Data Input'!A8&amp;" - "&amp;'Data Input'!B8</f>
        <v>REPORTING PERIOD: - OCTOBER 2026</v>
      </c>
      <c r="AZ7" s="3028"/>
      <c r="BA7" s="3028"/>
      <c r="BC7" s="3028"/>
    </row>
    <row r="8" spans="1:69" ht="18">
      <c r="A8" s="3033"/>
      <c r="B8" s="3035"/>
      <c r="C8" s="3042"/>
      <c r="D8" s="3034"/>
      <c r="E8" s="3034"/>
      <c r="F8" s="3034"/>
      <c r="G8" s="3034"/>
      <c r="H8" s="3034"/>
      <c r="I8" s="3034"/>
      <c r="J8" s="3034"/>
      <c r="K8" s="3034"/>
      <c r="L8" s="3034"/>
      <c r="M8" s="3043" t="s">
        <v>2361</v>
      </c>
      <c r="N8" s="3044"/>
      <c r="O8" s="3045"/>
      <c r="P8" s="3044"/>
      <c r="Q8" s="3044"/>
      <c r="R8" s="3044"/>
      <c r="S8" s="3045"/>
      <c r="T8" s="3038"/>
      <c r="U8" s="3036"/>
      <c r="V8" s="3046" t="s">
        <v>2362</v>
      </c>
      <c r="W8" s="3044"/>
      <c r="X8" s="3038"/>
      <c r="Y8" s="3036"/>
      <c r="Z8" s="3038"/>
      <c r="AA8" s="3036"/>
      <c r="AB8" s="3038"/>
      <c r="AC8" s="3038"/>
      <c r="AD8" s="3038"/>
      <c r="AE8" s="3036"/>
      <c r="AF8" s="3032"/>
      <c r="AG8" s="3038"/>
      <c r="AH8" s="3038"/>
      <c r="AI8" s="3036"/>
      <c r="AJ8" s="3032"/>
      <c r="AK8" s="3038"/>
      <c r="AL8" s="3040"/>
      <c r="AM8" s="3038"/>
      <c r="AN8" s="3038"/>
      <c r="AO8" s="3039"/>
      <c r="AP8" s="3039"/>
      <c r="AQ8" s="3039"/>
      <c r="AR8" s="3039"/>
      <c r="AS8" s="3039"/>
      <c r="AT8" s="3039"/>
      <c r="AU8" s="3039"/>
      <c r="AV8" s="3039"/>
      <c r="AW8" s="3039"/>
      <c r="AX8" s="3039"/>
      <c r="AY8" s="3039"/>
      <c r="AZ8" s="3039"/>
      <c r="BA8" s="3039"/>
      <c r="BB8" s="3041"/>
      <c r="BC8" s="3039"/>
      <c r="BD8" s="3039"/>
      <c r="BE8" s="3039"/>
      <c r="BF8" s="3039"/>
      <c r="BG8" s="3039"/>
      <c r="BH8" s="3039"/>
      <c r="BI8" s="3039"/>
      <c r="BJ8" s="3039"/>
      <c r="BK8" s="3039"/>
      <c r="BL8" s="3039"/>
      <c r="BM8" s="3039"/>
      <c r="BN8" s="3036"/>
      <c r="BO8" s="3036"/>
      <c r="BP8" s="3036"/>
    </row>
    <row r="9" spans="1:69" ht="13.5" thickBot="1">
      <c r="A9" s="3034"/>
      <c r="B9" s="3034"/>
      <c r="C9" s="3034"/>
      <c r="D9" s="3034"/>
      <c r="E9" s="3034"/>
      <c r="F9" s="3034"/>
      <c r="G9" s="3034"/>
      <c r="H9" s="3034"/>
      <c r="I9" s="3034"/>
      <c r="J9" s="3034"/>
      <c r="K9" s="3034"/>
      <c r="L9" s="3034"/>
      <c r="M9" s="3036"/>
      <c r="N9" s="3037"/>
      <c r="O9" s="3036"/>
      <c r="P9" s="3038"/>
      <c r="Q9" s="3039"/>
      <c r="R9" s="3038"/>
      <c r="S9" s="3036"/>
      <c r="T9" s="3038"/>
      <c r="U9" s="3036"/>
      <c r="V9" s="3039"/>
      <c r="W9" s="3039"/>
      <c r="X9" s="3038"/>
      <c r="Y9" s="3036"/>
      <c r="Z9" s="3038"/>
      <c r="AA9" s="3036"/>
      <c r="AB9" s="3038"/>
      <c r="AC9" s="3038"/>
      <c r="AD9" s="3038"/>
      <c r="AE9" s="3036"/>
      <c r="AF9" s="3038"/>
      <c r="AG9" s="3038"/>
      <c r="AH9" s="3038"/>
      <c r="AI9" s="3036"/>
      <c r="AJ9" s="3038"/>
      <c r="AK9" s="3038"/>
      <c r="AL9" s="3040"/>
      <c r="AM9" s="3038"/>
      <c r="AN9" s="3038"/>
      <c r="AO9" s="3039"/>
      <c r="AP9" s="3039"/>
      <c r="AQ9" s="3039"/>
      <c r="AR9" s="3039"/>
      <c r="AS9" s="3039"/>
      <c r="AT9" s="3039"/>
      <c r="AU9" s="3039"/>
      <c r="AV9" s="3039"/>
      <c r="AW9" s="3039"/>
      <c r="AX9" s="3039"/>
      <c r="AY9" s="3039"/>
      <c r="AZ9" s="3039"/>
      <c r="BA9" s="3039"/>
      <c r="BB9" s="3041"/>
      <c r="BC9" s="3039"/>
      <c r="BD9" s="3039"/>
      <c r="BE9" s="3039"/>
      <c r="BF9" s="3039"/>
      <c r="BG9" s="3039"/>
      <c r="BH9" s="3039"/>
      <c r="BI9" s="3039"/>
      <c r="BJ9" s="3039"/>
      <c r="BK9" s="3039"/>
      <c r="BL9" s="3039"/>
      <c r="BM9" s="3039"/>
      <c r="BN9" s="3036"/>
      <c r="BO9" s="3036"/>
      <c r="BP9" s="3036"/>
    </row>
    <row r="10" spans="1:69" ht="47.45" customHeight="1" thickBot="1">
      <c r="A10" s="3047" t="s">
        <v>1338</v>
      </c>
      <c r="B10" s="3048"/>
      <c r="C10" s="3049" t="s">
        <v>81</v>
      </c>
      <c r="D10" s="3050"/>
      <c r="E10" s="3050"/>
      <c r="F10" s="3050"/>
      <c r="G10" s="3051"/>
      <c r="H10" s="3049" t="s">
        <v>2363</v>
      </c>
      <c r="I10" s="3050"/>
      <c r="J10" s="3050"/>
      <c r="K10" s="3050"/>
      <c r="L10" s="3051"/>
      <c r="M10" s="3052" t="s">
        <v>2364</v>
      </c>
      <c r="N10" s="3053"/>
      <c r="O10" s="3053"/>
      <c r="P10" s="3053"/>
      <c r="Q10" s="3053"/>
      <c r="R10" s="3053"/>
      <c r="S10" s="3054"/>
      <c r="T10" s="3055" t="s">
        <v>2365</v>
      </c>
      <c r="U10" s="3056"/>
      <c r="V10" s="3056"/>
      <c r="W10" s="3056"/>
      <c r="X10" s="3056"/>
      <c r="Y10" s="3056"/>
      <c r="Z10" s="3056"/>
      <c r="AA10" s="3057"/>
      <c r="AB10" s="6013" t="s">
        <v>2366</v>
      </c>
      <c r="AC10" s="6014"/>
      <c r="AD10" s="6014"/>
      <c r="AE10" s="6014"/>
      <c r="AF10" s="6014"/>
      <c r="AG10" s="6014"/>
      <c r="AH10" s="6014"/>
      <c r="AI10" s="6014"/>
      <c r="AJ10" s="6014"/>
      <c r="AK10" s="6014"/>
      <c r="AL10" s="6014"/>
      <c r="AM10" s="6014"/>
      <c r="AN10" s="6014"/>
      <c r="AO10" s="6015"/>
      <c r="AP10" s="3058" t="s">
        <v>2367</v>
      </c>
      <c r="AQ10" s="3059"/>
      <c r="AR10" s="3059"/>
      <c r="AS10" s="3059"/>
      <c r="AT10" s="3059"/>
      <c r="AU10" s="3059"/>
      <c r="AV10" s="3059"/>
      <c r="AW10" s="3059"/>
      <c r="AX10" s="3059"/>
      <c r="AY10" s="3060"/>
      <c r="AZ10" s="3061" t="s">
        <v>2368</v>
      </c>
      <c r="BA10" s="3062"/>
      <c r="BB10" s="3063" t="s">
        <v>2369</v>
      </c>
      <c r="BC10" s="3064"/>
      <c r="BD10" s="3064"/>
      <c r="BE10" s="3065"/>
      <c r="BF10" s="3066"/>
      <c r="BG10" s="3067" t="s">
        <v>2370</v>
      </c>
      <c r="BH10" s="3068"/>
      <c r="BI10" s="3069"/>
      <c r="BJ10" s="3066"/>
      <c r="BK10" s="3070" t="s">
        <v>2371</v>
      </c>
      <c r="BL10" s="3069"/>
      <c r="BM10" s="3071"/>
      <c r="BN10" s="3161" t="s">
        <v>2372</v>
      </c>
      <c r="BO10" s="3162"/>
      <c r="BP10" s="3163"/>
    </row>
    <row r="11" spans="1:69" ht="239.45" customHeight="1">
      <c r="A11" s="6010" t="s">
        <v>1347</v>
      </c>
      <c r="B11" s="6010" t="s">
        <v>1348</v>
      </c>
      <c r="C11" s="6010" t="s">
        <v>2373</v>
      </c>
      <c r="D11" s="6010" t="s">
        <v>579</v>
      </c>
      <c r="E11" s="6010" t="s">
        <v>576</v>
      </c>
      <c r="F11" s="6010" t="s">
        <v>2374</v>
      </c>
      <c r="G11" s="6022" t="s">
        <v>2375</v>
      </c>
      <c r="H11" s="6024" t="s">
        <v>2376</v>
      </c>
      <c r="I11" s="6024" t="s">
        <v>2377</v>
      </c>
      <c r="J11" s="6024" t="s">
        <v>2378</v>
      </c>
      <c r="K11" s="6024" t="s">
        <v>2379</v>
      </c>
      <c r="L11" s="6024" t="s">
        <v>2380</v>
      </c>
      <c r="M11" s="3072" t="s">
        <v>2381</v>
      </c>
      <c r="N11" s="6016" t="s">
        <v>2382</v>
      </c>
      <c r="O11" s="6017"/>
      <c r="P11" s="3073" t="s">
        <v>2383</v>
      </c>
      <c r="Q11" s="3073" t="s">
        <v>2384</v>
      </c>
      <c r="R11" s="6018" t="s">
        <v>2385</v>
      </c>
      <c r="S11" s="6019"/>
      <c r="T11" s="6020" t="s">
        <v>2386</v>
      </c>
      <c r="U11" s="6021"/>
      <c r="V11" s="3074" t="s">
        <v>2387</v>
      </c>
      <c r="W11" s="3074" t="s">
        <v>2388</v>
      </c>
      <c r="X11" s="3075" t="s">
        <v>2389</v>
      </c>
      <c r="Y11" s="3076"/>
      <c r="Z11" s="3075" t="s">
        <v>2390</v>
      </c>
      <c r="AA11" s="3076"/>
      <c r="AB11" s="3077" t="s">
        <v>2391</v>
      </c>
      <c r="AC11" s="3078"/>
      <c r="AD11" s="3079" t="s">
        <v>1365</v>
      </c>
      <c r="AE11" s="3079"/>
      <c r="AF11" s="3079"/>
      <c r="AG11" s="3080"/>
      <c r="AH11" s="3081" t="s">
        <v>2392</v>
      </c>
      <c r="AI11" s="3079"/>
      <c r="AJ11" s="3079"/>
      <c r="AK11" s="3079"/>
      <c r="AL11" s="3077" t="s">
        <v>2393</v>
      </c>
      <c r="AM11" s="3082"/>
      <c r="AN11" s="3082"/>
      <c r="AO11" s="3083"/>
      <c r="AP11" s="3084" t="s">
        <v>1361</v>
      </c>
      <c r="AQ11" s="3085" t="s">
        <v>1362</v>
      </c>
      <c r="AR11" s="3086"/>
      <c r="AS11" s="3087"/>
      <c r="AT11" s="3085" t="s">
        <v>2394</v>
      </c>
      <c r="AU11" s="3086"/>
      <c r="AV11" s="3087"/>
      <c r="AW11" s="3088" t="s">
        <v>2395</v>
      </c>
      <c r="AX11" s="3089"/>
      <c r="AY11" s="3090"/>
      <c r="AZ11" s="3084" t="s">
        <v>2396</v>
      </c>
      <c r="BA11" s="3091"/>
      <c r="BB11" s="3092" t="s">
        <v>2397</v>
      </c>
      <c r="BC11" s="3092" t="s">
        <v>2398</v>
      </c>
      <c r="BD11" s="3092" t="s">
        <v>294</v>
      </c>
      <c r="BE11" s="3092" t="s">
        <v>2399</v>
      </c>
      <c r="BF11" s="3093"/>
      <c r="BG11" s="3094" t="s">
        <v>2400</v>
      </c>
      <c r="BH11" s="3094" t="s">
        <v>2401</v>
      </c>
      <c r="BI11" s="3094" t="s">
        <v>2402</v>
      </c>
      <c r="BJ11" s="3093"/>
      <c r="BK11" s="3094" t="s">
        <v>2403</v>
      </c>
      <c r="BL11" s="3094" t="s">
        <v>2404</v>
      </c>
      <c r="BM11" s="3071"/>
      <c r="BN11" s="3164" t="s">
        <v>2405</v>
      </c>
      <c r="BO11" s="3164" t="s">
        <v>2406</v>
      </c>
      <c r="BP11" s="3164" t="s">
        <v>2407</v>
      </c>
    </row>
    <row r="12" spans="1:69" ht="45.75" customHeight="1">
      <c r="A12" s="6011"/>
      <c r="B12" s="6011"/>
      <c r="C12" s="6011"/>
      <c r="D12" s="6011"/>
      <c r="E12" s="6011"/>
      <c r="F12" s="6011"/>
      <c r="G12" s="6023"/>
      <c r="H12" s="6024"/>
      <c r="I12" s="6024"/>
      <c r="J12" s="6024"/>
      <c r="K12" s="6024"/>
      <c r="L12" s="6025"/>
      <c r="M12" s="3095" t="s">
        <v>2408</v>
      </c>
      <c r="N12" s="3096" t="s">
        <v>2409</v>
      </c>
      <c r="O12" s="3097" t="s">
        <v>2410</v>
      </c>
      <c r="P12" s="3098" t="s">
        <v>2411</v>
      </c>
      <c r="Q12" s="3096" t="s">
        <v>1427</v>
      </c>
      <c r="R12" s="3098" t="s">
        <v>2409</v>
      </c>
      <c r="S12" s="3099" t="s">
        <v>2412</v>
      </c>
      <c r="T12" s="3100" t="s">
        <v>2409</v>
      </c>
      <c r="U12" s="3101" t="s">
        <v>2413</v>
      </c>
      <c r="V12" s="3102" t="s">
        <v>2414</v>
      </c>
      <c r="W12" s="3100" t="s">
        <v>1427</v>
      </c>
      <c r="X12" s="3102" t="s">
        <v>2409</v>
      </c>
      <c r="Y12" s="3101" t="s">
        <v>2412</v>
      </c>
      <c r="Z12" s="3103" t="s">
        <v>2409</v>
      </c>
      <c r="AA12" s="3101" t="s">
        <v>2415</v>
      </c>
      <c r="AB12" s="3104" t="s">
        <v>2416</v>
      </c>
      <c r="AC12" s="3104" t="s">
        <v>2417</v>
      </c>
      <c r="AD12" s="3104" t="s">
        <v>2416</v>
      </c>
      <c r="AE12" s="3104" t="s">
        <v>2417</v>
      </c>
      <c r="AF12" s="3104" t="s">
        <v>2409</v>
      </c>
      <c r="AG12" s="3105" t="s">
        <v>2412</v>
      </c>
      <c r="AH12" s="3104" t="s">
        <v>2416</v>
      </c>
      <c r="AI12" s="3104" t="s">
        <v>2417</v>
      </c>
      <c r="AJ12" s="3104" t="s">
        <v>2409</v>
      </c>
      <c r="AK12" s="3105" t="s">
        <v>2412</v>
      </c>
      <c r="AL12" s="3104" t="s">
        <v>2416</v>
      </c>
      <c r="AM12" s="3104" t="s">
        <v>2417</v>
      </c>
      <c r="AN12" s="3104" t="s">
        <v>2418</v>
      </c>
      <c r="AO12" s="3105" t="s">
        <v>2412</v>
      </c>
      <c r="AP12" s="3106" t="s">
        <v>434</v>
      </c>
      <c r="AQ12" s="3106" t="s">
        <v>434</v>
      </c>
      <c r="AR12" s="3106" t="s">
        <v>2409</v>
      </c>
      <c r="AS12" s="3107" t="s">
        <v>2412</v>
      </c>
      <c r="AT12" s="3106" t="s">
        <v>434</v>
      </c>
      <c r="AU12" s="3106" t="s">
        <v>2409</v>
      </c>
      <c r="AV12" s="3107" t="s">
        <v>2412</v>
      </c>
      <c r="AW12" s="3106" t="s">
        <v>434</v>
      </c>
      <c r="AX12" s="3106" t="s">
        <v>2418</v>
      </c>
      <c r="AY12" s="3107" t="s">
        <v>2412</v>
      </c>
      <c r="AZ12" s="3106"/>
      <c r="BA12" s="3108"/>
      <c r="BB12" s="3109"/>
      <c r="BC12" s="3109"/>
      <c r="BD12" s="3109"/>
      <c r="BE12" s="3109"/>
      <c r="BF12" s="3093"/>
      <c r="BG12" s="3110"/>
      <c r="BH12" s="3110"/>
      <c r="BI12" s="3110"/>
      <c r="BJ12" s="3093"/>
      <c r="BK12" s="3110"/>
      <c r="BL12" s="3110"/>
      <c r="BM12" s="3071"/>
      <c r="BN12" s="3165"/>
      <c r="BO12" s="3165"/>
      <c r="BP12" s="3165"/>
      <c r="BQ12" s="3176" t="s">
        <v>2512</v>
      </c>
    </row>
    <row r="13" spans="1:69" ht="15">
      <c r="A13" s="3111"/>
      <c r="B13" s="3112"/>
      <c r="C13" s="3113"/>
      <c r="D13" s="3113"/>
      <c r="E13" s="3113"/>
      <c r="F13" s="3113"/>
      <c r="G13" s="3114"/>
      <c r="H13" s="3115"/>
      <c r="I13" s="3115"/>
      <c r="J13" s="3115"/>
      <c r="K13" s="3115"/>
      <c r="L13" s="3115"/>
      <c r="M13" s="3116"/>
      <c r="N13" s="3117"/>
      <c r="O13" s="3118"/>
      <c r="P13" s="3119"/>
      <c r="Q13" s="3117"/>
      <c r="R13" s="3119"/>
      <c r="S13" s="3118"/>
      <c r="T13" s="3119"/>
      <c r="U13" s="3118"/>
      <c r="V13" s="3119"/>
      <c r="W13" s="3117"/>
      <c r="X13" s="3119"/>
      <c r="Y13" s="3118"/>
      <c r="Z13" s="3119"/>
      <c r="AA13" s="3118"/>
      <c r="AB13" s="3119"/>
      <c r="AC13" s="3119"/>
      <c r="AD13" s="3119"/>
      <c r="AE13" s="3119"/>
      <c r="AF13" s="3119"/>
      <c r="AG13" s="3118"/>
      <c r="AH13" s="3119"/>
      <c r="AI13" s="3119"/>
      <c r="AJ13" s="3119"/>
      <c r="AK13" s="3118"/>
      <c r="AL13" s="3119"/>
      <c r="AM13" s="3119"/>
      <c r="AN13" s="3119"/>
      <c r="AO13" s="3118"/>
      <c r="AP13" s="3119"/>
      <c r="AQ13" s="3119"/>
      <c r="AR13" s="3169"/>
      <c r="AS13" s="3118"/>
      <c r="AT13" s="3119"/>
      <c r="AU13" s="3120"/>
      <c r="AV13" s="3118"/>
      <c r="AW13" s="3119"/>
      <c r="AX13" s="3119"/>
      <c r="AY13" s="3118"/>
      <c r="AZ13" s="3119"/>
      <c r="BA13" s="3120"/>
      <c r="BB13" s="3121"/>
      <c r="BC13" s="3121"/>
      <c r="BD13" s="3121"/>
      <c r="BE13" s="3119"/>
      <c r="BF13" s="3093"/>
      <c r="BG13" s="3119"/>
      <c r="BH13" s="3119"/>
      <c r="BI13" s="3119"/>
      <c r="BJ13" s="3093"/>
      <c r="BK13" s="3122"/>
      <c r="BL13" s="3122"/>
      <c r="BM13" s="3071"/>
      <c r="BN13" s="3118"/>
      <c r="BO13" s="3118"/>
      <c r="BP13" s="3118"/>
    </row>
    <row r="14" spans="1:69" ht="45">
      <c r="A14" s="3123">
        <v>1</v>
      </c>
      <c r="B14" s="3124" t="s">
        <v>1388</v>
      </c>
      <c r="C14" s="3125" t="s">
        <v>2419</v>
      </c>
      <c r="D14" s="3126" t="s">
        <v>258</v>
      </c>
      <c r="E14" s="3126" t="s">
        <v>2672</v>
      </c>
      <c r="F14" s="3126" t="s">
        <v>2673</v>
      </c>
      <c r="G14" s="3126" t="s">
        <v>2674</v>
      </c>
      <c r="H14" s="3127" t="s">
        <v>2420</v>
      </c>
      <c r="I14" s="3127"/>
      <c r="J14" s="3127"/>
      <c r="K14" s="3127"/>
      <c r="L14" s="3127"/>
      <c r="M14" s="3128">
        <v>44524</v>
      </c>
      <c r="N14" s="3129" t="s">
        <v>1389</v>
      </c>
      <c r="O14" s="3128">
        <v>44943</v>
      </c>
      <c r="P14" s="3130">
        <f t="shared" ref="P14:P44" si="0">IF(AND(O14&lt;&gt;0, M14&lt;&gt;0),NETWORKDAYS(M14,O14),"")</f>
        <v>300</v>
      </c>
      <c r="Q14" s="3131" t="str">
        <f t="shared" ref="Q14:Q44" si="1">IF(O14=" "," ",IF(O14-M14&lt;=28,"YES","NO"))</f>
        <v>NO</v>
      </c>
      <c r="R14" s="3129" t="s">
        <v>1390</v>
      </c>
      <c r="S14" s="3128">
        <v>44579</v>
      </c>
      <c r="T14" s="3132" t="s">
        <v>1391</v>
      </c>
      <c r="U14" s="3128">
        <v>44629</v>
      </c>
      <c r="V14" s="3130">
        <f>IF(AND(U14&lt;&gt;0, M14&lt;&gt;0),NETWORKDAYS(M14,U14),"")</f>
        <v>76</v>
      </c>
      <c r="W14" s="3131" t="str">
        <f t="shared" ref="W14:W42" si="2">IF(U14=0," ",IF(U14-M14&lt;=84,"YES","NO"))</f>
        <v>NO</v>
      </c>
      <c r="X14" s="3129" t="s">
        <v>1392</v>
      </c>
      <c r="Y14" s="3128">
        <v>44649</v>
      </c>
      <c r="Z14" s="3133"/>
      <c r="AA14" s="3128"/>
      <c r="AB14" s="3131">
        <v>93</v>
      </c>
      <c r="AC14" s="3131">
        <v>93</v>
      </c>
      <c r="AD14" s="3131">
        <v>30</v>
      </c>
      <c r="AE14" s="3131">
        <v>30</v>
      </c>
      <c r="AF14" s="3134"/>
      <c r="AG14" s="3128"/>
      <c r="AH14" s="3131"/>
      <c r="AI14" s="3131"/>
      <c r="AJ14" s="3134"/>
      <c r="AK14" s="3128"/>
      <c r="AL14" s="3133">
        <v>30</v>
      </c>
      <c r="AM14" s="3131">
        <v>0</v>
      </c>
      <c r="AN14" s="3129" t="s">
        <v>2481</v>
      </c>
      <c r="AO14" s="3128">
        <v>45003</v>
      </c>
      <c r="AP14" s="3133">
        <v>0</v>
      </c>
      <c r="AQ14" s="3167">
        <v>0</v>
      </c>
      <c r="AR14" s="3170"/>
      <c r="AS14" s="3128"/>
      <c r="AT14" s="3167"/>
      <c r="AU14" s="3135"/>
      <c r="AV14" s="3128"/>
      <c r="AW14" s="3133"/>
      <c r="AX14" s="3133"/>
      <c r="AY14" s="3136"/>
      <c r="AZ14" s="3129"/>
      <c r="BA14" s="3137"/>
      <c r="BB14" s="3138"/>
      <c r="BC14" s="3138" t="s">
        <v>2422</v>
      </c>
      <c r="BD14" s="3138" t="s">
        <v>1277</v>
      </c>
      <c r="BE14" s="3139"/>
      <c r="BF14" s="3093"/>
      <c r="BG14" s="3140" t="s">
        <v>2423</v>
      </c>
      <c r="BH14" s="3140"/>
      <c r="BI14" s="3140"/>
      <c r="BJ14" s="3093"/>
      <c r="BK14" s="3138"/>
      <c r="BL14" s="3138"/>
      <c r="BM14" s="3071"/>
      <c r="BN14" s="3168">
        <v>44474</v>
      </c>
      <c r="BO14" s="3168">
        <v>44557</v>
      </c>
      <c r="BP14" s="3168">
        <f>IF(BO14="","",IF(AND(BO14&lt;&gt;"",AL14=""),BO14,IF(AND(BO14&lt;&gt;"",AL14&lt;&gt;""),AL14+BO14)))</f>
        <v>44587</v>
      </c>
      <c r="BQ14" s="3177"/>
    </row>
    <row r="15" spans="1:69" ht="60">
      <c r="A15" s="3123">
        <v>2</v>
      </c>
      <c r="B15" s="3124" t="s">
        <v>2424</v>
      </c>
      <c r="C15" s="3125" t="s">
        <v>2425</v>
      </c>
      <c r="D15" s="3126" t="s">
        <v>258</v>
      </c>
      <c r="E15" s="3126" t="s">
        <v>2672</v>
      </c>
      <c r="F15" s="3126" t="s">
        <v>2675</v>
      </c>
      <c r="G15" s="3126" t="s">
        <v>1807</v>
      </c>
      <c r="H15" s="3127" t="s">
        <v>2420</v>
      </c>
      <c r="I15" s="3127" t="s">
        <v>2420</v>
      </c>
      <c r="J15" s="3127"/>
      <c r="K15" s="3127"/>
      <c r="L15" s="3127"/>
      <c r="M15" s="3128">
        <v>45045</v>
      </c>
      <c r="N15" s="3129" t="s">
        <v>2426</v>
      </c>
      <c r="O15" s="3128">
        <v>45045</v>
      </c>
      <c r="P15" s="3130">
        <f t="shared" si="0"/>
        <v>0</v>
      </c>
      <c r="Q15" s="3131" t="str">
        <f t="shared" si="1"/>
        <v>YES</v>
      </c>
      <c r="R15" s="3133"/>
      <c r="S15" s="3128"/>
      <c r="T15" s="3129" t="s">
        <v>2426</v>
      </c>
      <c r="U15" s="3128">
        <v>45045</v>
      </c>
      <c r="V15" s="3130">
        <f t="shared" ref="V15:V43" si="3">IF(AND(U15&lt;&gt;0, M15&lt;&gt;0),NETWORKDAYS(M15,U15),"")</f>
        <v>0</v>
      </c>
      <c r="W15" s="3131" t="str">
        <f t="shared" si="2"/>
        <v>YES</v>
      </c>
      <c r="X15" s="3133"/>
      <c r="Y15" s="3128"/>
      <c r="Z15" s="3133"/>
      <c r="AA15" s="3128"/>
      <c r="AB15" s="3131">
        <v>122</v>
      </c>
      <c r="AC15" s="3131">
        <v>122</v>
      </c>
      <c r="AD15" s="6001">
        <v>96</v>
      </c>
      <c r="AE15" s="6001">
        <v>96</v>
      </c>
      <c r="AF15" s="6004" t="s">
        <v>2572</v>
      </c>
      <c r="AG15" s="6007">
        <v>45242</v>
      </c>
      <c r="AH15" s="3131">
        <v>112</v>
      </c>
      <c r="AI15" s="3131">
        <f>AH15-15</f>
        <v>97</v>
      </c>
      <c r="AJ15" s="3134"/>
      <c r="AK15" s="3128"/>
      <c r="AL15" s="3133">
        <v>112</v>
      </c>
      <c r="AM15" s="3131">
        <f>+AP15*0.5</f>
        <v>326542.89500000002</v>
      </c>
      <c r="AN15" s="3133"/>
      <c r="AO15" s="3128"/>
      <c r="AP15" s="3133">
        <f>398296.86+254788.93</f>
        <v>653085.79</v>
      </c>
      <c r="AQ15" s="6001">
        <f>1267883.15*0+1491099.05</f>
        <v>1491099.05</v>
      </c>
      <c r="AR15" s="6004" t="s">
        <v>3147</v>
      </c>
      <c r="AS15" s="6012">
        <v>45578</v>
      </c>
      <c r="AT15" s="3133">
        <f>AM15</f>
        <v>326542.89500000002</v>
      </c>
      <c r="AU15" s="3133"/>
      <c r="AV15" s="3128"/>
      <c r="AW15" s="3133">
        <f>AM15</f>
        <v>326542.89500000002</v>
      </c>
      <c r="AX15" s="3133"/>
      <c r="AY15" s="3136"/>
      <c r="AZ15" s="6004" t="s">
        <v>3146</v>
      </c>
      <c r="BA15" s="3137"/>
      <c r="BB15" s="3138" t="s">
        <v>2421</v>
      </c>
      <c r="BC15" s="3138" t="s">
        <v>2422</v>
      </c>
      <c r="BD15" s="3138" t="s">
        <v>1277</v>
      </c>
      <c r="BE15" s="3139" t="s">
        <v>3145</v>
      </c>
      <c r="BF15" s="3142"/>
      <c r="BG15" s="3140"/>
      <c r="BH15" s="3140"/>
      <c r="BI15" s="3140"/>
      <c r="BJ15" s="3142"/>
      <c r="BK15" s="3138"/>
      <c r="BL15" s="3138"/>
      <c r="BM15" s="3071"/>
      <c r="BN15" s="3168">
        <v>44651</v>
      </c>
      <c r="BO15" s="3168">
        <v>45291</v>
      </c>
      <c r="BP15" s="3168">
        <f t="shared" ref="BP15:BP27" si="4">IF(BO15="","",IF(AND(BO15&lt;&gt;"",AL15=""),BO15,IF(AND(BO15&lt;&gt;"",AL15&lt;&gt;""),AL15+BO15)))</f>
        <v>45403</v>
      </c>
      <c r="BQ15" s="3177"/>
    </row>
    <row r="16" spans="1:69" ht="60">
      <c r="A16" s="3123">
        <v>2.1</v>
      </c>
      <c r="B16" s="3124" t="s">
        <v>2430</v>
      </c>
      <c r="C16" s="3125" t="s">
        <v>2425</v>
      </c>
      <c r="D16" s="3126" t="s">
        <v>258</v>
      </c>
      <c r="E16" s="3126" t="s">
        <v>2672</v>
      </c>
      <c r="F16" s="3126" t="s">
        <v>2675</v>
      </c>
      <c r="G16" s="3126" t="s">
        <v>1807</v>
      </c>
      <c r="H16" s="3127"/>
      <c r="I16" s="3127"/>
      <c r="J16" s="3127"/>
      <c r="K16" s="3127"/>
      <c r="L16" s="3127" t="s">
        <v>2420</v>
      </c>
      <c r="M16" s="3128">
        <v>45045</v>
      </c>
      <c r="N16" s="3129" t="s">
        <v>2426</v>
      </c>
      <c r="O16" s="3128">
        <v>45045</v>
      </c>
      <c r="P16" s="3130">
        <f t="shared" si="0"/>
        <v>0</v>
      </c>
      <c r="Q16" s="3131" t="str">
        <f t="shared" si="1"/>
        <v>YES</v>
      </c>
      <c r="R16" s="3133"/>
      <c r="S16" s="3128"/>
      <c r="T16" s="3129" t="s">
        <v>2426</v>
      </c>
      <c r="U16" s="3128">
        <v>45045</v>
      </c>
      <c r="V16" s="3130">
        <f t="shared" si="3"/>
        <v>0</v>
      </c>
      <c r="W16" s="3131" t="str">
        <f t="shared" si="2"/>
        <v>YES</v>
      </c>
      <c r="X16" s="3133"/>
      <c r="Y16" s="3128"/>
      <c r="Z16" s="3133"/>
      <c r="AA16" s="3128"/>
      <c r="AB16" s="3131">
        <v>122</v>
      </c>
      <c r="AC16" s="3131">
        <v>122</v>
      </c>
      <c r="AD16" s="6002"/>
      <c r="AE16" s="6002"/>
      <c r="AF16" s="6005"/>
      <c r="AG16" s="6008"/>
      <c r="AH16" s="3131">
        <v>112</v>
      </c>
      <c r="AI16" s="3131">
        <f>AH16-15</f>
        <v>97</v>
      </c>
      <c r="AJ16" s="3134"/>
      <c r="AK16" s="3128"/>
      <c r="AL16" s="3133">
        <v>112</v>
      </c>
      <c r="AM16" s="3131">
        <f>+AP16*0.5</f>
        <v>194579.22</v>
      </c>
      <c r="AN16" s="3133"/>
      <c r="AO16" s="3128"/>
      <c r="AP16" s="3133">
        <v>389158.44</v>
      </c>
      <c r="AQ16" s="6002"/>
      <c r="AR16" s="6005"/>
      <c r="AS16" s="6005"/>
      <c r="AT16" s="3133">
        <f t="shared" ref="AT16:AT29" si="5">AM16</f>
        <v>194579.22</v>
      </c>
      <c r="AU16" s="3133"/>
      <c r="AV16" s="3128"/>
      <c r="AW16" s="3133">
        <f t="shared" ref="AW16:AW29" si="6">AM16</f>
        <v>194579.22</v>
      </c>
      <c r="AX16" s="3133"/>
      <c r="AY16" s="3136"/>
      <c r="AZ16" s="6005"/>
      <c r="BA16" s="3137"/>
      <c r="BB16" s="3138" t="s">
        <v>2421</v>
      </c>
      <c r="BC16" s="3138" t="s">
        <v>2422</v>
      </c>
      <c r="BD16" s="3138" t="s">
        <v>1277</v>
      </c>
      <c r="BE16" s="3139" t="s">
        <v>3145</v>
      </c>
      <c r="BF16" s="3142"/>
      <c r="BG16" s="3140"/>
      <c r="BH16" s="3140"/>
      <c r="BI16" s="3140"/>
      <c r="BJ16" s="3142"/>
      <c r="BK16" s="3138"/>
      <c r="BL16" s="3138"/>
      <c r="BM16" s="3071"/>
      <c r="BN16" s="3168">
        <v>44651</v>
      </c>
      <c r="BO16" s="3168">
        <v>45291</v>
      </c>
      <c r="BP16" s="3168">
        <f t="shared" si="4"/>
        <v>45403</v>
      </c>
      <c r="BQ16" s="3177"/>
    </row>
    <row r="17" spans="1:69" ht="60">
      <c r="A17" s="3123">
        <v>2.2999999999999998</v>
      </c>
      <c r="B17" s="3124" t="s">
        <v>2432</v>
      </c>
      <c r="C17" s="3125" t="s">
        <v>2425</v>
      </c>
      <c r="D17" s="3126" t="s">
        <v>258</v>
      </c>
      <c r="E17" s="3126" t="s">
        <v>2672</v>
      </c>
      <c r="F17" s="3126" t="s">
        <v>2675</v>
      </c>
      <c r="G17" s="3126" t="s">
        <v>1807</v>
      </c>
      <c r="H17" s="3127" t="s">
        <v>2420</v>
      </c>
      <c r="I17" s="3127"/>
      <c r="J17" s="3127"/>
      <c r="K17" s="3127"/>
      <c r="L17" s="3127" t="s">
        <v>2420</v>
      </c>
      <c r="M17" s="3128">
        <v>45045</v>
      </c>
      <c r="N17" s="3129" t="s">
        <v>2426</v>
      </c>
      <c r="O17" s="3128">
        <v>45045</v>
      </c>
      <c r="P17" s="3130">
        <f t="shared" si="0"/>
        <v>0</v>
      </c>
      <c r="Q17" s="3131" t="str">
        <f t="shared" si="1"/>
        <v>YES</v>
      </c>
      <c r="R17" s="3133"/>
      <c r="S17" s="3128"/>
      <c r="T17" s="3129" t="s">
        <v>2426</v>
      </c>
      <c r="U17" s="3128">
        <v>45045</v>
      </c>
      <c r="V17" s="3130">
        <f t="shared" si="3"/>
        <v>0</v>
      </c>
      <c r="W17" s="3131" t="str">
        <f t="shared" si="2"/>
        <v>YES</v>
      </c>
      <c r="X17" s="3133"/>
      <c r="Y17" s="3128"/>
      <c r="Z17" s="3133"/>
      <c r="AA17" s="3128"/>
      <c r="AB17" s="3131">
        <v>122</v>
      </c>
      <c r="AC17" s="3131">
        <v>122</v>
      </c>
      <c r="AD17" s="6002"/>
      <c r="AE17" s="6002"/>
      <c r="AF17" s="6005"/>
      <c r="AG17" s="6008"/>
      <c r="AH17" s="3131">
        <v>112</v>
      </c>
      <c r="AI17" s="3131">
        <f>AH17-15</f>
        <v>97</v>
      </c>
      <c r="AJ17" s="3134"/>
      <c r="AK17" s="3128"/>
      <c r="AL17" s="3133">
        <v>112</v>
      </c>
      <c r="AM17" s="3131">
        <f>+AP17*0.5</f>
        <v>2772915.4850709061</v>
      </c>
      <c r="AN17" s="3133"/>
      <c r="AO17" s="3128"/>
      <c r="AP17" s="3133">
        <v>5545830.9701418122</v>
      </c>
      <c r="AQ17" s="6002"/>
      <c r="AR17" s="6005"/>
      <c r="AS17" s="6005"/>
      <c r="AT17" s="3133">
        <f t="shared" si="5"/>
        <v>2772915.4850709061</v>
      </c>
      <c r="AU17" s="3133"/>
      <c r="AV17" s="3128"/>
      <c r="AW17" s="3133">
        <f t="shared" si="6"/>
        <v>2772915.4850709061</v>
      </c>
      <c r="AX17" s="3133"/>
      <c r="AY17" s="3136"/>
      <c r="AZ17" s="6005"/>
      <c r="BA17" s="3137"/>
      <c r="BB17" s="3138" t="s">
        <v>2421</v>
      </c>
      <c r="BC17" s="3138" t="s">
        <v>2422</v>
      </c>
      <c r="BD17" s="3138" t="s">
        <v>1277</v>
      </c>
      <c r="BE17" s="3139" t="s">
        <v>3145</v>
      </c>
      <c r="BF17" s="3142"/>
      <c r="BG17" s="3140"/>
      <c r="BH17" s="3140"/>
      <c r="BI17" s="3140"/>
      <c r="BJ17" s="3142"/>
      <c r="BK17" s="3138"/>
      <c r="BL17" s="3138"/>
      <c r="BM17" s="3071"/>
      <c r="BN17" s="3168">
        <v>44651</v>
      </c>
      <c r="BO17" s="3168">
        <v>45291</v>
      </c>
      <c r="BP17" s="3168">
        <f t="shared" si="4"/>
        <v>45403</v>
      </c>
      <c r="BQ17" s="3177"/>
    </row>
    <row r="18" spans="1:69" ht="60">
      <c r="A18" s="3123">
        <v>2.4</v>
      </c>
      <c r="B18" s="3124" t="s">
        <v>2433</v>
      </c>
      <c r="C18" s="3125" t="s">
        <v>2425</v>
      </c>
      <c r="D18" s="3126" t="s">
        <v>258</v>
      </c>
      <c r="E18" s="3126" t="s">
        <v>2672</v>
      </c>
      <c r="F18" s="3126" t="s">
        <v>2675</v>
      </c>
      <c r="G18" s="3126" t="s">
        <v>1807</v>
      </c>
      <c r="H18" s="3127"/>
      <c r="I18" s="3127"/>
      <c r="J18" s="3127"/>
      <c r="K18" s="3127"/>
      <c r="L18" s="3127" t="s">
        <v>2420</v>
      </c>
      <c r="M18" s="3128">
        <v>45045</v>
      </c>
      <c r="N18" s="3129" t="s">
        <v>2426</v>
      </c>
      <c r="O18" s="3128">
        <v>45045</v>
      </c>
      <c r="P18" s="3130">
        <f t="shared" si="0"/>
        <v>0</v>
      </c>
      <c r="Q18" s="3131" t="str">
        <f t="shared" si="1"/>
        <v>YES</v>
      </c>
      <c r="R18" s="3133"/>
      <c r="S18" s="3128"/>
      <c r="T18" s="3129" t="s">
        <v>2426</v>
      </c>
      <c r="U18" s="3128">
        <v>45045</v>
      </c>
      <c r="V18" s="3130">
        <f t="shared" si="3"/>
        <v>0</v>
      </c>
      <c r="W18" s="3131" t="str">
        <f t="shared" si="2"/>
        <v>YES</v>
      </c>
      <c r="X18" s="3133"/>
      <c r="Y18" s="3128"/>
      <c r="Z18" s="3133"/>
      <c r="AA18" s="3128"/>
      <c r="AB18" s="3131">
        <v>122</v>
      </c>
      <c r="AC18" s="3131">
        <v>122</v>
      </c>
      <c r="AD18" s="6003"/>
      <c r="AE18" s="6003"/>
      <c r="AF18" s="6006"/>
      <c r="AG18" s="6009"/>
      <c r="AH18" s="3131">
        <v>112</v>
      </c>
      <c r="AI18" s="3131">
        <f>AH18-15</f>
        <v>97</v>
      </c>
      <c r="AJ18" s="3134"/>
      <c r="AK18" s="3128"/>
      <c r="AL18" s="3133">
        <v>112</v>
      </c>
      <c r="AM18" s="3131">
        <f>+AP18*0.5</f>
        <v>79505.063333333339</v>
      </c>
      <c r="AN18" s="3133"/>
      <c r="AO18" s="3128"/>
      <c r="AP18" s="3133">
        <f>139344.65/3+112561.91</f>
        <v>159010.12666666668</v>
      </c>
      <c r="AQ18" s="6003"/>
      <c r="AR18" s="6006"/>
      <c r="AS18" s="6006"/>
      <c r="AT18" s="3133">
        <f t="shared" si="5"/>
        <v>79505.063333333339</v>
      </c>
      <c r="AU18" s="3133"/>
      <c r="AV18" s="3128"/>
      <c r="AW18" s="3133">
        <f t="shared" si="6"/>
        <v>79505.063333333339</v>
      </c>
      <c r="AX18" s="3133"/>
      <c r="AY18" s="3136"/>
      <c r="AZ18" s="6006"/>
      <c r="BA18" s="3137"/>
      <c r="BB18" s="3138" t="s">
        <v>2421</v>
      </c>
      <c r="BC18" s="3138" t="s">
        <v>2422</v>
      </c>
      <c r="BD18" s="3138" t="s">
        <v>1277</v>
      </c>
      <c r="BE18" s="3139" t="s">
        <v>3145</v>
      </c>
      <c r="BF18" s="3142"/>
      <c r="BG18" s="3140"/>
      <c r="BH18" s="3140"/>
      <c r="BI18" s="3140"/>
      <c r="BJ18" s="3142"/>
      <c r="BK18" s="3138"/>
      <c r="BL18" s="3138"/>
      <c r="BM18" s="3071"/>
      <c r="BN18" s="3168">
        <v>44651</v>
      </c>
      <c r="BO18" s="3168">
        <v>45291</v>
      </c>
      <c r="BP18" s="3168">
        <f t="shared" si="4"/>
        <v>45403</v>
      </c>
      <c r="BQ18" s="3177"/>
    </row>
    <row r="19" spans="1:69" ht="60" hidden="1">
      <c r="A19" s="3123">
        <v>3</v>
      </c>
      <c r="B19" s="3124" t="s">
        <v>2424</v>
      </c>
      <c r="C19" s="3125" t="s">
        <v>2434</v>
      </c>
      <c r="D19" s="3126" t="s">
        <v>263</v>
      </c>
      <c r="E19" s="3126" t="s">
        <v>2677</v>
      </c>
      <c r="F19" s="3126" t="s">
        <v>2675</v>
      </c>
      <c r="G19" s="3126" t="s">
        <v>1807</v>
      </c>
      <c r="H19" s="3127" t="s">
        <v>2420</v>
      </c>
      <c r="I19" s="3127" t="s">
        <v>2420</v>
      </c>
      <c r="J19" s="3127"/>
      <c r="K19" s="3127"/>
      <c r="L19" s="3127"/>
      <c r="M19" s="3128">
        <v>45045</v>
      </c>
      <c r="N19" s="3129" t="s">
        <v>2426</v>
      </c>
      <c r="O19" s="3128">
        <v>45045</v>
      </c>
      <c r="P19" s="3130">
        <f t="shared" si="0"/>
        <v>0</v>
      </c>
      <c r="Q19" s="3131" t="str">
        <f t="shared" si="1"/>
        <v>YES</v>
      </c>
      <c r="R19" s="3133"/>
      <c r="S19" s="3128"/>
      <c r="T19" s="3133" t="s">
        <v>2426</v>
      </c>
      <c r="U19" s="3128">
        <v>45045</v>
      </c>
      <c r="V19" s="3130">
        <f t="shared" si="3"/>
        <v>0</v>
      </c>
      <c r="W19" s="3131" t="str">
        <f t="shared" si="2"/>
        <v>YES</v>
      </c>
      <c r="X19" s="3133"/>
      <c r="Y19" s="3128"/>
      <c r="Z19" s="3133"/>
      <c r="AA19" s="3128"/>
      <c r="AB19" s="3131">
        <v>143</v>
      </c>
      <c r="AC19" s="3131">
        <v>143</v>
      </c>
      <c r="AD19" s="3131"/>
      <c r="AE19" s="3131"/>
      <c r="AF19" s="3134"/>
      <c r="AG19" s="3128"/>
      <c r="AH19" s="3131">
        <v>83</v>
      </c>
      <c r="AI19" s="3131">
        <f>AH19-14</f>
        <v>69</v>
      </c>
      <c r="AJ19" s="3134"/>
      <c r="AK19" s="3128"/>
      <c r="AL19" s="3133">
        <v>83</v>
      </c>
      <c r="AM19" s="3131">
        <v>558459.06000000006</v>
      </c>
      <c r="AN19" s="3133"/>
      <c r="AO19" s="3128"/>
      <c r="AP19" s="3133">
        <f>1275564.47+815973.55</f>
        <v>2091538.02</v>
      </c>
      <c r="AQ19" s="3133">
        <f t="shared" ref="AQ19:AQ29" si="7">AM19</f>
        <v>558459.06000000006</v>
      </c>
      <c r="AR19" s="3141" t="s">
        <v>2427</v>
      </c>
      <c r="AS19" s="3128"/>
      <c r="AT19" s="3133">
        <f t="shared" si="5"/>
        <v>558459.06000000006</v>
      </c>
      <c r="AU19" s="3133"/>
      <c r="AV19" s="3128"/>
      <c r="AW19" s="3133">
        <f t="shared" si="6"/>
        <v>558459.06000000006</v>
      </c>
      <c r="AX19" s="3133"/>
      <c r="AY19" s="3136"/>
      <c r="AZ19" s="3129" t="s">
        <v>2428</v>
      </c>
      <c r="BA19" s="3137"/>
      <c r="BB19" s="3138" t="s">
        <v>2421</v>
      </c>
      <c r="BC19" s="3138" t="s">
        <v>2007</v>
      </c>
      <c r="BD19" s="3138" t="s">
        <v>2429</v>
      </c>
      <c r="BE19" s="3139" t="s">
        <v>2435</v>
      </c>
      <c r="BF19" s="3142"/>
      <c r="BG19" s="3140"/>
      <c r="BH19" s="3140"/>
      <c r="BI19" s="3140"/>
      <c r="BJ19" s="3142"/>
      <c r="BK19" s="3138"/>
      <c r="BL19" s="3138"/>
      <c r="BM19" s="3071"/>
      <c r="BN19" s="3138">
        <v>44651</v>
      </c>
      <c r="BO19" s="3138">
        <v>45066</v>
      </c>
      <c r="BP19" s="3138">
        <f t="shared" si="4"/>
        <v>45149</v>
      </c>
      <c r="BQ19"/>
    </row>
    <row r="20" spans="1:69" ht="60" hidden="1">
      <c r="A20" s="3123">
        <v>3.1</v>
      </c>
      <c r="B20" s="3124" t="s">
        <v>2430</v>
      </c>
      <c r="C20" s="3125" t="s">
        <v>2434</v>
      </c>
      <c r="D20" s="3126" t="s">
        <v>263</v>
      </c>
      <c r="E20" s="3126" t="s">
        <v>2677</v>
      </c>
      <c r="F20" s="3126" t="s">
        <v>2675</v>
      </c>
      <c r="G20" s="3126" t="s">
        <v>1807</v>
      </c>
      <c r="H20" s="3127"/>
      <c r="I20" s="3127"/>
      <c r="J20" s="3127"/>
      <c r="K20" s="3127"/>
      <c r="L20" s="3127" t="s">
        <v>2420</v>
      </c>
      <c r="M20" s="3128">
        <v>45045</v>
      </c>
      <c r="N20" s="3129" t="s">
        <v>2426</v>
      </c>
      <c r="O20" s="3128">
        <v>45045</v>
      </c>
      <c r="P20" s="3130">
        <f t="shared" si="0"/>
        <v>0</v>
      </c>
      <c r="Q20" s="3131" t="str">
        <f t="shared" si="1"/>
        <v>YES</v>
      </c>
      <c r="R20" s="3133"/>
      <c r="S20" s="3128"/>
      <c r="T20" s="3133" t="s">
        <v>2426</v>
      </c>
      <c r="U20" s="3128">
        <v>45045</v>
      </c>
      <c r="V20" s="3130">
        <f t="shared" si="3"/>
        <v>0</v>
      </c>
      <c r="W20" s="3131" t="str">
        <f t="shared" si="2"/>
        <v>YES</v>
      </c>
      <c r="X20" s="3133"/>
      <c r="Y20" s="3128"/>
      <c r="Z20" s="3133"/>
      <c r="AA20" s="3128"/>
      <c r="AB20" s="3131">
        <v>143</v>
      </c>
      <c r="AC20" s="3131">
        <v>143</v>
      </c>
      <c r="AD20" s="3131"/>
      <c r="AE20" s="3131"/>
      <c r="AF20" s="3134"/>
      <c r="AG20" s="3128"/>
      <c r="AH20" s="3131">
        <v>83</v>
      </c>
      <c r="AI20" s="3131">
        <f>AH20-14</f>
        <v>69</v>
      </c>
      <c r="AJ20" s="3134"/>
      <c r="AK20" s="3128"/>
      <c r="AL20" s="3133">
        <v>83</v>
      </c>
      <c r="AM20" s="3131">
        <f>AP20*80%</f>
        <v>161161.60800000001</v>
      </c>
      <c r="AN20" s="3133"/>
      <c r="AO20" s="3128"/>
      <c r="AP20" s="3133">
        <v>201452.01</v>
      </c>
      <c r="AQ20" s="3133">
        <f t="shared" si="7"/>
        <v>161161.60800000001</v>
      </c>
      <c r="AR20" s="3141" t="s">
        <v>2427</v>
      </c>
      <c r="AS20" s="3128"/>
      <c r="AT20" s="3133">
        <f t="shared" si="5"/>
        <v>161161.60800000001</v>
      </c>
      <c r="AU20" s="3133"/>
      <c r="AV20" s="3128"/>
      <c r="AW20" s="3133">
        <f t="shared" si="6"/>
        <v>161161.60800000001</v>
      </c>
      <c r="AX20" s="3133"/>
      <c r="AY20" s="3136"/>
      <c r="AZ20" s="3129" t="s">
        <v>2428</v>
      </c>
      <c r="BA20" s="3137"/>
      <c r="BB20" s="3138" t="s">
        <v>2421</v>
      </c>
      <c r="BC20" s="3138" t="s">
        <v>2007</v>
      </c>
      <c r="BD20" s="3138" t="s">
        <v>2431</v>
      </c>
      <c r="BE20" s="3139" t="s">
        <v>2436</v>
      </c>
      <c r="BF20" s="3142"/>
      <c r="BG20" s="3140"/>
      <c r="BH20" s="3140"/>
      <c r="BI20" s="3140"/>
      <c r="BJ20" s="3142"/>
      <c r="BK20" s="3138"/>
      <c r="BL20" s="3138"/>
      <c r="BM20" s="3071"/>
      <c r="BN20" s="3138">
        <v>44651</v>
      </c>
      <c r="BO20" s="3138">
        <v>45066</v>
      </c>
      <c r="BP20" s="3138">
        <f t="shared" si="4"/>
        <v>45149</v>
      </c>
      <c r="BQ20"/>
    </row>
    <row r="21" spans="1:69" ht="60" hidden="1">
      <c r="A21" s="3123">
        <v>3.2</v>
      </c>
      <c r="B21" s="3124" t="s">
        <v>2432</v>
      </c>
      <c r="C21" s="3125" t="s">
        <v>2434</v>
      </c>
      <c r="D21" s="3126" t="s">
        <v>263</v>
      </c>
      <c r="E21" s="3126" t="s">
        <v>2677</v>
      </c>
      <c r="F21" s="3126" t="s">
        <v>2675</v>
      </c>
      <c r="G21" s="3126" t="s">
        <v>1807</v>
      </c>
      <c r="H21" s="3127" t="s">
        <v>2420</v>
      </c>
      <c r="I21" s="3127"/>
      <c r="J21" s="3127"/>
      <c r="K21" s="3127"/>
      <c r="L21" s="3127" t="s">
        <v>2420</v>
      </c>
      <c r="M21" s="3128">
        <v>45045</v>
      </c>
      <c r="N21" s="3129" t="s">
        <v>2426</v>
      </c>
      <c r="O21" s="3128">
        <v>45045</v>
      </c>
      <c r="P21" s="3130">
        <f t="shared" si="0"/>
        <v>0</v>
      </c>
      <c r="Q21" s="3131" t="str">
        <f t="shared" si="1"/>
        <v>YES</v>
      </c>
      <c r="R21" s="3133"/>
      <c r="S21" s="3128"/>
      <c r="T21" s="3133" t="s">
        <v>2426</v>
      </c>
      <c r="U21" s="3128">
        <v>45045</v>
      </c>
      <c r="V21" s="3130">
        <f t="shared" si="3"/>
        <v>0</v>
      </c>
      <c r="W21" s="3131" t="str">
        <f t="shared" si="2"/>
        <v>YES</v>
      </c>
      <c r="X21" s="3133"/>
      <c r="Y21" s="3128"/>
      <c r="Z21" s="3133"/>
      <c r="AA21" s="3128"/>
      <c r="AB21" s="3131">
        <v>143</v>
      </c>
      <c r="AC21" s="3131">
        <v>143</v>
      </c>
      <c r="AD21" s="3131"/>
      <c r="AE21" s="3131"/>
      <c r="AF21" s="3134"/>
      <c r="AG21" s="3128"/>
      <c r="AH21" s="3131">
        <v>83</v>
      </c>
      <c r="AI21" s="3131">
        <f>AH21-14</f>
        <v>69</v>
      </c>
      <c r="AJ21" s="3134"/>
      <c r="AK21" s="3128"/>
      <c r="AL21" s="3133">
        <v>83</v>
      </c>
      <c r="AM21" s="3131">
        <v>1648361.58</v>
      </c>
      <c r="AN21" s="3133"/>
      <c r="AO21" s="3128"/>
      <c r="AP21" s="3133">
        <v>12477085.347609024</v>
      </c>
      <c r="AQ21" s="3133">
        <f t="shared" si="7"/>
        <v>1648361.58</v>
      </c>
      <c r="AR21" s="3141" t="s">
        <v>2427</v>
      </c>
      <c r="AS21" s="3128"/>
      <c r="AT21" s="3133">
        <f t="shared" si="5"/>
        <v>1648361.58</v>
      </c>
      <c r="AU21" s="3133"/>
      <c r="AV21" s="3128"/>
      <c r="AW21" s="3133">
        <f t="shared" si="6"/>
        <v>1648361.58</v>
      </c>
      <c r="AX21" s="3133"/>
      <c r="AY21" s="3136"/>
      <c r="AZ21" s="3129" t="s">
        <v>2428</v>
      </c>
      <c r="BA21" s="3137"/>
      <c r="BB21" s="3138" t="s">
        <v>2421</v>
      </c>
      <c r="BC21" s="3138" t="s">
        <v>2007</v>
      </c>
      <c r="BD21" s="3138" t="s">
        <v>2429</v>
      </c>
      <c r="BE21" s="3139" t="s">
        <v>2437</v>
      </c>
      <c r="BF21" s="3142"/>
      <c r="BG21" s="3140"/>
      <c r="BH21" s="3140"/>
      <c r="BI21" s="3140"/>
      <c r="BJ21" s="3142"/>
      <c r="BK21" s="3138"/>
      <c r="BL21" s="3138"/>
      <c r="BM21" s="3071"/>
      <c r="BN21" s="3138">
        <v>44651</v>
      </c>
      <c r="BO21" s="3138">
        <v>45066</v>
      </c>
      <c r="BP21" s="3138">
        <f t="shared" si="4"/>
        <v>45149</v>
      </c>
      <c r="BQ21"/>
    </row>
    <row r="22" spans="1:69" ht="60" hidden="1">
      <c r="A22" s="3123">
        <v>3.3</v>
      </c>
      <c r="B22" s="3124" t="s">
        <v>2438</v>
      </c>
      <c r="C22" s="3125" t="s">
        <v>2434</v>
      </c>
      <c r="D22" s="3126" t="s">
        <v>263</v>
      </c>
      <c r="E22" s="3126" t="s">
        <v>2677</v>
      </c>
      <c r="F22" s="3126" t="s">
        <v>2675</v>
      </c>
      <c r="G22" s="3126" t="s">
        <v>1807</v>
      </c>
      <c r="H22" s="3127"/>
      <c r="I22" s="3127"/>
      <c r="J22" s="3127"/>
      <c r="K22" s="3127"/>
      <c r="L22" s="3127" t="s">
        <v>2420</v>
      </c>
      <c r="M22" s="3128">
        <v>45045</v>
      </c>
      <c r="N22" s="3129" t="s">
        <v>2426</v>
      </c>
      <c r="O22" s="3128">
        <v>45045</v>
      </c>
      <c r="P22" s="3130">
        <f t="shared" si="0"/>
        <v>0</v>
      </c>
      <c r="Q22" s="3131" t="str">
        <f t="shared" si="1"/>
        <v>YES</v>
      </c>
      <c r="R22" s="3133"/>
      <c r="S22" s="3128"/>
      <c r="T22" s="3133" t="s">
        <v>2426</v>
      </c>
      <c r="U22" s="3128">
        <v>45045</v>
      </c>
      <c r="V22" s="3130">
        <f t="shared" si="3"/>
        <v>0</v>
      </c>
      <c r="W22" s="3131" t="str">
        <f t="shared" si="2"/>
        <v>YES</v>
      </c>
      <c r="X22" s="3133"/>
      <c r="Y22" s="3128"/>
      <c r="Z22" s="3133"/>
      <c r="AA22" s="3128"/>
      <c r="AB22" s="3131">
        <v>143</v>
      </c>
      <c r="AC22" s="3131">
        <v>143</v>
      </c>
      <c r="AD22" s="3131"/>
      <c r="AE22" s="3131"/>
      <c r="AF22" s="3134"/>
      <c r="AG22" s="3128"/>
      <c r="AH22" s="3131">
        <v>83</v>
      </c>
      <c r="AI22" s="3131">
        <f>AH22-14</f>
        <v>69</v>
      </c>
      <c r="AJ22" s="3134"/>
      <c r="AK22" s="3128"/>
      <c r="AL22" s="3133">
        <v>83</v>
      </c>
      <c r="AM22" s="3131">
        <f>111475.72/3</f>
        <v>37158.573333333334</v>
      </c>
      <c r="AN22" s="3133"/>
      <c r="AO22" s="3128"/>
      <c r="AP22" s="3133">
        <f>139344.65/3+112561.91</f>
        <v>159010.12666666668</v>
      </c>
      <c r="AQ22" s="3133">
        <f t="shared" si="7"/>
        <v>37158.573333333334</v>
      </c>
      <c r="AR22" s="3141" t="s">
        <v>2427</v>
      </c>
      <c r="AS22" s="3128"/>
      <c r="AT22" s="3133">
        <f t="shared" si="5"/>
        <v>37158.573333333334</v>
      </c>
      <c r="AU22" s="3133"/>
      <c r="AV22" s="3128"/>
      <c r="AW22" s="3133">
        <f t="shared" si="6"/>
        <v>37158.573333333334</v>
      </c>
      <c r="AX22" s="3133"/>
      <c r="AY22" s="3136"/>
      <c r="AZ22" s="3129" t="s">
        <v>2428</v>
      </c>
      <c r="BA22" s="3137"/>
      <c r="BB22" s="3138" t="s">
        <v>2421</v>
      </c>
      <c r="BC22" s="3138" t="s">
        <v>2007</v>
      </c>
      <c r="BD22" s="3138" t="s">
        <v>2429</v>
      </c>
      <c r="BE22" s="3139" t="s">
        <v>2439</v>
      </c>
      <c r="BF22" s="3142"/>
      <c r="BG22" s="3140"/>
      <c r="BH22" s="3140"/>
      <c r="BI22" s="3140"/>
      <c r="BJ22" s="3142"/>
      <c r="BK22" s="3138"/>
      <c r="BL22" s="3138"/>
      <c r="BM22" s="3071"/>
      <c r="BN22" s="3138">
        <v>44651</v>
      </c>
      <c r="BO22" s="3138">
        <v>45066</v>
      </c>
      <c r="BP22" s="3138">
        <f t="shared" si="4"/>
        <v>45149</v>
      </c>
      <c r="BQ22"/>
    </row>
    <row r="23" spans="1:69" ht="60" hidden="1">
      <c r="A23" s="3123">
        <v>3.4</v>
      </c>
      <c r="B23" s="3124" t="s">
        <v>2440</v>
      </c>
      <c r="C23" s="3125" t="s">
        <v>2434</v>
      </c>
      <c r="D23" s="3126" t="s">
        <v>263</v>
      </c>
      <c r="E23" s="3126" t="s">
        <v>2677</v>
      </c>
      <c r="F23" s="3126" t="s">
        <v>2675</v>
      </c>
      <c r="G23" s="3126" t="s">
        <v>1807</v>
      </c>
      <c r="H23" s="3127"/>
      <c r="I23" s="3127"/>
      <c r="J23" s="3127"/>
      <c r="K23" s="3127"/>
      <c r="L23" s="3127" t="s">
        <v>2420</v>
      </c>
      <c r="M23" s="3128">
        <v>45045</v>
      </c>
      <c r="N23" s="3129" t="s">
        <v>2426</v>
      </c>
      <c r="O23" s="3128">
        <v>45045</v>
      </c>
      <c r="P23" s="3130">
        <f t="shared" si="0"/>
        <v>0</v>
      </c>
      <c r="Q23" s="3131" t="str">
        <f t="shared" si="1"/>
        <v>YES</v>
      </c>
      <c r="R23" s="3133"/>
      <c r="S23" s="3128"/>
      <c r="T23" s="3133" t="s">
        <v>2426</v>
      </c>
      <c r="U23" s="3128">
        <v>45045</v>
      </c>
      <c r="V23" s="3130">
        <f t="shared" si="3"/>
        <v>0</v>
      </c>
      <c r="W23" s="3131" t="str">
        <f t="shared" si="2"/>
        <v>YES</v>
      </c>
      <c r="X23" s="3133"/>
      <c r="Y23" s="3128"/>
      <c r="Z23" s="3133"/>
      <c r="AA23" s="3128"/>
      <c r="AB23" s="3131">
        <v>143</v>
      </c>
      <c r="AC23" s="3131">
        <v>143</v>
      </c>
      <c r="AD23" s="3131"/>
      <c r="AE23" s="3131"/>
      <c r="AF23" s="3134"/>
      <c r="AG23" s="3128"/>
      <c r="AH23" s="3131">
        <v>83</v>
      </c>
      <c r="AI23" s="3131">
        <f>AH23-14</f>
        <v>69</v>
      </c>
      <c r="AJ23" s="3134"/>
      <c r="AK23" s="3128"/>
      <c r="AL23" s="3133">
        <v>83</v>
      </c>
      <c r="AM23" s="3131">
        <v>2596990.7429220639</v>
      </c>
      <c r="AN23" s="3133"/>
      <c r="AO23" s="3128"/>
      <c r="AP23" s="3133">
        <v>3133416.2120126039</v>
      </c>
      <c r="AQ23" s="3133">
        <f t="shared" si="7"/>
        <v>2596990.7429220639</v>
      </c>
      <c r="AR23" s="3141" t="s">
        <v>2427</v>
      </c>
      <c r="AS23" s="3128"/>
      <c r="AT23" s="3133">
        <f t="shared" si="5"/>
        <v>2596990.7429220639</v>
      </c>
      <c r="AU23" s="3133"/>
      <c r="AV23" s="3128"/>
      <c r="AW23" s="3133">
        <f t="shared" si="6"/>
        <v>2596990.7429220639</v>
      </c>
      <c r="AX23" s="3133"/>
      <c r="AY23" s="3136"/>
      <c r="AZ23" s="3129" t="s">
        <v>2428</v>
      </c>
      <c r="BA23" s="3137"/>
      <c r="BB23" s="3138" t="s">
        <v>2421</v>
      </c>
      <c r="BC23" s="3138" t="s">
        <v>2007</v>
      </c>
      <c r="BD23" s="3138" t="s">
        <v>2429</v>
      </c>
      <c r="BE23" s="3139" t="s">
        <v>2439</v>
      </c>
      <c r="BF23" s="3142"/>
      <c r="BG23" s="3140"/>
      <c r="BH23" s="3140"/>
      <c r="BI23" s="3140"/>
      <c r="BJ23" s="3142"/>
      <c r="BK23" s="3138"/>
      <c r="BL23" s="3138"/>
      <c r="BM23" s="3071"/>
      <c r="BN23" s="3138">
        <v>44651</v>
      </c>
      <c r="BO23" s="3138">
        <v>45066</v>
      </c>
      <c r="BP23" s="3138">
        <f t="shared" si="4"/>
        <v>45149</v>
      </c>
      <c r="BQ23"/>
    </row>
    <row r="24" spans="1:69" ht="60" hidden="1">
      <c r="A24" s="3123">
        <v>4</v>
      </c>
      <c r="B24" s="3124" t="s">
        <v>2424</v>
      </c>
      <c r="C24" s="3125" t="s">
        <v>2441</v>
      </c>
      <c r="D24" s="3126" t="s">
        <v>247</v>
      </c>
      <c r="E24" s="3126" t="s">
        <v>2678</v>
      </c>
      <c r="F24" s="3126" t="s">
        <v>2675</v>
      </c>
      <c r="G24" s="3126" t="s">
        <v>1807</v>
      </c>
      <c r="H24" s="3127" t="s">
        <v>2420</v>
      </c>
      <c r="I24" s="3127" t="s">
        <v>2420</v>
      </c>
      <c r="J24" s="3127"/>
      <c r="K24" s="3127"/>
      <c r="L24" s="3127"/>
      <c r="M24" s="3128">
        <v>45045</v>
      </c>
      <c r="N24" s="3129" t="s">
        <v>2426</v>
      </c>
      <c r="O24" s="3128">
        <v>45045</v>
      </c>
      <c r="P24" s="3130">
        <f t="shared" si="0"/>
        <v>0</v>
      </c>
      <c r="Q24" s="3131" t="str">
        <f t="shared" si="1"/>
        <v>YES</v>
      </c>
      <c r="R24" s="3133"/>
      <c r="S24" s="3128"/>
      <c r="T24" s="3133" t="s">
        <v>2426</v>
      </c>
      <c r="U24" s="3128">
        <v>45045</v>
      </c>
      <c r="V24" s="3130">
        <f t="shared" si="3"/>
        <v>0</v>
      </c>
      <c r="W24" s="3131" t="str">
        <f t="shared" si="2"/>
        <v>YES</v>
      </c>
      <c r="X24" s="3133"/>
      <c r="Y24" s="3128"/>
      <c r="Z24" s="3133"/>
      <c r="AA24" s="3128"/>
      <c r="AB24" s="3131">
        <v>156</v>
      </c>
      <c r="AC24" s="3131">
        <v>156</v>
      </c>
      <c r="AD24" s="3131"/>
      <c r="AE24" s="3131"/>
      <c r="AF24" s="3134"/>
      <c r="AG24" s="3128"/>
      <c r="AH24" s="3131">
        <v>122</v>
      </c>
      <c r="AI24" s="3131">
        <f>AH24-0</f>
        <v>122</v>
      </c>
      <c r="AJ24" s="3134"/>
      <c r="AK24" s="3128"/>
      <c r="AL24" s="3133">
        <v>122</v>
      </c>
      <c r="AM24" s="3131">
        <v>705328.26</v>
      </c>
      <c r="AN24" s="3133"/>
      <c r="AO24" s="3128"/>
      <c r="AP24" s="3133">
        <f>932467.8+596496.02</f>
        <v>1528963.82</v>
      </c>
      <c r="AQ24" s="3133">
        <f t="shared" si="7"/>
        <v>705328.26</v>
      </c>
      <c r="AR24" s="3141" t="s">
        <v>2427</v>
      </c>
      <c r="AS24" s="3128"/>
      <c r="AT24" s="3133">
        <f t="shared" si="5"/>
        <v>705328.26</v>
      </c>
      <c r="AU24" s="3133"/>
      <c r="AV24" s="3128"/>
      <c r="AW24" s="3133">
        <f t="shared" si="6"/>
        <v>705328.26</v>
      </c>
      <c r="AX24" s="3133"/>
      <c r="AY24" s="3136"/>
      <c r="AZ24" s="3129" t="s">
        <v>2428</v>
      </c>
      <c r="BA24" s="3137"/>
      <c r="BB24" s="3138" t="s">
        <v>2421</v>
      </c>
      <c r="BC24" s="3138" t="s">
        <v>2007</v>
      </c>
      <c r="BD24" s="3138" t="s">
        <v>2429</v>
      </c>
      <c r="BE24" s="3139" t="s">
        <v>2442</v>
      </c>
      <c r="BF24" s="3142"/>
      <c r="BG24" s="3140"/>
      <c r="BH24" s="3140"/>
      <c r="BI24" s="3140"/>
      <c r="BJ24" s="3142"/>
      <c r="BK24" s="3138"/>
      <c r="BL24" s="3138"/>
      <c r="BM24" s="3071"/>
      <c r="BN24" s="3138">
        <v>44651</v>
      </c>
      <c r="BO24" s="3138">
        <v>45066</v>
      </c>
      <c r="BP24" s="3138">
        <f t="shared" si="4"/>
        <v>45188</v>
      </c>
      <c r="BQ24"/>
    </row>
    <row r="25" spans="1:69" ht="60" hidden="1">
      <c r="A25" s="3123">
        <v>4.0999999999999996</v>
      </c>
      <c r="B25" s="3124" t="s">
        <v>2443</v>
      </c>
      <c r="C25" s="3125" t="s">
        <v>2441</v>
      </c>
      <c r="D25" s="3126" t="s">
        <v>247</v>
      </c>
      <c r="E25" s="3126" t="s">
        <v>2678</v>
      </c>
      <c r="F25" s="3126" t="s">
        <v>2675</v>
      </c>
      <c r="G25" s="3126">
        <v>33</v>
      </c>
      <c r="H25" s="3127"/>
      <c r="I25" s="3127"/>
      <c r="J25" s="3127"/>
      <c r="K25" s="3127"/>
      <c r="L25" s="3127" t="s">
        <v>2420</v>
      </c>
      <c r="M25" s="3128">
        <v>45045</v>
      </c>
      <c r="N25" s="3129" t="s">
        <v>2426</v>
      </c>
      <c r="O25" s="3128">
        <v>45045</v>
      </c>
      <c r="P25" s="3130">
        <f t="shared" si="0"/>
        <v>0</v>
      </c>
      <c r="Q25" s="3131" t="str">
        <f t="shared" si="1"/>
        <v>YES</v>
      </c>
      <c r="R25" s="3133"/>
      <c r="S25" s="3128"/>
      <c r="T25" s="3133" t="s">
        <v>2426</v>
      </c>
      <c r="U25" s="3128">
        <v>45045</v>
      </c>
      <c r="V25" s="3130">
        <f t="shared" si="3"/>
        <v>0</v>
      </c>
      <c r="W25" s="3131" t="str">
        <f t="shared" si="2"/>
        <v>YES</v>
      </c>
      <c r="X25" s="3133"/>
      <c r="Y25" s="3128"/>
      <c r="Z25" s="3133"/>
      <c r="AA25" s="3128"/>
      <c r="AB25" s="3131">
        <v>156</v>
      </c>
      <c r="AC25" s="3131">
        <v>156</v>
      </c>
      <c r="AD25" s="3131"/>
      <c r="AE25" s="3131"/>
      <c r="AF25" s="3134"/>
      <c r="AG25" s="3128"/>
      <c r="AH25" s="3131">
        <v>122</v>
      </c>
      <c r="AI25" s="3131">
        <f>AH25-0</f>
        <v>122</v>
      </c>
      <c r="AJ25" s="3134"/>
      <c r="AK25" s="3128"/>
      <c r="AL25" s="3133">
        <v>122</v>
      </c>
      <c r="AM25" s="3131">
        <f>AP25*80%</f>
        <v>65438.784</v>
      </c>
      <c r="AN25" s="3133"/>
      <c r="AO25" s="3128"/>
      <c r="AP25" s="3133">
        <v>81798.48</v>
      </c>
      <c r="AQ25" s="3133">
        <f t="shared" si="7"/>
        <v>65438.784</v>
      </c>
      <c r="AR25" s="3141" t="s">
        <v>2427</v>
      </c>
      <c r="AS25" s="3128"/>
      <c r="AT25" s="3133">
        <f t="shared" si="5"/>
        <v>65438.784</v>
      </c>
      <c r="AU25" s="3133"/>
      <c r="AV25" s="3128"/>
      <c r="AW25" s="3133">
        <f t="shared" si="6"/>
        <v>65438.784</v>
      </c>
      <c r="AX25" s="3133"/>
      <c r="AY25" s="3136"/>
      <c r="AZ25" s="3129" t="s">
        <v>2428</v>
      </c>
      <c r="BA25" s="3137"/>
      <c r="BB25" s="3138" t="s">
        <v>2421</v>
      </c>
      <c r="BC25" s="3138" t="s">
        <v>2007</v>
      </c>
      <c r="BD25" s="3138" t="s">
        <v>2431</v>
      </c>
      <c r="BE25" s="3139" t="s">
        <v>2444</v>
      </c>
      <c r="BF25" s="3142"/>
      <c r="BG25" s="3140"/>
      <c r="BH25" s="3140"/>
      <c r="BI25" s="3140"/>
      <c r="BJ25" s="3142"/>
      <c r="BK25" s="3138"/>
      <c r="BL25" s="3138"/>
      <c r="BM25" s="3071"/>
      <c r="BN25" s="3138">
        <v>44651</v>
      </c>
      <c r="BO25" s="3138">
        <v>45066</v>
      </c>
      <c r="BP25" s="3138">
        <f t="shared" si="4"/>
        <v>45188</v>
      </c>
      <c r="BQ25"/>
    </row>
    <row r="26" spans="1:69" ht="60" hidden="1">
      <c r="A26" s="3123">
        <v>4.2</v>
      </c>
      <c r="B26" s="3124" t="s">
        <v>2445</v>
      </c>
      <c r="C26" s="3125" t="s">
        <v>2441</v>
      </c>
      <c r="D26" s="3126" t="s">
        <v>247</v>
      </c>
      <c r="E26" s="3126" t="s">
        <v>2678</v>
      </c>
      <c r="F26" s="3126" t="s">
        <v>2675</v>
      </c>
      <c r="G26" s="3126">
        <v>35</v>
      </c>
      <c r="H26" s="3127" t="s">
        <v>2420</v>
      </c>
      <c r="I26" s="3127"/>
      <c r="J26" s="3127"/>
      <c r="K26" s="3127"/>
      <c r="L26" s="3127" t="s">
        <v>2420</v>
      </c>
      <c r="M26" s="3128">
        <v>45045</v>
      </c>
      <c r="N26" s="3129" t="s">
        <v>2426</v>
      </c>
      <c r="O26" s="3128">
        <v>45045</v>
      </c>
      <c r="P26" s="3130">
        <f t="shared" si="0"/>
        <v>0</v>
      </c>
      <c r="Q26" s="3131" t="str">
        <f t="shared" si="1"/>
        <v>YES</v>
      </c>
      <c r="R26" s="3133"/>
      <c r="S26" s="3128"/>
      <c r="T26" s="3133" t="s">
        <v>2426</v>
      </c>
      <c r="U26" s="3128">
        <v>45045</v>
      </c>
      <c r="V26" s="3130">
        <f t="shared" si="3"/>
        <v>0</v>
      </c>
      <c r="W26" s="3131" t="str">
        <f t="shared" si="2"/>
        <v>YES</v>
      </c>
      <c r="X26" s="3133"/>
      <c r="Y26" s="3128"/>
      <c r="Z26" s="3133"/>
      <c r="AA26" s="3128"/>
      <c r="AB26" s="3131">
        <v>156</v>
      </c>
      <c r="AC26" s="3131">
        <v>156</v>
      </c>
      <c r="AD26" s="3131"/>
      <c r="AE26" s="3131"/>
      <c r="AF26" s="3134"/>
      <c r="AG26" s="3128"/>
      <c r="AH26" s="3131">
        <v>122</v>
      </c>
      <c r="AI26" s="3131">
        <f>AH26-0</f>
        <v>122</v>
      </c>
      <c r="AJ26" s="3134"/>
      <c r="AK26" s="3128"/>
      <c r="AL26" s="3133">
        <v>122</v>
      </c>
      <c r="AM26" s="3131">
        <v>2174109.5</v>
      </c>
      <c r="AN26" s="3133"/>
      <c r="AO26" s="3128"/>
      <c r="AP26" s="3133">
        <v>13670953.974880572</v>
      </c>
      <c r="AQ26" s="3133">
        <f t="shared" si="7"/>
        <v>2174109.5</v>
      </c>
      <c r="AR26" s="3141" t="s">
        <v>2427</v>
      </c>
      <c r="AS26" s="3128"/>
      <c r="AT26" s="3133">
        <f t="shared" si="5"/>
        <v>2174109.5</v>
      </c>
      <c r="AU26" s="3133"/>
      <c r="AV26" s="3128"/>
      <c r="AW26" s="3133">
        <f t="shared" si="6"/>
        <v>2174109.5</v>
      </c>
      <c r="AX26" s="3133"/>
      <c r="AY26" s="3136"/>
      <c r="AZ26" s="3129" t="s">
        <v>2428</v>
      </c>
      <c r="BA26" s="3137"/>
      <c r="BB26" s="3138" t="s">
        <v>2421</v>
      </c>
      <c r="BC26" s="3138" t="s">
        <v>2007</v>
      </c>
      <c r="BD26" s="3138" t="s">
        <v>2429</v>
      </c>
      <c r="BE26" s="3139" t="s">
        <v>2446</v>
      </c>
      <c r="BF26" s="3142"/>
      <c r="BG26" s="3140"/>
      <c r="BH26" s="3140"/>
      <c r="BI26" s="3140"/>
      <c r="BJ26" s="3142"/>
      <c r="BK26" s="3138"/>
      <c r="BL26" s="3138"/>
      <c r="BM26" s="3071"/>
      <c r="BN26" s="3138">
        <v>44651</v>
      </c>
      <c r="BO26" s="3138">
        <v>45066</v>
      </c>
      <c r="BP26" s="3138">
        <f t="shared" si="4"/>
        <v>45188</v>
      </c>
      <c r="BQ26"/>
    </row>
    <row r="27" spans="1:69" ht="60" hidden="1">
      <c r="A27" s="3123">
        <v>4.3</v>
      </c>
      <c r="B27" s="3124" t="s">
        <v>2447</v>
      </c>
      <c r="C27" s="3125" t="s">
        <v>2441</v>
      </c>
      <c r="D27" s="3126" t="s">
        <v>247</v>
      </c>
      <c r="E27" s="3126" t="s">
        <v>2678</v>
      </c>
      <c r="F27" s="3126" t="s">
        <v>2675</v>
      </c>
      <c r="G27" s="3126" t="s">
        <v>1807</v>
      </c>
      <c r="H27" s="3127"/>
      <c r="I27" s="3127"/>
      <c r="J27" s="3127"/>
      <c r="K27" s="3127"/>
      <c r="L27" s="3127" t="s">
        <v>2420</v>
      </c>
      <c r="M27" s="3128">
        <v>45045</v>
      </c>
      <c r="N27" s="3129" t="s">
        <v>2426</v>
      </c>
      <c r="O27" s="3128">
        <v>45045</v>
      </c>
      <c r="P27" s="3130">
        <f t="shared" si="0"/>
        <v>0</v>
      </c>
      <c r="Q27" s="3131" t="str">
        <f t="shared" si="1"/>
        <v>YES</v>
      </c>
      <c r="R27" s="3133"/>
      <c r="S27" s="3128"/>
      <c r="T27" s="3133" t="s">
        <v>2426</v>
      </c>
      <c r="U27" s="3128">
        <v>45045</v>
      </c>
      <c r="V27" s="3130">
        <f t="shared" si="3"/>
        <v>0</v>
      </c>
      <c r="W27" s="3131" t="str">
        <f t="shared" si="2"/>
        <v>YES</v>
      </c>
      <c r="X27" s="3133"/>
      <c r="Y27" s="3128"/>
      <c r="Z27" s="3133"/>
      <c r="AA27" s="3128"/>
      <c r="AB27" s="3131">
        <v>156</v>
      </c>
      <c r="AC27" s="3131">
        <v>156</v>
      </c>
      <c r="AD27" s="3131"/>
      <c r="AE27" s="3131"/>
      <c r="AF27" s="3134"/>
      <c r="AG27" s="3128"/>
      <c r="AH27" s="3131">
        <v>122</v>
      </c>
      <c r="AI27" s="3131">
        <f>AH27-0</f>
        <v>122</v>
      </c>
      <c r="AJ27" s="3134"/>
      <c r="AK27" s="3128"/>
      <c r="AL27" s="3133">
        <v>122</v>
      </c>
      <c r="AM27" s="3131">
        <f>111475.72/3</f>
        <v>37158.573333333334</v>
      </c>
      <c r="AN27" s="3133"/>
      <c r="AO27" s="3128"/>
      <c r="AP27" s="3133">
        <f>139344.65/3+112561.91</f>
        <v>159010.12666666668</v>
      </c>
      <c r="AQ27" s="3133">
        <f t="shared" si="7"/>
        <v>37158.573333333334</v>
      </c>
      <c r="AR27" s="3141" t="s">
        <v>2427</v>
      </c>
      <c r="AS27" s="3128"/>
      <c r="AT27" s="3133">
        <f t="shared" si="5"/>
        <v>37158.573333333334</v>
      </c>
      <c r="AU27" s="3133"/>
      <c r="AV27" s="3128"/>
      <c r="AW27" s="3133">
        <f t="shared" si="6"/>
        <v>37158.573333333334</v>
      </c>
      <c r="AX27" s="3133"/>
      <c r="AY27" s="3136"/>
      <c r="AZ27" s="3129" t="s">
        <v>2428</v>
      </c>
      <c r="BA27" s="3137"/>
      <c r="BB27" s="3138" t="s">
        <v>2421</v>
      </c>
      <c r="BC27" s="3138" t="s">
        <v>2007</v>
      </c>
      <c r="BD27" s="3138" t="s">
        <v>2429</v>
      </c>
      <c r="BE27" s="3139" t="s">
        <v>2448</v>
      </c>
      <c r="BF27" s="3142"/>
      <c r="BG27" s="3140"/>
      <c r="BH27" s="3140"/>
      <c r="BI27" s="3140"/>
      <c r="BJ27" s="3142"/>
      <c r="BK27" s="3138"/>
      <c r="BL27" s="3138"/>
      <c r="BM27" s="3071"/>
      <c r="BN27" s="3138">
        <v>44651</v>
      </c>
      <c r="BO27" s="3138">
        <v>45066</v>
      </c>
      <c r="BP27" s="3138">
        <f t="shared" si="4"/>
        <v>45188</v>
      </c>
      <c r="BQ27"/>
    </row>
    <row r="28" spans="1:69" ht="60" hidden="1">
      <c r="A28" s="3123">
        <v>5</v>
      </c>
      <c r="B28" s="3124" t="s">
        <v>2424</v>
      </c>
      <c r="C28" s="3125" t="s">
        <v>2449</v>
      </c>
      <c r="D28" s="3126" t="s">
        <v>2679</v>
      </c>
      <c r="E28" s="3126" t="s">
        <v>2676</v>
      </c>
      <c r="F28" s="3126" t="s">
        <v>2675</v>
      </c>
      <c r="G28" s="3126" t="s">
        <v>1807</v>
      </c>
      <c r="H28" s="3127" t="s">
        <v>2420</v>
      </c>
      <c r="I28" s="3127" t="s">
        <v>2420</v>
      </c>
      <c r="J28" s="3127"/>
      <c r="K28" s="3127"/>
      <c r="L28" s="3127"/>
      <c r="M28" s="3128">
        <v>45045</v>
      </c>
      <c r="N28" s="3129" t="s">
        <v>2426</v>
      </c>
      <c r="O28" s="3128">
        <v>45045</v>
      </c>
      <c r="P28" s="3130">
        <f t="shared" si="0"/>
        <v>0</v>
      </c>
      <c r="Q28" s="3131" t="str">
        <f t="shared" si="1"/>
        <v>YES</v>
      </c>
      <c r="R28" s="3133"/>
      <c r="S28" s="3128"/>
      <c r="T28" s="3133" t="s">
        <v>2426</v>
      </c>
      <c r="U28" s="3128">
        <v>45045</v>
      </c>
      <c r="V28" s="3130">
        <f t="shared" si="3"/>
        <v>0</v>
      </c>
      <c r="W28" s="3131" t="str">
        <f t="shared" si="2"/>
        <v>YES</v>
      </c>
      <c r="X28" s="3133"/>
      <c r="Y28" s="3128"/>
      <c r="Z28" s="3133"/>
      <c r="AA28" s="3128"/>
      <c r="AB28" s="3131">
        <v>179</v>
      </c>
      <c r="AC28" s="3131">
        <v>179</v>
      </c>
      <c r="AD28" s="3131"/>
      <c r="AE28" s="3131"/>
      <c r="AF28" s="3134"/>
      <c r="AG28" s="3128"/>
      <c r="AH28" s="3131">
        <v>175</v>
      </c>
      <c r="AI28" s="3131">
        <f>AH28-17</f>
        <v>158</v>
      </c>
      <c r="AJ28" s="3134"/>
      <c r="AK28" s="3128"/>
      <c r="AL28" s="3133">
        <v>175</v>
      </c>
      <c r="AM28" s="3131">
        <v>672073.46</v>
      </c>
      <c r="AN28" s="3133"/>
      <c r="AO28" s="3128"/>
      <c r="AP28" s="3133">
        <f>955394.49+611162.08</f>
        <v>1566556.5699999998</v>
      </c>
      <c r="AQ28" s="3133">
        <f t="shared" si="7"/>
        <v>672073.46</v>
      </c>
      <c r="AR28" s="3141" t="s">
        <v>2427</v>
      </c>
      <c r="AS28" s="3128"/>
      <c r="AT28" s="3133">
        <f t="shared" si="5"/>
        <v>672073.46</v>
      </c>
      <c r="AU28" s="3133"/>
      <c r="AV28" s="3128"/>
      <c r="AW28" s="3133">
        <f t="shared" si="6"/>
        <v>672073.46</v>
      </c>
      <c r="AX28" s="3133"/>
      <c r="AY28" s="3136"/>
      <c r="AZ28" s="3129" t="s">
        <v>2428</v>
      </c>
      <c r="BA28" s="3137"/>
      <c r="BB28" s="3138" t="s">
        <v>2421</v>
      </c>
      <c r="BC28" s="3138" t="s">
        <v>2007</v>
      </c>
      <c r="BD28" s="3138" t="s">
        <v>2429</v>
      </c>
      <c r="BE28" s="3139" t="s">
        <v>2450</v>
      </c>
      <c r="BF28" s="3142"/>
      <c r="BG28" s="3140"/>
      <c r="BH28" s="3140"/>
      <c r="BI28" s="3140"/>
      <c r="BJ28" s="3142"/>
      <c r="BK28" s="3138"/>
      <c r="BL28" s="3138"/>
      <c r="BM28" s="3071"/>
      <c r="BN28" s="3138">
        <v>44651</v>
      </c>
      <c r="BO28" s="3138">
        <v>44973</v>
      </c>
      <c r="BP28" s="3138">
        <f>IF(BO28="","",IF(AND(BO28&lt;&gt;"",AL28=""),BO28,IF(AND(BO28&lt;&gt;"",AL28&lt;&gt;""),AL28+BO28)))</f>
        <v>45148</v>
      </c>
      <c r="BQ28"/>
    </row>
    <row r="29" spans="1:69" ht="60" hidden="1">
      <c r="A29" s="3123">
        <v>5.0999999999999996</v>
      </c>
      <c r="B29" s="3124" t="s">
        <v>2445</v>
      </c>
      <c r="C29" s="3125" t="s">
        <v>2449</v>
      </c>
      <c r="D29" s="3126" t="s">
        <v>2679</v>
      </c>
      <c r="E29" s="3126" t="s">
        <v>2676</v>
      </c>
      <c r="F29" s="3126" t="s">
        <v>2675</v>
      </c>
      <c r="G29" s="3126" t="s">
        <v>1807</v>
      </c>
      <c r="H29" s="3127" t="s">
        <v>2420</v>
      </c>
      <c r="I29" s="3127"/>
      <c r="J29" s="3127"/>
      <c r="K29" s="3127"/>
      <c r="L29" s="3127" t="s">
        <v>2420</v>
      </c>
      <c r="M29" s="3128">
        <v>45045</v>
      </c>
      <c r="N29" s="3129" t="s">
        <v>2426</v>
      </c>
      <c r="O29" s="3128">
        <v>45045</v>
      </c>
      <c r="P29" s="3130">
        <f t="shared" si="0"/>
        <v>0</v>
      </c>
      <c r="Q29" s="3131" t="str">
        <f t="shared" si="1"/>
        <v>YES</v>
      </c>
      <c r="R29" s="3133"/>
      <c r="S29" s="3128"/>
      <c r="T29" s="3133" t="s">
        <v>2426</v>
      </c>
      <c r="U29" s="3128">
        <v>45045</v>
      </c>
      <c r="V29" s="3130">
        <f t="shared" si="3"/>
        <v>0</v>
      </c>
      <c r="W29" s="3131" t="str">
        <f t="shared" si="2"/>
        <v>YES</v>
      </c>
      <c r="X29" s="3133"/>
      <c r="Y29" s="3128"/>
      <c r="Z29" s="3133"/>
      <c r="AA29" s="3128"/>
      <c r="AB29" s="3131">
        <v>179</v>
      </c>
      <c r="AC29" s="3131">
        <v>179</v>
      </c>
      <c r="AD29" s="3131"/>
      <c r="AE29" s="3131"/>
      <c r="AF29" s="3134"/>
      <c r="AG29" s="3128"/>
      <c r="AH29" s="3131">
        <v>122</v>
      </c>
      <c r="AI29" s="3131">
        <f>AH29-17</f>
        <v>105</v>
      </c>
      <c r="AJ29" s="3134"/>
      <c r="AK29" s="3128"/>
      <c r="AL29" s="3133">
        <v>175</v>
      </c>
      <c r="AM29" s="3131">
        <v>23736.6</v>
      </c>
      <c r="AN29" s="3133"/>
      <c r="AO29" s="3128"/>
      <c r="AP29" s="3133">
        <v>280739.03279246803</v>
      </c>
      <c r="AQ29" s="3133">
        <f t="shared" si="7"/>
        <v>23736.6</v>
      </c>
      <c r="AR29" s="3141" t="s">
        <v>2427</v>
      </c>
      <c r="AS29" s="3128"/>
      <c r="AT29" s="3133">
        <f t="shared" si="5"/>
        <v>23736.6</v>
      </c>
      <c r="AU29" s="3133"/>
      <c r="AV29" s="3128"/>
      <c r="AW29" s="3133">
        <f t="shared" si="6"/>
        <v>23736.6</v>
      </c>
      <c r="AX29" s="3133"/>
      <c r="AY29" s="3136"/>
      <c r="AZ29" s="3129" t="s">
        <v>2428</v>
      </c>
      <c r="BA29" s="3137"/>
      <c r="BB29" s="3138" t="s">
        <v>2421</v>
      </c>
      <c r="BC29" s="3138" t="s">
        <v>2007</v>
      </c>
      <c r="BD29" s="3138" t="s">
        <v>2429</v>
      </c>
      <c r="BE29" s="3139" t="s">
        <v>2451</v>
      </c>
      <c r="BF29" s="3142"/>
      <c r="BG29" s="3140"/>
      <c r="BH29" s="3140"/>
      <c r="BI29" s="3140"/>
      <c r="BJ29" s="3142"/>
      <c r="BK29" s="3138"/>
      <c r="BL29" s="3138"/>
      <c r="BM29" s="3071"/>
      <c r="BN29" s="3138">
        <v>44651</v>
      </c>
      <c r="BO29" s="3138">
        <v>44973</v>
      </c>
      <c r="BP29" s="3138">
        <f t="shared" ref="BP29:BP45" si="8">IF(BO29="","",IF(AND(BO29&lt;&gt;"",AL29=""),BO29,IF(AND(BO29&lt;&gt;"",AL29&lt;&gt;""),AL29+BO29)))</f>
        <v>45148</v>
      </c>
      <c r="BQ29"/>
    </row>
    <row r="30" spans="1:69" ht="51" hidden="1">
      <c r="A30" s="3123">
        <v>6</v>
      </c>
      <c r="B30" s="3124" t="s">
        <v>2452</v>
      </c>
      <c r="C30" s="3125" t="s">
        <v>2453</v>
      </c>
      <c r="D30" s="3126" t="s">
        <v>281</v>
      </c>
      <c r="E30" s="3126" t="s">
        <v>2683</v>
      </c>
      <c r="F30" s="3126" t="s">
        <v>2680</v>
      </c>
      <c r="G30" s="3126" t="s">
        <v>2686</v>
      </c>
      <c r="H30" s="3127" t="s">
        <v>2420</v>
      </c>
      <c r="I30" s="3127"/>
      <c r="J30" s="3127"/>
      <c r="K30" s="3127"/>
      <c r="L30" s="3127"/>
      <c r="M30" s="3128">
        <v>44448</v>
      </c>
      <c r="N30" s="3133" t="s">
        <v>2454</v>
      </c>
      <c r="O30" s="3128">
        <v>44474</v>
      </c>
      <c r="P30" s="3130">
        <f t="shared" si="0"/>
        <v>19</v>
      </c>
      <c r="Q30" s="3131" t="str">
        <f t="shared" si="1"/>
        <v>YES</v>
      </c>
      <c r="R30" s="3133"/>
      <c r="S30" s="3128"/>
      <c r="T30" s="3133" t="s">
        <v>2455</v>
      </c>
      <c r="U30" s="3128">
        <v>44531</v>
      </c>
      <c r="V30" s="3130">
        <f t="shared" si="3"/>
        <v>60</v>
      </c>
      <c r="W30" s="3131" t="str">
        <f t="shared" si="2"/>
        <v>YES</v>
      </c>
      <c r="X30" s="3129" t="s">
        <v>2456</v>
      </c>
      <c r="Y30" s="3143">
        <v>44525</v>
      </c>
      <c r="Z30" s="3133"/>
      <c r="AA30" s="3128"/>
      <c r="AB30" s="3131">
        <v>465</v>
      </c>
      <c r="AC30" s="3131">
        <v>465</v>
      </c>
      <c r="AD30" s="3131"/>
      <c r="AE30" s="3131"/>
      <c r="AF30" s="3144"/>
      <c r="AG30" s="3128"/>
      <c r="AH30" s="3131">
        <v>324</v>
      </c>
      <c r="AI30" s="3131">
        <v>177</v>
      </c>
      <c r="AJ30" s="3144"/>
      <c r="AK30" s="3128"/>
      <c r="AL30" s="3133">
        <v>324</v>
      </c>
      <c r="AM30" s="3131">
        <v>14631530.800000001</v>
      </c>
      <c r="AN30" s="3133"/>
      <c r="AO30" s="3128"/>
      <c r="AP30" s="3133">
        <v>46455401.689999998</v>
      </c>
      <c r="AQ30" s="3133">
        <v>14631530.800000001</v>
      </c>
      <c r="AR30" s="3133" t="s">
        <v>2457</v>
      </c>
      <c r="AS30" s="3128"/>
      <c r="AT30" s="3133">
        <v>14631530.800000001</v>
      </c>
      <c r="AU30" s="3133"/>
      <c r="AV30" s="3128"/>
      <c r="AW30" s="3133">
        <v>14631530.800000001</v>
      </c>
      <c r="AX30" s="3133"/>
      <c r="AY30" s="3136"/>
      <c r="AZ30" s="3145" t="s">
        <v>2458</v>
      </c>
      <c r="BA30" s="3137"/>
      <c r="BB30" s="3138" t="s">
        <v>2421</v>
      </c>
      <c r="BC30" s="3138" t="s">
        <v>2422</v>
      </c>
      <c r="BD30" s="3138" t="s">
        <v>2459</v>
      </c>
      <c r="BE30" s="3139" t="s">
        <v>2460</v>
      </c>
      <c r="BF30" s="3142"/>
      <c r="BG30" s="3140"/>
      <c r="BH30" s="3140"/>
      <c r="BI30" s="3140"/>
      <c r="BJ30" s="3142"/>
      <c r="BK30" s="3138"/>
      <c r="BL30" s="3138"/>
      <c r="BM30" s="3071"/>
      <c r="BN30" s="3138">
        <v>44161</v>
      </c>
      <c r="BO30" s="3138">
        <v>45078</v>
      </c>
      <c r="BP30" s="3138">
        <f t="shared" si="8"/>
        <v>45402</v>
      </c>
      <c r="BQ30"/>
    </row>
    <row r="31" spans="1:69" ht="120" hidden="1">
      <c r="A31" s="3123">
        <v>7</v>
      </c>
      <c r="B31" s="3124" t="s">
        <v>2461</v>
      </c>
      <c r="C31" s="3146" t="s">
        <v>2462</v>
      </c>
      <c r="D31" s="3147" t="s">
        <v>263</v>
      </c>
      <c r="E31" s="3147" t="s">
        <v>2677</v>
      </c>
      <c r="F31" s="3147" t="s">
        <v>2681</v>
      </c>
      <c r="G31" s="3147" t="s">
        <v>2682</v>
      </c>
      <c r="H31" s="3127" t="s">
        <v>2420</v>
      </c>
      <c r="I31" s="3127"/>
      <c r="J31" s="3127"/>
      <c r="K31" s="3127"/>
      <c r="L31" s="3127"/>
      <c r="M31" s="3148">
        <v>44945</v>
      </c>
      <c r="N31" s="3149" t="s">
        <v>2463</v>
      </c>
      <c r="O31" s="3148">
        <v>45077</v>
      </c>
      <c r="P31" s="3150">
        <f t="shared" si="0"/>
        <v>95</v>
      </c>
      <c r="Q31" s="3141" t="str">
        <f t="shared" si="1"/>
        <v>NO</v>
      </c>
      <c r="R31" s="3149" t="s">
        <v>2464</v>
      </c>
      <c r="S31" s="3148">
        <v>45082</v>
      </c>
      <c r="T31" s="3149"/>
      <c r="U31" s="3151"/>
      <c r="V31" s="3150" t="str">
        <f t="shared" si="3"/>
        <v/>
      </c>
      <c r="W31" s="3141" t="str">
        <f t="shared" si="2"/>
        <v xml:space="preserve"> </v>
      </c>
      <c r="X31" s="3149"/>
      <c r="Y31" s="3148"/>
      <c r="Z31" s="3149"/>
      <c r="AA31" s="3151"/>
      <c r="AB31" s="3141">
        <v>72</v>
      </c>
      <c r="AC31" s="3141">
        <v>72</v>
      </c>
      <c r="AD31" s="3141"/>
      <c r="AE31" s="3141"/>
      <c r="AF31" s="3124"/>
      <c r="AG31" s="3148"/>
      <c r="AH31" s="3141">
        <v>0</v>
      </c>
      <c r="AI31" s="3141">
        <v>0</v>
      </c>
      <c r="AJ31" s="3124" t="s">
        <v>2464</v>
      </c>
      <c r="AK31" s="3148">
        <v>45082</v>
      </c>
      <c r="AL31" s="3152"/>
      <c r="AM31" s="3141"/>
      <c r="AN31" s="3149"/>
      <c r="AO31" s="3148"/>
      <c r="AP31" s="3141" t="s">
        <v>370</v>
      </c>
      <c r="AQ31" s="3152"/>
      <c r="AR31" s="3141"/>
      <c r="AS31" s="3148"/>
      <c r="AT31" s="3152">
        <v>0</v>
      </c>
      <c r="AU31" s="3141" t="s">
        <v>2465</v>
      </c>
      <c r="AV31" s="3148">
        <v>45190</v>
      </c>
      <c r="AW31" s="3152"/>
      <c r="AX31" s="3152"/>
      <c r="AY31" s="3153"/>
      <c r="AZ31" s="3149"/>
      <c r="BA31" s="3154"/>
      <c r="BB31" s="3138" t="s">
        <v>83</v>
      </c>
      <c r="BC31" s="3138" t="s">
        <v>83</v>
      </c>
      <c r="BD31" s="3138" t="s">
        <v>1277</v>
      </c>
      <c r="BE31" s="3155" t="s">
        <v>2466</v>
      </c>
      <c r="BF31" s="3142"/>
      <c r="BG31" s="3138"/>
      <c r="BH31" s="3138"/>
      <c r="BI31" s="3138"/>
      <c r="BJ31" s="3142"/>
      <c r="BK31" s="3138"/>
      <c r="BL31" s="3138"/>
      <c r="BM31" s="3156"/>
      <c r="BN31" s="3138">
        <v>44945</v>
      </c>
      <c r="BO31" s="3138">
        <f>BN31+90</f>
        <v>45035</v>
      </c>
      <c r="BP31" s="3138">
        <f t="shared" si="8"/>
        <v>45035</v>
      </c>
      <c r="BQ31"/>
    </row>
    <row r="32" spans="1:69" ht="105">
      <c r="A32" s="3123">
        <f>A31+1</f>
        <v>8</v>
      </c>
      <c r="B32" s="3124" t="s">
        <v>2354</v>
      </c>
      <c r="C32" s="3125" t="s">
        <v>2467</v>
      </c>
      <c r="D32" s="3126" t="s">
        <v>258</v>
      </c>
      <c r="E32" s="3126" t="s">
        <v>2672</v>
      </c>
      <c r="F32" s="3126" t="s">
        <v>2684</v>
      </c>
      <c r="G32" s="3126" t="s">
        <v>2685</v>
      </c>
      <c r="H32" s="3127" t="s">
        <v>2420</v>
      </c>
      <c r="I32" s="3127"/>
      <c r="J32" s="3127"/>
      <c r="K32" s="3127"/>
      <c r="L32" s="3127"/>
      <c r="M32" s="3128">
        <v>45063</v>
      </c>
      <c r="N32" s="3129" t="s">
        <v>2355</v>
      </c>
      <c r="O32" s="3128">
        <v>45064</v>
      </c>
      <c r="P32" s="3130">
        <f t="shared" si="0"/>
        <v>2</v>
      </c>
      <c r="Q32" s="3131" t="str">
        <f>IF(O32=" "," ",IF(O32-M32&lt;=20,"YES","NO"))</f>
        <v>YES</v>
      </c>
      <c r="R32" s="3129" t="s">
        <v>2480</v>
      </c>
      <c r="S32" s="3128">
        <v>45113</v>
      </c>
      <c r="T32" s="3129" t="s">
        <v>2468</v>
      </c>
      <c r="U32" s="3128">
        <v>45190</v>
      </c>
      <c r="V32" s="3130">
        <f t="shared" si="3"/>
        <v>92</v>
      </c>
      <c r="W32" s="3131" t="str">
        <f>IF(U32=0," ",IF(U32-M32&lt;=30,"YES","NO"))</f>
        <v>NO</v>
      </c>
      <c r="X32" s="3129" t="s">
        <v>2468</v>
      </c>
      <c r="Y32" s="3128">
        <v>45190</v>
      </c>
      <c r="Z32" s="3133"/>
      <c r="AA32" s="3128"/>
      <c r="AB32" s="3131">
        <v>42</v>
      </c>
      <c r="AC32" s="3131">
        <v>42</v>
      </c>
      <c r="AD32" s="3131"/>
      <c r="AE32" s="3131"/>
      <c r="AF32" s="3144"/>
      <c r="AG32" s="3128"/>
      <c r="AH32" s="3131">
        <v>0</v>
      </c>
      <c r="AI32" s="3131">
        <v>0</v>
      </c>
      <c r="AJ32" s="3134" t="s">
        <v>2468</v>
      </c>
      <c r="AK32" s="3128">
        <v>45190</v>
      </c>
      <c r="AL32" s="3133">
        <v>0</v>
      </c>
      <c r="AM32" s="3131"/>
      <c r="AN32" s="3133"/>
      <c r="AO32" s="3128"/>
      <c r="AP32" s="3131">
        <v>0</v>
      </c>
      <c r="AQ32" s="3133"/>
      <c r="AR32" s="3134"/>
      <c r="AS32" s="3128"/>
      <c r="AT32" s="3133">
        <v>0</v>
      </c>
      <c r="AU32" s="3131" t="s">
        <v>2465</v>
      </c>
      <c r="AV32" s="3128">
        <v>45190</v>
      </c>
      <c r="AW32" s="3133"/>
      <c r="AX32" s="3133"/>
      <c r="AY32" s="3136"/>
      <c r="AZ32" s="3129"/>
      <c r="BA32" s="3157"/>
      <c r="BB32" s="3140" t="s">
        <v>83</v>
      </c>
      <c r="BC32" s="3140" t="s">
        <v>83</v>
      </c>
      <c r="BD32" s="3140" t="s">
        <v>1277</v>
      </c>
      <c r="BE32" s="3139" t="s">
        <v>2469</v>
      </c>
      <c r="BF32" s="3142"/>
      <c r="BG32" s="3140"/>
      <c r="BH32" s="3140"/>
      <c r="BI32" s="3140"/>
      <c r="BJ32" s="3142"/>
      <c r="BK32" s="3138"/>
      <c r="BL32" s="3138"/>
      <c r="BM32" s="3071"/>
      <c r="BN32" s="3168">
        <v>44938</v>
      </c>
      <c r="BO32" s="3168">
        <v>45716</v>
      </c>
      <c r="BP32" s="3168">
        <f t="shared" si="8"/>
        <v>45716</v>
      </c>
      <c r="BQ32" s="3177"/>
    </row>
    <row r="33" spans="1:69" ht="105" hidden="1">
      <c r="A33" s="3123">
        <f t="shared" ref="A33:A43" si="9">A32+1</f>
        <v>9</v>
      </c>
      <c r="B33" s="3124" t="s">
        <v>2470</v>
      </c>
      <c r="C33" s="3125" t="s">
        <v>2471</v>
      </c>
      <c r="D33" s="3126" t="s">
        <v>253</v>
      </c>
      <c r="E33" s="3126" t="s">
        <v>2678</v>
      </c>
      <c r="F33" s="3126" t="s">
        <v>2673</v>
      </c>
      <c r="G33" s="3126" t="s">
        <v>2674</v>
      </c>
      <c r="H33" s="3127" t="s">
        <v>2420</v>
      </c>
      <c r="I33" s="3127" t="s">
        <v>2420</v>
      </c>
      <c r="J33" s="3127"/>
      <c r="K33" s="3127"/>
      <c r="L33" s="3127"/>
      <c r="M33" s="3128">
        <v>44523</v>
      </c>
      <c r="N33" s="3129" t="s">
        <v>2472</v>
      </c>
      <c r="O33" s="3128">
        <v>44628</v>
      </c>
      <c r="P33" s="3130">
        <f t="shared" si="0"/>
        <v>76</v>
      </c>
      <c r="Q33" s="3131" t="str">
        <f t="shared" si="1"/>
        <v>NO</v>
      </c>
      <c r="R33" s="3129" t="s">
        <v>2473</v>
      </c>
      <c r="S33" s="3128">
        <v>44646</v>
      </c>
      <c r="T33" s="3133" t="s">
        <v>2474</v>
      </c>
      <c r="U33" s="3128">
        <v>44702</v>
      </c>
      <c r="V33" s="3130">
        <f t="shared" si="3"/>
        <v>129</v>
      </c>
      <c r="W33" s="3131" t="str">
        <f t="shared" si="2"/>
        <v>NO</v>
      </c>
      <c r="X33" s="3129" t="s">
        <v>2475</v>
      </c>
      <c r="Y33" s="3128">
        <v>44710</v>
      </c>
      <c r="Z33" s="3129" t="s">
        <v>2476</v>
      </c>
      <c r="AA33" s="3158" t="s">
        <v>2477</v>
      </c>
      <c r="AB33" s="3131">
        <v>433</v>
      </c>
      <c r="AC33" s="3133">
        <v>433</v>
      </c>
      <c r="AD33" s="3131">
        <v>433</v>
      </c>
      <c r="AE33" s="3131">
        <v>433</v>
      </c>
      <c r="AF33" s="3134" t="s">
        <v>2478</v>
      </c>
      <c r="AG33" s="3128">
        <v>45090</v>
      </c>
      <c r="AH33" s="3131">
        <v>433</v>
      </c>
      <c r="AI33" s="3131">
        <v>433</v>
      </c>
      <c r="AJ33" s="3144"/>
      <c r="AK33" s="3128"/>
      <c r="AL33" s="3133">
        <v>433</v>
      </c>
      <c r="AM33" s="3131">
        <v>1421551.67</v>
      </c>
      <c r="AN33" s="3133"/>
      <c r="AO33" s="3128"/>
      <c r="AP33" s="3133">
        <v>2201256.02</v>
      </c>
      <c r="AQ33" s="3133">
        <v>2194683.7000000002</v>
      </c>
      <c r="AR33" s="3133" t="s">
        <v>2478</v>
      </c>
      <c r="AS33" s="3128">
        <v>45090</v>
      </c>
      <c r="AT33" s="3133">
        <v>1421551.67</v>
      </c>
      <c r="AU33" s="3133"/>
      <c r="AV33" s="3128"/>
      <c r="AW33" s="3133">
        <v>1421551.67</v>
      </c>
      <c r="AX33" s="3133"/>
      <c r="AY33" s="3136"/>
      <c r="AZ33" s="3129" t="s">
        <v>2428</v>
      </c>
      <c r="BA33" s="3157"/>
      <c r="BB33" s="3138" t="s">
        <v>2421</v>
      </c>
      <c r="BC33" s="3138" t="s">
        <v>2007</v>
      </c>
      <c r="BD33" s="3138" t="s">
        <v>2431</v>
      </c>
      <c r="BE33" s="3139" t="s">
        <v>2479</v>
      </c>
      <c r="BF33" s="3142"/>
      <c r="BG33" s="3140"/>
      <c r="BH33" s="3140"/>
      <c r="BI33" s="3140"/>
      <c r="BJ33" s="3142"/>
      <c r="BK33" s="3138"/>
      <c r="BL33" s="3138"/>
      <c r="BM33" s="3071"/>
      <c r="BN33" s="3138">
        <v>44523</v>
      </c>
      <c r="BO33" s="3138">
        <v>44634</v>
      </c>
      <c r="BP33" s="3138">
        <f t="shared" si="8"/>
        <v>45067</v>
      </c>
      <c r="BQ33"/>
    </row>
    <row r="34" spans="1:69" ht="75">
      <c r="A34" s="3123">
        <v>29</v>
      </c>
      <c r="B34" s="3124" t="s">
        <v>3148</v>
      </c>
      <c r="C34" s="3125" t="s">
        <v>3149</v>
      </c>
      <c r="D34" s="3126" t="s">
        <v>258</v>
      </c>
      <c r="E34" s="3126" t="s">
        <v>2672</v>
      </c>
      <c r="F34" s="3126" t="s">
        <v>1999</v>
      </c>
      <c r="G34" s="3126" t="s">
        <v>3150</v>
      </c>
      <c r="H34" s="3127" t="s">
        <v>2420</v>
      </c>
      <c r="I34" s="3127"/>
      <c r="J34" s="3127"/>
      <c r="K34" s="3127"/>
      <c r="L34" s="3127"/>
      <c r="M34" s="3128">
        <v>45450</v>
      </c>
      <c r="N34" s="3129" t="s">
        <v>3151</v>
      </c>
      <c r="O34" s="3159">
        <v>45450</v>
      </c>
      <c r="P34" s="3130">
        <f t="shared" si="0"/>
        <v>1</v>
      </c>
      <c r="Q34" s="3131" t="str">
        <f>IF(O34=" "," ",IF(O34-M34&lt;=28,"YES","NO"))</f>
        <v>YES</v>
      </c>
      <c r="R34" s="3586" t="s">
        <v>3152</v>
      </c>
      <c r="S34" s="3128">
        <v>45498</v>
      </c>
      <c r="T34" s="3129" t="s">
        <v>3153</v>
      </c>
      <c r="U34" s="3128">
        <v>45526</v>
      </c>
      <c r="V34" s="3130">
        <f t="shared" si="3"/>
        <v>55</v>
      </c>
      <c r="W34" s="3131" t="str">
        <f t="shared" si="2"/>
        <v>YES</v>
      </c>
      <c r="X34" s="3129" t="s">
        <v>3154</v>
      </c>
      <c r="Y34" s="3128">
        <v>45521</v>
      </c>
      <c r="Z34" s="3129" t="s">
        <v>3155</v>
      </c>
      <c r="AA34" s="3128">
        <v>45533</v>
      </c>
      <c r="AB34" s="3131">
        <v>73</v>
      </c>
      <c r="AC34" s="3133">
        <v>0</v>
      </c>
      <c r="AD34" s="3131">
        <v>70</v>
      </c>
      <c r="AE34" s="3131"/>
      <c r="AF34" s="3144"/>
      <c r="AG34" s="3128"/>
      <c r="AH34" s="3131"/>
      <c r="AI34" s="3131"/>
      <c r="AJ34" s="3144"/>
      <c r="AK34" s="3128"/>
      <c r="AL34" s="3133"/>
      <c r="AM34" s="3131"/>
      <c r="AN34" s="3133"/>
      <c r="AO34" s="3128"/>
      <c r="AP34" s="3133"/>
      <c r="AQ34" s="3133"/>
      <c r="AR34" s="3133"/>
      <c r="AS34" s="3128"/>
      <c r="AT34" s="3133"/>
      <c r="AU34" s="3133"/>
      <c r="AV34" s="3128"/>
      <c r="AW34" s="3133"/>
      <c r="AX34" s="3133"/>
      <c r="AY34" s="3136"/>
      <c r="AZ34" s="3129" t="s">
        <v>4251</v>
      </c>
      <c r="BA34" s="3157"/>
      <c r="BB34" s="3138"/>
      <c r="BC34" s="3138" t="s">
        <v>2422</v>
      </c>
      <c r="BD34" s="3138" t="s">
        <v>1277</v>
      </c>
      <c r="BE34" s="3155" t="s">
        <v>4252</v>
      </c>
      <c r="BF34" s="3142"/>
      <c r="BG34" s="3140"/>
      <c r="BH34" s="3140"/>
      <c r="BI34" s="3140"/>
      <c r="BJ34" s="3142"/>
      <c r="BK34" s="3138"/>
      <c r="BL34" s="3138"/>
      <c r="BM34" s="3071"/>
      <c r="BN34" s="3138"/>
      <c r="BO34" s="3138"/>
      <c r="BP34" s="3138" t="str">
        <f t="shared" si="8"/>
        <v/>
      </c>
    </row>
    <row r="35" spans="1:69" ht="60">
      <c r="A35" s="3123">
        <f t="shared" si="9"/>
        <v>30</v>
      </c>
      <c r="B35" s="3124" t="s">
        <v>3156</v>
      </c>
      <c r="C35" s="3125" t="s">
        <v>3157</v>
      </c>
      <c r="D35" s="3126" t="s">
        <v>258</v>
      </c>
      <c r="E35" s="3126" t="s">
        <v>2672</v>
      </c>
      <c r="F35" s="3126" t="s">
        <v>3158</v>
      </c>
      <c r="G35" s="3126" t="s">
        <v>2558</v>
      </c>
      <c r="H35" s="3127" t="s">
        <v>2420</v>
      </c>
      <c r="I35" s="3127"/>
      <c r="J35" s="3127"/>
      <c r="K35" s="3127"/>
      <c r="L35" s="3127"/>
      <c r="M35" s="3128">
        <v>45573</v>
      </c>
      <c r="N35" s="3129" t="s">
        <v>3159</v>
      </c>
      <c r="O35" s="3128">
        <v>45573</v>
      </c>
      <c r="P35" s="3130">
        <f t="shared" si="0"/>
        <v>1</v>
      </c>
      <c r="Q35" s="3131" t="str">
        <f t="shared" si="1"/>
        <v>YES</v>
      </c>
      <c r="R35" s="3133"/>
      <c r="S35" s="3128"/>
      <c r="T35" s="3133"/>
      <c r="U35" s="3128"/>
      <c r="V35" s="3130" t="str">
        <f t="shared" si="3"/>
        <v/>
      </c>
      <c r="W35" s="3131" t="str">
        <f t="shared" si="2"/>
        <v xml:space="preserve"> </v>
      </c>
      <c r="X35" s="3133"/>
      <c r="Y35" s="3128"/>
      <c r="Z35" s="3133"/>
      <c r="AA35" s="3128"/>
      <c r="AB35" s="3131">
        <v>164</v>
      </c>
      <c r="AC35" s="3133">
        <v>0</v>
      </c>
      <c r="AD35" s="3131">
        <v>86</v>
      </c>
      <c r="AE35" s="3131"/>
      <c r="AF35" s="3144"/>
      <c r="AG35" s="3128"/>
      <c r="AH35" s="3131"/>
      <c r="AI35" s="3131"/>
      <c r="AJ35" s="3144"/>
      <c r="AK35" s="3128"/>
      <c r="AL35" s="3133"/>
      <c r="AM35" s="3131"/>
      <c r="AN35" s="3133"/>
      <c r="AO35" s="3128"/>
      <c r="AP35" s="3133"/>
      <c r="AQ35" s="3133"/>
      <c r="AR35" s="3133"/>
      <c r="AS35" s="3128"/>
      <c r="AT35" s="3133"/>
      <c r="AU35" s="3133"/>
      <c r="AV35" s="3128"/>
      <c r="AW35" s="3133"/>
      <c r="AX35" s="3133"/>
      <c r="AY35" s="3136"/>
      <c r="AZ35" s="3129" t="s">
        <v>4983</v>
      </c>
      <c r="BA35" s="3137"/>
      <c r="BB35" s="3138"/>
      <c r="BC35" s="3138" t="s">
        <v>2422</v>
      </c>
      <c r="BD35" s="3138" t="s">
        <v>91</v>
      </c>
      <c r="BE35" s="3139" t="s">
        <v>4260</v>
      </c>
      <c r="BF35" s="3142"/>
      <c r="BG35" s="3140"/>
      <c r="BH35" s="3140"/>
      <c r="BI35" s="3140"/>
      <c r="BJ35" s="3142"/>
      <c r="BK35" s="3138"/>
      <c r="BL35" s="3138"/>
      <c r="BM35" s="3071"/>
      <c r="BN35" s="3138"/>
      <c r="BO35" s="3138"/>
      <c r="BP35" s="3138" t="str">
        <f t="shared" si="8"/>
        <v/>
      </c>
      <c r="BQ35" s="3175">
        <f ca="1">(IF(O35=0,"",TODAY()-O35))</f>
        <v>726</v>
      </c>
    </row>
    <row r="36" spans="1:69" ht="15" hidden="1">
      <c r="A36" s="3123">
        <f t="shared" si="9"/>
        <v>31</v>
      </c>
      <c r="B36" s="3124"/>
      <c r="C36" s="3125"/>
      <c r="D36" s="3126">
        <v>0</v>
      </c>
      <c r="E36" s="3126">
        <v>0</v>
      </c>
      <c r="F36" s="3126">
        <v>0</v>
      </c>
      <c r="G36" s="3126">
        <v>0</v>
      </c>
      <c r="H36" s="3127"/>
      <c r="I36" s="3127"/>
      <c r="J36" s="3127"/>
      <c r="K36" s="3127"/>
      <c r="L36" s="3127"/>
      <c r="M36" s="3128"/>
      <c r="N36" s="3133"/>
      <c r="O36" s="3128"/>
      <c r="P36" s="3130" t="str">
        <f t="shared" si="0"/>
        <v/>
      </c>
      <c r="Q36" s="3131" t="str">
        <f t="shared" si="1"/>
        <v>YES</v>
      </c>
      <c r="R36" s="3133"/>
      <c r="S36" s="3128"/>
      <c r="T36" s="3133"/>
      <c r="U36" s="3128"/>
      <c r="V36" s="3130" t="str">
        <f t="shared" si="3"/>
        <v/>
      </c>
      <c r="W36" s="3131" t="str">
        <f t="shared" si="2"/>
        <v xml:space="preserve"> </v>
      </c>
      <c r="X36" s="3133"/>
      <c r="Y36" s="3128"/>
      <c r="Z36" s="3133"/>
      <c r="AA36" s="3128"/>
      <c r="AB36" s="3131"/>
      <c r="AC36" s="3133"/>
      <c r="AD36" s="3131"/>
      <c r="AE36" s="3131"/>
      <c r="AF36" s="3144"/>
      <c r="AG36" s="3128"/>
      <c r="AH36" s="3131"/>
      <c r="AI36" s="3131"/>
      <c r="AJ36" s="3144"/>
      <c r="AK36" s="3128"/>
      <c r="AL36" s="3133"/>
      <c r="AM36" s="3131"/>
      <c r="AN36" s="3133"/>
      <c r="AO36" s="3128"/>
      <c r="AP36" s="3133"/>
      <c r="AQ36" s="3133"/>
      <c r="AR36" s="3133"/>
      <c r="AS36" s="3128"/>
      <c r="AT36" s="3133"/>
      <c r="AU36" s="3133"/>
      <c r="AV36" s="3128"/>
      <c r="AW36" s="3133"/>
      <c r="AX36" s="3133"/>
      <c r="AY36" s="3136"/>
      <c r="AZ36" s="3133"/>
      <c r="BA36" s="3137"/>
      <c r="BB36" s="3138"/>
      <c r="BC36" s="3138"/>
      <c r="BD36" s="3138"/>
      <c r="BE36" s="3139"/>
      <c r="BF36" s="3142"/>
      <c r="BG36" s="3140"/>
      <c r="BH36" s="3140"/>
      <c r="BI36" s="3140"/>
      <c r="BJ36" s="3142"/>
      <c r="BK36" s="3138"/>
      <c r="BL36" s="3138"/>
      <c r="BM36" s="3071"/>
      <c r="BN36" s="3138"/>
      <c r="BO36" s="3138"/>
      <c r="BP36" s="3138" t="str">
        <f t="shared" si="8"/>
        <v/>
      </c>
      <c r="BQ36"/>
    </row>
    <row r="37" spans="1:69" ht="15" hidden="1">
      <c r="A37" s="3123">
        <f t="shared" si="9"/>
        <v>32</v>
      </c>
      <c r="B37" s="3124"/>
      <c r="C37" s="3125"/>
      <c r="D37" s="3126">
        <v>0</v>
      </c>
      <c r="E37" s="3126">
        <v>0</v>
      </c>
      <c r="F37" s="3126">
        <v>0</v>
      </c>
      <c r="G37" s="3126">
        <v>0</v>
      </c>
      <c r="H37" s="3127"/>
      <c r="I37" s="3127"/>
      <c r="J37" s="3127"/>
      <c r="K37" s="3127"/>
      <c r="L37" s="3127"/>
      <c r="M37" s="3128"/>
      <c r="N37" s="3133"/>
      <c r="O37" s="3128"/>
      <c r="P37" s="3130" t="str">
        <f t="shared" si="0"/>
        <v/>
      </c>
      <c r="Q37" s="3131" t="str">
        <f t="shared" si="1"/>
        <v>YES</v>
      </c>
      <c r="R37" s="3133"/>
      <c r="S37" s="3128"/>
      <c r="T37" s="3133"/>
      <c r="U37" s="3128"/>
      <c r="V37" s="3130" t="str">
        <f t="shared" si="3"/>
        <v/>
      </c>
      <c r="W37" s="3131" t="str">
        <f t="shared" si="2"/>
        <v xml:space="preserve"> </v>
      </c>
      <c r="X37" s="3133"/>
      <c r="Y37" s="3128"/>
      <c r="Z37" s="3133"/>
      <c r="AA37" s="3128"/>
      <c r="AB37" s="3131"/>
      <c r="AC37" s="3133"/>
      <c r="AD37" s="3131"/>
      <c r="AE37" s="3131"/>
      <c r="AF37" s="3144"/>
      <c r="AG37" s="3128"/>
      <c r="AH37" s="3131"/>
      <c r="AI37" s="3131"/>
      <c r="AJ37" s="3144"/>
      <c r="AK37" s="3128"/>
      <c r="AL37" s="3133"/>
      <c r="AM37" s="3131"/>
      <c r="AN37" s="3133"/>
      <c r="AO37" s="3128"/>
      <c r="AP37" s="3133"/>
      <c r="AQ37" s="3133"/>
      <c r="AR37" s="3133"/>
      <c r="AS37" s="3128"/>
      <c r="AT37" s="3133"/>
      <c r="AU37" s="3133"/>
      <c r="AV37" s="3128"/>
      <c r="AW37" s="3133"/>
      <c r="AX37" s="3133"/>
      <c r="AY37" s="3136"/>
      <c r="AZ37" s="3133"/>
      <c r="BA37" s="3160"/>
      <c r="BB37" s="3138"/>
      <c r="BC37" s="3138"/>
      <c r="BD37" s="3138"/>
      <c r="BE37" s="3139"/>
      <c r="BF37" s="3142"/>
      <c r="BG37" s="3140"/>
      <c r="BH37" s="3140"/>
      <c r="BI37" s="3140"/>
      <c r="BJ37" s="3142"/>
      <c r="BK37" s="3138"/>
      <c r="BL37" s="3138"/>
      <c r="BM37" s="3071"/>
      <c r="BN37" s="3138"/>
      <c r="BO37" s="3138"/>
      <c r="BP37" s="3138" t="str">
        <f t="shared" si="8"/>
        <v/>
      </c>
      <c r="BQ37"/>
    </row>
    <row r="38" spans="1:69" ht="15" hidden="1">
      <c r="A38" s="3123">
        <f t="shared" si="9"/>
        <v>33</v>
      </c>
      <c r="B38" s="3124"/>
      <c r="C38" s="3125"/>
      <c r="D38" s="3126">
        <v>0</v>
      </c>
      <c r="E38" s="3126">
        <v>0</v>
      </c>
      <c r="F38" s="3126">
        <v>0</v>
      </c>
      <c r="G38" s="3126">
        <v>0</v>
      </c>
      <c r="H38" s="3127"/>
      <c r="I38" s="3127"/>
      <c r="J38" s="3127"/>
      <c r="K38" s="3127"/>
      <c r="L38" s="3127"/>
      <c r="M38" s="3128"/>
      <c r="N38" s="3133"/>
      <c r="O38" s="3128"/>
      <c r="P38" s="3130" t="str">
        <f t="shared" si="0"/>
        <v/>
      </c>
      <c r="Q38" s="3131" t="str">
        <f t="shared" si="1"/>
        <v>YES</v>
      </c>
      <c r="R38" s="3133"/>
      <c r="S38" s="3128"/>
      <c r="T38" s="3133"/>
      <c r="U38" s="3128"/>
      <c r="V38" s="3130" t="str">
        <f t="shared" si="3"/>
        <v/>
      </c>
      <c r="W38" s="3131" t="str">
        <f t="shared" si="2"/>
        <v xml:space="preserve"> </v>
      </c>
      <c r="X38" s="3133"/>
      <c r="Y38" s="3128"/>
      <c r="Z38" s="3133"/>
      <c r="AA38" s="3128"/>
      <c r="AB38" s="3131"/>
      <c r="AC38" s="3133"/>
      <c r="AD38" s="3131"/>
      <c r="AE38" s="3131"/>
      <c r="AF38" s="3144"/>
      <c r="AG38" s="3128"/>
      <c r="AH38" s="3131"/>
      <c r="AI38" s="3131"/>
      <c r="AJ38" s="3144"/>
      <c r="AK38" s="3128"/>
      <c r="AL38" s="3133"/>
      <c r="AM38" s="3131"/>
      <c r="AN38" s="3133"/>
      <c r="AO38" s="3128"/>
      <c r="AP38" s="3133"/>
      <c r="AQ38" s="3133"/>
      <c r="AR38" s="3133"/>
      <c r="AS38" s="3128"/>
      <c r="AT38" s="3133"/>
      <c r="AU38" s="3133"/>
      <c r="AV38" s="3128"/>
      <c r="AW38" s="3133"/>
      <c r="AX38" s="3133"/>
      <c r="AY38" s="3136"/>
      <c r="AZ38" s="3133"/>
      <c r="BA38" s="3137"/>
      <c r="BB38" s="3138"/>
      <c r="BC38" s="3138"/>
      <c r="BD38" s="3138"/>
      <c r="BE38" s="3139"/>
      <c r="BF38" s="3142"/>
      <c r="BG38" s="3140"/>
      <c r="BH38" s="3140"/>
      <c r="BI38" s="3140"/>
      <c r="BJ38" s="3142"/>
      <c r="BK38" s="3138"/>
      <c r="BL38" s="3138"/>
      <c r="BM38" s="3071"/>
      <c r="BN38" s="3138"/>
      <c r="BO38" s="3138"/>
      <c r="BP38" s="3138" t="str">
        <f t="shared" si="8"/>
        <v/>
      </c>
      <c r="BQ38"/>
    </row>
    <row r="39" spans="1:69" ht="15" hidden="1">
      <c r="A39" s="3123">
        <f t="shared" si="9"/>
        <v>34</v>
      </c>
      <c r="B39" s="3124"/>
      <c r="C39" s="3125"/>
      <c r="D39" s="3126">
        <v>0</v>
      </c>
      <c r="E39" s="3126">
        <v>0</v>
      </c>
      <c r="F39" s="3126">
        <v>0</v>
      </c>
      <c r="G39" s="3126">
        <v>0</v>
      </c>
      <c r="H39" s="3127"/>
      <c r="I39" s="3127"/>
      <c r="J39" s="3127"/>
      <c r="K39" s="3127"/>
      <c r="L39" s="3127"/>
      <c r="M39" s="3128"/>
      <c r="N39" s="3133"/>
      <c r="O39" s="3128"/>
      <c r="P39" s="3130" t="str">
        <f t="shared" si="0"/>
        <v/>
      </c>
      <c r="Q39" s="3131" t="str">
        <f t="shared" si="1"/>
        <v>YES</v>
      </c>
      <c r="R39" s="3133"/>
      <c r="S39" s="3128"/>
      <c r="T39" s="3133"/>
      <c r="U39" s="3128"/>
      <c r="V39" s="3130" t="str">
        <f t="shared" si="3"/>
        <v/>
      </c>
      <c r="W39" s="3131" t="str">
        <f t="shared" si="2"/>
        <v xml:space="preserve"> </v>
      </c>
      <c r="X39" s="3133"/>
      <c r="Y39" s="3128"/>
      <c r="Z39" s="3133"/>
      <c r="AA39" s="3128"/>
      <c r="AB39" s="3131"/>
      <c r="AC39" s="3133"/>
      <c r="AD39" s="3131"/>
      <c r="AE39" s="3131"/>
      <c r="AF39" s="3144"/>
      <c r="AG39" s="3128"/>
      <c r="AH39" s="3131"/>
      <c r="AI39" s="3131"/>
      <c r="AJ39" s="3144"/>
      <c r="AK39" s="3128"/>
      <c r="AL39" s="3133"/>
      <c r="AM39" s="3131"/>
      <c r="AN39" s="3133"/>
      <c r="AO39" s="3128"/>
      <c r="AP39" s="3133"/>
      <c r="AQ39" s="3133"/>
      <c r="AR39" s="3133"/>
      <c r="AS39" s="3128"/>
      <c r="AT39" s="3133"/>
      <c r="AU39" s="3133"/>
      <c r="AV39" s="3128"/>
      <c r="AW39" s="3133"/>
      <c r="AX39" s="3133"/>
      <c r="AY39" s="3136"/>
      <c r="AZ39" s="3133"/>
      <c r="BA39" s="3157"/>
      <c r="BB39" s="3138"/>
      <c r="BC39" s="3138"/>
      <c r="BD39" s="3138"/>
      <c r="BE39" s="3139"/>
      <c r="BF39" s="3142"/>
      <c r="BG39" s="3140"/>
      <c r="BH39" s="3140"/>
      <c r="BI39" s="3140"/>
      <c r="BJ39" s="3142"/>
      <c r="BK39" s="3138"/>
      <c r="BL39" s="3138"/>
      <c r="BM39" s="3071"/>
      <c r="BN39" s="3138"/>
      <c r="BO39" s="3138"/>
      <c r="BP39" s="3138" t="str">
        <f t="shared" si="8"/>
        <v/>
      </c>
      <c r="BQ39"/>
    </row>
    <row r="40" spans="1:69" ht="15" hidden="1">
      <c r="A40" s="3123">
        <f t="shared" si="9"/>
        <v>35</v>
      </c>
      <c r="B40" s="3124"/>
      <c r="C40" s="3125"/>
      <c r="D40" s="3126">
        <v>0</v>
      </c>
      <c r="E40" s="3126">
        <v>0</v>
      </c>
      <c r="F40" s="3126">
        <v>0</v>
      </c>
      <c r="G40" s="3126">
        <v>0</v>
      </c>
      <c r="H40" s="3127"/>
      <c r="I40" s="3127"/>
      <c r="J40" s="3127"/>
      <c r="K40" s="3127"/>
      <c r="L40" s="3127"/>
      <c r="M40" s="3128"/>
      <c r="N40" s="3133"/>
      <c r="O40" s="3128"/>
      <c r="P40" s="3130" t="str">
        <f t="shared" si="0"/>
        <v/>
      </c>
      <c r="Q40" s="3131" t="str">
        <f t="shared" si="1"/>
        <v>YES</v>
      </c>
      <c r="R40" s="3133"/>
      <c r="S40" s="3128"/>
      <c r="T40" s="3133"/>
      <c r="U40" s="3128"/>
      <c r="V40" s="3130" t="str">
        <f t="shared" si="3"/>
        <v/>
      </c>
      <c r="W40" s="3131" t="str">
        <f t="shared" si="2"/>
        <v xml:space="preserve"> </v>
      </c>
      <c r="X40" s="3133"/>
      <c r="Y40" s="3128"/>
      <c r="Z40" s="3133"/>
      <c r="AA40" s="3128"/>
      <c r="AB40" s="3131"/>
      <c r="AC40" s="3133"/>
      <c r="AD40" s="3131"/>
      <c r="AE40" s="3131"/>
      <c r="AF40" s="3144"/>
      <c r="AG40" s="3128"/>
      <c r="AH40" s="3131"/>
      <c r="AI40" s="3131"/>
      <c r="AJ40" s="3144"/>
      <c r="AK40" s="3128"/>
      <c r="AL40" s="3133"/>
      <c r="AM40" s="3131"/>
      <c r="AN40" s="3133"/>
      <c r="AO40" s="3128"/>
      <c r="AP40" s="3133"/>
      <c r="AQ40" s="3133"/>
      <c r="AR40" s="3133"/>
      <c r="AS40" s="3128"/>
      <c r="AT40" s="3133"/>
      <c r="AU40" s="3133"/>
      <c r="AV40" s="3128"/>
      <c r="AW40" s="3133"/>
      <c r="AX40" s="3133"/>
      <c r="AY40" s="3136"/>
      <c r="AZ40" s="3133"/>
      <c r="BA40" s="3157"/>
      <c r="BB40" s="3138"/>
      <c r="BC40" s="3138"/>
      <c r="BD40" s="3138"/>
      <c r="BE40" s="3139"/>
      <c r="BF40" s="3142"/>
      <c r="BG40" s="3140"/>
      <c r="BH40" s="3140"/>
      <c r="BI40" s="3140"/>
      <c r="BJ40" s="3142"/>
      <c r="BK40" s="3138"/>
      <c r="BL40" s="3138"/>
      <c r="BM40" s="3071"/>
      <c r="BN40" s="3138"/>
      <c r="BO40" s="3138"/>
      <c r="BP40" s="3138" t="str">
        <f t="shared" si="8"/>
        <v/>
      </c>
      <c r="BQ40"/>
    </row>
    <row r="41" spans="1:69" ht="15" hidden="1">
      <c r="A41" s="3123">
        <f t="shared" si="9"/>
        <v>36</v>
      </c>
      <c r="B41" s="3124"/>
      <c r="C41" s="3125"/>
      <c r="D41" s="3126">
        <v>0</v>
      </c>
      <c r="E41" s="3126">
        <v>0</v>
      </c>
      <c r="F41" s="3126">
        <v>0</v>
      </c>
      <c r="G41" s="3126">
        <v>0</v>
      </c>
      <c r="H41" s="3127"/>
      <c r="I41" s="3127"/>
      <c r="J41" s="3127"/>
      <c r="K41" s="3127"/>
      <c r="L41" s="3127"/>
      <c r="M41" s="3128"/>
      <c r="N41" s="3133"/>
      <c r="O41" s="3128"/>
      <c r="P41" s="3130" t="str">
        <f t="shared" si="0"/>
        <v/>
      </c>
      <c r="Q41" s="3131" t="str">
        <f t="shared" si="1"/>
        <v>YES</v>
      </c>
      <c r="R41" s="3133"/>
      <c r="S41" s="3128"/>
      <c r="T41" s="3133"/>
      <c r="U41" s="3128"/>
      <c r="V41" s="3130" t="str">
        <f t="shared" si="3"/>
        <v/>
      </c>
      <c r="W41" s="3131" t="str">
        <f t="shared" si="2"/>
        <v xml:space="preserve"> </v>
      </c>
      <c r="X41" s="3133"/>
      <c r="Y41" s="3128"/>
      <c r="Z41" s="3133"/>
      <c r="AA41" s="3128"/>
      <c r="AB41" s="3131"/>
      <c r="AC41" s="3133"/>
      <c r="AD41" s="3131"/>
      <c r="AE41" s="3131"/>
      <c r="AF41" s="3144"/>
      <c r="AG41" s="3128"/>
      <c r="AH41" s="3131"/>
      <c r="AI41" s="3131"/>
      <c r="AJ41" s="3144"/>
      <c r="AK41" s="3128"/>
      <c r="AL41" s="3133"/>
      <c r="AM41" s="3131"/>
      <c r="AN41" s="3133"/>
      <c r="AO41" s="3128"/>
      <c r="AP41" s="3133"/>
      <c r="AQ41" s="3133"/>
      <c r="AR41" s="3133"/>
      <c r="AS41" s="3128"/>
      <c r="AT41" s="3133"/>
      <c r="AU41" s="3133"/>
      <c r="AV41" s="3128"/>
      <c r="AW41" s="3133"/>
      <c r="AX41" s="3133"/>
      <c r="AY41" s="3136"/>
      <c r="AZ41" s="3133"/>
      <c r="BA41" s="3157"/>
      <c r="BB41" s="3138"/>
      <c r="BC41" s="3138"/>
      <c r="BD41" s="3138"/>
      <c r="BE41" s="3139"/>
      <c r="BF41" s="3142"/>
      <c r="BG41" s="3140"/>
      <c r="BH41" s="3140"/>
      <c r="BI41" s="3140"/>
      <c r="BJ41" s="3142"/>
      <c r="BK41" s="3138"/>
      <c r="BL41" s="3138"/>
      <c r="BM41" s="3071"/>
      <c r="BN41" s="3138"/>
      <c r="BO41" s="3138"/>
      <c r="BP41" s="3138" t="str">
        <f t="shared" si="8"/>
        <v/>
      </c>
      <c r="BQ41"/>
    </row>
    <row r="42" spans="1:69" ht="15" hidden="1">
      <c r="A42" s="3123">
        <f t="shared" si="9"/>
        <v>37</v>
      </c>
      <c r="B42" s="3124"/>
      <c r="C42" s="3125"/>
      <c r="D42" s="3126">
        <v>0</v>
      </c>
      <c r="E42" s="3126">
        <v>0</v>
      </c>
      <c r="F42" s="3126">
        <v>0</v>
      </c>
      <c r="G42" s="3126">
        <v>0</v>
      </c>
      <c r="H42" s="3127"/>
      <c r="I42" s="3127"/>
      <c r="J42" s="3127"/>
      <c r="K42" s="3127"/>
      <c r="L42" s="3127"/>
      <c r="M42" s="3128"/>
      <c r="N42" s="3133"/>
      <c r="O42" s="3128"/>
      <c r="P42" s="3130" t="str">
        <f t="shared" si="0"/>
        <v/>
      </c>
      <c r="Q42" s="3131" t="str">
        <f t="shared" si="1"/>
        <v>YES</v>
      </c>
      <c r="R42" s="3133"/>
      <c r="S42" s="3128"/>
      <c r="T42" s="3133"/>
      <c r="U42" s="3128"/>
      <c r="V42" s="3130" t="str">
        <f t="shared" si="3"/>
        <v/>
      </c>
      <c r="W42" s="3131" t="str">
        <f t="shared" si="2"/>
        <v xml:space="preserve"> </v>
      </c>
      <c r="X42" s="3133"/>
      <c r="Y42" s="3128"/>
      <c r="Z42" s="3133"/>
      <c r="AA42" s="3128"/>
      <c r="AB42" s="3131"/>
      <c r="AC42" s="3133"/>
      <c r="AD42" s="3131"/>
      <c r="AE42" s="3131"/>
      <c r="AF42" s="3144"/>
      <c r="AG42" s="3128"/>
      <c r="AH42" s="3131"/>
      <c r="AI42" s="3131"/>
      <c r="AJ42" s="3144"/>
      <c r="AK42" s="3128"/>
      <c r="AL42" s="3133"/>
      <c r="AM42" s="3131"/>
      <c r="AN42" s="3133"/>
      <c r="AO42" s="3128"/>
      <c r="AP42" s="3133"/>
      <c r="AQ42" s="3133"/>
      <c r="AR42" s="3133"/>
      <c r="AS42" s="3128"/>
      <c r="AT42" s="3133"/>
      <c r="AU42" s="3133"/>
      <c r="AV42" s="3128"/>
      <c r="AW42" s="3133"/>
      <c r="AX42" s="3133"/>
      <c r="AY42" s="3136"/>
      <c r="AZ42" s="3133"/>
      <c r="BA42" s="3157"/>
      <c r="BB42" s="3138"/>
      <c r="BC42" s="3138"/>
      <c r="BD42" s="3138"/>
      <c r="BE42" s="3139"/>
      <c r="BF42" s="3142"/>
      <c r="BG42" s="3140"/>
      <c r="BH42" s="3140"/>
      <c r="BI42" s="3140"/>
      <c r="BJ42" s="3142"/>
      <c r="BK42" s="3138"/>
      <c r="BL42" s="3138"/>
      <c r="BM42" s="3071"/>
      <c r="BN42" s="3138"/>
      <c r="BO42" s="3138"/>
      <c r="BP42" s="3138" t="str">
        <f t="shared" si="8"/>
        <v/>
      </c>
      <c r="BQ42"/>
    </row>
    <row r="43" spans="1:69" ht="15" hidden="1">
      <c r="A43" s="4207">
        <f t="shared" si="9"/>
        <v>38</v>
      </c>
      <c r="B43" s="4208"/>
      <c r="C43" s="4209"/>
      <c r="D43" s="3126">
        <v>0</v>
      </c>
      <c r="E43" s="3126">
        <v>0</v>
      </c>
      <c r="F43" s="3126">
        <v>0</v>
      </c>
      <c r="G43" s="4210">
        <v>0</v>
      </c>
      <c r="H43" s="4211"/>
      <c r="I43" s="4211"/>
      <c r="J43" s="4211"/>
      <c r="K43" s="4211"/>
      <c r="L43" s="4211"/>
      <c r="M43" s="4212"/>
      <c r="N43" s="4213"/>
      <c r="O43" s="4212"/>
      <c r="P43" s="4214" t="str">
        <f t="shared" si="0"/>
        <v/>
      </c>
      <c r="Q43" s="4215"/>
      <c r="R43" s="4213"/>
      <c r="S43" s="4212"/>
      <c r="T43" s="4213"/>
      <c r="U43" s="4212"/>
      <c r="V43" s="4214" t="str">
        <f t="shared" si="3"/>
        <v/>
      </c>
      <c r="W43" s="4215"/>
      <c r="X43" s="4213"/>
      <c r="Y43" s="4212"/>
      <c r="Z43" s="4213"/>
      <c r="AA43" s="4212"/>
      <c r="AB43" s="4215"/>
      <c r="AC43" s="4213"/>
      <c r="AD43" s="4215"/>
      <c r="AE43" s="4215"/>
      <c r="AF43" s="4216"/>
      <c r="AG43" s="4212"/>
      <c r="AH43" s="3131"/>
      <c r="AI43" s="3131"/>
      <c r="AJ43" s="3144"/>
      <c r="AK43" s="3128"/>
      <c r="AL43" s="3133"/>
      <c r="AM43" s="3131"/>
      <c r="AN43" s="3133"/>
      <c r="AO43" s="3128"/>
      <c r="AP43" s="4213"/>
      <c r="AQ43" s="4213"/>
      <c r="AR43" s="4213"/>
      <c r="AS43" s="4212"/>
      <c r="AT43" s="3133"/>
      <c r="AU43" s="3133"/>
      <c r="AV43" s="3128"/>
      <c r="AW43" s="3133"/>
      <c r="AX43" s="3133"/>
      <c r="AY43" s="3136"/>
      <c r="AZ43" s="4213"/>
      <c r="BA43" s="3137"/>
      <c r="BB43" s="4217"/>
      <c r="BC43" s="4217"/>
      <c r="BD43" s="4217"/>
      <c r="BE43" s="4218"/>
      <c r="BF43" s="3142"/>
      <c r="BG43" s="3140"/>
      <c r="BH43" s="3140"/>
      <c r="BI43" s="3140"/>
      <c r="BJ43" s="3142"/>
      <c r="BK43" s="3138"/>
      <c r="BL43" s="3138"/>
      <c r="BM43" s="3071"/>
      <c r="BN43" s="3138"/>
      <c r="BO43" s="3138"/>
      <c r="BP43" s="3138" t="str">
        <f t="shared" si="8"/>
        <v/>
      </c>
      <c r="BQ43"/>
    </row>
    <row r="44" spans="1:69" ht="47.25" customHeight="1">
      <c r="A44" s="3123">
        <v>57</v>
      </c>
      <c r="B44" s="3124" t="s">
        <v>4253</v>
      </c>
      <c r="C44" s="4219" t="s">
        <v>4254</v>
      </c>
      <c r="D44" s="4199"/>
      <c r="E44" s="4199"/>
      <c r="F44" s="4199"/>
      <c r="G44" s="4220" t="s">
        <v>4255</v>
      </c>
      <c r="H44" s="4221"/>
      <c r="I44" s="4221"/>
      <c r="J44" s="4221"/>
      <c r="K44" s="4221"/>
      <c r="L44" s="4221"/>
      <c r="M44" s="3128">
        <v>45683</v>
      </c>
      <c r="N44" s="3129" t="s">
        <v>4256</v>
      </c>
      <c r="O44" s="3128">
        <v>45683</v>
      </c>
      <c r="P44" s="3130">
        <f t="shared" si="0"/>
        <v>0</v>
      </c>
      <c r="Q44" s="3131" t="str">
        <f t="shared" si="1"/>
        <v>YES</v>
      </c>
      <c r="R44" s="3129" t="s">
        <v>4258</v>
      </c>
      <c r="S44" s="3143">
        <v>45690</v>
      </c>
      <c r="T44" s="3143" t="s">
        <v>4257</v>
      </c>
      <c r="U44" s="3128">
        <v>45693</v>
      </c>
      <c r="V44" s="3130">
        <v>217</v>
      </c>
      <c r="W44" s="3131"/>
      <c r="X44" s="3133"/>
      <c r="Y44" s="3128"/>
      <c r="Z44" s="3133"/>
      <c r="AA44" s="3128"/>
      <c r="AB44" s="3131">
        <v>216</v>
      </c>
      <c r="AC44" s="3133">
        <v>0</v>
      </c>
      <c r="AD44" s="3131">
        <v>96</v>
      </c>
      <c r="AE44" s="3131"/>
      <c r="AF44" s="3144"/>
      <c r="AG44" s="3128"/>
      <c r="AH44" s="4202"/>
      <c r="AI44" s="4202"/>
      <c r="AJ44" s="4203"/>
      <c r="AK44" s="4200"/>
      <c r="AL44" s="4201"/>
      <c r="AM44" s="4202"/>
      <c r="AN44" s="4201"/>
      <c r="AO44" s="4200"/>
      <c r="AP44" s="3133"/>
      <c r="AQ44" s="3133"/>
      <c r="AR44" s="3133"/>
      <c r="AS44" s="3128"/>
      <c r="AT44" s="4201"/>
      <c r="AU44" s="4201"/>
      <c r="AV44" s="4200"/>
      <c r="AW44" s="4201"/>
      <c r="AX44" s="4201"/>
      <c r="AY44" s="4204"/>
      <c r="AZ44" s="3129" t="s">
        <v>4259</v>
      </c>
      <c r="BA44" s="3139"/>
      <c r="BB44" s="3138"/>
      <c r="BC44" s="3138" t="s">
        <v>2422</v>
      </c>
      <c r="BD44" s="3138" t="s">
        <v>1277</v>
      </c>
      <c r="BE44" s="3139" t="s">
        <v>4982</v>
      </c>
      <c r="BF44" s="3142"/>
      <c r="BG44" s="4206"/>
      <c r="BH44" s="4206"/>
      <c r="BI44" s="4206"/>
      <c r="BJ44" s="3142"/>
      <c r="BK44" s="4205"/>
      <c r="BL44" s="4205"/>
      <c r="BM44" s="3071"/>
      <c r="BN44" s="3138"/>
      <c r="BO44" s="3138"/>
      <c r="BP44" s="3138"/>
    </row>
    <row r="45" spans="1:69" ht="60">
      <c r="A45" s="3123">
        <v>56</v>
      </c>
      <c r="B45" s="3124" t="s">
        <v>4984</v>
      </c>
      <c r="C45" s="4219" t="s">
        <v>4985</v>
      </c>
      <c r="G45" s="4220" t="s">
        <v>4986</v>
      </c>
      <c r="H45" s="4221"/>
      <c r="I45" s="4221"/>
      <c r="J45" s="4221"/>
      <c r="K45" s="4221"/>
      <c r="L45" s="4221"/>
      <c r="M45" s="3128"/>
      <c r="N45" s="3129" t="s">
        <v>4987</v>
      </c>
      <c r="O45" s="3128">
        <v>45895</v>
      </c>
      <c r="P45" s="3130"/>
      <c r="Q45" s="3131"/>
      <c r="R45" s="3129"/>
      <c r="S45" s="3143"/>
      <c r="T45" s="3143"/>
      <c r="U45" s="3128"/>
      <c r="V45" s="3130"/>
      <c r="W45" s="3131"/>
      <c r="X45" s="3133"/>
      <c r="Y45" s="3128"/>
      <c r="Z45" s="3133"/>
      <c r="AA45" s="3128"/>
      <c r="AB45" s="3131"/>
      <c r="AC45" s="3133"/>
      <c r="AD45" s="3131"/>
      <c r="AE45" s="3131"/>
      <c r="AF45" s="3144"/>
      <c r="AG45" s="3128"/>
      <c r="AP45" s="3133"/>
      <c r="AQ45" s="3133"/>
      <c r="AR45" s="3133"/>
      <c r="AS45" s="3128"/>
      <c r="AZ45" s="3129" t="s">
        <v>4988</v>
      </c>
      <c r="BB45" s="3138"/>
      <c r="BC45" s="3138" t="s">
        <v>2007</v>
      </c>
      <c r="BD45" s="3138" t="s">
        <v>2431</v>
      </c>
      <c r="BE45" s="3139"/>
      <c r="BN45" s="3166"/>
      <c r="BO45" s="3166"/>
      <c r="BP45" s="3166" t="str">
        <f t="shared" si="8"/>
        <v/>
      </c>
      <c r="BQ45" s="3175">
        <f ca="1">(IF(O45=0,"",TODAY()-O45))</f>
        <v>404</v>
      </c>
    </row>
    <row r="46" spans="1:69" ht="75">
      <c r="A46" s="3123">
        <v>96</v>
      </c>
      <c r="B46" s="3124" t="s">
        <v>4989</v>
      </c>
      <c r="C46" s="4219" t="s">
        <v>3157</v>
      </c>
      <c r="D46" s="4220"/>
      <c r="E46" s="4221"/>
      <c r="F46" s="4221"/>
      <c r="G46" s="4220" t="s">
        <v>3535</v>
      </c>
      <c r="H46" s="4221"/>
      <c r="I46" s="4221"/>
      <c r="J46" s="4221"/>
      <c r="K46" s="4221"/>
      <c r="L46" s="4221"/>
      <c r="M46" s="3128"/>
      <c r="N46" s="3129" t="s">
        <v>4990</v>
      </c>
      <c r="O46" s="3128">
        <v>45939</v>
      </c>
      <c r="P46" s="3130"/>
      <c r="Q46" s="3131"/>
      <c r="R46" s="3129"/>
      <c r="S46" s="3143"/>
      <c r="T46" s="3143"/>
      <c r="U46" s="3128"/>
      <c r="V46" s="3130"/>
      <c r="W46" s="3131"/>
      <c r="X46" s="3133"/>
      <c r="Y46" s="3128"/>
      <c r="Z46" s="3133"/>
      <c r="AA46" s="3128"/>
      <c r="AB46" s="3131"/>
      <c r="AC46" s="3133"/>
      <c r="AD46" s="3131"/>
      <c r="AE46" s="3131"/>
      <c r="AF46" s="3144"/>
      <c r="AG46" s="3128"/>
      <c r="AH46" s="3128"/>
      <c r="AI46" s="3129"/>
      <c r="AJ46" s="3027"/>
      <c r="AK46" s="3138"/>
      <c r="AL46" s="3138"/>
      <c r="AM46" s="3138"/>
      <c r="AN46" s="3139"/>
      <c r="AP46" s="3133"/>
      <c r="AQ46" s="3133"/>
      <c r="AR46" s="3133"/>
      <c r="AS46" s="3128"/>
      <c r="AT46" s="3129"/>
      <c r="AZ46" s="3129" t="s">
        <v>4991</v>
      </c>
      <c r="BB46" s="3138"/>
      <c r="BC46" s="3138" t="s">
        <v>2007</v>
      </c>
      <c r="BD46" s="3138" t="s">
        <v>2459</v>
      </c>
      <c r="BE46" s="3139"/>
      <c r="BQ46" s="3175">
        <f ca="1">(IF(O46=0,"",TODAY()-O46))</f>
        <v>360</v>
      </c>
    </row>
    <row r="47" spans="1:69" ht="15">
      <c r="A47" s="3123"/>
      <c r="B47" s="3124"/>
      <c r="C47" s="4219"/>
      <c r="D47" s="4221"/>
      <c r="E47" s="4221"/>
      <c r="F47" s="4221"/>
      <c r="G47" s="4220"/>
      <c r="H47" s="4221"/>
      <c r="I47" s="4221"/>
      <c r="J47" s="4221"/>
      <c r="K47" s="4221"/>
      <c r="L47" s="4221"/>
      <c r="M47" s="3128"/>
      <c r="N47" s="3129"/>
      <c r="O47" s="3128"/>
      <c r="P47" s="3130"/>
      <c r="Q47" s="3131"/>
      <c r="R47" s="3129"/>
      <c r="S47" s="3143"/>
      <c r="T47" s="3143"/>
      <c r="U47" s="3128"/>
      <c r="V47" s="3130"/>
      <c r="W47" s="3131"/>
      <c r="X47" s="3133"/>
      <c r="Y47" s="3128"/>
      <c r="Z47" s="3133"/>
      <c r="AA47" s="3128"/>
      <c r="AB47" s="3131"/>
      <c r="AC47" s="3133"/>
      <c r="AD47" s="3131"/>
      <c r="AE47" s="3131"/>
      <c r="AF47" s="3144"/>
      <c r="AG47" s="3128"/>
      <c r="AP47" s="3133"/>
      <c r="AQ47" s="3133"/>
      <c r="AR47" s="3133"/>
      <c r="AS47" s="3128"/>
      <c r="AT47" s="3129"/>
      <c r="AZ47" s="3129"/>
      <c r="BB47" s="3138"/>
      <c r="BC47" s="3138"/>
      <c r="BD47" s="3138"/>
      <c r="BE47" s="3139"/>
    </row>
    <row r="48" spans="1:69" ht="30" customHeight="1">
      <c r="AQ48" s="3028">
        <f>+AQ15-AQ49</f>
        <v>223215.90000000014</v>
      </c>
    </row>
    <row r="49" spans="43:70">
      <c r="AQ49" s="3028">
        <v>1267883.1499999999</v>
      </c>
    </row>
    <row r="51" spans="43:70">
      <c r="AQ51" s="3028">
        <f>+AQ49-AQ15</f>
        <v>-223215.90000000014</v>
      </c>
    </row>
    <row r="61" spans="43:70">
      <c r="BR61">
        <f>(BO14-BN14)*0</f>
        <v>0</v>
      </c>
    </row>
    <row r="62" spans="43:70">
      <c r="BQ62" s="3175">
        <f ca="1">(IF(O15=0,"",TODAY()-O15))*0</f>
        <v>0</v>
      </c>
    </row>
  </sheetData>
  <protectedRanges>
    <protectedRange sqref="AN189:AN211" name="Range2_1"/>
    <protectedRange sqref="AN212:AN1048576 AN1:AN9" name="Range2_1_1"/>
    <protectedRange sqref="BA10:BA44" name="Range2_1_1_1"/>
    <protectedRange sqref="BD10:BE10" name="Range3_1_1"/>
    <protectedRange sqref="Z11" name="Range2_3_1"/>
    <protectedRange sqref="BI14:BI44" name="Range3_3_1_1"/>
    <protectedRange sqref="AM46 BD14:BD47" name="Range3_3_2_1_2_1"/>
    <protectedRange sqref="BN46:BP83" name="Range2_2_1"/>
    <protectedRange sqref="BP14:BP45" name="Range3_3_2_2_1"/>
  </protectedRanges>
  <autoFilter ref="E13:E43" xr:uid="{A6B7AC8E-E373-42CE-85B7-85828C00E9E5}">
    <filterColumn colId="0">
      <filters>
        <filter val="AMAALA Yacht Club"/>
      </filters>
    </filterColumn>
  </autoFilter>
  <mergeCells count="24">
    <mergeCell ref="AZ15:AZ18"/>
    <mergeCell ref="AR15:AR18"/>
    <mergeCell ref="AS15:AS18"/>
    <mergeCell ref="AB10:AO10"/>
    <mergeCell ref="F11:F12"/>
    <mergeCell ref="N11:O11"/>
    <mergeCell ref="R11:S11"/>
    <mergeCell ref="T11:U11"/>
    <mergeCell ref="G11:G12"/>
    <mergeCell ref="H11:H12"/>
    <mergeCell ref="I11:I12"/>
    <mergeCell ref="J11:J12"/>
    <mergeCell ref="K11:K12"/>
    <mergeCell ref="L11:L12"/>
    <mergeCell ref="AQ15:AQ18"/>
    <mergeCell ref="AD15:AD18"/>
    <mergeCell ref="AE15:AE18"/>
    <mergeCell ref="AF15:AF18"/>
    <mergeCell ref="AG15:AG18"/>
    <mergeCell ref="A11:A12"/>
    <mergeCell ref="B11:B12"/>
    <mergeCell ref="C11:C12"/>
    <mergeCell ref="D11:D12"/>
    <mergeCell ref="E11:E12"/>
  </mergeCells>
  <conditionalFormatting sqref="D47:E47">
    <cfRule type="iconSet" priority="4">
      <iconSet iconSet="3Symbols2" showValue="0">
        <cfvo type="percent" val="0"/>
        <cfvo type="percent" val="0"/>
        <cfvo type="percent" val="1"/>
      </iconSet>
    </cfRule>
  </conditionalFormatting>
  <conditionalFormatting sqref="E46:F46">
    <cfRule type="iconSet" priority="12">
      <iconSet iconSet="3Symbols2" showValue="0">
        <cfvo type="percent" val="0"/>
        <cfvo type="percent" val="0"/>
        <cfvo type="percent" val="1"/>
      </iconSet>
    </cfRule>
  </conditionalFormatting>
  <conditionalFormatting sqref="F47">
    <cfRule type="iconSet" priority="3">
      <iconSet iconSet="3Symbols2" showValue="0">
        <cfvo type="percent" val="0"/>
        <cfvo type="percent" val="0"/>
        <cfvo type="percent" val="1"/>
      </iconSet>
    </cfRule>
  </conditionalFormatting>
  <conditionalFormatting sqref="H34:H35">
    <cfRule type="iconSet" priority="15">
      <iconSet iconSet="3Symbols2" showValue="0">
        <cfvo type="percent" val="0"/>
        <cfvo type="percent" val="0"/>
        <cfvo type="percent" val="1"/>
      </iconSet>
    </cfRule>
  </conditionalFormatting>
  <conditionalFormatting sqref="H33:I33">
    <cfRule type="iconSet" priority="22">
      <iconSet iconSet="3Symbols2" showValue="0">
        <cfvo type="percent" val="0"/>
        <cfvo type="percent" val="0"/>
        <cfvo type="percent" val="1"/>
      </iconSet>
    </cfRule>
  </conditionalFormatting>
  <conditionalFormatting sqref="H45:K45">
    <cfRule type="iconSet" priority="14">
      <iconSet iconSet="3Symbols2" showValue="0">
        <cfvo type="percent" val="0"/>
        <cfvo type="percent" val="0"/>
        <cfvo type="percent" val="1"/>
      </iconSet>
    </cfRule>
  </conditionalFormatting>
  <conditionalFormatting sqref="H46:K46">
    <cfRule type="iconSet" priority="2">
      <iconSet iconSet="3Symbols2" showValue="0">
        <cfvo type="percent" val="0"/>
        <cfvo type="percent" val="0"/>
        <cfvo type="percent" val="1"/>
      </iconSet>
    </cfRule>
  </conditionalFormatting>
  <conditionalFormatting sqref="H47:K47">
    <cfRule type="iconSet" priority="1">
      <iconSet iconSet="3Symbols2" showValue="0">
        <cfvo type="percent" val="0"/>
        <cfvo type="percent" val="0"/>
        <cfvo type="percent" val="1"/>
      </iconSet>
    </cfRule>
  </conditionalFormatting>
  <conditionalFormatting sqref="H14:L32 H36:L44 J33:L33 I34:L35">
    <cfRule type="iconSet" priority="52">
      <iconSet iconSet="3Symbols2" showValue="0">
        <cfvo type="percent" val="0"/>
        <cfvo type="percent" val="0"/>
        <cfvo type="percent" val="1"/>
      </iconSet>
    </cfRule>
  </conditionalFormatting>
  <conditionalFormatting sqref="L45:L47">
    <cfRule type="iconSet" priority="13">
      <iconSet iconSet="3Symbols2" showValue="0">
        <cfvo type="percent" val="0"/>
        <cfvo type="percent" val="0"/>
        <cfvo type="percent" val="1"/>
      </iconSet>
    </cfRule>
  </conditionalFormatting>
  <conditionalFormatting sqref="AL46">
    <cfRule type="cellIs" dxfId="28" priority="5" operator="equal">
      <formula>"Closed"</formula>
    </cfRule>
    <cfRule type="cellIs" dxfId="27" priority="6" operator="equal">
      <formula>"For Presentation to Management"</formula>
    </cfRule>
    <cfRule type="cellIs" dxfId="26" priority="7" operator="equal">
      <formula>"Claims Team"</formula>
    </cfRule>
    <cfRule type="cellIs" dxfId="25" priority="8" operator="equal">
      <formula>"Planning Team"</formula>
    </cfRule>
    <cfRule type="cellIs" dxfId="24" priority="9" operator="equal">
      <formula>"Commercial Team"</formula>
    </cfRule>
    <cfRule type="cellIs" dxfId="23" priority="10" operator="equal">
      <formula>"Contractor"</formula>
    </cfRule>
  </conditionalFormatting>
  <conditionalFormatting sqref="BN14:BP32 BG14:BI44 BC14:BC47 BP33 BN34:BP45">
    <cfRule type="cellIs" dxfId="22" priority="45" operator="equal">
      <formula>"Closed"</formula>
    </cfRule>
    <cfRule type="cellIs" dxfId="21" priority="46" operator="equal">
      <formula>"For Presentation to Management"</formula>
    </cfRule>
    <cfRule type="cellIs" dxfId="20" priority="47" operator="equal">
      <formula>"Claims Team"</formula>
    </cfRule>
    <cfRule type="cellIs" dxfId="19" priority="48" operator="equal">
      <formula>"Planning Team"</formula>
    </cfRule>
    <cfRule type="cellIs" dxfId="18" priority="49" operator="equal">
      <formula>"Commercial Team"</formula>
    </cfRule>
    <cfRule type="cellIs" dxfId="17" priority="50" operator="equal">
      <formula>"Contractor"</formula>
    </cfRule>
  </conditionalFormatting>
  <dataValidations count="5">
    <dataValidation type="list" allowBlank="1" showInputMessage="1" showErrorMessage="1" sqref="BD14:BD47 AM46" xr:uid="{2E1562BC-5F0D-4A5E-8E5B-04F065D4718C}">
      <formula1>"Contractor,Engineer,Commercial Team,Planning Team,Claims Team,For Presentation to Management,Cost claim awaiting conclusion of EoT,Assessment in WF,DVO/VO in WF,Closed"</formula1>
    </dataValidation>
    <dataValidation type="list" allowBlank="1" showInputMessage="1" showErrorMessage="1" sqref="BC14:BC47 AL46" xr:uid="{92A24B1A-4CE0-4569-B246-A3E050F3014D}">
      <formula1>"Determination Issued,VO Issued,Open,Rejected,Superseded,Canceled,Dealt Separately"</formula1>
    </dataValidation>
    <dataValidation type="list" allowBlank="1" showInputMessage="1" showErrorMessage="1" sqref="BB14:BB47 AK46" xr:uid="{F4825B77-9124-4637-A269-C9671EC14117}">
      <formula1>"Assessment Report Issued,Pending,Rejected,Canceled,Superseded,Not Applicable"</formula1>
    </dataValidation>
    <dataValidation type="list" allowBlank="1" showInputMessage="1" showErrorMessage="1" sqref="BG14:BG44" xr:uid="{AF9746CB-5732-4B88-840A-257504C81A16}">
      <formula1>"Merit,Revise &amp; resubmit"</formula1>
    </dataValidation>
    <dataValidation type="list" allowBlank="1" showInputMessage="1" showErrorMessage="1" sqref="BH14:BI44 Q43" xr:uid="{BCAFA80D-1FFD-4FB7-93DB-161C24EBE313}">
      <formula1>"Yes,No"</formula1>
    </dataValidation>
  </dataValidations>
  <pageMargins left="0.2" right="0.2" top="0.75" bottom="0.75" header="0.3" footer="0.3"/>
  <pageSetup paperSize="8" scale="34" orientation="landscape" r:id="rId1"/>
  <headerFooter>
    <oddHeader>&amp;C&amp;"Calibri,Bold"&amp;28MONTHLY REPORT - CLAIMS TRACKER</oddHeader>
    <oddFooter>&amp;L&amp;18 1TB.01.003.01 - AYC 
MARCH'26 REPORT&amp;C&amp;18&amp;A&amp;R&amp;18Page &amp;P of &amp;N</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theme="7" tint="0.39997558519241921"/>
    <pageSetUpPr fitToPage="1"/>
  </sheetPr>
  <dimension ref="A2:H41"/>
  <sheetViews>
    <sheetView view="pageBreakPreview" zoomScale="112" zoomScaleSheetLayoutView="112" workbookViewId="0">
      <selection activeCell="F37" sqref="F37"/>
    </sheetView>
  </sheetViews>
  <sheetFormatPr defaultColWidth="8.85546875" defaultRowHeight="12.75"/>
  <cols>
    <col min="1" max="1" width="9.5703125" style="7" customWidth="1"/>
    <col min="2" max="2" width="47" style="6" customWidth="1"/>
    <col min="3" max="4" width="31" style="6" customWidth="1"/>
    <col min="5" max="7" width="22.85546875" style="6" customWidth="1"/>
    <col min="8" max="8" width="43.85546875" style="6" customWidth="1"/>
    <col min="9" max="16384" width="8.85546875" style="7"/>
  </cols>
  <sheetData>
    <row r="2" spans="1:8">
      <c r="A2" s="9" t="str">
        <f>'Data Input'!A1&amp;" - "&amp;'Data Input'!B1</f>
        <v>PROGRAMME: - MARINA VILLAGE (PROGRAMME 1_TRIPLE BAY)</v>
      </c>
    </row>
    <row r="3" spans="1:8">
      <c r="A3" s="9" t="str">
        <f>'Data Input'!A2&amp;" - "&amp;'Data Input'!B2</f>
        <v>PROGRAMME CODE: - 1TB01003</v>
      </c>
    </row>
    <row r="4" spans="1:8">
      <c r="A4" s="9" t="str">
        <f>'Data Input'!A3&amp;" - "&amp;'Data Input'!B3</f>
        <v>ASSET NAME: - AMAALA YACHT CLUB</v>
      </c>
    </row>
    <row r="5" spans="1:8" s="12" customFormat="1" ht="15">
      <c r="A5" s="9" t="str">
        <f>'Data Input'!A4&amp;" - "&amp;'Data Input'!B4</f>
        <v>ASSET CODE: - 1TB01003.01</v>
      </c>
      <c r="B5" s="2193"/>
      <c r="C5" s="542"/>
      <c r="D5" s="542"/>
      <c r="E5" s="2200"/>
      <c r="F5" s="2200"/>
      <c r="G5" s="2200"/>
      <c r="H5" s="547"/>
    </row>
    <row r="6" spans="1:8" s="12" customFormat="1" ht="15">
      <c r="A6" s="9" t="str">
        <f>'Data Input'!A7&amp;" - "&amp;'Data Input'!B7</f>
        <v>REPORT NO: - MONTHLY REPORT NO. 49</v>
      </c>
      <c r="B6" s="2193"/>
      <c r="C6" s="543"/>
      <c r="D6" s="543"/>
      <c r="E6" s="2200"/>
      <c r="F6" s="2200"/>
      <c r="G6" s="2200"/>
      <c r="H6" s="548"/>
    </row>
    <row r="7" spans="1:8" s="12" customFormat="1" ht="15">
      <c r="A7" s="9" t="str">
        <f>'Data Input'!A8&amp;" - "&amp;'Data Input'!B8</f>
        <v>REPORTING PERIOD: - OCTOBER 2026</v>
      </c>
      <c r="B7" s="2193"/>
      <c r="C7" s="544"/>
      <c r="D7" s="544"/>
      <c r="E7" s="2200"/>
      <c r="F7" s="6026"/>
      <c r="G7" s="6026"/>
      <c r="H7" s="6026"/>
    </row>
    <row r="8" spans="1:8" s="12" customFormat="1" ht="15">
      <c r="A8" s="2193"/>
      <c r="B8" s="2200"/>
      <c r="C8" s="2200"/>
      <c r="D8" s="2200"/>
      <c r="E8" s="2200"/>
      <c r="F8" s="2200"/>
      <c r="G8" s="2200"/>
      <c r="H8" s="2200"/>
    </row>
    <row r="9" spans="1:8" s="12" customFormat="1" ht="15">
      <c r="A9" s="2193"/>
      <c r="B9" s="14"/>
      <c r="C9" s="2200"/>
      <c r="D9" s="2200"/>
      <c r="E9" s="2200"/>
      <c r="F9" s="2200"/>
      <c r="G9" s="2200"/>
      <c r="H9" s="2200"/>
    </row>
    <row r="10" spans="1:8" s="9" customFormat="1" ht="13.5" thickBot="1">
      <c r="B10" s="8"/>
      <c r="C10" s="8"/>
      <c r="D10" s="8"/>
      <c r="E10" s="8"/>
      <c r="F10" s="8"/>
      <c r="G10" s="8"/>
      <c r="H10" s="8"/>
    </row>
    <row r="11" spans="1:8" s="10" customFormat="1" ht="23.25" customHeight="1" thickBot="1">
      <c r="A11" s="798" t="s">
        <v>1406</v>
      </c>
      <c r="B11" s="799" t="s">
        <v>1370</v>
      </c>
      <c r="C11" s="791" t="s">
        <v>1407</v>
      </c>
      <c r="D11" s="791" t="s">
        <v>1408</v>
      </c>
      <c r="E11" s="791" t="s">
        <v>1409</v>
      </c>
      <c r="F11" s="792" t="s">
        <v>1410</v>
      </c>
      <c r="G11" s="793" t="s">
        <v>1411</v>
      </c>
      <c r="H11" s="863" t="s">
        <v>1412</v>
      </c>
    </row>
    <row r="12" spans="1:8" s="10" customFormat="1" ht="15" customHeight="1">
      <c r="A12" s="800"/>
      <c r="B12" s="794"/>
      <c r="C12" s="16"/>
      <c r="D12" s="16"/>
      <c r="E12" s="17"/>
      <c r="F12" s="18"/>
      <c r="G12" s="19"/>
      <c r="H12" s="864"/>
    </row>
    <row r="13" spans="1:8" s="10" customFormat="1" ht="27.95" customHeight="1">
      <c r="A13" s="801">
        <v>1</v>
      </c>
      <c r="B13" s="1930" t="s">
        <v>1413</v>
      </c>
      <c r="C13" s="761" t="s">
        <v>87</v>
      </c>
      <c r="D13" s="761" t="s">
        <v>129</v>
      </c>
      <c r="E13" s="762">
        <v>282971.7</v>
      </c>
      <c r="F13" s="1934">
        <v>0</v>
      </c>
      <c r="G13" s="868">
        <f>E13-F13</f>
        <v>282971.7</v>
      </c>
      <c r="H13" s="1931"/>
    </row>
    <row r="14" spans="1:8" s="10" customFormat="1" ht="25.5" customHeight="1">
      <c r="A14" s="801">
        <v>2</v>
      </c>
      <c r="B14" s="1930" t="s">
        <v>2194</v>
      </c>
      <c r="C14" s="761" t="s">
        <v>87</v>
      </c>
      <c r="D14" s="761" t="s">
        <v>2193</v>
      </c>
      <c r="E14" s="762">
        <v>3947.37</v>
      </c>
      <c r="F14" s="1934">
        <v>0</v>
      </c>
      <c r="G14" s="868">
        <f>E14-F14</f>
        <v>3947.37</v>
      </c>
      <c r="H14" s="865"/>
    </row>
    <row r="15" spans="1:8" s="10" customFormat="1" ht="15" customHeight="1">
      <c r="A15" s="801">
        <v>3</v>
      </c>
      <c r="B15" s="795"/>
      <c r="C15" s="761"/>
      <c r="D15" s="761"/>
      <c r="E15" s="762"/>
      <c r="F15" s="1934"/>
      <c r="G15" s="868"/>
      <c r="H15" s="865"/>
    </row>
    <row r="16" spans="1:8" s="10" customFormat="1" ht="15" customHeight="1">
      <c r="A16" s="801">
        <v>4</v>
      </c>
      <c r="B16" s="795"/>
      <c r="C16" s="761"/>
      <c r="D16" s="761"/>
      <c r="E16" s="762"/>
      <c r="F16" s="1934"/>
      <c r="G16" s="868"/>
      <c r="H16" s="865"/>
    </row>
    <row r="17" spans="1:8" s="10" customFormat="1" ht="15" customHeight="1">
      <c r="A17" s="801">
        <v>5</v>
      </c>
      <c r="B17" s="796"/>
      <c r="C17" s="761"/>
      <c r="D17" s="761"/>
      <c r="E17" s="2779"/>
      <c r="F17" s="1934"/>
      <c r="G17" s="868"/>
      <c r="H17" s="865"/>
    </row>
    <row r="18" spans="1:8">
      <c r="A18" s="801">
        <v>6</v>
      </c>
      <c r="B18" s="796"/>
      <c r="C18" s="761"/>
      <c r="D18" s="761"/>
      <c r="E18" s="1934"/>
      <c r="F18" s="1934"/>
      <c r="G18" s="868"/>
      <c r="H18" s="865"/>
    </row>
    <row r="19" spans="1:8">
      <c r="A19" s="801">
        <v>7</v>
      </c>
      <c r="B19" s="797"/>
      <c r="C19" s="761"/>
      <c r="D19" s="761"/>
      <c r="E19" s="1934"/>
      <c r="F19" s="1934"/>
      <c r="G19" s="868"/>
      <c r="H19" s="866"/>
    </row>
    <row r="20" spans="1:8">
      <c r="A20" s="801">
        <v>8</v>
      </c>
      <c r="B20" s="797"/>
      <c r="C20" s="761"/>
      <c r="D20" s="761"/>
      <c r="E20" s="1934"/>
      <c r="F20" s="1934"/>
      <c r="G20" s="868"/>
      <c r="H20" s="865"/>
    </row>
    <row r="21" spans="1:8">
      <c r="A21" s="801">
        <v>9</v>
      </c>
      <c r="B21" s="797"/>
      <c r="C21" s="761"/>
      <c r="D21" s="761"/>
      <c r="E21" s="1934"/>
      <c r="F21" s="1934"/>
      <c r="G21" s="868"/>
      <c r="H21" s="865"/>
    </row>
    <row r="22" spans="1:8">
      <c r="A22" s="801">
        <v>10</v>
      </c>
      <c r="B22" s="797"/>
      <c r="C22" s="761"/>
      <c r="D22" s="761"/>
      <c r="E22" s="1934"/>
      <c r="F22" s="1934"/>
      <c r="G22" s="868"/>
      <c r="H22" s="866"/>
    </row>
    <row r="23" spans="1:8">
      <c r="A23" s="801">
        <v>11</v>
      </c>
      <c r="B23" s="797"/>
      <c r="C23" s="761"/>
      <c r="D23" s="761"/>
      <c r="E23" s="1934"/>
      <c r="F23" s="1934"/>
      <c r="G23" s="868"/>
      <c r="H23" s="865"/>
    </row>
    <row r="24" spans="1:8">
      <c r="A24" s="801">
        <v>12</v>
      </c>
      <c r="B24" s="797"/>
      <c r="C24" s="761"/>
      <c r="D24" s="761"/>
      <c r="E24" s="1934"/>
      <c r="F24" s="1934"/>
      <c r="G24" s="868"/>
      <c r="H24" s="865"/>
    </row>
    <row r="25" spans="1:8">
      <c r="A25" s="801">
        <v>13</v>
      </c>
      <c r="B25" s="797"/>
      <c r="C25" s="761"/>
      <c r="D25" s="761"/>
      <c r="E25" s="1934"/>
      <c r="F25" s="1934"/>
      <c r="G25" s="868"/>
      <c r="H25" s="865"/>
    </row>
    <row r="26" spans="1:8">
      <c r="A26" s="801">
        <v>14</v>
      </c>
      <c r="B26" s="797"/>
      <c r="C26" s="761"/>
      <c r="D26" s="761"/>
      <c r="E26" s="1934"/>
      <c r="F26" s="1934"/>
      <c r="G26" s="868"/>
      <c r="H26" s="865"/>
    </row>
    <row r="27" spans="1:8">
      <c r="A27" s="801">
        <v>15</v>
      </c>
      <c r="B27" s="797"/>
      <c r="C27" s="761"/>
      <c r="D27" s="761"/>
      <c r="E27" s="1934"/>
      <c r="F27" s="1934"/>
      <c r="G27" s="868"/>
      <c r="H27" s="865"/>
    </row>
    <row r="28" spans="1:8">
      <c r="A28" s="801">
        <v>16</v>
      </c>
      <c r="B28" s="797"/>
      <c r="C28" s="761"/>
      <c r="D28" s="761"/>
      <c r="E28" s="1934"/>
      <c r="F28" s="1934"/>
      <c r="G28" s="868"/>
      <c r="H28" s="865"/>
    </row>
    <row r="29" spans="1:8">
      <c r="A29" s="801">
        <v>17</v>
      </c>
      <c r="B29" s="797"/>
      <c r="C29" s="2780"/>
      <c r="D29" s="2780"/>
      <c r="E29" s="2781"/>
      <c r="F29" s="1934"/>
      <c r="G29" s="868"/>
      <c r="H29" s="867"/>
    </row>
    <row r="30" spans="1:8">
      <c r="A30" s="801">
        <v>18</v>
      </c>
      <c r="B30" s="797"/>
      <c r="C30" s="2780"/>
      <c r="D30" s="2780"/>
      <c r="E30" s="2781"/>
      <c r="F30" s="1934"/>
      <c r="G30" s="868"/>
      <c r="H30" s="867"/>
    </row>
    <row r="31" spans="1:8">
      <c r="A31" s="801">
        <v>19</v>
      </c>
      <c r="B31" s="797"/>
      <c r="C31" s="2780"/>
      <c r="D31" s="2780"/>
      <c r="E31" s="2781"/>
      <c r="F31" s="1934"/>
      <c r="G31" s="868"/>
      <c r="H31" s="867"/>
    </row>
    <row r="32" spans="1:8">
      <c r="A32" s="801">
        <v>20</v>
      </c>
      <c r="B32" s="797"/>
      <c r="C32" s="2780"/>
      <c r="D32" s="2780"/>
      <c r="E32" s="2781"/>
      <c r="F32" s="1934"/>
      <c r="G32" s="868"/>
      <c r="H32" s="867"/>
    </row>
    <row r="33" spans="1:8">
      <c r="A33" s="801">
        <v>21</v>
      </c>
      <c r="B33" s="797"/>
      <c r="C33" s="2780"/>
      <c r="D33" s="2780"/>
      <c r="E33" s="2781"/>
      <c r="F33" s="1934"/>
      <c r="G33" s="868"/>
      <c r="H33" s="867"/>
    </row>
    <row r="34" spans="1:8" ht="13.5" thickBot="1">
      <c r="A34" s="1047"/>
      <c r="B34" s="797"/>
      <c r="C34" s="2780"/>
      <c r="D34" s="2780"/>
      <c r="E34" s="2781"/>
      <c r="F34" s="2781"/>
      <c r="G34" s="546"/>
      <c r="H34" s="867"/>
    </row>
    <row r="35" spans="1:8" s="9" customFormat="1" ht="21" customHeight="1" thickBot="1">
      <c r="A35" s="802"/>
      <c r="B35" s="1048" t="s">
        <v>1414</v>
      </c>
      <c r="C35" s="1049"/>
      <c r="D35" s="1049"/>
      <c r="E35" s="1050">
        <f>SUM(E13:E34)</f>
        <v>286919.07</v>
      </c>
      <c r="F35" s="1050">
        <f>SUM(F13:F34)</f>
        <v>0</v>
      </c>
      <c r="G35" s="1051">
        <f>SUM(G13:G34)</f>
        <v>286919.07</v>
      </c>
      <c r="H35" s="1052"/>
    </row>
    <row r="41" spans="1:8">
      <c r="E41" s="540"/>
    </row>
  </sheetData>
  <mergeCells count="1">
    <mergeCell ref="F7:H7"/>
  </mergeCells>
  <phoneticPr fontId="347" type="noConversion"/>
  <printOptions horizontalCentered="1"/>
  <pageMargins left="0.25" right="0.25" top="0.75" bottom="0.75" header="0.3" footer="0.3"/>
  <pageSetup paperSize="8" scale="97" fitToHeight="2" orientation="landscape" r:id="rId1"/>
  <headerFooter>
    <oddHeader>&amp;C&amp;"Calibri,Bold"&amp;18MONTHLY REPORT - PROVISIONAL SUMS TRACKER</oddHeader>
    <oddFooter>&amp;L1TB.01.003.01 - AYC 
MARCH'26 REPORT&amp;C&amp;A&amp;RPage &amp;P of &amp;N</oddFooter>
  </headerFooter>
  <extLst>
    <ext xmlns:x14="http://schemas.microsoft.com/office/spreadsheetml/2009/9/main" uri="{CCE6A557-97BC-4b89-ADB6-D9C93CAAB3DF}">
      <x14:dataValidations xmlns:xm="http://schemas.microsoft.com/office/excel/2006/main" count="1">
        <x14:dataValidation type="list" showInputMessage="1" showErrorMessage="1" xr:uid="{FC7C8D96-4F22-4963-876B-27F16D99DCD9}">
          <x14:formula1>
            <xm:f>dropdowns!$L$3:$L$7</xm:f>
          </x14:formula1>
          <xm:sqref>C13:C28</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theme="7" tint="0.39997558519241921"/>
  </sheetPr>
  <dimension ref="A1:R351"/>
  <sheetViews>
    <sheetView view="pageBreakPreview" zoomScale="70" zoomScaleNormal="85" zoomScaleSheetLayoutView="70" zoomScalePageLayoutView="85" workbookViewId="0">
      <pane xSplit="1" ySplit="13" topLeftCell="B57" activePane="bottomRight" state="frozen"/>
      <selection activeCell="C43" sqref="C43"/>
      <selection pane="topRight" activeCell="C43" sqref="C43"/>
      <selection pane="bottomLeft" activeCell="C43" sqref="C43"/>
      <selection pane="bottomRight" activeCell="C43" sqref="C43"/>
    </sheetView>
  </sheetViews>
  <sheetFormatPr defaultColWidth="8.85546875" defaultRowHeight="14.25"/>
  <cols>
    <col min="1" max="1" width="1" style="137" customWidth="1"/>
    <col min="2" max="2" width="7.85546875" style="138" customWidth="1"/>
    <col min="3" max="3" width="45.42578125" style="139" customWidth="1"/>
    <col min="4" max="4" width="16" style="139" customWidth="1"/>
    <col min="5" max="5" width="22" style="139" customWidth="1"/>
    <col min="6" max="6" width="22.5703125" style="139" customWidth="1"/>
    <col min="7" max="7" width="24.85546875" style="140" customWidth="1"/>
    <col min="8" max="8" width="28.85546875" style="139" customWidth="1"/>
    <col min="9" max="9" width="20" style="139" bestFit="1" customWidth="1"/>
    <col min="10" max="10" width="20.42578125" style="139" customWidth="1"/>
    <col min="11" max="11" width="19.85546875" style="139" customWidth="1"/>
    <col min="12" max="12" width="11.85546875" style="139" bestFit="1" customWidth="1"/>
    <col min="13" max="13" width="11.85546875" style="4060" bestFit="1" customWidth="1"/>
    <col min="14" max="14" width="13" style="139" customWidth="1"/>
    <col min="15" max="15" width="16" style="803" customWidth="1"/>
    <col min="16" max="16" width="43" style="140" customWidth="1"/>
    <col min="17" max="18" width="11" style="131" bestFit="1" customWidth="1"/>
    <col min="19" max="16384" width="8.85546875" style="131"/>
  </cols>
  <sheetData>
    <row r="1" spans="1:17" s="7" customFormat="1" ht="12.75">
      <c r="B1" s="6"/>
      <c r="C1" s="6"/>
      <c r="D1" s="6"/>
      <c r="E1" s="6"/>
      <c r="F1" s="6"/>
      <c r="G1" s="3992"/>
      <c r="M1" s="4045"/>
    </row>
    <row r="2" spans="1:17" s="7" customFormat="1" ht="12.75">
      <c r="B2" s="9" t="str">
        <f>'Data Input'!A1&amp;" - "&amp;'Data Input'!B1</f>
        <v>PROGRAMME: - MARINA VILLAGE (PROGRAMME 1_TRIPLE BAY)</v>
      </c>
      <c r="C2" s="6"/>
      <c r="D2" s="6"/>
      <c r="E2" s="6"/>
      <c r="F2" s="6"/>
      <c r="G2" s="3992"/>
      <c r="M2" s="4045"/>
    </row>
    <row r="3" spans="1:17" s="7" customFormat="1" ht="12.75">
      <c r="B3" s="9" t="str">
        <f>'Data Input'!A2&amp;" - "&amp;'Data Input'!B2</f>
        <v>PROGRAMME CODE: - 1TB01003</v>
      </c>
      <c r="C3" s="6"/>
      <c r="D3" s="6"/>
      <c r="E3" s="6"/>
      <c r="F3" s="6"/>
      <c r="G3" s="3992"/>
      <c r="M3" s="4045"/>
    </row>
    <row r="4" spans="1:17" s="7" customFormat="1" ht="12.75">
      <c r="B4" s="9" t="str">
        <f>'Data Input'!A3&amp;" - "&amp;'Data Input'!B3</f>
        <v>ASSET NAME: - AMAALA YACHT CLUB</v>
      </c>
      <c r="C4" s="6"/>
      <c r="D4" s="6"/>
      <c r="E4" s="6"/>
      <c r="F4" s="6"/>
      <c r="G4" s="3993"/>
      <c r="M4" s="4045"/>
    </row>
    <row r="5" spans="1:17" s="12" customFormat="1" ht="15">
      <c r="A5" s="2193"/>
      <c r="B5" s="9" t="str">
        <f>'Data Input'!A4&amp;" - "&amp;'Data Input'!B4</f>
        <v>ASSET CODE: - 1TB01003.01</v>
      </c>
      <c r="C5" s="2193"/>
      <c r="D5" s="542"/>
      <c r="E5" s="2200"/>
      <c r="F5" s="2195"/>
      <c r="G5" s="3994"/>
      <c r="H5" s="2193"/>
      <c r="I5" s="2193"/>
      <c r="J5" s="2193"/>
      <c r="K5" s="2193"/>
      <c r="L5" s="2193"/>
      <c r="M5" s="4046"/>
      <c r="N5" s="2193"/>
      <c r="O5" s="2193"/>
      <c r="P5" s="547"/>
      <c r="Q5" s="2193"/>
    </row>
    <row r="6" spans="1:17" s="12" customFormat="1" ht="15">
      <c r="A6" s="2193"/>
      <c r="B6" s="9" t="str">
        <f>'Data Input'!A7&amp;" - "&amp;'Data Input'!B7</f>
        <v>REPORT NO: - MONTHLY REPORT NO. 49</v>
      </c>
      <c r="C6" s="2193"/>
      <c r="D6" s="549"/>
      <c r="E6" s="2200"/>
      <c r="F6" s="2195"/>
      <c r="G6" s="3995"/>
      <c r="H6" s="2193"/>
      <c r="I6" s="2193"/>
      <c r="J6" s="2193"/>
      <c r="K6" s="2193"/>
      <c r="L6" s="2193"/>
      <c r="M6" s="4046"/>
      <c r="N6" s="2193"/>
      <c r="O6" s="2193"/>
      <c r="P6" s="548"/>
      <c r="Q6" s="2193"/>
    </row>
    <row r="7" spans="1:17" s="12" customFormat="1" ht="15">
      <c r="A7" s="2193"/>
      <c r="B7" s="9" t="str">
        <f>'Data Input'!A8&amp;" - "&amp;'Data Input'!B8</f>
        <v>REPORTING PERIOD: - OCTOBER 2026</v>
      </c>
      <c r="C7" s="2193"/>
      <c r="D7" s="544"/>
      <c r="E7" s="2200"/>
      <c r="F7" s="1370"/>
      <c r="G7" s="3962"/>
      <c r="H7" s="2193"/>
      <c r="I7" s="2193"/>
      <c r="J7" s="2193"/>
      <c r="K7" s="2193"/>
      <c r="L7" s="2193"/>
      <c r="M7" s="4046"/>
      <c r="N7" s="2193"/>
      <c r="O7" s="2193"/>
      <c r="P7" s="6027"/>
      <c r="Q7" s="6027"/>
    </row>
    <row r="8" spans="1:17" s="12" customFormat="1" ht="15">
      <c r="A8" s="2193"/>
      <c r="B8" s="13"/>
      <c r="C8" s="2200"/>
      <c r="D8" s="2200"/>
      <c r="E8" s="2200"/>
      <c r="F8" s="2193"/>
      <c r="G8" s="3996"/>
      <c r="H8" s="2193"/>
      <c r="I8" s="2201"/>
      <c r="J8" s="2193"/>
      <c r="K8" s="2193"/>
      <c r="L8" s="2193"/>
      <c r="M8" s="4046"/>
      <c r="N8" s="2193"/>
      <c r="O8" s="2193"/>
      <c r="P8" s="2193"/>
      <c r="Q8" s="2193"/>
    </row>
    <row r="9" spans="1:17" s="12" customFormat="1" ht="15">
      <c r="A9" s="2193"/>
      <c r="B9" s="14"/>
      <c r="C9" s="2200"/>
      <c r="D9" s="2200"/>
      <c r="E9" s="2200"/>
      <c r="F9" s="2200"/>
      <c r="G9" s="3997"/>
      <c r="H9" s="2193"/>
      <c r="I9" s="2193"/>
      <c r="J9" s="2193"/>
      <c r="K9" s="2193"/>
      <c r="L9" s="2193"/>
      <c r="M9" s="4046"/>
      <c r="N9" s="2193"/>
      <c r="O9" s="2193"/>
      <c r="P9" s="2193"/>
      <c r="Q9" s="2193"/>
    </row>
    <row r="10" spans="1:17" s="12" customFormat="1" ht="15">
      <c r="A10" s="14"/>
      <c r="B10" s="2200"/>
      <c r="C10" s="2200"/>
      <c r="D10" s="2200"/>
      <c r="E10" s="2200"/>
      <c r="F10" s="2200"/>
      <c r="G10" s="3997"/>
      <c r="H10" s="2193"/>
      <c r="I10" s="2193"/>
      <c r="J10" s="2193"/>
      <c r="K10" s="2193"/>
      <c r="L10" s="2193"/>
      <c r="M10" s="4046"/>
      <c r="N10" s="2193"/>
      <c r="O10" s="2193"/>
      <c r="P10" s="2193"/>
      <c r="Q10" s="2193"/>
    </row>
    <row r="11" spans="1:17" ht="29.25" customHeight="1">
      <c r="A11" s="131"/>
      <c r="B11" s="1514"/>
      <c r="C11" s="804"/>
      <c r="D11" s="804"/>
      <c r="E11" s="804"/>
      <c r="F11" s="804"/>
      <c r="G11" s="3998"/>
      <c r="H11" s="804"/>
      <c r="I11" s="804"/>
      <c r="J11" s="804"/>
      <c r="K11" s="804"/>
      <c r="L11" s="804"/>
      <c r="M11" s="4047"/>
      <c r="N11" s="804"/>
      <c r="O11" s="804"/>
      <c r="P11" s="805"/>
    </row>
    <row r="12" spans="1:17" s="132" customFormat="1" ht="44.45" customHeight="1">
      <c r="A12" s="131"/>
      <c r="B12" s="725" t="s">
        <v>1415</v>
      </c>
      <c r="C12" s="806" t="s">
        <v>1416</v>
      </c>
      <c r="D12" s="806" t="s">
        <v>580</v>
      </c>
      <c r="E12" s="807" t="s">
        <v>1417</v>
      </c>
      <c r="F12" s="807" t="s">
        <v>1418</v>
      </c>
      <c r="G12" s="806" t="s">
        <v>1419</v>
      </c>
      <c r="H12" s="807" t="s">
        <v>1420</v>
      </c>
      <c r="I12" s="807" t="s">
        <v>1421</v>
      </c>
      <c r="J12" s="807" t="s">
        <v>1422</v>
      </c>
      <c r="K12" s="807" t="s">
        <v>1423</v>
      </c>
      <c r="L12" s="807" t="s">
        <v>1424</v>
      </c>
      <c r="M12" s="4048" t="s">
        <v>1425</v>
      </c>
      <c r="N12" s="807" t="s">
        <v>79</v>
      </c>
      <c r="O12" s="807" t="s">
        <v>1426</v>
      </c>
      <c r="P12" s="806" t="s">
        <v>1412</v>
      </c>
    </row>
    <row r="13" spans="1:17" s="133" customFormat="1" ht="18.75" customHeight="1">
      <c r="A13" s="131"/>
      <c r="B13" s="2782"/>
      <c r="C13" s="808"/>
      <c r="D13" s="809"/>
      <c r="E13" s="809" t="s">
        <v>434</v>
      </c>
      <c r="F13" s="809" t="s">
        <v>434</v>
      </c>
      <c r="G13" s="808"/>
      <c r="H13" s="809" t="s">
        <v>296</v>
      </c>
      <c r="I13" s="809" t="s">
        <v>434</v>
      </c>
      <c r="J13" s="809" t="s">
        <v>434</v>
      </c>
      <c r="K13" s="809" t="s">
        <v>434</v>
      </c>
      <c r="L13" s="809" t="s">
        <v>296</v>
      </c>
      <c r="M13" s="4049" t="s">
        <v>582</v>
      </c>
      <c r="N13" s="809" t="s">
        <v>1427</v>
      </c>
      <c r="O13" s="809"/>
      <c r="P13" s="2783"/>
    </row>
    <row r="14" spans="1:17" s="134" customFormat="1" ht="18.75" customHeight="1">
      <c r="A14" s="131"/>
      <c r="B14" s="620"/>
      <c r="C14" s="621"/>
      <c r="D14" s="621"/>
      <c r="E14" s="622"/>
      <c r="F14" s="622"/>
      <c r="G14" s="621"/>
      <c r="H14" s="622"/>
      <c r="I14" s="622"/>
      <c r="J14" s="622"/>
      <c r="K14" s="622"/>
      <c r="L14" s="623"/>
      <c r="M14" s="4050"/>
      <c r="N14" s="624"/>
      <c r="O14" s="624"/>
      <c r="P14" s="625"/>
    </row>
    <row r="15" spans="1:17" s="134" customFormat="1">
      <c r="A15" s="131"/>
      <c r="B15" s="3289">
        <v>1</v>
      </c>
      <c r="C15" s="3304" t="s">
        <v>1428</v>
      </c>
      <c r="D15" s="3304" t="s">
        <v>1429</v>
      </c>
      <c r="E15" s="3299">
        <v>18698534</v>
      </c>
      <c r="F15" s="3299">
        <v>16458381.51</v>
      </c>
      <c r="G15" s="3291" t="s">
        <v>88</v>
      </c>
      <c r="H15" s="3297" t="s">
        <v>1430</v>
      </c>
      <c r="I15" s="3963">
        <v>20000000</v>
      </c>
      <c r="J15" s="3305">
        <v>75000000</v>
      </c>
      <c r="K15" s="3299">
        <v>0</v>
      </c>
      <c r="L15" s="3300">
        <v>45199</v>
      </c>
      <c r="M15" s="4051"/>
      <c r="N15" s="3302" t="s">
        <v>1431</v>
      </c>
      <c r="O15" s="3302"/>
      <c r="P15" s="3291" t="s">
        <v>2482</v>
      </c>
    </row>
    <row r="16" spans="1:17" s="134" customFormat="1">
      <c r="A16" s="131"/>
      <c r="B16" s="3289">
        <v>2</v>
      </c>
      <c r="C16" s="3304" t="s">
        <v>1428</v>
      </c>
      <c r="D16" s="3304" t="s">
        <v>1429</v>
      </c>
      <c r="E16" s="3299">
        <v>18698534</v>
      </c>
      <c r="F16" s="3299">
        <v>16458381.51</v>
      </c>
      <c r="G16" s="3291" t="s">
        <v>100</v>
      </c>
      <c r="H16" s="3297" t="s">
        <v>1432</v>
      </c>
      <c r="I16" s="3963">
        <v>3000000</v>
      </c>
      <c r="J16" s="3305">
        <v>11250000</v>
      </c>
      <c r="K16" s="3299">
        <v>0</v>
      </c>
      <c r="L16" s="3300">
        <v>45199</v>
      </c>
      <c r="M16" s="4051"/>
      <c r="N16" s="3302" t="s">
        <v>1431</v>
      </c>
      <c r="O16" s="3302"/>
      <c r="P16" s="3291" t="s">
        <v>2482</v>
      </c>
    </row>
    <row r="17" spans="1:18" s="134" customFormat="1">
      <c r="A17" s="131"/>
      <c r="B17" s="3289">
        <v>3</v>
      </c>
      <c r="C17" s="3304" t="s">
        <v>1428</v>
      </c>
      <c r="D17" s="3304" t="s">
        <v>1429</v>
      </c>
      <c r="E17" s="3299">
        <v>18698534</v>
      </c>
      <c r="F17" s="3299">
        <v>16458381.51</v>
      </c>
      <c r="G17" s="3291" t="s">
        <v>109</v>
      </c>
      <c r="H17" s="3297" t="s">
        <v>1962</v>
      </c>
      <c r="I17" s="3305">
        <v>5000000</v>
      </c>
      <c r="J17" s="3305">
        <v>3750000</v>
      </c>
      <c r="K17" s="3299">
        <v>1250000</v>
      </c>
      <c r="L17" s="3300">
        <v>45381</v>
      </c>
      <c r="M17" s="4051"/>
      <c r="N17" s="3302" t="s">
        <v>1431</v>
      </c>
      <c r="O17" s="3302"/>
      <c r="P17" s="3291" t="s">
        <v>2482</v>
      </c>
    </row>
    <row r="18" spans="1:18" s="134" customFormat="1">
      <c r="A18" s="131"/>
      <c r="B18" s="3289">
        <v>4</v>
      </c>
      <c r="C18" s="3304" t="s">
        <v>1428</v>
      </c>
      <c r="D18" s="3304" t="s">
        <v>1429</v>
      </c>
      <c r="E18" s="3299">
        <v>18698534</v>
      </c>
      <c r="F18" s="3299">
        <v>16458381.51</v>
      </c>
      <c r="G18" s="3291" t="s">
        <v>116</v>
      </c>
      <c r="H18" s="3301" t="s">
        <v>1433</v>
      </c>
      <c r="I18" s="3305">
        <v>132445250.8</v>
      </c>
      <c r="J18" s="3305">
        <v>132445250.8</v>
      </c>
      <c r="K18" s="3299">
        <v>0</v>
      </c>
      <c r="L18" s="3300">
        <v>45199</v>
      </c>
      <c r="M18" s="4051"/>
      <c r="N18" s="3302" t="s">
        <v>1431</v>
      </c>
      <c r="O18" s="3302"/>
      <c r="P18" s="3291" t="s">
        <v>2482</v>
      </c>
    </row>
    <row r="19" spans="1:18" s="134" customFormat="1">
      <c r="A19" s="131"/>
      <c r="B19" s="3289">
        <v>5</v>
      </c>
      <c r="C19" s="3304" t="s">
        <v>1428</v>
      </c>
      <c r="D19" s="3304" t="s">
        <v>1429</v>
      </c>
      <c r="E19" s="3299">
        <v>18698534</v>
      </c>
      <c r="F19" s="3299">
        <v>16458381.51</v>
      </c>
      <c r="G19" s="3291" t="s">
        <v>145</v>
      </c>
      <c r="H19" s="3301" t="s">
        <v>1434</v>
      </c>
      <c r="I19" s="3963">
        <v>42399455</v>
      </c>
      <c r="J19" s="3305">
        <v>158997956.25</v>
      </c>
      <c r="K19" s="3299">
        <v>0</v>
      </c>
      <c r="L19" s="3300">
        <v>45184</v>
      </c>
      <c r="M19" s="4051"/>
      <c r="N19" s="3302" t="s">
        <v>1431</v>
      </c>
      <c r="O19" s="3302"/>
      <c r="P19" s="3291" t="s">
        <v>2482</v>
      </c>
    </row>
    <row r="20" spans="1:18" s="134" customFormat="1">
      <c r="A20" s="131"/>
      <c r="B20" s="3289">
        <v>6</v>
      </c>
      <c r="C20" s="3304" t="s">
        <v>1428</v>
      </c>
      <c r="D20" s="3304" t="s">
        <v>1429</v>
      </c>
      <c r="E20" s="3299">
        <v>18698534</v>
      </c>
      <c r="F20" s="3299">
        <v>16458381.51</v>
      </c>
      <c r="G20" s="3291" t="s">
        <v>123</v>
      </c>
      <c r="H20" s="3301" t="s">
        <v>1435</v>
      </c>
      <c r="I20" s="3964">
        <v>21990478.399999999</v>
      </c>
      <c r="J20" s="3305">
        <v>21990478.399999999</v>
      </c>
      <c r="K20" s="3299">
        <v>0</v>
      </c>
      <c r="L20" s="3300">
        <v>45260</v>
      </c>
      <c r="M20" s="4051"/>
      <c r="N20" s="3302" t="s">
        <v>1431</v>
      </c>
      <c r="O20" s="3302"/>
      <c r="P20" s="3291" t="s">
        <v>2482</v>
      </c>
    </row>
    <row r="21" spans="1:18" s="134" customFormat="1">
      <c r="A21" s="131"/>
      <c r="B21" s="3289">
        <v>7</v>
      </c>
      <c r="C21" s="3304" t="s">
        <v>1428</v>
      </c>
      <c r="D21" s="3304" t="s">
        <v>1429</v>
      </c>
      <c r="E21" s="3299">
        <v>18698534</v>
      </c>
      <c r="F21" s="3299">
        <v>16458381.51</v>
      </c>
      <c r="G21" s="3291" t="s">
        <v>130</v>
      </c>
      <c r="H21" s="3301" t="s">
        <v>1963</v>
      </c>
      <c r="I21" s="3964">
        <v>10995239.199999999</v>
      </c>
      <c r="J21" s="3298">
        <v>10995239.199999999</v>
      </c>
      <c r="K21" s="3299">
        <v>0</v>
      </c>
      <c r="L21" s="3300">
        <v>45550</v>
      </c>
      <c r="M21" s="4051"/>
      <c r="N21" s="3302" t="s">
        <v>1431</v>
      </c>
      <c r="O21" s="3302"/>
      <c r="P21" s="3291" t="s">
        <v>2482</v>
      </c>
    </row>
    <row r="22" spans="1:18" s="134" customFormat="1">
      <c r="A22" s="131"/>
      <c r="B22" s="620"/>
      <c r="C22" s="2909"/>
      <c r="D22" s="2909"/>
      <c r="E22" s="2913"/>
      <c r="F22" s="2913"/>
      <c r="G22" s="2902"/>
      <c r="H22" s="3014"/>
      <c r="I22" s="2903"/>
      <c r="J22" s="2904"/>
      <c r="K22" s="2901"/>
      <c r="L22" s="2910"/>
      <c r="M22" s="4052"/>
      <c r="N22" s="2911"/>
      <c r="O22" s="2911"/>
      <c r="P22" s="2800"/>
    </row>
    <row r="23" spans="1:18" s="134" customFormat="1">
      <c r="A23" s="131"/>
      <c r="B23" s="620">
        <v>8</v>
      </c>
      <c r="C23" s="2909" t="s">
        <v>1438</v>
      </c>
      <c r="D23" s="2800" t="s">
        <v>1437</v>
      </c>
      <c r="E23" s="2913">
        <v>5973808</v>
      </c>
      <c r="F23" s="2913">
        <v>7501639.0999999996</v>
      </c>
      <c r="G23" s="2902" t="s">
        <v>88</v>
      </c>
      <c r="H23" s="3014" t="s">
        <v>4992</v>
      </c>
      <c r="I23" s="2903" t="s">
        <v>1439</v>
      </c>
      <c r="J23" s="2903" t="s">
        <v>1439</v>
      </c>
      <c r="K23" s="2901">
        <v>0</v>
      </c>
      <c r="L23" s="2910">
        <v>46234</v>
      </c>
      <c r="M23" s="4053">
        <f ca="1">+L23-NOW()</f>
        <v>-65.665468981482263</v>
      </c>
      <c r="N23" s="2906" t="s">
        <v>1431</v>
      </c>
      <c r="O23" s="2911"/>
      <c r="P23" s="2907" t="s">
        <v>4993</v>
      </c>
    </row>
    <row r="24" spans="1:18" s="134" customFormat="1">
      <c r="A24" s="131"/>
      <c r="B24" s="620">
        <v>9</v>
      </c>
      <c r="C24" s="2909" t="s">
        <v>1438</v>
      </c>
      <c r="D24" s="2800" t="s">
        <v>1437</v>
      </c>
      <c r="E24" s="2913">
        <v>5973808</v>
      </c>
      <c r="F24" s="2913">
        <v>7501639.0999999996</v>
      </c>
      <c r="G24" s="2902" t="s">
        <v>100</v>
      </c>
      <c r="H24" s="3014" t="s">
        <v>4994</v>
      </c>
      <c r="I24" s="2903" t="s">
        <v>1440</v>
      </c>
      <c r="J24" s="2903" t="s">
        <v>1440</v>
      </c>
      <c r="K24" s="2901">
        <v>0</v>
      </c>
      <c r="L24" s="2910">
        <v>46234</v>
      </c>
      <c r="M24" s="4053">
        <f ca="1">+L24-NOW()</f>
        <v>-65.665468981482263</v>
      </c>
      <c r="N24" s="2906" t="s">
        <v>1431</v>
      </c>
      <c r="O24" s="2911"/>
      <c r="P24" s="2907" t="s">
        <v>4993</v>
      </c>
    </row>
    <row r="25" spans="1:18" s="134" customFormat="1">
      <c r="A25" s="131"/>
      <c r="B25" s="620">
        <v>10</v>
      </c>
      <c r="C25" s="2909" t="s">
        <v>1438</v>
      </c>
      <c r="D25" s="2800" t="s">
        <v>1437</v>
      </c>
      <c r="E25" s="2913">
        <v>5973808</v>
      </c>
      <c r="F25" s="2913">
        <v>7501639.0999999996</v>
      </c>
      <c r="G25" s="2902" t="s">
        <v>109</v>
      </c>
      <c r="H25" s="3014"/>
      <c r="I25" s="2904">
        <v>1000000</v>
      </c>
      <c r="J25" s="2904">
        <v>1000000</v>
      </c>
      <c r="K25" s="2901">
        <v>0</v>
      </c>
      <c r="L25" s="2910">
        <v>45886</v>
      </c>
      <c r="M25" s="4053">
        <f ca="1">+L25-NOW()</f>
        <v>-413.66546898148226</v>
      </c>
      <c r="N25" s="2906" t="s">
        <v>1431</v>
      </c>
      <c r="O25" s="2911"/>
      <c r="P25" s="2907" t="s">
        <v>4995</v>
      </c>
    </row>
    <row r="26" spans="1:18" s="134" customFormat="1">
      <c r="A26" s="131"/>
      <c r="B26" s="1507"/>
      <c r="C26" s="2909"/>
      <c r="D26" s="2909"/>
      <c r="E26" s="2913"/>
      <c r="F26" s="2913"/>
      <c r="G26" s="2902"/>
      <c r="H26" s="3014"/>
      <c r="I26" s="2903"/>
      <c r="J26" s="2904"/>
      <c r="K26" s="2901"/>
      <c r="L26" s="2910"/>
      <c r="M26" s="4052"/>
      <c r="N26" s="2911"/>
      <c r="O26" s="2911"/>
      <c r="P26" s="2800"/>
    </row>
    <row r="27" spans="1:18" s="134" customFormat="1">
      <c r="A27" s="131"/>
      <c r="B27" s="3289">
        <v>11</v>
      </c>
      <c r="C27" s="3290" t="s">
        <v>1441</v>
      </c>
      <c r="D27" s="3304" t="s">
        <v>1437</v>
      </c>
      <c r="E27" s="3292">
        <v>10891204</v>
      </c>
      <c r="F27" s="3292">
        <v>10891204</v>
      </c>
      <c r="G27" s="3291" t="s">
        <v>88</v>
      </c>
      <c r="H27" s="3301"/>
      <c r="I27" s="3305" t="s">
        <v>1442</v>
      </c>
      <c r="J27" s="3305" t="s">
        <v>1442</v>
      </c>
      <c r="K27" s="3299" t="s">
        <v>1443</v>
      </c>
      <c r="L27" s="3306">
        <v>44985</v>
      </c>
      <c r="M27" s="4051"/>
      <c r="N27" s="3302" t="s">
        <v>1431</v>
      </c>
      <c r="O27" s="3303"/>
      <c r="P27" s="3291" t="s">
        <v>2482</v>
      </c>
    </row>
    <row r="28" spans="1:18" s="134" customFormat="1">
      <c r="A28" s="131"/>
      <c r="B28" s="3289">
        <v>12</v>
      </c>
      <c r="C28" s="3290" t="s">
        <v>1441</v>
      </c>
      <c r="D28" s="3304" t="s">
        <v>1437</v>
      </c>
      <c r="E28" s="3292">
        <v>10891204</v>
      </c>
      <c r="F28" s="3292">
        <v>10891204</v>
      </c>
      <c r="G28" s="3291" t="s">
        <v>100</v>
      </c>
      <c r="H28" s="3301"/>
      <c r="I28" s="3305" t="s">
        <v>1444</v>
      </c>
      <c r="J28" s="3305" t="s">
        <v>1444</v>
      </c>
      <c r="K28" s="3299" t="s">
        <v>1443</v>
      </c>
      <c r="L28" s="3306">
        <v>45087</v>
      </c>
      <c r="M28" s="4051"/>
      <c r="N28" s="3302" t="s">
        <v>1431</v>
      </c>
      <c r="O28" s="3303"/>
      <c r="P28" s="3291" t="s">
        <v>2482</v>
      </c>
    </row>
    <row r="29" spans="1:18" s="134" customFormat="1">
      <c r="A29" s="131"/>
      <c r="B29" s="1507"/>
      <c r="C29" s="2909"/>
      <c r="D29" s="2909"/>
      <c r="E29" s="2913"/>
      <c r="F29" s="2913"/>
      <c r="G29" s="2902"/>
      <c r="H29" s="3014"/>
      <c r="I29" s="2903"/>
      <c r="J29" s="2904"/>
      <c r="K29" s="2901"/>
      <c r="L29" s="2910"/>
      <c r="M29" s="4052"/>
      <c r="N29" s="2911"/>
      <c r="O29" s="2911"/>
      <c r="P29" s="2800"/>
    </row>
    <row r="30" spans="1:18" s="134" customFormat="1" ht="38.25">
      <c r="A30" s="131"/>
      <c r="B30" s="620">
        <v>13</v>
      </c>
      <c r="C30" s="2909" t="s">
        <v>1445</v>
      </c>
      <c r="D30" s="2800" t="s">
        <v>91</v>
      </c>
      <c r="E30" s="2913">
        <v>3082688.7</v>
      </c>
      <c r="F30" s="2913">
        <v>3082688.7</v>
      </c>
      <c r="G30" s="2902" t="s">
        <v>88</v>
      </c>
      <c r="H30" s="3014"/>
      <c r="I30" s="2913">
        <v>75000000</v>
      </c>
      <c r="J30" s="2913">
        <v>75000000</v>
      </c>
      <c r="K30" s="2901">
        <v>0</v>
      </c>
      <c r="L30" s="2910">
        <v>49429</v>
      </c>
      <c r="M30" s="4053">
        <f ca="1">+L30-NOW()</f>
        <v>3129.3345310185177</v>
      </c>
      <c r="N30" s="2906" t="s">
        <v>1431</v>
      </c>
      <c r="O30" s="2911"/>
      <c r="P30" s="2902" t="s">
        <v>2005</v>
      </c>
      <c r="Q30" s="134">
        <f>365*12</f>
        <v>4380</v>
      </c>
      <c r="R30" s="2076">
        <f>+Q30+L30</f>
        <v>53809</v>
      </c>
    </row>
    <row r="31" spans="1:18" s="134" customFormat="1" ht="63.75">
      <c r="A31" s="131"/>
      <c r="B31" s="620">
        <v>14</v>
      </c>
      <c r="C31" s="2909" t="s">
        <v>1445</v>
      </c>
      <c r="D31" s="2800" t="s">
        <v>91</v>
      </c>
      <c r="E31" s="2913">
        <v>3082688.7</v>
      </c>
      <c r="F31" s="2913">
        <v>3082688.7</v>
      </c>
      <c r="G31" s="2902" t="s">
        <v>100</v>
      </c>
      <c r="H31" s="3014"/>
      <c r="I31" s="2913">
        <v>11250000</v>
      </c>
      <c r="J31" s="2913">
        <v>11250000</v>
      </c>
      <c r="K31" s="2901">
        <v>0</v>
      </c>
      <c r="L31" s="2910">
        <v>45091</v>
      </c>
      <c r="M31" s="4054"/>
      <c r="N31" s="2906" t="s">
        <v>1431</v>
      </c>
      <c r="O31" s="2911"/>
      <c r="P31" s="3224" t="s">
        <v>2276</v>
      </c>
    </row>
    <row r="32" spans="1:18" s="134" customFormat="1" ht="63.75">
      <c r="A32" s="131"/>
      <c r="B32" s="620">
        <v>15</v>
      </c>
      <c r="C32" s="2909" t="s">
        <v>1445</v>
      </c>
      <c r="D32" s="2800" t="s">
        <v>91</v>
      </c>
      <c r="E32" s="2913">
        <v>3082688.7</v>
      </c>
      <c r="F32" s="2913">
        <v>3082688.7</v>
      </c>
      <c r="G32" s="2902" t="s">
        <v>109</v>
      </c>
      <c r="H32" s="3014"/>
      <c r="I32" s="2913">
        <v>11250000</v>
      </c>
      <c r="J32" s="2913">
        <v>11250000</v>
      </c>
      <c r="K32" s="2901">
        <v>0</v>
      </c>
      <c r="L32" s="2910">
        <v>45091</v>
      </c>
      <c r="M32" s="4054"/>
      <c r="N32" s="2906" t="s">
        <v>1431</v>
      </c>
      <c r="O32" s="2911"/>
      <c r="P32" s="3224" t="s">
        <v>2276</v>
      </c>
    </row>
    <row r="33" spans="1:17" s="134" customFormat="1" ht="25.5">
      <c r="A33" s="131"/>
      <c r="B33" s="620">
        <v>16</v>
      </c>
      <c r="C33" s="2909" t="s">
        <v>1445</v>
      </c>
      <c r="D33" s="2800" t="s">
        <v>91</v>
      </c>
      <c r="E33" s="2913">
        <v>3082688.7</v>
      </c>
      <c r="F33" s="2913">
        <v>3082688.7</v>
      </c>
      <c r="G33" s="2902" t="s">
        <v>149</v>
      </c>
      <c r="H33" s="3014"/>
      <c r="I33" s="2913">
        <v>67718856</v>
      </c>
      <c r="J33" s="2913">
        <v>67718856</v>
      </c>
      <c r="K33" s="2901">
        <v>0</v>
      </c>
      <c r="L33" s="2910">
        <v>45338</v>
      </c>
      <c r="M33" s="4053"/>
      <c r="N33" s="2906" t="s">
        <v>1431</v>
      </c>
      <c r="O33" s="2911"/>
      <c r="P33" s="3224" t="s">
        <v>2711</v>
      </c>
    </row>
    <row r="34" spans="1:17" s="134" customFormat="1">
      <c r="A34" s="131"/>
      <c r="B34" s="620">
        <v>17</v>
      </c>
      <c r="C34" s="2909" t="s">
        <v>1445</v>
      </c>
      <c r="D34" s="2800" t="s">
        <v>91</v>
      </c>
      <c r="E34" s="2913">
        <v>3082688.7</v>
      </c>
      <c r="F34" s="2913">
        <v>3082688.7</v>
      </c>
      <c r="G34" s="2902" t="s">
        <v>123</v>
      </c>
      <c r="H34" s="3014"/>
      <c r="I34" s="2904">
        <v>13068405.800000001</v>
      </c>
      <c r="J34" s="2904">
        <v>13068405.800000001</v>
      </c>
      <c r="K34" s="2901">
        <v>0</v>
      </c>
      <c r="L34" s="2905"/>
      <c r="M34" s="4053"/>
      <c r="N34" s="2906" t="s">
        <v>1431</v>
      </c>
      <c r="O34" s="2911"/>
      <c r="P34" s="2800" t="s">
        <v>2275</v>
      </c>
    </row>
    <row r="35" spans="1:17" s="134" customFormat="1">
      <c r="A35" s="131"/>
      <c r="B35" s="620">
        <v>18</v>
      </c>
      <c r="C35" s="2909" t="s">
        <v>1445</v>
      </c>
      <c r="D35" s="2800" t="s">
        <v>91</v>
      </c>
      <c r="E35" s="2913">
        <v>3082688.7</v>
      </c>
      <c r="F35" s="2913">
        <v>3082688.7</v>
      </c>
      <c r="G35" s="2902" t="s">
        <v>130</v>
      </c>
      <c r="H35" s="3014"/>
      <c r="I35" s="2904">
        <v>6534202.9000000004</v>
      </c>
      <c r="J35" s="2904">
        <v>6534202.9000000004</v>
      </c>
      <c r="K35" s="2901">
        <v>0</v>
      </c>
      <c r="L35" s="2905" t="s">
        <v>1436</v>
      </c>
      <c r="M35" s="4053"/>
      <c r="N35" s="2906" t="s">
        <v>1431</v>
      </c>
      <c r="O35" s="2911"/>
      <c r="P35" s="2800"/>
    </row>
    <row r="36" spans="1:17" s="134" customFormat="1" ht="63.75">
      <c r="A36" s="131"/>
      <c r="B36" s="620">
        <v>19</v>
      </c>
      <c r="C36" s="2909" t="s">
        <v>1445</v>
      </c>
      <c r="D36" s="2800" t="s">
        <v>91</v>
      </c>
      <c r="E36" s="2913">
        <v>3082688.7</v>
      </c>
      <c r="F36" s="2913">
        <v>3082688.7</v>
      </c>
      <c r="G36" s="2902" t="s">
        <v>116</v>
      </c>
      <c r="H36" s="3014"/>
      <c r="I36" s="2913">
        <v>67718856</v>
      </c>
      <c r="J36" s="2913">
        <v>67718856</v>
      </c>
      <c r="K36" s="2901">
        <v>0</v>
      </c>
      <c r="L36" s="2910">
        <v>45046</v>
      </c>
      <c r="M36" s="4054"/>
      <c r="N36" s="2906" t="s">
        <v>1431</v>
      </c>
      <c r="O36" s="2911"/>
      <c r="P36" s="3224" t="s">
        <v>2276</v>
      </c>
      <c r="Q36" s="2076" t="s">
        <v>2019</v>
      </c>
    </row>
    <row r="37" spans="1:17" s="134" customFormat="1">
      <c r="A37" s="131"/>
      <c r="B37" s="620"/>
      <c r="C37" s="2909"/>
      <c r="D37" s="2800"/>
      <c r="E37" s="2913"/>
      <c r="F37" s="2913"/>
      <c r="G37" s="2902"/>
      <c r="H37" s="3014"/>
      <c r="I37" s="2913"/>
      <c r="J37" s="2913"/>
      <c r="K37" s="2901"/>
      <c r="L37" s="2910"/>
      <c r="M37" s="4053"/>
      <c r="N37" s="2906"/>
      <c r="O37" s="2911"/>
      <c r="P37" s="2902"/>
    </row>
    <row r="38" spans="1:17" s="134" customFormat="1" ht="38.25">
      <c r="A38" s="131"/>
      <c r="B38" s="620">
        <v>20</v>
      </c>
      <c r="C38" s="2909" t="s">
        <v>1446</v>
      </c>
      <c r="D38" s="2902" t="s">
        <v>91</v>
      </c>
      <c r="E38" s="2913">
        <v>260955414.40000001</v>
      </c>
      <c r="F38" s="2913">
        <v>260955414.40000001</v>
      </c>
      <c r="G38" s="2902" t="s">
        <v>88</v>
      </c>
      <c r="H38" s="3013" t="s">
        <v>1447</v>
      </c>
      <c r="I38" s="2914">
        <v>7500000</v>
      </c>
      <c r="J38" s="2914">
        <v>7500000</v>
      </c>
      <c r="K38" s="2901">
        <v>0</v>
      </c>
      <c r="L38" s="2910">
        <v>45727</v>
      </c>
      <c r="M38" s="4053">
        <f t="shared" ref="M38:M44" ca="1" si="0">+L38-NOW()</f>
        <v>-572.66546898148226</v>
      </c>
      <c r="N38" s="2906" t="s">
        <v>1431</v>
      </c>
      <c r="O38" s="2911"/>
      <c r="P38" s="2902" t="s">
        <v>4126</v>
      </c>
    </row>
    <row r="39" spans="1:17" s="134" customFormat="1">
      <c r="A39" s="131"/>
      <c r="B39" s="620">
        <v>21</v>
      </c>
      <c r="C39" s="2909" t="s">
        <v>1446</v>
      </c>
      <c r="D39" s="2902" t="s">
        <v>91</v>
      </c>
      <c r="E39" s="2913">
        <v>260955414.40000001</v>
      </c>
      <c r="F39" s="2913">
        <v>260955414.40000001</v>
      </c>
      <c r="G39" s="2902" t="s">
        <v>100</v>
      </c>
      <c r="H39" s="3013" t="s">
        <v>1448</v>
      </c>
      <c r="I39" s="2914">
        <v>3750000</v>
      </c>
      <c r="J39" s="2914">
        <v>3750000</v>
      </c>
      <c r="K39" s="2901">
        <v>0</v>
      </c>
      <c r="L39" s="2910">
        <v>45727</v>
      </c>
      <c r="M39" s="4053">
        <f t="shared" ca="1" si="0"/>
        <v>-572.66546898148226</v>
      </c>
      <c r="N39" s="2906" t="s">
        <v>1431</v>
      </c>
      <c r="O39" s="2911"/>
      <c r="P39" s="2800" t="s">
        <v>4124</v>
      </c>
    </row>
    <row r="40" spans="1:17" s="134" customFormat="1">
      <c r="A40" s="131"/>
      <c r="B40" s="620">
        <v>22</v>
      </c>
      <c r="C40" s="2909" t="s">
        <v>1446</v>
      </c>
      <c r="D40" s="2902" t="s">
        <v>91</v>
      </c>
      <c r="E40" s="2913">
        <v>260955414.40000001</v>
      </c>
      <c r="F40" s="2913">
        <v>260955414.40000001</v>
      </c>
      <c r="G40" s="2902" t="s">
        <v>109</v>
      </c>
      <c r="H40" s="3013" t="s">
        <v>1449</v>
      </c>
      <c r="I40" s="2908">
        <v>3750000</v>
      </c>
      <c r="J40" s="2908">
        <v>3750000</v>
      </c>
      <c r="K40" s="2901">
        <v>0</v>
      </c>
      <c r="L40" s="2910">
        <v>45727</v>
      </c>
      <c r="M40" s="4053">
        <f t="shared" ca="1" si="0"/>
        <v>-572.66546898148226</v>
      </c>
      <c r="N40" s="2906" t="s">
        <v>1431</v>
      </c>
      <c r="O40" s="2906"/>
      <c r="P40" s="2907" t="s">
        <v>4124</v>
      </c>
    </row>
    <row r="41" spans="1:17" s="134" customFormat="1">
      <c r="A41" s="131"/>
      <c r="B41" s="620">
        <v>23</v>
      </c>
      <c r="C41" s="2909" t="s">
        <v>1446</v>
      </c>
      <c r="D41" s="2902" t="s">
        <v>91</v>
      </c>
      <c r="E41" s="2913">
        <v>260955414.40000001</v>
      </c>
      <c r="F41" s="2913">
        <v>260955414.40000001</v>
      </c>
      <c r="G41" s="2902" t="s">
        <v>145</v>
      </c>
      <c r="H41" s="3014" t="s">
        <v>1450</v>
      </c>
      <c r="I41" s="2908">
        <v>3888500</v>
      </c>
      <c r="J41" s="2908">
        <v>3888500</v>
      </c>
      <c r="K41" s="2901">
        <v>0</v>
      </c>
      <c r="L41" s="2905">
        <v>45668</v>
      </c>
      <c r="M41" s="4053">
        <f t="shared" ca="1" si="0"/>
        <v>-631.66546898148226</v>
      </c>
      <c r="N41" s="2906" t="s">
        <v>1431</v>
      </c>
      <c r="O41" s="2906"/>
      <c r="P41" s="4044" t="s">
        <v>4124</v>
      </c>
    </row>
    <row r="42" spans="1:17" s="134" customFormat="1">
      <c r="A42" s="131"/>
      <c r="B42" s="620">
        <v>24</v>
      </c>
      <c r="C42" s="2909" t="s">
        <v>1446</v>
      </c>
      <c r="D42" s="2902" t="s">
        <v>91</v>
      </c>
      <c r="E42" s="2913">
        <v>260955414.40000001</v>
      </c>
      <c r="F42" s="2913">
        <v>260955414.40000001</v>
      </c>
      <c r="G42" s="2902" t="s">
        <v>123</v>
      </c>
      <c r="H42" s="3013" t="s">
        <v>2048</v>
      </c>
      <c r="I42" s="2908">
        <v>26095541.440000001</v>
      </c>
      <c r="J42" s="2908">
        <v>26095541.440000001</v>
      </c>
      <c r="K42" s="2901">
        <v>0</v>
      </c>
      <c r="L42" s="2905">
        <v>45930</v>
      </c>
      <c r="M42" s="4053">
        <f t="shared" ca="1" si="0"/>
        <v>-369.66546898148226</v>
      </c>
      <c r="N42" s="2906" t="s">
        <v>1431</v>
      </c>
      <c r="O42" s="2906"/>
      <c r="P42" s="2907"/>
    </row>
    <row r="43" spans="1:17" s="134" customFormat="1">
      <c r="A43" s="131"/>
      <c r="B43" s="620">
        <v>25</v>
      </c>
      <c r="C43" s="2909" t="s">
        <v>1446</v>
      </c>
      <c r="D43" s="2902" t="s">
        <v>91</v>
      </c>
      <c r="E43" s="2913">
        <v>260955414.40000001</v>
      </c>
      <c r="F43" s="2913">
        <v>260955414.40000001</v>
      </c>
      <c r="G43" s="2902" t="s">
        <v>130</v>
      </c>
      <c r="H43" s="3014" t="s">
        <v>2047</v>
      </c>
      <c r="I43" s="2908">
        <v>26095541.440000001</v>
      </c>
      <c r="J43" s="2908">
        <v>26095541.440000001</v>
      </c>
      <c r="K43" s="2901">
        <v>0</v>
      </c>
      <c r="L43" s="2905">
        <v>46445</v>
      </c>
      <c r="M43" s="4053">
        <f t="shared" ca="1" si="0"/>
        <v>145.33453101851774</v>
      </c>
      <c r="N43" s="2906" t="s">
        <v>1431</v>
      </c>
      <c r="O43" s="2906"/>
      <c r="P43" s="2907"/>
    </row>
    <row r="44" spans="1:17" s="134" customFormat="1" ht="25.5">
      <c r="A44" s="131"/>
      <c r="B44" s="620">
        <v>26</v>
      </c>
      <c r="C44" s="2909" t="s">
        <v>1446</v>
      </c>
      <c r="D44" s="2902" t="s">
        <v>91</v>
      </c>
      <c r="E44" s="2913">
        <v>260955414.40000001</v>
      </c>
      <c r="F44" s="2913">
        <v>260955414.40000001</v>
      </c>
      <c r="G44" s="2902" t="s">
        <v>149</v>
      </c>
      <c r="H44" s="3013" t="s">
        <v>2113</v>
      </c>
      <c r="I44" s="2908" t="s">
        <v>2095</v>
      </c>
      <c r="J44" s="2908">
        <v>10000000</v>
      </c>
      <c r="K44" s="2901">
        <v>10000000</v>
      </c>
      <c r="L44" s="2905">
        <v>45695</v>
      </c>
      <c r="M44" s="4053">
        <f t="shared" ca="1" si="0"/>
        <v>-604.66546898148226</v>
      </c>
      <c r="N44" s="2906" t="s">
        <v>1431</v>
      </c>
      <c r="O44" s="2906"/>
      <c r="P44" s="4044" t="s">
        <v>4124</v>
      </c>
    </row>
    <row r="45" spans="1:17" s="134" customFormat="1">
      <c r="A45" s="131"/>
      <c r="B45" s="620"/>
      <c r="C45" s="2909"/>
      <c r="D45" s="2800"/>
      <c r="E45" s="2913"/>
      <c r="F45" s="2913"/>
      <c r="G45" s="2902"/>
      <c r="H45" s="3014"/>
      <c r="I45" s="2913"/>
      <c r="J45" s="2913"/>
      <c r="K45" s="2901"/>
      <c r="L45" s="2910"/>
      <c r="M45" s="4053"/>
      <c r="N45" s="2906"/>
      <c r="O45" s="2911"/>
      <c r="P45" s="2902"/>
    </row>
    <row r="46" spans="1:17" s="134" customFormat="1">
      <c r="A46" s="131"/>
      <c r="B46" s="3289">
        <v>27</v>
      </c>
      <c r="C46" s="3290" t="s">
        <v>1451</v>
      </c>
      <c r="D46" s="3291" t="s">
        <v>82</v>
      </c>
      <c r="E46" s="3292">
        <v>172368.42</v>
      </c>
      <c r="F46" s="3292">
        <v>172368.42</v>
      </c>
      <c r="G46" s="3291" t="s">
        <v>100</v>
      </c>
      <c r="H46" s="3301" t="s">
        <v>1452</v>
      </c>
      <c r="I46" s="3298">
        <v>1000000</v>
      </c>
      <c r="J46" s="3298">
        <v>1000000</v>
      </c>
      <c r="K46" s="3299">
        <v>0</v>
      </c>
      <c r="L46" s="3300">
        <v>45505</v>
      </c>
      <c r="M46" s="4051"/>
      <c r="N46" s="3302" t="s">
        <v>1431</v>
      </c>
      <c r="O46" s="3302"/>
      <c r="P46" s="3291" t="s">
        <v>2482</v>
      </c>
    </row>
    <row r="47" spans="1:17" s="134" customFormat="1">
      <c r="A47" s="131"/>
      <c r="B47" s="3289">
        <v>28</v>
      </c>
      <c r="C47" s="3290" t="s">
        <v>1451</v>
      </c>
      <c r="D47" s="3291" t="s">
        <v>82</v>
      </c>
      <c r="E47" s="3292">
        <v>172368.42</v>
      </c>
      <c r="F47" s="3292">
        <v>172368.42</v>
      </c>
      <c r="G47" s="3291" t="s">
        <v>109</v>
      </c>
      <c r="H47" s="3301" t="s">
        <v>1452</v>
      </c>
      <c r="I47" s="3298">
        <v>1000000</v>
      </c>
      <c r="J47" s="3298">
        <v>1000000</v>
      </c>
      <c r="K47" s="3299">
        <v>0</v>
      </c>
      <c r="L47" s="3300">
        <v>45505</v>
      </c>
      <c r="M47" s="4051"/>
      <c r="N47" s="3302" t="s">
        <v>1431</v>
      </c>
      <c r="O47" s="3303"/>
      <c r="P47" s="3291" t="s">
        <v>2482</v>
      </c>
    </row>
    <row r="48" spans="1:17" s="134" customFormat="1">
      <c r="A48" s="131"/>
      <c r="B48" s="3289">
        <v>29</v>
      </c>
      <c r="C48" s="3290" t="s">
        <v>1451</v>
      </c>
      <c r="D48" s="3291" t="s">
        <v>82</v>
      </c>
      <c r="E48" s="3292">
        <v>172368.42</v>
      </c>
      <c r="F48" s="3292">
        <v>172368.42</v>
      </c>
      <c r="G48" s="3291" t="s">
        <v>88</v>
      </c>
      <c r="H48" s="3301" t="s">
        <v>1453</v>
      </c>
      <c r="I48" s="3298">
        <v>3750000</v>
      </c>
      <c r="J48" s="3298">
        <v>3750000</v>
      </c>
      <c r="K48" s="3299">
        <v>0</v>
      </c>
      <c r="L48" s="3300">
        <v>45139</v>
      </c>
      <c r="M48" s="4051"/>
      <c r="N48" s="3302" t="s">
        <v>1431</v>
      </c>
      <c r="O48" s="3303"/>
      <c r="P48" s="3291" t="s">
        <v>2482</v>
      </c>
    </row>
    <row r="49" spans="1:16" s="134" customFormat="1">
      <c r="A49" s="131"/>
      <c r="B49" s="620"/>
      <c r="C49" s="2909"/>
      <c r="D49" s="2800"/>
      <c r="E49" s="2913"/>
      <c r="F49" s="2913"/>
      <c r="G49" s="2902"/>
      <c r="H49" s="3014"/>
      <c r="I49" s="2913"/>
      <c r="J49" s="2913"/>
      <c r="K49" s="2901"/>
      <c r="L49" s="2910"/>
      <c r="M49" s="4053"/>
      <c r="N49" s="2906" t="s">
        <v>1431</v>
      </c>
      <c r="O49" s="2911"/>
      <c r="P49" s="2902"/>
    </row>
    <row r="50" spans="1:16" s="134" customFormat="1">
      <c r="A50" s="131"/>
      <c r="B50" s="3289">
        <v>30</v>
      </c>
      <c r="C50" s="3290" t="s">
        <v>1454</v>
      </c>
      <c r="D50" s="3291" t="s">
        <v>91</v>
      </c>
      <c r="E50" s="3292">
        <v>834298.55</v>
      </c>
      <c r="F50" s="3292">
        <v>834298.55</v>
      </c>
      <c r="G50" s="3291" t="s">
        <v>123</v>
      </c>
      <c r="H50" s="3293"/>
      <c r="I50" s="3294"/>
      <c r="J50" s="3294"/>
      <c r="K50" s="3294"/>
      <c r="L50" s="3295"/>
      <c r="M50" s="4055"/>
      <c r="N50" s="3296" t="s">
        <v>1431</v>
      </c>
      <c r="O50" s="3296"/>
      <c r="P50" s="3291" t="s">
        <v>2482</v>
      </c>
    </row>
    <row r="51" spans="1:16" s="134" customFormat="1">
      <c r="A51" s="131"/>
      <c r="B51" s="3289">
        <v>31</v>
      </c>
      <c r="C51" s="3290" t="s">
        <v>1454</v>
      </c>
      <c r="D51" s="3291" t="s">
        <v>91</v>
      </c>
      <c r="E51" s="3292">
        <v>834298.55</v>
      </c>
      <c r="F51" s="3292"/>
      <c r="G51" s="3291" t="s">
        <v>100</v>
      </c>
      <c r="H51" s="3297"/>
      <c r="I51" s="3298">
        <v>3750000</v>
      </c>
      <c r="J51" s="3298">
        <v>3750000</v>
      </c>
      <c r="K51" s="3299">
        <v>0</v>
      </c>
      <c r="L51" s="3300">
        <v>45137</v>
      </c>
      <c r="M51" s="4051"/>
      <c r="N51" s="3296" t="s">
        <v>1431</v>
      </c>
      <c r="O51" s="3296"/>
      <c r="P51" s="3291" t="s">
        <v>2482</v>
      </c>
    </row>
    <row r="52" spans="1:16" s="134" customFormat="1">
      <c r="A52" s="131"/>
      <c r="B52" s="3289">
        <v>32</v>
      </c>
      <c r="C52" s="3290" t="s">
        <v>1454</v>
      </c>
      <c r="D52" s="3291" t="s">
        <v>91</v>
      </c>
      <c r="E52" s="3292">
        <v>834298.55</v>
      </c>
      <c r="F52" s="3292"/>
      <c r="G52" s="3291" t="s">
        <v>109</v>
      </c>
      <c r="H52" s="3297"/>
      <c r="I52" s="3298">
        <v>3750000</v>
      </c>
      <c r="J52" s="3298">
        <v>3750000</v>
      </c>
      <c r="K52" s="3299">
        <v>0</v>
      </c>
      <c r="L52" s="3300">
        <v>45137</v>
      </c>
      <c r="M52" s="4051"/>
      <c r="N52" s="3296" t="s">
        <v>1431</v>
      </c>
      <c r="O52" s="3296"/>
      <c r="P52" s="3291" t="s">
        <v>2482</v>
      </c>
    </row>
    <row r="53" spans="1:16" s="134" customFormat="1">
      <c r="A53" s="131"/>
      <c r="B53" s="620"/>
      <c r="C53" s="2909"/>
      <c r="D53" s="2902"/>
      <c r="E53" s="2913"/>
      <c r="F53" s="2913"/>
      <c r="G53" s="2902"/>
      <c r="H53" s="3015"/>
      <c r="I53" s="2916"/>
      <c r="J53" s="2916"/>
      <c r="K53" s="2916"/>
      <c r="L53" s="2917"/>
      <c r="M53" s="4056"/>
      <c r="N53" s="2915"/>
      <c r="O53" s="2915"/>
      <c r="P53" s="2902"/>
    </row>
    <row r="54" spans="1:16" s="134" customFormat="1">
      <c r="A54" s="131"/>
      <c r="B54" s="620">
        <v>33</v>
      </c>
      <c r="C54" s="2909" t="s">
        <v>488</v>
      </c>
      <c r="D54" s="2902" t="s">
        <v>82</v>
      </c>
      <c r="E54" s="2913">
        <v>13059930</v>
      </c>
      <c r="F54" s="2913">
        <v>13059930</v>
      </c>
      <c r="G54" s="2902" t="s">
        <v>88</v>
      </c>
      <c r="H54" s="3014" t="s">
        <v>1455</v>
      </c>
      <c r="I54" s="2908">
        <v>37500000</v>
      </c>
      <c r="J54" s="2908">
        <v>37500000</v>
      </c>
      <c r="K54" s="2901">
        <v>0</v>
      </c>
      <c r="L54" s="2910">
        <v>45983</v>
      </c>
      <c r="M54" s="4053">
        <f t="shared" ref="M54:M113" ca="1" si="1">+L54-NOW()</f>
        <v>-316.66546898148226</v>
      </c>
      <c r="N54" s="2906" t="s">
        <v>1431</v>
      </c>
      <c r="O54" s="2911"/>
      <c r="P54" s="2902" t="s">
        <v>5234</v>
      </c>
    </row>
    <row r="55" spans="1:16" s="134" customFormat="1">
      <c r="A55" s="131"/>
      <c r="B55" s="620">
        <v>34</v>
      </c>
      <c r="C55" s="2909" t="s">
        <v>488</v>
      </c>
      <c r="D55" s="2902" t="s">
        <v>82</v>
      </c>
      <c r="E55" s="2913">
        <v>13059930</v>
      </c>
      <c r="F55" s="2913">
        <v>13059930</v>
      </c>
      <c r="G55" s="2902" t="s">
        <v>100</v>
      </c>
      <c r="H55" s="3014" t="s">
        <v>1456</v>
      </c>
      <c r="I55" s="2908">
        <v>3750000</v>
      </c>
      <c r="J55" s="2913">
        <v>3750000</v>
      </c>
      <c r="K55" s="2901">
        <v>0</v>
      </c>
      <c r="L55" s="2910">
        <v>46096</v>
      </c>
      <c r="M55" s="4053">
        <f t="shared" ca="1" si="1"/>
        <v>-203.66546898148226</v>
      </c>
      <c r="N55" s="2906" t="s">
        <v>1431</v>
      </c>
      <c r="O55" s="2911"/>
      <c r="P55" s="2902"/>
    </row>
    <row r="56" spans="1:16" s="134" customFormat="1">
      <c r="A56" s="131"/>
      <c r="B56" s="620">
        <v>35</v>
      </c>
      <c r="C56" s="2909" t="s">
        <v>488</v>
      </c>
      <c r="D56" s="2902" t="s">
        <v>82</v>
      </c>
      <c r="E56" s="2913">
        <v>13059930</v>
      </c>
      <c r="F56" s="2913">
        <v>13059930</v>
      </c>
      <c r="G56" s="2902" t="s">
        <v>109</v>
      </c>
      <c r="H56" s="3014" t="s">
        <v>2709</v>
      </c>
      <c r="I56" s="2913">
        <v>1000000</v>
      </c>
      <c r="J56" s="2913">
        <v>1000000</v>
      </c>
      <c r="K56" s="2901">
        <v>0</v>
      </c>
      <c r="L56" s="2910">
        <v>46053</v>
      </c>
      <c r="M56" s="4053">
        <f t="shared" ca="1" si="1"/>
        <v>-246.66546898148226</v>
      </c>
      <c r="N56" s="2906" t="s">
        <v>1431</v>
      </c>
      <c r="O56" s="2911"/>
      <c r="P56" s="2902"/>
    </row>
    <row r="57" spans="1:16" s="134" customFormat="1" ht="38.25">
      <c r="A57" s="131"/>
      <c r="B57" s="620">
        <v>36</v>
      </c>
      <c r="C57" s="2909" t="s">
        <v>488</v>
      </c>
      <c r="D57" s="2902" t="s">
        <v>82</v>
      </c>
      <c r="E57" s="2913">
        <v>13059930</v>
      </c>
      <c r="F57" s="2913">
        <v>13059930</v>
      </c>
      <c r="G57" s="2902" t="s">
        <v>149</v>
      </c>
      <c r="H57" s="3013" t="s">
        <v>2134</v>
      </c>
      <c r="I57" s="2913" t="s">
        <v>2135</v>
      </c>
      <c r="J57" s="2913">
        <v>10000000</v>
      </c>
      <c r="K57" s="2901">
        <v>10000000</v>
      </c>
      <c r="L57" s="2910">
        <v>45990</v>
      </c>
      <c r="M57" s="4053">
        <f t="shared" ca="1" si="1"/>
        <v>-309.66546898148226</v>
      </c>
      <c r="N57" s="2906" t="s">
        <v>1431</v>
      </c>
      <c r="O57" s="2911"/>
      <c r="P57" s="2902" t="s">
        <v>5234</v>
      </c>
    </row>
    <row r="58" spans="1:16" s="134" customFormat="1">
      <c r="A58" s="131"/>
      <c r="B58" s="620"/>
      <c r="C58" s="2909"/>
      <c r="D58" s="2800"/>
      <c r="E58" s="2913"/>
      <c r="F58" s="2913"/>
      <c r="G58" s="2902"/>
      <c r="H58" s="3014"/>
      <c r="I58" s="2913"/>
      <c r="J58" s="2913"/>
      <c r="K58" s="2901"/>
      <c r="L58" s="2910"/>
      <c r="M58" s="4053"/>
      <c r="N58" s="2906"/>
      <c r="O58" s="2911"/>
      <c r="P58" s="2902"/>
    </row>
    <row r="59" spans="1:16" s="134" customFormat="1">
      <c r="A59" s="131"/>
      <c r="B59" s="620">
        <v>37</v>
      </c>
      <c r="C59" s="2909" t="s">
        <v>3518</v>
      </c>
      <c r="D59" s="2800" t="s">
        <v>91</v>
      </c>
      <c r="E59" s="2913" t="s">
        <v>3519</v>
      </c>
      <c r="F59" s="2913" t="s">
        <v>3519</v>
      </c>
      <c r="G59" s="2902" t="s">
        <v>88</v>
      </c>
      <c r="H59" s="3014" t="s">
        <v>3520</v>
      </c>
      <c r="I59" s="2913">
        <v>1000000</v>
      </c>
      <c r="J59" s="2913">
        <v>10000000</v>
      </c>
      <c r="K59" s="2901">
        <v>9000000</v>
      </c>
      <c r="L59" s="2910">
        <v>45988</v>
      </c>
      <c r="M59" s="4053">
        <f t="shared" ca="1" si="1"/>
        <v>-311.66546898148226</v>
      </c>
      <c r="N59" s="2906" t="s">
        <v>1431</v>
      </c>
      <c r="O59" s="2911"/>
      <c r="P59" s="2902" t="s">
        <v>5234</v>
      </c>
    </row>
    <row r="60" spans="1:16" s="134" customFormat="1">
      <c r="A60" s="131"/>
      <c r="B60" s="620">
        <v>38</v>
      </c>
      <c r="C60" s="2909" t="s">
        <v>3518</v>
      </c>
      <c r="D60" s="2800" t="s">
        <v>91</v>
      </c>
      <c r="E60" s="2913" t="s">
        <v>3519</v>
      </c>
      <c r="F60" s="2913" t="s">
        <v>3519</v>
      </c>
      <c r="G60" s="2902" t="s">
        <v>100</v>
      </c>
      <c r="H60" s="3014" t="s">
        <v>3521</v>
      </c>
      <c r="I60" s="2913">
        <v>7500000</v>
      </c>
      <c r="J60" s="2913">
        <v>7500000</v>
      </c>
      <c r="K60" s="2901">
        <v>0</v>
      </c>
      <c r="L60" s="2910">
        <v>45988</v>
      </c>
      <c r="M60" s="4053">
        <f t="shared" ca="1" si="1"/>
        <v>-311.66546898148226</v>
      </c>
      <c r="N60" s="2906" t="s">
        <v>1431</v>
      </c>
      <c r="O60" s="2911"/>
      <c r="P60" s="2902" t="s">
        <v>5234</v>
      </c>
    </row>
    <row r="61" spans="1:16" s="134" customFormat="1">
      <c r="A61" s="131"/>
      <c r="B61" s="620">
        <v>39</v>
      </c>
      <c r="C61" s="2909" t="s">
        <v>3518</v>
      </c>
      <c r="D61" s="2800" t="s">
        <v>91</v>
      </c>
      <c r="E61" s="2913" t="s">
        <v>3519</v>
      </c>
      <c r="F61" s="2913" t="s">
        <v>3519</v>
      </c>
      <c r="G61" s="2902" t="s">
        <v>109</v>
      </c>
      <c r="H61" s="3014" t="s">
        <v>3522</v>
      </c>
      <c r="I61" s="2913">
        <v>3750000</v>
      </c>
      <c r="J61" s="2913">
        <v>3750000</v>
      </c>
      <c r="K61" s="2901">
        <v>0</v>
      </c>
      <c r="L61" s="2910">
        <v>47083</v>
      </c>
      <c r="M61" s="4053">
        <f t="shared" ca="1" si="1"/>
        <v>783.33453101851774</v>
      </c>
      <c r="N61" s="2906" t="s">
        <v>1431</v>
      </c>
      <c r="O61" s="2911"/>
      <c r="P61" s="2902"/>
    </row>
    <row r="62" spans="1:16" s="134" customFormat="1">
      <c r="A62" s="131"/>
      <c r="B62" s="620">
        <v>40</v>
      </c>
      <c r="C62" s="2909" t="s">
        <v>3518</v>
      </c>
      <c r="D62" s="2800" t="s">
        <v>91</v>
      </c>
      <c r="E62" s="2913" t="s">
        <v>3519</v>
      </c>
      <c r="F62" s="2913" t="s">
        <v>3519</v>
      </c>
      <c r="G62" s="2902" t="s">
        <v>3523</v>
      </c>
      <c r="H62" s="3014" t="s">
        <v>1874</v>
      </c>
      <c r="I62" s="2913" t="s">
        <v>805</v>
      </c>
      <c r="J62" s="2913" t="s">
        <v>805</v>
      </c>
      <c r="K62" s="2901" t="s">
        <v>3524</v>
      </c>
      <c r="L62" s="2910" t="s">
        <v>3524</v>
      </c>
      <c r="M62" s="4053"/>
      <c r="N62" s="2906" t="s">
        <v>805</v>
      </c>
      <c r="O62" s="2911"/>
      <c r="P62" s="2902" t="s">
        <v>3525</v>
      </c>
    </row>
    <row r="63" spans="1:16" s="134" customFormat="1" ht="25.5">
      <c r="A63" s="131"/>
      <c r="B63" s="620">
        <v>41</v>
      </c>
      <c r="C63" s="2909" t="s">
        <v>3518</v>
      </c>
      <c r="D63" s="2800" t="s">
        <v>91</v>
      </c>
      <c r="E63" s="2913" t="s">
        <v>3519</v>
      </c>
      <c r="F63" s="2913" t="s">
        <v>3519</v>
      </c>
      <c r="G63" s="2902" t="s">
        <v>3526</v>
      </c>
      <c r="H63" s="3014" t="s">
        <v>3527</v>
      </c>
      <c r="I63" s="2913" t="s">
        <v>2095</v>
      </c>
      <c r="J63" s="2913">
        <v>0</v>
      </c>
      <c r="K63" s="2901" t="s">
        <v>3524</v>
      </c>
      <c r="L63" s="2910">
        <v>46290</v>
      </c>
      <c r="M63" s="4053">
        <f t="shared" ca="1" si="1"/>
        <v>-9.6654689814822632</v>
      </c>
      <c r="N63" s="2906" t="s">
        <v>1431</v>
      </c>
      <c r="O63" s="2911"/>
      <c r="P63" s="2902" t="s">
        <v>4996</v>
      </c>
    </row>
    <row r="64" spans="1:16" s="134" customFormat="1" ht="25.5">
      <c r="A64" s="131"/>
      <c r="B64" s="620">
        <v>42</v>
      </c>
      <c r="C64" s="2909" t="s">
        <v>3518</v>
      </c>
      <c r="D64" s="2800" t="s">
        <v>91</v>
      </c>
      <c r="E64" s="2913" t="s">
        <v>3519</v>
      </c>
      <c r="F64" s="2913" t="s">
        <v>3519</v>
      </c>
      <c r="G64" s="2902" t="s">
        <v>3528</v>
      </c>
      <c r="H64" s="3014">
        <v>36125770</v>
      </c>
      <c r="I64" s="2913" t="s">
        <v>2095</v>
      </c>
      <c r="J64" s="2913">
        <v>0</v>
      </c>
      <c r="K64" s="2901" t="s">
        <v>3524</v>
      </c>
      <c r="L64" s="2910">
        <v>45693</v>
      </c>
      <c r="M64" s="4053"/>
      <c r="N64" s="2906" t="s">
        <v>1431</v>
      </c>
      <c r="O64" s="2911"/>
      <c r="P64" s="2902" t="s">
        <v>3721</v>
      </c>
    </row>
    <row r="65" spans="1:16" s="134" customFormat="1">
      <c r="A65" s="131"/>
      <c r="B65" s="620">
        <v>43</v>
      </c>
      <c r="C65" s="2909" t="s">
        <v>3518</v>
      </c>
      <c r="D65" s="2800" t="s">
        <v>91</v>
      </c>
      <c r="E65" s="2913" t="s">
        <v>3519</v>
      </c>
      <c r="F65" s="2913" t="s">
        <v>3519</v>
      </c>
      <c r="G65" s="2902" t="s">
        <v>3529</v>
      </c>
      <c r="H65" s="3014" t="s">
        <v>3530</v>
      </c>
      <c r="I65" s="2913" t="s">
        <v>2095</v>
      </c>
      <c r="J65" s="2913">
        <v>1000000</v>
      </c>
      <c r="K65" s="2901" t="s">
        <v>3524</v>
      </c>
      <c r="L65" s="2910">
        <v>45925</v>
      </c>
      <c r="M65" s="4053"/>
      <c r="N65" s="2906" t="s">
        <v>1431</v>
      </c>
      <c r="O65" s="2911"/>
      <c r="P65" s="2902"/>
    </row>
    <row r="66" spans="1:16" s="134" customFormat="1">
      <c r="A66" s="131"/>
      <c r="B66" s="620">
        <v>44</v>
      </c>
      <c r="C66" s="2909" t="s">
        <v>3518</v>
      </c>
      <c r="D66" s="2800" t="s">
        <v>91</v>
      </c>
      <c r="E66" s="2913" t="s">
        <v>3519</v>
      </c>
      <c r="F66" s="2913" t="s">
        <v>3519</v>
      </c>
      <c r="G66" s="2902" t="s">
        <v>3531</v>
      </c>
      <c r="H66" s="3014" t="s">
        <v>3532</v>
      </c>
      <c r="I66" s="2913">
        <v>228647</v>
      </c>
      <c r="J66" s="2913">
        <v>228647</v>
      </c>
      <c r="K66" s="2901">
        <v>0</v>
      </c>
      <c r="L66" s="2910">
        <v>46377</v>
      </c>
      <c r="M66" s="4053">
        <f t="shared" ca="1" si="1"/>
        <v>77.334531018517737</v>
      </c>
      <c r="N66" s="2906" t="s">
        <v>1431</v>
      </c>
      <c r="O66" s="2911"/>
      <c r="P66" s="2902"/>
    </row>
    <row r="67" spans="1:16" s="134" customFormat="1">
      <c r="A67" s="131"/>
      <c r="B67" s="620">
        <v>45</v>
      </c>
      <c r="C67" s="2909" t="s">
        <v>3518</v>
      </c>
      <c r="D67" s="2800" t="s">
        <v>91</v>
      </c>
      <c r="E67" s="2913" t="s">
        <v>3519</v>
      </c>
      <c r="F67" s="2913" t="s">
        <v>3519</v>
      </c>
      <c r="G67" s="2902" t="s">
        <v>3533</v>
      </c>
      <c r="H67" s="3014" t="s">
        <v>3534</v>
      </c>
      <c r="I67" s="2913">
        <v>685942</v>
      </c>
      <c r="J67" s="2913">
        <v>685942</v>
      </c>
      <c r="K67" s="2901">
        <v>0</v>
      </c>
      <c r="L67" s="2910">
        <v>46112</v>
      </c>
      <c r="M67" s="4053">
        <f t="shared" ca="1" si="1"/>
        <v>-187.66546898148226</v>
      </c>
      <c r="N67" s="2906" t="s">
        <v>1431</v>
      </c>
      <c r="O67" s="2911"/>
      <c r="P67" s="2902"/>
    </row>
    <row r="68" spans="1:16" s="134" customFormat="1">
      <c r="A68" s="131"/>
      <c r="B68" s="620"/>
      <c r="C68" s="2909"/>
      <c r="D68" s="2800"/>
      <c r="E68" s="2913"/>
      <c r="F68" s="2913"/>
      <c r="G68" s="2902"/>
      <c r="H68" s="3014"/>
      <c r="I68" s="2913"/>
      <c r="J68" s="2913"/>
      <c r="K68" s="2901"/>
      <c r="L68" s="2910"/>
      <c r="M68" s="4053"/>
      <c r="N68" s="2906"/>
      <c r="O68" s="2911"/>
      <c r="P68" s="2902"/>
    </row>
    <row r="69" spans="1:16" s="134" customFormat="1" ht="25.5">
      <c r="A69" s="131"/>
      <c r="B69" s="620">
        <v>46</v>
      </c>
      <c r="C69" s="2912" t="s">
        <v>2133</v>
      </c>
      <c r="D69" s="2902" t="s">
        <v>91</v>
      </c>
      <c r="E69" s="2913">
        <v>4695209</v>
      </c>
      <c r="F69" s="2913">
        <v>4695209</v>
      </c>
      <c r="G69" s="2902" t="s">
        <v>123</v>
      </c>
      <c r="H69" s="3014" t="s">
        <v>2096</v>
      </c>
      <c r="I69" s="2913">
        <v>1643323.15</v>
      </c>
      <c r="J69" s="2913">
        <v>1643323.15</v>
      </c>
      <c r="K69" s="2901">
        <v>0</v>
      </c>
      <c r="L69" s="2910">
        <v>46012</v>
      </c>
      <c r="M69" s="4053">
        <f t="shared" ca="1" si="1"/>
        <v>-287.66546898148226</v>
      </c>
      <c r="N69" s="2906" t="s">
        <v>1431</v>
      </c>
      <c r="O69" s="2911"/>
      <c r="P69" s="2902"/>
    </row>
    <row r="70" spans="1:16" s="134" customFormat="1" ht="25.5">
      <c r="A70" s="131"/>
      <c r="B70" s="620">
        <v>47</v>
      </c>
      <c r="C70" s="2912" t="s">
        <v>2133</v>
      </c>
      <c r="D70" s="2902" t="s">
        <v>91</v>
      </c>
      <c r="E70" s="2913">
        <v>4695209</v>
      </c>
      <c r="F70" s="2913">
        <v>4695209</v>
      </c>
      <c r="G70" s="2902" t="s">
        <v>130</v>
      </c>
      <c r="H70" s="3014" t="s">
        <v>2119</v>
      </c>
      <c r="I70" s="2913">
        <v>469520.9</v>
      </c>
      <c r="J70" s="2913">
        <v>469520.9</v>
      </c>
      <c r="K70" s="2901">
        <v>0</v>
      </c>
      <c r="L70" s="2910">
        <v>46389</v>
      </c>
      <c r="M70" s="4053">
        <f t="shared" ca="1" si="1"/>
        <v>89.334531018517737</v>
      </c>
      <c r="N70" s="2906" t="s">
        <v>1431</v>
      </c>
      <c r="O70" s="2911"/>
      <c r="P70" s="2902"/>
    </row>
    <row r="71" spans="1:16" s="134" customFormat="1" ht="25.5">
      <c r="A71" s="131"/>
      <c r="B71" s="620">
        <v>48</v>
      </c>
      <c r="C71" s="2912" t="s">
        <v>2133</v>
      </c>
      <c r="D71" s="2902" t="s">
        <v>91</v>
      </c>
      <c r="E71" s="2913">
        <v>4695209</v>
      </c>
      <c r="F71" s="2913">
        <v>4695209</v>
      </c>
      <c r="G71" s="2902" t="s">
        <v>145</v>
      </c>
      <c r="H71" s="3014" t="s">
        <v>2299</v>
      </c>
      <c r="I71" s="2913">
        <v>0</v>
      </c>
      <c r="J71" s="2913">
        <v>191750</v>
      </c>
      <c r="K71" s="2901">
        <v>191750</v>
      </c>
      <c r="L71" s="2910">
        <v>46022</v>
      </c>
      <c r="M71" s="4053">
        <f t="shared" ca="1" si="1"/>
        <v>-277.66546898148226</v>
      </c>
      <c r="N71" s="2906" t="s">
        <v>1431</v>
      </c>
      <c r="O71" s="2911"/>
      <c r="P71" s="2902" t="s">
        <v>5235</v>
      </c>
    </row>
    <row r="72" spans="1:16" s="134" customFormat="1" ht="25.5">
      <c r="A72" s="131"/>
      <c r="B72" s="620">
        <v>49</v>
      </c>
      <c r="C72" s="2912" t="s">
        <v>2133</v>
      </c>
      <c r="D72" s="2902" t="s">
        <v>91</v>
      </c>
      <c r="E72" s="2913">
        <v>4695209</v>
      </c>
      <c r="F72" s="2913">
        <v>4695209</v>
      </c>
      <c r="G72" s="2902" t="s">
        <v>149</v>
      </c>
      <c r="H72" s="3014" t="s">
        <v>2300</v>
      </c>
      <c r="I72" s="2913">
        <v>0</v>
      </c>
      <c r="J72" s="2913">
        <v>10000000</v>
      </c>
      <c r="K72" s="2901">
        <v>10000000</v>
      </c>
      <c r="L72" s="2910">
        <v>46022</v>
      </c>
      <c r="M72" s="4053">
        <f t="shared" ca="1" si="1"/>
        <v>-277.66546898148226</v>
      </c>
      <c r="N72" s="2906" t="s">
        <v>1431</v>
      </c>
      <c r="O72" s="2911"/>
      <c r="P72" s="2902" t="s">
        <v>5235</v>
      </c>
    </row>
    <row r="73" spans="1:16" s="134" customFormat="1" ht="25.5">
      <c r="A73" s="131"/>
      <c r="B73" s="3973">
        <v>50</v>
      </c>
      <c r="C73" s="2912" t="s">
        <v>2133</v>
      </c>
      <c r="D73" s="2902" t="s">
        <v>91</v>
      </c>
      <c r="E73" s="2913">
        <v>4695209</v>
      </c>
      <c r="F73" s="2913">
        <v>4695209</v>
      </c>
      <c r="G73" s="2902" t="s">
        <v>109</v>
      </c>
      <c r="H73" s="3014" t="s">
        <v>2301</v>
      </c>
      <c r="I73" s="2913">
        <v>3750000</v>
      </c>
      <c r="J73" s="2913">
        <v>3750000</v>
      </c>
      <c r="K73" s="2901">
        <v>0</v>
      </c>
      <c r="L73" s="2910">
        <v>46022</v>
      </c>
      <c r="M73" s="4053">
        <f t="shared" ca="1" si="1"/>
        <v>-277.66546898148226</v>
      </c>
      <c r="N73" s="2906" t="s">
        <v>1431</v>
      </c>
      <c r="O73" s="2911"/>
      <c r="P73" s="2902" t="s">
        <v>5235</v>
      </c>
    </row>
    <row r="74" spans="1:16" s="134" customFormat="1">
      <c r="A74" s="131"/>
      <c r="B74" s="3973"/>
      <c r="C74" s="2912"/>
      <c r="D74" s="2902"/>
      <c r="E74" s="2913"/>
      <c r="F74" s="2913"/>
      <c r="G74" s="2902"/>
      <c r="H74" s="3014"/>
      <c r="I74" s="2913"/>
      <c r="J74" s="2913"/>
      <c r="K74" s="2901"/>
      <c r="L74" s="2910"/>
      <c r="M74" s="4053"/>
      <c r="N74" s="2906"/>
      <c r="O74" s="2911"/>
      <c r="P74" s="2902"/>
    </row>
    <row r="75" spans="1:16" s="134" customFormat="1" ht="25.5">
      <c r="A75" s="131"/>
      <c r="B75" s="3973">
        <v>51</v>
      </c>
      <c r="C75" s="2912" t="s">
        <v>3535</v>
      </c>
      <c r="D75" s="2902" t="s">
        <v>3536</v>
      </c>
      <c r="E75" s="2913" t="s">
        <v>3537</v>
      </c>
      <c r="F75" s="2913" t="s">
        <v>3537</v>
      </c>
      <c r="G75" s="2902" t="s">
        <v>88</v>
      </c>
      <c r="H75" s="3014" t="s">
        <v>3538</v>
      </c>
      <c r="I75" s="2913" t="s">
        <v>3539</v>
      </c>
      <c r="J75" s="2913" t="s">
        <v>3540</v>
      </c>
      <c r="K75" s="2901">
        <v>33730000</v>
      </c>
      <c r="L75" s="2910">
        <v>46112</v>
      </c>
      <c r="M75" s="4053">
        <f t="shared" ca="1" si="1"/>
        <v>-187.66546898148226</v>
      </c>
      <c r="N75" s="2906" t="s">
        <v>3541</v>
      </c>
      <c r="O75" s="2911"/>
      <c r="P75" s="2902" t="s">
        <v>4997</v>
      </c>
    </row>
    <row r="76" spans="1:16" s="134" customFormat="1" ht="25.5">
      <c r="A76" s="131"/>
      <c r="B76" s="3973">
        <v>52</v>
      </c>
      <c r="C76" s="2912" t="s">
        <v>3535</v>
      </c>
      <c r="D76" s="2902" t="s">
        <v>3536</v>
      </c>
      <c r="E76" s="2913" t="s">
        <v>3537</v>
      </c>
      <c r="F76" s="2913" t="s">
        <v>3537</v>
      </c>
      <c r="G76" s="2902" t="s">
        <v>100</v>
      </c>
      <c r="H76" s="3014" t="s">
        <v>3542</v>
      </c>
      <c r="I76" s="2913" t="s">
        <v>3539</v>
      </c>
      <c r="J76" s="2913" t="s">
        <v>3543</v>
      </c>
      <c r="K76" s="2901">
        <v>16657400</v>
      </c>
      <c r="L76" s="2910">
        <v>46112</v>
      </c>
      <c r="M76" s="4053">
        <f t="shared" ca="1" si="1"/>
        <v>-187.66546898148226</v>
      </c>
      <c r="N76" s="2906" t="s">
        <v>3541</v>
      </c>
      <c r="O76" s="2911"/>
      <c r="P76" s="2902" t="s">
        <v>4997</v>
      </c>
    </row>
    <row r="77" spans="1:16" s="134" customFormat="1" ht="25.5">
      <c r="A77" s="131"/>
      <c r="B77" s="3973">
        <v>53</v>
      </c>
      <c r="C77" s="2912" t="s">
        <v>3535</v>
      </c>
      <c r="D77" s="2902" t="s">
        <v>3536</v>
      </c>
      <c r="E77" s="2913" t="s">
        <v>3537</v>
      </c>
      <c r="F77" s="2913" t="s">
        <v>3537</v>
      </c>
      <c r="G77" s="2902" t="s">
        <v>109</v>
      </c>
      <c r="H77" s="3013" t="s">
        <v>3544</v>
      </c>
      <c r="I77" s="2913" t="s">
        <v>3539</v>
      </c>
      <c r="J77" s="2913" t="s">
        <v>3539</v>
      </c>
      <c r="K77" s="2901">
        <v>0</v>
      </c>
      <c r="L77" s="2910">
        <v>46112</v>
      </c>
      <c r="M77" s="4053">
        <f t="shared" ca="1" si="1"/>
        <v>-187.66546898148226</v>
      </c>
      <c r="N77" s="2906" t="s">
        <v>3541</v>
      </c>
      <c r="O77" s="2911"/>
      <c r="P77" s="2902" t="s">
        <v>4997</v>
      </c>
    </row>
    <row r="78" spans="1:16" s="134" customFormat="1" ht="25.5">
      <c r="A78" s="131"/>
      <c r="B78" s="3973">
        <v>54</v>
      </c>
      <c r="C78" s="2912" t="s">
        <v>3535</v>
      </c>
      <c r="D78" s="2902" t="s">
        <v>3536</v>
      </c>
      <c r="E78" s="2913" t="s">
        <v>3537</v>
      </c>
      <c r="F78" s="2913" t="s">
        <v>3537</v>
      </c>
      <c r="G78" s="2902" t="s">
        <v>3523</v>
      </c>
      <c r="H78" s="3014" t="s">
        <v>2360</v>
      </c>
      <c r="I78" s="2913" t="s">
        <v>2360</v>
      </c>
      <c r="J78" s="2913" t="s">
        <v>2360</v>
      </c>
      <c r="K78" s="2901" t="s">
        <v>2360</v>
      </c>
      <c r="L78" s="2910" t="s">
        <v>2360</v>
      </c>
      <c r="M78" s="4053"/>
      <c r="N78" s="2906" t="s">
        <v>3545</v>
      </c>
      <c r="O78" s="2911"/>
      <c r="P78" s="2902"/>
    </row>
    <row r="79" spans="1:16" s="134" customFormat="1" ht="38.25">
      <c r="A79" s="131"/>
      <c r="B79" s="3973">
        <v>55</v>
      </c>
      <c r="C79" s="2912" t="s">
        <v>3535</v>
      </c>
      <c r="D79" s="2902" t="s">
        <v>3536</v>
      </c>
      <c r="E79" s="2913" t="s">
        <v>3537</v>
      </c>
      <c r="F79" s="2913" t="s">
        <v>3537</v>
      </c>
      <c r="G79" s="2902" t="s">
        <v>3526</v>
      </c>
      <c r="H79" s="3013" t="s">
        <v>3546</v>
      </c>
      <c r="I79" s="2913" t="s">
        <v>2015</v>
      </c>
      <c r="J79" s="2913" t="s">
        <v>3547</v>
      </c>
      <c r="K79" s="2901" t="s">
        <v>805</v>
      </c>
      <c r="L79" s="2910">
        <v>46112</v>
      </c>
      <c r="M79" s="4053">
        <f t="shared" ca="1" si="1"/>
        <v>-187.66546898148226</v>
      </c>
      <c r="N79" s="2906" t="s">
        <v>3541</v>
      </c>
      <c r="O79" s="2911"/>
      <c r="P79" s="2902" t="s">
        <v>4997</v>
      </c>
    </row>
    <row r="80" spans="1:16" s="134" customFormat="1" ht="25.5">
      <c r="A80" s="131"/>
      <c r="B80" s="3973">
        <v>56</v>
      </c>
      <c r="C80" s="2912" t="s">
        <v>3535</v>
      </c>
      <c r="D80" s="2902" t="s">
        <v>3536</v>
      </c>
      <c r="E80" s="2913" t="s">
        <v>3537</v>
      </c>
      <c r="F80" s="2913" t="s">
        <v>3537</v>
      </c>
      <c r="G80" s="2902" t="s">
        <v>3528</v>
      </c>
      <c r="H80" s="3014" t="s">
        <v>3548</v>
      </c>
      <c r="I80" s="2913" t="s">
        <v>2015</v>
      </c>
      <c r="J80" s="2913" t="s">
        <v>3549</v>
      </c>
      <c r="K80" s="2901" t="s">
        <v>805</v>
      </c>
      <c r="L80" s="2910">
        <v>45950</v>
      </c>
      <c r="M80" s="4053">
        <f t="shared" ca="1" si="1"/>
        <v>-349.66546898148226</v>
      </c>
      <c r="N80" s="2906" t="s">
        <v>3541</v>
      </c>
      <c r="O80" s="2911"/>
      <c r="P80" s="2902" t="s">
        <v>4998</v>
      </c>
    </row>
    <row r="81" spans="1:16" s="134" customFormat="1" ht="25.5">
      <c r="A81" s="131"/>
      <c r="B81" s="3973">
        <v>57</v>
      </c>
      <c r="C81" s="2912" t="s">
        <v>3535</v>
      </c>
      <c r="D81" s="2902" t="s">
        <v>3536</v>
      </c>
      <c r="E81" s="2913" t="s">
        <v>3537</v>
      </c>
      <c r="F81" s="2913" t="s">
        <v>3537</v>
      </c>
      <c r="G81" s="2902" t="s">
        <v>3550</v>
      </c>
      <c r="H81" s="3013" t="s">
        <v>3551</v>
      </c>
      <c r="I81" s="2913" t="s">
        <v>2015</v>
      </c>
      <c r="J81" s="2913" t="s">
        <v>3552</v>
      </c>
      <c r="K81" s="2901" t="s">
        <v>805</v>
      </c>
      <c r="L81" s="2910">
        <v>46112</v>
      </c>
      <c r="M81" s="4053">
        <f t="shared" ca="1" si="1"/>
        <v>-187.66546898148226</v>
      </c>
      <c r="N81" s="2906" t="s">
        <v>3541</v>
      </c>
      <c r="O81" s="2911"/>
      <c r="P81" s="2902" t="s">
        <v>4997</v>
      </c>
    </row>
    <row r="82" spans="1:16" s="134" customFormat="1">
      <c r="A82" s="131"/>
      <c r="B82" s="3973"/>
      <c r="C82" s="2912"/>
      <c r="D82" s="2902"/>
      <c r="E82" s="2913"/>
      <c r="F82" s="2913"/>
      <c r="G82" s="2902"/>
      <c r="H82" s="3013"/>
      <c r="I82" s="2913"/>
      <c r="J82" s="2913"/>
      <c r="K82" s="2901"/>
      <c r="L82" s="2910"/>
      <c r="M82" s="4053"/>
      <c r="N82" s="2906"/>
      <c r="O82" s="2911"/>
      <c r="P82" s="2902"/>
    </row>
    <row r="83" spans="1:16" s="134" customFormat="1" ht="25.5">
      <c r="A83" s="131"/>
      <c r="B83" s="3973">
        <v>58</v>
      </c>
      <c r="C83" s="2912" t="s">
        <v>3485</v>
      </c>
      <c r="D83" s="2902" t="s">
        <v>91</v>
      </c>
      <c r="E83" s="2913">
        <v>29899670.550000001</v>
      </c>
      <c r="F83" s="2913">
        <v>29899670.550000001</v>
      </c>
      <c r="G83" s="2902" t="s">
        <v>123</v>
      </c>
      <c r="H83" s="3014" t="s">
        <v>3486</v>
      </c>
      <c r="I83" s="2913">
        <v>7474917.6399999997</v>
      </c>
      <c r="J83" s="2913">
        <v>7474917.6399999997</v>
      </c>
      <c r="K83" s="2901">
        <v>0</v>
      </c>
      <c r="L83" s="2910">
        <v>45961</v>
      </c>
      <c r="M83" s="4053"/>
      <c r="N83" s="2906" t="s">
        <v>1431</v>
      </c>
      <c r="O83" s="2911"/>
      <c r="P83" s="4044" t="s">
        <v>4124</v>
      </c>
    </row>
    <row r="84" spans="1:16" s="134" customFormat="1" ht="25.5">
      <c r="A84" s="131"/>
      <c r="B84" s="3973">
        <v>59</v>
      </c>
      <c r="C84" s="2912" t="s">
        <v>3485</v>
      </c>
      <c r="D84" s="2902" t="s">
        <v>91</v>
      </c>
      <c r="E84" s="2913">
        <v>29899670.550000001</v>
      </c>
      <c r="F84" s="2913">
        <v>29899670.550000001</v>
      </c>
      <c r="G84" s="2902" t="s">
        <v>130</v>
      </c>
      <c r="H84" s="3014" t="s">
        <v>3487</v>
      </c>
      <c r="I84" s="2913">
        <v>2989967.06</v>
      </c>
      <c r="J84" s="2913">
        <v>2989967.06</v>
      </c>
      <c r="K84" s="2901">
        <v>0</v>
      </c>
      <c r="L84" s="2910">
        <v>46414</v>
      </c>
      <c r="M84" s="4053">
        <f t="shared" ca="1" si="1"/>
        <v>114.33453101851774</v>
      </c>
      <c r="N84" s="2906" t="s">
        <v>1431</v>
      </c>
      <c r="O84" s="2911"/>
      <c r="P84" s="2902"/>
    </row>
    <row r="85" spans="1:16" s="134" customFormat="1" ht="25.5">
      <c r="A85" s="131"/>
      <c r="B85" s="3973">
        <v>60</v>
      </c>
      <c r="C85" s="2912" t="s">
        <v>3485</v>
      </c>
      <c r="D85" s="2902" t="s">
        <v>91</v>
      </c>
      <c r="E85" s="2913">
        <v>29899670.550000001</v>
      </c>
      <c r="F85" s="2913">
        <v>29899670.550000001</v>
      </c>
      <c r="G85" s="2902" t="s">
        <v>88</v>
      </c>
      <c r="H85" s="3014" t="s">
        <v>3488</v>
      </c>
      <c r="I85" s="2913">
        <v>3750000</v>
      </c>
      <c r="J85" s="2913">
        <v>3750000</v>
      </c>
      <c r="K85" s="2901">
        <v>0</v>
      </c>
      <c r="L85" s="2910">
        <v>45961</v>
      </c>
      <c r="M85" s="4053">
        <f t="shared" ca="1" si="1"/>
        <v>-338.66546898148226</v>
      </c>
      <c r="N85" s="2906" t="s">
        <v>1431</v>
      </c>
      <c r="O85" s="2911"/>
      <c r="P85" s="4044" t="s">
        <v>4124</v>
      </c>
    </row>
    <row r="86" spans="1:16" s="134" customFormat="1" ht="25.5">
      <c r="A86" s="131"/>
      <c r="B86" s="3973">
        <v>61</v>
      </c>
      <c r="C86" s="2912" t="s">
        <v>3485</v>
      </c>
      <c r="D86" s="2902" t="s">
        <v>91</v>
      </c>
      <c r="E86" s="2913">
        <v>29899670.550000001</v>
      </c>
      <c r="F86" s="2913">
        <v>29899670.550000001</v>
      </c>
      <c r="G86" s="2902" t="s">
        <v>109</v>
      </c>
      <c r="H86" s="3014" t="s">
        <v>3489</v>
      </c>
      <c r="I86" s="2913">
        <v>3750000</v>
      </c>
      <c r="J86" s="2913">
        <v>18500000</v>
      </c>
      <c r="K86" s="2901">
        <v>14750000</v>
      </c>
      <c r="L86" s="2910">
        <v>46022</v>
      </c>
      <c r="M86" s="4053">
        <f t="shared" ca="1" si="1"/>
        <v>-277.66546898148226</v>
      </c>
      <c r="N86" s="2906" t="s">
        <v>1431</v>
      </c>
      <c r="O86" s="2911"/>
      <c r="P86" s="2902" t="s">
        <v>5235</v>
      </c>
    </row>
    <row r="87" spans="1:16" s="134" customFormat="1" ht="25.5">
      <c r="A87" s="131"/>
      <c r="B87" s="3973">
        <v>62</v>
      </c>
      <c r="C87" s="2912" t="s">
        <v>3485</v>
      </c>
      <c r="D87" s="2902" t="s">
        <v>91</v>
      </c>
      <c r="E87" s="2913">
        <v>29899670.550000001</v>
      </c>
      <c r="F87" s="2913">
        <v>29899670.550000001</v>
      </c>
      <c r="G87" s="2902" t="s">
        <v>100</v>
      </c>
      <c r="H87" s="3014" t="s">
        <v>3490</v>
      </c>
      <c r="I87" s="2913">
        <v>3750000</v>
      </c>
      <c r="J87" s="2913">
        <v>3750000</v>
      </c>
      <c r="K87" s="2901">
        <v>0</v>
      </c>
      <c r="L87" s="2910">
        <v>46397</v>
      </c>
      <c r="M87" s="4053">
        <f t="shared" ca="1" si="1"/>
        <v>97.334531018517737</v>
      </c>
      <c r="N87" s="2906" t="s">
        <v>1431</v>
      </c>
      <c r="O87" s="2911"/>
      <c r="P87" s="2902"/>
    </row>
    <row r="88" spans="1:16" s="134" customFormat="1" ht="25.5">
      <c r="A88" s="131"/>
      <c r="B88" s="3973">
        <v>63</v>
      </c>
      <c r="C88" s="2912" t="s">
        <v>3485</v>
      </c>
      <c r="D88" s="2902" t="s">
        <v>91</v>
      </c>
      <c r="E88" s="2913">
        <v>29899670.550000001</v>
      </c>
      <c r="F88" s="2913">
        <v>29899670.550000001</v>
      </c>
      <c r="G88" s="2902" t="s">
        <v>145</v>
      </c>
      <c r="H88" s="3014" t="s">
        <v>3491</v>
      </c>
      <c r="I88" s="2913">
        <v>100000</v>
      </c>
      <c r="J88" s="2913">
        <v>100000</v>
      </c>
      <c r="K88" s="2901">
        <v>0</v>
      </c>
      <c r="L88" s="2910">
        <v>46022</v>
      </c>
      <c r="M88" s="4053">
        <f t="shared" ca="1" si="1"/>
        <v>-277.66546898148226</v>
      </c>
      <c r="N88" s="2906" t="s">
        <v>1431</v>
      </c>
      <c r="O88" s="2911"/>
      <c r="P88" s="2902" t="s">
        <v>5235</v>
      </c>
    </row>
    <row r="89" spans="1:16" s="134" customFormat="1" ht="25.5">
      <c r="A89" s="131"/>
      <c r="B89" s="3973">
        <v>64</v>
      </c>
      <c r="C89" s="2912" t="s">
        <v>3485</v>
      </c>
      <c r="D89" s="2902" t="s">
        <v>91</v>
      </c>
      <c r="E89" s="2913">
        <v>29899670.550000001</v>
      </c>
      <c r="F89" s="2913">
        <v>29899670.550000001</v>
      </c>
      <c r="G89" s="2902" t="s">
        <v>141</v>
      </c>
      <c r="H89" s="3014" t="s">
        <v>5022</v>
      </c>
      <c r="I89" s="2913">
        <v>0</v>
      </c>
      <c r="J89" s="2913">
        <v>12106026.720000001</v>
      </c>
      <c r="K89" s="2901">
        <v>12106026.720000001</v>
      </c>
      <c r="L89" s="2910">
        <v>45961</v>
      </c>
      <c r="M89" s="4053"/>
      <c r="N89" s="2906" t="s">
        <v>1431</v>
      </c>
      <c r="O89" s="2911"/>
      <c r="P89" s="4044" t="s">
        <v>4124</v>
      </c>
    </row>
    <row r="90" spans="1:16" s="134" customFormat="1">
      <c r="A90" s="131"/>
      <c r="B90" s="3974"/>
      <c r="C90" s="2912"/>
      <c r="D90" s="2902"/>
      <c r="E90" s="2913"/>
      <c r="F90" s="2913"/>
      <c r="G90" s="2902"/>
      <c r="H90" s="3014"/>
      <c r="I90" s="2913"/>
      <c r="J90" s="2913"/>
      <c r="K90" s="2901"/>
      <c r="L90" s="2910"/>
      <c r="M90" s="4053"/>
      <c r="N90" s="2906"/>
      <c r="O90" s="2911"/>
      <c r="P90" s="2902"/>
    </row>
    <row r="91" spans="1:16" s="134" customFormat="1">
      <c r="A91" s="131"/>
      <c r="B91" s="3973">
        <v>65</v>
      </c>
      <c r="C91" s="2912" t="s">
        <v>3493</v>
      </c>
      <c r="D91" s="2902" t="s">
        <v>82</v>
      </c>
      <c r="E91" s="2913">
        <v>1107465.8799999999</v>
      </c>
      <c r="F91" s="2913">
        <v>1107465.8799999999</v>
      </c>
      <c r="G91" s="2902" t="s">
        <v>88</v>
      </c>
      <c r="H91" s="3014" t="s">
        <v>3492</v>
      </c>
      <c r="I91" s="2913">
        <v>10000000</v>
      </c>
      <c r="J91" s="2913">
        <v>14790000</v>
      </c>
      <c r="K91" s="2901">
        <v>4790000</v>
      </c>
      <c r="L91" s="2910">
        <v>45887</v>
      </c>
      <c r="M91" s="4053"/>
      <c r="N91" s="2906" t="s">
        <v>1431</v>
      </c>
      <c r="O91" s="2911"/>
      <c r="P91" s="4044" t="s">
        <v>4124</v>
      </c>
    </row>
    <row r="92" spans="1:16" s="134" customFormat="1">
      <c r="A92" s="131"/>
      <c r="B92" s="3973"/>
      <c r="C92" s="2912"/>
      <c r="D92" s="2902"/>
      <c r="E92" s="2913"/>
      <c r="F92" s="2913"/>
      <c r="G92" s="2902"/>
      <c r="H92" s="3014"/>
      <c r="I92" s="2913"/>
      <c r="J92" s="2913"/>
      <c r="K92" s="2901"/>
      <c r="L92" s="2910"/>
      <c r="M92" s="4053"/>
      <c r="N92" s="2906" t="s">
        <v>1431</v>
      </c>
      <c r="O92" s="2911"/>
      <c r="P92" s="2902"/>
    </row>
    <row r="93" spans="1:16" s="134" customFormat="1" ht="25.5">
      <c r="A93" s="131"/>
      <c r="B93" s="3973">
        <v>66</v>
      </c>
      <c r="C93" s="2912" t="s">
        <v>3564</v>
      </c>
      <c r="D93" s="2902" t="s">
        <v>91</v>
      </c>
      <c r="E93" s="2913">
        <v>4004000</v>
      </c>
      <c r="F93" s="2913">
        <v>4004000</v>
      </c>
      <c r="G93" s="2902" t="s">
        <v>3565</v>
      </c>
      <c r="H93" s="3014" t="s">
        <v>3566</v>
      </c>
      <c r="I93" s="2913">
        <v>3750000</v>
      </c>
      <c r="J93" s="2913">
        <v>6468400</v>
      </c>
      <c r="K93" s="2901">
        <v>2718400</v>
      </c>
      <c r="L93" s="2910">
        <v>46112</v>
      </c>
      <c r="M93" s="4053">
        <f t="shared" ca="1" si="1"/>
        <v>-187.66546898148226</v>
      </c>
      <c r="N93" s="2906" t="s">
        <v>1431</v>
      </c>
      <c r="O93" s="2911"/>
      <c r="P93" s="2902" t="s">
        <v>4996</v>
      </c>
    </row>
    <row r="94" spans="1:16" s="134" customFormat="1" ht="38.25">
      <c r="A94" s="131"/>
      <c r="B94" s="3973">
        <v>67</v>
      </c>
      <c r="C94" s="2912" t="s">
        <v>3564</v>
      </c>
      <c r="D94" s="2902" t="s">
        <v>91</v>
      </c>
      <c r="E94" s="2913">
        <v>4004000</v>
      </c>
      <c r="F94" s="2913">
        <v>4004000</v>
      </c>
      <c r="G94" s="2902" t="s">
        <v>3567</v>
      </c>
      <c r="H94" s="3014" t="s">
        <v>3568</v>
      </c>
      <c r="I94" s="2913">
        <v>3750000</v>
      </c>
      <c r="J94" s="2913">
        <v>3750000</v>
      </c>
      <c r="K94" s="2901">
        <v>0</v>
      </c>
      <c r="L94" s="2910">
        <v>46239</v>
      </c>
      <c r="M94" s="4053">
        <f t="shared" ca="1" si="1"/>
        <v>-60.665468981482263</v>
      </c>
      <c r="N94" s="2906" t="s">
        <v>1431</v>
      </c>
      <c r="O94" s="2911"/>
      <c r="P94" s="2902"/>
    </row>
    <row r="95" spans="1:16" s="134" customFormat="1" ht="25.5">
      <c r="A95" s="131"/>
      <c r="B95" s="3973">
        <v>68</v>
      </c>
      <c r="C95" s="2912" t="s">
        <v>3564</v>
      </c>
      <c r="D95" s="2902" t="s">
        <v>91</v>
      </c>
      <c r="E95" s="2913">
        <v>4004000</v>
      </c>
      <c r="F95" s="2913">
        <v>4004000</v>
      </c>
      <c r="G95" s="2902" t="s">
        <v>3569</v>
      </c>
      <c r="H95" s="3014">
        <v>34978824</v>
      </c>
      <c r="I95" s="2913" t="s">
        <v>2095</v>
      </c>
      <c r="J95" s="2913">
        <v>0</v>
      </c>
      <c r="K95" s="2901"/>
      <c r="L95" s="2910">
        <v>46014</v>
      </c>
      <c r="M95" s="4053">
        <f t="shared" ca="1" si="1"/>
        <v>-285.66546898148226</v>
      </c>
      <c r="N95" s="2906" t="s">
        <v>1431</v>
      </c>
      <c r="O95" s="2911"/>
      <c r="P95" s="2902" t="s">
        <v>5235</v>
      </c>
    </row>
    <row r="96" spans="1:16" s="134" customFormat="1">
      <c r="A96" s="131"/>
      <c r="B96" s="3973"/>
      <c r="C96" s="2912"/>
      <c r="D96" s="2902"/>
      <c r="E96" s="2913"/>
      <c r="F96" s="2913"/>
      <c r="G96" s="2902"/>
      <c r="H96" s="3014"/>
      <c r="I96" s="2913"/>
      <c r="J96" s="2913"/>
      <c r="K96" s="2901"/>
      <c r="L96" s="2910"/>
      <c r="M96" s="4053"/>
      <c r="N96" s="2906" t="s">
        <v>1431</v>
      </c>
      <c r="O96" s="2911"/>
      <c r="P96" s="2902"/>
    </row>
    <row r="97" spans="1:16" s="134" customFormat="1" ht="25.5">
      <c r="A97" s="131"/>
      <c r="B97" s="620">
        <v>69</v>
      </c>
      <c r="C97" s="3984" t="s">
        <v>3564</v>
      </c>
      <c r="D97" s="2902" t="s">
        <v>91</v>
      </c>
      <c r="E97" s="3985">
        <v>1078892.27</v>
      </c>
      <c r="F97" s="3985">
        <v>1078892.27</v>
      </c>
      <c r="G97" s="3999" t="s">
        <v>3565</v>
      </c>
      <c r="H97" s="3986" t="s">
        <v>3566</v>
      </c>
      <c r="I97" s="3987">
        <v>3750000</v>
      </c>
      <c r="J97" s="3987">
        <v>6468400</v>
      </c>
      <c r="K97" s="3988">
        <v>2718400</v>
      </c>
      <c r="L97" s="2910">
        <v>46112</v>
      </c>
      <c r="M97" s="4053">
        <f ca="1">+L97-NOW()</f>
        <v>-187.66546898148226</v>
      </c>
      <c r="N97" s="2906" t="s">
        <v>1431</v>
      </c>
      <c r="O97" s="2911"/>
      <c r="P97" s="2902" t="s">
        <v>4996</v>
      </c>
    </row>
    <row r="98" spans="1:16" s="134" customFormat="1" ht="38.25">
      <c r="A98" s="131"/>
      <c r="B98" s="620">
        <v>70</v>
      </c>
      <c r="C98" s="3984" t="s">
        <v>3564</v>
      </c>
      <c r="D98" s="2902" t="s">
        <v>91</v>
      </c>
      <c r="E98" s="3985">
        <v>1078892.27</v>
      </c>
      <c r="F98" s="3985">
        <v>1078892.27</v>
      </c>
      <c r="G98" s="3999" t="s">
        <v>3567</v>
      </c>
      <c r="H98" s="3986" t="s">
        <v>3568</v>
      </c>
      <c r="I98" s="3987">
        <v>3750000</v>
      </c>
      <c r="J98" s="3987">
        <v>3750000</v>
      </c>
      <c r="K98" s="3987">
        <v>0</v>
      </c>
      <c r="L98" s="3989">
        <v>46239</v>
      </c>
      <c r="M98" s="4053">
        <f t="shared" ca="1" si="1"/>
        <v>-60.665468981482263</v>
      </c>
      <c r="N98" s="2906" t="s">
        <v>1431</v>
      </c>
      <c r="O98" s="3990"/>
      <c r="P98" s="3991"/>
    </row>
    <row r="99" spans="1:16" s="134" customFormat="1" ht="25.5">
      <c r="A99" s="131"/>
      <c r="B99" s="620">
        <v>71</v>
      </c>
      <c r="C99" s="3984" t="s">
        <v>3564</v>
      </c>
      <c r="D99" s="2902" t="s">
        <v>91</v>
      </c>
      <c r="E99" s="3985">
        <v>1078892.27</v>
      </c>
      <c r="F99" s="3985">
        <v>1078892.27</v>
      </c>
      <c r="G99" s="3999" t="s">
        <v>3569</v>
      </c>
      <c r="H99" s="3988">
        <v>34978824</v>
      </c>
      <c r="I99" s="3987" t="s">
        <v>2095</v>
      </c>
      <c r="J99" s="3987">
        <v>0</v>
      </c>
      <c r="K99" s="3987"/>
      <c r="L99" s="3989">
        <v>46014</v>
      </c>
      <c r="M99" s="4053">
        <f t="shared" ca="1" si="1"/>
        <v>-285.66546898148226</v>
      </c>
      <c r="N99" s="2906" t="s">
        <v>1431</v>
      </c>
      <c r="O99" s="3990"/>
      <c r="P99" s="2902" t="s">
        <v>5235</v>
      </c>
    </row>
    <row r="100" spans="1:16" s="134" customFormat="1">
      <c r="A100" s="131"/>
      <c r="B100" s="3973"/>
      <c r="C100" s="2912"/>
      <c r="D100" s="2902"/>
      <c r="E100" s="2913"/>
      <c r="F100" s="2913"/>
      <c r="G100" s="2902"/>
      <c r="H100" s="3014"/>
      <c r="I100" s="2913"/>
      <c r="J100" s="2913"/>
      <c r="K100" s="2901"/>
      <c r="L100" s="2910"/>
      <c r="M100" s="4053"/>
      <c r="N100" s="2906"/>
      <c r="O100" s="2911"/>
      <c r="P100" s="2902"/>
    </row>
    <row r="101" spans="1:16" s="134" customFormat="1" ht="25.5">
      <c r="A101" s="131"/>
      <c r="B101" s="3973">
        <v>72</v>
      </c>
      <c r="C101" s="2912" t="s">
        <v>3570</v>
      </c>
      <c r="D101" s="2902" t="s">
        <v>91</v>
      </c>
      <c r="E101" s="2913">
        <v>23125000</v>
      </c>
      <c r="F101" s="2913">
        <v>23125000</v>
      </c>
      <c r="G101" s="2902" t="s">
        <v>3565</v>
      </c>
      <c r="H101" s="3014" t="s">
        <v>3571</v>
      </c>
      <c r="I101" s="2913">
        <v>3750000</v>
      </c>
      <c r="J101" s="2913">
        <v>3750000</v>
      </c>
      <c r="K101" s="2901">
        <v>0</v>
      </c>
      <c r="L101" s="2910">
        <v>46022</v>
      </c>
      <c r="M101" s="4053">
        <f t="shared" ca="1" si="1"/>
        <v>-277.66546898148226</v>
      </c>
      <c r="N101" s="2906" t="s">
        <v>1431</v>
      </c>
      <c r="O101" s="2911"/>
      <c r="P101" s="2902" t="s">
        <v>5235</v>
      </c>
    </row>
    <row r="102" spans="1:16" s="134" customFormat="1" ht="38.25">
      <c r="A102" s="131"/>
      <c r="B102" s="620">
        <v>73</v>
      </c>
      <c r="C102" s="2912" t="s">
        <v>3570</v>
      </c>
      <c r="D102" s="2902" t="s">
        <v>91</v>
      </c>
      <c r="E102" s="2913">
        <v>23125000</v>
      </c>
      <c r="F102" s="2913">
        <v>23125000</v>
      </c>
      <c r="G102" s="2902" t="s">
        <v>3572</v>
      </c>
      <c r="H102" s="3014" t="s">
        <v>3659</v>
      </c>
      <c r="I102" s="2913">
        <v>3750000</v>
      </c>
      <c r="J102" s="2913">
        <v>3750000</v>
      </c>
      <c r="K102" s="2901">
        <v>0</v>
      </c>
      <c r="L102" s="2910">
        <v>45960</v>
      </c>
      <c r="M102" s="4053">
        <f t="shared" ca="1" si="1"/>
        <v>-339.66546898148226</v>
      </c>
      <c r="N102" s="2906" t="s">
        <v>1431</v>
      </c>
      <c r="O102" s="2911"/>
      <c r="P102" s="2800" t="s">
        <v>4124</v>
      </c>
    </row>
    <row r="103" spans="1:16" s="134" customFormat="1" ht="25.5">
      <c r="A103" s="131"/>
      <c r="B103" s="620">
        <v>74</v>
      </c>
      <c r="C103" s="2912" t="s">
        <v>3570</v>
      </c>
      <c r="D103" s="2902" t="s">
        <v>91</v>
      </c>
      <c r="E103" s="2913">
        <v>23125000</v>
      </c>
      <c r="F103" s="2913">
        <v>23125000</v>
      </c>
      <c r="G103" s="2902" t="s">
        <v>3569</v>
      </c>
      <c r="H103" s="3014" t="s">
        <v>3573</v>
      </c>
      <c r="I103" s="2913" t="s">
        <v>2095</v>
      </c>
      <c r="J103" s="2913">
        <v>0</v>
      </c>
      <c r="K103" s="2901"/>
      <c r="L103" s="2910">
        <v>46022</v>
      </c>
      <c r="M103" s="4053">
        <f t="shared" ca="1" si="1"/>
        <v>-277.66546898148226</v>
      </c>
      <c r="N103" s="2906" t="s">
        <v>1431</v>
      </c>
      <c r="O103" s="2911"/>
      <c r="P103" s="2902" t="s">
        <v>5235</v>
      </c>
    </row>
    <row r="104" spans="1:16" s="134" customFormat="1">
      <c r="A104" s="131"/>
      <c r="B104" s="3973"/>
      <c r="C104" s="2912"/>
      <c r="D104" s="2902"/>
      <c r="E104" s="2913"/>
      <c r="F104" s="2913"/>
      <c r="G104" s="2902"/>
      <c r="H104" s="3014"/>
      <c r="I104" s="2913"/>
      <c r="J104" s="2913"/>
      <c r="K104" s="2901"/>
      <c r="L104" s="2910"/>
      <c r="M104" s="4053"/>
      <c r="N104" s="2906"/>
      <c r="O104" s="2911"/>
      <c r="P104" s="2902"/>
    </row>
    <row r="105" spans="1:16" s="134" customFormat="1" ht="25.5">
      <c r="A105" s="131"/>
      <c r="B105" s="3973">
        <v>76</v>
      </c>
      <c r="C105" s="2912" t="s">
        <v>3553</v>
      </c>
      <c r="D105" s="2902" t="s">
        <v>82</v>
      </c>
      <c r="E105" s="2913">
        <v>2406500</v>
      </c>
      <c r="F105" s="2913">
        <v>2406500</v>
      </c>
      <c r="G105" s="2902" t="s">
        <v>3554</v>
      </c>
      <c r="H105" s="3014" t="s">
        <v>3555</v>
      </c>
      <c r="I105" s="2913"/>
      <c r="J105" s="2913">
        <v>7500000</v>
      </c>
      <c r="K105" s="2901">
        <v>7500000</v>
      </c>
      <c r="L105" s="2910">
        <v>46072</v>
      </c>
      <c r="M105" s="4053">
        <f t="shared" ca="1" si="1"/>
        <v>-227.66546898148226</v>
      </c>
      <c r="N105" s="2906" t="s">
        <v>1431</v>
      </c>
      <c r="O105" s="2911"/>
      <c r="P105" s="2902" t="s">
        <v>3722</v>
      </c>
    </row>
    <row r="106" spans="1:16" s="134" customFormat="1" ht="38.25">
      <c r="A106" s="131"/>
      <c r="B106" s="3973">
        <v>78</v>
      </c>
      <c r="C106" s="2912" t="s">
        <v>3553</v>
      </c>
      <c r="D106" s="2902" t="s">
        <v>82</v>
      </c>
      <c r="E106" s="2913">
        <v>2406500</v>
      </c>
      <c r="F106" s="2913">
        <v>2406500</v>
      </c>
      <c r="G106" s="2902" t="s">
        <v>3556</v>
      </c>
      <c r="H106" s="3014" t="s">
        <v>3557</v>
      </c>
      <c r="I106" s="2913"/>
      <c r="J106" s="2913">
        <v>3750000</v>
      </c>
      <c r="K106" s="2901">
        <v>3750000</v>
      </c>
      <c r="L106" s="2910">
        <v>46072</v>
      </c>
      <c r="M106" s="4053">
        <f t="shared" ca="1" si="1"/>
        <v>-227.66546898148226</v>
      </c>
      <c r="N106" s="2906" t="s">
        <v>1431</v>
      </c>
      <c r="O106" s="2911"/>
      <c r="P106" s="2902" t="s">
        <v>3722</v>
      </c>
    </row>
    <row r="107" spans="1:16" s="134" customFormat="1" ht="25.5">
      <c r="A107" s="131"/>
      <c r="B107" s="3973">
        <v>79</v>
      </c>
      <c r="C107" s="2912" t="s">
        <v>3553</v>
      </c>
      <c r="D107" s="2902" t="s">
        <v>82</v>
      </c>
      <c r="E107" s="2913">
        <v>2406500</v>
      </c>
      <c r="F107" s="2913">
        <v>2406500</v>
      </c>
      <c r="G107" s="2902" t="s">
        <v>3558</v>
      </c>
      <c r="H107" s="3013" t="s">
        <v>5028</v>
      </c>
      <c r="I107" s="2913">
        <v>37500000</v>
      </c>
      <c r="J107" s="2913">
        <v>37500000</v>
      </c>
      <c r="K107" s="2901">
        <v>0</v>
      </c>
      <c r="L107" s="2910">
        <v>46242</v>
      </c>
      <c r="M107" s="4053">
        <f t="shared" ca="1" si="1"/>
        <v>-57.665468981482263</v>
      </c>
      <c r="N107" s="2906" t="s">
        <v>1431</v>
      </c>
      <c r="O107" s="2911"/>
      <c r="P107" s="2902" t="s">
        <v>4997</v>
      </c>
    </row>
    <row r="108" spans="1:16" s="134" customFormat="1" ht="25.5">
      <c r="A108" s="131"/>
      <c r="B108" s="3973">
        <v>80</v>
      </c>
      <c r="C108" s="2912" t="s">
        <v>3553</v>
      </c>
      <c r="D108" s="2902" t="s">
        <v>82</v>
      </c>
      <c r="E108" s="2913">
        <v>2406500</v>
      </c>
      <c r="F108" s="2913">
        <v>2406500</v>
      </c>
      <c r="G108" s="2902" t="s">
        <v>3558</v>
      </c>
      <c r="H108" s="3013" t="s">
        <v>5029</v>
      </c>
      <c r="I108" s="2913"/>
      <c r="J108" s="2913">
        <v>37500000</v>
      </c>
      <c r="K108" s="2901">
        <v>37500000</v>
      </c>
      <c r="L108" s="2910">
        <v>46242</v>
      </c>
      <c r="M108" s="4053">
        <f t="shared" ca="1" si="1"/>
        <v>-57.665468981482263</v>
      </c>
      <c r="N108" s="2906" t="s">
        <v>1431</v>
      </c>
      <c r="O108" s="2911"/>
      <c r="P108" s="2902" t="s">
        <v>4997</v>
      </c>
    </row>
    <row r="109" spans="1:16" s="134" customFormat="1">
      <c r="A109" s="131"/>
      <c r="B109" s="3973"/>
      <c r="C109" s="2912"/>
      <c r="D109" s="2902"/>
      <c r="E109" s="2913"/>
      <c r="F109" s="2913"/>
      <c r="G109" s="2902"/>
      <c r="H109" s="3014"/>
      <c r="I109" s="2913"/>
      <c r="J109" s="2913"/>
      <c r="K109" s="2901"/>
      <c r="L109" s="2910"/>
      <c r="M109" s="4053"/>
      <c r="N109" s="2906"/>
      <c r="O109" s="2911"/>
      <c r="P109" s="2902"/>
    </row>
    <row r="110" spans="1:16" s="134" customFormat="1">
      <c r="A110" s="131"/>
      <c r="B110" s="3973">
        <v>81</v>
      </c>
      <c r="C110" s="2912" t="s">
        <v>3559</v>
      </c>
      <c r="D110" s="2902" t="s">
        <v>82</v>
      </c>
      <c r="E110" s="2913">
        <v>182184.38</v>
      </c>
      <c r="F110" s="2913">
        <v>182184.38</v>
      </c>
      <c r="G110" s="2902" t="s">
        <v>88</v>
      </c>
      <c r="H110" s="3014" t="s">
        <v>3560</v>
      </c>
      <c r="I110" s="2913">
        <v>10000000</v>
      </c>
      <c r="J110" s="2913">
        <v>10000000</v>
      </c>
      <c r="K110" s="2901">
        <v>0</v>
      </c>
      <c r="L110" s="2910">
        <v>46490</v>
      </c>
      <c r="M110" s="4053">
        <f t="shared" ca="1" si="1"/>
        <v>190.33453101851774</v>
      </c>
      <c r="N110" s="2906" t="s">
        <v>1431</v>
      </c>
      <c r="O110" s="2911"/>
      <c r="P110" s="2902"/>
    </row>
    <row r="111" spans="1:16" s="134" customFormat="1">
      <c r="A111" s="131"/>
      <c r="B111" s="3973">
        <v>82</v>
      </c>
      <c r="C111" s="2912" t="s">
        <v>3559</v>
      </c>
      <c r="D111" s="2902" t="s">
        <v>82</v>
      </c>
      <c r="E111" s="2913">
        <v>182184.38</v>
      </c>
      <c r="F111" s="2913">
        <v>182184.38</v>
      </c>
      <c r="G111" s="2902" t="s">
        <v>100</v>
      </c>
      <c r="H111" s="3014" t="s">
        <v>3561</v>
      </c>
      <c r="I111" s="2913">
        <v>3750000</v>
      </c>
      <c r="J111" s="2913">
        <v>3750000</v>
      </c>
      <c r="K111" s="2901">
        <v>0</v>
      </c>
      <c r="L111" s="2910">
        <v>46546</v>
      </c>
      <c r="M111" s="4053">
        <f t="shared" ca="1" si="1"/>
        <v>246.33453101851774</v>
      </c>
      <c r="N111" s="2906" t="s">
        <v>1431</v>
      </c>
      <c r="O111" s="2911"/>
      <c r="P111" s="2902"/>
    </row>
    <row r="112" spans="1:16" s="134" customFormat="1">
      <c r="A112" s="131"/>
      <c r="B112" s="3973">
        <v>83</v>
      </c>
      <c r="C112" s="2912" t="s">
        <v>3559</v>
      </c>
      <c r="D112" s="2902" t="s">
        <v>82</v>
      </c>
      <c r="E112" s="2913">
        <v>182184.38</v>
      </c>
      <c r="F112" s="2913">
        <v>182184.38</v>
      </c>
      <c r="G112" s="2902" t="s">
        <v>109</v>
      </c>
      <c r="H112" s="3014" t="s">
        <v>4125</v>
      </c>
      <c r="I112" s="2913">
        <v>3750000</v>
      </c>
      <c r="J112" s="2913">
        <v>3750000</v>
      </c>
      <c r="K112" s="2901">
        <v>0</v>
      </c>
      <c r="L112" s="2910">
        <v>46125</v>
      </c>
      <c r="M112" s="4053">
        <f t="shared" ca="1" si="1"/>
        <v>-174.66546898148226</v>
      </c>
      <c r="N112" s="2906" t="s">
        <v>1431</v>
      </c>
      <c r="O112" s="2911"/>
      <c r="P112" s="2902" t="s">
        <v>3722</v>
      </c>
    </row>
    <row r="113" spans="1:16" s="134" customFormat="1">
      <c r="A113" s="131"/>
      <c r="B113" s="3973">
        <v>84</v>
      </c>
      <c r="C113" s="2912" t="s">
        <v>3559</v>
      </c>
      <c r="D113" s="2902" t="s">
        <v>82</v>
      </c>
      <c r="E113" s="2913">
        <v>182184.38</v>
      </c>
      <c r="F113" s="2913">
        <v>182184.38</v>
      </c>
      <c r="G113" s="2902" t="s">
        <v>3562</v>
      </c>
      <c r="H113" s="3014" t="s">
        <v>3563</v>
      </c>
      <c r="I113" s="2913" t="s">
        <v>2095</v>
      </c>
      <c r="J113" s="2913">
        <v>0</v>
      </c>
      <c r="K113" s="2901"/>
      <c r="L113" s="2910">
        <v>46022</v>
      </c>
      <c r="M113" s="4053">
        <f t="shared" ca="1" si="1"/>
        <v>-277.66546898148226</v>
      </c>
      <c r="N113" s="2906" t="s">
        <v>1431</v>
      </c>
      <c r="O113" s="2911"/>
      <c r="P113" s="2902" t="s">
        <v>5235</v>
      </c>
    </row>
    <row r="114" spans="1:16" s="134" customFormat="1">
      <c r="A114" s="131"/>
      <c r="B114" s="3973"/>
      <c r="C114" s="2912"/>
      <c r="D114" s="2902"/>
      <c r="E114" s="2913"/>
      <c r="F114" s="2913"/>
      <c r="G114" s="2902"/>
      <c r="H114" s="3014"/>
      <c r="I114" s="2913"/>
      <c r="J114" s="2913"/>
      <c r="K114" s="2901"/>
      <c r="L114" s="2910"/>
      <c r="M114" s="4053"/>
      <c r="N114" s="2906"/>
      <c r="O114" s="2911"/>
      <c r="P114" s="2902"/>
    </row>
    <row r="115" spans="1:16" s="134" customFormat="1">
      <c r="A115" s="131"/>
      <c r="B115" s="3973"/>
      <c r="C115" s="2912"/>
      <c r="D115" s="2902"/>
      <c r="E115" s="2913"/>
      <c r="F115" s="2913"/>
      <c r="G115" s="2902"/>
      <c r="H115" s="3014"/>
      <c r="I115" s="2913"/>
      <c r="J115" s="2913"/>
      <c r="K115" s="2901"/>
      <c r="L115" s="2910"/>
      <c r="M115" s="4053"/>
      <c r="N115" s="2906"/>
      <c r="O115" s="2911"/>
      <c r="P115" s="2902"/>
    </row>
    <row r="116" spans="1:16" s="134" customFormat="1">
      <c r="A116" s="131"/>
      <c r="B116" s="3973"/>
      <c r="C116" s="2912"/>
      <c r="D116" s="2902"/>
      <c r="E116" s="2913"/>
      <c r="F116" s="2913"/>
      <c r="G116" s="2902"/>
      <c r="H116" s="3014"/>
      <c r="I116" s="2913"/>
      <c r="J116" s="2913"/>
      <c r="K116" s="2901"/>
      <c r="L116" s="2910"/>
      <c r="M116" s="4053"/>
      <c r="N116" s="2906"/>
      <c r="O116" s="2911"/>
      <c r="P116" s="2902"/>
    </row>
    <row r="117" spans="1:16" s="134" customFormat="1">
      <c r="A117" s="131"/>
      <c r="B117" s="3973"/>
      <c r="C117" s="2912"/>
      <c r="D117" s="2902"/>
      <c r="E117" s="2913"/>
      <c r="F117" s="2913"/>
      <c r="G117" s="2902"/>
      <c r="H117" s="3014"/>
      <c r="I117" s="2913"/>
      <c r="J117" s="2913"/>
      <c r="K117" s="2901"/>
      <c r="L117" s="2910"/>
      <c r="M117" s="4053"/>
      <c r="N117" s="2906"/>
      <c r="O117" s="2911"/>
      <c r="P117" s="2902"/>
    </row>
    <row r="118" spans="1:16" s="134" customFormat="1">
      <c r="A118" s="131"/>
      <c r="B118" s="3973"/>
      <c r="C118" s="2912"/>
      <c r="D118" s="2902"/>
      <c r="E118" s="2913"/>
      <c r="F118" s="2913"/>
      <c r="G118" s="2902"/>
      <c r="H118" s="3014"/>
      <c r="I118" s="2913"/>
      <c r="J118" s="2913"/>
      <c r="K118" s="2901"/>
      <c r="L118" s="2910"/>
      <c r="M118" s="4053"/>
      <c r="N118" s="2906"/>
      <c r="O118" s="2911"/>
      <c r="P118" s="2902"/>
    </row>
    <row r="119" spans="1:16" s="134" customFormat="1">
      <c r="A119" s="131"/>
      <c r="B119" s="3975"/>
      <c r="C119" s="3976"/>
      <c r="D119" s="3977"/>
      <c r="E119" s="3978"/>
      <c r="F119" s="3978"/>
      <c r="G119" s="3977"/>
      <c r="H119" s="3979"/>
      <c r="I119" s="3978"/>
      <c r="J119" s="3978"/>
      <c r="K119" s="3980"/>
      <c r="L119" s="3981"/>
      <c r="M119" s="4057"/>
      <c r="N119" s="3982"/>
      <c r="O119" s="3983"/>
      <c r="P119" s="3977"/>
    </row>
    <row r="120" spans="1:16" s="134" customFormat="1">
      <c r="A120" s="131"/>
      <c r="B120" s="1507"/>
      <c r="C120" s="3965"/>
      <c r="D120" s="3966"/>
      <c r="E120" s="3967"/>
      <c r="F120" s="3967"/>
      <c r="G120" s="3966"/>
      <c r="H120" s="3968"/>
      <c r="I120" s="3967"/>
      <c r="J120" s="3967"/>
      <c r="K120" s="3969"/>
      <c r="L120" s="3970"/>
      <c r="M120" s="4058"/>
      <c r="N120" s="3971"/>
      <c r="O120" s="3972"/>
      <c r="P120" s="3966"/>
    </row>
    <row r="121" spans="1:16" s="134" customFormat="1">
      <c r="A121" s="131"/>
      <c r="B121" s="1507"/>
      <c r="C121" s="2912"/>
      <c r="D121" s="2902"/>
      <c r="E121" s="2913"/>
      <c r="F121" s="2913"/>
      <c r="G121" s="2902"/>
      <c r="H121" s="3014"/>
      <c r="I121" s="2913"/>
      <c r="J121" s="2913"/>
      <c r="K121" s="2901"/>
      <c r="L121" s="2910"/>
      <c r="M121" s="4053"/>
      <c r="N121" s="2906"/>
      <c r="O121" s="2911"/>
      <c r="P121" s="2902"/>
    </row>
    <row r="122" spans="1:16" s="134" customFormat="1">
      <c r="A122" s="131"/>
      <c r="B122" s="1507"/>
      <c r="C122" s="2912"/>
      <c r="D122" s="2902"/>
      <c r="E122" s="2913"/>
      <c r="F122" s="2913"/>
      <c r="G122" s="2902"/>
      <c r="H122" s="3014"/>
      <c r="I122" s="2913"/>
      <c r="J122" s="2913"/>
      <c r="K122" s="2901"/>
      <c r="L122" s="2910"/>
      <c r="M122" s="4053"/>
      <c r="N122" s="2906"/>
      <c r="O122" s="2911"/>
      <c r="P122" s="2902"/>
    </row>
    <row r="123" spans="1:16" s="134" customFormat="1">
      <c r="A123" s="131"/>
      <c r="B123" s="1507"/>
      <c r="C123" s="2912"/>
      <c r="D123" s="2902"/>
      <c r="E123" s="2913"/>
      <c r="F123" s="2913"/>
      <c r="G123" s="2902"/>
      <c r="H123" s="3014"/>
      <c r="I123" s="2913"/>
      <c r="J123" s="2913"/>
      <c r="K123" s="2901"/>
      <c r="L123" s="2910"/>
      <c r="M123" s="4053"/>
      <c r="N123" s="2906"/>
      <c r="O123" s="2911"/>
      <c r="P123" s="2902"/>
    </row>
    <row r="124" spans="1:16">
      <c r="A124" s="131"/>
      <c r="B124" s="135"/>
      <c r="C124" s="131"/>
      <c r="D124" s="131"/>
      <c r="E124" s="131"/>
      <c r="F124" s="131"/>
      <c r="G124" s="136"/>
      <c r="H124" s="131"/>
      <c r="I124" s="131"/>
      <c r="J124" s="131"/>
      <c r="K124" s="131"/>
      <c r="L124" s="131"/>
      <c r="M124" s="4059"/>
      <c r="N124" s="131"/>
      <c r="O124" s="131"/>
      <c r="P124" s="136"/>
    </row>
    <row r="125" spans="1:16">
      <c r="A125" s="131"/>
      <c r="B125" s="135"/>
      <c r="C125" s="131"/>
      <c r="D125" s="131"/>
      <c r="E125" s="131"/>
      <c r="F125" s="131"/>
      <c r="G125" s="136"/>
      <c r="H125" s="131"/>
      <c r="I125" s="131"/>
      <c r="J125" s="131"/>
      <c r="K125" s="131"/>
      <c r="L125" s="131"/>
      <c r="M125" s="4059"/>
      <c r="N125" s="131"/>
      <c r="O125" s="131"/>
      <c r="P125" s="136"/>
    </row>
    <row r="126" spans="1:16">
      <c r="A126" s="131"/>
      <c r="B126" s="135"/>
      <c r="C126" s="131"/>
      <c r="D126" s="131"/>
      <c r="E126" s="131"/>
      <c r="F126" s="131"/>
      <c r="G126" s="136"/>
      <c r="H126" s="131"/>
      <c r="I126" s="131"/>
      <c r="J126" s="131"/>
      <c r="K126" s="131"/>
      <c r="L126" s="131"/>
      <c r="M126" s="4059"/>
      <c r="N126" s="131"/>
      <c r="O126" s="131"/>
      <c r="P126" s="136"/>
    </row>
    <row r="127" spans="1:16">
      <c r="A127" s="131"/>
      <c r="B127" s="135"/>
      <c r="C127" s="131"/>
      <c r="D127" s="131"/>
      <c r="E127" s="131"/>
      <c r="F127" s="131"/>
      <c r="G127" s="136"/>
      <c r="H127" s="131"/>
      <c r="I127" s="131"/>
      <c r="J127" s="131"/>
      <c r="K127" s="131"/>
      <c r="L127" s="131"/>
      <c r="M127" s="4059"/>
      <c r="N127" s="131"/>
      <c r="O127" s="131"/>
      <c r="P127" s="136"/>
    </row>
    <row r="128" spans="1:16">
      <c r="A128" s="131"/>
      <c r="B128" s="135"/>
      <c r="C128" s="131"/>
      <c r="D128" s="131"/>
      <c r="E128" s="131"/>
      <c r="F128" s="131"/>
      <c r="G128" s="136"/>
      <c r="H128" s="131"/>
      <c r="I128" s="131"/>
      <c r="J128" s="131"/>
      <c r="K128" s="131"/>
      <c r="L128" s="131"/>
      <c r="M128" s="4059"/>
      <c r="N128" s="131"/>
      <c r="O128" s="131"/>
      <c r="P128" s="136"/>
    </row>
    <row r="129" spans="1:16">
      <c r="A129" s="131"/>
      <c r="B129" s="135"/>
      <c r="C129" s="131"/>
      <c r="D129" s="131"/>
      <c r="E129" s="131"/>
      <c r="F129" s="131"/>
      <c r="G129" s="136"/>
      <c r="H129" s="131"/>
      <c r="I129" s="131"/>
      <c r="J129" s="131"/>
      <c r="K129" s="131"/>
      <c r="L129" s="131"/>
      <c r="M129" s="4059"/>
      <c r="N129" s="131"/>
      <c r="O129" s="131"/>
      <c r="P129" s="136"/>
    </row>
    <row r="130" spans="1:16">
      <c r="A130" s="131"/>
      <c r="B130" s="135"/>
      <c r="C130" s="131"/>
      <c r="D130" s="131"/>
      <c r="E130" s="131"/>
      <c r="F130" s="131"/>
      <c r="G130" s="136"/>
      <c r="H130" s="131"/>
      <c r="I130" s="131"/>
      <c r="J130" s="131"/>
      <c r="K130" s="131"/>
      <c r="L130" s="131"/>
      <c r="M130" s="4059"/>
      <c r="N130" s="131"/>
      <c r="O130" s="131"/>
      <c r="P130" s="136"/>
    </row>
    <row r="131" spans="1:16">
      <c r="A131" s="131"/>
      <c r="B131" s="135"/>
      <c r="C131" s="131"/>
      <c r="D131" s="131"/>
      <c r="E131" s="131"/>
      <c r="F131" s="131"/>
      <c r="G131" s="136"/>
      <c r="H131" s="131"/>
      <c r="I131" s="131"/>
      <c r="J131" s="131"/>
      <c r="K131" s="131"/>
      <c r="L131" s="131"/>
      <c r="M131" s="4059"/>
      <c r="N131" s="131"/>
      <c r="O131" s="131"/>
      <c r="P131" s="136"/>
    </row>
    <row r="132" spans="1:16">
      <c r="A132" s="131"/>
      <c r="B132" s="135"/>
      <c r="C132" s="131"/>
      <c r="D132" s="131"/>
      <c r="E132" s="131"/>
      <c r="F132" s="131"/>
      <c r="G132" s="136"/>
      <c r="H132" s="131"/>
      <c r="I132" s="131"/>
      <c r="J132" s="131"/>
      <c r="K132" s="131"/>
      <c r="L132" s="131"/>
      <c r="M132" s="4059"/>
      <c r="N132" s="131"/>
      <c r="O132" s="131"/>
      <c r="P132" s="136"/>
    </row>
    <row r="133" spans="1:16">
      <c r="A133" s="131"/>
      <c r="B133" s="135"/>
      <c r="C133" s="131"/>
      <c r="D133" s="131"/>
      <c r="E133" s="131"/>
      <c r="F133" s="131"/>
      <c r="G133" s="136"/>
      <c r="H133" s="131"/>
      <c r="I133" s="131"/>
      <c r="J133" s="131"/>
      <c r="K133" s="131"/>
      <c r="L133" s="131"/>
      <c r="M133" s="4059"/>
      <c r="N133" s="131"/>
      <c r="O133" s="131"/>
      <c r="P133" s="136"/>
    </row>
    <row r="134" spans="1:16">
      <c r="A134" s="131"/>
      <c r="B134" s="135"/>
      <c r="C134" s="131"/>
      <c r="D134" s="131"/>
      <c r="E134" s="131"/>
      <c r="F134" s="131"/>
      <c r="G134" s="136"/>
      <c r="H134" s="131"/>
      <c r="I134" s="131"/>
      <c r="J134" s="131"/>
      <c r="K134" s="131"/>
      <c r="L134" s="131"/>
      <c r="M134" s="4059"/>
      <c r="N134" s="131"/>
      <c r="O134" s="131"/>
      <c r="P134" s="136"/>
    </row>
    <row r="135" spans="1:16">
      <c r="A135" s="131"/>
      <c r="B135" s="135"/>
      <c r="C135" s="131"/>
      <c r="D135" s="131"/>
      <c r="E135" s="131"/>
      <c r="F135" s="131"/>
      <c r="G135" s="136"/>
      <c r="H135" s="131"/>
      <c r="I135" s="131"/>
      <c r="J135" s="131"/>
      <c r="K135" s="131"/>
      <c r="L135" s="131"/>
      <c r="M135" s="4059"/>
      <c r="N135" s="131"/>
      <c r="O135" s="131"/>
      <c r="P135" s="136"/>
    </row>
    <row r="136" spans="1:16">
      <c r="A136" s="131"/>
      <c r="B136" s="135"/>
      <c r="C136" s="131"/>
      <c r="D136" s="131"/>
      <c r="E136" s="131"/>
      <c r="F136" s="131"/>
      <c r="G136" s="136"/>
      <c r="H136" s="131"/>
      <c r="I136" s="131"/>
      <c r="J136" s="131"/>
      <c r="K136" s="131"/>
      <c r="L136" s="131"/>
      <c r="M136" s="4059"/>
      <c r="N136" s="131"/>
      <c r="O136" s="131"/>
      <c r="P136" s="136"/>
    </row>
    <row r="137" spans="1:16">
      <c r="A137" s="131"/>
      <c r="B137" s="135"/>
      <c r="C137" s="131"/>
      <c r="D137" s="131"/>
      <c r="E137" s="131"/>
      <c r="F137" s="131"/>
      <c r="G137" s="136"/>
      <c r="H137" s="131"/>
      <c r="I137" s="131"/>
      <c r="J137" s="131"/>
      <c r="K137" s="131"/>
      <c r="L137" s="131"/>
      <c r="M137" s="4059"/>
      <c r="N137" s="131"/>
      <c r="O137" s="131"/>
      <c r="P137" s="136"/>
    </row>
    <row r="138" spans="1:16">
      <c r="A138" s="131"/>
      <c r="B138" s="135"/>
      <c r="C138" s="131"/>
      <c r="D138" s="131"/>
      <c r="E138" s="131"/>
      <c r="F138" s="131"/>
      <c r="G138" s="136"/>
      <c r="H138" s="131"/>
      <c r="I138" s="131"/>
      <c r="J138" s="131"/>
      <c r="K138" s="131"/>
      <c r="L138" s="131"/>
      <c r="M138" s="4059"/>
      <c r="N138" s="131"/>
      <c r="O138" s="131"/>
      <c r="P138" s="136"/>
    </row>
    <row r="139" spans="1:16">
      <c r="A139" s="131"/>
      <c r="B139" s="135"/>
      <c r="C139" s="131"/>
      <c r="D139" s="131"/>
      <c r="E139" s="131"/>
      <c r="F139" s="131"/>
      <c r="G139" s="136"/>
      <c r="H139" s="131"/>
      <c r="I139" s="131"/>
      <c r="J139" s="131"/>
      <c r="K139" s="131"/>
      <c r="L139" s="131"/>
      <c r="M139" s="4059"/>
      <c r="N139" s="131"/>
      <c r="O139" s="131"/>
      <c r="P139" s="136"/>
    </row>
    <row r="140" spans="1:16">
      <c r="A140" s="131"/>
      <c r="B140" s="135"/>
      <c r="C140" s="131"/>
      <c r="D140" s="131"/>
      <c r="E140" s="131"/>
      <c r="F140" s="131"/>
      <c r="G140" s="136"/>
      <c r="H140" s="131"/>
      <c r="I140" s="131"/>
      <c r="J140" s="131"/>
      <c r="K140" s="131"/>
      <c r="L140" s="131"/>
      <c r="M140" s="4059"/>
      <c r="N140" s="131"/>
      <c r="O140" s="131"/>
      <c r="P140" s="136"/>
    </row>
    <row r="141" spans="1:16">
      <c r="A141" s="131"/>
      <c r="B141" s="135"/>
      <c r="C141" s="131"/>
      <c r="D141" s="131"/>
      <c r="E141" s="131"/>
      <c r="F141" s="131"/>
      <c r="G141" s="136"/>
      <c r="H141" s="131"/>
      <c r="I141" s="131"/>
      <c r="J141" s="131"/>
      <c r="K141" s="131"/>
      <c r="L141" s="131"/>
      <c r="M141" s="4059"/>
      <c r="N141" s="131"/>
      <c r="O141" s="131"/>
      <c r="P141" s="136"/>
    </row>
    <row r="142" spans="1:16">
      <c r="A142" s="131"/>
      <c r="B142" s="135"/>
      <c r="C142" s="131"/>
      <c r="D142" s="131"/>
      <c r="E142" s="131"/>
      <c r="F142" s="131"/>
      <c r="G142" s="136"/>
      <c r="H142" s="131"/>
      <c r="I142" s="131"/>
      <c r="J142" s="131"/>
      <c r="K142" s="131"/>
      <c r="L142" s="131"/>
      <c r="M142" s="4059"/>
      <c r="N142" s="131"/>
      <c r="O142" s="131"/>
      <c r="P142" s="136"/>
    </row>
    <row r="143" spans="1:16">
      <c r="A143" s="131"/>
      <c r="B143" s="135"/>
      <c r="C143" s="131"/>
      <c r="D143" s="131"/>
      <c r="E143" s="131"/>
      <c r="F143" s="131"/>
      <c r="G143" s="136"/>
      <c r="H143" s="131"/>
      <c r="I143" s="131"/>
      <c r="J143" s="131"/>
      <c r="K143" s="131"/>
      <c r="L143" s="131"/>
      <c r="M143" s="4059"/>
      <c r="N143" s="131"/>
      <c r="O143" s="131"/>
      <c r="P143" s="136"/>
    </row>
    <row r="144" spans="1:16">
      <c r="A144" s="131"/>
      <c r="B144" s="135"/>
      <c r="C144" s="131"/>
      <c r="D144" s="131"/>
      <c r="E144" s="131"/>
      <c r="F144" s="131"/>
      <c r="G144" s="136"/>
      <c r="H144" s="131"/>
      <c r="I144" s="131"/>
      <c r="J144" s="131"/>
      <c r="K144" s="131"/>
      <c r="L144" s="131"/>
      <c r="M144" s="4059"/>
      <c r="N144" s="131"/>
      <c r="O144" s="131"/>
      <c r="P144" s="136"/>
    </row>
    <row r="145" spans="1:16">
      <c r="A145" s="131"/>
      <c r="B145" s="135"/>
      <c r="C145" s="131"/>
      <c r="D145" s="131"/>
      <c r="E145" s="131"/>
      <c r="F145" s="131"/>
      <c r="G145" s="136"/>
      <c r="H145" s="131"/>
      <c r="I145" s="131"/>
      <c r="J145" s="131"/>
      <c r="K145" s="131"/>
      <c r="L145" s="131"/>
      <c r="M145" s="4059"/>
      <c r="N145" s="131"/>
      <c r="O145" s="131"/>
      <c r="P145" s="136"/>
    </row>
    <row r="146" spans="1:16">
      <c r="A146" s="131"/>
      <c r="B146" s="135"/>
      <c r="C146" s="131"/>
      <c r="D146" s="131"/>
      <c r="E146" s="131"/>
      <c r="F146" s="131"/>
      <c r="G146" s="136"/>
      <c r="H146" s="131"/>
      <c r="I146" s="131"/>
      <c r="J146" s="131"/>
      <c r="K146" s="131"/>
      <c r="L146" s="131"/>
      <c r="M146" s="4059"/>
      <c r="N146" s="131"/>
      <c r="O146" s="131"/>
      <c r="P146" s="136"/>
    </row>
    <row r="147" spans="1:16">
      <c r="A147" s="131"/>
      <c r="B147" s="135"/>
      <c r="C147" s="131"/>
      <c r="D147" s="131"/>
      <c r="E147" s="131"/>
      <c r="F147" s="131"/>
      <c r="G147" s="136"/>
      <c r="H147" s="131"/>
      <c r="I147" s="131"/>
      <c r="J147" s="131"/>
      <c r="K147" s="131"/>
      <c r="L147" s="131"/>
      <c r="M147" s="4059"/>
      <c r="N147" s="131"/>
      <c r="O147" s="131"/>
      <c r="P147" s="136"/>
    </row>
    <row r="148" spans="1:16">
      <c r="A148" s="131"/>
      <c r="B148" s="135"/>
      <c r="C148" s="131"/>
      <c r="D148" s="131"/>
      <c r="E148" s="131"/>
      <c r="F148" s="131"/>
      <c r="G148" s="136"/>
      <c r="H148" s="131"/>
      <c r="I148" s="131"/>
      <c r="J148" s="131"/>
      <c r="K148" s="131"/>
      <c r="L148" s="131"/>
      <c r="M148" s="4059"/>
      <c r="N148" s="131"/>
      <c r="O148" s="131"/>
      <c r="P148" s="136"/>
    </row>
    <row r="149" spans="1:16">
      <c r="A149" s="131"/>
      <c r="B149" s="135"/>
      <c r="C149" s="131"/>
      <c r="D149" s="131"/>
      <c r="E149" s="131"/>
      <c r="F149" s="131"/>
      <c r="G149" s="136"/>
      <c r="H149" s="131"/>
      <c r="I149" s="131"/>
      <c r="J149" s="131"/>
      <c r="K149" s="131"/>
      <c r="L149" s="131"/>
      <c r="M149" s="4059"/>
      <c r="N149" s="131"/>
      <c r="O149" s="131"/>
      <c r="P149" s="136"/>
    </row>
    <row r="150" spans="1:16">
      <c r="A150" s="131"/>
      <c r="B150" s="135"/>
      <c r="C150" s="131"/>
      <c r="D150" s="131"/>
      <c r="E150" s="131"/>
      <c r="F150" s="131"/>
      <c r="G150" s="136"/>
      <c r="H150" s="131"/>
      <c r="I150" s="131"/>
      <c r="J150" s="131"/>
      <c r="K150" s="131"/>
      <c r="L150" s="131"/>
      <c r="M150" s="4059"/>
      <c r="N150" s="131"/>
      <c r="O150" s="131"/>
      <c r="P150" s="136"/>
    </row>
    <row r="151" spans="1:16">
      <c r="A151" s="131"/>
      <c r="B151" s="135"/>
      <c r="C151" s="131"/>
      <c r="D151" s="131"/>
      <c r="E151" s="131"/>
      <c r="F151" s="131"/>
      <c r="G151" s="136"/>
      <c r="H151" s="131"/>
      <c r="I151" s="131"/>
      <c r="J151" s="131"/>
      <c r="K151" s="131"/>
      <c r="L151" s="131"/>
      <c r="M151" s="4059"/>
      <c r="N151" s="131"/>
      <c r="O151" s="131"/>
      <c r="P151" s="136"/>
    </row>
    <row r="152" spans="1:16">
      <c r="A152" s="131"/>
      <c r="B152" s="135"/>
      <c r="C152" s="131"/>
      <c r="D152" s="131"/>
      <c r="E152" s="131"/>
      <c r="F152" s="131"/>
      <c r="G152" s="136"/>
      <c r="H152" s="131"/>
      <c r="I152" s="131"/>
      <c r="J152" s="131"/>
      <c r="K152" s="131"/>
      <c r="L152" s="131"/>
      <c r="M152" s="4059"/>
      <c r="N152" s="131"/>
      <c r="O152" s="131"/>
      <c r="P152" s="136"/>
    </row>
    <row r="153" spans="1:16">
      <c r="A153" s="131"/>
      <c r="B153" s="135"/>
      <c r="C153" s="131"/>
      <c r="D153" s="131"/>
      <c r="E153" s="131"/>
      <c r="F153" s="131"/>
      <c r="G153" s="136"/>
      <c r="H153" s="131"/>
      <c r="I153" s="131"/>
      <c r="J153" s="131"/>
      <c r="K153" s="131"/>
      <c r="L153" s="131"/>
      <c r="M153" s="4059"/>
      <c r="N153" s="131"/>
      <c r="O153" s="131"/>
      <c r="P153" s="136"/>
    </row>
    <row r="154" spans="1:16">
      <c r="A154" s="131"/>
      <c r="B154" s="135"/>
      <c r="C154" s="131"/>
      <c r="D154" s="131"/>
      <c r="E154" s="131"/>
      <c r="F154" s="131"/>
      <c r="G154" s="136"/>
      <c r="H154" s="131"/>
      <c r="I154" s="131"/>
      <c r="J154" s="131"/>
      <c r="K154" s="131"/>
      <c r="L154" s="131"/>
      <c r="M154" s="4059"/>
      <c r="N154" s="131"/>
      <c r="O154" s="131"/>
      <c r="P154" s="136"/>
    </row>
    <row r="155" spans="1:16">
      <c r="A155" s="131"/>
      <c r="B155" s="135"/>
      <c r="C155" s="131"/>
      <c r="D155" s="131"/>
      <c r="E155" s="131"/>
      <c r="F155" s="131"/>
      <c r="G155" s="136"/>
      <c r="H155" s="131"/>
      <c r="I155" s="131"/>
      <c r="J155" s="131"/>
      <c r="K155" s="131"/>
      <c r="L155" s="131"/>
      <c r="M155" s="4059"/>
      <c r="N155" s="131"/>
      <c r="O155" s="131"/>
      <c r="P155" s="136"/>
    </row>
    <row r="156" spans="1:16">
      <c r="A156" s="131"/>
      <c r="B156" s="135"/>
      <c r="C156" s="131"/>
      <c r="D156" s="131"/>
      <c r="E156" s="131"/>
      <c r="F156" s="131"/>
      <c r="G156" s="136"/>
      <c r="H156" s="131"/>
      <c r="I156" s="131"/>
      <c r="J156" s="131"/>
      <c r="K156" s="131"/>
      <c r="L156" s="131"/>
      <c r="M156" s="4059"/>
      <c r="N156" s="131"/>
      <c r="O156" s="131"/>
      <c r="P156" s="136"/>
    </row>
    <row r="157" spans="1:16">
      <c r="A157" s="131"/>
      <c r="B157" s="135"/>
      <c r="C157" s="131"/>
      <c r="D157" s="131"/>
      <c r="E157" s="131"/>
      <c r="F157" s="131"/>
      <c r="G157" s="136"/>
      <c r="H157" s="131"/>
      <c r="I157" s="131"/>
      <c r="J157" s="131"/>
      <c r="K157" s="131"/>
      <c r="L157" s="131"/>
      <c r="M157" s="4059"/>
      <c r="N157" s="131"/>
      <c r="O157" s="131"/>
      <c r="P157" s="136"/>
    </row>
    <row r="158" spans="1:16">
      <c r="A158" s="131"/>
      <c r="B158" s="135"/>
      <c r="C158" s="131"/>
      <c r="D158" s="131"/>
      <c r="E158" s="131"/>
      <c r="F158" s="131"/>
      <c r="G158" s="136"/>
      <c r="H158" s="131"/>
      <c r="I158" s="131"/>
      <c r="J158" s="131"/>
      <c r="K158" s="131"/>
      <c r="L158" s="131"/>
      <c r="M158" s="4059"/>
      <c r="N158" s="131"/>
      <c r="O158" s="131"/>
      <c r="P158" s="136"/>
    </row>
    <row r="159" spans="1:16">
      <c r="A159" s="131"/>
      <c r="B159" s="135"/>
      <c r="C159" s="131"/>
      <c r="D159" s="131"/>
      <c r="E159" s="131"/>
      <c r="F159" s="131"/>
      <c r="G159" s="136"/>
      <c r="H159" s="131"/>
      <c r="I159" s="131"/>
      <c r="J159" s="131"/>
      <c r="K159" s="131"/>
      <c r="L159" s="131"/>
      <c r="M159" s="4059"/>
      <c r="N159" s="131"/>
      <c r="O159" s="131"/>
      <c r="P159" s="136"/>
    </row>
    <row r="160" spans="1:16">
      <c r="A160" s="131"/>
      <c r="B160" s="135"/>
      <c r="C160" s="131"/>
      <c r="D160" s="131"/>
      <c r="E160" s="131"/>
      <c r="F160" s="131"/>
      <c r="G160" s="136"/>
      <c r="H160" s="131"/>
      <c r="I160" s="131"/>
      <c r="J160" s="131"/>
      <c r="K160" s="131"/>
      <c r="L160" s="131"/>
      <c r="M160" s="4059"/>
      <c r="N160" s="131"/>
      <c r="O160" s="131"/>
      <c r="P160" s="136"/>
    </row>
    <row r="161" spans="1:16">
      <c r="A161" s="131"/>
      <c r="B161" s="135"/>
      <c r="C161" s="131"/>
      <c r="D161" s="131"/>
      <c r="E161" s="131"/>
      <c r="F161" s="131"/>
      <c r="G161" s="136"/>
      <c r="H161" s="131"/>
      <c r="I161" s="131"/>
      <c r="J161" s="131"/>
      <c r="K161" s="131"/>
      <c r="L161" s="131"/>
      <c r="M161" s="4059"/>
      <c r="N161" s="131"/>
      <c r="O161" s="131"/>
      <c r="P161" s="136"/>
    </row>
    <row r="162" spans="1:16">
      <c r="A162" s="131"/>
      <c r="B162" s="135"/>
      <c r="C162" s="131"/>
      <c r="D162" s="131"/>
      <c r="E162" s="131"/>
      <c r="F162" s="131"/>
      <c r="G162" s="136"/>
      <c r="H162" s="131"/>
      <c r="I162" s="131"/>
      <c r="J162" s="131"/>
      <c r="K162" s="131"/>
      <c r="L162" s="131"/>
      <c r="M162" s="4059"/>
      <c r="N162" s="131"/>
      <c r="O162" s="131"/>
      <c r="P162" s="136"/>
    </row>
    <row r="163" spans="1:16">
      <c r="A163" s="131"/>
      <c r="B163" s="135"/>
      <c r="C163" s="131"/>
      <c r="D163" s="131"/>
      <c r="E163" s="131"/>
      <c r="F163" s="131"/>
      <c r="G163" s="136"/>
      <c r="H163" s="131"/>
      <c r="I163" s="131"/>
      <c r="J163" s="131"/>
      <c r="K163" s="131"/>
      <c r="L163" s="131"/>
      <c r="M163" s="4059"/>
      <c r="N163" s="131"/>
      <c r="O163" s="131"/>
      <c r="P163" s="136"/>
    </row>
    <row r="164" spans="1:16">
      <c r="A164" s="131"/>
      <c r="B164" s="135"/>
      <c r="C164" s="131"/>
      <c r="D164" s="131"/>
      <c r="E164" s="131"/>
      <c r="F164" s="131"/>
      <c r="G164" s="136"/>
      <c r="H164" s="131"/>
      <c r="I164" s="131"/>
      <c r="J164" s="131"/>
      <c r="K164" s="131"/>
      <c r="L164" s="131"/>
      <c r="M164" s="4059"/>
      <c r="N164" s="131"/>
      <c r="O164" s="131"/>
      <c r="P164" s="136"/>
    </row>
    <row r="165" spans="1:16">
      <c r="A165" s="131"/>
      <c r="B165" s="135"/>
      <c r="C165" s="131"/>
      <c r="D165" s="131"/>
      <c r="E165" s="131"/>
      <c r="F165" s="131"/>
      <c r="G165" s="136"/>
      <c r="H165" s="131"/>
      <c r="I165" s="131"/>
      <c r="J165" s="131"/>
      <c r="K165" s="131"/>
      <c r="L165" s="131"/>
      <c r="M165" s="4059"/>
      <c r="N165" s="131"/>
      <c r="O165" s="131"/>
      <c r="P165" s="136"/>
    </row>
    <row r="166" spans="1:16">
      <c r="A166" s="131"/>
      <c r="B166" s="135"/>
      <c r="C166" s="131"/>
      <c r="D166" s="131"/>
      <c r="E166" s="131"/>
      <c r="F166" s="131"/>
      <c r="G166" s="136"/>
      <c r="H166" s="131"/>
      <c r="I166" s="131"/>
      <c r="J166" s="131"/>
      <c r="K166" s="131"/>
      <c r="L166" s="131"/>
      <c r="M166" s="4059"/>
      <c r="N166" s="131"/>
      <c r="O166" s="131"/>
      <c r="P166" s="136"/>
    </row>
    <row r="167" spans="1:16">
      <c r="A167" s="131"/>
      <c r="B167" s="135"/>
      <c r="C167" s="131"/>
      <c r="D167" s="131"/>
      <c r="E167" s="131"/>
      <c r="F167" s="131"/>
      <c r="G167" s="136"/>
      <c r="H167" s="131"/>
      <c r="I167" s="131"/>
      <c r="J167" s="131"/>
      <c r="K167" s="131"/>
      <c r="L167" s="131"/>
      <c r="M167" s="4059"/>
      <c r="N167" s="131"/>
      <c r="O167" s="131"/>
      <c r="P167" s="136"/>
    </row>
    <row r="168" spans="1:16">
      <c r="A168" s="131"/>
      <c r="B168" s="135"/>
      <c r="C168" s="131"/>
      <c r="D168" s="131"/>
      <c r="E168" s="131"/>
      <c r="F168" s="131"/>
      <c r="G168" s="136"/>
      <c r="H168" s="131"/>
      <c r="I168" s="131"/>
      <c r="J168" s="131"/>
      <c r="K168" s="131"/>
      <c r="L168" s="131"/>
      <c r="M168" s="4059"/>
      <c r="N168" s="131"/>
      <c r="O168" s="131"/>
      <c r="P168" s="136"/>
    </row>
    <row r="169" spans="1:16">
      <c r="A169" s="131"/>
      <c r="B169" s="135"/>
      <c r="C169" s="131"/>
      <c r="D169" s="131"/>
      <c r="E169" s="131"/>
      <c r="F169" s="131"/>
      <c r="G169" s="136"/>
      <c r="H169" s="131"/>
      <c r="I169" s="131"/>
      <c r="J169" s="131"/>
      <c r="K169" s="131"/>
      <c r="L169" s="131"/>
      <c r="M169" s="4059"/>
      <c r="N169" s="131"/>
      <c r="O169" s="131"/>
      <c r="P169" s="136"/>
    </row>
    <row r="170" spans="1:16">
      <c r="A170" s="131"/>
      <c r="B170" s="135"/>
      <c r="C170" s="131"/>
      <c r="D170" s="131"/>
      <c r="E170" s="131"/>
      <c r="F170" s="131"/>
      <c r="G170" s="136"/>
      <c r="H170" s="131"/>
      <c r="I170" s="131"/>
      <c r="J170" s="131"/>
      <c r="K170" s="131"/>
      <c r="L170" s="131"/>
      <c r="M170" s="4059"/>
      <c r="N170" s="131"/>
      <c r="O170" s="131"/>
      <c r="P170" s="136"/>
    </row>
    <row r="171" spans="1:16">
      <c r="A171" s="131"/>
      <c r="B171" s="135"/>
      <c r="C171" s="131"/>
      <c r="D171" s="131"/>
      <c r="E171" s="131"/>
      <c r="F171" s="131"/>
      <c r="G171" s="136"/>
      <c r="H171" s="131"/>
      <c r="I171" s="131"/>
      <c r="J171" s="131"/>
      <c r="K171" s="131"/>
      <c r="L171" s="131"/>
      <c r="M171" s="4059"/>
      <c r="N171" s="131"/>
      <c r="O171" s="131"/>
      <c r="P171" s="136"/>
    </row>
    <row r="172" spans="1:16">
      <c r="A172" s="131"/>
      <c r="B172" s="135"/>
      <c r="C172" s="131"/>
      <c r="D172" s="131"/>
      <c r="E172" s="131"/>
      <c r="F172" s="131"/>
      <c r="G172" s="136"/>
      <c r="H172" s="131"/>
      <c r="I172" s="131"/>
      <c r="J172" s="131"/>
      <c r="K172" s="131"/>
      <c r="L172" s="131"/>
      <c r="M172" s="4059"/>
      <c r="N172" s="131"/>
      <c r="O172" s="131"/>
      <c r="P172" s="136"/>
    </row>
    <row r="173" spans="1:16">
      <c r="A173" s="131"/>
      <c r="B173" s="135"/>
      <c r="C173" s="131"/>
      <c r="D173" s="131"/>
      <c r="E173" s="131"/>
      <c r="F173" s="131"/>
      <c r="G173" s="136"/>
      <c r="H173" s="131"/>
      <c r="I173" s="131"/>
      <c r="J173" s="131"/>
      <c r="K173" s="131"/>
      <c r="L173" s="131"/>
      <c r="M173" s="4059"/>
      <c r="N173" s="131"/>
      <c r="O173" s="131"/>
      <c r="P173" s="136"/>
    </row>
    <row r="174" spans="1:16">
      <c r="A174" s="131"/>
      <c r="B174" s="135"/>
      <c r="C174" s="131"/>
      <c r="D174" s="131"/>
      <c r="E174" s="131"/>
      <c r="F174" s="131"/>
      <c r="G174" s="136"/>
      <c r="H174" s="131"/>
      <c r="I174" s="131"/>
      <c r="J174" s="131"/>
      <c r="K174" s="131"/>
      <c r="L174" s="131"/>
      <c r="M174" s="4059"/>
      <c r="N174" s="131"/>
      <c r="O174" s="131"/>
      <c r="P174" s="136"/>
    </row>
    <row r="175" spans="1:16">
      <c r="A175" s="131"/>
      <c r="B175" s="135"/>
      <c r="C175" s="131"/>
      <c r="D175" s="131"/>
      <c r="E175" s="131"/>
      <c r="F175" s="131"/>
      <c r="G175" s="136"/>
      <c r="H175" s="131"/>
      <c r="I175" s="131"/>
      <c r="J175" s="131"/>
      <c r="K175" s="131"/>
      <c r="L175" s="131"/>
      <c r="M175" s="4059"/>
      <c r="N175" s="131"/>
      <c r="O175" s="131"/>
      <c r="P175" s="136"/>
    </row>
    <row r="176" spans="1:16">
      <c r="A176" s="131"/>
      <c r="B176" s="135"/>
      <c r="C176" s="131"/>
      <c r="D176" s="131"/>
      <c r="E176" s="131"/>
      <c r="F176" s="131"/>
      <c r="G176" s="136"/>
      <c r="H176" s="131"/>
      <c r="I176" s="131"/>
      <c r="J176" s="131"/>
      <c r="K176" s="131"/>
      <c r="L176" s="131"/>
      <c r="M176" s="4059"/>
      <c r="N176" s="131"/>
      <c r="O176" s="131"/>
      <c r="P176" s="136"/>
    </row>
    <row r="177" spans="1:16">
      <c r="A177" s="131"/>
      <c r="B177" s="135"/>
      <c r="C177" s="131"/>
      <c r="D177" s="131"/>
      <c r="E177" s="131"/>
      <c r="F177" s="131"/>
      <c r="G177" s="136"/>
      <c r="H177" s="131"/>
      <c r="I177" s="131"/>
      <c r="J177" s="131"/>
      <c r="K177" s="131"/>
      <c r="L177" s="131"/>
      <c r="M177" s="4059"/>
      <c r="N177" s="131"/>
      <c r="O177" s="131"/>
      <c r="P177" s="136"/>
    </row>
    <row r="178" spans="1:16">
      <c r="A178" s="131"/>
      <c r="B178" s="135"/>
      <c r="C178" s="131"/>
      <c r="D178" s="131"/>
      <c r="E178" s="131"/>
      <c r="F178" s="131"/>
      <c r="G178" s="136"/>
      <c r="H178" s="131"/>
      <c r="I178" s="131"/>
      <c r="J178" s="131"/>
      <c r="K178" s="131"/>
      <c r="L178" s="131"/>
      <c r="M178" s="4059"/>
      <c r="N178" s="131"/>
      <c r="O178" s="131"/>
      <c r="P178" s="136"/>
    </row>
    <row r="179" spans="1:16">
      <c r="A179" s="131"/>
      <c r="B179" s="135"/>
      <c r="C179" s="131"/>
      <c r="D179" s="131"/>
      <c r="E179" s="131"/>
      <c r="F179" s="131"/>
      <c r="G179" s="136"/>
      <c r="H179" s="131"/>
      <c r="I179" s="131"/>
      <c r="J179" s="131"/>
      <c r="K179" s="131"/>
      <c r="L179" s="131"/>
      <c r="M179" s="4059"/>
      <c r="N179" s="131"/>
      <c r="O179" s="131"/>
      <c r="P179" s="136"/>
    </row>
    <row r="180" spans="1:16">
      <c r="A180" s="131"/>
      <c r="B180" s="135"/>
      <c r="C180" s="131"/>
      <c r="D180" s="131"/>
      <c r="E180" s="131"/>
      <c r="F180" s="131"/>
      <c r="G180" s="136"/>
      <c r="H180" s="131"/>
      <c r="I180" s="131"/>
      <c r="J180" s="131"/>
      <c r="K180" s="131"/>
      <c r="L180" s="131"/>
      <c r="M180" s="4059"/>
      <c r="N180" s="131"/>
      <c r="O180" s="131"/>
      <c r="P180" s="136"/>
    </row>
    <row r="181" spans="1:16">
      <c r="A181" s="131"/>
      <c r="B181" s="135"/>
      <c r="C181" s="131"/>
      <c r="D181" s="131"/>
      <c r="E181" s="131"/>
      <c r="F181" s="131"/>
      <c r="G181" s="136"/>
      <c r="H181" s="131"/>
      <c r="I181" s="131"/>
      <c r="J181" s="131"/>
      <c r="K181" s="131"/>
      <c r="L181" s="131"/>
      <c r="M181" s="4059"/>
      <c r="N181" s="131"/>
      <c r="O181" s="131"/>
      <c r="P181" s="136"/>
    </row>
    <row r="182" spans="1:16">
      <c r="A182" s="131"/>
      <c r="B182" s="135"/>
      <c r="C182" s="131"/>
      <c r="D182" s="131"/>
      <c r="E182" s="131"/>
      <c r="F182" s="131"/>
      <c r="G182" s="136"/>
      <c r="H182" s="131"/>
      <c r="I182" s="131"/>
      <c r="J182" s="131"/>
      <c r="K182" s="131"/>
      <c r="L182" s="131"/>
      <c r="M182" s="4059"/>
      <c r="N182" s="131"/>
      <c r="O182" s="131"/>
      <c r="P182" s="136"/>
    </row>
    <row r="183" spans="1:16">
      <c r="A183" s="131"/>
      <c r="B183" s="135"/>
      <c r="C183" s="131"/>
      <c r="D183" s="131"/>
      <c r="E183" s="131"/>
      <c r="F183" s="131"/>
      <c r="G183" s="136"/>
      <c r="H183" s="131"/>
      <c r="I183" s="131"/>
      <c r="J183" s="131"/>
      <c r="K183" s="131"/>
      <c r="L183" s="131"/>
      <c r="M183" s="4059"/>
      <c r="N183" s="131"/>
      <c r="O183" s="131"/>
      <c r="P183" s="136"/>
    </row>
    <row r="184" spans="1:16">
      <c r="A184" s="131"/>
      <c r="B184" s="135"/>
      <c r="C184" s="131"/>
      <c r="D184" s="131"/>
      <c r="E184" s="131"/>
      <c r="F184" s="131"/>
      <c r="G184" s="136"/>
      <c r="H184" s="131"/>
      <c r="I184" s="131"/>
      <c r="J184" s="131"/>
      <c r="K184" s="131"/>
      <c r="L184" s="131"/>
      <c r="M184" s="4059"/>
      <c r="N184" s="131"/>
      <c r="O184" s="131"/>
      <c r="P184" s="136"/>
    </row>
    <row r="185" spans="1:16">
      <c r="A185" s="131"/>
      <c r="B185" s="135"/>
      <c r="C185" s="131"/>
      <c r="D185" s="131"/>
      <c r="E185" s="131"/>
      <c r="F185" s="131"/>
      <c r="G185" s="136"/>
      <c r="H185" s="131"/>
      <c r="I185" s="131"/>
      <c r="J185" s="131"/>
      <c r="K185" s="131"/>
      <c r="L185" s="131"/>
      <c r="M185" s="4059"/>
      <c r="N185" s="131"/>
      <c r="O185" s="131"/>
      <c r="P185" s="136"/>
    </row>
    <row r="186" spans="1:16">
      <c r="A186" s="131"/>
      <c r="B186" s="135"/>
      <c r="C186" s="131"/>
      <c r="D186" s="131"/>
      <c r="E186" s="131"/>
      <c r="F186" s="131"/>
      <c r="G186" s="136"/>
      <c r="H186" s="131"/>
      <c r="I186" s="131"/>
      <c r="J186" s="131"/>
      <c r="K186" s="131"/>
      <c r="L186" s="131"/>
      <c r="M186" s="4059"/>
      <c r="N186" s="131"/>
      <c r="O186" s="131"/>
      <c r="P186" s="136"/>
    </row>
    <row r="187" spans="1:16">
      <c r="A187" s="131"/>
      <c r="B187" s="135"/>
      <c r="C187" s="131"/>
      <c r="D187" s="131"/>
      <c r="E187" s="131"/>
      <c r="F187" s="131"/>
      <c r="G187" s="136"/>
      <c r="H187" s="131"/>
      <c r="I187" s="131"/>
      <c r="J187" s="131"/>
      <c r="K187" s="131"/>
      <c r="L187" s="131"/>
      <c r="M187" s="4059"/>
      <c r="N187" s="131"/>
      <c r="O187" s="131"/>
      <c r="P187" s="136"/>
    </row>
    <row r="188" spans="1:16">
      <c r="A188" s="131"/>
      <c r="B188" s="135"/>
      <c r="C188" s="131"/>
      <c r="D188" s="131"/>
      <c r="E188" s="131"/>
      <c r="F188" s="131"/>
      <c r="G188" s="136"/>
      <c r="H188" s="131"/>
      <c r="I188" s="131"/>
      <c r="J188" s="131"/>
      <c r="K188" s="131"/>
      <c r="L188" s="131"/>
      <c r="M188" s="4059"/>
      <c r="N188" s="131"/>
      <c r="O188" s="131"/>
      <c r="P188" s="136"/>
    </row>
    <row r="189" spans="1:16">
      <c r="A189" s="131"/>
      <c r="B189" s="135"/>
      <c r="C189" s="131"/>
      <c r="D189" s="131"/>
      <c r="E189" s="131"/>
      <c r="F189" s="131"/>
      <c r="G189" s="136"/>
      <c r="H189" s="131"/>
      <c r="I189" s="131"/>
      <c r="J189" s="131"/>
      <c r="K189" s="131"/>
      <c r="L189" s="131"/>
      <c r="M189" s="4059"/>
      <c r="N189" s="131"/>
      <c r="O189" s="131"/>
      <c r="P189" s="136"/>
    </row>
    <row r="190" spans="1:16">
      <c r="A190" s="131"/>
      <c r="B190" s="135"/>
      <c r="C190" s="131"/>
      <c r="D190" s="131"/>
      <c r="E190" s="131"/>
      <c r="F190" s="131"/>
      <c r="G190" s="136"/>
      <c r="H190" s="131"/>
      <c r="I190" s="131"/>
      <c r="J190" s="131"/>
      <c r="K190" s="131"/>
      <c r="L190" s="131"/>
      <c r="M190" s="4059"/>
      <c r="N190" s="131"/>
      <c r="O190" s="131"/>
      <c r="P190" s="136"/>
    </row>
    <row r="191" spans="1:16">
      <c r="A191" s="131"/>
      <c r="B191" s="135"/>
      <c r="C191" s="131"/>
      <c r="D191" s="131"/>
      <c r="E191" s="131"/>
      <c r="F191" s="131"/>
      <c r="G191" s="136"/>
      <c r="H191" s="131"/>
      <c r="I191" s="131"/>
      <c r="J191" s="131"/>
      <c r="K191" s="131"/>
      <c r="L191" s="131"/>
      <c r="M191" s="4059"/>
      <c r="N191" s="131"/>
      <c r="O191" s="131"/>
      <c r="P191" s="136"/>
    </row>
    <row r="192" spans="1:16">
      <c r="A192" s="131"/>
      <c r="B192" s="135"/>
      <c r="C192" s="131"/>
      <c r="D192" s="131"/>
      <c r="E192" s="131"/>
      <c r="F192" s="131"/>
      <c r="G192" s="136"/>
      <c r="H192" s="131"/>
      <c r="I192" s="131"/>
      <c r="J192" s="131"/>
      <c r="K192" s="131"/>
      <c r="L192" s="131"/>
      <c r="M192" s="4059"/>
      <c r="N192" s="131"/>
      <c r="O192" s="131"/>
      <c r="P192" s="136"/>
    </row>
    <row r="193" spans="1:16">
      <c r="A193" s="131"/>
      <c r="B193" s="135"/>
      <c r="C193" s="131"/>
      <c r="D193" s="131"/>
      <c r="E193" s="131"/>
      <c r="F193" s="131"/>
      <c r="G193" s="136"/>
      <c r="H193" s="131"/>
      <c r="I193" s="131"/>
      <c r="J193" s="131"/>
      <c r="K193" s="131"/>
      <c r="L193" s="131"/>
      <c r="M193" s="4059"/>
      <c r="N193" s="131"/>
      <c r="O193" s="131"/>
      <c r="P193" s="136"/>
    </row>
    <row r="194" spans="1:16">
      <c r="A194" s="131"/>
      <c r="B194" s="135"/>
      <c r="C194" s="131"/>
      <c r="D194" s="131"/>
      <c r="E194" s="131"/>
      <c r="F194" s="131"/>
      <c r="G194" s="136"/>
      <c r="H194" s="131"/>
      <c r="I194" s="131"/>
      <c r="J194" s="131"/>
      <c r="K194" s="131"/>
      <c r="L194" s="131"/>
      <c r="M194" s="4059"/>
      <c r="N194" s="131"/>
      <c r="O194" s="131"/>
      <c r="P194" s="136"/>
    </row>
    <row r="195" spans="1:16">
      <c r="A195" s="131"/>
      <c r="B195" s="135"/>
      <c r="C195" s="131"/>
      <c r="D195" s="131"/>
      <c r="E195" s="131"/>
      <c r="F195" s="131"/>
      <c r="G195" s="136"/>
      <c r="H195" s="131"/>
      <c r="I195" s="131"/>
      <c r="J195" s="131"/>
      <c r="K195" s="131"/>
      <c r="L195" s="131"/>
      <c r="M195" s="4059"/>
      <c r="N195" s="131"/>
      <c r="O195" s="131"/>
      <c r="P195" s="136"/>
    </row>
    <row r="196" spans="1:16">
      <c r="A196" s="131"/>
      <c r="B196" s="135"/>
      <c r="C196" s="131"/>
      <c r="D196" s="131"/>
      <c r="E196" s="131"/>
      <c r="F196" s="131"/>
      <c r="G196" s="136"/>
      <c r="H196" s="131"/>
      <c r="I196" s="131"/>
      <c r="J196" s="131"/>
      <c r="K196" s="131"/>
      <c r="L196" s="131"/>
      <c r="M196" s="4059"/>
      <c r="N196" s="131"/>
      <c r="O196" s="131"/>
      <c r="P196" s="136"/>
    </row>
    <row r="197" spans="1:16">
      <c r="A197" s="131"/>
      <c r="B197" s="135"/>
      <c r="C197" s="131"/>
      <c r="D197" s="131"/>
      <c r="E197" s="131"/>
      <c r="F197" s="131"/>
      <c r="G197" s="136"/>
      <c r="H197" s="131"/>
      <c r="I197" s="131"/>
      <c r="J197" s="131"/>
      <c r="K197" s="131"/>
      <c r="L197" s="131"/>
      <c r="M197" s="4059"/>
      <c r="N197" s="131"/>
      <c r="O197" s="131"/>
      <c r="P197" s="136"/>
    </row>
    <row r="198" spans="1:16">
      <c r="A198" s="131"/>
      <c r="B198" s="135"/>
      <c r="C198" s="131"/>
      <c r="D198" s="131"/>
      <c r="E198" s="131"/>
      <c r="F198" s="131"/>
      <c r="G198" s="136"/>
      <c r="H198" s="131"/>
      <c r="I198" s="131"/>
      <c r="J198" s="131"/>
      <c r="K198" s="131"/>
      <c r="L198" s="131"/>
      <c r="M198" s="4059"/>
      <c r="N198" s="131"/>
      <c r="O198" s="131"/>
      <c r="P198" s="136"/>
    </row>
    <row r="199" spans="1:16">
      <c r="A199" s="131"/>
      <c r="B199" s="135"/>
      <c r="C199" s="131"/>
      <c r="D199" s="131"/>
      <c r="E199" s="131"/>
      <c r="F199" s="131"/>
      <c r="G199" s="136"/>
      <c r="H199" s="131"/>
      <c r="I199" s="131"/>
      <c r="J199" s="131"/>
      <c r="K199" s="131"/>
      <c r="L199" s="131"/>
      <c r="M199" s="4059"/>
      <c r="N199" s="131"/>
      <c r="O199" s="131"/>
      <c r="P199" s="136"/>
    </row>
    <row r="200" spans="1:16">
      <c r="A200" s="131"/>
      <c r="B200" s="135"/>
      <c r="C200" s="131"/>
      <c r="D200" s="131"/>
      <c r="E200" s="131"/>
      <c r="F200" s="131"/>
      <c r="G200" s="136"/>
      <c r="H200" s="131"/>
      <c r="I200" s="131"/>
      <c r="J200" s="131"/>
      <c r="K200" s="131"/>
      <c r="L200" s="131"/>
      <c r="M200" s="4059"/>
      <c r="N200" s="131"/>
      <c r="O200" s="131"/>
      <c r="P200" s="136"/>
    </row>
    <row r="201" spans="1:16">
      <c r="A201" s="131"/>
      <c r="B201" s="135"/>
      <c r="C201" s="131"/>
      <c r="D201" s="131"/>
      <c r="E201" s="131"/>
      <c r="F201" s="131"/>
      <c r="G201" s="136"/>
      <c r="H201" s="131"/>
      <c r="I201" s="131"/>
      <c r="J201" s="131"/>
      <c r="K201" s="131"/>
      <c r="L201" s="131"/>
      <c r="M201" s="4059"/>
      <c r="N201" s="131"/>
      <c r="O201" s="131"/>
      <c r="P201" s="136"/>
    </row>
    <row r="202" spans="1:16">
      <c r="A202" s="131"/>
      <c r="B202" s="135"/>
      <c r="C202" s="131"/>
      <c r="D202" s="131"/>
      <c r="E202" s="131"/>
      <c r="F202" s="131"/>
      <c r="G202" s="136"/>
      <c r="H202" s="131"/>
      <c r="I202" s="131"/>
      <c r="J202" s="131"/>
      <c r="K202" s="131"/>
      <c r="L202" s="131"/>
      <c r="M202" s="4059"/>
      <c r="N202" s="131"/>
      <c r="O202" s="131"/>
      <c r="P202" s="136"/>
    </row>
    <row r="203" spans="1:16">
      <c r="A203" s="131"/>
      <c r="B203" s="135"/>
      <c r="C203" s="131"/>
      <c r="D203" s="131"/>
      <c r="E203" s="131"/>
      <c r="F203" s="131"/>
      <c r="G203" s="136"/>
      <c r="H203" s="131"/>
      <c r="I203" s="131"/>
      <c r="J203" s="131"/>
      <c r="K203" s="131"/>
      <c r="L203" s="131"/>
      <c r="M203" s="4059"/>
      <c r="N203" s="131"/>
      <c r="O203" s="131"/>
      <c r="P203" s="136"/>
    </row>
    <row r="204" spans="1:16">
      <c r="A204" s="131"/>
      <c r="B204" s="135"/>
      <c r="C204" s="131"/>
      <c r="D204" s="131"/>
      <c r="E204" s="131"/>
      <c r="F204" s="131"/>
      <c r="G204" s="136"/>
      <c r="H204" s="131"/>
      <c r="I204" s="131"/>
      <c r="J204" s="131"/>
      <c r="K204" s="131"/>
      <c r="L204" s="131"/>
      <c r="M204" s="4059"/>
      <c r="N204" s="131"/>
      <c r="O204" s="131"/>
      <c r="P204" s="136"/>
    </row>
    <row r="205" spans="1:16">
      <c r="A205" s="131"/>
      <c r="B205" s="135"/>
      <c r="C205" s="131"/>
      <c r="D205" s="131"/>
      <c r="E205" s="131"/>
      <c r="F205" s="131"/>
      <c r="G205" s="136"/>
      <c r="H205" s="131"/>
      <c r="I205" s="131"/>
      <c r="J205" s="131"/>
      <c r="K205" s="131"/>
      <c r="L205" s="131"/>
      <c r="M205" s="4059"/>
      <c r="N205" s="131"/>
      <c r="O205" s="131"/>
      <c r="P205" s="136"/>
    </row>
    <row r="206" spans="1:16">
      <c r="A206" s="131"/>
      <c r="B206" s="135"/>
      <c r="C206" s="131"/>
      <c r="D206" s="131"/>
      <c r="E206" s="131"/>
      <c r="F206" s="131"/>
      <c r="G206" s="136"/>
      <c r="H206" s="131"/>
      <c r="I206" s="131"/>
      <c r="J206" s="131"/>
      <c r="K206" s="131"/>
      <c r="L206" s="131"/>
      <c r="M206" s="4059"/>
      <c r="N206" s="131"/>
      <c r="O206" s="131"/>
      <c r="P206" s="136"/>
    </row>
    <row r="207" spans="1:16">
      <c r="A207" s="131"/>
      <c r="B207" s="135"/>
      <c r="C207" s="131"/>
      <c r="D207" s="131"/>
      <c r="E207" s="131"/>
      <c r="F207" s="131"/>
      <c r="G207" s="136"/>
      <c r="H207" s="131"/>
      <c r="I207" s="131"/>
      <c r="J207" s="131"/>
      <c r="K207" s="131"/>
      <c r="L207" s="131"/>
      <c r="M207" s="4059"/>
      <c r="N207" s="131"/>
      <c r="O207" s="131"/>
      <c r="P207" s="136"/>
    </row>
    <row r="208" spans="1:16">
      <c r="A208" s="131"/>
      <c r="B208" s="135"/>
      <c r="C208" s="131"/>
      <c r="D208" s="131"/>
      <c r="E208" s="131"/>
      <c r="F208" s="131"/>
      <c r="G208" s="136"/>
      <c r="H208" s="131"/>
      <c r="I208" s="131"/>
      <c r="J208" s="131"/>
      <c r="K208" s="131"/>
      <c r="L208" s="131"/>
      <c r="M208" s="4059"/>
      <c r="N208" s="131"/>
      <c r="O208" s="131"/>
      <c r="P208" s="136"/>
    </row>
    <row r="209" spans="1:16">
      <c r="A209" s="131"/>
      <c r="B209" s="135"/>
      <c r="C209" s="131"/>
      <c r="D209" s="131"/>
      <c r="E209" s="131"/>
      <c r="F209" s="131"/>
      <c r="G209" s="136"/>
      <c r="H209" s="131"/>
      <c r="I209" s="131"/>
      <c r="J209" s="131"/>
      <c r="K209" s="131"/>
      <c r="L209" s="131"/>
      <c r="M209" s="4059"/>
      <c r="N209" s="131"/>
      <c r="O209" s="131"/>
      <c r="P209" s="136"/>
    </row>
    <row r="210" spans="1:16">
      <c r="A210" s="131"/>
      <c r="B210" s="135"/>
      <c r="C210" s="131"/>
      <c r="D210" s="131"/>
      <c r="E210" s="131"/>
      <c r="F210" s="131"/>
      <c r="G210" s="136"/>
      <c r="H210" s="131"/>
      <c r="I210" s="131"/>
      <c r="J210" s="131"/>
      <c r="K210" s="131"/>
      <c r="L210" s="131"/>
      <c r="M210" s="4059"/>
      <c r="N210" s="131"/>
      <c r="O210" s="131"/>
      <c r="P210" s="136"/>
    </row>
    <row r="211" spans="1:16">
      <c r="A211" s="131"/>
      <c r="B211" s="135"/>
      <c r="C211" s="131"/>
      <c r="D211" s="131"/>
      <c r="E211" s="131"/>
      <c r="F211" s="131"/>
      <c r="G211" s="136"/>
      <c r="H211" s="131"/>
      <c r="I211" s="131"/>
      <c r="J211" s="131"/>
      <c r="K211" s="131"/>
      <c r="L211" s="131"/>
      <c r="M211" s="4059"/>
      <c r="N211" s="131"/>
      <c r="O211" s="131"/>
      <c r="P211" s="136"/>
    </row>
    <row r="212" spans="1:16">
      <c r="A212" s="131"/>
      <c r="B212" s="135"/>
      <c r="C212" s="131"/>
      <c r="D212" s="131"/>
      <c r="E212" s="131"/>
      <c r="F212" s="131"/>
      <c r="G212" s="136"/>
      <c r="H212" s="131"/>
      <c r="I212" s="131"/>
      <c r="J212" s="131"/>
      <c r="K212" s="131"/>
      <c r="L212" s="131"/>
      <c r="M212" s="4059"/>
      <c r="N212" s="131"/>
      <c r="O212" s="131"/>
      <c r="P212" s="136"/>
    </row>
    <row r="213" spans="1:16">
      <c r="A213" s="131"/>
      <c r="B213" s="135"/>
      <c r="C213" s="131"/>
      <c r="D213" s="131"/>
      <c r="E213" s="131"/>
      <c r="F213" s="131"/>
      <c r="G213" s="136"/>
      <c r="H213" s="131"/>
      <c r="I213" s="131"/>
      <c r="J213" s="131"/>
      <c r="K213" s="131"/>
      <c r="L213" s="131"/>
      <c r="M213" s="4059"/>
      <c r="N213" s="131"/>
      <c r="O213" s="131"/>
      <c r="P213" s="136"/>
    </row>
    <row r="214" spans="1:16">
      <c r="A214" s="131"/>
      <c r="B214" s="135"/>
      <c r="C214" s="131"/>
      <c r="D214" s="131"/>
      <c r="E214" s="131"/>
      <c r="F214" s="131"/>
      <c r="G214" s="136"/>
      <c r="H214" s="131"/>
      <c r="I214" s="131"/>
      <c r="J214" s="131"/>
      <c r="K214" s="131"/>
      <c r="L214" s="131"/>
      <c r="M214" s="4059"/>
      <c r="N214" s="131"/>
      <c r="O214" s="131"/>
      <c r="P214" s="136"/>
    </row>
    <row r="215" spans="1:16">
      <c r="A215" s="131"/>
      <c r="B215" s="135"/>
      <c r="C215" s="131"/>
      <c r="D215" s="131"/>
      <c r="E215" s="131"/>
      <c r="F215" s="131"/>
      <c r="G215" s="136"/>
      <c r="H215" s="131"/>
      <c r="I215" s="131"/>
      <c r="J215" s="131"/>
      <c r="K215" s="131"/>
      <c r="L215" s="131"/>
      <c r="M215" s="4059"/>
      <c r="N215" s="131"/>
      <c r="O215" s="131"/>
      <c r="P215" s="136"/>
    </row>
    <row r="216" spans="1:16">
      <c r="A216" s="131"/>
      <c r="B216" s="135"/>
      <c r="C216" s="131"/>
      <c r="D216" s="131"/>
      <c r="E216" s="131"/>
      <c r="F216" s="131"/>
      <c r="G216" s="136"/>
      <c r="H216" s="131"/>
      <c r="I216" s="131"/>
      <c r="J216" s="131"/>
      <c r="K216" s="131"/>
      <c r="L216" s="131"/>
      <c r="M216" s="4059"/>
      <c r="N216" s="131"/>
      <c r="O216" s="131"/>
      <c r="P216" s="136"/>
    </row>
    <row r="217" spans="1:16">
      <c r="A217" s="131"/>
      <c r="B217" s="135"/>
      <c r="C217" s="131"/>
      <c r="D217" s="131"/>
      <c r="E217" s="131"/>
      <c r="F217" s="131"/>
      <c r="G217" s="136"/>
      <c r="H217" s="131"/>
      <c r="I217" s="131"/>
      <c r="J217" s="131"/>
      <c r="K217" s="131"/>
      <c r="L217" s="131"/>
      <c r="M217" s="4059"/>
      <c r="N217" s="131"/>
      <c r="O217" s="131"/>
      <c r="P217" s="136"/>
    </row>
    <row r="218" spans="1:16">
      <c r="A218" s="131"/>
      <c r="B218" s="135"/>
      <c r="C218" s="131"/>
      <c r="D218" s="131"/>
      <c r="E218" s="131"/>
      <c r="F218" s="131"/>
      <c r="G218" s="136"/>
      <c r="H218" s="131"/>
      <c r="I218" s="131"/>
      <c r="J218" s="131"/>
      <c r="K218" s="131"/>
      <c r="L218" s="131"/>
      <c r="M218" s="4059"/>
      <c r="N218" s="131"/>
      <c r="O218" s="131"/>
      <c r="P218" s="136"/>
    </row>
    <row r="219" spans="1:16">
      <c r="A219" s="131"/>
      <c r="B219" s="135"/>
      <c r="C219" s="131"/>
      <c r="D219" s="131"/>
      <c r="E219" s="131"/>
      <c r="F219" s="131"/>
      <c r="G219" s="136"/>
      <c r="H219" s="131"/>
      <c r="I219" s="131"/>
      <c r="J219" s="131"/>
      <c r="K219" s="131"/>
      <c r="L219" s="131"/>
      <c r="M219" s="4059"/>
      <c r="N219" s="131"/>
      <c r="O219" s="131"/>
      <c r="P219" s="136"/>
    </row>
    <row r="220" spans="1:16">
      <c r="A220" s="131"/>
      <c r="B220" s="135"/>
      <c r="C220" s="131"/>
      <c r="D220" s="131"/>
      <c r="E220" s="131"/>
      <c r="F220" s="131"/>
      <c r="G220" s="136"/>
      <c r="H220" s="131"/>
      <c r="I220" s="131"/>
      <c r="J220" s="131"/>
      <c r="K220" s="131"/>
      <c r="L220" s="131"/>
      <c r="M220" s="4059"/>
      <c r="N220" s="131"/>
      <c r="O220" s="131"/>
      <c r="P220" s="136"/>
    </row>
    <row r="221" spans="1:16">
      <c r="A221" s="131"/>
      <c r="B221" s="135"/>
      <c r="C221" s="131"/>
      <c r="D221" s="131"/>
      <c r="E221" s="131"/>
      <c r="F221" s="131"/>
      <c r="G221" s="136"/>
      <c r="H221" s="131"/>
      <c r="I221" s="131"/>
      <c r="J221" s="131"/>
      <c r="K221" s="131"/>
      <c r="L221" s="131"/>
      <c r="M221" s="4059"/>
      <c r="N221" s="131"/>
      <c r="O221" s="131"/>
      <c r="P221" s="136"/>
    </row>
    <row r="222" spans="1:16">
      <c r="A222" s="131"/>
      <c r="B222" s="135"/>
      <c r="C222" s="131"/>
      <c r="D222" s="131"/>
      <c r="E222" s="131"/>
      <c r="F222" s="131"/>
      <c r="G222" s="136"/>
      <c r="H222" s="131"/>
      <c r="I222" s="131"/>
      <c r="J222" s="131"/>
      <c r="K222" s="131"/>
      <c r="L222" s="131"/>
      <c r="M222" s="4059"/>
      <c r="N222" s="131"/>
      <c r="O222" s="131"/>
      <c r="P222" s="136"/>
    </row>
    <row r="223" spans="1:16">
      <c r="A223" s="131"/>
      <c r="B223" s="135"/>
      <c r="C223" s="131"/>
      <c r="D223" s="131"/>
      <c r="E223" s="131"/>
      <c r="F223" s="131"/>
      <c r="G223" s="136"/>
      <c r="H223" s="131"/>
      <c r="I223" s="131"/>
      <c r="J223" s="131"/>
      <c r="K223" s="131"/>
      <c r="L223" s="131"/>
      <c r="M223" s="4059"/>
      <c r="N223" s="131"/>
      <c r="O223" s="131"/>
      <c r="P223" s="136"/>
    </row>
    <row r="224" spans="1:16">
      <c r="A224" s="131"/>
      <c r="B224" s="135"/>
      <c r="C224" s="131"/>
      <c r="D224" s="131"/>
      <c r="E224" s="131"/>
      <c r="F224" s="131"/>
      <c r="G224" s="136"/>
      <c r="H224" s="131"/>
      <c r="I224" s="131"/>
      <c r="J224" s="131"/>
      <c r="K224" s="131"/>
      <c r="L224" s="131"/>
      <c r="M224" s="4059"/>
      <c r="N224" s="131"/>
      <c r="O224" s="131"/>
      <c r="P224" s="136"/>
    </row>
    <row r="225" spans="1:16">
      <c r="A225" s="131"/>
      <c r="B225" s="135"/>
      <c r="C225" s="131"/>
      <c r="D225" s="131"/>
      <c r="E225" s="131"/>
      <c r="F225" s="131"/>
      <c r="G225" s="136"/>
      <c r="H225" s="131"/>
      <c r="I225" s="131"/>
      <c r="J225" s="131"/>
      <c r="K225" s="131"/>
      <c r="L225" s="131"/>
      <c r="M225" s="4059"/>
      <c r="N225" s="131"/>
      <c r="O225" s="131"/>
      <c r="P225" s="136"/>
    </row>
    <row r="226" spans="1:16">
      <c r="A226" s="131"/>
      <c r="B226" s="135"/>
      <c r="C226" s="131"/>
      <c r="D226" s="131"/>
      <c r="E226" s="131"/>
      <c r="F226" s="131"/>
      <c r="G226" s="136"/>
      <c r="H226" s="131"/>
      <c r="I226" s="131"/>
      <c r="J226" s="131"/>
      <c r="K226" s="131"/>
      <c r="L226" s="131"/>
      <c r="M226" s="4059"/>
      <c r="N226" s="131"/>
      <c r="O226" s="131"/>
      <c r="P226" s="136"/>
    </row>
    <row r="227" spans="1:16">
      <c r="A227" s="131"/>
      <c r="B227" s="135"/>
      <c r="C227" s="131"/>
      <c r="D227" s="131"/>
      <c r="E227" s="131"/>
      <c r="F227" s="131"/>
      <c r="G227" s="136"/>
      <c r="H227" s="131"/>
      <c r="I227" s="131"/>
      <c r="J227" s="131"/>
      <c r="K227" s="131"/>
      <c r="L227" s="131"/>
      <c r="M227" s="4059"/>
      <c r="N227" s="131"/>
      <c r="O227" s="131"/>
      <c r="P227" s="136"/>
    </row>
    <row r="228" spans="1:16">
      <c r="A228" s="131"/>
      <c r="B228" s="135"/>
      <c r="C228" s="131"/>
      <c r="D228" s="131"/>
      <c r="E228" s="131"/>
      <c r="F228" s="131"/>
      <c r="G228" s="136"/>
      <c r="H228" s="131"/>
      <c r="I228" s="131"/>
      <c r="J228" s="131"/>
      <c r="K228" s="131"/>
      <c r="L228" s="131"/>
      <c r="M228" s="4059"/>
      <c r="N228" s="131"/>
      <c r="O228" s="131"/>
      <c r="P228" s="136"/>
    </row>
    <row r="229" spans="1:16">
      <c r="A229" s="131"/>
      <c r="B229" s="135"/>
      <c r="C229" s="131"/>
      <c r="D229" s="131"/>
      <c r="E229" s="131"/>
      <c r="F229" s="131"/>
      <c r="G229" s="136"/>
      <c r="H229" s="131"/>
      <c r="I229" s="131"/>
      <c r="J229" s="131"/>
      <c r="K229" s="131"/>
      <c r="L229" s="131"/>
      <c r="M229" s="4059"/>
      <c r="N229" s="131"/>
      <c r="O229" s="131"/>
      <c r="P229" s="136"/>
    </row>
    <row r="230" spans="1:16">
      <c r="A230" s="131"/>
      <c r="B230" s="135"/>
      <c r="C230" s="131"/>
      <c r="D230" s="131"/>
      <c r="E230" s="131"/>
      <c r="F230" s="131"/>
      <c r="G230" s="136"/>
      <c r="H230" s="131"/>
      <c r="I230" s="131"/>
      <c r="J230" s="131"/>
      <c r="K230" s="131"/>
      <c r="L230" s="131"/>
      <c r="M230" s="4059"/>
      <c r="N230" s="131"/>
      <c r="O230" s="131"/>
      <c r="P230" s="136"/>
    </row>
    <row r="231" spans="1:16">
      <c r="A231" s="131"/>
      <c r="B231" s="135"/>
      <c r="C231" s="131"/>
      <c r="D231" s="131"/>
      <c r="E231" s="131"/>
      <c r="F231" s="131"/>
      <c r="G231" s="136"/>
      <c r="H231" s="131"/>
      <c r="I231" s="131"/>
      <c r="J231" s="131"/>
      <c r="K231" s="131"/>
      <c r="L231" s="131"/>
      <c r="M231" s="4059"/>
      <c r="N231" s="131"/>
      <c r="O231" s="131"/>
      <c r="P231" s="136"/>
    </row>
    <row r="232" spans="1:16">
      <c r="A232" s="131"/>
      <c r="B232" s="135"/>
      <c r="C232" s="131"/>
      <c r="D232" s="131"/>
      <c r="E232" s="131"/>
      <c r="F232" s="131"/>
      <c r="G232" s="136"/>
      <c r="H232" s="131"/>
      <c r="I232" s="131"/>
      <c r="J232" s="131"/>
      <c r="K232" s="131"/>
      <c r="L232" s="131"/>
      <c r="M232" s="4059"/>
      <c r="N232" s="131"/>
      <c r="O232" s="131"/>
      <c r="P232" s="136"/>
    </row>
    <row r="233" spans="1:16">
      <c r="A233" s="131"/>
      <c r="B233" s="135"/>
      <c r="C233" s="131"/>
      <c r="D233" s="131"/>
      <c r="E233" s="131"/>
      <c r="F233" s="131"/>
      <c r="G233" s="136"/>
      <c r="H233" s="131"/>
      <c r="I233" s="131"/>
      <c r="J233" s="131"/>
      <c r="K233" s="131"/>
      <c r="L233" s="131"/>
      <c r="M233" s="4059"/>
      <c r="N233" s="131"/>
      <c r="O233" s="131"/>
      <c r="P233" s="136"/>
    </row>
    <row r="234" spans="1:16">
      <c r="A234" s="131"/>
      <c r="B234" s="135"/>
      <c r="C234" s="131"/>
      <c r="D234" s="131"/>
      <c r="E234" s="131"/>
      <c r="F234" s="131"/>
      <c r="G234" s="136"/>
      <c r="H234" s="131"/>
      <c r="I234" s="131"/>
      <c r="J234" s="131"/>
      <c r="K234" s="131"/>
      <c r="L234" s="131"/>
      <c r="M234" s="4059"/>
      <c r="N234" s="131"/>
      <c r="O234" s="131"/>
      <c r="P234" s="136"/>
    </row>
    <row r="235" spans="1:16">
      <c r="A235" s="131"/>
      <c r="B235" s="135"/>
      <c r="C235" s="131"/>
      <c r="D235" s="131"/>
      <c r="E235" s="131"/>
      <c r="F235" s="131"/>
      <c r="G235" s="136"/>
      <c r="H235" s="131"/>
      <c r="I235" s="131"/>
      <c r="J235" s="131"/>
      <c r="K235" s="131"/>
      <c r="L235" s="131"/>
      <c r="M235" s="4059"/>
      <c r="N235" s="131"/>
      <c r="O235" s="131"/>
      <c r="P235" s="136"/>
    </row>
    <row r="236" spans="1:16">
      <c r="A236" s="131"/>
      <c r="B236" s="135"/>
      <c r="C236" s="131"/>
      <c r="D236" s="131"/>
      <c r="E236" s="131"/>
      <c r="F236" s="131"/>
      <c r="G236" s="136"/>
      <c r="H236" s="131"/>
      <c r="I236" s="131"/>
      <c r="J236" s="131"/>
      <c r="K236" s="131"/>
      <c r="L236" s="131"/>
      <c r="M236" s="4059"/>
      <c r="N236" s="131"/>
      <c r="O236" s="131"/>
      <c r="P236" s="136"/>
    </row>
    <row r="237" spans="1:16">
      <c r="A237" s="131"/>
      <c r="B237" s="135"/>
      <c r="C237" s="131"/>
      <c r="D237" s="131"/>
      <c r="E237" s="131"/>
      <c r="F237" s="131"/>
      <c r="G237" s="136"/>
      <c r="H237" s="131"/>
      <c r="I237" s="131"/>
      <c r="J237" s="131"/>
      <c r="K237" s="131"/>
      <c r="L237" s="131"/>
      <c r="M237" s="4059"/>
      <c r="N237" s="131"/>
      <c r="O237" s="131"/>
      <c r="P237" s="136"/>
    </row>
    <row r="238" spans="1:16">
      <c r="A238" s="131"/>
      <c r="B238" s="135"/>
      <c r="C238" s="131"/>
      <c r="D238" s="131"/>
      <c r="E238" s="131"/>
      <c r="F238" s="131"/>
      <c r="G238" s="136"/>
      <c r="H238" s="131"/>
      <c r="I238" s="131"/>
      <c r="J238" s="131"/>
      <c r="K238" s="131"/>
      <c r="L238" s="131"/>
      <c r="M238" s="4059"/>
      <c r="N238" s="131"/>
      <c r="O238" s="131"/>
      <c r="P238" s="136"/>
    </row>
    <row r="239" spans="1:16">
      <c r="A239" s="131"/>
      <c r="B239" s="135"/>
      <c r="C239" s="131"/>
      <c r="D239" s="131"/>
      <c r="E239" s="131"/>
      <c r="F239" s="131"/>
      <c r="G239" s="136"/>
      <c r="H239" s="131"/>
      <c r="I239" s="131"/>
      <c r="J239" s="131"/>
      <c r="K239" s="131"/>
      <c r="L239" s="131"/>
      <c r="M239" s="4059"/>
      <c r="N239" s="131"/>
      <c r="O239" s="131"/>
      <c r="P239" s="136"/>
    </row>
    <row r="240" spans="1:16">
      <c r="A240" s="131"/>
      <c r="B240" s="135"/>
      <c r="C240" s="131"/>
      <c r="D240" s="131"/>
      <c r="E240" s="131"/>
      <c r="F240" s="131"/>
      <c r="G240" s="136"/>
      <c r="H240" s="131"/>
      <c r="I240" s="131"/>
      <c r="J240" s="131"/>
      <c r="K240" s="131"/>
      <c r="L240" s="131"/>
      <c r="M240" s="4059"/>
      <c r="N240" s="131"/>
      <c r="O240" s="131"/>
      <c r="P240" s="136"/>
    </row>
    <row r="241" spans="1:16">
      <c r="A241" s="131"/>
      <c r="B241" s="135"/>
      <c r="C241" s="131"/>
      <c r="D241" s="131"/>
      <c r="E241" s="131"/>
      <c r="F241" s="131"/>
      <c r="G241" s="136"/>
      <c r="H241" s="131"/>
      <c r="I241" s="131"/>
      <c r="J241" s="131"/>
      <c r="K241" s="131"/>
      <c r="L241" s="131"/>
      <c r="M241" s="4059"/>
      <c r="N241" s="131"/>
      <c r="O241" s="131"/>
      <c r="P241" s="136"/>
    </row>
    <row r="242" spans="1:16">
      <c r="A242" s="131"/>
      <c r="B242" s="135"/>
      <c r="C242" s="131"/>
      <c r="D242" s="131"/>
      <c r="E242" s="131"/>
      <c r="F242" s="131"/>
      <c r="G242" s="136"/>
      <c r="H242" s="131"/>
      <c r="I242" s="131"/>
      <c r="J242" s="131"/>
      <c r="K242" s="131"/>
      <c r="L242" s="131"/>
      <c r="M242" s="4059"/>
      <c r="N242" s="131"/>
      <c r="O242" s="131"/>
      <c r="P242" s="136"/>
    </row>
    <row r="243" spans="1:16">
      <c r="A243" s="131"/>
      <c r="B243" s="135"/>
      <c r="C243" s="131"/>
      <c r="D243" s="131"/>
      <c r="E243" s="131"/>
      <c r="F243" s="131"/>
      <c r="G243" s="136"/>
      <c r="H243" s="131"/>
      <c r="I243" s="131"/>
      <c r="J243" s="131"/>
      <c r="K243" s="131"/>
      <c r="L243" s="131"/>
      <c r="M243" s="4059"/>
      <c r="N243" s="131"/>
      <c r="O243" s="131"/>
      <c r="P243" s="136"/>
    </row>
    <row r="244" spans="1:16">
      <c r="A244" s="131"/>
      <c r="B244" s="135"/>
      <c r="C244" s="131"/>
      <c r="D244" s="131"/>
      <c r="E244" s="131"/>
      <c r="F244" s="131"/>
      <c r="G244" s="136"/>
      <c r="H244" s="131"/>
      <c r="I244" s="131"/>
      <c r="J244" s="131"/>
      <c r="K244" s="131"/>
      <c r="L244" s="131"/>
      <c r="M244" s="4059"/>
      <c r="N244" s="131"/>
      <c r="O244" s="131"/>
      <c r="P244" s="136"/>
    </row>
    <row r="245" spans="1:16">
      <c r="A245" s="131"/>
      <c r="B245" s="135"/>
      <c r="C245" s="131"/>
      <c r="D245" s="131"/>
      <c r="E245" s="131"/>
      <c r="F245" s="131"/>
      <c r="G245" s="136"/>
      <c r="H245" s="131"/>
      <c r="I245" s="131"/>
      <c r="J245" s="131"/>
      <c r="K245" s="131"/>
      <c r="L245" s="131"/>
      <c r="M245" s="4059"/>
      <c r="N245" s="131"/>
      <c r="O245" s="131"/>
      <c r="P245" s="136"/>
    </row>
    <row r="246" spans="1:16">
      <c r="A246" s="131"/>
      <c r="B246" s="135"/>
      <c r="C246" s="131"/>
      <c r="D246" s="131"/>
      <c r="E246" s="131"/>
      <c r="F246" s="131"/>
      <c r="G246" s="136"/>
      <c r="H246" s="131"/>
      <c r="I246" s="131"/>
      <c r="J246" s="131"/>
      <c r="K246" s="131"/>
      <c r="L246" s="131"/>
      <c r="M246" s="4059"/>
      <c r="N246" s="131"/>
      <c r="O246" s="131"/>
      <c r="P246" s="136"/>
    </row>
    <row r="247" spans="1:16">
      <c r="A247" s="131"/>
      <c r="B247" s="135"/>
      <c r="C247" s="131"/>
      <c r="D247" s="131"/>
      <c r="E247" s="131"/>
      <c r="F247" s="131"/>
      <c r="G247" s="136"/>
      <c r="H247" s="131"/>
      <c r="I247" s="131"/>
      <c r="J247" s="131"/>
      <c r="K247" s="131"/>
      <c r="L247" s="131"/>
      <c r="M247" s="4059"/>
      <c r="N247" s="131"/>
      <c r="O247" s="131"/>
      <c r="P247" s="136"/>
    </row>
    <row r="248" spans="1:16">
      <c r="A248" s="131"/>
      <c r="B248" s="135"/>
      <c r="C248" s="131"/>
      <c r="D248" s="131"/>
      <c r="E248" s="131"/>
      <c r="F248" s="131"/>
      <c r="G248" s="136"/>
      <c r="H248" s="131"/>
      <c r="I248" s="131"/>
      <c r="J248" s="131"/>
      <c r="K248" s="131"/>
      <c r="L248" s="131"/>
      <c r="M248" s="4059"/>
      <c r="N248" s="131"/>
      <c r="O248" s="131"/>
      <c r="P248" s="136"/>
    </row>
    <row r="249" spans="1:16">
      <c r="A249" s="131"/>
      <c r="B249" s="135"/>
      <c r="C249" s="131"/>
      <c r="D249" s="131"/>
      <c r="E249" s="131"/>
      <c r="F249" s="131"/>
      <c r="G249" s="136"/>
      <c r="H249" s="131"/>
      <c r="I249" s="131"/>
      <c r="J249" s="131"/>
      <c r="K249" s="131"/>
      <c r="L249" s="131"/>
      <c r="M249" s="4059"/>
      <c r="N249" s="131"/>
      <c r="O249" s="131"/>
      <c r="P249" s="136"/>
    </row>
    <row r="250" spans="1:16">
      <c r="A250" s="131"/>
      <c r="B250" s="135"/>
      <c r="C250" s="131"/>
      <c r="D250" s="131"/>
      <c r="E250" s="131"/>
      <c r="F250" s="131"/>
      <c r="G250" s="136"/>
      <c r="H250" s="131"/>
      <c r="I250" s="131"/>
      <c r="J250" s="131"/>
      <c r="K250" s="131"/>
      <c r="L250" s="131"/>
      <c r="M250" s="4059"/>
      <c r="N250" s="131"/>
      <c r="O250" s="131"/>
      <c r="P250" s="136"/>
    </row>
    <row r="251" spans="1:16">
      <c r="A251" s="131"/>
      <c r="B251" s="135"/>
      <c r="C251" s="131"/>
      <c r="D251" s="131"/>
      <c r="E251" s="131"/>
      <c r="F251" s="131"/>
      <c r="G251" s="136"/>
      <c r="H251" s="131"/>
      <c r="I251" s="131"/>
      <c r="J251" s="131"/>
      <c r="K251" s="131"/>
      <c r="L251" s="131"/>
      <c r="M251" s="4059"/>
      <c r="N251" s="131"/>
      <c r="O251" s="131"/>
      <c r="P251" s="136"/>
    </row>
    <row r="252" spans="1:16">
      <c r="A252" s="131"/>
      <c r="B252" s="135"/>
      <c r="C252" s="131"/>
      <c r="D252" s="131"/>
      <c r="E252" s="131"/>
      <c r="F252" s="131"/>
      <c r="G252" s="136"/>
      <c r="H252" s="131"/>
      <c r="I252" s="131"/>
      <c r="J252" s="131"/>
      <c r="K252" s="131"/>
      <c r="L252" s="131"/>
      <c r="M252" s="4059"/>
      <c r="N252" s="131"/>
      <c r="O252" s="131"/>
      <c r="P252" s="136"/>
    </row>
    <row r="253" spans="1:16">
      <c r="A253" s="131"/>
      <c r="B253" s="135"/>
      <c r="C253" s="131"/>
      <c r="D253" s="131"/>
      <c r="E253" s="131"/>
      <c r="F253" s="131"/>
      <c r="G253" s="136"/>
      <c r="H253" s="131"/>
      <c r="I253" s="131"/>
      <c r="J253" s="131"/>
      <c r="K253" s="131"/>
      <c r="L253" s="131"/>
      <c r="M253" s="4059"/>
      <c r="N253" s="131"/>
      <c r="O253" s="131"/>
      <c r="P253" s="136"/>
    </row>
    <row r="254" spans="1:16">
      <c r="A254" s="131"/>
      <c r="B254" s="135"/>
      <c r="C254" s="131"/>
      <c r="D254" s="131"/>
      <c r="E254" s="131"/>
      <c r="F254" s="131"/>
      <c r="G254" s="136"/>
      <c r="H254" s="131"/>
      <c r="I254" s="131"/>
      <c r="J254" s="131"/>
      <c r="K254" s="131"/>
      <c r="L254" s="131"/>
      <c r="M254" s="4059"/>
      <c r="N254" s="131"/>
      <c r="O254" s="131"/>
      <c r="P254" s="136"/>
    </row>
    <row r="255" spans="1:16">
      <c r="A255" s="131"/>
      <c r="B255" s="135"/>
      <c r="C255" s="131"/>
      <c r="D255" s="131"/>
      <c r="E255" s="131"/>
      <c r="F255" s="131"/>
      <c r="G255" s="136"/>
      <c r="H255" s="131"/>
      <c r="I255" s="131"/>
      <c r="J255" s="131"/>
      <c r="K255" s="131"/>
      <c r="L255" s="131"/>
      <c r="M255" s="4059"/>
      <c r="N255" s="131"/>
      <c r="O255" s="131"/>
      <c r="P255" s="136"/>
    </row>
    <row r="256" spans="1:16">
      <c r="A256" s="131"/>
      <c r="B256" s="135"/>
      <c r="C256" s="131"/>
      <c r="D256" s="131"/>
      <c r="E256" s="131"/>
      <c r="F256" s="131"/>
      <c r="G256" s="136"/>
      <c r="H256" s="131"/>
      <c r="I256" s="131"/>
      <c r="J256" s="131"/>
      <c r="K256" s="131"/>
      <c r="L256" s="131"/>
      <c r="M256" s="4059"/>
      <c r="N256" s="131"/>
      <c r="O256" s="131"/>
      <c r="P256" s="136"/>
    </row>
    <row r="257" spans="1:16">
      <c r="A257" s="131"/>
      <c r="B257" s="135"/>
      <c r="C257" s="131"/>
      <c r="D257" s="131"/>
      <c r="E257" s="131"/>
      <c r="F257" s="131"/>
      <c r="G257" s="136"/>
      <c r="H257" s="131"/>
      <c r="I257" s="131"/>
      <c r="J257" s="131"/>
      <c r="K257" s="131"/>
      <c r="L257" s="131"/>
      <c r="M257" s="4059"/>
      <c r="N257" s="131"/>
      <c r="O257" s="131"/>
      <c r="P257" s="136"/>
    </row>
    <row r="258" spans="1:16">
      <c r="A258" s="131"/>
      <c r="B258" s="135"/>
      <c r="C258" s="131"/>
      <c r="D258" s="131"/>
      <c r="E258" s="131"/>
      <c r="F258" s="131"/>
      <c r="G258" s="136"/>
      <c r="H258" s="131"/>
      <c r="I258" s="131"/>
      <c r="J258" s="131"/>
      <c r="K258" s="131"/>
      <c r="L258" s="131"/>
      <c r="M258" s="4059"/>
      <c r="N258" s="131"/>
      <c r="O258" s="131"/>
      <c r="P258" s="136"/>
    </row>
    <row r="259" spans="1:16">
      <c r="A259" s="131"/>
      <c r="B259" s="135"/>
      <c r="C259" s="131"/>
      <c r="D259" s="131"/>
      <c r="E259" s="131"/>
      <c r="F259" s="131"/>
      <c r="G259" s="136"/>
      <c r="H259" s="131"/>
      <c r="I259" s="131"/>
      <c r="J259" s="131"/>
      <c r="K259" s="131"/>
      <c r="L259" s="131"/>
      <c r="M259" s="4059"/>
      <c r="N259" s="131"/>
      <c r="O259" s="131"/>
      <c r="P259" s="136"/>
    </row>
    <row r="260" spans="1:16">
      <c r="A260" s="131"/>
      <c r="B260" s="135"/>
      <c r="C260" s="131"/>
      <c r="D260" s="131"/>
      <c r="E260" s="131"/>
      <c r="F260" s="131"/>
      <c r="G260" s="136"/>
      <c r="H260" s="131"/>
      <c r="I260" s="131"/>
      <c r="J260" s="131"/>
      <c r="K260" s="131"/>
      <c r="L260" s="131"/>
      <c r="M260" s="4059"/>
      <c r="N260" s="131"/>
      <c r="O260" s="131"/>
      <c r="P260" s="136"/>
    </row>
    <row r="261" spans="1:16">
      <c r="A261" s="131"/>
      <c r="B261" s="135"/>
      <c r="C261" s="131"/>
      <c r="D261" s="131"/>
      <c r="E261" s="131"/>
      <c r="F261" s="131"/>
      <c r="G261" s="136"/>
      <c r="H261" s="131"/>
      <c r="I261" s="131"/>
      <c r="J261" s="131"/>
      <c r="K261" s="131"/>
      <c r="L261" s="131"/>
      <c r="M261" s="4059"/>
      <c r="N261" s="131"/>
      <c r="O261" s="131"/>
      <c r="P261" s="136"/>
    </row>
    <row r="262" spans="1:16">
      <c r="A262" s="131"/>
      <c r="B262" s="135"/>
      <c r="C262" s="131"/>
      <c r="D262" s="131"/>
      <c r="E262" s="131"/>
      <c r="F262" s="131"/>
      <c r="G262" s="136"/>
      <c r="H262" s="131"/>
      <c r="I262" s="131"/>
      <c r="J262" s="131"/>
      <c r="K262" s="131"/>
      <c r="L262" s="131"/>
      <c r="M262" s="4059"/>
      <c r="N262" s="131"/>
      <c r="O262" s="131"/>
      <c r="P262" s="136"/>
    </row>
    <row r="263" spans="1:16">
      <c r="A263" s="131"/>
      <c r="B263" s="135"/>
      <c r="C263" s="131"/>
      <c r="D263" s="131"/>
      <c r="E263" s="131"/>
      <c r="F263" s="131"/>
      <c r="G263" s="136"/>
      <c r="H263" s="131"/>
      <c r="I263" s="131"/>
      <c r="J263" s="131"/>
      <c r="K263" s="131"/>
      <c r="L263" s="131"/>
      <c r="M263" s="4059"/>
      <c r="N263" s="131"/>
      <c r="O263" s="131"/>
      <c r="P263" s="136"/>
    </row>
    <row r="264" spans="1:16">
      <c r="A264" s="131"/>
      <c r="B264" s="135"/>
      <c r="C264" s="131"/>
      <c r="D264" s="131"/>
      <c r="E264" s="131"/>
      <c r="F264" s="131"/>
      <c r="G264" s="136"/>
      <c r="H264" s="131"/>
      <c r="I264" s="131"/>
      <c r="J264" s="131"/>
      <c r="K264" s="131"/>
      <c r="L264" s="131"/>
      <c r="M264" s="4059"/>
      <c r="N264" s="131"/>
      <c r="O264" s="131"/>
      <c r="P264" s="136"/>
    </row>
    <row r="265" spans="1:16">
      <c r="A265" s="131"/>
      <c r="B265" s="135"/>
      <c r="C265" s="131"/>
      <c r="D265" s="131"/>
      <c r="E265" s="131"/>
      <c r="F265" s="131"/>
      <c r="G265" s="136"/>
      <c r="H265" s="131"/>
      <c r="I265" s="131"/>
      <c r="J265" s="131"/>
      <c r="K265" s="131"/>
      <c r="L265" s="131"/>
      <c r="M265" s="4059"/>
      <c r="N265" s="131"/>
      <c r="O265" s="131"/>
      <c r="P265" s="136"/>
    </row>
    <row r="266" spans="1:16">
      <c r="A266" s="131"/>
      <c r="B266" s="135"/>
      <c r="C266" s="131"/>
      <c r="D266" s="131"/>
      <c r="E266" s="131"/>
      <c r="F266" s="131"/>
      <c r="G266" s="136"/>
      <c r="H266" s="131"/>
      <c r="I266" s="131"/>
      <c r="J266" s="131"/>
      <c r="K266" s="131"/>
      <c r="L266" s="131"/>
      <c r="M266" s="4059"/>
      <c r="N266" s="131"/>
      <c r="O266" s="131"/>
      <c r="P266" s="136"/>
    </row>
    <row r="267" spans="1:16">
      <c r="A267" s="131"/>
      <c r="B267" s="135"/>
      <c r="C267" s="131"/>
      <c r="D267" s="131"/>
      <c r="E267" s="131"/>
      <c r="F267" s="131"/>
      <c r="G267" s="136"/>
      <c r="H267" s="131"/>
      <c r="I267" s="131"/>
      <c r="J267" s="131"/>
      <c r="K267" s="131"/>
      <c r="L267" s="131"/>
      <c r="M267" s="4059"/>
      <c r="N267" s="131"/>
      <c r="O267" s="131"/>
      <c r="P267" s="136"/>
    </row>
    <row r="268" spans="1:16">
      <c r="A268" s="131"/>
      <c r="B268" s="135"/>
      <c r="C268" s="131"/>
      <c r="D268" s="131"/>
      <c r="E268" s="131"/>
      <c r="F268" s="131"/>
      <c r="G268" s="136"/>
      <c r="H268" s="131"/>
      <c r="I268" s="131"/>
      <c r="J268" s="131"/>
      <c r="K268" s="131"/>
      <c r="L268" s="131"/>
      <c r="M268" s="4059"/>
      <c r="N268" s="131"/>
      <c r="O268" s="131"/>
      <c r="P268" s="136"/>
    </row>
    <row r="269" spans="1:16">
      <c r="A269" s="131"/>
      <c r="B269" s="135"/>
      <c r="C269" s="131"/>
      <c r="D269" s="131"/>
      <c r="E269" s="131"/>
      <c r="F269" s="131"/>
      <c r="G269" s="136"/>
      <c r="H269" s="131"/>
      <c r="I269" s="131"/>
      <c r="J269" s="131"/>
      <c r="K269" s="131"/>
      <c r="L269" s="131"/>
      <c r="M269" s="4059"/>
      <c r="N269" s="131"/>
      <c r="O269" s="131"/>
      <c r="P269" s="136"/>
    </row>
    <row r="270" spans="1:16">
      <c r="A270" s="131"/>
      <c r="B270" s="135"/>
      <c r="C270" s="131"/>
      <c r="D270" s="131"/>
      <c r="E270" s="131"/>
      <c r="F270" s="131"/>
      <c r="G270" s="136"/>
      <c r="H270" s="131"/>
      <c r="I270" s="131"/>
      <c r="J270" s="131"/>
      <c r="K270" s="131"/>
      <c r="L270" s="131"/>
      <c r="M270" s="4059"/>
      <c r="N270" s="131"/>
      <c r="O270" s="131"/>
      <c r="P270" s="136"/>
    </row>
    <row r="271" spans="1:16">
      <c r="A271" s="131"/>
      <c r="B271" s="135"/>
      <c r="C271" s="131"/>
      <c r="D271" s="131"/>
      <c r="E271" s="131"/>
      <c r="F271" s="131"/>
      <c r="G271" s="136"/>
      <c r="H271" s="131"/>
      <c r="I271" s="131"/>
      <c r="J271" s="131"/>
      <c r="K271" s="131"/>
      <c r="L271" s="131"/>
      <c r="M271" s="4059"/>
      <c r="N271" s="131"/>
      <c r="O271" s="131"/>
      <c r="P271" s="136"/>
    </row>
    <row r="272" spans="1:16">
      <c r="A272" s="131"/>
      <c r="B272" s="135"/>
      <c r="C272" s="131"/>
      <c r="D272" s="131"/>
      <c r="E272" s="131"/>
      <c r="F272" s="131"/>
      <c r="G272" s="136"/>
      <c r="H272" s="131"/>
      <c r="I272" s="131"/>
      <c r="J272" s="131"/>
      <c r="K272" s="131"/>
      <c r="L272" s="131"/>
      <c r="M272" s="4059"/>
      <c r="N272" s="131"/>
      <c r="O272" s="131"/>
      <c r="P272" s="136"/>
    </row>
    <row r="273" spans="1:16">
      <c r="A273" s="131"/>
      <c r="B273" s="135"/>
      <c r="C273" s="131"/>
      <c r="D273" s="131"/>
      <c r="E273" s="131"/>
      <c r="F273" s="131"/>
      <c r="G273" s="136"/>
      <c r="H273" s="131"/>
      <c r="I273" s="131"/>
      <c r="J273" s="131"/>
      <c r="K273" s="131"/>
      <c r="L273" s="131"/>
      <c r="M273" s="4059"/>
      <c r="N273" s="131"/>
      <c r="O273" s="131"/>
      <c r="P273" s="136"/>
    </row>
    <row r="274" spans="1:16">
      <c r="A274" s="131"/>
      <c r="B274" s="135"/>
      <c r="C274" s="131"/>
      <c r="D274" s="131"/>
      <c r="E274" s="131"/>
      <c r="F274" s="131"/>
      <c r="G274" s="136"/>
      <c r="H274" s="131"/>
      <c r="I274" s="131"/>
      <c r="J274" s="131"/>
      <c r="K274" s="131"/>
      <c r="L274" s="131"/>
      <c r="M274" s="4059"/>
      <c r="N274" s="131"/>
      <c r="O274" s="131"/>
      <c r="P274" s="136"/>
    </row>
    <row r="275" spans="1:16">
      <c r="A275" s="131"/>
      <c r="B275" s="135"/>
      <c r="C275" s="131"/>
      <c r="D275" s="131"/>
      <c r="E275" s="131"/>
      <c r="F275" s="131"/>
      <c r="G275" s="136"/>
      <c r="H275" s="131"/>
      <c r="I275" s="131"/>
      <c r="J275" s="131"/>
      <c r="K275" s="131"/>
      <c r="L275" s="131"/>
      <c r="M275" s="4059"/>
      <c r="N275" s="131"/>
      <c r="O275" s="131"/>
      <c r="P275" s="136"/>
    </row>
    <row r="276" spans="1:16">
      <c r="A276" s="131"/>
      <c r="B276" s="135"/>
      <c r="C276" s="131"/>
      <c r="D276" s="131"/>
      <c r="E276" s="131"/>
      <c r="F276" s="131"/>
      <c r="G276" s="136"/>
      <c r="H276" s="131"/>
      <c r="I276" s="131"/>
      <c r="J276" s="131"/>
      <c r="K276" s="131"/>
      <c r="L276" s="131"/>
      <c r="M276" s="4059"/>
      <c r="N276" s="131"/>
      <c r="O276" s="131"/>
      <c r="P276" s="136"/>
    </row>
    <row r="277" spans="1:16">
      <c r="A277" s="131"/>
      <c r="B277" s="135"/>
      <c r="C277" s="131"/>
      <c r="D277" s="131"/>
      <c r="E277" s="131"/>
      <c r="F277" s="131"/>
      <c r="G277" s="136"/>
      <c r="H277" s="131"/>
      <c r="I277" s="131"/>
      <c r="J277" s="131"/>
      <c r="K277" s="131"/>
      <c r="L277" s="131"/>
      <c r="M277" s="4059"/>
      <c r="N277" s="131"/>
      <c r="O277" s="131"/>
      <c r="P277" s="136"/>
    </row>
    <row r="278" spans="1:16">
      <c r="A278" s="131"/>
      <c r="B278" s="135"/>
      <c r="C278" s="131"/>
      <c r="D278" s="131"/>
      <c r="E278" s="131"/>
      <c r="F278" s="131"/>
      <c r="G278" s="136"/>
      <c r="H278" s="131"/>
      <c r="I278" s="131"/>
      <c r="J278" s="131"/>
      <c r="K278" s="131"/>
      <c r="L278" s="131"/>
      <c r="M278" s="4059"/>
      <c r="N278" s="131"/>
      <c r="O278" s="131"/>
      <c r="P278" s="136"/>
    </row>
    <row r="279" spans="1:16">
      <c r="A279" s="131"/>
      <c r="B279" s="135"/>
      <c r="C279" s="131"/>
      <c r="D279" s="131"/>
      <c r="E279" s="131"/>
      <c r="F279" s="131"/>
      <c r="G279" s="136"/>
      <c r="H279" s="131"/>
      <c r="I279" s="131"/>
      <c r="J279" s="131"/>
      <c r="K279" s="131"/>
      <c r="L279" s="131"/>
      <c r="M279" s="4059"/>
      <c r="N279" s="131"/>
      <c r="O279" s="131"/>
      <c r="P279" s="136"/>
    </row>
    <row r="280" spans="1:16">
      <c r="A280" s="131"/>
      <c r="B280" s="135"/>
      <c r="C280" s="131"/>
      <c r="D280" s="131"/>
      <c r="E280" s="131"/>
      <c r="F280" s="131"/>
      <c r="G280" s="136"/>
      <c r="H280" s="131"/>
      <c r="I280" s="131"/>
      <c r="J280" s="131"/>
      <c r="K280" s="131"/>
      <c r="L280" s="131"/>
      <c r="M280" s="4059"/>
      <c r="N280" s="131"/>
      <c r="O280" s="131"/>
      <c r="P280" s="136"/>
    </row>
    <row r="281" spans="1:16">
      <c r="A281" s="131"/>
      <c r="B281" s="135"/>
      <c r="C281" s="131"/>
      <c r="D281" s="131"/>
      <c r="E281" s="131"/>
      <c r="F281" s="131"/>
      <c r="G281" s="136"/>
      <c r="H281" s="131"/>
      <c r="I281" s="131"/>
      <c r="J281" s="131"/>
      <c r="K281" s="131"/>
      <c r="L281" s="131"/>
      <c r="M281" s="4059"/>
      <c r="N281" s="131"/>
      <c r="O281" s="131"/>
      <c r="P281" s="136"/>
    </row>
    <row r="282" spans="1:16">
      <c r="A282" s="131"/>
      <c r="B282" s="135"/>
      <c r="C282" s="131"/>
      <c r="D282" s="131"/>
      <c r="E282" s="131"/>
      <c r="F282" s="131"/>
      <c r="G282" s="136"/>
      <c r="H282" s="131"/>
      <c r="I282" s="131"/>
      <c r="J282" s="131"/>
      <c r="K282" s="131"/>
      <c r="L282" s="131"/>
      <c r="M282" s="4059"/>
      <c r="N282" s="131"/>
      <c r="O282" s="131"/>
      <c r="P282" s="136"/>
    </row>
    <row r="283" spans="1:16">
      <c r="A283" s="131"/>
      <c r="B283" s="135"/>
      <c r="C283" s="131"/>
      <c r="D283" s="131"/>
      <c r="E283" s="131"/>
      <c r="F283" s="131"/>
      <c r="G283" s="136"/>
      <c r="H283" s="131"/>
      <c r="I283" s="131"/>
      <c r="J283" s="131"/>
      <c r="K283" s="131"/>
      <c r="L283" s="131"/>
      <c r="M283" s="4059"/>
      <c r="N283" s="131"/>
      <c r="O283" s="131"/>
      <c r="P283" s="136"/>
    </row>
    <row r="284" spans="1:16">
      <c r="A284" s="131"/>
      <c r="B284" s="135"/>
      <c r="C284" s="131"/>
      <c r="D284" s="131"/>
      <c r="E284" s="131"/>
      <c r="F284" s="131"/>
      <c r="G284" s="136"/>
      <c r="H284" s="131"/>
      <c r="I284" s="131"/>
      <c r="J284" s="131"/>
      <c r="K284" s="131"/>
      <c r="L284" s="131"/>
      <c r="M284" s="4059"/>
      <c r="N284" s="131"/>
      <c r="O284" s="131"/>
      <c r="P284" s="136"/>
    </row>
    <row r="285" spans="1:16">
      <c r="A285" s="131"/>
      <c r="B285" s="135"/>
      <c r="C285" s="131"/>
      <c r="D285" s="131"/>
      <c r="E285" s="131"/>
      <c r="F285" s="131"/>
      <c r="G285" s="136"/>
      <c r="H285" s="131"/>
      <c r="I285" s="131"/>
      <c r="J285" s="131"/>
      <c r="K285" s="131"/>
      <c r="L285" s="131"/>
      <c r="M285" s="4059"/>
      <c r="N285" s="131"/>
      <c r="O285" s="131"/>
      <c r="P285" s="136"/>
    </row>
    <row r="286" spans="1:16">
      <c r="A286" s="131"/>
      <c r="B286" s="135"/>
      <c r="C286" s="131"/>
      <c r="D286" s="131"/>
      <c r="E286" s="131"/>
      <c r="F286" s="131"/>
      <c r="G286" s="136"/>
      <c r="H286" s="131"/>
      <c r="I286" s="131"/>
      <c r="J286" s="131"/>
      <c r="K286" s="131"/>
      <c r="L286" s="131"/>
      <c r="M286" s="4059"/>
      <c r="N286" s="131"/>
      <c r="O286" s="131"/>
      <c r="P286" s="136"/>
    </row>
    <row r="287" spans="1:16">
      <c r="A287" s="131"/>
      <c r="B287" s="135"/>
      <c r="C287" s="131"/>
      <c r="D287" s="131"/>
      <c r="E287" s="131"/>
      <c r="F287" s="131"/>
      <c r="G287" s="136"/>
      <c r="H287" s="131"/>
      <c r="I287" s="131"/>
      <c r="J287" s="131"/>
      <c r="K287" s="131"/>
      <c r="L287" s="131"/>
      <c r="M287" s="4059"/>
      <c r="N287" s="131"/>
      <c r="O287" s="131"/>
      <c r="P287" s="136"/>
    </row>
    <row r="288" spans="1:16">
      <c r="A288" s="131"/>
      <c r="B288" s="135"/>
      <c r="C288" s="131"/>
      <c r="D288" s="131"/>
      <c r="E288" s="131"/>
      <c r="F288" s="131"/>
      <c r="G288" s="136"/>
      <c r="H288" s="131"/>
      <c r="I288" s="131"/>
      <c r="J288" s="131"/>
      <c r="K288" s="131"/>
      <c r="L288" s="131"/>
      <c r="M288" s="4059"/>
      <c r="N288" s="131"/>
      <c r="O288" s="131"/>
      <c r="P288" s="136"/>
    </row>
    <row r="289" spans="1:16">
      <c r="A289" s="131"/>
      <c r="B289" s="135"/>
      <c r="C289" s="131"/>
      <c r="D289" s="131"/>
      <c r="E289" s="131"/>
      <c r="F289" s="131"/>
      <c r="G289" s="136"/>
      <c r="H289" s="131"/>
      <c r="I289" s="131"/>
      <c r="J289" s="131"/>
      <c r="K289" s="131"/>
      <c r="L289" s="131"/>
      <c r="M289" s="4059"/>
      <c r="N289" s="131"/>
      <c r="O289" s="131"/>
      <c r="P289" s="136"/>
    </row>
    <row r="290" spans="1:16">
      <c r="A290" s="131"/>
      <c r="B290" s="135"/>
      <c r="C290" s="131"/>
      <c r="D290" s="131"/>
      <c r="E290" s="131"/>
      <c r="F290" s="131"/>
      <c r="G290" s="136"/>
      <c r="H290" s="131"/>
      <c r="I290" s="131"/>
      <c r="J290" s="131"/>
      <c r="K290" s="131"/>
      <c r="L290" s="131"/>
      <c r="M290" s="4059"/>
      <c r="N290" s="131"/>
      <c r="O290" s="131"/>
      <c r="P290" s="136"/>
    </row>
    <row r="291" spans="1:16">
      <c r="A291" s="131"/>
      <c r="B291" s="135"/>
      <c r="C291" s="131"/>
      <c r="D291" s="131"/>
      <c r="E291" s="131"/>
      <c r="F291" s="131"/>
      <c r="G291" s="136"/>
      <c r="H291" s="131"/>
      <c r="I291" s="131"/>
      <c r="J291" s="131"/>
      <c r="K291" s="131"/>
      <c r="L291" s="131"/>
      <c r="M291" s="4059"/>
      <c r="N291" s="131"/>
      <c r="O291" s="131"/>
      <c r="P291" s="136"/>
    </row>
    <row r="292" spans="1:16">
      <c r="A292" s="131"/>
      <c r="B292" s="135"/>
      <c r="C292" s="131"/>
      <c r="D292" s="131"/>
      <c r="E292" s="131"/>
      <c r="F292" s="131"/>
      <c r="G292" s="136"/>
      <c r="H292" s="131"/>
      <c r="I292" s="131"/>
      <c r="J292" s="131"/>
      <c r="K292" s="131"/>
      <c r="L292" s="131"/>
      <c r="M292" s="4059"/>
      <c r="N292" s="131"/>
      <c r="O292" s="131"/>
      <c r="P292" s="136"/>
    </row>
    <row r="293" spans="1:16">
      <c r="A293" s="131"/>
      <c r="B293" s="135"/>
      <c r="C293" s="131"/>
      <c r="D293" s="131"/>
      <c r="E293" s="131"/>
      <c r="F293" s="131"/>
      <c r="G293" s="136"/>
      <c r="H293" s="131"/>
      <c r="I293" s="131"/>
      <c r="J293" s="131"/>
      <c r="K293" s="131"/>
      <c r="L293" s="131"/>
      <c r="M293" s="4059"/>
      <c r="N293" s="131"/>
      <c r="O293" s="131"/>
      <c r="P293" s="136"/>
    </row>
    <row r="294" spans="1:16">
      <c r="A294" s="131"/>
      <c r="B294" s="135"/>
      <c r="C294" s="131"/>
      <c r="D294" s="131"/>
      <c r="E294" s="131"/>
      <c r="F294" s="131"/>
      <c r="G294" s="136"/>
      <c r="H294" s="131"/>
      <c r="I294" s="131"/>
      <c r="J294" s="131"/>
      <c r="K294" s="131"/>
      <c r="L294" s="131"/>
      <c r="M294" s="4059"/>
      <c r="N294" s="131"/>
      <c r="O294" s="131"/>
      <c r="P294" s="136"/>
    </row>
    <row r="295" spans="1:16">
      <c r="A295" s="131"/>
      <c r="B295" s="135"/>
      <c r="C295" s="131"/>
      <c r="D295" s="131"/>
      <c r="E295" s="131"/>
      <c r="F295" s="131"/>
      <c r="G295" s="136"/>
      <c r="H295" s="131"/>
      <c r="I295" s="131"/>
      <c r="J295" s="131"/>
      <c r="K295" s="131"/>
      <c r="L295" s="131"/>
      <c r="M295" s="4059"/>
      <c r="N295" s="131"/>
      <c r="O295" s="131"/>
      <c r="P295" s="136"/>
    </row>
    <row r="296" spans="1:16">
      <c r="A296" s="131"/>
      <c r="B296" s="135"/>
      <c r="C296" s="131"/>
      <c r="D296" s="131"/>
      <c r="E296" s="131"/>
      <c r="F296" s="131"/>
      <c r="G296" s="136"/>
      <c r="H296" s="131"/>
      <c r="I296" s="131"/>
      <c r="J296" s="131"/>
      <c r="K296" s="131"/>
      <c r="L296" s="131"/>
      <c r="M296" s="4059"/>
      <c r="N296" s="131"/>
      <c r="O296" s="131"/>
      <c r="P296" s="136"/>
    </row>
    <row r="297" spans="1:16">
      <c r="A297" s="131"/>
      <c r="B297" s="135"/>
      <c r="C297" s="131"/>
      <c r="D297" s="131"/>
      <c r="E297" s="131"/>
      <c r="F297" s="131"/>
      <c r="G297" s="136"/>
      <c r="H297" s="131"/>
      <c r="I297" s="131"/>
      <c r="J297" s="131"/>
      <c r="K297" s="131"/>
      <c r="L297" s="131"/>
      <c r="M297" s="4059"/>
      <c r="N297" s="131"/>
      <c r="O297" s="131"/>
      <c r="P297" s="136"/>
    </row>
    <row r="298" spans="1:16">
      <c r="A298" s="131"/>
      <c r="B298" s="135"/>
      <c r="C298" s="131"/>
      <c r="D298" s="131"/>
      <c r="E298" s="131"/>
      <c r="F298" s="131"/>
      <c r="G298" s="136"/>
      <c r="H298" s="131"/>
      <c r="I298" s="131"/>
      <c r="J298" s="131"/>
      <c r="K298" s="131"/>
      <c r="L298" s="131"/>
      <c r="M298" s="4059"/>
      <c r="N298" s="131"/>
      <c r="O298" s="131"/>
      <c r="P298" s="136"/>
    </row>
    <row r="299" spans="1:16">
      <c r="A299" s="131"/>
      <c r="B299" s="135"/>
      <c r="C299" s="131"/>
      <c r="D299" s="131"/>
      <c r="E299" s="131"/>
      <c r="F299" s="131"/>
      <c r="G299" s="136"/>
      <c r="H299" s="131"/>
      <c r="I299" s="131"/>
      <c r="J299" s="131"/>
      <c r="K299" s="131"/>
      <c r="L299" s="131"/>
      <c r="M299" s="4059"/>
      <c r="N299" s="131"/>
      <c r="O299" s="131"/>
      <c r="P299" s="136"/>
    </row>
    <row r="300" spans="1:16">
      <c r="A300" s="131"/>
      <c r="B300" s="135"/>
      <c r="C300" s="131"/>
      <c r="D300" s="131"/>
      <c r="E300" s="131"/>
      <c r="F300" s="131"/>
      <c r="G300" s="136"/>
      <c r="H300" s="131"/>
      <c r="I300" s="131"/>
      <c r="J300" s="131"/>
      <c r="K300" s="131"/>
      <c r="L300" s="131"/>
      <c r="M300" s="4059"/>
      <c r="N300" s="131"/>
      <c r="O300" s="131"/>
      <c r="P300" s="136"/>
    </row>
    <row r="301" spans="1:16">
      <c r="A301" s="131"/>
      <c r="B301" s="135"/>
      <c r="C301" s="131"/>
      <c r="D301" s="131"/>
      <c r="E301" s="131"/>
      <c r="F301" s="131"/>
      <c r="G301" s="136"/>
      <c r="H301" s="131"/>
      <c r="I301" s="131"/>
      <c r="J301" s="131"/>
      <c r="K301" s="131"/>
      <c r="L301" s="131"/>
      <c r="M301" s="4059"/>
      <c r="N301" s="131"/>
      <c r="O301" s="131"/>
      <c r="P301" s="136"/>
    </row>
    <row r="302" spans="1:16">
      <c r="A302" s="131"/>
      <c r="B302" s="135"/>
      <c r="C302" s="131"/>
      <c r="D302" s="131"/>
      <c r="E302" s="131"/>
      <c r="F302" s="131"/>
      <c r="G302" s="136"/>
      <c r="H302" s="131"/>
      <c r="I302" s="131"/>
      <c r="J302" s="131"/>
      <c r="K302" s="131"/>
      <c r="L302" s="131"/>
      <c r="M302" s="4059"/>
      <c r="N302" s="131"/>
      <c r="O302" s="131"/>
      <c r="P302" s="136"/>
    </row>
    <row r="303" spans="1:16">
      <c r="A303" s="131"/>
      <c r="B303" s="135"/>
      <c r="C303" s="131"/>
      <c r="D303" s="131"/>
      <c r="E303" s="131"/>
      <c r="F303" s="131"/>
      <c r="G303" s="136"/>
      <c r="H303" s="131"/>
      <c r="I303" s="131"/>
      <c r="J303" s="131"/>
      <c r="K303" s="131"/>
      <c r="L303" s="131"/>
      <c r="M303" s="4059"/>
      <c r="N303" s="131"/>
      <c r="O303" s="131"/>
      <c r="P303" s="136"/>
    </row>
    <row r="304" spans="1:16">
      <c r="A304" s="131"/>
      <c r="B304" s="135"/>
      <c r="C304" s="131"/>
      <c r="D304" s="131"/>
      <c r="E304" s="131"/>
      <c r="F304" s="131"/>
      <c r="G304" s="136"/>
      <c r="H304" s="131"/>
      <c r="I304" s="131"/>
      <c r="J304" s="131"/>
      <c r="K304" s="131"/>
      <c r="L304" s="131"/>
      <c r="M304" s="4059"/>
      <c r="N304" s="131"/>
      <c r="O304" s="131"/>
      <c r="P304" s="136"/>
    </row>
    <row r="305" spans="1:16">
      <c r="A305" s="131"/>
      <c r="B305" s="135"/>
      <c r="C305" s="131"/>
      <c r="D305" s="131"/>
      <c r="E305" s="131"/>
      <c r="F305" s="131"/>
      <c r="G305" s="136"/>
      <c r="H305" s="131"/>
      <c r="I305" s="131"/>
      <c r="J305" s="131"/>
      <c r="K305" s="131"/>
      <c r="L305" s="131"/>
      <c r="M305" s="4059"/>
      <c r="N305" s="131"/>
      <c r="O305" s="131"/>
      <c r="P305" s="136"/>
    </row>
    <row r="306" spans="1:16">
      <c r="A306" s="131"/>
      <c r="B306" s="135"/>
      <c r="C306" s="131"/>
      <c r="D306" s="131"/>
      <c r="E306" s="131"/>
      <c r="F306" s="131"/>
      <c r="G306" s="136"/>
      <c r="H306" s="131"/>
      <c r="I306" s="131"/>
      <c r="J306" s="131"/>
      <c r="K306" s="131"/>
      <c r="L306" s="131"/>
      <c r="M306" s="4059"/>
      <c r="N306" s="131"/>
      <c r="O306" s="131"/>
      <c r="P306" s="136"/>
    </row>
    <row r="307" spans="1:16">
      <c r="A307" s="131"/>
      <c r="B307" s="135"/>
      <c r="C307" s="131"/>
      <c r="D307" s="131"/>
      <c r="E307" s="131"/>
      <c r="F307" s="131"/>
      <c r="G307" s="136"/>
      <c r="H307" s="131"/>
      <c r="I307" s="131"/>
      <c r="J307" s="131"/>
      <c r="K307" s="131"/>
      <c r="L307" s="131"/>
      <c r="M307" s="4059"/>
      <c r="N307" s="131"/>
      <c r="O307" s="131"/>
      <c r="P307" s="136"/>
    </row>
    <row r="308" spans="1:16">
      <c r="A308" s="131"/>
      <c r="B308" s="135"/>
      <c r="C308" s="131"/>
      <c r="D308" s="131"/>
      <c r="E308" s="131"/>
      <c r="F308" s="131"/>
      <c r="G308" s="136"/>
      <c r="H308" s="131"/>
      <c r="I308" s="131"/>
      <c r="J308" s="131"/>
      <c r="K308" s="131"/>
      <c r="L308" s="131"/>
      <c r="M308" s="4059"/>
      <c r="N308" s="131"/>
      <c r="O308" s="131"/>
      <c r="P308" s="136"/>
    </row>
    <row r="309" spans="1:16">
      <c r="A309" s="131"/>
      <c r="B309" s="135"/>
      <c r="C309" s="131"/>
      <c r="D309" s="131"/>
      <c r="E309" s="131"/>
      <c r="F309" s="131"/>
      <c r="G309" s="136"/>
      <c r="H309" s="131"/>
      <c r="I309" s="131"/>
      <c r="J309" s="131"/>
      <c r="K309" s="131"/>
      <c r="L309" s="131"/>
      <c r="M309" s="4059"/>
      <c r="N309" s="131"/>
      <c r="O309" s="131"/>
      <c r="P309" s="136"/>
    </row>
    <row r="310" spans="1:16">
      <c r="A310" s="131"/>
      <c r="B310" s="135"/>
      <c r="C310" s="131"/>
      <c r="D310" s="131"/>
      <c r="E310" s="131"/>
      <c r="F310" s="131"/>
      <c r="G310" s="136"/>
      <c r="H310" s="131"/>
      <c r="I310" s="131"/>
      <c r="J310" s="131"/>
      <c r="K310" s="131"/>
      <c r="L310" s="131"/>
      <c r="M310" s="4059"/>
      <c r="N310" s="131"/>
      <c r="O310" s="131"/>
      <c r="P310" s="136"/>
    </row>
    <row r="311" spans="1:16">
      <c r="A311" s="131"/>
      <c r="B311" s="135"/>
      <c r="C311" s="131"/>
      <c r="D311" s="131"/>
      <c r="E311" s="131"/>
      <c r="F311" s="131"/>
      <c r="G311" s="136"/>
      <c r="H311" s="131"/>
      <c r="I311" s="131"/>
      <c r="J311" s="131"/>
      <c r="K311" s="131"/>
      <c r="L311" s="131"/>
      <c r="M311" s="4059"/>
      <c r="N311" s="131"/>
      <c r="O311" s="131"/>
      <c r="P311" s="136"/>
    </row>
    <row r="312" spans="1:16">
      <c r="A312" s="131"/>
      <c r="B312" s="135"/>
      <c r="C312" s="131"/>
      <c r="D312" s="131"/>
      <c r="E312" s="131"/>
      <c r="F312" s="131"/>
      <c r="G312" s="136"/>
      <c r="H312" s="131"/>
      <c r="I312" s="131"/>
      <c r="J312" s="131"/>
      <c r="K312" s="131"/>
      <c r="L312" s="131"/>
      <c r="M312" s="4059"/>
      <c r="N312" s="131"/>
      <c r="O312" s="131"/>
      <c r="P312" s="136"/>
    </row>
    <row r="313" spans="1:16">
      <c r="A313" s="131"/>
      <c r="B313" s="135"/>
      <c r="C313" s="131"/>
      <c r="D313" s="131"/>
      <c r="E313" s="131"/>
      <c r="F313" s="131"/>
      <c r="G313" s="136"/>
      <c r="H313" s="131"/>
      <c r="I313" s="131"/>
      <c r="J313" s="131"/>
      <c r="K313" s="131"/>
      <c r="L313" s="131"/>
      <c r="M313" s="4059"/>
      <c r="N313" s="131"/>
      <c r="O313" s="131"/>
      <c r="P313" s="136"/>
    </row>
    <row r="314" spans="1:16">
      <c r="A314" s="131"/>
      <c r="B314" s="135"/>
      <c r="C314" s="131"/>
      <c r="D314" s="131"/>
      <c r="E314" s="131"/>
      <c r="F314" s="131"/>
      <c r="G314" s="136"/>
      <c r="H314" s="131"/>
      <c r="I314" s="131"/>
      <c r="J314" s="131"/>
      <c r="K314" s="131"/>
      <c r="L314" s="131"/>
      <c r="M314" s="4059"/>
      <c r="N314" s="131"/>
      <c r="O314" s="131"/>
      <c r="P314" s="136"/>
    </row>
    <row r="315" spans="1:16">
      <c r="A315" s="131"/>
      <c r="B315" s="135"/>
      <c r="C315" s="131"/>
      <c r="D315" s="131"/>
      <c r="E315" s="131"/>
      <c r="F315" s="131"/>
      <c r="G315" s="136"/>
      <c r="H315" s="131"/>
      <c r="I315" s="131"/>
      <c r="J315" s="131"/>
      <c r="K315" s="131"/>
      <c r="L315" s="131"/>
      <c r="M315" s="4059"/>
      <c r="N315" s="131"/>
      <c r="O315" s="131"/>
      <c r="P315" s="136"/>
    </row>
    <row r="316" spans="1:16">
      <c r="A316" s="131"/>
      <c r="B316" s="135"/>
      <c r="C316" s="131"/>
      <c r="D316" s="131"/>
      <c r="E316" s="131"/>
      <c r="F316" s="131"/>
      <c r="G316" s="136"/>
      <c r="H316" s="131"/>
      <c r="I316" s="131"/>
      <c r="J316" s="131"/>
      <c r="K316" s="131"/>
      <c r="L316" s="131"/>
      <c r="M316" s="4059"/>
      <c r="N316" s="131"/>
      <c r="O316" s="131"/>
      <c r="P316" s="136"/>
    </row>
    <row r="317" spans="1:16">
      <c r="A317" s="131"/>
      <c r="B317" s="135"/>
      <c r="C317" s="131"/>
      <c r="D317" s="131"/>
      <c r="E317" s="131"/>
      <c r="F317" s="131"/>
      <c r="G317" s="136"/>
      <c r="H317" s="131"/>
      <c r="I317" s="131"/>
      <c r="J317" s="131"/>
      <c r="K317" s="131"/>
      <c r="L317" s="131"/>
      <c r="M317" s="4059"/>
      <c r="N317" s="131"/>
      <c r="O317" s="131"/>
      <c r="P317" s="136"/>
    </row>
    <row r="318" spans="1:16">
      <c r="A318" s="131"/>
      <c r="B318" s="135"/>
      <c r="C318" s="131"/>
      <c r="D318" s="131"/>
      <c r="E318" s="131"/>
      <c r="F318" s="131"/>
      <c r="G318" s="136"/>
      <c r="H318" s="131"/>
      <c r="I318" s="131"/>
      <c r="J318" s="131"/>
      <c r="K318" s="131"/>
      <c r="L318" s="131"/>
      <c r="M318" s="4059"/>
      <c r="N318" s="131"/>
      <c r="O318" s="131"/>
      <c r="P318" s="136"/>
    </row>
    <row r="319" spans="1:16">
      <c r="A319" s="131"/>
      <c r="B319" s="135"/>
      <c r="C319" s="131"/>
      <c r="D319" s="131"/>
      <c r="E319" s="131"/>
      <c r="F319" s="131"/>
      <c r="G319" s="136"/>
      <c r="H319" s="131"/>
      <c r="I319" s="131"/>
      <c r="J319" s="131"/>
      <c r="K319" s="131"/>
      <c r="L319" s="131"/>
      <c r="M319" s="4059"/>
      <c r="N319" s="131"/>
      <c r="O319" s="131"/>
      <c r="P319" s="136"/>
    </row>
    <row r="320" spans="1:16">
      <c r="A320" s="131"/>
      <c r="B320" s="135"/>
      <c r="C320" s="131"/>
      <c r="D320" s="131"/>
      <c r="E320" s="131"/>
      <c r="F320" s="131"/>
      <c r="G320" s="136"/>
      <c r="H320" s="131"/>
      <c r="I320" s="131"/>
      <c r="J320" s="131"/>
      <c r="K320" s="131"/>
      <c r="L320" s="131"/>
      <c r="M320" s="4059"/>
      <c r="N320" s="131"/>
      <c r="O320" s="131"/>
      <c r="P320" s="136"/>
    </row>
    <row r="321" spans="1:16">
      <c r="A321" s="131"/>
      <c r="B321" s="135"/>
      <c r="C321" s="131"/>
      <c r="D321" s="131"/>
      <c r="E321" s="131"/>
      <c r="F321" s="131"/>
      <c r="G321" s="136"/>
      <c r="H321" s="131"/>
      <c r="I321" s="131"/>
      <c r="J321" s="131"/>
      <c r="K321" s="131"/>
      <c r="L321" s="131"/>
      <c r="M321" s="4059"/>
      <c r="N321" s="131"/>
      <c r="O321" s="131"/>
      <c r="P321" s="136"/>
    </row>
    <row r="322" spans="1:16">
      <c r="A322" s="131"/>
      <c r="B322" s="135"/>
      <c r="C322" s="131"/>
      <c r="D322" s="131"/>
      <c r="E322" s="131"/>
      <c r="F322" s="131"/>
      <c r="G322" s="136"/>
      <c r="H322" s="131"/>
      <c r="I322" s="131"/>
      <c r="J322" s="131"/>
      <c r="K322" s="131"/>
      <c r="L322" s="131"/>
      <c r="M322" s="4059"/>
      <c r="N322" s="131"/>
      <c r="O322" s="131"/>
      <c r="P322" s="136"/>
    </row>
    <row r="323" spans="1:16">
      <c r="A323" s="131"/>
      <c r="B323" s="135"/>
      <c r="C323" s="131"/>
      <c r="D323" s="131"/>
      <c r="E323" s="131"/>
      <c r="F323" s="131"/>
      <c r="G323" s="136"/>
      <c r="H323" s="131"/>
      <c r="I323" s="131"/>
      <c r="J323" s="131"/>
      <c r="K323" s="131"/>
      <c r="L323" s="131"/>
      <c r="M323" s="4059"/>
      <c r="N323" s="131"/>
      <c r="O323" s="131"/>
      <c r="P323" s="136"/>
    </row>
    <row r="324" spans="1:16">
      <c r="A324" s="131"/>
      <c r="B324" s="135"/>
      <c r="C324" s="131"/>
      <c r="D324" s="131"/>
      <c r="E324" s="131"/>
      <c r="F324" s="131"/>
      <c r="G324" s="136"/>
      <c r="H324" s="131"/>
      <c r="I324" s="131"/>
      <c r="J324" s="131"/>
      <c r="K324" s="131"/>
      <c r="L324" s="131"/>
      <c r="M324" s="4059"/>
      <c r="N324" s="131"/>
      <c r="O324" s="131"/>
      <c r="P324" s="136"/>
    </row>
    <row r="325" spans="1:16">
      <c r="A325" s="131"/>
      <c r="B325" s="135"/>
      <c r="C325" s="131"/>
      <c r="D325" s="131"/>
      <c r="E325" s="131"/>
      <c r="F325" s="131"/>
      <c r="G325" s="136"/>
      <c r="H325" s="131"/>
      <c r="I325" s="131"/>
      <c r="J325" s="131"/>
      <c r="K325" s="131"/>
      <c r="L325" s="131"/>
      <c r="M325" s="4059"/>
      <c r="N325" s="131"/>
      <c r="O325" s="131"/>
      <c r="P325" s="136"/>
    </row>
    <row r="326" spans="1:16">
      <c r="A326" s="131"/>
      <c r="B326" s="135"/>
      <c r="C326" s="131"/>
      <c r="D326" s="131"/>
      <c r="E326" s="131"/>
      <c r="F326" s="131"/>
      <c r="G326" s="136"/>
      <c r="H326" s="131"/>
      <c r="I326" s="131"/>
      <c r="J326" s="131"/>
      <c r="K326" s="131"/>
      <c r="L326" s="131"/>
      <c r="M326" s="4059"/>
      <c r="N326" s="131"/>
      <c r="O326" s="131"/>
      <c r="P326" s="136"/>
    </row>
    <row r="327" spans="1:16">
      <c r="A327" s="131"/>
      <c r="B327" s="135"/>
      <c r="C327" s="131"/>
      <c r="D327" s="131"/>
      <c r="E327" s="131"/>
      <c r="F327" s="131"/>
      <c r="G327" s="136"/>
      <c r="H327" s="131"/>
      <c r="I327" s="131"/>
      <c r="J327" s="131"/>
      <c r="K327" s="131"/>
      <c r="L327" s="131"/>
      <c r="M327" s="4059"/>
      <c r="N327" s="131"/>
      <c r="O327" s="131"/>
      <c r="P327" s="136"/>
    </row>
    <row r="328" spans="1:16">
      <c r="A328" s="131"/>
      <c r="B328" s="135"/>
      <c r="C328" s="131"/>
      <c r="D328" s="131"/>
      <c r="E328" s="131"/>
      <c r="F328" s="131"/>
      <c r="G328" s="136"/>
      <c r="H328" s="131"/>
      <c r="I328" s="131"/>
      <c r="J328" s="131"/>
      <c r="K328" s="131"/>
      <c r="L328" s="131"/>
      <c r="M328" s="4059"/>
      <c r="N328" s="131"/>
      <c r="O328" s="131"/>
      <c r="P328" s="136"/>
    </row>
    <row r="329" spans="1:16">
      <c r="A329" s="131"/>
      <c r="B329" s="135"/>
      <c r="C329" s="131"/>
      <c r="D329" s="131"/>
      <c r="E329" s="131"/>
      <c r="F329" s="131"/>
      <c r="G329" s="136"/>
      <c r="H329" s="131"/>
      <c r="I329" s="131"/>
      <c r="J329" s="131"/>
      <c r="K329" s="131"/>
      <c r="L329" s="131"/>
      <c r="M329" s="4059"/>
      <c r="N329" s="131"/>
      <c r="O329" s="131"/>
      <c r="P329" s="136"/>
    </row>
    <row r="330" spans="1:16">
      <c r="A330" s="131"/>
      <c r="B330" s="135"/>
      <c r="C330" s="131"/>
      <c r="D330" s="131"/>
      <c r="E330" s="131"/>
      <c r="F330" s="131"/>
      <c r="G330" s="136"/>
      <c r="H330" s="131"/>
      <c r="I330" s="131"/>
      <c r="J330" s="131"/>
      <c r="K330" s="131"/>
      <c r="L330" s="131"/>
      <c r="M330" s="4059"/>
      <c r="N330" s="131"/>
      <c r="O330" s="131"/>
      <c r="P330" s="136"/>
    </row>
    <row r="331" spans="1:16">
      <c r="A331" s="131"/>
      <c r="B331" s="135"/>
      <c r="C331" s="131"/>
      <c r="D331" s="131"/>
      <c r="E331" s="131"/>
      <c r="F331" s="131"/>
      <c r="G331" s="136"/>
      <c r="H331" s="131"/>
      <c r="I331" s="131"/>
      <c r="J331" s="131"/>
      <c r="K331" s="131"/>
      <c r="L331" s="131"/>
      <c r="M331" s="4059"/>
      <c r="N331" s="131"/>
      <c r="O331" s="131"/>
      <c r="P331" s="136"/>
    </row>
    <row r="332" spans="1:16">
      <c r="A332" s="131"/>
      <c r="B332" s="135"/>
      <c r="C332" s="131"/>
      <c r="D332" s="131"/>
      <c r="E332" s="131"/>
      <c r="F332" s="131"/>
      <c r="G332" s="136"/>
      <c r="H332" s="131"/>
      <c r="I332" s="131"/>
      <c r="J332" s="131"/>
      <c r="K332" s="131"/>
      <c r="L332" s="131"/>
      <c r="M332" s="4059"/>
      <c r="N332" s="131"/>
      <c r="O332" s="131"/>
      <c r="P332" s="136"/>
    </row>
    <row r="333" spans="1:16">
      <c r="A333" s="131"/>
      <c r="B333" s="135"/>
      <c r="C333" s="131"/>
      <c r="D333" s="131"/>
      <c r="E333" s="131"/>
      <c r="F333" s="131"/>
      <c r="G333" s="136"/>
      <c r="H333" s="131"/>
      <c r="I333" s="131"/>
      <c r="J333" s="131"/>
      <c r="K333" s="131"/>
      <c r="L333" s="131"/>
      <c r="M333" s="4059"/>
      <c r="N333" s="131"/>
      <c r="O333" s="131"/>
      <c r="P333" s="136"/>
    </row>
    <row r="334" spans="1:16">
      <c r="A334" s="131"/>
      <c r="B334" s="135"/>
      <c r="C334" s="131"/>
      <c r="D334" s="131"/>
      <c r="E334" s="131"/>
      <c r="F334" s="131"/>
      <c r="G334" s="136"/>
      <c r="H334" s="131"/>
      <c r="I334" s="131"/>
      <c r="J334" s="131"/>
      <c r="K334" s="131"/>
      <c r="L334" s="131"/>
      <c r="M334" s="4059"/>
      <c r="N334" s="131"/>
      <c r="O334" s="131"/>
      <c r="P334" s="136"/>
    </row>
    <row r="335" spans="1:16">
      <c r="A335" s="131"/>
      <c r="B335" s="135"/>
      <c r="C335" s="131"/>
      <c r="D335" s="131"/>
      <c r="E335" s="131"/>
      <c r="F335" s="131"/>
      <c r="G335" s="136"/>
      <c r="H335" s="131"/>
      <c r="I335" s="131"/>
      <c r="J335" s="131"/>
      <c r="K335" s="131"/>
      <c r="L335" s="131"/>
      <c r="M335" s="4059"/>
      <c r="N335" s="131"/>
      <c r="O335" s="131"/>
      <c r="P335" s="136"/>
    </row>
    <row r="336" spans="1:16">
      <c r="A336" s="131"/>
      <c r="B336" s="135"/>
      <c r="C336" s="131"/>
      <c r="D336" s="131"/>
      <c r="E336" s="131"/>
      <c r="F336" s="131"/>
      <c r="G336" s="136"/>
      <c r="H336" s="131"/>
      <c r="I336" s="131"/>
      <c r="J336" s="131"/>
      <c r="K336" s="131"/>
      <c r="L336" s="131"/>
      <c r="M336" s="4059"/>
      <c r="N336" s="131"/>
      <c r="O336" s="131"/>
      <c r="P336" s="136"/>
    </row>
    <row r="337" spans="1:16">
      <c r="A337" s="131"/>
      <c r="B337" s="135"/>
      <c r="C337" s="131"/>
      <c r="D337" s="131"/>
      <c r="E337" s="131"/>
      <c r="F337" s="131"/>
      <c r="G337" s="136"/>
      <c r="H337" s="131"/>
      <c r="I337" s="131"/>
      <c r="J337" s="131"/>
      <c r="K337" s="131"/>
      <c r="L337" s="131"/>
      <c r="M337" s="4059"/>
      <c r="N337" s="131"/>
      <c r="O337" s="131"/>
      <c r="P337" s="136"/>
    </row>
    <row r="338" spans="1:16">
      <c r="A338" s="131"/>
      <c r="B338" s="135"/>
      <c r="C338" s="131"/>
      <c r="D338" s="131"/>
      <c r="E338" s="131"/>
      <c r="F338" s="131"/>
      <c r="G338" s="136"/>
      <c r="H338" s="131"/>
      <c r="I338" s="131"/>
      <c r="J338" s="131"/>
      <c r="K338" s="131"/>
      <c r="L338" s="131"/>
      <c r="M338" s="4059"/>
      <c r="N338" s="131"/>
      <c r="O338" s="131"/>
      <c r="P338" s="136"/>
    </row>
    <row r="339" spans="1:16">
      <c r="A339" s="131"/>
      <c r="B339" s="135"/>
      <c r="C339" s="131"/>
      <c r="D339" s="131"/>
      <c r="E339" s="131"/>
      <c r="F339" s="131"/>
      <c r="G339" s="136"/>
      <c r="H339" s="131"/>
      <c r="I339" s="131"/>
      <c r="J339" s="131"/>
      <c r="K339" s="131"/>
      <c r="L339" s="131"/>
      <c r="M339" s="4059"/>
      <c r="N339" s="131"/>
      <c r="O339" s="131"/>
      <c r="P339" s="136"/>
    </row>
    <row r="340" spans="1:16">
      <c r="A340" s="131"/>
      <c r="B340" s="135"/>
      <c r="C340" s="131"/>
      <c r="D340" s="131"/>
      <c r="E340" s="131"/>
      <c r="F340" s="131"/>
      <c r="G340" s="136"/>
      <c r="H340" s="131"/>
      <c r="I340" s="131"/>
      <c r="J340" s="131"/>
      <c r="K340" s="131"/>
      <c r="L340" s="131"/>
      <c r="M340" s="4059"/>
      <c r="N340" s="131"/>
      <c r="O340" s="131"/>
      <c r="P340" s="136"/>
    </row>
    <row r="341" spans="1:16">
      <c r="A341" s="131"/>
      <c r="B341" s="135"/>
      <c r="C341" s="131"/>
      <c r="D341" s="131"/>
      <c r="E341" s="131"/>
      <c r="F341" s="131"/>
      <c r="G341" s="136"/>
      <c r="H341" s="131"/>
      <c r="I341" s="131"/>
      <c r="J341" s="131"/>
      <c r="K341" s="131"/>
      <c r="L341" s="131"/>
      <c r="M341" s="4059"/>
      <c r="N341" s="131"/>
      <c r="O341" s="131"/>
      <c r="P341" s="136"/>
    </row>
    <row r="342" spans="1:16">
      <c r="A342" s="131"/>
      <c r="B342" s="135"/>
      <c r="C342" s="131"/>
      <c r="D342" s="131"/>
      <c r="E342" s="131"/>
      <c r="F342" s="131"/>
      <c r="G342" s="136"/>
      <c r="H342" s="131"/>
      <c r="I342" s="131"/>
      <c r="J342" s="131"/>
      <c r="K342" s="131"/>
      <c r="L342" s="131"/>
      <c r="M342" s="4059"/>
      <c r="N342" s="131"/>
      <c r="O342" s="131"/>
      <c r="P342" s="136"/>
    </row>
    <row r="343" spans="1:16">
      <c r="A343" s="131"/>
      <c r="B343" s="135"/>
      <c r="C343" s="131"/>
      <c r="D343" s="131"/>
      <c r="E343" s="131"/>
      <c r="F343" s="131"/>
      <c r="G343" s="136"/>
      <c r="H343" s="131"/>
      <c r="I343" s="131"/>
      <c r="J343" s="131"/>
      <c r="K343" s="131"/>
      <c r="L343" s="131"/>
      <c r="M343" s="4059"/>
      <c r="N343" s="131"/>
      <c r="O343" s="131"/>
      <c r="P343" s="136"/>
    </row>
    <row r="344" spans="1:16">
      <c r="A344" s="131"/>
      <c r="B344" s="135"/>
      <c r="C344" s="131"/>
      <c r="D344" s="131"/>
      <c r="E344" s="131"/>
      <c r="F344" s="131"/>
      <c r="G344" s="136"/>
      <c r="H344" s="131"/>
      <c r="I344" s="131"/>
      <c r="J344" s="131"/>
      <c r="K344" s="131"/>
      <c r="L344" s="131"/>
      <c r="M344" s="4059"/>
      <c r="N344" s="131"/>
      <c r="O344" s="131"/>
      <c r="P344" s="136"/>
    </row>
    <row r="345" spans="1:16">
      <c r="A345" s="131"/>
      <c r="B345" s="135"/>
      <c r="C345" s="131"/>
      <c r="D345" s="131"/>
      <c r="E345" s="131"/>
      <c r="F345" s="131"/>
      <c r="G345" s="136"/>
      <c r="H345" s="131"/>
      <c r="I345" s="131"/>
      <c r="J345" s="131"/>
      <c r="K345" s="131"/>
      <c r="L345" s="131"/>
      <c r="M345" s="4059"/>
      <c r="N345" s="131"/>
      <c r="O345" s="131"/>
      <c r="P345" s="136"/>
    </row>
    <row r="346" spans="1:16">
      <c r="A346" s="131"/>
      <c r="B346" s="135"/>
      <c r="C346" s="131"/>
      <c r="D346" s="131"/>
      <c r="E346" s="131"/>
      <c r="F346" s="131"/>
      <c r="G346" s="136"/>
      <c r="H346" s="131"/>
      <c r="I346" s="131"/>
      <c r="J346" s="131"/>
      <c r="K346" s="131"/>
      <c r="L346" s="131"/>
      <c r="M346" s="4059"/>
      <c r="N346" s="131"/>
      <c r="O346" s="131"/>
      <c r="P346" s="136"/>
    </row>
    <row r="347" spans="1:16">
      <c r="A347" s="131"/>
      <c r="B347" s="135"/>
      <c r="C347" s="131"/>
      <c r="D347" s="131"/>
      <c r="E347" s="131"/>
      <c r="F347" s="131"/>
      <c r="G347" s="136"/>
      <c r="H347" s="131"/>
      <c r="I347" s="131"/>
      <c r="J347" s="131"/>
      <c r="K347" s="131"/>
      <c r="L347" s="131"/>
      <c r="M347" s="4059"/>
      <c r="N347" s="131"/>
      <c r="O347" s="131"/>
      <c r="P347" s="136"/>
    </row>
    <row r="348" spans="1:16">
      <c r="A348" s="131"/>
      <c r="B348" s="135"/>
      <c r="C348" s="131"/>
      <c r="D348" s="131"/>
      <c r="E348" s="131"/>
      <c r="F348" s="131"/>
      <c r="G348" s="136"/>
      <c r="H348" s="131"/>
      <c r="I348" s="131"/>
      <c r="J348" s="131"/>
      <c r="K348" s="131"/>
      <c r="L348" s="131"/>
      <c r="M348" s="4059"/>
      <c r="N348" s="131"/>
      <c r="O348" s="131"/>
      <c r="P348" s="136"/>
    </row>
    <row r="349" spans="1:16">
      <c r="A349" s="131"/>
      <c r="B349" s="135"/>
      <c r="C349" s="131"/>
      <c r="D349" s="131"/>
      <c r="E349" s="131"/>
      <c r="F349" s="131"/>
      <c r="G349" s="136"/>
      <c r="H349" s="131"/>
      <c r="I349" s="131"/>
      <c r="J349" s="131"/>
      <c r="K349" s="131"/>
      <c r="L349" s="131"/>
      <c r="M349" s="4059"/>
      <c r="N349" s="131"/>
      <c r="O349" s="131"/>
      <c r="P349" s="136"/>
    </row>
    <row r="350" spans="1:16">
      <c r="A350" s="131"/>
      <c r="B350" s="135"/>
      <c r="C350" s="131"/>
      <c r="D350" s="131"/>
      <c r="E350" s="131"/>
      <c r="F350" s="131"/>
      <c r="G350" s="136"/>
      <c r="H350" s="131"/>
      <c r="I350" s="131"/>
      <c r="J350" s="131"/>
      <c r="K350" s="131"/>
      <c r="L350" s="131"/>
      <c r="M350" s="4059"/>
      <c r="N350" s="131"/>
      <c r="O350" s="131"/>
      <c r="P350" s="136"/>
    </row>
    <row r="351" spans="1:16">
      <c r="A351" s="131"/>
      <c r="B351" s="135"/>
      <c r="C351" s="131"/>
      <c r="D351" s="131"/>
      <c r="E351" s="131"/>
      <c r="F351" s="131"/>
      <c r="G351" s="136"/>
      <c r="H351" s="131"/>
      <c r="I351" s="131"/>
      <c r="J351" s="131"/>
      <c r="K351" s="131"/>
      <c r="L351" s="131"/>
      <c r="M351" s="4059"/>
      <c r="N351" s="131"/>
      <c r="O351" s="131"/>
      <c r="P351" s="136"/>
    </row>
  </sheetData>
  <sheetProtection formatCells="0" formatColumns="0" formatRows="0" insertColumns="0" insertRows="0" deleteColumns="0" deleteRows="0" sort="0"/>
  <autoFilter ref="G13:G157" xr:uid="{00000000-0001-0000-0D00-000000000000}"/>
  <mergeCells count="1">
    <mergeCell ref="P7:Q7"/>
  </mergeCells>
  <printOptions horizontalCentered="1"/>
  <pageMargins left="0.25" right="0.25" top="0.75" bottom="0.75" header="0.3" footer="0.3"/>
  <pageSetup paperSize="8" scale="70" fitToHeight="4" orientation="landscape" r:id="rId1"/>
  <headerFooter>
    <oddHeader>&amp;C&amp;"Calibri,Bold"&amp;18MONTHLY REPORT - BONDS &amp; INSURANCE TRACKER</oddHeader>
    <oddFooter>&amp;L1TB.01.003.01 - AYC 
MARCH'26 REPORT&amp;C&amp;A&amp;RPage &amp;P of &amp;N</oddFooter>
  </headerFooter>
  <extLst>
    <ext xmlns:x14="http://schemas.microsoft.com/office/spreadsheetml/2009/9/main" uri="{CCE6A557-97BC-4b89-ADB6-D9C93CAAB3DF}">
      <x14:dataValidations xmlns:xm="http://schemas.microsoft.com/office/excel/2006/main" count="2">
        <x14:dataValidation type="list" showInputMessage="1" showErrorMessage="1" xr:uid="{DAB8D17A-B90F-48FB-B203-1CDB0DB71691}">
          <x14:formula1>
            <xm:f>dropdowns!$M$3:$M$15</xm:f>
          </x14:formula1>
          <xm:sqref>G15:G24 G27:G123</xm:sqref>
        </x14:dataValidation>
        <x14:dataValidation type="list" allowBlank="1" showInputMessage="1" showErrorMessage="1" xr:uid="{7C1EBD43-4801-4C66-8496-558AC1F63EF1}">
          <x14:formula1>
            <xm:f>dropdowns!$D$3:$D$4</xm:f>
          </x14:formula1>
          <xm:sqref>N15:O123</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8C7E7-99F9-445C-8EF2-59DC9BF6EFA9}">
  <sheetPr codeName="Sheet36">
    <tabColor rgb="FFF3F5CB"/>
  </sheetPr>
  <dimension ref="A1:Y156"/>
  <sheetViews>
    <sheetView view="pageBreakPreview" zoomScale="80" zoomScaleNormal="100" zoomScaleSheetLayoutView="80" workbookViewId="0">
      <pane ySplit="4" topLeftCell="A94" activePane="bottomLeft" state="frozen"/>
      <selection activeCell="D39" sqref="D39"/>
      <selection pane="bottomLeft" activeCell="K18" sqref="K18"/>
    </sheetView>
  </sheetViews>
  <sheetFormatPr defaultColWidth="9" defaultRowHeight="12.75"/>
  <cols>
    <col min="1" max="1" width="8.85546875" style="2042"/>
    <col min="2" max="2" width="4.85546875" style="2042" customWidth="1"/>
    <col min="3" max="3" width="43.85546875" style="2042" customWidth="1"/>
    <col min="4" max="4" width="7.42578125" style="2042" customWidth="1"/>
    <col min="5" max="5" width="12.5703125" style="2043" bestFit="1" customWidth="1"/>
    <col min="6" max="6" width="13" style="2043" customWidth="1"/>
    <col min="7" max="7" width="7.85546875" style="2042" customWidth="1"/>
    <col min="8" max="8" width="13" style="2042" customWidth="1"/>
    <col min="9" max="9" width="7.85546875" style="2042" customWidth="1"/>
    <col min="10" max="10" width="13" style="2042" customWidth="1"/>
    <col min="11" max="11" width="7.85546875" style="2042" customWidth="1"/>
    <col min="12" max="12" width="12.85546875" style="2042" customWidth="1"/>
    <col min="13" max="13" width="19" style="2042" customWidth="1"/>
    <col min="14" max="14" width="11.42578125" bestFit="1" customWidth="1"/>
    <col min="15" max="22" width="13" customWidth="1"/>
    <col min="23" max="23" width="12.5703125" customWidth="1"/>
    <col min="24" max="24" width="11.85546875" customWidth="1"/>
    <col min="25" max="25" width="11.42578125" bestFit="1" customWidth="1"/>
  </cols>
  <sheetData>
    <row r="1" spans="1:25">
      <c r="A1" s="2041" t="s">
        <v>1665</v>
      </c>
    </row>
    <row r="2" spans="1:25" ht="13.5" thickBot="1">
      <c r="P2" s="3019">
        <v>45222</v>
      </c>
      <c r="Q2" s="3019">
        <v>45253</v>
      </c>
      <c r="R2" s="3019">
        <v>45283</v>
      </c>
      <c r="W2" s="2833" t="s">
        <v>2078</v>
      </c>
      <c r="X2" s="2833" t="s">
        <v>2079</v>
      </c>
      <c r="Y2" s="2833" t="s">
        <v>2080</v>
      </c>
    </row>
    <row r="3" spans="1:25">
      <c r="A3" s="6028" t="s">
        <v>1666</v>
      </c>
      <c r="B3" s="6030" t="s">
        <v>1370</v>
      </c>
      <c r="C3" s="6030"/>
      <c r="D3" s="2044" t="s">
        <v>1667</v>
      </c>
      <c r="E3" s="2045" t="s">
        <v>1668</v>
      </c>
      <c r="F3" s="6032" t="s">
        <v>1669</v>
      </c>
      <c r="G3" s="6032"/>
      <c r="H3" s="6032" t="s">
        <v>1670</v>
      </c>
      <c r="I3" s="6032"/>
      <c r="J3" s="6032" t="s">
        <v>1671</v>
      </c>
      <c r="K3" s="6032"/>
      <c r="L3" s="6030" t="s">
        <v>1672</v>
      </c>
      <c r="M3" s="6033" t="s">
        <v>1344</v>
      </c>
      <c r="P3" s="2834">
        <f>SUM(P4:P130)</f>
        <v>227251.20000000001</v>
      </c>
      <c r="Q3" s="2834">
        <f>SUM(Q4:Q130)</f>
        <v>-103295.99999999996</v>
      </c>
      <c r="R3" s="2834">
        <f>SUM(R4:R130)</f>
        <v>55068.4</v>
      </c>
    </row>
    <row r="4" spans="1:25" ht="13.5" thickBot="1">
      <c r="A4" s="6029"/>
      <c r="B4" s="6031"/>
      <c r="C4" s="6031"/>
      <c r="D4" s="2046" t="s">
        <v>1480</v>
      </c>
      <c r="E4" s="2047" t="s">
        <v>434</v>
      </c>
      <c r="F4" s="2047" t="s">
        <v>434</v>
      </c>
      <c r="G4" s="2046" t="s">
        <v>1480</v>
      </c>
      <c r="H4" s="2047" t="s">
        <v>434</v>
      </c>
      <c r="I4" s="2046" t="s">
        <v>1480</v>
      </c>
      <c r="J4" s="2047" t="s">
        <v>434</v>
      </c>
      <c r="K4" s="2046" t="s">
        <v>1480</v>
      </c>
      <c r="L4" s="6031"/>
      <c r="M4" s="6034"/>
    </row>
    <row r="5" spans="1:25">
      <c r="A5" s="2048"/>
      <c r="B5" s="2049"/>
      <c r="C5" s="2049"/>
      <c r="D5" s="2049"/>
      <c r="E5" s="2050"/>
      <c r="F5" s="2050"/>
      <c r="G5" s="2049"/>
      <c r="H5" s="2049"/>
      <c r="I5" s="2049"/>
      <c r="J5" s="2049"/>
      <c r="K5" s="2049"/>
      <c r="L5" s="2049"/>
      <c r="M5" s="2051"/>
    </row>
    <row r="6" spans="1:25">
      <c r="A6" s="2052" t="s">
        <v>441</v>
      </c>
      <c r="B6" s="2053" t="s">
        <v>1673</v>
      </c>
      <c r="C6" s="2049"/>
      <c r="D6" s="2049"/>
      <c r="E6" s="2050"/>
      <c r="F6" s="2050"/>
      <c r="G6" s="2049"/>
      <c r="H6" s="2049"/>
      <c r="I6" s="2049"/>
      <c r="J6" s="2049"/>
      <c r="K6" s="2049"/>
      <c r="L6" s="2049"/>
      <c r="M6" s="2051"/>
    </row>
    <row r="7" spans="1:25">
      <c r="A7" s="2048"/>
      <c r="B7" s="2049"/>
      <c r="C7" s="2049"/>
      <c r="D7" s="2049"/>
      <c r="E7" s="2050"/>
      <c r="F7" s="2050"/>
      <c r="G7" s="2049"/>
      <c r="H7" s="2049"/>
      <c r="I7" s="2049"/>
      <c r="J7" s="2049"/>
      <c r="K7" s="2049"/>
      <c r="L7" s="2049"/>
      <c r="M7" s="2051"/>
    </row>
    <row r="8" spans="1:25">
      <c r="A8" s="2054" t="s">
        <v>1674</v>
      </c>
      <c r="B8" s="2055" t="s">
        <v>1675</v>
      </c>
      <c r="C8" s="2055"/>
      <c r="D8" s="2055"/>
      <c r="E8" s="2056">
        <f>+SUBTOTAL(9,E9:E11)</f>
        <v>1792142</v>
      </c>
      <c r="F8" s="2056">
        <f>+SUBTOTAL(9,F9:F11)</f>
        <v>1792142</v>
      </c>
      <c r="G8" s="2055"/>
      <c r="H8" s="2056">
        <f>+SUBTOTAL(9,H9:H11)</f>
        <v>1792142</v>
      </c>
      <c r="I8" s="2055"/>
      <c r="J8" s="2056">
        <f>+SUBTOTAL(9,J9:J11)</f>
        <v>1792142</v>
      </c>
      <c r="K8" s="2055"/>
      <c r="L8" s="2055"/>
      <c r="M8" s="2057"/>
      <c r="N8" s="2828">
        <f>+J8-F8</f>
        <v>0</v>
      </c>
      <c r="O8" s="2828">
        <f>+J8-E8</f>
        <v>0</v>
      </c>
      <c r="P8" s="2828"/>
      <c r="Q8" s="2828"/>
      <c r="R8" s="2828"/>
      <c r="S8" s="2828"/>
      <c r="T8" s="2828"/>
      <c r="U8" s="2828"/>
      <c r="V8" s="2828"/>
    </row>
    <row r="9" spans="1:25">
      <c r="A9" s="2048"/>
      <c r="B9" s="6035">
        <v>3</v>
      </c>
      <c r="C9" s="2049" t="s">
        <v>1676</v>
      </c>
      <c r="D9" s="2058">
        <v>0.4</v>
      </c>
      <c r="E9" s="2050">
        <v>716856.8</v>
      </c>
      <c r="F9" s="2050">
        <f>+E9</f>
        <v>716856.8</v>
      </c>
      <c r="G9" s="2059"/>
      <c r="H9" s="2059">
        <f>+F9</f>
        <v>716856.8</v>
      </c>
      <c r="I9" s="2059"/>
      <c r="J9" s="3232">
        <f>+H9</f>
        <v>716856.8</v>
      </c>
      <c r="K9" s="2059"/>
      <c r="L9" s="2049"/>
      <c r="M9" s="2051"/>
      <c r="N9" s="2828">
        <f t="shared" ref="N9:N72" si="0">+J9-F9</f>
        <v>0</v>
      </c>
      <c r="O9" s="2828">
        <f t="shared" ref="O9:O72" si="1">+J9-E9</f>
        <v>0</v>
      </c>
      <c r="P9" s="2828"/>
      <c r="Q9" s="2828"/>
      <c r="R9" s="2828"/>
      <c r="S9" s="2828"/>
      <c r="T9" s="2828"/>
      <c r="U9" s="2828"/>
      <c r="V9" s="2828"/>
    </row>
    <row r="10" spans="1:25">
      <c r="A10" s="2048"/>
      <c r="B10" s="6035"/>
      <c r="C10" s="2049" t="s">
        <v>1677</v>
      </c>
      <c r="D10" s="2058">
        <v>0.4</v>
      </c>
      <c r="E10" s="2050">
        <v>716856.8</v>
      </c>
      <c r="F10" s="2050">
        <f>+E10</f>
        <v>716856.8</v>
      </c>
      <c r="G10" s="2059"/>
      <c r="H10" s="2059">
        <f>+F10</f>
        <v>716856.8</v>
      </c>
      <c r="I10" s="2059"/>
      <c r="J10" s="3232">
        <f>+H10</f>
        <v>716856.8</v>
      </c>
      <c r="K10" s="2059"/>
      <c r="L10" s="2049"/>
      <c r="M10" s="2051"/>
      <c r="N10" s="2828">
        <f t="shared" si="0"/>
        <v>0</v>
      </c>
      <c r="O10" s="2828">
        <f t="shared" si="1"/>
        <v>0</v>
      </c>
      <c r="P10" s="2828"/>
      <c r="Q10" s="2828"/>
      <c r="R10" s="2828"/>
      <c r="S10" s="2828"/>
      <c r="T10" s="2828"/>
      <c r="U10" s="2828"/>
      <c r="V10" s="2828"/>
    </row>
    <row r="11" spans="1:25">
      <c r="A11" s="2048"/>
      <c r="B11" s="6035"/>
      <c r="C11" s="2049" t="s">
        <v>1678</v>
      </c>
      <c r="D11" s="2058">
        <v>0.2</v>
      </c>
      <c r="E11" s="2050">
        <v>358428.4</v>
      </c>
      <c r="F11" s="2050">
        <f>+E11</f>
        <v>358428.4</v>
      </c>
      <c r="G11" s="2059"/>
      <c r="H11" s="2059">
        <f>+F11</f>
        <v>358428.4</v>
      </c>
      <c r="I11" s="2059"/>
      <c r="J11" s="3232">
        <f>+H11</f>
        <v>358428.4</v>
      </c>
      <c r="K11" s="2059"/>
      <c r="L11" s="2049"/>
      <c r="M11" s="2051"/>
      <c r="N11" s="2828">
        <f t="shared" si="0"/>
        <v>0</v>
      </c>
      <c r="O11" s="2828">
        <f t="shared" si="1"/>
        <v>0</v>
      </c>
      <c r="P11" s="2828"/>
      <c r="Q11" s="2828"/>
      <c r="R11" s="2828"/>
      <c r="S11" s="2828"/>
      <c r="T11" s="2828"/>
      <c r="U11" s="2828"/>
      <c r="V11" s="2828"/>
    </row>
    <row r="12" spans="1:25">
      <c r="A12" s="2048"/>
      <c r="B12" s="2049"/>
      <c r="C12" s="2049"/>
      <c r="D12" s="2049"/>
      <c r="E12" s="2050"/>
      <c r="F12" s="2050"/>
      <c r="G12" s="2049"/>
      <c r="H12" s="2049"/>
      <c r="I12" s="2049"/>
      <c r="J12" s="2049"/>
      <c r="K12" s="2049"/>
      <c r="L12" s="2049"/>
      <c r="M12" s="2051"/>
      <c r="N12" s="2828">
        <f t="shared" si="0"/>
        <v>0</v>
      </c>
      <c r="O12" s="2828">
        <f t="shared" si="1"/>
        <v>0</v>
      </c>
      <c r="P12" s="2828"/>
      <c r="Q12" s="2828"/>
      <c r="R12" s="2828"/>
      <c r="S12" s="2828"/>
      <c r="T12" s="2828"/>
      <c r="U12" s="2828"/>
      <c r="V12" s="2828"/>
    </row>
    <row r="13" spans="1:25">
      <c r="A13" s="2054" t="s">
        <v>1679</v>
      </c>
      <c r="B13" s="2055" t="s">
        <v>1680</v>
      </c>
      <c r="C13" s="2055"/>
      <c r="D13" s="2055"/>
      <c r="E13" s="2056">
        <f>+SUBTOTAL(9,E14:E16)</f>
        <v>2389523</v>
      </c>
      <c r="F13" s="2056">
        <f>+SUBTOTAL(9,F14:F16)</f>
        <v>2389523</v>
      </c>
      <c r="G13" s="2055"/>
      <c r="H13" s="2056">
        <f>+SUBTOTAL(9,H14:H16)</f>
        <v>2389523</v>
      </c>
      <c r="I13" s="2055"/>
      <c r="J13" s="2056">
        <f>+SUBTOTAL(9,J14:J16)</f>
        <v>2389523</v>
      </c>
      <c r="K13" s="2055"/>
      <c r="L13" s="2055"/>
      <c r="M13" s="2057"/>
      <c r="N13" s="2828">
        <f t="shared" si="0"/>
        <v>0</v>
      </c>
      <c r="O13" s="2828">
        <f t="shared" si="1"/>
        <v>0</v>
      </c>
      <c r="P13" s="2828"/>
      <c r="Q13" s="2828"/>
      <c r="R13" s="2828"/>
      <c r="S13" s="2828"/>
      <c r="T13" s="2828"/>
      <c r="U13" s="2828"/>
      <c r="V13" s="2828"/>
    </row>
    <row r="14" spans="1:25">
      <c r="A14" s="2048"/>
      <c r="B14" s="6035">
        <v>4</v>
      </c>
      <c r="C14" s="2049" t="s">
        <v>1676</v>
      </c>
      <c r="D14" s="2058">
        <v>0.4</v>
      </c>
      <c r="E14" s="2050">
        <v>955809.2</v>
      </c>
      <c r="F14" s="2050">
        <f>+E14</f>
        <v>955809.2</v>
      </c>
      <c r="G14" s="2049"/>
      <c r="H14" s="2059">
        <f>+F14</f>
        <v>955809.2</v>
      </c>
      <c r="I14" s="2049"/>
      <c r="J14" s="3232">
        <f>+H14</f>
        <v>955809.2</v>
      </c>
      <c r="K14" s="2049"/>
      <c r="L14" s="2049"/>
      <c r="M14" s="2051"/>
      <c r="N14" s="2828">
        <f t="shared" si="0"/>
        <v>0</v>
      </c>
      <c r="O14" s="2828">
        <f t="shared" si="1"/>
        <v>0</v>
      </c>
      <c r="P14" s="2828"/>
      <c r="Q14" s="2828"/>
      <c r="R14" s="2828"/>
      <c r="S14" s="2828"/>
      <c r="T14" s="2828"/>
      <c r="U14" s="2828"/>
      <c r="V14" s="2828"/>
    </row>
    <row r="15" spans="1:25">
      <c r="A15" s="2048"/>
      <c r="B15" s="6035"/>
      <c r="C15" s="2049" t="s">
        <v>1677</v>
      </c>
      <c r="D15" s="2058">
        <v>0.4</v>
      </c>
      <c r="E15" s="2050">
        <v>955809.2</v>
      </c>
      <c r="F15" s="2050">
        <f>+E15</f>
        <v>955809.2</v>
      </c>
      <c r="G15" s="2049"/>
      <c r="H15" s="2059">
        <f>+F15</f>
        <v>955809.2</v>
      </c>
      <c r="I15" s="2049"/>
      <c r="J15" s="3232">
        <f>+H15</f>
        <v>955809.2</v>
      </c>
      <c r="K15" s="2049"/>
      <c r="L15" s="2049"/>
      <c r="M15" s="2051"/>
      <c r="N15" s="2828">
        <f t="shared" si="0"/>
        <v>0</v>
      </c>
      <c r="O15" s="2828">
        <f t="shared" si="1"/>
        <v>0</v>
      </c>
      <c r="P15" s="2828"/>
      <c r="Q15" s="2828"/>
      <c r="R15" s="2828"/>
      <c r="S15" s="2828"/>
      <c r="T15" s="2828"/>
      <c r="U15" s="2828"/>
      <c r="V15" s="2828"/>
    </row>
    <row r="16" spans="1:25">
      <c r="A16" s="2048"/>
      <c r="B16" s="6035"/>
      <c r="C16" s="2049" t="s">
        <v>1678</v>
      </c>
      <c r="D16" s="2058">
        <v>0.2</v>
      </c>
      <c r="E16" s="2050">
        <v>477904.6</v>
      </c>
      <c r="F16" s="2050">
        <f>+E16</f>
        <v>477904.6</v>
      </c>
      <c r="G16" s="2049"/>
      <c r="H16" s="2059">
        <f>+F16</f>
        <v>477904.6</v>
      </c>
      <c r="I16" s="2049"/>
      <c r="J16" s="3232">
        <f>+H16</f>
        <v>477904.6</v>
      </c>
      <c r="K16" s="2049"/>
      <c r="L16" s="2049"/>
      <c r="M16" s="2051"/>
      <c r="N16" s="2828">
        <f t="shared" si="0"/>
        <v>0</v>
      </c>
      <c r="O16" s="2828">
        <f t="shared" si="1"/>
        <v>0</v>
      </c>
      <c r="P16" s="2828"/>
      <c r="Q16" s="2828"/>
      <c r="R16" s="2828"/>
      <c r="S16" s="2828"/>
      <c r="T16" s="2828"/>
      <c r="U16" s="2828"/>
      <c r="V16" s="2828"/>
    </row>
    <row r="17" spans="1:25">
      <c r="A17" s="2048"/>
      <c r="B17" s="2049"/>
      <c r="C17" s="2049"/>
      <c r="D17" s="2049"/>
      <c r="E17" s="2050"/>
      <c r="F17" s="2050"/>
      <c r="G17" s="2049"/>
      <c r="H17" s="2049"/>
      <c r="I17" s="2049"/>
      <c r="J17" s="2049"/>
      <c r="K17" s="2049"/>
      <c r="L17" s="2049"/>
      <c r="M17" s="2051"/>
      <c r="N17" s="2828">
        <f t="shared" si="0"/>
        <v>0</v>
      </c>
      <c r="O17" s="2828">
        <f t="shared" si="1"/>
        <v>0</v>
      </c>
      <c r="P17" s="2828"/>
      <c r="Q17" s="2828"/>
      <c r="R17" s="2828"/>
      <c r="S17" s="2828"/>
      <c r="T17" s="2828"/>
      <c r="U17" s="2828"/>
      <c r="V17" s="2828"/>
    </row>
    <row r="18" spans="1:25">
      <c r="A18" s="2054" t="s">
        <v>1681</v>
      </c>
      <c r="B18" s="2055" t="s">
        <v>1682</v>
      </c>
      <c r="C18" s="2055"/>
      <c r="D18" s="2055"/>
      <c r="E18" s="2056">
        <f>+SUBTOTAL(9,E19:E20)</f>
        <v>1194762</v>
      </c>
      <c r="F18" s="2056">
        <f>+SUBTOTAL(9,F19:F20)</f>
        <v>1194762</v>
      </c>
      <c r="G18" s="2055"/>
      <c r="H18" s="2056">
        <f>+SUBTOTAL(9,H19:H20)</f>
        <v>1194762</v>
      </c>
      <c r="I18" s="2055"/>
      <c r="J18" s="2056">
        <f>+SUBTOTAL(9,J19:J20)</f>
        <v>1194762</v>
      </c>
      <c r="K18" s="2055"/>
      <c r="L18" s="2055"/>
      <c r="M18" s="2057"/>
      <c r="N18" s="2828">
        <f t="shared" si="0"/>
        <v>0</v>
      </c>
      <c r="O18" s="2828">
        <f t="shared" si="1"/>
        <v>0</v>
      </c>
      <c r="P18" s="2828"/>
      <c r="Q18" s="2828"/>
      <c r="R18" s="2828"/>
      <c r="S18" s="2828"/>
      <c r="T18" s="2828"/>
      <c r="U18" s="2828"/>
      <c r="V18" s="2828"/>
    </row>
    <row r="19" spans="1:25">
      <c r="A19" s="2048"/>
      <c r="B19" s="6035" t="s">
        <v>1683</v>
      </c>
      <c r="C19" s="2049" t="s">
        <v>1684</v>
      </c>
      <c r="D19" s="2058">
        <v>0.8</v>
      </c>
      <c r="E19" s="2050">
        <v>955809.6</v>
      </c>
      <c r="F19" s="2050">
        <f>+E19</f>
        <v>955809.6</v>
      </c>
      <c r="G19" s="2049"/>
      <c r="H19" s="2059">
        <f>+F19</f>
        <v>955809.6</v>
      </c>
      <c r="I19" s="2049"/>
      <c r="J19" s="3232">
        <f>+H19</f>
        <v>955809.6</v>
      </c>
      <c r="K19" s="2049"/>
      <c r="L19" s="2049"/>
      <c r="M19" s="2051"/>
      <c r="N19" s="2828">
        <f t="shared" si="0"/>
        <v>0</v>
      </c>
      <c r="O19" s="2828">
        <f t="shared" si="1"/>
        <v>0</v>
      </c>
      <c r="P19" s="2828"/>
      <c r="Q19" s="2828"/>
      <c r="R19" s="2828"/>
      <c r="S19" s="2828"/>
      <c r="T19" s="2828"/>
      <c r="U19" s="2828"/>
      <c r="V19" s="2828"/>
    </row>
    <row r="20" spans="1:25">
      <c r="A20" s="2048"/>
      <c r="B20" s="6035"/>
      <c r="C20" s="2049" t="s">
        <v>1678</v>
      </c>
      <c r="D20" s="2058">
        <v>0.2</v>
      </c>
      <c r="E20" s="2050">
        <v>238952.4</v>
      </c>
      <c r="F20" s="2050">
        <f>+E20</f>
        <v>238952.4</v>
      </c>
      <c r="G20" s="2049"/>
      <c r="H20" s="2059">
        <f>+F20</f>
        <v>238952.4</v>
      </c>
      <c r="I20" s="2049"/>
      <c r="J20" s="3232">
        <f>+H20</f>
        <v>238952.4</v>
      </c>
      <c r="K20" s="2049"/>
      <c r="L20" s="2049"/>
      <c r="M20" s="2051"/>
      <c r="N20" s="2828">
        <f t="shared" si="0"/>
        <v>0</v>
      </c>
      <c r="O20" s="2828">
        <f t="shared" si="1"/>
        <v>0</v>
      </c>
      <c r="P20" s="2828"/>
      <c r="Q20" s="2828"/>
      <c r="R20" s="2828"/>
      <c r="S20" s="2828"/>
      <c r="T20" s="2828"/>
      <c r="U20" s="2828"/>
      <c r="V20" s="2828"/>
    </row>
    <row r="21" spans="1:25">
      <c r="A21" s="2048"/>
      <c r="B21" s="2049"/>
      <c r="C21" s="2049"/>
      <c r="D21" s="2049"/>
      <c r="E21" s="2050"/>
      <c r="F21" s="2050"/>
      <c r="G21" s="2049"/>
      <c r="H21" s="2049"/>
      <c r="I21" s="2049"/>
      <c r="J21" s="2049"/>
      <c r="K21" s="2049"/>
      <c r="L21" s="2049"/>
      <c r="M21" s="2051"/>
      <c r="N21" s="2828">
        <f t="shared" si="0"/>
        <v>0</v>
      </c>
      <c r="O21" s="2828">
        <f t="shared" si="1"/>
        <v>0</v>
      </c>
      <c r="P21" s="2828"/>
      <c r="Q21" s="2828"/>
      <c r="R21" s="2828"/>
      <c r="S21" s="2828"/>
      <c r="T21" s="2828"/>
      <c r="U21" s="2828"/>
      <c r="V21" s="2828"/>
    </row>
    <row r="22" spans="1:25">
      <c r="A22" s="2054" t="s">
        <v>1685</v>
      </c>
      <c r="B22" s="2055" t="s">
        <v>1686</v>
      </c>
      <c r="C22" s="2055"/>
      <c r="D22" s="2055"/>
      <c r="E22" s="2056">
        <f>+SUBTOTAL(9,E23:E24)</f>
        <v>597381</v>
      </c>
      <c r="F22" s="2056">
        <f>+SUBTOTAL(9,F23:F24)</f>
        <v>567511.94999999995</v>
      </c>
      <c r="G22" s="2055"/>
      <c r="H22" s="2056">
        <f>+SUBTOTAL(9,H23:H24)</f>
        <v>567511.94999999995</v>
      </c>
      <c r="I22" s="2055"/>
      <c r="J22" s="2056">
        <f>+SUBTOTAL(9,J23:J24)</f>
        <v>567511.94999999995</v>
      </c>
      <c r="K22" s="2055"/>
      <c r="L22" s="2055"/>
      <c r="M22" s="2057"/>
      <c r="N22" s="2828">
        <f t="shared" si="0"/>
        <v>0</v>
      </c>
      <c r="O22" s="2828">
        <f t="shared" si="1"/>
        <v>-29869.050000000047</v>
      </c>
      <c r="P22" s="2828"/>
      <c r="Q22" s="2828"/>
      <c r="R22" s="2828"/>
      <c r="S22" s="2828"/>
      <c r="T22" s="2828"/>
      <c r="U22" s="2828"/>
      <c r="V22" s="2828"/>
    </row>
    <row r="23" spans="1:25">
      <c r="A23" s="2048"/>
      <c r="B23" s="6035" t="s">
        <v>1687</v>
      </c>
      <c r="C23" s="2049" t="s">
        <v>1684</v>
      </c>
      <c r="D23" s="2058">
        <v>0.8</v>
      </c>
      <c r="E23" s="2050">
        <v>477904.8</v>
      </c>
      <c r="F23" s="2050">
        <f>+E23</f>
        <v>477904.8</v>
      </c>
      <c r="G23" s="2049"/>
      <c r="H23" s="2114">
        <v>477904.8</v>
      </c>
      <c r="I23" s="2049"/>
      <c r="J23" s="3233">
        <v>477904.8</v>
      </c>
      <c r="K23" s="2049"/>
      <c r="L23" s="2049" t="s">
        <v>1688</v>
      </c>
      <c r="M23" s="2051" t="s">
        <v>1689</v>
      </c>
      <c r="N23" s="2828">
        <f t="shared" si="0"/>
        <v>0</v>
      </c>
      <c r="O23" s="2828">
        <f t="shared" si="1"/>
        <v>0</v>
      </c>
      <c r="P23" s="2828"/>
      <c r="Q23" s="2828"/>
      <c r="R23" s="2828"/>
      <c r="S23" s="2828"/>
      <c r="T23" s="2828"/>
      <c r="U23" s="2828"/>
      <c r="V23" s="2828"/>
    </row>
    <row r="24" spans="1:25">
      <c r="A24" s="2048"/>
      <c r="B24" s="6035"/>
      <c r="C24" s="2049" t="s">
        <v>1678</v>
      </c>
      <c r="D24" s="2058">
        <v>0.2</v>
      </c>
      <c r="E24" s="2050">
        <v>119476.2</v>
      </c>
      <c r="F24" s="2050">
        <f>29869.05+29869.05+29869.05</f>
        <v>89607.15</v>
      </c>
      <c r="G24" s="2049"/>
      <c r="H24" s="2050">
        <f>29869.05+29869.05+29869.05</f>
        <v>89607.15</v>
      </c>
      <c r="I24" s="2049"/>
      <c r="J24" s="3233">
        <f>29869.05+29869.05+29869.05</f>
        <v>89607.15</v>
      </c>
      <c r="K24" s="2049"/>
      <c r="L24" s="2049" t="s">
        <v>2077</v>
      </c>
      <c r="M24" s="2051"/>
      <c r="N24" s="2828">
        <f t="shared" si="0"/>
        <v>0</v>
      </c>
      <c r="O24" s="2828">
        <f t="shared" si="1"/>
        <v>-29869.050000000003</v>
      </c>
      <c r="P24" s="2828"/>
      <c r="Q24" s="2828"/>
      <c r="R24" s="2828"/>
      <c r="S24" s="2828"/>
      <c r="T24" s="2828"/>
      <c r="U24" s="2828"/>
      <c r="V24" s="2831">
        <f t="shared" ref="V24:V72" si="2">+J24-E24</f>
        <v>-29869.050000000003</v>
      </c>
      <c r="W24" s="2828">
        <v>29869.05</v>
      </c>
      <c r="X24" s="2828">
        <v>0</v>
      </c>
      <c r="Y24">
        <v>0</v>
      </c>
    </row>
    <row r="25" spans="1:25">
      <c r="A25" s="2048"/>
      <c r="B25" s="2049"/>
      <c r="C25" s="2049"/>
      <c r="D25" s="2049"/>
      <c r="E25" s="2050"/>
      <c r="F25" s="2050"/>
      <c r="G25" s="2049"/>
      <c r="H25" s="2049"/>
      <c r="I25" s="2049"/>
      <c r="J25" s="2049"/>
      <c r="K25" s="2049"/>
      <c r="L25" s="2049"/>
      <c r="M25" s="2051"/>
      <c r="N25" s="2828">
        <f t="shared" si="0"/>
        <v>0</v>
      </c>
      <c r="O25" s="2828">
        <f t="shared" si="1"/>
        <v>0</v>
      </c>
      <c r="P25" s="2828"/>
      <c r="Q25" s="2828"/>
      <c r="R25" s="2828"/>
      <c r="S25" s="2828"/>
      <c r="T25" s="2828"/>
      <c r="U25" s="2828"/>
      <c r="V25" s="2828"/>
    </row>
    <row r="26" spans="1:25">
      <c r="A26" s="2060"/>
      <c r="B26" s="2061"/>
      <c r="C26" s="2061" t="s">
        <v>1690</v>
      </c>
      <c r="D26" s="2062"/>
      <c r="E26" s="2063">
        <f>SUBTOTAL(9,E5:E25)</f>
        <v>5973808.0000000009</v>
      </c>
      <c r="F26" s="2063">
        <f>SUBTOTAL(9,F5:F25)</f>
        <v>5943938.9500000011</v>
      </c>
      <c r="G26" s="2064">
        <f>+F26/$E26</f>
        <v>0.99499999832602593</v>
      </c>
      <c r="H26" s="2063">
        <f>SUBTOTAL(9,H5:H25)</f>
        <v>5943938.9500000011</v>
      </c>
      <c r="I26" s="2064">
        <f>+H26/$E26</f>
        <v>0.99499999832602593</v>
      </c>
      <c r="J26" s="2063">
        <f>SUBTOTAL(9,J5:J25)</f>
        <v>5943938.9500000011</v>
      </c>
      <c r="K26" s="2064">
        <f>+J26/$E26</f>
        <v>0.99499999832602593</v>
      </c>
      <c r="L26" s="2062"/>
      <c r="M26" s="2065"/>
      <c r="N26" s="2828">
        <f t="shared" si="0"/>
        <v>0</v>
      </c>
      <c r="O26" s="2828">
        <f t="shared" si="1"/>
        <v>-29869.049999999814</v>
      </c>
      <c r="P26" s="2828"/>
      <c r="Q26" s="2828"/>
      <c r="R26" s="2828"/>
      <c r="S26" s="2828"/>
      <c r="T26" s="2828"/>
      <c r="U26" s="2828"/>
      <c r="V26" s="2831">
        <f t="shared" si="2"/>
        <v>-29869.049999999814</v>
      </c>
    </row>
    <row r="27" spans="1:25">
      <c r="A27" s="2048"/>
      <c r="B27" s="2049"/>
      <c r="C27" s="2049"/>
      <c r="D27" s="2049"/>
      <c r="E27" s="2050"/>
      <c r="F27" s="2050"/>
      <c r="G27" s="2049"/>
      <c r="H27" s="2049"/>
      <c r="I27" s="2049"/>
      <c r="J27" s="2049"/>
      <c r="K27" s="2049"/>
      <c r="L27" s="2049"/>
      <c r="M27" s="2051"/>
      <c r="N27" s="2828">
        <f t="shared" si="0"/>
        <v>0</v>
      </c>
      <c r="O27" s="2828">
        <f t="shared" si="1"/>
        <v>0</v>
      </c>
      <c r="P27" s="2828"/>
      <c r="Q27" s="2828"/>
      <c r="R27" s="2828"/>
      <c r="S27" s="2828"/>
      <c r="T27" s="2828"/>
      <c r="U27" s="2828"/>
      <c r="V27" s="2831">
        <f t="shared" si="2"/>
        <v>0</v>
      </c>
    </row>
    <row r="28" spans="1:25">
      <c r="A28" s="2052" t="s">
        <v>442</v>
      </c>
      <c r="B28" s="2053" t="s">
        <v>1691</v>
      </c>
      <c r="C28" s="2053"/>
      <c r="D28" s="2049"/>
      <c r="E28" s="2050"/>
      <c r="F28" s="2050"/>
      <c r="G28" s="2049"/>
      <c r="H28" s="2049"/>
      <c r="I28" s="2049"/>
      <c r="J28" s="2049"/>
      <c r="K28" s="2049"/>
      <c r="L28" s="2049"/>
      <c r="M28" s="2051"/>
      <c r="N28" s="2828">
        <f t="shared" si="0"/>
        <v>0</v>
      </c>
      <c r="O28" s="2828">
        <f t="shared" si="1"/>
        <v>0</v>
      </c>
      <c r="P28" s="2828"/>
      <c r="Q28" s="2828"/>
      <c r="R28" s="2828"/>
      <c r="S28" s="2828"/>
      <c r="T28" s="2828"/>
      <c r="U28" s="2828"/>
      <c r="V28" s="2831">
        <f t="shared" si="2"/>
        <v>0</v>
      </c>
    </row>
    <row r="29" spans="1:25">
      <c r="A29" s="2048"/>
      <c r="B29" s="2049"/>
      <c r="C29" s="2049"/>
      <c r="D29" s="2049"/>
      <c r="E29" s="2050"/>
      <c r="F29" s="2050"/>
      <c r="G29" s="2049"/>
      <c r="H29" s="2049"/>
      <c r="I29" s="2049"/>
      <c r="J29" s="2049"/>
      <c r="K29" s="2049"/>
      <c r="L29" s="2049"/>
      <c r="M29" s="2051"/>
      <c r="N29" s="2828">
        <f t="shared" si="0"/>
        <v>0</v>
      </c>
      <c r="O29" s="2828">
        <f t="shared" si="1"/>
        <v>0</v>
      </c>
      <c r="P29" s="2828"/>
      <c r="Q29" s="2828"/>
      <c r="R29" s="2828"/>
      <c r="S29" s="2828"/>
      <c r="T29" s="2828"/>
      <c r="U29" s="2828"/>
      <c r="V29" s="2831">
        <f t="shared" si="2"/>
        <v>0</v>
      </c>
    </row>
    <row r="30" spans="1:25">
      <c r="A30" s="2054" t="s">
        <v>1692</v>
      </c>
      <c r="B30" s="2049"/>
      <c r="C30" s="2049"/>
      <c r="D30" s="2049"/>
      <c r="E30" s="2933">
        <f>+SUBTOTAL(9,E31)</f>
        <v>49500</v>
      </c>
      <c r="F30" s="2056">
        <f>+SUBTOTAL(9,F31)</f>
        <v>49500</v>
      </c>
      <c r="G30" s="2049"/>
      <c r="H30" s="2056">
        <f>+SUBTOTAL(9,H31)</f>
        <v>49500</v>
      </c>
      <c r="I30" s="2049"/>
      <c r="J30" s="3231">
        <f>+SUBTOTAL(9,J31)</f>
        <v>49500</v>
      </c>
      <c r="K30" s="2049"/>
      <c r="L30" s="2049"/>
      <c r="M30" s="2051" t="s">
        <v>2243</v>
      </c>
      <c r="N30" s="2828">
        <f t="shared" si="0"/>
        <v>0</v>
      </c>
      <c r="O30" s="2828">
        <f t="shared" si="1"/>
        <v>0</v>
      </c>
      <c r="P30" s="2828"/>
      <c r="Q30" s="2828"/>
      <c r="R30" s="2828"/>
      <c r="S30" s="2828"/>
      <c r="T30" s="2828"/>
      <c r="U30" s="2828"/>
      <c r="V30" s="2831">
        <f t="shared" si="2"/>
        <v>0</v>
      </c>
    </row>
    <row r="31" spans="1:25">
      <c r="A31" s="2048"/>
      <c r="B31" s="2066">
        <v>1</v>
      </c>
      <c r="C31" s="2049" t="s">
        <v>1693</v>
      </c>
      <c r="D31" s="2049"/>
      <c r="E31" s="2093">
        <v>49500</v>
      </c>
      <c r="F31" s="2050">
        <v>49500</v>
      </c>
      <c r="G31" s="2049"/>
      <c r="H31" s="2050">
        <v>49500</v>
      </c>
      <c r="I31" s="2049"/>
      <c r="J31" s="2050">
        <v>49500</v>
      </c>
      <c r="K31" s="2049"/>
      <c r="L31" s="2049"/>
      <c r="M31" s="2051"/>
      <c r="N31" s="2828">
        <f t="shared" si="0"/>
        <v>0</v>
      </c>
      <c r="O31" s="2828">
        <f t="shared" si="1"/>
        <v>0</v>
      </c>
      <c r="P31" s="2828"/>
      <c r="Q31" s="2828"/>
      <c r="R31" s="2828"/>
      <c r="S31" s="2828"/>
      <c r="T31" s="2828"/>
      <c r="U31" s="2828"/>
      <c r="V31" s="2831">
        <f t="shared" si="2"/>
        <v>0</v>
      </c>
    </row>
    <row r="32" spans="1:25">
      <c r="A32" s="2048"/>
      <c r="B32" s="2049"/>
      <c r="C32" s="2049"/>
      <c r="D32" s="2049"/>
      <c r="E32" s="2093"/>
      <c r="F32" s="2050"/>
      <c r="G32" s="2049"/>
      <c r="H32" s="2050"/>
      <c r="I32" s="2049"/>
      <c r="J32" s="2050"/>
      <c r="K32" s="2049"/>
      <c r="L32" s="2049"/>
      <c r="M32" s="2051"/>
      <c r="N32" s="2828">
        <f t="shared" si="0"/>
        <v>0</v>
      </c>
      <c r="O32" s="2828">
        <f t="shared" si="1"/>
        <v>0</v>
      </c>
      <c r="P32" s="2828"/>
      <c r="Q32" s="2828"/>
      <c r="R32" s="2828"/>
      <c r="S32" s="2828"/>
      <c r="T32" s="2828"/>
      <c r="U32" s="2828"/>
      <c r="V32" s="2831">
        <f t="shared" si="2"/>
        <v>0</v>
      </c>
    </row>
    <row r="33" spans="1:22">
      <c r="A33" s="2054" t="s">
        <v>1694</v>
      </c>
      <c r="B33" s="2055"/>
      <c r="C33" s="2055"/>
      <c r="D33" s="2055"/>
      <c r="E33" s="2933">
        <f>+SUBTOTAL(9,E34:E36)</f>
        <v>33000</v>
      </c>
      <c r="F33" s="2056">
        <f>+SUBTOTAL(9,F34:F36)</f>
        <v>33000</v>
      </c>
      <c r="G33" s="2055"/>
      <c r="H33" s="2056">
        <f>+SUBTOTAL(9,H34:H36)</f>
        <v>33000</v>
      </c>
      <c r="I33" s="2055"/>
      <c r="J33" s="3231">
        <f>+SUBTOTAL(9,J34:J36)</f>
        <v>33000</v>
      </c>
      <c r="K33" s="2055"/>
      <c r="L33" s="2055"/>
      <c r="M33" s="2051" t="s">
        <v>2243</v>
      </c>
      <c r="N33" s="2828">
        <f t="shared" si="0"/>
        <v>0</v>
      </c>
      <c r="O33" s="2828">
        <f t="shared" si="1"/>
        <v>0</v>
      </c>
      <c r="P33" s="2828"/>
      <c r="Q33" s="2828"/>
      <c r="R33" s="2828"/>
      <c r="S33" s="2828"/>
      <c r="T33" s="2828"/>
      <c r="U33" s="2828"/>
      <c r="V33" s="2831">
        <f t="shared" si="2"/>
        <v>0</v>
      </c>
    </row>
    <row r="34" spans="1:22">
      <c r="A34" s="2048"/>
      <c r="B34" s="2066">
        <v>1</v>
      </c>
      <c r="C34" s="2049" t="s">
        <v>1695</v>
      </c>
      <c r="D34" s="2049"/>
      <c r="E34" s="2093">
        <v>8800</v>
      </c>
      <c r="F34" s="2050">
        <v>8800</v>
      </c>
      <c r="G34" s="2049"/>
      <c r="H34" s="2050">
        <v>8800</v>
      </c>
      <c r="I34" s="2049"/>
      <c r="J34" s="2050">
        <v>8800</v>
      </c>
      <c r="K34" s="2049"/>
      <c r="L34" s="2049"/>
      <c r="M34" s="2051"/>
      <c r="N34" s="2828">
        <f t="shared" si="0"/>
        <v>0</v>
      </c>
      <c r="O34" s="2828">
        <f t="shared" si="1"/>
        <v>0</v>
      </c>
      <c r="P34" s="2828"/>
      <c r="Q34" s="2828"/>
      <c r="R34" s="2828"/>
      <c r="S34" s="2828"/>
      <c r="T34" s="2828"/>
      <c r="U34" s="2828"/>
      <c r="V34" s="2831">
        <f t="shared" si="2"/>
        <v>0</v>
      </c>
    </row>
    <row r="35" spans="1:22">
      <c r="A35" s="2048"/>
      <c r="B35" s="2066">
        <v>2</v>
      </c>
      <c r="C35" s="2049" t="s">
        <v>1696</v>
      </c>
      <c r="D35" s="2049"/>
      <c r="E35" s="2093">
        <v>15400</v>
      </c>
      <c r="F35" s="2050">
        <v>15400</v>
      </c>
      <c r="G35" s="2049"/>
      <c r="H35" s="2050">
        <v>15400</v>
      </c>
      <c r="I35" s="2049"/>
      <c r="J35" s="2050">
        <v>15400</v>
      </c>
      <c r="K35" s="2049"/>
      <c r="L35" s="2049"/>
      <c r="M35" s="2051"/>
      <c r="N35" s="2828">
        <f t="shared" si="0"/>
        <v>0</v>
      </c>
      <c r="O35" s="2828">
        <f t="shared" si="1"/>
        <v>0</v>
      </c>
      <c r="P35" s="2828"/>
      <c r="Q35" s="2828"/>
      <c r="R35" s="2828"/>
      <c r="S35" s="2828"/>
      <c r="T35" s="2828"/>
      <c r="U35" s="2828"/>
      <c r="V35" s="2831">
        <f t="shared" si="2"/>
        <v>0</v>
      </c>
    </row>
    <row r="36" spans="1:22">
      <c r="A36" s="2048"/>
      <c r="B36" s="2066">
        <v>3</v>
      </c>
      <c r="C36" s="2049" t="s">
        <v>1697</v>
      </c>
      <c r="D36" s="2049"/>
      <c r="E36" s="2093">
        <v>8800</v>
      </c>
      <c r="F36" s="2050">
        <v>8800</v>
      </c>
      <c r="G36" s="2049"/>
      <c r="H36" s="2050">
        <v>8800</v>
      </c>
      <c r="I36" s="2049"/>
      <c r="J36" s="2050">
        <v>8800</v>
      </c>
      <c r="K36" s="2049"/>
      <c r="L36" s="2049"/>
      <c r="M36" s="2051"/>
      <c r="N36" s="2828">
        <f t="shared" si="0"/>
        <v>0</v>
      </c>
      <c r="O36" s="2828">
        <f t="shared" si="1"/>
        <v>0</v>
      </c>
      <c r="P36" s="2828"/>
      <c r="Q36" s="2828"/>
      <c r="R36" s="2828"/>
      <c r="S36" s="2828"/>
      <c r="T36" s="2828"/>
      <c r="U36" s="2828"/>
      <c r="V36" s="2831">
        <f t="shared" si="2"/>
        <v>0</v>
      </c>
    </row>
    <row r="37" spans="1:22">
      <c r="A37" s="2048"/>
      <c r="B37" s="2049"/>
      <c r="C37" s="2049"/>
      <c r="D37" s="2049"/>
      <c r="E37" s="2093"/>
      <c r="F37" s="2050"/>
      <c r="G37" s="2049"/>
      <c r="H37" s="2049"/>
      <c r="I37" s="2049"/>
      <c r="J37" s="2049"/>
      <c r="K37" s="2049"/>
      <c r="L37" s="2049"/>
      <c r="M37" s="2051"/>
      <c r="N37" s="2828">
        <f t="shared" si="0"/>
        <v>0</v>
      </c>
      <c r="O37" s="2828">
        <f t="shared" si="1"/>
        <v>0</v>
      </c>
      <c r="P37" s="2828"/>
      <c r="Q37" s="2828"/>
      <c r="R37" s="2828"/>
      <c r="S37" s="2828"/>
      <c r="T37" s="2828"/>
      <c r="U37" s="2828"/>
      <c r="V37" s="2831">
        <f t="shared" si="2"/>
        <v>0</v>
      </c>
    </row>
    <row r="38" spans="1:22">
      <c r="A38" s="2054" t="s">
        <v>1698</v>
      </c>
      <c r="B38" s="2055"/>
      <c r="C38" s="2055"/>
      <c r="D38" s="2055"/>
      <c r="E38" s="2933">
        <f>+SUBTOTAL(9,E39:E43)</f>
        <v>114996.2</v>
      </c>
      <c r="F38" s="2056">
        <f>+SUBTOTAL(9,F39:F43)</f>
        <v>114996.2</v>
      </c>
      <c r="G38" s="2055"/>
      <c r="H38" s="2056">
        <f>+SUBTOTAL(9,H39:H43)</f>
        <v>114996.2</v>
      </c>
      <c r="I38" s="2055"/>
      <c r="J38" s="3231">
        <f>+SUBTOTAL(9,J39:J43)</f>
        <v>114996.2</v>
      </c>
      <c r="K38" s="2055"/>
      <c r="L38" s="2055"/>
      <c r="M38" s="2051" t="s">
        <v>2243</v>
      </c>
      <c r="N38" s="2828">
        <f t="shared" si="0"/>
        <v>0</v>
      </c>
      <c r="O38" s="2828">
        <f t="shared" si="1"/>
        <v>0</v>
      </c>
      <c r="P38" s="2828"/>
      <c r="Q38" s="2828"/>
      <c r="R38" s="2828"/>
      <c r="S38" s="2828"/>
      <c r="T38" s="2828"/>
      <c r="U38" s="2828"/>
      <c r="V38" s="2831">
        <f t="shared" si="2"/>
        <v>0</v>
      </c>
    </row>
    <row r="39" spans="1:22">
      <c r="A39" s="2048"/>
      <c r="B39" s="2066">
        <v>1</v>
      </c>
      <c r="C39" s="2049" t="s">
        <v>1699</v>
      </c>
      <c r="D39" s="2049"/>
      <c r="E39" s="2093">
        <v>28748.5</v>
      </c>
      <c r="F39" s="2050">
        <v>28748.5</v>
      </c>
      <c r="G39" s="2049"/>
      <c r="H39" s="2050">
        <v>28748.5</v>
      </c>
      <c r="I39" s="2049"/>
      <c r="J39" s="2050">
        <v>28748.5</v>
      </c>
      <c r="K39" s="2049"/>
      <c r="L39" s="2049"/>
      <c r="M39" s="2051"/>
      <c r="N39" s="2828">
        <f t="shared" si="0"/>
        <v>0</v>
      </c>
      <c r="O39" s="2828">
        <f t="shared" si="1"/>
        <v>0</v>
      </c>
      <c r="P39" s="2828"/>
      <c r="Q39" s="2828"/>
      <c r="R39" s="2828"/>
      <c r="S39" s="2828"/>
      <c r="T39" s="2828"/>
      <c r="U39" s="2828"/>
      <c r="V39" s="2831">
        <f t="shared" si="2"/>
        <v>0</v>
      </c>
    </row>
    <row r="40" spans="1:22">
      <c r="A40" s="2048"/>
      <c r="B40" s="2066">
        <v>2</v>
      </c>
      <c r="C40" s="2049" t="s">
        <v>1700</v>
      </c>
      <c r="D40" s="2049"/>
      <c r="E40" s="2093">
        <v>34499.300000000003</v>
      </c>
      <c r="F40" s="2050">
        <v>34499.300000000003</v>
      </c>
      <c r="G40" s="2049"/>
      <c r="H40" s="2050">
        <v>34499.300000000003</v>
      </c>
      <c r="I40" s="2049"/>
      <c r="J40" s="2050">
        <v>34499.300000000003</v>
      </c>
      <c r="K40" s="2049"/>
      <c r="L40" s="2049"/>
      <c r="M40" s="2051"/>
      <c r="N40" s="2828">
        <f t="shared" si="0"/>
        <v>0</v>
      </c>
      <c r="O40" s="2828">
        <f t="shared" si="1"/>
        <v>0</v>
      </c>
      <c r="P40" s="2828"/>
      <c r="Q40" s="2828"/>
      <c r="R40" s="2828"/>
      <c r="S40" s="2828"/>
      <c r="T40" s="2828"/>
      <c r="U40" s="2828"/>
      <c r="V40" s="2831">
        <f t="shared" si="2"/>
        <v>0</v>
      </c>
    </row>
    <row r="41" spans="1:22">
      <c r="A41" s="2048"/>
      <c r="B41" s="2066">
        <v>3</v>
      </c>
      <c r="C41" s="2049" t="s">
        <v>1701</v>
      </c>
      <c r="D41" s="2049"/>
      <c r="E41" s="2093">
        <v>34499.300000000003</v>
      </c>
      <c r="F41" s="2050">
        <v>34499.300000000003</v>
      </c>
      <c r="G41" s="2049"/>
      <c r="H41" s="2050">
        <v>34499.300000000003</v>
      </c>
      <c r="I41" s="2049"/>
      <c r="J41" s="2050">
        <v>34499.300000000003</v>
      </c>
      <c r="K41" s="2049"/>
      <c r="L41" s="2049"/>
      <c r="M41" s="2051"/>
      <c r="N41" s="2828">
        <f t="shared" si="0"/>
        <v>0</v>
      </c>
      <c r="O41" s="2828">
        <f t="shared" si="1"/>
        <v>0</v>
      </c>
      <c r="P41" s="2828"/>
      <c r="Q41" s="2828"/>
      <c r="R41" s="2828"/>
      <c r="S41" s="2828"/>
      <c r="T41" s="2828"/>
      <c r="U41" s="2828"/>
      <c r="V41" s="2831">
        <f t="shared" si="2"/>
        <v>0</v>
      </c>
    </row>
    <row r="42" spans="1:22">
      <c r="A42" s="2048"/>
      <c r="B42" s="2066">
        <v>4</v>
      </c>
      <c r="C42" s="2049" t="s">
        <v>1702</v>
      </c>
      <c r="D42" s="2049"/>
      <c r="E42" s="2093">
        <v>11499.4</v>
      </c>
      <c r="F42" s="2050">
        <v>11499.4</v>
      </c>
      <c r="G42" s="2049"/>
      <c r="H42" s="2050">
        <v>11499.4</v>
      </c>
      <c r="I42" s="2049"/>
      <c r="J42" s="2050">
        <v>11499.4</v>
      </c>
      <c r="K42" s="2049"/>
      <c r="L42" s="2049"/>
      <c r="M42" s="2051"/>
      <c r="N42" s="2828">
        <f t="shared" si="0"/>
        <v>0</v>
      </c>
      <c r="O42" s="2828">
        <f t="shared" si="1"/>
        <v>0</v>
      </c>
      <c r="P42" s="2828"/>
      <c r="Q42" s="2828"/>
      <c r="R42" s="2828"/>
      <c r="S42" s="2828"/>
      <c r="T42" s="2828"/>
      <c r="U42" s="2828"/>
      <c r="V42" s="2831">
        <f t="shared" si="2"/>
        <v>0</v>
      </c>
    </row>
    <row r="43" spans="1:22" ht="25.5">
      <c r="A43" s="2048"/>
      <c r="B43" s="2066">
        <v>5</v>
      </c>
      <c r="C43" s="2067" t="s">
        <v>1703</v>
      </c>
      <c r="D43" s="2049"/>
      <c r="E43" s="2093">
        <v>5749.7</v>
      </c>
      <c r="F43" s="2050">
        <v>5749.7</v>
      </c>
      <c r="G43" s="2049"/>
      <c r="H43" s="2050">
        <v>5749.7</v>
      </c>
      <c r="I43" s="2049"/>
      <c r="J43" s="2050">
        <v>5749.7</v>
      </c>
      <c r="K43" s="2049"/>
      <c r="L43" s="2049"/>
      <c r="M43" s="2051"/>
      <c r="N43" s="2828">
        <f t="shared" si="0"/>
        <v>0</v>
      </c>
      <c r="O43" s="2828">
        <f t="shared" si="1"/>
        <v>0</v>
      </c>
      <c r="P43" s="2828"/>
      <c r="Q43" s="2828"/>
      <c r="R43" s="2828"/>
      <c r="S43" s="2828"/>
      <c r="T43" s="2828"/>
      <c r="U43" s="2828"/>
      <c r="V43" s="2831">
        <f t="shared" si="2"/>
        <v>0</v>
      </c>
    </row>
    <row r="44" spans="1:22">
      <c r="A44" s="2048"/>
      <c r="B44" s="2049"/>
      <c r="C44" s="2049"/>
      <c r="D44" s="2049"/>
      <c r="E44" s="2093"/>
      <c r="F44" s="2050"/>
      <c r="G44" s="2049"/>
      <c r="H44" s="2049"/>
      <c r="I44" s="2049"/>
      <c r="J44" s="2049"/>
      <c r="K44" s="2049"/>
      <c r="L44" s="2049"/>
      <c r="M44" s="2051"/>
      <c r="N44" s="2828">
        <f t="shared" si="0"/>
        <v>0</v>
      </c>
      <c r="O44" s="2828">
        <f t="shared" si="1"/>
        <v>0</v>
      </c>
      <c r="P44" s="2828"/>
      <c r="Q44" s="2828"/>
      <c r="R44" s="2828"/>
      <c r="S44" s="2828"/>
      <c r="T44" s="2828"/>
      <c r="U44" s="2828"/>
      <c r="V44" s="2831">
        <f t="shared" si="2"/>
        <v>0</v>
      </c>
    </row>
    <row r="45" spans="1:22">
      <c r="A45" s="2054" t="s">
        <v>1704</v>
      </c>
      <c r="B45" s="2055"/>
      <c r="C45" s="2055"/>
      <c r="D45" s="2055"/>
      <c r="E45" s="2933">
        <f>+SUBTOTAL(9,E46)</f>
        <v>138200</v>
      </c>
      <c r="F45" s="2056">
        <f>+SUBTOTAL(9,F46)</f>
        <v>138200</v>
      </c>
      <c r="G45" s="2055"/>
      <c r="H45" s="2056">
        <f>+SUBTOTAL(9,H46)</f>
        <v>138200</v>
      </c>
      <c r="I45" s="2055"/>
      <c r="J45" s="3231">
        <f>+SUBTOTAL(9,J46)</f>
        <v>138200</v>
      </c>
      <c r="K45" s="2055"/>
      <c r="L45" s="2055"/>
      <c r="M45" s="2057" t="s">
        <v>2244</v>
      </c>
      <c r="N45" s="2828">
        <f t="shared" si="0"/>
        <v>0</v>
      </c>
      <c r="O45" s="2828">
        <f t="shared" si="1"/>
        <v>0</v>
      </c>
      <c r="P45" s="2828"/>
      <c r="Q45" s="2828"/>
      <c r="R45" s="2828"/>
      <c r="S45" s="2828"/>
      <c r="T45" s="2828"/>
      <c r="U45" s="2828"/>
      <c r="V45" s="2831">
        <f t="shared" si="2"/>
        <v>0</v>
      </c>
    </row>
    <row r="46" spans="1:22">
      <c r="A46" s="2048"/>
      <c r="B46" s="2066">
        <v>1</v>
      </c>
      <c r="C46" s="2049" t="s">
        <v>1705</v>
      </c>
      <c r="D46" s="2049"/>
      <c r="E46" s="2093">
        <v>138200</v>
      </c>
      <c r="F46" s="2050">
        <v>138200</v>
      </c>
      <c r="G46" s="2049"/>
      <c r="H46" s="2050">
        <v>138200</v>
      </c>
      <c r="I46" s="2049"/>
      <c r="J46" s="2050">
        <v>138200</v>
      </c>
      <c r="K46" s="2049"/>
      <c r="L46" s="2049"/>
      <c r="M46" s="2051"/>
      <c r="N46" s="2828">
        <f t="shared" si="0"/>
        <v>0</v>
      </c>
      <c r="O46" s="2828">
        <f t="shared" si="1"/>
        <v>0</v>
      </c>
      <c r="P46" s="2828"/>
      <c r="Q46" s="2828"/>
      <c r="R46" s="2828"/>
      <c r="S46" s="2828"/>
      <c r="T46" s="2828"/>
      <c r="U46" s="2828"/>
      <c r="V46" s="2831">
        <f t="shared" si="2"/>
        <v>0</v>
      </c>
    </row>
    <row r="47" spans="1:22">
      <c r="A47" s="2048"/>
      <c r="B47" s="2049"/>
      <c r="C47" s="2049"/>
      <c r="D47" s="2049"/>
      <c r="E47" s="2093"/>
      <c r="F47" s="2050"/>
      <c r="G47" s="2049"/>
      <c r="H47" s="2049"/>
      <c r="I47" s="2049"/>
      <c r="J47" s="2049"/>
      <c r="K47" s="2049"/>
      <c r="L47" s="2049"/>
      <c r="M47" s="2051"/>
      <c r="N47" s="2828">
        <f t="shared" si="0"/>
        <v>0</v>
      </c>
      <c r="O47" s="2828">
        <f t="shared" si="1"/>
        <v>0</v>
      </c>
      <c r="P47" s="2828"/>
      <c r="Q47" s="2828"/>
      <c r="R47" s="2828"/>
      <c r="S47" s="2828"/>
      <c r="T47" s="2828"/>
      <c r="U47" s="2828"/>
      <c r="V47" s="2831">
        <f t="shared" si="2"/>
        <v>0</v>
      </c>
    </row>
    <row r="48" spans="1:22">
      <c r="A48" s="2054" t="s">
        <v>1706</v>
      </c>
      <c r="B48" s="2055"/>
      <c r="C48" s="2055"/>
      <c r="D48" s="2055"/>
      <c r="E48" s="2092">
        <f>SUM(E49:E51)</f>
        <v>60500</v>
      </c>
      <c r="F48" s="2056">
        <f>+SUBTOTAL(9,F49)</f>
        <v>0</v>
      </c>
      <c r="G48" s="2055"/>
      <c r="H48" s="2056">
        <f>+SUBTOTAL(9,H49)</f>
        <v>0</v>
      </c>
      <c r="I48" s="2055"/>
      <c r="J48" s="2056">
        <f>+SUBTOTAL(9,J49)</f>
        <v>0</v>
      </c>
      <c r="K48" s="2049"/>
      <c r="L48" s="2049"/>
      <c r="M48" s="2051"/>
      <c r="N48" s="2828">
        <f t="shared" si="0"/>
        <v>0</v>
      </c>
      <c r="O48" s="2828">
        <f t="shared" si="1"/>
        <v>-60500</v>
      </c>
      <c r="P48" s="2828"/>
      <c r="Q48" s="2828"/>
      <c r="R48" s="2828"/>
      <c r="S48" s="2828"/>
      <c r="T48" s="2828"/>
      <c r="U48" s="2828"/>
      <c r="V48" s="2831">
        <f t="shared" si="2"/>
        <v>-60500</v>
      </c>
    </row>
    <row r="49" spans="1:25">
      <c r="A49" s="2048"/>
      <c r="B49" s="2066">
        <v>1</v>
      </c>
      <c r="C49" s="2049" t="s">
        <v>1707</v>
      </c>
      <c r="D49" s="2049"/>
      <c r="E49" s="2093">
        <v>30250</v>
      </c>
      <c r="F49" s="2050">
        <v>0</v>
      </c>
      <c r="G49" s="2049"/>
      <c r="H49" s="2050">
        <v>0</v>
      </c>
      <c r="I49" s="2049"/>
      <c r="J49" s="2050">
        <v>0</v>
      </c>
      <c r="K49" s="2049"/>
      <c r="L49" s="2049"/>
      <c r="M49" s="2051"/>
      <c r="N49" s="2828">
        <f t="shared" si="0"/>
        <v>0</v>
      </c>
      <c r="O49" s="2828">
        <f t="shared" si="1"/>
        <v>-30250</v>
      </c>
      <c r="P49" s="2828"/>
      <c r="Q49" s="2828"/>
      <c r="R49" s="2828"/>
      <c r="S49" s="2828"/>
      <c r="T49" s="2828"/>
      <c r="U49" s="2828"/>
      <c r="V49" s="2831">
        <f t="shared" si="2"/>
        <v>-30250</v>
      </c>
      <c r="W49" s="2828"/>
      <c r="X49" s="2832">
        <v>30250</v>
      </c>
    </row>
    <row r="50" spans="1:25">
      <c r="A50" s="2048"/>
      <c r="B50" s="2066">
        <v>2</v>
      </c>
      <c r="C50" s="2049" t="s">
        <v>1708</v>
      </c>
      <c r="D50" s="2049"/>
      <c r="E50" s="2093">
        <v>18150</v>
      </c>
      <c r="F50" s="2050"/>
      <c r="G50" s="2049"/>
      <c r="H50" s="2050"/>
      <c r="I50" s="2049"/>
      <c r="J50" s="2050"/>
      <c r="K50" s="2049"/>
      <c r="L50" s="2049"/>
      <c r="M50" s="2051"/>
      <c r="N50" s="2828">
        <f t="shared" si="0"/>
        <v>0</v>
      </c>
      <c r="O50" s="2828">
        <f t="shared" si="1"/>
        <v>-18150</v>
      </c>
      <c r="P50" s="2828"/>
      <c r="Q50" s="2828"/>
      <c r="R50" s="2828"/>
      <c r="S50" s="2828"/>
      <c r="T50" s="2828"/>
      <c r="U50" s="2828"/>
      <c r="V50" s="2831">
        <f t="shared" si="2"/>
        <v>-18150</v>
      </c>
      <c r="Y50" s="2828">
        <v>18150</v>
      </c>
    </row>
    <row r="51" spans="1:25">
      <c r="A51" s="2048"/>
      <c r="B51" s="2066">
        <v>3</v>
      </c>
      <c r="C51" s="2049" t="s">
        <v>1709</v>
      </c>
      <c r="D51" s="2049"/>
      <c r="E51" s="2093">
        <v>12100</v>
      </c>
      <c r="F51" s="2050"/>
      <c r="G51" s="2049"/>
      <c r="H51" s="2050"/>
      <c r="I51" s="2049"/>
      <c r="J51" s="2050"/>
      <c r="K51" s="2049"/>
      <c r="L51" s="2049"/>
      <c r="M51" s="2051"/>
      <c r="N51" s="2828">
        <f t="shared" si="0"/>
        <v>0</v>
      </c>
      <c r="O51" s="2828">
        <f t="shared" si="1"/>
        <v>-12100</v>
      </c>
      <c r="P51" s="2828"/>
      <c r="Q51" s="2828"/>
      <c r="R51" s="2828"/>
      <c r="S51" s="2828"/>
      <c r="T51" s="2828"/>
      <c r="U51" s="2828"/>
      <c r="V51" s="2831">
        <f t="shared" si="2"/>
        <v>-12100</v>
      </c>
    </row>
    <row r="52" spans="1:25">
      <c r="A52" s="2048"/>
      <c r="B52" s="2049"/>
      <c r="C52" s="2049"/>
      <c r="D52" s="2049"/>
      <c r="E52" s="2093"/>
      <c r="F52" s="2050"/>
      <c r="G52" s="2049"/>
      <c r="H52" s="2049"/>
      <c r="I52" s="2049"/>
      <c r="J52" s="2049"/>
      <c r="K52" s="2049"/>
      <c r="L52" s="2049"/>
      <c r="M52" s="2051"/>
      <c r="N52" s="2828">
        <f t="shared" si="0"/>
        <v>0</v>
      </c>
      <c r="O52" s="2828">
        <f t="shared" si="1"/>
        <v>0</v>
      </c>
      <c r="P52" s="2828"/>
      <c r="Q52" s="2828"/>
      <c r="R52" s="2828"/>
      <c r="S52" s="2828"/>
      <c r="T52" s="2828"/>
      <c r="U52" s="2828"/>
      <c r="V52" s="2831">
        <f t="shared" si="2"/>
        <v>0</v>
      </c>
    </row>
    <row r="53" spans="1:25">
      <c r="A53" s="2054" t="s">
        <v>1710</v>
      </c>
      <c r="B53" s="2055"/>
      <c r="C53" s="2055"/>
      <c r="D53" s="2055"/>
      <c r="E53" s="2933">
        <f>+SUBTOTAL(9,E54:E55)</f>
        <v>45604.9</v>
      </c>
      <c r="F53" s="2056">
        <f>+SUBTOTAL(9,F54:F55)</f>
        <v>45604.9</v>
      </c>
      <c r="G53" s="2055"/>
      <c r="H53" s="2056">
        <f>+SUBTOTAL(9,H54:H55)</f>
        <v>45604.9</v>
      </c>
      <c r="I53" s="2055"/>
      <c r="J53" s="3231">
        <f>+SUBTOTAL(9,J54:J55)</f>
        <v>45604.9</v>
      </c>
      <c r="K53" s="2055"/>
      <c r="L53" s="2055"/>
      <c r="M53" s="2057" t="s">
        <v>2247</v>
      </c>
      <c r="N53" s="2828">
        <f t="shared" si="0"/>
        <v>0</v>
      </c>
      <c r="O53" s="2828">
        <f t="shared" si="1"/>
        <v>0</v>
      </c>
      <c r="P53" s="2828"/>
      <c r="Q53" s="2828"/>
      <c r="R53" s="2828"/>
      <c r="S53" s="2828"/>
      <c r="T53" s="2828"/>
      <c r="U53" s="2828"/>
      <c r="V53" s="2831">
        <f t="shared" si="2"/>
        <v>0</v>
      </c>
    </row>
    <row r="54" spans="1:25">
      <c r="A54" s="2048"/>
      <c r="B54" s="2066">
        <v>1</v>
      </c>
      <c r="C54" s="2049" t="s">
        <v>1711</v>
      </c>
      <c r="D54" s="2049"/>
      <c r="E54" s="2050">
        <v>32772.300000000003</v>
      </c>
      <c r="F54" s="2050">
        <v>32772.300000000003</v>
      </c>
      <c r="G54" s="2049"/>
      <c r="H54" s="2050">
        <v>32772.300000000003</v>
      </c>
      <c r="I54" s="2049"/>
      <c r="J54" s="2050">
        <v>32772.300000000003</v>
      </c>
      <c r="K54" s="2049"/>
      <c r="L54" s="2049"/>
      <c r="M54" s="2051"/>
      <c r="N54" s="2828">
        <f t="shared" si="0"/>
        <v>0</v>
      </c>
      <c r="O54" s="2828">
        <f t="shared" si="1"/>
        <v>0</v>
      </c>
      <c r="P54" s="2828"/>
      <c r="Q54" s="2828"/>
      <c r="R54" s="2828"/>
      <c r="S54" s="2828"/>
      <c r="T54" s="2828"/>
      <c r="U54" s="2828"/>
      <c r="V54" s="2831">
        <f t="shared" si="2"/>
        <v>0</v>
      </c>
    </row>
    <row r="55" spans="1:25">
      <c r="A55" s="2048"/>
      <c r="B55" s="2066">
        <v>2</v>
      </c>
      <c r="C55" s="2049" t="s">
        <v>1712</v>
      </c>
      <c r="D55" s="2049"/>
      <c r="E55" s="2050">
        <v>12832.6</v>
      </c>
      <c r="F55" s="2050">
        <v>12832.6</v>
      </c>
      <c r="G55" s="2049"/>
      <c r="H55" s="2050">
        <v>12832.6</v>
      </c>
      <c r="I55" s="2049"/>
      <c r="J55" s="2050">
        <v>12832.6</v>
      </c>
      <c r="K55" s="2049"/>
      <c r="L55" s="2049"/>
      <c r="M55" s="2051"/>
      <c r="N55" s="2828">
        <f t="shared" si="0"/>
        <v>0</v>
      </c>
      <c r="O55" s="2828">
        <f t="shared" si="1"/>
        <v>0</v>
      </c>
      <c r="P55" s="2828"/>
      <c r="Q55" s="2828"/>
      <c r="R55" s="2828"/>
      <c r="S55" s="2828"/>
      <c r="T55" s="2828"/>
      <c r="U55" s="2828"/>
      <c r="V55" s="2831">
        <f t="shared" si="2"/>
        <v>0</v>
      </c>
    </row>
    <row r="56" spans="1:25">
      <c r="A56" s="2048"/>
      <c r="B56" s="2049"/>
      <c r="C56" s="2049"/>
      <c r="D56" s="2049"/>
      <c r="E56" s="2093"/>
      <c r="F56" s="2050"/>
      <c r="G56" s="2049"/>
      <c r="H56" s="2049"/>
      <c r="I56" s="2049"/>
      <c r="J56" s="2049"/>
      <c r="K56" s="2049"/>
      <c r="L56" s="2049"/>
      <c r="M56" s="2051"/>
      <c r="N56" s="2828">
        <f t="shared" si="0"/>
        <v>0</v>
      </c>
      <c r="O56" s="2828">
        <f t="shared" si="1"/>
        <v>0</v>
      </c>
      <c r="P56" s="2828"/>
      <c r="Q56" s="2828"/>
      <c r="R56" s="2828"/>
      <c r="S56" s="2828"/>
      <c r="T56" s="2828"/>
      <c r="U56" s="2828"/>
      <c r="V56" s="2831">
        <f t="shared" si="2"/>
        <v>0</v>
      </c>
    </row>
    <row r="57" spans="1:25">
      <c r="A57" s="2054" t="s">
        <v>1713</v>
      </c>
      <c r="B57" s="2055"/>
      <c r="C57" s="2055"/>
      <c r="D57" s="2055"/>
      <c r="E57" s="2933">
        <f>+SUBTOTAL(9,E58:E59)</f>
        <v>550000</v>
      </c>
      <c r="F57" s="2056">
        <f>+SUBTOTAL(9,F58:F59)</f>
        <v>550000</v>
      </c>
      <c r="G57" s="2055"/>
      <c r="H57" s="2056">
        <f>+SUBTOTAL(9,H58:H59)</f>
        <v>550000</v>
      </c>
      <c r="I57" s="2055"/>
      <c r="J57" s="3231">
        <f>+SUBTOTAL(9,J58:J59)</f>
        <v>550000</v>
      </c>
      <c r="K57" s="2055"/>
      <c r="L57" s="2055"/>
      <c r="M57" s="2057" t="s">
        <v>2244</v>
      </c>
      <c r="N57" s="2828">
        <f t="shared" si="0"/>
        <v>0</v>
      </c>
      <c r="O57" s="2828">
        <f t="shared" si="1"/>
        <v>0</v>
      </c>
      <c r="P57" s="2828"/>
      <c r="Q57" s="2828"/>
      <c r="R57" s="2828"/>
      <c r="S57" s="2828"/>
      <c r="T57" s="2828"/>
      <c r="U57" s="2828"/>
      <c r="V57" s="2831">
        <f t="shared" si="2"/>
        <v>0</v>
      </c>
    </row>
    <row r="58" spans="1:25">
      <c r="A58" s="2048"/>
      <c r="B58" s="2066">
        <v>1</v>
      </c>
      <c r="C58" s="2049" t="s">
        <v>1714</v>
      </c>
      <c r="D58" s="2049"/>
      <c r="E58" s="2093">
        <v>275000</v>
      </c>
      <c r="F58" s="2050">
        <v>275000</v>
      </c>
      <c r="G58" s="2049"/>
      <c r="H58" s="2050">
        <v>275000</v>
      </c>
      <c r="I58" s="2049"/>
      <c r="J58" s="2050">
        <v>275000</v>
      </c>
      <c r="K58" s="2049"/>
      <c r="L58" s="2049"/>
      <c r="M58" s="2051"/>
      <c r="N58" s="2828">
        <f t="shared" si="0"/>
        <v>0</v>
      </c>
      <c r="O58" s="2828">
        <f t="shared" si="1"/>
        <v>0</v>
      </c>
      <c r="P58" s="2828"/>
      <c r="Q58" s="2828"/>
      <c r="R58" s="2828"/>
      <c r="S58" s="2828"/>
      <c r="T58" s="2828"/>
      <c r="U58" s="2828"/>
      <c r="V58" s="2831">
        <f t="shared" si="2"/>
        <v>0</v>
      </c>
    </row>
    <row r="59" spans="1:25">
      <c r="A59" s="2048"/>
      <c r="B59" s="2066">
        <v>2</v>
      </c>
      <c r="C59" s="2049" t="s">
        <v>1715</v>
      </c>
      <c r="D59" s="2049"/>
      <c r="E59" s="2093">
        <v>275000</v>
      </c>
      <c r="F59" s="2050">
        <v>275000</v>
      </c>
      <c r="G59" s="2049"/>
      <c r="H59" s="2050">
        <v>275000</v>
      </c>
      <c r="I59" s="2049"/>
      <c r="J59" s="2050">
        <v>275000</v>
      </c>
      <c r="K59" s="2049"/>
      <c r="L59" s="2049"/>
      <c r="M59" s="2051"/>
      <c r="N59" s="2828">
        <f t="shared" si="0"/>
        <v>0</v>
      </c>
      <c r="O59" s="2828">
        <f t="shared" si="1"/>
        <v>0</v>
      </c>
      <c r="P59" s="2828"/>
      <c r="Q59" s="2828"/>
      <c r="R59" s="2828"/>
      <c r="S59" s="2828"/>
      <c r="T59" s="2828"/>
      <c r="U59" s="2828"/>
      <c r="V59" s="2831">
        <f t="shared" si="2"/>
        <v>0</v>
      </c>
    </row>
    <row r="60" spans="1:25">
      <c r="A60" s="2048"/>
      <c r="B60" s="2049"/>
      <c r="C60" s="2049"/>
      <c r="D60" s="2049"/>
      <c r="E60" s="2093"/>
      <c r="F60" s="2050"/>
      <c r="G60" s="2049"/>
      <c r="H60" s="2049"/>
      <c r="I60" s="2049"/>
      <c r="J60" s="2049"/>
      <c r="K60" s="2049"/>
      <c r="L60" s="2049"/>
      <c r="M60" s="2051"/>
      <c r="N60" s="2828">
        <f t="shared" si="0"/>
        <v>0</v>
      </c>
      <c r="O60" s="2828">
        <f t="shared" si="1"/>
        <v>0</v>
      </c>
      <c r="P60" s="2828"/>
      <c r="Q60" s="2828"/>
      <c r="R60" s="2828"/>
      <c r="S60" s="2828"/>
      <c r="T60" s="2828"/>
      <c r="U60" s="2828"/>
      <c r="V60" s="2831">
        <f t="shared" si="2"/>
        <v>0</v>
      </c>
    </row>
    <row r="61" spans="1:25">
      <c r="A61" s="2054" t="s">
        <v>1716</v>
      </c>
      <c r="B61" s="2055"/>
      <c r="C61" s="2055"/>
      <c r="D61" s="2055"/>
      <c r="E61" s="2933">
        <f>+SUBTOTAL(9,E62:E66)</f>
        <v>275000</v>
      </c>
      <c r="F61" s="2056">
        <f>+SUBTOTAL(9,F62:F66)</f>
        <v>261250</v>
      </c>
      <c r="G61" s="2055"/>
      <c r="H61" s="2056">
        <f>+SUBTOTAL(9,H62:H66)</f>
        <v>261250</v>
      </c>
      <c r="I61" s="2055"/>
      <c r="J61" s="3231">
        <f>+SUBTOTAL(9,J62:J66)</f>
        <v>261250</v>
      </c>
      <c r="K61" s="2055"/>
      <c r="L61" s="2055"/>
      <c r="M61" s="2057" t="s">
        <v>2246</v>
      </c>
      <c r="N61" s="2828">
        <f t="shared" si="0"/>
        <v>0</v>
      </c>
      <c r="O61" s="2828">
        <f t="shared" si="1"/>
        <v>-13750</v>
      </c>
      <c r="P61" s="2828"/>
      <c r="Q61" s="2828"/>
      <c r="R61" s="2828"/>
      <c r="S61" s="2828"/>
      <c r="T61" s="2828"/>
      <c r="U61" s="2828"/>
      <c r="V61" s="2831">
        <f t="shared" si="2"/>
        <v>-13750</v>
      </c>
    </row>
    <row r="62" spans="1:25">
      <c r="A62" s="2048"/>
      <c r="B62" s="2066">
        <v>1</v>
      </c>
      <c r="C62" s="2049" t="s">
        <v>1717</v>
      </c>
      <c r="D62" s="2049"/>
      <c r="E62" s="2093">
        <v>27500</v>
      </c>
      <c r="F62" s="2050">
        <v>27500</v>
      </c>
      <c r="G62" s="2049"/>
      <c r="H62" s="2114">
        <v>27500</v>
      </c>
      <c r="I62" s="2049"/>
      <c r="J62" s="2114">
        <v>27500</v>
      </c>
      <c r="K62" s="2049"/>
      <c r="L62" s="2049" t="s">
        <v>1718</v>
      </c>
      <c r="M62" s="2051" t="s">
        <v>1689</v>
      </c>
      <c r="N62" s="2828">
        <f t="shared" si="0"/>
        <v>0</v>
      </c>
      <c r="O62" s="2828">
        <f t="shared" si="1"/>
        <v>0</v>
      </c>
      <c r="P62" s="2828"/>
      <c r="Q62" s="2828"/>
      <c r="R62" s="2828"/>
      <c r="S62" s="2828"/>
      <c r="T62" s="2828"/>
      <c r="U62" s="2828"/>
      <c r="V62" s="2831">
        <f t="shared" si="2"/>
        <v>0</v>
      </c>
    </row>
    <row r="63" spans="1:25">
      <c r="A63" s="2048"/>
      <c r="B63" s="2066">
        <v>2</v>
      </c>
      <c r="C63" s="2049" t="s">
        <v>1714</v>
      </c>
      <c r="D63" s="2049"/>
      <c r="E63" s="2093">
        <v>82500</v>
      </c>
      <c r="F63" s="2050">
        <v>82500</v>
      </c>
      <c r="G63" s="2049"/>
      <c r="H63" s="2114">
        <v>82500</v>
      </c>
      <c r="I63" s="2049"/>
      <c r="J63" s="2114">
        <v>82500</v>
      </c>
      <c r="K63" s="2049"/>
      <c r="L63" s="2049" t="s">
        <v>1718</v>
      </c>
      <c r="M63" s="2051" t="s">
        <v>1689</v>
      </c>
      <c r="N63" s="2828">
        <f t="shared" si="0"/>
        <v>0</v>
      </c>
      <c r="O63" s="2828">
        <f t="shared" si="1"/>
        <v>0</v>
      </c>
      <c r="P63" s="2828"/>
      <c r="Q63" s="2828"/>
      <c r="R63" s="2828"/>
      <c r="S63" s="2828"/>
      <c r="T63" s="2828"/>
      <c r="U63" s="2828"/>
      <c r="V63" s="2831">
        <f t="shared" si="2"/>
        <v>0</v>
      </c>
    </row>
    <row r="64" spans="1:25">
      <c r="A64" s="2048"/>
      <c r="B64" s="2066">
        <v>3</v>
      </c>
      <c r="C64" s="2049" t="s">
        <v>1715</v>
      </c>
      <c r="D64" s="2049"/>
      <c r="E64" s="2093">
        <v>96250</v>
      </c>
      <c r="F64" s="2075">
        <v>96250</v>
      </c>
      <c r="G64" s="2049"/>
      <c r="H64" s="2114">
        <f>+E64*0.8+19250</f>
        <v>96250</v>
      </c>
      <c r="I64" s="2049"/>
      <c r="J64" s="2114">
        <f>+H64</f>
        <v>96250</v>
      </c>
      <c r="K64" s="2049"/>
      <c r="L64" s="2049" t="s">
        <v>1719</v>
      </c>
      <c r="M64" s="2051" t="s">
        <v>1689</v>
      </c>
      <c r="N64" s="2828">
        <f t="shared" si="0"/>
        <v>0</v>
      </c>
      <c r="O64" s="2828">
        <f t="shared" si="1"/>
        <v>0</v>
      </c>
      <c r="P64" s="2828"/>
      <c r="Q64" s="2828"/>
      <c r="R64" s="2828"/>
      <c r="S64" s="2828"/>
      <c r="T64" s="2828"/>
      <c r="U64" s="2828"/>
      <c r="V64" s="2831">
        <f t="shared" si="2"/>
        <v>0</v>
      </c>
      <c r="X64" s="652">
        <v>19250</v>
      </c>
    </row>
    <row r="65" spans="1:25">
      <c r="A65" s="2048"/>
      <c r="B65" s="2066">
        <v>4</v>
      </c>
      <c r="C65" s="2049" t="s">
        <v>1720</v>
      </c>
      <c r="D65" s="2049"/>
      <c r="E65" s="2093">
        <v>55000</v>
      </c>
      <c r="F65" s="2050">
        <v>55000</v>
      </c>
      <c r="G65" s="2049"/>
      <c r="H65" s="2050">
        <v>55000</v>
      </c>
      <c r="I65" s="2049"/>
      <c r="J65" s="2050">
        <v>55000</v>
      </c>
      <c r="K65" s="2049"/>
      <c r="L65" s="2049" t="s">
        <v>2493</v>
      </c>
      <c r="M65" s="2051"/>
      <c r="N65" s="2828">
        <f t="shared" si="0"/>
        <v>0</v>
      </c>
      <c r="O65" s="2828">
        <f t="shared" si="1"/>
        <v>0</v>
      </c>
      <c r="P65" s="2828"/>
      <c r="Q65" s="2828"/>
      <c r="R65" s="2828">
        <f>-O65</f>
        <v>0</v>
      </c>
      <c r="S65" s="2828"/>
      <c r="T65" s="2828"/>
      <c r="U65" s="2828"/>
      <c r="V65" s="2831">
        <f t="shared" si="2"/>
        <v>0</v>
      </c>
      <c r="X65" s="652">
        <v>44000</v>
      </c>
    </row>
    <row r="66" spans="1:25">
      <c r="A66" s="2048"/>
      <c r="B66" s="2066">
        <v>5</v>
      </c>
      <c r="C66" s="2067" t="s">
        <v>1721</v>
      </c>
      <c r="D66" s="2049"/>
      <c r="E66" s="2093">
        <v>13750</v>
      </c>
      <c r="F66" s="2050"/>
      <c r="G66" s="2049"/>
      <c r="H66" s="2049"/>
      <c r="I66" s="2049"/>
      <c r="J66" s="2049"/>
      <c r="K66" s="2049"/>
      <c r="L66" s="2049"/>
      <c r="M66" s="2051"/>
      <c r="N66" s="2828">
        <f t="shared" si="0"/>
        <v>0</v>
      </c>
      <c r="O66" s="2828">
        <f t="shared" si="1"/>
        <v>-13750</v>
      </c>
      <c r="P66" s="2828"/>
      <c r="Q66" s="2828"/>
      <c r="R66" s="2828">
        <f>-O66</f>
        <v>13750</v>
      </c>
      <c r="S66" s="2828"/>
      <c r="T66" s="2828"/>
      <c r="U66" s="2828"/>
      <c r="V66" s="2831">
        <f t="shared" si="2"/>
        <v>-13750</v>
      </c>
    </row>
    <row r="67" spans="1:25">
      <c r="A67" s="2048"/>
      <c r="B67" s="2049"/>
      <c r="C67" s="2049"/>
      <c r="D67" s="2049"/>
      <c r="E67" s="2093"/>
      <c r="F67" s="2050"/>
      <c r="G67" s="2049"/>
      <c r="H67" s="2049"/>
      <c r="I67" s="2049"/>
      <c r="J67" s="2049"/>
      <c r="K67" s="2049"/>
      <c r="L67" s="2049"/>
      <c r="M67" s="2051"/>
      <c r="N67" s="2828">
        <f t="shared" si="0"/>
        <v>0</v>
      </c>
      <c r="O67" s="2828">
        <f t="shared" si="1"/>
        <v>0</v>
      </c>
      <c r="P67" s="2828"/>
      <c r="Q67" s="2828"/>
      <c r="R67" s="2828"/>
      <c r="S67" s="2828"/>
      <c r="T67" s="2828"/>
      <c r="U67" s="2828"/>
      <c r="V67" s="2831">
        <f t="shared" si="2"/>
        <v>0</v>
      </c>
    </row>
    <row r="68" spans="1:25">
      <c r="A68" s="2054" t="s">
        <v>1722</v>
      </c>
      <c r="B68" s="2055"/>
      <c r="C68" s="2055"/>
      <c r="D68" s="2055"/>
      <c r="E68" s="2933">
        <f>+SUBTOTAL(9,E69:E75)</f>
        <v>261030</v>
      </c>
      <c r="F68" s="2056">
        <f>+SUBTOTAL(9,F69:F75)</f>
        <v>132000</v>
      </c>
      <c r="G68" s="2055"/>
      <c r="H68" s="2056">
        <f>+SUBTOTAL(9,H69:H75)</f>
        <v>132000</v>
      </c>
      <c r="I68" s="2055"/>
      <c r="J68" s="3231">
        <f>+SUBTOTAL(9,J69:J75)</f>
        <v>132000</v>
      </c>
      <c r="K68" s="2055"/>
      <c r="L68" s="2055"/>
      <c r="M68" s="2051" t="s">
        <v>2245</v>
      </c>
      <c r="N68" s="2828">
        <f t="shared" si="0"/>
        <v>0</v>
      </c>
      <c r="O68" s="2828">
        <f t="shared" si="1"/>
        <v>-129030</v>
      </c>
      <c r="P68" s="2828"/>
      <c r="Q68" s="2828"/>
      <c r="R68" s="2828"/>
      <c r="S68" s="2828"/>
      <c r="T68" s="2828"/>
      <c r="U68" s="2828"/>
      <c r="V68" s="2831">
        <f t="shared" si="2"/>
        <v>-129030</v>
      </c>
    </row>
    <row r="69" spans="1:25">
      <c r="A69" s="2048"/>
      <c r="B69" s="2066">
        <v>1</v>
      </c>
      <c r="C69" s="2049" t="s">
        <v>1723</v>
      </c>
      <c r="D69" s="2049"/>
      <c r="E69" s="2093">
        <v>16500</v>
      </c>
      <c r="F69" s="2050">
        <v>16500</v>
      </c>
      <c r="G69" s="2049"/>
      <c r="H69" s="2050">
        <v>16500</v>
      </c>
      <c r="I69" s="2049"/>
      <c r="J69" s="2050">
        <v>16500</v>
      </c>
      <c r="K69" s="2049"/>
      <c r="L69" s="2049"/>
      <c r="M69" s="2051"/>
      <c r="N69" s="2828">
        <f t="shared" si="0"/>
        <v>0</v>
      </c>
      <c r="O69" s="2828">
        <f t="shared" si="1"/>
        <v>0</v>
      </c>
      <c r="P69" s="2828"/>
      <c r="Q69" s="2828"/>
      <c r="R69" s="2828"/>
      <c r="S69" s="2828"/>
      <c r="T69" s="2828"/>
      <c r="U69" s="2828"/>
      <c r="V69" s="2831">
        <f t="shared" si="2"/>
        <v>0</v>
      </c>
    </row>
    <row r="70" spans="1:25">
      <c r="A70" s="2048"/>
      <c r="B70" s="2066">
        <v>2</v>
      </c>
      <c r="C70" s="2049" t="s">
        <v>1724</v>
      </c>
      <c r="D70" s="2049"/>
      <c r="E70" s="2093">
        <v>49500</v>
      </c>
      <c r="F70" s="2050">
        <v>49500</v>
      </c>
      <c r="G70" s="2049"/>
      <c r="H70" s="2050">
        <v>49500</v>
      </c>
      <c r="I70" s="2049"/>
      <c r="J70" s="2050">
        <v>49500</v>
      </c>
      <c r="K70" s="2049"/>
      <c r="L70" s="2049"/>
      <c r="M70" s="2051"/>
      <c r="N70" s="2828">
        <f t="shared" si="0"/>
        <v>0</v>
      </c>
      <c r="O70" s="2828">
        <f t="shared" si="1"/>
        <v>0</v>
      </c>
      <c r="P70" s="2828"/>
      <c r="Q70" s="2828"/>
      <c r="R70" s="2828"/>
      <c r="S70" s="2828"/>
      <c r="T70" s="2828"/>
      <c r="U70" s="2828"/>
      <c r="V70" s="2831">
        <f t="shared" si="2"/>
        <v>0</v>
      </c>
    </row>
    <row r="71" spans="1:25">
      <c r="A71" s="2048"/>
      <c r="B71" s="2066">
        <v>3</v>
      </c>
      <c r="C71" s="2049" t="s">
        <v>1725</v>
      </c>
      <c r="D71" s="2049"/>
      <c r="E71" s="2093">
        <v>49500</v>
      </c>
      <c r="F71" s="2050">
        <v>49500</v>
      </c>
      <c r="G71" s="2049"/>
      <c r="H71" s="2114">
        <f>49500*0.8+9900</f>
        <v>49500</v>
      </c>
      <c r="I71" s="2049"/>
      <c r="J71" s="2114">
        <f>49500*0.8+9900</f>
        <v>49500</v>
      </c>
      <c r="K71" s="2049"/>
      <c r="L71" s="2049" t="s">
        <v>1726</v>
      </c>
      <c r="M71" s="2051" t="s">
        <v>1689</v>
      </c>
      <c r="N71" s="2828">
        <f t="shared" si="0"/>
        <v>0</v>
      </c>
      <c r="O71" s="2828">
        <f t="shared" si="1"/>
        <v>0</v>
      </c>
      <c r="P71" s="2828"/>
      <c r="Q71" s="2828"/>
      <c r="R71" s="2828"/>
      <c r="S71" s="2828"/>
      <c r="T71" s="2828"/>
      <c r="U71" s="2828"/>
      <c r="V71" s="2831">
        <f t="shared" si="2"/>
        <v>0</v>
      </c>
      <c r="X71" s="652">
        <v>9900</v>
      </c>
    </row>
    <row r="72" spans="1:25">
      <c r="A72" s="2048"/>
      <c r="B72" s="2066">
        <v>4</v>
      </c>
      <c r="C72" s="2049" t="s">
        <v>1727</v>
      </c>
      <c r="D72" s="2049"/>
      <c r="E72" s="2093">
        <v>16500</v>
      </c>
      <c r="F72" s="2050">
        <f>13200+3300</f>
        <v>16500</v>
      </c>
      <c r="G72" s="2049"/>
      <c r="H72" s="2114">
        <f>13200+3300</f>
        <v>16500</v>
      </c>
      <c r="I72" s="2049"/>
      <c r="J72" s="2114">
        <f>13200+3300</f>
        <v>16500</v>
      </c>
      <c r="K72" s="2049"/>
      <c r="L72" s="2049" t="s">
        <v>2485</v>
      </c>
      <c r="M72" s="2051"/>
      <c r="N72" s="2828">
        <f t="shared" si="0"/>
        <v>0</v>
      </c>
      <c r="O72" s="2828">
        <f t="shared" si="1"/>
        <v>0</v>
      </c>
      <c r="P72" s="2828"/>
      <c r="Q72" s="2828"/>
      <c r="R72" s="2828"/>
      <c r="S72" s="2828"/>
      <c r="T72" s="2828"/>
      <c r="U72" s="2828"/>
      <c r="V72" s="2831">
        <f t="shared" si="2"/>
        <v>0</v>
      </c>
      <c r="X72" s="2828"/>
      <c r="Y72" s="2828">
        <v>3300</v>
      </c>
    </row>
    <row r="73" spans="1:25">
      <c r="A73" s="2048"/>
      <c r="B73" s="2066">
        <v>5</v>
      </c>
      <c r="C73" s="2049" t="s">
        <v>1728</v>
      </c>
      <c r="D73" s="2049"/>
      <c r="E73" s="2093">
        <v>70950</v>
      </c>
      <c r="F73" s="2050"/>
      <c r="G73" s="2049"/>
      <c r="H73" s="2049"/>
      <c r="I73" s="2049"/>
      <c r="J73" s="2049"/>
      <c r="K73" s="2049"/>
      <c r="L73" s="2049"/>
      <c r="M73" s="2051"/>
      <c r="N73" s="2828">
        <f t="shared" ref="N73:N140" si="3">+J73-F73</f>
        <v>0</v>
      </c>
      <c r="O73" s="2828">
        <f t="shared" ref="O73:O140" si="4">+J73-E73</f>
        <v>-70950</v>
      </c>
      <c r="P73" s="2828"/>
      <c r="Q73" s="2828"/>
      <c r="R73" s="2828"/>
      <c r="S73" s="2828"/>
      <c r="T73" s="2828"/>
      <c r="U73" s="2828"/>
      <c r="V73" s="2831">
        <f t="shared" ref="V73:V147" si="5">+J73-E73</f>
        <v>-70950</v>
      </c>
    </row>
    <row r="74" spans="1:25">
      <c r="A74" s="2048"/>
      <c r="B74" s="2066">
        <v>6</v>
      </c>
      <c r="C74" s="2049" t="s">
        <v>1729</v>
      </c>
      <c r="D74" s="2049"/>
      <c r="E74" s="2093">
        <v>16500</v>
      </c>
      <c r="F74" s="2050"/>
      <c r="G74" s="2049"/>
      <c r="H74" s="2049"/>
      <c r="I74" s="2049"/>
      <c r="J74" s="2049"/>
      <c r="K74" s="2049"/>
      <c r="L74" s="2049"/>
      <c r="M74" s="2051"/>
      <c r="N74" s="2828">
        <f t="shared" si="3"/>
        <v>0</v>
      </c>
      <c r="O74" s="2828">
        <f t="shared" si="4"/>
        <v>-16500</v>
      </c>
      <c r="P74" s="2828"/>
      <c r="Q74" s="2828"/>
      <c r="R74" s="2828"/>
      <c r="S74" s="2828"/>
      <c r="T74" s="2828"/>
      <c r="U74" s="2828"/>
      <c r="V74" s="2831">
        <f t="shared" si="5"/>
        <v>-16500</v>
      </c>
    </row>
    <row r="75" spans="1:25">
      <c r="A75" s="2048"/>
      <c r="B75" s="2066">
        <v>7</v>
      </c>
      <c r="C75" s="2049" t="s">
        <v>1730</v>
      </c>
      <c r="D75" s="2049"/>
      <c r="E75" s="2093">
        <v>41580</v>
      </c>
      <c r="F75" s="2050"/>
      <c r="G75" s="2049"/>
      <c r="H75" s="2049"/>
      <c r="I75" s="2049"/>
      <c r="J75" s="2049"/>
      <c r="K75" s="2049"/>
      <c r="L75" s="2049"/>
      <c r="M75" s="2051"/>
      <c r="N75" s="2828">
        <f t="shared" si="3"/>
        <v>0</v>
      </c>
      <c r="O75" s="2828">
        <f t="shared" si="4"/>
        <v>-41580</v>
      </c>
      <c r="P75" s="2828"/>
      <c r="Q75" s="2828"/>
      <c r="R75" s="2828"/>
      <c r="S75" s="2828"/>
      <c r="T75" s="2828"/>
      <c r="U75" s="2828"/>
      <c r="V75" s="2831">
        <f t="shared" si="5"/>
        <v>-41580</v>
      </c>
    </row>
    <row r="76" spans="1:25">
      <c r="A76" s="2048"/>
      <c r="B76" s="2066"/>
      <c r="C76" s="2049"/>
      <c r="D76" s="2049"/>
      <c r="E76" s="2093"/>
      <c r="F76" s="2050"/>
      <c r="G76" s="2049"/>
      <c r="H76" s="2049"/>
      <c r="I76" s="2049"/>
      <c r="J76" s="2049"/>
      <c r="K76" s="2049"/>
      <c r="L76" s="2049"/>
      <c r="M76" s="2051"/>
      <c r="N76" s="2828">
        <f t="shared" si="3"/>
        <v>0</v>
      </c>
      <c r="O76" s="2828">
        <f t="shared" si="4"/>
        <v>0</v>
      </c>
      <c r="P76" s="2828"/>
      <c r="Q76" s="2828"/>
      <c r="R76" s="2828"/>
      <c r="S76" s="2828"/>
      <c r="T76" s="2828"/>
      <c r="U76" s="2828"/>
      <c r="V76" s="2831">
        <f t="shared" si="5"/>
        <v>0</v>
      </c>
    </row>
    <row r="77" spans="1:25">
      <c r="A77" s="2054" t="s">
        <v>1731</v>
      </c>
      <c r="B77" s="2055"/>
      <c r="C77" s="2055"/>
      <c r="D77" s="2055"/>
      <c r="E77" s="2933">
        <f>+SUBTOTAL(9,E78:E83)</f>
        <v>16000</v>
      </c>
      <c r="F77" s="2056">
        <f>+SUBTOTAL(9,F78:F83)</f>
        <v>16000</v>
      </c>
      <c r="G77" s="2055"/>
      <c r="H77" s="2056">
        <f>+SUBTOTAL(9,H78:H83)</f>
        <v>16000</v>
      </c>
      <c r="I77" s="2055"/>
      <c r="J77" s="3231">
        <f>+SUBTOTAL(9,J78:J83)</f>
        <v>16000</v>
      </c>
      <c r="K77" s="2055"/>
      <c r="L77" s="2055"/>
      <c r="M77" s="2057" t="s">
        <v>2248</v>
      </c>
      <c r="N77" s="2828">
        <f t="shared" si="3"/>
        <v>0</v>
      </c>
      <c r="O77" s="2828">
        <f t="shared" si="4"/>
        <v>0</v>
      </c>
      <c r="P77" s="2828"/>
      <c r="Q77" s="2828"/>
      <c r="R77" s="2828"/>
      <c r="S77" s="2828"/>
      <c r="T77" s="2828"/>
      <c r="U77" s="2828"/>
      <c r="V77" s="2831">
        <f t="shared" si="5"/>
        <v>0</v>
      </c>
    </row>
    <row r="78" spans="1:25">
      <c r="A78" s="2048"/>
      <c r="B78" s="2066"/>
      <c r="C78" s="2049" t="s">
        <v>1732</v>
      </c>
      <c r="D78" s="2049"/>
      <c r="E78" s="2093"/>
      <c r="F78" s="2050"/>
      <c r="G78" s="2049"/>
      <c r="H78" s="2049"/>
      <c r="I78" s="2049"/>
      <c r="J78" s="2049"/>
      <c r="K78" s="2049"/>
      <c r="L78" s="2049"/>
      <c r="M78" s="2051"/>
      <c r="N78" s="2828">
        <f t="shared" si="3"/>
        <v>0</v>
      </c>
      <c r="O78" s="2828">
        <f t="shared" si="4"/>
        <v>0</v>
      </c>
      <c r="P78" s="2828"/>
      <c r="Q78" s="2828"/>
      <c r="R78" s="2828"/>
      <c r="S78" s="2828"/>
      <c r="T78" s="2828"/>
      <c r="U78" s="2828"/>
      <c r="V78" s="2831">
        <f t="shared" si="5"/>
        <v>0</v>
      </c>
    </row>
    <row r="79" spans="1:25">
      <c r="A79" s="2048"/>
      <c r="B79" s="2066">
        <v>1</v>
      </c>
      <c r="C79" s="2049" t="s">
        <v>1724</v>
      </c>
      <c r="D79" s="2049"/>
      <c r="E79" s="2093">
        <v>2500</v>
      </c>
      <c r="F79" s="2093">
        <v>2500</v>
      </c>
      <c r="G79" s="2049"/>
      <c r="H79" s="2093">
        <v>2500</v>
      </c>
      <c r="I79" s="2049"/>
      <c r="J79" s="2829">
        <f>500+2000</f>
        <v>2500</v>
      </c>
      <c r="K79" s="2049"/>
      <c r="L79" s="2049" t="s">
        <v>2060</v>
      </c>
      <c r="M79" s="2051"/>
      <c r="N79" s="2828">
        <f t="shared" si="3"/>
        <v>0</v>
      </c>
      <c r="O79" s="2828">
        <f t="shared" si="4"/>
        <v>0</v>
      </c>
      <c r="P79" s="2828"/>
      <c r="Q79" s="2828"/>
      <c r="R79" s="2828"/>
      <c r="S79" s="2828"/>
      <c r="T79" s="2828"/>
      <c r="U79" s="2828"/>
      <c r="V79" s="2831">
        <f t="shared" si="5"/>
        <v>0</v>
      </c>
      <c r="W79" s="652">
        <v>2000</v>
      </c>
    </row>
    <row r="80" spans="1:25">
      <c r="A80" s="2048"/>
      <c r="B80" s="2066">
        <v>2</v>
      </c>
      <c r="C80" s="2049" t="s">
        <v>1725</v>
      </c>
      <c r="D80" s="2049"/>
      <c r="E80" s="2093">
        <v>2500</v>
      </c>
      <c r="F80" s="2093">
        <v>2500</v>
      </c>
      <c r="G80" s="2049"/>
      <c r="H80" s="2093">
        <v>2500</v>
      </c>
      <c r="I80" s="2049"/>
      <c r="J80" s="2829">
        <f>500+2000</f>
        <v>2500</v>
      </c>
      <c r="K80" s="2049"/>
      <c r="L80" s="2049" t="s">
        <v>2060</v>
      </c>
      <c r="M80" s="2051"/>
      <c r="N80" s="2828">
        <f t="shared" si="3"/>
        <v>0</v>
      </c>
      <c r="O80" s="2828">
        <f t="shared" si="4"/>
        <v>0</v>
      </c>
      <c r="P80" s="2828"/>
      <c r="Q80" s="2828"/>
      <c r="R80" s="2828"/>
      <c r="S80" s="2828"/>
      <c r="T80" s="2828"/>
      <c r="U80" s="2828"/>
      <c r="V80" s="2831">
        <f t="shared" si="5"/>
        <v>0</v>
      </c>
      <c r="W80" s="652">
        <v>2000</v>
      </c>
    </row>
    <row r="81" spans="1:23">
      <c r="A81" s="2048"/>
      <c r="B81" s="2066"/>
      <c r="C81" s="2049" t="s">
        <v>1733</v>
      </c>
      <c r="D81" s="2049"/>
      <c r="E81" s="2093"/>
      <c r="F81" s="2050"/>
      <c r="G81" s="2049"/>
      <c r="H81" s="2050"/>
      <c r="I81" s="2049"/>
      <c r="J81" s="2049"/>
      <c r="K81" s="2049"/>
      <c r="L81" s="2049"/>
      <c r="M81" s="2051"/>
      <c r="N81" s="2828">
        <f t="shared" si="3"/>
        <v>0</v>
      </c>
      <c r="O81" s="2828">
        <f t="shared" si="4"/>
        <v>0</v>
      </c>
      <c r="P81" s="2828"/>
      <c r="Q81" s="2828"/>
      <c r="R81" s="2828"/>
      <c r="S81" s="2828"/>
      <c r="T81" s="2828"/>
      <c r="U81" s="2828"/>
      <c r="V81" s="2831">
        <f t="shared" si="5"/>
        <v>0</v>
      </c>
    </row>
    <row r="82" spans="1:23">
      <c r="A82" s="2048"/>
      <c r="B82" s="2066">
        <v>3</v>
      </c>
      <c r="C82" s="2049" t="s">
        <v>1728</v>
      </c>
      <c r="D82" s="2049"/>
      <c r="E82" s="2093">
        <v>5500</v>
      </c>
      <c r="F82" s="2093">
        <v>5500</v>
      </c>
      <c r="G82" s="2049"/>
      <c r="H82" s="2093">
        <v>5500</v>
      </c>
      <c r="I82" s="2049"/>
      <c r="J82" s="2829">
        <f>1100+4400</f>
        <v>5500</v>
      </c>
      <c r="K82" s="2049"/>
      <c r="L82" s="2049" t="s">
        <v>2060</v>
      </c>
      <c r="M82" s="2051"/>
      <c r="N82" s="2828">
        <f t="shared" si="3"/>
        <v>0</v>
      </c>
      <c r="O82" s="2828">
        <f t="shared" si="4"/>
        <v>0</v>
      </c>
      <c r="P82" s="2828"/>
      <c r="Q82" s="2828"/>
      <c r="R82" s="2828"/>
      <c r="S82" s="2828"/>
      <c r="T82" s="2828"/>
      <c r="U82" s="2828"/>
      <c r="V82" s="2831">
        <f t="shared" si="5"/>
        <v>0</v>
      </c>
      <c r="W82" s="652">
        <v>4400</v>
      </c>
    </row>
    <row r="83" spans="1:23">
      <c r="A83" s="2048"/>
      <c r="B83" s="2066">
        <v>4</v>
      </c>
      <c r="C83" s="2049" t="s">
        <v>1730</v>
      </c>
      <c r="D83" s="2049"/>
      <c r="E83" s="2093">
        <v>5500</v>
      </c>
      <c r="F83" s="2093">
        <v>5500</v>
      </c>
      <c r="G83" s="2049"/>
      <c r="H83" s="2093">
        <v>5500</v>
      </c>
      <c r="I83" s="2049"/>
      <c r="J83" s="2829">
        <f>1100+4400</f>
        <v>5500</v>
      </c>
      <c r="K83" s="2049"/>
      <c r="L83" s="2049" t="s">
        <v>2060</v>
      </c>
      <c r="M83" s="2051"/>
      <c r="N83" s="2828">
        <f t="shared" si="3"/>
        <v>0</v>
      </c>
      <c r="O83" s="2828">
        <f t="shared" si="4"/>
        <v>0</v>
      </c>
      <c r="P83" s="2828"/>
      <c r="Q83" s="2828"/>
      <c r="R83" s="2828"/>
      <c r="S83" s="2828"/>
      <c r="T83" s="2828"/>
      <c r="U83" s="2828"/>
      <c r="V83" s="2831">
        <f t="shared" si="5"/>
        <v>0</v>
      </c>
      <c r="W83" s="652">
        <v>4400</v>
      </c>
    </row>
    <row r="84" spans="1:23">
      <c r="A84" s="2048"/>
      <c r="B84" s="2049"/>
      <c r="C84" s="2049"/>
      <c r="D84" s="2049"/>
      <c r="E84" s="2093"/>
      <c r="F84" s="2050"/>
      <c r="G84" s="2049"/>
      <c r="H84" s="2049"/>
      <c r="I84" s="2049"/>
      <c r="J84" s="2049"/>
      <c r="K84" s="2049"/>
      <c r="L84" s="2049"/>
      <c r="M84" s="2051"/>
      <c r="N84" s="2828">
        <f t="shared" si="3"/>
        <v>0</v>
      </c>
      <c r="O84" s="2828">
        <f t="shared" si="4"/>
        <v>0</v>
      </c>
      <c r="P84" s="2828"/>
      <c r="Q84" s="2828"/>
      <c r="R84" s="2828"/>
      <c r="S84" s="2828"/>
      <c r="T84" s="2828"/>
      <c r="U84" s="2828"/>
      <c r="V84" s="2831">
        <f t="shared" si="5"/>
        <v>0</v>
      </c>
    </row>
    <row r="85" spans="1:23">
      <c r="A85" s="2054" t="s">
        <v>1734</v>
      </c>
      <c r="B85" s="2055"/>
      <c r="C85" s="2055"/>
      <c r="D85" s="2055"/>
      <c r="E85" s="2933">
        <f>+SUBTOTAL(9,E86:E96)</f>
        <v>351150</v>
      </c>
      <c r="F85" s="2056">
        <f>+SUBTOTAL(9,F86:F96)</f>
        <v>351150</v>
      </c>
      <c r="G85" s="2055"/>
      <c r="H85" s="2056">
        <f>+SUBTOTAL(9,H86:H96)</f>
        <v>351150</v>
      </c>
      <c r="I85" s="2055"/>
      <c r="J85" s="3231">
        <f>+SUBTOTAL(9,J86:J96)</f>
        <v>351150</v>
      </c>
      <c r="K85" s="2055"/>
      <c r="L85" s="2055"/>
      <c r="M85" s="2057" t="s">
        <v>2249</v>
      </c>
      <c r="N85" s="2828">
        <f>+J85-F85</f>
        <v>0</v>
      </c>
      <c r="O85" s="2828">
        <f t="shared" si="4"/>
        <v>0</v>
      </c>
      <c r="P85" s="2828"/>
      <c r="Q85" s="2828"/>
      <c r="R85" s="2828"/>
      <c r="S85" s="2828"/>
      <c r="T85" s="2828"/>
      <c r="U85" s="2828"/>
      <c r="V85" s="2831">
        <f t="shared" si="5"/>
        <v>0</v>
      </c>
    </row>
    <row r="86" spans="1:23">
      <c r="A86" s="2048"/>
      <c r="B86" s="2066"/>
      <c r="C86" s="2049" t="s">
        <v>1735</v>
      </c>
      <c r="D86" s="2049"/>
      <c r="E86" s="2093"/>
      <c r="F86" s="2050"/>
      <c r="G86" s="2049"/>
      <c r="H86" s="2049"/>
      <c r="I86" s="2049"/>
      <c r="J86" s="2049"/>
      <c r="K86" s="2049"/>
      <c r="L86" s="2049"/>
      <c r="M86" s="2051"/>
      <c r="N86" s="2828">
        <f t="shared" si="3"/>
        <v>0</v>
      </c>
      <c r="O86" s="2828">
        <f t="shared" si="4"/>
        <v>0</v>
      </c>
      <c r="P86" s="2828"/>
      <c r="Q86" s="2828"/>
      <c r="R86" s="2828"/>
      <c r="S86" s="2828"/>
      <c r="T86" s="2828"/>
      <c r="U86" s="2828"/>
      <c r="V86" s="2831">
        <f t="shared" si="5"/>
        <v>0</v>
      </c>
    </row>
    <row r="87" spans="1:23">
      <c r="A87" s="2048"/>
      <c r="B87" s="2066">
        <v>1</v>
      </c>
      <c r="C87" s="2049" t="s">
        <v>1714</v>
      </c>
      <c r="D87" s="2049"/>
      <c r="E87" s="2093">
        <v>77472</v>
      </c>
      <c r="F87" s="2050">
        <v>77472</v>
      </c>
      <c r="G87" s="2049"/>
      <c r="H87" s="2050">
        <f>61977.6+15494.4</f>
        <v>77472</v>
      </c>
      <c r="I87" s="2049"/>
      <c r="J87" s="2050">
        <f>61977.6+15494.4</f>
        <v>77472</v>
      </c>
      <c r="K87" s="2049"/>
      <c r="L87" s="2049" t="s">
        <v>2065</v>
      </c>
      <c r="M87" s="2051" t="s">
        <v>1736</v>
      </c>
      <c r="N87" s="2828">
        <f t="shared" si="3"/>
        <v>0</v>
      </c>
      <c r="O87" s="2828">
        <f t="shared" si="4"/>
        <v>0</v>
      </c>
      <c r="P87" s="2828"/>
      <c r="Q87" s="2828"/>
      <c r="R87" s="2828"/>
      <c r="S87" s="2828"/>
      <c r="T87" s="2828"/>
      <c r="U87" s="2828"/>
      <c r="V87" s="2831">
        <f t="shared" si="5"/>
        <v>0</v>
      </c>
    </row>
    <row r="88" spans="1:23">
      <c r="A88" s="2048"/>
      <c r="B88" s="2066">
        <v>2</v>
      </c>
      <c r="C88" s="2049" t="s">
        <v>1715</v>
      </c>
      <c r="D88" s="2049"/>
      <c r="E88" s="2093">
        <v>77472</v>
      </c>
      <c r="F88" s="2050">
        <v>77472</v>
      </c>
      <c r="G88" s="2049"/>
      <c r="H88" s="2050">
        <f>61977.6+15494.4</f>
        <v>77472</v>
      </c>
      <c r="I88" s="2049"/>
      <c r="J88" s="2050">
        <f>61977.6+15494.4</f>
        <v>77472</v>
      </c>
      <c r="K88" s="2049"/>
      <c r="L88" s="2049" t="s">
        <v>2066</v>
      </c>
      <c r="M88" s="2051"/>
      <c r="N88" s="2828">
        <f t="shared" si="3"/>
        <v>0</v>
      </c>
      <c r="O88" s="2828">
        <f t="shared" si="4"/>
        <v>0</v>
      </c>
      <c r="P88" s="2828"/>
      <c r="Q88" s="2828"/>
      <c r="R88" s="2828"/>
      <c r="S88" s="2828"/>
      <c r="T88" s="2828"/>
      <c r="U88" s="2828"/>
      <c r="V88" s="2831">
        <f t="shared" si="5"/>
        <v>0</v>
      </c>
    </row>
    <row r="89" spans="1:23">
      <c r="A89" s="2048"/>
      <c r="B89" s="2066">
        <v>3</v>
      </c>
      <c r="C89" s="2049" t="s">
        <v>1737</v>
      </c>
      <c r="D89" s="2049"/>
      <c r="E89" s="2093">
        <v>38736</v>
      </c>
      <c r="F89" s="2093">
        <v>38736</v>
      </c>
      <c r="G89" s="2049"/>
      <c r="H89" s="2093">
        <f>30988.8+7747.2</f>
        <v>38736</v>
      </c>
      <c r="I89" s="2049"/>
      <c r="J89" s="2093">
        <f>30988.8+7747.2</f>
        <v>38736</v>
      </c>
      <c r="K89" s="2049"/>
      <c r="L89" s="2049" t="s">
        <v>2067</v>
      </c>
      <c r="M89" s="2051"/>
      <c r="N89" s="2828">
        <f t="shared" si="3"/>
        <v>0</v>
      </c>
      <c r="O89" s="2828">
        <f t="shared" si="4"/>
        <v>0</v>
      </c>
      <c r="P89" s="2828"/>
      <c r="Q89" s="2828"/>
      <c r="R89" s="2828"/>
      <c r="S89" s="2828"/>
      <c r="T89" s="2828"/>
      <c r="U89" s="2828"/>
      <c r="V89" s="2831">
        <f t="shared" si="5"/>
        <v>0</v>
      </c>
    </row>
    <row r="90" spans="1:23">
      <c r="A90" s="2048"/>
      <c r="B90" s="2066"/>
      <c r="C90" s="2049" t="s">
        <v>1738</v>
      </c>
      <c r="D90" s="2049"/>
      <c r="E90" s="2093"/>
      <c r="F90" s="2050"/>
      <c r="G90" s="2049"/>
      <c r="H90" s="2049"/>
      <c r="I90" s="2049"/>
      <c r="J90" s="2049"/>
      <c r="K90" s="2049"/>
      <c r="L90" s="2049"/>
      <c r="M90" s="2051"/>
      <c r="N90" s="2828">
        <f t="shared" si="3"/>
        <v>0</v>
      </c>
      <c r="O90" s="2828">
        <f t="shared" si="4"/>
        <v>0</v>
      </c>
      <c r="P90" s="2828"/>
      <c r="Q90" s="2828"/>
      <c r="R90" s="2828"/>
      <c r="S90" s="2828"/>
      <c r="T90" s="2828"/>
      <c r="U90" s="2828"/>
      <c r="V90" s="2831">
        <f t="shared" si="5"/>
        <v>0</v>
      </c>
    </row>
    <row r="91" spans="1:23">
      <c r="A91" s="2048"/>
      <c r="B91" s="2066">
        <v>4</v>
      </c>
      <c r="C91" s="2049" t="s">
        <v>1739</v>
      </c>
      <c r="D91" s="2049"/>
      <c r="E91" s="2093">
        <v>25000</v>
      </c>
      <c r="F91" s="2050">
        <v>25000</v>
      </c>
      <c r="G91" s="2049"/>
      <c r="H91" s="2050">
        <v>25000</v>
      </c>
      <c r="I91" s="2049"/>
      <c r="J91" s="2050">
        <v>25000</v>
      </c>
      <c r="K91" s="2049"/>
      <c r="L91" s="2049" t="s">
        <v>1978</v>
      </c>
      <c r="M91" s="2051"/>
      <c r="N91" s="2828">
        <f t="shared" si="3"/>
        <v>0</v>
      </c>
      <c r="O91" s="2828">
        <f t="shared" si="4"/>
        <v>0</v>
      </c>
      <c r="P91" s="2828"/>
      <c r="Q91" s="2828"/>
      <c r="R91" s="2828"/>
      <c r="S91" s="2828"/>
      <c r="T91" s="2828"/>
      <c r="U91" s="2828"/>
      <c r="V91" s="2831">
        <f t="shared" si="5"/>
        <v>0</v>
      </c>
    </row>
    <row r="92" spans="1:23">
      <c r="A92" s="2048"/>
      <c r="B92" s="2066">
        <v>5</v>
      </c>
      <c r="C92" s="2049" t="s">
        <v>1740</v>
      </c>
      <c r="D92" s="2049"/>
      <c r="E92" s="2093">
        <v>25000</v>
      </c>
      <c r="F92" s="2050">
        <v>25000</v>
      </c>
      <c r="G92" s="2049"/>
      <c r="H92" s="2050">
        <v>25000</v>
      </c>
      <c r="I92" s="2049"/>
      <c r="J92" s="2827">
        <v>25000</v>
      </c>
      <c r="K92" s="2049"/>
      <c r="L92" s="2049" t="s">
        <v>1977</v>
      </c>
      <c r="M92" s="2051"/>
      <c r="N92" s="2828">
        <f t="shared" si="3"/>
        <v>0</v>
      </c>
      <c r="O92" s="2828">
        <f t="shared" si="4"/>
        <v>0</v>
      </c>
      <c r="P92" s="2828"/>
      <c r="Q92" s="2828"/>
      <c r="R92" s="2828"/>
      <c r="S92" s="2828"/>
      <c r="T92" s="2828"/>
      <c r="U92" s="2828"/>
      <c r="V92" s="2831">
        <f t="shared" si="5"/>
        <v>0</v>
      </c>
    </row>
    <row r="93" spans="1:23">
      <c r="A93" s="2048"/>
      <c r="B93" s="2066"/>
      <c r="C93" s="2049" t="s">
        <v>1733</v>
      </c>
      <c r="D93" s="2049"/>
      <c r="E93" s="2093"/>
      <c r="F93" s="2050"/>
      <c r="G93" s="2049"/>
      <c r="H93" s="2049"/>
      <c r="I93" s="2049"/>
      <c r="J93" s="2049"/>
      <c r="K93" s="2049"/>
      <c r="L93" s="2049"/>
      <c r="M93" s="2051"/>
      <c r="N93" s="2828">
        <f t="shared" si="3"/>
        <v>0</v>
      </c>
      <c r="O93" s="2828">
        <f t="shared" si="4"/>
        <v>0</v>
      </c>
      <c r="P93" s="2828"/>
      <c r="Q93" s="2828"/>
      <c r="R93" s="2828"/>
      <c r="S93" s="2828"/>
      <c r="T93" s="2828"/>
      <c r="U93" s="2828"/>
      <c r="V93" s="2831">
        <f t="shared" si="5"/>
        <v>0</v>
      </c>
    </row>
    <row r="94" spans="1:23">
      <c r="A94" s="2048"/>
      <c r="B94" s="2066">
        <v>6</v>
      </c>
      <c r="C94" s="2049" t="s">
        <v>1714</v>
      </c>
      <c r="D94" s="2049"/>
      <c r="E94" s="2093">
        <v>42988</v>
      </c>
      <c r="F94" s="2050">
        <v>42988</v>
      </c>
      <c r="G94" s="2049"/>
      <c r="H94" s="2050">
        <f>34390.4+8597.6</f>
        <v>42988</v>
      </c>
      <c r="I94" s="2049"/>
      <c r="J94" s="2050">
        <f>34390.4+8597.6</f>
        <v>42988</v>
      </c>
      <c r="K94" s="2049"/>
      <c r="L94" s="2049" t="s">
        <v>2065</v>
      </c>
      <c r="M94" s="2051" t="s">
        <v>1736</v>
      </c>
      <c r="N94" s="2828">
        <f t="shared" si="3"/>
        <v>0</v>
      </c>
      <c r="O94" s="2828">
        <f t="shared" si="4"/>
        <v>0</v>
      </c>
      <c r="P94" s="2828"/>
      <c r="Q94" s="2828"/>
      <c r="R94" s="2828"/>
      <c r="S94" s="2828"/>
      <c r="T94" s="2828"/>
      <c r="U94" s="2828"/>
      <c r="V94" s="2831">
        <f t="shared" si="5"/>
        <v>0</v>
      </c>
    </row>
    <row r="95" spans="1:23">
      <c r="A95" s="2048"/>
      <c r="B95" s="2066">
        <v>7</v>
      </c>
      <c r="C95" s="2049" t="s">
        <v>1715</v>
      </c>
      <c r="D95" s="2049"/>
      <c r="E95" s="2093">
        <v>42988</v>
      </c>
      <c r="F95" s="2050">
        <v>42988</v>
      </c>
      <c r="G95" s="2049"/>
      <c r="H95" s="2050">
        <f>34390.4+8597.6</f>
        <v>42988</v>
      </c>
      <c r="I95" s="2049"/>
      <c r="J95" s="2050">
        <f>34390.4+8597.6</f>
        <v>42988</v>
      </c>
      <c r="K95" s="2049"/>
      <c r="L95" s="2049" t="s">
        <v>2066</v>
      </c>
      <c r="M95" s="2051"/>
      <c r="N95" s="2828">
        <f t="shared" si="3"/>
        <v>0</v>
      </c>
      <c r="O95" s="2828">
        <f t="shared" si="4"/>
        <v>0</v>
      </c>
      <c r="P95" s="2828"/>
      <c r="Q95" s="2828"/>
      <c r="R95" s="2828"/>
      <c r="S95" s="2828"/>
      <c r="T95" s="2828"/>
      <c r="U95" s="2828"/>
      <c r="V95" s="2831">
        <f t="shared" si="5"/>
        <v>0</v>
      </c>
    </row>
    <row r="96" spans="1:23">
      <c r="A96" s="2048"/>
      <c r="B96" s="2066">
        <v>8</v>
      </c>
      <c r="C96" s="2049" t="s">
        <v>1737</v>
      </c>
      <c r="D96" s="2049"/>
      <c r="E96" s="2093">
        <v>21494</v>
      </c>
      <c r="F96" s="2093">
        <v>21494</v>
      </c>
      <c r="G96" s="2049"/>
      <c r="H96" s="2050">
        <f>17195.2+4298.8</f>
        <v>21494</v>
      </c>
      <c r="I96" s="2049"/>
      <c r="J96" s="2050">
        <f>17195.2+4298.8</f>
        <v>21494</v>
      </c>
      <c r="K96" s="2049"/>
      <c r="L96" s="2049" t="s">
        <v>2067</v>
      </c>
      <c r="M96" s="2051"/>
      <c r="N96" s="2828">
        <f t="shared" si="3"/>
        <v>0</v>
      </c>
      <c r="O96" s="2828">
        <f t="shared" si="4"/>
        <v>0</v>
      </c>
      <c r="P96" s="2828"/>
      <c r="Q96" s="2828"/>
      <c r="R96" s="2828"/>
      <c r="S96" s="2828"/>
      <c r="T96" s="2828"/>
      <c r="U96" s="2828"/>
      <c r="V96" s="2831">
        <f t="shared" si="5"/>
        <v>0</v>
      </c>
    </row>
    <row r="97" spans="1:22">
      <c r="A97" s="2048"/>
      <c r="B97" s="2066"/>
      <c r="C97" s="2049"/>
      <c r="D97" s="2049"/>
      <c r="E97" s="2093"/>
      <c r="F97" s="2093"/>
      <c r="G97" s="2049"/>
      <c r="H97" s="2049"/>
      <c r="I97" s="2049"/>
      <c r="J97" s="2049"/>
      <c r="K97" s="2049"/>
      <c r="L97" s="2049"/>
      <c r="M97" s="2051"/>
      <c r="N97" s="2828">
        <f t="shared" si="3"/>
        <v>0</v>
      </c>
      <c r="O97" s="2828">
        <f t="shared" si="4"/>
        <v>0</v>
      </c>
      <c r="P97" s="2828"/>
      <c r="Q97" s="2828"/>
      <c r="R97" s="2828"/>
      <c r="S97" s="2828"/>
      <c r="T97" s="2828"/>
      <c r="U97" s="2828"/>
      <c r="V97" s="2831"/>
    </row>
    <row r="98" spans="1:22">
      <c r="A98" s="2054" t="s">
        <v>2154</v>
      </c>
      <c r="B98" s="2066"/>
      <c r="C98" s="2049"/>
      <c r="D98" s="2049"/>
      <c r="E98" s="2092">
        <f>SUM(E99:E122)</f>
        <v>413184</v>
      </c>
      <c r="F98" s="2092">
        <f>SUM(F99:F122)</f>
        <v>371865.59999999998</v>
      </c>
      <c r="G98" s="2055"/>
      <c r="H98" s="2092">
        <f>SUM(H99:H122)</f>
        <v>330547.19999999995</v>
      </c>
      <c r="I98" s="2055"/>
      <c r="J98" s="2092">
        <f>SUM(J99:J122)</f>
        <v>330547.19999999995</v>
      </c>
      <c r="K98" s="2049"/>
      <c r="L98" s="2049"/>
      <c r="M98" s="2051"/>
      <c r="N98" s="2828">
        <f t="shared" si="3"/>
        <v>-41318.400000000023</v>
      </c>
      <c r="O98" s="2828">
        <f t="shared" si="4"/>
        <v>-82636.800000000047</v>
      </c>
      <c r="P98" s="2828">
        <v>206592</v>
      </c>
      <c r="Q98" s="2828">
        <f>+P98-J98</f>
        <v>-123955.19999999995</v>
      </c>
      <c r="R98" s="2828"/>
      <c r="S98" s="2828">
        <f>+J98/2</f>
        <v>165273.59999999998</v>
      </c>
      <c r="T98" s="2828"/>
      <c r="U98" s="2828"/>
      <c r="V98" s="2831"/>
    </row>
    <row r="99" spans="1:22">
      <c r="A99" s="2048"/>
      <c r="B99" s="2066">
        <v>1</v>
      </c>
      <c r="C99" s="2049" t="s">
        <v>2157</v>
      </c>
      <c r="D99" s="2049"/>
      <c r="E99" s="2093"/>
      <c r="F99" s="2093"/>
      <c r="G99" s="2049"/>
      <c r="H99" s="2049"/>
      <c r="I99" s="2049"/>
      <c r="J99" s="2049"/>
      <c r="K99" s="2049"/>
      <c r="L99" s="2049"/>
      <c r="M99" s="2051"/>
      <c r="N99" s="2828">
        <f t="shared" si="3"/>
        <v>0</v>
      </c>
      <c r="O99" s="2828">
        <f t="shared" si="4"/>
        <v>0</v>
      </c>
      <c r="P99" s="2828"/>
      <c r="Q99" s="2828"/>
      <c r="R99" s="2828"/>
      <c r="S99" s="2828"/>
      <c r="T99" s="2828"/>
      <c r="U99" s="2828"/>
      <c r="V99" s="2831"/>
    </row>
    <row r="100" spans="1:22">
      <c r="A100" s="2048"/>
      <c r="B100" s="2066"/>
      <c r="C100" s="2049" t="s">
        <v>2155</v>
      </c>
      <c r="D100" s="2049"/>
      <c r="E100" s="2093">
        <v>16500</v>
      </c>
      <c r="F100" s="2050">
        <f>13200+3300</f>
        <v>16500</v>
      </c>
      <c r="G100" s="2050"/>
      <c r="H100" s="2050">
        <v>13200</v>
      </c>
      <c r="I100" s="2050"/>
      <c r="J100" s="2050">
        <v>13200</v>
      </c>
      <c r="K100" s="2049"/>
      <c r="L100" s="2049"/>
      <c r="M100" s="2051"/>
      <c r="N100" s="2828">
        <f t="shared" si="3"/>
        <v>-3300</v>
      </c>
      <c r="O100" s="2828">
        <f t="shared" si="4"/>
        <v>-3300</v>
      </c>
      <c r="P100" s="2828">
        <f>-O100*50%</f>
        <v>1650</v>
      </c>
      <c r="Q100" s="2828">
        <f>+P100</f>
        <v>1650</v>
      </c>
      <c r="R100" s="2828"/>
      <c r="S100" s="2828"/>
      <c r="T100" s="2828"/>
      <c r="U100" s="2828"/>
      <c r="V100" s="2831"/>
    </row>
    <row r="101" spans="1:22">
      <c r="A101" s="2048"/>
      <c r="B101" s="2066"/>
      <c r="C101" s="2049" t="s">
        <v>2156</v>
      </c>
      <c r="D101" s="2049"/>
      <c r="E101" s="2093">
        <v>16500</v>
      </c>
      <c r="F101" s="2050">
        <v>13200</v>
      </c>
      <c r="G101" s="2050"/>
      <c r="H101" s="2050">
        <v>13200</v>
      </c>
      <c r="I101" s="2050"/>
      <c r="J101" s="2050">
        <v>13200</v>
      </c>
      <c r="K101" s="2049"/>
      <c r="L101" s="2049"/>
      <c r="M101" s="2051"/>
      <c r="N101" s="2828">
        <f t="shared" si="3"/>
        <v>0</v>
      </c>
      <c r="O101" s="2828">
        <f t="shared" si="4"/>
        <v>-3300</v>
      </c>
      <c r="P101" s="2828"/>
      <c r="Q101" s="2828"/>
      <c r="R101" s="2828">
        <f>-O101</f>
        <v>3300</v>
      </c>
      <c r="S101" s="2828"/>
      <c r="T101" s="2828"/>
      <c r="U101" s="2828"/>
      <c r="V101" s="2831"/>
    </row>
    <row r="102" spans="1:22">
      <c r="A102" s="2048"/>
      <c r="B102" s="2066">
        <v>2</v>
      </c>
      <c r="C102" s="2049" t="s">
        <v>2158</v>
      </c>
      <c r="D102" s="2049"/>
      <c r="E102" s="2093"/>
      <c r="F102" s="2093"/>
      <c r="G102" s="2049"/>
      <c r="H102" s="2049"/>
      <c r="I102" s="2049"/>
      <c r="J102" s="2049"/>
      <c r="K102" s="2049"/>
      <c r="L102" s="2049"/>
      <c r="M102" s="2051"/>
      <c r="N102" s="2828">
        <f t="shared" si="3"/>
        <v>0</v>
      </c>
      <c r="O102" s="2828">
        <f t="shared" si="4"/>
        <v>0</v>
      </c>
      <c r="P102" s="2828"/>
      <c r="Q102" s="2828"/>
      <c r="R102" s="2828"/>
      <c r="S102" s="2828"/>
      <c r="T102" s="2828"/>
      <c r="U102" s="2828"/>
      <c r="V102" s="2831"/>
    </row>
    <row r="103" spans="1:22">
      <c r="A103" s="2048"/>
      <c r="B103" s="2066"/>
      <c r="C103" s="2049" t="s">
        <v>2155</v>
      </c>
      <c r="D103" s="2049"/>
      <c r="E103" s="2093">
        <v>25000</v>
      </c>
      <c r="F103" s="2093">
        <f>20000+5000</f>
        <v>25000</v>
      </c>
      <c r="G103" s="2049"/>
      <c r="H103" s="2093">
        <v>20000</v>
      </c>
      <c r="I103" s="2049"/>
      <c r="J103" s="2093">
        <v>20000</v>
      </c>
      <c r="K103" s="2049"/>
      <c r="L103" s="2049"/>
      <c r="M103" s="2051"/>
      <c r="N103" s="2828">
        <f t="shared" si="3"/>
        <v>-5000</v>
      </c>
      <c r="O103" s="2828">
        <f t="shared" si="4"/>
        <v>-5000</v>
      </c>
      <c r="P103" s="2828">
        <f>-O103*50%</f>
        <v>2500</v>
      </c>
      <c r="Q103" s="2828">
        <f>+P103</f>
        <v>2500</v>
      </c>
      <c r="R103" s="2828">
        <f>-O103</f>
        <v>5000</v>
      </c>
      <c r="S103" s="2828"/>
      <c r="T103" s="2828"/>
      <c r="U103" s="2828"/>
      <c r="V103" s="2831"/>
    </row>
    <row r="104" spans="1:22">
      <c r="A104" s="2048"/>
      <c r="B104" s="2066"/>
      <c r="C104" s="2049" t="s">
        <v>2156</v>
      </c>
      <c r="D104" s="2049"/>
      <c r="E104" s="2093">
        <v>25000</v>
      </c>
      <c r="F104" s="2093">
        <v>20000</v>
      </c>
      <c r="G104" s="2049"/>
      <c r="H104" s="2093">
        <v>20000</v>
      </c>
      <c r="I104" s="2049"/>
      <c r="J104" s="2093">
        <v>20000</v>
      </c>
      <c r="K104" s="2049"/>
      <c r="L104" s="2049"/>
      <c r="M104" s="2051"/>
      <c r="N104" s="2828">
        <f t="shared" si="3"/>
        <v>0</v>
      </c>
      <c r="O104" s="2828">
        <f t="shared" si="4"/>
        <v>-5000</v>
      </c>
      <c r="P104" s="2828"/>
      <c r="Q104" s="2828"/>
      <c r="R104" s="2828"/>
      <c r="S104" s="2828"/>
      <c r="T104" s="2828"/>
      <c r="U104" s="2828"/>
      <c r="V104" s="2831"/>
    </row>
    <row r="105" spans="1:22">
      <c r="A105" s="2048"/>
      <c r="B105" s="2066">
        <v>3</v>
      </c>
      <c r="C105" s="2049" t="s">
        <v>2159</v>
      </c>
      <c r="D105" s="2049"/>
      <c r="E105" s="2093"/>
      <c r="F105" s="2093"/>
      <c r="G105" s="2049"/>
      <c r="H105" s="2049"/>
      <c r="I105" s="2049"/>
      <c r="J105" s="2049"/>
      <c r="K105" s="2049"/>
      <c r="L105" s="2049"/>
      <c r="M105" s="2051"/>
      <c r="N105" s="2828">
        <f t="shared" si="3"/>
        <v>0</v>
      </c>
      <c r="O105" s="2828">
        <f t="shared" si="4"/>
        <v>0</v>
      </c>
      <c r="P105" s="2828"/>
      <c r="Q105" s="2828"/>
      <c r="R105" s="2828"/>
      <c r="S105" s="2828"/>
      <c r="T105" s="2828"/>
      <c r="U105" s="2828"/>
      <c r="V105" s="2831"/>
    </row>
    <row r="106" spans="1:22">
      <c r="A106" s="2048"/>
      <c r="B106" s="2066"/>
      <c r="C106" s="2049" t="s">
        <v>2155</v>
      </c>
      <c r="D106" s="2049"/>
      <c r="E106" s="2093">
        <v>47500</v>
      </c>
      <c r="F106" s="2093">
        <f>38000+9500</f>
        <v>47500</v>
      </c>
      <c r="G106" s="2049"/>
      <c r="H106" s="2093">
        <v>38000</v>
      </c>
      <c r="I106" s="2049"/>
      <c r="J106" s="2093">
        <v>38000</v>
      </c>
      <c r="K106" s="2049"/>
      <c r="L106" s="2049"/>
      <c r="M106" s="2051"/>
      <c r="N106" s="2828">
        <f t="shared" si="3"/>
        <v>-9500</v>
      </c>
      <c r="O106" s="2828">
        <f t="shared" si="4"/>
        <v>-9500</v>
      </c>
      <c r="P106" s="2828">
        <f>-O106*50%</f>
        <v>4750</v>
      </c>
      <c r="Q106" s="2828">
        <f>+P106</f>
        <v>4750</v>
      </c>
      <c r="R106" s="2828">
        <f>-O106</f>
        <v>9500</v>
      </c>
      <c r="S106" s="2828"/>
      <c r="T106" s="2828"/>
      <c r="U106" s="2828"/>
      <c r="V106" s="2831"/>
    </row>
    <row r="107" spans="1:22">
      <c r="A107" s="2048"/>
      <c r="B107" s="2066"/>
      <c r="C107" s="2049" t="s">
        <v>2156</v>
      </c>
      <c r="D107" s="2049"/>
      <c r="E107" s="2093">
        <v>47500</v>
      </c>
      <c r="F107" s="2093">
        <v>38000</v>
      </c>
      <c r="G107" s="2049"/>
      <c r="H107" s="2093">
        <v>38000</v>
      </c>
      <c r="I107" s="2049"/>
      <c r="J107" s="2093">
        <v>38000</v>
      </c>
      <c r="K107" s="2049"/>
      <c r="L107" s="2049"/>
      <c r="M107" s="2051"/>
      <c r="N107" s="2828">
        <f t="shared" si="3"/>
        <v>0</v>
      </c>
      <c r="O107" s="2828">
        <f t="shared" si="4"/>
        <v>-9500</v>
      </c>
      <c r="P107" s="2828"/>
      <c r="Q107" s="2828"/>
      <c r="R107" s="2828"/>
      <c r="S107" s="2828"/>
      <c r="T107" s="2828"/>
      <c r="U107" s="2828"/>
      <c r="V107" s="2831"/>
    </row>
    <row r="108" spans="1:22">
      <c r="A108" s="2048"/>
      <c r="B108" s="2066">
        <v>4</v>
      </c>
      <c r="C108" s="2049" t="s">
        <v>2160</v>
      </c>
      <c r="D108" s="2049"/>
      <c r="E108" s="2093"/>
      <c r="F108" s="2093"/>
      <c r="G108" s="2049"/>
      <c r="H108" s="2049"/>
      <c r="I108" s="2049"/>
      <c r="J108" s="2049"/>
      <c r="K108" s="2049"/>
      <c r="L108" s="2049"/>
      <c r="M108" s="2051"/>
      <c r="N108" s="2828">
        <f t="shared" si="3"/>
        <v>0</v>
      </c>
      <c r="O108" s="2828">
        <f t="shared" si="4"/>
        <v>0</v>
      </c>
      <c r="P108" s="2828"/>
      <c r="Q108" s="2828"/>
      <c r="R108" s="2828"/>
      <c r="S108" s="2828"/>
      <c r="T108" s="2828"/>
      <c r="U108" s="2828"/>
      <c r="V108" s="2831"/>
    </row>
    <row r="109" spans="1:22">
      <c r="A109" s="2048"/>
      <c r="B109" s="2066"/>
      <c r="C109" s="2049" t="s">
        <v>2155</v>
      </c>
      <c r="D109" s="2049"/>
      <c r="E109" s="2093">
        <v>36500</v>
      </c>
      <c r="F109" s="2093">
        <f>29200+7300</f>
        <v>36500</v>
      </c>
      <c r="G109" s="2049"/>
      <c r="H109" s="2093">
        <v>29200</v>
      </c>
      <c r="I109" s="2049"/>
      <c r="J109" s="2093">
        <v>29200</v>
      </c>
      <c r="K109" s="2049"/>
      <c r="L109" s="2049"/>
      <c r="M109" s="2051"/>
      <c r="N109" s="2828">
        <f t="shared" si="3"/>
        <v>-7300</v>
      </c>
      <c r="O109" s="2828">
        <f t="shared" si="4"/>
        <v>-7300</v>
      </c>
      <c r="P109" s="2828">
        <f>-O109*50%</f>
        <v>3650</v>
      </c>
      <c r="Q109" s="2828">
        <f>+P109</f>
        <v>3650</v>
      </c>
      <c r="R109" s="2828">
        <f>-O109</f>
        <v>7300</v>
      </c>
      <c r="S109" s="2828"/>
      <c r="T109" s="2828"/>
      <c r="U109" s="2828"/>
      <c r="V109" s="2831"/>
    </row>
    <row r="110" spans="1:22">
      <c r="A110" s="2048"/>
      <c r="B110" s="2066"/>
      <c r="C110" s="2049" t="s">
        <v>2156</v>
      </c>
      <c r="D110" s="2049"/>
      <c r="E110" s="2093">
        <v>36500</v>
      </c>
      <c r="F110" s="2093">
        <v>29200</v>
      </c>
      <c r="G110" s="2049"/>
      <c r="H110" s="2093">
        <v>29200</v>
      </c>
      <c r="I110" s="2049"/>
      <c r="J110" s="2093">
        <v>29200</v>
      </c>
      <c r="K110" s="2049"/>
      <c r="L110" s="2049"/>
      <c r="M110" s="2051"/>
      <c r="N110" s="2828">
        <f t="shared" si="3"/>
        <v>0</v>
      </c>
      <c r="O110" s="2828">
        <f t="shared" si="4"/>
        <v>-7300</v>
      </c>
      <c r="P110" s="2828"/>
      <c r="Q110" s="2828"/>
      <c r="R110" s="2828"/>
      <c r="S110" s="2828"/>
      <c r="T110" s="2828"/>
      <c r="U110" s="2828"/>
      <c r="V110" s="2831"/>
    </row>
    <row r="111" spans="1:22">
      <c r="A111" s="2048"/>
      <c r="B111" s="2066">
        <v>5</v>
      </c>
      <c r="C111" s="2049" t="s">
        <v>2161</v>
      </c>
      <c r="D111" s="2049"/>
      <c r="E111" s="2093"/>
      <c r="F111" s="2093"/>
      <c r="G111" s="2049"/>
      <c r="H111" s="2049"/>
      <c r="I111" s="2049"/>
      <c r="J111" s="2049"/>
      <c r="K111" s="2049"/>
      <c r="L111" s="2049"/>
      <c r="M111" s="2051"/>
      <c r="N111" s="2828">
        <f t="shared" si="3"/>
        <v>0</v>
      </c>
      <c r="O111" s="2828">
        <f t="shared" si="4"/>
        <v>0</v>
      </c>
      <c r="P111" s="2828"/>
      <c r="Q111" s="2828"/>
      <c r="R111" s="2828"/>
      <c r="S111" s="2828"/>
      <c r="T111" s="2828"/>
      <c r="U111" s="2828"/>
      <c r="V111" s="2831"/>
    </row>
    <row r="112" spans="1:22">
      <c r="A112" s="2048"/>
      <c r="B112" s="2066"/>
      <c r="C112" s="2049" t="s">
        <v>2155</v>
      </c>
      <c r="D112" s="2049"/>
      <c r="E112" s="2093">
        <v>10000</v>
      </c>
      <c r="F112" s="2093">
        <f>8000+2000</f>
        <v>10000</v>
      </c>
      <c r="G112" s="2049"/>
      <c r="H112" s="2093">
        <v>8000</v>
      </c>
      <c r="I112" s="2049"/>
      <c r="J112" s="2093">
        <v>8000</v>
      </c>
      <c r="K112" s="2049"/>
      <c r="L112" s="2049"/>
      <c r="M112" s="2051"/>
      <c r="N112" s="2828">
        <f t="shared" si="3"/>
        <v>-2000</v>
      </c>
      <c r="O112" s="2828">
        <f t="shared" si="4"/>
        <v>-2000</v>
      </c>
      <c r="P112" s="2828">
        <f>-O112*50%</f>
        <v>1000</v>
      </c>
      <c r="Q112" s="2828">
        <f>+P112</f>
        <v>1000</v>
      </c>
      <c r="R112" s="2828">
        <f>-O112</f>
        <v>2000</v>
      </c>
      <c r="S112" s="2828"/>
      <c r="T112" s="2828"/>
      <c r="U112" s="2828"/>
      <c r="V112" s="2831"/>
    </row>
    <row r="113" spans="1:22">
      <c r="A113" s="2048"/>
      <c r="B113" s="2066"/>
      <c r="C113" s="2049" t="s">
        <v>2156</v>
      </c>
      <c r="D113" s="2049"/>
      <c r="E113" s="2093">
        <v>10000</v>
      </c>
      <c r="F113" s="2093">
        <v>8000</v>
      </c>
      <c r="G113" s="2049"/>
      <c r="H113" s="2093">
        <v>8000</v>
      </c>
      <c r="I113" s="2049"/>
      <c r="J113" s="2093">
        <v>8000</v>
      </c>
      <c r="K113" s="2049"/>
      <c r="L113" s="2049"/>
      <c r="M113" s="2051"/>
      <c r="N113" s="2828">
        <f t="shared" si="3"/>
        <v>0</v>
      </c>
      <c r="O113" s="2828">
        <f t="shared" si="4"/>
        <v>-2000</v>
      </c>
      <c r="P113" s="2828"/>
      <c r="Q113" s="2828"/>
      <c r="R113" s="2828"/>
      <c r="S113" s="2828"/>
      <c r="T113" s="2828"/>
      <c r="U113" s="2828"/>
      <c r="V113" s="2831"/>
    </row>
    <row r="114" spans="1:22">
      <c r="A114" s="2048"/>
      <c r="B114" s="2066">
        <v>6</v>
      </c>
      <c r="C114" s="2049" t="s">
        <v>2164</v>
      </c>
      <c r="D114" s="2049"/>
      <c r="E114" s="2093"/>
      <c r="F114" s="2093"/>
      <c r="G114" s="2049"/>
      <c r="H114" s="2049"/>
      <c r="I114" s="2049"/>
      <c r="J114" s="2049"/>
      <c r="K114" s="2049"/>
      <c r="L114" s="2049"/>
      <c r="M114" s="2051"/>
      <c r="N114" s="2828">
        <f t="shared" si="3"/>
        <v>0</v>
      </c>
      <c r="O114" s="2828">
        <f t="shared" si="4"/>
        <v>0</v>
      </c>
      <c r="P114" s="2828"/>
      <c r="Q114" s="2828"/>
      <c r="R114" s="2828"/>
      <c r="S114" s="2828"/>
      <c r="T114" s="2828"/>
      <c r="U114" s="2828"/>
      <c r="V114" s="2831"/>
    </row>
    <row r="115" spans="1:22">
      <c r="A115" s="2048"/>
      <c r="B115" s="2066"/>
      <c r="C115" s="2049" t="s">
        <v>2155</v>
      </c>
      <c r="D115" s="2049"/>
      <c r="E115" s="2093">
        <v>43000</v>
      </c>
      <c r="F115" s="2093">
        <f>34400+8600</f>
        <v>43000</v>
      </c>
      <c r="G115" s="2049"/>
      <c r="H115" s="2093">
        <v>34400</v>
      </c>
      <c r="I115" s="2049"/>
      <c r="J115" s="2093">
        <v>34400</v>
      </c>
      <c r="K115" s="2049"/>
      <c r="L115" s="2049"/>
      <c r="M115" s="2051"/>
      <c r="N115" s="2828">
        <f t="shared" si="3"/>
        <v>-8600</v>
      </c>
      <c r="O115" s="2828">
        <f t="shared" si="4"/>
        <v>-8600</v>
      </c>
      <c r="P115" s="2828">
        <f>-O115*50%</f>
        <v>4300</v>
      </c>
      <c r="Q115" s="2828">
        <f>+P115</f>
        <v>4300</v>
      </c>
      <c r="R115" s="2828">
        <f>-O115</f>
        <v>8600</v>
      </c>
      <c r="S115" s="2828"/>
      <c r="T115" s="2828"/>
      <c r="U115" s="2828"/>
      <c r="V115" s="2831"/>
    </row>
    <row r="116" spans="1:22">
      <c r="A116" s="2048"/>
      <c r="B116" s="2066"/>
      <c r="C116" s="2049" t="s">
        <v>2156</v>
      </c>
      <c r="D116" s="2049"/>
      <c r="E116" s="2093">
        <v>43000</v>
      </c>
      <c r="F116" s="2093">
        <v>34400</v>
      </c>
      <c r="G116" s="2049"/>
      <c r="H116" s="2093">
        <v>34400</v>
      </c>
      <c r="I116" s="2049"/>
      <c r="J116" s="2093">
        <v>34400</v>
      </c>
      <c r="K116" s="2049"/>
      <c r="L116" s="2049"/>
      <c r="M116" s="2051"/>
      <c r="N116" s="2828">
        <f t="shared" si="3"/>
        <v>0</v>
      </c>
      <c r="O116" s="2828">
        <f t="shared" si="4"/>
        <v>-8600</v>
      </c>
      <c r="P116" s="2828"/>
      <c r="Q116" s="2828"/>
      <c r="R116" s="2828"/>
      <c r="S116" s="2828"/>
      <c r="T116" s="2828"/>
      <c r="U116" s="2828"/>
      <c r="V116" s="2831"/>
    </row>
    <row r="117" spans="1:22">
      <c r="A117" s="2048"/>
      <c r="B117" s="2066">
        <v>7</v>
      </c>
      <c r="C117" s="2049" t="s">
        <v>2162</v>
      </c>
      <c r="D117" s="2049"/>
      <c r="E117" s="2093"/>
      <c r="F117" s="2093"/>
      <c r="G117" s="2049"/>
      <c r="H117" s="2049"/>
      <c r="I117" s="2049"/>
      <c r="J117" s="2049"/>
      <c r="K117" s="2049"/>
      <c r="L117" s="2049"/>
      <c r="M117" s="2051"/>
      <c r="N117" s="2828">
        <f t="shared" si="3"/>
        <v>0</v>
      </c>
      <c r="O117" s="2828">
        <f t="shared" si="4"/>
        <v>0</v>
      </c>
      <c r="P117" s="2828"/>
      <c r="Q117" s="2828"/>
      <c r="R117" s="2828"/>
      <c r="S117" s="2828"/>
      <c r="T117" s="2828"/>
      <c r="U117" s="2828"/>
      <c r="V117" s="2831"/>
    </row>
    <row r="118" spans="1:22">
      <c r="A118" s="2048"/>
      <c r="B118" s="2066"/>
      <c r="C118" s="2049" t="s">
        <v>2155</v>
      </c>
      <c r="D118" s="2049"/>
      <c r="E118" s="2093">
        <v>18512</v>
      </c>
      <c r="F118" s="2093">
        <f>14809.6+3702.4</f>
        <v>18512</v>
      </c>
      <c r="G118" s="2049"/>
      <c r="H118" s="2093">
        <v>14809.6</v>
      </c>
      <c r="I118" s="2049"/>
      <c r="J118" s="2093">
        <v>14809.6</v>
      </c>
      <c r="K118" s="2049"/>
      <c r="L118" s="2049"/>
      <c r="M118" s="2051"/>
      <c r="N118" s="2828">
        <f t="shared" si="3"/>
        <v>-3702.3999999999996</v>
      </c>
      <c r="O118" s="2828">
        <f t="shared" si="4"/>
        <v>-3702.3999999999996</v>
      </c>
      <c r="P118" s="2828">
        <f>-O118*50%</f>
        <v>1851.1999999999998</v>
      </c>
      <c r="Q118" s="2828">
        <f>+P118</f>
        <v>1851.1999999999998</v>
      </c>
      <c r="R118" s="2828">
        <f>-O118</f>
        <v>3702.3999999999996</v>
      </c>
      <c r="S118" s="2828"/>
      <c r="T118" s="2828"/>
      <c r="U118" s="2828"/>
      <c r="V118" s="2831"/>
    </row>
    <row r="119" spans="1:22">
      <c r="A119" s="2048"/>
      <c r="B119" s="2066"/>
      <c r="C119" s="2049" t="s">
        <v>2156</v>
      </c>
      <c r="D119" s="2049"/>
      <c r="E119" s="2093">
        <v>18512</v>
      </c>
      <c r="F119" s="2093">
        <v>14809.6</v>
      </c>
      <c r="G119" s="2049"/>
      <c r="H119" s="2093">
        <v>14809.6</v>
      </c>
      <c r="I119" s="2049"/>
      <c r="J119" s="2093">
        <v>14809.6</v>
      </c>
      <c r="K119" s="2049"/>
      <c r="L119" s="2049"/>
      <c r="M119" s="2051"/>
      <c r="N119" s="2828">
        <f t="shared" si="3"/>
        <v>0</v>
      </c>
      <c r="O119" s="2828">
        <f t="shared" si="4"/>
        <v>-3702.3999999999996</v>
      </c>
      <c r="P119" s="2828"/>
      <c r="Q119" s="2828"/>
      <c r="R119" s="2828"/>
      <c r="S119" s="2828"/>
      <c r="T119" s="2828"/>
      <c r="U119" s="2828"/>
      <c r="V119" s="2831"/>
    </row>
    <row r="120" spans="1:22">
      <c r="A120" s="2048"/>
      <c r="B120" s="2066">
        <v>8</v>
      </c>
      <c r="C120" s="2049" t="s">
        <v>2163</v>
      </c>
      <c r="D120" s="2049"/>
      <c r="E120" s="2093"/>
      <c r="F120" s="2093"/>
      <c r="G120" s="2049"/>
      <c r="H120" s="2049"/>
      <c r="I120" s="2049"/>
      <c r="J120" s="2049"/>
      <c r="K120" s="2049"/>
      <c r="L120" s="2049"/>
      <c r="M120" s="2051"/>
      <c r="N120" s="2828">
        <f t="shared" si="3"/>
        <v>0</v>
      </c>
      <c r="O120" s="2828">
        <f t="shared" si="4"/>
        <v>0</v>
      </c>
      <c r="P120" s="2828"/>
      <c r="Q120" s="2828"/>
      <c r="R120" s="2828"/>
      <c r="S120" s="2828"/>
      <c r="T120" s="2828"/>
      <c r="U120" s="2828"/>
      <c r="V120" s="2831"/>
    </row>
    <row r="121" spans="1:22">
      <c r="A121" s="2048"/>
      <c r="B121" s="2066"/>
      <c r="C121" s="2049" t="s">
        <v>2155</v>
      </c>
      <c r="D121" s="2049"/>
      <c r="E121" s="2093">
        <v>9580</v>
      </c>
      <c r="F121" s="2093">
        <f>7664+1916</f>
        <v>9580</v>
      </c>
      <c r="G121" s="2049"/>
      <c r="H121" s="2093">
        <v>7664</v>
      </c>
      <c r="I121" s="2049"/>
      <c r="J121" s="2093">
        <v>7664</v>
      </c>
      <c r="K121" s="2049"/>
      <c r="L121" s="2049"/>
      <c r="M121" s="2051"/>
      <c r="N121" s="2828">
        <f t="shared" si="3"/>
        <v>-1916</v>
      </c>
      <c r="O121" s="2828">
        <f t="shared" si="4"/>
        <v>-1916</v>
      </c>
      <c r="P121" s="2828">
        <f>-O121*50%</f>
        <v>958</v>
      </c>
      <c r="Q121" s="2828">
        <f>+P121</f>
        <v>958</v>
      </c>
      <c r="R121" s="2828">
        <f>-O121</f>
        <v>1916</v>
      </c>
      <c r="S121" s="2828"/>
      <c r="T121" s="2828"/>
      <c r="U121" s="2828"/>
      <c r="V121" s="2831"/>
    </row>
    <row r="122" spans="1:22">
      <c r="A122" s="2048"/>
      <c r="B122" s="2066"/>
      <c r="C122" s="2049" t="s">
        <v>2156</v>
      </c>
      <c r="D122" s="2049"/>
      <c r="E122" s="2093">
        <v>9580</v>
      </c>
      <c r="F122" s="2093">
        <v>7664</v>
      </c>
      <c r="G122" s="2049"/>
      <c r="H122" s="2093">
        <v>7664</v>
      </c>
      <c r="I122" s="2049"/>
      <c r="J122" s="2093">
        <v>7664</v>
      </c>
      <c r="K122" s="2049"/>
      <c r="L122" s="2049"/>
      <c r="M122" s="2051"/>
      <c r="N122" s="2828">
        <f t="shared" si="3"/>
        <v>0</v>
      </c>
      <c r="O122" s="2828">
        <f t="shared" si="4"/>
        <v>-1916</v>
      </c>
      <c r="P122" s="2828"/>
      <c r="Q122" s="2828"/>
      <c r="R122" s="2828"/>
      <c r="S122" s="2828"/>
      <c r="T122" s="2828"/>
      <c r="U122" s="2828"/>
      <c r="V122" s="2831"/>
    </row>
    <row r="123" spans="1:22">
      <c r="A123" s="2048"/>
      <c r="B123" s="2066"/>
      <c r="C123" s="2049"/>
      <c r="D123" s="2049"/>
      <c r="E123" s="2093"/>
      <c r="F123" s="2093"/>
      <c r="G123" s="2049"/>
      <c r="H123" s="2049"/>
      <c r="I123" s="2049"/>
      <c r="J123" s="2049"/>
      <c r="K123" s="2049"/>
      <c r="L123" s="2049"/>
      <c r="M123" s="2051"/>
      <c r="N123" s="2828"/>
      <c r="O123" s="2828"/>
      <c r="P123" s="2828"/>
      <c r="Q123" s="2828"/>
      <c r="R123" s="2828"/>
      <c r="S123" s="2828"/>
      <c r="T123" s="2828"/>
      <c r="U123" s="2828"/>
      <c r="V123" s="2831"/>
    </row>
    <row r="124" spans="1:22">
      <c r="A124" s="2054" t="s">
        <v>2655</v>
      </c>
      <c r="B124" s="2066"/>
      <c r="C124" s="2049"/>
      <c r="D124" s="2049"/>
      <c r="E124" s="2092">
        <f>+E125+E126</f>
        <v>194800</v>
      </c>
      <c r="F124" s="2092">
        <f>+F125+F126</f>
        <v>175320</v>
      </c>
      <c r="G124" s="2055"/>
      <c r="H124" s="2092">
        <f>+H125+H126</f>
        <v>175320</v>
      </c>
      <c r="I124" s="2055"/>
      <c r="J124" s="2092">
        <f>+J125+J126</f>
        <v>175320</v>
      </c>
      <c r="K124" s="2049"/>
      <c r="L124" s="2049"/>
      <c r="M124" s="2051"/>
      <c r="N124" s="2828"/>
      <c r="O124" s="2828"/>
      <c r="P124" s="2828"/>
      <c r="Q124" s="2828"/>
      <c r="R124" s="2828"/>
      <c r="S124" s="2828"/>
      <c r="T124" s="2828"/>
      <c r="U124" s="2828"/>
      <c r="V124" s="2831"/>
    </row>
    <row r="125" spans="1:22">
      <c r="A125" s="2048"/>
      <c r="B125" s="2066">
        <v>1</v>
      </c>
      <c r="C125" s="2049" t="s">
        <v>2656</v>
      </c>
      <c r="D125" s="2049"/>
      <c r="E125" s="2093">
        <v>97400</v>
      </c>
      <c r="F125" s="2093">
        <f>77920+19480</f>
        <v>97400</v>
      </c>
      <c r="G125" s="2049"/>
      <c r="H125" s="3240">
        <f>77920+19480</f>
        <v>97400</v>
      </c>
      <c r="I125" s="2049"/>
      <c r="J125" s="3240">
        <f>+H125</f>
        <v>97400</v>
      </c>
      <c r="K125" s="2049"/>
      <c r="L125" s="2049"/>
      <c r="M125" s="2051"/>
      <c r="N125" s="2828"/>
      <c r="O125" s="2828"/>
      <c r="P125" s="2828"/>
      <c r="Q125" s="2828"/>
      <c r="R125" s="2828"/>
      <c r="S125" s="2828"/>
      <c r="T125" s="2828"/>
      <c r="U125" s="2828"/>
      <c r="V125" s="2831"/>
    </row>
    <row r="126" spans="1:22">
      <c r="A126" s="2048"/>
      <c r="B126" s="2066">
        <v>2</v>
      </c>
      <c r="C126" s="2049" t="s">
        <v>2657</v>
      </c>
      <c r="D126" s="2049"/>
      <c r="E126" s="2093">
        <v>97400</v>
      </c>
      <c r="F126" s="2093">
        <v>77920</v>
      </c>
      <c r="G126" s="2049"/>
      <c r="H126" s="2093">
        <v>77920</v>
      </c>
      <c r="I126" s="2049"/>
      <c r="J126" s="3240">
        <f>+H126</f>
        <v>77920</v>
      </c>
      <c r="K126" s="2049"/>
      <c r="L126" s="2049"/>
      <c r="M126" s="2051"/>
      <c r="N126" s="2828"/>
      <c r="O126" s="2828"/>
      <c r="P126" s="2828"/>
      <c r="Q126" s="2828"/>
      <c r="R126" s="2828"/>
      <c r="S126" s="2828"/>
      <c r="T126" s="2828"/>
      <c r="U126" s="2828"/>
      <c r="V126" s="2831"/>
    </row>
    <row r="127" spans="1:22">
      <c r="A127" s="2048"/>
      <c r="B127" s="2049"/>
      <c r="C127" s="2049"/>
      <c r="D127" s="2049"/>
      <c r="E127" s="2050"/>
      <c r="F127" s="2050"/>
      <c r="G127" s="2049"/>
      <c r="H127" s="2049"/>
      <c r="I127" s="2049"/>
      <c r="J127" s="2049"/>
      <c r="K127" s="2049"/>
      <c r="L127" s="2049"/>
      <c r="M127" s="2051"/>
      <c r="N127" s="2828">
        <f t="shared" si="3"/>
        <v>0</v>
      </c>
      <c r="O127" s="2828">
        <f t="shared" si="4"/>
        <v>0</v>
      </c>
      <c r="P127" s="2828"/>
      <c r="Q127" s="2828"/>
      <c r="R127" s="2828"/>
      <c r="S127" s="2828"/>
      <c r="T127" s="2828"/>
      <c r="U127" s="2828"/>
      <c r="V127" s="2831">
        <f t="shared" si="5"/>
        <v>0</v>
      </c>
    </row>
    <row r="128" spans="1:22">
      <c r="A128" s="2068"/>
      <c r="B128" s="2062"/>
      <c r="C128" s="2061" t="s">
        <v>1741</v>
      </c>
      <c r="D128" s="2062"/>
      <c r="E128" s="2063">
        <f>+E85+E77+E68+E61+E57+E53+E48+E45+E38+E33+E30+E98+E124</f>
        <v>2502965.0999999996</v>
      </c>
      <c r="F128" s="2063">
        <f>+F85+F77+F68+F61+F57+F53+F48+F45+F38+F33+F30+F98+F124</f>
        <v>2238886.6999999997</v>
      </c>
      <c r="G128" s="2064">
        <f>+F128/$E128</f>
        <v>0.89449377460356916</v>
      </c>
      <c r="H128" s="2063">
        <f>+H85+H77+H68+H61+H57+H53+H48+H45+H38+H33+H30+H98+H124</f>
        <v>2197568.2999999998</v>
      </c>
      <c r="I128" s="2064">
        <f>+H128/$E128</f>
        <v>0.87798599349227846</v>
      </c>
      <c r="J128" s="2063">
        <f>+J85+J77+J68+J61+J57+J53+J48+J45+J38+J33+J30+J98+J124</f>
        <v>2197568.2999999998</v>
      </c>
      <c r="K128" s="2064">
        <f>+J128/$E128</f>
        <v>0.87798599349227846</v>
      </c>
      <c r="L128" s="2062"/>
      <c r="M128" s="2065"/>
      <c r="N128" s="2828">
        <f t="shared" si="3"/>
        <v>-41318.399999999907</v>
      </c>
      <c r="O128" s="2828">
        <f t="shared" si="4"/>
        <v>-305396.79999999981</v>
      </c>
      <c r="P128" s="2828"/>
      <c r="Q128" s="2828"/>
      <c r="R128" s="2828"/>
      <c r="S128" s="2828"/>
      <c r="T128" s="2828"/>
      <c r="U128" s="2828"/>
      <c r="V128" s="2831">
        <f t="shared" si="5"/>
        <v>-305396.79999999981</v>
      </c>
    </row>
    <row r="129" spans="1:25">
      <c r="A129" s="2048"/>
      <c r="B129" s="2049"/>
      <c r="C129" s="2049"/>
      <c r="D129" s="2049"/>
      <c r="E129" s="2050"/>
      <c r="F129" s="2050"/>
      <c r="G129" s="2049"/>
      <c r="H129" s="2049"/>
      <c r="I129" s="2049"/>
      <c r="J129" s="2049"/>
      <c r="K129" s="2049"/>
      <c r="L129" s="2049"/>
      <c r="M129" s="2051"/>
      <c r="N129" s="2828">
        <f t="shared" si="3"/>
        <v>0</v>
      </c>
      <c r="O129" s="2828">
        <f t="shared" si="4"/>
        <v>0</v>
      </c>
      <c r="P129" s="2828"/>
      <c r="Q129" s="2828"/>
      <c r="R129" s="2828"/>
      <c r="S129" s="2828"/>
      <c r="T129" s="2828"/>
      <c r="U129" s="2828"/>
      <c r="V129" s="2831">
        <f t="shared" si="5"/>
        <v>0</v>
      </c>
    </row>
    <row r="130" spans="1:25" ht="13.5" thickBot="1">
      <c r="A130" s="2048"/>
      <c r="B130" s="2049"/>
      <c r="C130" s="2049"/>
      <c r="D130" s="2049"/>
      <c r="E130" s="2050"/>
      <c r="F130" s="2050"/>
      <c r="G130" s="2049"/>
      <c r="H130" s="2049"/>
      <c r="I130" s="2049"/>
      <c r="J130" s="2049"/>
      <c r="K130" s="2049"/>
      <c r="L130" s="2049"/>
      <c r="M130" s="2051"/>
      <c r="N130" s="2828">
        <f t="shared" si="3"/>
        <v>0</v>
      </c>
      <c r="O130" s="2828">
        <f t="shared" si="4"/>
        <v>0</v>
      </c>
      <c r="P130" s="2828"/>
      <c r="Q130" s="2828"/>
      <c r="R130" s="2828"/>
      <c r="S130" s="2828"/>
      <c r="T130" s="2828"/>
      <c r="U130" s="2828"/>
      <c r="V130" s="2831">
        <f t="shared" si="5"/>
        <v>0</v>
      </c>
    </row>
    <row r="131" spans="1:25" ht="13.5" thickBot="1">
      <c r="A131" s="2069"/>
      <c r="B131" s="2070"/>
      <c r="C131" s="2071" t="s">
        <v>1742</v>
      </c>
      <c r="D131" s="2070"/>
      <c r="E131" s="2072">
        <f>+E26+E128</f>
        <v>8476773.1000000015</v>
      </c>
      <c r="F131" s="2072">
        <f>+F26+F128</f>
        <v>8182825.6500000004</v>
      </c>
      <c r="G131" s="2073">
        <f>+F131/$E131</f>
        <v>0.9653231900238074</v>
      </c>
      <c r="H131" s="2072">
        <f>+H26+H128</f>
        <v>8141507.2500000009</v>
      </c>
      <c r="I131" s="2073">
        <f>+H131/$E131</f>
        <v>0.96044888237010839</v>
      </c>
      <c r="J131" s="2072">
        <f>+J26+J128</f>
        <v>8141507.2500000009</v>
      </c>
      <c r="K131" s="2073">
        <f>+J131/$E131</f>
        <v>0.96044888237010839</v>
      </c>
      <c r="L131" s="2070"/>
      <c r="M131" s="2074"/>
      <c r="N131" s="2828">
        <f t="shared" si="3"/>
        <v>-41318.399999999441</v>
      </c>
      <c r="O131" s="2828">
        <f t="shared" si="4"/>
        <v>-335265.85000000056</v>
      </c>
      <c r="P131" s="2828"/>
      <c r="Q131" s="2828"/>
      <c r="R131" s="2828"/>
      <c r="S131" s="2828"/>
      <c r="T131" s="2828"/>
      <c r="U131" s="2828"/>
      <c r="V131" s="2831">
        <f t="shared" si="5"/>
        <v>-335265.85000000056</v>
      </c>
      <c r="W131" s="2834">
        <f>SUM(W5:W130)</f>
        <v>42669.05</v>
      </c>
      <c r="X131" s="2834">
        <f>SUM(X5:X130)</f>
        <v>103400</v>
      </c>
      <c r="Y131" s="2834">
        <f>SUM(Y5:Y130)</f>
        <v>21450</v>
      </c>
    </row>
    <row r="132" spans="1:25">
      <c r="J132" s="2115">
        <f>+J131-'Schedule H DAE'!U69</f>
        <v>-885238.84999999683</v>
      </c>
      <c r="L132" s="2115">
        <f>+J131-E131</f>
        <v>-335265.85000000056</v>
      </c>
      <c r="N132" s="2828">
        <f t="shared" si="3"/>
        <v>-885238.84999999683</v>
      </c>
      <c r="O132" s="2828">
        <f t="shared" si="4"/>
        <v>-885238.84999999683</v>
      </c>
      <c r="P132" s="2828"/>
      <c r="Q132" s="2828"/>
      <c r="R132" s="2828"/>
      <c r="S132" s="2828"/>
      <c r="T132" s="2828"/>
      <c r="U132" s="2828"/>
      <c r="V132" s="2831">
        <f t="shared" si="5"/>
        <v>-885238.84999999683</v>
      </c>
    </row>
    <row r="133" spans="1:25">
      <c r="E133" s="2043">
        <f>+H131-E131</f>
        <v>-335265.85000000056</v>
      </c>
      <c r="J133" s="2042">
        <f>+J132*0.15</f>
        <v>-132785.82749999952</v>
      </c>
      <c r="L133" s="2042">
        <f>+L132/4</f>
        <v>-83816.46250000014</v>
      </c>
      <c r="N133" s="2828">
        <f t="shared" si="3"/>
        <v>-132785.82749999952</v>
      </c>
      <c r="O133" s="2828">
        <f t="shared" si="4"/>
        <v>202480.02250000104</v>
      </c>
      <c r="P133" s="2828"/>
      <c r="Q133" s="2828"/>
      <c r="R133" s="2828"/>
      <c r="S133" s="2828"/>
      <c r="T133" s="2828"/>
      <c r="U133" s="2828"/>
      <c r="V133" s="2831">
        <f t="shared" si="5"/>
        <v>202480.02250000104</v>
      </c>
    </row>
    <row r="134" spans="1:25">
      <c r="J134" s="2115">
        <f>+J133+J132</f>
        <v>-1018024.6774999964</v>
      </c>
      <c r="N134" s="2828">
        <f t="shared" si="3"/>
        <v>-1018024.6774999964</v>
      </c>
      <c r="O134" s="2828">
        <f t="shared" si="4"/>
        <v>-1018024.6774999964</v>
      </c>
      <c r="P134" s="2828"/>
      <c r="Q134" s="2828"/>
      <c r="R134" s="2828"/>
      <c r="S134" s="2828"/>
      <c r="T134" s="2828"/>
      <c r="U134" s="2828"/>
      <c r="V134" s="2831">
        <f t="shared" si="5"/>
        <v>-1018024.6774999964</v>
      </c>
    </row>
    <row r="135" spans="1:25">
      <c r="E135" s="2043">
        <f>+E128-E98-E85-E77-E68</f>
        <v>1461601.0999999996</v>
      </c>
      <c r="N135" s="2828">
        <f t="shared" si="3"/>
        <v>0</v>
      </c>
      <c r="O135" s="2828">
        <f t="shared" si="4"/>
        <v>-1461601.0999999996</v>
      </c>
      <c r="P135" s="2828"/>
      <c r="Q135" s="2828"/>
      <c r="R135" s="2828"/>
      <c r="S135" s="2828"/>
      <c r="T135" s="2828"/>
      <c r="U135" s="2828"/>
      <c r="V135" s="2831">
        <f t="shared" si="5"/>
        <v>-1461601.0999999996</v>
      </c>
    </row>
    <row r="136" spans="1:25">
      <c r="J136" s="2115">
        <f>+J131-E131</f>
        <v>-335265.85000000056</v>
      </c>
      <c r="N136" s="2828">
        <f t="shared" si="3"/>
        <v>-335265.85000000056</v>
      </c>
      <c r="O136" s="2828">
        <f t="shared" si="4"/>
        <v>-335265.85000000056</v>
      </c>
      <c r="P136" s="2828"/>
      <c r="Q136" s="2828"/>
      <c r="R136" s="2828"/>
      <c r="S136" s="2828"/>
      <c r="T136" s="2828"/>
      <c r="U136" s="2828"/>
      <c r="V136" s="2831">
        <f t="shared" si="5"/>
        <v>-335265.85000000056</v>
      </c>
    </row>
    <row r="137" spans="1:25">
      <c r="E137" s="2043">
        <f>+E85+E77+E68+E61+E57+E53+E48+E45+E38+E33+E30</f>
        <v>1894981.0999999999</v>
      </c>
      <c r="J137" s="2043">
        <f>+J131-'Schedule H DAE'!AB69</f>
        <v>-846738.84999999683</v>
      </c>
      <c r="N137" s="2828">
        <f t="shared" si="3"/>
        <v>-846738.84999999683</v>
      </c>
      <c r="O137" s="2828">
        <f t="shared" si="4"/>
        <v>-2741719.9499999965</v>
      </c>
      <c r="P137" s="2828"/>
      <c r="Q137" s="2828"/>
      <c r="R137" s="2828"/>
      <c r="S137" s="2828"/>
      <c r="T137" s="2828"/>
      <c r="U137" s="2828"/>
      <c r="V137" s="2831">
        <f t="shared" si="5"/>
        <v>-2741719.9499999965</v>
      </c>
    </row>
    <row r="138" spans="1:25">
      <c r="N138" s="2828">
        <f t="shared" si="3"/>
        <v>0</v>
      </c>
      <c r="O138" s="2828">
        <f t="shared" si="4"/>
        <v>0</v>
      </c>
      <c r="P138" s="2828"/>
      <c r="Q138" s="2828"/>
      <c r="R138" s="2828"/>
      <c r="S138" s="2828"/>
      <c r="T138" s="2828"/>
      <c r="U138" s="2828"/>
      <c r="V138" s="2831">
        <f t="shared" si="5"/>
        <v>0</v>
      </c>
    </row>
    <row r="139" spans="1:25">
      <c r="E139" s="2043">
        <v>493201</v>
      </c>
      <c r="J139" s="2115">
        <f>+J131-E131</f>
        <v>-335265.85000000056</v>
      </c>
      <c r="N139" s="2828">
        <f t="shared" si="3"/>
        <v>-335265.85000000056</v>
      </c>
      <c r="O139" s="2828">
        <f t="shared" si="4"/>
        <v>-828466.85000000056</v>
      </c>
      <c r="P139" s="2828"/>
      <c r="Q139" s="2828"/>
      <c r="R139" s="2828"/>
      <c r="S139" s="2828"/>
      <c r="T139" s="2828"/>
      <c r="U139" s="2828"/>
      <c r="V139" s="2831">
        <f t="shared" si="5"/>
        <v>-828466.85000000056</v>
      </c>
    </row>
    <row r="140" spans="1:25">
      <c r="E140" s="2043">
        <f>+E139+E128</f>
        <v>2996166.0999999996</v>
      </c>
      <c r="F140" s="2099">
        <f>+E140/E26</f>
        <v>0.50155045157125888</v>
      </c>
      <c r="N140" s="2828">
        <f t="shared" si="3"/>
        <v>-0.50155045157125888</v>
      </c>
      <c r="O140" s="2828">
        <f t="shared" si="4"/>
        <v>-2996166.0999999996</v>
      </c>
      <c r="P140" s="2828"/>
      <c r="Q140" s="2828"/>
      <c r="R140" s="2828"/>
      <c r="S140" s="2828"/>
      <c r="T140" s="2828"/>
      <c r="U140" s="2828"/>
      <c r="V140" s="2831">
        <f t="shared" si="5"/>
        <v>-2996166.0999999996</v>
      </c>
    </row>
    <row r="141" spans="1:25">
      <c r="E141" s="2043">
        <f>+E140+E26</f>
        <v>8969974.1000000015</v>
      </c>
      <c r="F141" s="2099">
        <f>+(E141/E26)-1</f>
        <v>0.50155045157125899</v>
      </c>
      <c r="N141" s="2828">
        <f t="shared" ref="N141:N156" si="6">+J141-F141</f>
        <v>-0.50155045157125899</v>
      </c>
      <c r="O141" s="2828">
        <f t="shared" ref="O141:O154" si="7">+J141-E141</f>
        <v>-8969974.1000000015</v>
      </c>
      <c r="P141" s="2828"/>
      <c r="Q141" s="2828"/>
      <c r="R141" s="2828"/>
      <c r="S141" s="2828"/>
      <c r="T141" s="2828"/>
      <c r="U141" s="2828"/>
      <c r="V141" s="2831">
        <f t="shared" si="5"/>
        <v>-8969974.1000000015</v>
      </c>
    </row>
    <row r="142" spans="1:25">
      <c r="N142" s="2828">
        <f t="shared" si="6"/>
        <v>0</v>
      </c>
      <c r="O142" s="2828">
        <f t="shared" si="7"/>
        <v>0</v>
      </c>
      <c r="P142" s="2828"/>
      <c r="Q142" s="2828"/>
      <c r="R142" s="2828"/>
      <c r="S142" s="2828"/>
      <c r="T142" s="2828"/>
      <c r="U142" s="2828"/>
      <c r="V142" s="2831">
        <f t="shared" si="5"/>
        <v>0</v>
      </c>
    </row>
    <row r="143" spans="1:25">
      <c r="N143" s="2828">
        <f t="shared" si="6"/>
        <v>0</v>
      </c>
      <c r="O143" s="2828">
        <f t="shared" si="7"/>
        <v>0</v>
      </c>
      <c r="P143" s="2828"/>
      <c r="Q143" s="2828"/>
      <c r="R143" s="2828"/>
      <c r="S143" s="2828"/>
      <c r="T143" s="2828"/>
      <c r="U143" s="2828"/>
      <c r="V143" s="2831">
        <f t="shared" si="5"/>
        <v>0</v>
      </c>
    </row>
    <row r="144" spans="1:25">
      <c r="E144" s="2043">
        <v>2308164.0999999996</v>
      </c>
      <c r="N144" s="2828">
        <f t="shared" si="6"/>
        <v>0</v>
      </c>
      <c r="O144" s="2828">
        <f t="shared" si="7"/>
        <v>-2308164.0999999996</v>
      </c>
      <c r="P144" s="2828"/>
      <c r="Q144" s="2828"/>
      <c r="R144" s="2828"/>
      <c r="S144" s="2828"/>
      <c r="T144" s="2828"/>
      <c r="U144" s="2828"/>
      <c r="V144" s="2831">
        <f t="shared" si="5"/>
        <v>-2308164.0999999996</v>
      </c>
    </row>
    <row r="145" spans="5:22">
      <c r="E145" s="2043">
        <f>+E144-E128</f>
        <v>-194801</v>
      </c>
      <c r="N145" s="2828">
        <f t="shared" si="6"/>
        <v>0</v>
      </c>
      <c r="O145" s="2828">
        <f t="shared" si="7"/>
        <v>194801</v>
      </c>
      <c r="P145" s="2828"/>
      <c r="Q145" s="2828"/>
      <c r="R145" s="2828"/>
      <c r="S145" s="2828"/>
      <c r="T145" s="2828"/>
      <c r="U145" s="2828"/>
      <c r="V145" s="2831">
        <f t="shared" si="5"/>
        <v>194801</v>
      </c>
    </row>
    <row r="146" spans="5:22">
      <c r="N146" s="2828">
        <f t="shared" si="6"/>
        <v>0</v>
      </c>
      <c r="O146" s="2828">
        <f t="shared" si="7"/>
        <v>0</v>
      </c>
      <c r="P146" s="2828"/>
      <c r="Q146" s="2828"/>
      <c r="R146" s="2828"/>
      <c r="S146" s="2828"/>
      <c r="T146" s="2828"/>
      <c r="U146" s="2828"/>
      <c r="V146" s="2831">
        <f t="shared" si="5"/>
        <v>0</v>
      </c>
    </row>
    <row r="147" spans="5:22">
      <c r="N147" s="2828">
        <f t="shared" si="6"/>
        <v>0</v>
      </c>
      <c r="O147" s="2828">
        <f t="shared" si="7"/>
        <v>0</v>
      </c>
      <c r="P147" s="2828"/>
      <c r="Q147" s="2828"/>
      <c r="R147" s="2828"/>
      <c r="S147" s="2828"/>
      <c r="T147" s="2828"/>
      <c r="U147" s="2828"/>
      <c r="V147" s="2831">
        <f t="shared" si="5"/>
        <v>0</v>
      </c>
    </row>
    <row r="148" spans="5:22">
      <c r="N148" s="2828">
        <f t="shared" si="6"/>
        <v>0</v>
      </c>
      <c r="O148" s="2828">
        <f t="shared" si="7"/>
        <v>0</v>
      </c>
      <c r="P148" s="2828"/>
      <c r="Q148" s="2828"/>
      <c r="R148" s="2828"/>
      <c r="S148" s="2828"/>
      <c r="T148" s="2828"/>
      <c r="U148" s="2828"/>
    </row>
    <row r="149" spans="5:22">
      <c r="N149" s="2828">
        <f t="shared" si="6"/>
        <v>0</v>
      </c>
      <c r="O149" s="2828">
        <f t="shared" si="7"/>
        <v>0</v>
      </c>
      <c r="P149" s="2828"/>
      <c r="Q149" s="2828"/>
      <c r="R149" s="2828"/>
      <c r="S149" s="2828"/>
      <c r="T149" s="2828"/>
      <c r="U149" s="2828"/>
    </row>
    <row r="150" spans="5:22">
      <c r="N150" s="2828">
        <f t="shared" si="6"/>
        <v>0</v>
      </c>
      <c r="O150" s="2828">
        <f t="shared" si="7"/>
        <v>0</v>
      </c>
      <c r="P150" s="2828"/>
      <c r="Q150" s="2828"/>
      <c r="R150" s="2828"/>
      <c r="S150" s="2828"/>
      <c r="T150" s="2828"/>
      <c r="U150" s="2828"/>
    </row>
    <row r="151" spans="5:22">
      <c r="N151" s="2828">
        <f t="shared" si="6"/>
        <v>0</v>
      </c>
      <c r="O151" s="2828">
        <f t="shared" si="7"/>
        <v>0</v>
      </c>
      <c r="P151" s="2828"/>
      <c r="Q151" s="2828"/>
      <c r="R151" s="2828"/>
      <c r="S151" s="2828"/>
      <c r="T151" s="2828"/>
      <c r="U151" s="2828"/>
    </row>
    <row r="152" spans="5:22">
      <c r="N152" s="2828">
        <f t="shared" si="6"/>
        <v>0</v>
      </c>
      <c r="O152" s="2828">
        <f t="shared" si="7"/>
        <v>0</v>
      </c>
      <c r="P152" s="2828"/>
      <c r="Q152" s="2828"/>
      <c r="R152" s="2828"/>
      <c r="S152" s="2828"/>
      <c r="T152" s="2828"/>
      <c r="U152" s="2828"/>
    </row>
    <row r="153" spans="5:22">
      <c r="N153" s="2828">
        <f t="shared" si="6"/>
        <v>0</v>
      </c>
      <c r="O153" s="2828">
        <f t="shared" si="7"/>
        <v>0</v>
      </c>
      <c r="P153" s="2828"/>
      <c r="Q153" s="2828"/>
      <c r="R153" s="2828"/>
      <c r="S153" s="2828"/>
      <c r="T153" s="2828"/>
      <c r="U153" s="2828"/>
    </row>
    <row r="154" spans="5:22">
      <c r="N154" s="2828">
        <f t="shared" si="6"/>
        <v>0</v>
      </c>
      <c r="O154" s="2828">
        <f t="shared" si="7"/>
        <v>0</v>
      </c>
      <c r="P154" s="2828"/>
      <c r="Q154" s="2828"/>
      <c r="R154" s="2828"/>
      <c r="S154" s="2828"/>
      <c r="T154" s="2828"/>
      <c r="U154" s="2828"/>
    </row>
    <row r="155" spans="5:22">
      <c r="N155" s="2828">
        <f t="shared" si="6"/>
        <v>0</v>
      </c>
      <c r="O155" s="2828"/>
      <c r="P155" s="2828"/>
      <c r="Q155" s="2828"/>
      <c r="R155" s="2828"/>
      <c r="S155" s="2828"/>
      <c r="T155" s="2828"/>
      <c r="U155" s="2828"/>
    </row>
    <row r="156" spans="5:22">
      <c r="N156" s="2828">
        <f t="shared" si="6"/>
        <v>0</v>
      </c>
      <c r="O156" s="2828"/>
      <c r="P156" s="2828"/>
      <c r="Q156" s="2828"/>
      <c r="R156" s="2828"/>
      <c r="S156" s="2828"/>
      <c r="T156" s="2828"/>
      <c r="U156" s="2828"/>
    </row>
  </sheetData>
  <mergeCells count="11">
    <mergeCell ref="M3:M4"/>
    <mergeCell ref="B9:B11"/>
    <mergeCell ref="B14:B16"/>
    <mergeCell ref="B19:B20"/>
    <mergeCell ref="B23:B24"/>
    <mergeCell ref="L3:L4"/>
    <mergeCell ref="A3:A4"/>
    <mergeCell ref="B3:C4"/>
    <mergeCell ref="F3:G3"/>
    <mergeCell ref="H3:I3"/>
    <mergeCell ref="J3:K3"/>
  </mergeCells>
  <pageMargins left="0.7" right="0.7" top="0.75" bottom="0.75" header="0.3" footer="0.3"/>
  <pageSetup scale="50" orientation="portrait" r:id="rId1"/>
  <headerFooter>
    <oddFooter>&amp;L1TB.01.003.01 - AYC 
APRIL'23 REPORT&amp;C&amp;A&amp;RPage &amp;P of &amp;N</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4F7CB-02BA-418B-85F3-96A4205D3321}">
  <sheetPr codeName="Sheet35">
    <tabColor rgb="FF00B0F0"/>
  </sheetPr>
  <dimension ref="A1:Y53"/>
  <sheetViews>
    <sheetView showGridLines="0" view="pageBreakPreview" topLeftCell="D1" zoomScale="90" zoomScaleNormal="100" zoomScaleSheetLayoutView="90" workbookViewId="0">
      <selection activeCell="F37" sqref="F37"/>
    </sheetView>
  </sheetViews>
  <sheetFormatPr defaultColWidth="9" defaultRowHeight="12.75"/>
  <cols>
    <col min="1" max="1" width="6.5703125" customWidth="1"/>
    <col min="2" max="2" width="10.42578125" customWidth="1"/>
    <col min="3" max="3" width="11.85546875" bestFit="1" customWidth="1"/>
    <col min="4" max="4" width="12.5703125" customWidth="1"/>
    <col min="5" max="5" width="30.85546875" customWidth="1"/>
    <col min="6" max="6" width="31.5703125" customWidth="1"/>
    <col min="7" max="7" width="9.85546875" customWidth="1"/>
    <col min="8" max="8" width="12" bestFit="1" customWidth="1"/>
    <col min="9" max="9" width="10" customWidth="1"/>
    <col min="10" max="10" width="11.42578125" bestFit="1" customWidth="1"/>
    <col min="11" max="11" width="0.85546875" customWidth="1"/>
    <col min="12" max="12" width="19" bestFit="1" customWidth="1"/>
    <col min="13" max="13" width="22" bestFit="1" customWidth="1"/>
    <col min="14" max="15" width="12.42578125" customWidth="1"/>
    <col min="16" max="16" width="19.85546875" bestFit="1" customWidth="1"/>
    <col min="17" max="17" width="0.85546875" customWidth="1"/>
    <col min="18" max="19" width="20" bestFit="1" customWidth="1"/>
    <col min="20" max="20" width="23" bestFit="1" customWidth="1"/>
    <col min="21" max="22" width="9" customWidth="1"/>
    <col min="23" max="23" width="13" bestFit="1" customWidth="1"/>
    <col min="24" max="24" width="14" bestFit="1" customWidth="1"/>
    <col min="25" max="25" width="13" bestFit="1" customWidth="1"/>
  </cols>
  <sheetData>
    <row r="1" spans="1:23" ht="5.25" customHeight="1">
      <c r="A1" s="1255"/>
      <c r="B1" s="1256"/>
      <c r="C1" s="1255"/>
      <c r="D1" s="2150"/>
      <c r="E1" s="2150"/>
      <c r="F1" s="2150"/>
      <c r="G1" s="2150"/>
      <c r="H1" s="2151"/>
      <c r="I1" s="2151"/>
      <c r="J1" s="2151"/>
      <c r="K1" s="2150"/>
      <c r="L1" s="1255"/>
      <c r="M1" s="1255"/>
      <c r="N1" s="1255"/>
      <c r="O1" s="1255"/>
      <c r="P1" s="1255"/>
      <c r="Q1" s="2150"/>
      <c r="R1" s="2150"/>
      <c r="S1" s="2150"/>
      <c r="T1" s="2150"/>
      <c r="U1" s="2150"/>
      <c r="V1" s="2150"/>
    </row>
    <row r="2" spans="1:23">
      <c r="A2" s="9" t="str">
        <f>'Data Input'!A1&amp;" - "&amp;'Data Input'!B1</f>
        <v>PROGRAMME: - MARINA VILLAGE (PROGRAMME 1_TRIPLE BAY)</v>
      </c>
      <c r="B2" s="1260"/>
      <c r="C2" s="1261"/>
      <c r="D2" s="1262"/>
      <c r="E2" s="1262"/>
      <c r="F2" s="1262"/>
      <c r="G2" s="1262"/>
      <c r="H2" s="1263"/>
      <c r="I2" s="1263"/>
      <c r="J2" s="1263"/>
      <c r="K2" s="1265"/>
      <c r="L2" s="1265"/>
      <c r="M2" s="1265"/>
      <c r="N2" s="1265"/>
      <c r="O2" s="1265"/>
      <c r="P2" s="1265"/>
      <c r="Q2" s="1265"/>
      <c r="R2" s="1265"/>
      <c r="S2" s="1265"/>
      <c r="T2" s="1265"/>
      <c r="U2" s="1265"/>
      <c r="V2" s="1265"/>
    </row>
    <row r="3" spans="1:23">
      <c r="A3" s="9" t="str">
        <f>'Data Input'!A2&amp;" - "&amp;'Data Input'!B2</f>
        <v>PROGRAMME CODE: - 1TB01003</v>
      </c>
      <c r="B3" s="1260"/>
      <c r="C3" s="1268"/>
      <c r="D3" s="1265"/>
      <c r="E3" s="1265"/>
      <c r="F3" s="1265"/>
      <c r="G3" s="1265"/>
      <c r="H3" s="1267"/>
      <c r="I3" s="1267"/>
      <c r="J3" s="1267"/>
      <c r="K3" s="1265"/>
      <c r="L3" s="1265"/>
      <c r="M3" s="1265"/>
      <c r="N3" s="1265"/>
      <c r="O3" s="1265"/>
      <c r="P3" s="1265"/>
      <c r="Q3" s="1265"/>
      <c r="R3" s="1265"/>
      <c r="S3" s="1265"/>
      <c r="T3" s="1265"/>
      <c r="U3" s="1265"/>
      <c r="V3" s="1265"/>
    </row>
    <row r="4" spans="1:23">
      <c r="A4" s="9" t="str">
        <f>'Data Input'!A3&amp;" - "&amp;'Data Input'!B3</f>
        <v>ASSET NAME: - AMAALA YACHT CLUB</v>
      </c>
      <c r="B4" s="1270"/>
      <c r="C4" s="1268"/>
      <c r="D4" s="1265"/>
      <c r="E4" s="1265"/>
      <c r="F4" s="1265"/>
      <c r="G4" s="1265"/>
      <c r="H4" s="1267"/>
      <c r="I4" s="1267"/>
      <c r="J4" s="1267"/>
      <c r="K4" s="1265"/>
      <c r="L4" s="2808"/>
      <c r="M4" s="1265" t="s">
        <v>1457</v>
      </c>
      <c r="N4" s="1265"/>
      <c r="O4" s="1265"/>
      <c r="P4" s="1265"/>
      <c r="Q4" s="1265"/>
      <c r="R4" s="1265"/>
      <c r="S4" s="1265"/>
      <c r="T4" s="1265"/>
      <c r="U4" s="1265"/>
      <c r="V4" s="1265"/>
    </row>
    <row r="5" spans="1:23">
      <c r="A5" s="9" t="str">
        <f>'Data Input'!A4&amp;" - "&amp;'Data Input'!B4</f>
        <v>ASSET CODE: - 1TB01003.01</v>
      </c>
      <c r="B5" s="1272"/>
      <c r="C5" s="1268"/>
      <c r="D5" s="1265"/>
      <c r="E5" s="1265"/>
      <c r="F5" s="1265"/>
      <c r="G5" s="1265"/>
      <c r="H5" s="1267"/>
      <c r="I5" s="1267"/>
      <c r="J5" s="1267"/>
      <c r="K5" s="1265"/>
      <c r="L5" s="2187"/>
      <c r="M5" s="1265" t="s">
        <v>1458</v>
      </c>
      <c r="N5" s="1265"/>
      <c r="O5" s="1265"/>
      <c r="P5" s="1265"/>
      <c r="Q5" s="1265"/>
      <c r="R5" s="1265"/>
      <c r="S5" s="1265"/>
      <c r="T5" s="1265"/>
      <c r="U5" s="1265"/>
      <c r="V5" s="1265"/>
    </row>
    <row r="6" spans="1:23">
      <c r="A6" s="9" t="str">
        <f>'Data Input'!A7&amp;" - "&amp;'Data Input'!B7</f>
        <v>REPORT NO: - MONTHLY REPORT NO. 49</v>
      </c>
      <c r="B6" s="1262"/>
      <c r="C6" s="1274"/>
      <c r="D6" s="1262"/>
      <c r="E6" s="1262"/>
      <c r="F6" s="1262"/>
      <c r="G6" s="1262"/>
      <c r="H6" s="1263"/>
      <c r="I6" s="1263"/>
      <c r="J6" s="1263"/>
      <c r="K6" s="1265"/>
      <c r="L6" s="2809"/>
      <c r="M6" s="1265" t="s">
        <v>2007</v>
      </c>
      <c r="N6" s="1265"/>
      <c r="O6" s="1265"/>
      <c r="P6" s="1265"/>
      <c r="Q6" s="1265"/>
      <c r="R6" s="1265"/>
      <c r="S6" s="1265"/>
      <c r="T6" s="1265"/>
      <c r="U6" s="1265"/>
      <c r="V6" s="1265"/>
    </row>
    <row r="7" spans="1:23">
      <c r="A7" s="9" t="str">
        <f>'Data Input'!A8&amp;" - "&amp;'Data Input'!B8</f>
        <v>REPORTING PERIOD: - OCTOBER 2026</v>
      </c>
      <c r="B7" s="1256"/>
      <c r="C7" s="1255"/>
      <c r="D7" s="2150"/>
      <c r="E7" s="2150"/>
      <c r="F7" s="2150"/>
      <c r="G7" s="2150"/>
      <c r="H7" s="2151"/>
      <c r="I7" s="2151"/>
      <c r="J7" s="2151"/>
      <c r="K7" s="2150"/>
      <c r="L7" s="1265"/>
      <c r="M7" s="1265"/>
      <c r="N7" s="1255"/>
      <c r="O7" s="1255"/>
      <c r="P7" s="1255"/>
      <c r="Q7" s="2150"/>
      <c r="R7" s="2150"/>
      <c r="S7" s="2150"/>
      <c r="T7" s="2150"/>
      <c r="U7" s="2150"/>
      <c r="V7" s="2150"/>
    </row>
    <row r="8" spans="1:23" ht="6.75" customHeight="1" thickBot="1">
      <c r="A8" s="9"/>
      <c r="B8" s="1256"/>
      <c r="C8" s="1255"/>
      <c r="D8" s="2150"/>
      <c r="E8" s="2150"/>
      <c r="F8" s="2150"/>
      <c r="G8" s="2150"/>
      <c r="H8" s="2151"/>
      <c r="I8" s="2151"/>
      <c r="J8" s="2151"/>
      <c r="K8" s="2150"/>
      <c r="L8" s="1265"/>
      <c r="M8" s="1265"/>
      <c r="N8" s="1255"/>
      <c r="O8" s="1255"/>
      <c r="P8" s="1255"/>
      <c r="Q8" s="2150"/>
      <c r="R8" s="2150"/>
      <c r="S8" s="2150"/>
      <c r="T8" s="2150"/>
      <c r="U8" s="2150"/>
      <c r="V8" s="2150"/>
    </row>
    <row r="9" spans="1:23" ht="30" customHeight="1" thickBot="1">
      <c r="A9" s="2152"/>
      <c r="B9" s="2153"/>
      <c r="C9" s="2153"/>
      <c r="D9" s="2154"/>
      <c r="E9" s="2154"/>
      <c r="F9" s="2154"/>
      <c r="G9" s="2154"/>
      <c r="H9" s="2155"/>
      <c r="I9" s="2155"/>
      <c r="J9" s="2155"/>
      <c r="K9" s="2154"/>
      <c r="L9" s="2153"/>
      <c r="M9" s="2153"/>
      <c r="N9" s="2153"/>
      <c r="O9" s="2153"/>
      <c r="P9" s="2153"/>
      <c r="Q9" s="2154"/>
      <c r="R9" s="2154"/>
      <c r="S9" s="2154"/>
      <c r="T9" s="2154"/>
      <c r="U9" s="2154"/>
      <c r="V9" s="2154"/>
    </row>
    <row r="10" spans="1:23" ht="12.75" customHeight="1">
      <c r="A10" s="6036" t="s">
        <v>1459</v>
      </c>
      <c r="B10" s="6037"/>
      <c r="C10" s="6037"/>
      <c r="D10" s="6037"/>
      <c r="E10" s="6037"/>
      <c r="F10" s="6037"/>
      <c r="G10" s="6037"/>
      <c r="H10" s="6037"/>
      <c r="I10" s="6038"/>
      <c r="J10" s="6039"/>
      <c r="K10" s="1256"/>
      <c r="L10" s="6040" t="s">
        <v>1460</v>
      </c>
      <c r="M10" s="6041"/>
      <c r="N10" s="6041"/>
      <c r="O10" s="6041"/>
      <c r="P10" s="6042"/>
      <c r="Q10" s="1256"/>
      <c r="R10" s="6043" t="s">
        <v>1461</v>
      </c>
      <c r="S10" s="6044"/>
      <c r="T10" s="6044"/>
      <c r="U10" s="6044"/>
      <c r="V10" s="6044"/>
    </row>
    <row r="11" spans="1:23" ht="60" customHeight="1">
      <c r="A11" s="1283" t="s">
        <v>1462</v>
      </c>
      <c r="B11" s="1284" t="s">
        <v>1463</v>
      </c>
      <c r="C11" s="1284" t="s">
        <v>1464</v>
      </c>
      <c r="D11" s="2156" t="s">
        <v>1465</v>
      </c>
      <c r="E11" s="2156" t="s">
        <v>455</v>
      </c>
      <c r="F11" s="2156" t="s">
        <v>1466</v>
      </c>
      <c r="G11" s="2156" t="s">
        <v>1467</v>
      </c>
      <c r="H11" s="2156" t="s">
        <v>1468</v>
      </c>
      <c r="I11" s="2157" t="s">
        <v>1469</v>
      </c>
      <c r="J11" s="2158" t="s">
        <v>1470</v>
      </c>
      <c r="K11" s="1289"/>
      <c r="L11" s="763" t="s">
        <v>1471</v>
      </c>
      <c r="M11" s="2159" t="s">
        <v>3095</v>
      </c>
      <c r="N11" s="2159" t="s">
        <v>1472</v>
      </c>
      <c r="O11" s="2159" t="s">
        <v>1473</v>
      </c>
      <c r="P11" s="2160" t="s">
        <v>1418</v>
      </c>
      <c r="Q11" s="1256"/>
      <c r="R11" s="2161" t="s">
        <v>1474</v>
      </c>
      <c r="S11" s="2162" t="s">
        <v>1475</v>
      </c>
      <c r="T11" s="2163" t="s">
        <v>1476</v>
      </c>
      <c r="U11" s="2163" t="s">
        <v>1477</v>
      </c>
      <c r="V11" s="769" t="s">
        <v>1478</v>
      </c>
    </row>
    <row r="12" spans="1:23" ht="17.25" customHeight="1">
      <c r="A12" s="1298"/>
      <c r="B12" s="1299"/>
      <c r="C12" s="1300"/>
      <c r="D12" s="2164"/>
      <c r="E12" s="2164"/>
      <c r="F12" s="2164"/>
      <c r="G12" s="2164"/>
      <c r="H12" s="2165" t="s">
        <v>1479</v>
      </c>
      <c r="I12" s="2165" t="s">
        <v>1380</v>
      </c>
      <c r="J12" s="2166" t="s">
        <v>1479</v>
      </c>
      <c r="K12" s="1256"/>
      <c r="L12" s="765" t="s">
        <v>434</v>
      </c>
      <c r="M12" s="766" t="s">
        <v>434</v>
      </c>
      <c r="N12" s="2167" t="s">
        <v>434</v>
      </c>
      <c r="O12" s="2167" t="s">
        <v>434</v>
      </c>
      <c r="P12" s="2168" t="s">
        <v>434</v>
      </c>
      <c r="Q12" s="1256"/>
      <c r="R12" s="770" t="s">
        <v>434</v>
      </c>
      <c r="S12" s="2169" t="s">
        <v>434</v>
      </c>
      <c r="T12" s="2169" t="s">
        <v>434</v>
      </c>
      <c r="U12" s="2169" t="s">
        <v>1480</v>
      </c>
      <c r="V12" s="2169" t="s">
        <v>1480</v>
      </c>
    </row>
    <row r="13" spans="1:23" s="722" customFormat="1" ht="12.75" customHeight="1">
      <c r="A13" s="1314"/>
      <c r="B13" s="1314"/>
      <c r="C13" s="1314"/>
      <c r="D13" s="1314"/>
      <c r="E13" s="1314"/>
      <c r="F13" s="1314"/>
      <c r="G13" s="1314"/>
      <c r="H13" s="1314"/>
      <c r="I13" s="1314"/>
      <c r="J13" s="1314"/>
      <c r="K13" s="1255"/>
      <c r="L13" s="1314" t="s">
        <v>1481</v>
      </c>
      <c r="M13" s="1314" t="s">
        <v>1482</v>
      </c>
      <c r="N13" s="1314" t="s">
        <v>1483</v>
      </c>
      <c r="O13" s="1314" t="s">
        <v>1484</v>
      </c>
      <c r="P13" s="1314" t="s">
        <v>1485</v>
      </c>
      <c r="Q13" s="1255"/>
      <c r="R13" s="2170"/>
      <c r="S13" s="2170"/>
      <c r="T13" s="2170"/>
      <c r="U13" s="2170"/>
      <c r="V13" s="2171"/>
    </row>
    <row r="14" spans="1:23" s="722" customFormat="1" ht="17.25" customHeight="1">
      <c r="A14" s="6048" t="s">
        <v>473</v>
      </c>
      <c r="B14" s="6049"/>
      <c r="C14" s="6049"/>
      <c r="D14" s="6049"/>
      <c r="E14" s="6049"/>
      <c r="F14" s="6049"/>
      <c r="G14" s="6049"/>
      <c r="H14" s="6049"/>
      <c r="I14" s="6049"/>
      <c r="J14" s="6049"/>
      <c r="K14" s="6049"/>
      <c r="L14" s="6049"/>
      <c r="M14" s="6049"/>
      <c r="N14" s="6049"/>
      <c r="O14" s="6049"/>
      <c r="P14" s="6049"/>
      <c r="Q14" s="6049"/>
      <c r="R14" s="6049"/>
      <c r="S14" s="6049"/>
      <c r="T14" s="6049"/>
      <c r="U14" s="6049"/>
      <c r="V14" s="6050"/>
    </row>
    <row r="15" spans="1:23" ht="38.25" customHeight="1">
      <c r="A15" s="723">
        <v>1</v>
      </c>
      <c r="B15" s="1511">
        <v>1200523</v>
      </c>
      <c r="C15" s="2172">
        <v>2200445</v>
      </c>
      <c r="D15" s="2172" t="s">
        <v>1486</v>
      </c>
      <c r="E15" s="2188" t="s">
        <v>1487</v>
      </c>
      <c r="F15" s="2188" t="s">
        <v>1488</v>
      </c>
      <c r="G15" s="2186" t="s">
        <v>1489</v>
      </c>
      <c r="H15" s="2174">
        <v>44208</v>
      </c>
      <c r="I15" s="2175"/>
      <c r="J15" s="2174" t="s">
        <v>370</v>
      </c>
      <c r="K15" s="1256"/>
      <c r="L15" s="2176">
        <f>'Schedule B'!H17</f>
        <v>5973808</v>
      </c>
      <c r="M15" s="2176">
        <f>'Schedule B'!I17</f>
        <v>3316718.0999999996</v>
      </c>
      <c r="N15" s="2176">
        <v>0</v>
      </c>
      <c r="O15" s="2177">
        <v>0</v>
      </c>
      <c r="P15" s="2177">
        <f t="shared" ref="P15:P21" si="0">L15+M15+N15+O15</f>
        <v>9290526.0999999996</v>
      </c>
      <c r="Q15" s="1256"/>
      <c r="R15" s="2176">
        <f>+'Schedule H DAE'!G69</f>
        <v>9068064.4999999981</v>
      </c>
      <c r="S15" s="2176">
        <f>+'Schedule H DAE'!U69</f>
        <v>9026746.0999999978</v>
      </c>
      <c r="T15" s="1327">
        <f>+'Schedule H DAE'!AB69</f>
        <v>8988246.0999999978</v>
      </c>
      <c r="U15" s="2178">
        <f>S15/P15</f>
        <v>0.97160763586897392</v>
      </c>
      <c r="V15" s="2178">
        <f>(P15-S15)/P15</f>
        <v>2.8392364131026106E-2</v>
      </c>
      <c r="W15" s="1367">
        <f>+T15-S15</f>
        <v>-38500</v>
      </c>
    </row>
    <row r="16" spans="1:23" ht="32.25" customHeight="1">
      <c r="A16" s="723">
        <v>2</v>
      </c>
      <c r="B16" s="1511" t="s">
        <v>2041</v>
      </c>
      <c r="C16" s="2179" t="s">
        <v>1490</v>
      </c>
      <c r="D16" s="2172" t="s">
        <v>1491</v>
      </c>
      <c r="E16" s="2188" t="s">
        <v>1492</v>
      </c>
      <c r="F16" s="2188" t="s">
        <v>1488</v>
      </c>
      <c r="G16" s="2807" t="s">
        <v>190</v>
      </c>
      <c r="H16" s="2174" t="s">
        <v>417</v>
      </c>
      <c r="I16" s="2175"/>
      <c r="J16" s="2174" t="s">
        <v>417</v>
      </c>
      <c r="K16" s="1256"/>
      <c r="L16" s="2180">
        <f>'Schedule B'!H18+'Schedule B'!H19</f>
        <v>11447164.359999999</v>
      </c>
      <c r="M16" s="2181">
        <f>'Schedule B'!I18+'Schedule B'!I19</f>
        <v>-89775</v>
      </c>
      <c r="N16" s="2181">
        <v>0</v>
      </c>
      <c r="O16" s="2177">
        <v>0</v>
      </c>
      <c r="P16" s="2177">
        <f t="shared" si="0"/>
        <v>11357389.359999999</v>
      </c>
      <c r="Q16" s="1256"/>
      <c r="R16" s="1327">
        <f>'Schedule H HKS 1'!AB37+'Schedule H HKS 2'!AB37</f>
        <v>11357388.459999999</v>
      </c>
      <c r="S16" s="4407">
        <f>+'Schedule H HKS 1'!U37+'Schedule H HKS 2'!U37</f>
        <v>11357388.459999999</v>
      </c>
      <c r="T16" s="1327">
        <f>'Schedule H HKS 1'!AB37+SUM('Schedule H HKS 2'!AB14:AB25)</f>
        <v>11357388.459999999</v>
      </c>
      <c r="U16" s="2178">
        <f>S16/P16</f>
        <v>0.99999992075643696</v>
      </c>
      <c r="V16" s="2178">
        <f t="shared" ref="V16:V21" si="1">(P16-S16)/P16</f>
        <v>7.9243563097543488E-8</v>
      </c>
      <c r="W16" s="1367">
        <f>T16-S16</f>
        <v>0</v>
      </c>
    </row>
    <row r="17" spans="1:25" ht="32.25" customHeight="1">
      <c r="A17" s="723">
        <v>3</v>
      </c>
      <c r="B17" s="1512">
        <v>1210219</v>
      </c>
      <c r="C17" s="2172">
        <v>2210167</v>
      </c>
      <c r="D17" s="2172" t="s">
        <v>1494</v>
      </c>
      <c r="E17" s="2188" t="s">
        <v>1495</v>
      </c>
      <c r="F17" s="2189" t="s">
        <v>1496</v>
      </c>
      <c r="G17" s="2173" t="s">
        <v>190</v>
      </c>
      <c r="H17" s="2174" t="s">
        <v>417</v>
      </c>
      <c r="I17" s="2175"/>
      <c r="J17" s="2174" t="s">
        <v>417</v>
      </c>
      <c r="K17" s="1256"/>
      <c r="L17" s="2180">
        <f>'Schedule B'!H20</f>
        <v>93750</v>
      </c>
      <c r="M17" s="2181">
        <f>'Schedule B'!I20</f>
        <v>0</v>
      </c>
      <c r="N17" s="2181">
        <v>0</v>
      </c>
      <c r="O17" s="2177">
        <v>0</v>
      </c>
      <c r="P17" s="2177">
        <f t="shared" si="0"/>
        <v>93750</v>
      </c>
      <c r="Q17" s="1256"/>
      <c r="R17" s="1327">
        <f>'Schedule H ATM'!AB37</f>
        <v>93750</v>
      </c>
      <c r="S17" s="4407">
        <f>+'Schedule H ATM'!U37</f>
        <v>93750</v>
      </c>
      <c r="T17" s="1327">
        <f>'Schedule H ATM'!AB37</f>
        <v>93750</v>
      </c>
      <c r="U17" s="2178">
        <f t="shared" ref="U17:U23" si="2">S17/P17</f>
        <v>1</v>
      </c>
      <c r="V17" s="2178">
        <f t="shared" si="1"/>
        <v>0</v>
      </c>
    </row>
    <row r="18" spans="1:25" ht="32.25" customHeight="1">
      <c r="A18" s="723">
        <v>4</v>
      </c>
      <c r="B18" s="1512">
        <v>1220489</v>
      </c>
      <c r="C18" s="2182">
        <v>2230042</v>
      </c>
      <c r="D18" s="2172" t="s">
        <v>1497</v>
      </c>
      <c r="E18" s="2189" t="s">
        <v>2150</v>
      </c>
      <c r="F18" s="2188" t="s">
        <v>1498</v>
      </c>
      <c r="G18" s="2173" t="s">
        <v>190</v>
      </c>
      <c r="H18" s="2174" t="s">
        <v>417</v>
      </c>
      <c r="I18" s="2175"/>
      <c r="J18" s="2174" t="s">
        <v>417</v>
      </c>
      <c r="K18" s="1256"/>
      <c r="L18" s="2180">
        <f>'Schedule B'!H21</f>
        <v>172368.41999999998</v>
      </c>
      <c r="M18" s="2181">
        <f>'Schedule B'!I21</f>
        <v>-1898.52</v>
      </c>
      <c r="N18" s="2181">
        <v>0</v>
      </c>
      <c r="O18" s="2177">
        <v>0</v>
      </c>
      <c r="P18" s="2177">
        <f t="shared" si="0"/>
        <v>170469.9</v>
      </c>
      <c r="Q18" s="1256"/>
      <c r="R18" s="1327">
        <v>168421.05</v>
      </c>
      <c r="S18" s="4407">
        <f>+'Schedule H LIU'!U37</f>
        <v>168421.05</v>
      </c>
      <c r="T18" s="1327">
        <f>+'Schedule H LIU'!AE37</f>
        <v>168421.05</v>
      </c>
      <c r="U18" s="2178">
        <f>S18/P18</f>
        <v>0.98798116265686786</v>
      </c>
      <c r="V18" s="2178">
        <f>(P18-S18)/P18</f>
        <v>1.2018837343132166E-2</v>
      </c>
    </row>
    <row r="19" spans="1:25" ht="32.25" customHeight="1">
      <c r="A19" s="723">
        <v>5</v>
      </c>
      <c r="B19" s="1512">
        <v>1230119</v>
      </c>
      <c r="C19" s="2182">
        <v>2230041</v>
      </c>
      <c r="D19" s="2172" t="s">
        <v>1499</v>
      </c>
      <c r="E19" s="2188" t="s">
        <v>1500</v>
      </c>
      <c r="F19" s="2189" t="s">
        <v>1501</v>
      </c>
      <c r="G19" s="2173" t="s">
        <v>190</v>
      </c>
      <c r="H19" s="2174" t="s">
        <v>417</v>
      </c>
      <c r="I19" s="2175"/>
      <c r="J19" s="2174" t="s">
        <v>417</v>
      </c>
      <c r="K19" s="1256"/>
      <c r="L19" s="2180">
        <f>'Schedule B'!H22</f>
        <v>106231.5</v>
      </c>
      <c r="M19" s="2181">
        <f>'Schedule B'!I22</f>
        <v>0</v>
      </c>
      <c r="N19" s="2181">
        <v>0</v>
      </c>
      <c r="O19" s="2177">
        <v>0</v>
      </c>
      <c r="P19" s="2177">
        <f t="shared" si="0"/>
        <v>106231.5</v>
      </c>
      <c r="Q19" s="1256"/>
      <c r="R19" s="1327">
        <v>106231.5</v>
      </c>
      <c r="S19" s="4407">
        <f>+'Schedule H ZFP'!U37</f>
        <v>106231.5</v>
      </c>
      <c r="T19" s="1327">
        <f>+'Schedule H ZFP'!AB14</f>
        <v>106231.5</v>
      </c>
      <c r="U19" s="2178">
        <f>S19/P19</f>
        <v>1</v>
      </c>
      <c r="V19" s="2178">
        <f t="shared" si="1"/>
        <v>0</v>
      </c>
    </row>
    <row r="20" spans="1:25" ht="32.25" customHeight="1">
      <c r="A20" s="723">
        <v>6</v>
      </c>
      <c r="B20" s="2826">
        <v>1230270</v>
      </c>
      <c r="C20" s="2182">
        <v>2230180</v>
      </c>
      <c r="D20" s="2172" t="s">
        <v>1502</v>
      </c>
      <c r="E20" s="2189" t="s">
        <v>1503</v>
      </c>
      <c r="F20" s="2188" t="s">
        <v>1504</v>
      </c>
      <c r="G20" s="2186" t="s">
        <v>1489</v>
      </c>
      <c r="H20" s="2174" t="s">
        <v>1493</v>
      </c>
      <c r="I20" s="2175"/>
      <c r="J20" s="2174" t="s">
        <v>1493</v>
      </c>
      <c r="K20" s="1256"/>
      <c r="L20" s="2180">
        <v>127291.9</v>
      </c>
      <c r="M20" s="2181">
        <f>'Schedule B'!I22+'Schedule B'!I24</f>
        <v>-56700</v>
      </c>
      <c r="N20" s="2181">
        <v>0</v>
      </c>
      <c r="O20" s="2177">
        <v>0</v>
      </c>
      <c r="P20" s="2177">
        <f t="shared" si="0"/>
        <v>70591.899999999994</v>
      </c>
      <c r="Q20" s="1256"/>
      <c r="R20" s="723">
        <v>0</v>
      </c>
      <c r="S20" s="1327">
        <v>0</v>
      </c>
      <c r="T20" s="1327">
        <v>0</v>
      </c>
      <c r="U20" s="2178">
        <f t="shared" si="2"/>
        <v>0</v>
      </c>
      <c r="V20" s="2178">
        <f t="shared" si="1"/>
        <v>1</v>
      </c>
    </row>
    <row r="21" spans="1:25" ht="36.75" customHeight="1">
      <c r="A21" s="723">
        <v>7</v>
      </c>
      <c r="B21" s="1511" t="s">
        <v>2180</v>
      </c>
      <c r="C21" s="1511" t="s">
        <v>2180</v>
      </c>
      <c r="D21" s="2172" t="s">
        <v>2177</v>
      </c>
      <c r="E21" s="2188" t="s">
        <v>2178</v>
      </c>
      <c r="F21" s="2188" t="s">
        <v>2179</v>
      </c>
      <c r="G21" s="2173" t="s">
        <v>190</v>
      </c>
      <c r="H21" s="2174" t="s">
        <v>417</v>
      </c>
      <c r="I21" s="2175"/>
      <c r="J21" s="2174" t="s">
        <v>417</v>
      </c>
      <c r="K21" s="1256"/>
      <c r="L21" s="2180">
        <v>45677.599999999999</v>
      </c>
      <c r="M21" s="2181">
        <f>'Schedule B'!I24+'Schedule B'!I23</f>
        <v>-56700</v>
      </c>
      <c r="N21" s="2181">
        <v>0</v>
      </c>
      <c r="O21" s="2177">
        <v>0</v>
      </c>
      <c r="P21" s="2177">
        <f t="shared" si="0"/>
        <v>-11022.400000000001</v>
      </c>
      <c r="Q21" s="1256"/>
      <c r="R21" s="2180">
        <v>45677.599999999999</v>
      </c>
      <c r="S21" s="2180">
        <v>45677.599999999999</v>
      </c>
      <c r="T21" s="2180">
        <v>45677.599999999999</v>
      </c>
      <c r="U21" s="2178">
        <f t="shared" si="2"/>
        <v>-4.1440702569313395</v>
      </c>
      <c r="V21" s="2178">
        <f t="shared" si="1"/>
        <v>5.1440702569313395</v>
      </c>
    </row>
    <row r="22" spans="1:25" s="722" customFormat="1" ht="17.25" customHeight="1">
      <c r="A22" s="6048" t="s">
        <v>1505</v>
      </c>
      <c r="B22" s="6049"/>
      <c r="C22" s="6049"/>
      <c r="D22" s="6049"/>
      <c r="E22" s="6049"/>
      <c r="F22" s="6049"/>
      <c r="G22" s="6049"/>
      <c r="H22" s="6049"/>
      <c r="I22" s="6049"/>
      <c r="J22" s="6049"/>
      <c r="K22" s="6049"/>
      <c r="L22" s="6049"/>
      <c r="M22" s="6049"/>
      <c r="N22" s="6049"/>
      <c r="O22" s="6049"/>
      <c r="P22" s="6049"/>
      <c r="Q22" s="6049"/>
      <c r="R22" s="6049"/>
      <c r="S22" s="6049"/>
      <c r="T22" s="6049"/>
      <c r="U22" s="6049"/>
      <c r="V22" s="6050"/>
    </row>
    <row r="23" spans="1:25" ht="34.5" customHeight="1">
      <c r="A23" s="723">
        <v>8</v>
      </c>
      <c r="B23" s="1512">
        <v>1230078</v>
      </c>
      <c r="C23" s="2182">
        <v>2230031</v>
      </c>
      <c r="D23" s="2172" t="s">
        <v>1506</v>
      </c>
      <c r="E23" s="2189" t="s">
        <v>1507</v>
      </c>
      <c r="F23" s="2189" t="s">
        <v>2006</v>
      </c>
      <c r="G23" s="2186" t="s">
        <v>1489</v>
      </c>
      <c r="H23" s="2174">
        <v>45716</v>
      </c>
      <c r="I23" s="2175"/>
      <c r="J23" s="2174">
        <v>45716</v>
      </c>
      <c r="K23" s="1256"/>
      <c r="L23" s="2180">
        <f>'Schedule B'!H33</f>
        <v>13059930</v>
      </c>
      <c r="M23" s="2181">
        <f>'Schedule B'!I33</f>
        <v>1071977</v>
      </c>
      <c r="N23" s="2181">
        <v>0</v>
      </c>
      <c r="O23" s="2177">
        <v>0</v>
      </c>
      <c r="P23" s="2177">
        <f>L23+M23+N23+O23</f>
        <v>14131907</v>
      </c>
      <c r="Q23" s="1256"/>
      <c r="R23" s="1327">
        <f>+'Schedule H KAA'!J41</f>
        <v>14078459</v>
      </c>
      <c r="S23" s="4407">
        <f>+'Schedule H KAA'!U41</f>
        <v>14082700</v>
      </c>
      <c r="T23" s="1327">
        <f>+'Schedule H KAA'!AC41</f>
        <v>13487622</v>
      </c>
      <c r="U23" s="2178">
        <f t="shared" si="2"/>
        <v>0.99651802124087008</v>
      </c>
      <c r="V23" s="2178">
        <f>(P23-S23)/P23</f>
        <v>3.4819787591299604E-3</v>
      </c>
    </row>
    <row r="24" spans="1:25" s="722" customFormat="1" ht="17.25" customHeight="1">
      <c r="A24" s="6048" t="s">
        <v>1508</v>
      </c>
      <c r="B24" s="6049"/>
      <c r="C24" s="6049"/>
      <c r="D24" s="6049"/>
      <c r="E24" s="6049"/>
      <c r="F24" s="6049"/>
      <c r="G24" s="6049"/>
      <c r="H24" s="6049"/>
      <c r="I24" s="6049"/>
      <c r="J24" s="6049"/>
      <c r="K24" s="6049"/>
      <c r="L24" s="6049"/>
      <c r="M24" s="6049"/>
      <c r="N24" s="6049"/>
      <c r="O24" s="6049"/>
      <c r="P24" s="6049"/>
      <c r="Q24" s="6049"/>
      <c r="R24" s="6049"/>
      <c r="S24" s="6049"/>
      <c r="T24" s="6049"/>
      <c r="U24" s="6049"/>
      <c r="V24" s="6050"/>
    </row>
    <row r="25" spans="1:25" ht="31.5" customHeight="1">
      <c r="A25" s="723">
        <v>9</v>
      </c>
      <c r="B25" s="1512">
        <v>1220032</v>
      </c>
      <c r="C25" s="2182">
        <v>2220038</v>
      </c>
      <c r="D25" s="2172" t="s">
        <v>1509</v>
      </c>
      <c r="E25" s="2188" t="s">
        <v>1510</v>
      </c>
      <c r="F25" s="2188" t="s">
        <v>1511</v>
      </c>
      <c r="G25" s="2186" t="s">
        <v>1489</v>
      </c>
      <c r="H25" s="2174"/>
      <c r="I25" s="2175"/>
      <c r="J25" s="2174"/>
      <c r="K25" s="1256"/>
      <c r="L25" s="2180">
        <f>'Schedule B'!H71</f>
        <v>23094.49</v>
      </c>
      <c r="M25" s="2181">
        <f>'Schedule B'!I71</f>
        <v>-509.48</v>
      </c>
      <c r="N25" s="2181">
        <v>0</v>
      </c>
      <c r="O25" s="2177">
        <v>0</v>
      </c>
      <c r="P25" s="2177">
        <f>L25+M25+N25+O25</f>
        <v>22585.010000000002</v>
      </c>
      <c r="Q25" s="1256"/>
      <c r="R25" s="1327">
        <f>+'Schedule H GBC'!J37</f>
        <v>18000.112500000003</v>
      </c>
      <c r="S25" s="4407">
        <f>+'Schedule H GBC'!U37</f>
        <v>18000.112500000003</v>
      </c>
      <c r="T25" s="1327">
        <f>+'Schedule H GBC'!AB37</f>
        <v>18000.112500000003</v>
      </c>
      <c r="U25" s="2178">
        <f t="shared" ref="U25:U32" si="3">S25/P25</f>
        <v>0.79699378038796531</v>
      </c>
      <c r="V25" s="2178">
        <f t="shared" ref="V25:V32" si="4">(P25-S25)/P25</f>
        <v>0.20300621961203466</v>
      </c>
    </row>
    <row r="26" spans="1:25" ht="27.75" customHeight="1">
      <c r="A26" s="723">
        <v>10</v>
      </c>
      <c r="B26" s="1512">
        <v>1210230</v>
      </c>
      <c r="C26" s="2182">
        <v>2210224</v>
      </c>
      <c r="D26" s="2172" t="s">
        <v>1512</v>
      </c>
      <c r="E26" s="2189" t="s">
        <v>129</v>
      </c>
      <c r="F26" s="2188" t="s">
        <v>1513</v>
      </c>
      <c r="G26" s="2186" t="s">
        <v>1489</v>
      </c>
      <c r="H26" s="2174">
        <v>44474</v>
      </c>
      <c r="I26" s="2175">
        <v>30</v>
      </c>
      <c r="J26" s="2174">
        <v>44587</v>
      </c>
      <c r="K26" s="1256"/>
      <c r="L26" s="2180">
        <f>'Schedule B'!H69+'Schedule B'!H70</f>
        <v>3082689</v>
      </c>
      <c r="M26" s="2181">
        <f>'Schedule B'!I69+'Schedule B'!I70</f>
        <v>0</v>
      </c>
      <c r="N26" s="2181">
        <v>0</v>
      </c>
      <c r="O26" s="2177">
        <v>0</v>
      </c>
      <c r="P26" s="2177">
        <f>L26+M26+N26+O26</f>
        <v>3082689</v>
      </c>
      <c r="Q26" s="1256"/>
      <c r="R26" s="1327">
        <f>'Schedule H SIC'!J40</f>
        <v>1748735.9379999996</v>
      </c>
      <c r="S26" s="4407">
        <f>+'Schedule H SIC'!U40</f>
        <v>1748735.9379999996</v>
      </c>
      <c r="T26" s="1327">
        <f>+'Schedule H SIC'!AB40</f>
        <v>1748735.9379999996</v>
      </c>
      <c r="U26" s="2178">
        <f t="shared" si="3"/>
        <v>0.56727614689642702</v>
      </c>
      <c r="V26" s="2178">
        <f t="shared" si="4"/>
        <v>0.43272385310357303</v>
      </c>
      <c r="X26" s="1367">
        <f>+T26-S26</f>
        <v>0</v>
      </c>
    </row>
    <row r="27" spans="1:25" ht="27.75" customHeight="1">
      <c r="A27" s="723">
        <v>11</v>
      </c>
      <c r="B27" s="1512">
        <v>1210829</v>
      </c>
      <c r="C27" s="2182">
        <v>2220032</v>
      </c>
      <c r="D27" s="2172" t="s">
        <v>1514</v>
      </c>
      <c r="E27" s="2189" t="s">
        <v>135</v>
      </c>
      <c r="F27" s="2189" t="s">
        <v>1515</v>
      </c>
      <c r="G27" s="2173" t="s">
        <v>190</v>
      </c>
      <c r="H27" s="2174" t="s">
        <v>417</v>
      </c>
      <c r="I27" s="2175">
        <v>96</v>
      </c>
      <c r="J27" s="2174" t="s">
        <v>417</v>
      </c>
      <c r="K27" s="1256"/>
      <c r="L27" s="2180">
        <f>'Schedule B'!H77</f>
        <v>18698534</v>
      </c>
      <c r="M27" s="2181">
        <f>'Schedule B'!I77</f>
        <v>-2240152.4900000002</v>
      </c>
      <c r="N27" s="2181" t="s">
        <v>3586</v>
      </c>
      <c r="O27" s="2177">
        <v>0</v>
      </c>
      <c r="P27" s="2177">
        <f>SUM(K27:O27)</f>
        <v>16458381.51</v>
      </c>
      <c r="Q27" s="1256"/>
      <c r="R27" s="1327">
        <f>+'Schedule H NSCC'!J114</f>
        <v>23335059.096000001</v>
      </c>
      <c r="S27" s="4407">
        <f>+'Schedule H NSCC'!U114</f>
        <v>16458381.540000003</v>
      </c>
      <c r="T27" s="1327">
        <f>+'Schedule H NSCC'!AB114</f>
        <v>16458381.540000003</v>
      </c>
      <c r="U27" s="2178">
        <f t="shared" si="3"/>
        <v>1.0000000018227797</v>
      </c>
      <c r="V27" s="2178">
        <f t="shared" si="4"/>
        <v>-1.8227796601087566E-9</v>
      </c>
      <c r="X27" s="1367">
        <f>+T27-S27</f>
        <v>0</v>
      </c>
    </row>
    <row r="28" spans="1:25" ht="61.5" customHeight="1">
      <c r="A28" s="723">
        <v>12</v>
      </c>
      <c r="B28" s="1512">
        <v>1230066</v>
      </c>
      <c r="C28" s="2182">
        <v>2230023</v>
      </c>
      <c r="D28" s="2172" t="s">
        <v>1516</v>
      </c>
      <c r="E28" s="2189" t="s">
        <v>1517</v>
      </c>
      <c r="F28" s="2188" t="s">
        <v>2270</v>
      </c>
      <c r="G28" s="2186" t="s">
        <v>1489</v>
      </c>
      <c r="H28" s="2174">
        <v>45716</v>
      </c>
      <c r="I28" s="2175"/>
      <c r="J28" s="2174">
        <f>+I28+H28</f>
        <v>45716</v>
      </c>
      <c r="K28" s="1256"/>
      <c r="L28" s="2180">
        <f>'Schedule B'!H79</f>
        <v>260955414.40000001</v>
      </c>
      <c r="M28" s="2181">
        <f>'Schedule B'!I79+'Schedule B'!J79</f>
        <v>-91015507.700000003</v>
      </c>
      <c r="N28" s="2181">
        <v>0</v>
      </c>
      <c r="O28" s="2177">
        <v>0</v>
      </c>
      <c r="P28" s="2177">
        <f t="shared" ref="P28:P33" si="5">SUM(K28:O28)</f>
        <v>169939906.69999999</v>
      </c>
      <c r="Q28" s="1256"/>
      <c r="R28" s="2032">
        <f>'Schedule H SAB'!J33</f>
        <v>274254987.58512169</v>
      </c>
      <c r="S28" s="4455">
        <f>+'Schedule H SAB'!V33+'Schedule H SAB'!AD40+'Schedule H SAB'!AD41</f>
        <v>170592084.65700001</v>
      </c>
      <c r="T28" s="2032">
        <f>+S28</f>
        <v>170592084.65700001</v>
      </c>
      <c r="U28" s="2178">
        <f>S28/P28</f>
        <v>1.0038376975112226</v>
      </c>
      <c r="V28" s="2178">
        <f>(P28-S28)/P28</f>
        <v>-3.8376975112227553E-3</v>
      </c>
      <c r="W28" s="1367">
        <f>R28</f>
        <v>274254987.58512169</v>
      </c>
      <c r="X28" s="1367">
        <f>S28</f>
        <v>170592084.65700001</v>
      </c>
      <c r="Y28" s="1367">
        <f>T28</f>
        <v>170592084.65700001</v>
      </c>
    </row>
    <row r="29" spans="1:25" ht="27.75" customHeight="1">
      <c r="A29" s="723"/>
      <c r="B29" s="1512"/>
      <c r="C29" s="2182"/>
      <c r="D29" s="2172"/>
      <c r="E29" s="2188" t="s">
        <v>4113</v>
      </c>
      <c r="F29" s="2188" t="s">
        <v>4113</v>
      </c>
      <c r="G29" s="2186" t="s">
        <v>1489</v>
      </c>
      <c r="H29" s="2174"/>
      <c r="I29" s="2175"/>
      <c r="J29" s="2174"/>
      <c r="K29" s="1256"/>
      <c r="L29" s="2180">
        <f>SUM('Schedule B'!F81:F145)</f>
        <v>42594259.729999989</v>
      </c>
      <c r="M29" s="2181">
        <v>0</v>
      </c>
      <c r="N29" s="2181">
        <v>0</v>
      </c>
      <c r="O29" s="2177">
        <v>0</v>
      </c>
      <c r="P29" s="2177">
        <f>SUM(K29:O29)</f>
        <v>42594259.729999989</v>
      </c>
      <c r="Q29" s="1256"/>
      <c r="R29" s="4407">
        <f>+L29</f>
        <v>42594259.729999989</v>
      </c>
      <c r="S29" s="1327">
        <f>+R29</f>
        <v>42594259.729999989</v>
      </c>
      <c r="T29" s="1327">
        <f>+S29</f>
        <v>42594259.729999989</v>
      </c>
      <c r="U29" s="2178">
        <f>S29/P29</f>
        <v>1</v>
      </c>
      <c r="V29" s="2178">
        <f>(P29-S29)/P29</f>
        <v>0</v>
      </c>
      <c r="W29" s="1367"/>
      <c r="X29" s="1367"/>
      <c r="Y29" s="1367"/>
    </row>
    <row r="30" spans="1:25" ht="48.75" customHeight="1">
      <c r="A30" s="723">
        <v>15</v>
      </c>
      <c r="B30" s="1512">
        <v>1230173</v>
      </c>
      <c r="C30" s="2182">
        <v>2230075</v>
      </c>
      <c r="D30" s="2172" t="s">
        <v>1518</v>
      </c>
      <c r="E30" s="2189" t="s">
        <v>1519</v>
      </c>
      <c r="F30" s="2189" t="s">
        <v>1520</v>
      </c>
      <c r="G30" s="2173" t="s">
        <v>190</v>
      </c>
      <c r="H30" s="2185" t="s">
        <v>417</v>
      </c>
      <c r="I30" s="2175"/>
      <c r="J30" s="2185" t="s">
        <v>417</v>
      </c>
      <c r="K30" s="1256"/>
      <c r="L30" s="2180">
        <f>'Schedule B'!H148</f>
        <v>834298.55</v>
      </c>
      <c r="M30" s="2181">
        <f>'Schedule B'!I148</f>
        <v>-15000</v>
      </c>
      <c r="N30" s="2181">
        <v>0</v>
      </c>
      <c r="O30" s="2177">
        <v>0</v>
      </c>
      <c r="P30" s="2177">
        <f t="shared" si="5"/>
        <v>819298.55</v>
      </c>
      <c r="Q30" s="1256"/>
      <c r="R30" s="1327">
        <f>'Schedule H Medtel'!J37</f>
        <v>819298.55</v>
      </c>
      <c r="S30" s="1327">
        <f>'Schedule H Medtel'!R37</f>
        <v>819298.55</v>
      </c>
      <c r="T30" s="1327">
        <f>+'Schedule H Medtel'!AC14</f>
        <v>819298.55</v>
      </c>
      <c r="U30" s="2178">
        <f t="shared" si="3"/>
        <v>1</v>
      </c>
      <c r="V30" s="2178">
        <f t="shared" si="4"/>
        <v>0</v>
      </c>
      <c r="X30" s="1367">
        <f>P28-S28</f>
        <v>-652177.95700001717</v>
      </c>
    </row>
    <row r="31" spans="1:25" ht="51.75" customHeight="1">
      <c r="A31" s="723">
        <v>16</v>
      </c>
      <c r="B31" s="1512">
        <v>1230328</v>
      </c>
      <c r="C31" s="2182">
        <v>2230178</v>
      </c>
      <c r="D31" s="2172" t="s">
        <v>1521</v>
      </c>
      <c r="E31" s="2189" t="s">
        <v>155</v>
      </c>
      <c r="F31" s="2189" t="s">
        <v>180</v>
      </c>
      <c r="G31" s="2186" t="s">
        <v>1489</v>
      </c>
      <c r="H31" s="2185">
        <v>45648</v>
      </c>
      <c r="I31" s="2175"/>
      <c r="J31" s="2185">
        <v>45648</v>
      </c>
      <c r="K31" s="1256"/>
      <c r="L31" s="2180">
        <f>'Schedule B'!H149</f>
        <v>2675473</v>
      </c>
      <c r="M31" s="2181">
        <f>'Schedule B'!I149</f>
        <v>98073</v>
      </c>
      <c r="N31" s="2181">
        <v>0</v>
      </c>
      <c r="O31" s="2177">
        <v>0</v>
      </c>
      <c r="P31" s="2177">
        <f t="shared" si="5"/>
        <v>2773546</v>
      </c>
      <c r="Q31" s="1256"/>
      <c r="R31" s="1327">
        <f>+'Schedule H ESCCO'!J37</f>
        <v>1990337.8239999998</v>
      </c>
      <c r="S31" s="1327">
        <f>+'Schedule H ESCCO'!V37</f>
        <v>1982337.6639999999</v>
      </c>
      <c r="T31" s="1327">
        <f>+'Schedule H ESCCO'!AD37</f>
        <v>1881942.44</v>
      </c>
      <c r="U31" s="2178">
        <f t="shared" si="3"/>
        <v>0.71473040793266085</v>
      </c>
      <c r="V31" s="2178">
        <f t="shared" si="4"/>
        <v>0.2852695920673391</v>
      </c>
    </row>
    <row r="32" spans="1:25">
      <c r="A32" s="723">
        <v>17</v>
      </c>
      <c r="B32" s="2182">
        <v>1230366</v>
      </c>
      <c r="C32" s="2182">
        <v>2230205</v>
      </c>
      <c r="D32" s="2172" t="s">
        <v>2008</v>
      </c>
      <c r="E32" s="2189" t="s">
        <v>2009</v>
      </c>
      <c r="F32" s="2189" t="s">
        <v>1999</v>
      </c>
      <c r="G32" s="2186" t="s">
        <v>1489</v>
      </c>
      <c r="H32" s="2185">
        <v>45646</v>
      </c>
      <c r="I32" s="2175"/>
      <c r="J32" s="2185">
        <v>45646</v>
      </c>
      <c r="K32" s="1256"/>
      <c r="L32" s="2180">
        <f>+'Schedule B'!H150</f>
        <v>4695209</v>
      </c>
      <c r="M32" s="2181">
        <v>0</v>
      </c>
      <c r="N32" s="2181">
        <v>0</v>
      </c>
      <c r="O32" s="2177">
        <v>0</v>
      </c>
      <c r="P32" s="2177">
        <f t="shared" si="5"/>
        <v>4695209</v>
      </c>
      <c r="Q32" s="1256"/>
      <c r="R32" s="1327">
        <f>+'Schedule H RAQTAN'!J37</f>
        <v>6151689.084999999</v>
      </c>
      <c r="S32" s="1327">
        <f>+'Schedule H RAQTAN'!V37</f>
        <v>3837547.3000000003</v>
      </c>
      <c r="T32" s="1327">
        <f>+'Schedule H RAQTAN'!AD37</f>
        <v>3756805.06</v>
      </c>
      <c r="U32" s="2178">
        <f t="shared" si="3"/>
        <v>0.81733258306499246</v>
      </c>
      <c r="V32" s="2178">
        <f t="shared" si="4"/>
        <v>0.18266741693500751</v>
      </c>
    </row>
    <row r="33" spans="1:22">
      <c r="A33" s="723">
        <v>18</v>
      </c>
      <c r="B33" s="2182">
        <v>1230819</v>
      </c>
      <c r="C33" s="2182">
        <v>2230416</v>
      </c>
      <c r="D33" s="2172" t="s">
        <v>2559</v>
      </c>
      <c r="E33" s="2189" t="s">
        <v>2558</v>
      </c>
      <c r="F33" s="2189" t="s">
        <v>186</v>
      </c>
      <c r="G33" s="2186" t="s">
        <v>1489</v>
      </c>
      <c r="H33" s="2185">
        <v>45639</v>
      </c>
      <c r="I33" s="2175"/>
      <c r="J33" s="2185">
        <v>45639</v>
      </c>
      <c r="K33" s="1256"/>
      <c r="L33" s="2180">
        <f>+'Schedule B'!F151</f>
        <v>75969227</v>
      </c>
      <c r="M33" s="2181">
        <f>+'Schedule B'!I151</f>
        <v>2312919.1399999997</v>
      </c>
      <c r="N33" s="2181">
        <v>0</v>
      </c>
      <c r="O33" s="2177">
        <v>0</v>
      </c>
      <c r="P33" s="2177">
        <f t="shared" si="5"/>
        <v>78282146.140000001</v>
      </c>
      <c r="Q33" s="1256"/>
      <c r="R33" s="1327">
        <f>+'Schedule H DEPA'!J39</f>
        <v>91261011.174999997</v>
      </c>
      <c r="S33" s="1327">
        <f>+'Schedule H DEPA'!U39</f>
        <v>65072967.466499999</v>
      </c>
      <c r="T33" s="1327">
        <f>+'Schedule H DEPA'!AC39</f>
        <v>61755849.674499996</v>
      </c>
      <c r="U33" s="2178">
        <f t="shared" ref="U33:U43" si="6">S33/P33</f>
        <v>0.83126192465550608</v>
      </c>
      <c r="V33" s="2178">
        <f t="shared" ref="V33:V43" si="7">(P33-S33)/P33</f>
        <v>0.16873807534449389</v>
      </c>
    </row>
    <row r="34" spans="1:22">
      <c r="A34" s="723">
        <v>19</v>
      </c>
      <c r="B34" s="1512">
        <v>1240229</v>
      </c>
      <c r="C34" s="2182">
        <v>2240110</v>
      </c>
      <c r="D34" s="2172" t="s">
        <v>2743</v>
      </c>
      <c r="E34" s="2189" t="s">
        <v>2742</v>
      </c>
      <c r="F34" s="3322" t="s">
        <v>2725</v>
      </c>
      <c r="G34" s="2186" t="s">
        <v>1489</v>
      </c>
      <c r="H34" s="2174">
        <v>45656</v>
      </c>
      <c r="I34" s="2175"/>
      <c r="J34" s="2174">
        <v>45656</v>
      </c>
      <c r="K34" s="1256"/>
      <c r="L34" s="2180">
        <v>29899670.550000001</v>
      </c>
      <c r="M34" s="2181">
        <f>+'Schedule B'!I152</f>
        <v>574831.03</v>
      </c>
      <c r="N34" s="2181">
        <v>0</v>
      </c>
      <c r="O34" s="2177">
        <v>0</v>
      </c>
      <c r="P34" s="2177">
        <f t="shared" ref="P34:P41" si="8">SUM(K34:O34)</f>
        <v>30474501.580000002</v>
      </c>
      <c r="Q34" s="1256"/>
      <c r="R34" s="1327">
        <f>+'Schedule H ALUTEC'!J37</f>
        <v>48279532.904462859</v>
      </c>
      <c r="S34" s="1327">
        <f>+'Schedule H ALUTEC'!U37</f>
        <v>29131817.318000004</v>
      </c>
      <c r="T34" s="1327">
        <f>+'Schedule H ALUTEC'!AC37</f>
        <v>25792563.690000005</v>
      </c>
      <c r="U34" s="2178">
        <f t="shared" si="6"/>
        <v>0.95594073102474686</v>
      </c>
      <c r="V34" s="2178">
        <f t="shared" si="7"/>
        <v>4.4059268975253182E-2</v>
      </c>
    </row>
    <row r="35" spans="1:22">
      <c r="A35" s="723">
        <v>20</v>
      </c>
      <c r="B35" s="1512">
        <v>1240515</v>
      </c>
      <c r="C35" s="2182">
        <v>2240202</v>
      </c>
      <c r="D35" s="2172" t="s">
        <v>3096</v>
      </c>
      <c r="E35" s="2189" t="s">
        <v>3094</v>
      </c>
      <c r="F35" s="3322" t="s">
        <v>2807</v>
      </c>
      <c r="G35" s="2186" t="s">
        <v>1489</v>
      </c>
      <c r="H35" s="2174">
        <v>45656</v>
      </c>
      <c r="I35" s="2175"/>
      <c r="J35" s="2174" t="s">
        <v>370</v>
      </c>
      <c r="K35" s="1256"/>
      <c r="L35" s="2180">
        <v>1107465.8799999999</v>
      </c>
      <c r="M35" s="2181">
        <v>37584647.560000002</v>
      </c>
      <c r="N35" s="2181">
        <v>0</v>
      </c>
      <c r="O35" s="2177">
        <v>0</v>
      </c>
      <c r="P35" s="2177">
        <f t="shared" si="8"/>
        <v>38692113.440000005</v>
      </c>
      <c r="Q35" s="1256"/>
      <c r="R35" s="1327">
        <f>+'Schedule H AREEN'!J37</f>
        <v>25319298.819999997</v>
      </c>
      <c r="S35" s="1327">
        <f>+'Schedule H AREEN'!U37</f>
        <v>25367673.689999998</v>
      </c>
      <c r="T35" s="1327">
        <f>+'Schedule H AREEN'!AC37</f>
        <v>25084575.440000001</v>
      </c>
      <c r="U35" s="2178">
        <f t="shared" si="6"/>
        <v>0.65562905291637108</v>
      </c>
      <c r="V35" s="2178">
        <f t="shared" si="7"/>
        <v>0.34437094708362886</v>
      </c>
    </row>
    <row r="36" spans="1:22">
      <c r="A36" s="723">
        <v>21</v>
      </c>
      <c r="B36" s="1512">
        <v>1241021</v>
      </c>
      <c r="C36" s="2182">
        <v>2240427</v>
      </c>
      <c r="D36" s="2172" t="s">
        <v>3471</v>
      </c>
      <c r="E36" s="2189" t="s">
        <v>3469</v>
      </c>
      <c r="F36" s="3322" t="s">
        <v>3470</v>
      </c>
      <c r="G36" s="2186" t="s">
        <v>1489</v>
      </c>
      <c r="H36" s="2174">
        <v>45716</v>
      </c>
      <c r="I36" s="2175"/>
      <c r="J36" s="2174">
        <v>45716</v>
      </c>
      <c r="K36" s="1256"/>
      <c r="L36" s="2180">
        <v>4004000</v>
      </c>
      <c r="M36" s="2181">
        <f>'Schedule B'!I153</f>
        <v>18356118</v>
      </c>
      <c r="N36" s="2181">
        <v>0</v>
      </c>
      <c r="O36" s="2177">
        <v>0</v>
      </c>
      <c r="P36" s="2177">
        <f t="shared" si="8"/>
        <v>22360118</v>
      </c>
      <c r="Q36" s="1256"/>
      <c r="R36" s="1327">
        <f>'Schedule H MAS (Wet Works)'!J36</f>
        <v>23384183.210000001</v>
      </c>
      <c r="S36" s="1327">
        <f>'Schedule H MAS (Wet Works)'!U36</f>
        <v>22345856.210000001</v>
      </c>
      <c r="T36" s="1327">
        <f>'Schedule H MAS (Wet Works)'!AC36</f>
        <v>19750220</v>
      </c>
      <c r="U36" s="2178">
        <f t="shared" si="6"/>
        <v>0.99936217733734678</v>
      </c>
      <c r="V36" s="2178">
        <f t="shared" si="7"/>
        <v>6.378226626531714E-4</v>
      </c>
    </row>
    <row r="37" spans="1:22">
      <c r="A37" s="723">
        <v>22</v>
      </c>
      <c r="B37" s="1512">
        <v>1241083</v>
      </c>
      <c r="C37" s="2182">
        <v>2240461</v>
      </c>
      <c r="D37" s="2172" t="s">
        <v>3472</v>
      </c>
      <c r="E37" s="2189" t="s">
        <v>3469</v>
      </c>
      <c r="F37" s="3322" t="s">
        <v>3473</v>
      </c>
      <c r="G37" s="2186" t="s">
        <v>1489</v>
      </c>
      <c r="H37" s="2174">
        <v>45716</v>
      </c>
      <c r="I37" s="2175"/>
      <c r="J37" s="2174">
        <v>45716</v>
      </c>
      <c r="K37" s="1256"/>
      <c r="L37" s="2180">
        <v>1078892.27</v>
      </c>
      <c r="M37" s="2181">
        <f>'Schedule B'!I154</f>
        <v>205658.08</v>
      </c>
      <c r="N37" s="2181">
        <v>0</v>
      </c>
      <c r="O37" s="2177">
        <v>0</v>
      </c>
      <c r="P37" s="2177">
        <f t="shared" si="8"/>
        <v>1284550.3500000001</v>
      </c>
      <c r="Q37" s="1256"/>
      <c r="R37" s="1327">
        <f>'Schedule H MAS (Amphitheatre)'!J37</f>
        <v>1395241.1840000001</v>
      </c>
      <c r="S37" s="1327">
        <f>'Schedule H MAS (Amphitheatre)'!U37</f>
        <v>1211278.835</v>
      </c>
      <c r="T37" s="1327">
        <f>+'Schedule H MAS (Amphitheatre)'!AC37</f>
        <v>1211278.835</v>
      </c>
      <c r="U37" s="2178">
        <f t="shared" si="6"/>
        <v>0.94295940598980799</v>
      </c>
      <c r="V37" s="2178">
        <f t="shared" si="7"/>
        <v>5.7040594010192069E-2</v>
      </c>
    </row>
    <row r="38" spans="1:22">
      <c r="A38" s="723">
        <v>23</v>
      </c>
      <c r="B38" s="1512">
        <v>1241229</v>
      </c>
      <c r="C38" s="2182">
        <v>2250012</v>
      </c>
      <c r="D38" s="2172" t="s">
        <v>3584</v>
      </c>
      <c r="E38" s="2189" t="s">
        <v>5127</v>
      </c>
      <c r="F38" s="3322" t="s">
        <v>3585</v>
      </c>
      <c r="G38" s="2186" t="s">
        <v>1489</v>
      </c>
      <c r="H38" s="2174">
        <v>45711</v>
      </c>
      <c r="I38" s="2175"/>
      <c r="J38" s="2174">
        <v>45869</v>
      </c>
      <c r="K38" s="1256"/>
      <c r="L38" s="2180">
        <v>23125000</v>
      </c>
      <c r="M38" s="2181">
        <f>+'Schedule B'!I155</f>
        <v>71435593.229999989</v>
      </c>
      <c r="N38" s="2181">
        <v>0</v>
      </c>
      <c r="O38" s="2177">
        <v>0</v>
      </c>
      <c r="P38" s="2177">
        <f t="shared" si="8"/>
        <v>94560593.229999989</v>
      </c>
      <c r="Q38" s="1256"/>
      <c r="R38" s="1327">
        <f>+'Schedule H AL FANAR'!G37</f>
        <v>131213586.23411499</v>
      </c>
      <c r="S38" s="1327">
        <f>+'Schedule H AL FANAR'!R37</f>
        <v>92352575.089999989</v>
      </c>
      <c r="T38" s="1327">
        <f>+'Schedule H AL FANAR'!AC37</f>
        <v>82146350.200000003</v>
      </c>
      <c r="U38" s="2178">
        <f t="shared" si="6"/>
        <v>0.97664970084705971</v>
      </c>
      <c r="V38" s="2178">
        <f t="shared" si="7"/>
        <v>2.3350299152940297E-2</v>
      </c>
    </row>
    <row r="39" spans="1:22">
      <c r="A39" s="723">
        <v>24</v>
      </c>
      <c r="B39" s="1512">
        <v>1240893</v>
      </c>
      <c r="C39" s="2182">
        <v>2240377</v>
      </c>
      <c r="D39" s="2172" t="s">
        <v>3588</v>
      </c>
      <c r="E39" s="2189" t="s">
        <v>2965</v>
      </c>
      <c r="F39" s="3322" t="s">
        <v>3587</v>
      </c>
      <c r="G39" s="2186" t="s">
        <v>1489</v>
      </c>
      <c r="H39" s="2174"/>
      <c r="I39" s="2175"/>
      <c r="J39" s="2174"/>
      <c r="K39" s="1256"/>
      <c r="L39" s="2180">
        <v>2406500</v>
      </c>
      <c r="M39" s="2181">
        <v>0</v>
      </c>
      <c r="N39" s="2181">
        <v>0</v>
      </c>
      <c r="O39" s="2177">
        <v>0</v>
      </c>
      <c r="P39" s="2177">
        <f t="shared" si="8"/>
        <v>2406500</v>
      </c>
      <c r="Q39" s="1256"/>
      <c r="R39" s="1327">
        <f>+'Schedule H CML'!J38</f>
        <v>3873841.7600000007</v>
      </c>
      <c r="S39" s="1327">
        <f>+'Schedule H CML'!R38</f>
        <v>3873847.8700000006</v>
      </c>
      <c r="T39" s="1327">
        <f>+'Schedule H CML'!AC38</f>
        <v>3178291.0799999996</v>
      </c>
      <c r="U39" s="2178">
        <f t="shared" si="6"/>
        <v>1.6097435570330358</v>
      </c>
      <c r="V39" s="2178">
        <f t="shared" si="7"/>
        <v>-0.60974355703303573</v>
      </c>
    </row>
    <row r="40" spans="1:22">
      <c r="A40" s="723">
        <v>25</v>
      </c>
      <c r="B40" s="1512">
        <v>1240857</v>
      </c>
      <c r="C40" s="2182">
        <v>2240357</v>
      </c>
      <c r="D40" s="2172" t="s">
        <v>4484</v>
      </c>
      <c r="E40" s="2189" t="s">
        <v>4361</v>
      </c>
      <c r="F40" s="3322" t="s">
        <v>4362</v>
      </c>
      <c r="G40" s="2186" t="s">
        <v>1489</v>
      </c>
      <c r="H40" s="2174"/>
      <c r="I40" s="2175"/>
      <c r="J40" s="2174"/>
      <c r="K40" s="1256"/>
      <c r="L40" s="2180">
        <f>+'Schedule B'!H34</f>
        <v>182184.38</v>
      </c>
      <c r="M40" s="2181">
        <v>0</v>
      </c>
      <c r="N40" s="2181">
        <v>0</v>
      </c>
      <c r="O40" s="2177">
        <v>0</v>
      </c>
      <c r="P40" s="2177">
        <f t="shared" si="8"/>
        <v>182184.38</v>
      </c>
      <c r="Q40" s="1256"/>
      <c r="R40" s="1327">
        <f>+'Schedule H EURO'!J37</f>
        <v>128677.64</v>
      </c>
      <c r="S40" s="1327">
        <f>+'Schedule H EURO'!U37</f>
        <v>128677.64</v>
      </c>
      <c r="T40" s="1327">
        <f>+'Schedule H EURO'!AC37</f>
        <v>84414</v>
      </c>
      <c r="U40" s="2178">
        <f t="shared" si="6"/>
        <v>0.70630445925166574</v>
      </c>
      <c r="V40" s="2178">
        <f t="shared" si="7"/>
        <v>0.29369554074833421</v>
      </c>
    </row>
    <row r="41" spans="1:22" ht="24">
      <c r="A41" s="723">
        <v>26</v>
      </c>
      <c r="B41" s="1512">
        <v>1250131</v>
      </c>
      <c r="C41" s="2172">
        <v>2250063</v>
      </c>
      <c r="D41" s="2172" t="s">
        <v>4485</v>
      </c>
      <c r="E41" s="2188" t="s">
        <v>4483</v>
      </c>
      <c r="F41" s="3322" t="s">
        <v>4362</v>
      </c>
      <c r="G41" s="2186" t="s">
        <v>1489</v>
      </c>
      <c r="H41" s="2174"/>
      <c r="I41" s="2175"/>
      <c r="J41" s="2174"/>
      <c r="K41" s="1256"/>
      <c r="L41" s="2180">
        <v>54000</v>
      </c>
      <c r="M41" s="2181">
        <v>0</v>
      </c>
      <c r="N41" s="2181">
        <v>0</v>
      </c>
      <c r="O41" s="2177">
        <v>0</v>
      </c>
      <c r="P41" s="2177">
        <f t="shared" si="8"/>
        <v>54000</v>
      </c>
      <c r="Q41" s="1256"/>
      <c r="R41" s="1327">
        <f>+'Schedule H EURO CO027'!J37</f>
        <v>54000</v>
      </c>
      <c r="S41" s="1327">
        <f>+'Schedule H EURO CO027'!U37</f>
        <v>54000</v>
      </c>
      <c r="T41" s="1327">
        <f>+'Schedule H EURO CO027'!AC37</f>
        <v>45000</v>
      </c>
      <c r="U41" s="2178">
        <f t="shared" si="6"/>
        <v>1</v>
      </c>
      <c r="V41" s="2178">
        <f t="shared" si="7"/>
        <v>0</v>
      </c>
    </row>
    <row r="42" spans="1:22">
      <c r="A42" s="723">
        <v>27</v>
      </c>
      <c r="B42" s="1512">
        <v>1250408</v>
      </c>
      <c r="C42" s="2172">
        <v>2250145</v>
      </c>
      <c r="D42" s="2172" t="s">
        <v>4505</v>
      </c>
      <c r="E42" s="2188" t="s">
        <v>4500</v>
      </c>
      <c r="F42" s="3322" t="s">
        <v>4502</v>
      </c>
      <c r="G42" s="2186" t="s">
        <v>1489</v>
      </c>
      <c r="H42" s="2174"/>
      <c r="I42" s="2175"/>
      <c r="J42" s="2174"/>
      <c r="K42" s="1256"/>
      <c r="L42" s="2180">
        <v>3096124.9</v>
      </c>
      <c r="M42" s="2181">
        <v>0</v>
      </c>
      <c r="N42" s="2181">
        <v>0</v>
      </c>
      <c r="O42" s="2177">
        <v>0</v>
      </c>
      <c r="P42" s="2177">
        <f>SUM(K42:O42)</f>
        <v>3096124.9</v>
      </c>
      <c r="Q42" s="1256"/>
      <c r="R42" s="1327">
        <f>+'Schedule H HAM'!J37</f>
        <v>3096124.9000000004</v>
      </c>
      <c r="S42" s="1327">
        <f>+'Schedule H HAM'!U37</f>
        <v>3096124.9000000004</v>
      </c>
      <c r="T42" s="1327">
        <f>+'Schedule H HAM'!AC37</f>
        <v>1774248.9200000002</v>
      </c>
      <c r="U42" s="2178">
        <f t="shared" si="6"/>
        <v>1.0000000000000002</v>
      </c>
      <c r="V42" s="2178">
        <f t="shared" si="7"/>
        <v>-1.5040132499426599E-16</v>
      </c>
    </row>
    <row r="43" spans="1:22">
      <c r="A43" s="723">
        <v>28</v>
      </c>
      <c r="B43" s="1512" t="s">
        <v>4506</v>
      </c>
      <c r="C43" s="2172">
        <v>2250084</v>
      </c>
      <c r="D43" s="2172" t="s">
        <v>4507</v>
      </c>
      <c r="E43" s="2188" t="s">
        <v>4503</v>
      </c>
      <c r="F43" s="3322" t="s">
        <v>4504</v>
      </c>
      <c r="G43" s="2186" t="s">
        <v>1489</v>
      </c>
      <c r="H43" s="2174"/>
      <c r="I43" s="2175"/>
      <c r="J43" s="2174"/>
      <c r="K43" s="1256"/>
      <c r="L43" s="2180">
        <v>7129950</v>
      </c>
      <c r="M43" s="2181">
        <v>0</v>
      </c>
      <c r="N43" s="2181">
        <v>0</v>
      </c>
      <c r="O43" s="2177">
        <v>0</v>
      </c>
      <c r="P43" s="2177">
        <f>SUM(K43:O43)</f>
        <v>7129950</v>
      </c>
      <c r="Q43" s="1256"/>
      <c r="R43" s="1327">
        <f>+'Schedule H ARMETAL'!J37</f>
        <v>6633442.8204999994</v>
      </c>
      <c r="S43" s="1327">
        <f>+'Schedule H ARMETAL'!U37</f>
        <v>6633442.8204999994</v>
      </c>
      <c r="T43" s="1327">
        <f>+'Schedule H ARMETAL'!AC37</f>
        <v>6367045.3499999996</v>
      </c>
      <c r="U43" s="2178">
        <f t="shared" si="6"/>
        <v>0.93036316110211148</v>
      </c>
      <c r="V43" s="2178">
        <f t="shared" si="7"/>
        <v>6.9636838897888562E-2</v>
      </c>
    </row>
    <row r="44" spans="1:22" ht="9.75" customHeight="1">
      <c r="A44" s="723"/>
      <c r="B44" s="1512"/>
      <c r="C44" s="2172"/>
      <c r="D44" s="2172"/>
      <c r="E44" s="2188"/>
      <c r="F44" s="3322"/>
      <c r="G44" s="2186"/>
      <c r="H44" s="2174"/>
      <c r="I44" s="2175"/>
      <c r="J44" s="2174"/>
      <c r="K44" s="1256"/>
      <c r="L44" s="2180"/>
      <c r="M44" s="2181"/>
      <c r="N44" s="2181"/>
      <c r="O44" s="2177"/>
      <c r="P44" s="2177"/>
      <c r="Q44" s="1256"/>
      <c r="R44" s="1327"/>
      <c r="S44" s="1327"/>
      <c r="T44" s="1327"/>
      <c r="U44" s="2178"/>
      <c r="V44" s="2178"/>
    </row>
    <row r="45" spans="1:22" ht="24.75" customHeight="1" thickBot="1">
      <c r="A45" s="6045" t="s">
        <v>1522</v>
      </c>
      <c r="B45" s="6046"/>
      <c r="C45" s="6046"/>
      <c r="D45" s="6046"/>
      <c r="E45" s="6046"/>
      <c r="F45" s="6046"/>
      <c r="G45" s="6046"/>
      <c r="H45" s="6046"/>
      <c r="I45" s="6046"/>
      <c r="J45" s="6047"/>
      <c r="K45" s="1256"/>
      <c r="L45" s="2183">
        <f>SUM(L15:L44)</f>
        <v>512638208.92999995</v>
      </c>
      <c r="M45" s="2183">
        <f>SUM(M15:M44)</f>
        <v>41480291.949999988</v>
      </c>
      <c r="N45" s="2183">
        <f>SUM(N15:N44)</f>
        <v>0</v>
      </c>
      <c r="O45" s="2183">
        <f>SUM(O15:O44)</f>
        <v>0</v>
      </c>
      <c r="P45" s="2183">
        <f>SUM(P15:P44)</f>
        <v>554118500.88</v>
      </c>
      <c r="Q45" s="1256"/>
      <c r="R45" s="2183">
        <f>SUM(R15:R44)</f>
        <v>720469300.67869961</v>
      </c>
      <c r="S45" s="2183">
        <f>SUM(S15:S44)</f>
        <v>522199822.04149991</v>
      </c>
      <c r="T45" s="2183">
        <f>SUM(T15:T44)</f>
        <v>499306681.92699993</v>
      </c>
      <c r="U45" s="2184">
        <f>S45/P45</f>
        <v>0.94239737747826546</v>
      </c>
      <c r="V45" s="2184">
        <f>(P45-S45)/P45</f>
        <v>5.7602622521734564E-2</v>
      </c>
    </row>
    <row r="46" spans="1:22" ht="13.5" thickBot="1">
      <c r="R46" s="4000" t="s">
        <v>3589</v>
      </c>
      <c r="S46" s="4001">
        <f>+S45-'Schedule B'!U268</f>
        <v>-213967.97500008345</v>
      </c>
      <c r="T46" s="1367">
        <f>+T45-S45</f>
        <v>-22893140.114499986</v>
      </c>
    </row>
    <row r="48" spans="1:22">
      <c r="S48" s="1367"/>
    </row>
    <row r="49" spans="18:20">
      <c r="S49" s="2834">
        <f>+'Executive Summary'!G119</f>
        <v>522199822.04149997</v>
      </c>
      <c r="T49" t="s">
        <v>3979</v>
      </c>
    </row>
    <row r="50" spans="18:20">
      <c r="R50" s="4068" t="s">
        <v>3589</v>
      </c>
      <c r="S50" s="2122">
        <f>+S49-S45</f>
        <v>0</v>
      </c>
    </row>
    <row r="52" spans="18:20">
      <c r="S52" s="4350">
        <f>+'Schedule B'!U268</f>
        <v>522413790.0165</v>
      </c>
    </row>
    <row r="53" spans="18:20">
      <c r="R53" s="4068" t="s">
        <v>3589</v>
      </c>
      <c r="S53" s="2122">
        <f>+S49-S52</f>
        <v>-213967.97500002384</v>
      </c>
    </row>
  </sheetData>
  <mergeCells count="7">
    <mergeCell ref="A10:J10"/>
    <mergeCell ref="L10:P10"/>
    <mergeCell ref="R10:V10"/>
    <mergeCell ref="A45:J45"/>
    <mergeCell ref="A14:V14"/>
    <mergeCell ref="A22:V22"/>
    <mergeCell ref="A24:V24"/>
  </mergeCells>
  <conditionalFormatting sqref="G15:G21">
    <cfRule type="cellIs" dxfId="16" priority="5" operator="equal">
      <formula>"OPEN"</formula>
    </cfRule>
    <cfRule type="cellIs" dxfId="15" priority="6" operator="equal">
      <formula>"CLOSED"</formula>
    </cfRule>
  </conditionalFormatting>
  <conditionalFormatting sqref="G23">
    <cfRule type="cellIs" dxfId="14" priority="11" operator="equal">
      <formula>"OPEN"</formula>
    </cfRule>
    <cfRule type="cellIs" dxfId="13" priority="12" operator="equal">
      <formula>"CLOSED"</formula>
    </cfRule>
  </conditionalFormatting>
  <conditionalFormatting sqref="G25:G44">
    <cfRule type="cellIs" dxfId="12" priority="1" operator="equal">
      <formula>"OPEN"</formula>
    </cfRule>
    <cfRule type="cellIs" dxfId="11" priority="2" operator="equal">
      <formula>"CLOSED"</formula>
    </cfRule>
  </conditionalFormatting>
  <pageMargins left="0.75" right="0.25" top="0.75" bottom="0.75" header="0.3" footer="0.3"/>
  <pageSetup paperSize="8" scale="70" fitToHeight="1000" orientation="landscape" r:id="rId1"/>
  <headerFooter>
    <oddHeader>&amp;C&amp;"Calibri,Bold"&amp;18MONTHLY REPORT - INVOICE &amp; PAYMENT TRACKING LOG
&amp;R&amp;G</oddHeader>
    <oddFooter>&amp;L1TB.01.003.01 - AYC 
MARCH'26 REPORT&amp;C&amp;A&amp;RPage &amp;P of &amp;N</oddFooter>
  </headerFooter>
  <legacyDrawingHF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902D9-730B-41F5-B73F-0D71B9BFB099}">
  <sheetPr codeName="Sheet17">
    <tabColor theme="7" tint="0.39997558519241921"/>
  </sheetPr>
  <dimension ref="A1:AE75"/>
  <sheetViews>
    <sheetView showGridLines="0" view="pageBreakPreview" zoomScale="90" zoomScaleNormal="100" zoomScaleSheetLayoutView="90" workbookViewId="0">
      <pane ySplit="13" topLeftCell="A45" activePane="bottomLeft" state="frozen"/>
      <selection activeCell="C43" sqref="C43"/>
      <selection pane="bottomLeft" activeCell="C43" sqref="C43"/>
    </sheetView>
  </sheetViews>
  <sheetFormatPr defaultColWidth="9" defaultRowHeight="12.75" outlineLevelCol="1"/>
  <cols>
    <col min="1" max="1" width="10.85546875" customWidth="1"/>
    <col min="2" max="2" width="10.42578125" customWidth="1"/>
    <col min="3" max="3" width="9.5703125" bestFit="1" customWidth="1"/>
    <col min="4" max="4" width="22.85546875" bestFit="1" customWidth="1"/>
    <col min="5" max="5" width="9.85546875" bestFit="1" customWidth="1"/>
    <col min="6" max="6" width="11.85546875" bestFit="1" customWidth="1"/>
    <col min="7" max="7" width="12.85546875" bestFit="1" customWidth="1"/>
    <col min="8" max="8" width="8.5703125" bestFit="1" customWidth="1"/>
    <col min="9" max="9" width="9" bestFit="1" customWidth="1"/>
    <col min="10" max="10" width="13.85546875" customWidth="1"/>
    <col min="11" max="11" width="0.85546875" customWidth="1"/>
    <col min="12" max="12" width="6" customWidth="1" outlineLevel="1"/>
    <col min="13" max="13" width="21.85546875" customWidth="1" outlineLevel="1"/>
    <col min="14" max="14" width="10.42578125" customWidth="1" outlineLevel="1"/>
    <col min="15" max="15" width="10" customWidth="1" outlineLevel="1"/>
    <col min="16" max="16" width="7.85546875" customWidth="1" outlineLevel="1"/>
    <col min="17" max="17" width="12" customWidth="1" outlineLevel="1"/>
    <col min="18" max="18" width="13.85546875" customWidth="1" outlineLevel="1"/>
    <col min="19" max="20" width="9" customWidth="1" outlineLevel="1"/>
    <col min="21" max="21" width="14.5703125" customWidth="1" outlineLevel="1"/>
    <col min="22" max="22" width="0.85546875" customWidth="1" outlineLevel="1"/>
    <col min="23" max="23" width="18.5703125" bestFit="1" customWidth="1"/>
    <col min="24" max="24" width="9" bestFit="1" customWidth="1"/>
    <col min="25" max="25" width="9.85546875" bestFit="1" customWidth="1"/>
    <col min="26" max="26" width="10" customWidth="1"/>
    <col min="27" max="27" width="7" customWidth="1"/>
    <col min="28" max="28" width="12.42578125" customWidth="1"/>
    <col min="29" max="29" width="13.5703125" customWidth="1"/>
    <col min="30" max="31" width="14" customWidth="1"/>
  </cols>
  <sheetData>
    <row r="1" spans="1:31">
      <c r="A1" s="1255"/>
      <c r="B1" s="1256"/>
      <c r="C1" s="1255"/>
      <c r="D1" s="1257"/>
      <c r="E1" s="1257"/>
      <c r="F1" s="1258"/>
      <c r="G1" s="1258"/>
      <c r="H1" s="1258"/>
      <c r="I1" s="1258"/>
      <c r="J1" s="1258"/>
      <c r="K1" s="1257"/>
      <c r="L1" s="1255"/>
      <c r="M1" s="1255"/>
      <c r="N1" s="1255"/>
      <c r="O1" s="1255"/>
      <c r="P1" s="1255"/>
      <c r="Q1" s="1255"/>
      <c r="R1" s="1255"/>
      <c r="S1" s="1255"/>
      <c r="T1" s="1255"/>
      <c r="U1" s="1259"/>
      <c r="V1" s="1257"/>
      <c r="W1" s="1257"/>
      <c r="X1" s="1257"/>
      <c r="Y1" s="1257"/>
      <c r="Z1" s="1257"/>
      <c r="AA1" s="1257"/>
      <c r="AB1" s="1257"/>
      <c r="AC1" s="1257"/>
      <c r="AD1" s="1257"/>
      <c r="AE1" s="1257"/>
    </row>
    <row r="2" spans="1:31">
      <c r="A2" s="9" t="str">
        <f>'Data Input'!A1&amp;" - "&amp;'Data Input'!B1</f>
        <v>PROGRAMME: - MARINA VILLAGE (PROGRAMME 1_TRIPLE BAY)</v>
      </c>
      <c r="B2" s="1256"/>
      <c r="C2" s="1255"/>
      <c r="D2" s="1257"/>
      <c r="E2" s="1257"/>
      <c r="F2" s="1258"/>
      <c r="G2" s="1258"/>
      <c r="H2" s="1258"/>
      <c r="I2" s="1258"/>
      <c r="J2" s="1258"/>
      <c r="K2" s="1257"/>
      <c r="L2" s="1255"/>
      <c r="M2" s="1255"/>
      <c r="N2" s="1255"/>
      <c r="O2" s="1255"/>
      <c r="P2" s="1255"/>
      <c r="Q2" s="1255"/>
      <c r="R2" s="1255"/>
      <c r="S2" s="1255"/>
      <c r="T2" s="1255"/>
      <c r="U2" s="1259"/>
      <c r="V2" s="1257"/>
      <c r="W2" s="1257"/>
      <c r="X2" s="1257"/>
      <c r="Y2" s="1257"/>
      <c r="Z2" s="1257"/>
      <c r="AA2" s="1257"/>
      <c r="AB2" s="1257"/>
      <c r="AC2" s="1257"/>
      <c r="AD2" s="1257"/>
      <c r="AE2" s="1257"/>
    </row>
    <row r="3" spans="1:31">
      <c r="A3" s="9" t="str">
        <f>'Data Input'!A2&amp;" - "&amp;'Data Input'!B2</f>
        <v>PROGRAMME CODE: - 1TB01003</v>
      </c>
      <c r="B3" s="1260"/>
      <c r="C3" s="1261"/>
      <c r="D3" s="1262"/>
      <c r="E3" s="1262"/>
      <c r="F3" s="1263"/>
      <c r="G3" s="1263"/>
      <c r="H3" s="1263"/>
      <c r="I3" s="1263"/>
      <c r="J3" s="1264"/>
      <c r="K3" s="1265"/>
      <c r="L3" s="1265"/>
      <c r="M3" s="1265"/>
      <c r="N3" s="1265"/>
      <c r="O3" s="1266"/>
      <c r="P3" s="1265"/>
      <c r="Q3" s="1265"/>
      <c r="R3" s="1265"/>
      <c r="S3" s="1265"/>
      <c r="T3" s="1265"/>
      <c r="U3" s="1267"/>
      <c r="V3" s="1265"/>
      <c r="W3" s="1265"/>
      <c r="X3" s="1265"/>
      <c r="Y3" s="1265"/>
      <c r="Z3" s="1265"/>
      <c r="AA3" s="1265"/>
      <c r="AB3" s="1265"/>
      <c r="AC3" s="1265"/>
      <c r="AD3" s="1265"/>
      <c r="AE3" s="1265"/>
    </row>
    <row r="4" spans="1:31">
      <c r="A4" s="9" t="str">
        <f>'Data Input'!A3&amp;" - "&amp;'Data Input'!B3</f>
        <v>ASSET NAME: - AMAALA YACHT CLUB</v>
      </c>
      <c r="B4" s="1260"/>
      <c r="C4" s="1268"/>
      <c r="D4" s="1265"/>
      <c r="E4" s="1265"/>
      <c r="F4" s="1267"/>
      <c r="G4" s="1267"/>
      <c r="H4" s="1267"/>
      <c r="I4" s="1267"/>
      <c r="J4" s="1269"/>
      <c r="K4" s="1265"/>
      <c r="L4" s="1265"/>
      <c r="M4" s="1265"/>
      <c r="N4" s="1265"/>
      <c r="O4" s="1266"/>
      <c r="P4" s="1265"/>
      <c r="Q4" s="1265"/>
      <c r="R4" s="1265"/>
      <c r="S4" s="1265"/>
      <c r="T4" s="1265"/>
      <c r="U4" s="1267"/>
      <c r="V4" s="1265"/>
      <c r="W4" s="1265"/>
      <c r="X4" s="1265"/>
      <c r="Y4" s="1265"/>
      <c r="Z4" s="1265"/>
      <c r="AA4" s="1265"/>
      <c r="AB4" s="1265"/>
      <c r="AC4" s="1265"/>
      <c r="AD4" s="1265"/>
      <c r="AE4" s="1265"/>
    </row>
    <row r="5" spans="1:31">
      <c r="A5" s="9" t="str">
        <f>'Data Input'!A4&amp;" - "&amp;'Data Input'!B4</f>
        <v>ASSET CODE: - 1TB01003.01</v>
      </c>
      <c r="B5" s="1270"/>
      <c r="C5" s="1268"/>
      <c r="D5" s="1265"/>
      <c r="E5" s="1265"/>
      <c r="F5" s="1267"/>
      <c r="G5" s="1267"/>
      <c r="H5" s="1267"/>
      <c r="I5" s="1267"/>
      <c r="J5" s="1269"/>
      <c r="K5" s="1265"/>
      <c r="L5" s="1265"/>
      <c r="M5" s="1265"/>
      <c r="N5" s="1265"/>
      <c r="O5" s="1266"/>
      <c r="P5" s="1265"/>
      <c r="Q5" s="1265"/>
      <c r="R5" s="1271"/>
      <c r="S5" s="1265"/>
      <c r="T5" s="1265"/>
      <c r="U5" s="1267"/>
      <c r="V5" s="1265"/>
      <c r="W5" s="1265"/>
      <c r="X5" s="1265"/>
      <c r="Y5" s="1265"/>
      <c r="Z5" s="1265"/>
      <c r="AA5" s="1265"/>
      <c r="AB5" s="1265"/>
      <c r="AC5" s="1265"/>
      <c r="AD5" s="1265"/>
      <c r="AE5" s="1265"/>
    </row>
    <row r="6" spans="1:31">
      <c r="A6" s="9" t="str">
        <f>'Data Input'!A7&amp;" - "&amp;'Data Input'!B7</f>
        <v>REPORT NO: - MONTHLY REPORT NO. 49</v>
      </c>
      <c r="B6" s="1272"/>
      <c r="C6" s="1268"/>
      <c r="D6" s="1265"/>
      <c r="E6" s="1265"/>
      <c r="F6" s="1267"/>
      <c r="G6" s="1267"/>
      <c r="H6" s="1267"/>
      <c r="I6" s="1267"/>
      <c r="J6" s="1269"/>
      <c r="K6" s="1265"/>
      <c r="L6" s="1265"/>
      <c r="M6" s="1265"/>
      <c r="N6" s="1265"/>
      <c r="O6" s="1266"/>
      <c r="P6" s="1265"/>
      <c r="Q6" s="1265"/>
      <c r="R6" s="1273"/>
      <c r="S6" s="1265"/>
      <c r="T6" s="1271"/>
      <c r="U6" s="1267"/>
      <c r="V6" s="1265"/>
      <c r="W6" s="1265"/>
      <c r="X6" s="1265"/>
      <c r="Y6" s="1265"/>
      <c r="Z6" s="1265"/>
      <c r="AA6" s="1265"/>
      <c r="AB6" s="1265"/>
      <c r="AC6" s="1265"/>
      <c r="AD6" s="1265"/>
      <c r="AE6" s="1265"/>
    </row>
    <row r="7" spans="1:31">
      <c r="A7" s="9" t="str">
        <f>'Data Input'!A8&amp;" - "&amp;'Data Input'!B8</f>
        <v>REPORTING PERIOD: - OCTOBER 2026</v>
      </c>
      <c r="B7" s="1262"/>
      <c r="C7" s="1274"/>
      <c r="D7" s="1262"/>
      <c r="E7" s="1262"/>
      <c r="F7" s="1263"/>
      <c r="G7" s="1263"/>
      <c r="H7" s="1263"/>
      <c r="I7" s="1263"/>
      <c r="J7" s="1264"/>
      <c r="K7" s="1265"/>
      <c r="L7" s="1265"/>
      <c r="M7" s="1265"/>
      <c r="N7" s="1265"/>
      <c r="O7" s="1265"/>
      <c r="P7" s="1265"/>
      <c r="Q7" s="1267"/>
      <c r="R7" s="1263"/>
      <c r="S7" s="1263"/>
      <c r="T7" s="1263"/>
      <c r="U7" s="1267"/>
      <c r="V7" s="1265"/>
      <c r="W7" s="1265"/>
      <c r="X7" s="1265"/>
      <c r="Y7" s="1265"/>
      <c r="Z7" s="1265"/>
      <c r="AA7" s="1265"/>
      <c r="AB7" s="1265"/>
      <c r="AC7" s="1265"/>
      <c r="AD7" s="1265"/>
      <c r="AE7" s="1265"/>
    </row>
    <row r="8" spans="1:31" ht="13.5" thickBot="1">
      <c r="A8" s="9"/>
      <c r="B8" s="1256"/>
      <c r="C8" s="1255"/>
      <c r="D8" s="1257"/>
      <c r="E8" s="1257"/>
      <c r="F8" s="1258"/>
      <c r="G8" s="1258"/>
      <c r="H8" s="1258"/>
      <c r="I8" s="1258"/>
      <c r="J8" s="1258"/>
      <c r="K8" s="1257"/>
      <c r="L8" s="1255"/>
      <c r="M8" s="1255"/>
      <c r="N8" s="1275"/>
      <c r="O8" s="1276"/>
      <c r="P8" s="1255"/>
      <c r="Q8" s="1255"/>
      <c r="R8" s="1255"/>
      <c r="S8" s="1255"/>
      <c r="T8" s="1255"/>
      <c r="U8" s="1259"/>
      <c r="V8" s="1257"/>
      <c r="W8" s="1257"/>
      <c r="X8" s="1257"/>
      <c r="Y8" s="1257"/>
      <c r="Z8" s="1257"/>
      <c r="AA8" s="1257"/>
      <c r="AB8" s="1257"/>
      <c r="AC8" s="1257"/>
      <c r="AD8" s="1257"/>
      <c r="AE8" s="1257"/>
    </row>
    <row r="9" spans="1:31" ht="30" customHeight="1" thickBot="1">
      <c r="A9" s="1354" t="str">
        <f>'Schedule B'!A17&amp;" - "&amp;'Schedule B'!C17</f>
        <v>PS.003D01 -  Dewan Architects &amp; Engineers 2200445</v>
      </c>
      <c r="B9" s="1355"/>
      <c r="C9" s="1355"/>
      <c r="D9" s="1356"/>
      <c r="E9" s="1356"/>
      <c r="F9" s="1357"/>
      <c r="G9" s="1357"/>
      <c r="H9" s="1357"/>
      <c r="I9" s="1357"/>
      <c r="J9" s="1357"/>
      <c r="K9" s="1356"/>
      <c r="L9" s="1355"/>
      <c r="M9" s="1355"/>
      <c r="N9" s="1355"/>
      <c r="O9" s="1355"/>
      <c r="P9" s="1355"/>
      <c r="Q9" s="1355"/>
      <c r="R9" s="1355"/>
      <c r="S9" s="1355"/>
      <c r="T9" s="1355"/>
      <c r="U9" s="1358"/>
      <c r="V9" s="3251"/>
      <c r="W9" s="1356"/>
      <c r="X9" s="1356"/>
      <c r="Y9" s="1356"/>
      <c r="Z9" s="1356"/>
      <c r="AA9" s="1356"/>
      <c r="AB9" s="1356"/>
      <c r="AC9" s="1356"/>
      <c r="AD9" s="1356"/>
      <c r="AE9" s="1359"/>
    </row>
    <row r="10" spans="1:31">
      <c r="A10" s="6051" t="s">
        <v>1524</v>
      </c>
      <c r="B10" s="6052"/>
      <c r="C10" s="6052"/>
      <c r="D10" s="6052"/>
      <c r="E10" s="6052"/>
      <c r="F10" s="6052"/>
      <c r="G10" s="6053"/>
      <c r="H10" s="6053"/>
      <c r="I10" s="6053"/>
      <c r="J10" s="6054"/>
      <c r="K10" s="1256"/>
      <c r="L10" s="6055" t="s">
        <v>1525</v>
      </c>
      <c r="M10" s="6056"/>
      <c r="N10" s="6056"/>
      <c r="O10" s="6056"/>
      <c r="P10" s="6056"/>
      <c r="Q10" s="6056"/>
      <c r="R10" s="6057"/>
      <c r="S10" s="6057"/>
      <c r="T10" s="6057"/>
      <c r="U10" s="6058"/>
      <c r="V10" s="1256"/>
      <c r="W10" s="6043" t="s">
        <v>1526</v>
      </c>
      <c r="X10" s="6044"/>
      <c r="Y10" s="6044"/>
      <c r="Z10" s="6044"/>
      <c r="AA10" s="6044"/>
      <c r="AB10" s="6044"/>
      <c r="AC10" s="6044"/>
      <c r="AD10" s="6044"/>
      <c r="AE10" s="6059"/>
    </row>
    <row r="11" spans="1:31" ht="60" customHeight="1">
      <c r="A11" s="1283" t="s">
        <v>1462</v>
      </c>
      <c r="B11" s="1284" t="s">
        <v>1527</v>
      </c>
      <c r="C11" s="1284" t="s">
        <v>1528</v>
      </c>
      <c r="D11" s="1285" t="s">
        <v>1600</v>
      </c>
      <c r="E11" s="1285" t="s">
        <v>1530</v>
      </c>
      <c r="F11" s="1286" t="s">
        <v>1531</v>
      </c>
      <c r="G11" s="1287" t="s">
        <v>1532</v>
      </c>
      <c r="H11" s="1287" t="s">
        <v>1533</v>
      </c>
      <c r="I11" s="1287" t="s">
        <v>1534</v>
      </c>
      <c r="J11" s="1288" t="s">
        <v>1535</v>
      </c>
      <c r="K11" s="1289"/>
      <c r="L11" s="763" t="s">
        <v>1536</v>
      </c>
      <c r="M11" s="1290" t="s">
        <v>1601</v>
      </c>
      <c r="N11" s="1290" t="s">
        <v>1530</v>
      </c>
      <c r="O11" s="1290" t="s">
        <v>1602</v>
      </c>
      <c r="P11" s="764" t="s">
        <v>1539</v>
      </c>
      <c r="Q11" s="1291" t="s">
        <v>1540</v>
      </c>
      <c r="R11" s="1292" t="s">
        <v>1541</v>
      </c>
      <c r="S11" s="1292" t="s">
        <v>1533</v>
      </c>
      <c r="T11" s="1292" t="s">
        <v>1534</v>
      </c>
      <c r="U11" s="1293" t="s">
        <v>1542</v>
      </c>
      <c r="V11" s="1256"/>
      <c r="W11" s="1294" t="s">
        <v>1543</v>
      </c>
      <c r="X11" s="1295" t="s">
        <v>1544</v>
      </c>
      <c r="Y11" s="1296" t="s">
        <v>1545</v>
      </c>
      <c r="Z11" s="1296" t="s">
        <v>1603</v>
      </c>
      <c r="AA11" s="769" t="s">
        <v>1539</v>
      </c>
      <c r="AB11" s="769" t="s">
        <v>1547</v>
      </c>
      <c r="AC11" s="769" t="s">
        <v>1548</v>
      </c>
      <c r="AD11" s="1296" t="s">
        <v>1549</v>
      </c>
      <c r="AE11" s="1297" t="s">
        <v>1550</v>
      </c>
    </row>
    <row r="12" spans="1:31" ht="17.25" customHeight="1">
      <c r="A12" s="1298"/>
      <c r="B12" s="1299"/>
      <c r="C12" s="1300"/>
      <c r="D12" s="1301"/>
      <c r="E12" s="1302" t="s">
        <v>296</v>
      </c>
      <c r="F12" s="1303" t="s">
        <v>434</v>
      </c>
      <c r="G12" s="1303" t="s">
        <v>434</v>
      </c>
      <c r="H12" s="1304">
        <v>0</v>
      </c>
      <c r="I12" s="1304">
        <v>0</v>
      </c>
      <c r="J12" s="1305" t="s">
        <v>434</v>
      </c>
      <c r="K12" s="1256"/>
      <c r="L12" s="765"/>
      <c r="M12" s="766"/>
      <c r="N12" s="1306" t="s">
        <v>296</v>
      </c>
      <c r="O12" s="766" t="s">
        <v>1551</v>
      </c>
      <c r="P12" s="1307" t="s">
        <v>1552</v>
      </c>
      <c r="Q12" s="767" t="s">
        <v>434</v>
      </c>
      <c r="R12" s="767" t="s">
        <v>434</v>
      </c>
      <c r="S12" s="1308">
        <v>0</v>
      </c>
      <c r="T12" s="1308">
        <v>0</v>
      </c>
      <c r="U12" s="768" t="s">
        <v>434</v>
      </c>
      <c r="V12" s="1256"/>
      <c r="W12" s="770"/>
      <c r="X12" s="1309" t="s">
        <v>296</v>
      </c>
      <c r="Y12" s="1309" t="s">
        <v>296</v>
      </c>
      <c r="Z12" s="1309" t="s">
        <v>1553</v>
      </c>
      <c r="AA12" s="1310" t="s">
        <v>1552</v>
      </c>
      <c r="AB12" s="1311"/>
      <c r="AC12" s="1312">
        <v>0.15</v>
      </c>
      <c r="AD12" s="1309" t="s">
        <v>296</v>
      </c>
      <c r="AE12" s="1313" t="s">
        <v>296</v>
      </c>
    </row>
    <row r="13" spans="1:31" s="722" customFormat="1" ht="12.75" customHeight="1">
      <c r="A13" s="1314"/>
      <c r="B13" s="1314"/>
      <c r="C13" s="1314"/>
      <c r="D13" s="1314"/>
      <c r="E13" s="1314" t="s">
        <v>1481</v>
      </c>
      <c r="F13" s="1314"/>
      <c r="G13" s="1314"/>
      <c r="H13" s="1314"/>
      <c r="I13" s="1314"/>
      <c r="J13" s="1314"/>
      <c r="K13" s="1255"/>
      <c r="L13" s="1315"/>
      <c r="M13" s="1315"/>
      <c r="N13" s="1316" t="s">
        <v>1482</v>
      </c>
      <c r="O13" s="1314" t="s">
        <v>1604</v>
      </c>
      <c r="P13" s="1317" t="s">
        <v>1555</v>
      </c>
      <c r="Q13" s="1318" t="s">
        <v>1556</v>
      </c>
      <c r="R13" s="1318" t="s">
        <v>1557</v>
      </c>
      <c r="S13" s="1319" t="s">
        <v>1605</v>
      </c>
      <c r="T13" s="1319" t="s">
        <v>1606</v>
      </c>
      <c r="U13" s="1318" t="s">
        <v>1560</v>
      </c>
      <c r="V13" s="1255"/>
      <c r="W13" s="1316"/>
      <c r="X13" s="1316"/>
      <c r="Y13" s="1316" t="s">
        <v>1561</v>
      </c>
      <c r="Z13" s="1316" t="s">
        <v>1607</v>
      </c>
      <c r="AA13" s="1317" t="s">
        <v>1563</v>
      </c>
      <c r="AB13" s="1314" t="s">
        <v>1564</v>
      </c>
      <c r="AC13" s="1319" t="s">
        <v>1565</v>
      </c>
      <c r="AD13" s="1316" t="s">
        <v>1566</v>
      </c>
      <c r="AE13" s="1316"/>
    </row>
    <row r="14" spans="1:31">
      <c r="A14" s="723">
        <v>1</v>
      </c>
      <c r="B14" s="810" t="s">
        <v>1608</v>
      </c>
      <c r="C14" s="811"/>
      <c r="D14" s="1320"/>
      <c r="E14" s="1440"/>
      <c r="F14" s="1322">
        <v>470038.26</v>
      </c>
      <c r="G14" s="1444">
        <f>F14</f>
        <v>470038.26</v>
      </c>
      <c r="H14" s="1444">
        <f>(G14*$H$12)*-1</f>
        <v>0</v>
      </c>
      <c r="I14" s="1444">
        <f>(G14*$I$12)*-1</f>
        <v>0</v>
      </c>
      <c r="J14" s="1444">
        <f>G14+H14+I14</f>
        <v>470038.26</v>
      </c>
      <c r="K14" s="1256"/>
      <c r="L14" s="1510">
        <v>1</v>
      </c>
      <c r="M14" s="724"/>
      <c r="N14" s="1321"/>
      <c r="O14" s="1323"/>
      <c r="P14" s="1324"/>
      <c r="Q14" s="1322">
        <v>470038.26</v>
      </c>
      <c r="R14" s="1444">
        <f>Q14</f>
        <v>470038.26</v>
      </c>
      <c r="S14" s="1444">
        <f>(R14*$S$12)*-1</f>
        <v>0</v>
      </c>
      <c r="T14" s="1444">
        <f>(R14*$T$12)*-1</f>
        <v>0</v>
      </c>
      <c r="U14" s="1444">
        <f>R14+S14+T14</f>
        <v>470038.26</v>
      </c>
      <c r="V14" s="1256"/>
      <c r="W14" s="1325"/>
      <c r="X14" s="1326"/>
      <c r="Y14" s="1326">
        <v>44245</v>
      </c>
      <c r="Z14" s="1321"/>
      <c r="AA14" s="1324"/>
      <c r="AB14" s="1327">
        <f>U14</f>
        <v>470038.26</v>
      </c>
      <c r="AC14" s="1327">
        <f>(R14+T14)*$AC$12</f>
        <v>70505.739000000001</v>
      </c>
      <c r="AD14" s="1327">
        <f>AB14+AC14</f>
        <v>540543.99900000007</v>
      </c>
      <c r="AE14" s="1327">
        <f>AD14</f>
        <v>540543.99900000007</v>
      </c>
    </row>
    <row r="15" spans="1:31">
      <c r="A15" s="723">
        <v>2</v>
      </c>
      <c r="B15" s="810" t="s">
        <v>1609</v>
      </c>
      <c r="C15" s="811"/>
      <c r="D15" s="1320"/>
      <c r="E15" s="1440"/>
      <c r="F15" s="1322">
        <v>716856.8</v>
      </c>
      <c r="G15" s="1444">
        <f>F15-F14</f>
        <v>246818.54000000004</v>
      </c>
      <c r="H15" s="1444">
        <f>(G15*$H$12)*-1</f>
        <v>0</v>
      </c>
      <c r="I15" s="1444">
        <f t="shared" ref="I15:I32" si="0">(G15*$I$12)*-1</f>
        <v>0</v>
      </c>
      <c r="J15" s="1444">
        <f t="shared" ref="J15:J32" si="1">G15+H15+I15</f>
        <v>246818.54000000004</v>
      </c>
      <c r="K15" s="1256"/>
      <c r="L15" s="1510">
        <v>2</v>
      </c>
      <c r="M15" s="724" t="s">
        <v>1610</v>
      </c>
      <c r="N15" s="1321">
        <v>44306</v>
      </c>
      <c r="O15" s="1323"/>
      <c r="P15" s="1324"/>
      <c r="Q15" s="1322">
        <v>716856.8</v>
      </c>
      <c r="R15" s="1444">
        <f>Q15-Q14</f>
        <v>246818.54000000004</v>
      </c>
      <c r="S15" s="1444">
        <f t="shared" ref="S15:S30" si="2">(R15*$S$12)*-1</f>
        <v>0</v>
      </c>
      <c r="T15" s="1444">
        <f t="shared" ref="T15:T30" si="3">(R15*$T$12)*-1</f>
        <v>0</v>
      </c>
      <c r="U15" s="1444">
        <f t="shared" ref="U15:U30" si="4">R15+S15+T15</f>
        <v>246818.54000000004</v>
      </c>
      <c r="V15" s="1256"/>
      <c r="W15" s="723"/>
      <c r="X15" s="1323"/>
      <c r="Y15" s="1321">
        <v>44339</v>
      </c>
      <c r="Z15" s="1321"/>
      <c r="AA15" s="1324"/>
      <c r="AB15" s="1327">
        <f>U15</f>
        <v>246818.54000000004</v>
      </c>
      <c r="AC15" s="1327">
        <f>(R15+T15)*$AC$12</f>
        <v>37022.781000000003</v>
      </c>
      <c r="AD15" s="1327">
        <f>AB15+AC15</f>
        <v>283841.32100000005</v>
      </c>
      <c r="AE15" s="1327">
        <f>AD15+AE14</f>
        <v>824385.32000000007</v>
      </c>
    </row>
    <row r="16" spans="1:31">
      <c r="A16" s="723">
        <v>3</v>
      </c>
      <c r="B16" s="810" t="s">
        <v>1611</v>
      </c>
      <c r="C16" s="1445"/>
      <c r="D16" s="1320"/>
      <c r="E16" s="1440"/>
      <c r="F16" s="1322">
        <v>1433713.6</v>
      </c>
      <c r="G16" s="1444">
        <f t="shared" ref="G16:G32" si="5">F16-F15</f>
        <v>716856.8</v>
      </c>
      <c r="H16" s="1444">
        <f t="shared" ref="H16:H32" si="6">(G16*$H$12)*-1</f>
        <v>0</v>
      </c>
      <c r="I16" s="1444">
        <f t="shared" si="0"/>
        <v>0</v>
      </c>
      <c r="J16" s="1444">
        <f t="shared" si="1"/>
        <v>716856.8</v>
      </c>
      <c r="K16" s="1256"/>
      <c r="L16" s="1510">
        <v>3</v>
      </c>
      <c r="M16" s="724" t="s">
        <v>1612</v>
      </c>
      <c r="N16" s="1321">
        <v>44355</v>
      </c>
      <c r="O16" s="1323"/>
      <c r="P16" s="1324"/>
      <c r="Q16" s="1322">
        <v>1433713.6</v>
      </c>
      <c r="R16" s="1444">
        <f t="shared" ref="R16:R36" si="7">Q16-Q15</f>
        <v>716856.8</v>
      </c>
      <c r="S16" s="1444">
        <f t="shared" si="2"/>
        <v>0</v>
      </c>
      <c r="T16" s="1444">
        <f t="shared" si="3"/>
        <v>0</v>
      </c>
      <c r="U16" s="1444">
        <f t="shared" si="4"/>
        <v>716856.8</v>
      </c>
      <c r="V16" s="1256"/>
      <c r="W16" s="723"/>
      <c r="X16" s="1323"/>
      <c r="Y16" s="1321">
        <v>44363</v>
      </c>
      <c r="Z16" s="1321"/>
      <c r="AA16" s="1324"/>
      <c r="AB16" s="1327">
        <f t="shared" ref="AB16:AB30" si="8">U16</f>
        <v>716856.8</v>
      </c>
      <c r="AC16" s="1327">
        <f>(R16+T16)*$AC$12</f>
        <v>107528.52</v>
      </c>
      <c r="AD16" s="1327">
        <f t="shared" ref="AD16:AD31" si="9">AB16+AC16</f>
        <v>824385.32000000007</v>
      </c>
      <c r="AE16" s="1327">
        <f>AD16+AE15</f>
        <v>1648770.6400000001</v>
      </c>
    </row>
    <row r="17" spans="1:31">
      <c r="A17" s="723">
        <v>4</v>
      </c>
      <c r="B17" s="810" t="s">
        <v>1613</v>
      </c>
      <c r="C17" s="1445"/>
      <c r="D17" s="1320"/>
      <c r="E17" s="1440"/>
      <c r="F17" s="1322">
        <v>1792142</v>
      </c>
      <c r="G17" s="1444">
        <f t="shared" si="5"/>
        <v>358428.39999999991</v>
      </c>
      <c r="H17" s="1444">
        <f t="shared" si="6"/>
        <v>0</v>
      </c>
      <c r="I17" s="1444">
        <f t="shared" si="0"/>
        <v>0</v>
      </c>
      <c r="J17" s="1444">
        <f t="shared" si="1"/>
        <v>358428.39999999991</v>
      </c>
      <c r="K17" s="1256"/>
      <c r="L17" s="1510">
        <v>4</v>
      </c>
      <c r="M17" s="724" t="s">
        <v>1614</v>
      </c>
      <c r="N17" s="1321">
        <v>44446</v>
      </c>
      <c r="O17" s="1323"/>
      <c r="P17" s="1324"/>
      <c r="Q17" s="1322">
        <v>1792142</v>
      </c>
      <c r="R17" s="1444">
        <f t="shared" si="7"/>
        <v>358428.39999999991</v>
      </c>
      <c r="S17" s="1444">
        <f t="shared" si="2"/>
        <v>0</v>
      </c>
      <c r="T17" s="1444">
        <f t="shared" si="3"/>
        <v>0</v>
      </c>
      <c r="U17" s="1444">
        <f t="shared" si="4"/>
        <v>358428.39999999991</v>
      </c>
      <c r="V17" s="1256"/>
      <c r="W17" s="723"/>
      <c r="X17" s="1323"/>
      <c r="Y17" s="1321">
        <v>44511</v>
      </c>
      <c r="Z17" s="1321"/>
      <c r="AA17" s="1324"/>
      <c r="AB17" s="1327">
        <f t="shared" si="8"/>
        <v>358428.39999999991</v>
      </c>
      <c r="AC17" s="1327">
        <f t="shared" ref="AC17:AC30" si="10">(R17+T17)*$AC$12</f>
        <v>53764.259999999987</v>
      </c>
      <c r="AD17" s="1327">
        <f t="shared" si="9"/>
        <v>412192.65999999992</v>
      </c>
      <c r="AE17" s="1327">
        <f>AD17+AE16</f>
        <v>2060963.3</v>
      </c>
    </row>
    <row r="18" spans="1:31">
      <c r="A18" s="723">
        <v>5</v>
      </c>
      <c r="B18" s="810" t="s">
        <v>1615</v>
      </c>
      <c r="C18" s="1445"/>
      <c r="D18" s="1320"/>
      <c r="E18" s="1440"/>
      <c r="F18" s="1322">
        <v>1820890.5</v>
      </c>
      <c r="G18" s="1444">
        <f t="shared" si="5"/>
        <v>28748.5</v>
      </c>
      <c r="H18" s="1444">
        <f t="shared" si="6"/>
        <v>0</v>
      </c>
      <c r="I18" s="1444">
        <f t="shared" si="0"/>
        <v>0</v>
      </c>
      <c r="J18" s="1444">
        <f t="shared" si="1"/>
        <v>28748.5</v>
      </c>
      <c r="K18" s="1256"/>
      <c r="L18" s="1510">
        <v>5</v>
      </c>
      <c r="M18" s="724" t="s">
        <v>1616</v>
      </c>
      <c r="N18" s="1321">
        <v>44563</v>
      </c>
      <c r="O18" s="1323"/>
      <c r="P18" s="1324"/>
      <c r="Q18" s="1322">
        <v>1820890.5</v>
      </c>
      <c r="R18" s="1444">
        <f t="shared" si="7"/>
        <v>28748.5</v>
      </c>
      <c r="S18" s="1444">
        <f t="shared" si="2"/>
        <v>0</v>
      </c>
      <c r="T18" s="1444">
        <f t="shared" si="3"/>
        <v>0</v>
      </c>
      <c r="U18" s="1444">
        <f t="shared" si="4"/>
        <v>28748.5</v>
      </c>
      <c r="V18" s="1256"/>
      <c r="W18" s="723"/>
      <c r="X18" s="1323"/>
      <c r="Y18" s="1321">
        <v>44577</v>
      </c>
      <c r="Z18" s="1321"/>
      <c r="AA18" s="1324"/>
      <c r="AB18" s="1327">
        <f t="shared" si="8"/>
        <v>28748.5</v>
      </c>
      <c r="AC18" s="1327">
        <f t="shared" si="10"/>
        <v>4312.2749999999996</v>
      </c>
      <c r="AD18" s="1327">
        <f t="shared" si="9"/>
        <v>33060.775000000001</v>
      </c>
      <c r="AE18" s="1327">
        <f t="shared" ref="AE18:AE31" si="11">AD18+AE17</f>
        <v>2094024.075</v>
      </c>
    </row>
    <row r="19" spans="1:31">
      <c r="A19" s="723">
        <v>6</v>
      </c>
      <c r="B19" s="810" t="s">
        <v>1617</v>
      </c>
      <c r="C19" s="1445"/>
      <c r="D19" s="1320"/>
      <c r="E19" s="1440"/>
      <c r="F19" s="1322">
        <v>1870390.5</v>
      </c>
      <c r="G19" s="1444">
        <f t="shared" si="5"/>
        <v>49500</v>
      </c>
      <c r="H19" s="1444">
        <f t="shared" si="6"/>
        <v>0</v>
      </c>
      <c r="I19" s="1444">
        <f t="shared" si="0"/>
        <v>0</v>
      </c>
      <c r="J19" s="1444">
        <f t="shared" si="1"/>
        <v>49500</v>
      </c>
      <c r="K19" s="1256"/>
      <c r="L19" s="1510">
        <v>6</v>
      </c>
      <c r="M19" s="724" t="s">
        <v>1618</v>
      </c>
      <c r="N19" s="1321">
        <v>44570</v>
      </c>
      <c r="O19" s="1323"/>
      <c r="P19" s="1324"/>
      <c r="Q19" s="1322">
        <v>1870390.5</v>
      </c>
      <c r="R19" s="1444">
        <f t="shared" si="7"/>
        <v>49500</v>
      </c>
      <c r="S19" s="1444">
        <f t="shared" si="2"/>
        <v>0</v>
      </c>
      <c r="T19" s="1444">
        <f t="shared" si="3"/>
        <v>0</v>
      </c>
      <c r="U19" s="1444">
        <f t="shared" si="4"/>
        <v>49500</v>
      </c>
      <c r="V19" s="1256"/>
      <c r="W19" s="723"/>
      <c r="X19" s="1323"/>
      <c r="Y19" s="1321">
        <v>44577</v>
      </c>
      <c r="Z19" s="1321"/>
      <c r="AA19" s="1324"/>
      <c r="AB19" s="1327">
        <f t="shared" si="8"/>
        <v>49500</v>
      </c>
      <c r="AC19" s="1327">
        <f t="shared" si="10"/>
        <v>7425</v>
      </c>
      <c r="AD19" s="1327">
        <f t="shared" si="9"/>
        <v>56925</v>
      </c>
      <c r="AE19" s="1327">
        <f t="shared" si="11"/>
        <v>2150949.0750000002</v>
      </c>
    </row>
    <row r="20" spans="1:31">
      <c r="A20" s="723">
        <v>7</v>
      </c>
      <c r="B20" s="810" t="s">
        <v>1619</v>
      </c>
      <c r="C20" s="1445"/>
      <c r="D20" s="1320"/>
      <c r="E20" s="1440"/>
      <c r="F20" s="1322">
        <v>1894590.5</v>
      </c>
      <c r="G20" s="1444">
        <f t="shared" si="5"/>
        <v>24200</v>
      </c>
      <c r="H20" s="1444">
        <f t="shared" si="6"/>
        <v>0</v>
      </c>
      <c r="I20" s="1444">
        <f t="shared" si="0"/>
        <v>0</v>
      </c>
      <c r="J20" s="1444">
        <f t="shared" si="1"/>
        <v>24200</v>
      </c>
      <c r="K20" s="1256"/>
      <c r="L20" s="1510">
        <v>7</v>
      </c>
      <c r="M20" s="724" t="s">
        <v>1620</v>
      </c>
      <c r="N20" s="1321">
        <v>44570</v>
      </c>
      <c r="O20" s="1323"/>
      <c r="P20" s="1324"/>
      <c r="Q20" s="1322">
        <v>1894590.5</v>
      </c>
      <c r="R20" s="1444">
        <f t="shared" si="7"/>
        <v>24200</v>
      </c>
      <c r="S20" s="1444">
        <f t="shared" si="2"/>
        <v>0</v>
      </c>
      <c r="T20" s="1444">
        <f t="shared" si="3"/>
        <v>0</v>
      </c>
      <c r="U20" s="1444">
        <f t="shared" si="4"/>
        <v>24200</v>
      </c>
      <c r="V20" s="1256"/>
      <c r="W20" s="723"/>
      <c r="X20" s="1323"/>
      <c r="Y20" s="1321">
        <v>44577</v>
      </c>
      <c r="Z20" s="1321"/>
      <c r="AA20" s="1324"/>
      <c r="AB20" s="1327">
        <f t="shared" si="8"/>
        <v>24200</v>
      </c>
      <c r="AC20" s="1327">
        <f t="shared" si="10"/>
        <v>3630</v>
      </c>
      <c r="AD20" s="1327">
        <f t="shared" si="9"/>
        <v>27830</v>
      </c>
      <c r="AE20" s="1327">
        <f t="shared" si="11"/>
        <v>2178779.0750000002</v>
      </c>
    </row>
    <row r="21" spans="1:31">
      <c r="A21" s="723">
        <v>8</v>
      </c>
      <c r="B21" s="810" t="s">
        <v>1621</v>
      </c>
      <c r="C21" s="1445"/>
      <c r="D21" s="1320"/>
      <c r="E21" s="1440"/>
      <c r="F21" s="1322">
        <v>2032790.5</v>
      </c>
      <c r="G21" s="1444">
        <f t="shared" si="5"/>
        <v>138200</v>
      </c>
      <c r="H21" s="1444">
        <f t="shared" si="6"/>
        <v>0</v>
      </c>
      <c r="I21" s="1444">
        <f t="shared" si="0"/>
        <v>0</v>
      </c>
      <c r="J21" s="1444">
        <f t="shared" si="1"/>
        <v>138200</v>
      </c>
      <c r="K21" s="1256"/>
      <c r="L21" s="1510">
        <v>8</v>
      </c>
      <c r="M21" s="724" t="s">
        <v>1622</v>
      </c>
      <c r="N21" s="1321">
        <v>44570</v>
      </c>
      <c r="O21" s="1323"/>
      <c r="P21" s="1324"/>
      <c r="Q21" s="1322">
        <v>2032790.5</v>
      </c>
      <c r="R21" s="1444">
        <f t="shared" si="7"/>
        <v>138200</v>
      </c>
      <c r="S21" s="1444">
        <f t="shared" si="2"/>
        <v>0</v>
      </c>
      <c r="T21" s="1444">
        <f t="shared" si="3"/>
        <v>0</v>
      </c>
      <c r="U21" s="1444">
        <f t="shared" si="4"/>
        <v>138200</v>
      </c>
      <c r="V21" s="1256"/>
      <c r="W21" s="723"/>
      <c r="X21" s="1323"/>
      <c r="Y21" s="1321">
        <v>44577</v>
      </c>
      <c r="Z21" s="1321"/>
      <c r="AA21" s="1324"/>
      <c r="AB21" s="1327">
        <f t="shared" si="8"/>
        <v>138200</v>
      </c>
      <c r="AC21" s="1327">
        <f t="shared" si="10"/>
        <v>20730</v>
      </c>
      <c r="AD21" s="1327">
        <f t="shared" si="9"/>
        <v>158930</v>
      </c>
      <c r="AE21" s="1327">
        <f t="shared" si="11"/>
        <v>2337709.0750000002</v>
      </c>
    </row>
    <row r="22" spans="1:31">
      <c r="A22" s="723">
        <v>9</v>
      </c>
      <c r="B22" s="810" t="s">
        <v>1623</v>
      </c>
      <c r="C22" s="1445"/>
      <c r="D22" s="1320" t="s">
        <v>1624</v>
      </c>
      <c r="E22" s="1440">
        <v>44540</v>
      </c>
      <c r="F22" s="1322">
        <v>2988599.7</v>
      </c>
      <c r="G22" s="1444">
        <f t="shared" si="5"/>
        <v>955809.20000000019</v>
      </c>
      <c r="H22" s="1444">
        <f t="shared" si="6"/>
        <v>0</v>
      </c>
      <c r="I22" s="1444">
        <f t="shared" si="0"/>
        <v>0</v>
      </c>
      <c r="J22" s="1444">
        <f t="shared" si="1"/>
        <v>955809.20000000019</v>
      </c>
      <c r="K22" s="1256"/>
      <c r="L22" s="1510">
        <v>9</v>
      </c>
      <c r="M22" s="724" t="s">
        <v>1625</v>
      </c>
      <c r="N22" s="1321">
        <v>44602</v>
      </c>
      <c r="O22" s="1323">
        <f>E22+14</f>
        <v>44554</v>
      </c>
      <c r="P22" s="1324">
        <f>O22-N22</f>
        <v>-48</v>
      </c>
      <c r="Q22" s="1322">
        <v>2988599.7</v>
      </c>
      <c r="R22" s="1444">
        <f t="shared" si="7"/>
        <v>955809.20000000019</v>
      </c>
      <c r="S22" s="1444">
        <f t="shared" si="2"/>
        <v>0</v>
      </c>
      <c r="T22" s="1444">
        <f t="shared" si="3"/>
        <v>0</v>
      </c>
      <c r="U22" s="1444">
        <f t="shared" si="4"/>
        <v>955809.20000000019</v>
      </c>
      <c r="V22" s="1256"/>
      <c r="W22" s="723"/>
      <c r="X22" s="1323"/>
      <c r="Y22" s="1321">
        <v>44608</v>
      </c>
      <c r="Z22" s="1321">
        <f>E22+45</f>
        <v>44585</v>
      </c>
      <c r="AA22" s="1324"/>
      <c r="AB22" s="1327">
        <f t="shared" si="8"/>
        <v>955809.20000000019</v>
      </c>
      <c r="AC22" s="1327">
        <f t="shared" si="10"/>
        <v>143371.38000000003</v>
      </c>
      <c r="AD22" s="1327">
        <f t="shared" si="9"/>
        <v>1099180.5800000003</v>
      </c>
      <c r="AE22" s="1327">
        <f t="shared" si="11"/>
        <v>3436889.6550000003</v>
      </c>
    </row>
    <row r="23" spans="1:31">
      <c r="A23" s="723">
        <v>10</v>
      </c>
      <c r="B23" s="810" t="s">
        <v>1626</v>
      </c>
      <c r="C23" s="1445"/>
      <c r="D23" s="1320" t="s">
        <v>686</v>
      </c>
      <c r="E23" s="1440">
        <v>44504</v>
      </c>
      <c r="F23" s="1322">
        <v>3263599.7</v>
      </c>
      <c r="G23" s="1444">
        <f t="shared" si="5"/>
        <v>275000</v>
      </c>
      <c r="H23" s="1444">
        <f t="shared" si="6"/>
        <v>0</v>
      </c>
      <c r="I23" s="1444">
        <f t="shared" si="0"/>
        <v>0</v>
      </c>
      <c r="J23" s="1444">
        <f t="shared" si="1"/>
        <v>275000</v>
      </c>
      <c r="K23" s="1256"/>
      <c r="L23" s="1510">
        <v>10</v>
      </c>
      <c r="M23" s="724" t="s">
        <v>1627</v>
      </c>
      <c r="N23" s="1321">
        <v>44610</v>
      </c>
      <c r="O23" s="1323">
        <f>E23+14</f>
        <v>44518</v>
      </c>
      <c r="P23" s="1324">
        <f>O23-N23</f>
        <v>-92</v>
      </c>
      <c r="Q23" s="1322">
        <v>3263599.7</v>
      </c>
      <c r="R23" s="1444">
        <f t="shared" si="7"/>
        <v>275000</v>
      </c>
      <c r="S23" s="1444">
        <f t="shared" si="2"/>
        <v>0</v>
      </c>
      <c r="T23" s="1444">
        <f t="shared" si="3"/>
        <v>0</v>
      </c>
      <c r="U23" s="1444">
        <f t="shared" si="4"/>
        <v>275000</v>
      </c>
      <c r="V23" s="1256"/>
      <c r="W23" s="723"/>
      <c r="X23" s="1323"/>
      <c r="Y23" s="1321">
        <v>44621</v>
      </c>
      <c r="Z23" s="1321">
        <f>E23+45</f>
        <v>44549</v>
      </c>
      <c r="AA23" s="1324"/>
      <c r="AB23" s="1327">
        <f t="shared" si="8"/>
        <v>275000</v>
      </c>
      <c r="AC23" s="1327">
        <f t="shared" si="10"/>
        <v>41250</v>
      </c>
      <c r="AD23" s="1327">
        <f t="shared" si="9"/>
        <v>316250</v>
      </c>
      <c r="AE23" s="1327">
        <f t="shared" si="11"/>
        <v>3753139.6550000003</v>
      </c>
    </row>
    <row r="24" spans="1:31">
      <c r="A24" s="723">
        <v>11</v>
      </c>
      <c r="B24" s="810" t="s">
        <v>1628</v>
      </c>
      <c r="C24" s="1445"/>
      <c r="D24" s="1320" t="s">
        <v>686</v>
      </c>
      <c r="E24" s="1440">
        <v>44504</v>
      </c>
      <c r="F24" s="1322">
        <v>3538599.7</v>
      </c>
      <c r="G24" s="1444">
        <f t="shared" si="5"/>
        <v>275000</v>
      </c>
      <c r="H24" s="1444">
        <f t="shared" si="6"/>
        <v>0</v>
      </c>
      <c r="I24" s="1444">
        <f t="shared" si="0"/>
        <v>0</v>
      </c>
      <c r="J24" s="1444">
        <f t="shared" si="1"/>
        <v>275000</v>
      </c>
      <c r="K24" s="1256"/>
      <c r="L24" s="1510">
        <v>11</v>
      </c>
      <c r="M24" s="724" t="s">
        <v>1629</v>
      </c>
      <c r="N24" s="1321">
        <v>44665</v>
      </c>
      <c r="O24" s="1323">
        <f>E24+14</f>
        <v>44518</v>
      </c>
      <c r="P24" s="1324">
        <f>O24-N24</f>
        <v>-147</v>
      </c>
      <c r="Q24" s="1322">
        <v>3538599.7</v>
      </c>
      <c r="R24" s="1444">
        <f t="shared" si="7"/>
        <v>275000</v>
      </c>
      <c r="S24" s="1444">
        <f t="shared" si="2"/>
        <v>0</v>
      </c>
      <c r="T24" s="1444">
        <f t="shared" si="3"/>
        <v>0</v>
      </c>
      <c r="U24" s="1444">
        <f t="shared" si="4"/>
        <v>275000</v>
      </c>
      <c r="V24" s="1256"/>
      <c r="W24" s="723"/>
      <c r="X24" s="1323"/>
      <c r="Y24" s="1321">
        <v>44692</v>
      </c>
      <c r="Z24" s="1321">
        <f>E24+45</f>
        <v>44549</v>
      </c>
      <c r="AA24" s="1324"/>
      <c r="AB24" s="1327">
        <f t="shared" si="8"/>
        <v>275000</v>
      </c>
      <c r="AC24" s="1327">
        <f t="shared" si="10"/>
        <v>41250</v>
      </c>
      <c r="AD24" s="1327">
        <f t="shared" si="9"/>
        <v>316250</v>
      </c>
      <c r="AE24" s="1327">
        <f t="shared" si="11"/>
        <v>4069389.6550000003</v>
      </c>
    </row>
    <row r="25" spans="1:31">
      <c r="A25" s="723">
        <v>12</v>
      </c>
      <c r="B25" s="810" t="s">
        <v>1630</v>
      </c>
      <c r="C25" s="1445"/>
      <c r="D25" s="1320" t="s">
        <v>686</v>
      </c>
      <c r="E25" s="1440">
        <v>44504</v>
      </c>
      <c r="F25" s="1322">
        <v>3590348.1</v>
      </c>
      <c r="G25" s="1444">
        <f t="shared" si="5"/>
        <v>51748.399999999907</v>
      </c>
      <c r="H25" s="1444">
        <f t="shared" si="6"/>
        <v>0</v>
      </c>
      <c r="I25" s="1444">
        <f t="shared" si="0"/>
        <v>0</v>
      </c>
      <c r="J25" s="1444">
        <f t="shared" si="1"/>
        <v>51748.399999999907</v>
      </c>
      <c r="K25" s="1256"/>
      <c r="L25" s="1510">
        <v>12</v>
      </c>
      <c r="M25" s="724" t="s">
        <v>1631</v>
      </c>
      <c r="N25" s="1321">
        <v>44665</v>
      </c>
      <c r="O25" s="1323">
        <f>E25+14</f>
        <v>44518</v>
      </c>
      <c r="P25" s="1324">
        <f>O25-N25</f>
        <v>-147</v>
      </c>
      <c r="Q25" s="1322">
        <v>3590348.1</v>
      </c>
      <c r="R25" s="1444">
        <f t="shared" si="7"/>
        <v>51748.399999999907</v>
      </c>
      <c r="S25" s="1444">
        <f t="shared" si="2"/>
        <v>0</v>
      </c>
      <c r="T25" s="1444">
        <f t="shared" si="3"/>
        <v>0</v>
      </c>
      <c r="U25" s="1444">
        <f t="shared" si="4"/>
        <v>51748.399999999907</v>
      </c>
      <c r="V25" s="1256"/>
      <c r="W25" s="723"/>
      <c r="X25" s="1323"/>
      <c r="Y25" s="1321">
        <v>44692</v>
      </c>
      <c r="Z25" s="1321">
        <f>E25+45</f>
        <v>44549</v>
      </c>
      <c r="AA25" s="1324"/>
      <c r="AB25" s="1327">
        <f t="shared" si="8"/>
        <v>51748.399999999907</v>
      </c>
      <c r="AC25" s="1327">
        <f t="shared" si="10"/>
        <v>7762.2599999999857</v>
      </c>
      <c r="AD25" s="1327">
        <f t="shared" si="9"/>
        <v>59510.659999999894</v>
      </c>
      <c r="AE25" s="1327">
        <f t="shared" si="11"/>
        <v>4128900.3149999999</v>
      </c>
    </row>
    <row r="26" spans="1:31">
      <c r="A26" s="723">
        <v>13</v>
      </c>
      <c r="B26" s="810" t="s">
        <v>1632</v>
      </c>
      <c r="C26" s="1445"/>
      <c r="D26" s="1320"/>
      <c r="E26" s="1440"/>
      <c r="F26" s="1322">
        <v>4546157.3</v>
      </c>
      <c r="G26" s="1444">
        <f t="shared" si="5"/>
        <v>955809.19999999972</v>
      </c>
      <c r="H26" s="1444">
        <f t="shared" si="6"/>
        <v>0</v>
      </c>
      <c r="I26" s="1444">
        <f t="shared" si="0"/>
        <v>0</v>
      </c>
      <c r="J26" s="1444">
        <f t="shared" si="1"/>
        <v>955809.19999999972</v>
      </c>
      <c r="K26" s="1256"/>
      <c r="L26" s="1510">
        <v>13</v>
      </c>
      <c r="M26" s="724" t="s">
        <v>1633</v>
      </c>
      <c r="N26" s="1321">
        <v>44705</v>
      </c>
      <c r="O26" s="1323"/>
      <c r="P26" s="1324"/>
      <c r="Q26" s="1322">
        <v>4546157.3</v>
      </c>
      <c r="R26" s="1444">
        <f t="shared" si="7"/>
        <v>955809.19999999972</v>
      </c>
      <c r="S26" s="1444">
        <f t="shared" si="2"/>
        <v>0</v>
      </c>
      <c r="T26" s="1444">
        <f t="shared" si="3"/>
        <v>0</v>
      </c>
      <c r="U26" s="1444">
        <f t="shared" si="4"/>
        <v>955809.19999999972</v>
      </c>
      <c r="V26" s="1256"/>
      <c r="W26" s="723"/>
      <c r="X26" s="1323"/>
      <c r="Y26" s="1321">
        <v>44717</v>
      </c>
      <c r="Z26" s="1321"/>
      <c r="AA26" s="1324"/>
      <c r="AB26" s="1327">
        <f t="shared" si="8"/>
        <v>955809.19999999972</v>
      </c>
      <c r="AC26" s="1327">
        <f t="shared" si="10"/>
        <v>143371.37999999995</v>
      </c>
      <c r="AD26" s="1327">
        <f t="shared" si="9"/>
        <v>1099180.5799999996</v>
      </c>
      <c r="AE26" s="1327">
        <f t="shared" si="11"/>
        <v>5228080.8949999996</v>
      </c>
    </row>
    <row r="27" spans="1:31">
      <c r="A27" s="723">
        <v>14</v>
      </c>
      <c r="B27" s="810" t="s">
        <v>1634</v>
      </c>
      <c r="C27" s="1445"/>
      <c r="D27" s="1320"/>
      <c r="E27" s="1440"/>
      <c r="F27" s="1322">
        <v>5024061.8999999994</v>
      </c>
      <c r="G27" s="1444">
        <f t="shared" si="5"/>
        <v>477904.59999999963</v>
      </c>
      <c r="H27" s="1444">
        <f t="shared" si="6"/>
        <v>0</v>
      </c>
      <c r="I27" s="1444">
        <f t="shared" si="0"/>
        <v>0</v>
      </c>
      <c r="J27" s="1444">
        <f t="shared" si="1"/>
        <v>477904.59999999963</v>
      </c>
      <c r="K27" s="1256"/>
      <c r="L27" s="1510">
        <v>14</v>
      </c>
      <c r="M27" s="724" t="s">
        <v>1635</v>
      </c>
      <c r="N27" s="1321">
        <v>44670</v>
      </c>
      <c r="O27" s="1323"/>
      <c r="P27" s="1324"/>
      <c r="Q27" s="1322">
        <v>5024061.9000000004</v>
      </c>
      <c r="R27" s="1444">
        <f t="shared" si="7"/>
        <v>477904.60000000056</v>
      </c>
      <c r="S27" s="1444">
        <f t="shared" si="2"/>
        <v>0</v>
      </c>
      <c r="T27" s="1444">
        <f t="shared" si="3"/>
        <v>0</v>
      </c>
      <c r="U27" s="1444">
        <f t="shared" si="4"/>
        <v>477904.60000000056</v>
      </c>
      <c r="V27" s="1256"/>
      <c r="W27" s="723"/>
      <c r="X27" s="1323"/>
      <c r="Y27" s="1321">
        <v>44717</v>
      </c>
      <c r="Z27" s="1321"/>
      <c r="AA27" s="1324"/>
      <c r="AB27" s="1327">
        <f t="shared" si="8"/>
        <v>477904.60000000056</v>
      </c>
      <c r="AC27" s="1327">
        <f t="shared" si="10"/>
        <v>71685.690000000075</v>
      </c>
      <c r="AD27" s="1327">
        <f t="shared" si="9"/>
        <v>549590.29000000062</v>
      </c>
      <c r="AE27" s="1327">
        <f t="shared" si="11"/>
        <v>5777671.1850000005</v>
      </c>
    </row>
    <row r="28" spans="1:31">
      <c r="A28" s="723">
        <v>15</v>
      </c>
      <c r="B28" s="810" t="s">
        <v>1636</v>
      </c>
      <c r="C28" s="1445"/>
      <c r="D28" s="1320"/>
      <c r="E28" s="1440"/>
      <c r="F28" s="1322">
        <v>5058561.1999999993</v>
      </c>
      <c r="G28" s="1444">
        <f t="shared" si="5"/>
        <v>34499.299999999814</v>
      </c>
      <c r="H28" s="1444">
        <f t="shared" si="6"/>
        <v>0</v>
      </c>
      <c r="I28" s="1444">
        <f t="shared" si="0"/>
        <v>0</v>
      </c>
      <c r="J28" s="1444">
        <f t="shared" si="1"/>
        <v>34499.299999999814</v>
      </c>
      <c r="K28" s="1256"/>
      <c r="L28" s="1510">
        <v>15</v>
      </c>
      <c r="M28" s="724" t="s">
        <v>1637</v>
      </c>
      <c r="N28" s="1321">
        <v>44815</v>
      </c>
      <c r="O28" s="1323"/>
      <c r="P28" s="1324"/>
      <c r="Q28" s="1322">
        <v>5058561.2</v>
      </c>
      <c r="R28" s="1444">
        <f t="shared" si="7"/>
        <v>34499.299999999814</v>
      </c>
      <c r="S28" s="1444">
        <f t="shared" si="2"/>
        <v>0</v>
      </c>
      <c r="T28" s="1444">
        <f t="shared" si="3"/>
        <v>0</v>
      </c>
      <c r="U28" s="1444">
        <f t="shared" si="4"/>
        <v>34499.299999999814</v>
      </c>
      <c r="V28" s="1256"/>
      <c r="W28" s="723"/>
      <c r="X28" s="1323"/>
      <c r="Y28" s="1321">
        <v>44839</v>
      </c>
      <c r="Z28" s="1321"/>
      <c r="AA28" s="1324"/>
      <c r="AB28" s="1327">
        <f t="shared" si="8"/>
        <v>34499.299999999814</v>
      </c>
      <c r="AC28" s="1327">
        <f t="shared" si="10"/>
        <v>5174.8949999999722</v>
      </c>
      <c r="AD28" s="1327">
        <f t="shared" si="9"/>
        <v>39674.194999999789</v>
      </c>
      <c r="AE28" s="1327">
        <f t="shared" si="11"/>
        <v>5817345.3799999999</v>
      </c>
    </row>
    <row r="29" spans="1:31">
      <c r="A29" s="723">
        <v>16</v>
      </c>
      <c r="B29" s="810" t="s">
        <v>1638</v>
      </c>
      <c r="C29" s="1445"/>
      <c r="D29" s="1320" t="s">
        <v>1639</v>
      </c>
      <c r="E29" s="1441">
        <v>44706</v>
      </c>
      <c r="F29" s="1322">
        <v>6014370.7999999989</v>
      </c>
      <c r="G29" s="1444">
        <f t="shared" si="5"/>
        <v>955809.59999999963</v>
      </c>
      <c r="H29" s="1444">
        <f t="shared" si="6"/>
        <v>0</v>
      </c>
      <c r="I29" s="1444">
        <f t="shared" si="0"/>
        <v>0</v>
      </c>
      <c r="J29" s="1444">
        <f t="shared" si="1"/>
        <v>955809.59999999963</v>
      </c>
      <c r="K29" s="1256"/>
      <c r="L29" s="1510">
        <v>16</v>
      </c>
      <c r="M29" s="724" t="s">
        <v>1640</v>
      </c>
      <c r="N29" s="1321">
        <v>44821</v>
      </c>
      <c r="O29" s="1323">
        <f>E29+14</f>
        <v>44720</v>
      </c>
      <c r="P29" s="1324">
        <f t="shared" ref="P29:P46" si="12">O29-N29</f>
        <v>-101</v>
      </c>
      <c r="Q29" s="1322">
        <v>6014370.7999999998</v>
      </c>
      <c r="R29" s="1444">
        <f t="shared" si="7"/>
        <v>955809.59999999963</v>
      </c>
      <c r="S29" s="1444">
        <f t="shared" si="2"/>
        <v>0</v>
      </c>
      <c r="T29" s="1444">
        <f t="shared" si="3"/>
        <v>0</v>
      </c>
      <c r="U29" s="1444">
        <f t="shared" si="4"/>
        <v>955809.59999999963</v>
      </c>
      <c r="V29" s="1256"/>
      <c r="W29" s="723"/>
      <c r="X29" s="1323"/>
      <c r="Y29" s="1321">
        <v>44843</v>
      </c>
      <c r="Z29" s="1321">
        <f t="shared" ref="Z29:Z34" si="13">E29+45</f>
        <v>44751</v>
      </c>
      <c r="AA29" s="1324"/>
      <c r="AB29" s="1327">
        <f t="shared" si="8"/>
        <v>955809.59999999963</v>
      </c>
      <c r="AC29" s="1327">
        <f t="shared" si="10"/>
        <v>143371.43999999994</v>
      </c>
      <c r="AD29" s="1327">
        <f t="shared" si="9"/>
        <v>1099181.0399999996</v>
      </c>
      <c r="AE29" s="1327">
        <f t="shared" si="11"/>
        <v>6916526.4199999999</v>
      </c>
    </row>
    <row r="30" spans="1:31">
      <c r="A30" s="723">
        <v>17</v>
      </c>
      <c r="B30" s="810" t="s">
        <v>1641</v>
      </c>
      <c r="C30" s="1445"/>
      <c r="D30" s="1320" t="s">
        <v>1639</v>
      </c>
      <c r="E30" s="1441">
        <v>44706</v>
      </c>
      <c r="F30" s="1322">
        <v>6023170.7999999989</v>
      </c>
      <c r="G30" s="1444">
        <f t="shared" si="5"/>
        <v>8800</v>
      </c>
      <c r="H30" s="1444">
        <f t="shared" si="6"/>
        <v>0</v>
      </c>
      <c r="I30" s="1444">
        <f t="shared" si="0"/>
        <v>0</v>
      </c>
      <c r="J30" s="1444">
        <f t="shared" si="1"/>
        <v>8800</v>
      </c>
      <c r="K30" s="1256"/>
      <c r="L30" s="1510">
        <v>17</v>
      </c>
      <c r="M30" s="724" t="s">
        <v>1637</v>
      </c>
      <c r="N30" s="1321">
        <v>44815</v>
      </c>
      <c r="O30" s="1323">
        <f>E30+14</f>
        <v>44720</v>
      </c>
      <c r="P30" s="1324">
        <f t="shared" si="12"/>
        <v>-95</v>
      </c>
      <c r="Q30" s="1322">
        <v>6023170.7999999998</v>
      </c>
      <c r="R30" s="1444">
        <f t="shared" si="7"/>
        <v>8800</v>
      </c>
      <c r="S30" s="1444">
        <f t="shared" si="2"/>
        <v>0</v>
      </c>
      <c r="T30" s="1444">
        <f t="shared" si="3"/>
        <v>0</v>
      </c>
      <c r="U30" s="1444">
        <f t="shared" si="4"/>
        <v>8800</v>
      </c>
      <c r="V30" s="1256"/>
      <c r="W30" s="723"/>
      <c r="X30" s="1323"/>
      <c r="Y30" s="1321">
        <v>44839</v>
      </c>
      <c r="Z30" s="1321">
        <f t="shared" si="13"/>
        <v>44751</v>
      </c>
      <c r="AA30" s="1324"/>
      <c r="AB30" s="1327">
        <f t="shared" si="8"/>
        <v>8800</v>
      </c>
      <c r="AC30" s="1327">
        <f t="shared" si="10"/>
        <v>1320</v>
      </c>
      <c r="AD30" s="1327">
        <f t="shared" si="9"/>
        <v>10120</v>
      </c>
      <c r="AE30" s="1327">
        <f t="shared" si="11"/>
        <v>6926646.4199999999</v>
      </c>
    </row>
    <row r="31" spans="1:31">
      <c r="A31" s="723">
        <v>18</v>
      </c>
      <c r="B31" s="810" t="s">
        <v>1642</v>
      </c>
      <c r="C31" s="1445"/>
      <c r="D31" s="1320" t="s">
        <v>1639</v>
      </c>
      <c r="E31" s="1441">
        <v>44706</v>
      </c>
      <c r="F31" s="1322">
        <v>6068775.6999999993</v>
      </c>
      <c r="G31" s="1444">
        <f t="shared" si="5"/>
        <v>45604.900000000373</v>
      </c>
      <c r="H31" s="1444">
        <f t="shared" si="6"/>
        <v>0</v>
      </c>
      <c r="I31" s="1444">
        <f t="shared" si="0"/>
        <v>0</v>
      </c>
      <c r="J31" s="1444">
        <f t="shared" si="1"/>
        <v>45604.900000000373</v>
      </c>
      <c r="K31" s="1256"/>
      <c r="L31" s="1510">
        <v>18</v>
      </c>
      <c r="M31" s="724" t="s">
        <v>1643</v>
      </c>
      <c r="N31" s="1321">
        <v>44846</v>
      </c>
      <c r="O31" s="1323">
        <f>E31+14</f>
        <v>44720</v>
      </c>
      <c r="P31" s="1324">
        <f t="shared" si="12"/>
        <v>-126</v>
      </c>
      <c r="Q31" s="1322">
        <v>6068775.7000000002</v>
      </c>
      <c r="R31" s="1444">
        <f t="shared" si="7"/>
        <v>45604.900000000373</v>
      </c>
      <c r="S31" s="1444">
        <f t="shared" ref="S31:S39" si="14">(R31*$S$12)*-1</f>
        <v>0</v>
      </c>
      <c r="T31" s="1444">
        <f t="shared" ref="T31:T39" si="15">(R31*$T$12)*-1</f>
        <v>0</v>
      </c>
      <c r="U31" s="1444">
        <f t="shared" ref="U31:U39" si="16">R31+S31+T31</f>
        <v>45604.900000000373</v>
      </c>
      <c r="V31" s="1256"/>
      <c r="W31" s="723"/>
      <c r="X31" s="1323"/>
      <c r="Y31" s="1321">
        <v>44852</v>
      </c>
      <c r="Z31" s="1321">
        <f t="shared" si="13"/>
        <v>44751</v>
      </c>
      <c r="AA31" s="1324"/>
      <c r="AB31" s="1327">
        <f>U31</f>
        <v>45604.900000000373</v>
      </c>
      <c r="AC31" s="1327">
        <f t="shared" ref="AC31:AC39" si="17">(R31+T31)*$AC$12</f>
        <v>6840.7350000000561</v>
      </c>
      <c r="AD31" s="1327">
        <f t="shared" si="9"/>
        <v>52445.635000000431</v>
      </c>
      <c r="AE31" s="1327">
        <f t="shared" si="11"/>
        <v>6979092.0550000006</v>
      </c>
    </row>
    <row r="32" spans="1:31">
      <c r="A32" s="723">
        <v>19</v>
      </c>
      <c r="B32" s="810" t="s">
        <v>1644</v>
      </c>
      <c r="C32" s="1445"/>
      <c r="D32" s="1320" t="s">
        <v>1645</v>
      </c>
      <c r="E32" s="1321">
        <v>44845</v>
      </c>
      <c r="F32" s="1322">
        <v>6085275.6999999993</v>
      </c>
      <c r="G32" s="1444">
        <f t="shared" si="5"/>
        <v>16500</v>
      </c>
      <c r="H32" s="1444">
        <f t="shared" si="6"/>
        <v>0</v>
      </c>
      <c r="I32" s="1444">
        <f t="shared" si="0"/>
        <v>0</v>
      </c>
      <c r="J32" s="1444">
        <f t="shared" si="1"/>
        <v>16500</v>
      </c>
      <c r="K32" s="1256"/>
      <c r="L32" s="1510">
        <v>19</v>
      </c>
      <c r="M32" s="724" t="s">
        <v>1646</v>
      </c>
      <c r="N32" s="1321">
        <v>44875</v>
      </c>
      <c r="O32" s="1323">
        <f>E32+14</f>
        <v>44859</v>
      </c>
      <c r="P32" s="1324">
        <f t="shared" si="12"/>
        <v>-16</v>
      </c>
      <c r="Q32" s="1322">
        <f t="shared" ref="Q32:Q47" si="18">+F32</f>
        <v>6085275.6999999993</v>
      </c>
      <c r="R32" s="1444">
        <f t="shared" si="7"/>
        <v>16499.999999999069</v>
      </c>
      <c r="S32" s="1444">
        <f t="shared" si="14"/>
        <v>0</v>
      </c>
      <c r="T32" s="1444">
        <f t="shared" si="15"/>
        <v>0</v>
      </c>
      <c r="U32" s="1444">
        <f t="shared" si="16"/>
        <v>16499.999999999069</v>
      </c>
      <c r="V32" s="1256"/>
      <c r="W32" s="723"/>
      <c r="X32" s="1323"/>
      <c r="Y32" s="1321">
        <v>44907</v>
      </c>
      <c r="Z32" s="1321">
        <f t="shared" si="13"/>
        <v>44890</v>
      </c>
      <c r="AA32" s="1324">
        <f t="shared" ref="AA32:AA39" si="19">+Z32-Y32</f>
        <v>-17</v>
      </c>
      <c r="AB32" s="1327">
        <f>U32</f>
        <v>16499.999999999069</v>
      </c>
      <c r="AC32" s="1327">
        <f t="shared" si="17"/>
        <v>2474.9999999998604</v>
      </c>
      <c r="AD32" s="1327">
        <f t="shared" ref="AD32:AD56" si="20">AB32+AC32</f>
        <v>18974.99999999893</v>
      </c>
      <c r="AE32" s="1327">
        <f t="shared" ref="AE32:AE41" si="21">AD32+AE31</f>
        <v>6998067.0549999997</v>
      </c>
    </row>
    <row r="33" spans="1:31">
      <c r="A33" s="723">
        <v>20</v>
      </c>
      <c r="B33" s="810" t="s">
        <v>1647</v>
      </c>
      <c r="C33" s="1445"/>
      <c r="D33" s="1320" t="s">
        <v>1648</v>
      </c>
      <c r="E33" s="1321">
        <v>44817</v>
      </c>
      <c r="F33" s="1322">
        <v>6324228.0999999996</v>
      </c>
      <c r="G33" s="1444">
        <f>F33-F32</f>
        <v>238952.40000000037</v>
      </c>
      <c r="H33" s="1444">
        <f t="shared" ref="H33:H39" si="22">(G33*$H$12)*-1</f>
        <v>0</v>
      </c>
      <c r="I33" s="1444">
        <f t="shared" ref="I33:I39" si="23">(G33*$I$12)*-1</f>
        <v>0</v>
      </c>
      <c r="J33" s="1444">
        <f t="shared" ref="J33:J39" si="24">G33+H33+I33</f>
        <v>238952.40000000037</v>
      </c>
      <c r="K33" s="1256"/>
      <c r="L33" s="1510">
        <v>20</v>
      </c>
      <c r="M33" s="724" t="s">
        <v>1649</v>
      </c>
      <c r="N33" s="1321">
        <v>44913</v>
      </c>
      <c r="O33" s="1323">
        <f t="shared" ref="O33:O46" si="25">E33+14</f>
        <v>44831</v>
      </c>
      <c r="P33" s="1324">
        <f t="shared" si="12"/>
        <v>-82</v>
      </c>
      <c r="Q33" s="1322">
        <f t="shared" si="18"/>
        <v>6324228.0999999996</v>
      </c>
      <c r="R33" s="1444">
        <f t="shared" si="7"/>
        <v>238952.40000000037</v>
      </c>
      <c r="S33" s="1444">
        <f t="shared" si="14"/>
        <v>0</v>
      </c>
      <c r="T33" s="1444">
        <f t="shared" si="15"/>
        <v>0</v>
      </c>
      <c r="U33" s="1444">
        <f t="shared" si="16"/>
        <v>238952.40000000037</v>
      </c>
      <c r="V33" s="1256"/>
      <c r="W33" s="723"/>
      <c r="X33" s="1323"/>
      <c r="Y33" s="1321">
        <v>44921</v>
      </c>
      <c r="Z33" s="1321">
        <f t="shared" si="13"/>
        <v>44862</v>
      </c>
      <c r="AA33" s="1324">
        <f t="shared" si="19"/>
        <v>-59</v>
      </c>
      <c r="AB33" s="1327">
        <f>U33</f>
        <v>238952.40000000037</v>
      </c>
      <c r="AC33" s="1327">
        <f t="shared" si="17"/>
        <v>35842.860000000052</v>
      </c>
      <c r="AD33" s="1327">
        <f t="shared" si="20"/>
        <v>274795.26000000042</v>
      </c>
      <c r="AE33" s="1327">
        <f t="shared" si="21"/>
        <v>7272862.3150000004</v>
      </c>
    </row>
    <row r="34" spans="1:31">
      <c r="A34" s="723">
        <v>21</v>
      </c>
      <c r="B34" s="810" t="s">
        <v>1650</v>
      </c>
      <c r="C34" s="1445"/>
      <c r="D34" s="1320" t="s">
        <v>1651</v>
      </c>
      <c r="E34" s="1321">
        <v>44862</v>
      </c>
      <c r="F34" s="1322">
        <v>6373728.0999999996</v>
      </c>
      <c r="G34" s="1444">
        <f>F34-F33</f>
        <v>49500</v>
      </c>
      <c r="H34" s="1444">
        <f t="shared" si="22"/>
        <v>0</v>
      </c>
      <c r="I34" s="1444">
        <f t="shared" si="23"/>
        <v>0</v>
      </c>
      <c r="J34" s="1444">
        <f t="shared" si="24"/>
        <v>49500</v>
      </c>
      <c r="K34" s="1256"/>
      <c r="L34" s="1510">
        <v>21</v>
      </c>
      <c r="M34" s="724" t="s">
        <v>1652</v>
      </c>
      <c r="N34" s="1321">
        <v>44913</v>
      </c>
      <c r="O34" s="1323">
        <f t="shared" si="25"/>
        <v>44876</v>
      </c>
      <c r="P34" s="1324">
        <f t="shared" si="12"/>
        <v>-37</v>
      </c>
      <c r="Q34" s="1322">
        <f t="shared" si="18"/>
        <v>6373728.0999999996</v>
      </c>
      <c r="R34" s="1444">
        <f t="shared" si="7"/>
        <v>49500</v>
      </c>
      <c r="S34" s="1444">
        <f t="shared" si="14"/>
        <v>0</v>
      </c>
      <c r="T34" s="1444">
        <f t="shared" si="15"/>
        <v>0</v>
      </c>
      <c r="U34" s="1444">
        <f t="shared" si="16"/>
        <v>49500</v>
      </c>
      <c r="V34" s="1256"/>
      <c r="W34" s="723"/>
      <c r="X34" s="1323"/>
      <c r="Y34" s="1321">
        <v>44921</v>
      </c>
      <c r="Z34" s="1321">
        <f t="shared" si="13"/>
        <v>44907</v>
      </c>
      <c r="AA34" s="1324">
        <f t="shared" si="19"/>
        <v>-14</v>
      </c>
      <c r="AB34" s="1327">
        <f>U34</f>
        <v>49500</v>
      </c>
      <c r="AC34" s="1327">
        <f t="shared" si="17"/>
        <v>7425</v>
      </c>
      <c r="AD34" s="1327">
        <f t="shared" si="20"/>
        <v>56925</v>
      </c>
      <c r="AE34" s="1327">
        <f t="shared" si="21"/>
        <v>7329787.3150000004</v>
      </c>
    </row>
    <row r="35" spans="1:31" ht="24">
      <c r="A35" s="723">
        <v>22</v>
      </c>
      <c r="B35" s="810" t="s">
        <v>1653</v>
      </c>
      <c r="C35" s="1445"/>
      <c r="D35" s="1320" t="s">
        <v>1654</v>
      </c>
      <c r="E35" s="1321">
        <v>44894</v>
      </c>
      <c r="F35" s="1322">
        <f>+F34+G35</f>
        <v>6483728.0999999996</v>
      </c>
      <c r="G35" s="1322">
        <v>110000</v>
      </c>
      <c r="H35" s="1444">
        <f t="shared" si="22"/>
        <v>0</v>
      </c>
      <c r="I35" s="1444">
        <f t="shared" si="23"/>
        <v>0</v>
      </c>
      <c r="J35" s="1444">
        <f t="shared" si="24"/>
        <v>110000</v>
      </c>
      <c r="K35" s="1256"/>
      <c r="L35" s="1510">
        <v>22</v>
      </c>
      <c r="M35" s="724" t="s">
        <v>1655</v>
      </c>
      <c r="N35" s="1321">
        <v>44976</v>
      </c>
      <c r="O35" s="1323">
        <f t="shared" si="25"/>
        <v>44908</v>
      </c>
      <c r="P35" s="1324">
        <f>O35-N35</f>
        <v>-68</v>
      </c>
      <c r="Q35" s="1322">
        <f t="shared" si="18"/>
        <v>6483728.0999999996</v>
      </c>
      <c r="R35" s="1444">
        <f t="shared" si="7"/>
        <v>110000</v>
      </c>
      <c r="S35" s="1444">
        <f t="shared" si="14"/>
        <v>0</v>
      </c>
      <c r="T35" s="1444">
        <f t="shared" si="15"/>
        <v>0</v>
      </c>
      <c r="U35" s="1444">
        <f t="shared" si="16"/>
        <v>110000</v>
      </c>
      <c r="V35" s="1256"/>
      <c r="W35" s="723"/>
      <c r="X35" s="1323"/>
      <c r="Y35" s="1321">
        <v>44987</v>
      </c>
      <c r="Z35" s="1321">
        <f t="shared" ref="Z35:Z46" si="26">E35+45</f>
        <v>44939</v>
      </c>
      <c r="AA35" s="1324">
        <f t="shared" si="19"/>
        <v>-48</v>
      </c>
      <c r="AB35" s="1327">
        <f>U35</f>
        <v>110000</v>
      </c>
      <c r="AC35" s="1327">
        <f t="shared" si="17"/>
        <v>16500</v>
      </c>
      <c r="AD35" s="1327">
        <f t="shared" si="20"/>
        <v>126500</v>
      </c>
      <c r="AE35" s="1327">
        <f t="shared" si="21"/>
        <v>7456287.3150000004</v>
      </c>
    </row>
    <row r="36" spans="1:31" ht="24">
      <c r="A36" s="723">
        <v>23</v>
      </c>
      <c r="B36" s="810" t="s">
        <v>1656</v>
      </c>
      <c r="C36" s="1445"/>
      <c r="D36" s="1320" t="s">
        <v>1657</v>
      </c>
      <c r="E36" s="1321">
        <v>44924</v>
      </c>
      <c r="F36" s="1322">
        <f>+F35+G36</f>
        <v>6961632.8999999994</v>
      </c>
      <c r="G36" s="1322">
        <v>477904.8</v>
      </c>
      <c r="H36" s="1444">
        <f t="shared" si="22"/>
        <v>0</v>
      </c>
      <c r="I36" s="1444">
        <f t="shared" si="23"/>
        <v>0</v>
      </c>
      <c r="J36" s="1444">
        <f t="shared" si="24"/>
        <v>477904.8</v>
      </c>
      <c r="K36" s="1256"/>
      <c r="L36" s="1510">
        <v>23</v>
      </c>
      <c r="M36" s="724" t="s">
        <v>1658</v>
      </c>
      <c r="N36" s="1321">
        <v>44976</v>
      </c>
      <c r="O36" s="1323">
        <f t="shared" si="25"/>
        <v>44938</v>
      </c>
      <c r="P36" s="1324">
        <f t="shared" si="12"/>
        <v>-38</v>
      </c>
      <c r="Q36" s="1322">
        <f t="shared" si="18"/>
        <v>6961632.8999999994</v>
      </c>
      <c r="R36" s="1444">
        <f t="shared" si="7"/>
        <v>477904.79999999981</v>
      </c>
      <c r="S36" s="1444">
        <f t="shared" si="14"/>
        <v>0</v>
      </c>
      <c r="T36" s="1444">
        <f t="shared" si="15"/>
        <v>0</v>
      </c>
      <c r="U36" s="1444">
        <f t="shared" si="16"/>
        <v>477904.79999999981</v>
      </c>
      <c r="V36" s="1256"/>
      <c r="W36" s="723"/>
      <c r="X36" s="1323"/>
      <c r="Y36" s="1321">
        <v>44987</v>
      </c>
      <c r="Z36" s="1321">
        <f t="shared" si="26"/>
        <v>44969</v>
      </c>
      <c r="AA36" s="1324">
        <f t="shared" si="19"/>
        <v>-18</v>
      </c>
      <c r="AB36" s="1327">
        <f t="shared" ref="AB36:AB46" si="27">U36</f>
        <v>477904.79999999981</v>
      </c>
      <c r="AC36" s="1327">
        <f t="shared" si="17"/>
        <v>71685.719999999972</v>
      </c>
      <c r="AD36" s="1327">
        <f t="shared" si="20"/>
        <v>549590.51999999979</v>
      </c>
      <c r="AE36" s="1327">
        <f t="shared" si="21"/>
        <v>8005877.835</v>
      </c>
    </row>
    <row r="37" spans="1:31" ht="24">
      <c r="A37" s="723">
        <v>24</v>
      </c>
      <c r="B37" s="810" t="s">
        <v>2054</v>
      </c>
      <c r="C37" s="1445"/>
      <c r="D37" s="1320" t="s">
        <v>1659</v>
      </c>
      <c r="E37" s="1441">
        <v>44926</v>
      </c>
      <c r="F37" s="1322">
        <f>+F35+G37</f>
        <v>6560728.0999999996</v>
      </c>
      <c r="G37" s="1322">
        <v>77000</v>
      </c>
      <c r="H37" s="1444">
        <f t="shared" si="22"/>
        <v>0</v>
      </c>
      <c r="I37" s="1444">
        <f t="shared" si="23"/>
        <v>0</v>
      </c>
      <c r="J37" s="1444">
        <f t="shared" si="24"/>
        <v>77000</v>
      </c>
      <c r="K37" s="1256"/>
      <c r="L37" s="1510">
        <v>24</v>
      </c>
      <c r="M37" s="724" t="s">
        <v>1660</v>
      </c>
      <c r="N37" s="1321">
        <v>44976</v>
      </c>
      <c r="O37" s="1323">
        <f t="shared" si="25"/>
        <v>44940</v>
      </c>
      <c r="P37" s="1324">
        <f t="shared" si="12"/>
        <v>-36</v>
      </c>
      <c r="Q37" s="1322">
        <f t="shared" si="18"/>
        <v>6560728.0999999996</v>
      </c>
      <c r="R37" s="1444">
        <f>Q37-Q35</f>
        <v>77000</v>
      </c>
      <c r="S37" s="1444">
        <f t="shared" si="14"/>
        <v>0</v>
      </c>
      <c r="T37" s="1444">
        <f t="shared" si="15"/>
        <v>0</v>
      </c>
      <c r="U37" s="1444">
        <f t="shared" si="16"/>
        <v>77000</v>
      </c>
      <c r="V37" s="1256"/>
      <c r="W37" s="723"/>
      <c r="X37" s="1323"/>
      <c r="Y37" s="1321">
        <v>44987</v>
      </c>
      <c r="Z37" s="1321">
        <f t="shared" si="26"/>
        <v>44971</v>
      </c>
      <c r="AA37" s="1324">
        <f t="shared" si="19"/>
        <v>-16</v>
      </c>
      <c r="AB37" s="1327">
        <f t="shared" si="27"/>
        <v>77000</v>
      </c>
      <c r="AC37" s="1327">
        <f t="shared" si="17"/>
        <v>11550</v>
      </c>
      <c r="AD37" s="1327">
        <f t="shared" si="20"/>
        <v>88550</v>
      </c>
      <c r="AE37" s="1327">
        <f t="shared" si="21"/>
        <v>8094427.835</v>
      </c>
    </row>
    <row r="38" spans="1:31" ht="24">
      <c r="A38" s="723">
        <v>25</v>
      </c>
      <c r="B38" s="810" t="s">
        <v>2055</v>
      </c>
      <c r="C38" s="1445"/>
      <c r="D38" s="1320" t="s">
        <v>1661</v>
      </c>
      <c r="E38" s="1441">
        <v>44930</v>
      </c>
      <c r="F38" s="1322">
        <f>+F37+G38</f>
        <v>6600328.0999999996</v>
      </c>
      <c r="G38" s="1322">
        <v>39600</v>
      </c>
      <c r="H38" s="1444">
        <f t="shared" si="22"/>
        <v>0</v>
      </c>
      <c r="I38" s="1444">
        <f t="shared" si="23"/>
        <v>0</v>
      </c>
      <c r="J38" s="1444">
        <f t="shared" si="24"/>
        <v>39600</v>
      </c>
      <c r="K38" s="1256"/>
      <c r="L38" s="1510">
        <v>25</v>
      </c>
      <c r="M38" s="724" t="s">
        <v>1662</v>
      </c>
      <c r="N38" s="1321">
        <v>44976</v>
      </c>
      <c r="O38" s="1323">
        <f t="shared" si="25"/>
        <v>44944</v>
      </c>
      <c r="P38" s="1324">
        <f t="shared" si="12"/>
        <v>-32</v>
      </c>
      <c r="Q38" s="1322">
        <f t="shared" si="18"/>
        <v>6600328.0999999996</v>
      </c>
      <c r="R38" s="1444">
        <f>Q38-Q37</f>
        <v>39600</v>
      </c>
      <c r="S38" s="1444">
        <f t="shared" si="14"/>
        <v>0</v>
      </c>
      <c r="T38" s="1444">
        <f t="shared" si="15"/>
        <v>0</v>
      </c>
      <c r="U38" s="1444">
        <f t="shared" si="16"/>
        <v>39600</v>
      </c>
      <c r="V38" s="1256"/>
      <c r="W38" s="723"/>
      <c r="X38" s="1323"/>
      <c r="Y38" s="1321">
        <v>44987</v>
      </c>
      <c r="Z38" s="1321">
        <f t="shared" si="26"/>
        <v>44975</v>
      </c>
      <c r="AA38" s="1324">
        <f t="shared" si="19"/>
        <v>-12</v>
      </c>
      <c r="AB38" s="1327">
        <f t="shared" si="27"/>
        <v>39600</v>
      </c>
      <c r="AC38" s="1327">
        <f t="shared" si="17"/>
        <v>5940</v>
      </c>
      <c r="AD38" s="1327">
        <f t="shared" si="20"/>
        <v>45540</v>
      </c>
      <c r="AE38" s="1327">
        <f t="shared" si="21"/>
        <v>8139967.835</v>
      </c>
    </row>
    <row r="39" spans="1:31" ht="24">
      <c r="A39" s="723">
        <v>26</v>
      </c>
      <c r="B39" s="810" t="s">
        <v>2056</v>
      </c>
      <c r="C39" s="1445"/>
      <c r="D39" s="1320" t="s">
        <v>1663</v>
      </c>
      <c r="E39" s="1441">
        <v>44940</v>
      </c>
      <c r="F39" s="1322">
        <f>+F38+G39</f>
        <v>6613528.0999999996</v>
      </c>
      <c r="G39" s="1322">
        <v>13200</v>
      </c>
      <c r="H39" s="1322">
        <f t="shared" si="22"/>
        <v>0</v>
      </c>
      <c r="I39" s="1322">
        <f t="shared" si="23"/>
        <v>0</v>
      </c>
      <c r="J39" s="1322">
        <f t="shared" si="24"/>
        <v>13200</v>
      </c>
      <c r="K39" s="1256"/>
      <c r="L39" s="1510">
        <v>26</v>
      </c>
      <c r="M39" s="724" t="s">
        <v>1664</v>
      </c>
      <c r="N39" s="1321">
        <v>44976</v>
      </c>
      <c r="O39" s="1323">
        <f t="shared" si="25"/>
        <v>44954</v>
      </c>
      <c r="P39" s="1324">
        <f t="shared" si="12"/>
        <v>-22</v>
      </c>
      <c r="Q39" s="1322">
        <f t="shared" si="18"/>
        <v>6613528.0999999996</v>
      </c>
      <c r="R39" s="1444">
        <f>Q39-Q38</f>
        <v>13200</v>
      </c>
      <c r="S39" s="1444">
        <f t="shared" si="14"/>
        <v>0</v>
      </c>
      <c r="T39" s="1444">
        <f t="shared" si="15"/>
        <v>0</v>
      </c>
      <c r="U39" s="1444">
        <f t="shared" si="16"/>
        <v>13200</v>
      </c>
      <c r="V39" s="1256"/>
      <c r="W39" s="723"/>
      <c r="X39" s="1323"/>
      <c r="Y39" s="1321">
        <v>44987</v>
      </c>
      <c r="Z39" s="1321">
        <f t="shared" si="26"/>
        <v>44985</v>
      </c>
      <c r="AA39" s="1324">
        <f t="shared" si="19"/>
        <v>-2</v>
      </c>
      <c r="AB39" s="1327">
        <f t="shared" si="27"/>
        <v>13200</v>
      </c>
      <c r="AC39" s="1327">
        <f t="shared" si="17"/>
        <v>1980</v>
      </c>
      <c r="AD39" s="1327">
        <f t="shared" si="20"/>
        <v>15180</v>
      </c>
      <c r="AE39" s="1327">
        <f t="shared" si="21"/>
        <v>8155147.835</v>
      </c>
    </row>
    <row r="40" spans="1:31" ht="24">
      <c r="A40" s="723">
        <v>27</v>
      </c>
      <c r="B40" s="810" t="s">
        <v>2057</v>
      </c>
      <c r="C40" s="1445"/>
      <c r="D40" s="1320" t="s">
        <v>1964</v>
      </c>
      <c r="E40" s="1441">
        <v>45013</v>
      </c>
      <c r="F40" s="1322">
        <f>+F39+G40</f>
        <v>6709896.0999999996</v>
      </c>
      <c r="G40" s="1322">
        <v>96368</v>
      </c>
      <c r="H40" s="1322">
        <f t="shared" ref="H40:H48" si="28">(G40*$H$12)*-1</f>
        <v>0</v>
      </c>
      <c r="I40" s="1322">
        <f t="shared" ref="I40:I48" si="29">(G40*$I$12)*-1</f>
        <v>0</v>
      </c>
      <c r="J40" s="1322">
        <f t="shared" ref="J40:J48" si="30">G40+H40+I40</f>
        <v>96368</v>
      </c>
      <c r="K40" s="1256"/>
      <c r="L40" s="1510">
        <v>27</v>
      </c>
      <c r="M40" s="724" t="s">
        <v>1965</v>
      </c>
      <c r="N40" s="1321">
        <v>45022</v>
      </c>
      <c r="O40" s="1323">
        <f t="shared" si="25"/>
        <v>45027</v>
      </c>
      <c r="P40" s="1324">
        <f t="shared" si="12"/>
        <v>5</v>
      </c>
      <c r="Q40" s="1322">
        <f t="shared" si="18"/>
        <v>6709896.0999999996</v>
      </c>
      <c r="R40" s="1322">
        <v>96368</v>
      </c>
      <c r="S40" s="1444">
        <f t="shared" ref="S40:S56" si="31">(R40*$S$12)*-1</f>
        <v>0</v>
      </c>
      <c r="T40" s="1444">
        <f t="shared" ref="T40:T56" si="32">(R40*$T$12)*-1</f>
        <v>0</v>
      </c>
      <c r="U40" s="1444">
        <f t="shared" ref="U40:U56" si="33">R40+S40+T40</f>
        <v>96368</v>
      </c>
      <c r="V40" s="1256"/>
      <c r="W40" s="723"/>
      <c r="X40" s="1323"/>
      <c r="Y40" s="1321">
        <v>45035</v>
      </c>
      <c r="Z40" s="1321">
        <f t="shared" si="26"/>
        <v>45058</v>
      </c>
      <c r="AA40" s="1324">
        <f t="shared" ref="AA40:AA46" si="34">+Z40-Y40</f>
        <v>23</v>
      </c>
      <c r="AB40" s="1327">
        <f t="shared" si="27"/>
        <v>96368</v>
      </c>
      <c r="AC40" s="1327">
        <f t="shared" ref="AC40:AC46" si="35">(R40+T40)*$AC$12</f>
        <v>14455.199999999999</v>
      </c>
      <c r="AD40" s="1327">
        <f t="shared" si="20"/>
        <v>110823.2</v>
      </c>
      <c r="AE40" s="1327">
        <f t="shared" si="21"/>
        <v>8265971.0350000001</v>
      </c>
    </row>
    <row r="41" spans="1:31" ht="24">
      <c r="A41" s="723">
        <v>28</v>
      </c>
      <c r="B41" s="810" t="s">
        <v>1972</v>
      </c>
      <c r="C41" s="1445"/>
      <c r="D41" s="1320" t="s">
        <v>1973</v>
      </c>
      <c r="E41" s="1441">
        <v>45014</v>
      </c>
      <c r="F41" s="1322">
        <f>+F40+G41</f>
        <v>6734896.0999999996</v>
      </c>
      <c r="G41" s="1322">
        <v>25000</v>
      </c>
      <c r="H41" s="1322">
        <f t="shared" si="28"/>
        <v>0</v>
      </c>
      <c r="I41" s="1322">
        <f t="shared" si="29"/>
        <v>0</v>
      </c>
      <c r="J41" s="1322">
        <f t="shared" si="30"/>
        <v>25000</v>
      </c>
      <c r="K41" s="1256"/>
      <c r="L41" s="1510">
        <v>28</v>
      </c>
      <c r="M41" s="724" t="s">
        <v>1974</v>
      </c>
      <c r="N41" s="1321">
        <v>45022</v>
      </c>
      <c r="O41" s="1323">
        <f t="shared" si="25"/>
        <v>45028</v>
      </c>
      <c r="P41" s="1324">
        <f t="shared" si="12"/>
        <v>6</v>
      </c>
      <c r="Q41" s="1322">
        <f t="shared" si="18"/>
        <v>6734896.0999999996</v>
      </c>
      <c r="R41" s="1322">
        <v>25000</v>
      </c>
      <c r="S41" s="1444">
        <f t="shared" si="31"/>
        <v>0</v>
      </c>
      <c r="T41" s="1444">
        <f t="shared" si="32"/>
        <v>0</v>
      </c>
      <c r="U41" s="1444">
        <f t="shared" si="33"/>
        <v>25000</v>
      </c>
      <c r="V41" s="1256"/>
      <c r="W41" s="723"/>
      <c r="X41" s="1323"/>
      <c r="Y41" s="1321">
        <v>45065</v>
      </c>
      <c r="Z41" s="1321">
        <f t="shared" si="26"/>
        <v>45059</v>
      </c>
      <c r="AA41" s="1324">
        <f t="shared" si="34"/>
        <v>-6</v>
      </c>
      <c r="AB41" s="1327">
        <f>U41</f>
        <v>25000</v>
      </c>
      <c r="AC41" s="1327">
        <f t="shared" si="35"/>
        <v>3750</v>
      </c>
      <c r="AD41" s="1327">
        <f t="shared" si="20"/>
        <v>28750</v>
      </c>
      <c r="AE41" s="1327">
        <f t="shared" si="21"/>
        <v>8294721.0350000001</v>
      </c>
    </row>
    <row r="42" spans="1:31" ht="24">
      <c r="A42" s="723">
        <v>29</v>
      </c>
      <c r="B42" s="810" t="s">
        <v>1966</v>
      </c>
      <c r="C42" s="1445"/>
      <c r="D42" s="1320" t="s">
        <v>1967</v>
      </c>
      <c r="E42" s="1441">
        <v>45014</v>
      </c>
      <c r="F42" s="1322">
        <f>+F40+G42</f>
        <v>6734896.0999999996</v>
      </c>
      <c r="G42" s="1322">
        <v>25000</v>
      </c>
      <c r="H42" s="1322">
        <f t="shared" si="28"/>
        <v>0</v>
      </c>
      <c r="I42" s="1322">
        <f t="shared" si="29"/>
        <v>0</v>
      </c>
      <c r="J42" s="1322">
        <f t="shared" si="30"/>
        <v>25000</v>
      </c>
      <c r="K42" s="1256"/>
      <c r="L42" s="1510">
        <v>29</v>
      </c>
      <c r="M42" s="724" t="s">
        <v>1968</v>
      </c>
      <c r="N42" s="1321">
        <v>45022</v>
      </c>
      <c r="O42" s="1323">
        <f t="shared" si="25"/>
        <v>45028</v>
      </c>
      <c r="P42" s="1324">
        <f t="shared" si="12"/>
        <v>6</v>
      </c>
      <c r="Q42" s="1322">
        <f t="shared" si="18"/>
        <v>6734896.0999999996</v>
      </c>
      <c r="R42" s="1322">
        <v>25000</v>
      </c>
      <c r="S42" s="1444">
        <f t="shared" si="31"/>
        <v>0</v>
      </c>
      <c r="T42" s="1444">
        <f t="shared" si="32"/>
        <v>0</v>
      </c>
      <c r="U42" s="1444">
        <f t="shared" si="33"/>
        <v>25000</v>
      </c>
      <c r="V42" s="1256"/>
      <c r="W42" s="723"/>
      <c r="X42" s="1323"/>
      <c r="Y42" s="1321">
        <v>45035</v>
      </c>
      <c r="Z42" s="1321">
        <f t="shared" si="26"/>
        <v>45059</v>
      </c>
      <c r="AA42" s="1324">
        <f t="shared" si="34"/>
        <v>24</v>
      </c>
      <c r="AB42" s="1327">
        <f t="shared" si="27"/>
        <v>25000</v>
      </c>
      <c r="AC42" s="1327">
        <f t="shared" si="35"/>
        <v>3750</v>
      </c>
      <c r="AD42" s="1327">
        <f t="shared" si="20"/>
        <v>28750</v>
      </c>
      <c r="AE42" s="1327">
        <f>+AD42+AE41</f>
        <v>8323471.0350000001</v>
      </c>
    </row>
    <row r="43" spans="1:31" ht="24">
      <c r="A43" s="723">
        <v>30</v>
      </c>
      <c r="B43" s="810" t="s">
        <v>1969</v>
      </c>
      <c r="C43" s="1445"/>
      <c r="D43" s="1320" t="s">
        <v>1970</v>
      </c>
      <c r="E43" s="1441">
        <v>45014</v>
      </c>
      <c r="F43" s="1322">
        <f t="shared" ref="F43:F50" si="36">+F42+G43</f>
        <v>6783080.0999999996</v>
      </c>
      <c r="G43" s="1322">
        <v>48184</v>
      </c>
      <c r="H43" s="1322">
        <f t="shared" si="28"/>
        <v>0</v>
      </c>
      <c r="I43" s="1322">
        <f t="shared" si="29"/>
        <v>0</v>
      </c>
      <c r="J43" s="1322">
        <f t="shared" si="30"/>
        <v>48184</v>
      </c>
      <c r="K43" s="1256"/>
      <c r="L43" s="1510">
        <v>30</v>
      </c>
      <c r="M43" s="724" t="s">
        <v>1971</v>
      </c>
      <c r="N43" s="1321">
        <v>45022</v>
      </c>
      <c r="O43" s="1323">
        <f t="shared" si="25"/>
        <v>45028</v>
      </c>
      <c r="P43" s="1324">
        <f t="shared" si="12"/>
        <v>6</v>
      </c>
      <c r="Q43" s="1322">
        <f t="shared" si="18"/>
        <v>6783080.0999999996</v>
      </c>
      <c r="R43" s="1322">
        <v>48184</v>
      </c>
      <c r="S43" s="1444">
        <f t="shared" si="31"/>
        <v>0</v>
      </c>
      <c r="T43" s="1444">
        <f t="shared" si="32"/>
        <v>0</v>
      </c>
      <c r="U43" s="1444">
        <f t="shared" si="33"/>
        <v>48184</v>
      </c>
      <c r="V43" s="1256"/>
      <c r="W43" s="723"/>
      <c r="X43" s="1323"/>
      <c r="Y43" s="1321">
        <v>45035</v>
      </c>
      <c r="Z43" s="1321">
        <f t="shared" si="26"/>
        <v>45059</v>
      </c>
      <c r="AA43" s="1324">
        <f>+Z43-Y43</f>
        <v>24</v>
      </c>
      <c r="AB43" s="1327">
        <f t="shared" si="27"/>
        <v>48184</v>
      </c>
      <c r="AC43" s="1327">
        <f t="shared" si="35"/>
        <v>7227.5999999999995</v>
      </c>
      <c r="AD43" s="1327">
        <f t="shared" si="20"/>
        <v>55411.6</v>
      </c>
      <c r="AE43" s="1327">
        <f>AD43+AE42</f>
        <v>8378882.6349999998</v>
      </c>
    </row>
    <row r="44" spans="1:31" ht="24">
      <c r="A44" s="723">
        <v>31</v>
      </c>
      <c r="B44" s="810" t="s">
        <v>2327</v>
      </c>
      <c r="C44" s="1445"/>
      <c r="D44" s="1320" t="s">
        <v>1975</v>
      </c>
      <c r="E44" s="1441">
        <v>45014</v>
      </c>
      <c r="F44" s="1322">
        <f t="shared" si="36"/>
        <v>6795880.0999999996</v>
      </c>
      <c r="G44" s="1322">
        <v>12800</v>
      </c>
      <c r="H44" s="1322">
        <f t="shared" si="28"/>
        <v>0</v>
      </c>
      <c r="I44" s="1322">
        <f t="shared" si="29"/>
        <v>0</v>
      </c>
      <c r="J44" s="1322">
        <f t="shared" si="30"/>
        <v>12800</v>
      </c>
      <c r="K44" s="1256"/>
      <c r="L44" s="1510">
        <v>31</v>
      </c>
      <c r="M44" s="724" t="s">
        <v>1976</v>
      </c>
      <c r="N44" s="1321">
        <v>45022</v>
      </c>
      <c r="O44" s="1323">
        <f t="shared" si="25"/>
        <v>45028</v>
      </c>
      <c r="P44" s="1324">
        <f t="shared" si="12"/>
        <v>6</v>
      </c>
      <c r="Q44" s="1322">
        <f t="shared" si="18"/>
        <v>6795880.0999999996</v>
      </c>
      <c r="R44" s="1322">
        <v>12800</v>
      </c>
      <c r="S44" s="1444">
        <f t="shared" si="31"/>
        <v>0</v>
      </c>
      <c r="T44" s="1444">
        <f t="shared" si="32"/>
        <v>0</v>
      </c>
      <c r="U44" s="1444">
        <f t="shared" si="33"/>
        <v>12800</v>
      </c>
      <c r="V44" s="1256"/>
      <c r="W44" s="723"/>
      <c r="X44" s="1323"/>
      <c r="Y44" s="1321">
        <v>45159</v>
      </c>
      <c r="Z44" s="1321">
        <f t="shared" si="26"/>
        <v>45059</v>
      </c>
      <c r="AA44" s="1324">
        <f t="shared" si="34"/>
        <v>-100</v>
      </c>
      <c r="AB44" s="1327">
        <f>U44</f>
        <v>12800</v>
      </c>
      <c r="AC44" s="1327">
        <f t="shared" si="35"/>
        <v>1920</v>
      </c>
      <c r="AD44" s="1327">
        <f t="shared" si="20"/>
        <v>14720</v>
      </c>
      <c r="AE44" s="1327">
        <f>AD44+AE43</f>
        <v>8393602.6349999998</v>
      </c>
    </row>
    <row r="45" spans="1:31" ht="24">
      <c r="A45" s="723">
        <v>32</v>
      </c>
      <c r="B45" s="810" t="s">
        <v>2011</v>
      </c>
      <c r="C45" s="1445"/>
      <c r="D45" s="1320" t="s">
        <v>2010</v>
      </c>
      <c r="E45" s="1441">
        <v>45057</v>
      </c>
      <c r="F45" s="1322">
        <f t="shared" si="36"/>
        <v>6892248.0999999996</v>
      </c>
      <c r="G45" s="1322">
        <v>96368</v>
      </c>
      <c r="H45" s="1322">
        <f t="shared" si="28"/>
        <v>0</v>
      </c>
      <c r="I45" s="1322">
        <f t="shared" si="29"/>
        <v>0</v>
      </c>
      <c r="J45" s="1322">
        <f t="shared" si="30"/>
        <v>96368</v>
      </c>
      <c r="K45" s="1256"/>
      <c r="L45" s="1510">
        <v>32</v>
      </c>
      <c r="M45" s="724" t="s">
        <v>2012</v>
      </c>
      <c r="N45" s="1321">
        <v>45069</v>
      </c>
      <c r="O45" s="1323">
        <f t="shared" si="25"/>
        <v>45071</v>
      </c>
      <c r="P45" s="1324">
        <f t="shared" si="12"/>
        <v>2</v>
      </c>
      <c r="Q45" s="1322">
        <f t="shared" si="18"/>
        <v>6892248.0999999996</v>
      </c>
      <c r="R45" s="1322">
        <v>96368</v>
      </c>
      <c r="S45" s="1444">
        <f t="shared" si="31"/>
        <v>0</v>
      </c>
      <c r="T45" s="1444">
        <f t="shared" si="32"/>
        <v>0</v>
      </c>
      <c r="U45" s="1444">
        <f t="shared" si="33"/>
        <v>96368</v>
      </c>
      <c r="V45" s="1256"/>
      <c r="W45" s="723"/>
      <c r="X45" s="1323"/>
      <c r="Y45" s="1321">
        <v>45085</v>
      </c>
      <c r="Z45" s="1321">
        <f t="shared" si="26"/>
        <v>45102</v>
      </c>
      <c r="AA45" s="1324">
        <f t="shared" si="34"/>
        <v>17</v>
      </c>
      <c r="AB45" s="1327">
        <f t="shared" si="27"/>
        <v>96368</v>
      </c>
      <c r="AC45" s="1327">
        <f t="shared" si="35"/>
        <v>14455.199999999999</v>
      </c>
      <c r="AD45" s="1327">
        <f t="shared" si="20"/>
        <v>110823.2</v>
      </c>
      <c r="AE45" s="1327">
        <f>AD45+AE44</f>
        <v>8504425.834999999</v>
      </c>
    </row>
    <row r="46" spans="1:31" ht="24">
      <c r="A46" s="723">
        <v>33</v>
      </c>
      <c r="B46" s="810" t="s">
        <v>2063</v>
      </c>
      <c r="C46" s="1445"/>
      <c r="D46" s="1320" t="s">
        <v>2058</v>
      </c>
      <c r="E46" s="1441">
        <v>45070</v>
      </c>
      <c r="F46" s="1322">
        <f t="shared" si="36"/>
        <v>6895448.0999999996</v>
      </c>
      <c r="G46" s="1322">
        <v>3200</v>
      </c>
      <c r="H46" s="1322">
        <f t="shared" si="28"/>
        <v>0</v>
      </c>
      <c r="I46" s="1322">
        <f t="shared" si="29"/>
        <v>0</v>
      </c>
      <c r="J46" s="1322">
        <f t="shared" si="30"/>
        <v>3200</v>
      </c>
      <c r="K46" s="1256"/>
      <c r="L46" s="1510">
        <v>33</v>
      </c>
      <c r="M46" s="724" t="s">
        <v>2059</v>
      </c>
      <c r="N46" s="1321">
        <v>45085</v>
      </c>
      <c r="O46" s="1323">
        <f t="shared" si="25"/>
        <v>45084</v>
      </c>
      <c r="P46" s="1324">
        <f t="shared" si="12"/>
        <v>-1</v>
      </c>
      <c r="Q46" s="1322">
        <f t="shared" si="18"/>
        <v>6895448.0999999996</v>
      </c>
      <c r="R46" s="1322">
        <v>3200</v>
      </c>
      <c r="S46" s="1444">
        <f t="shared" si="31"/>
        <v>0</v>
      </c>
      <c r="T46" s="1444">
        <f t="shared" si="32"/>
        <v>0</v>
      </c>
      <c r="U46" s="1444">
        <f t="shared" si="33"/>
        <v>3200</v>
      </c>
      <c r="V46" s="1256"/>
      <c r="W46" s="723"/>
      <c r="X46" s="1323"/>
      <c r="Y46" s="1321">
        <v>45090</v>
      </c>
      <c r="Z46" s="1321">
        <f t="shared" si="26"/>
        <v>45115</v>
      </c>
      <c r="AA46" s="1324">
        <f t="shared" si="34"/>
        <v>25</v>
      </c>
      <c r="AB46" s="1327">
        <f t="shared" si="27"/>
        <v>3200</v>
      </c>
      <c r="AC46" s="1327">
        <f t="shared" si="35"/>
        <v>480</v>
      </c>
      <c r="AD46" s="1327">
        <f t="shared" si="20"/>
        <v>3680</v>
      </c>
      <c r="AE46" s="1327">
        <f t="shared" ref="AE46:AE52" si="37">+AE45+AD46</f>
        <v>8508105.834999999</v>
      </c>
    </row>
    <row r="47" spans="1:31" ht="24">
      <c r="A47" s="723">
        <v>34</v>
      </c>
      <c r="B47" s="810" t="s">
        <v>2064</v>
      </c>
      <c r="C47" s="1445"/>
      <c r="D47" s="1320" t="s">
        <v>2061</v>
      </c>
      <c r="E47" s="1441">
        <v>45070</v>
      </c>
      <c r="F47" s="1322">
        <f t="shared" si="36"/>
        <v>6955678.0999999996</v>
      </c>
      <c r="G47" s="1322">
        <v>60230</v>
      </c>
      <c r="H47" s="1322">
        <f t="shared" si="28"/>
        <v>0</v>
      </c>
      <c r="I47" s="1322">
        <f t="shared" si="29"/>
        <v>0</v>
      </c>
      <c r="J47" s="1322">
        <f t="shared" si="30"/>
        <v>60230</v>
      </c>
      <c r="K47" s="1256"/>
      <c r="L47" s="1510">
        <v>34</v>
      </c>
      <c r="M47" s="724" t="s">
        <v>2062</v>
      </c>
      <c r="N47" s="1321">
        <v>45085</v>
      </c>
      <c r="O47" s="1323">
        <f t="shared" ref="O47:O56" si="38">E47+14</f>
        <v>45084</v>
      </c>
      <c r="P47" s="1324">
        <f t="shared" ref="P47:P56" si="39">O47-N47</f>
        <v>-1</v>
      </c>
      <c r="Q47" s="1322">
        <f t="shared" si="18"/>
        <v>6955678.0999999996</v>
      </c>
      <c r="R47" s="1322">
        <v>60230</v>
      </c>
      <c r="S47" s="1444">
        <f t="shared" si="31"/>
        <v>0</v>
      </c>
      <c r="T47" s="1444">
        <f t="shared" si="32"/>
        <v>0</v>
      </c>
      <c r="U47" s="1444">
        <f t="shared" si="33"/>
        <v>60230</v>
      </c>
      <c r="V47" s="1256"/>
      <c r="W47" s="723"/>
      <c r="X47" s="1323"/>
      <c r="Y47" s="1321">
        <v>45090</v>
      </c>
      <c r="Z47" s="1321">
        <f t="shared" ref="Z47:Z56" si="40">E47+45</f>
        <v>45115</v>
      </c>
      <c r="AA47" s="1324">
        <f t="shared" ref="AA47:AA56" si="41">+Z47-Y47</f>
        <v>25</v>
      </c>
      <c r="AB47" s="1322">
        <v>60230</v>
      </c>
      <c r="AC47" s="1327">
        <f t="shared" ref="AC47:AC56" si="42">(R47+T47)*$AC$12</f>
        <v>9034.5</v>
      </c>
      <c r="AD47" s="1327">
        <f t="shared" si="20"/>
        <v>69264.5</v>
      </c>
      <c r="AE47" s="1327">
        <f t="shared" si="37"/>
        <v>8577370.334999999</v>
      </c>
    </row>
    <row r="48" spans="1:31" ht="24">
      <c r="A48" s="723">
        <v>35</v>
      </c>
      <c r="B48" s="810" t="s">
        <v>2068</v>
      </c>
      <c r="C48" s="1445"/>
      <c r="D48" s="1320" t="s">
        <v>2069</v>
      </c>
      <c r="E48" s="1441">
        <v>45070</v>
      </c>
      <c r="F48" s="1322">
        <f t="shared" si="36"/>
        <v>6985547.1499999994</v>
      </c>
      <c r="G48" s="1322">
        <v>29869.05</v>
      </c>
      <c r="H48" s="1322">
        <f t="shared" si="28"/>
        <v>0</v>
      </c>
      <c r="I48" s="1322">
        <f t="shared" si="29"/>
        <v>0</v>
      </c>
      <c r="J48" s="1322">
        <f t="shared" si="30"/>
        <v>29869.05</v>
      </c>
      <c r="K48" s="1256"/>
      <c r="L48" s="1510">
        <v>35</v>
      </c>
      <c r="M48" s="724" t="s">
        <v>2070</v>
      </c>
      <c r="N48" s="1321">
        <v>45085</v>
      </c>
      <c r="O48" s="1323">
        <f t="shared" si="38"/>
        <v>45084</v>
      </c>
      <c r="P48" s="1324">
        <f t="shared" si="39"/>
        <v>-1</v>
      </c>
      <c r="Q48" s="1322">
        <f t="shared" ref="Q48:Q56" si="43">+F48</f>
        <v>6985547.1499999994</v>
      </c>
      <c r="R48" s="1322">
        <v>29869.05</v>
      </c>
      <c r="S48" s="1444">
        <f t="shared" si="31"/>
        <v>0</v>
      </c>
      <c r="T48" s="1444">
        <f t="shared" si="32"/>
        <v>0</v>
      </c>
      <c r="U48" s="1444">
        <f t="shared" si="33"/>
        <v>29869.05</v>
      </c>
      <c r="V48" s="1256"/>
      <c r="W48" s="723"/>
      <c r="X48" s="1323"/>
      <c r="Y48" s="1321">
        <v>45090</v>
      </c>
      <c r="Z48" s="1321">
        <f t="shared" si="40"/>
        <v>45115</v>
      </c>
      <c r="AA48" s="1324">
        <f t="shared" si="41"/>
        <v>25</v>
      </c>
      <c r="AB48" s="1322">
        <v>29869.05</v>
      </c>
      <c r="AC48" s="1327">
        <f t="shared" si="42"/>
        <v>4480.3575000000001</v>
      </c>
      <c r="AD48" s="1327">
        <f t="shared" si="20"/>
        <v>34349.407500000001</v>
      </c>
      <c r="AE48" s="1327">
        <f t="shared" si="37"/>
        <v>8611719.7424999997</v>
      </c>
    </row>
    <row r="49" spans="1:31" ht="24">
      <c r="A49" s="723">
        <v>36</v>
      </c>
      <c r="B49" s="810" t="s">
        <v>2071</v>
      </c>
      <c r="C49" s="1445"/>
      <c r="D49" s="1320" t="s">
        <v>2072</v>
      </c>
      <c r="E49" s="1441">
        <v>45077</v>
      </c>
      <c r="F49" s="1322">
        <f t="shared" si="36"/>
        <v>7015416.1999999993</v>
      </c>
      <c r="G49" s="1322">
        <v>29869.05</v>
      </c>
      <c r="H49" s="1322">
        <f>(G49*$H$12)*-1</f>
        <v>0</v>
      </c>
      <c r="I49" s="1322">
        <f>(G49*$I$12)*-1</f>
        <v>0</v>
      </c>
      <c r="J49" s="1322">
        <f>G49+H49+I49</f>
        <v>29869.05</v>
      </c>
      <c r="K49" s="1256"/>
      <c r="L49" s="1510">
        <v>36</v>
      </c>
      <c r="M49" s="724" t="s">
        <v>2073</v>
      </c>
      <c r="N49" s="1321">
        <v>45085</v>
      </c>
      <c r="O49" s="1323">
        <f t="shared" si="38"/>
        <v>45091</v>
      </c>
      <c r="P49" s="1324">
        <f t="shared" si="39"/>
        <v>6</v>
      </c>
      <c r="Q49" s="1322">
        <f t="shared" si="43"/>
        <v>7015416.1999999993</v>
      </c>
      <c r="R49" s="1322">
        <v>29869.05</v>
      </c>
      <c r="S49" s="1444">
        <f t="shared" si="31"/>
        <v>0</v>
      </c>
      <c r="T49" s="1444">
        <f t="shared" si="32"/>
        <v>0</v>
      </c>
      <c r="U49" s="1444">
        <f t="shared" si="33"/>
        <v>29869.05</v>
      </c>
      <c r="V49" s="1256"/>
      <c r="W49" s="723"/>
      <c r="X49" s="1323"/>
      <c r="Y49" s="1321">
        <v>45090</v>
      </c>
      <c r="Z49" s="1321">
        <f t="shared" si="40"/>
        <v>45122</v>
      </c>
      <c r="AA49" s="1324">
        <f t="shared" si="41"/>
        <v>32</v>
      </c>
      <c r="AB49" s="1322">
        <v>29869.05</v>
      </c>
      <c r="AC49" s="1327">
        <f t="shared" si="42"/>
        <v>4480.3575000000001</v>
      </c>
      <c r="AD49" s="1327">
        <f t="shared" si="20"/>
        <v>34349.407500000001</v>
      </c>
      <c r="AE49" s="1327">
        <f t="shared" si="37"/>
        <v>8646069.1500000004</v>
      </c>
    </row>
    <row r="50" spans="1:31" ht="24">
      <c r="A50" s="723">
        <v>37</v>
      </c>
      <c r="B50" s="810" t="s">
        <v>2074</v>
      </c>
      <c r="C50" s="1445"/>
      <c r="D50" s="1320" t="s">
        <v>2075</v>
      </c>
      <c r="E50" s="1441">
        <v>45077</v>
      </c>
      <c r="F50" s="1322">
        <f t="shared" si="36"/>
        <v>7045285.2499999991</v>
      </c>
      <c r="G50" s="1322">
        <v>29869.05</v>
      </c>
      <c r="H50" s="1322">
        <f t="shared" ref="H50:H55" si="44">(G50*$H$12)*-1</f>
        <v>0</v>
      </c>
      <c r="I50" s="1322">
        <f t="shared" ref="I50:I55" si="45">(G50*$I$12)*-1</f>
        <v>0</v>
      </c>
      <c r="J50" s="1322">
        <f t="shared" ref="J50:J55" si="46">G50+H50+I50</f>
        <v>29869.05</v>
      </c>
      <c r="K50" s="1256"/>
      <c r="L50" s="1510">
        <v>37</v>
      </c>
      <c r="M50" s="724" t="s">
        <v>2076</v>
      </c>
      <c r="N50" s="1321">
        <v>45085</v>
      </c>
      <c r="O50" s="1323">
        <f t="shared" si="38"/>
        <v>45091</v>
      </c>
      <c r="P50" s="1324">
        <f t="shared" si="39"/>
        <v>6</v>
      </c>
      <c r="Q50" s="1322">
        <f t="shared" si="43"/>
        <v>7045285.2499999991</v>
      </c>
      <c r="R50" s="1322">
        <v>29869.05</v>
      </c>
      <c r="S50" s="1444">
        <f t="shared" si="31"/>
        <v>0</v>
      </c>
      <c r="T50" s="1444">
        <f t="shared" si="32"/>
        <v>0</v>
      </c>
      <c r="U50" s="1444">
        <f t="shared" si="33"/>
        <v>29869.05</v>
      </c>
      <c r="V50" s="1256"/>
      <c r="W50" s="723"/>
      <c r="X50" s="1323"/>
      <c r="Y50" s="1321">
        <v>45090</v>
      </c>
      <c r="Z50" s="1321">
        <f t="shared" si="40"/>
        <v>45122</v>
      </c>
      <c r="AA50" s="1324">
        <f t="shared" si="41"/>
        <v>32</v>
      </c>
      <c r="AB50" s="1322">
        <v>29869.05</v>
      </c>
      <c r="AC50" s="1327">
        <f t="shared" si="42"/>
        <v>4480.3575000000001</v>
      </c>
      <c r="AD50" s="1327">
        <f t="shared" si="20"/>
        <v>34349.407500000001</v>
      </c>
      <c r="AE50" s="1327">
        <f t="shared" si="37"/>
        <v>8680418.557500001</v>
      </c>
    </row>
    <row r="51" spans="1:31" ht="24">
      <c r="A51" s="723">
        <v>38</v>
      </c>
      <c r="B51" s="810" t="s">
        <v>2321</v>
      </c>
      <c r="C51" s="1445"/>
      <c r="D51" s="1320" t="s">
        <v>2322</v>
      </c>
      <c r="E51" s="1441">
        <v>45138</v>
      </c>
      <c r="F51" s="1322">
        <f t="shared" ref="F51:F60" si="47">+F50+G51</f>
        <v>7064535.2499999991</v>
      </c>
      <c r="G51" s="1322">
        <v>19250</v>
      </c>
      <c r="H51" s="1322">
        <f t="shared" si="44"/>
        <v>0</v>
      </c>
      <c r="I51" s="1322">
        <f t="shared" si="45"/>
        <v>0</v>
      </c>
      <c r="J51" s="1322">
        <f t="shared" si="46"/>
        <v>19250</v>
      </c>
      <c r="K51" s="1256"/>
      <c r="L51" s="1510">
        <v>38</v>
      </c>
      <c r="M51" s="724" t="s">
        <v>2323</v>
      </c>
      <c r="N51" s="1321">
        <v>45157</v>
      </c>
      <c r="O51" s="1323">
        <f t="shared" si="38"/>
        <v>45152</v>
      </c>
      <c r="P51" s="1324">
        <f t="shared" si="39"/>
        <v>-5</v>
      </c>
      <c r="Q51" s="1322">
        <f t="shared" si="43"/>
        <v>7064535.2499999991</v>
      </c>
      <c r="R51" s="1322">
        <v>19250</v>
      </c>
      <c r="S51" s="1444">
        <f t="shared" si="31"/>
        <v>0</v>
      </c>
      <c r="T51" s="1444">
        <f t="shared" si="32"/>
        <v>0</v>
      </c>
      <c r="U51" s="1444">
        <f t="shared" si="33"/>
        <v>19250</v>
      </c>
      <c r="V51" s="1256"/>
      <c r="W51" s="723"/>
      <c r="X51" s="1323"/>
      <c r="Y51" s="1321">
        <v>45159</v>
      </c>
      <c r="Z51" s="1321">
        <f t="shared" si="40"/>
        <v>45183</v>
      </c>
      <c r="AA51" s="1324">
        <f t="shared" si="41"/>
        <v>24</v>
      </c>
      <c r="AB51" s="1322">
        <v>19250</v>
      </c>
      <c r="AC51" s="1327">
        <f t="shared" si="42"/>
        <v>2887.5</v>
      </c>
      <c r="AD51" s="1327">
        <f t="shared" si="20"/>
        <v>22137.5</v>
      </c>
      <c r="AE51" s="1327">
        <f t="shared" si="37"/>
        <v>8702556.057500001</v>
      </c>
    </row>
    <row r="52" spans="1:31" ht="24">
      <c r="A52" s="723">
        <v>39</v>
      </c>
      <c r="B52" s="810" t="s">
        <v>2324</v>
      </c>
      <c r="C52" s="1445"/>
      <c r="D52" s="1320" t="s">
        <v>2325</v>
      </c>
      <c r="E52" s="1441">
        <v>45138</v>
      </c>
      <c r="F52" s="1322">
        <f t="shared" si="47"/>
        <v>7074435.2499999991</v>
      </c>
      <c r="G52" s="1322">
        <v>9900</v>
      </c>
      <c r="H52" s="1322">
        <f t="shared" si="44"/>
        <v>0</v>
      </c>
      <c r="I52" s="1322">
        <f t="shared" si="45"/>
        <v>0</v>
      </c>
      <c r="J52" s="1322">
        <f t="shared" si="46"/>
        <v>9900</v>
      </c>
      <c r="K52" s="1256"/>
      <c r="L52" s="1510">
        <v>39</v>
      </c>
      <c r="M52" s="724" t="s">
        <v>2326</v>
      </c>
      <c r="N52" s="1321">
        <v>45157</v>
      </c>
      <c r="O52" s="1323">
        <f t="shared" si="38"/>
        <v>45152</v>
      </c>
      <c r="P52" s="1324">
        <f t="shared" si="39"/>
        <v>-5</v>
      </c>
      <c r="Q52" s="1322">
        <f t="shared" si="43"/>
        <v>7074435.2499999991</v>
      </c>
      <c r="R52" s="1322">
        <v>9900</v>
      </c>
      <c r="S52" s="1444">
        <f t="shared" si="31"/>
        <v>0</v>
      </c>
      <c r="T52" s="1444">
        <f t="shared" si="32"/>
        <v>0</v>
      </c>
      <c r="U52" s="1444">
        <f t="shared" si="33"/>
        <v>9900</v>
      </c>
      <c r="V52" s="1256"/>
      <c r="W52" s="723"/>
      <c r="X52" s="1323"/>
      <c r="Y52" s="1321">
        <v>45159</v>
      </c>
      <c r="Z52" s="1321">
        <f t="shared" si="40"/>
        <v>45183</v>
      </c>
      <c r="AA52" s="1324">
        <f t="shared" si="41"/>
        <v>24</v>
      </c>
      <c r="AB52" s="1322">
        <v>9900</v>
      </c>
      <c r="AC52" s="1327">
        <f t="shared" si="42"/>
        <v>1485</v>
      </c>
      <c r="AD52" s="1327">
        <f t="shared" si="20"/>
        <v>11385</v>
      </c>
      <c r="AE52" s="1327">
        <f t="shared" si="37"/>
        <v>8713941.057500001</v>
      </c>
    </row>
    <row r="53" spans="1:31" ht="24">
      <c r="A53" s="723">
        <v>40</v>
      </c>
      <c r="B53" s="810" t="s">
        <v>2484</v>
      </c>
      <c r="C53" s="1445"/>
      <c r="D53" s="1320" t="s">
        <v>2483</v>
      </c>
      <c r="E53" s="1441">
        <v>45138</v>
      </c>
      <c r="F53" s="1322">
        <f t="shared" si="47"/>
        <v>7077735.2499999991</v>
      </c>
      <c r="G53" s="1322">
        <v>3300</v>
      </c>
      <c r="H53" s="1322">
        <f t="shared" si="44"/>
        <v>0</v>
      </c>
      <c r="I53" s="1322">
        <f t="shared" si="45"/>
        <v>0</v>
      </c>
      <c r="J53" s="1322">
        <f t="shared" si="46"/>
        <v>3300</v>
      </c>
      <c r="K53" s="1256"/>
      <c r="L53" s="1510">
        <v>40</v>
      </c>
      <c r="M53" s="724" t="s">
        <v>2486</v>
      </c>
      <c r="N53" s="1321">
        <v>45157</v>
      </c>
      <c r="O53" s="1323">
        <f t="shared" si="38"/>
        <v>45152</v>
      </c>
      <c r="P53" s="1324">
        <f t="shared" si="39"/>
        <v>-5</v>
      </c>
      <c r="Q53" s="1322">
        <f t="shared" si="43"/>
        <v>7077735.2499999991</v>
      </c>
      <c r="R53" s="1322">
        <v>3300</v>
      </c>
      <c r="S53" s="1444">
        <f t="shared" si="31"/>
        <v>0</v>
      </c>
      <c r="T53" s="1444">
        <f t="shared" si="32"/>
        <v>0</v>
      </c>
      <c r="U53" s="1444">
        <f t="shared" si="33"/>
        <v>3300</v>
      </c>
      <c r="V53" s="1256"/>
      <c r="W53" s="723"/>
      <c r="X53" s="1323"/>
      <c r="Y53" s="1321">
        <v>45168</v>
      </c>
      <c r="Z53" s="1321">
        <f t="shared" si="40"/>
        <v>45183</v>
      </c>
      <c r="AA53" s="1324">
        <f t="shared" si="41"/>
        <v>15</v>
      </c>
      <c r="AB53" s="1322">
        <v>3300</v>
      </c>
      <c r="AC53" s="1327">
        <f t="shared" si="42"/>
        <v>495</v>
      </c>
      <c r="AD53" s="1327">
        <f t="shared" si="20"/>
        <v>3795</v>
      </c>
      <c r="AE53" s="1327">
        <f>+AE52+AD53</f>
        <v>8717736.057500001</v>
      </c>
    </row>
    <row r="54" spans="1:31" ht="24">
      <c r="A54" s="723">
        <v>41</v>
      </c>
      <c r="B54" s="810" t="s">
        <v>2488</v>
      </c>
      <c r="C54" s="1445"/>
      <c r="D54" s="1320" t="s">
        <v>2487</v>
      </c>
      <c r="E54" s="1441">
        <v>45138</v>
      </c>
      <c r="F54" s="1322">
        <f t="shared" si="47"/>
        <v>7121735.2499999991</v>
      </c>
      <c r="G54" s="1322">
        <v>44000</v>
      </c>
      <c r="H54" s="1322">
        <f t="shared" si="44"/>
        <v>0</v>
      </c>
      <c r="I54" s="1322">
        <f t="shared" si="45"/>
        <v>0</v>
      </c>
      <c r="J54" s="1322">
        <f t="shared" si="46"/>
        <v>44000</v>
      </c>
      <c r="K54" s="1256"/>
      <c r="L54" s="1510">
        <v>41</v>
      </c>
      <c r="M54" s="724" t="s">
        <v>2489</v>
      </c>
      <c r="N54" s="1321">
        <v>45174</v>
      </c>
      <c r="O54" s="1323">
        <f t="shared" si="38"/>
        <v>45152</v>
      </c>
      <c r="P54" s="1324">
        <f t="shared" si="39"/>
        <v>-22</v>
      </c>
      <c r="Q54" s="1322">
        <f t="shared" si="43"/>
        <v>7121735.2499999991</v>
      </c>
      <c r="R54" s="1322">
        <v>44000</v>
      </c>
      <c r="S54" s="1444">
        <f t="shared" si="31"/>
        <v>0</v>
      </c>
      <c r="T54" s="1444">
        <f t="shared" si="32"/>
        <v>0</v>
      </c>
      <c r="U54" s="1444">
        <f t="shared" si="33"/>
        <v>44000</v>
      </c>
      <c r="V54" s="1256"/>
      <c r="W54" s="723"/>
      <c r="X54" s="1323"/>
      <c r="Y54" s="1321">
        <v>45187</v>
      </c>
      <c r="Z54" s="1321">
        <f>E54+45</f>
        <v>45183</v>
      </c>
      <c r="AA54" s="1324">
        <f t="shared" si="41"/>
        <v>-4</v>
      </c>
      <c r="AB54" s="1322">
        <v>44000</v>
      </c>
      <c r="AC54" s="1327">
        <f t="shared" si="42"/>
        <v>6600</v>
      </c>
      <c r="AD54" s="1327">
        <f t="shared" si="20"/>
        <v>50600</v>
      </c>
      <c r="AE54" s="1327">
        <f>+AE53+AD54</f>
        <v>8768336.057500001</v>
      </c>
    </row>
    <row r="55" spans="1:31" ht="24">
      <c r="A55" s="723">
        <v>42</v>
      </c>
      <c r="B55" s="810" t="s">
        <v>2491</v>
      </c>
      <c r="C55" s="1445"/>
      <c r="D55" s="1320" t="s">
        <v>2490</v>
      </c>
      <c r="E55" s="1441">
        <v>45138</v>
      </c>
      <c r="F55" s="1322">
        <f t="shared" si="47"/>
        <v>7132735.2499999991</v>
      </c>
      <c r="G55" s="1322">
        <v>11000</v>
      </c>
      <c r="H55" s="1322">
        <f t="shared" si="44"/>
        <v>0</v>
      </c>
      <c r="I55" s="1322">
        <f t="shared" si="45"/>
        <v>0</v>
      </c>
      <c r="J55" s="1322">
        <f t="shared" si="46"/>
        <v>11000</v>
      </c>
      <c r="K55" s="1256"/>
      <c r="L55" s="1510">
        <v>42</v>
      </c>
      <c r="M55" s="724" t="s">
        <v>2492</v>
      </c>
      <c r="N55" s="1321">
        <v>45174</v>
      </c>
      <c r="O55" s="1323">
        <f t="shared" si="38"/>
        <v>45152</v>
      </c>
      <c r="P55" s="1324">
        <f t="shared" si="39"/>
        <v>-22</v>
      </c>
      <c r="Q55" s="1322">
        <f t="shared" si="43"/>
        <v>7132735.2499999991</v>
      </c>
      <c r="R55" s="1322">
        <v>11000</v>
      </c>
      <c r="S55" s="1444">
        <f t="shared" si="31"/>
        <v>0</v>
      </c>
      <c r="T55" s="1444">
        <f t="shared" si="32"/>
        <v>0</v>
      </c>
      <c r="U55" s="1444">
        <f t="shared" si="33"/>
        <v>11000</v>
      </c>
      <c r="V55" s="1256"/>
      <c r="W55" s="723"/>
      <c r="X55" s="1323"/>
      <c r="Y55" s="1321">
        <v>45187</v>
      </c>
      <c r="Z55" s="1321">
        <f t="shared" si="40"/>
        <v>45183</v>
      </c>
      <c r="AA55" s="1324">
        <f t="shared" si="41"/>
        <v>-4</v>
      </c>
      <c r="AB55" s="1322">
        <v>11000</v>
      </c>
      <c r="AC55" s="1327">
        <f t="shared" si="42"/>
        <v>1650</v>
      </c>
      <c r="AD55" s="1327">
        <f t="shared" si="20"/>
        <v>12650</v>
      </c>
      <c r="AE55" s="1327">
        <f>+AE54+AD55</f>
        <v>8780986.057500001</v>
      </c>
    </row>
    <row r="56" spans="1:31" ht="24">
      <c r="A56" s="723">
        <v>43</v>
      </c>
      <c r="B56" s="810" t="s">
        <v>2536</v>
      </c>
      <c r="C56" s="1445"/>
      <c r="D56" s="1320" t="s">
        <v>2535</v>
      </c>
      <c r="E56" s="1441">
        <v>45202</v>
      </c>
      <c r="F56" s="1322">
        <f t="shared" si="47"/>
        <v>7298008.8499999987</v>
      </c>
      <c r="G56" s="1322">
        <v>165273.60000000001</v>
      </c>
      <c r="H56" s="1322">
        <f t="shared" ref="H56:H61" si="48">(G56*$H$12)*-1</f>
        <v>0</v>
      </c>
      <c r="I56" s="1322">
        <f t="shared" ref="I56:I61" si="49">(G56*$I$12)*-1</f>
        <v>0</v>
      </c>
      <c r="J56" s="1322">
        <f t="shared" ref="J56:J61" si="50">G56+H56+I56</f>
        <v>165273.60000000001</v>
      </c>
      <c r="K56" s="1256"/>
      <c r="L56" s="1510">
        <v>43</v>
      </c>
      <c r="M56" s="724" t="s">
        <v>2537</v>
      </c>
      <c r="N56" s="1321">
        <v>45210</v>
      </c>
      <c r="O56" s="1323">
        <f t="shared" si="38"/>
        <v>45216</v>
      </c>
      <c r="P56" s="1324">
        <f t="shared" si="39"/>
        <v>6</v>
      </c>
      <c r="Q56" s="1322">
        <f t="shared" si="43"/>
        <v>7298008.8499999987</v>
      </c>
      <c r="R56" s="1322">
        <f>G56</f>
        <v>165273.60000000001</v>
      </c>
      <c r="S56" s="1444">
        <f t="shared" si="31"/>
        <v>0</v>
      </c>
      <c r="T56" s="1444">
        <f t="shared" si="32"/>
        <v>0</v>
      </c>
      <c r="U56" s="1444">
        <f t="shared" si="33"/>
        <v>165273.60000000001</v>
      </c>
      <c r="V56" s="1256"/>
      <c r="W56" s="723"/>
      <c r="X56" s="1323"/>
      <c r="Y56" s="1321">
        <v>45236</v>
      </c>
      <c r="Z56" s="1321">
        <f t="shared" si="40"/>
        <v>45247</v>
      </c>
      <c r="AA56" s="1324">
        <f t="shared" si="41"/>
        <v>11</v>
      </c>
      <c r="AB56" s="1322">
        <v>165273.60000000001</v>
      </c>
      <c r="AC56" s="1327">
        <f t="shared" si="42"/>
        <v>24791.040000000001</v>
      </c>
      <c r="AD56" s="1327">
        <f t="shared" si="20"/>
        <v>190064.64000000001</v>
      </c>
      <c r="AE56" s="1327">
        <f>+AE55+AD56</f>
        <v>8971050.6975000016</v>
      </c>
    </row>
    <row r="57" spans="1:31" ht="24">
      <c r="A57" s="723">
        <v>44</v>
      </c>
      <c r="B57" s="810" t="s">
        <v>2618</v>
      </c>
      <c r="C57" s="1445"/>
      <c r="D57" s="1320" t="s">
        <v>2619</v>
      </c>
      <c r="E57" s="1441">
        <v>45232</v>
      </c>
      <c r="F57" s="1322">
        <f t="shared" si="47"/>
        <v>7339327.2499999991</v>
      </c>
      <c r="G57" s="1322">
        <v>41318.400000000001</v>
      </c>
      <c r="H57" s="1322">
        <f t="shared" si="48"/>
        <v>0</v>
      </c>
      <c r="I57" s="1322">
        <f t="shared" si="49"/>
        <v>0</v>
      </c>
      <c r="J57" s="1322">
        <f t="shared" si="50"/>
        <v>41318.400000000001</v>
      </c>
      <c r="K57" s="1256"/>
      <c r="L57" s="3241">
        <v>44</v>
      </c>
      <c r="M57" s="3242" t="s">
        <v>2620</v>
      </c>
      <c r="N57" s="3243"/>
      <c r="O57" s="3244"/>
      <c r="P57" s="3245"/>
      <c r="Q57" s="3246"/>
      <c r="R57" s="3247"/>
      <c r="S57" s="3247"/>
      <c r="T57" s="3247"/>
      <c r="U57" s="3248"/>
      <c r="V57" s="3252"/>
      <c r="W57" s="3249"/>
      <c r="X57" s="3244"/>
      <c r="Y57" s="3243"/>
      <c r="Z57" s="3243"/>
      <c r="AA57" s="3245"/>
      <c r="AB57" s="3250"/>
      <c r="AC57" s="3250"/>
      <c r="AD57" s="3250"/>
      <c r="AE57" s="3250"/>
    </row>
    <row r="58" spans="1:31" ht="24">
      <c r="A58" s="3258">
        <v>45</v>
      </c>
      <c r="B58" s="3259" t="s">
        <v>2658</v>
      </c>
      <c r="C58" s="3260"/>
      <c r="D58" s="3261" t="s">
        <v>2659</v>
      </c>
      <c r="E58" s="3262">
        <v>45282</v>
      </c>
      <c r="F58" s="3263">
        <f t="shared" si="47"/>
        <v>7417247.2499999991</v>
      </c>
      <c r="G58" s="3264">
        <v>77920</v>
      </c>
      <c r="H58" s="3263">
        <f t="shared" si="48"/>
        <v>0</v>
      </c>
      <c r="I58" s="3263">
        <f t="shared" si="49"/>
        <v>0</v>
      </c>
      <c r="J58" s="3263">
        <f t="shared" si="50"/>
        <v>77920</v>
      </c>
      <c r="K58" s="3265"/>
      <c r="L58" s="3266">
        <v>45</v>
      </c>
      <c r="M58" s="3267" t="s">
        <v>2660</v>
      </c>
      <c r="N58" s="3268">
        <v>45300</v>
      </c>
      <c r="O58" s="3269">
        <f t="shared" ref="O58:O66" si="51">E58+14</f>
        <v>45296</v>
      </c>
      <c r="P58" s="3270">
        <f t="shared" ref="P58:P66" si="52">O58-N58</f>
        <v>-4</v>
      </c>
      <c r="Q58" s="3271">
        <f>+Q56+U56</f>
        <v>7463282.4499999983</v>
      </c>
      <c r="R58" s="3271">
        <f>G58</f>
        <v>77920</v>
      </c>
      <c r="S58" s="3272">
        <f t="shared" ref="S58:S65" si="53">(R58*$S$12)*-1</f>
        <v>0</v>
      </c>
      <c r="T58" s="3272">
        <f t="shared" ref="T58:T65" si="54">(R58*$T$12)*-1</f>
        <v>0</v>
      </c>
      <c r="U58" s="3272">
        <f t="shared" ref="U58:U65" si="55">R58+S58+T58</f>
        <v>77920</v>
      </c>
      <c r="V58" s="3265"/>
      <c r="W58" s="3258"/>
      <c r="X58" s="3273"/>
      <c r="Y58" s="3274">
        <v>45314</v>
      </c>
      <c r="Z58" s="3274">
        <f t="shared" ref="Z58:Z65" si="56">E58+45</f>
        <v>45327</v>
      </c>
      <c r="AA58" s="3275">
        <f t="shared" ref="AA58:AA65" si="57">+Z58-Y58</f>
        <v>13</v>
      </c>
      <c r="AB58" s="3271">
        <v>77920</v>
      </c>
      <c r="AC58" s="3276">
        <f t="shared" ref="AC58:AC65" si="58">(R58+T58)*$AC$12</f>
        <v>11688</v>
      </c>
      <c r="AD58" s="3276">
        <f t="shared" ref="AD58:AD65" si="59">AB58+AC58</f>
        <v>89608</v>
      </c>
      <c r="AE58" s="3276">
        <f>+AD58+AE56</f>
        <v>9060658.6975000016</v>
      </c>
    </row>
    <row r="59" spans="1:31" ht="24">
      <c r="A59" s="723">
        <v>46</v>
      </c>
      <c r="B59" s="810" t="s">
        <v>2662</v>
      </c>
      <c r="C59" s="1445"/>
      <c r="D59" s="1320" t="s">
        <v>2661</v>
      </c>
      <c r="E59" s="1441">
        <v>45301</v>
      </c>
      <c r="F59" s="1322">
        <f t="shared" si="47"/>
        <v>7582520.0499999989</v>
      </c>
      <c r="G59" s="1322">
        <v>165272.79999999999</v>
      </c>
      <c r="H59" s="1322">
        <f t="shared" si="48"/>
        <v>0</v>
      </c>
      <c r="I59" s="1322">
        <f t="shared" si="49"/>
        <v>0</v>
      </c>
      <c r="J59" s="1322">
        <f t="shared" si="50"/>
        <v>165272.79999999999</v>
      </c>
      <c r="K59" s="3257"/>
      <c r="L59" s="1510">
        <v>46</v>
      </c>
      <c r="M59" s="2850" t="s">
        <v>2947</v>
      </c>
      <c r="N59" s="2025">
        <v>45469</v>
      </c>
      <c r="O59" s="1323">
        <f t="shared" si="51"/>
        <v>45315</v>
      </c>
      <c r="P59" s="3538">
        <f t="shared" si="52"/>
        <v>-154</v>
      </c>
      <c r="Q59" s="1322">
        <f t="shared" ref="Q59:Q66" si="60">+R59+Q58</f>
        <v>7628555.2499999981</v>
      </c>
      <c r="R59" s="1322">
        <v>165272.79999999999</v>
      </c>
      <c r="S59" s="3534">
        <f t="shared" si="53"/>
        <v>0</v>
      </c>
      <c r="T59" s="3535">
        <f t="shared" si="54"/>
        <v>0</v>
      </c>
      <c r="U59" s="3535">
        <f t="shared" si="55"/>
        <v>165272.79999999999</v>
      </c>
      <c r="V59" s="1256"/>
      <c r="W59" s="723"/>
      <c r="X59" s="1323"/>
      <c r="Y59" s="2025">
        <v>45491</v>
      </c>
      <c r="Z59" s="3540">
        <f t="shared" si="56"/>
        <v>45346</v>
      </c>
      <c r="AA59" s="3541">
        <f t="shared" si="57"/>
        <v>-145</v>
      </c>
      <c r="AB59" s="3542">
        <v>165272.79999999999</v>
      </c>
      <c r="AC59" s="3543">
        <f t="shared" si="58"/>
        <v>24790.92</v>
      </c>
      <c r="AD59" s="3543">
        <f t="shared" si="59"/>
        <v>190063.71999999997</v>
      </c>
      <c r="AE59" s="3543">
        <f t="shared" ref="AE59:AE65" si="61">+AD59+AE58</f>
        <v>9250722.4175000023</v>
      </c>
    </row>
    <row r="60" spans="1:31" ht="24">
      <c r="A60" s="1352">
        <v>47</v>
      </c>
      <c r="B60" s="2022" t="s">
        <v>2664</v>
      </c>
      <c r="C60" s="3253"/>
      <c r="D60" s="2033" t="s">
        <v>2663</v>
      </c>
      <c r="E60" s="3254">
        <v>45303</v>
      </c>
      <c r="F60" s="2026">
        <f t="shared" si="47"/>
        <v>7602000.0499999989</v>
      </c>
      <c r="G60" s="2026">
        <v>19480</v>
      </c>
      <c r="H60" s="2026">
        <f t="shared" si="48"/>
        <v>0</v>
      </c>
      <c r="I60" s="2026">
        <f t="shared" si="49"/>
        <v>0</v>
      </c>
      <c r="J60" s="2026">
        <f t="shared" si="50"/>
        <v>19480</v>
      </c>
      <c r="K60" s="3255"/>
      <c r="L60" s="3511">
        <v>47</v>
      </c>
      <c r="M60" s="2034" t="s">
        <v>2946</v>
      </c>
      <c r="N60" s="2025">
        <v>45469</v>
      </c>
      <c r="O60" s="2029">
        <f t="shared" si="51"/>
        <v>45317</v>
      </c>
      <c r="P60" s="3539">
        <f t="shared" si="52"/>
        <v>-152</v>
      </c>
      <c r="Q60" s="2026">
        <f t="shared" si="60"/>
        <v>7648035.2499999981</v>
      </c>
      <c r="R60" s="2026">
        <v>19480</v>
      </c>
      <c r="S60" s="3536">
        <f t="shared" si="53"/>
        <v>0</v>
      </c>
      <c r="T60" s="3537">
        <f t="shared" si="54"/>
        <v>0</v>
      </c>
      <c r="U60" s="3537">
        <f t="shared" si="55"/>
        <v>19480</v>
      </c>
      <c r="V60" s="1256"/>
      <c r="W60" s="1352"/>
      <c r="X60" s="2029"/>
      <c r="Y60" s="2025">
        <v>45491</v>
      </c>
      <c r="Z60" s="2079">
        <f t="shared" si="56"/>
        <v>45348</v>
      </c>
      <c r="AA60" s="2030">
        <f t="shared" si="57"/>
        <v>-143</v>
      </c>
      <c r="AB60" s="2026">
        <v>19480</v>
      </c>
      <c r="AC60" s="2032">
        <f t="shared" si="58"/>
        <v>2922</v>
      </c>
      <c r="AD60" s="2032">
        <f t="shared" si="59"/>
        <v>22402</v>
      </c>
      <c r="AE60" s="2032">
        <f t="shared" si="61"/>
        <v>9273124.4175000023</v>
      </c>
    </row>
    <row r="61" spans="1:31" ht="24">
      <c r="A61" s="1352">
        <v>48</v>
      </c>
      <c r="B61" s="2022" t="s">
        <v>3044</v>
      </c>
      <c r="C61" s="3253"/>
      <c r="D61" s="2033" t="s">
        <v>3045</v>
      </c>
      <c r="E61" s="3254">
        <v>45513</v>
      </c>
      <c r="F61" s="2026">
        <f t="shared" ref="F61:F66" si="62">+F60+G61</f>
        <v>7679920.0499999989</v>
      </c>
      <c r="G61" s="2026">
        <v>77920</v>
      </c>
      <c r="H61" s="2026">
        <f t="shared" si="48"/>
        <v>0</v>
      </c>
      <c r="I61" s="2026">
        <f t="shared" si="49"/>
        <v>0</v>
      </c>
      <c r="J61" s="2026">
        <f t="shared" si="50"/>
        <v>77920</v>
      </c>
      <c r="K61" s="1256"/>
      <c r="L61" s="3511">
        <v>48</v>
      </c>
      <c r="M61" s="2034" t="s">
        <v>3046</v>
      </c>
      <c r="N61" s="2025">
        <v>45469</v>
      </c>
      <c r="O61" s="2029">
        <f t="shared" si="51"/>
        <v>45527</v>
      </c>
      <c r="P61" s="3539">
        <f t="shared" si="52"/>
        <v>58</v>
      </c>
      <c r="Q61" s="2026">
        <f t="shared" si="60"/>
        <v>7725955.2499999981</v>
      </c>
      <c r="R61" s="2026">
        <v>77920</v>
      </c>
      <c r="S61" s="3536">
        <f t="shared" si="53"/>
        <v>0</v>
      </c>
      <c r="T61" s="3537">
        <f t="shared" si="54"/>
        <v>0</v>
      </c>
      <c r="U61" s="3537">
        <f t="shared" si="55"/>
        <v>77920</v>
      </c>
      <c r="V61" s="1256"/>
      <c r="W61" s="1352"/>
      <c r="X61" s="2029"/>
      <c r="Y61" s="2025">
        <v>45533</v>
      </c>
      <c r="Z61" s="2079">
        <f t="shared" si="56"/>
        <v>45558</v>
      </c>
      <c r="AA61" s="2030">
        <f t="shared" si="57"/>
        <v>25</v>
      </c>
      <c r="AB61" s="2026">
        <v>77920</v>
      </c>
      <c r="AC61" s="2032">
        <f t="shared" si="58"/>
        <v>11688</v>
      </c>
      <c r="AD61" s="2032">
        <f t="shared" si="59"/>
        <v>89608</v>
      </c>
      <c r="AE61" s="2032">
        <f t="shared" si="61"/>
        <v>9362732.4175000023</v>
      </c>
    </row>
    <row r="62" spans="1:31" ht="24">
      <c r="A62" s="1352">
        <v>49</v>
      </c>
      <c r="B62" s="2022" t="s">
        <v>3466</v>
      </c>
      <c r="C62" s="3253"/>
      <c r="D62" s="2033" t="s">
        <v>3467</v>
      </c>
      <c r="E62" s="3254">
        <v>45578</v>
      </c>
      <c r="F62" s="2026">
        <f t="shared" si="62"/>
        <v>7709789.0999999987</v>
      </c>
      <c r="G62" s="2026">
        <v>29869.05</v>
      </c>
      <c r="H62" s="2026">
        <f>(G62*$H$12)*-1</f>
        <v>0</v>
      </c>
      <c r="I62" s="2026">
        <f>(G62*$I$12)*-1</f>
        <v>0</v>
      </c>
      <c r="J62" s="2026">
        <f>G62+H62+I62</f>
        <v>29869.05</v>
      </c>
      <c r="K62" s="1256"/>
      <c r="L62" s="3511">
        <v>49</v>
      </c>
      <c r="M62" s="2034" t="s">
        <v>3468</v>
      </c>
      <c r="N62" s="2025">
        <v>45615</v>
      </c>
      <c r="O62" s="2029">
        <f t="shared" si="51"/>
        <v>45592</v>
      </c>
      <c r="P62" s="3539">
        <f t="shared" si="52"/>
        <v>-23</v>
      </c>
      <c r="Q62" s="2026">
        <f t="shared" si="60"/>
        <v>7755824.299999998</v>
      </c>
      <c r="R62" s="2026">
        <v>29869.05</v>
      </c>
      <c r="S62" s="3536">
        <f t="shared" si="53"/>
        <v>0</v>
      </c>
      <c r="T62" s="3537">
        <f t="shared" si="54"/>
        <v>0</v>
      </c>
      <c r="U62" s="3537">
        <f t="shared" si="55"/>
        <v>29869.05</v>
      </c>
      <c r="V62" s="1256"/>
      <c r="W62" s="1352"/>
      <c r="X62" s="2029"/>
      <c r="Y62" s="2025">
        <v>45637</v>
      </c>
      <c r="Z62" s="2079">
        <f t="shared" si="56"/>
        <v>45623</v>
      </c>
      <c r="AA62" s="2030">
        <f t="shared" si="57"/>
        <v>-14</v>
      </c>
      <c r="AB62" s="2026">
        <v>29869.05</v>
      </c>
      <c r="AC62" s="2032">
        <f t="shared" si="58"/>
        <v>4480.3575000000001</v>
      </c>
      <c r="AD62" s="2032">
        <f t="shared" si="59"/>
        <v>34349.407500000001</v>
      </c>
      <c r="AE62" s="2032">
        <f t="shared" si="61"/>
        <v>9397081.825000003</v>
      </c>
    </row>
    <row r="63" spans="1:31" ht="24">
      <c r="A63" s="1352">
        <v>50</v>
      </c>
      <c r="B63" s="2022" t="s">
        <v>4220</v>
      </c>
      <c r="C63" s="3253"/>
      <c r="D63" s="2033" t="s">
        <v>4221</v>
      </c>
      <c r="E63" s="3254">
        <v>45671</v>
      </c>
      <c r="F63" s="2026">
        <f t="shared" si="62"/>
        <v>7811905.6999999983</v>
      </c>
      <c r="G63" s="3951">
        <v>102116.6</v>
      </c>
      <c r="H63" s="2026">
        <f>(G63*$H$12)*-1</f>
        <v>0</v>
      </c>
      <c r="I63" s="2026">
        <f>(G63*$I$12)*-1</f>
        <v>0</v>
      </c>
      <c r="J63" s="2026">
        <f>G63+H63+I63</f>
        <v>102116.6</v>
      </c>
      <c r="K63" s="1256"/>
      <c r="L63" s="3511">
        <v>50</v>
      </c>
      <c r="M63" s="2034" t="s">
        <v>4222</v>
      </c>
      <c r="N63" s="2025">
        <v>45695</v>
      </c>
      <c r="O63" s="2029">
        <f t="shared" si="51"/>
        <v>45685</v>
      </c>
      <c r="P63" s="3539">
        <f t="shared" si="52"/>
        <v>-10</v>
      </c>
      <c r="Q63" s="2026">
        <f t="shared" si="60"/>
        <v>7857940.8999999976</v>
      </c>
      <c r="R63" s="2026">
        <v>102116.6</v>
      </c>
      <c r="S63" s="3536">
        <f t="shared" si="53"/>
        <v>0</v>
      </c>
      <c r="T63" s="3537">
        <f t="shared" si="54"/>
        <v>0</v>
      </c>
      <c r="U63" s="3537">
        <f t="shared" si="55"/>
        <v>102116.6</v>
      </c>
      <c r="V63" s="1256"/>
      <c r="W63" s="1352"/>
      <c r="X63" s="2029"/>
      <c r="Y63" s="2025">
        <v>45768</v>
      </c>
      <c r="Z63" s="2079">
        <f t="shared" si="56"/>
        <v>45716</v>
      </c>
      <c r="AA63" s="2030">
        <f t="shared" si="57"/>
        <v>-52</v>
      </c>
      <c r="AB63" s="2026">
        <v>102116.6</v>
      </c>
      <c r="AC63" s="2032">
        <f t="shared" si="58"/>
        <v>15317.49</v>
      </c>
      <c r="AD63" s="2032">
        <f t="shared" si="59"/>
        <v>117434.09000000001</v>
      </c>
      <c r="AE63" s="2032">
        <f t="shared" si="61"/>
        <v>9514515.9150000028</v>
      </c>
    </row>
    <row r="64" spans="1:31" ht="24">
      <c r="A64" s="1352">
        <v>51</v>
      </c>
      <c r="B64" s="2022" t="s">
        <v>4223</v>
      </c>
      <c r="C64" s="3253"/>
      <c r="D64" s="2033" t="s">
        <v>4224</v>
      </c>
      <c r="E64" s="3254">
        <v>45701</v>
      </c>
      <c r="F64" s="2026">
        <f t="shared" si="62"/>
        <v>8278440.6999999983</v>
      </c>
      <c r="G64" s="3951">
        <v>466535</v>
      </c>
      <c r="H64" s="2026">
        <f>(G64*$H$12)*-1</f>
        <v>0</v>
      </c>
      <c r="I64" s="2026">
        <f>(G64*$I$12)*-1</f>
        <v>0</v>
      </c>
      <c r="J64" s="2026">
        <f>G64+H64+I64</f>
        <v>466535</v>
      </c>
      <c r="K64" s="1256"/>
      <c r="L64" s="3511">
        <v>51</v>
      </c>
      <c r="M64" s="2034" t="s">
        <v>4225</v>
      </c>
      <c r="N64" s="2025">
        <v>45726</v>
      </c>
      <c r="O64" s="2029">
        <f t="shared" si="51"/>
        <v>45715</v>
      </c>
      <c r="P64" s="3539">
        <f t="shared" si="52"/>
        <v>-11</v>
      </c>
      <c r="Q64" s="2026">
        <f t="shared" si="60"/>
        <v>8324475.8999999976</v>
      </c>
      <c r="R64" s="2026">
        <v>466535</v>
      </c>
      <c r="S64" s="3536">
        <f t="shared" si="53"/>
        <v>0</v>
      </c>
      <c r="T64" s="3537">
        <f t="shared" si="54"/>
        <v>0</v>
      </c>
      <c r="U64" s="3537">
        <f t="shared" si="55"/>
        <v>466535</v>
      </c>
      <c r="V64" s="1256"/>
      <c r="W64" s="1352"/>
      <c r="X64" s="2029"/>
      <c r="Y64" s="2025">
        <v>45768</v>
      </c>
      <c r="Z64" s="2079">
        <f t="shared" si="56"/>
        <v>45746</v>
      </c>
      <c r="AA64" s="2030">
        <f t="shared" si="57"/>
        <v>-22</v>
      </c>
      <c r="AB64" s="2026">
        <v>466535</v>
      </c>
      <c r="AC64" s="2032">
        <f t="shared" si="58"/>
        <v>69980.25</v>
      </c>
      <c r="AD64" s="2032">
        <f t="shared" si="59"/>
        <v>536515.25</v>
      </c>
      <c r="AE64" s="2032">
        <f t="shared" si="61"/>
        <v>10051031.165000003</v>
      </c>
    </row>
    <row r="65" spans="1:31" ht="24">
      <c r="A65" s="1352">
        <v>52</v>
      </c>
      <c r="B65" s="2022" t="s">
        <v>4226</v>
      </c>
      <c r="C65" s="3253"/>
      <c r="D65" s="2033" t="s">
        <v>4227</v>
      </c>
      <c r="E65" s="3254">
        <v>45656</v>
      </c>
      <c r="F65" s="2026">
        <f t="shared" si="62"/>
        <v>8526659.6999999993</v>
      </c>
      <c r="G65" s="3951">
        <v>248219</v>
      </c>
      <c r="H65" s="2026">
        <f>(G65*$H$12)*-1</f>
        <v>0</v>
      </c>
      <c r="I65" s="2026">
        <f>(G65*$I$12)*-1</f>
        <v>0</v>
      </c>
      <c r="J65" s="2026">
        <f>G65+H65+I65</f>
        <v>248219</v>
      </c>
      <c r="K65" s="1256"/>
      <c r="L65" s="3511">
        <v>52</v>
      </c>
      <c r="M65" s="2034" t="s">
        <v>4228</v>
      </c>
      <c r="N65" s="2025">
        <v>45666</v>
      </c>
      <c r="O65" s="2029">
        <f t="shared" si="51"/>
        <v>45670</v>
      </c>
      <c r="P65" s="3539">
        <f t="shared" si="52"/>
        <v>4</v>
      </c>
      <c r="Q65" s="2026">
        <f t="shared" si="60"/>
        <v>8572694.8999999985</v>
      </c>
      <c r="R65" s="2026">
        <v>248219</v>
      </c>
      <c r="S65" s="3536">
        <f t="shared" si="53"/>
        <v>0</v>
      </c>
      <c r="T65" s="3537">
        <f t="shared" si="54"/>
        <v>0</v>
      </c>
      <c r="U65" s="3537">
        <f t="shared" si="55"/>
        <v>248219</v>
      </c>
      <c r="V65" s="1256"/>
      <c r="W65" s="1352"/>
      <c r="X65" s="2029"/>
      <c r="Y65" s="2025">
        <v>45768</v>
      </c>
      <c r="Z65" s="2079">
        <f t="shared" si="56"/>
        <v>45701</v>
      </c>
      <c r="AA65" s="2030">
        <f t="shared" si="57"/>
        <v>-67</v>
      </c>
      <c r="AB65" s="2026">
        <v>248219</v>
      </c>
      <c r="AC65" s="2032">
        <f t="shared" si="58"/>
        <v>37232.85</v>
      </c>
      <c r="AD65" s="2032">
        <f t="shared" si="59"/>
        <v>285451.84999999998</v>
      </c>
      <c r="AE65" s="2032">
        <f t="shared" si="61"/>
        <v>10336483.015000002</v>
      </c>
    </row>
    <row r="66" spans="1:31" ht="24">
      <c r="A66" s="1352">
        <v>53</v>
      </c>
      <c r="B66" s="2022" t="s">
        <v>5194</v>
      </c>
      <c r="C66" s="3253"/>
      <c r="D66" s="2033" t="s">
        <v>5193</v>
      </c>
      <c r="E66" s="3254">
        <v>45932</v>
      </c>
      <c r="F66" s="2026">
        <f t="shared" si="62"/>
        <v>8565159.6999999993</v>
      </c>
      <c r="G66" s="3951">
        <v>38500</v>
      </c>
      <c r="H66" s="2026">
        <f>(G66*$H$12)*-1</f>
        <v>0</v>
      </c>
      <c r="I66" s="2026">
        <f>(G66*$I$12)*-1</f>
        <v>0</v>
      </c>
      <c r="J66" s="2026">
        <f>G66+H66+I66</f>
        <v>38500</v>
      </c>
      <c r="K66" s="1256"/>
      <c r="L66" s="3511">
        <v>53</v>
      </c>
      <c r="M66" s="2034" t="s">
        <v>5195</v>
      </c>
      <c r="N66" s="2025">
        <v>45988</v>
      </c>
      <c r="O66" s="2029">
        <f t="shared" si="51"/>
        <v>45946</v>
      </c>
      <c r="P66" s="3539">
        <f t="shared" si="52"/>
        <v>-42</v>
      </c>
      <c r="Q66" s="2026">
        <f t="shared" si="60"/>
        <v>8611194.8999999985</v>
      </c>
      <c r="R66" s="3951">
        <v>38500</v>
      </c>
      <c r="S66" s="3536">
        <f>(R66*$S$12)*-1</f>
        <v>0</v>
      </c>
      <c r="T66" s="3537">
        <f>(R66*$T$12)*-1</f>
        <v>0</v>
      </c>
      <c r="U66" s="3537">
        <f>R66+S66+T66</f>
        <v>38500</v>
      </c>
      <c r="V66" s="1256"/>
      <c r="W66" s="4527"/>
      <c r="X66" s="4528"/>
      <c r="Y66" s="4529"/>
      <c r="Z66" s="4530"/>
      <c r="AA66" s="4531"/>
      <c r="AB66" s="4532"/>
      <c r="AC66" s="4533"/>
      <c r="AD66" s="4533"/>
      <c r="AE66" s="4533"/>
    </row>
    <row r="67" spans="1:31">
      <c r="A67" s="1352"/>
      <c r="B67" s="2022"/>
      <c r="C67" s="3253"/>
      <c r="D67" s="2033"/>
      <c r="E67" s="3254"/>
      <c r="F67" s="2026"/>
      <c r="G67" s="2026"/>
      <c r="H67" s="2026"/>
      <c r="I67" s="2026"/>
      <c r="J67" s="2026"/>
      <c r="K67" s="1256"/>
      <c r="L67" s="3511"/>
      <c r="M67" s="2034"/>
      <c r="N67" s="2025"/>
      <c r="O67" s="2029"/>
      <c r="P67" s="3539"/>
      <c r="Q67" s="2026"/>
      <c r="R67" s="2026"/>
      <c r="S67" s="3536"/>
      <c r="T67" s="3537"/>
      <c r="U67" s="3537"/>
      <c r="V67" s="1256"/>
      <c r="W67" s="1352"/>
      <c r="X67" s="2029"/>
      <c r="Y67" s="2025"/>
      <c r="Z67" s="2079"/>
      <c r="AA67" s="2030"/>
      <c r="AB67" s="2026"/>
      <c r="AC67" s="2032"/>
      <c r="AD67" s="2032"/>
      <c r="AE67" s="2032"/>
    </row>
    <row r="68" spans="1:31" ht="9.75" customHeight="1">
      <c r="A68" s="1329"/>
      <c r="B68" s="1330"/>
      <c r="C68" s="1440"/>
      <c r="D68" s="1331"/>
      <c r="E68" s="1442"/>
      <c r="F68" s="1332"/>
      <c r="G68" s="1332"/>
      <c r="H68" s="1332"/>
      <c r="I68" s="1332"/>
      <c r="J68" s="1332"/>
      <c r="K68" s="1256"/>
      <c r="L68" s="1329"/>
      <c r="M68" s="1333"/>
      <c r="N68" s="1334"/>
      <c r="O68" s="1334"/>
      <c r="P68" s="1335"/>
      <c r="Q68" s="1322"/>
      <c r="R68" s="1333"/>
      <c r="S68" s="1333"/>
      <c r="T68" s="1333"/>
      <c r="U68" s="1336"/>
      <c r="V68" s="1256"/>
      <c r="W68" s="1329"/>
      <c r="X68" s="1337"/>
      <c r="Y68" s="1334"/>
      <c r="Z68" s="1334"/>
      <c r="AA68" s="1334"/>
      <c r="AB68" s="1329"/>
      <c r="AC68" s="1337"/>
      <c r="AD68" s="1334"/>
      <c r="AE68" s="1334"/>
    </row>
    <row r="69" spans="1:31" ht="24.75" customHeight="1" thickBot="1">
      <c r="A69" s="6045" t="s">
        <v>1522</v>
      </c>
      <c r="B69" s="6046"/>
      <c r="C69" s="6046"/>
      <c r="D69" s="6046"/>
      <c r="E69" s="6046"/>
      <c r="F69" s="6047"/>
      <c r="G69" s="1338">
        <f>SUM(G14:G68)</f>
        <v>9068064.4999999981</v>
      </c>
      <c r="H69" s="1338">
        <f>SUM(H14:H68)</f>
        <v>0</v>
      </c>
      <c r="I69" s="1338">
        <f>SUM(I14:I68)</f>
        <v>0</v>
      </c>
      <c r="J69" s="1338">
        <f>SUM(J14:J68)</f>
        <v>9068064.4999999981</v>
      </c>
      <c r="K69" s="1256"/>
      <c r="L69" s="1339" t="s">
        <v>1522</v>
      </c>
      <c r="M69" s="1340"/>
      <c r="N69" s="1340"/>
      <c r="O69" s="1340"/>
      <c r="P69" s="1340"/>
      <c r="Q69" s="1340"/>
      <c r="R69" s="1341">
        <f>SUM(R14:R68)</f>
        <v>9026746.0999999978</v>
      </c>
      <c r="S69" s="1338">
        <f>SUM(S14:S68)</f>
        <v>0</v>
      </c>
      <c r="T69" s="1338">
        <f>SUM(T14:T68)</f>
        <v>0</v>
      </c>
      <c r="U69" s="1338">
        <f>SUM(U14:U68)</f>
        <v>9026746.0999999978</v>
      </c>
      <c r="V69" s="1256"/>
      <c r="W69" s="1342" t="s">
        <v>1522</v>
      </c>
      <c r="X69" s="1343"/>
      <c r="Y69" s="1343"/>
      <c r="Z69" s="1343"/>
      <c r="AA69" s="1343"/>
      <c r="AB69" s="1341">
        <f>SUM(AB14:AB68)</f>
        <v>8988246.0999999978</v>
      </c>
      <c r="AC69" s="1338">
        <f>SUM(AC14:AC68)</f>
        <v>1348236.9149999998</v>
      </c>
      <c r="AD69" s="1338">
        <f>SUM(AD14:AD68)</f>
        <v>10336483.015000002</v>
      </c>
      <c r="AE69" s="1338">
        <f>+AE65</f>
        <v>10336483.015000002</v>
      </c>
    </row>
    <row r="70" spans="1:31">
      <c r="A70" s="1360"/>
      <c r="B70" s="1256"/>
      <c r="C70" s="1255"/>
      <c r="D70" s="1257"/>
      <c r="E70" s="1361"/>
      <c r="F70" s="1258"/>
      <c r="G70" s="1258"/>
      <c r="H70" s="1258"/>
      <c r="I70" s="1258"/>
      <c r="J70" s="1258">
        <v>7395152.9000000004</v>
      </c>
      <c r="K70" s="1256"/>
      <c r="L70" s="1360"/>
      <c r="M70" s="1360"/>
      <c r="N70" s="1362"/>
      <c r="O70" s="1362"/>
      <c r="P70" s="1362"/>
      <c r="Q70" s="1360"/>
      <c r="R70" s="1360"/>
      <c r="S70" s="1360"/>
      <c r="T70" s="1360"/>
      <c r="U70" s="1363"/>
      <c r="V70" s="1256"/>
      <c r="W70" s="1360"/>
      <c r="X70" s="1364"/>
      <c r="Y70" s="1362"/>
      <c r="Z70" s="1362"/>
      <c r="AA70" s="1362"/>
      <c r="AB70" s="1363">
        <f>+AB69-AB44</f>
        <v>8975446.0999999978</v>
      </c>
      <c r="AC70" s="1364"/>
      <c r="AD70" s="1362"/>
      <c r="AE70" s="2830">
        <f>+AE69-AD69</f>
        <v>0</v>
      </c>
    </row>
    <row r="71" spans="1:31">
      <c r="A71" s="1360"/>
      <c r="B71" s="1256"/>
      <c r="C71" s="1255"/>
      <c r="D71" s="1257"/>
      <c r="E71" s="1361"/>
      <c r="F71" s="1258"/>
      <c r="G71" s="1258"/>
      <c r="H71" s="1258"/>
      <c r="I71" s="1258"/>
      <c r="J71" s="1258">
        <f>+J70-J69</f>
        <v>-1672911.5999999978</v>
      </c>
      <c r="K71" s="1256"/>
      <c r="L71" s="1360"/>
      <c r="M71" s="1360"/>
      <c r="N71" s="1362"/>
      <c r="O71" s="1362"/>
      <c r="P71" s="1257"/>
      <c r="Q71" s="1258"/>
      <c r="R71" s="1258"/>
      <c r="S71" s="1258"/>
      <c r="T71" s="1258"/>
      <c r="U71" s="1258"/>
      <c r="V71" s="1256"/>
      <c r="W71" s="1360"/>
      <c r="X71" s="1364"/>
      <c r="Y71" s="1362"/>
      <c r="Z71" s="1362"/>
      <c r="AA71" s="1362"/>
      <c r="AB71" s="1363">
        <f>+AB69-AB56</f>
        <v>8822972.4999999981</v>
      </c>
      <c r="AC71" s="1364"/>
      <c r="AD71" s="1362"/>
      <c r="AE71" s="2830">
        <f>+AE69/1.15</f>
        <v>8988246.1000000034</v>
      </c>
    </row>
    <row r="72" spans="1:31">
      <c r="A72" s="1365"/>
      <c r="B72" s="1256"/>
      <c r="C72" s="1255"/>
      <c r="D72" s="1257"/>
      <c r="E72" s="1361"/>
      <c r="F72" s="1366"/>
      <c r="G72" s="1366"/>
      <c r="H72" s="1366"/>
      <c r="I72" s="1366"/>
      <c r="J72" s="1258"/>
      <c r="K72" s="1256"/>
      <c r="L72" s="1365"/>
      <c r="M72" s="1365">
        <f>403092.61/11085046.72</f>
        <v>3.6363636544059594E-2</v>
      </c>
      <c r="N72" s="1365"/>
      <c r="O72" s="1365"/>
      <c r="P72" s="1257"/>
      <c r="Q72" s="1366"/>
      <c r="R72" s="1366"/>
      <c r="S72" s="1366"/>
      <c r="T72" s="1366"/>
      <c r="U72" s="1366"/>
      <c r="V72" s="1256"/>
      <c r="W72" s="1365"/>
      <c r="X72" s="1365"/>
      <c r="Y72" s="1362"/>
      <c r="Z72" s="1362"/>
      <c r="AA72" s="1362"/>
      <c r="AB72" s="1365"/>
      <c r="AC72" s="1365"/>
      <c r="AD72" s="1362"/>
      <c r="AE72" s="1362"/>
    </row>
    <row r="73" spans="1:31">
      <c r="D73" s="1257"/>
      <c r="E73" s="153">
        <v>44197</v>
      </c>
      <c r="F73" s="1366"/>
      <c r="P73" s="1257"/>
      <c r="Q73" s="1366"/>
      <c r="R73" s="1366"/>
      <c r="S73" s="1366"/>
      <c r="T73" s="1366"/>
      <c r="U73" s="1366"/>
      <c r="Z73" s="153">
        <v>44094</v>
      </c>
      <c r="AB73" s="1367">
        <f>+AB69-J69</f>
        <v>-79818.400000000373</v>
      </c>
    </row>
    <row r="74" spans="1:31">
      <c r="D74" s="1257"/>
      <c r="E74" s="153">
        <f>E73-45</f>
        <v>44152</v>
      </c>
      <c r="F74" s="1366"/>
      <c r="J74" s="1367">
        <f>-J60+J59</f>
        <v>145792.79999999999</v>
      </c>
      <c r="P74" s="1257"/>
      <c r="Q74" s="1366"/>
      <c r="R74" s="1366"/>
      <c r="S74" s="1366"/>
      <c r="T74" s="1366"/>
      <c r="U74" s="1366"/>
      <c r="Z74" s="153">
        <f>Z73-45</f>
        <v>44049</v>
      </c>
    </row>
    <row r="75" spans="1:31">
      <c r="D75" s="1257"/>
      <c r="F75" s="1366"/>
      <c r="H75" s="153">
        <v>43986</v>
      </c>
      <c r="R75" s="652"/>
      <c r="S75" s="652"/>
      <c r="T75" s="652"/>
      <c r="U75" s="652"/>
    </row>
  </sheetData>
  <mergeCells count="4">
    <mergeCell ref="A10:J10"/>
    <mergeCell ref="L10:U10"/>
    <mergeCell ref="W10:AE10"/>
    <mergeCell ref="A69:F69"/>
  </mergeCells>
  <phoneticPr fontId="347" type="noConversion"/>
  <printOptions horizontalCentered="1"/>
  <pageMargins left="0.25" right="0.25" top="0.75" bottom="0.75" header="0.3" footer="0.3"/>
  <pageSetup paperSize="8" scale="65" fitToHeight="2" orientation="landscape" r:id="rId1"/>
  <headerFooter>
    <oddHeader>&amp;C&amp;"Calibri,Bold"&amp;18MONTHLY REPORT - INVOICE &amp; PAYMENT TRACKING LOG (DAE - ARCHITECT)</oddHeader>
    <oddFooter>&amp;L1TB.01.003.01 - AYC 
MARCH'26 REPORT&amp;C&amp;A&amp;RPage &amp;P of &amp;N</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CB84F-F03C-4155-9DDE-23983899C5B2}">
  <sheetPr codeName="Sheet20">
    <tabColor theme="7" tint="0.39997558519241921"/>
    <pageSetUpPr fitToPage="1"/>
  </sheetPr>
  <dimension ref="A1:AE43"/>
  <sheetViews>
    <sheetView showGridLines="0" view="pageBreakPreview" zoomScale="80" zoomScaleNormal="100" zoomScaleSheetLayoutView="80" workbookViewId="0">
      <selection activeCell="C43" sqref="C43"/>
    </sheetView>
  </sheetViews>
  <sheetFormatPr defaultColWidth="9" defaultRowHeight="12.75"/>
  <cols>
    <col min="1" max="1" width="10.85546875" customWidth="1"/>
    <col min="2" max="2" width="10.42578125" customWidth="1"/>
    <col min="3" max="3" width="9.5703125" bestFit="1" customWidth="1"/>
    <col min="4" max="4" width="12.85546875" customWidth="1"/>
    <col min="5" max="5" width="9.85546875" bestFit="1" customWidth="1"/>
    <col min="6" max="6" width="11.85546875" bestFit="1" customWidth="1"/>
    <col min="7" max="7" width="18.42578125" bestFit="1" customWidth="1"/>
    <col min="8" max="8" width="8.5703125" bestFit="1" customWidth="1"/>
    <col min="9" max="9" width="9" bestFit="1" customWidth="1"/>
    <col min="10" max="10" width="13.85546875" customWidth="1"/>
    <col min="11" max="11" width="0.85546875" customWidth="1"/>
    <col min="12" max="12" width="6" customWidth="1"/>
    <col min="13" max="13" width="12.85546875" customWidth="1"/>
    <col min="14" max="15" width="9" customWidth="1"/>
    <col min="16" max="16" width="7.85546875" customWidth="1"/>
    <col min="17" max="17" width="12" bestFit="1" customWidth="1"/>
    <col min="18" max="18" width="13.85546875" bestFit="1" customWidth="1"/>
    <col min="19" max="19" width="8.5703125" bestFit="1" customWidth="1"/>
    <col min="20" max="20" width="9" bestFit="1" customWidth="1"/>
    <col min="21" max="21" width="13.5703125" bestFit="1" customWidth="1"/>
    <col min="22" max="22" width="0.85546875" customWidth="1"/>
    <col min="23" max="23" width="12.5703125" customWidth="1"/>
    <col min="24" max="25" width="9" bestFit="1" customWidth="1"/>
    <col min="26" max="26" width="10" customWidth="1"/>
    <col min="27" max="27" width="7" customWidth="1"/>
    <col min="28" max="28" width="16.42578125" bestFit="1" customWidth="1"/>
    <col min="29" max="29" width="13.5703125" customWidth="1"/>
    <col min="30" max="31" width="14" customWidth="1"/>
  </cols>
  <sheetData>
    <row r="1" spans="1:31">
      <c r="A1" s="1255"/>
      <c r="B1" s="1256"/>
      <c r="C1" s="1255"/>
      <c r="D1" s="1257"/>
      <c r="E1" s="1257"/>
      <c r="F1" s="1258"/>
      <c r="G1" s="1258"/>
      <c r="H1" s="1258"/>
      <c r="I1" s="1258"/>
      <c r="J1" s="1258"/>
      <c r="K1" s="1257"/>
      <c r="L1" s="1255"/>
      <c r="M1" s="1255"/>
      <c r="N1" s="1255"/>
      <c r="O1" s="1255"/>
      <c r="P1" s="1255"/>
      <c r="Q1" s="1255"/>
      <c r="R1" s="1255"/>
      <c r="S1" s="1255"/>
      <c r="T1" s="1255"/>
      <c r="U1" s="1259"/>
      <c r="V1" s="1257"/>
      <c r="W1" s="1257"/>
      <c r="X1" s="1257"/>
      <c r="Y1" s="1257"/>
      <c r="Z1" s="1257"/>
      <c r="AA1" s="1257"/>
      <c r="AB1" s="1257"/>
      <c r="AC1" s="1257"/>
      <c r="AD1" s="1257"/>
      <c r="AE1" s="1257"/>
    </row>
    <row r="2" spans="1:31">
      <c r="A2" s="9" t="str">
        <f>'Data Input'!A1&amp;" - "&amp;'Data Input'!B1</f>
        <v>PROGRAMME: - MARINA VILLAGE (PROGRAMME 1_TRIPLE BAY)</v>
      </c>
      <c r="B2" s="1256"/>
      <c r="C2" s="1255"/>
      <c r="D2" s="1257"/>
      <c r="E2" s="1257"/>
      <c r="F2" s="1258"/>
      <c r="G2" s="1258"/>
      <c r="H2" s="1258"/>
      <c r="I2" s="1258"/>
      <c r="J2" s="1258"/>
      <c r="K2" s="1257"/>
      <c r="L2" s="1255"/>
      <c r="M2" s="1255"/>
      <c r="N2" s="1255"/>
      <c r="O2" s="1255"/>
      <c r="P2" s="1255"/>
      <c r="Q2" s="1255"/>
      <c r="R2" s="1255"/>
      <c r="S2" s="1255"/>
      <c r="T2" s="1255"/>
      <c r="U2" s="1259"/>
      <c r="V2" s="1257"/>
      <c r="W2" s="1257"/>
      <c r="X2" s="1257"/>
      <c r="Y2" s="1257"/>
      <c r="Z2" s="1257"/>
      <c r="AA2" s="1257"/>
      <c r="AB2" s="1257"/>
      <c r="AC2" s="1257"/>
      <c r="AD2" s="1257"/>
      <c r="AE2" s="1257"/>
    </row>
    <row r="3" spans="1:31">
      <c r="A3" s="9" t="str">
        <f>'Data Input'!A2&amp;" - "&amp;'Data Input'!B2</f>
        <v>PROGRAMME CODE: - 1TB01003</v>
      </c>
      <c r="B3" s="1260"/>
      <c r="C3" s="1261"/>
      <c r="D3" s="1262"/>
      <c r="E3" s="1262"/>
      <c r="F3" s="1263"/>
      <c r="G3" s="1263"/>
      <c r="H3" s="1263"/>
      <c r="I3" s="1263"/>
      <c r="J3" s="1264"/>
      <c r="K3" s="1265"/>
      <c r="L3" s="1265"/>
      <c r="M3" s="1265"/>
      <c r="N3" s="1265"/>
      <c r="O3" s="1266"/>
      <c r="P3" s="1265"/>
      <c r="Q3" s="1265"/>
      <c r="R3" s="1265"/>
      <c r="S3" s="1265"/>
      <c r="T3" s="1265"/>
      <c r="U3" s="1267"/>
      <c r="V3" s="1265"/>
      <c r="W3" s="1265"/>
      <c r="X3" s="1265"/>
      <c r="Y3" s="1265"/>
      <c r="Z3" s="1265"/>
      <c r="AA3" s="1265"/>
      <c r="AB3" s="1265"/>
      <c r="AC3" s="1265"/>
      <c r="AD3" s="1265"/>
      <c r="AE3" s="1265"/>
    </row>
    <row r="4" spans="1:31">
      <c r="A4" s="9" t="str">
        <f>'Data Input'!A3&amp;" - "&amp;'Data Input'!B3</f>
        <v>ASSET NAME: - AMAALA YACHT CLUB</v>
      </c>
      <c r="B4" s="1260"/>
      <c r="C4" s="1268"/>
      <c r="D4" s="1265"/>
      <c r="E4" s="1265"/>
      <c r="F4" s="1267"/>
      <c r="G4" s="1267"/>
      <c r="H4" s="1267"/>
      <c r="I4" s="1267"/>
      <c r="J4" s="1269"/>
      <c r="K4" s="1265"/>
      <c r="L4" s="1265"/>
      <c r="M4" s="1265"/>
      <c r="N4" s="1265"/>
      <c r="O4" s="1266"/>
      <c r="P4" s="1265"/>
      <c r="Q4" s="1265"/>
      <c r="R4" s="1265"/>
      <c r="S4" s="1265"/>
      <c r="T4" s="1265"/>
      <c r="U4" s="1267"/>
      <c r="V4" s="1265"/>
      <c r="W4" s="1265"/>
      <c r="X4" s="1265"/>
      <c r="Y4" s="1265"/>
      <c r="Z4" s="1265"/>
      <c r="AA4" s="1265"/>
      <c r="AB4" s="1265"/>
      <c r="AC4" s="1265"/>
      <c r="AD4" s="1265"/>
      <c r="AE4" s="1265"/>
    </row>
    <row r="5" spans="1:31">
      <c r="A5" s="9" t="str">
        <f>'Data Input'!A4&amp;" - "&amp;'Data Input'!B4</f>
        <v>ASSET CODE: - 1TB01003.01</v>
      </c>
      <c r="B5" s="1270"/>
      <c r="C5" s="1268"/>
      <c r="D5" s="1265"/>
      <c r="E5" s="1265"/>
      <c r="F5" s="1267"/>
      <c r="G5" s="1267"/>
      <c r="H5" s="1267"/>
      <c r="I5" s="1267"/>
      <c r="J5" s="1269"/>
      <c r="K5" s="1265"/>
      <c r="L5" s="1265"/>
      <c r="M5" s="1265"/>
      <c r="N5" s="1265"/>
      <c r="O5" s="1266"/>
      <c r="P5" s="1265"/>
      <c r="Q5" s="1265"/>
      <c r="R5" s="1271"/>
      <c r="S5" s="1265"/>
      <c r="T5" s="1265"/>
      <c r="U5" s="1267"/>
      <c r="V5" s="1265"/>
      <c r="W5" s="1265"/>
      <c r="X5" s="1265"/>
      <c r="Y5" s="1265"/>
      <c r="Z5" s="1265"/>
      <c r="AA5" s="1265"/>
      <c r="AB5" s="1265"/>
      <c r="AC5" s="1265"/>
      <c r="AD5" s="1265"/>
      <c r="AE5" s="1265"/>
    </row>
    <row r="6" spans="1:31">
      <c r="A6" s="9" t="str">
        <f>'Data Input'!A7&amp;" - "&amp;'Data Input'!B7</f>
        <v>REPORT NO: - MONTHLY REPORT NO. 49</v>
      </c>
      <c r="B6" s="1272"/>
      <c r="C6" s="1268"/>
      <c r="D6" s="1265"/>
      <c r="E6" s="1265"/>
      <c r="F6" s="1267"/>
      <c r="G6" s="1267"/>
      <c r="H6" s="1267"/>
      <c r="I6" s="1267"/>
      <c r="J6" s="1269"/>
      <c r="K6" s="1265"/>
      <c r="L6" s="1265"/>
      <c r="M6" s="1265"/>
      <c r="N6" s="1265"/>
      <c r="O6" s="1266"/>
      <c r="P6" s="1265"/>
      <c r="Q6" s="1265"/>
      <c r="R6" s="1273"/>
      <c r="S6" s="1265"/>
      <c r="T6" s="1271"/>
      <c r="U6" s="1267"/>
      <c r="V6" s="1265"/>
      <c r="W6" s="1265"/>
      <c r="X6" s="1265"/>
      <c r="Y6" s="1265"/>
      <c r="Z6" s="1265"/>
      <c r="AA6" s="1265"/>
      <c r="AB6" s="1265"/>
      <c r="AC6" s="1265"/>
      <c r="AD6" s="1265"/>
      <c r="AE6" s="1265"/>
    </row>
    <row r="7" spans="1:31">
      <c r="A7" s="9" t="str">
        <f>'Data Input'!A8&amp;" - "&amp;'Data Input'!B8</f>
        <v>REPORTING PERIOD: - OCTOBER 2026</v>
      </c>
      <c r="B7" s="1262"/>
      <c r="C7" s="1274"/>
      <c r="D7" s="1262"/>
      <c r="E7" s="1262"/>
      <c r="F7" s="1263"/>
      <c r="G7" s="1263"/>
      <c r="H7" s="1263"/>
      <c r="I7" s="1263"/>
      <c r="J7" s="1264"/>
      <c r="K7" s="1265"/>
      <c r="L7" s="1265"/>
      <c r="M7" s="1265"/>
      <c r="N7" s="1265"/>
      <c r="O7" s="1265"/>
      <c r="P7" s="1265"/>
      <c r="Q7" s="1267"/>
      <c r="R7" s="1263"/>
      <c r="S7" s="1263"/>
      <c r="T7" s="1263"/>
      <c r="U7" s="1267"/>
      <c r="V7" s="1265"/>
      <c r="W7" s="1265"/>
      <c r="X7" s="1265"/>
      <c r="Y7" s="1265"/>
      <c r="Z7" s="1265"/>
      <c r="AA7" s="1265"/>
      <c r="AB7" s="1265"/>
      <c r="AC7" s="1265"/>
      <c r="AD7" s="1265"/>
      <c r="AE7" s="1265"/>
    </row>
    <row r="8" spans="1:31" ht="13.5" thickBot="1">
      <c r="A8" s="9"/>
      <c r="B8" s="1256"/>
      <c r="C8" s="1255"/>
      <c r="D8" s="1257"/>
      <c r="E8" s="1257"/>
      <c r="F8" s="1258"/>
      <c r="G8" s="1258"/>
      <c r="H8" s="1258"/>
      <c r="I8" s="1258"/>
      <c r="J8" s="1258"/>
      <c r="K8" s="1257"/>
      <c r="L8" s="1255"/>
      <c r="M8" s="1255"/>
      <c r="N8" s="1275"/>
      <c r="O8" s="1276"/>
      <c r="P8" s="1255"/>
      <c r="Q8" s="1255"/>
      <c r="R8" s="1255"/>
      <c r="S8" s="1255"/>
      <c r="T8" s="1255"/>
      <c r="U8" s="1259"/>
      <c r="V8" s="1257"/>
      <c r="W8" s="1257"/>
      <c r="X8" s="1257"/>
      <c r="Y8" s="1257"/>
      <c r="Z8" s="1257"/>
      <c r="AA8" s="1257"/>
      <c r="AB8" s="1257"/>
      <c r="AC8" s="1257"/>
      <c r="AD8" s="1257"/>
      <c r="AE8" s="1257"/>
    </row>
    <row r="9" spans="1:31" ht="30" customHeight="1" thickBot="1">
      <c r="A9" s="1354" t="str">
        <f>'Schedule B'!A18&amp;" - "&amp;'Schedule B'!C18</f>
        <v>PS.003D02 - HKS Architects Ltd - Design Competition Fees 2200010</v>
      </c>
      <c r="B9" s="1355"/>
      <c r="C9" s="1355"/>
      <c r="D9" s="1356"/>
      <c r="E9" s="1356"/>
      <c r="F9" s="1357"/>
      <c r="G9" s="1357"/>
      <c r="H9" s="1357"/>
      <c r="I9" s="1357"/>
      <c r="J9" s="1357"/>
      <c r="K9" s="1356"/>
      <c r="L9" s="1355"/>
      <c r="M9" s="1355"/>
      <c r="N9" s="1355"/>
      <c r="O9" s="1355"/>
      <c r="P9" s="1355"/>
      <c r="Q9" s="1355"/>
      <c r="R9" s="1355"/>
      <c r="S9" s="1355"/>
      <c r="T9" s="1355"/>
      <c r="U9" s="1358"/>
      <c r="V9" s="1356"/>
      <c r="W9" s="1356"/>
      <c r="X9" s="1356"/>
      <c r="Y9" s="1356"/>
      <c r="Z9" s="1356"/>
      <c r="AA9" s="1356"/>
      <c r="AB9" s="1356"/>
      <c r="AC9" s="1356"/>
      <c r="AD9" s="1356"/>
      <c r="AE9" s="1359"/>
    </row>
    <row r="10" spans="1:31">
      <c r="A10" s="6051" t="s">
        <v>1524</v>
      </c>
      <c r="B10" s="6052"/>
      <c r="C10" s="6052"/>
      <c r="D10" s="6052"/>
      <c r="E10" s="6052"/>
      <c r="F10" s="6052"/>
      <c r="G10" s="6053"/>
      <c r="H10" s="6053"/>
      <c r="I10" s="6053"/>
      <c r="J10" s="6054"/>
      <c r="K10" s="1256"/>
      <c r="L10" s="6055" t="s">
        <v>1525</v>
      </c>
      <c r="M10" s="6056"/>
      <c r="N10" s="6056"/>
      <c r="O10" s="6056"/>
      <c r="P10" s="6056"/>
      <c r="Q10" s="6056"/>
      <c r="R10" s="6057"/>
      <c r="S10" s="6057"/>
      <c r="T10" s="6057"/>
      <c r="U10" s="6058"/>
      <c r="V10" s="1256"/>
      <c r="W10" s="6043" t="s">
        <v>1526</v>
      </c>
      <c r="X10" s="6044"/>
      <c r="Y10" s="6044"/>
      <c r="Z10" s="6044"/>
      <c r="AA10" s="6044"/>
      <c r="AB10" s="6044"/>
      <c r="AC10" s="6044"/>
      <c r="AD10" s="6044"/>
      <c r="AE10" s="6059"/>
    </row>
    <row r="11" spans="1:31" ht="60" customHeight="1">
      <c r="A11" s="1283" t="s">
        <v>1462</v>
      </c>
      <c r="B11" s="1284" t="s">
        <v>1527</v>
      </c>
      <c r="C11" s="1284" t="s">
        <v>1528</v>
      </c>
      <c r="D11" s="1285" t="s">
        <v>1744</v>
      </c>
      <c r="E11" s="1285" t="s">
        <v>1530</v>
      </c>
      <c r="F11" s="1286" t="s">
        <v>1531</v>
      </c>
      <c r="G11" s="1287" t="s">
        <v>1532</v>
      </c>
      <c r="H11" s="1287" t="s">
        <v>1533</v>
      </c>
      <c r="I11" s="1287" t="s">
        <v>1534</v>
      </c>
      <c r="J11" s="1288" t="s">
        <v>1535</v>
      </c>
      <c r="K11" s="1289"/>
      <c r="L11" s="763" t="s">
        <v>1536</v>
      </c>
      <c r="M11" s="1290" t="s">
        <v>1601</v>
      </c>
      <c r="N11" s="1290" t="s">
        <v>1530</v>
      </c>
      <c r="O11" s="1290" t="s">
        <v>1602</v>
      </c>
      <c r="P11" s="764" t="s">
        <v>1539</v>
      </c>
      <c r="Q11" s="1291" t="s">
        <v>1540</v>
      </c>
      <c r="R11" s="1292" t="s">
        <v>1541</v>
      </c>
      <c r="S11" s="1292" t="s">
        <v>1533</v>
      </c>
      <c r="T11" s="1292" t="s">
        <v>1534</v>
      </c>
      <c r="U11" s="1293" t="s">
        <v>1542</v>
      </c>
      <c r="V11" s="1256"/>
      <c r="W11" s="1294" t="s">
        <v>1543</v>
      </c>
      <c r="X11" s="1295" t="s">
        <v>1544</v>
      </c>
      <c r="Y11" s="1296" t="s">
        <v>1545</v>
      </c>
      <c r="Z11" s="1296" t="s">
        <v>1603</v>
      </c>
      <c r="AA11" s="769" t="s">
        <v>1539</v>
      </c>
      <c r="AB11" s="769" t="s">
        <v>1547</v>
      </c>
      <c r="AC11" s="769" t="s">
        <v>2528</v>
      </c>
      <c r="AD11" s="1296" t="s">
        <v>1549</v>
      </c>
      <c r="AE11" s="1297" t="s">
        <v>1550</v>
      </c>
    </row>
    <row r="12" spans="1:31" ht="17.25" customHeight="1">
      <c r="A12" s="1298"/>
      <c r="B12" s="1299"/>
      <c r="C12" s="1300"/>
      <c r="D12" s="1301"/>
      <c r="E12" s="1302" t="s">
        <v>296</v>
      </c>
      <c r="F12" s="1303" t="s">
        <v>434</v>
      </c>
      <c r="G12" s="1303" t="s">
        <v>434</v>
      </c>
      <c r="H12" s="1304">
        <v>0</v>
      </c>
      <c r="I12" s="1304">
        <v>0</v>
      </c>
      <c r="J12" s="1305" t="s">
        <v>434</v>
      </c>
      <c r="K12" s="1256"/>
      <c r="L12" s="765"/>
      <c r="M12" s="766"/>
      <c r="N12" s="1306" t="s">
        <v>296</v>
      </c>
      <c r="O12" s="766" t="s">
        <v>1551</v>
      </c>
      <c r="P12" s="1307" t="s">
        <v>1552</v>
      </c>
      <c r="Q12" s="767" t="s">
        <v>434</v>
      </c>
      <c r="R12" s="767" t="s">
        <v>434</v>
      </c>
      <c r="S12" s="1308">
        <v>0</v>
      </c>
      <c r="T12" s="1308">
        <v>0</v>
      </c>
      <c r="U12" s="768" t="s">
        <v>434</v>
      </c>
      <c r="V12" s="1256"/>
      <c r="W12" s="770"/>
      <c r="X12" s="1309" t="s">
        <v>296</v>
      </c>
      <c r="Y12" s="1309" t="s">
        <v>296</v>
      </c>
      <c r="Z12" s="1309" t="s">
        <v>1553</v>
      </c>
      <c r="AA12" s="1310" t="s">
        <v>1552</v>
      </c>
      <c r="AB12" s="1311"/>
      <c r="AC12" s="1312">
        <v>-0.05</v>
      </c>
      <c r="AD12" s="1309" t="s">
        <v>296</v>
      </c>
      <c r="AE12" s="1313" t="s">
        <v>296</v>
      </c>
    </row>
    <row r="13" spans="1:31" s="722" customFormat="1" ht="12.75" customHeight="1">
      <c r="A13" s="1314"/>
      <c r="B13" s="1314"/>
      <c r="C13" s="1314"/>
      <c r="D13" s="1314"/>
      <c r="E13" s="1314" t="s">
        <v>1481</v>
      </c>
      <c r="F13" s="1314"/>
      <c r="G13" s="1314"/>
      <c r="H13" s="1314"/>
      <c r="I13" s="1314"/>
      <c r="J13" s="1314"/>
      <c r="K13" s="1255"/>
      <c r="L13" s="1315"/>
      <c r="M13" s="1315"/>
      <c r="N13" s="1316" t="s">
        <v>1482</v>
      </c>
      <c r="O13" s="1314" t="s">
        <v>1604</v>
      </c>
      <c r="P13" s="1317" t="s">
        <v>1555</v>
      </c>
      <c r="Q13" s="1318" t="s">
        <v>1556</v>
      </c>
      <c r="R13" s="1318" t="s">
        <v>1557</v>
      </c>
      <c r="S13" s="1319" t="s">
        <v>1605</v>
      </c>
      <c r="T13" s="1319" t="s">
        <v>1606</v>
      </c>
      <c r="U13" s="1318" t="s">
        <v>1560</v>
      </c>
      <c r="V13" s="1255"/>
      <c r="W13" s="1316"/>
      <c r="X13" s="1316"/>
      <c r="Y13" s="1316" t="s">
        <v>1561</v>
      </c>
      <c r="Z13" s="1316" t="s">
        <v>1746</v>
      </c>
      <c r="AA13" s="1317" t="s">
        <v>1563</v>
      </c>
      <c r="AB13" s="1314" t="s">
        <v>1564</v>
      </c>
      <c r="AC13" s="1319" t="s">
        <v>2533</v>
      </c>
      <c r="AD13" s="1316" t="s">
        <v>1566</v>
      </c>
      <c r="AE13" s="1316"/>
    </row>
    <row r="14" spans="1:31">
      <c r="A14" s="723">
        <v>1</v>
      </c>
      <c r="B14" s="810" t="s">
        <v>1763</v>
      </c>
      <c r="C14" s="1445"/>
      <c r="D14" s="1320"/>
      <c r="E14" s="1440"/>
      <c r="F14" s="1322">
        <v>555960</v>
      </c>
      <c r="G14" s="1444">
        <f>F14</f>
        <v>555960</v>
      </c>
      <c r="H14" s="1444">
        <f>(G14*$H$12)*-1</f>
        <v>0</v>
      </c>
      <c r="I14" s="1444">
        <f>(G14*$I$12)*-1</f>
        <v>0</v>
      </c>
      <c r="J14" s="1444">
        <f>G14+H14+I14</f>
        <v>555960</v>
      </c>
      <c r="K14" s="1256"/>
      <c r="L14" s="1510">
        <v>1</v>
      </c>
      <c r="M14" s="724"/>
      <c r="N14" s="1321"/>
      <c r="O14" s="1323">
        <f>E14+14</f>
        <v>14</v>
      </c>
      <c r="P14" s="1324">
        <f>O14-N14</f>
        <v>14</v>
      </c>
      <c r="Q14" s="1322">
        <v>555960</v>
      </c>
      <c r="R14" s="1444">
        <f>Q14</f>
        <v>555960</v>
      </c>
      <c r="S14" s="1444">
        <f>(R14*$S$12)*-1</f>
        <v>0</v>
      </c>
      <c r="T14" s="1444">
        <f>(R14*$T$12)*-1</f>
        <v>0</v>
      </c>
      <c r="U14" s="1444">
        <f>R14+S14+T14</f>
        <v>555960</v>
      </c>
      <c r="V14" s="1256"/>
      <c r="W14" s="723"/>
      <c r="X14" s="1323"/>
      <c r="Y14" s="1321"/>
      <c r="Z14" s="1321"/>
      <c r="AA14" s="1324"/>
      <c r="AB14" s="1327">
        <f>U14</f>
        <v>555960</v>
      </c>
      <c r="AC14" s="1327">
        <f>(R14+T14)*$AC$12</f>
        <v>-27798</v>
      </c>
      <c r="AD14" s="1327">
        <f>AB14+AC14</f>
        <v>528162</v>
      </c>
      <c r="AE14" s="1327">
        <f>AD14+AE13</f>
        <v>528162</v>
      </c>
    </row>
    <row r="15" spans="1:31">
      <c r="A15" s="723"/>
      <c r="B15" s="810"/>
      <c r="C15" s="1445"/>
      <c r="D15" s="1320"/>
      <c r="E15" s="1440"/>
      <c r="F15" s="1322"/>
      <c r="G15" s="1444"/>
      <c r="H15" s="1444"/>
      <c r="I15" s="1444"/>
      <c r="J15" s="1444"/>
      <c r="K15" s="1256"/>
      <c r="L15" s="1510"/>
      <c r="M15" s="724"/>
      <c r="N15" s="1321"/>
      <c r="O15" s="1323"/>
      <c r="P15" s="1324"/>
      <c r="Q15" s="1322"/>
      <c r="R15" s="1444"/>
      <c r="S15" s="1444"/>
      <c r="T15" s="1444"/>
      <c r="U15" s="1444"/>
      <c r="V15" s="1256"/>
      <c r="W15" s="723"/>
      <c r="X15" s="1323"/>
      <c r="Y15" s="1321"/>
      <c r="Z15" s="1321"/>
      <c r="AA15" s="1324"/>
      <c r="AB15" s="1327"/>
      <c r="AC15" s="1327"/>
      <c r="AD15" s="1327"/>
      <c r="AE15" s="1327"/>
    </row>
    <row r="16" spans="1:31">
      <c r="A16" s="723"/>
      <c r="B16" s="810"/>
      <c r="C16" s="811"/>
      <c r="D16" s="1320"/>
      <c r="E16" s="1440"/>
      <c r="F16" s="1322"/>
      <c r="G16" s="1444"/>
      <c r="H16" s="1444"/>
      <c r="I16" s="1444"/>
      <c r="J16" s="1444"/>
      <c r="K16" s="1256"/>
      <c r="L16" s="1443"/>
      <c r="M16" s="724"/>
      <c r="N16" s="1321"/>
      <c r="O16" s="1323"/>
      <c r="P16" s="1324"/>
      <c r="Q16" s="1322"/>
      <c r="R16" s="1444"/>
      <c r="S16" s="1444"/>
      <c r="T16" s="1444"/>
      <c r="U16" s="1328"/>
      <c r="V16" s="1256"/>
      <c r="W16" s="723"/>
      <c r="X16" s="1323"/>
      <c r="Y16" s="1321"/>
      <c r="Z16" s="1321"/>
      <c r="AA16" s="1324"/>
      <c r="AB16" s="1327"/>
      <c r="AC16" s="1327"/>
      <c r="AD16" s="1327"/>
      <c r="AE16" s="1327"/>
    </row>
    <row r="17" spans="1:31">
      <c r="A17" s="723"/>
      <c r="B17" s="810"/>
      <c r="C17" s="811"/>
      <c r="D17" s="1320"/>
      <c r="E17" s="1440"/>
      <c r="F17" s="1322"/>
      <c r="G17" s="1444"/>
      <c r="H17" s="1444"/>
      <c r="I17" s="1444"/>
      <c r="J17" s="1444"/>
      <c r="K17" s="1256"/>
      <c r="L17" s="1443"/>
      <c r="M17" s="724"/>
      <c r="N17" s="1321"/>
      <c r="O17" s="1323"/>
      <c r="P17" s="1324"/>
      <c r="Q17" s="1322"/>
      <c r="R17" s="1444"/>
      <c r="S17" s="1444"/>
      <c r="T17" s="1444"/>
      <c r="U17" s="1328"/>
      <c r="V17" s="1256"/>
      <c r="W17" s="723"/>
      <c r="X17" s="1323"/>
      <c r="Y17" s="1321"/>
      <c r="Z17" s="1321"/>
      <c r="AA17" s="1324"/>
      <c r="AB17" s="1327"/>
      <c r="AC17" s="1327"/>
      <c r="AD17" s="1327"/>
      <c r="AE17" s="1327"/>
    </row>
    <row r="18" spans="1:31">
      <c r="A18" s="723"/>
      <c r="B18" s="810"/>
      <c r="C18" s="811"/>
      <c r="D18" s="1320"/>
      <c r="E18" s="1440"/>
      <c r="F18" s="1322"/>
      <c r="G18" s="1444"/>
      <c r="H18" s="1444"/>
      <c r="I18" s="1444"/>
      <c r="J18" s="1444"/>
      <c r="K18" s="1256"/>
      <c r="L18" s="1443"/>
      <c r="M18" s="724"/>
      <c r="N18" s="1321"/>
      <c r="O18" s="1323"/>
      <c r="P18" s="1324"/>
      <c r="Q18" s="1322"/>
      <c r="R18" s="1444"/>
      <c r="S18" s="1444"/>
      <c r="T18" s="1444"/>
      <c r="U18" s="1328"/>
      <c r="V18" s="1256"/>
      <c r="W18" s="723"/>
      <c r="X18" s="1323"/>
      <c r="Y18" s="1321"/>
      <c r="Z18" s="1321"/>
      <c r="AA18" s="1324"/>
      <c r="AB18" s="1327"/>
      <c r="AC18" s="1327"/>
      <c r="AD18" s="1327"/>
      <c r="AE18" s="1327"/>
    </row>
    <row r="19" spans="1:31">
      <c r="A19" s="723"/>
      <c r="B19" s="810"/>
      <c r="C19" s="811"/>
      <c r="D19" s="1320"/>
      <c r="E19" s="1440"/>
      <c r="F19" s="1322"/>
      <c r="G19" s="1444"/>
      <c r="H19" s="1444"/>
      <c r="I19" s="1444"/>
      <c r="J19" s="1444"/>
      <c r="K19" s="1256"/>
      <c r="L19" s="1443"/>
      <c r="M19" s="724"/>
      <c r="N19" s="1321"/>
      <c r="O19" s="1323"/>
      <c r="P19" s="1324"/>
      <c r="Q19" s="1322"/>
      <c r="R19" s="1444"/>
      <c r="S19" s="1444"/>
      <c r="T19" s="1444"/>
      <c r="U19" s="1328"/>
      <c r="V19" s="1256"/>
      <c r="W19" s="723"/>
      <c r="X19" s="1323"/>
      <c r="Y19" s="1321"/>
      <c r="Z19" s="1321"/>
      <c r="AA19" s="1324"/>
      <c r="AB19" s="1327"/>
      <c r="AC19" s="1327"/>
      <c r="AD19" s="1327"/>
      <c r="AE19" s="1327"/>
    </row>
    <row r="20" spans="1:31">
      <c r="A20" s="723"/>
      <c r="B20" s="810"/>
      <c r="C20" s="811"/>
      <c r="D20" s="1320"/>
      <c r="E20" s="1440"/>
      <c r="F20" s="1322"/>
      <c r="G20" s="1444"/>
      <c r="H20" s="1444"/>
      <c r="I20" s="1444"/>
      <c r="J20" s="1444"/>
      <c r="K20" s="1256"/>
      <c r="L20" s="1443"/>
      <c r="M20" s="724"/>
      <c r="N20" s="1321"/>
      <c r="O20" s="1323"/>
      <c r="P20" s="1324"/>
      <c r="Q20" s="1322"/>
      <c r="R20" s="1444"/>
      <c r="S20" s="1444"/>
      <c r="T20" s="1444"/>
      <c r="U20" s="1328"/>
      <c r="V20" s="1256"/>
      <c r="W20" s="723"/>
      <c r="X20" s="1323"/>
      <c r="Y20" s="1321"/>
      <c r="Z20" s="1321"/>
      <c r="AA20" s="1324"/>
      <c r="AB20" s="1327"/>
      <c r="AC20" s="1327"/>
      <c r="AD20" s="1327"/>
      <c r="AE20" s="1327"/>
    </row>
    <row r="21" spans="1:31">
      <c r="A21" s="723"/>
      <c r="B21" s="810"/>
      <c r="C21" s="811"/>
      <c r="D21" s="1320"/>
      <c r="E21" s="1440"/>
      <c r="F21" s="1322"/>
      <c r="G21" s="1444"/>
      <c r="H21" s="1444"/>
      <c r="I21" s="1444"/>
      <c r="J21" s="1444"/>
      <c r="K21" s="1256"/>
      <c r="L21" s="1443"/>
      <c r="M21" s="724"/>
      <c r="N21" s="1321"/>
      <c r="O21" s="1323"/>
      <c r="P21" s="1324"/>
      <c r="Q21" s="1322"/>
      <c r="R21" s="1444"/>
      <c r="S21" s="1444"/>
      <c r="T21" s="1444"/>
      <c r="U21" s="1328"/>
      <c r="V21" s="1256"/>
      <c r="W21" s="723"/>
      <c r="X21" s="1323"/>
      <c r="Y21" s="1321"/>
      <c r="Z21" s="1321"/>
      <c r="AA21" s="1324"/>
      <c r="AB21" s="1327"/>
      <c r="AC21" s="1327"/>
      <c r="AD21" s="1327"/>
      <c r="AE21" s="1327"/>
    </row>
    <row r="22" spans="1:31">
      <c r="A22" s="723"/>
      <c r="B22" s="810"/>
      <c r="C22" s="811"/>
      <c r="D22" s="1320"/>
      <c r="E22" s="1440"/>
      <c r="F22" s="1322"/>
      <c r="G22" s="1444"/>
      <c r="H22" s="1444"/>
      <c r="I22" s="1444"/>
      <c r="J22" s="1444"/>
      <c r="K22" s="1256"/>
      <c r="L22" s="1443"/>
      <c r="M22" s="724"/>
      <c r="N22" s="1321"/>
      <c r="O22" s="1323"/>
      <c r="P22" s="1324"/>
      <c r="Q22" s="1322"/>
      <c r="R22" s="1444"/>
      <c r="S22" s="1444"/>
      <c r="T22" s="1444"/>
      <c r="U22" s="1328"/>
      <c r="V22" s="1256"/>
      <c r="W22" s="723"/>
      <c r="X22" s="1323"/>
      <c r="Y22" s="1321"/>
      <c r="Z22" s="1321"/>
      <c r="AA22" s="1324"/>
      <c r="AB22" s="1327"/>
      <c r="AC22" s="1327"/>
      <c r="AD22" s="1327"/>
      <c r="AE22" s="1327"/>
    </row>
    <row r="23" spans="1:31">
      <c r="A23" s="723"/>
      <c r="B23" s="810"/>
      <c r="C23" s="811"/>
      <c r="D23" s="1320"/>
      <c r="E23" s="1440"/>
      <c r="F23" s="1322"/>
      <c r="G23" s="1444"/>
      <c r="H23" s="1444"/>
      <c r="I23" s="1444"/>
      <c r="J23" s="1444"/>
      <c r="K23" s="1256"/>
      <c r="L23" s="1443"/>
      <c r="M23" s="724"/>
      <c r="N23" s="1321"/>
      <c r="O23" s="1323"/>
      <c r="P23" s="1324"/>
      <c r="Q23" s="1322"/>
      <c r="R23" s="1444"/>
      <c r="S23" s="1444"/>
      <c r="T23" s="1444"/>
      <c r="U23" s="1328"/>
      <c r="V23" s="1256"/>
      <c r="W23" s="723"/>
      <c r="X23" s="1323"/>
      <c r="Y23" s="1321"/>
      <c r="Z23" s="1321"/>
      <c r="AA23" s="1324"/>
      <c r="AB23" s="1327"/>
      <c r="AC23" s="1327"/>
      <c r="AD23" s="1327"/>
      <c r="AE23" s="1327"/>
    </row>
    <row r="24" spans="1:31">
      <c r="A24" s="723"/>
      <c r="B24" s="810"/>
      <c r="C24" s="811"/>
      <c r="D24" s="1320"/>
      <c r="E24" s="1440"/>
      <c r="F24" s="1322"/>
      <c r="G24" s="1444"/>
      <c r="H24" s="1444"/>
      <c r="I24" s="1444"/>
      <c r="J24" s="1444"/>
      <c r="K24" s="1256"/>
      <c r="L24" s="1443"/>
      <c r="M24" s="724"/>
      <c r="N24" s="1321"/>
      <c r="O24" s="1323"/>
      <c r="P24" s="1324"/>
      <c r="Q24" s="1322"/>
      <c r="R24" s="1444"/>
      <c r="S24" s="1444"/>
      <c r="T24" s="1444"/>
      <c r="U24" s="1328"/>
      <c r="V24" s="1256"/>
      <c r="W24" s="723"/>
      <c r="X24" s="1323"/>
      <c r="Y24" s="1321"/>
      <c r="Z24" s="1321"/>
      <c r="AA24" s="1324"/>
      <c r="AB24" s="1327"/>
      <c r="AC24" s="1327"/>
      <c r="AD24" s="1327"/>
      <c r="AE24" s="1327"/>
    </row>
    <row r="25" spans="1:31">
      <c r="A25" s="723"/>
      <c r="B25" s="810"/>
      <c r="C25" s="811"/>
      <c r="D25" s="1320"/>
      <c r="E25" s="1440"/>
      <c r="F25" s="1322"/>
      <c r="G25" s="1444"/>
      <c r="H25" s="1444"/>
      <c r="I25" s="1444"/>
      <c r="J25" s="1444"/>
      <c r="K25" s="1256"/>
      <c r="L25" s="1443"/>
      <c r="M25" s="724"/>
      <c r="N25" s="1321"/>
      <c r="O25" s="1323"/>
      <c r="P25" s="1324"/>
      <c r="Q25" s="1322"/>
      <c r="R25" s="1444"/>
      <c r="S25" s="1444"/>
      <c r="T25" s="1444"/>
      <c r="U25" s="1328"/>
      <c r="V25" s="1256"/>
      <c r="W25" s="723"/>
      <c r="X25" s="1323"/>
      <c r="Y25" s="1321"/>
      <c r="Z25" s="1321"/>
      <c r="AA25" s="1324"/>
      <c r="AB25" s="1327"/>
      <c r="AC25" s="1327"/>
      <c r="AD25" s="1327"/>
      <c r="AE25" s="1327"/>
    </row>
    <row r="26" spans="1:31">
      <c r="A26" s="723"/>
      <c r="B26" s="810"/>
      <c r="C26" s="811"/>
      <c r="D26" s="1320"/>
      <c r="E26" s="1440"/>
      <c r="F26" s="1322"/>
      <c r="G26" s="1444"/>
      <c r="H26" s="1444"/>
      <c r="I26" s="1444"/>
      <c r="J26" s="1444"/>
      <c r="K26" s="1256"/>
      <c r="L26" s="1443"/>
      <c r="M26" s="724"/>
      <c r="N26" s="1321"/>
      <c r="O26" s="1323"/>
      <c r="P26" s="1324"/>
      <c r="Q26" s="1322"/>
      <c r="R26" s="1444"/>
      <c r="S26" s="1444"/>
      <c r="T26" s="1444"/>
      <c r="U26" s="1328"/>
      <c r="V26" s="1256"/>
      <c r="W26" s="723"/>
      <c r="X26" s="1323"/>
      <c r="Y26" s="1321"/>
      <c r="Z26" s="1321"/>
      <c r="AA26" s="1324"/>
      <c r="AB26" s="1327"/>
      <c r="AC26" s="1327"/>
      <c r="AD26" s="1327"/>
      <c r="AE26" s="1327"/>
    </row>
    <row r="27" spans="1:31">
      <c r="A27" s="723"/>
      <c r="B27" s="810"/>
      <c r="C27" s="811"/>
      <c r="D27" s="1320"/>
      <c r="E27" s="1440"/>
      <c r="F27" s="1322"/>
      <c r="G27" s="1444"/>
      <c r="H27" s="1444"/>
      <c r="I27" s="1444"/>
      <c r="J27" s="1444"/>
      <c r="K27" s="1256"/>
      <c r="L27" s="1443"/>
      <c r="M27" s="724"/>
      <c r="N27" s="1321"/>
      <c r="O27" s="1323"/>
      <c r="P27" s="1324"/>
      <c r="Q27" s="1322"/>
      <c r="R27" s="1444"/>
      <c r="S27" s="1444"/>
      <c r="T27" s="1444"/>
      <c r="U27" s="1328"/>
      <c r="V27" s="1256"/>
      <c r="W27" s="723"/>
      <c r="X27" s="1323"/>
      <c r="Y27" s="1321"/>
      <c r="Z27" s="1321"/>
      <c r="AA27" s="1324"/>
      <c r="AB27" s="1327"/>
      <c r="AC27" s="1327"/>
      <c r="AD27" s="1327"/>
      <c r="AE27" s="1327"/>
    </row>
    <row r="28" spans="1:31">
      <c r="A28" s="723"/>
      <c r="B28" s="810"/>
      <c r="C28" s="811"/>
      <c r="D28" s="1320"/>
      <c r="E28" s="1440"/>
      <c r="F28" s="1322"/>
      <c r="G28" s="1444"/>
      <c r="H28" s="1444"/>
      <c r="I28" s="1444"/>
      <c r="J28" s="1444"/>
      <c r="K28" s="1256"/>
      <c r="L28" s="1443"/>
      <c r="M28" s="724"/>
      <c r="N28" s="1321"/>
      <c r="O28" s="1323"/>
      <c r="P28" s="1324"/>
      <c r="Q28" s="1322"/>
      <c r="R28" s="1444"/>
      <c r="S28" s="1444"/>
      <c r="T28" s="1444"/>
      <c r="U28" s="1328"/>
      <c r="V28" s="1256"/>
      <c r="W28" s="723"/>
      <c r="X28" s="1323"/>
      <c r="Y28" s="1321"/>
      <c r="Z28" s="1321"/>
      <c r="AA28" s="1324"/>
      <c r="AB28" s="1327"/>
      <c r="AC28" s="1327"/>
      <c r="AD28" s="1327"/>
      <c r="AE28" s="1327"/>
    </row>
    <row r="29" spans="1:31">
      <c r="A29" s="723"/>
      <c r="B29" s="810"/>
      <c r="C29" s="811"/>
      <c r="D29" s="1320"/>
      <c r="E29" s="1440"/>
      <c r="F29" s="1322"/>
      <c r="G29" s="1444"/>
      <c r="H29" s="1444"/>
      <c r="I29" s="1444"/>
      <c r="J29" s="1444"/>
      <c r="K29" s="1256"/>
      <c r="L29" s="1443"/>
      <c r="M29" s="724"/>
      <c r="N29" s="1321"/>
      <c r="O29" s="1323"/>
      <c r="P29" s="1324"/>
      <c r="Q29" s="1322"/>
      <c r="R29" s="1444"/>
      <c r="S29" s="1444"/>
      <c r="T29" s="1444"/>
      <c r="U29" s="1328"/>
      <c r="V29" s="1256"/>
      <c r="W29" s="723"/>
      <c r="X29" s="1323"/>
      <c r="Y29" s="1321"/>
      <c r="Z29" s="1321"/>
      <c r="AA29" s="1324"/>
      <c r="AB29" s="1327"/>
      <c r="AC29" s="1327"/>
      <c r="AD29" s="1327"/>
      <c r="AE29" s="1327"/>
    </row>
    <row r="30" spans="1:31">
      <c r="A30" s="723"/>
      <c r="B30" s="810"/>
      <c r="C30" s="811"/>
      <c r="D30" s="1320"/>
      <c r="E30" s="1440"/>
      <c r="F30" s="1322"/>
      <c r="G30" s="1444"/>
      <c r="H30" s="1444"/>
      <c r="I30" s="1444"/>
      <c r="J30" s="1444"/>
      <c r="K30" s="1256"/>
      <c r="L30" s="1443"/>
      <c r="M30" s="724"/>
      <c r="N30" s="1321"/>
      <c r="O30" s="1323"/>
      <c r="P30" s="1324"/>
      <c r="Q30" s="1322"/>
      <c r="R30" s="1444"/>
      <c r="S30" s="1444"/>
      <c r="T30" s="1444"/>
      <c r="U30" s="1328"/>
      <c r="V30" s="1256"/>
      <c r="W30" s="723"/>
      <c r="X30" s="1323"/>
      <c r="Y30" s="1321"/>
      <c r="Z30" s="1321"/>
      <c r="AA30" s="1324"/>
      <c r="AB30" s="1327"/>
      <c r="AC30" s="1327"/>
      <c r="AD30" s="1327"/>
      <c r="AE30" s="1327"/>
    </row>
    <row r="31" spans="1:31">
      <c r="A31" s="723"/>
      <c r="B31" s="810"/>
      <c r="C31" s="811"/>
      <c r="D31" s="1320"/>
      <c r="E31" s="1440"/>
      <c r="F31" s="1322"/>
      <c r="G31" s="1444"/>
      <c r="H31" s="1444"/>
      <c r="I31" s="1444"/>
      <c r="J31" s="1444"/>
      <c r="K31" s="1256"/>
      <c r="L31" s="1443"/>
      <c r="M31" s="724"/>
      <c r="N31" s="1321"/>
      <c r="O31" s="1323"/>
      <c r="P31" s="1324"/>
      <c r="Q31" s="1322"/>
      <c r="R31" s="1444"/>
      <c r="S31" s="1444"/>
      <c r="T31" s="1444"/>
      <c r="U31" s="1328"/>
      <c r="V31" s="1256"/>
      <c r="W31" s="723"/>
      <c r="X31" s="1323"/>
      <c r="Y31" s="1321"/>
      <c r="Z31" s="1321"/>
      <c r="AA31" s="1324"/>
      <c r="AB31" s="1327"/>
      <c r="AC31" s="1327"/>
      <c r="AD31" s="1327"/>
      <c r="AE31" s="1327"/>
    </row>
    <row r="32" spans="1:31">
      <c r="A32" s="723"/>
      <c r="B32" s="810"/>
      <c r="C32" s="811"/>
      <c r="D32" s="1320"/>
      <c r="E32" s="1440"/>
      <c r="F32" s="1322"/>
      <c r="G32" s="1444"/>
      <c r="H32" s="1444"/>
      <c r="I32" s="1444"/>
      <c r="J32" s="1444"/>
      <c r="K32" s="1256"/>
      <c r="L32" s="1443"/>
      <c r="M32" s="724"/>
      <c r="N32" s="1321"/>
      <c r="O32" s="1323"/>
      <c r="P32" s="1324"/>
      <c r="Q32" s="1322"/>
      <c r="R32" s="1444"/>
      <c r="S32" s="1444"/>
      <c r="T32" s="1444"/>
      <c r="U32" s="1328"/>
      <c r="V32" s="1256"/>
      <c r="W32" s="723"/>
      <c r="X32" s="1323"/>
      <c r="Y32" s="1321"/>
      <c r="Z32" s="1321"/>
      <c r="AA32" s="1324"/>
      <c r="AB32" s="1327"/>
      <c r="AC32" s="1327"/>
      <c r="AD32" s="1327"/>
      <c r="AE32" s="1327"/>
    </row>
    <row r="33" spans="1:31">
      <c r="A33" s="723"/>
      <c r="B33" s="810"/>
      <c r="C33" s="1445"/>
      <c r="D33" s="1320"/>
      <c r="E33" s="1440"/>
      <c r="F33" s="1322"/>
      <c r="G33" s="1322"/>
      <c r="H33" s="1322"/>
      <c r="I33" s="1322"/>
      <c r="J33" s="1322"/>
      <c r="K33" s="1256"/>
      <c r="L33" s="1443"/>
      <c r="M33" s="724"/>
      <c r="N33" s="1321"/>
      <c r="O33" s="1323"/>
      <c r="P33" s="1324"/>
      <c r="Q33" s="1322"/>
      <c r="R33" s="1444"/>
      <c r="S33" s="1444"/>
      <c r="T33" s="1444"/>
      <c r="U33" s="1328"/>
      <c r="V33" s="1256"/>
      <c r="W33" s="723"/>
      <c r="X33" s="1323"/>
      <c r="Y33" s="1321"/>
      <c r="Z33" s="1321"/>
      <c r="AA33" s="1324"/>
      <c r="AB33" s="1327"/>
      <c r="AC33" s="1327"/>
      <c r="AD33" s="1327"/>
      <c r="AE33" s="1327"/>
    </row>
    <row r="34" spans="1:31">
      <c r="A34" s="723"/>
      <c r="B34" s="810"/>
      <c r="C34" s="1445"/>
      <c r="D34" s="1320"/>
      <c r="E34" s="1440"/>
      <c r="F34" s="1322"/>
      <c r="G34" s="1322"/>
      <c r="H34" s="1322"/>
      <c r="I34" s="1322"/>
      <c r="J34" s="1322"/>
      <c r="K34" s="1256"/>
      <c r="L34" s="1443"/>
      <c r="M34" s="724"/>
      <c r="N34" s="1321"/>
      <c r="O34" s="1323"/>
      <c r="P34" s="1324"/>
      <c r="Q34" s="1322"/>
      <c r="R34" s="1444"/>
      <c r="S34" s="1444"/>
      <c r="T34" s="1444"/>
      <c r="U34" s="1328"/>
      <c r="V34" s="1256"/>
      <c r="W34" s="723"/>
      <c r="X34" s="1323"/>
      <c r="Y34" s="1321"/>
      <c r="Z34" s="1321"/>
      <c r="AA34" s="1324"/>
      <c r="AB34" s="1327"/>
      <c r="AC34" s="1327"/>
      <c r="AD34" s="1327"/>
      <c r="AE34" s="1327"/>
    </row>
    <row r="35" spans="1:31">
      <c r="A35" s="723"/>
      <c r="B35" s="810"/>
      <c r="C35" s="1445"/>
      <c r="D35" s="1320"/>
      <c r="E35" s="1441"/>
      <c r="F35" s="1322"/>
      <c r="G35" s="1322"/>
      <c r="H35" s="1322"/>
      <c r="I35" s="1322"/>
      <c r="J35" s="1322"/>
      <c r="K35" s="1256"/>
      <c r="L35" s="1443"/>
      <c r="M35" s="724"/>
      <c r="N35" s="1321"/>
      <c r="O35" s="1323"/>
      <c r="P35" s="1324"/>
      <c r="Q35" s="1322"/>
      <c r="R35" s="1444"/>
      <c r="S35" s="1444"/>
      <c r="T35" s="1444"/>
      <c r="U35" s="1328"/>
      <c r="V35" s="1256"/>
      <c r="W35" s="723"/>
      <c r="X35" s="1323"/>
      <c r="Y35" s="1321"/>
      <c r="Z35" s="1321"/>
      <c r="AA35" s="1324"/>
      <c r="AB35" s="1327"/>
      <c r="AC35" s="1327"/>
      <c r="AD35" s="1327"/>
      <c r="AE35" s="1327"/>
    </row>
    <row r="36" spans="1:31">
      <c r="A36" s="1329"/>
      <c r="B36" s="1330"/>
      <c r="C36" s="1440"/>
      <c r="D36" s="1331"/>
      <c r="E36" s="1442"/>
      <c r="F36" s="1332"/>
      <c r="G36" s="1332"/>
      <c r="H36" s="1332"/>
      <c r="I36" s="1332"/>
      <c r="J36" s="1332"/>
      <c r="K36" s="1256"/>
      <c r="L36" s="1329"/>
      <c r="M36" s="1333"/>
      <c r="N36" s="1334"/>
      <c r="O36" s="1334"/>
      <c r="P36" s="1335"/>
      <c r="Q36" s="1322"/>
      <c r="R36" s="1333"/>
      <c r="S36" s="1333"/>
      <c r="T36" s="1333"/>
      <c r="U36" s="1336"/>
      <c r="V36" s="1256"/>
      <c r="W36" s="1329"/>
      <c r="X36" s="1337"/>
      <c r="Y36" s="1334"/>
      <c r="Z36" s="1334"/>
      <c r="AA36" s="1334"/>
      <c r="AB36" s="1329"/>
      <c r="AC36" s="1337"/>
      <c r="AD36" s="1334"/>
      <c r="AE36" s="1334"/>
    </row>
    <row r="37" spans="1:31" ht="24.75" customHeight="1" collapsed="1" thickBot="1">
      <c r="A37" s="6045" t="s">
        <v>1522</v>
      </c>
      <c r="B37" s="6046"/>
      <c r="C37" s="6046"/>
      <c r="D37" s="6046"/>
      <c r="E37" s="6046"/>
      <c r="F37" s="6047"/>
      <c r="G37" s="1338">
        <f>SUM(G14:G36)</f>
        <v>555960</v>
      </c>
      <c r="H37" s="1338">
        <f>SUM(H14:H36)</f>
        <v>0</v>
      </c>
      <c r="I37" s="1338">
        <f>SUM(I14:I36)</f>
        <v>0</v>
      </c>
      <c r="J37" s="1338">
        <f>SUM(J14:J36)</f>
        <v>555960</v>
      </c>
      <c r="K37" s="1256"/>
      <c r="L37" s="1339" t="s">
        <v>1522</v>
      </c>
      <c r="M37" s="1340"/>
      <c r="N37" s="1340"/>
      <c r="O37" s="1340"/>
      <c r="P37" s="1340"/>
      <c r="Q37" s="1340"/>
      <c r="R37" s="1341">
        <f>SUM(R14:R36)</f>
        <v>555960</v>
      </c>
      <c r="S37" s="1338">
        <f>SUM(S14:S36)</f>
        <v>0</v>
      </c>
      <c r="T37" s="1338">
        <f>SUM(T14:T36)</f>
        <v>0</v>
      </c>
      <c r="U37" s="1338">
        <f>SUM(U14:U36)</f>
        <v>555960</v>
      </c>
      <c r="V37" s="1256"/>
      <c r="W37" s="1342" t="s">
        <v>1522</v>
      </c>
      <c r="X37" s="1343"/>
      <c r="Y37" s="1343"/>
      <c r="Z37" s="1343"/>
      <c r="AA37" s="1343"/>
      <c r="AB37" s="1341">
        <f>SUM(AB14:AB36)</f>
        <v>555960</v>
      </c>
      <c r="AC37" s="1338">
        <f>SUM(AC14:AC36)</f>
        <v>-27798</v>
      </c>
      <c r="AD37" s="1338">
        <f>SUM(AD14:AD36)</f>
        <v>528162</v>
      </c>
      <c r="AE37" s="1338">
        <f>+AE14</f>
        <v>528162</v>
      </c>
    </row>
    <row r="38" spans="1:31">
      <c r="A38" s="1360"/>
      <c r="B38" s="1256"/>
      <c r="C38" s="1255"/>
      <c r="D38" s="1257"/>
      <c r="E38" s="1361"/>
      <c r="F38" s="1258"/>
      <c r="G38" s="1258"/>
      <c r="H38" s="1258"/>
      <c r="I38" s="1258"/>
      <c r="J38" s="1258"/>
      <c r="K38" s="1256"/>
      <c r="L38" s="1360"/>
      <c r="M38" s="1360"/>
      <c r="N38" s="1362"/>
      <c r="O38" s="1362"/>
      <c r="P38" s="1362"/>
      <c r="Q38" s="1360"/>
      <c r="R38" s="1360"/>
      <c r="S38" s="1360"/>
      <c r="T38" s="1360"/>
      <c r="U38" s="1363"/>
      <c r="V38" s="1256"/>
      <c r="W38" s="1360"/>
      <c r="X38" s="1364"/>
      <c r="Y38" s="1362"/>
      <c r="Z38" s="1362"/>
      <c r="AA38" s="1362"/>
      <c r="AB38" s="1360"/>
      <c r="AC38" s="1364"/>
      <c r="AD38" s="1362"/>
      <c r="AE38" s="1362"/>
    </row>
    <row r="39" spans="1:31">
      <c r="A39" s="1360"/>
      <c r="B39" s="1256"/>
      <c r="C39" s="1255"/>
      <c r="D39" s="1257"/>
      <c r="E39" s="1361"/>
      <c r="F39" s="1258"/>
      <c r="G39" s="1258"/>
      <c r="H39" s="1258"/>
      <c r="I39" s="1258"/>
      <c r="J39" s="1258">
        <f>+J37+'Schedule H HKS 2'!J37</f>
        <v>11357388.459999999</v>
      </c>
      <c r="K39" s="1256"/>
      <c r="L39" s="1360"/>
      <c r="M39" s="1360"/>
      <c r="N39" s="1362"/>
      <c r="O39" s="1362"/>
      <c r="P39" s="1257"/>
      <c r="Q39" s="1258"/>
      <c r="R39" s="1258"/>
      <c r="S39" s="1258"/>
      <c r="T39" s="1258"/>
      <c r="U39" s="1258"/>
      <c r="V39" s="1256"/>
      <c r="W39" s="1360"/>
      <c r="X39" s="1364"/>
      <c r="Y39" s="1362"/>
      <c r="Z39" s="1362"/>
      <c r="AA39" s="1362"/>
      <c r="AB39" s="1360"/>
      <c r="AC39" s="1364"/>
      <c r="AD39" s="1362"/>
      <c r="AE39" s="1362"/>
    </row>
    <row r="40" spans="1:31">
      <c r="A40" s="1365"/>
      <c r="B40" s="1256"/>
      <c r="C40" s="1255"/>
      <c r="D40" s="1257"/>
      <c r="E40" s="1361"/>
      <c r="F40" s="1366"/>
      <c r="G40" s="1366"/>
      <c r="H40" s="1366"/>
      <c r="I40" s="1366"/>
      <c r="J40" s="1258"/>
      <c r="K40" s="1256"/>
      <c r="L40" s="1365"/>
      <c r="M40" s="1365">
        <f>403092.61/11085046.72</f>
        <v>3.6363636544059594E-2</v>
      </c>
      <c r="N40" s="1365"/>
      <c r="O40" s="1365"/>
      <c r="P40" s="1257"/>
      <c r="Q40" s="1366"/>
      <c r="R40" s="1366"/>
      <c r="S40" s="1366"/>
      <c r="T40" s="1366"/>
      <c r="U40" s="1366"/>
      <c r="V40" s="1256"/>
      <c r="W40" s="1365"/>
      <c r="X40" s="1365"/>
      <c r="Y40" s="1362"/>
      <c r="Z40" s="1362"/>
      <c r="AA40" s="1362"/>
      <c r="AB40" s="1365"/>
      <c r="AC40" s="1365"/>
      <c r="AD40" s="1362"/>
      <c r="AE40" s="1362"/>
    </row>
    <row r="41" spans="1:31">
      <c r="D41" s="1257"/>
      <c r="E41" s="153">
        <v>44197</v>
      </c>
      <c r="F41" s="1366"/>
      <c r="P41" s="1257"/>
      <c r="Q41" s="1366"/>
      <c r="R41" s="1366"/>
      <c r="S41" s="1366"/>
      <c r="T41" s="1366"/>
      <c r="U41" s="1366"/>
      <c r="Z41" s="153">
        <v>44094</v>
      </c>
      <c r="AB41" s="1367"/>
    </row>
    <row r="42" spans="1:31">
      <c r="D42" s="1257"/>
      <c r="E42" s="153">
        <f>E41-45</f>
        <v>44152</v>
      </c>
      <c r="F42" s="1366"/>
      <c r="P42" s="1257"/>
      <c r="Q42" s="1366"/>
      <c r="R42" s="1366"/>
      <c r="S42" s="1366"/>
      <c r="T42" s="1366"/>
      <c r="U42" s="1366"/>
      <c r="Z42" s="153">
        <f>Z41-45</f>
        <v>44049</v>
      </c>
    </row>
    <row r="43" spans="1:31">
      <c r="D43" s="1257"/>
      <c r="F43" s="1366"/>
      <c r="H43" s="153">
        <v>43986</v>
      </c>
      <c r="R43" s="652"/>
      <c r="S43" s="652"/>
      <c r="T43" s="652"/>
      <c r="U43" s="652"/>
    </row>
  </sheetData>
  <mergeCells count="4">
    <mergeCell ref="A10:J10"/>
    <mergeCell ref="L10:U10"/>
    <mergeCell ref="W10:AE10"/>
    <mergeCell ref="A37:F37"/>
  </mergeCells>
  <printOptions horizontalCentered="1"/>
  <pageMargins left="0.25" right="0.25" top="0.75" bottom="0.75" header="0.3" footer="0.3"/>
  <pageSetup paperSize="8" scale="70" fitToHeight="2" orientation="landscape" r:id="rId1"/>
  <headerFooter>
    <oddHeader>&amp;C&amp;"Calibri,Bold"&amp;18MONTHLY REPORT - INVOICE &amp; PAYMENT TRACKING LOG (HKS - DESING ARCH)</oddHeader>
    <oddFooter>&amp;L1TB.01.003.01 - AYC 
MARCH'26 REPORT&amp;C&amp;A&amp;RPage &amp;P of &amp;N</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5ABB6-DFFD-4A05-A45A-7ED87DC78E1D}">
  <sheetPr codeName="Sheet21">
    <tabColor theme="7" tint="0.39997558519241921"/>
    <pageSetUpPr fitToPage="1"/>
  </sheetPr>
  <dimension ref="A1:AG43"/>
  <sheetViews>
    <sheetView showGridLines="0" view="pageBreakPreview" zoomScaleNormal="100" zoomScaleSheetLayoutView="100" workbookViewId="0">
      <selection activeCell="C43" sqref="C43"/>
    </sheetView>
  </sheetViews>
  <sheetFormatPr defaultColWidth="9" defaultRowHeight="12.75"/>
  <cols>
    <col min="1" max="1" width="10.85546875" customWidth="1"/>
    <col min="2" max="2" width="10.42578125" customWidth="1"/>
    <col min="3" max="3" width="9.5703125" bestFit="1" customWidth="1"/>
    <col min="4" max="4" width="10.85546875" bestFit="1" customWidth="1"/>
    <col min="5" max="5" width="9.85546875" bestFit="1" customWidth="1"/>
    <col min="6" max="6" width="13" bestFit="1" customWidth="1"/>
    <col min="7" max="7" width="12.85546875" bestFit="1" customWidth="1"/>
    <col min="8" max="8" width="8.5703125" bestFit="1" customWidth="1"/>
    <col min="9" max="9" width="9" bestFit="1" customWidth="1"/>
    <col min="10" max="10" width="13.85546875" customWidth="1"/>
    <col min="11" max="11" width="0.85546875" customWidth="1"/>
    <col min="12" max="12" width="6" customWidth="1"/>
    <col min="13" max="13" width="11.5703125" customWidth="1"/>
    <col min="14" max="15" width="9" customWidth="1"/>
    <col min="16" max="16" width="7.85546875" customWidth="1"/>
    <col min="17" max="17" width="13.85546875" customWidth="1"/>
    <col min="18" max="18" width="15.5703125" customWidth="1"/>
    <col min="19" max="19" width="8.5703125" bestFit="1" customWidth="1"/>
    <col min="20" max="20" width="9" bestFit="1" customWidth="1"/>
    <col min="21" max="21" width="14.5703125" customWidth="1"/>
    <col min="22" max="22" width="0.85546875" customWidth="1"/>
    <col min="23" max="23" width="14" bestFit="1" customWidth="1"/>
    <col min="24" max="24" width="9" bestFit="1" customWidth="1"/>
    <col min="25" max="25" width="9.5703125" bestFit="1" customWidth="1"/>
    <col min="26" max="26" width="10" customWidth="1"/>
    <col min="27" max="27" width="7" customWidth="1"/>
    <col min="28" max="28" width="13" bestFit="1" customWidth="1"/>
    <col min="29" max="29" width="13.5703125" customWidth="1"/>
    <col min="30" max="31" width="14" customWidth="1"/>
    <col min="32" max="32" width="11.85546875" customWidth="1"/>
    <col min="33" max="33" width="11" customWidth="1"/>
  </cols>
  <sheetData>
    <row r="1" spans="1:31">
      <c r="A1" s="1255"/>
      <c r="B1" s="1256"/>
      <c r="C1" s="1255"/>
      <c r="D1" s="1257"/>
      <c r="E1" s="1257"/>
      <c r="F1" s="1258"/>
      <c r="G1" s="1258"/>
      <c r="H1" s="1258"/>
      <c r="I1" s="1258"/>
      <c r="J1" s="1258"/>
      <c r="K1" s="1257"/>
      <c r="L1" s="1255"/>
      <c r="M1" s="1255"/>
      <c r="N1" s="1255"/>
      <c r="O1" s="1255"/>
      <c r="P1" s="1255"/>
      <c r="Q1" s="1255"/>
      <c r="R1" s="1255"/>
      <c r="S1" s="1255"/>
      <c r="T1" s="1255"/>
      <c r="U1" s="1259"/>
      <c r="V1" s="1257"/>
      <c r="W1" s="1257"/>
      <c r="X1" s="1257"/>
      <c r="Y1" s="1257"/>
      <c r="Z1" s="1257"/>
      <c r="AA1" s="1257"/>
      <c r="AB1" s="1257"/>
      <c r="AC1" s="1257"/>
      <c r="AD1" s="1257"/>
      <c r="AE1" s="1257"/>
    </row>
    <row r="2" spans="1:31">
      <c r="A2" s="9" t="str">
        <f>'Data Input'!A1&amp;" - "&amp;'Data Input'!B1</f>
        <v>PROGRAMME: - MARINA VILLAGE (PROGRAMME 1_TRIPLE BAY)</v>
      </c>
      <c r="B2" s="1256"/>
      <c r="C2" s="1255"/>
      <c r="D2" s="1257"/>
      <c r="E2" s="1257"/>
      <c r="F2" s="1258"/>
      <c r="G2" s="1258"/>
      <c r="H2" s="1258"/>
      <c r="I2" s="1258"/>
      <c r="J2" s="1258"/>
      <c r="K2" s="1257"/>
      <c r="L2" s="1255"/>
      <c r="M2" s="1255"/>
      <c r="N2" s="1255"/>
      <c r="O2" s="1255"/>
      <c r="P2" s="1255"/>
      <c r="Q2" s="1255"/>
      <c r="R2" s="1255"/>
      <c r="S2" s="1255"/>
      <c r="T2" s="1255"/>
      <c r="U2" s="1259"/>
      <c r="V2" s="1257"/>
      <c r="W2" s="1257"/>
      <c r="X2" s="1257"/>
      <c r="Y2" s="1257"/>
      <c r="Z2" s="1257"/>
      <c r="AA2" s="1257"/>
      <c r="AB2" s="1257"/>
      <c r="AC2" s="1257"/>
      <c r="AD2" s="1257"/>
      <c r="AE2" s="1257"/>
    </row>
    <row r="3" spans="1:31">
      <c r="A3" s="9" t="str">
        <f>'Data Input'!A2&amp;" - "&amp;'Data Input'!B2</f>
        <v>PROGRAMME CODE: - 1TB01003</v>
      </c>
      <c r="B3" s="1260"/>
      <c r="C3" s="1261"/>
      <c r="D3" s="1262"/>
      <c r="E3" s="1262"/>
      <c r="F3" s="1263"/>
      <c r="G3" s="1263"/>
      <c r="H3" s="1263"/>
      <c r="I3" s="1263"/>
      <c r="J3" s="1264"/>
      <c r="K3" s="1265"/>
      <c r="L3" s="1265"/>
      <c r="M3" s="1265"/>
      <c r="N3" s="1265"/>
      <c r="O3" s="1266"/>
      <c r="P3" s="1265"/>
      <c r="Q3" s="1265"/>
      <c r="R3" s="1265"/>
      <c r="S3" s="1265"/>
      <c r="T3" s="1265"/>
      <c r="U3" s="1267"/>
      <c r="V3" s="1265"/>
      <c r="W3" s="1265"/>
      <c r="X3" s="1265"/>
      <c r="Y3" s="1265"/>
      <c r="Z3" s="1265"/>
      <c r="AA3" s="1265"/>
      <c r="AB3" s="1265"/>
      <c r="AC3" s="1265"/>
      <c r="AD3" s="1265"/>
      <c r="AE3" s="1265"/>
    </row>
    <row r="4" spans="1:31">
      <c r="A4" s="9" t="str">
        <f>'Data Input'!A3&amp;" - "&amp;'Data Input'!B3</f>
        <v>ASSET NAME: - AMAALA YACHT CLUB</v>
      </c>
      <c r="B4" s="1260"/>
      <c r="C4" s="1268"/>
      <c r="D4" s="1265"/>
      <c r="E4" s="1265"/>
      <c r="F4" s="1267"/>
      <c r="G4" s="1267"/>
      <c r="H4" s="1267"/>
      <c r="I4" s="1267"/>
      <c r="J4" s="1269"/>
      <c r="K4" s="1265"/>
      <c r="L4" s="1265"/>
      <c r="M4" s="1265"/>
      <c r="N4" s="1265"/>
      <c r="O4" s="1266"/>
      <c r="P4" s="1265"/>
      <c r="Q4" s="1265"/>
      <c r="R4" s="1265"/>
      <c r="S4" s="1265"/>
      <c r="T4" s="1265"/>
      <c r="U4" s="1267"/>
      <c r="V4" s="1265"/>
      <c r="W4" s="1265"/>
      <c r="X4" s="1265"/>
      <c r="Y4" s="1265"/>
      <c r="Z4" s="1265"/>
      <c r="AA4" s="1265"/>
      <c r="AB4" s="1265"/>
      <c r="AC4" s="1265"/>
      <c r="AD4" s="1265"/>
      <c r="AE4" s="1265"/>
    </row>
    <row r="5" spans="1:31">
      <c r="A5" s="9" t="str">
        <f>'Data Input'!A4&amp;" - "&amp;'Data Input'!B4</f>
        <v>ASSET CODE: - 1TB01003.01</v>
      </c>
      <c r="B5" s="1270"/>
      <c r="C5" s="1268"/>
      <c r="D5" s="1265"/>
      <c r="E5" s="1265"/>
      <c r="F5" s="1267"/>
      <c r="G5" s="1267"/>
      <c r="H5" s="1267"/>
      <c r="I5" s="1267"/>
      <c r="J5" s="1269"/>
      <c r="K5" s="1265"/>
      <c r="L5" s="1265"/>
      <c r="M5" s="1265"/>
      <c r="N5" s="1265"/>
      <c r="O5" s="1266"/>
      <c r="P5" s="1265"/>
      <c r="Q5" s="1265"/>
      <c r="R5" s="1271"/>
      <c r="S5" s="1265"/>
      <c r="T5" s="1265"/>
      <c r="U5" s="1267"/>
      <c r="V5" s="1265"/>
      <c r="W5" s="1265"/>
      <c r="X5" s="1265"/>
      <c r="Y5" s="1265"/>
      <c r="Z5" s="1265"/>
      <c r="AA5" s="1265"/>
      <c r="AB5" s="1265"/>
      <c r="AC5" s="1265"/>
      <c r="AD5" s="1265"/>
      <c r="AE5" s="1265"/>
    </row>
    <row r="6" spans="1:31">
      <c r="A6" s="9" t="str">
        <f>'Data Input'!A7&amp;" - "&amp;'Data Input'!B7</f>
        <v>REPORT NO: - MONTHLY REPORT NO. 49</v>
      </c>
      <c r="B6" s="1272"/>
      <c r="C6" s="1268"/>
      <c r="D6" s="1265"/>
      <c r="E6" s="1265"/>
      <c r="F6" s="1267"/>
      <c r="G6" s="1267"/>
      <c r="H6" s="1267"/>
      <c r="I6" s="1267"/>
      <c r="J6" s="1269"/>
      <c r="K6" s="1265"/>
      <c r="L6" s="1265"/>
      <c r="M6" s="1265"/>
      <c r="N6" s="1265"/>
      <c r="O6" s="1266"/>
      <c r="P6" s="1265"/>
      <c r="Q6" s="1265"/>
      <c r="R6" s="1273"/>
      <c r="S6" s="1265"/>
      <c r="T6" s="1271"/>
      <c r="U6" s="1267"/>
      <c r="V6" s="1265"/>
      <c r="W6" s="1265"/>
      <c r="X6" s="1265"/>
      <c r="Y6" s="1265"/>
      <c r="Z6" s="1265"/>
      <c r="AA6" s="1265"/>
      <c r="AB6" s="1265"/>
      <c r="AC6" s="1265"/>
      <c r="AD6" s="1265"/>
      <c r="AE6" s="1265"/>
    </row>
    <row r="7" spans="1:31">
      <c r="A7" s="9" t="str">
        <f>'Data Input'!A8&amp;" - "&amp;'Data Input'!B8</f>
        <v>REPORTING PERIOD: - OCTOBER 2026</v>
      </c>
      <c r="B7" s="1262"/>
      <c r="C7" s="1274"/>
      <c r="D7" s="1262"/>
      <c r="E7" s="1262"/>
      <c r="F7" s="1263"/>
      <c r="G7" s="1263"/>
      <c r="H7" s="1263"/>
      <c r="I7" s="1263"/>
      <c r="J7" s="1264"/>
      <c r="K7" s="1265"/>
      <c r="L7" s="1265"/>
      <c r="M7" s="1265"/>
      <c r="N7" s="1265"/>
      <c r="O7" s="1265"/>
      <c r="P7" s="1265"/>
      <c r="Q7" s="1267"/>
      <c r="R7" s="1263"/>
      <c r="S7" s="1263"/>
      <c r="T7" s="1263"/>
      <c r="U7" s="1267"/>
      <c r="V7" s="1265"/>
      <c r="W7" s="1265"/>
      <c r="X7" s="1265"/>
      <c r="Y7" s="1265"/>
      <c r="Z7" s="1265"/>
      <c r="AA7" s="1265"/>
      <c r="AB7" s="1265"/>
      <c r="AC7" s="1265"/>
      <c r="AD7" s="1265"/>
      <c r="AE7" s="1265"/>
    </row>
    <row r="8" spans="1:31" ht="13.5" thickBot="1">
      <c r="A8" s="9"/>
      <c r="B8" s="1256"/>
      <c r="C8" s="1255"/>
      <c r="D8" s="1257"/>
      <c r="E8" s="1257"/>
      <c r="F8" s="1258"/>
      <c r="G8" s="1258"/>
      <c r="H8" s="1258"/>
      <c r="I8" s="1258"/>
      <c r="J8" s="1258"/>
      <c r="K8" s="1257"/>
      <c r="L8" s="1255"/>
      <c r="M8" s="1255"/>
      <c r="N8" s="1275"/>
      <c r="O8" s="1276"/>
      <c r="P8" s="1255"/>
      <c r="Q8" s="1255"/>
      <c r="R8" s="1255"/>
      <c r="S8" s="1255"/>
      <c r="T8" s="1255"/>
      <c r="U8" s="1259"/>
      <c r="V8" s="1257"/>
      <c r="W8" s="1257"/>
      <c r="X8" s="1257"/>
      <c r="Y8" s="1257"/>
      <c r="Z8" s="1257"/>
      <c r="AA8" s="1257"/>
      <c r="AB8" s="1257"/>
      <c r="AC8" s="1257"/>
      <c r="AD8" s="1257"/>
      <c r="AE8" s="1257"/>
    </row>
    <row r="9" spans="1:31" ht="30" customHeight="1" thickBot="1">
      <c r="A9" s="1354" t="str">
        <f>'Schedule B'!A19&amp;" - "&amp;'Schedule B'!C19</f>
        <v>PS.003D03 - HKS Architects Ltd - Design Architect Fees 2200375</v>
      </c>
      <c r="B9" s="1355"/>
      <c r="C9" s="1355"/>
      <c r="D9" s="1356"/>
      <c r="E9" s="1356"/>
      <c r="F9" s="1357"/>
      <c r="G9" s="1357"/>
      <c r="H9" s="1357"/>
      <c r="I9" s="1357"/>
      <c r="J9" s="1357"/>
      <c r="K9" s="1356"/>
      <c r="L9" s="1355"/>
      <c r="M9" s="1355"/>
      <c r="N9" s="1355"/>
      <c r="O9" s="1355"/>
      <c r="P9" s="1355"/>
      <c r="Q9" s="1355"/>
      <c r="R9" s="1355"/>
      <c r="S9" s="1355"/>
      <c r="T9" s="1355"/>
      <c r="U9" s="1358"/>
      <c r="V9" s="1356"/>
      <c r="W9" s="1356"/>
      <c r="X9" s="1356"/>
      <c r="Y9" s="1356"/>
      <c r="Z9" s="1356"/>
      <c r="AA9" s="1356"/>
      <c r="AB9" s="1356"/>
      <c r="AC9" s="1356"/>
      <c r="AD9" s="1356"/>
      <c r="AE9" s="1359"/>
    </row>
    <row r="10" spans="1:31">
      <c r="A10" s="6051" t="s">
        <v>1524</v>
      </c>
      <c r="B10" s="6052"/>
      <c r="C10" s="6052"/>
      <c r="D10" s="6052"/>
      <c r="E10" s="6052"/>
      <c r="F10" s="6052"/>
      <c r="G10" s="6053"/>
      <c r="H10" s="6053"/>
      <c r="I10" s="6053"/>
      <c r="J10" s="6054"/>
      <c r="K10" s="1256"/>
      <c r="L10" s="6055" t="s">
        <v>1525</v>
      </c>
      <c r="M10" s="6056"/>
      <c r="N10" s="6056"/>
      <c r="O10" s="6056"/>
      <c r="P10" s="6056"/>
      <c r="Q10" s="6056"/>
      <c r="R10" s="6057"/>
      <c r="S10" s="6057"/>
      <c r="T10" s="6057"/>
      <c r="U10" s="6058"/>
      <c r="V10" s="1256"/>
      <c r="W10" s="6043" t="s">
        <v>1526</v>
      </c>
      <c r="X10" s="6044"/>
      <c r="Y10" s="6044"/>
      <c r="Z10" s="6044"/>
      <c r="AA10" s="6044"/>
      <c r="AB10" s="6044"/>
      <c r="AC10" s="6044"/>
      <c r="AD10" s="6044"/>
      <c r="AE10" s="6059"/>
    </row>
    <row r="11" spans="1:31" ht="60" customHeight="1">
      <c r="A11" s="1283" t="s">
        <v>1462</v>
      </c>
      <c r="B11" s="1284" t="s">
        <v>1527</v>
      </c>
      <c r="C11" s="1284" t="s">
        <v>1528</v>
      </c>
      <c r="D11" s="1285" t="s">
        <v>1744</v>
      </c>
      <c r="E11" s="1285" t="s">
        <v>1530</v>
      </c>
      <c r="F11" s="1286" t="s">
        <v>1531</v>
      </c>
      <c r="G11" s="1287" t="s">
        <v>1532</v>
      </c>
      <c r="H11" s="1287" t="s">
        <v>1533</v>
      </c>
      <c r="I11" s="1287" t="s">
        <v>1534</v>
      </c>
      <c r="J11" s="1288" t="s">
        <v>1535</v>
      </c>
      <c r="K11" s="1289"/>
      <c r="L11" s="763" t="s">
        <v>1536</v>
      </c>
      <c r="M11" s="1290" t="s">
        <v>1601</v>
      </c>
      <c r="N11" s="1290" t="s">
        <v>1530</v>
      </c>
      <c r="O11" s="1290" t="s">
        <v>1602</v>
      </c>
      <c r="P11" s="764" t="s">
        <v>1539</v>
      </c>
      <c r="Q11" s="1291" t="s">
        <v>1540</v>
      </c>
      <c r="R11" s="1292" t="s">
        <v>1541</v>
      </c>
      <c r="S11" s="1292" t="s">
        <v>1533</v>
      </c>
      <c r="T11" s="1292" t="s">
        <v>1534</v>
      </c>
      <c r="U11" s="1293" t="s">
        <v>1542</v>
      </c>
      <c r="V11" s="1256"/>
      <c r="W11" s="1294" t="s">
        <v>1543</v>
      </c>
      <c r="X11" s="1295" t="s">
        <v>1544</v>
      </c>
      <c r="Y11" s="1296" t="s">
        <v>1545</v>
      </c>
      <c r="Z11" s="1296" t="s">
        <v>1761</v>
      </c>
      <c r="AA11" s="769" t="s">
        <v>1539</v>
      </c>
      <c r="AB11" s="769" t="s">
        <v>1547</v>
      </c>
      <c r="AC11" s="769" t="s">
        <v>2528</v>
      </c>
      <c r="AD11" s="1296" t="s">
        <v>1549</v>
      </c>
      <c r="AE11" s="1297" t="s">
        <v>1550</v>
      </c>
    </row>
    <row r="12" spans="1:31" ht="17.25" customHeight="1">
      <c r="A12" s="1298"/>
      <c r="B12" s="1299"/>
      <c r="C12" s="1300"/>
      <c r="D12" s="1301"/>
      <c r="E12" s="1302" t="s">
        <v>296</v>
      </c>
      <c r="F12" s="1303" t="s">
        <v>434</v>
      </c>
      <c r="G12" s="1303" t="s">
        <v>434</v>
      </c>
      <c r="H12" s="1304">
        <v>0</v>
      </c>
      <c r="I12" s="1304">
        <v>0</v>
      </c>
      <c r="J12" s="1305" t="s">
        <v>434</v>
      </c>
      <c r="K12" s="1256"/>
      <c r="L12" s="765"/>
      <c r="M12" s="766"/>
      <c r="N12" s="1306" t="s">
        <v>296</v>
      </c>
      <c r="O12" s="766" t="s">
        <v>1551</v>
      </c>
      <c r="P12" s="1307" t="s">
        <v>1552</v>
      </c>
      <c r="Q12" s="767" t="s">
        <v>434</v>
      </c>
      <c r="R12" s="767" t="s">
        <v>434</v>
      </c>
      <c r="S12" s="1308">
        <v>0</v>
      </c>
      <c r="T12" s="1308">
        <v>0</v>
      </c>
      <c r="U12" s="768" t="s">
        <v>434</v>
      </c>
      <c r="V12" s="1256"/>
      <c r="W12" s="770"/>
      <c r="X12" s="1309" t="s">
        <v>296</v>
      </c>
      <c r="Y12" s="1309" t="s">
        <v>296</v>
      </c>
      <c r="Z12" s="1309" t="s">
        <v>1553</v>
      </c>
      <c r="AA12" s="1310" t="s">
        <v>1552</v>
      </c>
      <c r="AB12" s="1311"/>
      <c r="AC12" s="1312">
        <v>-0.05</v>
      </c>
      <c r="AD12" s="1309" t="s">
        <v>296</v>
      </c>
      <c r="AE12" s="1313" t="s">
        <v>296</v>
      </c>
    </row>
    <row r="13" spans="1:31" s="722" customFormat="1" ht="12.75" customHeight="1">
      <c r="A13" s="1314"/>
      <c r="B13" s="1314"/>
      <c r="C13" s="1314"/>
      <c r="D13" s="1314"/>
      <c r="E13" s="1314" t="s">
        <v>1481</v>
      </c>
      <c r="F13" s="1314"/>
      <c r="G13" s="1314"/>
      <c r="H13" s="1314"/>
      <c r="I13" s="1314"/>
      <c r="J13" s="1314"/>
      <c r="K13" s="1255"/>
      <c r="L13" s="1315"/>
      <c r="M13" s="1315"/>
      <c r="N13" s="1316" t="s">
        <v>1482</v>
      </c>
      <c r="O13" s="1314" t="s">
        <v>1604</v>
      </c>
      <c r="P13" s="1317" t="s">
        <v>1555</v>
      </c>
      <c r="Q13" s="1318" t="s">
        <v>1556</v>
      </c>
      <c r="R13" s="1318" t="s">
        <v>1557</v>
      </c>
      <c r="S13" s="1319" t="s">
        <v>1605</v>
      </c>
      <c r="T13" s="1319" t="s">
        <v>1606</v>
      </c>
      <c r="U13" s="1318" t="s">
        <v>1560</v>
      </c>
      <c r="V13" s="1255"/>
      <c r="W13" s="1316"/>
      <c r="X13" s="1316"/>
      <c r="Y13" s="1316" t="s">
        <v>1561</v>
      </c>
      <c r="Z13" s="1316" t="s">
        <v>1746</v>
      </c>
      <c r="AA13" s="1317" t="s">
        <v>1563</v>
      </c>
      <c r="AB13" s="1314" t="s">
        <v>1564</v>
      </c>
      <c r="AC13" s="1319" t="s">
        <v>2533</v>
      </c>
      <c r="AD13" s="1316" t="s">
        <v>1566</v>
      </c>
      <c r="AE13" s="1316"/>
    </row>
    <row r="14" spans="1:31">
      <c r="A14" s="723">
        <v>1</v>
      </c>
      <c r="B14" s="810" t="s">
        <v>1763</v>
      </c>
      <c r="C14" s="1445"/>
      <c r="D14" s="1320"/>
      <c r="E14" s="1440"/>
      <c r="F14" s="1322">
        <v>1089120.3799999999</v>
      </c>
      <c r="G14" s="1444">
        <f>F14</f>
        <v>1089120.3799999999</v>
      </c>
      <c r="H14" s="1444">
        <f t="shared" ref="H14:H24" si="0">(G14*$H$12)*-1</f>
        <v>0</v>
      </c>
      <c r="I14" s="1444">
        <f t="shared" ref="I14:I24" si="1">(G14*$I$12)*-1</f>
        <v>0</v>
      </c>
      <c r="J14" s="1444">
        <f t="shared" ref="J14:J24" si="2">G14+H14+I14</f>
        <v>1089120.3799999999</v>
      </c>
      <c r="K14" s="1256"/>
      <c r="L14" s="1510">
        <v>1</v>
      </c>
      <c r="M14" s="724"/>
      <c r="N14" s="1321"/>
      <c r="O14" s="1323">
        <f t="shared" ref="O14:O25" si="3">E14+14</f>
        <v>14</v>
      </c>
      <c r="P14" s="1324">
        <f t="shared" ref="P14:P25" si="4">O14-N14</f>
        <v>14</v>
      </c>
      <c r="Q14" s="1322">
        <v>1089120.3799999999</v>
      </c>
      <c r="R14" s="1444">
        <f>Q14</f>
        <v>1089120.3799999999</v>
      </c>
      <c r="S14" s="1444">
        <f t="shared" ref="S14:S24" si="5">(R14*$S$12)*-1</f>
        <v>0</v>
      </c>
      <c r="T14" s="1444">
        <f t="shared" ref="T14:T24" si="6">(R14*$T$12)*-1</f>
        <v>0</v>
      </c>
      <c r="U14" s="1444">
        <f t="shared" ref="U14:U24" si="7">R14+S14+T14</f>
        <v>1089120.3799999999</v>
      </c>
      <c r="V14" s="1256"/>
      <c r="W14" s="723"/>
      <c r="X14" s="1323"/>
      <c r="Y14" s="1321"/>
      <c r="Z14" s="1321"/>
      <c r="AA14" s="1324"/>
      <c r="AB14" s="1327">
        <f>U14</f>
        <v>1089120.3799999999</v>
      </c>
      <c r="AC14" s="1327">
        <f t="shared" ref="AC14:AC24" si="8">(R14+T14)*$AC$12</f>
        <v>-54456.019</v>
      </c>
      <c r="AD14" s="1327">
        <f t="shared" ref="AD14:AD24" si="9">AB14+AC14</f>
        <v>1034664.3609999999</v>
      </c>
      <c r="AE14" s="1327">
        <f t="shared" ref="AE14:AE25" si="10">AD14+AE13</f>
        <v>1034664.3609999999</v>
      </c>
    </row>
    <row r="15" spans="1:31">
      <c r="A15" s="723">
        <v>2</v>
      </c>
      <c r="B15" s="810" t="s">
        <v>1764</v>
      </c>
      <c r="C15" s="1445"/>
      <c r="D15" s="1320"/>
      <c r="E15" s="1440"/>
      <c r="F15" s="1322">
        <v>2326915.38</v>
      </c>
      <c r="G15" s="1444">
        <f t="shared" ref="G15:G24" si="11">F15-F14</f>
        <v>1237795</v>
      </c>
      <c r="H15" s="1444">
        <f t="shared" si="0"/>
        <v>0</v>
      </c>
      <c r="I15" s="1444">
        <f t="shared" si="1"/>
        <v>0</v>
      </c>
      <c r="J15" s="1444">
        <f t="shared" si="2"/>
        <v>1237795</v>
      </c>
      <c r="K15" s="1256"/>
      <c r="L15" s="1510">
        <v>2</v>
      </c>
      <c r="M15" s="724"/>
      <c r="N15" s="1321"/>
      <c r="O15" s="1323">
        <f t="shared" si="3"/>
        <v>14</v>
      </c>
      <c r="P15" s="1324">
        <f t="shared" si="4"/>
        <v>14</v>
      </c>
      <c r="Q15" s="1322">
        <v>2326915.38</v>
      </c>
      <c r="R15" s="1444">
        <f t="shared" ref="R15:R24" si="12">Q15-Q14</f>
        <v>1237795</v>
      </c>
      <c r="S15" s="1444">
        <f t="shared" si="5"/>
        <v>0</v>
      </c>
      <c r="T15" s="1444">
        <f t="shared" si="6"/>
        <v>0</v>
      </c>
      <c r="U15" s="1444">
        <f t="shared" si="7"/>
        <v>1237795</v>
      </c>
      <c r="V15" s="1256"/>
      <c r="W15" s="723"/>
      <c r="X15" s="1323"/>
      <c r="Y15" s="1321"/>
      <c r="Z15" s="1321"/>
      <c r="AA15" s="1324"/>
      <c r="AB15" s="1327">
        <f t="shared" ref="AB15:AB24" si="13">U15</f>
        <v>1237795</v>
      </c>
      <c r="AC15" s="1327">
        <f t="shared" si="8"/>
        <v>-61889.75</v>
      </c>
      <c r="AD15" s="1327">
        <f t="shared" si="9"/>
        <v>1175905.25</v>
      </c>
      <c r="AE15" s="1327">
        <f t="shared" si="10"/>
        <v>2210569.611</v>
      </c>
    </row>
    <row r="16" spans="1:31">
      <c r="A16" s="723">
        <v>3</v>
      </c>
      <c r="B16" s="810" t="s">
        <v>1765</v>
      </c>
      <c r="C16" s="1445"/>
      <c r="D16" s="1320"/>
      <c r="E16" s="1440"/>
      <c r="F16" s="1322">
        <v>3564710.38</v>
      </c>
      <c r="G16" s="1444">
        <f t="shared" si="11"/>
        <v>1237795</v>
      </c>
      <c r="H16" s="1444">
        <f t="shared" si="0"/>
        <v>0</v>
      </c>
      <c r="I16" s="1444">
        <f t="shared" si="1"/>
        <v>0</v>
      </c>
      <c r="J16" s="1444">
        <f t="shared" si="2"/>
        <v>1237795</v>
      </c>
      <c r="K16" s="1256"/>
      <c r="L16" s="1510">
        <v>3</v>
      </c>
      <c r="M16" s="724"/>
      <c r="N16" s="1321"/>
      <c r="O16" s="1323">
        <f t="shared" si="3"/>
        <v>14</v>
      </c>
      <c r="P16" s="1324">
        <f t="shared" si="4"/>
        <v>14</v>
      </c>
      <c r="Q16" s="1322">
        <v>3564710.38</v>
      </c>
      <c r="R16" s="1444">
        <f t="shared" si="12"/>
        <v>1237795</v>
      </c>
      <c r="S16" s="1444">
        <f t="shared" si="5"/>
        <v>0</v>
      </c>
      <c r="T16" s="1444">
        <f t="shared" si="6"/>
        <v>0</v>
      </c>
      <c r="U16" s="1444">
        <f t="shared" si="7"/>
        <v>1237795</v>
      </c>
      <c r="V16" s="1256"/>
      <c r="W16" s="723"/>
      <c r="X16" s="1323"/>
      <c r="Y16" s="1321"/>
      <c r="Z16" s="1321"/>
      <c r="AA16" s="1324"/>
      <c r="AB16" s="1327">
        <f t="shared" si="13"/>
        <v>1237795</v>
      </c>
      <c r="AC16" s="1327">
        <f t="shared" si="8"/>
        <v>-61889.75</v>
      </c>
      <c r="AD16" s="1327">
        <f t="shared" si="9"/>
        <v>1175905.25</v>
      </c>
      <c r="AE16" s="1327">
        <f t="shared" si="10"/>
        <v>3386474.861</v>
      </c>
    </row>
    <row r="17" spans="1:33">
      <c r="A17" s="723">
        <v>4</v>
      </c>
      <c r="B17" s="810" t="s">
        <v>1766</v>
      </c>
      <c r="C17" s="1445"/>
      <c r="D17" s="1320"/>
      <c r="E17" s="1440"/>
      <c r="F17" s="1322">
        <v>4183608.02</v>
      </c>
      <c r="G17" s="1444">
        <f t="shared" si="11"/>
        <v>618897.64000000013</v>
      </c>
      <c r="H17" s="1444">
        <f t="shared" si="0"/>
        <v>0</v>
      </c>
      <c r="I17" s="1444">
        <f t="shared" si="1"/>
        <v>0</v>
      </c>
      <c r="J17" s="1444">
        <f t="shared" si="2"/>
        <v>618897.64000000013</v>
      </c>
      <c r="K17" s="1256"/>
      <c r="L17" s="1510">
        <v>4</v>
      </c>
      <c r="M17" s="724"/>
      <c r="N17" s="1321"/>
      <c r="O17" s="1323">
        <f t="shared" si="3"/>
        <v>14</v>
      </c>
      <c r="P17" s="1324">
        <f t="shared" si="4"/>
        <v>14</v>
      </c>
      <c r="Q17" s="1322">
        <v>4183608.02</v>
      </c>
      <c r="R17" s="1444">
        <f t="shared" si="12"/>
        <v>618897.64000000013</v>
      </c>
      <c r="S17" s="1444">
        <f t="shared" si="5"/>
        <v>0</v>
      </c>
      <c r="T17" s="1444">
        <f t="shared" si="6"/>
        <v>0</v>
      </c>
      <c r="U17" s="1444">
        <f t="shared" si="7"/>
        <v>618897.64000000013</v>
      </c>
      <c r="V17" s="1256"/>
      <c r="W17" s="723"/>
      <c r="X17" s="1323"/>
      <c r="Y17" s="1321"/>
      <c r="Z17" s="1321"/>
      <c r="AA17" s="1324"/>
      <c r="AB17" s="1327">
        <f t="shared" si="13"/>
        <v>618897.64000000013</v>
      </c>
      <c r="AC17" s="1327">
        <f t="shared" si="8"/>
        <v>-30944.882000000009</v>
      </c>
      <c r="AD17" s="1327">
        <f t="shared" si="9"/>
        <v>587952.75800000015</v>
      </c>
      <c r="AE17" s="1327">
        <f t="shared" si="10"/>
        <v>3974427.6189999999</v>
      </c>
    </row>
    <row r="18" spans="1:33">
      <c r="A18" s="723">
        <v>5</v>
      </c>
      <c r="B18" s="810" t="s">
        <v>1767</v>
      </c>
      <c r="C18" s="1445"/>
      <c r="D18" s="1320"/>
      <c r="E18" s="1440"/>
      <c r="F18" s="1322">
        <v>6321173.9900000002</v>
      </c>
      <c r="G18" s="1444">
        <f t="shared" si="11"/>
        <v>2137565.9700000002</v>
      </c>
      <c r="H18" s="1444">
        <f t="shared" si="0"/>
        <v>0</v>
      </c>
      <c r="I18" s="1444">
        <f t="shared" si="1"/>
        <v>0</v>
      </c>
      <c r="J18" s="1444">
        <f t="shared" si="2"/>
        <v>2137565.9700000002</v>
      </c>
      <c r="K18" s="1256"/>
      <c r="L18" s="1510">
        <v>5</v>
      </c>
      <c r="M18" s="724"/>
      <c r="N18" s="1321"/>
      <c r="O18" s="1323">
        <f t="shared" si="3"/>
        <v>14</v>
      </c>
      <c r="P18" s="1324">
        <f t="shared" si="4"/>
        <v>14</v>
      </c>
      <c r="Q18" s="1322">
        <v>6321173.9900000002</v>
      </c>
      <c r="R18" s="1444">
        <f t="shared" si="12"/>
        <v>2137565.9700000002</v>
      </c>
      <c r="S18" s="1444">
        <f t="shared" si="5"/>
        <v>0</v>
      </c>
      <c r="T18" s="1444">
        <f t="shared" si="6"/>
        <v>0</v>
      </c>
      <c r="U18" s="1444">
        <f t="shared" si="7"/>
        <v>2137565.9700000002</v>
      </c>
      <c r="V18" s="1256"/>
      <c r="W18" s="723"/>
      <c r="X18" s="1323"/>
      <c r="Y18" s="1321"/>
      <c r="Z18" s="1321"/>
      <c r="AA18" s="1324"/>
      <c r="AB18" s="1327">
        <f t="shared" si="13"/>
        <v>2137565.9700000002</v>
      </c>
      <c r="AC18" s="1327">
        <f t="shared" si="8"/>
        <v>-106878.29850000002</v>
      </c>
      <c r="AD18" s="1327">
        <f t="shared" si="9"/>
        <v>2030687.6715000002</v>
      </c>
      <c r="AE18" s="1327">
        <f t="shared" si="10"/>
        <v>6005115.2905000001</v>
      </c>
    </row>
    <row r="19" spans="1:33">
      <c r="A19" s="723">
        <v>6</v>
      </c>
      <c r="B19" s="810" t="s">
        <v>1768</v>
      </c>
      <c r="C19" s="1445"/>
      <c r="D19" s="1320"/>
      <c r="E19" s="1440"/>
      <c r="F19" s="1322">
        <v>8458739.9600000009</v>
      </c>
      <c r="G19" s="1444">
        <f t="shared" si="11"/>
        <v>2137565.9700000007</v>
      </c>
      <c r="H19" s="1444">
        <f t="shared" si="0"/>
        <v>0</v>
      </c>
      <c r="I19" s="1444">
        <f t="shared" si="1"/>
        <v>0</v>
      </c>
      <c r="J19" s="1444">
        <f t="shared" si="2"/>
        <v>2137565.9700000007</v>
      </c>
      <c r="K19" s="1256"/>
      <c r="L19" s="1510">
        <v>6</v>
      </c>
      <c r="M19" s="724"/>
      <c r="N19" s="1321"/>
      <c r="O19" s="1323">
        <f t="shared" si="3"/>
        <v>14</v>
      </c>
      <c r="P19" s="1324">
        <f t="shared" si="4"/>
        <v>14</v>
      </c>
      <c r="Q19" s="1322">
        <v>8458739.9600000009</v>
      </c>
      <c r="R19" s="1444">
        <f t="shared" si="12"/>
        <v>2137565.9700000007</v>
      </c>
      <c r="S19" s="1444">
        <f t="shared" si="5"/>
        <v>0</v>
      </c>
      <c r="T19" s="1444">
        <f t="shared" si="6"/>
        <v>0</v>
      </c>
      <c r="U19" s="1444">
        <f t="shared" si="7"/>
        <v>2137565.9700000007</v>
      </c>
      <c r="V19" s="1256"/>
      <c r="W19" s="723"/>
      <c r="X19" s="1323"/>
      <c r="Y19" s="1321"/>
      <c r="Z19" s="1321"/>
      <c r="AA19" s="1324"/>
      <c r="AB19" s="1327">
        <f t="shared" si="13"/>
        <v>2137565.9700000007</v>
      </c>
      <c r="AC19" s="1327">
        <f t="shared" si="8"/>
        <v>-106878.29850000003</v>
      </c>
      <c r="AD19" s="1327">
        <f t="shared" si="9"/>
        <v>2030687.6715000006</v>
      </c>
      <c r="AE19" s="1327">
        <f t="shared" si="10"/>
        <v>8035802.9620000012</v>
      </c>
    </row>
    <row r="20" spans="1:33">
      <c r="A20" s="723">
        <v>7</v>
      </c>
      <c r="B20" s="810" t="s">
        <v>1769</v>
      </c>
      <c r="C20" s="1445"/>
      <c r="D20" s="1320"/>
      <c r="E20" s="1440"/>
      <c r="F20" s="1322">
        <v>9527522.9400000013</v>
      </c>
      <c r="G20" s="1444">
        <f t="shared" si="11"/>
        <v>1068782.9800000004</v>
      </c>
      <c r="H20" s="1444">
        <f t="shared" si="0"/>
        <v>0</v>
      </c>
      <c r="I20" s="1444">
        <f t="shared" si="1"/>
        <v>0</v>
      </c>
      <c r="J20" s="1444">
        <f t="shared" si="2"/>
        <v>1068782.9800000004</v>
      </c>
      <c r="K20" s="1256"/>
      <c r="L20" s="1510">
        <v>7</v>
      </c>
      <c r="M20" s="724"/>
      <c r="N20" s="1321"/>
      <c r="O20" s="1323">
        <f t="shared" si="3"/>
        <v>14</v>
      </c>
      <c r="P20" s="1324">
        <f t="shared" si="4"/>
        <v>14</v>
      </c>
      <c r="Q20" s="1322">
        <v>9527522.9400000013</v>
      </c>
      <c r="R20" s="1444">
        <f t="shared" si="12"/>
        <v>1068782.9800000004</v>
      </c>
      <c r="S20" s="1444">
        <f t="shared" si="5"/>
        <v>0</v>
      </c>
      <c r="T20" s="1444">
        <f t="shared" si="6"/>
        <v>0</v>
      </c>
      <c r="U20" s="1444">
        <f t="shared" si="7"/>
        <v>1068782.9800000004</v>
      </c>
      <c r="V20" s="1256"/>
      <c r="W20" s="723"/>
      <c r="X20" s="1323"/>
      <c r="Y20" s="1321"/>
      <c r="Z20" s="1321"/>
      <c r="AA20" s="1324"/>
      <c r="AB20" s="1327">
        <f t="shared" si="13"/>
        <v>1068782.9800000004</v>
      </c>
      <c r="AC20" s="1327">
        <f t="shared" si="8"/>
        <v>-53439.149000000027</v>
      </c>
      <c r="AD20" s="1327">
        <f t="shared" si="9"/>
        <v>1015343.8310000005</v>
      </c>
      <c r="AE20" s="1327">
        <f t="shared" si="10"/>
        <v>9051146.7930000015</v>
      </c>
    </row>
    <row r="21" spans="1:33">
      <c r="A21" s="723">
        <v>8</v>
      </c>
      <c r="B21" s="810" t="s">
        <v>1770</v>
      </c>
      <c r="C21" s="1445"/>
      <c r="D21" s="1320"/>
      <c r="E21" s="1440"/>
      <c r="F21" s="1322">
        <v>9861611.3100000005</v>
      </c>
      <c r="G21" s="1444">
        <f t="shared" si="11"/>
        <v>334088.36999999918</v>
      </c>
      <c r="H21" s="1444">
        <f t="shared" si="0"/>
        <v>0</v>
      </c>
      <c r="I21" s="1444">
        <f t="shared" si="1"/>
        <v>0</v>
      </c>
      <c r="J21" s="1444">
        <f t="shared" si="2"/>
        <v>334088.36999999918</v>
      </c>
      <c r="K21" s="1256"/>
      <c r="L21" s="1510">
        <v>8</v>
      </c>
      <c r="M21" s="724"/>
      <c r="N21" s="1321"/>
      <c r="O21" s="1323">
        <f t="shared" si="3"/>
        <v>14</v>
      </c>
      <c r="P21" s="1324">
        <f t="shared" si="4"/>
        <v>14</v>
      </c>
      <c r="Q21" s="1322">
        <v>9861611.3100000005</v>
      </c>
      <c r="R21" s="1444">
        <f t="shared" si="12"/>
        <v>334088.36999999918</v>
      </c>
      <c r="S21" s="1444">
        <f t="shared" si="5"/>
        <v>0</v>
      </c>
      <c r="T21" s="1444">
        <f t="shared" si="6"/>
        <v>0</v>
      </c>
      <c r="U21" s="1444">
        <f t="shared" si="7"/>
        <v>334088.36999999918</v>
      </c>
      <c r="V21" s="1256"/>
      <c r="W21" s="723"/>
      <c r="X21" s="1323"/>
      <c r="Y21" s="1321"/>
      <c r="Z21" s="1321"/>
      <c r="AA21" s="1324"/>
      <c r="AB21" s="1327">
        <f t="shared" si="13"/>
        <v>334088.36999999918</v>
      </c>
      <c r="AC21" s="1327">
        <f t="shared" si="8"/>
        <v>-16704.41849999996</v>
      </c>
      <c r="AD21" s="1327">
        <f t="shared" si="9"/>
        <v>317383.95149999921</v>
      </c>
      <c r="AE21" s="1327">
        <f t="shared" si="10"/>
        <v>9368530.7445</v>
      </c>
    </row>
    <row r="22" spans="1:33">
      <c r="A22" s="723">
        <v>9</v>
      </c>
      <c r="B22" s="810" t="s">
        <v>1771</v>
      </c>
      <c r="C22" s="1445"/>
      <c r="D22" s="1320"/>
      <c r="E22" s="1440"/>
      <c r="F22" s="1322">
        <v>10195699.68</v>
      </c>
      <c r="G22" s="1444">
        <f t="shared" si="11"/>
        <v>334088.36999999918</v>
      </c>
      <c r="H22" s="1444">
        <f t="shared" si="0"/>
        <v>0</v>
      </c>
      <c r="I22" s="1444">
        <f t="shared" si="1"/>
        <v>0</v>
      </c>
      <c r="J22" s="1444">
        <f t="shared" si="2"/>
        <v>334088.36999999918</v>
      </c>
      <c r="K22" s="1256"/>
      <c r="L22" s="1510">
        <v>9</v>
      </c>
      <c r="M22" s="724"/>
      <c r="N22" s="1321"/>
      <c r="O22" s="1323">
        <f t="shared" si="3"/>
        <v>14</v>
      </c>
      <c r="P22" s="1324">
        <f t="shared" si="4"/>
        <v>14</v>
      </c>
      <c r="Q22" s="1322">
        <v>10195699.68</v>
      </c>
      <c r="R22" s="1444">
        <f t="shared" si="12"/>
        <v>334088.36999999918</v>
      </c>
      <c r="S22" s="1444">
        <f t="shared" si="5"/>
        <v>0</v>
      </c>
      <c r="T22" s="1444">
        <f t="shared" si="6"/>
        <v>0</v>
      </c>
      <c r="U22" s="1444">
        <f t="shared" si="7"/>
        <v>334088.36999999918</v>
      </c>
      <c r="V22" s="1256"/>
      <c r="W22" s="723"/>
      <c r="X22" s="1323"/>
      <c r="Y22" s="1321"/>
      <c r="Z22" s="1321"/>
      <c r="AA22" s="1324"/>
      <c r="AB22" s="1327">
        <f t="shared" si="13"/>
        <v>334088.36999999918</v>
      </c>
      <c r="AC22" s="1327">
        <f t="shared" si="8"/>
        <v>-16704.41849999996</v>
      </c>
      <c r="AD22" s="1327">
        <f t="shared" si="9"/>
        <v>317383.95149999921</v>
      </c>
      <c r="AE22" s="1327">
        <f t="shared" si="10"/>
        <v>9685914.6959999986</v>
      </c>
    </row>
    <row r="23" spans="1:33">
      <c r="A23" s="723">
        <v>10</v>
      </c>
      <c r="B23" s="810" t="s">
        <v>1626</v>
      </c>
      <c r="C23" s="1445"/>
      <c r="D23" s="1320"/>
      <c r="E23" s="1440"/>
      <c r="F23" s="1322">
        <v>10362744.199999999</v>
      </c>
      <c r="G23" s="1444">
        <f t="shared" si="11"/>
        <v>167044.51999999955</v>
      </c>
      <c r="H23" s="1444">
        <f t="shared" si="0"/>
        <v>0</v>
      </c>
      <c r="I23" s="1444">
        <f t="shared" si="1"/>
        <v>0</v>
      </c>
      <c r="J23" s="1444">
        <f t="shared" si="2"/>
        <v>167044.51999999955</v>
      </c>
      <c r="K23" s="1256"/>
      <c r="L23" s="1510">
        <v>10</v>
      </c>
      <c r="M23" s="724"/>
      <c r="N23" s="1321"/>
      <c r="O23" s="1323">
        <f t="shared" si="3"/>
        <v>14</v>
      </c>
      <c r="P23" s="1324">
        <f t="shared" si="4"/>
        <v>14</v>
      </c>
      <c r="Q23" s="1322">
        <v>10362744.199999999</v>
      </c>
      <c r="R23" s="1444">
        <f t="shared" si="12"/>
        <v>167044.51999999955</v>
      </c>
      <c r="S23" s="1444">
        <f t="shared" si="5"/>
        <v>0</v>
      </c>
      <c r="T23" s="1444">
        <f t="shared" si="6"/>
        <v>0</v>
      </c>
      <c r="U23" s="1444">
        <f t="shared" si="7"/>
        <v>167044.51999999955</v>
      </c>
      <c r="V23" s="1256"/>
      <c r="W23" s="723"/>
      <c r="X23" s="1323"/>
      <c r="Y23" s="1321"/>
      <c r="Z23" s="1321"/>
      <c r="AA23" s="1324"/>
      <c r="AB23" s="1327">
        <f t="shared" si="13"/>
        <v>167044.51999999955</v>
      </c>
      <c r="AC23" s="1327">
        <f t="shared" si="8"/>
        <v>-8352.2259999999787</v>
      </c>
      <c r="AD23" s="1327">
        <f t="shared" si="9"/>
        <v>158692.29399999959</v>
      </c>
      <c r="AE23" s="1327">
        <f t="shared" si="10"/>
        <v>9844606.9899999984</v>
      </c>
    </row>
    <row r="24" spans="1:33">
      <c r="A24" s="723">
        <v>11</v>
      </c>
      <c r="B24" s="810" t="s">
        <v>1628</v>
      </c>
      <c r="C24" s="1445"/>
      <c r="D24" s="1320"/>
      <c r="E24" s="1440"/>
      <c r="F24" s="1322">
        <v>10713692.069999998</v>
      </c>
      <c r="G24" s="1444">
        <f t="shared" si="11"/>
        <v>350947.86999999918</v>
      </c>
      <c r="H24" s="1444">
        <f t="shared" si="0"/>
        <v>0</v>
      </c>
      <c r="I24" s="1444">
        <f t="shared" si="1"/>
        <v>0</v>
      </c>
      <c r="J24" s="1444">
        <f t="shared" si="2"/>
        <v>350947.86999999918</v>
      </c>
      <c r="K24" s="1256"/>
      <c r="L24" s="1510">
        <v>11</v>
      </c>
      <c r="M24" s="724"/>
      <c r="N24" s="1321"/>
      <c r="O24" s="1323">
        <f t="shared" si="3"/>
        <v>14</v>
      </c>
      <c r="P24" s="1324">
        <f>O24-N24</f>
        <v>14</v>
      </c>
      <c r="Q24" s="1322">
        <f>+Q23+350947.87</f>
        <v>10713692.069999998</v>
      </c>
      <c r="R24" s="1444">
        <f t="shared" si="12"/>
        <v>350947.86999999918</v>
      </c>
      <c r="S24" s="1444">
        <f t="shared" si="5"/>
        <v>0</v>
      </c>
      <c r="T24" s="1444">
        <f t="shared" si="6"/>
        <v>0</v>
      </c>
      <c r="U24" s="1444">
        <f t="shared" si="7"/>
        <v>350947.86999999918</v>
      </c>
      <c r="V24" s="1256"/>
      <c r="W24" s="723"/>
      <c r="X24" s="1323"/>
      <c r="Y24" s="1321"/>
      <c r="Z24" s="1321"/>
      <c r="AA24" s="1324"/>
      <c r="AB24" s="1327">
        <f t="shared" si="13"/>
        <v>350947.86999999918</v>
      </c>
      <c r="AC24" s="1327">
        <f t="shared" si="8"/>
        <v>-17547.393499999958</v>
      </c>
      <c r="AD24" s="1327">
        <f t="shared" si="9"/>
        <v>333400.47649999923</v>
      </c>
      <c r="AE24" s="1327">
        <f t="shared" si="10"/>
        <v>10178007.466499997</v>
      </c>
      <c r="AF24" s="3020">
        <v>350947.87</v>
      </c>
      <c r="AG24" s="3020">
        <v>333400.48</v>
      </c>
    </row>
    <row r="25" spans="1:33" ht="36">
      <c r="A25" s="723">
        <v>12</v>
      </c>
      <c r="B25" s="810" t="s">
        <v>1630</v>
      </c>
      <c r="C25" s="1445"/>
      <c r="D25" s="2835" t="s">
        <v>2525</v>
      </c>
      <c r="E25" s="1440">
        <v>45214</v>
      </c>
      <c r="F25" s="1322">
        <f>+F24+G25</f>
        <v>10801428.459999999</v>
      </c>
      <c r="G25" s="1322">
        <v>87736.39</v>
      </c>
      <c r="H25" s="1444">
        <f>(G25*$H$12)*-1</f>
        <v>0</v>
      </c>
      <c r="I25" s="1444">
        <f>(G25*$I$12)*-1</f>
        <v>0</v>
      </c>
      <c r="J25" s="1444">
        <f>G25+H25+I25</f>
        <v>87736.39</v>
      </c>
      <c r="K25" s="1256"/>
      <c r="L25" s="1510">
        <v>12</v>
      </c>
      <c r="M25" s="2850" t="s">
        <v>2526</v>
      </c>
      <c r="N25" s="1321">
        <v>45217</v>
      </c>
      <c r="O25" s="1323">
        <f t="shared" si="3"/>
        <v>45228</v>
      </c>
      <c r="P25" s="1324">
        <f t="shared" si="4"/>
        <v>11</v>
      </c>
      <c r="Q25" s="1322">
        <f>+Q24+R25</f>
        <v>10801428.459999999</v>
      </c>
      <c r="R25" s="1322">
        <v>87736.39</v>
      </c>
      <c r="S25" s="1444">
        <f>(R25*$S$12)*-1</f>
        <v>0</v>
      </c>
      <c r="T25" s="1444">
        <f>(R25*$T$12)*-1</f>
        <v>0</v>
      </c>
      <c r="U25" s="1444">
        <f>R25+S25+T25</f>
        <v>87736.39</v>
      </c>
      <c r="V25" s="1256"/>
      <c r="W25" s="2838" t="s">
        <v>2527</v>
      </c>
      <c r="X25" s="1323">
        <v>45217</v>
      </c>
      <c r="Y25" s="1321">
        <v>45244</v>
      </c>
      <c r="Z25" s="1321">
        <f>+X25+30</f>
        <v>45247</v>
      </c>
      <c r="AA25" s="1324">
        <f>+Z25-Y25</f>
        <v>3</v>
      </c>
      <c r="AB25" s="1327">
        <f>U25</f>
        <v>87736.39</v>
      </c>
      <c r="AC25" s="1327">
        <f>(R25+T25)*$AC$12</f>
        <v>-4386.8195000000005</v>
      </c>
      <c r="AD25" s="1327">
        <f>AB25+AC25</f>
        <v>83349.570500000002</v>
      </c>
      <c r="AE25" s="1327">
        <f t="shared" si="10"/>
        <v>10261357.036999997</v>
      </c>
      <c r="AG25">
        <f>AG24/AF24</f>
        <v>0.95000000997299106</v>
      </c>
    </row>
    <row r="26" spans="1:33">
      <c r="A26" s="723"/>
      <c r="B26" s="810"/>
      <c r="C26" s="1445"/>
      <c r="D26" s="1320"/>
      <c r="E26" s="1440"/>
      <c r="F26" s="1322"/>
      <c r="G26" s="1322"/>
      <c r="H26" s="1444"/>
      <c r="I26" s="1444"/>
      <c r="J26" s="1444"/>
      <c r="K26" s="1256"/>
      <c r="L26" s="1443"/>
      <c r="M26" s="724"/>
      <c r="N26" s="1321"/>
      <c r="O26" s="1323"/>
      <c r="P26" s="1324"/>
      <c r="Q26" s="1322"/>
      <c r="R26" s="1444"/>
      <c r="S26" s="1444"/>
      <c r="T26" s="1444"/>
      <c r="U26" s="1328"/>
      <c r="V26" s="1256"/>
      <c r="W26" s="723"/>
      <c r="X26" s="1323"/>
      <c r="Y26" s="1321"/>
      <c r="Z26" s="1321"/>
      <c r="AA26" s="1324"/>
      <c r="AB26" s="1327"/>
      <c r="AC26" s="1327"/>
      <c r="AD26" s="1327"/>
      <c r="AE26" s="1327"/>
    </row>
    <row r="27" spans="1:33">
      <c r="A27" s="723"/>
      <c r="B27" s="810"/>
      <c r="C27" s="1445"/>
      <c r="D27" s="1320"/>
      <c r="E27" s="1440"/>
      <c r="F27" s="1322"/>
      <c r="G27" s="1322"/>
      <c r="H27" s="1322"/>
      <c r="I27" s="1322"/>
      <c r="J27" s="1322"/>
      <c r="K27" s="1256"/>
      <c r="L27" s="1443"/>
      <c r="M27" s="724"/>
      <c r="N27" s="1321"/>
      <c r="O27" s="1323"/>
      <c r="P27" s="1324"/>
      <c r="Q27" s="1322"/>
      <c r="R27" s="1444"/>
      <c r="S27" s="1444"/>
      <c r="T27" s="1444"/>
      <c r="U27" s="1328"/>
      <c r="V27" s="1256"/>
      <c r="W27" s="723"/>
      <c r="X27" s="1323"/>
      <c r="Y27" s="1321"/>
      <c r="Z27" s="1321"/>
      <c r="AA27" s="1324"/>
      <c r="AB27" s="1327"/>
      <c r="AC27" s="1327"/>
      <c r="AD27" s="1327"/>
      <c r="AE27" s="1327"/>
    </row>
    <row r="28" spans="1:33">
      <c r="A28" s="723"/>
      <c r="B28" s="810"/>
      <c r="C28" s="1445"/>
      <c r="D28" s="1320"/>
      <c r="E28" s="1440"/>
      <c r="F28" s="1322"/>
      <c r="G28" s="1322"/>
      <c r="H28" s="1322"/>
      <c r="I28" s="1322"/>
      <c r="J28" s="1322"/>
      <c r="K28" s="1256"/>
      <c r="L28" s="1443"/>
      <c r="M28" s="724"/>
      <c r="N28" s="1321"/>
      <c r="O28" s="1323"/>
      <c r="P28" s="1324"/>
      <c r="Q28" s="1322"/>
      <c r="R28" s="1444"/>
      <c r="S28" s="1444"/>
      <c r="T28" s="1444"/>
      <c r="U28" s="1328"/>
      <c r="V28" s="1256"/>
      <c r="W28" s="723"/>
      <c r="X28" s="1323"/>
      <c r="Y28" s="1321"/>
      <c r="Z28" s="1321"/>
      <c r="AA28" s="1324"/>
      <c r="AB28" s="1327"/>
      <c r="AC28" s="1327"/>
      <c r="AD28" s="1327"/>
      <c r="AE28" s="1327"/>
    </row>
    <row r="29" spans="1:33">
      <c r="A29" s="723"/>
      <c r="B29" s="810"/>
      <c r="C29" s="1445"/>
      <c r="D29" s="1320"/>
      <c r="E29" s="1440"/>
      <c r="F29" s="1322"/>
      <c r="G29" s="1322"/>
      <c r="H29" s="1322"/>
      <c r="I29" s="1322"/>
      <c r="J29" s="1322"/>
      <c r="K29" s="1256"/>
      <c r="L29" s="1443"/>
      <c r="M29" s="724"/>
      <c r="N29" s="1321"/>
      <c r="O29" s="1323"/>
      <c r="P29" s="1324"/>
      <c r="Q29" s="1322"/>
      <c r="R29" s="1444"/>
      <c r="S29" s="1444"/>
      <c r="T29" s="1444"/>
      <c r="U29" s="1328"/>
      <c r="V29" s="1256"/>
      <c r="W29" s="723"/>
      <c r="X29" s="1323"/>
      <c r="Y29" s="1321"/>
      <c r="Z29" s="1321"/>
      <c r="AA29" s="1324"/>
      <c r="AB29" s="1327"/>
      <c r="AC29" s="1327"/>
      <c r="AD29" s="1327"/>
      <c r="AE29" s="1327"/>
    </row>
    <row r="30" spans="1:33">
      <c r="A30" s="723"/>
      <c r="B30" s="810"/>
      <c r="C30" s="1445"/>
      <c r="D30" s="1320"/>
      <c r="E30" s="1440"/>
      <c r="F30" s="1322"/>
      <c r="G30" s="1322"/>
      <c r="H30" s="1322"/>
      <c r="I30" s="1322"/>
      <c r="J30" s="1322"/>
      <c r="K30" s="1256"/>
      <c r="L30" s="1443"/>
      <c r="M30" s="724"/>
      <c r="N30" s="1321"/>
      <c r="O30" s="1323"/>
      <c r="P30" s="1324"/>
      <c r="Q30" s="1322"/>
      <c r="R30" s="1444"/>
      <c r="S30" s="1444"/>
      <c r="T30" s="1444"/>
      <c r="U30" s="1328"/>
      <c r="V30" s="1256"/>
      <c r="W30" s="723"/>
      <c r="X30" s="1323"/>
      <c r="Y30" s="1321"/>
      <c r="Z30" s="1321"/>
      <c r="AA30" s="1324"/>
      <c r="AB30" s="1327"/>
      <c r="AC30" s="1327"/>
      <c r="AD30" s="1327"/>
      <c r="AE30" s="1327"/>
    </row>
    <row r="31" spans="1:33">
      <c r="A31" s="723"/>
      <c r="B31" s="810"/>
      <c r="C31" s="1445"/>
      <c r="D31" s="1320"/>
      <c r="E31" s="1440"/>
      <c r="F31" s="1322"/>
      <c r="G31" s="1322"/>
      <c r="H31" s="1322"/>
      <c r="I31" s="1322"/>
      <c r="J31" s="1322"/>
      <c r="K31" s="1256"/>
      <c r="L31" s="1443"/>
      <c r="M31" s="724"/>
      <c r="N31" s="1321"/>
      <c r="O31" s="1323"/>
      <c r="P31" s="1324"/>
      <c r="Q31" s="1322"/>
      <c r="R31" s="1444"/>
      <c r="S31" s="1444"/>
      <c r="T31" s="1444"/>
      <c r="U31" s="1328"/>
      <c r="V31" s="1256"/>
      <c r="W31" s="723"/>
      <c r="X31" s="1323"/>
      <c r="Y31" s="1321"/>
      <c r="Z31" s="1321"/>
      <c r="AA31" s="1324"/>
      <c r="AB31" s="1327"/>
      <c r="AC31" s="1327"/>
      <c r="AD31" s="1327"/>
      <c r="AE31" s="1327"/>
    </row>
    <row r="32" spans="1:33">
      <c r="A32" s="723"/>
      <c r="B32" s="810"/>
      <c r="C32" s="1445"/>
      <c r="D32" s="1320"/>
      <c r="E32" s="1440"/>
      <c r="F32" s="1322"/>
      <c r="G32" s="1322"/>
      <c r="H32" s="1322"/>
      <c r="I32" s="1322"/>
      <c r="J32" s="1322"/>
      <c r="K32" s="1256"/>
      <c r="L32" s="1443"/>
      <c r="M32" s="724"/>
      <c r="N32" s="1321"/>
      <c r="O32" s="1323"/>
      <c r="P32" s="1324"/>
      <c r="Q32" s="1322"/>
      <c r="R32" s="1444"/>
      <c r="S32" s="1444"/>
      <c r="T32" s="1444"/>
      <c r="U32" s="1328"/>
      <c r="V32" s="1256"/>
      <c r="W32" s="723"/>
      <c r="X32" s="1323"/>
      <c r="Y32" s="1321"/>
      <c r="Z32" s="1321"/>
      <c r="AA32" s="1324"/>
      <c r="AB32" s="1327"/>
      <c r="AC32" s="1327"/>
      <c r="AD32" s="1327"/>
      <c r="AE32" s="1327"/>
    </row>
    <row r="33" spans="1:31">
      <c r="A33" s="723"/>
      <c r="B33" s="810"/>
      <c r="C33" s="1445"/>
      <c r="D33" s="1320"/>
      <c r="E33" s="1440"/>
      <c r="F33" s="1322"/>
      <c r="G33" s="1322"/>
      <c r="H33" s="1322"/>
      <c r="I33" s="1322"/>
      <c r="J33" s="1322"/>
      <c r="K33" s="1256"/>
      <c r="L33" s="1443"/>
      <c r="M33" s="724"/>
      <c r="N33" s="1321"/>
      <c r="O33" s="1323"/>
      <c r="P33" s="1324"/>
      <c r="Q33" s="1322"/>
      <c r="R33" s="1444"/>
      <c r="S33" s="1444"/>
      <c r="T33" s="1444"/>
      <c r="U33" s="1328"/>
      <c r="V33" s="1256"/>
      <c r="W33" s="723"/>
      <c r="X33" s="1323"/>
      <c r="Y33" s="1321"/>
      <c r="Z33" s="1321"/>
      <c r="AA33" s="1324"/>
      <c r="AB33" s="1327"/>
      <c r="AC33" s="1327"/>
      <c r="AD33" s="1327"/>
      <c r="AE33" s="1327"/>
    </row>
    <row r="34" spans="1:31">
      <c r="A34" s="723"/>
      <c r="B34" s="810"/>
      <c r="C34" s="1445"/>
      <c r="D34" s="1320"/>
      <c r="E34" s="1440"/>
      <c r="F34" s="1322"/>
      <c r="G34" s="1322"/>
      <c r="H34" s="1322"/>
      <c r="I34" s="1322"/>
      <c r="J34" s="1322"/>
      <c r="K34" s="1256"/>
      <c r="L34" s="1443"/>
      <c r="M34" s="724"/>
      <c r="N34" s="1321"/>
      <c r="O34" s="1323"/>
      <c r="P34" s="1324"/>
      <c r="Q34" s="1322"/>
      <c r="R34" s="1444"/>
      <c r="S34" s="1444"/>
      <c r="T34" s="1444"/>
      <c r="U34" s="1328"/>
      <c r="V34" s="1256"/>
      <c r="W34" s="723"/>
      <c r="X34" s="1323"/>
      <c r="Y34" s="1321"/>
      <c r="Z34" s="1321"/>
      <c r="AA34" s="1324"/>
      <c r="AB34" s="1327"/>
      <c r="AC34" s="1327"/>
      <c r="AD34" s="1327"/>
      <c r="AE34" s="1327"/>
    </row>
    <row r="35" spans="1:31">
      <c r="A35" s="723"/>
      <c r="B35" s="810"/>
      <c r="C35" s="1445"/>
      <c r="D35" s="1320"/>
      <c r="E35" s="1441"/>
      <c r="F35" s="1322"/>
      <c r="G35" s="1322"/>
      <c r="H35" s="1322"/>
      <c r="I35" s="1322"/>
      <c r="J35" s="1322"/>
      <c r="K35" s="1256"/>
      <c r="L35" s="1443"/>
      <c r="M35" s="724"/>
      <c r="N35" s="1321"/>
      <c r="O35" s="1323"/>
      <c r="P35" s="1324"/>
      <c r="Q35" s="1322"/>
      <c r="R35" s="1444"/>
      <c r="S35" s="1444"/>
      <c r="T35" s="1444"/>
      <c r="U35" s="1328"/>
      <c r="V35" s="1256"/>
      <c r="W35" s="723"/>
      <c r="X35" s="1323"/>
      <c r="Y35" s="1321"/>
      <c r="Z35" s="1321"/>
      <c r="AA35" s="1324"/>
      <c r="AB35" s="1327"/>
      <c r="AC35" s="1327"/>
      <c r="AD35" s="1327"/>
      <c r="AE35" s="1327"/>
    </row>
    <row r="36" spans="1:31">
      <c r="A36" s="1329"/>
      <c r="B36" s="1330"/>
      <c r="C36" s="1440"/>
      <c r="D36" s="1331"/>
      <c r="E36" s="1442"/>
      <c r="F36" s="1332"/>
      <c r="G36" s="1332"/>
      <c r="H36" s="1332"/>
      <c r="I36" s="1332"/>
      <c r="J36" s="1332"/>
      <c r="K36" s="1256"/>
      <c r="L36" s="1329"/>
      <c r="M36" s="1333"/>
      <c r="N36" s="1334"/>
      <c r="O36" s="1334"/>
      <c r="P36" s="1335"/>
      <c r="Q36" s="1322"/>
      <c r="R36" s="1333"/>
      <c r="S36" s="1333"/>
      <c r="T36" s="1333"/>
      <c r="U36" s="1336"/>
      <c r="V36" s="1256"/>
      <c r="W36" s="1329"/>
      <c r="X36" s="1337"/>
      <c r="Y36" s="1334"/>
      <c r="Z36" s="1334"/>
      <c r="AA36" s="1334"/>
      <c r="AB36" s="1329"/>
      <c r="AC36" s="1337"/>
      <c r="AD36" s="1334"/>
      <c r="AE36" s="1334"/>
    </row>
    <row r="37" spans="1:31" ht="24.75" customHeight="1" collapsed="1" thickBot="1">
      <c r="A37" s="6045" t="s">
        <v>1522</v>
      </c>
      <c r="B37" s="6046"/>
      <c r="C37" s="6046"/>
      <c r="D37" s="6046"/>
      <c r="E37" s="6046"/>
      <c r="F37" s="6047"/>
      <c r="G37" s="1338">
        <f>SUM(G14:G36)</f>
        <v>10801428.459999999</v>
      </c>
      <c r="H37" s="1338">
        <f>SUM(H14:H36)</f>
        <v>0</v>
      </c>
      <c r="I37" s="1338">
        <f>SUM(I14:I36)</f>
        <v>0</v>
      </c>
      <c r="J37" s="1338">
        <f>SUM(J14:J36)</f>
        <v>10801428.459999999</v>
      </c>
      <c r="K37" s="1256"/>
      <c r="L37" s="1339" t="s">
        <v>1522</v>
      </c>
      <c r="M37" s="1340"/>
      <c r="N37" s="1340"/>
      <c r="O37" s="1340"/>
      <c r="P37" s="1340"/>
      <c r="Q37" s="1340"/>
      <c r="R37" s="1341">
        <f>SUM(R14:R36)</f>
        <v>10801428.459999999</v>
      </c>
      <c r="S37" s="1338">
        <f>SUM(S14:S36)</f>
        <v>0</v>
      </c>
      <c r="T37" s="1338">
        <f>SUM(T14:T36)</f>
        <v>0</v>
      </c>
      <c r="U37" s="1338">
        <f>SUM(U14:U36)</f>
        <v>10801428.459999999</v>
      </c>
      <c r="V37" s="1256"/>
      <c r="W37" s="1342" t="s">
        <v>1522</v>
      </c>
      <c r="X37" s="1343"/>
      <c r="Y37" s="1343"/>
      <c r="Z37" s="1343"/>
      <c r="AA37" s="1343"/>
      <c r="AB37" s="1341">
        <f>SUM(AB14:AB36)</f>
        <v>10801428.459999999</v>
      </c>
      <c r="AC37" s="1338">
        <f>SUM(AC14:AC36)</f>
        <v>-540071.42299999995</v>
      </c>
      <c r="AD37" s="1338">
        <f>SUM(AD14:AD36)</f>
        <v>10261357.036999997</v>
      </c>
      <c r="AE37" s="1338">
        <f>+AE25</f>
        <v>10261357.036999997</v>
      </c>
    </row>
    <row r="38" spans="1:31">
      <c r="A38" s="1360"/>
      <c r="B38" s="1256"/>
      <c r="C38" s="1255"/>
      <c r="D38" s="1257"/>
      <c r="E38" s="1361"/>
      <c r="F38" s="1258"/>
      <c r="G38" s="1258"/>
      <c r="H38" s="1258"/>
      <c r="I38" s="1258"/>
      <c r="J38" s="1258"/>
      <c r="K38" s="1256"/>
      <c r="L38" s="1360"/>
      <c r="M38" s="1360"/>
      <c r="N38" s="1362"/>
      <c r="O38" s="1362"/>
      <c r="P38" s="1362"/>
      <c r="Q38" s="1360"/>
      <c r="R38" s="1360"/>
      <c r="S38" s="1360"/>
      <c r="T38" s="1360"/>
      <c r="U38" s="1363"/>
      <c r="V38" s="1256"/>
      <c r="W38" s="1360"/>
      <c r="X38" s="1364"/>
      <c r="Y38" s="1362"/>
      <c r="Z38" s="1362"/>
      <c r="AA38" s="1362"/>
      <c r="AB38" s="1360">
        <v>10891204</v>
      </c>
      <c r="AC38" s="1364"/>
      <c r="AD38" s="1362"/>
      <c r="AE38" s="1362"/>
    </row>
    <row r="39" spans="1:31">
      <c r="A39" s="1360"/>
      <c r="B39" s="1256"/>
      <c r="C39" s="1255"/>
      <c r="D39" s="1257"/>
      <c r="E39" s="1361"/>
      <c r="F39" s="1258">
        <v>10891204</v>
      </c>
      <c r="G39" s="1258"/>
      <c r="H39" s="1258"/>
      <c r="I39" s="1258"/>
      <c r="J39" s="1258"/>
      <c r="K39" s="1256"/>
      <c r="L39" s="1360"/>
      <c r="M39" s="1360"/>
      <c r="N39" s="1362"/>
      <c r="O39" s="1362"/>
      <c r="P39" s="1257"/>
      <c r="Q39" s="1258"/>
      <c r="R39" s="1258"/>
      <c r="S39" s="1258"/>
      <c r="T39" s="1258"/>
      <c r="U39" s="1258"/>
      <c r="V39" s="1256"/>
      <c r="W39" s="1360"/>
      <c r="X39" s="1364"/>
      <c r="Y39" s="1362"/>
      <c r="Z39" s="1362"/>
      <c r="AA39" s="1362"/>
      <c r="AB39" s="1363">
        <f>+AB38-AB37</f>
        <v>89775.540000000969</v>
      </c>
      <c r="AC39" s="1364"/>
      <c r="AD39" s="1362"/>
      <c r="AE39" s="1362"/>
    </row>
    <row r="40" spans="1:31">
      <c r="A40" s="1365"/>
      <c r="B40" s="1256"/>
      <c r="C40" s="1255"/>
      <c r="D40" s="1257"/>
      <c r="E40" s="1361"/>
      <c r="F40" s="1366">
        <f>+F39-F24</f>
        <v>177511.93000000156</v>
      </c>
      <c r="G40" s="1366"/>
      <c r="H40" s="1366"/>
      <c r="I40" s="1366"/>
      <c r="J40" s="1258"/>
      <c r="K40" s="1256"/>
      <c r="L40" s="1365"/>
      <c r="M40" s="1365">
        <f>403092.61/11085046.72</f>
        <v>3.6363636544059594E-2</v>
      </c>
      <c r="N40" s="1365"/>
      <c r="O40" s="1365"/>
      <c r="P40" s="1257"/>
      <c r="Q40" s="1366"/>
      <c r="R40" s="1366"/>
      <c r="S40" s="1366"/>
      <c r="T40" s="1366"/>
      <c r="U40" s="1366"/>
      <c r="V40" s="1256"/>
      <c r="W40" s="1365"/>
      <c r="X40" s="1365"/>
      <c r="Y40" s="1362"/>
      <c r="Z40" s="1362"/>
      <c r="AA40" s="1362"/>
      <c r="AB40" s="1365"/>
      <c r="AC40" s="1365"/>
      <c r="AD40" s="1362"/>
      <c r="AE40" s="1362"/>
    </row>
    <row r="41" spans="1:31">
      <c r="D41" s="1257"/>
      <c r="E41" s="153">
        <v>44197</v>
      </c>
      <c r="F41" s="1366"/>
      <c r="P41" s="1257"/>
      <c r="Q41" s="1366"/>
      <c r="R41" s="1366"/>
      <c r="S41" s="1366"/>
      <c r="T41" s="1366"/>
      <c r="U41" s="1366"/>
      <c r="Z41" s="153">
        <v>44094</v>
      </c>
      <c r="AB41" s="1367"/>
    </row>
    <row r="42" spans="1:31">
      <c r="D42" s="1257"/>
      <c r="E42" s="153">
        <f>E41-45</f>
        <v>44152</v>
      </c>
      <c r="F42" s="1366"/>
      <c r="P42" s="1257"/>
      <c r="Q42" s="1366"/>
      <c r="R42" s="1366"/>
      <c r="S42" s="1366"/>
      <c r="T42" s="1366"/>
      <c r="U42" s="1366"/>
      <c r="Z42" s="153">
        <f>Z41-45</f>
        <v>44049</v>
      </c>
    </row>
    <row r="43" spans="1:31">
      <c r="D43" s="1257"/>
      <c r="F43" s="1366"/>
      <c r="H43" s="153">
        <v>43986</v>
      </c>
      <c r="R43" s="652"/>
      <c r="S43" s="652"/>
      <c r="T43" s="652"/>
      <c r="U43" s="652"/>
    </row>
  </sheetData>
  <mergeCells count="4">
    <mergeCell ref="A10:J10"/>
    <mergeCell ref="L10:U10"/>
    <mergeCell ref="W10:AE10"/>
    <mergeCell ref="A37:F37"/>
  </mergeCells>
  <phoneticPr fontId="347" type="noConversion"/>
  <printOptions horizontalCentered="1"/>
  <pageMargins left="0.25" right="0.25" top="0.75" bottom="0.75" header="0.3" footer="0.3"/>
  <pageSetup paperSize="8" scale="72" fitToHeight="2" orientation="landscape" r:id="rId1"/>
  <headerFooter>
    <oddHeader>&amp;C&amp;"Calibri,Bold"&amp;18MONTHLY REPORT - INVOICE &amp; PAYMENT TRACKING LOG (HKS - DESIGN ARCH )</oddHeader>
    <oddFooter>&amp;L1TB.01.003.01 - AYC 
MARCH'26 REPORT&amp;C&amp;A&amp;RPage &amp;P of &amp;N</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CEA4E-6495-4732-A199-D0DCA31F2BF8}">
  <sheetPr codeName="Sheet22">
    <tabColor theme="7" tint="0.39997558519241921"/>
    <pageSetUpPr fitToPage="1"/>
  </sheetPr>
  <dimension ref="A1:AE43"/>
  <sheetViews>
    <sheetView showGridLines="0" view="pageBreakPreview" topLeftCell="A4" zoomScale="80" zoomScaleNormal="100" zoomScaleSheetLayoutView="80" workbookViewId="0">
      <selection activeCell="C43" sqref="C43"/>
    </sheetView>
  </sheetViews>
  <sheetFormatPr defaultColWidth="9" defaultRowHeight="12.75"/>
  <cols>
    <col min="1" max="1" width="10.85546875" customWidth="1"/>
    <col min="2" max="2" width="10.42578125" customWidth="1"/>
    <col min="3" max="3" width="9.5703125" bestFit="1" customWidth="1"/>
    <col min="4" max="4" width="10.85546875" bestFit="1" customWidth="1"/>
    <col min="5" max="5" width="9.85546875" bestFit="1" customWidth="1"/>
    <col min="6" max="6" width="11.85546875" bestFit="1" customWidth="1"/>
    <col min="7" max="7" width="12.85546875" bestFit="1" customWidth="1"/>
    <col min="8" max="8" width="8.5703125" bestFit="1" customWidth="1"/>
    <col min="9" max="9" width="9" bestFit="1" customWidth="1"/>
    <col min="10" max="10" width="13.85546875" customWidth="1"/>
    <col min="11" max="11" width="0.85546875" customWidth="1"/>
    <col min="12" max="12" width="6" customWidth="1"/>
    <col min="13" max="13" width="16.42578125" bestFit="1" customWidth="1"/>
    <col min="14" max="15" width="9" customWidth="1"/>
    <col min="16" max="16" width="7.85546875" customWidth="1"/>
    <col min="17" max="17" width="13.85546875" customWidth="1"/>
    <col min="18" max="18" width="15.5703125" customWidth="1"/>
    <col min="19" max="19" width="8.5703125" bestFit="1" customWidth="1"/>
    <col min="20" max="20" width="9" bestFit="1" customWidth="1"/>
    <col min="21" max="21" width="14.5703125" customWidth="1"/>
    <col min="22" max="22" width="0.85546875" customWidth="1"/>
    <col min="23" max="23" width="14" bestFit="1" customWidth="1"/>
    <col min="24" max="25" width="9" bestFit="1" customWidth="1"/>
    <col min="26" max="26" width="10" customWidth="1"/>
    <col min="27" max="27" width="7" customWidth="1"/>
    <col min="28" max="28" width="12.42578125" customWidth="1"/>
    <col min="29" max="29" width="13.5703125" customWidth="1"/>
    <col min="30" max="31" width="14" customWidth="1"/>
  </cols>
  <sheetData>
    <row r="1" spans="1:31">
      <c r="A1" s="1255"/>
      <c r="B1" s="1256"/>
      <c r="C1" s="1255"/>
      <c r="D1" s="1257"/>
      <c r="E1" s="1257"/>
      <c r="F1" s="1258"/>
      <c r="G1" s="1258"/>
      <c r="H1" s="1258"/>
      <c r="I1" s="1258"/>
      <c r="J1" s="1258"/>
      <c r="K1" s="1257"/>
      <c r="L1" s="1255"/>
      <c r="M1" s="1255"/>
      <c r="N1" s="1255"/>
      <c r="O1" s="1255"/>
      <c r="P1" s="1255"/>
      <c r="Q1" s="1255"/>
      <c r="R1" s="1255"/>
      <c r="S1" s="1255"/>
      <c r="T1" s="1255"/>
      <c r="U1" s="1259"/>
      <c r="V1" s="1257"/>
      <c r="W1" s="1257"/>
      <c r="X1" s="1257"/>
      <c r="Y1" s="1257"/>
      <c r="Z1" s="1257"/>
      <c r="AA1" s="1257"/>
      <c r="AB1" s="1257"/>
      <c r="AC1" s="1257"/>
      <c r="AD1" s="1257"/>
      <c r="AE1" s="1257"/>
    </row>
    <row r="2" spans="1:31">
      <c r="A2" s="9" t="str">
        <f>'Data Input'!A1&amp;" - "&amp;'Data Input'!B1</f>
        <v>PROGRAMME: - MARINA VILLAGE (PROGRAMME 1_TRIPLE BAY)</v>
      </c>
      <c r="B2" s="1256"/>
      <c r="C2" s="1255"/>
      <c r="D2" s="1257"/>
      <c r="E2" s="1257"/>
      <c r="F2" s="1258"/>
      <c r="G2" s="1258"/>
      <c r="H2" s="1258"/>
      <c r="I2" s="1258"/>
      <c r="J2" s="1258"/>
      <c r="K2" s="1257"/>
      <c r="L2" s="1255"/>
      <c r="M2" s="1255"/>
      <c r="N2" s="1255"/>
      <c r="O2" s="1255"/>
      <c r="P2" s="1255"/>
      <c r="Q2" s="1255"/>
      <c r="R2" s="1255"/>
      <c r="S2" s="1255"/>
      <c r="T2" s="1255"/>
      <c r="U2" s="1259"/>
      <c r="V2" s="1257"/>
      <c r="W2" s="1257"/>
      <c r="X2" s="1257"/>
      <c r="Y2" s="1257"/>
      <c r="Z2" s="1257"/>
      <c r="AA2" s="1257"/>
      <c r="AB2" s="1257"/>
      <c r="AC2" s="1257"/>
      <c r="AD2" s="1257"/>
      <c r="AE2" s="1257"/>
    </row>
    <row r="3" spans="1:31">
      <c r="A3" s="9" t="str">
        <f>'Data Input'!A2&amp;" - "&amp;'Data Input'!B2</f>
        <v>PROGRAMME CODE: - 1TB01003</v>
      </c>
      <c r="B3" s="1260"/>
      <c r="C3" s="1261"/>
      <c r="D3" s="1262"/>
      <c r="E3" s="1262"/>
      <c r="F3" s="1263"/>
      <c r="G3" s="1263"/>
      <c r="H3" s="1263"/>
      <c r="I3" s="1263"/>
      <c r="J3" s="1264"/>
      <c r="K3" s="1265"/>
      <c r="L3" s="1265"/>
      <c r="M3" s="1265"/>
      <c r="N3" s="1265"/>
      <c r="O3" s="1266"/>
      <c r="P3" s="1265"/>
      <c r="Q3" s="1265"/>
      <c r="R3" s="1265"/>
      <c r="S3" s="1265"/>
      <c r="T3" s="1265"/>
      <c r="U3" s="1267"/>
      <c r="V3" s="1265"/>
      <c r="W3" s="1265"/>
      <c r="X3" s="1265"/>
      <c r="Y3" s="1265"/>
      <c r="Z3" s="1265"/>
      <c r="AA3" s="1265"/>
      <c r="AB3" s="1265"/>
      <c r="AC3" s="1265"/>
      <c r="AD3" s="1265"/>
      <c r="AE3" s="1265"/>
    </row>
    <row r="4" spans="1:31">
      <c r="A4" s="9" t="str">
        <f>'Data Input'!A3&amp;" - "&amp;'Data Input'!B3</f>
        <v>ASSET NAME: - AMAALA YACHT CLUB</v>
      </c>
      <c r="B4" s="1260"/>
      <c r="C4" s="1268"/>
      <c r="D4" s="1265"/>
      <c r="E4" s="1265"/>
      <c r="F4" s="1267"/>
      <c r="G4" s="1267"/>
      <c r="H4" s="1267"/>
      <c r="I4" s="1267"/>
      <c r="J4" s="1269"/>
      <c r="K4" s="1265"/>
      <c r="L4" s="1265"/>
      <c r="M4" s="1265"/>
      <c r="N4" s="1265"/>
      <c r="O4" s="1266"/>
      <c r="P4" s="1265"/>
      <c r="Q4" s="1265"/>
      <c r="R4" s="1265"/>
      <c r="S4" s="1265"/>
      <c r="T4" s="1265"/>
      <c r="U4" s="1267"/>
      <c r="V4" s="1265"/>
      <c r="W4" s="1265"/>
      <c r="X4" s="1265"/>
      <c r="Y4" s="1265"/>
      <c r="Z4" s="1265"/>
      <c r="AA4" s="1265"/>
      <c r="AB4" s="1265"/>
      <c r="AC4" s="1265"/>
      <c r="AD4" s="1265"/>
      <c r="AE4" s="1265"/>
    </row>
    <row r="5" spans="1:31">
      <c r="A5" s="9" t="str">
        <f>'Data Input'!A4&amp;" - "&amp;'Data Input'!B4</f>
        <v>ASSET CODE: - 1TB01003.01</v>
      </c>
      <c r="B5" s="1270"/>
      <c r="C5" s="1268"/>
      <c r="D5" s="1265"/>
      <c r="E5" s="1265"/>
      <c r="F5" s="1267"/>
      <c r="G5" s="1267"/>
      <c r="H5" s="1267"/>
      <c r="I5" s="1267"/>
      <c r="J5" s="1269"/>
      <c r="K5" s="1265"/>
      <c r="L5" s="1265"/>
      <c r="M5" s="1265"/>
      <c r="N5" s="1265"/>
      <c r="O5" s="1266"/>
      <c r="P5" s="1265"/>
      <c r="Q5" s="1265"/>
      <c r="R5" s="1271"/>
      <c r="S5" s="1265"/>
      <c r="T5" s="1265"/>
      <c r="U5" s="1267"/>
      <c r="V5" s="1265"/>
      <c r="W5" s="1265"/>
      <c r="X5" s="1265"/>
      <c r="Y5" s="1265"/>
      <c r="Z5" s="1265"/>
      <c r="AA5" s="1265"/>
      <c r="AB5" s="1265"/>
      <c r="AC5" s="1265"/>
      <c r="AD5" s="1265"/>
      <c r="AE5" s="1265"/>
    </row>
    <row r="6" spans="1:31">
      <c r="A6" s="9" t="str">
        <f>'Data Input'!A7&amp;" - "&amp;'Data Input'!B7</f>
        <v>REPORT NO: - MONTHLY REPORT NO. 49</v>
      </c>
      <c r="B6" s="1272"/>
      <c r="C6" s="1268"/>
      <c r="D6" s="1265"/>
      <c r="E6" s="1265"/>
      <c r="F6" s="1267"/>
      <c r="G6" s="1267"/>
      <c r="H6" s="1267"/>
      <c r="I6" s="1267"/>
      <c r="J6" s="1269"/>
      <c r="K6" s="1265"/>
      <c r="L6" s="1265"/>
      <c r="M6" s="1265"/>
      <c r="N6" s="1265"/>
      <c r="O6" s="1266"/>
      <c r="P6" s="1265"/>
      <c r="Q6" s="1265"/>
      <c r="R6" s="1273"/>
      <c r="S6" s="1265"/>
      <c r="T6" s="1271"/>
      <c r="U6" s="1267"/>
      <c r="V6" s="1265"/>
      <c r="W6" s="1265"/>
      <c r="X6" s="1265"/>
      <c r="Y6" s="1265"/>
      <c r="Z6" s="1265"/>
      <c r="AA6" s="1265"/>
      <c r="AB6" s="1265"/>
      <c r="AC6" s="1265"/>
      <c r="AD6" s="1265"/>
      <c r="AE6" s="1265"/>
    </row>
    <row r="7" spans="1:31">
      <c r="A7" s="9" t="str">
        <f>'Data Input'!A8&amp;" - "&amp;'Data Input'!B8</f>
        <v>REPORTING PERIOD: - OCTOBER 2026</v>
      </c>
      <c r="B7" s="1262"/>
      <c r="C7" s="1274"/>
      <c r="D7" s="1262"/>
      <c r="E7" s="1262"/>
      <c r="F7" s="1263"/>
      <c r="G7" s="1263"/>
      <c r="H7" s="1263"/>
      <c r="I7" s="1263"/>
      <c r="J7" s="1264"/>
      <c r="K7" s="1265"/>
      <c r="L7" s="1265"/>
      <c r="M7" s="1265"/>
      <c r="N7" s="1265"/>
      <c r="O7" s="1265"/>
      <c r="P7" s="1265"/>
      <c r="Q7" s="1267"/>
      <c r="R7" s="1263"/>
      <c r="S7" s="1263"/>
      <c r="T7" s="1263"/>
      <c r="U7" s="1267"/>
      <c r="V7" s="1265"/>
      <c r="W7" s="1265"/>
      <c r="X7" s="1265"/>
      <c r="Y7" s="1265"/>
      <c r="Z7" s="1265"/>
      <c r="AA7" s="1265"/>
      <c r="AB7" s="1265"/>
      <c r="AC7" s="1265"/>
      <c r="AD7" s="1265"/>
      <c r="AE7" s="1265"/>
    </row>
    <row r="8" spans="1:31" ht="13.5" thickBot="1">
      <c r="A8" s="9"/>
      <c r="B8" s="1256"/>
      <c r="C8" s="1255"/>
      <c r="D8" s="1257"/>
      <c r="E8" s="1257"/>
      <c r="F8" s="1258"/>
      <c r="G8" s="1258"/>
      <c r="H8" s="1258"/>
      <c r="I8" s="1258"/>
      <c r="J8" s="1258"/>
      <c r="K8" s="1257"/>
      <c r="L8" s="1255"/>
      <c r="M8" s="1255"/>
      <c r="N8" s="1275"/>
      <c r="O8" s="1276"/>
      <c r="P8" s="1255"/>
      <c r="Q8" s="1255"/>
      <c r="R8" s="1255"/>
      <c r="S8" s="1255"/>
      <c r="T8" s="1255"/>
      <c r="U8" s="1259"/>
      <c r="V8" s="1257"/>
      <c r="W8" s="1257"/>
      <c r="X8" s="1257"/>
      <c r="Y8" s="1257"/>
      <c r="Z8" s="1257"/>
      <c r="AA8" s="1257"/>
      <c r="AB8" s="1257"/>
      <c r="AC8" s="1257"/>
      <c r="AD8" s="1257"/>
      <c r="AE8" s="1257"/>
    </row>
    <row r="9" spans="1:31" ht="30" customHeight="1" thickBot="1">
      <c r="A9" s="1354" t="s">
        <v>2712</v>
      </c>
      <c r="B9" s="1355"/>
      <c r="C9" s="1355"/>
      <c r="D9" s="1356"/>
      <c r="E9" s="1356"/>
      <c r="F9" s="1357"/>
      <c r="G9" s="1357"/>
      <c r="H9" s="1357"/>
      <c r="I9" s="1357"/>
      <c r="J9" s="1357"/>
      <c r="K9" s="1356"/>
      <c r="L9" s="1355"/>
      <c r="M9" s="1355"/>
      <c r="N9" s="1355"/>
      <c r="O9" s="1355"/>
      <c r="P9" s="1355"/>
      <c r="Q9" s="1355"/>
      <c r="R9" s="1355"/>
      <c r="S9" s="1355"/>
      <c r="T9" s="1355"/>
      <c r="U9" s="1358"/>
      <c r="V9" s="1356"/>
      <c r="W9" s="1356"/>
      <c r="X9" s="1356"/>
      <c r="Y9" s="1356"/>
      <c r="Z9" s="1356"/>
      <c r="AA9" s="1356"/>
      <c r="AB9" s="1356"/>
      <c r="AC9" s="1356"/>
      <c r="AD9" s="1356"/>
      <c r="AE9" s="1359"/>
    </row>
    <row r="10" spans="1:31">
      <c r="A10" s="6051" t="s">
        <v>1524</v>
      </c>
      <c r="B10" s="6052"/>
      <c r="C10" s="6052"/>
      <c r="D10" s="6052"/>
      <c r="E10" s="6052"/>
      <c r="F10" s="6052"/>
      <c r="G10" s="6053"/>
      <c r="H10" s="6053"/>
      <c r="I10" s="6053"/>
      <c r="J10" s="6054"/>
      <c r="K10" s="1256"/>
      <c r="L10" s="6055" t="s">
        <v>1525</v>
      </c>
      <c r="M10" s="6056"/>
      <c r="N10" s="6056"/>
      <c r="O10" s="6056"/>
      <c r="P10" s="6056"/>
      <c r="Q10" s="6056"/>
      <c r="R10" s="6057"/>
      <c r="S10" s="6057"/>
      <c r="T10" s="6057"/>
      <c r="U10" s="6058"/>
      <c r="V10" s="1256"/>
      <c r="W10" s="6043" t="s">
        <v>1526</v>
      </c>
      <c r="X10" s="6044"/>
      <c r="Y10" s="6044"/>
      <c r="Z10" s="6044"/>
      <c r="AA10" s="6044"/>
      <c r="AB10" s="6044"/>
      <c r="AC10" s="6044"/>
      <c r="AD10" s="6044"/>
      <c r="AE10" s="6059"/>
    </row>
    <row r="11" spans="1:31" ht="60" customHeight="1">
      <c r="A11" s="1283" t="s">
        <v>1462</v>
      </c>
      <c r="B11" s="1284" t="s">
        <v>1527</v>
      </c>
      <c r="C11" s="1284" t="s">
        <v>1528</v>
      </c>
      <c r="D11" s="1285" t="s">
        <v>1744</v>
      </c>
      <c r="E11" s="1285" t="s">
        <v>1530</v>
      </c>
      <c r="F11" s="1286" t="s">
        <v>1531</v>
      </c>
      <c r="G11" s="1287" t="s">
        <v>1532</v>
      </c>
      <c r="H11" s="1287" t="s">
        <v>1533</v>
      </c>
      <c r="I11" s="1287" t="s">
        <v>1534</v>
      </c>
      <c r="J11" s="1288" t="s">
        <v>1535</v>
      </c>
      <c r="K11" s="1289"/>
      <c r="L11" s="763" t="s">
        <v>1536</v>
      </c>
      <c r="M11" s="1290" t="s">
        <v>1601</v>
      </c>
      <c r="N11" s="1290" t="s">
        <v>1530</v>
      </c>
      <c r="O11" s="1290" t="s">
        <v>1602</v>
      </c>
      <c r="P11" s="764" t="s">
        <v>1539</v>
      </c>
      <c r="Q11" s="1291" t="s">
        <v>1540</v>
      </c>
      <c r="R11" s="1292" t="s">
        <v>1541</v>
      </c>
      <c r="S11" s="1292" t="s">
        <v>1533</v>
      </c>
      <c r="T11" s="1292" t="s">
        <v>1534</v>
      </c>
      <c r="U11" s="1293" t="s">
        <v>1542</v>
      </c>
      <c r="V11" s="1256"/>
      <c r="W11" s="1294" t="s">
        <v>1543</v>
      </c>
      <c r="X11" s="1295" t="s">
        <v>1544</v>
      </c>
      <c r="Y11" s="1296" t="s">
        <v>1545</v>
      </c>
      <c r="Z11" s="1296" t="s">
        <v>1603</v>
      </c>
      <c r="AA11" s="769" t="s">
        <v>1539</v>
      </c>
      <c r="AB11" s="769" t="s">
        <v>1547</v>
      </c>
      <c r="AC11" s="769" t="s">
        <v>2538</v>
      </c>
      <c r="AD11" s="1296" t="s">
        <v>1549</v>
      </c>
      <c r="AE11" s="1297" t="s">
        <v>1550</v>
      </c>
    </row>
    <row r="12" spans="1:31" ht="17.25" customHeight="1">
      <c r="A12" s="1298"/>
      <c r="B12" s="1299"/>
      <c r="C12" s="1300"/>
      <c r="D12" s="1301"/>
      <c r="E12" s="1302" t="s">
        <v>296</v>
      </c>
      <c r="F12" s="1303" t="s">
        <v>434</v>
      </c>
      <c r="G12" s="1303" t="s">
        <v>434</v>
      </c>
      <c r="H12" s="1304">
        <v>0</v>
      </c>
      <c r="I12" s="1304">
        <v>0</v>
      </c>
      <c r="J12" s="1305" t="s">
        <v>434</v>
      </c>
      <c r="K12" s="1256"/>
      <c r="L12" s="765"/>
      <c r="M12" s="766"/>
      <c r="N12" s="1306" t="s">
        <v>296</v>
      </c>
      <c r="O12" s="766" t="s">
        <v>1551</v>
      </c>
      <c r="P12" s="1307" t="s">
        <v>1552</v>
      </c>
      <c r="Q12" s="767" t="s">
        <v>434</v>
      </c>
      <c r="R12" s="767" t="s">
        <v>434</v>
      </c>
      <c r="S12" s="1308">
        <v>0</v>
      </c>
      <c r="T12" s="1308">
        <v>0</v>
      </c>
      <c r="U12" s="768" t="s">
        <v>434</v>
      </c>
      <c r="V12" s="1256"/>
      <c r="W12" s="770"/>
      <c r="X12" s="1309" t="s">
        <v>296</v>
      </c>
      <c r="Y12" s="1309" t="s">
        <v>296</v>
      </c>
      <c r="Z12" s="1309" t="s">
        <v>1553</v>
      </c>
      <c r="AA12" s="1310" t="s">
        <v>1552</v>
      </c>
      <c r="AB12" s="1311"/>
      <c r="AC12" s="1312">
        <v>-0.05</v>
      </c>
      <c r="AD12" s="1309" t="s">
        <v>296</v>
      </c>
      <c r="AE12" s="1313" t="s">
        <v>296</v>
      </c>
    </row>
    <row r="13" spans="1:31" s="722" customFormat="1" ht="12.75" customHeight="1">
      <c r="A13" s="1314"/>
      <c r="B13" s="1314"/>
      <c r="C13" s="1314"/>
      <c r="D13" s="1314"/>
      <c r="E13" s="1314" t="s">
        <v>1481</v>
      </c>
      <c r="F13" s="1314"/>
      <c r="G13" s="1314"/>
      <c r="H13" s="1314"/>
      <c r="I13" s="1314"/>
      <c r="J13" s="1314"/>
      <c r="K13" s="1255"/>
      <c r="L13" s="1315"/>
      <c r="M13" s="1315"/>
      <c r="N13" s="1316" t="s">
        <v>1482</v>
      </c>
      <c r="O13" s="1314" t="s">
        <v>1604</v>
      </c>
      <c r="P13" s="1317" t="s">
        <v>1555</v>
      </c>
      <c r="Q13" s="1318" t="s">
        <v>1556</v>
      </c>
      <c r="R13" s="1318" t="s">
        <v>1557</v>
      </c>
      <c r="S13" s="1319" t="s">
        <v>1605</v>
      </c>
      <c r="T13" s="1319" t="s">
        <v>1606</v>
      </c>
      <c r="U13" s="1318" t="s">
        <v>1560</v>
      </c>
      <c r="V13" s="1255"/>
      <c r="W13" s="1316"/>
      <c r="X13" s="1316"/>
      <c r="Y13" s="1316" t="s">
        <v>1561</v>
      </c>
      <c r="Z13" s="1316" t="s">
        <v>1746</v>
      </c>
      <c r="AA13" s="1317" t="s">
        <v>1563</v>
      </c>
      <c r="AB13" s="1314" t="s">
        <v>1564</v>
      </c>
      <c r="AC13" s="1319" t="s">
        <v>2533</v>
      </c>
      <c r="AD13" s="1316" t="s">
        <v>1566</v>
      </c>
      <c r="AE13" s="1316"/>
    </row>
    <row r="14" spans="1:31">
      <c r="A14" s="723">
        <v>1</v>
      </c>
      <c r="B14" s="810" t="s">
        <v>1763</v>
      </c>
      <c r="C14" s="1445"/>
      <c r="D14" s="1320"/>
      <c r="E14" s="1440">
        <v>44347</v>
      </c>
      <c r="F14" s="1322">
        <v>93750</v>
      </c>
      <c r="G14" s="1444">
        <f>F14</f>
        <v>93750</v>
      </c>
      <c r="H14" s="1444">
        <f>(G14*$H$12)*-1</f>
        <v>0</v>
      </c>
      <c r="I14" s="1444">
        <f>(G14*$I$12)*-1</f>
        <v>0</v>
      </c>
      <c r="J14" s="1444">
        <f>G14+H14+I14</f>
        <v>93750</v>
      </c>
      <c r="K14" s="1256"/>
      <c r="L14" s="1510">
        <v>1</v>
      </c>
      <c r="M14" s="724" t="s">
        <v>1772</v>
      </c>
      <c r="N14" s="1321">
        <v>44750</v>
      </c>
      <c r="O14" s="1323">
        <f>E14+14</f>
        <v>44361</v>
      </c>
      <c r="P14" s="1324">
        <f>O14-N14</f>
        <v>-389</v>
      </c>
      <c r="Q14" s="1322">
        <v>93750</v>
      </c>
      <c r="R14" s="1444">
        <f>Q14</f>
        <v>93750</v>
      </c>
      <c r="S14" s="1444">
        <f>(R14*$S$12)*-1</f>
        <v>0</v>
      </c>
      <c r="T14" s="1444">
        <f>(R14*$T$12)*-1</f>
        <v>0</v>
      </c>
      <c r="U14" s="1444">
        <f>R14+S14+T14</f>
        <v>93750</v>
      </c>
      <c r="V14" s="1256"/>
      <c r="W14" s="723"/>
      <c r="X14" s="1323"/>
      <c r="Y14" s="1321"/>
      <c r="Z14" s="1321"/>
      <c r="AA14" s="1324"/>
      <c r="AB14" s="1327">
        <f>U14</f>
        <v>93750</v>
      </c>
      <c r="AC14" s="1327">
        <f>(R14+T14)*$AC$12</f>
        <v>-4687.5</v>
      </c>
      <c r="AD14" s="1327">
        <f>AB14+AC14</f>
        <v>89062.5</v>
      </c>
      <c r="AE14" s="1327">
        <f>AD14+AE13</f>
        <v>89062.5</v>
      </c>
    </row>
    <row r="15" spans="1:31">
      <c r="A15" s="723"/>
      <c r="B15" s="810"/>
      <c r="C15" s="1445"/>
      <c r="D15" s="1320"/>
      <c r="E15" s="1440"/>
      <c r="F15" s="1322"/>
      <c r="G15" s="1444"/>
      <c r="H15" s="1444"/>
      <c r="I15" s="1444"/>
      <c r="J15" s="1444"/>
      <c r="K15" s="1256"/>
      <c r="L15" s="1510"/>
      <c r="M15" s="724"/>
      <c r="N15" s="1321"/>
      <c r="O15" s="1323"/>
      <c r="P15" s="1324"/>
      <c r="Q15" s="1322"/>
      <c r="R15" s="1444"/>
      <c r="S15" s="1444"/>
      <c r="T15" s="1444"/>
      <c r="U15" s="1444"/>
      <c r="V15" s="1256"/>
      <c r="W15" s="723"/>
      <c r="X15" s="1323"/>
      <c r="Y15" s="1321"/>
      <c r="Z15" s="1321"/>
      <c r="AA15" s="1324"/>
      <c r="AB15" s="1327"/>
      <c r="AC15" s="1327"/>
      <c r="AD15" s="1327"/>
      <c r="AE15" s="1327"/>
    </row>
    <row r="16" spans="1:31">
      <c r="A16" s="723"/>
      <c r="B16" s="810"/>
      <c r="C16" s="1445"/>
      <c r="D16" s="1320"/>
      <c r="E16" s="1440"/>
      <c r="F16" s="1322"/>
      <c r="G16" s="1444"/>
      <c r="H16" s="1444"/>
      <c r="I16" s="1444"/>
      <c r="J16" s="1444"/>
      <c r="K16" s="1256"/>
      <c r="L16" s="1510"/>
      <c r="M16" s="724"/>
      <c r="N16" s="1321"/>
      <c r="O16" s="1323"/>
      <c r="P16" s="1324"/>
      <c r="Q16" s="1322"/>
      <c r="R16" s="1444"/>
      <c r="S16" s="1444"/>
      <c r="T16" s="1444"/>
      <c r="U16" s="1444"/>
      <c r="V16" s="1256"/>
      <c r="W16" s="723"/>
      <c r="X16" s="1323"/>
      <c r="Y16" s="1321"/>
      <c r="Z16" s="1321"/>
      <c r="AA16" s="1324"/>
      <c r="AB16" s="1327"/>
      <c r="AC16" s="1327"/>
      <c r="AD16" s="1327"/>
      <c r="AE16" s="1327"/>
    </row>
    <row r="17" spans="1:31">
      <c r="A17" s="723"/>
      <c r="B17" s="810"/>
      <c r="C17" s="1445"/>
      <c r="D17" s="1320"/>
      <c r="E17" s="1440"/>
      <c r="F17" s="1322"/>
      <c r="G17" s="1444"/>
      <c r="H17" s="1444"/>
      <c r="I17" s="1444"/>
      <c r="J17" s="1444"/>
      <c r="K17" s="1256"/>
      <c r="L17" s="1510"/>
      <c r="M17" s="724"/>
      <c r="N17" s="1321"/>
      <c r="O17" s="1323"/>
      <c r="P17" s="1324"/>
      <c r="Q17" s="1322"/>
      <c r="R17" s="1444"/>
      <c r="S17" s="1444"/>
      <c r="T17" s="1444"/>
      <c r="U17" s="1444"/>
      <c r="V17" s="1256"/>
      <c r="W17" s="723"/>
      <c r="X17" s="1323"/>
      <c r="Y17" s="1321"/>
      <c r="Z17" s="1321"/>
      <c r="AA17" s="1324"/>
      <c r="AB17" s="1327"/>
      <c r="AC17" s="1327"/>
      <c r="AD17" s="1327"/>
      <c r="AE17" s="1327"/>
    </row>
    <row r="18" spans="1:31">
      <c r="A18" s="723"/>
      <c r="B18" s="810"/>
      <c r="C18" s="1445"/>
      <c r="D18" s="1320"/>
      <c r="E18" s="1440"/>
      <c r="F18" s="1322"/>
      <c r="G18" s="1444"/>
      <c r="H18" s="1444"/>
      <c r="I18" s="1444"/>
      <c r="J18" s="1444"/>
      <c r="K18" s="1256"/>
      <c r="L18" s="1510"/>
      <c r="M18" s="724"/>
      <c r="N18" s="1321"/>
      <c r="O18" s="1323"/>
      <c r="P18" s="1324"/>
      <c r="Q18" s="1322"/>
      <c r="R18" s="1444"/>
      <c r="S18" s="1444"/>
      <c r="T18" s="1444"/>
      <c r="U18" s="1444"/>
      <c r="V18" s="1256"/>
      <c r="W18" s="723"/>
      <c r="X18" s="1323"/>
      <c r="Y18" s="1321"/>
      <c r="Z18" s="1321"/>
      <c r="AA18" s="1324"/>
      <c r="AB18" s="1327"/>
      <c r="AC18" s="1327"/>
      <c r="AD18" s="1327"/>
      <c r="AE18" s="1327"/>
    </row>
    <row r="19" spans="1:31">
      <c r="A19" s="723"/>
      <c r="B19" s="810"/>
      <c r="C19" s="1445"/>
      <c r="D19" s="1320"/>
      <c r="E19" s="1440"/>
      <c r="F19" s="1322"/>
      <c r="G19" s="1444"/>
      <c r="H19" s="1444"/>
      <c r="I19" s="1444"/>
      <c r="J19" s="1444"/>
      <c r="K19" s="1256"/>
      <c r="L19" s="1510"/>
      <c r="M19" s="724"/>
      <c r="N19" s="1321"/>
      <c r="O19" s="1323"/>
      <c r="P19" s="1324"/>
      <c r="Q19" s="1322"/>
      <c r="R19" s="1444"/>
      <c r="S19" s="1444"/>
      <c r="T19" s="1444"/>
      <c r="U19" s="1444"/>
      <c r="V19" s="1256"/>
      <c r="W19" s="723"/>
      <c r="X19" s="1323"/>
      <c r="Y19" s="1321"/>
      <c r="Z19" s="1321"/>
      <c r="AA19" s="1324"/>
      <c r="AB19" s="1327"/>
      <c r="AC19" s="1327"/>
      <c r="AD19" s="1327"/>
      <c r="AE19" s="1327"/>
    </row>
    <row r="20" spans="1:31">
      <c r="A20" s="723"/>
      <c r="B20" s="810"/>
      <c r="C20" s="1445"/>
      <c r="D20" s="1320"/>
      <c r="E20" s="1440"/>
      <c r="F20" s="1322"/>
      <c r="G20" s="1444"/>
      <c r="H20" s="1444"/>
      <c r="I20" s="1444"/>
      <c r="J20" s="1444"/>
      <c r="K20" s="1256"/>
      <c r="L20" s="1510"/>
      <c r="M20" s="724"/>
      <c r="N20" s="1321"/>
      <c r="O20" s="1323"/>
      <c r="P20" s="1324"/>
      <c r="Q20" s="1322"/>
      <c r="R20" s="1444"/>
      <c r="S20" s="1444"/>
      <c r="T20" s="1444"/>
      <c r="U20" s="1444"/>
      <c r="V20" s="1256"/>
      <c r="W20" s="723"/>
      <c r="X20" s="1323"/>
      <c r="Y20" s="1321"/>
      <c r="Z20" s="1321"/>
      <c r="AA20" s="1324"/>
      <c r="AB20" s="1327"/>
      <c r="AC20" s="1327"/>
      <c r="AD20" s="1327"/>
      <c r="AE20" s="1327"/>
    </row>
    <row r="21" spans="1:31">
      <c r="A21" s="723"/>
      <c r="B21" s="810"/>
      <c r="C21" s="1445"/>
      <c r="D21" s="1320"/>
      <c r="E21" s="1440"/>
      <c r="F21" s="1322"/>
      <c r="G21" s="1444"/>
      <c r="H21" s="1444"/>
      <c r="I21" s="1444"/>
      <c r="J21" s="1444"/>
      <c r="K21" s="1256"/>
      <c r="L21" s="1510"/>
      <c r="M21" s="724"/>
      <c r="N21" s="1321"/>
      <c r="O21" s="1323"/>
      <c r="P21" s="1324"/>
      <c r="Q21" s="1322"/>
      <c r="R21" s="1444"/>
      <c r="S21" s="1444"/>
      <c r="T21" s="1444"/>
      <c r="U21" s="1444"/>
      <c r="V21" s="1256"/>
      <c r="W21" s="723"/>
      <c r="X21" s="1323"/>
      <c r="Y21" s="1321"/>
      <c r="Z21" s="1321"/>
      <c r="AA21" s="1324"/>
      <c r="AB21" s="1327"/>
      <c r="AC21" s="1327"/>
      <c r="AD21" s="1327"/>
      <c r="AE21" s="1327"/>
    </row>
    <row r="22" spans="1:31">
      <c r="A22" s="723"/>
      <c r="B22" s="810"/>
      <c r="C22" s="1445"/>
      <c r="D22" s="1320"/>
      <c r="E22" s="1440"/>
      <c r="F22" s="1322"/>
      <c r="G22" s="1444"/>
      <c r="H22" s="1444"/>
      <c r="I22" s="1444"/>
      <c r="J22" s="1444"/>
      <c r="K22" s="1256"/>
      <c r="L22" s="1510"/>
      <c r="M22" s="724"/>
      <c r="N22" s="1321"/>
      <c r="O22" s="1323"/>
      <c r="P22" s="1324"/>
      <c r="Q22" s="1322"/>
      <c r="R22" s="1444"/>
      <c r="S22" s="1444"/>
      <c r="T22" s="1444"/>
      <c r="U22" s="1444"/>
      <c r="V22" s="1256"/>
      <c r="W22" s="723"/>
      <c r="X22" s="1323"/>
      <c r="Y22" s="1321"/>
      <c r="Z22" s="1321"/>
      <c r="AA22" s="1324"/>
      <c r="AB22" s="1327"/>
      <c r="AC22" s="1327"/>
      <c r="AD22" s="1327"/>
      <c r="AE22" s="1327"/>
    </row>
    <row r="23" spans="1:31">
      <c r="A23" s="723"/>
      <c r="B23" s="810"/>
      <c r="C23" s="1445"/>
      <c r="D23" s="1320"/>
      <c r="E23" s="1440"/>
      <c r="F23" s="1322"/>
      <c r="G23" s="1444"/>
      <c r="H23" s="1444"/>
      <c r="I23" s="1444"/>
      <c r="J23" s="1444"/>
      <c r="K23" s="1256"/>
      <c r="L23" s="1510"/>
      <c r="M23" s="724"/>
      <c r="N23" s="1321"/>
      <c r="O23" s="1323"/>
      <c r="P23" s="1324"/>
      <c r="Q23" s="1322"/>
      <c r="R23" s="1444"/>
      <c r="S23" s="1444"/>
      <c r="T23" s="1444"/>
      <c r="U23" s="1444"/>
      <c r="V23" s="1256"/>
      <c r="W23" s="723"/>
      <c r="X23" s="1323"/>
      <c r="Y23" s="1321"/>
      <c r="Z23" s="1321"/>
      <c r="AA23" s="1324"/>
      <c r="AB23" s="1327"/>
      <c r="AC23" s="1327"/>
      <c r="AD23" s="1327"/>
      <c r="AE23" s="1327"/>
    </row>
    <row r="24" spans="1:31">
      <c r="A24" s="723"/>
      <c r="B24" s="810"/>
      <c r="C24" s="1445"/>
      <c r="D24" s="1320"/>
      <c r="E24" s="1440"/>
      <c r="F24" s="1322"/>
      <c r="G24" s="1444"/>
      <c r="H24" s="1444"/>
      <c r="I24" s="1444"/>
      <c r="J24" s="1444"/>
      <c r="K24" s="1256"/>
      <c r="L24" s="1510"/>
      <c r="M24" s="724"/>
      <c r="N24" s="1321"/>
      <c r="O24" s="1323"/>
      <c r="P24" s="1324"/>
      <c r="Q24" s="1322"/>
      <c r="R24" s="1444"/>
      <c r="S24" s="1444"/>
      <c r="T24" s="1444"/>
      <c r="U24" s="1444"/>
      <c r="V24" s="1256"/>
      <c r="W24" s="723"/>
      <c r="X24" s="1323"/>
      <c r="Y24" s="1321"/>
      <c r="Z24" s="1321"/>
      <c r="AA24" s="1324"/>
      <c r="AB24" s="1327"/>
      <c r="AC24" s="1327"/>
      <c r="AD24" s="1327"/>
      <c r="AE24" s="1327"/>
    </row>
    <row r="25" spans="1:31">
      <c r="A25" s="723"/>
      <c r="B25" s="810"/>
      <c r="C25" s="1445"/>
      <c r="D25" s="1320"/>
      <c r="E25" s="1440"/>
      <c r="F25" s="1322"/>
      <c r="G25" s="1322"/>
      <c r="H25" s="1322"/>
      <c r="I25" s="1322"/>
      <c r="J25" s="1322"/>
      <c r="K25" s="1256"/>
      <c r="L25" s="1443"/>
      <c r="M25" s="724"/>
      <c r="N25" s="1321"/>
      <c r="O25" s="1323"/>
      <c r="P25" s="1324"/>
      <c r="Q25" s="1322"/>
      <c r="R25" s="1444"/>
      <c r="S25" s="1444"/>
      <c r="T25" s="1444"/>
      <c r="U25" s="1328"/>
      <c r="V25" s="1256"/>
      <c r="W25" s="723"/>
      <c r="X25" s="1323"/>
      <c r="Y25" s="1321"/>
      <c r="Z25" s="1321"/>
      <c r="AA25" s="1324"/>
      <c r="AB25" s="1327"/>
      <c r="AC25" s="1327"/>
      <c r="AD25" s="1327"/>
      <c r="AE25" s="1327"/>
    </row>
    <row r="26" spans="1:31">
      <c r="A26" s="723"/>
      <c r="B26" s="810"/>
      <c r="C26" s="1445"/>
      <c r="D26" s="1320"/>
      <c r="E26" s="1440"/>
      <c r="F26" s="1322"/>
      <c r="G26" s="1322"/>
      <c r="H26" s="1322"/>
      <c r="I26" s="1322"/>
      <c r="J26" s="1322"/>
      <c r="K26" s="1256"/>
      <c r="L26" s="1443"/>
      <c r="M26" s="724"/>
      <c r="N26" s="1321"/>
      <c r="O26" s="1323"/>
      <c r="P26" s="1324"/>
      <c r="Q26" s="1322"/>
      <c r="R26" s="1444"/>
      <c r="S26" s="1444"/>
      <c r="T26" s="1444"/>
      <c r="U26" s="1328"/>
      <c r="V26" s="1256"/>
      <c r="W26" s="723"/>
      <c r="X26" s="1323"/>
      <c r="Y26" s="1321"/>
      <c r="Z26" s="1321"/>
      <c r="AA26" s="1324"/>
      <c r="AB26" s="1327"/>
      <c r="AC26" s="1327"/>
      <c r="AD26" s="1327"/>
      <c r="AE26" s="1327"/>
    </row>
    <row r="27" spans="1:31">
      <c r="A27" s="723"/>
      <c r="B27" s="810"/>
      <c r="C27" s="1445"/>
      <c r="D27" s="1320"/>
      <c r="E27" s="1440"/>
      <c r="F27" s="1322"/>
      <c r="G27" s="1322"/>
      <c r="H27" s="1322"/>
      <c r="I27" s="1322"/>
      <c r="J27" s="1322"/>
      <c r="K27" s="1256"/>
      <c r="L27" s="1443"/>
      <c r="M27" s="724"/>
      <c r="N27" s="1321"/>
      <c r="O27" s="1323"/>
      <c r="P27" s="1324"/>
      <c r="Q27" s="1322"/>
      <c r="R27" s="1444"/>
      <c r="S27" s="1444"/>
      <c r="T27" s="1444"/>
      <c r="U27" s="1328"/>
      <c r="V27" s="1256"/>
      <c r="W27" s="723"/>
      <c r="X27" s="1323"/>
      <c r="Y27" s="1321"/>
      <c r="Z27" s="1321"/>
      <c r="AA27" s="1324"/>
      <c r="AB27" s="1327"/>
      <c r="AC27" s="1327"/>
      <c r="AD27" s="1327"/>
      <c r="AE27" s="1327"/>
    </row>
    <row r="28" spans="1:31">
      <c r="A28" s="723"/>
      <c r="B28" s="810"/>
      <c r="C28" s="1445"/>
      <c r="D28" s="1320"/>
      <c r="E28" s="1440"/>
      <c r="F28" s="1322"/>
      <c r="G28" s="1322"/>
      <c r="H28" s="1322"/>
      <c r="I28" s="1322"/>
      <c r="J28" s="1322"/>
      <c r="K28" s="1256"/>
      <c r="L28" s="1443"/>
      <c r="M28" s="724"/>
      <c r="N28" s="1321"/>
      <c r="O28" s="1323"/>
      <c r="P28" s="1324"/>
      <c r="Q28" s="1322"/>
      <c r="R28" s="1444"/>
      <c r="S28" s="1444"/>
      <c r="T28" s="1444"/>
      <c r="U28" s="1328"/>
      <c r="V28" s="1256"/>
      <c r="W28" s="723"/>
      <c r="X28" s="1323"/>
      <c r="Y28" s="1321"/>
      <c r="Z28" s="1321"/>
      <c r="AA28" s="1324"/>
      <c r="AB28" s="1327"/>
      <c r="AC28" s="1327"/>
      <c r="AD28" s="1327"/>
      <c r="AE28" s="1327"/>
    </row>
    <row r="29" spans="1:31">
      <c r="A29" s="723"/>
      <c r="B29" s="810"/>
      <c r="C29" s="1445"/>
      <c r="D29" s="1320"/>
      <c r="E29" s="1440"/>
      <c r="F29" s="1322"/>
      <c r="G29" s="1322"/>
      <c r="H29" s="1322"/>
      <c r="I29" s="1322"/>
      <c r="J29" s="1322"/>
      <c r="K29" s="1256"/>
      <c r="L29" s="1443"/>
      <c r="M29" s="724"/>
      <c r="N29" s="1321"/>
      <c r="O29" s="1323"/>
      <c r="P29" s="1324"/>
      <c r="Q29" s="1322"/>
      <c r="R29" s="1444"/>
      <c r="S29" s="1444"/>
      <c r="T29" s="1444"/>
      <c r="U29" s="1328"/>
      <c r="V29" s="1256"/>
      <c r="W29" s="723"/>
      <c r="X29" s="1323"/>
      <c r="Y29" s="1321"/>
      <c r="Z29" s="1321"/>
      <c r="AA29" s="1324"/>
      <c r="AB29" s="1327"/>
      <c r="AC29" s="1327"/>
      <c r="AD29" s="1327"/>
      <c r="AE29" s="1327"/>
    </row>
    <row r="30" spans="1:31">
      <c r="A30" s="723"/>
      <c r="B30" s="810"/>
      <c r="C30" s="1445"/>
      <c r="D30" s="1320"/>
      <c r="E30" s="1440"/>
      <c r="F30" s="1322"/>
      <c r="G30" s="1322"/>
      <c r="H30" s="1322"/>
      <c r="I30" s="1322"/>
      <c r="J30" s="1322"/>
      <c r="K30" s="1256"/>
      <c r="L30" s="1443"/>
      <c r="M30" s="724"/>
      <c r="N30" s="1321"/>
      <c r="O30" s="1323"/>
      <c r="P30" s="1324"/>
      <c r="Q30" s="1322"/>
      <c r="R30" s="1444"/>
      <c r="S30" s="1444"/>
      <c r="T30" s="1444"/>
      <c r="U30" s="1328"/>
      <c r="V30" s="1256"/>
      <c r="W30" s="723"/>
      <c r="X30" s="1323"/>
      <c r="Y30" s="1321"/>
      <c r="Z30" s="1321"/>
      <c r="AA30" s="1324"/>
      <c r="AB30" s="1327"/>
      <c r="AC30" s="1327"/>
      <c r="AD30" s="1327"/>
      <c r="AE30" s="1327"/>
    </row>
    <row r="31" spans="1:31">
      <c r="A31" s="723"/>
      <c r="B31" s="810"/>
      <c r="C31" s="1445"/>
      <c r="D31" s="1320"/>
      <c r="E31" s="1440"/>
      <c r="F31" s="1322"/>
      <c r="G31" s="1322"/>
      <c r="H31" s="1322"/>
      <c r="I31" s="1322"/>
      <c r="J31" s="1322"/>
      <c r="K31" s="1256"/>
      <c r="L31" s="1443"/>
      <c r="M31" s="724"/>
      <c r="N31" s="1321"/>
      <c r="O31" s="1323"/>
      <c r="P31" s="1324"/>
      <c r="Q31" s="1322"/>
      <c r="R31" s="1444"/>
      <c r="S31" s="1444"/>
      <c r="T31" s="1444"/>
      <c r="U31" s="1328"/>
      <c r="V31" s="1256"/>
      <c r="W31" s="723"/>
      <c r="X31" s="1323"/>
      <c r="Y31" s="1321"/>
      <c r="Z31" s="1321"/>
      <c r="AA31" s="1324"/>
      <c r="AB31" s="1327"/>
      <c r="AC31" s="1327"/>
      <c r="AD31" s="1327"/>
      <c r="AE31" s="1327"/>
    </row>
    <row r="32" spans="1:31">
      <c r="A32" s="723"/>
      <c r="B32" s="810"/>
      <c r="C32" s="1445"/>
      <c r="D32" s="1320"/>
      <c r="E32" s="1440"/>
      <c r="F32" s="1322"/>
      <c r="G32" s="1322"/>
      <c r="H32" s="1322"/>
      <c r="I32" s="1322"/>
      <c r="J32" s="1322"/>
      <c r="K32" s="1256"/>
      <c r="L32" s="1443"/>
      <c r="M32" s="724"/>
      <c r="N32" s="1321"/>
      <c r="O32" s="1323"/>
      <c r="P32" s="1324"/>
      <c r="Q32" s="1322"/>
      <c r="R32" s="1444"/>
      <c r="S32" s="1444"/>
      <c r="T32" s="1444"/>
      <c r="U32" s="1328"/>
      <c r="V32" s="1256"/>
      <c r="W32" s="723"/>
      <c r="X32" s="1323"/>
      <c r="Y32" s="1321"/>
      <c r="Z32" s="1321"/>
      <c r="AA32" s="1324"/>
      <c r="AB32" s="1327"/>
      <c r="AC32" s="1327"/>
      <c r="AD32" s="1327"/>
      <c r="AE32" s="1327"/>
    </row>
    <row r="33" spans="1:31">
      <c r="A33" s="723"/>
      <c r="B33" s="810"/>
      <c r="C33" s="1445"/>
      <c r="D33" s="1320"/>
      <c r="E33" s="1440"/>
      <c r="F33" s="1322"/>
      <c r="G33" s="1322"/>
      <c r="H33" s="1322"/>
      <c r="I33" s="1322"/>
      <c r="J33" s="1322"/>
      <c r="K33" s="1256"/>
      <c r="L33" s="1443"/>
      <c r="M33" s="724"/>
      <c r="N33" s="1321"/>
      <c r="O33" s="1323"/>
      <c r="P33" s="1324"/>
      <c r="Q33" s="1322"/>
      <c r="R33" s="1444"/>
      <c r="S33" s="1444"/>
      <c r="T33" s="1444"/>
      <c r="U33" s="1328"/>
      <c r="V33" s="1256"/>
      <c r="W33" s="723"/>
      <c r="X33" s="1323"/>
      <c r="Y33" s="1321"/>
      <c r="Z33" s="1321"/>
      <c r="AA33" s="1324"/>
      <c r="AB33" s="1327"/>
      <c r="AC33" s="1327"/>
      <c r="AD33" s="1327"/>
      <c r="AE33" s="1327"/>
    </row>
    <row r="34" spans="1:31">
      <c r="A34" s="723"/>
      <c r="B34" s="810"/>
      <c r="C34" s="1445"/>
      <c r="D34" s="1320"/>
      <c r="E34" s="1440"/>
      <c r="F34" s="1322"/>
      <c r="G34" s="1322"/>
      <c r="H34" s="1322"/>
      <c r="I34" s="1322"/>
      <c r="J34" s="1322"/>
      <c r="K34" s="1256"/>
      <c r="L34" s="1443"/>
      <c r="M34" s="724"/>
      <c r="N34" s="1321"/>
      <c r="O34" s="1323"/>
      <c r="P34" s="1324"/>
      <c r="Q34" s="1322"/>
      <c r="R34" s="1444"/>
      <c r="S34" s="1444"/>
      <c r="T34" s="1444"/>
      <c r="U34" s="1328"/>
      <c r="V34" s="1256"/>
      <c r="W34" s="723"/>
      <c r="X34" s="1323"/>
      <c r="Y34" s="1321"/>
      <c r="Z34" s="1321"/>
      <c r="AA34" s="1324"/>
      <c r="AB34" s="1327"/>
      <c r="AC34" s="1327"/>
      <c r="AD34" s="1327"/>
      <c r="AE34" s="1327"/>
    </row>
    <row r="35" spans="1:31">
      <c r="A35" s="723"/>
      <c r="B35" s="810"/>
      <c r="C35" s="1445"/>
      <c r="D35" s="1320"/>
      <c r="E35" s="1441"/>
      <c r="F35" s="1322"/>
      <c r="G35" s="1322"/>
      <c r="H35" s="1322"/>
      <c r="I35" s="1322"/>
      <c r="J35" s="1322"/>
      <c r="K35" s="1256"/>
      <c r="L35" s="1443"/>
      <c r="M35" s="724"/>
      <c r="N35" s="1321"/>
      <c r="O35" s="1323"/>
      <c r="P35" s="1324"/>
      <c r="Q35" s="1322"/>
      <c r="R35" s="1444"/>
      <c r="S35" s="1444"/>
      <c r="T35" s="1444"/>
      <c r="U35" s="1328"/>
      <c r="V35" s="1256"/>
      <c r="W35" s="723"/>
      <c r="X35" s="1323"/>
      <c r="Y35" s="1321"/>
      <c r="Z35" s="1321"/>
      <c r="AA35" s="1324"/>
      <c r="AB35" s="1327"/>
      <c r="AC35" s="1327"/>
      <c r="AD35" s="1327"/>
      <c r="AE35" s="1327"/>
    </row>
    <row r="36" spans="1:31">
      <c r="A36" s="1329"/>
      <c r="B36" s="1330"/>
      <c r="C36" s="1440"/>
      <c r="D36" s="1331"/>
      <c r="E36" s="1442"/>
      <c r="F36" s="1332"/>
      <c r="G36" s="1332"/>
      <c r="H36" s="1332"/>
      <c r="I36" s="1332"/>
      <c r="J36" s="1332"/>
      <c r="K36" s="1256"/>
      <c r="L36" s="1329"/>
      <c r="M36" s="1333"/>
      <c r="N36" s="1334"/>
      <c r="O36" s="1334"/>
      <c r="P36" s="1335"/>
      <c r="Q36" s="1322"/>
      <c r="R36" s="1333"/>
      <c r="S36" s="1333"/>
      <c r="T36" s="1333"/>
      <c r="U36" s="1336"/>
      <c r="V36" s="1256"/>
      <c r="W36" s="1329"/>
      <c r="X36" s="1337"/>
      <c r="Y36" s="1334"/>
      <c r="Z36" s="1334"/>
      <c r="AA36" s="1334"/>
      <c r="AB36" s="1329"/>
      <c r="AC36" s="1337"/>
      <c r="AD36" s="1334"/>
      <c r="AE36" s="1334"/>
    </row>
    <row r="37" spans="1:31" ht="24.75" customHeight="1" collapsed="1" thickBot="1">
      <c r="A37" s="6045" t="s">
        <v>1522</v>
      </c>
      <c r="B37" s="6046"/>
      <c r="C37" s="6046"/>
      <c r="D37" s="6046"/>
      <c r="E37" s="6046"/>
      <c r="F37" s="6047"/>
      <c r="G37" s="1338">
        <f>SUM(G14:G36)</f>
        <v>93750</v>
      </c>
      <c r="H37" s="1338">
        <f>SUM(H14:H36)</f>
        <v>0</v>
      </c>
      <c r="I37" s="1338">
        <f>SUM(I14:I36)</f>
        <v>0</v>
      </c>
      <c r="J37" s="1338">
        <f>SUM(J14:J36)</f>
        <v>93750</v>
      </c>
      <c r="K37" s="1256"/>
      <c r="L37" s="1339" t="s">
        <v>1522</v>
      </c>
      <c r="M37" s="1340"/>
      <c r="N37" s="1340"/>
      <c r="O37" s="1340"/>
      <c r="P37" s="1340"/>
      <c r="Q37" s="1340"/>
      <c r="R37" s="1341">
        <f>SUM(R14:R36)</f>
        <v>93750</v>
      </c>
      <c r="S37" s="1338">
        <f>SUM(S14:S36)</f>
        <v>0</v>
      </c>
      <c r="T37" s="1338">
        <f>SUM(T14:T36)</f>
        <v>0</v>
      </c>
      <c r="U37" s="1338">
        <f>SUM(U14:U36)</f>
        <v>93750</v>
      </c>
      <c r="V37" s="1256"/>
      <c r="W37" s="1342" t="s">
        <v>1522</v>
      </c>
      <c r="X37" s="1343"/>
      <c r="Y37" s="1343"/>
      <c r="Z37" s="1343"/>
      <c r="AA37" s="1343"/>
      <c r="AB37" s="1341">
        <f>SUM(AB14:AB36)</f>
        <v>93750</v>
      </c>
      <c r="AC37" s="1338">
        <f>SUM(AC14:AC36)</f>
        <v>-4687.5</v>
      </c>
      <c r="AD37" s="1338">
        <f>SUM(AD14:AD36)</f>
        <v>89062.5</v>
      </c>
      <c r="AE37" s="1338">
        <f>+AE14</f>
        <v>89062.5</v>
      </c>
    </row>
    <row r="38" spans="1:31">
      <c r="A38" s="1360"/>
      <c r="B38" s="1256"/>
      <c r="C38" s="1255"/>
      <c r="D38" s="1257"/>
      <c r="E38" s="1361"/>
      <c r="F38" s="1258"/>
      <c r="G38" s="1258"/>
      <c r="H38" s="1258"/>
      <c r="I38" s="1258"/>
      <c r="J38" s="1258"/>
      <c r="K38" s="1256"/>
      <c r="L38" s="1360"/>
      <c r="M38" s="1360"/>
      <c r="N38" s="1362"/>
      <c r="O38" s="1362"/>
      <c r="P38" s="1362"/>
      <c r="Q38" s="1360"/>
      <c r="R38" s="1360"/>
      <c r="S38" s="1360"/>
      <c r="T38" s="1360"/>
      <c r="U38" s="1363"/>
      <c r="V38" s="1256"/>
      <c r="W38" s="1360"/>
      <c r="X38" s="1364"/>
      <c r="Y38" s="1362"/>
      <c r="Z38" s="1362"/>
      <c r="AA38" s="1362"/>
      <c r="AB38" s="1360"/>
      <c r="AC38" s="1364"/>
      <c r="AD38" s="1362"/>
      <c r="AE38" s="1362"/>
    </row>
    <row r="39" spans="1:31">
      <c r="A39" s="1360"/>
      <c r="B39" s="1256"/>
      <c r="C39" s="1255"/>
      <c r="D39" s="1257"/>
      <c r="E39" s="1361"/>
      <c r="F39" s="1258"/>
      <c r="G39" s="1258"/>
      <c r="H39" s="1258"/>
      <c r="I39" s="1258"/>
      <c r="J39" s="1258"/>
      <c r="K39" s="1256"/>
      <c r="L39" s="1360"/>
      <c r="M39" s="1360"/>
      <c r="N39" s="1362"/>
      <c r="O39" s="1362"/>
      <c r="P39" s="1257"/>
      <c r="Q39" s="1258"/>
      <c r="R39" s="1258"/>
      <c r="S39" s="1258"/>
      <c r="T39" s="1258"/>
      <c r="U39" s="1258"/>
      <c r="V39" s="1256"/>
      <c r="W39" s="1360"/>
      <c r="X39" s="1364"/>
      <c r="Y39" s="1362"/>
      <c r="Z39" s="1362"/>
      <c r="AA39" s="1362"/>
      <c r="AB39" s="1360"/>
      <c r="AC39" s="1364"/>
      <c r="AD39" s="1362"/>
      <c r="AE39" s="1362"/>
    </row>
    <row r="40" spans="1:31">
      <c r="A40" s="1365"/>
      <c r="B40" s="1256"/>
      <c r="C40" s="1255"/>
      <c r="D40" s="1257"/>
      <c r="E40" s="1361"/>
      <c r="F40" s="1366"/>
      <c r="G40" s="1366"/>
      <c r="H40" s="1366"/>
      <c r="I40" s="1366"/>
      <c r="J40" s="1258"/>
      <c r="K40" s="1256"/>
      <c r="L40" s="1365"/>
      <c r="M40" s="1365">
        <f>403092.61/11085046.72</f>
        <v>3.6363636544059594E-2</v>
      </c>
      <c r="N40" s="1365"/>
      <c r="O40" s="1365"/>
      <c r="P40" s="1257"/>
      <c r="Q40" s="1366"/>
      <c r="R40" s="1366"/>
      <c r="S40" s="1366"/>
      <c r="T40" s="1366"/>
      <c r="U40" s="1366"/>
      <c r="V40" s="1256"/>
      <c r="W40" s="1365"/>
      <c r="X40" s="1365"/>
      <c r="Y40" s="1362"/>
      <c r="Z40" s="1362"/>
      <c r="AA40" s="1362"/>
      <c r="AB40" s="1365"/>
      <c r="AC40" s="1365"/>
      <c r="AD40" s="1362"/>
      <c r="AE40" s="1362"/>
    </row>
    <row r="41" spans="1:31">
      <c r="D41" s="1257"/>
      <c r="E41" s="153">
        <v>44197</v>
      </c>
      <c r="F41" s="1366"/>
      <c r="P41" s="1257"/>
      <c r="Q41" s="1366"/>
      <c r="R41" s="1366"/>
      <c r="S41" s="1366"/>
      <c r="T41" s="1366"/>
      <c r="U41" s="1366"/>
      <c r="Z41" s="153">
        <v>44094</v>
      </c>
      <c r="AB41" s="1367"/>
    </row>
    <row r="42" spans="1:31">
      <c r="D42" s="1257"/>
      <c r="E42" s="153">
        <f>E41-45</f>
        <v>44152</v>
      </c>
      <c r="F42" s="1366"/>
      <c r="P42" s="1257"/>
      <c r="Q42" s="1366"/>
      <c r="R42" s="1366"/>
      <c r="S42" s="1366"/>
      <c r="T42" s="1366"/>
      <c r="U42" s="1366"/>
      <c r="Z42" s="153">
        <f>Z41-45</f>
        <v>44049</v>
      </c>
    </row>
    <row r="43" spans="1:31">
      <c r="D43" s="1257"/>
      <c r="F43" s="1366"/>
      <c r="H43" s="153">
        <v>43986</v>
      </c>
      <c r="R43" s="652"/>
      <c r="S43" s="652"/>
      <c r="T43" s="652"/>
      <c r="U43" s="652"/>
    </row>
  </sheetData>
  <mergeCells count="4">
    <mergeCell ref="A10:J10"/>
    <mergeCell ref="L10:U10"/>
    <mergeCell ref="W10:AE10"/>
    <mergeCell ref="A37:F37"/>
  </mergeCells>
  <printOptions horizontalCentered="1"/>
  <pageMargins left="0.25" right="0.25" top="0.75" bottom="0.75" header="0.3" footer="0.3"/>
  <pageSetup paperSize="8" scale="70" fitToHeight="2" orientation="landscape" r:id="rId1"/>
  <headerFooter>
    <oddHeader>&amp;C&amp;"Calibri,Bold"&amp;18MONTHLY REPORT - INVOICE &amp; PAYMENT TRACKING LOG (ATM - APPLIED TECHNOLOGY)</oddHeader>
    <oddFooter>&amp;L1TB.01.003.01 - AYC 
MARCH'26 REPORT&amp;C&amp;A&amp;RPage &amp;P of &amp;N</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6D42E-1E20-4FEE-8172-5FB249E48878}">
  <sheetPr codeName="Sheet18">
    <tabColor theme="7" tint="0.39997558519241921"/>
    <pageSetUpPr fitToPage="1"/>
  </sheetPr>
  <dimension ref="A1:AH46"/>
  <sheetViews>
    <sheetView showGridLines="0" view="pageBreakPreview" zoomScale="80" zoomScaleNormal="100" zoomScaleSheetLayoutView="80" workbookViewId="0">
      <selection activeCell="C43" sqref="C43"/>
    </sheetView>
  </sheetViews>
  <sheetFormatPr defaultColWidth="9" defaultRowHeight="12.75"/>
  <cols>
    <col min="1" max="1" width="10.85546875" customWidth="1"/>
    <col min="2" max="2" width="10.42578125" customWidth="1"/>
    <col min="3" max="3" width="10" customWidth="1"/>
    <col min="4" max="4" width="18.85546875" bestFit="1" customWidth="1"/>
    <col min="5" max="5" width="9.85546875" bestFit="1" customWidth="1"/>
    <col min="6" max="6" width="11.85546875" bestFit="1" customWidth="1"/>
    <col min="7" max="7" width="13" customWidth="1"/>
    <col min="8" max="9" width="11.42578125" bestFit="1" customWidth="1"/>
    <col min="10" max="10" width="13.85546875" customWidth="1"/>
    <col min="11" max="11" width="0.85546875" customWidth="1"/>
    <col min="12" max="12" width="6" customWidth="1"/>
    <col min="13" max="13" width="14.85546875" customWidth="1"/>
    <col min="14" max="15" width="9" customWidth="1"/>
    <col min="16" max="16" width="7.85546875" customWidth="1"/>
    <col min="17" max="17" width="13.85546875" customWidth="1"/>
    <col min="18" max="18" width="15.5703125" customWidth="1"/>
    <col min="19" max="19" width="12.85546875" customWidth="1"/>
    <col min="20" max="20" width="12.42578125" customWidth="1"/>
    <col min="21" max="21" width="14.5703125" customWidth="1"/>
    <col min="22" max="22" width="0.85546875" customWidth="1"/>
    <col min="23" max="23" width="18.5703125" bestFit="1" customWidth="1"/>
    <col min="24" max="24" width="9" bestFit="1" customWidth="1"/>
    <col min="25" max="25" width="9.85546875" bestFit="1" customWidth="1"/>
    <col min="26" max="26" width="10" customWidth="1"/>
    <col min="27" max="27" width="7" customWidth="1"/>
    <col min="28" max="28" width="12.42578125" customWidth="1"/>
    <col min="29" max="29" width="13.5703125" customWidth="1"/>
    <col min="30" max="31" width="14" customWidth="1"/>
    <col min="34" max="34" width="9.42578125" bestFit="1" customWidth="1"/>
  </cols>
  <sheetData>
    <row r="1" spans="1:31">
      <c r="A1" s="1255"/>
      <c r="B1" s="1256"/>
      <c r="C1" s="1255"/>
      <c r="D1" s="1257"/>
      <c r="E1" s="1257"/>
      <c r="F1" s="1258"/>
      <c r="G1" s="1258"/>
      <c r="H1" s="1258"/>
      <c r="I1" s="1258"/>
      <c r="J1" s="1258"/>
      <c r="K1" s="1257"/>
      <c r="L1" s="1255"/>
      <c r="M1" s="1255"/>
      <c r="N1" s="1255"/>
      <c r="O1" s="1255"/>
      <c r="P1" s="1255"/>
      <c r="Q1" s="1255"/>
      <c r="R1" s="1255"/>
      <c r="S1" s="1255"/>
      <c r="T1" s="1255"/>
      <c r="U1" s="1259"/>
      <c r="V1" s="1257"/>
      <c r="W1" s="1257"/>
      <c r="X1" s="1257"/>
      <c r="Y1" s="1257"/>
      <c r="Z1" s="1257"/>
      <c r="AA1" s="1257"/>
      <c r="AB1" s="1257"/>
      <c r="AC1" s="1257"/>
      <c r="AD1" s="1257"/>
      <c r="AE1" s="1257"/>
    </row>
    <row r="2" spans="1:31">
      <c r="A2" s="9" t="str">
        <f>'Data Input'!A1&amp;" - "&amp;'Data Input'!B1</f>
        <v>PROGRAMME: - MARINA VILLAGE (PROGRAMME 1_TRIPLE BAY)</v>
      </c>
      <c r="B2" s="1256"/>
      <c r="C2" s="1255"/>
      <c r="D2" s="1257"/>
      <c r="E2" s="1257"/>
      <c r="F2" s="1258"/>
      <c r="G2" s="1258"/>
      <c r="H2" s="1258"/>
      <c r="I2" s="1258"/>
      <c r="J2" s="1258"/>
      <c r="K2" s="1257"/>
      <c r="L2" s="1255"/>
      <c r="M2" s="1255"/>
      <c r="N2" s="1255"/>
      <c r="O2" s="1255"/>
      <c r="P2" s="1255"/>
      <c r="Q2" s="1255"/>
      <c r="R2" s="1255"/>
      <c r="S2" s="1255"/>
      <c r="T2" s="1255"/>
      <c r="U2" s="1259"/>
      <c r="V2" s="1257"/>
      <c r="W2" s="1257"/>
      <c r="X2" s="1257"/>
      <c r="Y2" s="1257"/>
      <c r="Z2" s="1257"/>
      <c r="AA2" s="1257"/>
      <c r="AB2" s="1257"/>
      <c r="AC2" s="1257"/>
      <c r="AD2" s="1257"/>
      <c r="AE2" s="1257"/>
    </row>
    <row r="3" spans="1:31">
      <c r="A3" s="9" t="str">
        <f>'Data Input'!A2&amp;" - "&amp;'Data Input'!B2</f>
        <v>PROGRAMME CODE: - 1TB01003</v>
      </c>
      <c r="B3" s="1260"/>
      <c r="C3" s="1261"/>
      <c r="D3" s="1262"/>
      <c r="E3" s="1262"/>
      <c r="F3" s="1263"/>
      <c r="G3" s="1263"/>
      <c r="H3" s="1263"/>
      <c r="I3" s="1263"/>
      <c r="J3" s="1264"/>
      <c r="K3" s="1265"/>
      <c r="L3" s="1265"/>
      <c r="M3" s="1265"/>
      <c r="N3" s="1265"/>
      <c r="O3" s="1266"/>
      <c r="P3" s="1265"/>
      <c r="Q3" s="1265"/>
      <c r="R3" s="1265"/>
      <c r="S3" s="1265"/>
      <c r="T3" s="1265"/>
      <c r="U3" s="1267"/>
      <c r="V3" s="1265"/>
      <c r="W3" s="1265"/>
      <c r="X3" s="1265"/>
      <c r="Y3" s="1265"/>
      <c r="Z3" s="1265"/>
      <c r="AA3" s="1265"/>
      <c r="AB3" s="1265"/>
      <c r="AC3" s="1265"/>
      <c r="AD3" s="1265"/>
      <c r="AE3" s="1265"/>
    </row>
    <row r="4" spans="1:31">
      <c r="A4" s="9" t="str">
        <f>'Data Input'!A3&amp;" - "&amp;'Data Input'!B3</f>
        <v>ASSET NAME: - AMAALA YACHT CLUB</v>
      </c>
      <c r="B4" s="1260"/>
      <c r="C4" s="1268"/>
      <c r="D4" s="1265"/>
      <c r="E4" s="1265"/>
      <c r="F4" s="1267"/>
      <c r="G4" s="1267"/>
      <c r="H4" s="1267"/>
      <c r="I4" s="1267"/>
      <c r="J4" s="1269"/>
      <c r="K4" s="1265"/>
      <c r="L4" s="1265"/>
      <c r="M4" s="1265"/>
      <c r="N4" s="1265"/>
      <c r="O4" s="1266"/>
      <c r="P4" s="1265"/>
      <c r="Q4" s="1265"/>
      <c r="R4" s="1265"/>
      <c r="S4" s="1265"/>
      <c r="T4" s="1265"/>
      <c r="U4" s="1267"/>
      <c r="V4" s="1265"/>
      <c r="W4" s="1265"/>
      <c r="X4" s="1265"/>
      <c r="Y4" s="1265"/>
      <c r="Z4" s="1265"/>
      <c r="AA4" s="1265"/>
      <c r="AB4" s="1265"/>
      <c r="AC4" s="1265"/>
      <c r="AD4" s="1265"/>
      <c r="AE4" s="1265"/>
    </row>
    <row r="5" spans="1:31">
      <c r="A5" s="9" t="str">
        <f>'Data Input'!A4&amp;" - "&amp;'Data Input'!B4</f>
        <v>ASSET CODE: - 1TB01003.01</v>
      </c>
      <c r="B5" s="1270"/>
      <c r="C5" s="1268"/>
      <c r="D5" s="1265"/>
      <c r="E5" s="1265"/>
      <c r="F5" s="1267"/>
      <c r="G5" s="1267"/>
      <c r="H5" s="1267"/>
      <c r="I5" s="1267"/>
      <c r="J5" s="1269"/>
      <c r="K5" s="1265"/>
      <c r="L5" s="1265"/>
      <c r="M5" s="1265"/>
      <c r="N5" s="1265"/>
      <c r="O5" s="1266"/>
      <c r="P5" s="1265"/>
      <c r="Q5" s="1265"/>
      <c r="R5" s="1271"/>
      <c r="S5" s="1265"/>
      <c r="T5" s="1265"/>
      <c r="U5" s="1267"/>
      <c r="V5" s="1265"/>
      <c r="W5" s="1265"/>
      <c r="X5" s="1265"/>
      <c r="Y5" s="1265"/>
      <c r="Z5" s="1265"/>
      <c r="AA5" s="1265"/>
      <c r="AB5" s="1265"/>
      <c r="AC5" s="1265"/>
      <c r="AD5" s="1265"/>
      <c r="AE5" s="1265"/>
    </row>
    <row r="6" spans="1:31">
      <c r="A6" s="9" t="str">
        <f>'Data Input'!A7&amp;" - "&amp;'Data Input'!B7</f>
        <v>REPORT NO: - MONTHLY REPORT NO. 49</v>
      </c>
      <c r="B6" s="1272"/>
      <c r="C6" s="1268"/>
      <c r="D6" s="1265"/>
      <c r="E6" s="1265"/>
      <c r="F6" s="1267"/>
      <c r="G6" s="1267"/>
      <c r="H6" s="1267"/>
      <c r="I6" s="1267"/>
      <c r="J6" s="1269"/>
      <c r="K6" s="1265"/>
      <c r="L6" s="1265"/>
      <c r="M6" s="1265"/>
      <c r="N6" s="1265"/>
      <c r="O6" s="1266"/>
      <c r="P6" s="1265"/>
      <c r="Q6" s="1265"/>
      <c r="R6" s="1273"/>
      <c r="S6" s="1265"/>
      <c r="T6" s="1271"/>
      <c r="U6" s="1267"/>
      <c r="V6" s="1265"/>
      <c r="W6" s="1265"/>
      <c r="X6" s="1265"/>
      <c r="Y6" s="1265"/>
      <c r="Z6" s="1265"/>
      <c r="AA6" s="1265"/>
      <c r="AB6" s="1265"/>
      <c r="AC6" s="1265"/>
      <c r="AD6" s="1265"/>
      <c r="AE6" s="1265"/>
    </row>
    <row r="7" spans="1:31">
      <c r="A7" s="9" t="str">
        <f>'Data Input'!A8&amp;" - "&amp;'Data Input'!B8</f>
        <v>REPORTING PERIOD: - OCTOBER 2026</v>
      </c>
      <c r="B7" s="1262"/>
      <c r="C7" s="1274"/>
      <c r="D7" s="1262"/>
      <c r="E7" s="1262"/>
      <c r="F7" s="1263"/>
      <c r="G7" s="1263"/>
      <c r="H7" s="1263"/>
      <c r="I7" s="1263"/>
      <c r="J7" s="1264"/>
      <c r="K7" s="1265"/>
      <c r="L7" s="1265"/>
      <c r="M7" s="1265"/>
      <c r="N7" s="1265"/>
      <c r="O7" s="1265"/>
      <c r="P7" s="1265"/>
      <c r="Q7" s="1267"/>
      <c r="R7" s="1263"/>
      <c r="S7" s="1263"/>
      <c r="T7" s="1263"/>
      <c r="U7" s="1267"/>
      <c r="V7" s="1265"/>
      <c r="W7" s="1265"/>
      <c r="X7" s="1265"/>
      <c r="Y7" s="1265"/>
      <c r="Z7" s="1265"/>
      <c r="AA7" s="1265"/>
      <c r="AB7" s="1265"/>
      <c r="AC7" s="1265"/>
      <c r="AD7" s="1265"/>
      <c r="AE7" s="1265"/>
    </row>
    <row r="8" spans="1:31" ht="13.5" thickBot="1">
      <c r="A8" s="9"/>
      <c r="B8" s="1256"/>
      <c r="C8" s="1255"/>
      <c r="D8" s="1257"/>
      <c r="E8" s="1257"/>
      <c r="F8" s="1258"/>
      <c r="G8" s="1258"/>
      <c r="H8" s="1258"/>
      <c r="I8" s="1258"/>
      <c r="J8" s="1258"/>
      <c r="K8" s="1257"/>
      <c r="L8" s="1255"/>
      <c r="M8" s="1255"/>
      <c r="N8" s="1275"/>
      <c r="O8" s="1276"/>
      <c r="P8" s="1255"/>
      <c r="Q8" s="1255"/>
      <c r="R8" s="1255"/>
      <c r="S8" s="1255"/>
      <c r="T8" s="1255"/>
      <c r="U8" s="1259"/>
      <c r="V8" s="1257"/>
      <c r="W8" s="1257"/>
      <c r="X8" s="1257"/>
      <c r="Y8" s="1257"/>
      <c r="Z8" s="1257"/>
      <c r="AA8" s="1257"/>
      <c r="AB8" s="1257"/>
      <c r="AC8" s="1257"/>
      <c r="AD8" s="1257"/>
      <c r="AE8" s="1257"/>
    </row>
    <row r="9" spans="1:31" ht="30" customHeight="1" thickBot="1">
      <c r="A9" s="1354" t="s">
        <v>1743</v>
      </c>
      <c r="B9" s="1355"/>
      <c r="C9" s="1355"/>
      <c r="D9" s="1356"/>
      <c r="E9" s="1356"/>
      <c r="F9" s="1357"/>
      <c r="G9" s="1357"/>
      <c r="H9" s="1357"/>
      <c r="I9" s="1357"/>
      <c r="J9" s="1357"/>
      <c r="K9" s="1356"/>
      <c r="L9" s="1355"/>
      <c r="M9" s="1355"/>
      <c r="N9" s="1355"/>
      <c r="O9" s="1355"/>
      <c r="P9" s="1355"/>
      <c r="Q9" s="1355"/>
      <c r="R9" s="1355"/>
      <c r="S9" s="1355"/>
      <c r="T9" s="1355"/>
      <c r="U9" s="1358"/>
      <c r="V9" s="1356"/>
      <c r="W9" s="1356"/>
      <c r="X9" s="1356"/>
      <c r="Y9" s="1356"/>
      <c r="Z9" s="1356"/>
      <c r="AA9" s="1356"/>
      <c r="AB9" s="1356"/>
      <c r="AC9" s="1356"/>
      <c r="AD9" s="1356"/>
      <c r="AE9" s="1359"/>
    </row>
    <row r="10" spans="1:31">
      <c r="A10" s="6051" t="s">
        <v>1524</v>
      </c>
      <c r="B10" s="6052"/>
      <c r="C10" s="6052"/>
      <c r="D10" s="6052"/>
      <c r="E10" s="6052"/>
      <c r="F10" s="6052"/>
      <c r="G10" s="6053"/>
      <c r="H10" s="6053"/>
      <c r="I10" s="6053"/>
      <c r="J10" s="6054"/>
      <c r="K10" s="1256"/>
      <c r="L10" s="6055" t="s">
        <v>1525</v>
      </c>
      <c r="M10" s="6056"/>
      <c r="N10" s="6056"/>
      <c r="O10" s="6056"/>
      <c r="P10" s="6056"/>
      <c r="Q10" s="6056"/>
      <c r="R10" s="6057"/>
      <c r="S10" s="6057"/>
      <c r="T10" s="6057"/>
      <c r="U10" s="6058"/>
      <c r="V10" s="1256"/>
      <c r="W10" s="6043" t="s">
        <v>1526</v>
      </c>
      <c r="X10" s="6044"/>
      <c r="Y10" s="6044"/>
      <c r="Z10" s="6044"/>
      <c r="AA10" s="6044"/>
      <c r="AB10" s="6044"/>
      <c r="AC10" s="6044"/>
      <c r="AD10" s="6044"/>
      <c r="AE10" s="6059"/>
    </row>
    <row r="11" spans="1:31" ht="60" customHeight="1">
      <c r="A11" s="1283" t="s">
        <v>1462</v>
      </c>
      <c r="B11" s="1284" t="s">
        <v>1527</v>
      </c>
      <c r="C11" s="1284" t="s">
        <v>1528</v>
      </c>
      <c r="D11" s="1285" t="s">
        <v>1744</v>
      </c>
      <c r="E11" s="1285" t="s">
        <v>1530</v>
      </c>
      <c r="F11" s="1286" t="s">
        <v>1531</v>
      </c>
      <c r="G11" s="1287" t="s">
        <v>1532</v>
      </c>
      <c r="H11" s="1287" t="s">
        <v>1533</v>
      </c>
      <c r="I11" s="1287" t="s">
        <v>1534</v>
      </c>
      <c r="J11" s="1288" t="s">
        <v>1535</v>
      </c>
      <c r="K11" s="1289"/>
      <c r="L11" s="763" t="s">
        <v>1536</v>
      </c>
      <c r="M11" s="1290" t="s">
        <v>1601</v>
      </c>
      <c r="N11" s="1290" t="s">
        <v>1530</v>
      </c>
      <c r="O11" s="1290" t="s">
        <v>1538</v>
      </c>
      <c r="P11" s="764" t="s">
        <v>1539</v>
      </c>
      <c r="Q11" s="1291" t="s">
        <v>1540</v>
      </c>
      <c r="R11" s="1292" t="s">
        <v>1541</v>
      </c>
      <c r="S11" s="1292" t="s">
        <v>1533</v>
      </c>
      <c r="T11" s="1292" t="s">
        <v>1534</v>
      </c>
      <c r="U11" s="1293" t="s">
        <v>1542</v>
      </c>
      <c r="V11" s="1256"/>
      <c r="W11" s="1294" t="s">
        <v>1543</v>
      </c>
      <c r="X11" s="1295" t="s">
        <v>1544</v>
      </c>
      <c r="Y11" s="1296" t="s">
        <v>1545</v>
      </c>
      <c r="Z11" s="1296" t="s">
        <v>1603</v>
      </c>
      <c r="AA11" s="769" t="s">
        <v>1539</v>
      </c>
      <c r="AB11" s="769" t="s">
        <v>1547</v>
      </c>
      <c r="AC11" s="769" t="s">
        <v>1548</v>
      </c>
      <c r="AD11" s="1296" t="s">
        <v>1549</v>
      </c>
      <c r="AE11" s="1297" t="s">
        <v>1550</v>
      </c>
    </row>
    <row r="12" spans="1:31" ht="17.25" customHeight="1">
      <c r="A12" s="1298"/>
      <c r="B12" s="1299"/>
      <c r="C12" s="1300"/>
      <c r="D12" s="1301"/>
      <c r="E12" s="1302" t="s">
        <v>296</v>
      </c>
      <c r="F12" s="1303" t="s">
        <v>434</v>
      </c>
      <c r="G12" s="1303" t="s">
        <v>434</v>
      </c>
      <c r="H12" s="1304">
        <v>0.33</v>
      </c>
      <c r="I12" s="1304">
        <v>0.1</v>
      </c>
      <c r="J12" s="1305" t="s">
        <v>434</v>
      </c>
      <c r="K12" s="1256"/>
      <c r="L12" s="765"/>
      <c r="M12" s="766"/>
      <c r="N12" s="1306" t="s">
        <v>296</v>
      </c>
      <c r="O12" s="766" t="s">
        <v>1551</v>
      </c>
      <c r="P12" s="1307" t="s">
        <v>1552</v>
      </c>
      <c r="Q12" s="767" t="s">
        <v>434</v>
      </c>
      <c r="R12" s="767" t="s">
        <v>434</v>
      </c>
      <c r="S12" s="1308">
        <v>0.33</v>
      </c>
      <c r="T12" s="1308">
        <v>0.1</v>
      </c>
      <c r="U12" s="768" t="s">
        <v>434</v>
      </c>
      <c r="V12" s="1256"/>
      <c r="W12" s="770"/>
      <c r="X12" s="1309" t="s">
        <v>296</v>
      </c>
      <c r="Y12" s="1309" t="s">
        <v>296</v>
      </c>
      <c r="Z12" s="1309" t="s">
        <v>1553</v>
      </c>
      <c r="AA12" s="1310" t="s">
        <v>1552</v>
      </c>
      <c r="AB12" s="1311"/>
      <c r="AC12" s="1312">
        <v>0.15</v>
      </c>
      <c r="AD12" s="1309" t="s">
        <v>296</v>
      </c>
      <c r="AE12" s="1313" t="s">
        <v>296</v>
      </c>
    </row>
    <row r="13" spans="1:31" s="722" customFormat="1" ht="20.25" customHeight="1">
      <c r="A13" s="1314"/>
      <c r="B13" s="1314"/>
      <c r="C13" s="1314"/>
      <c r="D13" s="1314"/>
      <c r="E13" s="1314" t="s">
        <v>1481</v>
      </c>
      <c r="F13" s="1314"/>
      <c r="G13" s="1314"/>
      <c r="H13" s="1314"/>
      <c r="I13" s="1314"/>
      <c r="J13" s="1314"/>
      <c r="K13" s="1255"/>
      <c r="L13" s="1315"/>
      <c r="M13" s="1315"/>
      <c r="N13" s="1316" t="s">
        <v>1482</v>
      </c>
      <c r="O13" s="1314" t="s">
        <v>1554</v>
      </c>
      <c r="P13" s="1317" t="s">
        <v>1555</v>
      </c>
      <c r="Q13" s="1318" t="s">
        <v>1556</v>
      </c>
      <c r="R13" s="1318" t="s">
        <v>1557</v>
      </c>
      <c r="S13" s="1319" t="s">
        <v>1745</v>
      </c>
      <c r="T13" s="1319" t="s">
        <v>1559</v>
      </c>
      <c r="U13" s="1318" t="s">
        <v>1560</v>
      </c>
      <c r="V13" s="1255"/>
      <c r="W13" s="1316"/>
      <c r="X13" s="1316"/>
      <c r="Y13" s="1316" t="s">
        <v>1561</v>
      </c>
      <c r="Z13" s="1316" t="s">
        <v>1746</v>
      </c>
      <c r="AA13" s="1317" t="s">
        <v>1563</v>
      </c>
      <c r="AB13" s="1314" t="s">
        <v>1564</v>
      </c>
      <c r="AC13" s="1319" t="s">
        <v>1565</v>
      </c>
      <c r="AD13" s="1316" t="s">
        <v>1566</v>
      </c>
      <c r="AE13" s="1316"/>
    </row>
    <row r="14" spans="1:31" ht="24">
      <c r="A14" s="723">
        <v>1</v>
      </c>
      <c r="B14" s="1511" t="s">
        <v>1747</v>
      </c>
      <c r="C14" s="811" t="s">
        <v>1579</v>
      </c>
      <c r="D14" s="1320"/>
      <c r="E14" s="1440"/>
      <c r="F14" s="1322">
        <v>616537.78</v>
      </c>
      <c r="G14" s="1444">
        <f>F14</f>
        <v>616537.78</v>
      </c>
      <c r="H14" s="1444">
        <v>0</v>
      </c>
      <c r="I14" s="1444">
        <v>0</v>
      </c>
      <c r="J14" s="1444">
        <f t="shared" ref="J14:J21" si="0">G14+H14+I14</f>
        <v>616537.78</v>
      </c>
      <c r="K14" s="1256"/>
      <c r="L14" s="1510">
        <v>1</v>
      </c>
      <c r="M14" s="724"/>
      <c r="N14" s="1321"/>
      <c r="O14" s="1323"/>
      <c r="P14" s="1324"/>
      <c r="Q14" s="1322">
        <v>616537.78</v>
      </c>
      <c r="R14" s="1444">
        <f>Q14</f>
        <v>616537.78</v>
      </c>
      <c r="S14" s="1444">
        <v>0</v>
      </c>
      <c r="T14" s="1444">
        <v>0</v>
      </c>
      <c r="U14" s="1444">
        <f>R14+S14+T14</f>
        <v>616537.78</v>
      </c>
      <c r="V14" s="1256"/>
      <c r="W14" s="1325"/>
      <c r="X14" s="1326"/>
      <c r="Y14" s="1326"/>
      <c r="Z14" s="1321"/>
      <c r="AA14" s="1324"/>
      <c r="AB14" s="1327">
        <f>+U14</f>
        <v>616537.78</v>
      </c>
      <c r="AC14" s="1327">
        <f>+AB14*AC$12</f>
        <v>92480.667000000001</v>
      </c>
      <c r="AD14" s="1327">
        <f>+AB14+AC14</f>
        <v>709018.44700000004</v>
      </c>
      <c r="AE14" s="1327">
        <f>+AD14</f>
        <v>709018.44700000004</v>
      </c>
    </row>
    <row r="15" spans="1:31">
      <c r="A15" s="723">
        <v>2</v>
      </c>
      <c r="B15" s="1512" t="s">
        <v>1748</v>
      </c>
      <c r="C15" s="811">
        <v>44560</v>
      </c>
      <c r="D15" s="1320"/>
      <c r="E15" s="1440"/>
      <c r="F15" s="1322">
        <f>+F$14+96000</f>
        <v>712537.78</v>
      </c>
      <c r="G15" s="1444">
        <f t="shared" ref="G15:G21" si="1">F15-F14</f>
        <v>96000</v>
      </c>
      <c r="H15" s="1322">
        <f>(G15*$H$12)*-1</f>
        <v>-31680</v>
      </c>
      <c r="I15" s="1322">
        <f t="shared" ref="I15:I21" si="2">(G15*$I$12)*-1</f>
        <v>-9600</v>
      </c>
      <c r="J15" s="1444">
        <f t="shared" si="0"/>
        <v>54720</v>
      </c>
      <c r="K15" s="1256"/>
      <c r="L15" s="1510">
        <v>2</v>
      </c>
      <c r="M15" s="724"/>
      <c r="N15" s="1321"/>
      <c r="O15" s="1323"/>
      <c r="P15" s="1324"/>
      <c r="Q15" s="1322">
        <f t="shared" ref="Q15:Q31" si="3">+F15</f>
        <v>712537.78</v>
      </c>
      <c r="R15" s="1444">
        <f t="shared" ref="R15:R24" si="4">+Q15-Q14</f>
        <v>96000</v>
      </c>
      <c r="S15" s="1444">
        <f>+$R15*S$12*-1</f>
        <v>-31680</v>
      </c>
      <c r="T15" s="1444">
        <f>+$R15*T$12*-1</f>
        <v>-9600</v>
      </c>
      <c r="U15" s="1328">
        <f t="shared" ref="U15:U24" si="5">+R15+S15+T15</f>
        <v>54720</v>
      </c>
      <c r="V15" s="1256"/>
      <c r="W15" s="723"/>
      <c r="X15" s="1323"/>
      <c r="Y15" s="1321"/>
      <c r="Z15" s="1321"/>
      <c r="AA15" s="1324"/>
      <c r="AB15" s="1327">
        <f>+U15</f>
        <v>54720</v>
      </c>
      <c r="AC15" s="1327">
        <f t="shared" ref="AC15:AC21" si="6">+AB15*AC$12</f>
        <v>8208</v>
      </c>
      <c r="AD15" s="1327">
        <f t="shared" ref="AD15:AD21" si="7">+AB15+AC15</f>
        <v>62928</v>
      </c>
      <c r="AE15" s="1327">
        <f>+AE14+AD15</f>
        <v>771946.44700000004</v>
      </c>
    </row>
    <row r="16" spans="1:31">
      <c r="A16" s="723">
        <v>3</v>
      </c>
      <c r="B16" s="1512" t="s">
        <v>1749</v>
      </c>
      <c r="C16" s="1445">
        <v>44592</v>
      </c>
      <c r="D16" s="1320"/>
      <c r="E16" s="1440"/>
      <c r="F16" s="1322">
        <f>+F$14+1419435.42</f>
        <v>2035973.2</v>
      </c>
      <c r="G16" s="1444">
        <f t="shared" si="1"/>
        <v>1323435.42</v>
      </c>
      <c r="H16" s="1322">
        <f t="shared" ref="H16:H21" si="8">(G16*$H$12)*-1</f>
        <v>-436733.68859999999</v>
      </c>
      <c r="I16" s="1322">
        <f t="shared" si="2"/>
        <v>-132343.54199999999</v>
      </c>
      <c r="J16" s="1444">
        <f t="shared" si="0"/>
        <v>754358.18939999992</v>
      </c>
      <c r="K16" s="1256"/>
      <c r="L16" s="1510">
        <v>3</v>
      </c>
      <c r="M16" s="724"/>
      <c r="N16" s="1321"/>
      <c r="O16" s="1323"/>
      <c r="P16" s="1324"/>
      <c r="Q16" s="1322">
        <f t="shared" si="3"/>
        <v>2035973.2</v>
      </c>
      <c r="R16" s="1444">
        <f t="shared" si="4"/>
        <v>1323435.42</v>
      </c>
      <c r="S16" s="1444">
        <f t="shared" ref="S16:T36" si="9">+$R16*S$12*-1</f>
        <v>-436733.68859999999</v>
      </c>
      <c r="T16" s="1444">
        <f t="shared" si="9"/>
        <v>-132343.54199999999</v>
      </c>
      <c r="U16" s="1328">
        <f t="shared" si="5"/>
        <v>754358.18939999992</v>
      </c>
      <c r="V16" s="1256"/>
      <c r="W16" s="723"/>
      <c r="X16" s="1323"/>
      <c r="Y16" s="1321"/>
      <c r="Z16" s="1321"/>
      <c r="AA16" s="1324"/>
      <c r="AB16" s="1327">
        <f t="shared" ref="AB16:AB21" si="10">+U16</f>
        <v>754358.18939999992</v>
      </c>
      <c r="AC16" s="1327">
        <f t="shared" si="6"/>
        <v>113153.72840999998</v>
      </c>
      <c r="AD16" s="1327">
        <f t="shared" si="7"/>
        <v>867511.9178099999</v>
      </c>
      <c r="AE16" s="1327">
        <f t="shared" ref="AE16:AE21" si="11">+AE15+AD16</f>
        <v>1639458.3648099999</v>
      </c>
    </row>
    <row r="17" spans="1:34">
      <c r="A17" s="723">
        <v>4</v>
      </c>
      <c r="B17" s="1512" t="s">
        <v>1750</v>
      </c>
      <c r="C17" s="1445">
        <v>44620</v>
      </c>
      <c r="D17" s="1320"/>
      <c r="E17" s="1440"/>
      <c r="F17" s="1322">
        <f>+F$14+1683490.58</f>
        <v>2300028.3600000003</v>
      </c>
      <c r="G17" s="1444">
        <f t="shared" si="1"/>
        <v>264055.16000000038</v>
      </c>
      <c r="H17" s="1322">
        <f t="shared" si="8"/>
        <v>-87138.20280000013</v>
      </c>
      <c r="I17" s="1322">
        <f t="shared" si="2"/>
        <v>-26405.51600000004</v>
      </c>
      <c r="J17" s="1444">
        <f t="shared" si="0"/>
        <v>150511.4412000002</v>
      </c>
      <c r="K17" s="1256"/>
      <c r="L17" s="1510">
        <v>4</v>
      </c>
      <c r="M17" s="724"/>
      <c r="N17" s="1321"/>
      <c r="O17" s="1323"/>
      <c r="P17" s="1324"/>
      <c r="Q17" s="1322">
        <f t="shared" si="3"/>
        <v>2300028.3600000003</v>
      </c>
      <c r="R17" s="1444">
        <f t="shared" si="4"/>
        <v>264055.16000000038</v>
      </c>
      <c r="S17" s="1444">
        <f t="shared" si="9"/>
        <v>-87138.20280000013</v>
      </c>
      <c r="T17" s="1444">
        <f t="shared" si="9"/>
        <v>-26405.51600000004</v>
      </c>
      <c r="U17" s="1328">
        <f t="shared" si="5"/>
        <v>150511.4412000002</v>
      </c>
      <c r="V17" s="1256"/>
      <c r="W17" s="723"/>
      <c r="X17" s="1323"/>
      <c r="Y17" s="1321"/>
      <c r="Z17" s="1321"/>
      <c r="AA17" s="1324"/>
      <c r="AB17" s="1327">
        <f>+U17</f>
        <v>150511.4412000002</v>
      </c>
      <c r="AC17" s="1327">
        <f t="shared" si="6"/>
        <v>22576.716180000029</v>
      </c>
      <c r="AD17" s="1327">
        <f t="shared" si="7"/>
        <v>173088.15738000022</v>
      </c>
      <c r="AE17" s="1327">
        <f t="shared" si="11"/>
        <v>1812546.5221900002</v>
      </c>
    </row>
    <row r="18" spans="1:34">
      <c r="A18" s="723">
        <v>5</v>
      </c>
      <c r="B18" s="1512" t="s">
        <v>1751</v>
      </c>
      <c r="C18" s="1445">
        <v>44651</v>
      </c>
      <c r="D18" s="1320"/>
      <c r="E18" s="1440"/>
      <c r="F18" s="1322">
        <f>+F$14+1685602.4</f>
        <v>2302140.1799999997</v>
      </c>
      <c r="G18" s="1444">
        <f t="shared" si="1"/>
        <v>2111.8199999993667</v>
      </c>
      <c r="H18" s="1322">
        <f t="shared" si="8"/>
        <v>-696.9005999997911</v>
      </c>
      <c r="I18" s="1322">
        <f t="shared" si="2"/>
        <v>-211.18199999993669</v>
      </c>
      <c r="J18" s="1444">
        <f t="shared" si="0"/>
        <v>1203.7373999996389</v>
      </c>
      <c r="K18" s="1256"/>
      <c r="L18" s="1510">
        <v>5</v>
      </c>
      <c r="M18" s="724"/>
      <c r="N18" s="1321"/>
      <c r="O18" s="1323"/>
      <c r="P18" s="1324"/>
      <c r="Q18" s="1322">
        <f t="shared" si="3"/>
        <v>2302140.1799999997</v>
      </c>
      <c r="R18" s="1444">
        <f t="shared" si="4"/>
        <v>2111.8199999993667</v>
      </c>
      <c r="S18" s="1444">
        <f t="shared" si="9"/>
        <v>-696.9005999997911</v>
      </c>
      <c r="T18" s="1444">
        <f t="shared" si="9"/>
        <v>-211.18199999993669</v>
      </c>
      <c r="U18" s="1328">
        <f t="shared" si="5"/>
        <v>1203.7373999996389</v>
      </c>
      <c r="V18" s="1256"/>
      <c r="W18" s="723"/>
      <c r="X18" s="1323"/>
      <c r="Y18" s="1321"/>
      <c r="Z18" s="1321"/>
      <c r="AA18" s="1324"/>
      <c r="AB18" s="1327">
        <f t="shared" si="10"/>
        <v>1203.7373999996389</v>
      </c>
      <c r="AC18" s="1327">
        <f t="shared" si="6"/>
        <v>180.56060999994583</v>
      </c>
      <c r="AD18" s="1327">
        <f t="shared" si="7"/>
        <v>1384.2980099995848</v>
      </c>
      <c r="AE18" s="1327">
        <f t="shared" si="11"/>
        <v>1813930.8201999997</v>
      </c>
    </row>
    <row r="19" spans="1:34">
      <c r="A19" s="723">
        <v>6</v>
      </c>
      <c r="B19" s="1512" t="s">
        <v>1752</v>
      </c>
      <c r="C19" s="1445">
        <v>44681</v>
      </c>
      <c r="D19" s="1320"/>
      <c r="E19" s="1440"/>
      <c r="F19" s="1322">
        <f>+F$14+1685602.4</f>
        <v>2302140.1799999997</v>
      </c>
      <c r="G19" s="1444">
        <f t="shared" si="1"/>
        <v>0</v>
      </c>
      <c r="H19" s="1322">
        <f t="shared" si="8"/>
        <v>0</v>
      </c>
      <c r="I19" s="1322">
        <f t="shared" si="2"/>
        <v>0</v>
      </c>
      <c r="J19" s="1444">
        <f t="shared" si="0"/>
        <v>0</v>
      </c>
      <c r="K19" s="1256"/>
      <c r="L19" s="1510">
        <v>6</v>
      </c>
      <c r="M19" s="724"/>
      <c r="N19" s="1321"/>
      <c r="O19" s="1323"/>
      <c r="P19" s="1324"/>
      <c r="Q19" s="1322">
        <f t="shared" si="3"/>
        <v>2302140.1799999997</v>
      </c>
      <c r="R19" s="1444">
        <f t="shared" si="4"/>
        <v>0</v>
      </c>
      <c r="S19" s="1444">
        <f t="shared" si="9"/>
        <v>0</v>
      </c>
      <c r="T19" s="1444">
        <f t="shared" si="9"/>
        <v>0</v>
      </c>
      <c r="U19" s="1328">
        <f t="shared" si="5"/>
        <v>0</v>
      </c>
      <c r="V19" s="1256"/>
      <c r="W19" s="723"/>
      <c r="X19" s="1323"/>
      <c r="Y19" s="1321"/>
      <c r="Z19" s="1321"/>
      <c r="AA19" s="1324"/>
      <c r="AB19" s="1327">
        <f t="shared" si="10"/>
        <v>0</v>
      </c>
      <c r="AC19" s="1327">
        <f t="shared" si="6"/>
        <v>0</v>
      </c>
      <c r="AD19" s="1327">
        <f t="shared" si="7"/>
        <v>0</v>
      </c>
      <c r="AE19" s="1327">
        <f t="shared" si="11"/>
        <v>1813930.8201999997</v>
      </c>
    </row>
    <row r="20" spans="1:34">
      <c r="A20" s="723">
        <v>7</v>
      </c>
      <c r="B20" s="1512" t="s">
        <v>1753</v>
      </c>
      <c r="C20" s="1445">
        <v>44712</v>
      </c>
      <c r="D20" s="1320"/>
      <c r="E20" s="1440"/>
      <c r="F20" s="1322">
        <f>+F$14+1685602.4</f>
        <v>2302140.1799999997</v>
      </c>
      <c r="G20" s="1444">
        <f t="shared" si="1"/>
        <v>0</v>
      </c>
      <c r="H20" s="1322">
        <f t="shared" si="8"/>
        <v>0</v>
      </c>
      <c r="I20" s="1322">
        <f t="shared" si="2"/>
        <v>0</v>
      </c>
      <c r="J20" s="1444">
        <f t="shared" si="0"/>
        <v>0</v>
      </c>
      <c r="K20" s="1256"/>
      <c r="L20" s="1510">
        <v>7</v>
      </c>
      <c r="M20" s="724"/>
      <c r="N20" s="1321"/>
      <c r="O20" s="1323"/>
      <c r="P20" s="1324"/>
      <c r="Q20" s="1322">
        <f t="shared" si="3"/>
        <v>2302140.1799999997</v>
      </c>
      <c r="R20" s="1444">
        <f t="shared" si="4"/>
        <v>0</v>
      </c>
      <c r="S20" s="1444">
        <f t="shared" si="9"/>
        <v>0</v>
      </c>
      <c r="T20" s="1444">
        <f t="shared" si="9"/>
        <v>0</v>
      </c>
      <c r="U20" s="1328">
        <f t="shared" si="5"/>
        <v>0</v>
      </c>
      <c r="V20" s="1256"/>
      <c r="W20" s="723"/>
      <c r="X20" s="1323"/>
      <c r="Y20" s="1321"/>
      <c r="Z20" s="1321"/>
      <c r="AA20" s="1324"/>
      <c r="AB20" s="1327">
        <f t="shared" si="10"/>
        <v>0</v>
      </c>
      <c r="AC20" s="1327">
        <f t="shared" si="6"/>
        <v>0</v>
      </c>
      <c r="AD20" s="1327">
        <f t="shared" si="7"/>
        <v>0</v>
      </c>
      <c r="AE20" s="1327">
        <f t="shared" si="11"/>
        <v>1813930.8201999997</v>
      </c>
    </row>
    <row r="21" spans="1:34">
      <c r="A21" s="723">
        <v>8</v>
      </c>
      <c r="B21" s="1512" t="s">
        <v>1754</v>
      </c>
      <c r="C21" s="1445">
        <v>44742</v>
      </c>
      <c r="D21" s="1320"/>
      <c r="E21" s="1441"/>
      <c r="F21" s="1322">
        <f>+F$14+1685602.4</f>
        <v>2302140.1799999997</v>
      </c>
      <c r="G21" s="1444">
        <f t="shared" si="1"/>
        <v>0</v>
      </c>
      <c r="H21" s="1322">
        <f t="shared" si="8"/>
        <v>0</v>
      </c>
      <c r="I21" s="1322">
        <f t="shared" si="2"/>
        <v>0</v>
      </c>
      <c r="J21" s="1444">
        <f t="shared" si="0"/>
        <v>0</v>
      </c>
      <c r="K21" s="1256"/>
      <c r="L21" s="1510">
        <v>8</v>
      </c>
      <c r="M21" s="724"/>
      <c r="N21" s="1321"/>
      <c r="O21" s="1323"/>
      <c r="P21" s="1324"/>
      <c r="Q21" s="1322">
        <f t="shared" si="3"/>
        <v>2302140.1799999997</v>
      </c>
      <c r="R21" s="1444">
        <f t="shared" si="4"/>
        <v>0</v>
      </c>
      <c r="S21" s="1444">
        <f t="shared" si="9"/>
        <v>0</v>
      </c>
      <c r="T21" s="1444">
        <f t="shared" si="9"/>
        <v>0</v>
      </c>
      <c r="U21" s="1328">
        <f t="shared" si="5"/>
        <v>0</v>
      </c>
      <c r="V21" s="1256"/>
      <c r="W21" s="723"/>
      <c r="X21" s="1323"/>
      <c r="Y21" s="1321"/>
      <c r="Z21" s="1321"/>
      <c r="AA21" s="1324"/>
      <c r="AB21" s="1327">
        <f t="shared" si="10"/>
        <v>0</v>
      </c>
      <c r="AC21" s="1327">
        <f t="shared" si="6"/>
        <v>0</v>
      </c>
      <c r="AD21" s="1327">
        <f t="shared" si="7"/>
        <v>0</v>
      </c>
      <c r="AE21" s="1327">
        <f t="shared" si="11"/>
        <v>1813930.8201999997</v>
      </c>
    </row>
    <row r="22" spans="1:34">
      <c r="A22" s="723">
        <v>9</v>
      </c>
      <c r="B22" s="1512" t="s">
        <v>1755</v>
      </c>
      <c r="C22" s="1445">
        <v>44772</v>
      </c>
      <c r="D22" s="1320"/>
      <c r="E22" s="1441"/>
      <c r="F22" s="1322">
        <f>+F$14+1685602.4</f>
        <v>2302140.1799999997</v>
      </c>
      <c r="G22" s="1444">
        <f>F22-F21</f>
        <v>0</v>
      </c>
      <c r="H22" s="1322">
        <f t="shared" ref="H22:H27" si="12">(G22*$H$12)*-1</f>
        <v>0</v>
      </c>
      <c r="I22" s="1322">
        <f t="shared" ref="I22:I27" si="13">(G22*$I$12)*-1</f>
        <v>0</v>
      </c>
      <c r="J22" s="1444">
        <f t="shared" ref="J22:J27" si="14">G22+H22+I22</f>
        <v>0</v>
      </c>
      <c r="K22" s="1256"/>
      <c r="L22" s="1510">
        <v>9</v>
      </c>
      <c r="M22" s="724"/>
      <c r="N22" s="1321"/>
      <c r="O22" s="1323"/>
      <c r="P22" s="1324"/>
      <c r="Q22" s="1322">
        <f t="shared" si="3"/>
        <v>2302140.1799999997</v>
      </c>
      <c r="R22" s="1444">
        <f t="shared" si="4"/>
        <v>0</v>
      </c>
      <c r="S22" s="1444">
        <f t="shared" si="9"/>
        <v>0</v>
      </c>
      <c r="T22" s="1444">
        <f t="shared" si="9"/>
        <v>0</v>
      </c>
      <c r="U22" s="1328">
        <f t="shared" si="5"/>
        <v>0</v>
      </c>
      <c r="V22" s="1256"/>
      <c r="W22" s="723"/>
      <c r="X22" s="1323"/>
      <c r="Y22" s="1321"/>
      <c r="Z22" s="1321"/>
      <c r="AA22" s="1324"/>
      <c r="AB22" s="1327">
        <f>+U22</f>
        <v>0</v>
      </c>
      <c r="AC22" s="1327">
        <f t="shared" ref="AC22:AC27" si="15">+AB22*AC$12</f>
        <v>0</v>
      </c>
      <c r="AD22" s="1327">
        <f t="shared" ref="AD22:AD27" si="16">+AB22+AC22</f>
        <v>0</v>
      </c>
      <c r="AE22" s="1327">
        <f t="shared" ref="AE22:AE27" si="17">+AE21+AD22</f>
        <v>1813930.8201999997</v>
      </c>
      <c r="AF22" t="s">
        <v>2021</v>
      </c>
    </row>
    <row r="23" spans="1:34" ht="24">
      <c r="A23" s="723">
        <v>10</v>
      </c>
      <c r="B23" s="1512" t="s">
        <v>1756</v>
      </c>
      <c r="C23" s="1929" t="s">
        <v>1757</v>
      </c>
      <c r="D23" s="1320"/>
      <c r="E23" s="1441"/>
      <c r="F23" s="1322">
        <f>+F$14+1685602.4+30000</f>
        <v>2332140.1799999997</v>
      </c>
      <c r="G23" s="1444">
        <f>F23-F22</f>
        <v>30000</v>
      </c>
      <c r="H23" s="1322">
        <f t="shared" si="12"/>
        <v>-9900</v>
      </c>
      <c r="I23" s="1322">
        <f t="shared" si="13"/>
        <v>-3000</v>
      </c>
      <c r="J23" s="1444">
        <f t="shared" si="14"/>
        <v>17100</v>
      </c>
      <c r="K23" s="1256"/>
      <c r="L23" s="723">
        <v>10</v>
      </c>
      <c r="M23" s="724"/>
      <c r="N23" s="1321"/>
      <c r="O23" s="1323"/>
      <c r="P23" s="1324"/>
      <c r="Q23" s="1322">
        <f t="shared" si="3"/>
        <v>2332140.1799999997</v>
      </c>
      <c r="R23" s="1444">
        <f t="shared" si="4"/>
        <v>30000</v>
      </c>
      <c r="S23" s="1444">
        <f t="shared" si="9"/>
        <v>-9900</v>
      </c>
      <c r="T23" s="1444">
        <f t="shared" si="9"/>
        <v>-3000</v>
      </c>
      <c r="U23" s="1328">
        <f t="shared" si="5"/>
        <v>17100</v>
      </c>
      <c r="V23" s="1256"/>
      <c r="W23" s="723"/>
      <c r="X23" s="1323"/>
      <c r="Y23" s="1321">
        <v>44907</v>
      </c>
      <c r="Z23" s="1320"/>
      <c r="AA23" s="1324"/>
      <c r="AB23" s="1327">
        <f>+U23</f>
        <v>17100</v>
      </c>
      <c r="AC23" s="1327">
        <f t="shared" si="15"/>
        <v>2565</v>
      </c>
      <c r="AD23" s="1327">
        <f t="shared" si="16"/>
        <v>19665</v>
      </c>
      <c r="AE23" s="1327">
        <f t="shared" si="17"/>
        <v>1833595.8201999997</v>
      </c>
      <c r="AF23" t="s">
        <v>2021</v>
      </c>
    </row>
    <row r="24" spans="1:34">
      <c r="A24" s="723">
        <v>11</v>
      </c>
      <c r="B24" s="1512" t="s">
        <v>1758</v>
      </c>
      <c r="C24" s="1445">
        <v>44864</v>
      </c>
      <c r="D24" s="1320"/>
      <c r="E24" s="1441"/>
      <c r="F24" s="1322">
        <f>+F$14+1685602.4+30000+105000</f>
        <v>2437140.1799999997</v>
      </c>
      <c r="G24" s="1444">
        <f>F24-F23</f>
        <v>105000</v>
      </c>
      <c r="H24" s="1322">
        <f t="shared" si="12"/>
        <v>-34650</v>
      </c>
      <c r="I24" s="1322">
        <f t="shared" si="13"/>
        <v>-10500</v>
      </c>
      <c r="J24" s="1444">
        <f t="shared" si="14"/>
        <v>59850</v>
      </c>
      <c r="K24" s="1256"/>
      <c r="L24" s="723">
        <v>11</v>
      </c>
      <c r="M24" s="724"/>
      <c r="N24" s="1321"/>
      <c r="O24" s="1323"/>
      <c r="P24" s="1324"/>
      <c r="Q24" s="1322">
        <f t="shared" si="3"/>
        <v>2437140.1799999997</v>
      </c>
      <c r="R24" s="1444">
        <f t="shared" si="4"/>
        <v>105000</v>
      </c>
      <c r="S24" s="1444">
        <f t="shared" si="9"/>
        <v>-34650</v>
      </c>
      <c r="T24" s="1444">
        <f t="shared" si="9"/>
        <v>-10500</v>
      </c>
      <c r="U24" s="1328">
        <f t="shared" si="5"/>
        <v>59850</v>
      </c>
      <c r="V24" s="1256"/>
      <c r="W24" s="723"/>
      <c r="X24" s="1323"/>
      <c r="Y24" s="1321"/>
      <c r="Z24" s="1321"/>
      <c r="AA24" s="1324"/>
      <c r="AB24" s="1327">
        <f>+U24</f>
        <v>59850</v>
      </c>
      <c r="AC24" s="1327">
        <f t="shared" si="15"/>
        <v>8977.5</v>
      </c>
      <c r="AD24" s="1327">
        <f t="shared" si="16"/>
        <v>68827.5</v>
      </c>
      <c r="AE24" s="1327">
        <f t="shared" si="17"/>
        <v>1902423.3201999997</v>
      </c>
      <c r="AF24" t="s">
        <v>2021</v>
      </c>
      <c r="AG24" t="s">
        <v>2022</v>
      </c>
      <c r="AH24" s="1513">
        <v>44955</v>
      </c>
    </row>
    <row r="25" spans="1:34">
      <c r="A25" s="723">
        <v>12</v>
      </c>
      <c r="B25" s="1512" t="s">
        <v>1759</v>
      </c>
      <c r="C25" s="1445">
        <v>44895</v>
      </c>
      <c r="D25" s="1320"/>
      <c r="E25" s="1441"/>
      <c r="F25" s="1322">
        <f>+F$14+1685602.4+30000+105000+0</f>
        <v>2437140.1799999997</v>
      </c>
      <c r="G25" s="1322">
        <v>0</v>
      </c>
      <c r="H25" s="1322">
        <f t="shared" si="12"/>
        <v>0</v>
      </c>
      <c r="I25" s="1322">
        <f t="shared" si="13"/>
        <v>0</v>
      </c>
      <c r="J25" s="1444">
        <f t="shared" si="14"/>
        <v>0</v>
      </c>
      <c r="K25" s="1256"/>
      <c r="L25" s="723">
        <v>12</v>
      </c>
      <c r="M25" s="724"/>
      <c r="N25" s="1321"/>
      <c r="O25" s="1323"/>
      <c r="P25" s="1324"/>
      <c r="Q25" s="1322">
        <f t="shared" si="3"/>
        <v>2437140.1799999997</v>
      </c>
      <c r="R25" s="1322">
        <v>0</v>
      </c>
      <c r="S25" s="1444">
        <f t="shared" si="9"/>
        <v>0</v>
      </c>
      <c r="T25" s="1444">
        <f t="shared" si="9"/>
        <v>0</v>
      </c>
      <c r="U25" s="1328">
        <f t="shared" ref="U25:U36" si="18">+R25+S25+T25</f>
        <v>0</v>
      </c>
      <c r="V25" s="1256"/>
      <c r="W25" s="723"/>
      <c r="X25" s="1323"/>
      <c r="Y25" s="1321"/>
      <c r="Z25" s="1321"/>
      <c r="AA25" s="1324"/>
      <c r="AB25" s="1327">
        <v>0</v>
      </c>
      <c r="AC25" s="1327">
        <f t="shared" si="15"/>
        <v>0</v>
      </c>
      <c r="AD25" s="1327">
        <f t="shared" si="16"/>
        <v>0</v>
      </c>
      <c r="AE25" s="1327">
        <f t="shared" si="17"/>
        <v>1902423.3201999997</v>
      </c>
      <c r="AF25" t="s">
        <v>2021</v>
      </c>
    </row>
    <row r="26" spans="1:34" ht="24">
      <c r="A26" s="723">
        <v>13</v>
      </c>
      <c r="B26" s="1512" t="s">
        <v>1979</v>
      </c>
      <c r="C26" s="1929" t="s">
        <v>1980</v>
      </c>
      <c r="D26" s="1320"/>
      <c r="E26" s="1441"/>
      <c r="F26" s="1322">
        <f>+F$14+1685602.4+30000+105000+0+0</f>
        <v>2437140.1799999997</v>
      </c>
      <c r="G26" s="1322">
        <v>0</v>
      </c>
      <c r="H26" s="1322">
        <f t="shared" si="12"/>
        <v>0</v>
      </c>
      <c r="I26" s="1322">
        <f t="shared" si="13"/>
        <v>0</v>
      </c>
      <c r="J26" s="1444">
        <f t="shared" si="14"/>
        <v>0</v>
      </c>
      <c r="K26" s="1256"/>
      <c r="L26" s="723">
        <v>13</v>
      </c>
      <c r="M26" s="724"/>
      <c r="N26" s="1321"/>
      <c r="O26" s="1323"/>
      <c r="P26" s="1324"/>
      <c r="Q26" s="1322">
        <f t="shared" si="3"/>
        <v>2437140.1799999997</v>
      </c>
      <c r="R26" s="1322">
        <v>0</v>
      </c>
      <c r="S26" s="1444">
        <f t="shared" si="9"/>
        <v>0</v>
      </c>
      <c r="T26" s="1444">
        <f t="shared" si="9"/>
        <v>0</v>
      </c>
      <c r="U26" s="1328">
        <f t="shared" si="18"/>
        <v>0</v>
      </c>
      <c r="V26" s="1256"/>
      <c r="W26" s="723"/>
      <c r="X26" s="1323"/>
      <c r="Y26" s="1321"/>
      <c r="Z26" s="1321"/>
      <c r="AA26" s="1324"/>
      <c r="AB26" s="1327">
        <v>0</v>
      </c>
      <c r="AC26" s="1327">
        <f t="shared" si="15"/>
        <v>0</v>
      </c>
      <c r="AD26" s="1327">
        <f t="shared" si="16"/>
        <v>0</v>
      </c>
      <c r="AE26" s="1327">
        <f t="shared" si="17"/>
        <v>1902423.3201999997</v>
      </c>
      <c r="AF26" t="s">
        <v>2021</v>
      </c>
    </row>
    <row r="27" spans="1:34">
      <c r="A27" s="723">
        <v>14</v>
      </c>
      <c r="B27" s="1512" t="s">
        <v>1981</v>
      </c>
      <c r="C27" s="1445">
        <v>44958</v>
      </c>
      <c r="D27" s="1320"/>
      <c r="E27" s="1441"/>
      <c r="F27" s="1322">
        <f>+F$14+1685602.4+30000+105000+0+0+0</f>
        <v>2437140.1799999997</v>
      </c>
      <c r="G27" s="1322">
        <v>0</v>
      </c>
      <c r="H27" s="1322">
        <f t="shared" si="12"/>
        <v>0</v>
      </c>
      <c r="I27" s="1322">
        <f t="shared" si="13"/>
        <v>0</v>
      </c>
      <c r="J27" s="1444">
        <f t="shared" si="14"/>
        <v>0</v>
      </c>
      <c r="K27" s="1256"/>
      <c r="L27" s="723">
        <v>14</v>
      </c>
      <c r="M27" s="724"/>
      <c r="N27" s="1321"/>
      <c r="O27" s="1323"/>
      <c r="P27" s="1324"/>
      <c r="Q27" s="1322">
        <f t="shared" si="3"/>
        <v>2437140.1799999997</v>
      </c>
      <c r="R27" s="1322">
        <v>0</v>
      </c>
      <c r="S27" s="1444">
        <f t="shared" si="9"/>
        <v>0</v>
      </c>
      <c r="T27" s="1444">
        <f t="shared" si="9"/>
        <v>0</v>
      </c>
      <c r="U27" s="1328">
        <f t="shared" si="18"/>
        <v>0</v>
      </c>
      <c r="V27" s="1256"/>
      <c r="W27" s="723"/>
      <c r="X27" s="1323"/>
      <c r="Y27" s="1321"/>
      <c r="Z27" s="1321"/>
      <c r="AA27" s="1324"/>
      <c r="AB27" s="1327">
        <v>0</v>
      </c>
      <c r="AC27" s="1327">
        <f t="shared" si="15"/>
        <v>0</v>
      </c>
      <c r="AD27" s="1327">
        <f t="shared" si="16"/>
        <v>0</v>
      </c>
      <c r="AE27" s="1327">
        <f t="shared" si="17"/>
        <v>1902423.3201999997</v>
      </c>
      <c r="AF27" t="s">
        <v>2021</v>
      </c>
    </row>
    <row r="28" spans="1:34">
      <c r="A28" s="723">
        <v>15</v>
      </c>
      <c r="B28" s="1512" t="s">
        <v>2023</v>
      </c>
      <c r="C28" s="1445">
        <v>44986</v>
      </c>
      <c r="D28" s="1320"/>
      <c r="E28" s="1441"/>
      <c r="F28" s="1322">
        <f>+F$14+1685602.4+30000+105000+0+0+0+41520</f>
        <v>2478660.1799999997</v>
      </c>
      <c r="G28" s="1444">
        <f t="shared" ref="G28:G33" si="19">F28-F27</f>
        <v>41520</v>
      </c>
      <c r="H28" s="1322">
        <f>(G28*$H$12)*-1</f>
        <v>-13701.6</v>
      </c>
      <c r="I28" s="1322">
        <f t="shared" ref="I28:I36" si="20">(G28*$I$12)*-1</f>
        <v>-4152</v>
      </c>
      <c r="J28" s="1444">
        <f t="shared" ref="J28:J36" si="21">G28+H28+I28</f>
        <v>23666.400000000001</v>
      </c>
      <c r="K28" s="1256"/>
      <c r="L28" s="723">
        <v>15</v>
      </c>
      <c r="M28" s="724"/>
      <c r="N28" s="1321"/>
      <c r="O28" s="1323"/>
      <c r="P28" s="1324"/>
      <c r="Q28" s="1322">
        <f t="shared" si="3"/>
        <v>2478660.1799999997</v>
      </c>
      <c r="R28" s="1444">
        <f t="shared" ref="R28:R33" si="22">+Q28-Q27</f>
        <v>41520</v>
      </c>
      <c r="S28" s="1444">
        <f t="shared" si="9"/>
        <v>-13701.6</v>
      </c>
      <c r="T28" s="1444">
        <f t="shared" si="9"/>
        <v>-4152</v>
      </c>
      <c r="U28" s="1328">
        <f t="shared" si="18"/>
        <v>23666.400000000001</v>
      </c>
      <c r="V28" s="1256"/>
      <c r="W28" s="723"/>
      <c r="X28" s="1323"/>
      <c r="Y28" s="1321">
        <v>45064</v>
      </c>
      <c r="Z28" s="1321"/>
      <c r="AA28" s="1324"/>
      <c r="AB28" s="1327">
        <f t="shared" ref="AB28:AB33" si="23">+U28</f>
        <v>23666.400000000001</v>
      </c>
      <c r="AC28" s="1327">
        <f t="shared" ref="AC28:AC33" si="24">+AB28*AC$12</f>
        <v>3549.96</v>
      </c>
      <c r="AD28" s="1327">
        <f t="shared" ref="AD28:AD33" si="25">+AB28+AC28</f>
        <v>27216.36</v>
      </c>
      <c r="AE28" s="1327">
        <f t="shared" ref="AE28:AE33" si="26">+AE27+AD28</f>
        <v>1929639.6801999998</v>
      </c>
      <c r="AF28" t="s">
        <v>2021</v>
      </c>
      <c r="AG28" t="s">
        <v>2022</v>
      </c>
      <c r="AH28" s="1513">
        <v>45062</v>
      </c>
    </row>
    <row r="29" spans="1:34">
      <c r="A29" s="723">
        <v>16</v>
      </c>
      <c r="B29" s="1512" t="s">
        <v>2024</v>
      </c>
      <c r="C29" s="1445">
        <v>45017</v>
      </c>
      <c r="D29" s="1320"/>
      <c r="E29" s="1441"/>
      <c r="F29" s="1322">
        <f>+F$14+1685602.4+30000+105000+0+0+0+41520+6000</f>
        <v>2484660.1799999997</v>
      </c>
      <c r="G29" s="1444">
        <f t="shared" si="19"/>
        <v>6000</v>
      </c>
      <c r="H29" s="1322">
        <f>(G29*$H$12)*-1+57.39</f>
        <v>-1922.61</v>
      </c>
      <c r="I29" s="1322">
        <f t="shared" si="20"/>
        <v>-600</v>
      </c>
      <c r="J29" s="1444">
        <f t="shared" si="21"/>
        <v>3477.3900000000003</v>
      </c>
      <c r="K29" s="1256"/>
      <c r="L29" s="723">
        <v>16</v>
      </c>
      <c r="M29" s="724"/>
      <c r="N29" s="1321"/>
      <c r="O29" s="1323"/>
      <c r="P29" s="1324"/>
      <c r="Q29" s="1322">
        <f t="shared" si="3"/>
        <v>2484660.1799999997</v>
      </c>
      <c r="R29" s="1444">
        <f t="shared" si="22"/>
        <v>6000</v>
      </c>
      <c r="S29" s="1444">
        <f>+$R29*S$12*-1+57.39</f>
        <v>-1922.61</v>
      </c>
      <c r="T29" s="1444">
        <f t="shared" si="9"/>
        <v>-600</v>
      </c>
      <c r="U29" s="1328">
        <f t="shared" si="18"/>
        <v>3477.3900000000003</v>
      </c>
      <c r="V29" s="1256"/>
      <c r="W29" s="723"/>
      <c r="X29" s="1323"/>
      <c r="Y29" s="1321">
        <v>45110</v>
      </c>
      <c r="Z29" s="1321"/>
      <c r="AA29" s="1324"/>
      <c r="AB29" s="1327">
        <f>+U29</f>
        <v>3477.3900000000003</v>
      </c>
      <c r="AC29" s="1327">
        <f t="shared" si="24"/>
        <v>521.60850000000005</v>
      </c>
      <c r="AD29" s="1327">
        <f t="shared" si="25"/>
        <v>3998.9985000000006</v>
      </c>
      <c r="AE29" s="1327">
        <f t="shared" si="26"/>
        <v>1933638.6786999998</v>
      </c>
      <c r="AF29" t="s">
        <v>2021</v>
      </c>
    </row>
    <row r="30" spans="1:34">
      <c r="A30" s="723">
        <v>17</v>
      </c>
      <c r="B30" s="1512" t="s">
        <v>2303</v>
      </c>
      <c r="C30" s="1445">
        <v>45047</v>
      </c>
      <c r="D30" s="1320"/>
      <c r="E30" s="1441"/>
      <c r="F30" s="1322">
        <f>+F$14+1685602.4+30000+105000+0+0+0+41520+6000+6180</f>
        <v>2490840.1799999997</v>
      </c>
      <c r="G30" s="1444">
        <f t="shared" si="19"/>
        <v>6180</v>
      </c>
      <c r="H30" s="1322"/>
      <c r="I30" s="1322">
        <f t="shared" si="20"/>
        <v>-618</v>
      </c>
      <c r="J30" s="1444">
        <f t="shared" si="21"/>
        <v>5562</v>
      </c>
      <c r="K30" s="1256"/>
      <c r="L30" s="723">
        <v>17</v>
      </c>
      <c r="M30" s="724"/>
      <c r="N30" s="1321"/>
      <c r="O30" s="1323"/>
      <c r="P30" s="1324"/>
      <c r="Q30" s="1322">
        <f t="shared" si="3"/>
        <v>2490840.1799999997</v>
      </c>
      <c r="R30" s="1444">
        <f t="shared" si="22"/>
        <v>6180</v>
      </c>
      <c r="S30" s="1444"/>
      <c r="T30" s="1444">
        <f t="shared" si="9"/>
        <v>-618</v>
      </c>
      <c r="U30" s="1328">
        <f t="shared" si="18"/>
        <v>5562</v>
      </c>
      <c r="V30" s="1256"/>
      <c r="W30" s="723"/>
      <c r="X30" s="1323"/>
      <c r="Y30" s="1321">
        <v>45197</v>
      </c>
      <c r="Z30" s="1321"/>
      <c r="AA30" s="1324"/>
      <c r="AB30" s="1327">
        <f t="shared" si="23"/>
        <v>5562</v>
      </c>
      <c r="AC30" s="1327">
        <f t="shared" si="24"/>
        <v>834.3</v>
      </c>
      <c r="AD30" s="1327">
        <f t="shared" si="25"/>
        <v>6396.3</v>
      </c>
      <c r="AE30" s="1327">
        <f t="shared" si="26"/>
        <v>1940034.9786999999</v>
      </c>
    </row>
    <row r="31" spans="1:34">
      <c r="A31" s="723">
        <v>18</v>
      </c>
      <c r="B31" s="1512" t="s">
        <v>2304</v>
      </c>
      <c r="C31" s="1445" t="s">
        <v>2305</v>
      </c>
      <c r="D31" s="1320"/>
      <c r="E31" s="1441"/>
      <c r="F31" s="1322">
        <f>+F$14+1685602.4+30000+105000+0+0+0+41520+6000+6180+12180</f>
        <v>2503020.1799999997</v>
      </c>
      <c r="G31" s="1444">
        <f t="shared" si="19"/>
        <v>12180</v>
      </c>
      <c r="H31" s="1322"/>
      <c r="I31" s="1322">
        <f t="shared" si="20"/>
        <v>-1218</v>
      </c>
      <c r="J31" s="1444">
        <f t="shared" si="21"/>
        <v>10962</v>
      </c>
      <c r="K31" s="1256"/>
      <c r="L31" s="723">
        <v>18</v>
      </c>
      <c r="M31" s="724"/>
      <c r="N31" s="1321"/>
      <c r="O31" s="1323"/>
      <c r="P31" s="1324"/>
      <c r="Q31" s="1322">
        <f t="shared" si="3"/>
        <v>2503020.1799999997</v>
      </c>
      <c r="R31" s="1444">
        <f t="shared" si="22"/>
        <v>12180</v>
      </c>
      <c r="S31" s="1444"/>
      <c r="T31" s="1444">
        <f t="shared" si="9"/>
        <v>-1218</v>
      </c>
      <c r="U31" s="1328">
        <f t="shared" si="18"/>
        <v>10962</v>
      </c>
      <c r="V31" s="1256"/>
      <c r="W31" s="723"/>
      <c r="X31" s="1323"/>
      <c r="Y31" s="1321">
        <v>45216</v>
      </c>
      <c r="Z31" s="1321"/>
      <c r="AA31" s="1324"/>
      <c r="AB31" s="1327">
        <f t="shared" si="23"/>
        <v>10962</v>
      </c>
      <c r="AC31" s="1327">
        <f t="shared" si="24"/>
        <v>1644.3</v>
      </c>
      <c r="AD31" s="1327">
        <f t="shared" si="25"/>
        <v>12606.3</v>
      </c>
      <c r="AE31" s="1327">
        <f t="shared" si="26"/>
        <v>1952641.2786999999</v>
      </c>
    </row>
    <row r="32" spans="1:34">
      <c r="A32" s="723">
        <v>19</v>
      </c>
      <c r="B32" s="1512" t="s">
        <v>2653</v>
      </c>
      <c r="C32" s="1445" t="s">
        <v>2654</v>
      </c>
      <c r="D32" s="1320"/>
      <c r="E32" s="1441"/>
      <c r="F32" s="1322">
        <f>+F$14+1685602.4+30000+105000+0+0+0+41520+6000+6180+12180+10710</f>
        <v>2513730.1799999997</v>
      </c>
      <c r="G32" s="1444">
        <f t="shared" si="19"/>
        <v>10710</v>
      </c>
      <c r="H32" s="1322"/>
      <c r="I32" s="1322">
        <f t="shared" si="20"/>
        <v>-1071</v>
      </c>
      <c r="J32" s="1444">
        <f t="shared" si="21"/>
        <v>9639</v>
      </c>
      <c r="K32" s="1256"/>
      <c r="L32" s="723">
        <v>19</v>
      </c>
      <c r="M32" s="724"/>
      <c r="N32" s="1321"/>
      <c r="O32" s="1323"/>
      <c r="P32" s="1324"/>
      <c r="Q32" s="1322">
        <f t="shared" ref="Q32:Q38" si="27">+F32</f>
        <v>2513730.1799999997</v>
      </c>
      <c r="R32" s="1444">
        <f t="shared" si="22"/>
        <v>10710</v>
      </c>
      <c r="S32" s="1444"/>
      <c r="T32" s="1444">
        <f t="shared" si="9"/>
        <v>-1071</v>
      </c>
      <c r="U32" s="1328">
        <f t="shared" si="18"/>
        <v>9639</v>
      </c>
      <c r="V32" s="1256"/>
      <c r="W32" s="723"/>
      <c r="X32" s="1323"/>
      <c r="Y32" s="1321">
        <v>45274</v>
      </c>
      <c r="Z32" s="1321"/>
      <c r="AA32" s="1324"/>
      <c r="AB32" s="1327">
        <f t="shared" si="23"/>
        <v>9639</v>
      </c>
      <c r="AC32" s="1327">
        <f t="shared" si="24"/>
        <v>1445.85</v>
      </c>
      <c r="AD32" s="1327">
        <f t="shared" si="25"/>
        <v>11084.85</v>
      </c>
      <c r="AE32" s="1327">
        <f t="shared" si="26"/>
        <v>1963726.1287</v>
      </c>
    </row>
    <row r="33" spans="1:31">
      <c r="A33" s="723">
        <v>20</v>
      </c>
      <c r="B33" s="1512" t="s">
        <v>2694</v>
      </c>
      <c r="C33" s="1445" t="s">
        <v>2695</v>
      </c>
      <c r="D33" s="1320"/>
      <c r="E33" s="1441"/>
      <c r="F33" s="1322">
        <f>+F$14+1685602.4+30000+105000+0+0+0+41520+6000+6180+12180+10710+9135</f>
        <v>2522865.1799999997</v>
      </c>
      <c r="G33" s="1444">
        <f t="shared" si="19"/>
        <v>9135</v>
      </c>
      <c r="H33" s="1322"/>
      <c r="I33" s="1322">
        <f t="shared" si="20"/>
        <v>-913.5</v>
      </c>
      <c r="J33" s="1444">
        <f t="shared" si="21"/>
        <v>8221.5</v>
      </c>
      <c r="K33" s="1256"/>
      <c r="L33" s="723">
        <v>20</v>
      </c>
      <c r="M33" s="724"/>
      <c r="N33" s="1321"/>
      <c r="O33" s="1323"/>
      <c r="P33" s="1324"/>
      <c r="Q33" s="1322">
        <f t="shared" si="27"/>
        <v>2522865.1799999997</v>
      </c>
      <c r="R33" s="1444">
        <f t="shared" si="22"/>
        <v>9135</v>
      </c>
      <c r="S33" s="1444"/>
      <c r="T33" s="1444">
        <f t="shared" si="9"/>
        <v>-913.5</v>
      </c>
      <c r="U33" s="1328">
        <f t="shared" si="18"/>
        <v>8221.5</v>
      </c>
      <c r="V33" s="1256"/>
      <c r="W33" s="723"/>
      <c r="X33" s="1323"/>
      <c r="Y33" s="1321">
        <v>45336</v>
      </c>
      <c r="Z33" s="1321"/>
      <c r="AA33" s="1324"/>
      <c r="AB33" s="1327">
        <f t="shared" si="23"/>
        <v>8221.5</v>
      </c>
      <c r="AC33" s="1327">
        <f t="shared" si="24"/>
        <v>1233.2249999999999</v>
      </c>
      <c r="AD33" s="1327">
        <f t="shared" si="25"/>
        <v>9454.7250000000004</v>
      </c>
      <c r="AE33" s="1327">
        <f t="shared" si="26"/>
        <v>1973180.8537000001</v>
      </c>
    </row>
    <row r="34" spans="1:31">
      <c r="A34" s="723">
        <v>21</v>
      </c>
      <c r="B34" s="1512" t="s">
        <v>2741</v>
      </c>
      <c r="C34" s="1445">
        <v>45283</v>
      </c>
      <c r="D34" s="1320"/>
      <c r="E34" s="1441"/>
      <c r="F34" s="1322">
        <f>+F$14+1685602.4+30000+105000+0+0+0+41520+6000+6180+12180+10710+9135+4635</f>
        <v>2527500.1799999997</v>
      </c>
      <c r="G34" s="1444">
        <f>F34-F33</f>
        <v>4635</v>
      </c>
      <c r="H34" s="1322"/>
      <c r="I34" s="1322">
        <f t="shared" si="20"/>
        <v>-463.5</v>
      </c>
      <c r="J34" s="1444">
        <f t="shared" si="21"/>
        <v>4171.5</v>
      </c>
      <c r="K34" s="1256"/>
      <c r="L34" s="723">
        <v>21</v>
      </c>
      <c r="M34" s="724"/>
      <c r="N34" s="1321"/>
      <c r="O34" s="1323"/>
      <c r="P34" s="1324"/>
      <c r="Q34" s="1322">
        <f t="shared" si="27"/>
        <v>2527500.1799999997</v>
      </c>
      <c r="R34" s="1444">
        <v>4635</v>
      </c>
      <c r="S34" s="1444"/>
      <c r="T34" s="1444">
        <f t="shared" si="9"/>
        <v>-463.5</v>
      </c>
      <c r="U34" s="1328">
        <f t="shared" si="18"/>
        <v>4171.5</v>
      </c>
      <c r="V34" s="1256"/>
      <c r="W34" s="723"/>
      <c r="X34" s="1323"/>
      <c r="Y34" s="1321">
        <v>45378</v>
      </c>
      <c r="Z34" s="1321"/>
      <c r="AA34" s="1324"/>
      <c r="AB34" s="1327">
        <f>+U34</f>
        <v>4171.5</v>
      </c>
      <c r="AC34" s="1327">
        <f>+AB34*AC$12</f>
        <v>625.72500000000002</v>
      </c>
      <c r="AD34" s="1327">
        <f>+AB34+AC34</f>
        <v>4797.2250000000004</v>
      </c>
      <c r="AE34" s="1327">
        <f>+AE33+AD34</f>
        <v>1977978.0787000002</v>
      </c>
    </row>
    <row r="35" spans="1:31">
      <c r="A35" s="723">
        <v>22</v>
      </c>
      <c r="B35" s="1512" t="s">
        <v>2780</v>
      </c>
      <c r="C35" s="1445">
        <v>45314</v>
      </c>
      <c r="D35" s="1320"/>
      <c r="E35" s="1441"/>
      <c r="F35" s="1322">
        <f>+F$14+1685602.4+30000+105000+0+0+0+41520+6000+6180+12180+10710+9135+4635+4680</f>
        <v>2532180.1799999997</v>
      </c>
      <c r="G35" s="1444">
        <f>F35-F34</f>
        <v>4680</v>
      </c>
      <c r="H35" s="1322"/>
      <c r="I35" s="1322">
        <f t="shared" si="20"/>
        <v>-468</v>
      </c>
      <c r="J35" s="1444">
        <f t="shared" si="21"/>
        <v>4212</v>
      </c>
      <c r="K35" s="1256"/>
      <c r="L35" s="723">
        <v>22</v>
      </c>
      <c r="M35" s="724"/>
      <c r="N35" s="1321"/>
      <c r="O35" s="1323"/>
      <c r="P35" s="1324"/>
      <c r="Q35" s="1322">
        <f t="shared" si="27"/>
        <v>2532180.1799999997</v>
      </c>
      <c r="R35" s="1444">
        <f>+G35</f>
        <v>4680</v>
      </c>
      <c r="S35" s="1444"/>
      <c r="T35" s="1444">
        <f t="shared" si="9"/>
        <v>-468</v>
      </c>
      <c r="U35" s="1328">
        <f t="shared" si="18"/>
        <v>4212</v>
      </c>
      <c r="V35" s="1256"/>
      <c r="W35" s="723"/>
      <c r="X35" s="1323"/>
      <c r="Y35" s="1321">
        <v>45438</v>
      </c>
      <c r="Z35" s="1321"/>
      <c r="AA35" s="1324"/>
      <c r="AB35" s="1327">
        <f>+U35</f>
        <v>4212</v>
      </c>
      <c r="AC35" s="1327">
        <f>+AB35*AC$12</f>
        <v>631.79999999999995</v>
      </c>
      <c r="AD35" s="1327">
        <f>+AB35+AC35</f>
        <v>4843.8</v>
      </c>
      <c r="AE35" s="1327">
        <f>+AE34+AD35</f>
        <v>1982821.8787000002</v>
      </c>
    </row>
    <row r="36" spans="1:31">
      <c r="A36" s="723">
        <v>23</v>
      </c>
      <c r="B36" s="1512" t="s">
        <v>2968</v>
      </c>
      <c r="C36" s="1445" t="s">
        <v>2969</v>
      </c>
      <c r="D36" s="1320"/>
      <c r="E36" s="1441"/>
      <c r="F36" s="1322">
        <f>+F$14+1685602.4+30000+105000+0+0+0+41520+6000+6180+12180+10710+9135+4635+4680+13500</f>
        <v>2545680.1799999997</v>
      </c>
      <c r="G36" s="1444">
        <f>F36-F35</f>
        <v>13500</v>
      </c>
      <c r="H36" s="1322"/>
      <c r="I36" s="1322">
        <f t="shared" si="20"/>
        <v>-1350</v>
      </c>
      <c r="J36" s="1444">
        <f t="shared" si="21"/>
        <v>12150</v>
      </c>
      <c r="K36" s="1256"/>
      <c r="L36" s="723">
        <v>23</v>
      </c>
      <c r="M36" s="724"/>
      <c r="N36" s="1321"/>
      <c r="O36" s="1323"/>
      <c r="P36" s="1324"/>
      <c r="Q36" s="1322">
        <f t="shared" si="27"/>
        <v>2545680.1799999997</v>
      </c>
      <c r="R36" s="1444">
        <f>+G36</f>
        <v>13500</v>
      </c>
      <c r="S36" s="1444"/>
      <c r="T36" s="1444">
        <f t="shared" si="9"/>
        <v>-1350</v>
      </c>
      <c r="U36" s="1328">
        <f t="shared" si="18"/>
        <v>12150</v>
      </c>
      <c r="V36" s="1256"/>
      <c r="W36" s="723"/>
      <c r="X36" s="1323"/>
      <c r="Y36" s="1321">
        <v>45515</v>
      </c>
      <c r="Z36" s="1321"/>
      <c r="AA36" s="1324"/>
      <c r="AB36" s="1327">
        <f>+U36</f>
        <v>12150</v>
      </c>
      <c r="AC36" s="1327">
        <f>+AB36*AC$12</f>
        <v>1822.5</v>
      </c>
      <c r="AD36" s="1327">
        <f>+AB36+AC36</f>
        <v>13972.5</v>
      </c>
      <c r="AE36" s="1327">
        <f>+AE35+AD36</f>
        <v>1996794.3787000002</v>
      </c>
    </row>
    <row r="37" spans="1:31">
      <c r="A37" s="723">
        <v>24</v>
      </c>
      <c r="B37" s="1512" t="s">
        <v>3372</v>
      </c>
      <c r="C37" s="1445">
        <v>45436</v>
      </c>
      <c r="D37" s="1320"/>
      <c r="E37" s="1441"/>
      <c r="F37" s="1322">
        <f>+F$14+1685602.4+30000+105000+0+0+0+41520+6000+6180+12180+10710+9135+4635+4680+13500+4635</f>
        <v>2550315.1799999997</v>
      </c>
      <c r="G37" s="1444">
        <f>F37-F36</f>
        <v>4635</v>
      </c>
      <c r="H37" s="1322"/>
      <c r="I37" s="1322">
        <f>(G37*$I$12)*-1</f>
        <v>-463.5</v>
      </c>
      <c r="J37" s="1444">
        <f>G37+H37+I37</f>
        <v>4171.5</v>
      </c>
      <c r="K37" s="1256"/>
      <c r="L37" s="723">
        <v>24</v>
      </c>
      <c r="M37" s="724"/>
      <c r="N37" s="1321"/>
      <c r="O37" s="1323"/>
      <c r="P37" s="1324"/>
      <c r="Q37" s="1322">
        <f t="shared" si="27"/>
        <v>2550315.1799999997</v>
      </c>
      <c r="R37" s="1444">
        <f>+G37</f>
        <v>4635</v>
      </c>
      <c r="S37" s="1444"/>
      <c r="T37" s="1444">
        <f>+$R37*T$12*-1</f>
        <v>-463.5</v>
      </c>
      <c r="U37" s="1328">
        <f>+R37+S37+T37</f>
        <v>4171.5</v>
      </c>
      <c r="V37" s="1256"/>
      <c r="W37" s="723"/>
      <c r="X37" s="1323"/>
      <c r="Y37" s="1321">
        <v>45586</v>
      </c>
      <c r="Z37" s="1321"/>
      <c r="AA37" s="1324"/>
      <c r="AB37" s="1327">
        <f>+U37</f>
        <v>4171.5</v>
      </c>
      <c r="AC37" s="1327">
        <f>+AB37*AC$12</f>
        <v>625.72500000000002</v>
      </c>
      <c r="AD37" s="1327">
        <f>+AB37+AC37</f>
        <v>4797.2250000000004</v>
      </c>
      <c r="AE37" s="1327">
        <f>+AE36+AD37</f>
        <v>2001591.6037000003</v>
      </c>
    </row>
    <row r="38" spans="1:31">
      <c r="A38" s="723">
        <v>25</v>
      </c>
      <c r="B38" s="1512" t="s">
        <v>3464</v>
      </c>
      <c r="C38" s="1445" t="s">
        <v>3465</v>
      </c>
      <c r="D38" s="1320"/>
      <c r="E38" s="1441"/>
      <c r="F38" s="1322">
        <f>+F$14+1685602.4+30000+105000+0+0+0+41520+6000+6180+12180+10710+9135+4635+4680+13500+4635+9135</f>
        <v>2559450.1799999997</v>
      </c>
      <c r="G38" s="1444">
        <f>F38-F37</f>
        <v>9135</v>
      </c>
      <c r="H38" s="1322"/>
      <c r="I38" s="1322">
        <f>(G38*$I$12)*-1</f>
        <v>-913.5</v>
      </c>
      <c r="J38" s="1444">
        <f>G38+H38+I38</f>
        <v>8221.5</v>
      </c>
      <c r="K38" s="1256"/>
      <c r="L38" s="723">
        <v>25</v>
      </c>
      <c r="M38" s="724"/>
      <c r="N38" s="1321"/>
      <c r="O38" s="1323"/>
      <c r="P38" s="1324"/>
      <c r="Q38" s="1322">
        <f t="shared" si="27"/>
        <v>2559450.1799999997</v>
      </c>
      <c r="R38" s="1444">
        <f>+G38</f>
        <v>9135</v>
      </c>
      <c r="S38" s="1444"/>
      <c r="T38" s="1444">
        <f>+$R38*T$12*-1</f>
        <v>-913.5</v>
      </c>
      <c r="U38" s="1328">
        <f>+R38+S38+T38</f>
        <v>8221.5</v>
      </c>
      <c r="V38" s="1256"/>
      <c r="W38" s="723"/>
      <c r="X38" s="1323"/>
      <c r="Y38" s="1321">
        <v>45624</v>
      </c>
      <c r="Z38" s="1321"/>
      <c r="AA38" s="1324"/>
      <c r="AB38" s="1327">
        <f>+U38</f>
        <v>8221.5</v>
      </c>
      <c r="AC38" s="1327">
        <f>+AB38*AC$12</f>
        <v>1233.2249999999999</v>
      </c>
      <c r="AD38" s="1327">
        <f>+AB38+AC38</f>
        <v>9454.7250000000004</v>
      </c>
      <c r="AE38" s="1327">
        <f>+AE37+AD38</f>
        <v>2011046.3287000004</v>
      </c>
    </row>
    <row r="39" spans="1:31">
      <c r="A39" s="723"/>
      <c r="B39" s="1512"/>
      <c r="C39" s="1445"/>
      <c r="D39" s="1320"/>
      <c r="E39" s="1441"/>
      <c r="F39" s="1322"/>
      <c r="G39" s="1444"/>
      <c r="H39" s="1322"/>
      <c r="I39" s="1322"/>
      <c r="J39" s="1444"/>
      <c r="K39" s="1256"/>
      <c r="L39" s="723"/>
      <c r="M39" s="724"/>
      <c r="N39" s="1321"/>
      <c r="O39" s="1323"/>
      <c r="P39" s="1324"/>
      <c r="Q39" s="1322"/>
      <c r="R39" s="1444"/>
      <c r="S39" s="1444"/>
      <c r="T39" s="1444"/>
      <c r="U39" s="1328"/>
      <c r="V39" s="1256"/>
      <c r="W39" s="723"/>
      <c r="X39" s="1323"/>
      <c r="Y39" s="1321"/>
      <c r="Z39" s="1321"/>
      <c r="AA39" s="1324"/>
      <c r="AB39" s="1327"/>
      <c r="AC39" s="1327"/>
      <c r="AD39" s="1327"/>
      <c r="AE39" s="1327"/>
    </row>
    <row r="40" spans="1:31" ht="24.75" customHeight="1" thickBot="1">
      <c r="A40" s="6045" t="s">
        <v>1522</v>
      </c>
      <c r="B40" s="6046"/>
      <c r="C40" s="6046"/>
      <c r="D40" s="6046"/>
      <c r="E40" s="6046"/>
      <c r="F40" s="6047"/>
      <c r="G40" s="1338">
        <f>SUM(G14:G38)</f>
        <v>2559450.1799999997</v>
      </c>
      <c r="H40" s="1338">
        <f>SUM(H14:H38)</f>
        <v>-616423.00199999986</v>
      </c>
      <c r="I40" s="1338">
        <f>SUM(I14:I38)</f>
        <v>-194291.23999999996</v>
      </c>
      <c r="J40" s="1338">
        <f>SUM(J14:J38)</f>
        <v>1748735.9379999996</v>
      </c>
      <c r="K40" s="1256"/>
      <c r="L40" s="1339" t="s">
        <v>1522</v>
      </c>
      <c r="M40" s="1340"/>
      <c r="N40" s="1340"/>
      <c r="O40" s="1340"/>
      <c r="P40" s="1340"/>
      <c r="Q40" s="1340"/>
      <c r="R40" s="1341">
        <f>SUM(R14:R38)</f>
        <v>2559450.1799999997</v>
      </c>
      <c r="S40" s="1338">
        <f>SUM(S14:S38)</f>
        <v>-616423.00199999986</v>
      </c>
      <c r="T40" s="1338">
        <f>SUM(T14:T38)</f>
        <v>-194291.23999999996</v>
      </c>
      <c r="U40" s="1338">
        <f>SUM(U14:U38)</f>
        <v>1748735.9379999996</v>
      </c>
      <c r="V40" s="1256"/>
      <c r="W40" s="1342" t="s">
        <v>1522</v>
      </c>
      <c r="X40" s="1343"/>
      <c r="Y40" s="1343"/>
      <c r="Z40" s="1343"/>
      <c r="AA40" s="1343"/>
      <c r="AB40" s="1341">
        <f>SUM(AB14:AB38)</f>
        <v>1748735.9379999996</v>
      </c>
      <c r="AC40" s="1338">
        <f>SUM(AC14:AC38)</f>
        <v>262310.39069999993</v>
      </c>
      <c r="AD40" s="1338">
        <f>SUM(AD14:AD38)</f>
        <v>2011046.3287000004</v>
      </c>
      <c r="AE40" s="1338">
        <f>+AE38</f>
        <v>2011046.3287000004</v>
      </c>
    </row>
    <row r="41" spans="1:31">
      <c r="A41" s="1360"/>
      <c r="B41" s="1256"/>
      <c r="C41" s="1255"/>
      <c r="D41" s="1257"/>
      <c r="E41" s="1361"/>
      <c r="F41" s="1258">
        <f>+F32-F14</f>
        <v>1897192.3999999997</v>
      </c>
      <c r="G41" s="1258">
        <f>+F14</f>
        <v>616537.78</v>
      </c>
      <c r="H41" s="1258">
        <f>SUM(H14:H27)</f>
        <v>-600798.7919999999</v>
      </c>
      <c r="I41" s="1258"/>
      <c r="J41" s="1258">
        <f>+J40-I40</f>
        <v>1943027.1779999996</v>
      </c>
      <c r="K41" s="1256"/>
      <c r="L41" s="1360"/>
      <c r="M41" s="1360"/>
      <c r="N41" s="1362"/>
      <c r="O41" s="1362"/>
      <c r="P41" s="1362"/>
      <c r="Q41" s="1360"/>
      <c r="R41" s="1360"/>
      <c r="S41" s="1360"/>
      <c r="T41" s="1360"/>
      <c r="U41" s="1363">
        <f>U40-T40</f>
        <v>1943027.1779999996</v>
      </c>
      <c r="V41" s="1256"/>
      <c r="W41" s="1360"/>
      <c r="X41" s="1364"/>
      <c r="Y41" s="1362"/>
      <c r="Z41" s="1362"/>
      <c r="AA41" s="1362"/>
      <c r="AB41" s="1360">
        <f>+AB40*1.1</f>
        <v>1923609.5317999998</v>
      </c>
      <c r="AC41" s="1364"/>
      <c r="AD41" s="1362"/>
      <c r="AE41" s="1362"/>
    </row>
    <row r="42" spans="1:31">
      <c r="A42" s="1360"/>
      <c r="B42" s="1256"/>
      <c r="C42" s="1255"/>
      <c r="D42" s="1257"/>
      <c r="E42" s="1361"/>
      <c r="F42" s="1258"/>
      <c r="G42" s="1258">
        <f>+G40-G41</f>
        <v>1942912.3999999997</v>
      </c>
      <c r="H42" s="1258">
        <f>+H41+G14</f>
        <v>15738.988000000129</v>
      </c>
      <c r="I42" s="1258"/>
      <c r="J42" s="1258">
        <f>+J40-I40</f>
        <v>1943027.1779999996</v>
      </c>
      <c r="K42" s="1256"/>
      <c r="L42" s="1360"/>
      <c r="M42" s="1360"/>
      <c r="N42" s="1362"/>
      <c r="O42" s="1362"/>
      <c r="P42" s="1257"/>
      <c r="Q42" s="1258"/>
      <c r="R42" s="1258">
        <f>+R40-R14</f>
        <v>1942912.3999999997</v>
      </c>
      <c r="S42" s="1258"/>
      <c r="T42" s="1258"/>
      <c r="U42" s="1258"/>
      <c r="V42" s="1256"/>
      <c r="W42" s="1360"/>
      <c r="X42" s="1364"/>
      <c r="Y42" s="1362"/>
      <c r="Z42" s="1362"/>
      <c r="AA42" s="1362"/>
      <c r="AB42" s="1363">
        <f>+AB40</f>
        <v>1748735.9379999996</v>
      </c>
      <c r="AC42" s="1364"/>
      <c r="AD42" s="1362"/>
      <c r="AE42" s="2830">
        <v>1886482.4</v>
      </c>
    </row>
    <row r="43" spans="1:31">
      <c r="A43" s="1365"/>
      <c r="B43" s="1256"/>
      <c r="C43" s="1255">
        <v>9135</v>
      </c>
      <c r="D43" s="1257"/>
      <c r="E43" s="1361"/>
      <c r="F43" s="1366"/>
      <c r="G43" s="1366"/>
      <c r="H43" s="3321">
        <f>H40+G14</f>
        <v>114.77800000016578</v>
      </c>
      <c r="I43" s="1366"/>
      <c r="J43" s="1258"/>
      <c r="K43" s="1256"/>
      <c r="L43" s="1365"/>
      <c r="M43" s="1365">
        <f>403092.61/11085046.72</f>
        <v>3.6363636544059594E-2</v>
      </c>
      <c r="N43" s="1365"/>
      <c r="O43" s="1365"/>
      <c r="P43" s="1257"/>
      <c r="Q43" s="1366"/>
      <c r="R43" s="1366">
        <v>1862122.4</v>
      </c>
      <c r="S43" s="1366"/>
      <c r="T43" s="1366"/>
      <c r="U43" s="1366"/>
      <c r="V43" s="1256"/>
      <c r="W43" s="1365"/>
      <c r="X43" s="1365"/>
      <c r="Y43" s="1362"/>
      <c r="Z43" s="1362"/>
      <c r="AA43" s="1362"/>
      <c r="AB43" s="1365"/>
      <c r="AC43" s="1365"/>
      <c r="AD43" s="1362"/>
      <c r="AE43" s="1362"/>
    </row>
    <row r="44" spans="1:31">
      <c r="D44" s="1257"/>
      <c r="E44" s="153">
        <v>44197</v>
      </c>
      <c r="F44" s="1366"/>
      <c r="G44" s="1367">
        <f>+G40-G14</f>
        <v>1942912.3999999997</v>
      </c>
      <c r="P44" s="1257"/>
      <c r="Q44" s="1366"/>
      <c r="R44" s="1366">
        <f>+R43-R42</f>
        <v>-80789.999999999767</v>
      </c>
      <c r="S44" s="1366"/>
      <c r="T44" s="1366"/>
      <c r="U44" s="1366"/>
      <c r="Z44" s="153">
        <v>44094</v>
      </c>
      <c r="AB44" s="1367"/>
    </row>
    <row r="45" spans="1:31">
      <c r="D45" s="1257"/>
      <c r="E45" s="153">
        <f>E44-45</f>
        <v>44152</v>
      </c>
      <c r="F45" s="1366"/>
      <c r="P45" s="1257"/>
      <c r="Q45" s="1366"/>
      <c r="R45" s="1366"/>
      <c r="S45" s="1366"/>
      <c r="T45" s="1366"/>
      <c r="U45" s="1366"/>
      <c r="Z45" s="153">
        <f>Z44-45</f>
        <v>44049</v>
      </c>
    </row>
    <row r="46" spans="1:31">
      <c r="D46" s="1257"/>
      <c r="F46" s="1366"/>
      <c r="H46" s="153">
        <v>43986</v>
      </c>
      <c r="R46" s="652"/>
      <c r="S46" s="652"/>
      <c r="T46" s="652"/>
      <c r="U46" s="652"/>
    </row>
  </sheetData>
  <mergeCells count="4">
    <mergeCell ref="A10:J10"/>
    <mergeCell ref="L10:U10"/>
    <mergeCell ref="W10:AE10"/>
    <mergeCell ref="A40:F40"/>
  </mergeCells>
  <phoneticPr fontId="347" type="noConversion"/>
  <printOptions horizontalCentered="1"/>
  <pageMargins left="0.25" right="0.25" top="0.75" bottom="0.75" header="0.3" footer="0.3"/>
  <pageSetup paperSize="8" scale="65" fitToHeight="2" orientation="landscape" r:id="rId1"/>
  <headerFooter>
    <oddHeader>&amp;C&amp;"Calibri,Bold"&amp;18MONTHLY REPORT - INVOICE &amp; PAYMENT TRACKING LOG (SIC - GROUND WORKS)</oddHeader>
    <oddFooter>&amp;L1TB.01.003.01 - AYC 
MARCH'26 REPORT&amp;C&amp;A&amp;RPage &amp;P of &amp;N</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F788E-0ED6-4942-8A81-8AEBD080E3A9}">
  <sheetPr codeName="Sheet37">
    <tabColor theme="7" tint="0.39997558519241921"/>
    <pageSetUpPr fitToPage="1"/>
  </sheetPr>
  <dimension ref="A1:AE43"/>
  <sheetViews>
    <sheetView showGridLines="0" view="pageBreakPreview" topLeftCell="H1" zoomScale="80" zoomScaleNormal="100" zoomScaleSheetLayoutView="80" workbookViewId="0">
      <selection activeCell="C43" sqref="C43"/>
    </sheetView>
  </sheetViews>
  <sheetFormatPr defaultColWidth="9" defaultRowHeight="12.75"/>
  <cols>
    <col min="1" max="1" width="10.85546875" customWidth="1"/>
    <col min="2" max="2" width="10.42578125" customWidth="1"/>
    <col min="3" max="3" width="9.5703125" bestFit="1" customWidth="1"/>
    <col min="4" max="4" width="10.85546875" bestFit="1" customWidth="1"/>
    <col min="5" max="5" width="9.85546875" bestFit="1" customWidth="1"/>
    <col min="6" max="7" width="14.85546875" customWidth="1"/>
    <col min="8" max="8" width="8.5703125" bestFit="1" customWidth="1"/>
    <col min="9" max="9" width="9" bestFit="1" customWidth="1"/>
    <col min="10" max="10" width="13.85546875" customWidth="1"/>
    <col min="11" max="11" width="0.85546875" customWidth="1"/>
    <col min="12" max="12" width="6" customWidth="1"/>
    <col min="13" max="13" width="14.85546875" customWidth="1"/>
    <col min="14" max="14" width="9" customWidth="1"/>
    <col min="15" max="15" width="9" hidden="1" customWidth="1"/>
    <col min="16" max="16" width="7.85546875" hidden="1" customWidth="1"/>
    <col min="17" max="17" width="13.85546875" customWidth="1"/>
    <col min="18" max="18" width="15.5703125" customWidth="1"/>
    <col min="19" max="20" width="9.42578125" bestFit="1" customWidth="1"/>
    <col min="21" max="21" width="14.5703125" customWidth="1"/>
    <col min="22" max="22" width="0.85546875" customWidth="1"/>
    <col min="23" max="23" width="13" customWidth="1"/>
    <col min="24" max="25" width="9" bestFit="1" customWidth="1"/>
    <col min="26" max="26" width="10" customWidth="1"/>
    <col min="27" max="27" width="7" customWidth="1"/>
    <col min="28" max="28" width="17" bestFit="1" customWidth="1"/>
    <col min="29" max="29" width="13.5703125" customWidth="1"/>
    <col min="30" max="31" width="14" customWidth="1"/>
  </cols>
  <sheetData>
    <row r="1" spans="1:31">
      <c r="A1" s="1255"/>
      <c r="B1" s="1256"/>
      <c r="C1" s="1255"/>
      <c r="D1" s="1257"/>
      <c r="E1" s="1257"/>
      <c r="F1" s="1258"/>
      <c r="G1" s="1258"/>
      <c r="H1" s="1258"/>
      <c r="I1" s="1258"/>
      <c r="J1" s="1258"/>
      <c r="K1" s="1257"/>
      <c r="L1" s="1255"/>
      <c r="M1" s="1255"/>
      <c r="N1" s="1255"/>
      <c r="O1" s="1255"/>
      <c r="P1" s="1255"/>
      <c r="Q1" s="1255"/>
      <c r="R1" s="1255"/>
      <c r="S1" s="1255"/>
      <c r="T1" s="1255"/>
      <c r="U1" s="1259"/>
      <c r="V1" s="1257"/>
      <c r="W1" s="1257"/>
      <c r="X1" s="1257"/>
      <c r="Y1" s="1257"/>
      <c r="Z1" s="1257"/>
      <c r="AA1" s="1257"/>
      <c r="AB1" s="1257"/>
      <c r="AC1" s="1257"/>
      <c r="AD1" s="1257"/>
      <c r="AE1" s="1257"/>
    </row>
    <row r="2" spans="1:31">
      <c r="A2" s="9" t="str">
        <f>'Data Input'!A1&amp;" - "&amp;'Data Input'!B1</f>
        <v>PROGRAMME: - MARINA VILLAGE (PROGRAMME 1_TRIPLE BAY)</v>
      </c>
      <c r="B2" s="1256"/>
      <c r="C2" s="1255"/>
      <c r="D2" s="1257"/>
      <c r="E2" s="1257"/>
      <c r="F2" s="1258"/>
      <c r="G2" s="1258"/>
      <c r="H2" s="1258"/>
      <c r="I2" s="1258"/>
      <c r="J2" s="1258"/>
      <c r="K2" s="1257"/>
      <c r="L2" s="1255"/>
      <c r="M2" s="1255"/>
      <c r="N2" s="1255"/>
      <c r="O2" s="1255"/>
      <c r="P2" s="1255"/>
      <c r="Q2" s="1255"/>
      <c r="R2" s="1255"/>
      <c r="S2" s="1255"/>
      <c r="T2" s="1255"/>
      <c r="U2" s="1259"/>
      <c r="V2" s="1257"/>
      <c r="W2" s="1257"/>
      <c r="X2" s="1257"/>
      <c r="Y2" s="1257"/>
      <c r="Z2" s="1257"/>
      <c r="AA2" s="1257"/>
      <c r="AB2" s="1257"/>
      <c r="AC2" s="1257"/>
      <c r="AD2" s="1257"/>
      <c r="AE2" s="1257"/>
    </row>
    <row r="3" spans="1:31">
      <c r="A3" s="9" t="str">
        <f>'Data Input'!A2&amp;" - "&amp;'Data Input'!B2</f>
        <v>PROGRAMME CODE: - 1TB01003</v>
      </c>
      <c r="B3" s="1260"/>
      <c r="C3" s="1261"/>
      <c r="D3" s="1262"/>
      <c r="E3" s="1262"/>
      <c r="F3" s="1263"/>
      <c r="G3" s="1263"/>
      <c r="H3" s="1263"/>
      <c r="I3" s="1263"/>
      <c r="J3" s="1264"/>
      <c r="K3" s="1265"/>
      <c r="L3" s="1265"/>
      <c r="M3" s="1265"/>
      <c r="N3" s="1265"/>
      <c r="O3" s="1266"/>
      <c r="P3" s="1265"/>
      <c r="Q3" s="1265"/>
      <c r="R3" s="1265"/>
      <c r="S3" s="1265"/>
      <c r="T3" s="1265"/>
      <c r="U3" s="1267"/>
      <c r="V3" s="1265"/>
      <c r="W3" s="1265"/>
      <c r="X3" s="1265"/>
      <c r="Y3" s="1265"/>
      <c r="Z3" s="1265"/>
      <c r="AA3" s="1265"/>
      <c r="AB3" s="1265"/>
      <c r="AC3" s="1265"/>
      <c r="AD3" s="1265"/>
      <c r="AE3" s="1265"/>
    </row>
    <row r="4" spans="1:31">
      <c r="A4" s="9" t="str">
        <f>'Data Input'!A3&amp;" - "&amp;'Data Input'!B3</f>
        <v>ASSET NAME: - AMAALA YACHT CLUB</v>
      </c>
      <c r="B4" s="1260"/>
      <c r="C4" s="1268"/>
      <c r="D4" s="1265"/>
      <c r="E4" s="1265"/>
      <c r="F4" s="1267"/>
      <c r="G4" s="1267"/>
      <c r="H4" s="1267"/>
      <c r="I4" s="1267"/>
      <c r="J4" s="1269"/>
      <c r="K4" s="1265"/>
      <c r="L4" s="1265"/>
      <c r="M4" s="1265"/>
      <c r="N4" s="1265"/>
      <c r="O4" s="1266"/>
      <c r="P4" s="1265"/>
      <c r="Q4" s="1265"/>
      <c r="R4" s="1265"/>
      <c r="S4" s="1265"/>
      <c r="T4" s="1265"/>
      <c r="U4" s="1267"/>
      <c r="V4" s="1265"/>
      <c r="W4" s="1265"/>
      <c r="X4" s="1265"/>
      <c r="Y4" s="1265"/>
      <c r="Z4" s="1265"/>
      <c r="AA4" s="1265"/>
      <c r="AB4" s="1265"/>
      <c r="AC4" s="1265"/>
      <c r="AD4" s="1265"/>
      <c r="AE4" s="1265"/>
    </row>
    <row r="5" spans="1:31">
      <c r="A5" s="9" t="str">
        <f>'Data Input'!A4&amp;" - "&amp;'Data Input'!B4</f>
        <v>ASSET CODE: - 1TB01003.01</v>
      </c>
      <c r="B5" s="1270"/>
      <c r="C5" s="1268"/>
      <c r="D5" s="1265"/>
      <c r="E5" s="1265"/>
      <c r="F5" s="1267"/>
      <c r="G5" s="1267"/>
      <c r="H5" s="1267"/>
      <c r="I5" s="1267"/>
      <c r="J5" s="1269"/>
      <c r="K5" s="1265"/>
      <c r="L5" s="1265"/>
      <c r="M5" s="1265"/>
      <c r="N5" s="1265"/>
      <c r="O5" s="1266"/>
      <c r="P5" s="1265"/>
      <c r="Q5" s="1265"/>
      <c r="R5" s="1271"/>
      <c r="S5" s="1265"/>
      <c r="T5" s="1265"/>
      <c r="U5" s="1267"/>
      <c r="V5" s="1265"/>
      <c r="W5" s="1265"/>
      <c r="X5" s="1265"/>
      <c r="Y5" s="1265"/>
      <c r="Z5" s="1265"/>
      <c r="AA5" s="1265"/>
      <c r="AB5" s="1265"/>
      <c r="AC5" s="1265"/>
      <c r="AD5" s="1265"/>
      <c r="AE5" s="1265"/>
    </row>
    <row r="6" spans="1:31">
      <c r="A6" s="9" t="str">
        <f>'Data Input'!A7&amp;" - "&amp;'Data Input'!B7</f>
        <v>REPORT NO: - MONTHLY REPORT NO. 49</v>
      </c>
      <c r="B6" s="1272"/>
      <c r="C6" s="1268"/>
      <c r="D6" s="1265"/>
      <c r="E6" s="1265"/>
      <c r="F6" s="1267"/>
      <c r="G6" s="1267"/>
      <c r="H6" s="1267"/>
      <c r="I6" s="1267"/>
      <c r="J6" s="1269"/>
      <c r="K6" s="1265"/>
      <c r="L6" s="1265"/>
      <c r="M6" s="1265"/>
      <c r="N6" s="1265"/>
      <c r="O6" s="1266"/>
      <c r="P6" s="1265"/>
      <c r="Q6" s="1265"/>
      <c r="R6" s="1273"/>
      <c r="S6" s="1265"/>
      <c r="T6" s="1271"/>
      <c r="U6" s="1267"/>
      <c r="V6" s="1265"/>
      <c r="W6" s="1265"/>
      <c r="X6" s="1265"/>
      <c r="Y6" s="1265"/>
      <c r="Z6" s="1265"/>
      <c r="AA6" s="1265"/>
      <c r="AB6" s="1265"/>
      <c r="AC6" s="1265"/>
      <c r="AD6" s="1265"/>
      <c r="AE6" s="1265"/>
    </row>
    <row r="7" spans="1:31">
      <c r="A7" s="9" t="str">
        <f>'Data Input'!A8&amp;" - "&amp;'Data Input'!B8</f>
        <v>REPORTING PERIOD: - OCTOBER 2026</v>
      </c>
      <c r="B7" s="1262"/>
      <c r="C7" s="1274"/>
      <c r="D7" s="1262"/>
      <c r="E7" s="1262"/>
      <c r="F7" s="1263"/>
      <c r="G7" s="1263"/>
      <c r="H7" s="1263"/>
      <c r="I7" s="1263"/>
      <c r="J7" s="1264"/>
      <c r="K7" s="1265"/>
      <c r="L7" s="1265"/>
      <c r="M7" s="1265"/>
      <c r="N7" s="1265"/>
      <c r="O7" s="1265"/>
      <c r="P7" s="1265"/>
      <c r="Q7" s="1267"/>
      <c r="R7" s="1263"/>
      <c r="S7" s="1263"/>
      <c r="T7" s="1263"/>
      <c r="U7" s="1267"/>
      <c r="V7" s="1265"/>
      <c r="W7" s="1265"/>
      <c r="X7" s="1265"/>
      <c r="Y7" s="1265"/>
      <c r="Z7" s="1265"/>
      <c r="AA7" s="1265"/>
      <c r="AB7" s="1265"/>
      <c r="AC7" s="1265"/>
      <c r="AD7" s="1265"/>
      <c r="AE7" s="1265"/>
    </row>
    <row r="8" spans="1:31" ht="13.5" thickBot="1">
      <c r="A8" s="9"/>
      <c r="B8" s="1256"/>
      <c r="C8" s="1255"/>
      <c r="D8" s="1257"/>
      <c r="E8" s="1257"/>
      <c r="F8" s="1258"/>
      <c r="G8" s="1258"/>
      <c r="H8" s="1258"/>
      <c r="I8" s="1258"/>
      <c r="J8" s="1258"/>
      <c r="K8" s="1257"/>
      <c r="L8" s="1255"/>
      <c r="M8" s="1255"/>
      <c r="N8" s="1275"/>
      <c r="O8" s="1276"/>
      <c r="P8" s="1255"/>
      <c r="Q8" s="1255"/>
      <c r="R8" s="1255"/>
      <c r="S8" s="1255"/>
      <c r="T8" s="1255"/>
      <c r="U8" s="1259"/>
      <c r="V8" s="1257"/>
      <c r="W8" s="1257"/>
      <c r="X8" s="1257"/>
      <c r="Y8" s="1257"/>
      <c r="Z8" s="1257"/>
      <c r="AA8" s="1257"/>
      <c r="AB8" s="1257"/>
      <c r="AC8" s="1257"/>
      <c r="AD8" s="1257"/>
      <c r="AE8" s="1257"/>
    </row>
    <row r="9" spans="1:31" ht="30" customHeight="1" thickBot="1">
      <c r="A9" s="1354" t="s">
        <v>2141</v>
      </c>
      <c r="B9" s="1355"/>
      <c r="C9" s="1355"/>
      <c r="D9" s="1356"/>
      <c r="E9" s="1356"/>
      <c r="F9" s="1357"/>
      <c r="G9" s="1357"/>
      <c r="H9" s="1357"/>
      <c r="I9" s="1357"/>
      <c r="J9" s="1357"/>
      <c r="K9" s="1356"/>
      <c r="L9" s="1355"/>
      <c r="M9" s="1355"/>
      <c r="N9" s="1355"/>
      <c r="O9" s="1355"/>
      <c r="P9" s="1355"/>
      <c r="Q9" s="1355"/>
      <c r="R9" s="1355"/>
      <c r="S9" s="1355"/>
      <c r="T9" s="1355"/>
      <c r="U9" s="1358"/>
      <c r="V9" s="1356"/>
      <c r="W9" s="1356"/>
      <c r="X9" s="1356"/>
      <c r="Y9" s="1356"/>
      <c r="Z9" s="1356"/>
      <c r="AA9" s="1356"/>
      <c r="AB9" s="1356"/>
      <c r="AC9" s="1356"/>
      <c r="AD9" s="1356"/>
      <c r="AE9" s="1359"/>
    </row>
    <row r="10" spans="1:31">
      <c r="A10" s="6051" t="s">
        <v>1524</v>
      </c>
      <c r="B10" s="6052"/>
      <c r="C10" s="6052"/>
      <c r="D10" s="6052"/>
      <c r="E10" s="6052"/>
      <c r="F10" s="6052"/>
      <c r="G10" s="6053"/>
      <c r="H10" s="6053"/>
      <c r="I10" s="6053"/>
      <c r="J10" s="6054"/>
      <c r="K10" s="1256"/>
      <c r="L10" s="6055" t="s">
        <v>1525</v>
      </c>
      <c r="M10" s="6056"/>
      <c r="N10" s="6056"/>
      <c r="O10" s="6056"/>
      <c r="P10" s="6056"/>
      <c r="Q10" s="6056"/>
      <c r="R10" s="6057"/>
      <c r="S10" s="6057"/>
      <c r="T10" s="6057"/>
      <c r="U10" s="6058"/>
      <c r="V10" s="1256"/>
      <c r="W10" s="6043" t="s">
        <v>1526</v>
      </c>
      <c r="X10" s="6044"/>
      <c r="Y10" s="6044"/>
      <c r="Z10" s="6044"/>
      <c r="AA10" s="6044"/>
      <c r="AB10" s="6044"/>
      <c r="AC10" s="6044"/>
      <c r="AD10" s="6044"/>
      <c r="AE10" s="6059"/>
    </row>
    <row r="11" spans="1:31" ht="60" customHeight="1">
      <c r="A11" s="1283" t="s">
        <v>1462</v>
      </c>
      <c r="B11" s="1284" t="s">
        <v>1527</v>
      </c>
      <c r="C11" s="1284" t="s">
        <v>1528</v>
      </c>
      <c r="D11" s="1285" t="s">
        <v>1744</v>
      </c>
      <c r="E11" s="1285" t="s">
        <v>1530</v>
      </c>
      <c r="F11" s="1286" t="s">
        <v>1531</v>
      </c>
      <c r="G11" s="1287" t="s">
        <v>1532</v>
      </c>
      <c r="H11" s="1287" t="s">
        <v>1533</v>
      </c>
      <c r="I11" s="1287" t="s">
        <v>1534</v>
      </c>
      <c r="J11" s="1288" t="s">
        <v>1535</v>
      </c>
      <c r="K11" s="1289"/>
      <c r="L11" s="763" t="s">
        <v>1536</v>
      </c>
      <c r="M11" s="1290" t="s">
        <v>1601</v>
      </c>
      <c r="N11" s="1290" t="s">
        <v>1530</v>
      </c>
      <c r="O11" s="1290" t="s">
        <v>1538</v>
      </c>
      <c r="P11" s="764" t="s">
        <v>1539</v>
      </c>
      <c r="Q11" s="1291" t="s">
        <v>1540</v>
      </c>
      <c r="R11" s="1292" t="s">
        <v>1541</v>
      </c>
      <c r="S11" s="1292" t="s">
        <v>1533</v>
      </c>
      <c r="T11" s="1292" t="s">
        <v>1534</v>
      </c>
      <c r="U11" s="1293" t="s">
        <v>1542</v>
      </c>
      <c r="V11" s="1256"/>
      <c r="W11" s="1294" t="s">
        <v>1543</v>
      </c>
      <c r="X11" s="1295" t="s">
        <v>1544</v>
      </c>
      <c r="Y11" s="1296" t="s">
        <v>1545</v>
      </c>
      <c r="Z11" s="1296" t="s">
        <v>1603</v>
      </c>
      <c r="AA11" s="769" t="s">
        <v>1539</v>
      </c>
      <c r="AB11" s="769" t="s">
        <v>1547</v>
      </c>
      <c r="AC11" s="769" t="s">
        <v>1548</v>
      </c>
      <c r="AD11" s="1296" t="s">
        <v>1549</v>
      </c>
      <c r="AE11" s="1297" t="s">
        <v>1550</v>
      </c>
    </row>
    <row r="12" spans="1:31" ht="17.25" customHeight="1">
      <c r="A12" s="1298"/>
      <c r="B12" s="1299"/>
      <c r="C12" s="1300"/>
      <c r="D12" s="1301"/>
      <c r="E12" s="1302" t="s">
        <v>296</v>
      </c>
      <c r="F12" s="1303" t="s">
        <v>434</v>
      </c>
      <c r="G12" s="1303" t="s">
        <v>434</v>
      </c>
      <c r="H12" s="1304" t="s">
        <v>805</v>
      </c>
      <c r="I12" s="1304" t="s">
        <v>805</v>
      </c>
      <c r="J12" s="1305" t="s">
        <v>434</v>
      </c>
      <c r="K12" s="1256"/>
      <c r="L12" s="765"/>
      <c r="M12" s="766"/>
      <c r="N12" s="1306" t="s">
        <v>296</v>
      </c>
      <c r="O12" s="766"/>
      <c r="P12" s="1307" t="s">
        <v>1552</v>
      </c>
      <c r="Q12" s="767" t="s">
        <v>434</v>
      </c>
      <c r="R12" s="767" t="s">
        <v>434</v>
      </c>
      <c r="S12" s="1308" t="s">
        <v>805</v>
      </c>
      <c r="T12" s="1308" t="s">
        <v>805</v>
      </c>
      <c r="U12" s="768" t="s">
        <v>434</v>
      </c>
      <c r="V12" s="1256"/>
      <c r="W12" s="770"/>
      <c r="X12" s="1309" t="s">
        <v>296</v>
      </c>
      <c r="Y12" s="1309" t="s">
        <v>296</v>
      </c>
      <c r="Z12" s="1309" t="s">
        <v>2145</v>
      </c>
      <c r="AA12" s="1310" t="s">
        <v>1552</v>
      </c>
      <c r="AB12" s="1311"/>
      <c r="AC12" s="1312">
        <v>0.15</v>
      </c>
      <c r="AD12" s="1309" t="s">
        <v>296</v>
      </c>
      <c r="AE12" s="1313" t="s">
        <v>296</v>
      </c>
    </row>
    <row r="13" spans="1:31" s="722" customFormat="1" ht="12.75" customHeight="1">
      <c r="A13" s="1314"/>
      <c r="B13" s="1314"/>
      <c r="C13" s="1314"/>
      <c r="D13" s="1314"/>
      <c r="E13" s="1314"/>
      <c r="F13" s="1314"/>
      <c r="G13" s="1314"/>
      <c r="H13" s="1314"/>
      <c r="I13" s="1314"/>
      <c r="J13" s="1314"/>
      <c r="K13" s="1255"/>
      <c r="L13" s="1315"/>
      <c r="M13" s="1315"/>
      <c r="N13" s="1316"/>
      <c r="O13" s="1314" t="s">
        <v>1554</v>
      </c>
      <c r="P13" s="1317" t="s">
        <v>1555</v>
      </c>
      <c r="Q13" s="1318"/>
      <c r="R13" s="1318"/>
      <c r="S13" s="1319"/>
      <c r="T13" s="1319"/>
      <c r="U13" s="1318"/>
      <c r="V13" s="1255"/>
      <c r="W13" s="1316"/>
      <c r="X13" s="1316" t="s">
        <v>1481</v>
      </c>
      <c r="Y13" s="1316" t="s">
        <v>1482</v>
      </c>
      <c r="Z13" s="1316" t="s">
        <v>2146</v>
      </c>
      <c r="AA13" s="1317" t="s">
        <v>2147</v>
      </c>
      <c r="AB13" s="1314" t="s">
        <v>1556</v>
      </c>
      <c r="AC13" s="1319" t="s">
        <v>2148</v>
      </c>
      <c r="AD13" s="1316" t="s">
        <v>2149</v>
      </c>
      <c r="AE13" s="1316"/>
    </row>
    <row r="14" spans="1:31" ht="36">
      <c r="A14" s="723">
        <v>1</v>
      </c>
      <c r="B14" s="810" t="s">
        <v>2142</v>
      </c>
      <c r="C14" s="811">
        <v>45017</v>
      </c>
      <c r="D14" s="2835" t="s">
        <v>2143</v>
      </c>
      <c r="E14" s="1440">
        <v>45011</v>
      </c>
      <c r="F14" s="1322">
        <v>106231.5</v>
      </c>
      <c r="G14" s="1444">
        <f>F14</f>
        <v>106231.5</v>
      </c>
      <c r="H14" s="1444">
        <v>0</v>
      </c>
      <c r="I14" s="1444">
        <v>0</v>
      </c>
      <c r="J14" s="1444">
        <f>G14+H14+I14</f>
        <v>106231.5</v>
      </c>
      <c r="K14" s="1256"/>
      <c r="L14" s="1443" t="str">
        <f>B14</f>
        <v>FAS</v>
      </c>
      <c r="M14" s="2850" t="s">
        <v>2144</v>
      </c>
      <c r="N14" s="1321">
        <v>45024</v>
      </c>
      <c r="O14" s="1323">
        <f>+E14+28</f>
        <v>45039</v>
      </c>
      <c r="P14" s="1324">
        <f>O14-N14</f>
        <v>15</v>
      </c>
      <c r="Q14" s="1322">
        <f>F14</f>
        <v>106231.5</v>
      </c>
      <c r="R14" s="1444">
        <f>Q14</f>
        <v>106231.5</v>
      </c>
      <c r="S14" s="1444">
        <v>0</v>
      </c>
      <c r="T14" s="1444">
        <v>0</v>
      </c>
      <c r="U14" s="1444">
        <f>R14-S14-T14</f>
        <v>106231.5</v>
      </c>
      <c r="V14" s="1256"/>
      <c r="W14" s="2857" t="s">
        <v>2144</v>
      </c>
      <c r="X14" s="1326">
        <v>45024</v>
      </c>
      <c r="Y14" s="1326">
        <v>45075</v>
      </c>
      <c r="Z14" s="1321">
        <f>+X14+45</f>
        <v>45069</v>
      </c>
      <c r="AA14" s="1324">
        <f>+Z14-Y14</f>
        <v>-6</v>
      </c>
      <c r="AB14" s="1327">
        <f>U14</f>
        <v>106231.5</v>
      </c>
      <c r="AC14" s="1327">
        <f>(R14+T14)*AC$12</f>
        <v>15934.724999999999</v>
      </c>
      <c r="AD14" s="1327">
        <f>AC14+AB14</f>
        <v>122166.22500000001</v>
      </c>
      <c r="AE14" s="1327">
        <f>AD14</f>
        <v>122166.22500000001</v>
      </c>
    </row>
    <row r="15" spans="1:31">
      <c r="A15" s="723"/>
      <c r="B15" s="810"/>
      <c r="C15" s="811"/>
      <c r="D15" s="1320"/>
      <c r="E15" s="1440"/>
      <c r="F15" s="1322"/>
      <c r="G15" s="1444"/>
      <c r="H15" s="1444"/>
      <c r="I15" s="1444"/>
      <c r="J15" s="1444"/>
      <c r="K15" s="1256"/>
      <c r="L15" s="1443"/>
      <c r="M15" s="724"/>
      <c r="N15" s="1321"/>
      <c r="O15" s="1323"/>
      <c r="P15" s="1324"/>
      <c r="Q15" s="1322"/>
      <c r="R15" s="1444"/>
      <c r="S15" s="1444"/>
      <c r="T15" s="1444"/>
      <c r="U15" s="1328"/>
      <c r="V15" s="1256"/>
      <c r="W15" s="723"/>
      <c r="X15" s="1323"/>
      <c r="Y15" s="1321"/>
      <c r="Z15" s="1321"/>
      <c r="AA15" s="1324"/>
      <c r="AB15" s="1327"/>
      <c r="AC15" s="1327"/>
      <c r="AD15" s="1327"/>
      <c r="AE15" s="1327"/>
    </row>
    <row r="16" spans="1:31">
      <c r="A16" s="723"/>
      <c r="B16" s="810"/>
      <c r="C16" s="1445"/>
      <c r="D16" s="1320"/>
      <c r="E16" s="1440"/>
      <c r="F16" s="1322"/>
      <c r="G16" s="1322"/>
      <c r="H16" s="1322"/>
      <c r="I16" s="1322"/>
      <c r="J16" s="1322"/>
      <c r="K16" s="1256"/>
      <c r="L16" s="1443"/>
      <c r="M16" s="724"/>
      <c r="N16" s="1321"/>
      <c r="O16" s="1323"/>
      <c r="P16" s="1324"/>
      <c r="Q16" s="1322"/>
      <c r="R16" s="1444"/>
      <c r="S16" s="1444"/>
      <c r="T16" s="1444"/>
      <c r="U16" s="1328"/>
      <c r="V16" s="1256"/>
      <c r="W16" s="723"/>
      <c r="X16" s="1323"/>
      <c r="Y16" s="1321"/>
      <c r="Z16" s="1321"/>
      <c r="AA16" s="1324"/>
      <c r="AB16" s="1327"/>
      <c r="AC16" s="1327"/>
      <c r="AD16" s="1327"/>
      <c r="AE16" s="1327"/>
    </row>
    <row r="17" spans="1:31">
      <c r="A17" s="723"/>
      <c r="B17" s="810"/>
      <c r="C17" s="1445"/>
      <c r="D17" s="1320"/>
      <c r="E17" s="1440"/>
      <c r="F17" s="1322"/>
      <c r="G17" s="1322"/>
      <c r="H17" s="1322"/>
      <c r="I17" s="1322"/>
      <c r="J17" s="1322"/>
      <c r="K17" s="1256"/>
      <c r="L17" s="1443"/>
      <c r="M17" s="724"/>
      <c r="N17" s="1321"/>
      <c r="O17" s="1323"/>
      <c r="P17" s="1324"/>
      <c r="Q17" s="1322"/>
      <c r="R17" s="1444"/>
      <c r="S17" s="1444"/>
      <c r="T17" s="1444"/>
      <c r="U17" s="1328"/>
      <c r="V17" s="1256"/>
      <c r="W17" s="723"/>
      <c r="X17" s="1323"/>
      <c r="Y17" s="1321"/>
      <c r="Z17" s="1321"/>
      <c r="AA17" s="1324"/>
      <c r="AB17" s="1327"/>
      <c r="AC17" s="1327"/>
      <c r="AD17" s="1327"/>
      <c r="AE17" s="1327"/>
    </row>
    <row r="18" spans="1:31">
      <c r="A18" s="723"/>
      <c r="B18" s="810"/>
      <c r="C18" s="1445"/>
      <c r="D18" s="1320"/>
      <c r="E18" s="1440"/>
      <c r="F18" s="1322"/>
      <c r="G18" s="1322"/>
      <c r="H18" s="1322"/>
      <c r="I18" s="1322"/>
      <c r="J18" s="1322"/>
      <c r="K18" s="1256"/>
      <c r="L18" s="1443"/>
      <c r="M18" s="724"/>
      <c r="N18" s="1321"/>
      <c r="O18" s="1323"/>
      <c r="P18" s="1324"/>
      <c r="Q18" s="1322"/>
      <c r="R18" s="1444"/>
      <c r="S18" s="1444"/>
      <c r="T18" s="1444"/>
      <c r="U18" s="1328"/>
      <c r="V18" s="1256"/>
      <c r="W18" s="723"/>
      <c r="X18" s="1323"/>
      <c r="Y18" s="1321"/>
      <c r="Z18" s="1321"/>
      <c r="AA18" s="1324"/>
      <c r="AB18" s="1327"/>
      <c r="AC18" s="1327"/>
      <c r="AD18" s="1327"/>
      <c r="AE18" s="1327"/>
    </row>
    <row r="19" spans="1:31">
      <c r="A19" s="723"/>
      <c r="B19" s="810"/>
      <c r="C19" s="1445"/>
      <c r="D19" s="1320"/>
      <c r="E19" s="1440"/>
      <c r="F19" s="1322"/>
      <c r="G19" s="1322"/>
      <c r="H19" s="1322"/>
      <c r="I19" s="1322"/>
      <c r="J19" s="1322"/>
      <c r="K19" s="1256"/>
      <c r="L19" s="1443"/>
      <c r="M19" s="724"/>
      <c r="N19" s="1321"/>
      <c r="O19" s="1323"/>
      <c r="P19" s="1324"/>
      <c r="Q19" s="1322"/>
      <c r="R19" s="1444"/>
      <c r="S19" s="1444"/>
      <c r="T19" s="1444"/>
      <c r="U19" s="1328"/>
      <c r="V19" s="1256"/>
      <c r="W19" s="723"/>
      <c r="X19" s="1323"/>
      <c r="Y19" s="1321"/>
      <c r="Z19" s="1321"/>
      <c r="AA19" s="1324"/>
      <c r="AB19" s="1327"/>
      <c r="AC19" s="1327"/>
      <c r="AD19" s="1327"/>
      <c r="AE19" s="1327"/>
    </row>
    <row r="20" spans="1:31">
      <c r="A20" s="723"/>
      <c r="B20" s="810"/>
      <c r="C20" s="1445"/>
      <c r="D20" s="1320"/>
      <c r="E20" s="1440"/>
      <c r="F20" s="1322"/>
      <c r="G20" s="1322"/>
      <c r="H20" s="1322"/>
      <c r="I20" s="1322"/>
      <c r="J20" s="1322"/>
      <c r="K20" s="1256"/>
      <c r="L20" s="1443"/>
      <c r="M20" s="724"/>
      <c r="N20" s="1321"/>
      <c r="O20" s="1323"/>
      <c r="P20" s="1324"/>
      <c r="Q20" s="1322"/>
      <c r="R20" s="1444"/>
      <c r="S20" s="1444"/>
      <c r="T20" s="1444"/>
      <c r="U20" s="1328"/>
      <c r="V20" s="1256"/>
      <c r="W20" s="723"/>
      <c r="X20" s="1323"/>
      <c r="Y20" s="1321"/>
      <c r="Z20" s="1321"/>
      <c r="AA20" s="1324"/>
      <c r="AB20" s="1327"/>
      <c r="AC20" s="1327"/>
      <c r="AD20" s="1327"/>
      <c r="AE20" s="1327"/>
    </row>
    <row r="21" spans="1:31">
      <c r="A21" s="723"/>
      <c r="B21" s="810"/>
      <c r="C21" s="1445"/>
      <c r="D21" s="1320"/>
      <c r="E21" s="1440"/>
      <c r="F21" s="1322"/>
      <c r="G21" s="1322"/>
      <c r="H21" s="1322"/>
      <c r="I21" s="1322"/>
      <c r="J21" s="1322"/>
      <c r="K21" s="1256"/>
      <c r="L21" s="1443"/>
      <c r="M21" s="724"/>
      <c r="N21" s="1321"/>
      <c r="O21" s="1323"/>
      <c r="P21" s="1324"/>
      <c r="Q21" s="1322"/>
      <c r="R21" s="1444"/>
      <c r="S21" s="1444"/>
      <c r="T21" s="1444"/>
      <c r="U21" s="1328"/>
      <c r="V21" s="1256"/>
      <c r="W21" s="723"/>
      <c r="X21" s="1323"/>
      <c r="Y21" s="1321"/>
      <c r="Z21" s="1321"/>
      <c r="AA21" s="1324"/>
      <c r="AB21" s="1327"/>
      <c r="AC21" s="1327"/>
      <c r="AD21" s="1327"/>
      <c r="AE21" s="1327"/>
    </row>
    <row r="22" spans="1:31">
      <c r="A22" s="723"/>
      <c r="B22" s="810"/>
      <c r="C22" s="1445"/>
      <c r="D22" s="1320"/>
      <c r="E22" s="1440"/>
      <c r="F22" s="1322"/>
      <c r="G22" s="1322"/>
      <c r="H22" s="1322"/>
      <c r="I22" s="1322"/>
      <c r="J22" s="1322"/>
      <c r="K22" s="1256"/>
      <c r="L22" s="1443"/>
      <c r="M22" s="724"/>
      <c r="N22" s="1321"/>
      <c r="O22" s="1323"/>
      <c r="P22" s="1324"/>
      <c r="Q22" s="1322"/>
      <c r="R22" s="1444"/>
      <c r="S22" s="1444"/>
      <c r="T22" s="1444"/>
      <c r="U22" s="1328"/>
      <c r="V22" s="1256"/>
      <c r="W22" s="723"/>
      <c r="X22" s="1323"/>
      <c r="Y22" s="1321"/>
      <c r="Z22" s="1321"/>
      <c r="AA22" s="1324"/>
      <c r="AB22" s="1327"/>
      <c r="AC22" s="1327"/>
      <c r="AD22" s="1327"/>
      <c r="AE22" s="1327"/>
    </row>
    <row r="23" spans="1:31">
      <c r="A23" s="723"/>
      <c r="B23" s="810"/>
      <c r="C23" s="1445"/>
      <c r="D23" s="1320"/>
      <c r="E23" s="1440"/>
      <c r="F23" s="1322"/>
      <c r="G23" s="1322"/>
      <c r="H23" s="1322"/>
      <c r="I23" s="1322"/>
      <c r="J23" s="1322"/>
      <c r="K23" s="1256"/>
      <c r="L23" s="1443"/>
      <c r="M23" s="724"/>
      <c r="N23" s="1321"/>
      <c r="O23" s="1323"/>
      <c r="P23" s="1324"/>
      <c r="Q23" s="1322"/>
      <c r="R23" s="1444"/>
      <c r="S23" s="1444"/>
      <c r="T23" s="1444"/>
      <c r="U23" s="1328"/>
      <c r="V23" s="1256"/>
      <c r="W23" s="723"/>
      <c r="X23" s="1323"/>
      <c r="Y23" s="1321"/>
      <c r="Z23" s="1321"/>
      <c r="AA23" s="1324"/>
      <c r="AB23" s="1327"/>
      <c r="AC23" s="1327"/>
      <c r="AD23" s="1327"/>
      <c r="AE23" s="1327"/>
    </row>
    <row r="24" spans="1:31">
      <c r="A24" s="723"/>
      <c r="B24" s="810"/>
      <c r="C24" s="1445"/>
      <c r="D24" s="1320"/>
      <c r="E24" s="1440"/>
      <c r="F24" s="1322"/>
      <c r="G24" s="1322"/>
      <c r="H24" s="1322"/>
      <c r="I24" s="1322"/>
      <c r="J24" s="1322"/>
      <c r="K24" s="1256"/>
      <c r="L24" s="1443"/>
      <c r="M24" s="724"/>
      <c r="N24" s="1321"/>
      <c r="O24" s="1323"/>
      <c r="P24" s="1324"/>
      <c r="Q24" s="1322"/>
      <c r="R24" s="1444"/>
      <c r="S24" s="1444"/>
      <c r="T24" s="1444"/>
      <c r="U24" s="1328"/>
      <c r="V24" s="1256"/>
      <c r="W24" s="723"/>
      <c r="X24" s="1323"/>
      <c r="Y24" s="1321"/>
      <c r="Z24" s="1321"/>
      <c r="AA24" s="1324"/>
      <c r="AB24" s="1327"/>
      <c r="AC24" s="1327"/>
      <c r="AD24" s="1327"/>
      <c r="AE24" s="1327"/>
    </row>
    <row r="25" spans="1:31">
      <c r="A25" s="723"/>
      <c r="B25" s="810"/>
      <c r="C25" s="1445"/>
      <c r="D25" s="1320"/>
      <c r="E25" s="1440"/>
      <c r="F25" s="1322"/>
      <c r="G25" s="1322"/>
      <c r="H25" s="1322"/>
      <c r="I25" s="1322"/>
      <c r="J25" s="1322"/>
      <c r="K25" s="1256"/>
      <c r="L25" s="1443"/>
      <c r="M25" s="724"/>
      <c r="N25" s="1321"/>
      <c r="O25" s="1323"/>
      <c r="P25" s="1324"/>
      <c r="Q25" s="1322"/>
      <c r="R25" s="1444"/>
      <c r="S25" s="1444"/>
      <c r="T25" s="1444"/>
      <c r="U25" s="1328"/>
      <c r="V25" s="1256"/>
      <c r="W25" s="723"/>
      <c r="X25" s="1323"/>
      <c r="Y25" s="1321"/>
      <c r="Z25" s="1321"/>
      <c r="AA25" s="1324"/>
      <c r="AB25" s="1327"/>
      <c r="AC25" s="1327"/>
      <c r="AD25" s="1327"/>
      <c r="AE25" s="1327"/>
    </row>
    <row r="26" spans="1:31">
      <c r="A26" s="723"/>
      <c r="B26" s="810"/>
      <c r="C26" s="1445"/>
      <c r="D26" s="1320"/>
      <c r="E26" s="1440"/>
      <c r="F26" s="1322"/>
      <c r="G26" s="1322"/>
      <c r="H26" s="1322"/>
      <c r="I26" s="1322"/>
      <c r="J26" s="1322"/>
      <c r="K26" s="1256"/>
      <c r="L26" s="1443"/>
      <c r="M26" s="724"/>
      <c r="N26" s="1321"/>
      <c r="O26" s="1323"/>
      <c r="P26" s="1324"/>
      <c r="Q26" s="1322"/>
      <c r="R26" s="1444"/>
      <c r="S26" s="1444"/>
      <c r="T26" s="1444"/>
      <c r="U26" s="1328"/>
      <c r="V26" s="1256"/>
      <c r="W26" s="723"/>
      <c r="X26" s="1323"/>
      <c r="Y26" s="1321"/>
      <c r="Z26" s="1321"/>
      <c r="AA26" s="1324"/>
      <c r="AB26" s="1327"/>
      <c r="AC26" s="1327"/>
      <c r="AD26" s="1327"/>
      <c r="AE26" s="1327"/>
    </row>
    <row r="27" spans="1:31">
      <c r="A27" s="723"/>
      <c r="B27" s="810"/>
      <c r="C27" s="1445"/>
      <c r="D27" s="1320"/>
      <c r="E27" s="1440"/>
      <c r="F27" s="1322"/>
      <c r="G27" s="1322"/>
      <c r="H27" s="1322"/>
      <c r="I27" s="1322"/>
      <c r="J27" s="1322"/>
      <c r="K27" s="1256"/>
      <c r="L27" s="1443"/>
      <c r="M27" s="724"/>
      <c r="N27" s="1321"/>
      <c r="O27" s="1323"/>
      <c r="P27" s="1324"/>
      <c r="Q27" s="1322"/>
      <c r="R27" s="1444"/>
      <c r="S27" s="1444"/>
      <c r="T27" s="1444"/>
      <c r="U27" s="1328"/>
      <c r="V27" s="1256"/>
      <c r="W27" s="723"/>
      <c r="X27" s="1323"/>
      <c r="Y27" s="1321"/>
      <c r="Z27" s="1321"/>
      <c r="AA27" s="1324"/>
      <c r="AB27" s="1327"/>
      <c r="AC27" s="1327"/>
      <c r="AD27" s="1327"/>
      <c r="AE27" s="1327"/>
    </row>
    <row r="28" spans="1:31">
      <c r="A28" s="723"/>
      <c r="B28" s="810"/>
      <c r="C28" s="1445"/>
      <c r="D28" s="1320"/>
      <c r="E28" s="1440"/>
      <c r="F28" s="1322"/>
      <c r="G28" s="1322"/>
      <c r="H28" s="1322"/>
      <c r="I28" s="1322"/>
      <c r="J28" s="1322"/>
      <c r="K28" s="1256"/>
      <c r="L28" s="1443"/>
      <c r="M28" s="724"/>
      <c r="N28" s="1321"/>
      <c r="O28" s="1323"/>
      <c r="P28" s="1324"/>
      <c r="Q28" s="1322"/>
      <c r="R28" s="1444"/>
      <c r="S28" s="1444"/>
      <c r="T28" s="1444"/>
      <c r="U28" s="1328"/>
      <c r="V28" s="1256"/>
      <c r="W28" s="723"/>
      <c r="X28" s="1323"/>
      <c r="Y28" s="1321"/>
      <c r="Z28" s="1321"/>
      <c r="AA28" s="1324"/>
      <c r="AB28" s="1327"/>
      <c r="AC28" s="1327"/>
      <c r="AD28" s="1327"/>
      <c r="AE28" s="1327"/>
    </row>
    <row r="29" spans="1:31">
      <c r="A29" s="723"/>
      <c r="B29" s="810"/>
      <c r="C29" s="1445"/>
      <c r="D29" s="1320"/>
      <c r="E29" s="1440"/>
      <c r="F29" s="1322"/>
      <c r="G29" s="1322"/>
      <c r="H29" s="1322"/>
      <c r="I29" s="1322"/>
      <c r="J29" s="1322"/>
      <c r="K29" s="1256"/>
      <c r="L29" s="1443"/>
      <c r="M29" s="724"/>
      <c r="N29" s="1321"/>
      <c r="O29" s="1323"/>
      <c r="P29" s="1324"/>
      <c r="Q29" s="1322"/>
      <c r="R29" s="1444"/>
      <c r="S29" s="1444"/>
      <c r="T29" s="1444"/>
      <c r="U29" s="1328"/>
      <c r="V29" s="1256"/>
      <c r="W29" s="723"/>
      <c r="X29" s="1323"/>
      <c r="Y29" s="1321"/>
      <c r="Z29" s="1321"/>
      <c r="AA29" s="1324"/>
      <c r="AB29" s="1327"/>
      <c r="AC29" s="1327"/>
      <c r="AD29" s="1327"/>
      <c r="AE29" s="1327"/>
    </row>
    <row r="30" spans="1:31">
      <c r="A30" s="723"/>
      <c r="B30" s="810"/>
      <c r="C30" s="1445"/>
      <c r="D30" s="1320"/>
      <c r="E30" s="1440"/>
      <c r="F30" s="1322"/>
      <c r="G30" s="1322"/>
      <c r="H30" s="1322"/>
      <c r="I30" s="1322"/>
      <c r="J30" s="1322"/>
      <c r="K30" s="1256"/>
      <c r="L30" s="1443"/>
      <c r="M30" s="724"/>
      <c r="N30" s="1321"/>
      <c r="O30" s="1323"/>
      <c r="P30" s="1324"/>
      <c r="Q30" s="1322"/>
      <c r="R30" s="1444"/>
      <c r="S30" s="1444"/>
      <c r="T30" s="1444"/>
      <c r="U30" s="1328"/>
      <c r="V30" s="1256"/>
      <c r="W30" s="723"/>
      <c r="X30" s="1323"/>
      <c r="Y30" s="1321"/>
      <c r="Z30" s="1321"/>
      <c r="AA30" s="1324"/>
      <c r="AB30" s="1327"/>
      <c r="AC30" s="1327"/>
      <c r="AD30" s="1327"/>
      <c r="AE30" s="1327"/>
    </row>
    <row r="31" spans="1:31">
      <c r="A31" s="723"/>
      <c r="B31" s="810"/>
      <c r="C31" s="1445"/>
      <c r="D31" s="1320"/>
      <c r="E31" s="1440"/>
      <c r="F31" s="1322"/>
      <c r="G31" s="1322"/>
      <c r="H31" s="1322"/>
      <c r="I31" s="1322"/>
      <c r="J31" s="1322"/>
      <c r="K31" s="1256"/>
      <c r="L31" s="1443"/>
      <c r="M31" s="724"/>
      <c r="N31" s="1321"/>
      <c r="O31" s="1323"/>
      <c r="P31" s="1324"/>
      <c r="Q31" s="1322"/>
      <c r="R31" s="1444"/>
      <c r="S31" s="1444"/>
      <c r="T31" s="1444"/>
      <c r="U31" s="1328"/>
      <c r="V31" s="1256"/>
      <c r="W31" s="723"/>
      <c r="X31" s="1323"/>
      <c r="Y31" s="1321"/>
      <c r="Z31" s="1321"/>
      <c r="AA31" s="1324"/>
      <c r="AB31" s="1327"/>
      <c r="AC31" s="1327"/>
      <c r="AD31" s="1327"/>
      <c r="AE31" s="1327"/>
    </row>
    <row r="32" spans="1:31">
      <c r="A32" s="723"/>
      <c r="B32" s="810"/>
      <c r="C32" s="1445"/>
      <c r="D32" s="1320"/>
      <c r="E32" s="1440"/>
      <c r="F32" s="1322"/>
      <c r="G32" s="1322"/>
      <c r="H32" s="1322"/>
      <c r="I32" s="1322"/>
      <c r="J32" s="1322"/>
      <c r="K32" s="1256"/>
      <c r="L32" s="1443"/>
      <c r="M32" s="724"/>
      <c r="N32" s="1321"/>
      <c r="O32" s="1323"/>
      <c r="P32" s="1324"/>
      <c r="Q32" s="1322"/>
      <c r="R32" s="1444"/>
      <c r="S32" s="1444"/>
      <c r="T32" s="1444"/>
      <c r="U32" s="1328"/>
      <c r="V32" s="1256"/>
      <c r="W32" s="723"/>
      <c r="X32" s="1323"/>
      <c r="Y32" s="1321"/>
      <c r="Z32" s="1321"/>
      <c r="AA32" s="1324"/>
      <c r="AB32" s="1327"/>
      <c r="AC32" s="1327"/>
      <c r="AD32" s="1327"/>
      <c r="AE32" s="1327"/>
    </row>
    <row r="33" spans="1:31">
      <c r="A33" s="723"/>
      <c r="B33" s="810"/>
      <c r="C33" s="1445"/>
      <c r="D33" s="1320"/>
      <c r="E33" s="1440"/>
      <c r="F33" s="1322"/>
      <c r="G33" s="1322"/>
      <c r="H33" s="1322"/>
      <c r="I33" s="1322"/>
      <c r="J33" s="1322"/>
      <c r="K33" s="1256"/>
      <c r="L33" s="1443"/>
      <c r="M33" s="724"/>
      <c r="N33" s="1321"/>
      <c r="O33" s="1323"/>
      <c r="P33" s="1324"/>
      <c r="Q33" s="1322"/>
      <c r="R33" s="1444"/>
      <c r="S33" s="1444"/>
      <c r="T33" s="1444"/>
      <c r="U33" s="1328"/>
      <c r="V33" s="1256"/>
      <c r="W33" s="723"/>
      <c r="X33" s="1323"/>
      <c r="Y33" s="1321"/>
      <c r="Z33" s="1321"/>
      <c r="AA33" s="1324"/>
      <c r="AB33" s="1327"/>
      <c r="AC33" s="1327"/>
      <c r="AD33" s="1327"/>
      <c r="AE33" s="1327"/>
    </row>
    <row r="34" spans="1:31">
      <c r="A34" s="723"/>
      <c r="B34" s="810"/>
      <c r="C34" s="1445"/>
      <c r="D34" s="1320"/>
      <c r="E34" s="1440"/>
      <c r="F34" s="1322"/>
      <c r="G34" s="1322"/>
      <c r="H34" s="1322"/>
      <c r="I34" s="1322"/>
      <c r="J34" s="1322"/>
      <c r="K34" s="1256"/>
      <c r="L34" s="1443"/>
      <c r="M34" s="724"/>
      <c r="N34" s="1321"/>
      <c r="O34" s="1323"/>
      <c r="P34" s="1324"/>
      <c r="Q34" s="1322"/>
      <c r="R34" s="1444"/>
      <c r="S34" s="1444"/>
      <c r="T34" s="1444"/>
      <c r="U34" s="1328"/>
      <c r="V34" s="1256"/>
      <c r="W34" s="723"/>
      <c r="X34" s="1323"/>
      <c r="Y34" s="1321"/>
      <c r="Z34" s="1321"/>
      <c r="AA34" s="1324"/>
      <c r="AB34" s="1327"/>
      <c r="AC34" s="1327"/>
      <c r="AD34" s="1327"/>
      <c r="AE34" s="1327"/>
    </row>
    <row r="35" spans="1:31">
      <c r="A35" s="723"/>
      <c r="B35" s="810"/>
      <c r="C35" s="1445"/>
      <c r="D35" s="1320"/>
      <c r="E35" s="1441"/>
      <c r="F35" s="1322"/>
      <c r="G35" s="1322"/>
      <c r="H35" s="1322"/>
      <c r="I35" s="1322"/>
      <c r="J35" s="1322"/>
      <c r="K35" s="1256"/>
      <c r="L35" s="1443"/>
      <c r="M35" s="724"/>
      <c r="N35" s="1321"/>
      <c r="O35" s="1323"/>
      <c r="P35" s="1324"/>
      <c r="Q35" s="1322"/>
      <c r="R35" s="1444"/>
      <c r="S35" s="1444"/>
      <c r="T35" s="1444"/>
      <c r="U35" s="1328"/>
      <c r="V35" s="1256"/>
      <c r="W35" s="723"/>
      <c r="X35" s="1323"/>
      <c r="Y35" s="1321"/>
      <c r="Z35" s="1321"/>
      <c r="AA35" s="1324"/>
      <c r="AB35" s="1327"/>
      <c r="AC35" s="1327"/>
      <c r="AD35" s="1327"/>
      <c r="AE35" s="1327"/>
    </row>
    <row r="36" spans="1:31">
      <c r="A36" s="1329"/>
      <c r="B36" s="1330"/>
      <c r="C36" s="1440"/>
      <c r="D36" s="1331"/>
      <c r="E36" s="1442"/>
      <c r="F36" s="1332"/>
      <c r="G36" s="1332"/>
      <c r="H36" s="1332"/>
      <c r="I36" s="1332"/>
      <c r="J36" s="1332"/>
      <c r="K36" s="1256"/>
      <c r="L36" s="1329"/>
      <c r="M36" s="1333"/>
      <c r="N36" s="1334"/>
      <c r="O36" s="1334"/>
      <c r="P36" s="1335"/>
      <c r="Q36" s="1322"/>
      <c r="R36" s="1333"/>
      <c r="S36" s="1333"/>
      <c r="T36" s="1333"/>
      <c r="U36" s="1336"/>
      <c r="V36" s="1256"/>
      <c r="W36" s="1329"/>
      <c r="X36" s="1337"/>
      <c r="Y36" s="1334"/>
      <c r="Z36" s="1334"/>
      <c r="AA36" s="1334"/>
      <c r="AB36" s="1329"/>
      <c r="AC36" s="1337"/>
      <c r="AD36" s="1334"/>
      <c r="AE36" s="1334"/>
    </row>
    <row r="37" spans="1:31" ht="24.75" customHeight="1" collapsed="1" thickBot="1">
      <c r="A37" s="6045" t="s">
        <v>1522</v>
      </c>
      <c r="B37" s="6046"/>
      <c r="C37" s="6046"/>
      <c r="D37" s="6046"/>
      <c r="E37" s="6046"/>
      <c r="F37" s="6047"/>
      <c r="G37" s="1338">
        <f>SUM(G14:G36)</f>
        <v>106231.5</v>
      </c>
      <c r="H37" s="1338">
        <f>SUM(H14:H36)</f>
        <v>0</v>
      </c>
      <c r="I37" s="1338">
        <f>SUM(I14:I36)</f>
        <v>0</v>
      </c>
      <c r="J37" s="1338">
        <f>SUM(J14:J36)</f>
        <v>106231.5</v>
      </c>
      <c r="K37" s="1256"/>
      <c r="L37" s="1339" t="s">
        <v>1522</v>
      </c>
      <c r="M37" s="1340"/>
      <c r="N37" s="1340"/>
      <c r="O37" s="1340"/>
      <c r="P37" s="1340"/>
      <c r="Q37" s="1340"/>
      <c r="R37" s="1341">
        <f>SUM(R14:R36)</f>
        <v>106231.5</v>
      </c>
      <c r="S37" s="1338">
        <f>SUM(S14:S36)</f>
        <v>0</v>
      </c>
      <c r="T37" s="1338">
        <f>SUM(T14:T36)</f>
        <v>0</v>
      </c>
      <c r="U37" s="1338">
        <f>SUM(U14:U36)</f>
        <v>106231.5</v>
      </c>
      <c r="V37" s="1256"/>
      <c r="W37" s="1342" t="s">
        <v>1522</v>
      </c>
      <c r="X37" s="1343"/>
      <c r="Y37" s="1343"/>
      <c r="Z37" s="1343"/>
      <c r="AA37" s="1343"/>
      <c r="AB37" s="1341">
        <f>SUM(AB14:AB36)</f>
        <v>106231.5</v>
      </c>
      <c r="AC37" s="1338">
        <f>SUM(AC14:AC36)</f>
        <v>15934.724999999999</v>
      </c>
      <c r="AD37" s="1338">
        <f>SUM(AD14:AD36)</f>
        <v>122166.22500000001</v>
      </c>
      <c r="AE37" s="1338"/>
    </row>
    <row r="38" spans="1:31">
      <c r="A38" s="1360"/>
      <c r="B38" s="1256"/>
      <c r="C38" s="1255"/>
      <c r="D38" s="1257"/>
      <c r="E38" s="1361"/>
      <c r="F38" s="1258"/>
      <c r="G38" s="1258"/>
      <c r="H38" s="1258"/>
      <c r="I38" s="1258"/>
      <c r="J38" s="1258"/>
      <c r="K38" s="1256"/>
      <c r="L38" s="1360"/>
      <c r="M38" s="1360"/>
      <c r="N38" s="1362"/>
      <c r="O38" s="1362"/>
      <c r="P38" s="1362"/>
      <c r="Q38" s="1360"/>
      <c r="R38" s="1360"/>
      <c r="S38" s="1360"/>
      <c r="T38" s="1360"/>
      <c r="U38" s="1363"/>
      <c r="V38" s="1256"/>
      <c r="W38" s="1360"/>
      <c r="X38" s="1364"/>
      <c r="Y38" s="1362"/>
      <c r="Z38" s="1362"/>
      <c r="AA38" s="1362"/>
      <c r="AB38" s="1360"/>
      <c r="AC38" s="1364"/>
      <c r="AD38" s="1362"/>
      <c r="AE38" s="1362"/>
    </row>
    <row r="39" spans="1:31">
      <c r="A39" s="1360"/>
      <c r="B39" s="1256"/>
      <c r="C39" s="1255"/>
      <c r="D39" s="1257"/>
      <c r="E39" s="1361"/>
      <c r="F39" s="1258"/>
      <c r="G39" s="1258"/>
      <c r="H39" s="1258"/>
      <c r="I39" s="1258"/>
      <c r="J39" s="1258"/>
      <c r="K39" s="1256"/>
      <c r="L39" s="1360"/>
      <c r="M39" s="1360"/>
      <c r="N39" s="1362"/>
      <c r="O39" s="1362"/>
      <c r="P39" s="1257"/>
      <c r="Q39" s="1258"/>
      <c r="R39" s="1258"/>
      <c r="S39" s="1258"/>
      <c r="T39" s="1258"/>
      <c r="U39" s="1258"/>
      <c r="V39" s="1256"/>
      <c r="W39" s="1360"/>
      <c r="X39" s="1364"/>
      <c r="Y39" s="1362"/>
      <c r="Z39" s="1362"/>
      <c r="AA39" s="1362"/>
      <c r="AB39" s="1360"/>
      <c r="AC39" s="1364"/>
      <c r="AD39" s="1362"/>
      <c r="AE39" s="1362"/>
    </row>
    <row r="40" spans="1:31">
      <c r="A40" s="1365"/>
      <c r="B40" s="1256"/>
      <c r="C40" s="1255"/>
      <c r="D40" s="1257"/>
      <c r="E40" s="1361"/>
      <c r="F40" s="1366"/>
      <c r="G40" s="1366"/>
      <c r="H40" s="1366"/>
      <c r="I40" s="1366"/>
      <c r="J40" s="1258"/>
      <c r="K40" s="1256"/>
      <c r="L40" s="1365"/>
      <c r="M40" s="1365">
        <f>403092.61/11085046.72</f>
        <v>3.6363636544059594E-2</v>
      </c>
      <c r="N40" s="1365"/>
      <c r="O40" s="1365"/>
      <c r="P40" s="1257"/>
      <c r="Q40" s="1366"/>
      <c r="R40" s="1366"/>
      <c r="S40" s="1366"/>
      <c r="T40" s="1366"/>
      <c r="U40" s="1366"/>
      <c r="V40" s="1256"/>
      <c r="W40" s="1365"/>
      <c r="X40" s="1365"/>
      <c r="Y40" s="1362"/>
      <c r="Z40" s="1362"/>
      <c r="AA40" s="1362"/>
      <c r="AB40" s="1365"/>
      <c r="AC40" s="1365"/>
      <c r="AD40" s="1362"/>
      <c r="AE40" s="1362"/>
    </row>
    <row r="41" spans="1:31">
      <c r="D41" s="1257"/>
      <c r="E41" s="153">
        <v>44197</v>
      </c>
      <c r="F41" s="1366"/>
      <c r="P41" s="1257"/>
      <c r="Q41" s="1366"/>
      <c r="R41" s="1366"/>
      <c r="S41" s="1366"/>
      <c r="T41" s="1366"/>
      <c r="U41" s="1366"/>
      <c r="Z41" s="153">
        <v>44094</v>
      </c>
      <c r="AB41" s="1367"/>
    </row>
    <row r="42" spans="1:31">
      <c r="D42" s="1257"/>
      <c r="E42" s="153">
        <f>E41-45</f>
        <v>44152</v>
      </c>
      <c r="F42" s="1366"/>
      <c r="P42" s="1257"/>
      <c r="Q42" s="1366"/>
      <c r="R42" s="1366"/>
      <c r="S42" s="1366"/>
      <c r="T42" s="1366"/>
      <c r="U42" s="1366"/>
      <c r="Z42" s="153">
        <f>Z41-45</f>
        <v>44049</v>
      </c>
    </row>
    <row r="43" spans="1:31">
      <c r="D43" s="1257"/>
      <c r="F43" s="1366"/>
      <c r="H43" s="153">
        <v>43986</v>
      </c>
      <c r="R43" s="652"/>
      <c r="S43" s="652"/>
      <c r="T43" s="652"/>
      <c r="U43" s="652"/>
    </row>
  </sheetData>
  <mergeCells count="4">
    <mergeCell ref="A10:J10"/>
    <mergeCell ref="L10:U10"/>
    <mergeCell ref="W10:AE10"/>
    <mergeCell ref="A37:F37"/>
  </mergeCells>
  <printOptions horizontalCentered="1"/>
  <pageMargins left="0.25" right="0.25" top="0.75" bottom="0.75" header="0.3" footer="0.3"/>
  <pageSetup paperSize="8" scale="72" fitToHeight="2" orientation="landscape" r:id="rId1"/>
  <headerFooter>
    <oddHeader>&amp;C&amp;"Calibri,Bold"&amp;18MONTHLY REPORT - INVOICE &amp; PAYMENT TRACKING LOG (ZFP)</oddHeader>
    <oddFooter>&amp;L1TB.01.003.01 - AYC 
MARCH'26 REPORT&amp;C&amp;A&amp;RPage &amp;P of &amp;N</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90118-D199-40F7-B0C3-37F213B12559}">
  <sheetPr codeName="Sheet38">
    <tabColor theme="7" tint="0.39997558519241921"/>
    <pageSetUpPr fitToPage="1"/>
  </sheetPr>
  <dimension ref="A1:AE43"/>
  <sheetViews>
    <sheetView showGridLines="0" view="pageBreakPreview" zoomScale="80" zoomScaleNormal="100" zoomScaleSheetLayoutView="80" workbookViewId="0">
      <selection activeCell="C43" sqref="C43"/>
    </sheetView>
  </sheetViews>
  <sheetFormatPr defaultColWidth="9" defaultRowHeight="12.75"/>
  <cols>
    <col min="1" max="1" width="10.85546875" customWidth="1"/>
    <col min="2" max="2" width="10.42578125" customWidth="1"/>
    <col min="3" max="3" width="9.5703125" bestFit="1" customWidth="1"/>
    <col min="4" max="4" width="10.85546875" bestFit="1" customWidth="1"/>
    <col min="5" max="5" width="9.85546875" bestFit="1" customWidth="1"/>
    <col min="6" max="7" width="14.85546875" customWidth="1"/>
    <col min="8" max="8" width="8.5703125" bestFit="1" customWidth="1"/>
    <col min="9" max="9" width="9" bestFit="1" customWidth="1"/>
    <col min="10" max="10" width="13.85546875" customWidth="1"/>
    <col min="11" max="11" width="0.85546875" customWidth="1"/>
    <col min="12" max="12" width="6" customWidth="1"/>
    <col min="13" max="13" width="14.85546875" customWidth="1"/>
    <col min="14" max="14" width="9" customWidth="1"/>
    <col min="15" max="15" width="9" hidden="1" customWidth="1"/>
    <col min="16" max="16" width="7.85546875" hidden="1" customWidth="1"/>
    <col min="17" max="17" width="13.85546875" customWidth="1"/>
    <col min="18" max="18" width="15.5703125" customWidth="1"/>
    <col min="19" max="20" width="9.42578125" bestFit="1" customWidth="1"/>
    <col min="21" max="21" width="14.5703125" customWidth="1"/>
    <col min="22" max="22" width="0.85546875" customWidth="1"/>
    <col min="23" max="23" width="13" customWidth="1"/>
    <col min="24" max="25" width="9" bestFit="1" customWidth="1"/>
    <col min="26" max="26" width="10" customWidth="1"/>
    <col min="27" max="27" width="7" customWidth="1"/>
    <col min="28" max="28" width="12.42578125" customWidth="1"/>
    <col min="29" max="29" width="13.5703125" customWidth="1"/>
    <col min="30" max="31" width="14" customWidth="1"/>
  </cols>
  <sheetData>
    <row r="1" spans="1:31">
      <c r="A1" s="1255"/>
      <c r="B1" s="1256"/>
      <c r="C1" s="1255"/>
      <c r="D1" s="1257"/>
      <c r="E1" s="1257"/>
      <c r="F1" s="1258"/>
      <c r="G1" s="1258"/>
      <c r="H1" s="1258"/>
      <c r="I1" s="1258"/>
      <c r="J1" s="1258"/>
      <c r="K1" s="1257"/>
      <c r="L1" s="1255"/>
      <c r="M1" s="1255"/>
      <c r="N1" s="1255"/>
      <c r="O1" s="1255"/>
      <c r="P1" s="1255"/>
      <c r="Q1" s="1255"/>
      <c r="R1" s="1255"/>
      <c r="S1" s="1255"/>
      <c r="T1" s="1255"/>
      <c r="U1" s="1259"/>
      <c r="V1" s="1257"/>
      <c r="W1" s="1257"/>
      <c r="X1" s="1257"/>
      <c r="Y1" s="1257"/>
      <c r="Z1" s="1257"/>
      <c r="AA1" s="1257"/>
      <c r="AB1" s="1257"/>
      <c r="AC1" s="1257"/>
      <c r="AD1" s="1257"/>
      <c r="AE1" s="1257"/>
    </row>
    <row r="2" spans="1:31">
      <c r="A2" s="9" t="str">
        <f>'Data Input'!A1&amp;" - "&amp;'Data Input'!B1</f>
        <v>PROGRAMME: - MARINA VILLAGE (PROGRAMME 1_TRIPLE BAY)</v>
      </c>
      <c r="B2" s="1256"/>
      <c r="C2" s="1255"/>
      <c r="D2" s="1257"/>
      <c r="E2" s="1257"/>
      <c r="F2" s="1258"/>
      <c r="G2" s="1258"/>
      <c r="H2" s="1258"/>
      <c r="I2" s="1258"/>
      <c r="J2" s="1258"/>
      <c r="K2" s="1257"/>
      <c r="L2" s="1255"/>
      <c r="M2" s="1255"/>
      <c r="N2" s="1255"/>
      <c r="O2" s="1255"/>
      <c r="P2" s="1255"/>
      <c r="Q2" s="1255"/>
      <c r="R2" s="1255"/>
      <c r="S2" s="1255"/>
      <c r="T2" s="1255"/>
      <c r="U2" s="1259"/>
      <c r="V2" s="1257"/>
      <c r="W2" s="1257"/>
      <c r="X2" s="1257"/>
      <c r="Y2" s="1257"/>
      <c r="Z2" s="1257"/>
      <c r="AA2" s="1257"/>
      <c r="AB2" s="1257"/>
      <c r="AC2" s="1257"/>
      <c r="AD2" s="1257"/>
      <c r="AE2" s="1257"/>
    </row>
    <row r="3" spans="1:31">
      <c r="A3" s="9" t="str">
        <f>'Data Input'!A2&amp;" - "&amp;'Data Input'!B2</f>
        <v>PROGRAMME CODE: - 1TB01003</v>
      </c>
      <c r="B3" s="1260"/>
      <c r="C3" s="1261"/>
      <c r="D3" s="1262"/>
      <c r="E3" s="1262"/>
      <c r="F3" s="1263"/>
      <c r="G3" s="1263"/>
      <c r="H3" s="1263"/>
      <c r="I3" s="1263"/>
      <c r="J3" s="1264"/>
      <c r="K3" s="1265"/>
      <c r="L3" s="1265"/>
      <c r="M3" s="1265"/>
      <c r="N3" s="1265"/>
      <c r="O3" s="1266"/>
      <c r="P3" s="1265"/>
      <c r="Q3" s="1265"/>
      <c r="R3" s="1265"/>
      <c r="S3" s="1265"/>
      <c r="T3" s="1265"/>
      <c r="U3" s="1267"/>
      <c r="V3" s="1265"/>
      <c r="W3" s="1265"/>
      <c r="X3" s="1265"/>
      <c r="Y3" s="1265"/>
      <c r="Z3" s="1265"/>
      <c r="AA3" s="1265"/>
      <c r="AB3" s="1265"/>
      <c r="AC3" s="1265"/>
      <c r="AD3" s="1265"/>
      <c r="AE3" s="1265"/>
    </row>
    <row r="4" spans="1:31">
      <c r="A4" s="9" t="str">
        <f>'Data Input'!A3&amp;" - "&amp;'Data Input'!B3</f>
        <v>ASSET NAME: - AMAALA YACHT CLUB</v>
      </c>
      <c r="B4" s="1260"/>
      <c r="C4" s="1268"/>
      <c r="D4" s="1265"/>
      <c r="E4" s="1265"/>
      <c r="F4" s="1267"/>
      <c r="G4" s="1267"/>
      <c r="H4" s="1267"/>
      <c r="I4" s="1267"/>
      <c r="J4" s="1269"/>
      <c r="K4" s="1265"/>
      <c r="L4" s="1265"/>
      <c r="M4" s="1265"/>
      <c r="N4" s="1265"/>
      <c r="O4" s="1266"/>
      <c r="P4" s="1265"/>
      <c r="Q4" s="1265"/>
      <c r="R4" s="1265"/>
      <c r="S4" s="1265"/>
      <c r="T4" s="1265"/>
      <c r="U4" s="1267"/>
      <c r="V4" s="1265"/>
      <c r="W4" s="1265"/>
      <c r="X4" s="1265"/>
      <c r="Y4" s="1265"/>
      <c r="Z4" s="1265"/>
      <c r="AA4" s="1265"/>
      <c r="AB4" s="1265"/>
      <c r="AC4" s="1265"/>
      <c r="AD4" s="1265"/>
      <c r="AE4" s="1265"/>
    </row>
    <row r="5" spans="1:31">
      <c r="A5" s="9" t="str">
        <f>'Data Input'!A4&amp;" - "&amp;'Data Input'!B4</f>
        <v>ASSET CODE: - 1TB01003.01</v>
      </c>
      <c r="B5" s="1270"/>
      <c r="C5" s="1268"/>
      <c r="D5" s="1265"/>
      <c r="E5" s="1265"/>
      <c r="F5" s="1267"/>
      <c r="G5" s="1267"/>
      <c r="H5" s="1267"/>
      <c r="I5" s="1267"/>
      <c r="J5" s="1269"/>
      <c r="K5" s="1265"/>
      <c r="L5" s="1265"/>
      <c r="M5" s="1265"/>
      <c r="N5" s="1265"/>
      <c r="O5" s="1266"/>
      <c r="P5" s="1265"/>
      <c r="Q5" s="1265"/>
      <c r="R5" s="1271"/>
      <c r="S5" s="1265"/>
      <c r="T5" s="1265"/>
      <c r="U5" s="1267"/>
      <c r="V5" s="1265"/>
      <c r="W5" s="1265"/>
      <c r="X5" s="1265"/>
      <c r="Y5" s="1265"/>
      <c r="Z5" s="1265"/>
      <c r="AA5" s="1265"/>
      <c r="AB5" s="1265"/>
      <c r="AC5" s="1265"/>
      <c r="AD5" s="1265"/>
      <c r="AE5" s="1265"/>
    </row>
    <row r="6" spans="1:31">
      <c r="A6" s="9" t="str">
        <f>'Data Input'!A7&amp;" - "&amp;'Data Input'!B7</f>
        <v>REPORT NO: - MONTHLY REPORT NO. 49</v>
      </c>
      <c r="B6" s="1272"/>
      <c r="C6" s="1268"/>
      <c r="D6" s="1265"/>
      <c r="E6" s="1265"/>
      <c r="F6" s="1267"/>
      <c r="G6" s="1267"/>
      <c r="H6" s="1267"/>
      <c r="I6" s="1267"/>
      <c r="J6" s="1269"/>
      <c r="K6" s="1265"/>
      <c r="L6" s="1265"/>
      <c r="M6" s="1265"/>
      <c r="N6" s="1265"/>
      <c r="O6" s="1266"/>
      <c r="P6" s="1265"/>
      <c r="Q6" s="1265"/>
      <c r="R6" s="1273"/>
      <c r="S6" s="1265"/>
      <c r="T6" s="1271"/>
      <c r="U6" s="1267"/>
      <c r="V6" s="1265"/>
      <c r="W6" s="1265"/>
      <c r="X6" s="1265"/>
      <c r="Y6" s="1265"/>
      <c r="Z6" s="1265"/>
      <c r="AA6" s="1265"/>
      <c r="AB6" s="1265"/>
      <c r="AC6" s="1265"/>
      <c r="AD6" s="1265"/>
      <c r="AE6" s="1265"/>
    </row>
    <row r="7" spans="1:31">
      <c r="A7" s="9" t="str">
        <f>'Data Input'!A8&amp;" - "&amp;'Data Input'!B8</f>
        <v>REPORTING PERIOD: - OCTOBER 2026</v>
      </c>
      <c r="B7" s="1262"/>
      <c r="C7" s="1274"/>
      <c r="D7" s="1262"/>
      <c r="E7" s="1262"/>
      <c r="F7" s="1263"/>
      <c r="G7" s="1263"/>
      <c r="H7" s="1263"/>
      <c r="I7" s="1263"/>
      <c r="J7" s="1264"/>
      <c r="K7" s="1265"/>
      <c r="L7" s="1265"/>
      <c r="M7" s="1265"/>
      <c r="N7" s="1265"/>
      <c r="O7" s="1265"/>
      <c r="P7" s="1265"/>
      <c r="Q7" s="1267"/>
      <c r="R7" s="1263"/>
      <c r="S7" s="1263"/>
      <c r="T7" s="1263"/>
      <c r="U7" s="1267"/>
      <c r="V7" s="1265"/>
      <c r="W7" s="1265"/>
      <c r="X7" s="1265"/>
      <c r="Y7" s="1265"/>
      <c r="Z7" s="1265"/>
      <c r="AA7" s="1265"/>
      <c r="AB7" s="1265"/>
      <c r="AC7" s="1265"/>
      <c r="AD7" s="1265"/>
      <c r="AE7" s="1265"/>
    </row>
    <row r="8" spans="1:31" ht="13.5" thickBot="1">
      <c r="A8" s="9"/>
      <c r="B8" s="1256"/>
      <c r="C8" s="1255"/>
      <c r="D8" s="1257"/>
      <c r="E8" s="1257"/>
      <c r="F8" s="1258"/>
      <c r="G8" s="1258"/>
      <c r="H8" s="1258"/>
      <c r="I8" s="1258"/>
      <c r="J8" s="1258"/>
      <c r="K8" s="1257"/>
      <c r="L8" s="1255"/>
      <c r="M8" s="1255"/>
      <c r="N8" s="1275"/>
      <c r="O8" s="1276"/>
      <c r="P8" s="1255"/>
      <c r="Q8" s="1255"/>
      <c r="R8" s="1255"/>
      <c r="S8" s="1255"/>
      <c r="T8" s="1255"/>
      <c r="U8" s="1259"/>
      <c r="V8" s="1257"/>
      <c r="W8" s="1257"/>
      <c r="X8" s="1257"/>
      <c r="Y8" s="1257"/>
      <c r="Z8" s="1257"/>
      <c r="AA8" s="1257"/>
      <c r="AB8" s="1257"/>
      <c r="AC8" s="1257"/>
      <c r="AD8" s="1257"/>
      <c r="AE8" s="1257"/>
    </row>
    <row r="9" spans="1:31" ht="30" customHeight="1" thickBot="1">
      <c r="A9" s="1354" t="s">
        <v>2186</v>
      </c>
      <c r="B9" s="1355"/>
      <c r="C9" s="1355"/>
      <c r="D9" s="1356"/>
      <c r="E9" s="1356"/>
      <c r="F9" s="1357"/>
      <c r="G9" s="1357"/>
      <c r="H9" s="1357"/>
      <c r="I9" s="1357"/>
      <c r="J9" s="1357"/>
      <c r="K9" s="1356"/>
      <c r="L9" s="1355"/>
      <c r="M9" s="1355"/>
      <c r="N9" s="1355"/>
      <c r="O9" s="1355"/>
      <c r="P9" s="1355"/>
      <c r="Q9" s="1355"/>
      <c r="R9" s="1355"/>
      <c r="S9" s="1355"/>
      <c r="T9" s="1355"/>
      <c r="U9" s="1358"/>
      <c r="V9" s="1356"/>
      <c r="W9" s="1356"/>
      <c r="X9" s="1356"/>
      <c r="Y9" s="1356"/>
      <c r="Z9" s="1356"/>
      <c r="AA9" s="1356"/>
      <c r="AB9" s="1356"/>
      <c r="AC9" s="1356"/>
      <c r="AD9" s="1356"/>
      <c r="AE9" s="1359"/>
    </row>
    <row r="10" spans="1:31">
      <c r="A10" s="6051" t="s">
        <v>1524</v>
      </c>
      <c r="B10" s="6052"/>
      <c r="C10" s="6052"/>
      <c r="D10" s="6052"/>
      <c r="E10" s="6052"/>
      <c r="F10" s="6052"/>
      <c r="G10" s="6053"/>
      <c r="H10" s="6053"/>
      <c r="I10" s="6053"/>
      <c r="J10" s="6054"/>
      <c r="K10" s="1256"/>
      <c r="L10" s="6055" t="s">
        <v>1525</v>
      </c>
      <c r="M10" s="6056"/>
      <c r="N10" s="6056"/>
      <c r="O10" s="6056"/>
      <c r="P10" s="6056"/>
      <c r="Q10" s="6056"/>
      <c r="R10" s="6057"/>
      <c r="S10" s="6057"/>
      <c r="T10" s="6057"/>
      <c r="U10" s="6058"/>
      <c r="V10" s="1256"/>
      <c r="W10" s="6043" t="s">
        <v>1526</v>
      </c>
      <c r="X10" s="6044"/>
      <c r="Y10" s="6044"/>
      <c r="Z10" s="6044"/>
      <c r="AA10" s="6044"/>
      <c r="AB10" s="6044"/>
      <c r="AC10" s="6044"/>
      <c r="AD10" s="6044"/>
      <c r="AE10" s="6059"/>
    </row>
    <row r="11" spans="1:31" ht="60" customHeight="1">
      <c r="A11" s="1283" t="s">
        <v>1462</v>
      </c>
      <c r="B11" s="1284" t="s">
        <v>1527</v>
      </c>
      <c r="C11" s="1284" t="s">
        <v>1528</v>
      </c>
      <c r="D11" s="1285" t="s">
        <v>1744</v>
      </c>
      <c r="E11" s="1285" t="s">
        <v>1530</v>
      </c>
      <c r="F11" s="1286" t="s">
        <v>1531</v>
      </c>
      <c r="G11" s="1287" t="s">
        <v>1532</v>
      </c>
      <c r="H11" s="1287" t="s">
        <v>1533</v>
      </c>
      <c r="I11" s="1287" t="s">
        <v>1534</v>
      </c>
      <c r="J11" s="1288" t="s">
        <v>1535</v>
      </c>
      <c r="K11" s="1289"/>
      <c r="L11" s="763" t="s">
        <v>1536</v>
      </c>
      <c r="M11" s="1290" t="s">
        <v>1601</v>
      </c>
      <c r="N11" s="1290" t="s">
        <v>1530</v>
      </c>
      <c r="O11" s="1290" t="s">
        <v>1538</v>
      </c>
      <c r="P11" s="764" t="s">
        <v>1539</v>
      </c>
      <c r="Q11" s="1291" t="s">
        <v>1540</v>
      </c>
      <c r="R11" s="1292" t="s">
        <v>1541</v>
      </c>
      <c r="S11" s="1292" t="s">
        <v>1533</v>
      </c>
      <c r="T11" s="1292" t="s">
        <v>1534</v>
      </c>
      <c r="U11" s="1293" t="s">
        <v>1542</v>
      </c>
      <c r="V11" s="1256"/>
      <c r="W11" s="1294" t="s">
        <v>2189</v>
      </c>
      <c r="X11" s="1295" t="s">
        <v>1544</v>
      </c>
      <c r="Y11" s="1296" t="s">
        <v>1545</v>
      </c>
      <c r="Z11" s="1296" t="s">
        <v>1603</v>
      </c>
      <c r="AA11" s="769" t="s">
        <v>1539</v>
      </c>
      <c r="AB11" s="769" t="s">
        <v>1547</v>
      </c>
      <c r="AC11" s="769" t="s">
        <v>1548</v>
      </c>
      <c r="AD11" s="1296" t="s">
        <v>1549</v>
      </c>
      <c r="AE11" s="1297" t="s">
        <v>1550</v>
      </c>
    </row>
    <row r="12" spans="1:31" ht="17.25" customHeight="1">
      <c r="A12" s="1298"/>
      <c r="B12" s="1299"/>
      <c r="C12" s="1300"/>
      <c r="D12" s="1301"/>
      <c r="E12" s="1302" t="s">
        <v>296</v>
      </c>
      <c r="F12" s="1303" t="s">
        <v>434</v>
      </c>
      <c r="G12" s="1303" t="s">
        <v>434</v>
      </c>
      <c r="H12" s="1304" t="s">
        <v>805</v>
      </c>
      <c r="I12" s="1304" t="s">
        <v>805</v>
      </c>
      <c r="J12" s="1305" t="s">
        <v>434</v>
      </c>
      <c r="K12" s="1256"/>
      <c r="L12" s="765"/>
      <c r="M12" s="766"/>
      <c r="N12" s="1306" t="s">
        <v>296</v>
      </c>
      <c r="O12" s="766"/>
      <c r="P12" s="1307" t="s">
        <v>1552</v>
      </c>
      <c r="Q12" s="767" t="s">
        <v>434</v>
      </c>
      <c r="R12" s="767" t="s">
        <v>434</v>
      </c>
      <c r="S12" s="1308" t="s">
        <v>805</v>
      </c>
      <c r="T12" s="1308" t="s">
        <v>805</v>
      </c>
      <c r="U12" s="768" t="s">
        <v>434</v>
      </c>
      <c r="V12" s="1256"/>
      <c r="W12" s="770"/>
      <c r="X12" s="1309" t="s">
        <v>296</v>
      </c>
      <c r="Y12" s="1309" t="s">
        <v>296</v>
      </c>
      <c r="Z12" s="1309" t="s">
        <v>2145</v>
      </c>
      <c r="AA12" s="1310" t="s">
        <v>1552</v>
      </c>
      <c r="AB12" s="1311"/>
      <c r="AC12" s="1312" t="s">
        <v>805</v>
      </c>
      <c r="AD12" s="1309" t="s">
        <v>296</v>
      </c>
      <c r="AE12" s="1313" t="s">
        <v>296</v>
      </c>
    </row>
    <row r="13" spans="1:31" s="722" customFormat="1" ht="12.75" customHeight="1">
      <c r="A13" s="1314"/>
      <c r="B13" s="1314"/>
      <c r="C13" s="1314"/>
      <c r="D13" s="1314"/>
      <c r="E13" s="1314"/>
      <c r="F13" s="1314"/>
      <c r="G13" s="1314"/>
      <c r="H13" s="1314"/>
      <c r="I13" s="1314"/>
      <c r="J13" s="1314"/>
      <c r="K13" s="1255"/>
      <c r="L13" s="1315"/>
      <c r="M13" s="1315"/>
      <c r="N13" s="1316"/>
      <c r="O13" s="1314" t="s">
        <v>1554</v>
      </c>
      <c r="P13" s="1317" t="s">
        <v>1555</v>
      </c>
      <c r="Q13" s="1318"/>
      <c r="R13" s="1318"/>
      <c r="S13" s="1319"/>
      <c r="T13" s="1319"/>
      <c r="U13" s="1318"/>
      <c r="V13" s="1255"/>
      <c r="W13" s="1316"/>
      <c r="X13" s="1316" t="s">
        <v>1481</v>
      </c>
      <c r="Y13" s="1316" t="s">
        <v>1482</v>
      </c>
      <c r="Z13" s="1316" t="s">
        <v>2146</v>
      </c>
      <c r="AA13" s="1317" t="s">
        <v>2147</v>
      </c>
      <c r="AB13" s="1314" t="s">
        <v>1556</v>
      </c>
      <c r="AC13" s="1319" t="s">
        <v>2191</v>
      </c>
      <c r="AD13" s="1316" t="s">
        <v>2192</v>
      </c>
      <c r="AE13" s="1316"/>
    </row>
    <row r="14" spans="1:31" ht="36">
      <c r="A14" s="723">
        <v>1</v>
      </c>
      <c r="B14" s="1511">
        <v>1</v>
      </c>
      <c r="C14" s="811">
        <v>45108</v>
      </c>
      <c r="D14" s="2835" t="s">
        <v>2187</v>
      </c>
      <c r="E14" s="1440">
        <v>45131</v>
      </c>
      <c r="F14" s="1322">
        <v>168421.05</v>
      </c>
      <c r="G14" s="1444">
        <f>F14</f>
        <v>168421.05</v>
      </c>
      <c r="H14" s="1444">
        <v>0</v>
      </c>
      <c r="I14" s="1444">
        <v>0</v>
      </c>
      <c r="J14" s="1444">
        <f>G14+H14+I14</f>
        <v>168421.05</v>
      </c>
      <c r="K14" s="1256"/>
      <c r="L14" s="1511">
        <v>1</v>
      </c>
      <c r="M14" s="2850" t="s">
        <v>2188</v>
      </c>
      <c r="N14" s="1321">
        <v>45134</v>
      </c>
      <c r="O14" s="1323">
        <f>+E14+28</f>
        <v>45159</v>
      </c>
      <c r="P14" s="1324">
        <f>O14-N14</f>
        <v>25</v>
      </c>
      <c r="Q14" s="1322">
        <f>F14</f>
        <v>168421.05</v>
      </c>
      <c r="R14" s="1444">
        <f>Q14</f>
        <v>168421.05</v>
      </c>
      <c r="S14" s="1444">
        <v>0</v>
      </c>
      <c r="T14" s="1444">
        <v>0</v>
      </c>
      <c r="U14" s="1444">
        <f>R14-S14-T14</f>
        <v>168421.05</v>
      </c>
      <c r="V14" s="1256"/>
      <c r="W14" s="2918" t="s">
        <v>2190</v>
      </c>
      <c r="X14" s="1326">
        <v>45134</v>
      </c>
      <c r="Y14" s="1326">
        <v>45147</v>
      </c>
      <c r="Z14" s="1321">
        <f>+X14+45</f>
        <v>45179</v>
      </c>
      <c r="AA14" s="1324">
        <f>+Z14-Y14</f>
        <v>32</v>
      </c>
      <c r="AB14" s="1327">
        <f>+U14</f>
        <v>168421.05</v>
      </c>
      <c r="AC14" s="1327">
        <f>+AB14*15%*0</f>
        <v>0</v>
      </c>
      <c r="AD14" s="1327">
        <f>(AC14+AB14)*0</f>
        <v>0</v>
      </c>
      <c r="AE14" s="1327">
        <f>+AB14+AC14+AD14</f>
        <v>168421.05</v>
      </c>
    </row>
    <row r="15" spans="1:31">
      <c r="A15" s="723"/>
      <c r="B15" s="810"/>
      <c r="C15" s="811"/>
      <c r="D15" s="1320"/>
      <c r="E15" s="1440"/>
      <c r="F15" s="1322"/>
      <c r="G15" s="1444"/>
      <c r="H15" s="1444"/>
      <c r="I15" s="1444"/>
      <c r="J15" s="1444"/>
      <c r="K15" s="1256"/>
      <c r="L15" s="1443"/>
      <c r="M15" s="724"/>
      <c r="N15" s="1321"/>
      <c r="O15" s="1323"/>
      <c r="P15" s="1324"/>
      <c r="Q15" s="1322"/>
      <c r="R15" s="1444"/>
      <c r="S15" s="1444"/>
      <c r="T15" s="1444"/>
      <c r="U15" s="1328"/>
      <c r="V15" s="1256"/>
      <c r="W15" s="723"/>
      <c r="X15" s="1323"/>
      <c r="Y15" s="1321"/>
      <c r="Z15" s="1321"/>
      <c r="AA15" s="1324"/>
      <c r="AB15" s="1327"/>
      <c r="AC15" s="1327"/>
      <c r="AD15" s="1327"/>
      <c r="AE15" s="1327"/>
    </row>
    <row r="16" spans="1:31">
      <c r="A16" s="723"/>
      <c r="B16" s="810"/>
      <c r="C16" s="1445"/>
      <c r="D16" s="1320"/>
      <c r="E16" s="1440"/>
      <c r="F16" s="1322"/>
      <c r="G16" s="1322"/>
      <c r="H16" s="1322"/>
      <c r="I16" s="1322"/>
      <c r="J16" s="1322"/>
      <c r="K16" s="1256"/>
      <c r="L16" s="1443"/>
      <c r="M16" s="724"/>
      <c r="N16" s="1321"/>
      <c r="O16" s="1323"/>
      <c r="P16" s="1324"/>
      <c r="Q16" s="1322"/>
      <c r="R16" s="1444"/>
      <c r="S16" s="1444"/>
      <c r="T16" s="1444"/>
      <c r="U16" s="1328"/>
      <c r="V16" s="1256"/>
      <c r="W16" s="723"/>
      <c r="X16" s="1323"/>
      <c r="Y16" s="1321"/>
      <c r="Z16" s="1321"/>
      <c r="AA16" s="1324"/>
      <c r="AB16" s="1327"/>
      <c r="AC16" s="1327"/>
      <c r="AD16" s="1327"/>
      <c r="AE16" s="1327"/>
    </row>
    <row r="17" spans="1:31">
      <c r="A17" s="723"/>
      <c r="B17" s="810"/>
      <c r="C17" s="1445"/>
      <c r="D17" s="1320"/>
      <c r="E17" s="1440"/>
      <c r="F17" s="1322"/>
      <c r="G17" s="1322"/>
      <c r="H17" s="1322"/>
      <c r="I17" s="1322"/>
      <c r="J17" s="1322"/>
      <c r="K17" s="1256"/>
      <c r="L17" s="1443"/>
      <c r="M17" s="724"/>
      <c r="N17" s="1321"/>
      <c r="O17" s="1323"/>
      <c r="P17" s="1324"/>
      <c r="Q17" s="1322"/>
      <c r="R17" s="1444"/>
      <c r="S17" s="1444"/>
      <c r="T17" s="1444"/>
      <c r="U17" s="1328"/>
      <c r="V17" s="1256"/>
      <c r="W17" s="723"/>
      <c r="X17" s="1323"/>
      <c r="Y17" s="1321"/>
      <c r="Z17" s="1321"/>
      <c r="AA17" s="1324"/>
      <c r="AB17" s="1327"/>
      <c r="AC17" s="1327"/>
      <c r="AD17" s="1327"/>
      <c r="AE17" s="1327"/>
    </row>
    <row r="18" spans="1:31">
      <c r="A18" s="723"/>
      <c r="B18" s="810"/>
      <c r="C18" s="1445"/>
      <c r="D18" s="1320"/>
      <c r="E18" s="1440"/>
      <c r="F18" s="1322"/>
      <c r="G18" s="1322"/>
      <c r="H18" s="1322"/>
      <c r="I18" s="1322"/>
      <c r="J18" s="1322"/>
      <c r="K18" s="1256"/>
      <c r="L18" s="1443"/>
      <c r="M18" s="724"/>
      <c r="N18" s="1321"/>
      <c r="O18" s="1323"/>
      <c r="P18" s="1324"/>
      <c r="Q18" s="1322"/>
      <c r="R18" s="1444"/>
      <c r="S18" s="1444"/>
      <c r="T18" s="1444"/>
      <c r="U18" s="1328"/>
      <c r="V18" s="1256"/>
      <c r="W18" s="723"/>
      <c r="X18" s="1323"/>
      <c r="Y18" s="1321"/>
      <c r="Z18" s="1321"/>
      <c r="AA18" s="1324"/>
      <c r="AB18" s="1327"/>
      <c r="AC18" s="1327"/>
      <c r="AD18" s="1327"/>
      <c r="AE18" s="1327"/>
    </row>
    <row r="19" spans="1:31">
      <c r="A19" s="723"/>
      <c r="B19" s="810"/>
      <c r="C19" s="1445"/>
      <c r="D19" s="1320"/>
      <c r="E19" s="1440"/>
      <c r="F19" s="1322"/>
      <c r="G19" s="1322"/>
      <c r="H19" s="1322"/>
      <c r="I19" s="1322"/>
      <c r="J19" s="1322"/>
      <c r="K19" s="1256"/>
      <c r="L19" s="1443"/>
      <c r="M19" s="724"/>
      <c r="N19" s="1321"/>
      <c r="O19" s="1323"/>
      <c r="P19" s="1324"/>
      <c r="Q19" s="1322"/>
      <c r="R19" s="1444"/>
      <c r="S19" s="1444"/>
      <c r="T19" s="1444"/>
      <c r="U19" s="1328"/>
      <c r="V19" s="1256"/>
      <c r="W19" s="723"/>
      <c r="X19" s="1323"/>
      <c r="Y19" s="1321"/>
      <c r="Z19" s="1321"/>
      <c r="AA19" s="1324"/>
      <c r="AB19" s="1327"/>
      <c r="AC19" s="1327"/>
      <c r="AD19" s="1327"/>
      <c r="AE19" s="1327"/>
    </row>
    <row r="20" spans="1:31">
      <c r="A20" s="723"/>
      <c r="B20" s="810"/>
      <c r="C20" s="1445"/>
      <c r="D20" s="1320"/>
      <c r="E20" s="1440"/>
      <c r="F20" s="1322"/>
      <c r="G20" s="1322"/>
      <c r="H20" s="1322"/>
      <c r="I20" s="1322"/>
      <c r="J20" s="1322"/>
      <c r="K20" s="1256"/>
      <c r="L20" s="1443"/>
      <c r="M20" s="724"/>
      <c r="N20" s="1321"/>
      <c r="O20" s="1323"/>
      <c r="P20" s="1324"/>
      <c r="Q20" s="1322"/>
      <c r="R20" s="1444"/>
      <c r="S20" s="1444"/>
      <c r="T20" s="1444"/>
      <c r="U20" s="1328"/>
      <c r="V20" s="1256"/>
      <c r="W20" s="723"/>
      <c r="X20" s="1323"/>
      <c r="Y20" s="1321"/>
      <c r="Z20" s="1321"/>
      <c r="AA20" s="1324"/>
      <c r="AB20" s="1327"/>
      <c r="AC20" s="1327"/>
      <c r="AD20" s="1327"/>
      <c r="AE20" s="1327"/>
    </row>
    <row r="21" spans="1:31">
      <c r="A21" s="723"/>
      <c r="B21" s="810"/>
      <c r="C21" s="1445"/>
      <c r="D21" s="1320"/>
      <c r="E21" s="1440"/>
      <c r="F21" s="1322"/>
      <c r="G21" s="1322"/>
      <c r="H21" s="1322"/>
      <c r="I21" s="1322"/>
      <c r="J21" s="1322"/>
      <c r="K21" s="1256"/>
      <c r="L21" s="1443"/>
      <c r="M21" s="724"/>
      <c r="N21" s="1321"/>
      <c r="O21" s="1323"/>
      <c r="P21" s="1324"/>
      <c r="Q21" s="1322"/>
      <c r="R21" s="1444"/>
      <c r="S21" s="1444"/>
      <c r="T21" s="1444"/>
      <c r="U21" s="1328"/>
      <c r="V21" s="1256"/>
      <c r="W21" s="723"/>
      <c r="X21" s="1323"/>
      <c r="Y21" s="1321"/>
      <c r="Z21" s="1321"/>
      <c r="AA21" s="1324"/>
      <c r="AB21" s="1327"/>
      <c r="AC21" s="1327"/>
      <c r="AD21" s="1327"/>
      <c r="AE21" s="1327"/>
    </row>
    <row r="22" spans="1:31">
      <c r="A22" s="723"/>
      <c r="B22" s="810"/>
      <c r="C22" s="1445"/>
      <c r="D22" s="1320"/>
      <c r="E22" s="1440"/>
      <c r="F22" s="1322"/>
      <c r="G22" s="1322"/>
      <c r="H22" s="1322"/>
      <c r="I22" s="1322"/>
      <c r="J22" s="1322"/>
      <c r="K22" s="1256"/>
      <c r="L22" s="1443"/>
      <c r="M22" s="724"/>
      <c r="N22" s="1321"/>
      <c r="O22" s="1323"/>
      <c r="P22" s="1324"/>
      <c r="Q22" s="1322"/>
      <c r="R22" s="1444"/>
      <c r="S22" s="1444"/>
      <c r="T22" s="1444"/>
      <c r="U22" s="1328"/>
      <c r="V22" s="1256"/>
      <c r="W22" s="723"/>
      <c r="X22" s="1323"/>
      <c r="Y22" s="1321"/>
      <c r="Z22" s="1321"/>
      <c r="AA22" s="1324"/>
      <c r="AB22" s="1327"/>
      <c r="AC22" s="1327"/>
      <c r="AD22" s="1327"/>
      <c r="AE22" s="1327"/>
    </row>
    <row r="23" spans="1:31">
      <c r="A23" s="723"/>
      <c r="B23" s="810"/>
      <c r="C23" s="1445"/>
      <c r="D23" s="1320"/>
      <c r="E23" s="1440"/>
      <c r="F23" s="1322"/>
      <c r="G23" s="1322"/>
      <c r="H23" s="1322"/>
      <c r="I23" s="1322"/>
      <c r="J23" s="1322"/>
      <c r="K23" s="1256"/>
      <c r="L23" s="1443"/>
      <c r="M23" s="724"/>
      <c r="N23" s="1321"/>
      <c r="O23" s="1323"/>
      <c r="P23" s="1324"/>
      <c r="Q23" s="1322"/>
      <c r="R23" s="1444"/>
      <c r="S23" s="1444"/>
      <c r="T23" s="1444"/>
      <c r="U23" s="1328"/>
      <c r="V23" s="1256"/>
      <c r="W23" s="723"/>
      <c r="X23" s="1323"/>
      <c r="Y23" s="1321"/>
      <c r="Z23" s="1321"/>
      <c r="AA23" s="1324"/>
      <c r="AB23" s="1327"/>
      <c r="AC23" s="1327"/>
      <c r="AD23" s="1327"/>
      <c r="AE23" s="1327"/>
    </row>
    <row r="24" spans="1:31">
      <c r="A24" s="723"/>
      <c r="B24" s="810"/>
      <c r="C24" s="1445"/>
      <c r="D24" s="1320"/>
      <c r="E24" s="1440"/>
      <c r="F24" s="1322"/>
      <c r="G24" s="1322"/>
      <c r="H24" s="1322"/>
      <c r="I24" s="1322"/>
      <c r="J24" s="1322"/>
      <c r="K24" s="1256"/>
      <c r="L24" s="1443"/>
      <c r="M24" s="724"/>
      <c r="N24" s="1321"/>
      <c r="O24" s="1323"/>
      <c r="P24" s="1324"/>
      <c r="Q24" s="1322"/>
      <c r="R24" s="1444"/>
      <c r="S24" s="1444"/>
      <c r="T24" s="1444"/>
      <c r="U24" s="1328"/>
      <c r="V24" s="1256"/>
      <c r="W24" s="723"/>
      <c r="X24" s="1323"/>
      <c r="Y24" s="1321"/>
      <c r="Z24" s="1321"/>
      <c r="AA24" s="1324"/>
      <c r="AB24" s="1327"/>
      <c r="AC24" s="1327"/>
      <c r="AD24" s="1327"/>
      <c r="AE24" s="1327"/>
    </row>
    <row r="25" spans="1:31">
      <c r="A25" s="723"/>
      <c r="B25" s="810"/>
      <c r="C25" s="1445"/>
      <c r="D25" s="1320"/>
      <c r="E25" s="1440"/>
      <c r="F25" s="1322"/>
      <c r="G25" s="1322"/>
      <c r="H25" s="1322"/>
      <c r="I25" s="1322"/>
      <c r="J25" s="1322"/>
      <c r="K25" s="1256"/>
      <c r="L25" s="1443"/>
      <c r="M25" s="724"/>
      <c r="N25" s="1321"/>
      <c r="O25" s="1323"/>
      <c r="P25" s="1324"/>
      <c r="Q25" s="1322"/>
      <c r="R25" s="1444"/>
      <c r="S25" s="1444"/>
      <c r="T25" s="1444"/>
      <c r="U25" s="1328"/>
      <c r="V25" s="1256"/>
      <c r="W25" s="723"/>
      <c r="X25" s="1323"/>
      <c r="Y25" s="1321"/>
      <c r="Z25" s="1321"/>
      <c r="AA25" s="1324"/>
      <c r="AB25" s="1327"/>
      <c r="AC25" s="1327"/>
      <c r="AD25" s="1327"/>
      <c r="AE25" s="1327"/>
    </row>
    <row r="26" spans="1:31">
      <c r="A26" s="723"/>
      <c r="B26" s="810"/>
      <c r="C26" s="1445"/>
      <c r="D26" s="1320"/>
      <c r="E26" s="1440"/>
      <c r="F26" s="1322"/>
      <c r="G26" s="1322"/>
      <c r="H26" s="1322"/>
      <c r="I26" s="1322"/>
      <c r="J26" s="1322"/>
      <c r="K26" s="1256"/>
      <c r="L26" s="1443"/>
      <c r="M26" s="724"/>
      <c r="N26" s="1321"/>
      <c r="O26" s="1323"/>
      <c r="P26" s="1324"/>
      <c r="Q26" s="1322"/>
      <c r="R26" s="1444"/>
      <c r="S26" s="1444"/>
      <c r="T26" s="1444"/>
      <c r="U26" s="1328"/>
      <c r="V26" s="1256"/>
      <c r="W26" s="723"/>
      <c r="X26" s="1323"/>
      <c r="Y26" s="1321"/>
      <c r="Z26" s="1321"/>
      <c r="AA26" s="1324"/>
      <c r="AB26" s="1327"/>
      <c r="AC26" s="1327"/>
      <c r="AD26" s="1327"/>
      <c r="AE26" s="1327"/>
    </row>
    <row r="27" spans="1:31">
      <c r="A27" s="723"/>
      <c r="B27" s="810"/>
      <c r="C27" s="1445"/>
      <c r="D27" s="1320"/>
      <c r="E27" s="1440"/>
      <c r="F27" s="1322"/>
      <c r="G27" s="1322"/>
      <c r="H27" s="1322"/>
      <c r="I27" s="1322"/>
      <c r="J27" s="1322"/>
      <c r="K27" s="1256"/>
      <c r="L27" s="1443"/>
      <c r="M27" s="724"/>
      <c r="N27" s="1321"/>
      <c r="O27" s="1323"/>
      <c r="P27" s="1324"/>
      <c r="Q27" s="1322"/>
      <c r="R27" s="1444"/>
      <c r="S27" s="1444"/>
      <c r="T27" s="1444"/>
      <c r="U27" s="1328"/>
      <c r="V27" s="1256"/>
      <c r="W27" s="723"/>
      <c r="X27" s="1323"/>
      <c r="Y27" s="1321"/>
      <c r="Z27" s="1321"/>
      <c r="AA27" s="1324"/>
      <c r="AB27" s="1327"/>
      <c r="AC27" s="1327"/>
      <c r="AD27" s="1327"/>
      <c r="AE27" s="1327"/>
    </row>
    <row r="28" spans="1:31">
      <c r="A28" s="723"/>
      <c r="B28" s="810"/>
      <c r="C28" s="1445"/>
      <c r="D28" s="1320"/>
      <c r="E28" s="1440"/>
      <c r="F28" s="1322"/>
      <c r="G28" s="1322"/>
      <c r="H28" s="1322"/>
      <c r="I28" s="1322"/>
      <c r="J28" s="1322"/>
      <c r="K28" s="1256"/>
      <c r="L28" s="1443"/>
      <c r="M28" s="724"/>
      <c r="N28" s="1321"/>
      <c r="O28" s="1323"/>
      <c r="P28" s="1324"/>
      <c r="Q28" s="1322"/>
      <c r="R28" s="1444"/>
      <c r="S28" s="1444"/>
      <c r="T28" s="1444"/>
      <c r="U28" s="1328"/>
      <c r="V28" s="1256"/>
      <c r="W28" s="723"/>
      <c r="X28" s="1323"/>
      <c r="Y28" s="1321"/>
      <c r="Z28" s="1321"/>
      <c r="AA28" s="1324"/>
      <c r="AB28" s="1327"/>
      <c r="AC28" s="1327"/>
      <c r="AD28" s="1327"/>
      <c r="AE28" s="1327"/>
    </row>
    <row r="29" spans="1:31">
      <c r="A29" s="723"/>
      <c r="B29" s="810"/>
      <c r="C29" s="1445"/>
      <c r="D29" s="1320"/>
      <c r="E29" s="1440"/>
      <c r="F29" s="1322"/>
      <c r="G29" s="1322"/>
      <c r="H29" s="1322"/>
      <c r="I29" s="1322"/>
      <c r="J29" s="1322"/>
      <c r="K29" s="1256"/>
      <c r="L29" s="1443"/>
      <c r="M29" s="724"/>
      <c r="N29" s="1321"/>
      <c r="O29" s="1323"/>
      <c r="P29" s="1324"/>
      <c r="Q29" s="1322"/>
      <c r="R29" s="1444"/>
      <c r="S29" s="1444"/>
      <c r="T29" s="1444"/>
      <c r="U29" s="1328"/>
      <c r="V29" s="1256"/>
      <c r="W29" s="723"/>
      <c r="X29" s="1323"/>
      <c r="Y29" s="1321"/>
      <c r="Z29" s="1321"/>
      <c r="AA29" s="1324"/>
      <c r="AB29" s="1327"/>
      <c r="AC29" s="1327"/>
      <c r="AD29" s="1327"/>
      <c r="AE29" s="1327"/>
    </row>
    <row r="30" spans="1:31">
      <c r="A30" s="723"/>
      <c r="B30" s="810"/>
      <c r="C30" s="1445"/>
      <c r="D30" s="1320"/>
      <c r="E30" s="1440"/>
      <c r="F30" s="1322"/>
      <c r="G30" s="1322"/>
      <c r="H30" s="1322"/>
      <c r="I30" s="1322"/>
      <c r="J30" s="1322"/>
      <c r="K30" s="1256"/>
      <c r="L30" s="1443"/>
      <c r="M30" s="724"/>
      <c r="N30" s="1321"/>
      <c r="O30" s="1323"/>
      <c r="P30" s="1324"/>
      <c r="Q30" s="1322"/>
      <c r="R30" s="1444"/>
      <c r="S30" s="1444"/>
      <c r="T30" s="1444"/>
      <c r="U30" s="1328"/>
      <c r="V30" s="1256"/>
      <c r="W30" s="723"/>
      <c r="X30" s="1323"/>
      <c r="Y30" s="1321"/>
      <c r="Z30" s="1321"/>
      <c r="AA30" s="1324"/>
      <c r="AB30" s="1327"/>
      <c r="AC30" s="1327"/>
      <c r="AD30" s="1327"/>
      <c r="AE30" s="1327"/>
    </row>
    <row r="31" spans="1:31">
      <c r="A31" s="723"/>
      <c r="B31" s="810"/>
      <c r="C31" s="1445"/>
      <c r="D31" s="1320"/>
      <c r="E31" s="1440"/>
      <c r="F31" s="1322"/>
      <c r="G31" s="1322"/>
      <c r="H31" s="1322"/>
      <c r="I31" s="1322"/>
      <c r="J31" s="1322"/>
      <c r="K31" s="1256"/>
      <c r="L31" s="1443"/>
      <c r="M31" s="724"/>
      <c r="N31" s="1321"/>
      <c r="O31" s="1323"/>
      <c r="P31" s="1324"/>
      <c r="Q31" s="1322"/>
      <c r="R31" s="1444"/>
      <c r="S31" s="1444"/>
      <c r="T31" s="1444"/>
      <c r="U31" s="1328"/>
      <c r="V31" s="1256"/>
      <c r="W31" s="723"/>
      <c r="X31" s="1323"/>
      <c r="Y31" s="1321"/>
      <c r="Z31" s="1321"/>
      <c r="AA31" s="1324"/>
      <c r="AB31" s="1327"/>
      <c r="AC31" s="1327"/>
      <c r="AD31" s="1327"/>
      <c r="AE31" s="1327"/>
    </row>
    <row r="32" spans="1:31">
      <c r="A32" s="723"/>
      <c r="B32" s="810"/>
      <c r="C32" s="1445"/>
      <c r="D32" s="1320"/>
      <c r="E32" s="1440"/>
      <c r="F32" s="1322"/>
      <c r="G32" s="1322"/>
      <c r="H32" s="1322"/>
      <c r="I32" s="1322"/>
      <c r="J32" s="1322"/>
      <c r="K32" s="1256"/>
      <c r="L32" s="1443"/>
      <c r="M32" s="724"/>
      <c r="N32" s="1321"/>
      <c r="O32" s="1323"/>
      <c r="P32" s="1324"/>
      <c r="Q32" s="1322"/>
      <c r="R32" s="1444"/>
      <c r="S32" s="1444"/>
      <c r="T32" s="1444"/>
      <c r="U32" s="1328"/>
      <c r="V32" s="1256"/>
      <c r="W32" s="723"/>
      <c r="X32" s="1323"/>
      <c r="Y32" s="1321"/>
      <c r="Z32" s="1321"/>
      <c r="AA32" s="1324"/>
      <c r="AB32" s="1327"/>
      <c r="AC32" s="1327"/>
      <c r="AD32" s="1327"/>
      <c r="AE32" s="1327"/>
    </row>
    <row r="33" spans="1:31">
      <c r="A33" s="723"/>
      <c r="B33" s="810"/>
      <c r="C33" s="1445"/>
      <c r="D33" s="1320"/>
      <c r="E33" s="1440"/>
      <c r="F33" s="1322"/>
      <c r="G33" s="1322"/>
      <c r="H33" s="1322"/>
      <c r="I33" s="1322"/>
      <c r="J33" s="1322"/>
      <c r="K33" s="1256"/>
      <c r="L33" s="1443"/>
      <c r="M33" s="724"/>
      <c r="N33" s="1321"/>
      <c r="O33" s="1323"/>
      <c r="P33" s="1324"/>
      <c r="Q33" s="1322"/>
      <c r="R33" s="1444"/>
      <c r="S33" s="1444"/>
      <c r="T33" s="1444"/>
      <c r="U33" s="1328"/>
      <c r="V33" s="1256"/>
      <c r="W33" s="723"/>
      <c r="X33" s="1323"/>
      <c r="Y33" s="1321"/>
      <c r="Z33" s="1321"/>
      <c r="AA33" s="1324"/>
      <c r="AB33" s="1327"/>
      <c r="AC33" s="1327"/>
      <c r="AD33" s="1327"/>
      <c r="AE33" s="1327"/>
    </row>
    <row r="34" spans="1:31">
      <c r="A34" s="723"/>
      <c r="B34" s="810"/>
      <c r="C34" s="1445"/>
      <c r="D34" s="1320"/>
      <c r="E34" s="1440"/>
      <c r="F34" s="1322"/>
      <c r="G34" s="1322"/>
      <c r="H34" s="1322"/>
      <c r="I34" s="1322"/>
      <c r="J34" s="1322"/>
      <c r="K34" s="1256"/>
      <c r="L34" s="1443"/>
      <c r="M34" s="724"/>
      <c r="N34" s="1321"/>
      <c r="O34" s="1323"/>
      <c r="P34" s="1324"/>
      <c r="Q34" s="1322"/>
      <c r="R34" s="1444"/>
      <c r="S34" s="1444"/>
      <c r="T34" s="1444"/>
      <c r="U34" s="1328"/>
      <c r="V34" s="1256"/>
      <c r="W34" s="723"/>
      <c r="X34" s="1323"/>
      <c r="Y34" s="1321"/>
      <c r="Z34" s="1321"/>
      <c r="AA34" s="1324"/>
      <c r="AB34" s="1327"/>
      <c r="AC34" s="1327"/>
      <c r="AD34" s="1327"/>
      <c r="AE34" s="1327"/>
    </row>
    <row r="35" spans="1:31">
      <c r="A35" s="723"/>
      <c r="B35" s="810"/>
      <c r="C35" s="1445"/>
      <c r="D35" s="1320"/>
      <c r="E35" s="1441"/>
      <c r="F35" s="1322"/>
      <c r="G35" s="1322"/>
      <c r="H35" s="1322"/>
      <c r="I35" s="1322"/>
      <c r="J35" s="1322"/>
      <c r="K35" s="1256"/>
      <c r="L35" s="1443"/>
      <c r="M35" s="724"/>
      <c r="N35" s="1321"/>
      <c r="O35" s="1323"/>
      <c r="P35" s="1324"/>
      <c r="Q35" s="1322"/>
      <c r="R35" s="1444"/>
      <c r="S35" s="1444"/>
      <c r="T35" s="1444"/>
      <c r="U35" s="1328"/>
      <c r="V35" s="1256"/>
      <c r="W35" s="723"/>
      <c r="X35" s="1323"/>
      <c r="Y35" s="1321"/>
      <c r="Z35" s="1321"/>
      <c r="AA35" s="1324"/>
      <c r="AB35" s="1327"/>
      <c r="AC35" s="1327"/>
      <c r="AD35" s="1327"/>
      <c r="AE35" s="1327"/>
    </row>
    <row r="36" spans="1:31">
      <c r="A36" s="1329"/>
      <c r="B36" s="1330"/>
      <c r="C36" s="1440"/>
      <c r="D36" s="1331"/>
      <c r="E36" s="1442"/>
      <c r="F36" s="1332"/>
      <c r="G36" s="1332"/>
      <c r="H36" s="1332"/>
      <c r="I36" s="1332"/>
      <c r="J36" s="1332"/>
      <c r="K36" s="1256"/>
      <c r="L36" s="1329"/>
      <c r="M36" s="1333"/>
      <c r="N36" s="1334"/>
      <c r="O36" s="1334"/>
      <c r="P36" s="1335"/>
      <c r="Q36" s="1322"/>
      <c r="R36" s="1333"/>
      <c r="S36" s="1333"/>
      <c r="T36" s="1333"/>
      <c r="U36" s="1336"/>
      <c r="V36" s="1256"/>
      <c r="W36" s="1329"/>
      <c r="X36" s="1337"/>
      <c r="Y36" s="1334"/>
      <c r="Z36" s="1334"/>
      <c r="AA36" s="1334"/>
      <c r="AB36" s="1329"/>
      <c r="AC36" s="1337"/>
      <c r="AD36" s="1334"/>
      <c r="AE36" s="1334"/>
    </row>
    <row r="37" spans="1:31" ht="24.75" customHeight="1" collapsed="1" thickBot="1">
      <c r="A37" s="6045" t="s">
        <v>1522</v>
      </c>
      <c r="B37" s="6046"/>
      <c r="C37" s="6046"/>
      <c r="D37" s="6046"/>
      <c r="E37" s="6046"/>
      <c r="F37" s="6047"/>
      <c r="G37" s="1338">
        <f>SUM(G14:G36)</f>
        <v>168421.05</v>
      </c>
      <c r="H37" s="1338">
        <f>SUM(H14:H36)</f>
        <v>0</v>
      </c>
      <c r="I37" s="1338">
        <f>SUM(I14:I36)</f>
        <v>0</v>
      </c>
      <c r="J37" s="1338">
        <f>SUM(J14:J36)</f>
        <v>168421.05</v>
      </c>
      <c r="K37" s="1256"/>
      <c r="L37" s="1339" t="s">
        <v>1522</v>
      </c>
      <c r="M37" s="1340"/>
      <c r="N37" s="1340"/>
      <c r="O37" s="1340"/>
      <c r="P37" s="1340"/>
      <c r="Q37" s="1340"/>
      <c r="R37" s="1341">
        <f>SUM(R14:R36)</f>
        <v>168421.05</v>
      </c>
      <c r="S37" s="1338">
        <f>SUM(S14:S36)</f>
        <v>0</v>
      </c>
      <c r="T37" s="1338">
        <f>SUM(T14:T36)</f>
        <v>0</v>
      </c>
      <c r="U37" s="1338">
        <f>SUM(U14:U36)</f>
        <v>168421.05</v>
      </c>
      <c r="V37" s="1256"/>
      <c r="W37" s="1342" t="s">
        <v>1522</v>
      </c>
      <c r="X37" s="1343"/>
      <c r="Y37" s="1343"/>
      <c r="Z37" s="1343"/>
      <c r="AA37" s="1343"/>
      <c r="AB37" s="1341">
        <f>SUM(AB14:AB36)</f>
        <v>168421.05</v>
      </c>
      <c r="AC37" s="1338">
        <f>SUM(AC14:AC36)</f>
        <v>0</v>
      </c>
      <c r="AD37" s="1338">
        <f>SUM(AD14:AD36)</f>
        <v>0</v>
      </c>
      <c r="AE37" s="1338">
        <f>+AE14</f>
        <v>168421.05</v>
      </c>
    </row>
    <row r="38" spans="1:31">
      <c r="A38" s="1360"/>
      <c r="B38" s="1256"/>
      <c r="C38" s="1255"/>
      <c r="D38" s="1257"/>
      <c r="E38" s="1361"/>
      <c r="F38" s="1258"/>
      <c r="G38" s="1258"/>
      <c r="H38" s="1258"/>
      <c r="I38" s="1258"/>
      <c r="J38" s="1258"/>
      <c r="K38" s="1256"/>
      <c r="L38" s="1360"/>
      <c r="M38" s="1360"/>
      <c r="N38" s="1362"/>
      <c r="O38" s="1362"/>
      <c r="P38" s="1362"/>
      <c r="Q38" s="1360"/>
      <c r="R38" s="1360"/>
      <c r="S38" s="1360"/>
      <c r="T38" s="1360"/>
      <c r="U38" s="1363"/>
      <c r="V38" s="1256"/>
      <c r="W38" s="1360"/>
      <c r="X38" s="1364"/>
      <c r="Y38" s="1362"/>
      <c r="Z38" s="1362"/>
      <c r="AA38" s="1362"/>
      <c r="AB38" s="1360"/>
      <c r="AC38" s="1364"/>
      <c r="AD38" s="1362"/>
      <c r="AE38" s="1362"/>
    </row>
    <row r="39" spans="1:31">
      <c r="A39" s="1360"/>
      <c r="B39" s="1256"/>
      <c r="C39" s="1255"/>
      <c r="D39" s="1257"/>
      <c r="E39" s="1361"/>
      <c r="F39" s="1258"/>
      <c r="G39" s="1258"/>
      <c r="H39" s="1258"/>
      <c r="I39" s="1258"/>
      <c r="J39" s="1258"/>
      <c r="K39" s="1256"/>
      <c r="L39" s="1360"/>
      <c r="M39" s="1360"/>
      <c r="N39" s="1362"/>
      <c r="O39" s="1362"/>
      <c r="P39" s="1257"/>
      <c r="Q39" s="1258"/>
      <c r="R39" s="1258"/>
      <c r="S39" s="1258"/>
      <c r="T39" s="1258"/>
      <c r="U39" s="1258"/>
      <c r="V39" s="1256"/>
      <c r="W39" s="1360"/>
      <c r="X39" s="1364"/>
      <c r="Y39" s="1362"/>
      <c r="Z39" s="1362"/>
      <c r="AA39" s="1362"/>
      <c r="AB39" s="1360"/>
      <c r="AC39" s="1364"/>
      <c r="AD39" s="1362"/>
      <c r="AE39" s="1362"/>
    </row>
    <row r="40" spans="1:31">
      <c r="A40" s="1365"/>
      <c r="B40" s="1256"/>
      <c r="C40" s="1255"/>
      <c r="D40" s="1257"/>
      <c r="E40" s="1361"/>
      <c r="F40" s="1366"/>
      <c r="G40" s="1366"/>
      <c r="H40" s="1366"/>
      <c r="I40" s="1366"/>
      <c r="J40" s="1258"/>
      <c r="K40" s="1256"/>
      <c r="L40" s="1365"/>
      <c r="M40" s="1365">
        <f>403092.61/11085046.72</f>
        <v>3.6363636544059594E-2</v>
      </c>
      <c r="N40" s="1365"/>
      <c r="O40" s="1365"/>
      <c r="P40" s="1257"/>
      <c r="Q40" s="1366"/>
      <c r="R40" s="1366"/>
      <c r="S40" s="1366"/>
      <c r="T40" s="1366"/>
      <c r="U40" s="1366"/>
      <c r="V40" s="1256"/>
      <c r="W40" s="1365"/>
      <c r="X40" s="1365"/>
      <c r="Y40" s="1362"/>
      <c r="Z40" s="1362"/>
      <c r="AA40" s="1362"/>
      <c r="AB40" s="1365"/>
      <c r="AC40" s="1365"/>
      <c r="AD40" s="1362"/>
      <c r="AE40" s="1362"/>
    </row>
    <row r="41" spans="1:31">
      <c r="D41" s="1257"/>
      <c r="E41" s="153">
        <v>44197</v>
      </c>
      <c r="F41" s="1366"/>
      <c r="P41" s="1257"/>
      <c r="Q41" s="1366"/>
      <c r="R41" s="1366"/>
      <c r="S41" s="1366"/>
      <c r="T41" s="1366"/>
      <c r="U41" s="1366"/>
      <c r="Z41" s="153">
        <v>44094</v>
      </c>
      <c r="AB41" s="1367"/>
    </row>
    <row r="42" spans="1:31">
      <c r="D42" s="1257"/>
      <c r="E42" s="153">
        <f>E41-45</f>
        <v>44152</v>
      </c>
      <c r="F42" s="1366"/>
      <c r="P42" s="1257"/>
      <c r="Q42" s="1366"/>
      <c r="R42" s="1366"/>
      <c r="S42" s="1366"/>
      <c r="T42" s="1366"/>
      <c r="U42" s="1366"/>
      <c r="Z42" s="153">
        <f>Z41-45</f>
        <v>44049</v>
      </c>
    </row>
    <row r="43" spans="1:31">
      <c r="D43" s="1257"/>
      <c r="F43" s="1366"/>
      <c r="H43" s="153">
        <v>43986</v>
      </c>
      <c r="R43" s="652"/>
      <c r="S43" s="652"/>
      <c r="T43" s="652"/>
      <c r="U43" s="652"/>
    </row>
  </sheetData>
  <mergeCells count="4">
    <mergeCell ref="A10:J10"/>
    <mergeCell ref="L10:U10"/>
    <mergeCell ref="W10:AE10"/>
    <mergeCell ref="A37:F37"/>
  </mergeCells>
  <printOptions horizontalCentered="1"/>
  <pageMargins left="0.25" right="0.25" top="0.75" bottom="0.75" header="0.3" footer="0.3"/>
  <pageSetup paperSize="8" scale="74" fitToHeight="2" orientation="landscape" r:id="rId1"/>
  <headerFooter>
    <oddHeader>&amp;C&amp;"Calibri,Bold"&amp;18MONTHLY REPORT - INVOICE &amp; PAYMENT TRACKING LOG (LIU)</oddHeader>
    <oddFooter>&amp;L1TB.01.003.01 - AYC 
MARCH'26 REPORT&amp;C&amp;A&amp;RPage &amp;P of &amp;N</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AF5D2-D5D3-4CCB-BA7F-DB4D688DC3B0}">
  <sheetPr codeName="Sheet39">
    <tabColor theme="7" tint="0.39997558519241921"/>
    <pageSetUpPr fitToPage="1"/>
  </sheetPr>
  <dimension ref="A1:AG47"/>
  <sheetViews>
    <sheetView showGridLines="0" view="pageBreakPreview" topLeftCell="A7" zoomScale="80" zoomScaleNormal="100" zoomScaleSheetLayoutView="80" workbookViewId="0">
      <selection activeCell="C43" sqref="C43"/>
    </sheetView>
  </sheetViews>
  <sheetFormatPr defaultColWidth="9" defaultRowHeight="12.75"/>
  <cols>
    <col min="1" max="1" width="10.85546875" customWidth="1"/>
    <col min="2" max="2" width="10.42578125" customWidth="1"/>
    <col min="3" max="3" width="11.42578125" customWidth="1"/>
    <col min="4" max="4" width="10.85546875" bestFit="1" customWidth="1"/>
    <col min="5" max="5" width="10.5703125" bestFit="1" customWidth="1"/>
    <col min="6" max="6" width="13" bestFit="1" customWidth="1"/>
    <col min="7" max="7" width="18.42578125" bestFit="1" customWidth="1"/>
    <col min="8" max="9" width="11" bestFit="1" customWidth="1"/>
    <col min="10" max="10" width="18.42578125" bestFit="1" customWidth="1"/>
    <col min="11" max="11" width="0.85546875" customWidth="1"/>
    <col min="12" max="12" width="7" bestFit="1" customWidth="1"/>
    <col min="13" max="13" width="17.85546875" style="2854" bestFit="1" customWidth="1"/>
    <col min="14" max="14" width="10.7109375" bestFit="1" customWidth="1"/>
    <col min="15" max="15" width="13.140625" bestFit="1" customWidth="1"/>
    <col min="16" max="16" width="7.85546875" customWidth="1"/>
    <col min="17" max="17" width="13.85546875" customWidth="1"/>
    <col min="18" max="18" width="15.5703125" customWidth="1"/>
    <col min="19" max="20" width="11.42578125" customWidth="1"/>
    <col min="21" max="21" width="18.42578125" bestFit="1" customWidth="1"/>
    <col min="22" max="22" width="0.85546875" customWidth="1"/>
    <col min="23" max="23" width="14" bestFit="1" customWidth="1"/>
    <col min="24" max="24" width="10.85546875" bestFit="1" customWidth="1"/>
    <col min="25" max="25" width="9" hidden="1" customWidth="1"/>
    <col min="26" max="26" width="10.7109375" bestFit="1" customWidth="1"/>
    <col min="27" max="27" width="13.42578125" bestFit="1" customWidth="1"/>
    <col min="28" max="28" width="7" customWidth="1"/>
    <col min="29" max="29" width="12.42578125" customWidth="1"/>
    <col min="30" max="30" width="13.5703125" customWidth="1"/>
    <col min="31" max="32" width="14" customWidth="1"/>
    <col min="33" max="33" width="13.5703125" bestFit="1" customWidth="1"/>
  </cols>
  <sheetData>
    <row r="1" spans="1:33">
      <c r="A1" s="1255"/>
      <c r="B1" s="1256"/>
      <c r="C1" s="1255"/>
      <c r="D1" s="1257"/>
      <c r="E1" s="1257"/>
      <c r="F1" s="1258"/>
      <c r="G1" s="1258"/>
      <c r="H1" s="1258"/>
      <c r="I1" s="1258"/>
      <c r="J1" s="1258"/>
      <c r="K1" s="1257"/>
      <c r="L1" s="1255"/>
      <c r="M1" s="2848"/>
      <c r="N1" s="1255"/>
      <c r="O1" s="1255"/>
      <c r="P1" s="1255"/>
      <c r="Q1" s="1255"/>
      <c r="R1" s="1255"/>
      <c r="S1" s="1255"/>
      <c r="T1" s="1255"/>
      <c r="U1" s="1259"/>
      <c r="V1" s="1257"/>
      <c r="W1" s="1257"/>
      <c r="X1" s="1257"/>
      <c r="Y1" s="1257"/>
      <c r="Z1" s="1257"/>
      <c r="AA1" s="1257"/>
      <c r="AB1" s="1257"/>
      <c r="AC1" s="1257"/>
      <c r="AD1" s="1257"/>
      <c r="AE1" s="1257"/>
      <c r="AF1" s="1257"/>
    </row>
    <row r="2" spans="1:33">
      <c r="A2" s="9" t="str">
        <f>'Data Input'!A1&amp;" - "&amp;'Data Input'!B1</f>
        <v>PROGRAMME: - MARINA VILLAGE (PROGRAMME 1_TRIPLE BAY)</v>
      </c>
      <c r="B2" s="1256"/>
      <c r="C2" s="1255"/>
      <c r="D2" s="1257"/>
      <c r="E2" s="1257"/>
      <c r="F2" s="1258"/>
      <c r="G2" s="1258"/>
      <c r="H2" s="1258"/>
      <c r="I2" s="1258"/>
      <c r="J2" s="1258"/>
      <c r="K2" s="1257"/>
      <c r="L2" s="1255"/>
      <c r="M2" s="2848"/>
      <c r="N2" s="1255"/>
      <c r="O2" s="1255"/>
      <c r="P2" s="1255"/>
      <c r="Q2" s="1255"/>
      <c r="R2" s="1255"/>
      <c r="S2" s="1255"/>
      <c r="T2" s="1255"/>
      <c r="U2" s="1259"/>
      <c r="V2" s="1257"/>
      <c r="W2" s="1257"/>
      <c r="X2" s="1257"/>
      <c r="Y2" s="1257"/>
      <c r="Z2" s="1257"/>
      <c r="AA2" s="1257"/>
      <c r="AB2" s="1257"/>
      <c r="AC2" s="1257"/>
      <c r="AD2" s="1257"/>
      <c r="AE2" s="1257"/>
      <c r="AF2" s="1257"/>
    </row>
    <row r="3" spans="1:33">
      <c r="A3" s="9" t="str">
        <f>'Data Input'!A2&amp;" - "&amp;'Data Input'!B2</f>
        <v>PROGRAMME CODE: - 1TB01003</v>
      </c>
      <c r="B3" s="1260"/>
      <c r="C3" s="1261"/>
      <c r="D3" s="1262"/>
      <c r="E3" s="1262"/>
      <c r="F3" s="1263"/>
      <c r="G3" s="1263"/>
      <c r="H3" s="1263"/>
      <c r="I3" s="1263"/>
      <c r="J3" s="1264"/>
      <c r="K3" s="1265"/>
      <c r="L3" s="1265"/>
      <c r="M3" s="1262"/>
      <c r="N3" s="1265"/>
      <c r="O3" s="1266"/>
      <c r="P3" s="1265"/>
      <c r="Q3" s="1265"/>
      <c r="R3" s="1265"/>
      <c r="S3" s="1265"/>
      <c r="T3" s="1265"/>
      <c r="U3" s="1267"/>
      <c r="V3" s="1265"/>
      <c r="W3" s="1265"/>
      <c r="X3" s="1265"/>
      <c r="Y3" s="1265"/>
      <c r="Z3" s="1265"/>
      <c r="AA3" s="1265"/>
      <c r="AB3" s="1265"/>
      <c r="AC3" s="1265"/>
      <c r="AD3" s="1265"/>
      <c r="AE3" s="1265"/>
      <c r="AF3" s="1265"/>
    </row>
    <row r="4" spans="1:33">
      <c r="A4" s="9" t="str">
        <f>'Data Input'!A3&amp;" - "&amp;'Data Input'!B3</f>
        <v>ASSET NAME: - AMAALA YACHT CLUB</v>
      </c>
      <c r="B4" s="1260"/>
      <c r="C4" s="1268"/>
      <c r="D4" s="1265"/>
      <c r="E4" s="1265"/>
      <c r="F4" s="1267"/>
      <c r="G4" s="1267"/>
      <c r="H4" s="1267"/>
      <c r="I4" s="1267"/>
      <c r="J4" s="1269"/>
      <c r="K4" s="1265"/>
      <c r="L4" s="1265"/>
      <c r="M4" s="1262"/>
      <c r="N4" s="1265"/>
      <c r="O4" s="1266"/>
      <c r="P4" s="1265"/>
      <c r="Q4" s="1265"/>
      <c r="R4" s="1265"/>
      <c r="S4" s="1265"/>
      <c r="T4" s="1265"/>
      <c r="U4" s="1267"/>
      <c r="V4" s="1265"/>
      <c r="W4" s="1265"/>
      <c r="X4" s="1265"/>
      <c r="Y4" s="1265"/>
      <c r="Z4" s="1265"/>
      <c r="AA4" s="1265"/>
      <c r="AB4" s="1265"/>
      <c r="AC4" s="1265"/>
      <c r="AD4" s="1265"/>
      <c r="AE4" s="1265"/>
      <c r="AF4" s="1265"/>
    </row>
    <row r="5" spans="1:33">
      <c r="A5" s="9" t="str">
        <f>'Data Input'!A4&amp;" - "&amp;'Data Input'!B4</f>
        <v>ASSET CODE: - 1TB01003.01</v>
      </c>
      <c r="B5" s="1270"/>
      <c r="C5" s="1268"/>
      <c r="D5" s="1265"/>
      <c r="E5" s="1265"/>
      <c r="F5" s="1267"/>
      <c r="G5" s="1267"/>
      <c r="H5" s="1267"/>
      <c r="I5" s="1267"/>
      <c r="J5" s="1269"/>
      <c r="K5" s="1265"/>
      <c r="L5" s="1265"/>
      <c r="M5" s="1262"/>
      <c r="N5" s="1265"/>
      <c r="O5" s="1266"/>
      <c r="P5" s="1265"/>
      <c r="Q5" s="1265"/>
      <c r="R5" s="1271"/>
      <c r="S5" s="1265"/>
      <c r="T5" s="1265"/>
      <c r="U5" s="1267"/>
      <c r="V5" s="1265"/>
      <c r="W5" s="1265"/>
      <c r="X5" s="1265"/>
      <c r="Y5" s="1265"/>
      <c r="Z5" s="1265"/>
      <c r="AA5" s="1265"/>
      <c r="AB5" s="1265"/>
      <c r="AC5" s="1265"/>
      <c r="AD5" s="1265"/>
      <c r="AE5" s="1265"/>
      <c r="AF5" s="1265"/>
    </row>
    <row r="6" spans="1:33">
      <c r="A6" s="9" t="str">
        <f>'Data Input'!A7&amp;" - "&amp;'Data Input'!B7</f>
        <v>REPORT NO: - MONTHLY REPORT NO. 49</v>
      </c>
      <c r="B6" s="1272"/>
      <c r="C6" s="1268"/>
      <c r="D6" s="1265"/>
      <c r="E6" s="1265"/>
      <c r="F6" s="1267"/>
      <c r="G6" s="1267"/>
      <c r="H6" s="1267"/>
      <c r="I6" s="1267"/>
      <c r="J6" s="1269"/>
      <c r="K6" s="1265"/>
      <c r="L6" s="1265"/>
      <c r="M6" s="1262"/>
      <c r="N6" s="1265"/>
      <c r="O6" s="1266"/>
      <c r="P6" s="1265"/>
      <c r="Q6" s="1265"/>
      <c r="R6" s="1273"/>
      <c r="S6" s="1265"/>
      <c r="T6" s="1271"/>
      <c r="U6" s="1267"/>
      <c r="V6" s="1265"/>
      <c r="W6" s="1265"/>
      <c r="X6" s="1265"/>
      <c r="Y6" s="1265"/>
      <c r="Z6" s="1265"/>
      <c r="AA6" s="1265"/>
      <c r="AB6" s="1265"/>
      <c r="AC6" s="1265"/>
      <c r="AD6" s="1265"/>
      <c r="AE6" s="1265"/>
      <c r="AF6" s="1265"/>
    </row>
    <row r="7" spans="1:33">
      <c r="A7" s="9" t="str">
        <f>'Data Input'!A8&amp;" - "&amp;'Data Input'!B8</f>
        <v>REPORTING PERIOD: - OCTOBER 2026</v>
      </c>
      <c r="B7" s="1262"/>
      <c r="C7" s="1274"/>
      <c r="D7" s="1262"/>
      <c r="E7" s="1262"/>
      <c r="F7" s="1263"/>
      <c r="G7" s="1263"/>
      <c r="H7" s="1263"/>
      <c r="I7" s="1263"/>
      <c r="J7" s="1264"/>
      <c r="K7" s="1265"/>
      <c r="L7" s="1265"/>
      <c r="M7" s="1262"/>
      <c r="N7" s="1265"/>
      <c r="O7" s="1265"/>
      <c r="P7" s="1265"/>
      <c r="Q7" s="1267"/>
      <c r="R7" s="1263"/>
      <c r="S7" s="1263"/>
      <c r="T7" s="1263"/>
      <c r="U7" s="1267"/>
      <c r="V7" s="1265"/>
      <c r="W7" s="1265"/>
      <c r="X7" s="1265"/>
      <c r="Y7" s="1265"/>
      <c r="Z7" s="1265"/>
      <c r="AA7" s="1265"/>
      <c r="AB7" s="1265"/>
      <c r="AC7" s="1265"/>
      <c r="AD7" s="1265"/>
      <c r="AE7" s="1265"/>
      <c r="AF7" s="1265"/>
    </row>
    <row r="8" spans="1:33" ht="13.5" thickBot="1">
      <c r="A8" s="9"/>
      <c r="B8" s="1256"/>
      <c r="C8" s="1255"/>
      <c r="D8" s="1257"/>
      <c r="E8" s="1257"/>
      <c r="F8" s="1258"/>
      <c r="G8" s="1258"/>
      <c r="H8" s="1258"/>
      <c r="I8" s="1258"/>
      <c r="J8" s="1258"/>
      <c r="K8" s="1257"/>
      <c r="L8" s="1255"/>
      <c r="M8" s="2848"/>
      <c r="N8" s="1275"/>
      <c r="O8" s="1276"/>
      <c r="P8" s="1255"/>
      <c r="Q8" s="1255"/>
      <c r="R8" s="1255"/>
      <c r="S8" s="1255"/>
      <c r="T8" s="1255"/>
      <c r="U8" s="1259"/>
      <c r="V8" s="1257"/>
      <c r="W8" s="1257"/>
      <c r="X8" s="1257"/>
      <c r="Y8" s="1257"/>
      <c r="Z8" s="1257"/>
      <c r="AA8" s="1257"/>
      <c r="AB8" s="1257"/>
      <c r="AC8" s="1257"/>
      <c r="AD8" s="1257"/>
      <c r="AE8" s="1257"/>
      <c r="AF8" s="1257"/>
    </row>
    <row r="9" spans="1:33" ht="30" customHeight="1" thickBot="1">
      <c r="A9" s="1354" t="s">
        <v>2648</v>
      </c>
      <c r="B9" s="1355"/>
      <c r="C9" s="1355"/>
      <c r="D9" s="1356"/>
      <c r="E9" s="1356"/>
      <c r="F9" s="1357"/>
      <c r="G9" s="1357"/>
      <c r="H9" s="1357"/>
      <c r="I9" s="1357"/>
      <c r="J9" s="1357"/>
      <c r="K9" s="1356"/>
      <c r="L9" s="1355"/>
      <c r="M9" s="2849"/>
      <c r="N9" s="1355"/>
      <c r="O9" s="1355"/>
      <c r="P9" s="1355"/>
      <c r="Q9" s="1355"/>
      <c r="R9" s="1355"/>
      <c r="S9" s="1355"/>
      <c r="T9" s="1355"/>
      <c r="U9" s="1358"/>
      <c r="V9" s="4659"/>
      <c r="W9" s="1356"/>
      <c r="X9" s="1356"/>
      <c r="Y9" s="1356"/>
      <c r="Z9" s="1356"/>
      <c r="AA9" s="1356"/>
      <c r="AB9" s="1356"/>
      <c r="AC9" s="1356"/>
      <c r="AD9" s="1356"/>
      <c r="AE9" s="1356"/>
      <c r="AF9" s="1359"/>
    </row>
    <row r="10" spans="1:33">
      <c r="A10" s="6051" t="s">
        <v>1524</v>
      </c>
      <c r="B10" s="6052"/>
      <c r="C10" s="6052"/>
      <c r="D10" s="6052"/>
      <c r="E10" s="6052"/>
      <c r="F10" s="6052"/>
      <c r="G10" s="6053"/>
      <c r="H10" s="6053"/>
      <c r="I10" s="6053"/>
      <c r="J10" s="6054"/>
      <c r="K10" s="1256"/>
      <c r="L10" s="6055" t="s">
        <v>1525</v>
      </c>
      <c r="M10" s="6056"/>
      <c r="N10" s="6056"/>
      <c r="O10" s="6056"/>
      <c r="P10" s="6056"/>
      <c r="Q10" s="6056"/>
      <c r="R10" s="6057"/>
      <c r="S10" s="6057"/>
      <c r="T10" s="6057"/>
      <c r="U10" s="6058"/>
      <c r="V10" s="1256"/>
      <c r="W10" s="6043" t="s">
        <v>1526</v>
      </c>
      <c r="X10" s="6044"/>
      <c r="Y10" s="6044"/>
      <c r="Z10" s="6044"/>
      <c r="AA10" s="6044"/>
      <c r="AB10" s="6044"/>
      <c r="AC10" s="6044"/>
      <c r="AD10" s="6044"/>
      <c r="AE10" s="6044"/>
      <c r="AF10" s="6059"/>
    </row>
    <row r="11" spans="1:33" ht="60" customHeight="1">
      <c r="A11" s="1283" t="s">
        <v>1462</v>
      </c>
      <c r="B11" s="1284" t="s">
        <v>1527</v>
      </c>
      <c r="C11" s="1284" t="s">
        <v>1528</v>
      </c>
      <c r="D11" s="1285" t="s">
        <v>1744</v>
      </c>
      <c r="E11" s="1285" t="s">
        <v>1530</v>
      </c>
      <c r="F11" s="1286" t="s">
        <v>1531</v>
      </c>
      <c r="G11" s="1287" t="s">
        <v>1532</v>
      </c>
      <c r="H11" s="1287" t="s">
        <v>1533</v>
      </c>
      <c r="I11" s="1287" t="s">
        <v>1534</v>
      </c>
      <c r="J11" s="1288" t="s">
        <v>1535</v>
      </c>
      <c r="K11" s="1289"/>
      <c r="L11" s="763" t="s">
        <v>1536</v>
      </c>
      <c r="M11" s="1290" t="s">
        <v>1601</v>
      </c>
      <c r="N11" s="1290" t="s">
        <v>1530</v>
      </c>
      <c r="O11" s="1290" t="s">
        <v>2151</v>
      </c>
      <c r="P11" s="764" t="s">
        <v>1539</v>
      </c>
      <c r="Q11" s="1291" t="s">
        <v>1540</v>
      </c>
      <c r="R11" s="1292" t="s">
        <v>1541</v>
      </c>
      <c r="S11" s="1292" t="s">
        <v>1533</v>
      </c>
      <c r="T11" s="1292" t="s">
        <v>1534</v>
      </c>
      <c r="U11" s="1293" t="s">
        <v>1542</v>
      </c>
      <c r="V11" s="1256"/>
      <c r="W11" s="1294" t="s">
        <v>3085</v>
      </c>
      <c r="X11" s="2839" t="s">
        <v>2087</v>
      </c>
      <c r="Y11" s="1295" t="s">
        <v>1544</v>
      </c>
      <c r="Z11" s="1296" t="s">
        <v>1545</v>
      </c>
      <c r="AA11" s="1296" t="s">
        <v>1761</v>
      </c>
      <c r="AB11" s="769" t="s">
        <v>1539</v>
      </c>
      <c r="AC11" s="769" t="s">
        <v>1547</v>
      </c>
      <c r="AD11" s="769" t="s">
        <v>1548</v>
      </c>
      <c r="AE11" s="1296" t="s">
        <v>1549</v>
      </c>
      <c r="AF11" s="1297" t="s">
        <v>1550</v>
      </c>
    </row>
    <row r="12" spans="1:33" ht="17.25" customHeight="1">
      <c r="A12" s="1298"/>
      <c r="B12" s="1299"/>
      <c r="C12" s="1300"/>
      <c r="D12" s="1301"/>
      <c r="E12" s="1302" t="s">
        <v>296</v>
      </c>
      <c r="F12" s="1303" t="s">
        <v>434</v>
      </c>
      <c r="G12" s="1303" t="s">
        <v>434</v>
      </c>
      <c r="H12" s="1304" t="s">
        <v>805</v>
      </c>
      <c r="I12" s="1304" t="s">
        <v>805</v>
      </c>
      <c r="J12" s="1305" t="s">
        <v>434</v>
      </c>
      <c r="K12" s="1256"/>
      <c r="L12" s="765"/>
      <c r="M12" s="766"/>
      <c r="N12" s="1306" t="s">
        <v>296</v>
      </c>
      <c r="O12" s="766" t="s">
        <v>2152</v>
      </c>
      <c r="P12" s="1307" t="s">
        <v>1552</v>
      </c>
      <c r="Q12" s="767" t="s">
        <v>434</v>
      </c>
      <c r="R12" s="767" t="s">
        <v>434</v>
      </c>
      <c r="S12" s="1308" t="s">
        <v>805</v>
      </c>
      <c r="T12" s="1308" t="s">
        <v>805</v>
      </c>
      <c r="U12" s="768" t="s">
        <v>434</v>
      </c>
      <c r="V12" s="1256"/>
      <c r="W12" s="770"/>
      <c r="X12" s="2840"/>
      <c r="Y12" s="1309" t="s">
        <v>296</v>
      </c>
      <c r="Z12" s="1309" t="s">
        <v>296</v>
      </c>
      <c r="AA12" s="1309" t="s">
        <v>2153</v>
      </c>
      <c r="AB12" s="1310" t="s">
        <v>1552</v>
      </c>
      <c r="AC12" s="1311"/>
      <c r="AD12" s="1312">
        <v>0.15</v>
      </c>
      <c r="AE12" s="1309" t="s">
        <v>296</v>
      </c>
      <c r="AF12" s="1313" t="s">
        <v>296</v>
      </c>
    </row>
    <row r="13" spans="1:33" s="722" customFormat="1" ht="12.75" customHeight="1">
      <c r="A13" s="1314"/>
      <c r="B13" s="1314"/>
      <c r="C13" s="1314"/>
      <c r="D13" s="1314"/>
      <c r="E13" s="1314" t="s">
        <v>1481</v>
      </c>
      <c r="F13" s="1314"/>
      <c r="G13" s="1314"/>
      <c r="H13" s="1314"/>
      <c r="I13" s="1314"/>
      <c r="J13" s="1314"/>
      <c r="K13" s="1255"/>
      <c r="L13" s="1315"/>
      <c r="M13" s="1315"/>
      <c r="N13" s="1316" t="s">
        <v>1482</v>
      </c>
      <c r="O13" s="1314" t="s">
        <v>2084</v>
      </c>
      <c r="P13" s="1317" t="s">
        <v>1555</v>
      </c>
      <c r="Q13" s="1318" t="s">
        <v>1556</v>
      </c>
      <c r="R13" s="1318" t="s">
        <v>1557</v>
      </c>
      <c r="S13" s="1319" t="s">
        <v>1605</v>
      </c>
      <c r="T13" s="1319" t="s">
        <v>1606</v>
      </c>
      <c r="U13" s="1318" t="s">
        <v>1560</v>
      </c>
      <c r="V13" s="1255"/>
      <c r="W13" s="1316"/>
      <c r="X13" s="1316" t="s">
        <v>1561</v>
      </c>
      <c r="Y13" s="1316"/>
      <c r="Z13" s="1316" t="s">
        <v>2088</v>
      </c>
      <c r="AA13" s="1316" t="s">
        <v>2089</v>
      </c>
      <c r="AB13" s="1317" t="s">
        <v>2091</v>
      </c>
      <c r="AC13" s="1314" t="s">
        <v>2092</v>
      </c>
      <c r="AD13" s="1319" t="s">
        <v>2093</v>
      </c>
      <c r="AE13" s="1316" t="s">
        <v>2094</v>
      </c>
      <c r="AF13" s="1316"/>
    </row>
    <row r="14" spans="1:33" s="2837" customFormat="1" ht="51.75" customHeight="1">
      <c r="A14" s="4688">
        <v>1</v>
      </c>
      <c r="B14" s="4689" t="s">
        <v>1763</v>
      </c>
      <c r="C14" s="4690" t="s">
        <v>2608</v>
      </c>
      <c r="D14" s="4691" t="s">
        <v>2607</v>
      </c>
      <c r="E14" s="4692">
        <v>45258</v>
      </c>
      <c r="F14" s="4693">
        <v>3716548</v>
      </c>
      <c r="G14" s="4694">
        <f>F14</f>
        <v>3716548</v>
      </c>
      <c r="H14" s="4694">
        <v>0</v>
      </c>
      <c r="I14" s="4694">
        <v>0</v>
      </c>
      <c r="J14" s="4694">
        <f t="shared" ref="J14:J19" si="0">G14+H14+I14</f>
        <v>3716548</v>
      </c>
      <c r="K14" s="4695"/>
      <c r="L14" s="4696">
        <v>1</v>
      </c>
      <c r="M14" s="4697" t="s">
        <v>2609</v>
      </c>
      <c r="N14" s="4692">
        <v>45266</v>
      </c>
      <c r="O14" s="4698">
        <f t="shared" ref="O14:O19" si="1">E14+21</f>
        <v>45279</v>
      </c>
      <c r="P14" s="4699">
        <f t="shared" ref="P14:P19" si="2">O14-N14</f>
        <v>13</v>
      </c>
      <c r="Q14" s="4693">
        <v>3716548</v>
      </c>
      <c r="R14" s="4694">
        <f>Q14</f>
        <v>3716548</v>
      </c>
      <c r="S14" s="4694">
        <v>0</v>
      </c>
      <c r="T14" s="4694">
        <v>0</v>
      </c>
      <c r="U14" s="4694">
        <f t="shared" ref="U14:U19" si="3">R14+S14+T14</f>
        <v>3716548</v>
      </c>
      <c r="V14" s="1256"/>
      <c r="W14" s="4700" t="s">
        <v>2651</v>
      </c>
      <c r="X14" s="4703">
        <v>45279</v>
      </c>
      <c r="Y14" s="4698"/>
      <c r="Z14" s="4701">
        <v>45306</v>
      </c>
      <c r="AA14" s="4701">
        <f t="shared" ref="AA14:AA19" si="4">+X14+30</f>
        <v>45309</v>
      </c>
      <c r="AB14" s="4699">
        <f t="shared" ref="AB14:AB19" si="5">+AA14-Z14</f>
        <v>3</v>
      </c>
      <c r="AC14" s="4702">
        <f t="shared" ref="AC14:AC23" si="6">U14</f>
        <v>3716548</v>
      </c>
      <c r="AD14" s="4702">
        <f t="shared" ref="AD14:AD23" si="7">(R14+T14)*$AD$12</f>
        <v>557482.19999999995</v>
      </c>
      <c r="AE14" s="4702">
        <f t="shared" ref="AE14:AE20" si="8">+AD14+AC14</f>
        <v>4274030.2</v>
      </c>
      <c r="AF14" s="4702">
        <f>+AE14</f>
        <v>4274030.2</v>
      </c>
      <c r="AG14" s="2842">
        <f>+AC14*1.15</f>
        <v>4274030.1999999993</v>
      </c>
    </row>
    <row r="15" spans="1:33" ht="36">
      <c r="A15" s="4688">
        <v>2</v>
      </c>
      <c r="B15" s="4689" t="s">
        <v>1764</v>
      </c>
      <c r="C15" s="4761">
        <v>45253</v>
      </c>
      <c r="D15" s="4691" t="s">
        <v>2649</v>
      </c>
      <c r="E15" s="4692">
        <v>45279</v>
      </c>
      <c r="F15" s="4762">
        <f t="shared" ref="F15:F32" si="9">+F14+G15</f>
        <v>4171855</v>
      </c>
      <c r="G15" s="4694">
        <v>455307</v>
      </c>
      <c r="H15" s="4694">
        <v>0</v>
      </c>
      <c r="I15" s="4694">
        <v>0</v>
      </c>
      <c r="J15" s="4694">
        <f t="shared" si="0"/>
        <v>455307</v>
      </c>
      <c r="K15" s="4695"/>
      <c r="L15" s="4696">
        <v>2</v>
      </c>
      <c r="M15" s="4697" t="s">
        <v>2650</v>
      </c>
      <c r="N15" s="4701">
        <v>45283</v>
      </c>
      <c r="O15" s="4698">
        <f t="shared" si="1"/>
        <v>45300</v>
      </c>
      <c r="P15" s="4699">
        <f t="shared" si="2"/>
        <v>17</v>
      </c>
      <c r="Q15" s="4762">
        <f t="shared" ref="Q15:Q20" si="10">+Q14+R15</f>
        <v>4171855</v>
      </c>
      <c r="R15" s="4694">
        <v>455307</v>
      </c>
      <c r="S15" s="4694">
        <v>0</v>
      </c>
      <c r="T15" s="4694">
        <v>0</v>
      </c>
      <c r="U15" s="4694">
        <f t="shared" si="3"/>
        <v>455307</v>
      </c>
      <c r="V15" s="1256"/>
      <c r="W15" s="4700" t="s">
        <v>2652</v>
      </c>
      <c r="X15" s="4703">
        <v>45291</v>
      </c>
      <c r="Y15" s="4698"/>
      <c r="Z15" s="4701">
        <v>45309</v>
      </c>
      <c r="AA15" s="4701">
        <f t="shared" si="4"/>
        <v>45321</v>
      </c>
      <c r="AB15" s="4699">
        <f t="shared" si="5"/>
        <v>12</v>
      </c>
      <c r="AC15" s="4702">
        <f t="shared" si="6"/>
        <v>455307</v>
      </c>
      <c r="AD15" s="4702">
        <f t="shared" si="7"/>
        <v>68296.05</v>
      </c>
      <c r="AE15" s="4702">
        <f t="shared" si="8"/>
        <v>523603.05</v>
      </c>
      <c r="AF15" s="4702">
        <f t="shared" ref="AF15:AF23" si="11">+AF14+AE15</f>
        <v>4797633.25</v>
      </c>
    </row>
    <row r="16" spans="1:33" ht="38.25" customHeight="1">
      <c r="A16" s="4688">
        <v>3</v>
      </c>
      <c r="B16" s="4689" t="s">
        <v>1765</v>
      </c>
      <c r="C16" s="4761" t="s">
        <v>2971</v>
      </c>
      <c r="D16" s="4691" t="s">
        <v>2970</v>
      </c>
      <c r="E16" s="4692">
        <v>45483</v>
      </c>
      <c r="F16" s="4762">
        <f t="shared" si="9"/>
        <v>6785336</v>
      </c>
      <c r="G16" s="4694">
        <v>2613481</v>
      </c>
      <c r="H16" s="4694">
        <v>0</v>
      </c>
      <c r="I16" s="4694">
        <v>0</v>
      </c>
      <c r="J16" s="4694">
        <f t="shared" si="0"/>
        <v>2613481</v>
      </c>
      <c r="K16" s="4695"/>
      <c r="L16" s="4696">
        <v>3</v>
      </c>
      <c r="M16" s="4697" t="s">
        <v>2972</v>
      </c>
      <c r="N16" s="4701">
        <v>45512</v>
      </c>
      <c r="O16" s="4698">
        <f t="shared" si="1"/>
        <v>45504</v>
      </c>
      <c r="P16" s="4699">
        <f t="shared" si="2"/>
        <v>-8</v>
      </c>
      <c r="Q16" s="4762">
        <f t="shared" si="10"/>
        <v>6785336</v>
      </c>
      <c r="R16" s="4694">
        <v>2613481</v>
      </c>
      <c r="S16" s="4694">
        <v>0</v>
      </c>
      <c r="T16" s="4694">
        <v>0</v>
      </c>
      <c r="U16" s="4694">
        <f t="shared" si="3"/>
        <v>2613481</v>
      </c>
      <c r="V16" s="1256"/>
      <c r="W16" s="4700" t="s">
        <v>3123</v>
      </c>
      <c r="X16" s="4703">
        <v>45537</v>
      </c>
      <c r="Y16" s="4698"/>
      <c r="Z16" s="4701">
        <v>45553</v>
      </c>
      <c r="AA16" s="4701">
        <f t="shared" si="4"/>
        <v>45567</v>
      </c>
      <c r="AB16" s="4699">
        <f t="shared" si="5"/>
        <v>14</v>
      </c>
      <c r="AC16" s="4702">
        <f t="shared" si="6"/>
        <v>2613481</v>
      </c>
      <c r="AD16" s="4702">
        <f t="shared" si="7"/>
        <v>392022.14999999997</v>
      </c>
      <c r="AE16" s="4702">
        <f t="shared" si="8"/>
        <v>3005503.15</v>
      </c>
      <c r="AF16" s="4702">
        <f t="shared" si="11"/>
        <v>7803136.4000000004</v>
      </c>
    </row>
    <row r="17" spans="1:32" ht="35.25" customHeight="1">
      <c r="A17" s="4688">
        <v>4</v>
      </c>
      <c r="B17" s="4689" t="s">
        <v>1766</v>
      </c>
      <c r="C17" s="4761">
        <v>45497</v>
      </c>
      <c r="D17" s="4691" t="s">
        <v>3125</v>
      </c>
      <c r="E17" s="4692">
        <v>45550</v>
      </c>
      <c r="F17" s="4762">
        <f t="shared" si="9"/>
        <v>7225208</v>
      </c>
      <c r="G17" s="4694">
        <v>439872</v>
      </c>
      <c r="H17" s="4694">
        <v>0</v>
      </c>
      <c r="I17" s="4694">
        <v>0</v>
      </c>
      <c r="J17" s="4694">
        <f t="shared" si="0"/>
        <v>439872</v>
      </c>
      <c r="K17" s="4695"/>
      <c r="L17" s="4696">
        <v>4</v>
      </c>
      <c r="M17" s="4697" t="s">
        <v>3124</v>
      </c>
      <c r="N17" s="4701">
        <v>45560</v>
      </c>
      <c r="O17" s="4698">
        <f t="shared" si="1"/>
        <v>45571</v>
      </c>
      <c r="P17" s="4699">
        <f t="shared" si="2"/>
        <v>11</v>
      </c>
      <c r="Q17" s="4762">
        <f t="shared" si="10"/>
        <v>7225208</v>
      </c>
      <c r="R17" s="4694">
        <v>439872</v>
      </c>
      <c r="S17" s="4694">
        <v>0</v>
      </c>
      <c r="T17" s="4694">
        <v>0</v>
      </c>
      <c r="U17" s="4694">
        <f t="shared" si="3"/>
        <v>439872</v>
      </c>
      <c r="V17" s="1256"/>
      <c r="W17" s="4700" t="s">
        <v>3462</v>
      </c>
      <c r="X17" s="4703">
        <v>45621</v>
      </c>
      <c r="Y17" s="4698"/>
      <c r="Z17" s="4701">
        <v>45635</v>
      </c>
      <c r="AA17" s="4701">
        <f t="shared" si="4"/>
        <v>45651</v>
      </c>
      <c r="AB17" s="4699">
        <f t="shared" si="5"/>
        <v>16</v>
      </c>
      <c r="AC17" s="4702">
        <f t="shared" si="6"/>
        <v>439872</v>
      </c>
      <c r="AD17" s="4702">
        <f t="shared" si="7"/>
        <v>65980.800000000003</v>
      </c>
      <c r="AE17" s="4702">
        <f t="shared" si="8"/>
        <v>505852.8</v>
      </c>
      <c r="AF17" s="4702">
        <f t="shared" si="11"/>
        <v>8308989.2000000002</v>
      </c>
    </row>
    <row r="18" spans="1:32" ht="39" customHeight="1">
      <c r="A18" s="4688">
        <v>5</v>
      </c>
      <c r="B18" s="4689" t="s">
        <v>1767</v>
      </c>
      <c r="C18" s="4761">
        <v>45528</v>
      </c>
      <c r="D18" s="4691" t="s">
        <v>3126</v>
      </c>
      <c r="E18" s="4692">
        <v>45566</v>
      </c>
      <c r="F18" s="4762">
        <f t="shared" si="9"/>
        <v>7661576</v>
      </c>
      <c r="G18" s="4694">
        <v>436368</v>
      </c>
      <c r="H18" s="4694">
        <v>0</v>
      </c>
      <c r="I18" s="4694">
        <v>0</v>
      </c>
      <c r="J18" s="4694">
        <f t="shared" si="0"/>
        <v>436368</v>
      </c>
      <c r="K18" s="4695"/>
      <c r="L18" s="4696">
        <v>5</v>
      </c>
      <c r="M18" s="4697" t="s">
        <v>3127</v>
      </c>
      <c r="N18" s="4701">
        <v>45571</v>
      </c>
      <c r="O18" s="4698">
        <f t="shared" si="1"/>
        <v>45587</v>
      </c>
      <c r="P18" s="4699">
        <f t="shared" si="2"/>
        <v>16</v>
      </c>
      <c r="Q18" s="4762">
        <f t="shared" si="10"/>
        <v>7661576</v>
      </c>
      <c r="R18" s="4694">
        <v>436368</v>
      </c>
      <c r="S18" s="4694">
        <v>0</v>
      </c>
      <c r="T18" s="4694">
        <v>0</v>
      </c>
      <c r="U18" s="4694">
        <f t="shared" si="3"/>
        <v>436368</v>
      </c>
      <c r="V18" s="1256"/>
      <c r="W18" s="4700" t="s">
        <v>3463</v>
      </c>
      <c r="X18" s="4703">
        <v>45621</v>
      </c>
      <c r="Y18" s="4698"/>
      <c r="Z18" s="4701">
        <v>45635</v>
      </c>
      <c r="AA18" s="4701">
        <f t="shared" si="4"/>
        <v>45651</v>
      </c>
      <c r="AB18" s="4699">
        <f t="shared" si="5"/>
        <v>16</v>
      </c>
      <c r="AC18" s="4702">
        <f t="shared" si="6"/>
        <v>436368</v>
      </c>
      <c r="AD18" s="4702">
        <f t="shared" si="7"/>
        <v>65455.199999999997</v>
      </c>
      <c r="AE18" s="4702">
        <f t="shared" si="8"/>
        <v>501823.2</v>
      </c>
      <c r="AF18" s="4702">
        <f t="shared" si="11"/>
        <v>8810812.4000000004</v>
      </c>
    </row>
    <row r="19" spans="1:32" ht="36" customHeight="1">
      <c r="A19" s="4688">
        <v>6</v>
      </c>
      <c r="B19" s="4689" t="s">
        <v>1768</v>
      </c>
      <c r="C19" s="4761">
        <v>45559</v>
      </c>
      <c r="D19" s="4691" t="s">
        <v>3370</v>
      </c>
      <c r="E19" s="4692">
        <v>45581</v>
      </c>
      <c r="F19" s="4762">
        <f t="shared" si="9"/>
        <v>8065428</v>
      </c>
      <c r="G19" s="4694">
        <v>403852</v>
      </c>
      <c r="H19" s="4694">
        <v>0</v>
      </c>
      <c r="I19" s="4694">
        <v>0</v>
      </c>
      <c r="J19" s="4694">
        <f t="shared" si="0"/>
        <v>403852</v>
      </c>
      <c r="K19" s="4695"/>
      <c r="L19" s="4696">
        <v>6</v>
      </c>
      <c r="M19" s="4697" t="s">
        <v>3371</v>
      </c>
      <c r="N19" s="4701">
        <v>45603</v>
      </c>
      <c r="O19" s="4698">
        <f t="shared" si="1"/>
        <v>45602</v>
      </c>
      <c r="P19" s="4699">
        <f t="shared" si="2"/>
        <v>-1</v>
      </c>
      <c r="Q19" s="4762">
        <f t="shared" si="10"/>
        <v>8051162</v>
      </c>
      <c r="R19" s="4694">
        <v>389586</v>
      </c>
      <c r="S19" s="4694">
        <v>0</v>
      </c>
      <c r="T19" s="4694">
        <v>0</v>
      </c>
      <c r="U19" s="4694">
        <f t="shared" si="3"/>
        <v>389586</v>
      </c>
      <c r="V19" s="1256"/>
      <c r="W19" s="4700"/>
      <c r="X19" s="4703">
        <v>45644</v>
      </c>
      <c r="Y19" s="4698"/>
      <c r="Z19" s="4703">
        <v>45644</v>
      </c>
      <c r="AA19" s="4701">
        <f t="shared" si="4"/>
        <v>45674</v>
      </c>
      <c r="AB19" s="4699">
        <f t="shared" si="5"/>
        <v>30</v>
      </c>
      <c r="AC19" s="4702">
        <f t="shared" si="6"/>
        <v>389586</v>
      </c>
      <c r="AD19" s="4702">
        <f t="shared" si="7"/>
        <v>58437.9</v>
      </c>
      <c r="AE19" s="4702">
        <f t="shared" si="8"/>
        <v>448023.9</v>
      </c>
      <c r="AF19" s="4702">
        <f t="shared" si="11"/>
        <v>9258836.3000000007</v>
      </c>
    </row>
    <row r="20" spans="1:32" ht="36">
      <c r="A20" s="4688">
        <v>7</v>
      </c>
      <c r="B20" s="4689" t="s">
        <v>1769</v>
      </c>
      <c r="C20" s="4761">
        <v>45589</v>
      </c>
      <c r="D20" s="4691" t="s">
        <v>3978</v>
      </c>
      <c r="E20" s="4692">
        <v>45635</v>
      </c>
      <c r="F20" s="4762">
        <f t="shared" si="9"/>
        <v>8540377</v>
      </c>
      <c r="G20" s="4694">
        <v>474949</v>
      </c>
      <c r="H20" s="4694">
        <v>0</v>
      </c>
      <c r="I20" s="4694">
        <v>0</v>
      </c>
      <c r="J20" s="4694">
        <f t="shared" ref="J20:J27" si="12">G20+H20+I20</f>
        <v>474949</v>
      </c>
      <c r="K20" s="4695"/>
      <c r="L20" s="4696">
        <v>7</v>
      </c>
      <c r="M20" s="4697" t="s">
        <v>3977</v>
      </c>
      <c r="N20" s="4701">
        <v>45719</v>
      </c>
      <c r="O20" s="4698">
        <f t="shared" ref="O20:O31" si="13">E20+21</f>
        <v>45656</v>
      </c>
      <c r="P20" s="4699">
        <f t="shared" ref="P20:P31" si="14">O20-N20</f>
        <v>-63</v>
      </c>
      <c r="Q20" s="4762">
        <f t="shared" si="10"/>
        <v>8526111</v>
      </c>
      <c r="R20" s="4694">
        <v>474949</v>
      </c>
      <c r="S20" s="4694">
        <v>0</v>
      </c>
      <c r="T20" s="4694">
        <v>0</v>
      </c>
      <c r="U20" s="4694">
        <f t="shared" ref="U20:U28" si="15">R20+S20+T20</f>
        <v>474949</v>
      </c>
      <c r="V20" s="1256"/>
      <c r="W20" s="4700" t="s">
        <v>4211</v>
      </c>
      <c r="X20" s="4703">
        <v>45728</v>
      </c>
      <c r="Y20" s="4698"/>
      <c r="Z20" s="4701">
        <v>45768</v>
      </c>
      <c r="AA20" s="4701">
        <f t="shared" ref="AA20:AA28" si="16">+X20+30</f>
        <v>45758</v>
      </c>
      <c r="AB20" s="4699">
        <f t="shared" ref="AB20:AB25" si="17">+AA20-Z20</f>
        <v>-10</v>
      </c>
      <c r="AC20" s="4702">
        <f t="shared" si="6"/>
        <v>474949</v>
      </c>
      <c r="AD20" s="4702">
        <f t="shared" si="7"/>
        <v>71242.349999999991</v>
      </c>
      <c r="AE20" s="4702">
        <f t="shared" si="8"/>
        <v>546191.35</v>
      </c>
      <c r="AF20" s="4702">
        <f t="shared" si="11"/>
        <v>9805027.6500000004</v>
      </c>
    </row>
    <row r="21" spans="1:32" ht="36">
      <c r="A21" s="4688">
        <v>8</v>
      </c>
      <c r="B21" s="4689" t="s">
        <v>1770</v>
      </c>
      <c r="C21" s="4690" t="s">
        <v>4343</v>
      </c>
      <c r="D21" s="4691" t="s">
        <v>4344</v>
      </c>
      <c r="E21" s="4692">
        <v>45763</v>
      </c>
      <c r="F21" s="4762">
        <f t="shared" si="9"/>
        <v>10429066</v>
      </c>
      <c r="G21" s="4694">
        <v>1888689</v>
      </c>
      <c r="H21" s="4694">
        <v>0</v>
      </c>
      <c r="I21" s="4694">
        <v>0</v>
      </c>
      <c r="J21" s="4694">
        <f t="shared" si="12"/>
        <v>1888689</v>
      </c>
      <c r="K21" s="4695"/>
      <c r="L21" s="4696">
        <v>8</v>
      </c>
      <c r="M21" s="4697" t="s">
        <v>4342</v>
      </c>
      <c r="N21" s="4701">
        <v>45775</v>
      </c>
      <c r="O21" s="4698">
        <f t="shared" si="13"/>
        <v>45784</v>
      </c>
      <c r="P21" s="4699">
        <f t="shared" si="14"/>
        <v>9</v>
      </c>
      <c r="Q21" s="4762">
        <f t="shared" ref="Q21:Q31" si="18">+Q20+R21</f>
        <v>10414800</v>
      </c>
      <c r="R21" s="4694">
        <v>1888689</v>
      </c>
      <c r="S21" s="4694">
        <v>0</v>
      </c>
      <c r="T21" s="4694">
        <v>0</v>
      </c>
      <c r="U21" s="4694">
        <f t="shared" si="15"/>
        <v>1888689</v>
      </c>
      <c r="V21" s="1256"/>
      <c r="W21" s="4700" t="s">
        <v>4345</v>
      </c>
      <c r="X21" s="4703">
        <v>45783</v>
      </c>
      <c r="Y21" s="4698"/>
      <c r="Z21" s="4701">
        <v>45818</v>
      </c>
      <c r="AA21" s="4701">
        <f t="shared" si="16"/>
        <v>45813</v>
      </c>
      <c r="AB21" s="4699">
        <f t="shared" si="17"/>
        <v>-5</v>
      </c>
      <c r="AC21" s="4702">
        <f t="shared" si="6"/>
        <v>1888689</v>
      </c>
      <c r="AD21" s="4702">
        <f t="shared" si="7"/>
        <v>283303.34999999998</v>
      </c>
      <c r="AE21" s="4702">
        <f t="shared" ref="AE21:AE29" si="19">+AD21+AC21</f>
        <v>2171992.35</v>
      </c>
      <c r="AF21" s="4702">
        <f t="shared" si="11"/>
        <v>11977020</v>
      </c>
    </row>
    <row r="22" spans="1:32" ht="36">
      <c r="A22" s="4688">
        <v>9</v>
      </c>
      <c r="B22" s="4689" t="s">
        <v>1771</v>
      </c>
      <c r="C22" s="4761">
        <v>45748</v>
      </c>
      <c r="D22" s="4691" t="s">
        <v>4346</v>
      </c>
      <c r="E22" s="4692">
        <v>45784</v>
      </c>
      <c r="F22" s="4762">
        <f t="shared" si="9"/>
        <v>10855492</v>
      </c>
      <c r="G22" s="4694">
        <v>426426</v>
      </c>
      <c r="H22" s="4694">
        <v>0</v>
      </c>
      <c r="I22" s="4694">
        <v>0</v>
      </c>
      <c r="J22" s="4694">
        <f t="shared" si="12"/>
        <v>426426</v>
      </c>
      <c r="K22" s="4695"/>
      <c r="L22" s="4696">
        <v>9</v>
      </c>
      <c r="M22" s="4697" t="s">
        <v>4347</v>
      </c>
      <c r="N22" s="4701">
        <v>45790</v>
      </c>
      <c r="O22" s="4698">
        <f t="shared" si="13"/>
        <v>45805</v>
      </c>
      <c r="P22" s="4699">
        <f t="shared" si="14"/>
        <v>15</v>
      </c>
      <c r="Q22" s="4762">
        <f t="shared" si="18"/>
        <v>10841226</v>
      </c>
      <c r="R22" s="4694">
        <v>426426</v>
      </c>
      <c r="S22" s="4694">
        <v>0</v>
      </c>
      <c r="T22" s="4694">
        <v>0</v>
      </c>
      <c r="U22" s="4694">
        <f t="shared" si="15"/>
        <v>426426</v>
      </c>
      <c r="V22" s="1256"/>
      <c r="W22" s="4700" t="s">
        <v>4348</v>
      </c>
      <c r="X22" s="4703">
        <v>45797</v>
      </c>
      <c r="Y22" s="4698"/>
      <c r="Z22" s="4701">
        <v>45838</v>
      </c>
      <c r="AA22" s="4701">
        <f t="shared" si="16"/>
        <v>45827</v>
      </c>
      <c r="AB22" s="4699">
        <f t="shared" si="17"/>
        <v>-11</v>
      </c>
      <c r="AC22" s="4702">
        <f t="shared" si="6"/>
        <v>426426</v>
      </c>
      <c r="AD22" s="4702">
        <f t="shared" si="7"/>
        <v>63963.899999999994</v>
      </c>
      <c r="AE22" s="4702">
        <f t="shared" si="19"/>
        <v>490389.9</v>
      </c>
      <c r="AF22" s="4702">
        <f t="shared" si="11"/>
        <v>12467409.9</v>
      </c>
    </row>
    <row r="23" spans="1:32" ht="36">
      <c r="A23" s="4688">
        <v>10</v>
      </c>
      <c r="B23" s="4689" t="s">
        <v>1626</v>
      </c>
      <c r="C23" s="4761">
        <v>45778</v>
      </c>
      <c r="D23" s="4691" t="s">
        <v>4423</v>
      </c>
      <c r="E23" s="4692">
        <v>45829</v>
      </c>
      <c r="F23" s="4762">
        <f t="shared" si="9"/>
        <v>11282073</v>
      </c>
      <c r="G23" s="4694">
        <v>426581</v>
      </c>
      <c r="H23" s="4694">
        <v>0</v>
      </c>
      <c r="I23" s="4694">
        <v>0</v>
      </c>
      <c r="J23" s="4694">
        <f t="shared" si="12"/>
        <v>426581</v>
      </c>
      <c r="K23" s="4695"/>
      <c r="L23" s="4696">
        <v>10</v>
      </c>
      <c r="M23" s="4697" t="s">
        <v>4422</v>
      </c>
      <c r="N23" s="4701">
        <v>45840</v>
      </c>
      <c r="O23" s="4698">
        <f t="shared" si="13"/>
        <v>45850</v>
      </c>
      <c r="P23" s="4699">
        <f t="shared" si="14"/>
        <v>10</v>
      </c>
      <c r="Q23" s="4762">
        <f t="shared" si="18"/>
        <v>11267807</v>
      </c>
      <c r="R23" s="4694">
        <v>426581</v>
      </c>
      <c r="S23" s="4694">
        <v>0</v>
      </c>
      <c r="T23" s="4694">
        <v>0</v>
      </c>
      <c r="U23" s="4694">
        <f t="shared" si="15"/>
        <v>426581</v>
      </c>
      <c r="V23" s="1256"/>
      <c r="W23" s="4700" t="s">
        <v>4495</v>
      </c>
      <c r="X23" s="4703">
        <v>45851</v>
      </c>
      <c r="Y23" s="4698"/>
      <c r="Z23" s="4701">
        <v>45869</v>
      </c>
      <c r="AA23" s="4701">
        <f t="shared" si="16"/>
        <v>45881</v>
      </c>
      <c r="AB23" s="4699">
        <f t="shared" si="17"/>
        <v>12</v>
      </c>
      <c r="AC23" s="4702">
        <f t="shared" si="6"/>
        <v>426581</v>
      </c>
      <c r="AD23" s="4702">
        <f t="shared" si="7"/>
        <v>63987.149999999994</v>
      </c>
      <c r="AE23" s="4702">
        <f t="shared" si="19"/>
        <v>490568.15</v>
      </c>
      <c r="AF23" s="4702">
        <f t="shared" si="11"/>
        <v>12957978.050000001</v>
      </c>
    </row>
    <row r="24" spans="1:32" ht="36">
      <c r="A24" s="4688">
        <v>11</v>
      </c>
      <c r="B24" s="4689" t="s">
        <v>1628</v>
      </c>
      <c r="C24" s="4761">
        <v>45809</v>
      </c>
      <c r="D24" s="4691" t="s">
        <v>4496</v>
      </c>
      <c r="E24" s="4692">
        <v>45854</v>
      </c>
      <c r="F24" s="4762">
        <f t="shared" si="9"/>
        <v>11561029</v>
      </c>
      <c r="G24" s="4694">
        <v>278956</v>
      </c>
      <c r="H24" s="4694">
        <v>0</v>
      </c>
      <c r="I24" s="4694">
        <v>0</v>
      </c>
      <c r="J24" s="4694">
        <f t="shared" si="12"/>
        <v>278956</v>
      </c>
      <c r="K24" s="4695"/>
      <c r="L24" s="4696">
        <v>11</v>
      </c>
      <c r="M24" s="4697" t="s">
        <v>4560</v>
      </c>
      <c r="N24" s="4701">
        <v>45874</v>
      </c>
      <c r="O24" s="4698">
        <f t="shared" si="13"/>
        <v>45875</v>
      </c>
      <c r="P24" s="4699">
        <f t="shared" si="14"/>
        <v>1</v>
      </c>
      <c r="Q24" s="4762">
        <f t="shared" si="18"/>
        <v>11546763</v>
      </c>
      <c r="R24" s="4694">
        <v>278956</v>
      </c>
      <c r="S24" s="4694">
        <v>0</v>
      </c>
      <c r="T24" s="4694">
        <v>0</v>
      </c>
      <c r="U24" s="4694">
        <f t="shared" si="15"/>
        <v>278956</v>
      </c>
      <c r="V24" s="1256"/>
      <c r="W24" s="4700" t="s">
        <v>4667</v>
      </c>
      <c r="X24" s="4703">
        <v>45886</v>
      </c>
      <c r="Y24" s="4698"/>
      <c r="Z24" s="4701">
        <v>45869</v>
      </c>
      <c r="AA24" s="4701">
        <f t="shared" si="16"/>
        <v>45916</v>
      </c>
      <c r="AB24" s="4699">
        <f t="shared" si="17"/>
        <v>47</v>
      </c>
      <c r="AC24" s="4702">
        <f t="shared" ref="AC24:AC29" si="20">U24</f>
        <v>278956</v>
      </c>
      <c r="AD24" s="4702">
        <f t="shared" ref="AD24:AD29" si="21">(R24+T24)*$AD$12</f>
        <v>41843.4</v>
      </c>
      <c r="AE24" s="4702">
        <f t="shared" si="19"/>
        <v>320799.40000000002</v>
      </c>
      <c r="AF24" s="4702">
        <f t="shared" ref="AF24:AF29" si="22">+AF23+AE24</f>
        <v>13278777.450000001</v>
      </c>
    </row>
    <row r="25" spans="1:32" ht="36">
      <c r="A25" s="4688">
        <v>12</v>
      </c>
      <c r="B25" s="4689" t="s">
        <v>1630</v>
      </c>
      <c r="C25" s="4761">
        <v>45863</v>
      </c>
      <c r="D25" s="4691" t="s">
        <v>4668</v>
      </c>
      <c r="E25" s="4692">
        <v>45890</v>
      </c>
      <c r="F25" s="4762">
        <f t="shared" si="9"/>
        <v>11962844</v>
      </c>
      <c r="G25" s="4762">
        <v>401815</v>
      </c>
      <c r="H25" s="4694">
        <v>0</v>
      </c>
      <c r="I25" s="4694">
        <v>0</v>
      </c>
      <c r="J25" s="4694">
        <f t="shared" si="12"/>
        <v>401815</v>
      </c>
      <c r="K25" s="4695"/>
      <c r="L25" s="4696">
        <v>12</v>
      </c>
      <c r="M25" s="4697" t="s">
        <v>4829</v>
      </c>
      <c r="N25" s="4701">
        <v>45900</v>
      </c>
      <c r="O25" s="4698">
        <f t="shared" si="13"/>
        <v>45911</v>
      </c>
      <c r="P25" s="4699">
        <f t="shared" si="14"/>
        <v>11</v>
      </c>
      <c r="Q25" s="4762">
        <f t="shared" si="18"/>
        <v>11967085</v>
      </c>
      <c r="R25" s="4694">
        <v>420322</v>
      </c>
      <c r="S25" s="4694">
        <v>0</v>
      </c>
      <c r="T25" s="4694">
        <v>0</v>
      </c>
      <c r="U25" s="4694">
        <f t="shared" si="15"/>
        <v>420322</v>
      </c>
      <c r="V25" s="1256"/>
      <c r="W25" s="4700" t="s">
        <v>4898</v>
      </c>
      <c r="X25" s="4703">
        <v>45915</v>
      </c>
      <c r="Y25" s="4698"/>
      <c r="Z25" s="4701">
        <v>45932</v>
      </c>
      <c r="AA25" s="4701">
        <f t="shared" si="16"/>
        <v>45945</v>
      </c>
      <c r="AB25" s="4699">
        <f t="shared" si="17"/>
        <v>13</v>
      </c>
      <c r="AC25" s="4702">
        <f t="shared" si="20"/>
        <v>420322</v>
      </c>
      <c r="AD25" s="4702">
        <f t="shared" si="21"/>
        <v>63048.299999999996</v>
      </c>
      <c r="AE25" s="4702">
        <f t="shared" si="19"/>
        <v>483370.3</v>
      </c>
      <c r="AF25" s="4702">
        <f t="shared" si="22"/>
        <v>13762147.750000002</v>
      </c>
    </row>
    <row r="26" spans="1:32" ht="36">
      <c r="A26" s="4688">
        <v>13</v>
      </c>
      <c r="B26" s="4689" t="s">
        <v>1632</v>
      </c>
      <c r="C26" s="4761">
        <v>45864</v>
      </c>
      <c r="D26" s="4691" t="s">
        <v>4827</v>
      </c>
      <c r="E26" s="4692">
        <v>45908</v>
      </c>
      <c r="F26" s="4762">
        <f t="shared" si="9"/>
        <v>12377119</v>
      </c>
      <c r="G26" s="4762">
        <v>414275</v>
      </c>
      <c r="H26" s="4762">
        <v>0</v>
      </c>
      <c r="I26" s="4762">
        <v>0</v>
      </c>
      <c r="J26" s="4762">
        <f t="shared" si="12"/>
        <v>414275</v>
      </c>
      <c r="K26" s="4695"/>
      <c r="L26" s="4696">
        <v>13</v>
      </c>
      <c r="M26" s="4697" t="s">
        <v>4828</v>
      </c>
      <c r="N26" s="4701">
        <v>45914</v>
      </c>
      <c r="O26" s="4698">
        <f t="shared" si="13"/>
        <v>45929</v>
      </c>
      <c r="P26" s="4699">
        <f t="shared" si="14"/>
        <v>15</v>
      </c>
      <c r="Q26" s="4762">
        <f t="shared" si="18"/>
        <v>12381360</v>
      </c>
      <c r="R26" s="4694">
        <v>414275</v>
      </c>
      <c r="S26" s="4694">
        <v>0</v>
      </c>
      <c r="T26" s="4694">
        <v>0</v>
      </c>
      <c r="U26" s="4694">
        <f t="shared" si="15"/>
        <v>414275</v>
      </c>
      <c r="V26" s="1256"/>
      <c r="W26" s="4700" t="s">
        <v>4898</v>
      </c>
      <c r="X26" s="4703">
        <v>45928</v>
      </c>
      <c r="Y26" s="4698"/>
      <c r="Z26" s="4701"/>
      <c r="AA26" s="4701">
        <f t="shared" si="16"/>
        <v>45958</v>
      </c>
      <c r="AB26" s="4699"/>
      <c r="AC26" s="4702">
        <f t="shared" si="20"/>
        <v>414275</v>
      </c>
      <c r="AD26" s="4702">
        <f t="shared" si="21"/>
        <v>62141.25</v>
      </c>
      <c r="AE26" s="4702">
        <f t="shared" si="19"/>
        <v>476416.25</v>
      </c>
      <c r="AF26" s="4702">
        <f t="shared" si="22"/>
        <v>14238564.000000002</v>
      </c>
    </row>
    <row r="27" spans="1:32" ht="36">
      <c r="A27" s="4688">
        <v>14</v>
      </c>
      <c r="B27" s="4689" t="s">
        <v>1634</v>
      </c>
      <c r="C27" s="4761">
        <v>45901</v>
      </c>
      <c r="D27" s="4691" t="s">
        <v>4735</v>
      </c>
      <c r="E27" s="4692">
        <v>45921</v>
      </c>
      <c r="F27" s="4762">
        <f t="shared" si="9"/>
        <v>12738341</v>
      </c>
      <c r="G27" s="4762">
        <v>361222</v>
      </c>
      <c r="H27" s="4694">
        <v>0</v>
      </c>
      <c r="I27" s="4694">
        <v>0</v>
      </c>
      <c r="J27" s="4694">
        <f t="shared" si="12"/>
        <v>361222</v>
      </c>
      <c r="K27" s="4695"/>
      <c r="L27" s="4696">
        <v>14</v>
      </c>
      <c r="M27" s="4697" t="s">
        <v>4736</v>
      </c>
      <c r="N27" s="4701">
        <v>45925</v>
      </c>
      <c r="O27" s="4698">
        <f t="shared" si="13"/>
        <v>45942</v>
      </c>
      <c r="P27" s="4699">
        <f t="shared" si="14"/>
        <v>17</v>
      </c>
      <c r="Q27" s="4762">
        <f t="shared" si="18"/>
        <v>12742582</v>
      </c>
      <c r="R27" s="4694">
        <v>361222</v>
      </c>
      <c r="S27" s="4694">
        <v>0</v>
      </c>
      <c r="T27" s="4694">
        <v>0</v>
      </c>
      <c r="U27" s="4694">
        <f t="shared" si="15"/>
        <v>361222</v>
      </c>
      <c r="V27" s="1256"/>
      <c r="W27" s="4700" t="s">
        <v>4774</v>
      </c>
      <c r="X27" s="4698">
        <v>45935</v>
      </c>
      <c r="Y27" s="4698"/>
      <c r="Z27" s="4701"/>
      <c r="AA27" s="4701">
        <f t="shared" si="16"/>
        <v>45965</v>
      </c>
      <c r="AB27" s="4699"/>
      <c r="AC27" s="4702">
        <f t="shared" si="20"/>
        <v>361222</v>
      </c>
      <c r="AD27" s="4702">
        <f t="shared" si="21"/>
        <v>54183.299999999996</v>
      </c>
      <c r="AE27" s="4702">
        <f t="shared" si="19"/>
        <v>415405.3</v>
      </c>
      <c r="AF27" s="4702">
        <f t="shared" si="22"/>
        <v>14653969.300000003</v>
      </c>
    </row>
    <row r="28" spans="1:32" ht="36">
      <c r="A28" s="4688">
        <v>15</v>
      </c>
      <c r="B28" s="4689" t="s">
        <v>1636</v>
      </c>
      <c r="C28" s="4761">
        <v>45931</v>
      </c>
      <c r="D28" s="4691" t="s">
        <v>5162</v>
      </c>
      <c r="E28" s="4692">
        <v>45970</v>
      </c>
      <c r="F28" s="4762">
        <f t="shared" si="9"/>
        <v>13137229</v>
      </c>
      <c r="G28" s="4694">
        <v>398888</v>
      </c>
      <c r="H28" s="4694">
        <v>0</v>
      </c>
      <c r="I28" s="4694">
        <v>0</v>
      </c>
      <c r="J28" s="4694">
        <f>G28+H28+I28</f>
        <v>398888</v>
      </c>
      <c r="K28" s="4695"/>
      <c r="L28" s="4696">
        <v>15</v>
      </c>
      <c r="M28" s="4697" t="s">
        <v>5163</v>
      </c>
      <c r="N28" s="4701">
        <v>45979</v>
      </c>
      <c r="O28" s="4698">
        <f t="shared" si="13"/>
        <v>45991</v>
      </c>
      <c r="P28" s="4699">
        <f t="shared" si="14"/>
        <v>12</v>
      </c>
      <c r="Q28" s="4762">
        <f t="shared" si="18"/>
        <v>13141470</v>
      </c>
      <c r="R28" s="4694">
        <v>398888</v>
      </c>
      <c r="S28" s="4694">
        <v>0</v>
      </c>
      <c r="T28" s="4694">
        <v>0</v>
      </c>
      <c r="U28" s="4694">
        <f t="shared" si="15"/>
        <v>398888</v>
      </c>
      <c r="V28" s="1256"/>
      <c r="W28" s="4700" t="s">
        <v>5497</v>
      </c>
      <c r="X28" s="4698">
        <v>45998</v>
      </c>
      <c r="Y28" s="4698"/>
      <c r="Z28" s="4701"/>
      <c r="AA28" s="4701">
        <f t="shared" si="16"/>
        <v>46028</v>
      </c>
      <c r="AB28" s="4699"/>
      <c r="AC28" s="4702">
        <f t="shared" si="20"/>
        <v>398888</v>
      </c>
      <c r="AD28" s="4702">
        <f t="shared" si="21"/>
        <v>59833.2</v>
      </c>
      <c r="AE28" s="4702">
        <f t="shared" si="19"/>
        <v>458721.2</v>
      </c>
      <c r="AF28" s="4702">
        <f t="shared" si="22"/>
        <v>15112690.500000002</v>
      </c>
    </row>
    <row r="29" spans="1:32" ht="36">
      <c r="A29" s="4688">
        <v>16</v>
      </c>
      <c r="B29" s="4689" t="s">
        <v>1638</v>
      </c>
      <c r="C29" s="4761">
        <v>45962</v>
      </c>
      <c r="D29" s="4691" t="s">
        <v>5491</v>
      </c>
      <c r="E29" s="4692">
        <v>46000</v>
      </c>
      <c r="F29" s="4762">
        <f t="shared" si="9"/>
        <v>13483381</v>
      </c>
      <c r="G29" s="4762">
        <v>346152</v>
      </c>
      <c r="H29" s="4694">
        <v>0</v>
      </c>
      <c r="I29" s="4694">
        <v>0</v>
      </c>
      <c r="J29" s="4694">
        <f>G29+H29+I29</f>
        <v>346152</v>
      </c>
      <c r="K29" s="4695"/>
      <c r="L29" s="4696">
        <v>16</v>
      </c>
      <c r="M29" s="4697" t="s">
        <v>5492</v>
      </c>
      <c r="N29" s="4701">
        <v>46006</v>
      </c>
      <c r="O29" s="4698">
        <f t="shared" si="13"/>
        <v>46021</v>
      </c>
      <c r="P29" s="4699">
        <f t="shared" si="14"/>
        <v>15</v>
      </c>
      <c r="Q29" s="4762">
        <f t="shared" si="18"/>
        <v>13487622</v>
      </c>
      <c r="R29" s="4694">
        <v>346152</v>
      </c>
      <c r="S29" s="4694">
        <v>0</v>
      </c>
      <c r="T29" s="4694">
        <v>0</v>
      </c>
      <c r="U29" s="4694">
        <f t="shared" ref="U29" si="23">R29+S29+T29</f>
        <v>346152</v>
      </c>
      <c r="V29" s="1256"/>
      <c r="W29" s="4700" t="s">
        <v>5498</v>
      </c>
      <c r="X29" s="4698">
        <v>46019</v>
      </c>
      <c r="Y29" s="4698"/>
      <c r="Z29" s="4701"/>
      <c r="AA29" s="4701">
        <f t="shared" ref="AA29" si="24">+X29+30</f>
        <v>46049</v>
      </c>
      <c r="AB29" s="4699"/>
      <c r="AC29" s="4702">
        <f t="shared" si="20"/>
        <v>346152</v>
      </c>
      <c r="AD29" s="4702">
        <f t="shared" si="21"/>
        <v>51922.799999999996</v>
      </c>
      <c r="AE29" s="4702">
        <f t="shared" si="19"/>
        <v>398074.8</v>
      </c>
      <c r="AF29" s="4702">
        <f t="shared" si="22"/>
        <v>15510765.300000003</v>
      </c>
    </row>
    <row r="30" spans="1:32" ht="36">
      <c r="A30" s="4688">
        <v>17</v>
      </c>
      <c r="B30" s="4689" t="s">
        <v>1641</v>
      </c>
      <c r="C30" s="4761">
        <v>45992</v>
      </c>
      <c r="D30" s="4691" t="s">
        <v>5493</v>
      </c>
      <c r="E30" s="4692">
        <v>46029</v>
      </c>
      <c r="F30" s="4762">
        <f t="shared" si="9"/>
        <v>13709566</v>
      </c>
      <c r="G30" s="4694">
        <v>226185</v>
      </c>
      <c r="H30" s="4694">
        <v>0</v>
      </c>
      <c r="I30" s="4694">
        <v>0</v>
      </c>
      <c r="J30" s="4694">
        <f>G30+H30+I30</f>
        <v>226185</v>
      </c>
      <c r="K30" s="4695"/>
      <c r="L30" s="4696">
        <v>17</v>
      </c>
      <c r="M30" s="4697" t="s">
        <v>5494</v>
      </c>
      <c r="N30" s="4701">
        <v>46057</v>
      </c>
      <c r="O30" s="4698">
        <f t="shared" si="13"/>
        <v>46050</v>
      </c>
      <c r="P30" s="4699">
        <f t="shared" si="14"/>
        <v>-7</v>
      </c>
      <c r="Q30" s="4762">
        <f t="shared" si="18"/>
        <v>13713807</v>
      </c>
      <c r="R30" s="4694">
        <v>226185</v>
      </c>
      <c r="S30" s="4694">
        <v>0</v>
      </c>
      <c r="T30" s="4694">
        <v>0</v>
      </c>
      <c r="U30" s="4694">
        <f t="shared" ref="U30" si="25">R30+S30+T30</f>
        <v>226185</v>
      </c>
      <c r="V30" s="1256"/>
      <c r="W30" s="4399" t="s">
        <v>5499</v>
      </c>
      <c r="X30" s="4401">
        <v>46079</v>
      </c>
      <c r="Y30" s="1323"/>
      <c r="Z30" s="4402"/>
      <c r="AA30" s="4402">
        <f t="shared" ref="AA30:AA31" si="26">+X30+30</f>
        <v>46109</v>
      </c>
      <c r="AB30" s="4406"/>
      <c r="AC30" s="4404"/>
      <c r="AD30" s="4404"/>
      <c r="AE30" s="4404"/>
      <c r="AF30" s="4404"/>
    </row>
    <row r="31" spans="1:32" ht="36">
      <c r="A31" s="4688">
        <v>18</v>
      </c>
      <c r="B31" s="4689" t="s">
        <v>1642</v>
      </c>
      <c r="C31" s="4761">
        <v>46023</v>
      </c>
      <c r="D31" s="4691" t="s">
        <v>5495</v>
      </c>
      <c r="E31" s="4692">
        <v>46054</v>
      </c>
      <c r="F31" s="4762">
        <f t="shared" si="9"/>
        <v>13788286</v>
      </c>
      <c r="G31" s="4694">
        <v>78720</v>
      </c>
      <c r="H31" s="4694">
        <v>0</v>
      </c>
      <c r="I31" s="4694">
        <v>0</v>
      </c>
      <c r="J31" s="4694">
        <f>G31+H31+I31</f>
        <v>78720</v>
      </c>
      <c r="K31" s="4695"/>
      <c r="L31" s="4696">
        <v>18</v>
      </c>
      <c r="M31" s="4697" t="s">
        <v>5496</v>
      </c>
      <c r="N31" s="4701">
        <v>46085</v>
      </c>
      <c r="O31" s="4698">
        <f t="shared" si="13"/>
        <v>46075</v>
      </c>
      <c r="P31" s="4699">
        <f t="shared" si="14"/>
        <v>-10</v>
      </c>
      <c r="Q31" s="4762">
        <f t="shared" si="18"/>
        <v>13792527</v>
      </c>
      <c r="R31" s="4694">
        <v>78720</v>
      </c>
      <c r="S31" s="4694">
        <v>0</v>
      </c>
      <c r="T31" s="4694">
        <v>0</v>
      </c>
      <c r="U31" s="4694">
        <f t="shared" ref="U31" si="27">R31+S31+T31</f>
        <v>78720</v>
      </c>
      <c r="V31" s="1256"/>
      <c r="W31" s="4346" t="s">
        <v>6109</v>
      </c>
      <c r="X31" s="4779">
        <v>46126</v>
      </c>
      <c r="Y31" s="3244"/>
      <c r="Z31" s="3243"/>
      <c r="AA31" s="3243">
        <f t="shared" si="26"/>
        <v>46156</v>
      </c>
      <c r="AB31" s="3245"/>
      <c r="AC31" s="3250"/>
      <c r="AD31" s="3250"/>
      <c r="AE31" s="3250"/>
      <c r="AF31" s="3250"/>
    </row>
    <row r="32" spans="1:32" ht="36">
      <c r="A32" s="4688">
        <v>19</v>
      </c>
      <c r="B32" s="4689" t="s">
        <v>1644</v>
      </c>
      <c r="C32" s="4761">
        <v>46143</v>
      </c>
      <c r="D32" s="4691" t="s">
        <v>6408</v>
      </c>
      <c r="E32" s="4692">
        <v>46187</v>
      </c>
      <c r="F32" s="4762">
        <f t="shared" si="9"/>
        <v>14078459</v>
      </c>
      <c r="G32" s="4762">
        <v>290173</v>
      </c>
      <c r="H32" s="4694">
        <v>0</v>
      </c>
      <c r="I32" s="4694">
        <v>0</v>
      </c>
      <c r="J32" s="4694">
        <f>G32+H32+I32</f>
        <v>290173</v>
      </c>
      <c r="K32" s="4695"/>
      <c r="L32" s="4696">
        <v>19</v>
      </c>
      <c r="M32" s="4697" t="s">
        <v>6409</v>
      </c>
      <c r="N32" s="4701">
        <v>46190</v>
      </c>
      <c r="O32" s="4698">
        <f t="shared" ref="O32" si="28">E32+21</f>
        <v>46208</v>
      </c>
      <c r="P32" s="4699">
        <f t="shared" ref="P32" si="29">O32-N32</f>
        <v>18</v>
      </c>
      <c r="Q32" s="4762">
        <f t="shared" ref="Q32" si="30">+Q31+R32</f>
        <v>14082700</v>
      </c>
      <c r="R32" s="4694">
        <v>290173</v>
      </c>
      <c r="S32" s="4694">
        <v>0</v>
      </c>
      <c r="T32" s="4694">
        <v>0</v>
      </c>
      <c r="U32" s="4694">
        <f t="shared" ref="U32" si="31">R32+S32+T32</f>
        <v>290173</v>
      </c>
      <c r="V32" s="1256"/>
      <c r="W32" s="4346" t="s">
        <v>6541</v>
      </c>
      <c r="X32" s="4779">
        <v>46225</v>
      </c>
      <c r="Y32" s="3244"/>
      <c r="Z32" s="3243"/>
      <c r="AA32" s="3243">
        <f t="shared" ref="AA32" si="32">+X32+30</f>
        <v>46255</v>
      </c>
      <c r="AB32" s="3245"/>
      <c r="AC32" s="3250"/>
      <c r="AD32" s="3250"/>
      <c r="AE32" s="3250"/>
      <c r="AF32" s="3250"/>
    </row>
    <row r="33" spans="1:32">
      <c r="A33" s="723"/>
      <c r="B33" s="810"/>
      <c r="C33" s="1445"/>
      <c r="D33" s="2835"/>
      <c r="E33" s="1440"/>
      <c r="F33" s="1322"/>
      <c r="G33" s="1322"/>
      <c r="H33" s="1322"/>
      <c r="I33" s="1322"/>
      <c r="J33" s="1322"/>
      <c r="K33" s="1256"/>
      <c r="L33" s="1443"/>
      <c r="M33" s="2850"/>
      <c r="N33" s="1321"/>
      <c r="O33" s="1323"/>
      <c r="P33" s="1324"/>
      <c r="Q33" s="1322"/>
      <c r="R33" s="1444"/>
      <c r="S33" s="1444"/>
      <c r="T33" s="1444"/>
      <c r="U33" s="1328"/>
      <c r="V33" s="1256"/>
      <c r="W33" s="723"/>
      <c r="X33" s="724"/>
      <c r="Y33" s="1323"/>
      <c r="Z33" s="1321"/>
      <c r="AA33" s="1321"/>
      <c r="AB33" s="1324"/>
      <c r="AC33" s="1327"/>
      <c r="AD33" s="1327"/>
      <c r="AE33" s="1327"/>
      <c r="AF33" s="1327"/>
    </row>
    <row r="34" spans="1:32">
      <c r="A34" s="723"/>
      <c r="B34" s="810"/>
      <c r="C34" s="1445"/>
      <c r="D34" s="2835"/>
      <c r="E34" s="1440"/>
      <c r="F34" s="1322"/>
      <c r="G34" s="1322"/>
      <c r="H34" s="1322"/>
      <c r="I34" s="1322"/>
      <c r="J34" s="1322"/>
      <c r="K34" s="1256"/>
      <c r="L34" s="1443"/>
      <c r="M34" s="2850"/>
      <c r="N34" s="1321"/>
      <c r="O34" s="1323"/>
      <c r="P34" s="1324"/>
      <c r="Q34" s="1322"/>
      <c r="R34" s="1444"/>
      <c r="S34" s="1444"/>
      <c r="T34" s="1444"/>
      <c r="U34" s="1328"/>
      <c r="V34" s="1256"/>
      <c r="W34" s="723"/>
      <c r="X34" s="724"/>
      <c r="Y34" s="1323"/>
      <c r="Z34" s="1321"/>
      <c r="AA34" s="1321"/>
      <c r="AB34" s="1324"/>
      <c r="AC34" s="1327"/>
      <c r="AD34" s="1327"/>
      <c r="AE34" s="1327"/>
      <c r="AF34" s="1327"/>
    </row>
    <row r="35" spans="1:32">
      <c r="A35" s="723"/>
      <c r="B35" s="810"/>
      <c r="C35" s="1445"/>
      <c r="D35" s="2835"/>
      <c r="E35" s="1440"/>
      <c r="F35" s="1322"/>
      <c r="G35" s="1322"/>
      <c r="H35" s="1322"/>
      <c r="I35" s="1322"/>
      <c r="J35" s="1322"/>
      <c r="K35" s="1256"/>
      <c r="L35" s="1443"/>
      <c r="M35" s="2850"/>
      <c r="N35" s="1321"/>
      <c r="O35" s="1323"/>
      <c r="P35" s="1324"/>
      <c r="Q35" s="1322"/>
      <c r="R35" s="1444"/>
      <c r="S35" s="1444"/>
      <c r="T35" s="1444"/>
      <c r="U35" s="1328"/>
      <c r="V35" s="1256"/>
      <c r="W35" s="723"/>
      <c r="X35" s="724"/>
      <c r="Y35" s="1323"/>
      <c r="Z35" s="1321"/>
      <c r="AA35" s="1321"/>
      <c r="AB35" s="1324"/>
      <c r="AC35" s="1327"/>
      <c r="AD35" s="1327"/>
      <c r="AE35" s="1327"/>
      <c r="AF35" s="1327"/>
    </row>
    <row r="36" spans="1:32">
      <c r="A36" s="723"/>
      <c r="B36" s="810"/>
      <c r="C36" s="1445"/>
      <c r="D36" s="2835"/>
      <c r="E36" s="1440"/>
      <c r="F36" s="1322"/>
      <c r="G36" s="1322"/>
      <c r="H36" s="1322"/>
      <c r="I36" s="1322"/>
      <c r="J36" s="1322"/>
      <c r="K36" s="1256"/>
      <c r="L36" s="1443"/>
      <c r="M36" s="2850"/>
      <c r="N36" s="1321"/>
      <c r="O36" s="1323"/>
      <c r="P36" s="1324"/>
      <c r="Q36" s="1322"/>
      <c r="R36" s="1444"/>
      <c r="S36" s="1444"/>
      <c r="T36" s="1444"/>
      <c r="U36" s="1328"/>
      <c r="V36" s="1256"/>
      <c r="W36" s="723"/>
      <c r="X36" s="724"/>
      <c r="Y36" s="1323"/>
      <c r="Z36" s="1321"/>
      <c r="AA36" s="1321"/>
      <c r="AB36" s="1324"/>
      <c r="AC36" s="1327"/>
      <c r="AD36" s="1327"/>
      <c r="AE36" s="1327"/>
      <c r="AF36" s="1327"/>
    </row>
    <row r="37" spans="1:32">
      <c r="A37" s="723"/>
      <c r="B37" s="810"/>
      <c r="C37" s="1445"/>
      <c r="D37" s="1320"/>
      <c r="E37" s="1440"/>
      <c r="F37" s="1322"/>
      <c r="G37" s="1322"/>
      <c r="H37" s="1322"/>
      <c r="I37" s="1322"/>
      <c r="J37" s="1322"/>
      <c r="K37" s="1256"/>
      <c r="L37" s="1443"/>
      <c r="M37" s="2850"/>
      <c r="N37" s="1321"/>
      <c r="O37" s="1323"/>
      <c r="P37" s="1324"/>
      <c r="Q37" s="1322"/>
      <c r="R37" s="1444"/>
      <c r="S37" s="1444"/>
      <c r="T37" s="1444"/>
      <c r="U37" s="1328"/>
      <c r="V37" s="1256"/>
      <c r="W37" s="723"/>
      <c r="X37" s="724"/>
      <c r="Y37" s="1323"/>
      <c r="Z37" s="1321"/>
      <c r="AA37" s="1321"/>
      <c r="AB37" s="1324"/>
      <c r="AC37" s="1327"/>
      <c r="AD37" s="1327"/>
      <c r="AE37" s="1327"/>
      <c r="AF37" s="1327"/>
    </row>
    <row r="38" spans="1:32">
      <c r="A38" s="723"/>
      <c r="B38" s="810"/>
      <c r="C38" s="1445"/>
      <c r="D38" s="1320"/>
      <c r="E38" s="1440"/>
      <c r="F38" s="1322"/>
      <c r="G38" s="1322"/>
      <c r="H38" s="1322"/>
      <c r="I38" s="1322"/>
      <c r="J38" s="1322"/>
      <c r="K38" s="1256"/>
      <c r="L38" s="1443"/>
      <c r="M38" s="2850"/>
      <c r="N38" s="1321"/>
      <c r="O38" s="1323"/>
      <c r="P38" s="1324"/>
      <c r="Q38" s="1322"/>
      <c r="R38" s="1444"/>
      <c r="S38" s="1444"/>
      <c r="T38" s="1444"/>
      <c r="U38" s="1328"/>
      <c r="V38" s="1256"/>
      <c r="W38" s="723"/>
      <c r="X38" s="724"/>
      <c r="Y38" s="1323"/>
      <c r="Z38" s="1321"/>
      <c r="AA38" s="1321"/>
      <c r="AB38" s="1324"/>
      <c r="AC38" s="1327"/>
      <c r="AD38" s="1327"/>
      <c r="AE38" s="1327"/>
      <c r="AF38" s="1327"/>
    </row>
    <row r="39" spans="1:32">
      <c r="A39" s="723"/>
      <c r="B39" s="810"/>
      <c r="C39" s="1445"/>
      <c r="D39" s="1320"/>
      <c r="E39" s="1441"/>
      <c r="F39" s="1322"/>
      <c r="G39" s="1322"/>
      <c r="H39" s="1322"/>
      <c r="I39" s="1322"/>
      <c r="J39" s="1322"/>
      <c r="K39" s="1256"/>
      <c r="L39" s="1443"/>
      <c r="M39" s="2850"/>
      <c r="N39" s="1321"/>
      <c r="O39" s="1323"/>
      <c r="P39" s="1324"/>
      <c r="Q39" s="1322"/>
      <c r="R39" s="1444"/>
      <c r="S39" s="1444"/>
      <c r="T39" s="1444"/>
      <c r="U39" s="1328"/>
      <c r="V39" s="1256"/>
      <c r="W39" s="723"/>
      <c r="X39" s="724"/>
      <c r="Y39" s="1323"/>
      <c r="Z39" s="1321"/>
      <c r="AA39" s="1321"/>
      <c r="AB39" s="1324"/>
      <c r="AC39" s="1327"/>
      <c r="AD39" s="1327"/>
      <c r="AE39" s="1327"/>
      <c r="AF39" s="1327"/>
    </row>
    <row r="40" spans="1:32">
      <c r="A40" s="1329"/>
      <c r="B40" s="1330"/>
      <c r="C40" s="1440"/>
      <c r="D40" s="1331"/>
      <c r="E40" s="1442"/>
      <c r="F40" s="1332"/>
      <c r="G40" s="1332"/>
      <c r="H40" s="1332"/>
      <c r="I40" s="1332"/>
      <c r="J40" s="1332"/>
      <c r="K40" s="1256"/>
      <c r="L40" s="1329"/>
      <c r="M40" s="2851"/>
      <c r="N40" s="1334"/>
      <c r="O40" s="1334"/>
      <c r="P40" s="1335"/>
      <c r="Q40" s="1322"/>
      <c r="R40" s="1333"/>
      <c r="S40" s="1333"/>
      <c r="T40" s="1333"/>
      <c r="U40" s="1336"/>
      <c r="V40" s="1256"/>
      <c r="W40" s="1329"/>
      <c r="X40" s="1333"/>
      <c r="Y40" s="1337"/>
      <c r="Z40" s="1334"/>
      <c r="AA40" s="1334"/>
      <c r="AB40" s="1334"/>
      <c r="AC40" s="1329"/>
      <c r="AD40" s="1337"/>
      <c r="AE40" s="1334"/>
      <c r="AF40" s="1334"/>
    </row>
    <row r="41" spans="1:32" ht="24.75" customHeight="1" collapsed="1" thickBot="1">
      <c r="A41" s="6045" t="s">
        <v>1522</v>
      </c>
      <c r="B41" s="6046"/>
      <c r="C41" s="6046"/>
      <c r="D41" s="6046"/>
      <c r="E41" s="6046"/>
      <c r="F41" s="6047"/>
      <c r="G41" s="1338">
        <f>SUM(G14:G40)</f>
        <v>14078459</v>
      </c>
      <c r="H41" s="1338">
        <f>SUM(H14:H40)</f>
        <v>0</v>
      </c>
      <c r="I41" s="1338">
        <f>SUM(I14:I40)</f>
        <v>0</v>
      </c>
      <c r="J41" s="1338">
        <f>SUM(J14:J40)</f>
        <v>14078459</v>
      </c>
      <c r="K41" s="1256"/>
      <c r="L41" s="1339" t="s">
        <v>1522</v>
      </c>
      <c r="M41" s="1343"/>
      <c r="N41" s="1340"/>
      <c r="O41" s="1340"/>
      <c r="P41" s="1340"/>
      <c r="Q41" s="1340"/>
      <c r="R41" s="1341">
        <f>SUM(R14:R40)</f>
        <v>14082700</v>
      </c>
      <c r="S41" s="1338">
        <f>SUM(S14:S40)</f>
        <v>0</v>
      </c>
      <c r="T41" s="1338">
        <f>SUM(T14:T40)</f>
        <v>0</v>
      </c>
      <c r="U41" s="1338">
        <f>SUM(U14:U40)</f>
        <v>14082700</v>
      </c>
      <c r="V41" s="1256"/>
      <c r="W41" s="1342" t="s">
        <v>1522</v>
      </c>
      <c r="X41" s="1343"/>
      <c r="Y41" s="1343"/>
      <c r="Z41" s="1343"/>
      <c r="AA41" s="1343"/>
      <c r="AB41" s="1343"/>
      <c r="AC41" s="1341">
        <f>SUM(AC14:AC40)</f>
        <v>13487622</v>
      </c>
      <c r="AD41" s="1338">
        <f>SUM(AD14:AD40)</f>
        <v>2023143.2999999998</v>
      </c>
      <c r="AE41" s="1338">
        <f>SUM(AE14:AE40)</f>
        <v>15510765.300000003</v>
      </c>
      <c r="AF41" s="1338">
        <f>+AF25</f>
        <v>13762147.750000002</v>
      </c>
    </row>
    <row r="42" spans="1:32">
      <c r="A42" s="1360"/>
      <c r="B42" s="1256"/>
      <c r="C42" s="1255"/>
      <c r="D42" s="1257"/>
      <c r="E42" s="1361"/>
      <c r="F42" s="1258"/>
      <c r="G42" s="1258"/>
      <c r="H42" s="1258"/>
      <c r="I42" s="1258"/>
      <c r="J42" s="1258"/>
      <c r="K42" s="1256"/>
      <c r="L42" s="1360"/>
      <c r="M42" s="2852"/>
      <c r="N42" s="1362"/>
      <c r="O42" s="1362"/>
      <c r="P42" s="1362"/>
      <c r="Q42" s="1360"/>
      <c r="R42" s="1360"/>
      <c r="S42" s="1360"/>
      <c r="T42" s="1360"/>
      <c r="U42" s="1363"/>
      <c r="V42" s="1256"/>
      <c r="W42" s="1360"/>
      <c r="X42" s="1360"/>
      <c r="Y42" s="1364"/>
      <c r="Z42" s="1362"/>
      <c r="AA42" s="1362"/>
      <c r="AB42" s="1362"/>
      <c r="AC42" s="1360"/>
      <c r="AD42" s="1364"/>
      <c r="AE42" s="1362"/>
      <c r="AF42" s="1362"/>
    </row>
    <row r="43" spans="1:32">
      <c r="A43" s="1360"/>
      <c r="B43" s="1256"/>
      <c r="C43" s="1255"/>
      <c r="D43" s="1257"/>
      <c r="E43" s="1361"/>
      <c r="F43" s="1258"/>
      <c r="G43" s="1258"/>
      <c r="H43" s="1258"/>
      <c r="I43" s="1258"/>
      <c r="J43" s="1258"/>
      <c r="K43" s="1256"/>
      <c r="L43" s="1360"/>
      <c r="M43" s="2852"/>
      <c r="N43" s="1362"/>
      <c r="O43" s="1362"/>
      <c r="P43" s="1257"/>
      <c r="Q43" s="1258"/>
      <c r="R43" s="1258"/>
      <c r="S43" s="1258"/>
      <c r="T43" s="1258"/>
      <c r="U43" s="1258">
        <f>+U19*1.15</f>
        <v>448023.89999999997</v>
      </c>
      <c r="V43" s="1256"/>
      <c r="W43" s="1360"/>
      <c r="X43" s="1360"/>
      <c r="Y43" s="1364"/>
      <c r="Z43" s="1362"/>
      <c r="AA43" s="1362"/>
      <c r="AB43" s="1362"/>
      <c r="AC43" s="1360"/>
      <c r="AD43" s="1364"/>
      <c r="AE43" s="1362"/>
      <c r="AF43" s="1362"/>
    </row>
    <row r="44" spans="1:32">
      <c r="A44" s="1365"/>
      <c r="B44" s="1256"/>
      <c r="C44" s="1255"/>
      <c r="D44" s="1257"/>
      <c r="E44" s="1361"/>
      <c r="F44" s="1366"/>
      <c r="G44" s="1366"/>
      <c r="H44" s="1366"/>
      <c r="I44" s="1366"/>
      <c r="J44" s="1258"/>
      <c r="K44" s="1256"/>
      <c r="L44" s="1365"/>
      <c r="M44" s="2853">
        <f>403092.61/11085046.72</f>
        <v>3.6363636544059594E-2</v>
      </c>
      <c r="N44" s="1365"/>
      <c r="O44" s="1365"/>
      <c r="P44" s="1257"/>
      <c r="Q44" s="1366"/>
      <c r="R44" s="1366"/>
      <c r="S44" s="1366"/>
      <c r="T44" s="1366"/>
      <c r="U44" s="1366">
        <f>+U17+U18</f>
        <v>876240</v>
      </c>
      <c r="V44" s="1256"/>
      <c r="W44" s="1365"/>
      <c r="X44" s="1365"/>
      <c r="Y44" s="1365"/>
      <c r="Z44" s="1362"/>
      <c r="AA44" s="1362"/>
      <c r="AB44" s="1362"/>
      <c r="AC44" s="1365"/>
      <c r="AD44" s="1365"/>
      <c r="AE44" s="1362"/>
      <c r="AF44" s="1362"/>
    </row>
    <row r="45" spans="1:32">
      <c r="D45" s="1257"/>
      <c r="E45" s="153">
        <v>44197</v>
      </c>
      <c r="F45" s="1366"/>
      <c r="P45" s="1257"/>
      <c r="Q45" s="1366"/>
      <c r="R45" s="1366"/>
      <c r="S45" s="1366"/>
      <c r="T45" s="1366"/>
      <c r="U45" s="1366">
        <f>+U44*1.15</f>
        <v>1007675.9999999999</v>
      </c>
      <c r="AA45" s="153">
        <v>44094</v>
      </c>
      <c r="AC45" s="1367"/>
    </row>
    <row r="46" spans="1:32">
      <c r="D46" s="1257"/>
      <c r="E46" s="153">
        <f>E45-45</f>
        <v>44152</v>
      </c>
      <c r="F46" s="1366"/>
      <c r="P46" s="1257"/>
      <c r="Q46" s="1366"/>
      <c r="R46" s="1366"/>
      <c r="S46" s="1366"/>
      <c r="T46" s="1366"/>
      <c r="U46" s="1366"/>
      <c r="AA46" s="153">
        <f>AA45-45</f>
        <v>44049</v>
      </c>
    </row>
    <row r="47" spans="1:32">
      <c r="D47" s="1257"/>
      <c r="F47" s="1366"/>
      <c r="H47" s="153">
        <v>43986</v>
      </c>
      <c r="R47" s="652"/>
      <c r="S47" s="652"/>
      <c r="T47" s="652"/>
      <c r="U47" s="652"/>
    </row>
  </sheetData>
  <mergeCells count="4">
    <mergeCell ref="A10:J10"/>
    <mergeCell ref="L10:U10"/>
    <mergeCell ref="W10:AF10"/>
    <mergeCell ref="A41:F41"/>
  </mergeCells>
  <phoneticPr fontId="347" type="noConversion"/>
  <printOptions horizontalCentered="1"/>
  <pageMargins left="0.25" right="0.25" top="0.75" bottom="0.75" header="0.3" footer="0.3"/>
  <pageSetup paperSize="8" scale="62" fitToHeight="2" orientation="landscape" r:id="rId1"/>
  <headerFooter>
    <oddHeader>&amp;C&amp;"Calibri,Bold"&amp;18MONTHLY REPORT - INVOICE &amp; PAYMENT TRACKING LOG (KHATIB &amp; ALAMI)</oddHeader>
    <oddFooter>&amp;L1TB.01.003.01 - AYC 
MARCH'26 REPORT&amp;C&amp;A&amp;RPage &amp;P of &amp;N</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A9E2C-80B4-460D-A455-DCE1F1EC631E}">
  <sheetPr codeName="Sheet19">
    <tabColor theme="7" tint="0.39997558519241921"/>
    <pageSetUpPr fitToPage="1"/>
  </sheetPr>
  <dimension ref="A1:AE43"/>
  <sheetViews>
    <sheetView showGridLines="0" view="pageBreakPreview" topLeftCell="A7" zoomScale="90" zoomScaleNormal="100" zoomScaleSheetLayoutView="90" workbookViewId="0">
      <selection activeCell="C43" sqref="C43"/>
    </sheetView>
  </sheetViews>
  <sheetFormatPr defaultColWidth="9" defaultRowHeight="12.75"/>
  <cols>
    <col min="1" max="1" width="10.85546875" customWidth="1"/>
    <col min="2" max="2" width="10.42578125" customWidth="1"/>
    <col min="3" max="3" width="9.5703125" bestFit="1" customWidth="1"/>
    <col min="4" max="4" width="10.85546875" bestFit="1" customWidth="1"/>
    <col min="5" max="5" width="9.85546875" bestFit="1" customWidth="1"/>
    <col min="6" max="7" width="14.85546875" customWidth="1"/>
    <col min="8" max="8" width="8.5703125" bestFit="1" customWidth="1"/>
    <col min="9" max="9" width="9" bestFit="1" customWidth="1"/>
    <col min="10" max="10" width="13.85546875" customWidth="1"/>
    <col min="11" max="11" width="0.85546875" customWidth="1"/>
    <col min="12" max="12" width="6" customWidth="1"/>
    <col min="13" max="13" width="14.85546875" customWidth="1"/>
    <col min="14" max="15" width="9" customWidth="1"/>
    <col min="16" max="16" width="7.85546875" customWidth="1"/>
    <col min="17" max="17" width="13.85546875" customWidth="1"/>
    <col min="18" max="18" width="15.5703125" customWidth="1"/>
    <col min="19" max="20" width="9.42578125" bestFit="1" customWidth="1"/>
    <col min="21" max="21" width="14.5703125" customWidth="1"/>
    <col min="22" max="22" width="0.85546875" customWidth="1"/>
    <col min="23" max="23" width="13" customWidth="1"/>
    <col min="24" max="25" width="9" bestFit="1" customWidth="1"/>
    <col min="26" max="26" width="10" customWidth="1"/>
    <col min="27" max="27" width="7" customWidth="1"/>
    <col min="28" max="28" width="12.42578125" customWidth="1"/>
    <col min="29" max="29" width="13.5703125" customWidth="1"/>
    <col min="30" max="31" width="14" customWidth="1"/>
  </cols>
  <sheetData>
    <row r="1" spans="1:31">
      <c r="A1" s="1255"/>
      <c r="B1" s="1256"/>
      <c r="C1" s="1255"/>
      <c r="D1" s="1257"/>
      <c r="E1" s="1257"/>
      <c r="F1" s="1258"/>
      <c r="G1" s="1258"/>
      <c r="H1" s="1258"/>
      <c r="I1" s="1258"/>
      <c r="J1" s="1258"/>
      <c r="K1" s="1257"/>
      <c r="L1" s="1255"/>
      <c r="M1" s="1255"/>
      <c r="N1" s="1255"/>
      <c r="O1" s="1255"/>
      <c r="P1" s="1255"/>
      <c r="Q1" s="1255"/>
      <c r="R1" s="1255"/>
      <c r="S1" s="1255"/>
      <c r="T1" s="1255"/>
      <c r="U1" s="1259"/>
      <c r="V1" s="1257"/>
      <c r="W1" s="1257"/>
      <c r="X1" s="1257"/>
      <c r="Y1" s="1257"/>
      <c r="Z1" s="1257"/>
      <c r="AA1" s="1257"/>
      <c r="AB1" s="1257"/>
      <c r="AC1" s="1257"/>
      <c r="AD1" s="1257"/>
      <c r="AE1" s="1257"/>
    </row>
    <row r="2" spans="1:31">
      <c r="A2" s="9" t="str">
        <f>'Data Input'!A1&amp;" - "&amp;'Data Input'!B1</f>
        <v>PROGRAMME: - MARINA VILLAGE (PROGRAMME 1_TRIPLE BAY)</v>
      </c>
      <c r="B2" s="1256"/>
      <c r="C2" s="1255"/>
      <c r="D2" s="1257"/>
      <c r="E2" s="1257"/>
      <c r="F2" s="1258"/>
      <c r="G2" s="1258"/>
      <c r="H2" s="1258"/>
      <c r="I2" s="1258"/>
      <c r="J2" s="1258"/>
      <c r="K2" s="1257"/>
      <c r="L2" s="1255"/>
      <c r="M2" s="1255"/>
      <c r="N2" s="1255"/>
      <c r="O2" s="1255"/>
      <c r="P2" s="1255"/>
      <c r="Q2" s="1255"/>
      <c r="R2" s="1255"/>
      <c r="S2" s="1255"/>
      <c r="T2" s="1255"/>
      <c r="U2" s="1259"/>
      <c r="V2" s="1257"/>
      <c r="W2" s="1257"/>
      <c r="X2" s="1257"/>
      <c r="Y2" s="1257"/>
      <c r="Z2" s="1257"/>
      <c r="AA2" s="1257"/>
      <c r="AB2" s="1257"/>
      <c r="AC2" s="1257"/>
      <c r="AD2" s="1257"/>
      <c r="AE2" s="1257"/>
    </row>
    <row r="3" spans="1:31">
      <c r="A3" s="9" t="str">
        <f>'Data Input'!A2&amp;" - "&amp;'Data Input'!B2</f>
        <v>PROGRAMME CODE: - 1TB01003</v>
      </c>
      <c r="B3" s="1260"/>
      <c r="C3" s="1261"/>
      <c r="D3" s="1262"/>
      <c r="E3" s="1262"/>
      <c r="F3" s="1263"/>
      <c r="G3" s="1263"/>
      <c r="H3" s="1263"/>
      <c r="I3" s="1263"/>
      <c r="J3" s="1264"/>
      <c r="K3" s="1265"/>
      <c r="L3" s="1265"/>
      <c r="M3" s="1265"/>
      <c r="N3" s="1265"/>
      <c r="O3" s="1266"/>
      <c r="P3" s="1265"/>
      <c r="Q3" s="1265"/>
      <c r="R3" s="1265"/>
      <c r="S3" s="1265"/>
      <c r="T3" s="1265"/>
      <c r="U3" s="1267"/>
      <c r="V3" s="1265"/>
      <c r="W3" s="1265"/>
      <c r="X3" s="1265"/>
      <c r="Y3" s="1265"/>
      <c r="Z3" s="1265"/>
      <c r="AA3" s="1265"/>
      <c r="AB3" s="1265"/>
      <c r="AC3" s="1265"/>
      <c r="AD3" s="1265"/>
      <c r="AE3" s="1265"/>
    </row>
    <row r="4" spans="1:31">
      <c r="A4" s="9" t="str">
        <f>'Data Input'!A3&amp;" - "&amp;'Data Input'!B3</f>
        <v>ASSET NAME: - AMAALA YACHT CLUB</v>
      </c>
      <c r="B4" s="1260"/>
      <c r="C4" s="1268"/>
      <c r="D4" s="1265"/>
      <c r="E4" s="1265"/>
      <c r="F4" s="1267"/>
      <c r="G4" s="1267"/>
      <c r="H4" s="1267"/>
      <c r="I4" s="1267"/>
      <c r="J4" s="1269"/>
      <c r="K4" s="1265"/>
      <c r="L4" s="1265"/>
      <c r="M4" s="1265"/>
      <c r="N4" s="1265"/>
      <c r="O4" s="1266"/>
      <c r="P4" s="1265"/>
      <c r="Q4" s="1265"/>
      <c r="R4" s="1265"/>
      <c r="S4" s="1265"/>
      <c r="T4" s="1265"/>
      <c r="U4" s="1267"/>
      <c r="V4" s="1265"/>
      <c r="W4" s="1265"/>
      <c r="X4" s="1265"/>
      <c r="Y4" s="1265"/>
      <c r="Z4" s="1265"/>
      <c r="AA4" s="1265"/>
      <c r="AB4" s="1265"/>
      <c r="AC4" s="1265"/>
      <c r="AD4" s="1265"/>
      <c r="AE4" s="1265"/>
    </row>
    <row r="5" spans="1:31">
      <c r="A5" s="9" t="str">
        <f>'Data Input'!A4&amp;" - "&amp;'Data Input'!B4</f>
        <v>ASSET CODE: - 1TB01003.01</v>
      </c>
      <c r="B5" s="1270"/>
      <c r="C5" s="1268"/>
      <c r="D5" s="1265"/>
      <c r="E5" s="1265"/>
      <c r="F5" s="1267"/>
      <c r="G5" s="1267"/>
      <c r="H5" s="1267"/>
      <c r="I5" s="1267"/>
      <c r="J5" s="1269"/>
      <c r="K5" s="1265"/>
      <c r="L5" s="1265"/>
      <c r="M5" s="1265"/>
      <c r="N5" s="1265"/>
      <c r="O5" s="1266"/>
      <c r="P5" s="1265"/>
      <c r="Q5" s="1265"/>
      <c r="R5" s="1271"/>
      <c r="S5" s="1265"/>
      <c r="T5" s="1265"/>
      <c r="U5" s="1267"/>
      <c r="V5" s="1265"/>
      <c r="W5" s="1265"/>
      <c r="X5" s="1265"/>
      <c r="Y5" s="1265"/>
      <c r="Z5" s="1265"/>
      <c r="AA5" s="1265"/>
      <c r="AB5" s="1265"/>
      <c r="AC5" s="1265"/>
      <c r="AD5" s="1265"/>
      <c r="AE5" s="1265"/>
    </row>
    <row r="6" spans="1:31">
      <c r="A6" s="9" t="str">
        <f>'Data Input'!A7&amp;" - "&amp;'Data Input'!B7</f>
        <v>REPORT NO: - MONTHLY REPORT NO. 49</v>
      </c>
      <c r="B6" s="1272"/>
      <c r="C6" s="1268"/>
      <c r="D6" s="1265"/>
      <c r="E6" s="1265"/>
      <c r="F6" s="1267"/>
      <c r="G6" s="1267"/>
      <c r="H6" s="1267"/>
      <c r="I6" s="1267"/>
      <c r="J6" s="1269"/>
      <c r="K6" s="1265"/>
      <c r="L6" s="1265"/>
      <c r="M6" s="1265"/>
      <c r="N6" s="1265"/>
      <c r="O6" s="1266"/>
      <c r="P6" s="1265"/>
      <c r="Q6" s="1265"/>
      <c r="R6" s="1273"/>
      <c r="S6" s="1265"/>
      <c r="T6" s="1271"/>
      <c r="U6" s="1267"/>
      <c r="V6" s="1265"/>
      <c r="W6" s="1265"/>
      <c r="X6" s="1265"/>
      <c r="Y6" s="1265"/>
      <c r="Z6" s="1265"/>
      <c r="AA6" s="1265"/>
      <c r="AB6" s="1265"/>
      <c r="AC6" s="1265"/>
      <c r="AD6" s="1265"/>
      <c r="AE6" s="1265"/>
    </row>
    <row r="7" spans="1:31">
      <c r="A7" s="9" t="str">
        <f>'Data Input'!A8&amp;" - "&amp;'Data Input'!B8</f>
        <v>REPORTING PERIOD: - OCTOBER 2026</v>
      </c>
      <c r="B7" s="1262"/>
      <c r="C7" s="1274"/>
      <c r="D7" s="1262"/>
      <c r="E7" s="1262"/>
      <c r="F7" s="1263"/>
      <c r="G7" s="1263"/>
      <c r="H7" s="1263"/>
      <c r="I7" s="1263"/>
      <c r="J7" s="1264"/>
      <c r="K7" s="1265"/>
      <c r="L7" s="1265"/>
      <c r="M7" s="1265"/>
      <c r="N7" s="1265"/>
      <c r="O7" s="1265"/>
      <c r="P7" s="1265"/>
      <c r="Q7" s="1267"/>
      <c r="R7" s="1263"/>
      <c r="S7" s="1263"/>
      <c r="T7" s="1263"/>
      <c r="U7" s="1267"/>
      <c r="V7" s="1265"/>
      <c r="W7" s="1265"/>
      <c r="X7" s="1265"/>
      <c r="Y7" s="1265"/>
      <c r="Z7" s="1265"/>
      <c r="AA7" s="1265"/>
      <c r="AB7" s="1265"/>
      <c r="AC7" s="1265"/>
      <c r="AD7" s="1265"/>
      <c r="AE7" s="1265"/>
    </row>
    <row r="8" spans="1:31" ht="13.5" thickBot="1">
      <c r="A8" s="9"/>
      <c r="B8" s="1256"/>
      <c r="C8" s="1255"/>
      <c r="D8" s="1257"/>
      <c r="E8" s="1257"/>
      <c r="F8" s="1258"/>
      <c r="G8" s="1258"/>
      <c r="H8" s="1258"/>
      <c r="I8" s="1258"/>
      <c r="J8" s="1258"/>
      <c r="K8" s="1257"/>
      <c r="L8" s="1255"/>
      <c r="M8" s="1255"/>
      <c r="N8" s="1275"/>
      <c r="O8" s="1276"/>
      <c r="P8" s="1255"/>
      <c r="Q8" s="1255"/>
      <c r="R8" s="1255"/>
      <c r="S8" s="1255"/>
      <c r="T8" s="1255"/>
      <c r="U8" s="1259"/>
      <c r="V8" s="1257"/>
      <c r="W8" s="1257"/>
      <c r="X8" s="1257"/>
      <c r="Y8" s="1257"/>
      <c r="Z8" s="1257"/>
      <c r="AA8" s="1257"/>
      <c r="AB8" s="1257"/>
      <c r="AC8" s="1257"/>
      <c r="AD8" s="1257"/>
      <c r="AE8" s="1257"/>
    </row>
    <row r="9" spans="1:31" ht="30" customHeight="1" thickBot="1">
      <c r="A9" s="1354" t="s">
        <v>1760</v>
      </c>
      <c r="B9" s="1355"/>
      <c r="C9" s="1355"/>
      <c r="D9" s="1356"/>
      <c r="E9" s="1356"/>
      <c r="F9" s="1357"/>
      <c r="G9" s="1357"/>
      <c r="H9" s="1357"/>
      <c r="I9" s="1357"/>
      <c r="J9" s="1357"/>
      <c r="K9" s="1356"/>
      <c r="L9" s="1355"/>
      <c r="M9" s="1355"/>
      <c r="N9" s="1355"/>
      <c r="O9" s="1355"/>
      <c r="P9" s="1355"/>
      <c r="Q9" s="1355"/>
      <c r="R9" s="1355"/>
      <c r="S9" s="1355"/>
      <c r="T9" s="1355"/>
      <c r="U9" s="1358"/>
      <c r="V9" s="1356"/>
      <c r="W9" s="1356"/>
      <c r="X9" s="1356"/>
      <c r="Y9" s="1356"/>
      <c r="Z9" s="1356"/>
      <c r="AA9" s="1356"/>
      <c r="AB9" s="1356"/>
      <c r="AC9" s="1356"/>
      <c r="AD9" s="1356"/>
      <c r="AE9" s="1359"/>
    </row>
    <row r="10" spans="1:31">
      <c r="A10" s="6051" t="s">
        <v>1524</v>
      </c>
      <c r="B10" s="6052"/>
      <c r="C10" s="6052"/>
      <c r="D10" s="6052"/>
      <c r="E10" s="6052"/>
      <c r="F10" s="6052"/>
      <c r="G10" s="6053"/>
      <c r="H10" s="6053"/>
      <c r="I10" s="6053"/>
      <c r="J10" s="6054"/>
      <c r="K10" s="1256"/>
      <c r="L10" s="6055" t="s">
        <v>1525</v>
      </c>
      <c r="M10" s="6056"/>
      <c r="N10" s="6056"/>
      <c r="O10" s="6056"/>
      <c r="P10" s="6056"/>
      <c r="Q10" s="6056"/>
      <c r="R10" s="6057"/>
      <c r="S10" s="6057"/>
      <c r="T10" s="6057"/>
      <c r="U10" s="6058"/>
      <c r="V10" s="1256"/>
      <c r="W10" s="6043" t="s">
        <v>1526</v>
      </c>
      <c r="X10" s="6044"/>
      <c r="Y10" s="6044"/>
      <c r="Z10" s="6044"/>
      <c r="AA10" s="6044"/>
      <c r="AB10" s="6044"/>
      <c r="AC10" s="6044"/>
      <c r="AD10" s="6044"/>
      <c r="AE10" s="6059"/>
    </row>
    <row r="11" spans="1:31" ht="60" customHeight="1">
      <c r="A11" s="1283" t="s">
        <v>1462</v>
      </c>
      <c r="B11" s="1284" t="s">
        <v>1527</v>
      </c>
      <c r="C11" s="1284" t="s">
        <v>1528</v>
      </c>
      <c r="D11" s="1285" t="s">
        <v>1744</v>
      </c>
      <c r="E11" s="1285" t="s">
        <v>1530</v>
      </c>
      <c r="F11" s="1286" t="s">
        <v>1531</v>
      </c>
      <c r="G11" s="1287" t="s">
        <v>1532</v>
      </c>
      <c r="H11" s="1287" t="s">
        <v>1533</v>
      </c>
      <c r="I11" s="1287" t="s">
        <v>1534</v>
      </c>
      <c r="J11" s="1288" t="s">
        <v>1535</v>
      </c>
      <c r="K11" s="1289"/>
      <c r="L11" s="763" t="s">
        <v>1536</v>
      </c>
      <c r="M11" s="1290" t="s">
        <v>1601</v>
      </c>
      <c r="N11" s="1290" t="s">
        <v>1530</v>
      </c>
      <c r="O11" s="1290" t="s">
        <v>1538</v>
      </c>
      <c r="P11" s="764" t="s">
        <v>1539</v>
      </c>
      <c r="Q11" s="1291" t="s">
        <v>1540</v>
      </c>
      <c r="R11" s="1292" t="s">
        <v>1541</v>
      </c>
      <c r="S11" s="1292" t="s">
        <v>1533</v>
      </c>
      <c r="T11" s="1292" t="s">
        <v>1534</v>
      </c>
      <c r="U11" s="1293" t="s">
        <v>1542</v>
      </c>
      <c r="V11" s="1256"/>
      <c r="W11" s="1294" t="s">
        <v>1543</v>
      </c>
      <c r="X11" s="1295" t="s">
        <v>1544</v>
      </c>
      <c r="Y11" s="1296" t="s">
        <v>1545</v>
      </c>
      <c r="Z11" s="1296" t="s">
        <v>1761</v>
      </c>
      <c r="AA11" s="769" t="s">
        <v>1539</v>
      </c>
      <c r="AB11" s="769" t="s">
        <v>1547</v>
      </c>
      <c r="AC11" s="769" t="s">
        <v>1548</v>
      </c>
      <c r="AD11" s="1296" t="s">
        <v>1549</v>
      </c>
      <c r="AE11" s="1297" t="s">
        <v>1550</v>
      </c>
    </row>
    <row r="12" spans="1:31" ht="17.25" customHeight="1">
      <c r="A12" s="1298"/>
      <c r="B12" s="1299"/>
      <c r="C12" s="1300"/>
      <c r="D12" s="1301"/>
      <c r="E12" s="1302" t="s">
        <v>296</v>
      </c>
      <c r="F12" s="1303" t="s">
        <v>434</v>
      </c>
      <c r="G12" s="1303" t="s">
        <v>434</v>
      </c>
      <c r="H12" s="1304">
        <v>0.2</v>
      </c>
      <c r="I12" s="1304">
        <v>0.1</v>
      </c>
      <c r="J12" s="1305" t="s">
        <v>434</v>
      </c>
      <c r="K12" s="1256"/>
      <c r="L12" s="765"/>
      <c r="M12" s="766"/>
      <c r="N12" s="1306" t="s">
        <v>296</v>
      </c>
      <c r="O12" s="766" t="s">
        <v>1551</v>
      </c>
      <c r="P12" s="1307" t="s">
        <v>1552</v>
      </c>
      <c r="Q12" s="767" t="s">
        <v>434</v>
      </c>
      <c r="R12" s="767" t="s">
        <v>434</v>
      </c>
      <c r="S12" s="1308">
        <v>0.2</v>
      </c>
      <c r="T12" s="1308">
        <v>0.1</v>
      </c>
      <c r="U12" s="768" t="s">
        <v>434</v>
      </c>
      <c r="V12" s="1256"/>
      <c r="W12" s="770"/>
      <c r="X12" s="1309" t="s">
        <v>296</v>
      </c>
      <c r="Y12" s="1309" t="s">
        <v>296</v>
      </c>
      <c r="Z12" s="1309" t="s">
        <v>1553</v>
      </c>
      <c r="AA12" s="1310" t="s">
        <v>1552</v>
      </c>
      <c r="AB12" s="1311"/>
      <c r="AC12" s="1312">
        <v>0</v>
      </c>
      <c r="AD12" s="1309" t="s">
        <v>296</v>
      </c>
      <c r="AE12" s="1313" t="s">
        <v>296</v>
      </c>
    </row>
    <row r="13" spans="1:31" s="722" customFormat="1" ht="21.75" customHeight="1">
      <c r="A13" s="1314"/>
      <c r="B13" s="1314"/>
      <c r="C13" s="1314"/>
      <c r="D13" s="1314"/>
      <c r="E13" s="1314" t="s">
        <v>1481</v>
      </c>
      <c r="F13" s="1314"/>
      <c r="G13" s="1314"/>
      <c r="H13" s="1314"/>
      <c r="I13" s="1314"/>
      <c r="J13" s="1314"/>
      <c r="K13" s="1255"/>
      <c r="L13" s="1315"/>
      <c r="M13" s="1315"/>
      <c r="N13" s="1316" t="s">
        <v>1482</v>
      </c>
      <c r="O13" s="1314" t="s">
        <v>1554</v>
      </c>
      <c r="P13" s="1317" t="s">
        <v>1555</v>
      </c>
      <c r="Q13" s="1318" t="s">
        <v>1556</v>
      </c>
      <c r="R13" s="1318" t="s">
        <v>1557</v>
      </c>
      <c r="S13" s="1319" t="s">
        <v>1558</v>
      </c>
      <c r="T13" s="1319" t="s">
        <v>1559</v>
      </c>
      <c r="U13" s="1318" t="s">
        <v>1560</v>
      </c>
      <c r="V13" s="1255"/>
      <c r="W13" s="1316"/>
      <c r="X13" s="1316"/>
      <c r="Y13" s="1316" t="s">
        <v>1561</v>
      </c>
      <c r="Z13" s="1316" t="s">
        <v>1746</v>
      </c>
      <c r="AA13" s="1317" t="s">
        <v>1563</v>
      </c>
      <c r="AB13" s="1314" t="s">
        <v>1564</v>
      </c>
      <c r="AC13" s="1319" t="s">
        <v>2546</v>
      </c>
      <c r="AD13" s="1316" t="s">
        <v>1566</v>
      </c>
      <c r="AE13" s="1316"/>
    </row>
    <row r="14" spans="1:31" ht="24">
      <c r="A14" s="723">
        <v>1</v>
      </c>
      <c r="B14" s="810" t="s">
        <v>1762</v>
      </c>
      <c r="C14" s="811">
        <v>44409</v>
      </c>
      <c r="D14" s="1320"/>
      <c r="E14" s="1440">
        <v>44437</v>
      </c>
      <c r="F14" s="1322">
        <f>1200*3.75</f>
        <v>4500</v>
      </c>
      <c r="G14" s="1322">
        <f>1200*3.75</f>
        <v>4500</v>
      </c>
      <c r="H14" s="1444">
        <v>0</v>
      </c>
      <c r="I14" s="1444">
        <v>0</v>
      </c>
      <c r="J14" s="1444">
        <f>G14+H14+I14</f>
        <v>4500</v>
      </c>
      <c r="K14" s="1256"/>
      <c r="L14" s="1443" t="str">
        <f>B14</f>
        <v>PAI # 01</v>
      </c>
      <c r="M14" s="724"/>
      <c r="N14" s="1321"/>
      <c r="O14" s="1323"/>
      <c r="P14" s="1324">
        <f>O14-N14</f>
        <v>0</v>
      </c>
      <c r="Q14" s="1322">
        <f>F14</f>
        <v>4500</v>
      </c>
      <c r="R14" s="1444">
        <f>Q14</f>
        <v>4500</v>
      </c>
      <c r="S14" s="1444">
        <v>0</v>
      </c>
      <c r="T14" s="1444">
        <v>0</v>
      </c>
      <c r="U14" s="1444">
        <f>R14-S14-T14</f>
        <v>4500</v>
      </c>
      <c r="V14" s="1256"/>
      <c r="W14" s="1325"/>
      <c r="X14" s="1326"/>
      <c r="Y14" s="1326">
        <v>44467</v>
      </c>
      <c r="Z14" s="1321">
        <f>E14+30</f>
        <v>44467</v>
      </c>
      <c r="AA14" s="1324">
        <f>+Z14-Y14</f>
        <v>0</v>
      </c>
      <c r="AB14" s="1327">
        <f>U14</f>
        <v>4500</v>
      </c>
      <c r="AC14" s="1327">
        <f>(R14+T14)*AC$12</f>
        <v>0</v>
      </c>
      <c r="AD14" s="1327">
        <f>AC14+AB14</f>
        <v>4500</v>
      </c>
      <c r="AE14" s="1327">
        <f>AD14</f>
        <v>4500</v>
      </c>
    </row>
    <row r="15" spans="1:31" ht="24">
      <c r="A15" s="723">
        <v>2</v>
      </c>
      <c r="B15" s="810" t="s">
        <v>2494</v>
      </c>
      <c r="C15" s="811">
        <v>45108</v>
      </c>
      <c r="D15" s="1320"/>
      <c r="E15" s="1440">
        <v>45118</v>
      </c>
      <c r="F15" s="1322">
        <f>+F14+G15</f>
        <v>18000.112500000003</v>
      </c>
      <c r="G15" s="1322">
        <f>3600.03*3.75</f>
        <v>13500.112500000001</v>
      </c>
      <c r="H15" s="1444">
        <v>0</v>
      </c>
      <c r="I15" s="1444">
        <v>0</v>
      </c>
      <c r="J15" s="1444">
        <f>G15+H15+I15</f>
        <v>13500.112500000001</v>
      </c>
      <c r="K15" s="1256"/>
      <c r="L15" s="1443" t="str">
        <f>B15</f>
        <v>PAI # 02</v>
      </c>
      <c r="M15" s="724"/>
      <c r="N15" s="1321"/>
      <c r="O15" s="1323"/>
      <c r="P15" s="1324">
        <f>O15-N15</f>
        <v>0</v>
      </c>
      <c r="Q15" s="1322">
        <f>+Q14+R15</f>
        <v>18000.112500000003</v>
      </c>
      <c r="R15" s="1322">
        <f>3600.03*3.75</f>
        <v>13500.112500000001</v>
      </c>
      <c r="S15" s="1444">
        <v>0</v>
      </c>
      <c r="T15" s="1444">
        <v>0</v>
      </c>
      <c r="U15" s="1444">
        <f>R15-S15-T15</f>
        <v>13500.112500000001</v>
      </c>
      <c r="V15" s="1256"/>
      <c r="W15" s="723"/>
      <c r="X15" s="1323"/>
      <c r="Y15" s="1321">
        <v>45180</v>
      </c>
      <c r="Z15" s="1321">
        <f>E15+30</f>
        <v>45148</v>
      </c>
      <c r="AA15" s="1324">
        <f>+Z15-Y15</f>
        <v>-32</v>
      </c>
      <c r="AB15" s="1322">
        <f>3600.03*3.75</f>
        <v>13500.112500000001</v>
      </c>
      <c r="AC15" s="1327">
        <f>(R15+T15)*AC$12</f>
        <v>0</v>
      </c>
      <c r="AD15" s="1327">
        <f>AC15+AB15</f>
        <v>13500.112500000001</v>
      </c>
      <c r="AE15" s="1327">
        <f>+AD15+AE14</f>
        <v>18000.112500000003</v>
      </c>
    </row>
    <row r="16" spans="1:31">
      <c r="A16" s="723"/>
      <c r="B16" s="810"/>
      <c r="C16" s="1445"/>
      <c r="D16" s="1320"/>
      <c r="E16" s="1440"/>
      <c r="F16" s="1322"/>
      <c r="G16" s="1322"/>
      <c r="H16" s="1322"/>
      <c r="I16" s="1322"/>
      <c r="J16" s="1322"/>
      <c r="K16" s="1256"/>
      <c r="L16" s="1443"/>
      <c r="M16" s="724"/>
      <c r="N16" s="1321"/>
      <c r="O16" s="1323"/>
      <c r="P16" s="1324"/>
      <c r="Q16" s="1322"/>
      <c r="R16" s="1444"/>
      <c r="S16" s="1444"/>
      <c r="T16" s="1444"/>
      <c r="U16" s="1328"/>
      <c r="V16" s="1256"/>
      <c r="W16" s="723"/>
      <c r="X16" s="1323"/>
      <c r="Y16" s="1321"/>
      <c r="Z16" s="1321"/>
      <c r="AA16" s="1324"/>
      <c r="AB16" s="1327"/>
      <c r="AC16" s="1327"/>
      <c r="AD16" s="1327"/>
      <c r="AE16" s="1327"/>
    </row>
    <row r="17" spans="1:31">
      <c r="A17" s="723"/>
      <c r="B17" s="810"/>
      <c r="C17" s="1445"/>
      <c r="D17" s="1320"/>
      <c r="E17" s="1440"/>
      <c r="F17" s="1322"/>
      <c r="G17" s="1322"/>
      <c r="H17" s="1322"/>
      <c r="I17" s="1322"/>
      <c r="J17" s="1322"/>
      <c r="K17" s="1256"/>
      <c r="L17" s="1443"/>
      <c r="M17" s="724"/>
      <c r="N17" s="1321"/>
      <c r="O17" s="1323"/>
      <c r="P17" s="1324"/>
      <c r="Q17" s="1322"/>
      <c r="R17" s="1444"/>
      <c r="S17" s="1444"/>
      <c r="T17" s="1444"/>
      <c r="U17" s="1328"/>
      <c r="V17" s="1256"/>
      <c r="W17" s="723"/>
      <c r="X17" s="1323"/>
      <c r="Y17" s="1321"/>
      <c r="Z17" s="1321"/>
      <c r="AA17" s="1324"/>
      <c r="AB17" s="1327"/>
      <c r="AC17" s="1327"/>
      <c r="AD17" s="1327"/>
      <c r="AE17" s="1327"/>
    </row>
    <row r="18" spans="1:31">
      <c r="A18" s="723"/>
      <c r="B18" s="810"/>
      <c r="C18" s="1445"/>
      <c r="D18" s="1320"/>
      <c r="E18" s="1440"/>
      <c r="F18" s="1322"/>
      <c r="G18" s="1322"/>
      <c r="H18" s="1322"/>
      <c r="I18" s="1322"/>
      <c r="J18" s="1322"/>
      <c r="K18" s="1256"/>
      <c r="L18" s="1443"/>
      <c r="M18" s="724"/>
      <c r="N18" s="1321"/>
      <c r="O18" s="1323"/>
      <c r="P18" s="1324"/>
      <c r="Q18" s="1322"/>
      <c r="R18" s="1444"/>
      <c r="S18" s="1444"/>
      <c r="T18" s="1444"/>
      <c r="U18" s="1328"/>
      <c r="V18" s="1256"/>
      <c r="W18" s="723"/>
      <c r="X18" s="1323"/>
      <c r="Y18" s="1321"/>
      <c r="Z18" s="1321"/>
      <c r="AA18" s="1324"/>
      <c r="AB18" s="1327"/>
      <c r="AC18" s="1327"/>
      <c r="AD18" s="1327"/>
      <c r="AE18" s="1327"/>
    </row>
    <row r="19" spans="1:31">
      <c r="A19" s="723"/>
      <c r="B19" s="810"/>
      <c r="C19" s="1445"/>
      <c r="D19" s="1320"/>
      <c r="E19" s="1440"/>
      <c r="F19" s="1322"/>
      <c r="G19" s="1322"/>
      <c r="H19" s="1322"/>
      <c r="I19" s="1322"/>
      <c r="J19" s="1322"/>
      <c r="K19" s="1256"/>
      <c r="L19" s="1443"/>
      <c r="M19" s="724"/>
      <c r="N19" s="1321"/>
      <c r="O19" s="1323"/>
      <c r="P19" s="1324"/>
      <c r="Q19" s="1322"/>
      <c r="R19" s="1444"/>
      <c r="S19" s="1444"/>
      <c r="T19" s="1444"/>
      <c r="U19" s="1328"/>
      <c r="V19" s="1256"/>
      <c r="W19" s="723"/>
      <c r="X19" s="1323"/>
      <c r="Y19" s="1321"/>
      <c r="Z19" s="1321"/>
      <c r="AA19" s="1324"/>
      <c r="AB19" s="1327"/>
      <c r="AC19" s="1327"/>
      <c r="AD19" s="1327"/>
      <c r="AE19" s="1327"/>
    </row>
    <row r="20" spans="1:31">
      <c r="A20" s="723"/>
      <c r="B20" s="810"/>
      <c r="C20" s="1445"/>
      <c r="D20" s="1320"/>
      <c r="E20" s="1440"/>
      <c r="F20" s="1322"/>
      <c r="G20" s="1322"/>
      <c r="H20" s="1322"/>
      <c r="I20" s="1322"/>
      <c r="J20" s="1322"/>
      <c r="K20" s="1256"/>
      <c r="L20" s="1443"/>
      <c r="M20" s="724"/>
      <c r="N20" s="1321"/>
      <c r="O20" s="1323"/>
      <c r="P20" s="1324"/>
      <c r="Q20" s="1322"/>
      <c r="R20" s="1444"/>
      <c r="S20" s="1444"/>
      <c r="T20" s="1444"/>
      <c r="U20" s="1328"/>
      <c r="V20" s="1256"/>
      <c r="W20" s="723"/>
      <c r="X20" s="1323"/>
      <c r="Y20" s="1321"/>
      <c r="Z20" s="1321"/>
      <c r="AA20" s="1324"/>
      <c r="AB20" s="1327"/>
      <c r="AC20" s="1327"/>
      <c r="AD20" s="1327"/>
      <c r="AE20" s="1327"/>
    </row>
    <row r="21" spans="1:31">
      <c r="A21" s="723"/>
      <c r="B21" s="810"/>
      <c r="C21" s="1445"/>
      <c r="D21" s="1320"/>
      <c r="E21" s="1440"/>
      <c r="F21" s="1322"/>
      <c r="G21" s="1322"/>
      <c r="H21" s="1322"/>
      <c r="I21" s="1322"/>
      <c r="J21" s="1322"/>
      <c r="K21" s="1256"/>
      <c r="L21" s="1443"/>
      <c r="M21" s="724"/>
      <c r="N21" s="1321"/>
      <c r="O21" s="1323"/>
      <c r="P21" s="1324"/>
      <c r="Q21" s="1322"/>
      <c r="R21" s="1444"/>
      <c r="S21" s="1444"/>
      <c r="T21" s="1444"/>
      <c r="U21" s="1328"/>
      <c r="V21" s="1256"/>
      <c r="W21" s="723"/>
      <c r="X21" s="1323"/>
      <c r="Y21" s="1321"/>
      <c r="Z21" s="1321"/>
      <c r="AA21" s="1324"/>
      <c r="AB21" s="1327"/>
      <c r="AC21" s="1327"/>
      <c r="AD21" s="1327"/>
      <c r="AE21" s="1327"/>
    </row>
    <row r="22" spans="1:31">
      <c r="A22" s="723"/>
      <c r="B22" s="810"/>
      <c r="C22" s="1445"/>
      <c r="D22" s="1320"/>
      <c r="E22" s="1440"/>
      <c r="F22" s="1322"/>
      <c r="G22" s="1322"/>
      <c r="H22" s="1322"/>
      <c r="I22" s="1322"/>
      <c r="J22" s="1322"/>
      <c r="K22" s="1256"/>
      <c r="L22" s="1443"/>
      <c r="M22" s="724"/>
      <c r="N22" s="1321"/>
      <c r="O22" s="1323"/>
      <c r="P22" s="1324"/>
      <c r="Q22" s="1322"/>
      <c r="R22" s="1444"/>
      <c r="S22" s="1444"/>
      <c r="T22" s="1444"/>
      <c r="U22" s="1328"/>
      <c r="V22" s="1256"/>
      <c r="W22" s="723"/>
      <c r="X22" s="1323"/>
      <c r="Y22" s="1321"/>
      <c r="Z22" s="1321"/>
      <c r="AA22" s="1324"/>
      <c r="AB22" s="1327"/>
      <c r="AC22" s="1327"/>
      <c r="AD22" s="1327"/>
      <c r="AE22" s="1327"/>
    </row>
    <row r="23" spans="1:31">
      <c r="A23" s="723"/>
      <c r="B23" s="810"/>
      <c r="C23" s="1445"/>
      <c r="D23" s="1320"/>
      <c r="E23" s="1440"/>
      <c r="F23" s="1322"/>
      <c r="G23" s="1322"/>
      <c r="H23" s="1322"/>
      <c r="I23" s="1322"/>
      <c r="J23" s="1322"/>
      <c r="K23" s="1256"/>
      <c r="L23" s="1443"/>
      <c r="M23" s="724"/>
      <c r="N23" s="1321"/>
      <c r="O23" s="1323"/>
      <c r="P23" s="1324"/>
      <c r="Q23" s="1322"/>
      <c r="R23" s="1444"/>
      <c r="S23" s="1444"/>
      <c r="T23" s="1444"/>
      <c r="U23" s="1328"/>
      <c r="V23" s="1256"/>
      <c r="W23" s="723"/>
      <c r="X23" s="1323"/>
      <c r="Y23" s="1321"/>
      <c r="Z23" s="1321"/>
      <c r="AA23" s="1324"/>
      <c r="AB23" s="1327"/>
      <c r="AC23" s="1327"/>
      <c r="AD23" s="1327"/>
      <c r="AE23" s="1327"/>
    </row>
    <row r="24" spans="1:31">
      <c r="A24" s="723"/>
      <c r="B24" s="810"/>
      <c r="C24" s="1445"/>
      <c r="D24" s="1320"/>
      <c r="E24" s="1440"/>
      <c r="F24" s="1322"/>
      <c r="G24" s="1322"/>
      <c r="H24" s="1322"/>
      <c r="I24" s="1322"/>
      <c r="J24" s="1322"/>
      <c r="K24" s="1256"/>
      <c r="L24" s="1443"/>
      <c r="M24" s="724"/>
      <c r="N24" s="1321"/>
      <c r="O24" s="1323"/>
      <c r="P24" s="1324"/>
      <c r="Q24" s="1322"/>
      <c r="R24" s="1444"/>
      <c r="S24" s="1444"/>
      <c r="T24" s="1444"/>
      <c r="U24" s="1328"/>
      <c r="V24" s="1256"/>
      <c r="W24" s="723"/>
      <c r="X24" s="1323"/>
      <c r="Y24" s="1321"/>
      <c r="Z24" s="1321"/>
      <c r="AA24" s="1324"/>
      <c r="AB24" s="1327"/>
      <c r="AC24" s="1327"/>
      <c r="AD24" s="1327"/>
      <c r="AE24" s="1327"/>
    </row>
    <row r="25" spans="1:31">
      <c r="A25" s="723"/>
      <c r="B25" s="810"/>
      <c r="C25" s="1445"/>
      <c r="D25" s="1320"/>
      <c r="E25" s="1440"/>
      <c r="F25" s="1322"/>
      <c r="G25" s="1322"/>
      <c r="H25" s="1322"/>
      <c r="I25" s="1322"/>
      <c r="J25" s="1322"/>
      <c r="K25" s="1256"/>
      <c r="L25" s="1443"/>
      <c r="M25" s="724"/>
      <c r="N25" s="1321"/>
      <c r="O25" s="1323"/>
      <c r="P25" s="1324"/>
      <c r="Q25" s="1322"/>
      <c r="R25" s="1444"/>
      <c r="S25" s="1444"/>
      <c r="T25" s="1444"/>
      <c r="U25" s="1328"/>
      <c r="V25" s="1256"/>
      <c r="W25" s="723"/>
      <c r="X25" s="1323"/>
      <c r="Y25" s="1321"/>
      <c r="Z25" s="1321"/>
      <c r="AA25" s="1324"/>
      <c r="AB25" s="1327"/>
      <c r="AC25" s="1327"/>
      <c r="AD25" s="1327"/>
      <c r="AE25" s="1327"/>
    </row>
    <row r="26" spans="1:31">
      <c r="A26" s="723"/>
      <c r="B26" s="810"/>
      <c r="C26" s="1445"/>
      <c r="D26" s="1320"/>
      <c r="E26" s="1440"/>
      <c r="F26" s="1322"/>
      <c r="G26" s="1322"/>
      <c r="H26" s="1322"/>
      <c r="I26" s="1322"/>
      <c r="J26" s="1322"/>
      <c r="K26" s="1256"/>
      <c r="L26" s="1443"/>
      <c r="M26" s="724"/>
      <c r="N26" s="1321"/>
      <c r="O26" s="1323"/>
      <c r="P26" s="1324"/>
      <c r="Q26" s="1322"/>
      <c r="R26" s="1444"/>
      <c r="S26" s="1444"/>
      <c r="T26" s="1444"/>
      <c r="U26" s="1328"/>
      <c r="V26" s="1256"/>
      <c r="W26" s="723"/>
      <c r="X26" s="1323"/>
      <c r="Y26" s="1321"/>
      <c r="Z26" s="1321"/>
      <c r="AA26" s="1324"/>
      <c r="AB26" s="1327"/>
      <c r="AC26" s="1327"/>
      <c r="AD26" s="1327"/>
      <c r="AE26" s="1327"/>
    </row>
    <row r="27" spans="1:31">
      <c r="A27" s="723"/>
      <c r="B27" s="810"/>
      <c r="C27" s="1445"/>
      <c r="D27" s="1320"/>
      <c r="E27" s="1440"/>
      <c r="F27" s="1322"/>
      <c r="G27" s="1322"/>
      <c r="H27" s="1322"/>
      <c r="I27" s="1322"/>
      <c r="J27" s="1322"/>
      <c r="K27" s="1256"/>
      <c r="L27" s="1443"/>
      <c r="M27" s="724"/>
      <c r="N27" s="1321"/>
      <c r="O27" s="1323"/>
      <c r="P27" s="1324"/>
      <c r="Q27" s="1322"/>
      <c r="R27" s="1444"/>
      <c r="S27" s="1444"/>
      <c r="T27" s="1444"/>
      <c r="U27" s="1328"/>
      <c r="V27" s="1256"/>
      <c r="W27" s="723"/>
      <c r="X27" s="1323"/>
      <c r="Y27" s="1321"/>
      <c r="Z27" s="1321"/>
      <c r="AA27" s="1324"/>
      <c r="AB27" s="1327"/>
      <c r="AC27" s="1327"/>
      <c r="AD27" s="1327"/>
      <c r="AE27" s="1327"/>
    </row>
    <row r="28" spans="1:31">
      <c r="A28" s="723"/>
      <c r="B28" s="810"/>
      <c r="C28" s="1445"/>
      <c r="D28" s="1320"/>
      <c r="E28" s="1440"/>
      <c r="F28" s="1322"/>
      <c r="G28" s="1322"/>
      <c r="H28" s="1322"/>
      <c r="I28" s="1322"/>
      <c r="J28" s="1322"/>
      <c r="K28" s="1256"/>
      <c r="L28" s="1443"/>
      <c r="M28" s="724"/>
      <c r="N28" s="1321"/>
      <c r="O28" s="1323"/>
      <c r="P28" s="1324"/>
      <c r="Q28" s="1322"/>
      <c r="R28" s="1444"/>
      <c r="S28" s="1444"/>
      <c r="T28" s="1444"/>
      <c r="U28" s="1328"/>
      <c r="V28" s="1256"/>
      <c r="W28" s="723"/>
      <c r="X28" s="1323"/>
      <c r="Y28" s="1321"/>
      <c r="Z28" s="1321"/>
      <c r="AA28" s="1324"/>
      <c r="AB28" s="1327"/>
      <c r="AC28" s="1327"/>
      <c r="AD28" s="1327"/>
      <c r="AE28" s="1327"/>
    </row>
    <row r="29" spans="1:31">
      <c r="A29" s="723"/>
      <c r="B29" s="810"/>
      <c r="C29" s="1445"/>
      <c r="D29" s="1320"/>
      <c r="E29" s="1440"/>
      <c r="F29" s="1322"/>
      <c r="G29" s="1322"/>
      <c r="H29" s="1322"/>
      <c r="I29" s="1322"/>
      <c r="J29" s="1322"/>
      <c r="K29" s="1256"/>
      <c r="L29" s="1443"/>
      <c r="M29" s="724"/>
      <c r="N29" s="1321"/>
      <c r="O29" s="1323"/>
      <c r="P29" s="1324"/>
      <c r="Q29" s="1322"/>
      <c r="R29" s="1444"/>
      <c r="S29" s="1444"/>
      <c r="T29" s="1444"/>
      <c r="U29" s="1328"/>
      <c r="V29" s="1256"/>
      <c r="W29" s="723"/>
      <c r="X29" s="1323"/>
      <c r="Y29" s="1321"/>
      <c r="Z29" s="1321"/>
      <c r="AA29" s="1324"/>
      <c r="AB29" s="1327"/>
      <c r="AC29" s="1327"/>
      <c r="AD29" s="1327"/>
      <c r="AE29" s="1327"/>
    </row>
    <row r="30" spans="1:31">
      <c r="A30" s="723"/>
      <c r="B30" s="810"/>
      <c r="C30" s="1445"/>
      <c r="D30" s="1320"/>
      <c r="E30" s="1440"/>
      <c r="F30" s="1322"/>
      <c r="G30" s="1322"/>
      <c r="H30" s="1322"/>
      <c r="I30" s="1322"/>
      <c r="J30" s="1322"/>
      <c r="K30" s="1256"/>
      <c r="L30" s="1443"/>
      <c r="M30" s="724"/>
      <c r="N30" s="1321"/>
      <c r="O30" s="1323"/>
      <c r="P30" s="1324"/>
      <c r="Q30" s="1322"/>
      <c r="R30" s="1444"/>
      <c r="S30" s="1444"/>
      <c r="T30" s="1444"/>
      <c r="U30" s="1328"/>
      <c r="V30" s="1256"/>
      <c r="W30" s="723"/>
      <c r="X30" s="1323"/>
      <c r="Y30" s="1321"/>
      <c r="Z30" s="1321"/>
      <c r="AA30" s="1324"/>
      <c r="AB30" s="1327"/>
      <c r="AC30" s="1327"/>
      <c r="AD30" s="1327"/>
      <c r="AE30" s="1327"/>
    </row>
    <row r="31" spans="1:31">
      <c r="A31" s="723"/>
      <c r="B31" s="810"/>
      <c r="C31" s="1445"/>
      <c r="D31" s="1320"/>
      <c r="E31" s="1440"/>
      <c r="F31" s="1322"/>
      <c r="G31" s="1322"/>
      <c r="H31" s="1322"/>
      <c r="I31" s="1322"/>
      <c r="J31" s="1322"/>
      <c r="K31" s="1256"/>
      <c r="L31" s="1443"/>
      <c r="M31" s="724"/>
      <c r="N31" s="1321"/>
      <c r="O31" s="1323"/>
      <c r="P31" s="1324"/>
      <c r="Q31" s="1322"/>
      <c r="R31" s="1444"/>
      <c r="S31" s="1444"/>
      <c r="T31" s="1444"/>
      <c r="U31" s="1328"/>
      <c r="V31" s="1256"/>
      <c r="W31" s="723"/>
      <c r="X31" s="1323"/>
      <c r="Y31" s="1321"/>
      <c r="Z31" s="1321"/>
      <c r="AA31" s="1324"/>
      <c r="AB31" s="1327"/>
      <c r="AC31" s="1327"/>
      <c r="AD31" s="1327"/>
      <c r="AE31" s="1327"/>
    </row>
    <row r="32" spans="1:31">
      <c r="A32" s="723"/>
      <c r="B32" s="810"/>
      <c r="C32" s="1445"/>
      <c r="D32" s="1320"/>
      <c r="E32" s="1440"/>
      <c r="F32" s="1322"/>
      <c r="G32" s="1322"/>
      <c r="H32" s="1322"/>
      <c r="I32" s="1322"/>
      <c r="J32" s="1322"/>
      <c r="K32" s="1256"/>
      <c r="L32" s="1443"/>
      <c r="M32" s="724"/>
      <c r="N32" s="1321"/>
      <c r="O32" s="1323"/>
      <c r="P32" s="1324"/>
      <c r="Q32" s="1322"/>
      <c r="R32" s="1444"/>
      <c r="S32" s="1444"/>
      <c r="T32" s="1444"/>
      <c r="U32" s="1328"/>
      <c r="V32" s="1256"/>
      <c r="W32" s="723"/>
      <c r="X32" s="1323"/>
      <c r="Y32" s="1321"/>
      <c r="Z32" s="1321"/>
      <c r="AA32" s="1324"/>
      <c r="AB32" s="1327"/>
      <c r="AC32" s="1327"/>
      <c r="AD32" s="1327"/>
      <c r="AE32" s="1327"/>
    </row>
    <row r="33" spans="1:31">
      <c r="A33" s="723"/>
      <c r="B33" s="810"/>
      <c r="C33" s="1445"/>
      <c r="D33" s="1320"/>
      <c r="E33" s="1440"/>
      <c r="F33" s="1322"/>
      <c r="G33" s="1322"/>
      <c r="H33" s="1322"/>
      <c r="I33" s="1322"/>
      <c r="J33" s="1322"/>
      <c r="K33" s="1256"/>
      <c r="L33" s="1443"/>
      <c r="M33" s="724"/>
      <c r="N33" s="1321"/>
      <c r="O33" s="1323"/>
      <c r="P33" s="1324"/>
      <c r="Q33" s="1322"/>
      <c r="R33" s="1444"/>
      <c r="S33" s="1444"/>
      <c r="T33" s="1444"/>
      <c r="U33" s="1328"/>
      <c r="V33" s="1256"/>
      <c r="W33" s="723"/>
      <c r="X33" s="1323"/>
      <c r="Y33" s="1321"/>
      <c r="Z33" s="1321"/>
      <c r="AA33" s="1324"/>
      <c r="AB33" s="1327"/>
      <c r="AC33" s="1327"/>
      <c r="AD33" s="1327"/>
      <c r="AE33" s="1327"/>
    </row>
    <row r="34" spans="1:31">
      <c r="A34" s="723"/>
      <c r="B34" s="810"/>
      <c r="C34" s="1445"/>
      <c r="D34" s="1320"/>
      <c r="E34" s="1440"/>
      <c r="F34" s="1322"/>
      <c r="G34" s="1322"/>
      <c r="H34" s="1322"/>
      <c r="I34" s="1322"/>
      <c r="J34" s="1322"/>
      <c r="K34" s="1256"/>
      <c r="L34" s="1443"/>
      <c r="M34" s="724"/>
      <c r="N34" s="1321"/>
      <c r="O34" s="1323"/>
      <c r="P34" s="1324"/>
      <c r="Q34" s="1322"/>
      <c r="R34" s="1444"/>
      <c r="S34" s="1444"/>
      <c r="T34" s="1444"/>
      <c r="U34" s="1328"/>
      <c r="V34" s="1256"/>
      <c r="W34" s="723"/>
      <c r="X34" s="1323"/>
      <c r="Y34" s="1321"/>
      <c r="Z34" s="1321"/>
      <c r="AA34" s="1324"/>
      <c r="AB34" s="1327"/>
      <c r="AC34" s="1327"/>
      <c r="AD34" s="1327"/>
      <c r="AE34" s="1327"/>
    </row>
    <row r="35" spans="1:31">
      <c r="A35" s="723"/>
      <c r="B35" s="810"/>
      <c r="C35" s="1445"/>
      <c r="D35" s="1320"/>
      <c r="E35" s="1441"/>
      <c r="F35" s="1322"/>
      <c r="G35" s="1322"/>
      <c r="H35" s="1322"/>
      <c r="I35" s="1322"/>
      <c r="J35" s="1322"/>
      <c r="K35" s="1256"/>
      <c r="L35" s="1443"/>
      <c r="M35" s="724"/>
      <c r="N35" s="1321"/>
      <c r="O35" s="1323"/>
      <c r="P35" s="1324"/>
      <c r="Q35" s="1322"/>
      <c r="R35" s="1444"/>
      <c r="S35" s="1444"/>
      <c r="T35" s="1444"/>
      <c r="U35" s="1328"/>
      <c r="V35" s="1256"/>
      <c r="W35" s="723"/>
      <c r="X35" s="1323"/>
      <c r="Y35" s="1321"/>
      <c r="Z35" s="1321"/>
      <c r="AA35" s="1324"/>
      <c r="AB35" s="1327"/>
      <c r="AC35" s="1327"/>
      <c r="AD35" s="1327"/>
      <c r="AE35" s="1327"/>
    </row>
    <row r="36" spans="1:31">
      <c r="A36" s="1329"/>
      <c r="B36" s="1330"/>
      <c r="C36" s="1440"/>
      <c r="D36" s="1331"/>
      <c r="E36" s="1442"/>
      <c r="F36" s="1332"/>
      <c r="G36" s="1332"/>
      <c r="H36" s="1332"/>
      <c r="I36" s="1332"/>
      <c r="J36" s="1332"/>
      <c r="K36" s="1256"/>
      <c r="L36" s="1329"/>
      <c r="M36" s="1333"/>
      <c r="N36" s="1334"/>
      <c r="O36" s="1334"/>
      <c r="P36" s="1335"/>
      <c r="Q36" s="1322"/>
      <c r="R36" s="1333"/>
      <c r="S36" s="1333"/>
      <c r="T36" s="1333"/>
      <c r="U36" s="1336"/>
      <c r="V36" s="1256"/>
      <c r="W36" s="1329"/>
      <c r="X36" s="1337"/>
      <c r="Y36" s="1334"/>
      <c r="Z36" s="1334"/>
      <c r="AA36" s="1334"/>
      <c r="AB36" s="1329"/>
      <c r="AC36" s="1337"/>
      <c r="AD36" s="1334"/>
      <c r="AE36" s="1334"/>
    </row>
    <row r="37" spans="1:31" ht="24.75" customHeight="1" collapsed="1" thickBot="1">
      <c r="A37" s="6045" t="s">
        <v>1522</v>
      </c>
      <c r="B37" s="6046"/>
      <c r="C37" s="6046"/>
      <c r="D37" s="6046"/>
      <c r="E37" s="6046"/>
      <c r="F37" s="6047"/>
      <c r="G37" s="1338">
        <f>SUM(G14:G36)</f>
        <v>18000.112500000003</v>
      </c>
      <c r="H37" s="1338">
        <f>SUM(H14:H36)</f>
        <v>0</v>
      </c>
      <c r="I37" s="1338">
        <f>SUM(I14:I36)</f>
        <v>0</v>
      </c>
      <c r="J37" s="1338">
        <f>SUM(J14:J36)</f>
        <v>18000.112500000003</v>
      </c>
      <c r="K37" s="1256"/>
      <c r="L37" s="1339" t="s">
        <v>1522</v>
      </c>
      <c r="M37" s="1340"/>
      <c r="N37" s="1340"/>
      <c r="O37" s="1340"/>
      <c r="P37" s="1340"/>
      <c r="Q37" s="1340"/>
      <c r="R37" s="1341">
        <f>SUM(R14:R36)</f>
        <v>18000.112500000003</v>
      </c>
      <c r="S37" s="1338">
        <f>SUM(S14:S36)</f>
        <v>0</v>
      </c>
      <c r="T37" s="1338">
        <f>SUM(T14:T36)</f>
        <v>0</v>
      </c>
      <c r="U37" s="1338">
        <f>SUM(U14:U36)</f>
        <v>18000.112500000003</v>
      </c>
      <c r="V37" s="1256"/>
      <c r="W37" s="1342" t="s">
        <v>1522</v>
      </c>
      <c r="X37" s="1343"/>
      <c r="Y37" s="1343"/>
      <c r="Z37" s="1343"/>
      <c r="AA37" s="1343"/>
      <c r="AB37" s="1341">
        <f>SUM(AB14:AB36)</f>
        <v>18000.112500000003</v>
      </c>
      <c r="AC37" s="1338">
        <f>SUM(AC14:AC36)</f>
        <v>0</v>
      </c>
      <c r="AD37" s="1338">
        <f>SUM(AD14:AD36)</f>
        <v>18000.112500000003</v>
      </c>
      <c r="AE37" s="1338">
        <f>AE15</f>
        <v>18000.112500000003</v>
      </c>
    </row>
    <row r="38" spans="1:31">
      <c r="A38" s="1360"/>
      <c r="B38" s="1256"/>
      <c r="C38" s="1255"/>
      <c r="D38" s="1257"/>
      <c r="E38" s="1361"/>
      <c r="F38" s="1258"/>
      <c r="G38" s="1258"/>
      <c r="H38" s="1258"/>
      <c r="I38" s="1258"/>
      <c r="J38" s="1258"/>
      <c r="K38" s="1256"/>
      <c r="L38" s="1360"/>
      <c r="M38" s="1360"/>
      <c r="N38" s="1362"/>
      <c r="O38" s="1362"/>
      <c r="P38" s="1362"/>
      <c r="Q38" s="1360"/>
      <c r="R38" s="1360"/>
      <c r="S38" s="1360"/>
      <c r="T38" s="1360"/>
      <c r="U38" s="1363"/>
      <c r="V38" s="1256"/>
      <c r="W38" s="1360"/>
      <c r="X38" s="1364"/>
      <c r="Y38" s="1362"/>
      <c r="Z38" s="1362"/>
      <c r="AA38" s="1362"/>
      <c r="AB38" s="1360"/>
      <c r="AC38" s="1364"/>
      <c r="AD38" s="1362"/>
      <c r="AE38" s="1362"/>
    </row>
    <row r="39" spans="1:31">
      <c r="A39" s="1360"/>
      <c r="B39" s="1256"/>
      <c r="C39" s="1255"/>
      <c r="D39" s="1257"/>
      <c r="E39" s="1361"/>
      <c r="F39" s="1258"/>
      <c r="G39" s="1258"/>
      <c r="H39" s="1258"/>
      <c r="I39" s="1258"/>
      <c r="J39" s="1258"/>
      <c r="K39" s="1256"/>
      <c r="L39" s="1360"/>
      <c r="M39" s="1360"/>
      <c r="N39" s="1362"/>
      <c r="O39" s="1362"/>
      <c r="P39" s="1257"/>
      <c r="Q39" s="1258"/>
      <c r="R39" s="1258"/>
      <c r="S39" s="1258"/>
      <c r="T39" s="1258"/>
      <c r="U39" s="1258"/>
      <c r="V39" s="1256"/>
      <c r="W39" s="1360"/>
      <c r="X39" s="1364"/>
      <c r="Y39" s="1362"/>
      <c r="Z39" s="1362"/>
      <c r="AA39" s="1362"/>
      <c r="AB39" s="1360"/>
      <c r="AC39" s="1364"/>
      <c r="AD39" s="1362"/>
      <c r="AE39" s="1362"/>
    </row>
    <row r="40" spans="1:31">
      <c r="A40" s="1365"/>
      <c r="B40" s="1256"/>
      <c r="C40" s="1255"/>
      <c r="D40" s="1257"/>
      <c r="E40" s="1361"/>
      <c r="F40" s="1366"/>
      <c r="G40" s="1366"/>
      <c r="H40" s="1366"/>
      <c r="I40" s="1366"/>
      <c r="J40" s="1258"/>
      <c r="K40" s="1256"/>
      <c r="L40" s="1365"/>
      <c r="M40" s="1365">
        <f>403092.61/11085046.72</f>
        <v>3.6363636544059594E-2</v>
      </c>
      <c r="N40" s="1365"/>
      <c r="O40" s="1365"/>
      <c r="P40" s="1257"/>
      <c r="Q40" s="1366"/>
      <c r="R40" s="1366"/>
      <c r="S40" s="1366"/>
      <c r="T40" s="1366"/>
      <c r="U40" s="1366"/>
      <c r="V40" s="1256"/>
      <c r="W40" s="1365"/>
      <c r="X40" s="1365"/>
      <c r="Y40" s="1362"/>
      <c r="Z40" s="1362"/>
      <c r="AA40" s="1362"/>
      <c r="AB40" s="1365"/>
      <c r="AC40" s="1365"/>
      <c r="AD40" s="1362"/>
      <c r="AE40" s="1362"/>
    </row>
    <row r="41" spans="1:31">
      <c r="D41" s="1257"/>
      <c r="E41" s="153">
        <v>44197</v>
      </c>
      <c r="F41" s="1366"/>
      <c r="P41" s="1257"/>
      <c r="Q41" s="1366"/>
      <c r="R41" s="1366"/>
      <c r="S41" s="1366"/>
      <c r="T41" s="1366"/>
      <c r="U41" s="1366"/>
      <c r="Z41" s="153">
        <v>44094</v>
      </c>
      <c r="AB41" s="1367"/>
    </row>
    <row r="42" spans="1:31">
      <c r="D42" s="1257"/>
      <c r="E42" s="153">
        <f>E41-45</f>
        <v>44152</v>
      </c>
      <c r="F42" s="1366"/>
      <c r="P42" s="1257"/>
      <c r="Q42" s="1366"/>
      <c r="R42" s="1366"/>
      <c r="S42" s="1366"/>
      <c r="T42" s="1366"/>
      <c r="U42" s="1366"/>
      <c r="Z42" s="153">
        <f>Z41-45</f>
        <v>44049</v>
      </c>
    </row>
    <row r="43" spans="1:31">
      <c r="D43" s="1257"/>
      <c r="F43" s="1366"/>
      <c r="H43" s="153">
        <v>43986</v>
      </c>
      <c r="R43" s="652"/>
      <c r="S43" s="652"/>
      <c r="T43" s="652"/>
      <c r="U43" s="652"/>
    </row>
  </sheetData>
  <mergeCells count="4">
    <mergeCell ref="A10:J10"/>
    <mergeCell ref="L10:U10"/>
    <mergeCell ref="W10:AE10"/>
    <mergeCell ref="A37:F37"/>
  </mergeCells>
  <printOptions horizontalCentered="1"/>
  <pageMargins left="0.25" right="0.25" top="0.75" bottom="0.75" header="0.3" footer="0.3"/>
  <pageSetup paperSize="8" scale="70" fitToHeight="2" orientation="landscape" r:id="rId1"/>
  <headerFooter>
    <oddHeader>&amp;C&amp;"Calibri,Bold"&amp;18MONTHLY REPORT - INVOICE &amp; PAYMENT TRACKING LOG (GBC)</oddHeader>
    <oddFooter>&amp;L1TB.01.003.01 - AYC 
MARCH'26 REPORT&amp;C&amp;A&amp;RPage &amp;P of &amp;N</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21850-C8F7-47C1-9BBE-1F9B9EE8B3C6}">
  <sheetPr codeName="Sheet15">
    <tabColor theme="7" tint="0.39997558519241921"/>
  </sheetPr>
  <dimension ref="A1:AI156"/>
  <sheetViews>
    <sheetView showGridLines="0" view="pageBreakPreview" topLeftCell="I31" zoomScale="90" zoomScaleNormal="100" zoomScaleSheetLayoutView="90" workbookViewId="0">
      <selection activeCell="C43" sqref="C43"/>
    </sheetView>
  </sheetViews>
  <sheetFormatPr defaultColWidth="9" defaultRowHeight="12.75" outlineLevelRow="1"/>
  <cols>
    <col min="1" max="1" width="10.85546875" customWidth="1"/>
    <col min="2" max="2" width="10.42578125" customWidth="1"/>
    <col min="3" max="3" width="10.85546875" customWidth="1"/>
    <col min="4" max="4" width="18.85546875" bestFit="1" customWidth="1"/>
    <col min="5" max="5" width="9.85546875" customWidth="1"/>
    <col min="6" max="7" width="14.85546875" customWidth="1"/>
    <col min="8" max="9" width="13.85546875" bestFit="1" customWidth="1"/>
    <col min="10" max="10" width="13.85546875" customWidth="1"/>
    <col min="11" max="11" width="0.85546875" customWidth="1"/>
    <col min="12" max="12" width="6.42578125" bestFit="1" customWidth="1"/>
    <col min="13" max="13" width="14.85546875" bestFit="1" customWidth="1"/>
    <col min="14" max="15" width="9.42578125" bestFit="1" customWidth="1"/>
    <col min="16" max="16" width="7.85546875" customWidth="1"/>
    <col min="17" max="17" width="13.85546875" customWidth="1"/>
    <col min="18" max="18" width="15.5703125" customWidth="1"/>
    <col min="19" max="19" width="12.85546875" bestFit="1" customWidth="1"/>
    <col min="20" max="20" width="12.42578125" bestFit="1" customWidth="1"/>
    <col min="21" max="21" width="14.5703125" bestFit="1" customWidth="1"/>
    <col min="22" max="22" width="0.85546875" customWidth="1"/>
    <col min="23" max="23" width="22.85546875" bestFit="1" customWidth="1"/>
    <col min="24" max="25" width="9" bestFit="1" customWidth="1"/>
    <col min="26" max="26" width="10" customWidth="1"/>
    <col min="27" max="27" width="7" customWidth="1"/>
    <col min="28" max="28" width="13" bestFit="1" customWidth="1"/>
    <col min="29" max="29" width="13.5703125" customWidth="1"/>
    <col min="30" max="31" width="14" customWidth="1"/>
    <col min="32" max="33" width="12.85546875" bestFit="1" customWidth="1"/>
    <col min="35" max="35" width="10.42578125" bestFit="1" customWidth="1"/>
  </cols>
  <sheetData>
    <row r="1" spans="1:31">
      <c r="A1" s="1255"/>
      <c r="B1" s="1256"/>
      <c r="C1" s="1255"/>
      <c r="D1" s="1257"/>
      <c r="E1" s="1257"/>
      <c r="F1" s="1258"/>
      <c r="G1" s="1258"/>
      <c r="H1" s="1258"/>
      <c r="I1" s="1258"/>
      <c r="J1" s="1258"/>
      <c r="K1" s="1257"/>
      <c r="L1" s="1255"/>
      <c r="M1" s="1255"/>
      <c r="N1" s="1255"/>
      <c r="O1" s="1255"/>
      <c r="P1" s="1255"/>
      <c r="Q1" s="1255"/>
      <c r="R1" s="1255"/>
      <c r="S1" s="1255"/>
      <c r="T1" s="1255"/>
      <c r="U1" s="1259"/>
      <c r="V1" s="1257"/>
      <c r="W1" s="1257"/>
      <c r="X1" s="1257"/>
      <c r="Y1" s="1257"/>
      <c r="Z1" s="1257"/>
      <c r="AA1" s="1257"/>
      <c r="AB1" s="1257"/>
      <c r="AC1" s="1257"/>
      <c r="AD1" s="1257"/>
      <c r="AE1" s="1257"/>
    </row>
    <row r="2" spans="1:31">
      <c r="A2" s="9" t="str">
        <f>'Data Input'!A1&amp;" - "&amp;'Data Input'!B1</f>
        <v>PROGRAMME: - MARINA VILLAGE (PROGRAMME 1_TRIPLE BAY)</v>
      </c>
      <c r="C2" s="1255"/>
      <c r="D2" s="1257"/>
      <c r="E2" s="1257"/>
      <c r="F2" s="1258"/>
      <c r="G2" s="1258"/>
      <c r="H2" s="1258"/>
      <c r="I2" s="1258"/>
      <c r="J2" s="1258"/>
      <c r="K2" s="1257"/>
      <c r="L2" s="1255"/>
      <c r="M2" s="1255"/>
      <c r="N2" s="1255"/>
      <c r="O2" s="1255"/>
      <c r="P2" s="1255"/>
      <c r="Q2" s="1255"/>
      <c r="R2" s="1255"/>
      <c r="S2" s="1255"/>
      <c r="T2" s="1255"/>
      <c r="U2" s="1259"/>
      <c r="V2" s="1257"/>
      <c r="W2" s="1257"/>
      <c r="X2" s="1257"/>
      <c r="Y2" s="1257"/>
      <c r="Z2" s="1257"/>
      <c r="AA2" s="1257"/>
      <c r="AB2" s="1257"/>
      <c r="AC2" s="1257"/>
      <c r="AD2" s="1257"/>
      <c r="AE2" s="1257"/>
    </row>
    <row r="3" spans="1:31">
      <c r="A3" s="9" t="str">
        <f>'Data Input'!A2&amp;" - "&amp;'Data Input'!B2</f>
        <v>PROGRAMME CODE: - 1TB01003</v>
      </c>
      <c r="C3" s="1261"/>
      <c r="D3" s="1262"/>
      <c r="E3" s="1262"/>
      <c r="F3" s="1263"/>
      <c r="G3" s="1263"/>
      <c r="H3" s="1263"/>
      <c r="I3" s="1263"/>
      <c r="J3" s="1264"/>
      <c r="K3" s="1265"/>
      <c r="L3" s="1265"/>
      <c r="M3" s="1265"/>
      <c r="N3" s="1265"/>
      <c r="O3" s="1266"/>
      <c r="P3" s="1265"/>
      <c r="Q3" s="1265"/>
      <c r="R3" s="1265"/>
      <c r="S3" s="1265"/>
      <c r="T3" s="1265"/>
      <c r="U3" s="1267"/>
      <c r="V3" s="1265"/>
      <c r="W3" s="1265"/>
      <c r="X3" s="1265"/>
      <c r="Y3" s="1265"/>
      <c r="Z3" s="1265"/>
      <c r="AA3" s="1265"/>
      <c r="AB3" s="1265"/>
      <c r="AC3" s="1265"/>
      <c r="AD3" s="1265"/>
      <c r="AE3" s="1265"/>
    </row>
    <row r="4" spans="1:31">
      <c r="A4" s="9" t="str">
        <f>'Data Input'!A3&amp;" - "&amp;'Data Input'!B3</f>
        <v>ASSET NAME: - AMAALA YACHT CLUB</v>
      </c>
      <c r="C4" s="1268"/>
      <c r="D4" s="1265"/>
      <c r="E4" s="1265"/>
      <c r="F4" s="1267"/>
      <c r="G4" s="1267"/>
      <c r="H4" s="1267"/>
      <c r="I4" s="1267"/>
      <c r="J4" s="1269"/>
      <c r="K4" s="1265"/>
      <c r="L4" s="1265"/>
      <c r="M4" s="1265"/>
      <c r="N4" s="1265"/>
      <c r="O4" s="1266"/>
      <c r="P4" s="1265"/>
      <c r="Q4" s="1267"/>
      <c r="R4" s="1265"/>
      <c r="S4" s="1265"/>
      <c r="T4" s="1265"/>
      <c r="U4" s="1267"/>
      <c r="V4" s="1265"/>
      <c r="W4" s="1265"/>
      <c r="X4" s="1265"/>
      <c r="Y4" s="1265"/>
      <c r="Z4" s="1265"/>
      <c r="AA4" s="1265"/>
      <c r="AB4" s="1265"/>
      <c r="AC4" s="1265"/>
      <c r="AD4" s="1265"/>
      <c r="AE4" s="1265"/>
    </row>
    <row r="5" spans="1:31">
      <c r="A5" s="9" t="str">
        <f>'Data Input'!A4&amp;" - "&amp;'Data Input'!B4</f>
        <v>ASSET CODE: - 1TB01003.01</v>
      </c>
      <c r="C5" s="1268"/>
      <c r="D5" s="1265"/>
      <c r="E5" s="1265"/>
      <c r="F5" s="1267"/>
      <c r="G5" s="1267"/>
      <c r="H5" s="1267"/>
      <c r="I5" s="1267"/>
      <c r="J5" s="1269"/>
      <c r="K5" s="1265"/>
      <c r="L5" s="1265"/>
      <c r="M5" s="1265"/>
      <c r="N5" s="1265"/>
      <c r="O5" s="1266"/>
      <c r="P5" s="1265"/>
      <c r="Q5" s="1265"/>
      <c r="R5" s="1271"/>
      <c r="S5" s="1265"/>
      <c r="T5" s="1265"/>
      <c r="U5" s="1267"/>
      <c r="V5" s="1265"/>
      <c r="W5" s="1265"/>
      <c r="X5" s="1265"/>
      <c r="Y5" s="1265"/>
      <c r="Z5" s="1265"/>
      <c r="AA5" s="1265"/>
      <c r="AB5" s="1265"/>
      <c r="AC5" s="1265"/>
      <c r="AD5" s="1265"/>
      <c r="AE5" s="1265"/>
    </row>
    <row r="6" spans="1:31">
      <c r="A6" s="9" t="str">
        <f>'Data Input'!A7&amp;" - "&amp;'Data Input'!B7</f>
        <v>REPORT NO: - MONTHLY REPORT NO. 49</v>
      </c>
      <c r="C6" s="1268"/>
      <c r="D6" s="1265"/>
      <c r="E6" s="1265"/>
      <c r="F6" s="1267"/>
      <c r="G6" s="1267"/>
      <c r="H6" s="1267"/>
      <c r="I6" s="1267"/>
      <c r="J6" s="1269"/>
      <c r="K6" s="1265"/>
      <c r="L6" s="1265"/>
      <c r="M6" s="1265"/>
      <c r="N6" s="1265"/>
      <c r="O6" s="1266"/>
      <c r="P6" s="1265"/>
      <c r="Q6" s="1265"/>
      <c r="R6" s="1273"/>
      <c r="S6" s="1265"/>
      <c r="T6" s="1271"/>
      <c r="U6" s="1267"/>
      <c r="V6" s="1265"/>
      <c r="W6" s="1265"/>
      <c r="X6" s="1265"/>
      <c r="Y6" s="1265"/>
      <c r="Z6" s="1265"/>
      <c r="AA6" s="1265"/>
      <c r="AB6" s="1265"/>
      <c r="AC6" s="1265"/>
      <c r="AD6" s="1265"/>
      <c r="AE6" s="1265"/>
    </row>
    <row r="7" spans="1:31">
      <c r="A7" s="9" t="str">
        <f>'Data Input'!A8&amp;" - "&amp;'Data Input'!B8</f>
        <v>REPORTING PERIOD: - OCTOBER 2026</v>
      </c>
      <c r="C7" s="1274"/>
      <c r="D7" s="1262"/>
      <c r="E7" s="1262"/>
      <c r="F7" s="1263"/>
      <c r="G7" s="1263"/>
      <c r="H7" s="1263"/>
      <c r="I7" s="1263"/>
      <c r="J7" s="1264"/>
      <c r="K7" s="1265"/>
      <c r="L7" s="1265"/>
      <c r="M7" s="1265"/>
      <c r="N7" s="1265"/>
      <c r="O7" s="1265"/>
      <c r="P7" s="1265"/>
      <c r="Q7" s="1267"/>
      <c r="R7" s="1263"/>
      <c r="S7" s="1263"/>
      <c r="T7" s="1263"/>
      <c r="U7" s="1267"/>
      <c r="V7" s="1265"/>
      <c r="W7" s="1265"/>
      <c r="X7" s="1265"/>
      <c r="Y7" s="1265"/>
      <c r="Z7" s="1265"/>
      <c r="AA7" s="1265"/>
      <c r="AB7" s="1265"/>
      <c r="AC7" s="1265"/>
      <c r="AD7" s="1265"/>
      <c r="AE7" s="1265"/>
    </row>
    <row r="8" spans="1:31" ht="13.5" thickBot="1">
      <c r="A8" s="9"/>
      <c r="B8" s="1256"/>
      <c r="C8" s="1255"/>
      <c r="D8" s="1257"/>
      <c r="E8" s="1257"/>
      <c r="F8" s="1258"/>
      <c r="G8" s="1258"/>
      <c r="H8" s="1258"/>
      <c r="I8" s="1258"/>
      <c r="J8" s="1258"/>
      <c r="K8" s="1257"/>
      <c r="L8" s="1255"/>
      <c r="M8" s="1255"/>
      <c r="N8" s="1275"/>
      <c r="O8" s="1276"/>
      <c r="P8" s="1255"/>
      <c r="Q8" s="1255"/>
      <c r="R8" s="1255"/>
      <c r="S8" s="1255"/>
      <c r="T8" s="1255"/>
      <c r="U8" s="1259"/>
      <c r="V8" s="1257"/>
      <c r="W8" s="1257"/>
      <c r="X8" s="1257"/>
      <c r="Y8" s="1257"/>
      <c r="Z8" s="1257"/>
      <c r="AA8" s="1257"/>
      <c r="AB8" s="1257"/>
      <c r="AC8" s="1257"/>
      <c r="AD8" s="1257"/>
      <c r="AE8" s="1257"/>
    </row>
    <row r="9" spans="1:31" ht="30" customHeight="1" thickBot="1">
      <c r="A9" s="1354" t="s">
        <v>1523</v>
      </c>
      <c r="B9" s="1355"/>
      <c r="C9" s="1355"/>
      <c r="D9" s="1356"/>
      <c r="E9" s="1356"/>
      <c r="F9" s="1357"/>
      <c r="G9" s="1357"/>
      <c r="H9" s="1357"/>
      <c r="I9" s="1357"/>
      <c r="J9" s="1357"/>
      <c r="K9" s="1356"/>
      <c r="L9" s="1355"/>
      <c r="M9" s="1355"/>
      <c r="N9" s="1355"/>
      <c r="O9" s="1355"/>
      <c r="P9" s="1355"/>
      <c r="Q9" s="1355"/>
      <c r="R9" s="1355"/>
      <c r="S9" s="1355"/>
      <c r="T9" s="1355"/>
      <c r="U9" s="1358"/>
      <c r="V9" s="1356"/>
      <c r="W9" s="1356"/>
      <c r="X9" s="1356"/>
      <c r="Y9" s="1356"/>
      <c r="Z9" s="1356"/>
      <c r="AA9" s="1356"/>
      <c r="AB9" s="1356"/>
      <c r="AC9" s="1356"/>
      <c r="AD9" s="1356"/>
      <c r="AE9" s="1359"/>
    </row>
    <row r="10" spans="1:31">
      <c r="A10" s="6051" t="s">
        <v>1524</v>
      </c>
      <c r="B10" s="6052"/>
      <c r="C10" s="6052"/>
      <c r="D10" s="6052"/>
      <c r="E10" s="6052"/>
      <c r="F10" s="6052"/>
      <c r="G10" s="6053"/>
      <c r="H10" s="6053"/>
      <c r="I10" s="6053"/>
      <c r="J10" s="6054"/>
      <c r="K10" s="1256"/>
      <c r="L10" s="6055" t="s">
        <v>1525</v>
      </c>
      <c r="M10" s="6056"/>
      <c r="N10" s="6056"/>
      <c r="O10" s="6056"/>
      <c r="P10" s="6056"/>
      <c r="Q10" s="6056"/>
      <c r="R10" s="6057"/>
      <c r="S10" s="6057"/>
      <c r="T10" s="6057"/>
      <c r="U10" s="6058"/>
      <c r="V10" s="1256"/>
      <c r="W10" s="6043" t="s">
        <v>1526</v>
      </c>
      <c r="X10" s="6044"/>
      <c r="Y10" s="6044"/>
      <c r="Z10" s="6044"/>
      <c r="AA10" s="6044"/>
      <c r="AB10" s="6044"/>
      <c r="AC10" s="6044"/>
      <c r="AD10" s="6044"/>
      <c r="AE10" s="6059"/>
    </row>
    <row r="11" spans="1:31" ht="60" customHeight="1">
      <c r="A11" s="1283" t="s">
        <v>1462</v>
      </c>
      <c r="B11" s="1284" t="s">
        <v>1527</v>
      </c>
      <c r="C11" s="1284" t="s">
        <v>1528</v>
      </c>
      <c r="D11" s="1285" t="s">
        <v>1529</v>
      </c>
      <c r="E11" s="1285" t="s">
        <v>1530</v>
      </c>
      <c r="F11" s="1286" t="s">
        <v>1531</v>
      </c>
      <c r="G11" s="1287" t="s">
        <v>1532</v>
      </c>
      <c r="H11" s="1287" t="s">
        <v>1533</v>
      </c>
      <c r="I11" s="1287" t="s">
        <v>1534</v>
      </c>
      <c r="J11" s="1288" t="s">
        <v>1535</v>
      </c>
      <c r="K11" s="1289"/>
      <c r="L11" s="763" t="s">
        <v>1536</v>
      </c>
      <c r="M11" s="1290" t="s">
        <v>1537</v>
      </c>
      <c r="N11" s="1290" t="s">
        <v>1530</v>
      </c>
      <c r="O11" s="1290" t="s">
        <v>1538</v>
      </c>
      <c r="P11" s="764" t="s">
        <v>1539</v>
      </c>
      <c r="Q11" s="1291" t="s">
        <v>1540</v>
      </c>
      <c r="R11" s="1292" t="s">
        <v>1541</v>
      </c>
      <c r="S11" s="1292" t="s">
        <v>1533</v>
      </c>
      <c r="T11" s="1292" t="s">
        <v>1534</v>
      </c>
      <c r="U11" s="1293" t="s">
        <v>1542</v>
      </c>
      <c r="V11" s="1256"/>
      <c r="W11" s="1294" t="s">
        <v>1543</v>
      </c>
      <c r="X11" s="1295" t="s">
        <v>1544</v>
      </c>
      <c r="Y11" s="1296" t="s">
        <v>1545</v>
      </c>
      <c r="Z11" s="1296" t="s">
        <v>1546</v>
      </c>
      <c r="AA11" s="769" t="s">
        <v>1539</v>
      </c>
      <c r="AB11" s="769" t="s">
        <v>1547</v>
      </c>
      <c r="AC11" s="769" t="s">
        <v>1548</v>
      </c>
      <c r="AD11" s="1296" t="s">
        <v>1549</v>
      </c>
      <c r="AE11" s="1297" t="s">
        <v>1550</v>
      </c>
    </row>
    <row r="12" spans="1:31" ht="17.25" customHeight="1">
      <c r="A12" s="1298"/>
      <c r="B12" s="1299"/>
      <c r="C12" s="1300"/>
      <c r="D12" s="1301"/>
      <c r="E12" s="1302" t="s">
        <v>296</v>
      </c>
      <c r="F12" s="1303" t="s">
        <v>434</v>
      </c>
      <c r="G12" s="1303" t="s">
        <v>434</v>
      </c>
      <c r="H12" s="1304">
        <v>0.2</v>
      </c>
      <c r="I12" s="1304">
        <v>0.1</v>
      </c>
      <c r="J12" s="1305" t="s">
        <v>434</v>
      </c>
      <c r="K12" s="1256"/>
      <c r="L12" s="765"/>
      <c r="M12" s="766"/>
      <c r="N12" s="1306" t="s">
        <v>296</v>
      </c>
      <c r="O12" s="766" t="s">
        <v>1551</v>
      </c>
      <c r="P12" s="1307" t="s">
        <v>1552</v>
      </c>
      <c r="Q12" s="767" t="s">
        <v>434</v>
      </c>
      <c r="R12" s="767" t="s">
        <v>434</v>
      </c>
      <c r="S12" s="1308">
        <v>0.2</v>
      </c>
      <c r="T12" s="1308">
        <v>0.1</v>
      </c>
      <c r="U12" s="768" t="s">
        <v>434</v>
      </c>
      <c r="V12" s="1256"/>
      <c r="W12" s="770"/>
      <c r="X12" s="1309" t="s">
        <v>296</v>
      </c>
      <c r="Y12" s="1309" t="s">
        <v>296</v>
      </c>
      <c r="Z12" s="1309" t="s">
        <v>1553</v>
      </c>
      <c r="AA12" s="1310" t="s">
        <v>1552</v>
      </c>
      <c r="AB12" s="1311"/>
      <c r="AC12" s="1312">
        <v>0.15</v>
      </c>
      <c r="AD12" s="1309" t="s">
        <v>296</v>
      </c>
      <c r="AE12" s="1313" t="s">
        <v>296</v>
      </c>
    </row>
    <row r="13" spans="1:31" s="722" customFormat="1" ht="12.75" customHeight="1">
      <c r="A13" s="1314"/>
      <c r="B13" s="1314"/>
      <c r="C13" s="1314"/>
      <c r="D13" s="1314"/>
      <c r="E13" s="1314" t="s">
        <v>1481</v>
      </c>
      <c r="F13" s="1314"/>
      <c r="G13" s="1314"/>
      <c r="H13" s="1314"/>
      <c r="I13" s="1314"/>
      <c r="J13" s="1314"/>
      <c r="K13" s="1255"/>
      <c r="L13" s="1315"/>
      <c r="M13" s="1315"/>
      <c r="N13" s="1316" t="s">
        <v>1482</v>
      </c>
      <c r="O13" s="1314" t="s">
        <v>1554</v>
      </c>
      <c r="P13" s="1317" t="s">
        <v>1555</v>
      </c>
      <c r="Q13" s="1318" t="s">
        <v>1556</v>
      </c>
      <c r="R13" s="1318" t="s">
        <v>1557</v>
      </c>
      <c r="S13" s="1319" t="s">
        <v>1558</v>
      </c>
      <c r="T13" s="1319" t="s">
        <v>1559</v>
      </c>
      <c r="U13" s="1318" t="s">
        <v>1560</v>
      </c>
      <c r="V13" s="1255"/>
      <c r="W13" s="1316"/>
      <c r="X13" s="1316"/>
      <c r="Y13" s="1316" t="s">
        <v>1561</v>
      </c>
      <c r="Z13" s="1316" t="s">
        <v>1562</v>
      </c>
      <c r="AA13" s="1317" t="s">
        <v>1563</v>
      </c>
      <c r="AB13" s="1314" t="s">
        <v>1564</v>
      </c>
      <c r="AC13" s="1319" t="s">
        <v>1565</v>
      </c>
      <c r="AD13" s="1316" t="s">
        <v>1566</v>
      </c>
      <c r="AE13" s="1316"/>
    </row>
    <row r="14" spans="1:31" ht="24" outlineLevel="1">
      <c r="A14" s="723">
        <f t="shared" ref="A14:E20" si="0">A40</f>
        <v>1</v>
      </c>
      <c r="B14" s="810" t="str">
        <f t="shared" si="0"/>
        <v>IPA No. 01 Adv Pay</v>
      </c>
      <c r="C14" s="810" t="str">
        <f t="shared" si="0"/>
        <v>Advance Payment</v>
      </c>
      <c r="D14" s="1320" t="str">
        <f t="shared" si="0"/>
        <v>NSC-LTR-000010</v>
      </c>
      <c r="E14" s="1321">
        <f t="shared" si="0"/>
        <v>44677</v>
      </c>
      <c r="F14" s="1322">
        <f t="shared" ref="F14:J23" si="1">F40+F67+F94+F121</f>
        <v>21990478.399999999</v>
      </c>
      <c r="G14" s="1322">
        <f t="shared" si="1"/>
        <v>21990478.399999999</v>
      </c>
      <c r="H14" s="1322">
        <f t="shared" si="1"/>
        <v>0</v>
      </c>
      <c r="I14" s="1322">
        <f t="shared" si="1"/>
        <v>0</v>
      </c>
      <c r="J14" s="1322">
        <f t="shared" si="1"/>
        <v>21990478.399999999</v>
      </c>
      <c r="K14" s="2801"/>
      <c r="L14" s="723">
        <v>1</v>
      </c>
      <c r="M14" s="1320" t="str">
        <f>M40</f>
        <v>WSP-TRAN-000502</v>
      </c>
      <c r="N14" s="1321">
        <f t="shared" ref="M14:P15" si="2">N40</f>
        <v>44698</v>
      </c>
      <c r="O14" s="1323">
        <f t="shared" si="2"/>
        <v>44691</v>
      </c>
      <c r="P14" s="1324">
        <f t="shared" si="2"/>
        <v>-7</v>
      </c>
      <c r="Q14" s="1322">
        <f t="shared" ref="Q14:U22" si="3">Q40+Q67+Q94+Q121</f>
        <v>21990478.399999999</v>
      </c>
      <c r="R14" s="1322">
        <f t="shared" si="3"/>
        <v>21990478.399999999</v>
      </c>
      <c r="S14" s="1322">
        <f t="shared" si="3"/>
        <v>0</v>
      </c>
      <c r="T14" s="1322">
        <f t="shared" si="3"/>
        <v>0</v>
      </c>
      <c r="U14" s="1322">
        <f t="shared" si="3"/>
        <v>21990478.399999999</v>
      </c>
      <c r="V14" s="2801"/>
      <c r="W14" s="1350" t="str">
        <f>W40</f>
        <v>AMA-WTRAN-000703</v>
      </c>
      <c r="X14" s="1321">
        <f>X40</f>
        <v>44359</v>
      </c>
      <c r="Y14" s="1321">
        <f>Y40</f>
        <v>44714</v>
      </c>
      <c r="Z14" s="1321">
        <f>Z40</f>
        <v>44691</v>
      </c>
      <c r="AA14" s="1324">
        <f>AA40</f>
        <v>-23</v>
      </c>
      <c r="AB14" s="1327">
        <f>AB40+AB67+AB94+AB121</f>
        <v>21990478.399999999</v>
      </c>
      <c r="AC14" s="1327">
        <f>AC40+AC67+AC94+AC121</f>
        <v>3298571.76</v>
      </c>
      <c r="AD14" s="1327">
        <f>AD40+AD67+AD94+AD121</f>
        <v>25289050.16</v>
      </c>
      <c r="AE14" s="1327">
        <f>AE40+AE67+AE94+AE121</f>
        <v>25289050.16</v>
      </c>
    </row>
    <row r="15" spans="1:31" outlineLevel="1">
      <c r="A15" s="1352">
        <f t="shared" si="0"/>
        <v>2</v>
      </c>
      <c r="B15" s="810" t="str">
        <f t="shared" ref="B15:B33" si="4">B41</f>
        <v>IPA No. 02</v>
      </c>
      <c r="C15" s="2023">
        <f t="shared" si="0"/>
        <v>44713</v>
      </c>
      <c r="D15" s="2033" t="str">
        <f t="shared" si="0"/>
        <v>NSC-GENCORR-000027</v>
      </c>
      <c r="E15" s="2025">
        <f t="shared" si="0"/>
        <v>44768</v>
      </c>
      <c r="F15" s="2026">
        <f t="shared" si="1"/>
        <v>26268812.960999999</v>
      </c>
      <c r="G15" s="2026">
        <f t="shared" si="1"/>
        <v>4278334.5610000007</v>
      </c>
      <c r="H15" s="2026">
        <f t="shared" si="1"/>
        <v>-855666.91220000014</v>
      </c>
      <c r="I15" s="2026">
        <f t="shared" si="1"/>
        <v>-427833.45610000007</v>
      </c>
      <c r="J15" s="2026">
        <f t="shared" si="1"/>
        <v>2994834.1927000005</v>
      </c>
      <c r="K15" s="2027"/>
      <c r="L15" s="1352">
        <v>2</v>
      </c>
      <c r="M15" s="2033" t="str">
        <f t="shared" si="2"/>
        <v>WSP-LTR-000024</v>
      </c>
      <c r="N15" s="2025">
        <f t="shared" si="2"/>
        <v>44790</v>
      </c>
      <c r="O15" s="2029">
        <f t="shared" si="2"/>
        <v>44796</v>
      </c>
      <c r="P15" s="2030">
        <f t="shared" ref="P15:P25" si="5">P41</f>
        <v>6</v>
      </c>
      <c r="Q15" s="2026">
        <f t="shared" si="3"/>
        <v>25785042.030000001</v>
      </c>
      <c r="R15" s="2026">
        <f t="shared" si="3"/>
        <v>3794563.63</v>
      </c>
      <c r="S15" s="2026">
        <f t="shared" si="3"/>
        <v>-758912.72600000002</v>
      </c>
      <c r="T15" s="2026">
        <f t="shared" si="3"/>
        <v>-379456.36300000001</v>
      </c>
      <c r="U15" s="2026">
        <f t="shared" si="3"/>
        <v>2656194.5409999997</v>
      </c>
      <c r="V15" s="2027"/>
      <c r="W15" s="1351">
        <f>W41</f>
        <v>0</v>
      </c>
      <c r="X15" s="2025"/>
      <c r="Y15" s="2025">
        <f t="shared" ref="Y15:AA18" si="6">Y41</f>
        <v>44832</v>
      </c>
      <c r="Z15" s="2025">
        <f t="shared" si="6"/>
        <v>44824</v>
      </c>
      <c r="AA15" s="2030">
        <f t="shared" si="6"/>
        <v>-8</v>
      </c>
      <c r="AB15" s="2032">
        <f t="shared" ref="AB15:AB27" si="7">AB41+AB68+AB95+AB122</f>
        <v>2656194.5409999997</v>
      </c>
      <c r="AC15" s="2032">
        <f>(R15+T15)*AC$38</f>
        <v>512266.09005</v>
      </c>
      <c r="AD15" s="2032">
        <f>AC15+AB15</f>
        <v>3168460.63105</v>
      </c>
      <c r="AE15" s="2032">
        <f>AE14+AD15</f>
        <v>28457510.791050002</v>
      </c>
    </row>
    <row r="16" spans="1:31" outlineLevel="1">
      <c r="A16" s="1352">
        <f t="shared" si="0"/>
        <v>3</v>
      </c>
      <c r="B16" s="810" t="str">
        <f t="shared" si="4"/>
        <v>IPA No. 03</v>
      </c>
      <c r="C16" s="2023">
        <f t="shared" si="0"/>
        <v>44743</v>
      </c>
      <c r="D16" s="2033" t="str">
        <f t="shared" si="0"/>
        <v>NSC-TRANSMIT-000067</v>
      </c>
      <c r="E16" s="2025">
        <f t="shared" si="0"/>
        <v>44852</v>
      </c>
      <c r="F16" s="2026">
        <f t="shared" si="1"/>
        <v>26141408.723999999</v>
      </c>
      <c r="G16" s="2026">
        <f t="shared" si="1"/>
        <v>-127404.23699999973</v>
      </c>
      <c r="H16" s="2026">
        <f t="shared" si="1"/>
        <v>25480.847399999941</v>
      </c>
      <c r="I16" s="2026">
        <f t="shared" si="1"/>
        <v>12740.42369999997</v>
      </c>
      <c r="J16" s="2026">
        <f t="shared" si="1"/>
        <v>-89182.965899999806</v>
      </c>
      <c r="K16" s="2027"/>
      <c r="L16" s="1352">
        <v>3</v>
      </c>
      <c r="M16" s="2033" t="s">
        <v>1567</v>
      </c>
      <c r="N16" s="2025">
        <v>44863</v>
      </c>
      <c r="O16" s="2029">
        <f>O42</f>
        <v>44880</v>
      </c>
      <c r="P16" s="2030">
        <f t="shared" si="5"/>
        <v>17</v>
      </c>
      <c r="Q16" s="2026">
        <f t="shared" si="3"/>
        <v>26141408.719999999</v>
      </c>
      <c r="R16" s="2026">
        <f t="shared" si="3"/>
        <v>356366.69000000041</v>
      </c>
      <c r="S16" s="2026">
        <f t="shared" si="3"/>
        <v>-71273.338000000091</v>
      </c>
      <c r="T16" s="2026">
        <f t="shared" si="3"/>
        <v>-35636.669000000045</v>
      </c>
      <c r="U16" s="2026">
        <f t="shared" si="3"/>
        <v>249456.68300000025</v>
      </c>
      <c r="V16" s="2027"/>
      <c r="W16" s="1351">
        <f>W42</f>
        <v>0</v>
      </c>
      <c r="X16" s="2025"/>
      <c r="Y16" s="2025">
        <f t="shared" si="6"/>
        <v>44908</v>
      </c>
      <c r="Z16" s="2025">
        <f t="shared" si="6"/>
        <v>44908</v>
      </c>
      <c r="AA16" s="2030">
        <f>AA42</f>
        <v>0</v>
      </c>
      <c r="AB16" s="2032">
        <f t="shared" si="7"/>
        <v>249456.68300000025</v>
      </c>
      <c r="AC16" s="2032">
        <f t="shared" ref="AC16:AE33" si="8">AC42+AC69+AC96+AC123</f>
        <v>48109.503150000048</v>
      </c>
      <c r="AD16" s="2032">
        <f t="shared" si="8"/>
        <v>297566.18615000031</v>
      </c>
      <c r="AE16" s="2032">
        <f t="shared" si="8"/>
        <v>28755076.977199998</v>
      </c>
    </row>
    <row r="17" spans="1:33" outlineLevel="1">
      <c r="A17" s="1352">
        <f>A43</f>
        <v>4</v>
      </c>
      <c r="B17" s="810" t="str">
        <f t="shared" si="4"/>
        <v>IPA No. 04</v>
      </c>
      <c r="C17" s="2023">
        <f t="shared" si="0"/>
        <v>44774</v>
      </c>
      <c r="D17" s="2033" t="str">
        <f t="shared" si="0"/>
        <v>NSC-TRANSMIT-000067</v>
      </c>
      <c r="E17" s="2025">
        <f t="shared" si="0"/>
        <v>44852</v>
      </c>
      <c r="F17" s="2026">
        <f t="shared" si="1"/>
        <v>26141408.723999999</v>
      </c>
      <c r="G17" s="2026">
        <f t="shared" si="1"/>
        <v>0</v>
      </c>
      <c r="H17" s="2026">
        <f t="shared" si="1"/>
        <v>0</v>
      </c>
      <c r="I17" s="2026">
        <f t="shared" si="1"/>
        <v>0</v>
      </c>
      <c r="J17" s="2026">
        <f t="shared" si="1"/>
        <v>0</v>
      </c>
      <c r="K17" s="2027"/>
      <c r="L17" s="1352">
        <v>4</v>
      </c>
      <c r="M17" s="2033" t="s">
        <v>1568</v>
      </c>
      <c r="N17" s="2025">
        <v>44863</v>
      </c>
      <c r="O17" s="2029">
        <f>O43</f>
        <v>44880</v>
      </c>
      <c r="P17" s="2030">
        <f t="shared" si="5"/>
        <v>17</v>
      </c>
      <c r="Q17" s="2026">
        <f t="shared" si="3"/>
        <v>27021751.780000001</v>
      </c>
      <c r="R17" s="2026">
        <f t="shared" si="3"/>
        <v>880343.05999999959</v>
      </c>
      <c r="S17" s="2026">
        <f t="shared" si="3"/>
        <v>-176068.61199999991</v>
      </c>
      <c r="T17" s="2026">
        <f t="shared" si="3"/>
        <v>-88034.305999999953</v>
      </c>
      <c r="U17" s="2026">
        <f t="shared" si="3"/>
        <v>616240.14199999976</v>
      </c>
      <c r="V17" s="2027"/>
      <c r="W17" s="1351">
        <f>W43</f>
        <v>0</v>
      </c>
      <c r="X17" s="2025"/>
      <c r="Y17" s="2025">
        <f t="shared" si="6"/>
        <v>44908</v>
      </c>
      <c r="Z17" s="2025">
        <f t="shared" si="6"/>
        <v>44908</v>
      </c>
      <c r="AA17" s="2030">
        <f>AA43</f>
        <v>0</v>
      </c>
      <c r="AB17" s="2032">
        <f t="shared" si="7"/>
        <v>616240.14199999976</v>
      </c>
      <c r="AC17" s="2032">
        <f t="shared" si="8"/>
        <v>118846.31309999994</v>
      </c>
      <c r="AD17" s="2032">
        <f t="shared" si="8"/>
        <v>735086.45509999967</v>
      </c>
      <c r="AE17" s="2032">
        <f t="shared" si="8"/>
        <v>29490163.432300001</v>
      </c>
    </row>
    <row r="18" spans="1:33" outlineLevel="1">
      <c r="A18" s="1352">
        <f>A44</f>
        <v>5</v>
      </c>
      <c r="B18" s="810" t="str">
        <f t="shared" si="4"/>
        <v>IPA No. 05</v>
      </c>
      <c r="C18" s="2023">
        <f t="shared" si="0"/>
        <v>44805</v>
      </c>
      <c r="D18" s="2033" t="str">
        <f t="shared" si="0"/>
        <v>NSC-TRANSMIT-000067</v>
      </c>
      <c r="E18" s="2025">
        <f t="shared" si="0"/>
        <v>44852</v>
      </c>
      <c r="F18" s="2026">
        <f t="shared" si="1"/>
        <v>26141408.723999999</v>
      </c>
      <c r="G18" s="2026">
        <f t="shared" si="1"/>
        <v>0</v>
      </c>
      <c r="H18" s="2026">
        <f t="shared" si="1"/>
        <v>0</v>
      </c>
      <c r="I18" s="2026">
        <f t="shared" si="1"/>
        <v>0</v>
      </c>
      <c r="J18" s="2026">
        <f t="shared" si="1"/>
        <v>0</v>
      </c>
      <c r="K18" s="2027"/>
      <c r="L18" s="1352">
        <v>5</v>
      </c>
      <c r="M18" s="2028" t="s">
        <v>1569</v>
      </c>
      <c r="N18" s="2025">
        <v>44863</v>
      </c>
      <c r="O18" s="2029">
        <f>O44</f>
        <v>44880</v>
      </c>
      <c r="P18" s="2030">
        <f t="shared" si="5"/>
        <v>17</v>
      </c>
      <c r="Q18" s="2026">
        <f t="shared" si="3"/>
        <v>27685514.269999996</v>
      </c>
      <c r="R18" s="2026">
        <f t="shared" si="3"/>
        <v>663762.49000000022</v>
      </c>
      <c r="S18" s="2026">
        <f t="shared" si="3"/>
        <v>-132752.49800000005</v>
      </c>
      <c r="T18" s="2026">
        <f t="shared" si="3"/>
        <v>-66376.249000000025</v>
      </c>
      <c r="U18" s="2026">
        <f t="shared" si="3"/>
        <v>464633.74300000013</v>
      </c>
      <c r="V18" s="2027"/>
      <c r="W18" s="1352"/>
      <c r="X18" s="2029"/>
      <c r="Y18" s="2025">
        <f t="shared" si="6"/>
        <v>44908</v>
      </c>
      <c r="Z18" s="2025">
        <f t="shared" si="6"/>
        <v>44908</v>
      </c>
      <c r="AA18" s="2030">
        <f>AA44</f>
        <v>0</v>
      </c>
      <c r="AB18" s="2032">
        <f t="shared" si="7"/>
        <v>464633.74300000013</v>
      </c>
      <c r="AC18" s="2032">
        <f t="shared" si="8"/>
        <v>89607.936150000023</v>
      </c>
      <c r="AD18" s="2032">
        <f t="shared" si="8"/>
        <v>554241.67915000021</v>
      </c>
      <c r="AE18" s="2032">
        <f t="shared" si="8"/>
        <v>30044405.111450002</v>
      </c>
    </row>
    <row r="19" spans="1:33" ht="24" outlineLevel="1">
      <c r="A19" s="1352">
        <f>A45</f>
        <v>6</v>
      </c>
      <c r="B19" s="810" t="str">
        <f t="shared" si="4"/>
        <v>IPA No. 06</v>
      </c>
      <c r="C19" s="2023">
        <f t="shared" si="0"/>
        <v>44835</v>
      </c>
      <c r="D19" s="2024" t="str">
        <f t="shared" si="0"/>
        <v>ITB04400-005C13-NSC-LTR-0155</v>
      </c>
      <c r="E19" s="2025">
        <f t="shared" si="0"/>
        <v>44870</v>
      </c>
      <c r="F19" s="2026">
        <f>+F18+G19</f>
        <v>49952622.093000002</v>
      </c>
      <c r="G19" s="2026">
        <f t="shared" si="1"/>
        <v>23811213.369000003</v>
      </c>
      <c r="H19" s="2026">
        <f t="shared" si="1"/>
        <v>-4762242.6738</v>
      </c>
      <c r="I19" s="2026">
        <f t="shared" si="1"/>
        <v>-2381121.3369</v>
      </c>
      <c r="J19" s="2026">
        <f t="shared" si="1"/>
        <v>16667849.3583</v>
      </c>
      <c r="K19" s="2027"/>
      <c r="L19" s="1352">
        <v>5</v>
      </c>
      <c r="M19" s="2028" t="s">
        <v>1987</v>
      </c>
      <c r="N19" s="2025">
        <v>44902</v>
      </c>
      <c r="O19" s="2029">
        <f>O45</f>
        <v>44898</v>
      </c>
      <c r="P19" s="2030">
        <f t="shared" si="5"/>
        <v>-4</v>
      </c>
      <c r="Q19" s="2026">
        <f t="shared" si="3"/>
        <v>35999599.739999995</v>
      </c>
      <c r="R19" s="2026">
        <f t="shared" si="3"/>
        <v>8314085.4700000007</v>
      </c>
      <c r="S19" s="2026">
        <f t="shared" si="3"/>
        <v>-1662817.094</v>
      </c>
      <c r="T19" s="2026">
        <f t="shared" si="3"/>
        <v>-831408.54700000002</v>
      </c>
      <c r="U19" s="2026">
        <f t="shared" si="3"/>
        <v>5819859.8290000008</v>
      </c>
      <c r="V19" s="2027"/>
      <c r="W19" s="1352"/>
      <c r="X19" s="2029"/>
      <c r="Y19" s="2025">
        <v>44935</v>
      </c>
      <c r="Z19" s="2025">
        <f t="shared" ref="Z19:Z26" si="9">+E19+56</f>
        <v>44926</v>
      </c>
      <c r="AA19" s="2030">
        <f t="shared" ref="AA19:AA31" si="10">+Z19-Y19</f>
        <v>-9</v>
      </c>
      <c r="AB19" s="2032">
        <f t="shared" si="7"/>
        <v>5819859.8290000008</v>
      </c>
      <c r="AC19" s="2032">
        <f t="shared" si="8"/>
        <v>1122401.5384499999</v>
      </c>
      <c r="AD19" s="2032">
        <f t="shared" si="8"/>
        <v>6942261.3674499998</v>
      </c>
      <c r="AE19" s="2032">
        <f t="shared" si="8"/>
        <v>36986666.4789</v>
      </c>
    </row>
    <row r="20" spans="1:33" ht="24" outlineLevel="1">
      <c r="A20" s="1352">
        <f>A46</f>
        <v>7</v>
      </c>
      <c r="B20" s="810" t="str">
        <f t="shared" si="4"/>
        <v>IPA No. 07</v>
      </c>
      <c r="C20" s="2023">
        <f t="shared" si="0"/>
        <v>44866</v>
      </c>
      <c r="D20" s="2024" t="str">
        <f t="shared" si="0"/>
        <v>1TB04400-005C13-NSC-LTR-0175</v>
      </c>
      <c r="E20" s="2025">
        <f t="shared" si="0"/>
        <v>44900</v>
      </c>
      <c r="F20" s="2026">
        <f t="shared" si="1"/>
        <v>64836836.260000005</v>
      </c>
      <c r="G20" s="2026">
        <f t="shared" si="1"/>
        <v>14884214.166999998</v>
      </c>
      <c r="H20" s="2026">
        <f t="shared" si="1"/>
        <v>-2976842.8333999999</v>
      </c>
      <c r="I20" s="2026">
        <f t="shared" si="1"/>
        <v>-1488421.4166999999</v>
      </c>
      <c r="J20" s="2026">
        <f t="shared" si="1"/>
        <v>10418949.916899998</v>
      </c>
      <c r="K20" s="2027"/>
      <c r="L20" s="1352">
        <v>7</v>
      </c>
      <c r="M20" s="2028" t="s">
        <v>1988</v>
      </c>
      <c r="N20" s="2025">
        <v>44930</v>
      </c>
      <c r="O20" s="2029">
        <f t="shared" ref="O20:O26" si="11">E20+28</f>
        <v>44928</v>
      </c>
      <c r="P20" s="2030">
        <f t="shared" si="5"/>
        <v>-2</v>
      </c>
      <c r="Q20" s="2026">
        <f t="shared" si="3"/>
        <v>47916286.570000008</v>
      </c>
      <c r="R20" s="2026">
        <f t="shared" si="3"/>
        <v>11916686.830000002</v>
      </c>
      <c r="S20" s="2026">
        <f t="shared" si="3"/>
        <v>-2263220.9659999995</v>
      </c>
      <c r="T20" s="2026">
        <f t="shared" si="3"/>
        <v>-1191668.6830000002</v>
      </c>
      <c r="U20" s="2026">
        <f t="shared" si="3"/>
        <v>8461797.1810000036</v>
      </c>
      <c r="V20" s="2027"/>
      <c r="W20" s="1351" t="str">
        <f>W46</f>
        <v>AMA-WTRAN-001848</v>
      </c>
      <c r="X20" s="2029">
        <v>44948</v>
      </c>
      <c r="Y20" s="2025">
        <v>44948</v>
      </c>
      <c r="Z20" s="2025">
        <f t="shared" si="9"/>
        <v>44956</v>
      </c>
      <c r="AA20" s="2030">
        <f t="shared" si="10"/>
        <v>8</v>
      </c>
      <c r="AB20" s="2032">
        <f t="shared" si="7"/>
        <v>8461797.1810000036</v>
      </c>
      <c r="AC20" s="2032">
        <f t="shared" si="8"/>
        <v>1608752.7220500004</v>
      </c>
      <c r="AD20" s="2032">
        <f t="shared" si="8"/>
        <v>10070549.903050004</v>
      </c>
      <c r="AE20" s="2032">
        <f t="shared" si="8"/>
        <v>47057216.381949998</v>
      </c>
    </row>
    <row r="21" spans="1:33" ht="30.95" customHeight="1" outlineLevel="1">
      <c r="A21" s="1352">
        <f>A47</f>
        <v>8</v>
      </c>
      <c r="B21" s="810" t="str">
        <f t="shared" si="4"/>
        <v>IPA No. 08</v>
      </c>
      <c r="C21" s="2023">
        <f>C47</f>
        <v>44896</v>
      </c>
      <c r="D21" s="2024" t="str">
        <f>D47</f>
        <v>1TB04400-005C13-NSC-LTR-0214</v>
      </c>
      <c r="E21" s="2025">
        <f>E47</f>
        <v>44931</v>
      </c>
      <c r="F21" s="2080">
        <f t="shared" si="1"/>
        <v>90327542.069999993</v>
      </c>
      <c r="G21" s="2026">
        <f t="shared" si="1"/>
        <v>25490705.809999995</v>
      </c>
      <c r="H21" s="2026">
        <f t="shared" si="1"/>
        <v>-5098141.1619999995</v>
      </c>
      <c r="I21" s="2026">
        <f t="shared" si="1"/>
        <v>-2549070.5809999998</v>
      </c>
      <c r="J21" s="2026">
        <f t="shared" si="1"/>
        <v>17843494.066999998</v>
      </c>
      <c r="K21" s="2027"/>
      <c r="L21" s="1352">
        <v>8</v>
      </c>
      <c r="M21" s="2034" t="s">
        <v>1570</v>
      </c>
      <c r="N21" s="2025">
        <v>44951</v>
      </c>
      <c r="O21" s="2029">
        <f t="shared" si="11"/>
        <v>44959</v>
      </c>
      <c r="P21" s="2030">
        <f t="shared" si="5"/>
        <v>8</v>
      </c>
      <c r="Q21" s="2080">
        <f t="shared" si="3"/>
        <v>64522189.920000002</v>
      </c>
      <c r="R21" s="2026">
        <f t="shared" si="3"/>
        <v>16605903.35</v>
      </c>
      <c r="S21" s="2026">
        <f t="shared" si="3"/>
        <v>-3441297.0700000003</v>
      </c>
      <c r="T21" s="2026">
        <f t="shared" si="3"/>
        <v>-1660590.335</v>
      </c>
      <c r="U21" s="2026">
        <f t="shared" si="3"/>
        <v>11504015.944999998</v>
      </c>
      <c r="V21" s="2027"/>
      <c r="W21" s="1352"/>
      <c r="X21" s="2029"/>
      <c r="Y21" s="2025">
        <v>44978</v>
      </c>
      <c r="Z21" s="2079">
        <f t="shared" si="9"/>
        <v>44987</v>
      </c>
      <c r="AA21" s="2030">
        <f t="shared" si="10"/>
        <v>9</v>
      </c>
      <c r="AB21" s="2032">
        <f t="shared" si="7"/>
        <v>11504015.944999998</v>
      </c>
      <c r="AC21" s="2032">
        <f t="shared" si="8"/>
        <v>2241796.9522499996</v>
      </c>
      <c r="AD21" s="2032">
        <f t="shared" si="8"/>
        <v>13745812.897249999</v>
      </c>
      <c r="AE21" s="2032">
        <f t="shared" si="8"/>
        <v>60803029.279199995</v>
      </c>
    </row>
    <row r="22" spans="1:33" s="2085" customFormat="1" ht="24" outlineLevel="1">
      <c r="A22" s="1352">
        <v>9</v>
      </c>
      <c r="B22" s="810" t="str">
        <f t="shared" si="4"/>
        <v>IPA No. 09</v>
      </c>
      <c r="C22" s="2023">
        <v>44927</v>
      </c>
      <c r="D22" s="2019" t="s">
        <v>1572</v>
      </c>
      <c r="E22" s="2079">
        <v>44965</v>
      </c>
      <c r="F22" s="2080">
        <f t="shared" si="1"/>
        <v>96668575.419999987</v>
      </c>
      <c r="G22" s="2026">
        <f t="shared" si="1"/>
        <v>6341033.3499999978</v>
      </c>
      <c r="H22" s="2026">
        <f t="shared" si="1"/>
        <v>-1268206.6699999997</v>
      </c>
      <c r="I22" s="2026">
        <f t="shared" si="1"/>
        <v>-634103.33499999985</v>
      </c>
      <c r="J22" s="2026">
        <f t="shared" si="1"/>
        <v>4438723.3449999979</v>
      </c>
      <c r="K22" s="2027"/>
      <c r="L22" s="1352">
        <v>9</v>
      </c>
      <c r="M22" s="2028" t="s">
        <v>1989</v>
      </c>
      <c r="N22" s="2025">
        <v>44977</v>
      </c>
      <c r="O22" s="2029">
        <f t="shared" si="11"/>
        <v>44993</v>
      </c>
      <c r="P22" s="2030">
        <f t="shared" si="5"/>
        <v>16</v>
      </c>
      <c r="Q22" s="2026">
        <f t="shared" si="3"/>
        <v>71520564.090000004</v>
      </c>
      <c r="R22" s="2026">
        <f t="shared" si="3"/>
        <v>6998374.1699999999</v>
      </c>
      <c r="S22" s="2026">
        <f t="shared" si="3"/>
        <v>-1399674.834</v>
      </c>
      <c r="T22" s="2026">
        <f t="shared" si="3"/>
        <v>-699837.41700000002</v>
      </c>
      <c r="U22" s="2026">
        <f t="shared" si="3"/>
        <v>4898861.9189999998</v>
      </c>
      <c r="V22" s="2027"/>
      <c r="W22" s="1352"/>
      <c r="X22" s="2029"/>
      <c r="Y22" s="2025">
        <v>45007</v>
      </c>
      <c r="Z22" s="2079">
        <f t="shared" si="9"/>
        <v>45021</v>
      </c>
      <c r="AA22" s="2030">
        <f t="shared" si="10"/>
        <v>14</v>
      </c>
      <c r="AB22" s="2032">
        <f t="shared" si="7"/>
        <v>4898861.9189999998</v>
      </c>
      <c r="AC22" s="2032">
        <f t="shared" si="8"/>
        <v>944780.51294999989</v>
      </c>
      <c r="AD22" s="2032">
        <f t="shared" si="8"/>
        <v>5843642.4319500001</v>
      </c>
      <c r="AE22" s="2032">
        <f t="shared" si="8"/>
        <v>66646671.711149998</v>
      </c>
    </row>
    <row r="23" spans="1:33" s="2086" customFormat="1" ht="24" outlineLevel="1">
      <c r="A23" s="1352">
        <v>10</v>
      </c>
      <c r="B23" s="810" t="str">
        <f t="shared" si="4"/>
        <v>IPA No. 010</v>
      </c>
      <c r="C23" s="2023">
        <v>44958</v>
      </c>
      <c r="D23" s="2024" t="s">
        <v>1574</v>
      </c>
      <c r="E23" s="2079">
        <v>44990</v>
      </c>
      <c r="F23" s="2080">
        <f t="shared" si="1"/>
        <v>108287794.66</v>
      </c>
      <c r="G23" s="2026">
        <f t="shared" si="1"/>
        <v>11619219.240000004</v>
      </c>
      <c r="H23" s="2026">
        <f t="shared" si="1"/>
        <v>-2323843.8480000012</v>
      </c>
      <c r="I23" s="2026">
        <f t="shared" si="1"/>
        <v>-1161921.9240000006</v>
      </c>
      <c r="J23" s="2026">
        <f t="shared" si="1"/>
        <v>8133453.4680000031</v>
      </c>
      <c r="K23" s="2027"/>
      <c r="L23" s="1352">
        <v>10</v>
      </c>
      <c r="M23" s="2034" t="s">
        <v>1575</v>
      </c>
      <c r="N23" s="2025">
        <v>45005</v>
      </c>
      <c r="O23" s="2029">
        <f t="shared" si="11"/>
        <v>45018</v>
      </c>
      <c r="P23" s="2030">
        <f t="shared" si="5"/>
        <v>13</v>
      </c>
      <c r="Q23" s="2026">
        <f t="shared" ref="Q23:U33" si="12">+Q49+Q76+Q103+Q130</f>
        <v>80312222.390000001</v>
      </c>
      <c r="R23" s="2026">
        <f t="shared" si="12"/>
        <v>8791658.3000000007</v>
      </c>
      <c r="S23" s="2026">
        <f t="shared" si="12"/>
        <v>-1758331.6600000001</v>
      </c>
      <c r="T23" s="2026">
        <f t="shared" si="12"/>
        <v>-879165.83000000007</v>
      </c>
      <c r="U23" s="2026">
        <f t="shared" si="12"/>
        <v>6154160.8100000005</v>
      </c>
      <c r="V23" s="2027"/>
      <c r="W23" s="1352"/>
      <c r="X23" s="2029"/>
      <c r="Y23" s="2025">
        <v>45046</v>
      </c>
      <c r="Z23" s="2079">
        <f t="shared" si="9"/>
        <v>45046</v>
      </c>
      <c r="AA23" s="2030">
        <f t="shared" si="10"/>
        <v>0</v>
      </c>
      <c r="AB23" s="2032">
        <f t="shared" si="7"/>
        <v>6154160.8100000005</v>
      </c>
      <c r="AC23" s="2032">
        <f t="shared" si="8"/>
        <v>1186873.8705</v>
      </c>
      <c r="AD23" s="2032">
        <f t="shared" si="8"/>
        <v>7341034.6804999998</v>
      </c>
      <c r="AE23" s="2032">
        <f t="shared" si="8"/>
        <v>73987706.391649991</v>
      </c>
    </row>
    <row r="24" spans="1:33" s="2086" customFormat="1" ht="24" outlineLevel="1">
      <c r="A24" s="1352">
        <v>11</v>
      </c>
      <c r="B24" s="810" t="str">
        <f t="shared" si="4"/>
        <v>IPA No. 011</v>
      </c>
      <c r="C24" s="2023">
        <v>45008</v>
      </c>
      <c r="D24" s="2024" t="s">
        <v>1982</v>
      </c>
      <c r="E24" s="2079">
        <v>45022</v>
      </c>
      <c r="F24" s="2080">
        <f t="shared" ref="F24:J33" si="13">+F50+F77+F104+F131</f>
        <v>110782748.19</v>
      </c>
      <c r="G24" s="2080">
        <f t="shared" si="13"/>
        <v>2494953.5299999984</v>
      </c>
      <c r="H24" s="2080">
        <f t="shared" si="13"/>
        <v>-498990.70599999971</v>
      </c>
      <c r="I24" s="2080">
        <f t="shared" si="13"/>
        <v>-249495.35299999986</v>
      </c>
      <c r="J24" s="2080">
        <f t="shared" si="13"/>
        <v>1746467.4709999987</v>
      </c>
      <c r="K24" s="2027"/>
      <c r="L24" s="1352">
        <v>11</v>
      </c>
      <c r="M24" s="2034" t="s">
        <v>1990</v>
      </c>
      <c r="N24" s="2025">
        <v>45052</v>
      </c>
      <c r="O24" s="2029">
        <f t="shared" si="11"/>
        <v>45050</v>
      </c>
      <c r="P24" s="2030">
        <f t="shared" si="5"/>
        <v>-2</v>
      </c>
      <c r="Q24" s="2026">
        <f t="shared" si="12"/>
        <v>82330258.609999999</v>
      </c>
      <c r="R24" s="2026">
        <f t="shared" si="12"/>
        <v>2018036.2200000002</v>
      </c>
      <c r="S24" s="2026">
        <f t="shared" si="12"/>
        <v>-403607.24400000006</v>
      </c>
      <c r="T24" s="2026">
        <f t="shared" si="12"/>
        <v>-201803.62200000003</v>
      </c>
      <c r="U24" s="2026">
        <f t="shared" si="12"/>
        <v>1412625.3540000001</v>
      </c>
      <c r="V24" s="2027"/>
      <c r="W24" s="1352"/>
      <c r="X24" s="2029"/>
      <c r="Y24" s="2025">
        <v>45075</v>
      </c>
      <c r="Z24" s="2079">
        <f t="shared" si="9"/>
        <v>45078</v>
      </c>
      <c r="AA24" s="2030">
        <f t="shared" si="10"/>
        <v>3</v>
      </c>
      <c r="AB24" s="2032">
        <f t="shared" si="7"/>
        <v>1412625.3540000001</v>
      </c>
      <c r="AC24" s="2032">
        <f t="shared" si="8"/>
        <v>272434.8897</v>
      </c>
      <c r="AD24" s="2032">
        <f t="shared" si="8"/>
        <v>1685060.2437</v>
      </c>
      <c r="AE24" s="2032">
        <f t="shared" si="8"/>
        <v>75672766.635349989</v>
      </c>
    </row>
    <row r="25" spans="1:33" s="2086" customFormat="1" outlineLevel="1">
      <c r="A25" s="1352">
        <v>12</v>
      </c>
      <c r="B25" s="810" t="str">
        <f t="shared" si="4"/>
        <v>IPA No. 012</v>
      </c>
      <c r="C25" s="2023">
        <v>45039</v>
      </c>
      <c r="D25" s="2024" t="s">
        <v>1991</v>
      </c>
      <c r="E25" s="2079">
        <v>45052</v>
      </c>
      <c r="F25" s="2080">
        <f t="shared" si="13"/>
        <v>128956135.94</v>
      </c>
      <c r="G25" s="2080">
        <f t="shared" si="13"/>
        <v>18173387.749999996</v>
      </c>
      <c r="H25" s="2080">
        <f t="shared" si="13"/>
        <v>-3634677.5499999993</v>
      </c>
      <c r="I25" s="2080">
        <f t="shared" si="13"/>
        <v>-1817338.7749999997</v>
      </c>
      <c r="J25" s="2080">
        <f t="shared" si="13"/>
        <v>12721371.424999997</v>
      </c>
      <c r="K25" s="2027"/>
      <c r="L25" s="1352">
        <v>12</v>
      </c>
      <c r="M25" s="2034" t="s">
        <v>2127</v>
      </c>
      <c r="N25" s="2025">
        <v>45075</v>
      </c>
      <c r="O25" s="2029">
        <f t="shared" si="11"/>
        <v>45080</v>
      </c>
      <c r="P25" s="2030">
        <f t="shared" si="5"/>
        <v>5</v>
      </c>
      <c r="Q25" s="2026">
        <f t="shared" si="12"/>
        <v>83494856.140000015</v>
      </c>
      <c r="R25" s="2026">
        <f t="shared" si="12"/>
        <v>1164597.53</v>
      </c>
      <c r="S25" s="2026">
        <f t="shared" si="12"/>
        <v>-232919.50599999999</v>
      </c>
      <c r="T25" s="2026">
        <f t="shared" si="12"/>
        <v>-116459.753</v>
      </c>
      <c r="U25" s="2026">
        <f t="shared" si="12"/>
        <v>815218.27099999995</v>
      </c>
      <c r="V25" s="2027"/>
      <c r="W25" s="1352"/>
      <c r="X25" s="2029"/>
      <c r="Y25" s="2025">
        <v>45116</v>
      </c>
      <c r="Z25" s="2079">
        <f t="shared" si="9"/>
        <v>45108</v>
      </c>
      <c r="AA25" s="2030">
        <f t="shared" si="10"/>
        <v>-8</v>
      </c>
      <c r="AB25" s="2032">
        <f t="shared" si="7"/>
        <v>815218.27099999995</v>
      </c>
      <c r="AC25" s="2032">
        <f t="shared" si="8"/>
        <v>157220.66654999997</v>
      </c>
      <c r="AD25" s="2032">
        <f t="shared" si="8"/>
        <v>972438.93755000003</v>
      </c>
      <c r="AE25" s="2032">
        <f t="shared" si="8"/>
        <v>76645205.572899982</v>
      </c>
    </row>
    <row r="26" spans="1:33" s="2086" customFormat="1" outlineLevel="1">
      <c r="A26" s="1352">
        <v>13</v>
      </c>
      <c r="B26" s="810" t="str">
        <f t="shared" si="4"/>
        <v>IPA No. 013</v>
      </c>
      <c r="C26" s="2023">
        <v>45069</v>
      </c>
      <c r="D26" s="2024" t="s">
        <v>2129</v>
      </c>
      <c r="E26" s="2025">
        <v>45084</v>
      </c>
      <c r="F26" s="2080">
        <f t="shared" si="13"/>
        <v>142611789.44</v>
      </c>
      <c r="G26" s="2080">
        <f t="shared" si="13"/>
        <v>13655653.500000009</v>
      </c>
      <c r="H26" s="2080">
        <f t="shared" si="13"/>
        <v>-2731130.700000002</v>
      </c>
      <c r="I26" s="2080">
        <f t="shared" si="13"/>
        <v>-1365565.350000001</v>
      </c>
      <c r="J26" s="2080">
        <f t="shared" si="13"/>
        <v>9558957.4500000048</v>
      </c>
      <c r="K26" s="2027"/>
      <c r="L26" s="1352">
        <v>13</v>
      </c>
      <c r="M26" s="2034" t="s">
        <v>2130</v>
      </c>
      <c r="N26" s="2025">
        <v>45120</v>
      </c>
      <c r="O26" s="2029">
        <f t="shared" si="11"/>
        <v>45112</v>
      </c>
      <c r="P26" s="2030">
        <f t="shared" ref="P26:P32" si="14">O26-N26</f>
        <v>-8</v>
      </c>
      <c r="Q26" s="2026">
        <f t="shared" si="12"/>
        <v>96431928.060000002</v>
      </c>
      <c r="R26" s="2026">
        <f t="shared" si="12"/>
        <v>12937071.92</v>
      </c>
      <c r="S26" s="2026">
        <f t="shared" si="12"/>
        <v>-2587414.3939999999</v>
      </c>
      <c r="T26" s="2026">
        <f t="shared" si="12"/>
        <v>-1293707.192</v>
      </c>
      <c r="U26" s="2026">
        <f t="shared" si="12"/>
        <v>9055950.3340000007</v>
      </c>
      <c r="V26" s="2027"/>
      <c r="W26" s="1352"/>
      <c r="X26" s="2029"/>
      <c r="Y26" s="2025">
        <v>45147</v>
      </c>
      <c r="Z26" s="2079">
        <f t="shared" si="9"/>
        <v>45140</v>
      </c>
      <c r="AA26" s="2030">
        <f t="shared" si="10"/>
        <v>-7</v>
      </c>
      <c r="AB26" s="2032">
        <f t="shared" si="7"/>
        <v>9055950.3340000007</v>
      </c>
      <c r="AC26" s="2032">
        <f t="shared" si="8"/>
        <v>1746504.7091999999</v>
      </c>
      <c r="AD26" s="2032">
        <f t="shared" si="8"/>
        <v>10802455.043199999</v>
      </c>
      <c r="AE26" s="2032">
        <f t="shared" si="8"/>
        <v>87447660.616099998</v>
      </c>
      <c r="AF26" s="3016">
        <f>+AB26-T26</f>
        <v>10349657.526000001</v>
      </c>
      <c r="AG26" s="2086">
        <f>+AF26*1.15</f>
        <v>11902106.154899999</v>
      </c>
    </row>
    <row r="27" spans="1:33" ht="24" outlineLevel="1">
      <c r="A27" s="1352">
        <v>14</v>
      </c>
      <c r="B27" s="810" t="str">
        <f t="shared" si="4"/>
        <v>IPA No. 014</v>
      </c>
      <c r="C27" s="2023">
        <v>45100</v>
      </c>
      <c r="D27" s="2024" t="s">
        <v>2272</v>
      </c>
      <c r="E27" s="2025">
        <v>45115</v>
      </c>
      <c r="F27" s="2080">
        <f t="shared" si="13"/>
        <v>152534311.53999999</v>
      </c>
      <c r="G27" s="2080">
        <f t="shared" si="13"/>
        <v>9922522.1000000015</v>
      </c>
      <c r="H27" s="2080">
        <f t="shared" si="13"/>
        <v>-1984504.4200000004</v>
      </c>
      <c r="I27" s="2080">
        <f t="shared" si="13"/>
        <v>-992252.2100000002</v>
      </c>
      <c r="J27" s="2080">
        <f t="shared" si="13"/>
        <v>6945765.4700000007</v>
      </c>
      <c r="K27" s="1256"/>
      <c r="L27" s="1352">
        <v>14</v>
      </c>
      <c r="M27" s="2034" t="s">
        <v>2273</v>
      </c>
      <c r="N27" s="2025">
        <v>45127</v>
      </c>
      <c r="O27" s="2029">
        <f>E27+28</f>
        <v>45143</v>
      </c>
      <c r="P27" s="2030">
        <f t="shared" si="14"/>
        <v>16</v>
      </c>
      <c r="Q27" s="2026">
        <f t="shared" si="12"/>
        <v>104469956.08</v>
      </c>
      <c r="R27" s="2026">
        <f t="shared" si="12"/>
        <v>8038028.0200000005</v>
      </c>
      <c r="S27" s="2026">
        <f t="shared" si="12"/>
        <v>-2914009.2699999996</v>
      </c>
      <c r="T27" s="2026">
        <f t="shared" si="12"/>
        <v>-803802.80200000014</v>
      </c>
      <c r="U27" s="2026">
        <f t="shared" si="12"/>
        <v>4320215.9480000008</v>
      </c>
      <c r="V27" s="1256"/>
      <c r="W27" s="1352"/>
      <c r="X27" s="2029"/>
      <c r="Y27" s="2025">
        <v>45187</v>
      </c>
      <c r="Z27" s="2079">
        <f t="shared" ref="Z27:Z32" si="15">+E27+56</f>
        <v>45171</v>
      </c>
      <c r="AA27" s="2030">
        <f t="shared" si="10"/>
        <v>-16</v>
      </c>
      <c r="AB27" s="2032">
        <f t="shared" si="7"/>
        <v>4320215.9480000008</v>
      </c>
      <c r="AC27" s="2032">
        <f t="shared" si="8"/>
        <v>1085133.7826999999</v>
      </c>
      <c r="AD27" s="2032">
        <f t="shared" si="8"/>
        <v>5405349.7307000002</v>
      </c>
      <c r="AE27" s="2032">
        <f t="shared" si="8"/>
        <v>92853010.346799999</v>
      </c>
    </row>
    <row r="28" spans="1:33" ht="36" customHeight="1" outlineLevel="1">
      <c r="A28" s="1352">
        <v>15</v>
      </c>
      <c r="B28" s="810" t="str">
        <f t="shared" si="4"/>
        <v>IPA No. 015</v>
      </c>
      <c r="C28" s="2023">
        <v>45130</v>
      </c>
      <c r="D28" s="2024" t="s">
        <v>2496</v>
      </c>
      <c r="E28" s="2025">
        <v>45147</v>
      </c>
      <c r="F28" s="2080">
        <f t="shared" si="13"/>
        <v>155268179.50999999</v>
      </c>
      <c r="G28" s="2080">
        <f t="shared" si="13"/>
        <v>2733867.9699999988</v>
      </c>
      <c r="H28" s="2080">
        <f t="shared" si="13"/>
        <v>-546773.59399999981</v>
      </c>
      <c r="I28" s="2080">
        <f t="shared" si="13"/>
        <v>-273386.7969999999</v>
      </c>
      <c r="J28" s="2080">
        <f t="shared" si="13"/>
        <v>1913707.578999999</v>
      </c>
      <c r="K28" s="1256"/>
      <c r="L28" s="1352">
        <v>15</v>
      </c>
      <c r="M28" s="2034" t="s">
        <v>2524</v>
      </c>
      <c r="N28" s="2025">
        <v>45176</v>
      </c>
      <c r="O28" s="2029">
        <f>E28+28</f>
        <v>45175</v>
      </c>
      <c r="P28" s="2030">
        <f t="shared" si="14"/>
        <v>-1</v>
      </c>
      <c r="Q28" s="2026">
        <f t="shared" si="12"/>
        <v>110082094.18999998</v>
      </c>
      <c r="R28" s="2026">
        <f t="shared" si="12"/>
        <v>5612138.1100000003</v>
      </c>
      <c r="S28" s="2026">
        <f t="shared" si="12"/>
        <v>-2871704.46</v>
      </c>
      <c r="T28" s="2026">
        <f t="shared" si="12"/>
        <v>-561213.821</v>
      </c>
      <c r="U28" s="2026">
        <f t="shared" si="12"/>
        <v>2179219.8290000008</v>
      </c>
      <c r="V28" s="1256"/>
      <c r="W28" s="1352"/>
      <c r="X28" s="2029"/>
      <c r="Y28" s="2025">
        <v>45244</v>
      </c>
      <c r="Z28" s="2079">
        <f t="shared" si="15"/>
        <v>45203</v>
      </c>
      <c r="AA28" s="2030">
        <f t="shared" si="10"/>
        <v>-41</v>
      </c>
      <c r="AB28" s="2032">
        <f>+AB54+AB81+AB108+AB135</f>
        <v>2179219.8290000008</v>
      </c>
      <c r="AC28" s="2032">
        <f t="shared" si="8"/>
        <v>757638.64335000003</v>
      </c>
      <c r="AD28" s="2032">
        <f t="shared" si="8"/>
        <v>2936858.4723500009</v>
      </c>
      <c r="AE28" s="2032">
        <f t="shared" si="8"/>
        <v>95789868.819150001</v>
      </c>
    </row>
    <row r="29" spans="1:33" ht="35.450000000000003" customHeight="1" outlineLevel="1">
      <c r="A29" s="1352">
        <v>16</v>
      </c>
      <c r="B29" s="810" t="str">
        <f t="shared" si="4"/>
        <v>IPA No. 016</v>
      </c>
      <c r="C29" s="2023">
        <v>45161</v>
      </c>
      <c r="D29" s="2024" t="s">
        <v>2521</v>
      </c>
      <c r="E29" s="2025">
        <v>45179</v>
      </c>
      <c r="F29" s="2080">
        <f t="shared" si="13"/>
        <v>156723846.88999999</v>
      </c>
      <c r="G29" s="2080">
        <f t="shared" si="13"/>
        <v>1455667.379999999</v>
      </c>
      <c r="H29" s="2080">
        <f t="shared" si="13"/>
        <v>5323299.1919999979</v>
      </c>
      <c r="I29" s="2080">
        <f t="shared" si="13"/>
        <v>6591101.682</v>
      </c>
      <c r="J29" s="2080">
        <f t="shared" si="13"/>
        <v>13370068.253999999</v>
      </c>
      <c r="K29" s="1256"/>
      <c r="L29" s="1352">
        <v>16</v>
      </c>
      <c r="M29" s="2034" t="s">
        <v>2523</v>
      </c>
      <c r="N29" s="2025">
        <v>45188</v>
      </c>
      <c r="O29" s="2029">
        <f>E29+28</f>
        <v>45207</v>
      </c>
      <c r="P29" s="2030">
        <f t="shared" si="14"/>
        <v>19</v>
      </c>
      <c r="Q29" s="2026">
        <f t="shared" si="12"/>
        <v>111559586.83999999</v>
      </c>
      <c r="R29" s="2026">
        <f t="shared" si="12"/>
        <v>1477492.65</v>
      </c>
      <c r="S29" s="2026">
        <f t="shared" si="12"/>
        <v>-1070045.3</v>
      </c>
      <c r="T29" s="2026">
        <f t="shared" si="12"/>
        <v>-147749.26999999999</v>
      </c>
      <c r="U29" s="2026">
        <f t="shared" si="12"/>
        <v>259698.07999999996</v>
      </c>
      <c r="V29" s="1256"/>
      <c r="W29" s="1352"/>
      <c r="X29" s="2029"/>
      <c r="Y29" s="2025">
        <v>45244</v>
      </c>
      <c r="Z29" s="2079">
        <f t="shared" si="15"/>
        <v>45235</v>
      </c>
      <c r="AA29" s="2030">
        <f t="shared" si="10"/>
        <v>-9</v>
      </c>
      <c r="AB29" s="2032">
        <f>AB55+AB82+AB109+AB136</f>
        <v>259698.07999999996</v>
      </c>
      <c r="AC29" s="2032">
        <f t="shared" si="8"/>
        <v>199461.50699999998</v>
      </c>
      <c r="AD29" s="2032">
        <f t="shared" si="8"/>
        <v>459159.58699999994</v>
      </c>
      <c r="AE29" s="2032">
        <f t="shared" si="8"/>
        <v>96249028.406149998</v>
      </c>
    </row>
    <row r="30" spans="1:33" ht="38.25" customHeight="1" outlineLevel="1">
      <c r="A30" s="1352">
        <v>17</v>
      </c>
      <c r="B30" s="810" t="str">
        <f t="shared" si="4"/>
        <v>IPA No. 017</v>
      </c>
      <c r="C30" s="3227" t="s">
        <v>2605</v>
      </c>
      <c r="D30" s="2024" t="s">
        <v>2604</v>
      </c>
      <c r="E30" s="2025">
        <v>45229</v>
      </c>
      <c r="F30" s="2080">
        <f t="shared" si="13"/>
        <v>157447051.52000001</v>
      </c>
      <c r="G30" s="2080">
        <f t="shared" si="13"/>
        <v>723204.63000000268</v>
      </c>
      <c r="H30" s="2080">
        <f t="shared" si="13"/>
        <v>-658237.37000000081</v>
      </c>
      <c r="I30" s="2080">
        <f t="shared" si="13"/>
        <v>-36160.227000000421</v>
      </c>
      <c r="J30" s="2080">
        <f t="shared" si="13"/>
        <v>28807.033000001451</v>
      </c>
      <c r="K30" s="1256"/>
      <c r="L30" s="1352">
        <v>17</v>
      </c>
      <c r="M30" s="2034" t="s">
        <v>2606</v>
      </c>
      <c r="N30" s="2025">
        <v>45265</v>
      </c>
      <c r="O30" s="2029">
        <f>E30+28</f>
        <v>45257</v>
      </c>
      <c r="P30" s="2030">
        <f t="shared" si="14"/>
        <v>-8</v>
      </c>
      <c r="Q30" s="2026">
        <f t="shared" si="12"/>
        <v>112359492.41999999</v>
      </c>
      <c r="R30" s="2026">
        <f t="shared" si="12"/>
        <v>799905.58</v>
      </c>
      <c r="S30" s="2026">
        <f t="shared" si="12"/>
        <v>-246429.43</v>
      </c>
      <c r="T30" s="2026">
        <f t="shared" si="12"/>
        <v>4438460.17</v>
      </c>
      <c r="U30" s="2026">
        <f t="shared" si="12"/>
        <v>4991936.32</v>
      </c>
      <c r="V30" s="1256"/>
      <c r="W30" s="1352"/>
      <c r="X30" s="2029"/>
      <c r="Y30" s="2025">
        <v>45285</v>
      </c>
      <c r="Z30" s="2079">
        <f t="shared" si="15"/>
        <v>45285</v>
      </c>
      <c r="AA30" s="2030">
        <f t="shared" si="10"/>
        <v>0</v>
      </c>
      <c r="AB30" s="2032">
        <f>AB56+AB83+AB110+AB137</f>
        <v>4991936.32</v>
      </c>
      <c r="AC30" s="2032">
        <f t="shared" si="8"/>
        <v>785754.86249999993</v>
      </c>
      <c r="AD30" s="2032">
        <f t="shared" si="8"/>
        <v>5777691.1825000001</v>
      </c>
      <c r="AE30" s="2032">
        <f t="shared" si="8"/>
        <v>102026719.58864999</v>
      </c>
    </row>
    <row r="31" spans="1:33" ht="28.5" customHeight="1" outlineLevel="1">
      <c r="A31" s="1352">
        <v>18</v>
      </c>
      <c r="B31" s="810" t="str">
        <f t="shared" si="4"/>
        <v>IPA No. 018</v>
      </c>
      <c r="C31" s="3227">
        <f t="shared" ref="C31:E33" si="16">+C57</f>
        <v>45467</v>
      </c>
      <c r="D31" s="2024" t="str">
        <f t="shared" si="16"/>
        <v>1TB04400-005C13-NSC-LTR-0402-0</v>
      </c>
      <c r="E31" s="2025">
        <f t="shared" si="16"/>
        <v>45469</v>
      </c>
      <c r="F31" s="2080">
        <f t="shared" si="13"/>
        <v>98506998.99000001</v>
      </c>
      <c r="G31" s="2080">
        <f t="shared" si="13"/>
        <v>2989950</v>
      </c>
      <c r="H31" s="2080">
        <f t="shared" si="13"/>
        <v>0</v>
      </c>
      <c r="I31" s="2080">
        <f t="shared" si="13"/>
        <v>-149497.5</v>
      </c>
      <c r="J31" s="2080">
        <f t="shared" si="13"/>
        <v>2840452.5</v>
      </c>
      <c r="K31" s="1256"/>
      <c r="L31" s="1352">
        <v>18</v>
      </c>
      <c r="M31" s="810" t="str">
        <f t="shared" ref="M31:O33" si="17">M57</f>
        <v>1TB04400-400000-AMA-LTR-0053</v>
      </c>
      <c r="N31" s="2025">
        <f t="shared" si="17"/>
        <v>45482</v>
      </c>
      <c r="O31" s="2029">
        <f t="shared" si="17"/>
        <v>45497</v>
      </c>
      <c r="P31" s="2030">
        <f t="shared" si="14"/>
        <v>15</v>
      </c>
      <c r="Q31" s="2026">
        <f t="shared" si="12"/>
        <v>115349442.41999999</v>
      </c>
      <c r="R31" s="2026">
        <f t="shared" si="12"/>
        <v>2989950</v>
      </c>
      <c r="S31" s="2026">
        <f t="shared" si="12"/>
        <v>0</v>
      </c>
      <c r="T31" s="2026">
        <f t="shared" si="12"/>
        <v>-149497.5</v>
      </c>
      <c r="U31" s="2026">
        <f t="shared" si="12"/>
        <v>2840452.5</v>
      </c>
      <c r="V31" s="1256"/>
      <c r="W31" s="1352"/>
      <c r="X31" s="2029"/>
      <c r="Y31" s="2025">
        <v>45553</v>
      </c>
      <c r="Z31" s="2079">
        <f t="shared" si="15"/>
        <v>45525</v>
      </c>
      <c r="AA31" s="2030">
        <f t="shared" si="10"/>
        <v>-28</v>
      </c>
      <c r="AB31" s="2032">
        <f>AB57+AB84+AB111+AB138</f>
        <v>2840452.5</v>
      </c>
      <c r="AC31" s="2032">
        <f t="shared" si="8"/>
        <v>426067.875</v>
      </c>
      <c r="AD31" s="2032">
        <f t="shared" si="8"/>
        <v>3266520.375</v>
      </c>
      <c r="AE31" s="2032">
        <f t="shared" si="8"/>
        <v>105293239.96364999</v>
      </c>
    </row>
    <row r="32" spans="1:33" ht="24" outlineLevel="1">
      <c r="A32" s="1352">
        <v>19</v>
      </c>
      <c r="B32" s="810" t="str">
        <f t="shared" si="4"/>
        <v>IPA No. 019</v>
      </c>
      <c r="C32" s="3227">
        <f t="shared" si="16"/>
        <v>45528</v>
      </c>
      <c r="D32" s="2024" t="str">
        <f t="shared" si="16"/>
        <v>1TB04400-005C13-NSC-LTR-0405</v>
      </c>
      <c r="E32" s="2025">
        <f t="shared" si="16"/>
        <v>45538</v>
      </c>
      <c r="F32" s="2080">
        <f t="shared" si="13"/>
        <v>98506998.99000001</v>
      </c>
      <c r="G32" s="2080">
        <f t="shared" si="13"/>
        <v>5148035</v>
      </c>
      <c r="H32" s="2080">
        <f t="shared" si="13"/>
        <v>0</v>
      </c>
      <c r="I32" s="2080">
        <f t="shared" si="13"/>
        <v>-257401.75</v>
      </c>
      <c r="J32" s="2080">
        <f t="shared" si="13"/>
        <v>4890633.25</v>
      </c>
      <c r="K32" s="1256"/>
      <c r="L32" s="1352">
        <v>19</v>
      </c>
      <c r="M32" s="810" t="str">
        <f t="shared" si="17"/>
        <v>1TB04400-400000-AMA-LTR-0054</v>
      </c>
      <c r="N32" s="2025">
        <f t="shared" si="17"/>
        <v>45551</v>
      </c>
      <c r="O32" s="2029">
        <f t="shared" si="17"/>
        <v>45566</v>
      </c>
      <c r="P32" s="2030">
        <f t="shared" si="14"/>
        <v>15</v>
      </c>
      <c r="Q32" s="2026">
        <f t="shared" si="12"/>
        <v>120497477.41999999</v>
      </c>
      <c r="R32" s="2026">
        <f t="shared" si="12"/>
        <v>5148035</v>
      </c>
      <c r="S32" s="2026">
        <f t="shared" si="12"/>
        <v>0</v>
      </c>
      <c r="T32" s="2026">
        <f t="shared" si="12"/>
        <v>-257401.75</v>
      </c>
      <c r="U32" s="2026">
        <f t="shared" si="12"/>
        <v>4890633.25</v>
      </c>
      <c r="V32" s="1256"/>
      <c r="W32" s="1352"/>
      <c r="X32" s="2029"/>
      <c r="Y32" s="2079">
        <v>45596</v>
      </c>
      <c r="Z32" s="2079">
        <f t="shared" si="15"/>
        <v>45594</v>
      </c>
      <c r="AA32" s="2030">
        <f>+Z32-Y32</f>
        <v>-2</v>
      </c>
      <c r="AB32" s="2032">
        <f>AB58+AB85+AB112+AB139</f>
        <v>4890633.25</v>
      </c>
      <c r="AC32" s="2032">
        <f t="shared" si="8"/>
        <v>733594.98749999993</v>
      </c>
      <c r="AD32" s="2032">
        <f t="shared" si="8"/>
        <v>5624228.2374999998</v>
      </c>
      <c r="AE32" s="2032">
        <f t="shared" si="8"/>
        <v>110917468.20114999</v>
      </c>
    </row>
    <row r="33" spans="1:35" ht="24" outlineLevel="1">
      <c r="A33" s="1352">
        <v>19</v>
      </c>
      <c r="B33" s="810" t="str">
        <f t="shared" si="4"/>
        <v>IPA No. 020</v>
      </c>
      <c r="C33" s="3227">
        <f t="shared" si="16"/>
        <v>45589</v>
      </c>
      <c r="D33" s="2024" t="str">
        <f t="shared" si="16"/>
        <v>1TB04400-005C13-NSC-LTR-0408</v>
      </c>
      <c r="E33" s="2025">
        <f t="shared" si="16"/>
        <v>45579</v>
      </c>
      <c r="F33" s="2080">
        <f t="shared" si="13"/>
        <v>108561602.79000001</v>
      </c>
      <c r="G33" s="2080">
        <f t="shared" si="13"/>
        <v>10054603.800000001</v>
      </c>
      <c r="H33" s="2080">
        <f t="shared" si="13"/>
        <v>0</v>
      </c>
      <c r="I33" s="2080">
        <f t="shared" si="13"/>
        <v>4925349.97</v>
      </c>
      <c r="J33" s="2080">
        <f t="shared" si="13"/>
        <v>14979953.770000001</v>
      </c>
      <c r="K33" s="1256"/>
      <c r="L33" s="1352">
        <v>19</v>
      </c>
      <c r="M33" s="810" t="str">
        <f t="shared" si="17"/>
        <v>1TB04400-400000-AMA-LTR-0057</v>
      </c>
      <c r="N33" s="2025">
        <f t="shared" si="17"/>
        <v>45635</v>
      </c>
      <c r="O33" s="2029">
        <f t="shared" si="17"/>
        <v>45607</v>
      </c>
      <c r="P33" s="2030">
        <f>O33-N33</f>
        <v>-28</v>
      </c>
      <c r="Q33" s="2026">
        <f t="shared" si="12"/>
        <v>130552081.21999998</v>
      </c>
      <c r="R33" s="2026">
        <f t="shared" si="12"/>
        <v>10054603.800000001</v>
      </c>
      <c r="S33" s="2026">
        <f t="shared" si="12"/>
        <v>0</v>
      </c>
      <c r="T33" s="2026">
        <f t="shared" si="12"/>
        <v>4925349.97</v>
      </c>
      <c r="U33" s="2026">
        <f t="shared" si="12"/>
        <v>14979953.770000001</v>
      </c>
      <c r="V33" s="1256"/>
      <c r="W33" s="1352"/>
      <c r="X33" s="2029"/>
      <c r="Y33" s="2079">
        <f>Y59</f>
        <v>45635</v>
      </c>
      <c r="Z33" s="2079">
        <f>+E33+56</f>
        <v>45635</v>
      </c>
      <c r="AA33" s="2030">
        <f>+Z33-Y33</f>
        <v>0</v>
      </c>
      <c r="AB33" s="2032">
        <f>AB59+AB86+AB113+AB140</f>
        <v>14979953.770000001</v>
      </c>
      <c r="AC33" s="2032">
        <f t="shared" si="8"/>
        <v>2246993.0655</v>
      </c>
      <c r="AD33" s="2032">
        <f t="shared" si="8"/>
        <v>17226946.835500002</v>
      </c>
      <c r="AE33" s="2032">
        <f t="shared" si="8"/>
        <v>128144415.03664999</v>
      </c>
    </row>
    <row r="34" spans="1:35" ht="24.75" customHeight="1" thickBot="1">
      <c r="A34" s="6045" t="s">
        <v>1522</v>
      </c>
      <c r="B34" s="6046"/>
      <c r="C34" s="6046"/>
      <c r="D34" s="6046"/>
      <c r="E34" s="6046"/>
      <c r="F34" s="6047"/>
      <c r="G34" s="1338">
        <f>SUM(G14:G33)</f>
        <v>175639640.31999999</v>
      </c>
      <c r="H34" s="1338">
        <f>SUM(H14:H33)</f>
        <v>-21990478.400000013</v>
      </c>
      <c r="I34" s="1338">
        <f>SUM(I14:I33)</f>
        <v>-2254377.9360000053</v>
      </c>
      <c r="J34" s="1338">
        <f>SUM(J14:J33)</f>
        <v>151394783.984</v>
      </c>
      <c r="K34" s="1256"/>
      <c r="L34" s="1339" t="s">
        <v>1522</v>
      </c>
      <c r="M34" s="1340"/>
      <c r="N34" s="1340"/>
      <c r="O34" s="1340"/>
      <c r="P34" s="1340"/>
      <c r="Q34" s="1340"/>
      <c r="R34" s="1341">
        <f>SUM(R14:R33)</f>
        <v>130552081.21999998</v>
      </c>
      <c r="S34" s="1338">
        <f>SUM(S14:S33)</f>
        <v>-21990478.401999999</v>
      </c>
      <c r="T34" s="1338">
        <f>SUM(T14:T33)</f>
        <v>3.0999998562037945E-2</v>
      </c>
      <c r="U34" s="1338">
        <f>SUM(U14:U33)</f>
        <v>108561602.84899999</v>
      </c>
      <c r="V34" s="1256"/>
      <c r="W34" s="1342" t="s">
        <v>1522</v>
      </c>
      <c r="X34" s="1343"/>
      <c r="Y34" s="1343"/>
      <c r="Z34" s="1343"/>
      <c r="AA34" s="1343"/>
      <c r="AB34" s="1341">
        <f>SUM(AB14:AB33)</f>
        <v>108561602.84899999</v>
      </c>
      <c r="AC34" s="1338">
        <f>SUM(AC14:AC33)</f>
        <v>19582812.187649995</v>
      </c>
      <c r="AD34" s="1338">
        <f>SUM(AD14:AD33)</f>
        <v>128144415.03665</v>
      </c>
      <c r="AE34" s="1338">
        <f>+AE33</f>
        <v>128144415.03664999</v>
      </c>
    </row>
    <row r="35" spans="1:35" ht="30" hidden="1" customHeight="1" outlineLevel="1" thickBot="1">
      <c r="A35" s="1395" t="s">
        <v>1578</v>
      </c>
      <c r="B35" s="1396"/>
      <c r="C35" s="1396"/>
      <c r="D35" s="1397"/>
      <c r="E35" s="1397"/>
      <c r="F35" s="1398"/>
      <c r="G35" s="1398"/>
      <c r="H35" s="1398"/>
      <c r="I35" s="1398"/>
      <c r="J35" s="1398"/>
      <c r="K35" s="1397"/>
      <c r="L35" s="1396"/>
      <c r="M35" s="1396"/>
      <c r="N35" s="1396"/>
      <c r="O35" s="1396"/>
      <c r="P35" s="1396"/>
      <c r="Q35" s="1396"/>
      <c r="R35" s="1396"/>
      <c r="S35" s="1396"/>
      <c r="T35" s="1396"/>
      <c r="U35" s="1399"/>
      <c r="V35" s="1397"/>
      <c r="W35" s="1397"/>
      <c r="X35" s="1397"/>
      <c r="Y35" s="1397"/>
      <c r="Z35" s="1397"/>
      <c r="AA35" s="1397"/>
      <c r="AB35" s="1397"/>
      <c r="AC35" s="1397"/>
      <c r="AD35" s="1397"/>
      <c r="AE35" s="1400"/>
    </row>
    <row r="36" spans="1:35" hidden="1" outlineLevel="1">
      <c r="A36" s="6067" t="s">
        <v>1524</v>
      </c>
      <c r="B36" s="6068"/>
      <c r="C36" s="6068"/>
      <c r="D36" s="6068"/>
      <c r="E36" s="6068"/>
      <c r="F36" s="6068"/>
      <c r="G36" s="6069"/>
      <c r="H36" s="6069"/>
      <c r="I36" s="6069"/>
      <c r="J36" s="6070"/>
      <c r="K36" s="1256"/>
      <c r="L36" s="6060" t="s">
        <v>1525</v>
      </c>
      <c r="M36" s="6061"/>
      <c r="N36" s="6061"/>
      <c r="O36" s="6061"/>
      <c r="P36" s="6061"/>
      <c r="Q36" s="6061"/>
      <c r="R36" s="6062"/>
      <c r="S36" s="6062"/>
      <c r="T36" s="6062"/>
      <c r="U36" s="6063"/>
      <c r="V36" s="1256"/>
      <c r="W36" s="6064" t="s">
        <v>1526</v>
      </c>
      <c r="X36" s="6065"/>
      <c r="Y36" s="6065"/>
      <c r="Z36" s="6065"/>
      <c r="AA36" s="6065"/>
      <c r="AB36" s="6065"/>
      <c r="AC36" s="6065"/>
      <c r="AD36" s="6065"/>
      <c r="AE36" s="6066"/>
    </row>
    <row r="37" spans="1:35" ht="60" hidden="1" customHeight="1" outlineLevel="1">
      <c r="A37" s="1381" t="s">
        <v>1462</v>
      </c>
      <c r="B37" s="1382" t="s">
        <v>1527</v>
      </c>
      <c r="C37" s="1382" t="s">
        <v>1528</v>
      </c>
      <c r="D37" s="1383" t="s">
        <v>1529</v>
      </c>
      <c r="E37" s="1383" t="s">
        <v>1530</v>
      </c>
      <c r="F37" s="1384" t="s">
        <v>1531</v>
      </c>
      <c r="G37" s="1385" t="s">
        <v>1532</v>
      </c>
      <c r="H37" s="1385" t="s">
        <v>1533</v>
      </c>
      <c r="I37" s="1385" t="s">
        <v>1534</v>
      </c>
      <c r="J37" s="1386" t="s">
        <v>1535</v>
      </c>
      <c r="K37" s="1289"/>
      <c r="L37" s="1401" t="s">
        <v>1536</v>
      </c>
      <c r="M37" s="1402" t="s">
        <v>1537</v>
      </c>
      <c r="N37" s="1402" t="s">
        <v>1530</v>
      </c>
      <c r="O37" s="1402" t="s">
        <v>1538</v>
      </c>
      <c r="P37" s="1403" t="s">
        <v>1539</v>
      </c>
      <c r="Q37" s="1404" t="s">
        <v>1540</v>
      </c>
      <c r="R37" s="1405" t="s">
        <v>1541</v>
      </c>
      <c r="S37" s="1405" t="s">
        <v>1533</v>
      </c>
      <c r="T37" s="1405" t="s">
        <v>1534</v>
      </c>
      <c r="U37" s="1406" t="s">
        <v>1542</v>
      </c>
      <c r="V37" s="1256"/>
      <c r="W37" s="1414" t="s">
        <v>1543</v>
      </c>
      <c r="X37" s="1415" t="s">
        <v>1544</v>
      </c>
      <c r="Y37" s="1416" t="s">
        <v>1545</v>
      </c>
      <c r="Z37" s="1416" t="s">
        <v>1546</v>
      </c>
      <c r="AA37" s="1417" t="s">
        <v>1539</v>
      </c>
      <c r="AB37" s="1417" t="s">
        <v>1547</v>
      </c>
      <c r="AC37" s="1417" t="s">
        <v>1548</v>
      </c>
      <c r="AD37" s="1416" t="s">
        <v>1549</v>
      </c>
      <c r="AE37" s="1418" t="s">
        <v>1550</v>
      </c>
    </row>
    <row r="38" spans="1:35" ht="17.25" hidden="1" customHeight="1" outlineLevel="1">
      <c r="A38" s="1387"/>
      <c r="B38" s="1388"/>
      <c r="C38" s="1389"/>
      <c r="D38" s="1390"/>
      <c r="E38" s="1391" t="s">
        <v>296</v>
      </c>
      <c r="F38" s="1392" t="s">
        <v>434</v>
      </c>
      <c r="G38" s="1392" t="s">
        <v>434</v>
      </c>
      <c r="H38" s="1393">
        <v>0.2</v>
      </c>
      <c r="I38" s="1393">
        <v>0.1</v>
      </c>
      <c r="J38" s="1394" t="s">
        <v>434</v>
      </c>
      <c r="K38" s="1256"/>
      <c r="L38" s="1407"/>
      <c r="M38" s="1408"/>
      <c r="N38" s="1409" t="s">
        <v>296</v>
      </c>
      <c r="O38" s="1408" t="s">
        <v>1551</v>
      </c>
      <c r="P38" s="1410" t="s">
        <v>1552</v>
      </c>
      <c r="Q38" s="1411" t="s">
        <v>434</v>
      </c>
      <c r="R38" s="1411" t="s">
        <v>434</v>
      </c>
      <c r="S38" s="1412">
        <v>0.2</v>
      </c>
      <c r="T38" s="1412">
        <v>0.1</v>
      </c>
      <c r="U38" s="1413" t="s">
        <v>434</v>
      </c>
      <c r="V38" s="1256"/>
      <c r="W38" s="1419"/>
      <c r="X38" s="1420" t="s">
        <v>296</v>
      </c>
      <c r="Y38" s="1420" t="s">
        <v>296</v>
      </c>
      <c r="Z38" s="1420" t="s">
        <v>1553</v>
      </c>
      <c r="AA38" s="1421" t="s">
        <v>1552</v>
      </c>
      <c r="AB38" s="1422"/>
      <c r="AC38" s="1423">
        <v>0.15</v>
      </c>
      <c r="AD38" s="1420" t="s">
        <v>296</v>
      </c>
      <c r="AE38" s="1424" t="s">
        <v>296</v>
      </c>
    </row>
    <row r="39" spans="1:35" s="722" customFormat="1" ht="12.75" hidden="1" customHeight="1" outlineLevel="1">
      <c r="A39" s="1314"/>
      <c r="B39" s="1314"/>
      <c r="C39" s="1314"/>
      <c r="D39" s="1314"/>
      <c r="E39" s="1314" t="s">
        <v>1481</v>
      </c>
      <c r="F39" s="1314"/>
      <c r="G39" s="1314"/>
      <c r="H39" s="1314"/>
      <c r="I39" s="1314"/>
      <c r="J39" s="1314"/>
      <c r="K39" s="1255"/>
      <c r="L39" s="1315"/>
      <c r="M39" s="1315"/>
      <c r="N39" s="1316" t="s">
        <v>1482</v>
      </c>
      <c r="O39" s="1314" t="s">
        <v>1554</v>
      </c>
      <c r="P39" s="1317" t="s">
        <v>1555</v>
      </c>
      <c r="Q39" s="1318" t="s">
        <v>1556</v>
      </c>
      <c r="R39" s="1318" t="s">
        <v>1557</v>
      </c>
      <c r="S39" s="1319" t="s">
        <v>1558</v>
      </c>
      <c r="T39" s="1319" t="s">
        <v>1559</v>
      </c>
      <c r="U39" s="1318" t="s">
        <v>1560</v>
      </c>
      <c r="V39" s="1255"/>
      <c r="W39" s="1316"/>
      <c r="X39" s="1316"/>
      <c r="Y39" s="1316" t="s">
        <v>1561</v>
      </c>
      <c r="Z39" s="1316" t="s">
        <v>1562</v>
      </c>
      <c r="AA39" s="1317" t="s">
        <v>1563</v>
      </c>
      <c r="AB39" s="1314" t="s">
        <v>1564</v>
      </c>
      <c r="AC39" s="1319" t="s">
        <v>1565</v>
      </c>
      <c r="AD39" s="1316" t="s">
        <v>1566</v>
      </c>
      <c r="AE39" s="1316"/>
    </row>
    <row r="40" spans="1:35" ht="24" hidden="1" outlineLevel="1">
      <c r="A40" s="723">
        <v>1</v>
      </c>
      <c r="B40" s="810" t="s">
        <v>3115</v>
      </c>
      <c r="C40" s="810" t="s">
        <v>1579</v>
      </c>
      <c r="D40" s="1320" t="s">
        <v>1580</v>
      </c>
      <c r="E40" s="1321">
        <v>44677</v>
      </c>
      <c r="F40" s="1322">
        <v>4762363.5999999996</v>
      </c>
      <c r="G40" s="1322">
        <f>F40</f>
        <v>4762363.5999999996</v>
      </c>
      <c r="H40" s="1322">
        <v>0</v>
      </c>
      <c r="I40" s="1322">
        <v>0</v>
      </c>
      <c r="J40" s="1322">
        <f t="shared" ref="J40:J45" si="18">G40+H40+I40</f>
        <v>4762363.5999999996</v>
      </c>
      <c r="K40" s="2801"/>
      <c r="L40" s="723">
        <v>1</v>
      </c>
      <c r="M40" s="724" t="s">
        <v>1581</v>
      </c>
      <c r="N40" s="1321">
        <v>44698</v>
      </c>
      <c r="O40" s="1323">
        <f>E40+14</f>
        <v>44691</v>
      </c>
      <c r="P40" s="1324">
        <f t="shared" ref="P40:P58" si="19">O40-N40</f>
        <v>-7</v>
      </c>
      <c r="Q40" s="1322">
        <v>4762363.5999999996</v>
      </c>
      <c r="R40" s="1322">
        <f>Q40</f>
        <v>4762363.5999999996</v>
      </c>
      <c r="S40" s="1322">
        <v>0</v>
      </c>
      <c r="T40" s="1322">
        <v>0</v>
      </c>
      <c r="U40" s="1322">
        <f>R40-S40-T40</f>
        <v>4762363.5999999996</v>
      </c>
      <c r="V40" s="2801"/>
      <c r="W40" s="1325" t="s">
        <v>1582</v>
      </c>
      <c r="X40" s="1326">
        <v>44359</v>
      </c>
      <c r="Y40" s="1326">
        <v>44714</v>
      </c>
      <c r="Z40" s="1321">
        <f>+E40+14</f>
        <v>44691</v>
      </c>
      <c r="AA40" s="1324">
        <f t="shared" ref="AA40:AA46" si="20">+Z40-Y40</f>
        <v>-23</v>
      </c>
      <c r="AB40" s="1327">
        <f t="shared" ref="AB40:AB46" si="21">U40</f>
        <v>4762363.5999999996</v>
      </c>
      <c r="AC40" s="1327">
        <f t="shared" ref="AC40:AC45" si="22">(R40+T40)*AC$38</f>
        <v>714354.53999999992</v>
      </c>
      <c r="AD40" s="1327">
        <f t="shared" ref="AD40:AD46" si="23">AC40+AB40</f>
        <v>5476718.1399999997</v>
      </c>
      <c r="AE40" s="1327">
        <f>AD40</f>
        <v>5476718.1399999997</v>
      </c>
    </row>
    <row r="41" spans="1:35" hidden="1" outlineLevel="1">
      <c r="A41" s="1352">
        <v>2</v>
      </c>
      <c r="B41" s="2022" t="s">
        <v>1585</v>
      </c>
      <c r="C41" s="2023">
        <v>44713</v>
      </c>
      <c r="D41" s="2033" t="s">
        <v>1583</v>
      </c>
      <c r="E41" s="2025">
        <v>44768</v>
      </c>
      <c r="F41" s="2026">
        <f>(Q41*0)+F40+606884.25</f>
        <v>5369247.8499999996</v>
      </c>
      <c r="G41" s="2026">
        <f>F41-F40</f>
        <v>606884.25</v>
      </c>
      <c r="H41" s="2026">
        <f t="shared" ref="H41:H48" si="24">(G41*$H$38)*-1</f>
        <v>-121376.85</v>
      </c>
      <c r="I41" s="2026">
        <f t="shared" ref="I41:I48" si="25">(G41*$I$38)*-1</f>
        <v>-60688.425000000003</v>
      </c>
      <c r="J41" s="2026">
        <f t="shared" si="18"/>
        <v>424818.97500000003</v>
      </c>
      <c r="K41" s="2027"/>
      <c r="L41" s="1352">
        <v>2</v>
      </c>
      <c r="M41" s="2028" t="s">
        <v>1584</v>
      </c>
      <c r="N41" s="2025">
        <v>44790</v>
      </c>
      <c r="O41" s="2029">
        <f>E41+28</f>
        <v>44796</v>
      </c>
      <c r="P41" s="2030">
        <f t="shared" si="19"/>
        <v>6</v>
      </c>
      <c r="Q41" s="2026">
        <f>Q40+598722.54</f>
        <v>5361086.1399999997</v>
      </c>
      <c r="R41" s="2026">
        <f>Q41-Q40</f>
        <v>598722.54</v>
      </c>
      <c r="S41" s="2026">
        <f t="shared" ref="S41:S46" si="26">(R41*S$38)*-1</f>
        <v>-119744.50800000002</v>
      </c>
      <c r="T41" s="2026">
        <f t="shared" ref="T41:T46" si="27">(R41*T$38)*-1</f>
        <v>-59872.254000000008</v>
      </c>
      <c r="U41" s="2031">
        <f t="shared" ref="U41:U47" si="28">R41+S41+T41</f>
        <v>419105.77799999999</v>
      </c>
      <c r="V41" s="2027"/>
      <c r="W41" s="1352"/>
      <c r="X41" s="2079"/>
      <c r="Y41" s="2079">
        <v>44832</v>
      </c>
      <c r="Z41" s="2025">
        <f t="shared" ref="Z41:Z46" si="29">+E41+56</f>
        <v>44824</v>
      </c>
      <c r="AA41" s="2030">
        <f t="shared" si="20"/>
        <v>-8</v>
      </c>
      <c r="AB41" s="2032">
        <f t="shared" si="21"/>
        <v>419105.77799999999</v>
      </c>
      <c r="AC41" s="2032">
        <f t="shared" si="22"/>
        <v>80827.542900000015</v>
      </c>
      <c r="AD41" s="2032">
        <f t="shared" si="23"/>
        <v>499933.32089999999</v>
      </c>
      <c r="AE41" s="2032">
        <f t="shared" ref="AE41:AE46" si="30">AE40+AD41</f>
        <v>5976651.4608999994</v>
      </c>
    </row>
    <row r="42" spans="1:35" hidden="1" outlineLevel="1">
      <c r="A42" s="1352">
        <v>3</v>
      </c>
      <c r="B42" s="2022" t="s">
        <v>1587</v>
      </c>
      <c r="C42" s="2023">
        <v>44743</v>
      </c>
      <c r="D42" s="2033" t="s">
        <v>1586</v>
      </c>
      <c r="E42" s="2025">
        <v>44852</v>
      </c>
      <c r="F42" s="2026">
        <f>(F41-8572.54)*0+F40+590150</f>
        <v>5352513.5999999996</v>
      </c>
      <c r="G42" s="2026">
        <f>+F42-F41</f>
        <v>-16734.25</v>
      </c>
      <c r="H42" s="2026">
        <f t="shared" si="24"/>
        <v>3346.8500000000004</v>
      </c>
      <c r="I42" s="2026">
        <f t="shared" si="25"/>
        <v>1673.4250000000002</v>
      </c>
      <c r="J42" s="2026">
        <f t="shared" si="18"/>
        <v>-11713.974999999999</v>
      </c>
      <c r="K42" s="2027"/>
      <c r="L42" s="1352">
        <v>3</v>
      </c>
      <c r="M42" s="2028" t="s">
        <v>1567</v>
      </c>
      <c r="N42" s="2025">
        <v>44863</v>
      </c>
      <c r="O42" s="2029">
        <f t="shared" ref="O42:O49" si="31">E42+28</f>
        <v>44880</v>
      </c>
      <c r="P42" s="2030">
        <f t="shared" si="19"/>
        <v>17</v>
      </c>
      <c r="Q42" s="2026">
        <f>+Q41-8572.54</f>
        <v>5352513.5999999996</v>
      </c>
      <c r="R42" s="2026">
        <f>Q42-Q41</f>
        <v>-8572.5400000000373</v>
      </c>
      <c r="S42" s="2026">
        <f>(R42*S$38)*-1</f>
        <v>1714.5080000000075</v>
      </c>
      <c r="T42" s="2026">
        <f t="shared" si="27"/>
        <v>857.25400000000377</v>
      </c>
      <c r="U42" s="2031">
        <f t="shared" si="28"/>
        <v>-6000.7780000000266</v>
      </c>
      <c r="V42" s="2027"/>
      <c r="W42" s="1352"/>
      <c r="X42" s="2029"/>
      <c r="Y42" s="2025">
        <v>44908</v>
      </c>
      <c r="Z42" s="2025">
        <f t="shared" si="29"/>
        <v>44908</v>
      </c>
      <c r="AA42" s="2030">
        <f t="shared" si="20"/>
        <v>0</v>
      </c>
      <c r="AB42" s="2032">
        <f t="shared" si="21"/>
        <v>-6000.7780000000266</v>
      </c>
      <c r="AC42" s="2032">
        <f t="shared" si="22"/>
        <v>-1157.2929000000049</v>
      </c>
      <c r="AD42" s="2032">
        <f t="shared" si="23"/>
        <v>-7158.0709000000315</v>
      </c>
      <c r="AE42" s="2032">
        <f t="shared" si="30"/>
        <v>5969493.3899999997</v>
      </c>
    </row>
    <row r="43" spans="1:35" hidden="1" outlineLevel="1">
      <c r="A43" s="1352">
        <v>4</v>
      </c>
      <c r="B43" s="2022" t="s">
        <v>1588</v>
      </c>
      <c r="C43" s="2023">
        <v>44774</v>
      </c>
      <c r="D43" s="2033" t="s">
        <v>1586</v>
      </c>
      <c r="E43" s="2025">
        <v>44852</v>
      </c>
      <c r="F43" s="2026">
        <f>F42</f>
        <v>5352513.5999999996</v>
      </c>
      <c r="G43" s="2026">
        <f t="shared" ref="G43:G54" si="32">F43-F42</f>
        <v>0</v>
      </c>
      <c r="H43" s="2026">
        <f t="shared" si="24"/>
        <v>0</v>
      </c>
      <c r="I43" s="2026">
        <f t="shared" si="25"/>
        <v>0</v>
      </c>
      <c r="J43" s="2026">
        <f t="shared" si="18"/>
        <v>0</v>
      </c>
      <c r="K43" s="2027"/>
      <c r="L43" s="1352">
        <v>4</v>
      </c>
      <c r="M43" s="2028" t="s">
        <v>1568</v>
      </c>
      <c r="N43" s="2025">
        <v>44863</v>
      </c>
      <c r="O43" s="2029">
        <f t="shared" si="31"/>
        <v>44880</v>
      </c>
      <c r="P43" s="2030">
        <f t="shared" si="19"/>
        <v>17</v>
      </c>
      <c r="Q43" s="2026">
        <f>+Q42+0</f>
        <v>5352513.5999999996</v>
      </c>
      <c r="R43" s="2026">
        <f>Q43-Q42</f>
        <v>0</v>
      </c>
      <c r="S43" s="2026">
        <f t="shared" si="26"/>
        <v>0</v>
      </c>
      <c r="T43" s="2026">
        <f t="shared" si="27"/>
        <v>0</v>
      </c>
      <c r="U43" s="2031">
        <f t="shared" si="28"/>
        <v>0</v>
      </c>
      <c r="V43" s="2027"/>
      <c r="W43" s="1352"/>
      <c r="X43" s="2029"/>
      <c r="Y43" s="2025">
        <v>44908</v>
      </c>
      <c r="Z43" s="2025">
        <f t="shared" si="29"/>
        <v>44908</v>
      </c>
      <c r="AA43" s="2030">
        <f t="shared" si="20"/>
        <v>0</v>
      </c>
      <c r="AB43" s="2032">
        <f t="shared" si="21"/>
        <v>0</v>
      </c>
      <c r="AC43" s="2032">
        <f t="shared" si="22"/>
        <v>0</v>
      </c>
      <c r="AD43" s="2032">
        <f t="shared" si="23"/>
        <v>0</v>
      </c>
      <c r="AE43" s="2032">
        <f t="shared" si="30"/>
        <v>5969493.3899999997</v>
      </c>
    </row>
    <row r="44" spans="1:35" hidden="1" outlineLevel="1">
      <c r="A44" s="1352">
        <v>5</v>
      </c>
      <c r="B44" s="2022" t="s">
        <v>1589</v>
      </c>
      <c r="C44" s="2023">
        <v>44805</v>
      </c>
      <c r="D44" s="2033" t="s">
        <v>1586</v>
      </c>
      <c r="E44" s="2025">
        <v>44852</v>
      </c>
      <c r="F44" s="2026">
        <f>F43</f>
        <v>5352513.5999999996</v>
      </c>
      <c r="G44" s="2026">
        <f t="shared" si="32"/>
        <v>0</v>
      </c>
      <c r="H44" s="2026">
        <f t="shared" si="24"/>
        <v>0</v>
      </c>
      <c r="I44" s="2026">
        <f t="shared" si="25"/>
        <v>0</v>
      </c>
      <c r="J44" s="2026">
        <f t="shared" si="18"/>
        <v>0</v>
      </c>
      <c r="K44" s="2027"/>
      <c r="L44" s="1352">
        <v>5</v>
      </c>
      <c r="M44" s="2028" t="s">
        <v>1569</v>
      </c>
      <c r="N44" s="2025">
        <v>44863</v>
      </c>
      <c r="O44" s="2029">
        <f t="shared" si="31"/>
        <v>44880</v>
      </c>
      <c r="P44" s="2030">
        <f t="shared" si="19"/>
        <v>17</v>
      </c>
      <c r="Q44" s="2026">
        <f t="shared" ref="Q44:Q49" si="33">+Q43+0</f>
        <v>5352513.5999999996</v>
      </c>
      <c r="R44" s="2026">
        <f>Q44-Q43</f>
        <v>0</v>
      </c>
      <c r="S44" s="2026">
        <f t="shared" si="26"/>
        <v>0</v>
      </c>
      <c r="T44" s="2026">
        <f t="shared" si="27"/>
        <v>0</v>
      </c>
      <c r="U44" s="2031">
        <f t="shared" si="28"/>
        <v>0</v>
      </c>
      <c r="V44" s="2027"/>
      <c r="W44" s="1352"/>
      <c r="X44" s="2029"/>
      <c r="Y44" s="2025">
        <v>44908</v>
      </c>
      <c r="Z44" s="2025">
        <f t="shared" si="29"/>
        <v>44908</v>
      </c>
      <c r="AA44" s="2030">
        <f t="shared" si="20"/>
        <v>0</v>
      </c>
      <c r="AB44" s="2032">
        <f t="shared" si="21"/>
        <v>0</v>
      </c>
      <c r="AC44" s="2032">
        <f t="shared" si="22"/>
        <v>0</v>
      </c>
      <c r="AD44" s="2032">
        <f t="shared" si="23"/>
        <v>0</v>
      </c>
      <c r="AE44" s="2032">
        <f t="shared" si="30"/>
        <v>5969493.3899999997</v>
      </c>
    </row>
    <row r="45" spans="1:35" ht="24" hidden="1" outlineLevel="1">
      <c r="A45" s="1352">
        <v>6</v>
      </c>
      <c r="B45" s="2022" t="s">
        <v>1591</v>
      </c>
      <c r="C45" s="2023">
        <v>44835</v>
      </c>
      <c r="D45" s="2024" t="s">
        <v>1590</v>
      </c>
      <c r="E45" s="2025">
        <v>44870</v>
      </c>
      <c r="F45" s="2026">
        <f>(5428055.248)*0+F$40+590150+821959.5</f>
        <v>6174473.0999999996</v>
      </c>
      <c r="G45" s="2026">
        <f t="shared" si="32"/>
        <v>821959.5</v>
      </c>
      <c r="H45" s="2026">
        <f t="shared" si="24"/>
        <v>-164391.90000000002</v>
      </c>
      <c r="I45" s="2026">
        <f t="shared" si="25"/>
        <v>-82195.950000000012</v>
      </c>
      <c r="J45" s="2026">
        <f t="shared" si="18"/>
        <v>575371.64999999991</v>
      </c>
      <c r="K45" s="2027"/>
      <c r="L45" s="1352">
        <v>6</v>
      </c>
      <c r="M45" s="2031" t="s">
        <v>1987</v>
      </c>
      <c r="N45" s="2025">
        <v>44902</v>
      </c>
      <c r="O45" s="2029">
        <f t="shared" si="31"/>
        <v>44898</v>
      </c>
      <c r="P45" s="2030">
        <f t="shared" si="19"/>
        <v>-4</v>
      </c>
      <c r="Q45" s="2026">
        <f t="shared" si="33"/>
        <v>5352513.5999999996</v>
      </c>
      <c r="R45" s="2026">
        <f>Q45-Q44</f>
        <v>0</v>
      </c>
      <c r="S45" s="2026">
        <f t="shared" si="26"/>
        <v>0</v>
      </c>
      <c r="T45" s="2026">
        <f t="shared" si="27"/>
        <v>0</v>
      </c>
      <c r="U45" s="2031">
        <f t="shared" si="28"/>
        <v>0</v>
      </c>
      <c r="V45" s="2027"/>
      <c r="W45" s="1352"/>
      <c r="X45" s="2029"/>
      <c r="Y45" s="2025">
        <v>44935</v>
      </c>
      <c r="Z45" s="2025">
        <f t="shared" si="29"/>
        <v>44926</v>
      </c>
      <c r="AA45" s="2030">
        <f t="shared" si="20"/>
        <v>-9</v>
      </c>
      <c r="AB45" s="2032">
        <f t="shared" si="21"/>
        <v>0</v>
      </c>
      <c r="AC45" s="2032">
        <f t="shared" si="22"/>
        <v>0</v>
      </c>
      <c r="AD45" s="2032">
        <f t="shared" si="23"/>
        <v>0</v>
      </c>
      <c r="AE45" s="2032">
        <f t="shared" si="30"/>
        <v>5969493.3899999997</v>
      </c>
      <c r="AI45" s="1513">
        <v>44865</v>
      </c>
    </row>
    <row r="46" spans="1:35" ht="24" hidden="1" outlineLevel="1">
      <c r="A46" s="1352">
        <v>7</v>
      </c>
      <c r="B46" s="2022" t="s">
        <v>1594</v>
      </c>
      <c r="C46" s="2023">
        <v>44866</v>
      </c>
      <c r="D46" s="2024" t="s">
        <v>1592</v>
      </c>
      <c r="E46" s="2025">
        <v>44900</v>
      </c>
      <c r="F46" s="2026">
        <f>+F$40+590150+821959.5</f>
        <v>6174473.0999999996</v>
      </c>
      <c r="G46" s="2026">
        <f t="shared" si="32"/>
        <v>0</v>
      </c>
      <c r="H46" s="2026">
        <f t="shared" si="24"/>
        <v>0</v>
      </c>
      <c r="I46" s="2026">
        <f t="shared" si="25"/>
        <v>0</v>
      </c>
      <c r="J46" s="2026">
        <f t="shared" ref="J46:J51" si="34">G46+H46+I46</f>
        <v>0</v>
      </c>
      <c r="K46" s="2027"/>
      <c r="L46" s="1352">
        <v>7</v>
      </c>
      <c r="M46" s="2031" t="s">
        <v>1988</v>
      </c>
      <c r="N46" s="2025">
        <v>44930</v>
      </c>
      <c r="O46" s="2029">
        <f t="shared" si="31"/>
        <v>44928</v>
      </c>
      <c r="P46" s="2030">
        <f t="shared" si="19"/>
        <v>-2</v>
      </c>
      <c r="Q46" s="2026">
        <f t="shared" si="33"/>
        <v>5352513.5999999996</v>
      </c>
      <c r="R46" s="2026">
        <v>0</v>
      </c>
      <c r="S46" s="2026">
        <f t="shared" si="26"/>
        <v>0</v>
      </c>
      <c r="T46" s="2026">
        <f t="shared" si="27"/>
        <v>0</v>
      </c>
      <c r="U46" s="2031">
        <f t="shared" si="28"/>
        <v>0</v>
      </c>
      <c r="V46" s="2027"/>
      <c r="W46" s="1352" t="s">
        <v>1593</v>
      </c>
      <c r="X46" s="2029">
        <v>44948</v>
      </c>
      <c r="Y46" s="2025">
        <v>44948</v>
      </c>
      <c r="Z46" s="2025">
        <f t="shared" si="29"/>
        <v>44956</v>
      </c>
      <c r="AA46" s="2030">
        <f t="shared" si="20"/>
        <v>8</v>
      </c>
      <c r="AB46" s="2032">
        <f t="shared" si="21"/>
        <v>0</v>
      </c>
      <c r="AC46" s="2032">
        <f t="shared" ref="AC46:AC51" si="35">(R46+T46)*AC$38</f>
        <v>0</v>
      </c>
      <c r="AD46" s="2032">
        <f t="shared" si="23"/>
        <v>0</v>
      </c>
      <c r="AE46" s="2032">
        <f t="shared" si="30"/>
        <v>5969493.3899999997</v>
      </c>
      <c r="AI46" s="1513">
        <v>44865</v>
      </c>
    </row>
    <row r="47" spans="1:35" ht="37.5" hidden="1" customHeight="1" outlineLevel="1">
      <c r="A47" s="1352">
        <v>8</v>
      </c>
      <c r="B47" s="2022" t="s">
        <v>1571</v>
      </c>
      <c r="C47" s="2023">
        <v>44896</v>
      </c>
      <c r="D47" s="2024" t="s">
        <v>1595</v>
      </c>
      <c r="E47" s="2079">
        <v>44931</v>
      </c>
      <c r="F47" s="2026">
        <f>+F$40+590150+1067479.88</f>
        <v>6419993.4799999995</v>
      </c>
      <c r="G47" s="2026">
        <f t="shared" si="32"/>
        <v>245520.37999999989</v>
      </c>
      <c r="H47" s="2026">
        <f t="shared" si="24"/>
        <v>-49104.075999999979</v>
      </c>
      <c r="I47" s="2026">
        <f t="shared" si="25"/>
        <v>-24552.03799999999</v>
      </c>
      <c r="J47" s="2026">
        <f t="shared" si="34"/>
        <v>171864.26599999992</v>
      </c>
      <c r="K47" s="2027"/>
      <c r="L47" s="1352">
        <v>8</v>
      </c>
      <c r="M47" s="2034" t="s">
        <v>1570</v>
      </c>
      <c r="N47" s="2025">
        <v>44951</v>
      </c>
      <c r="O47" s="2029">
        <f t="shared" si="31"/>
        <v>44959</v>
      </c>
      <c r="P47" s="2030">
        <f t="shared" si="19"/>
        <v>8</v>
      </c>
      <c r="Q47" s="2026">
        <f t="shared" si="33"/>
        <v>5352513.5999999996</v>
      </c>
      <c r="R47" s="2026">
        <f>Q47-Q46</f>
        <v>0</v>
      </c>
      <c r="S47" s="2026">
        <f t="shared" ref="S47:S52" si="36">(R47*S$38)*-1</f>
        <v>0</v>
      </c>
      <c r="T47" s="2026">
        <f t="shared" ref="T47:T52" si="37">(R47*T$38)*-1</f>
        <v>0</v>
      </c>
      <c r="U47" s="2031">
        <f t="shared" si="28"/>
        <v>0</v>
      </c>
      <c r="V47" s="2027"/>
      <c r="W47" s="1352"/>
      <c r="X47" s="2029"/>
      <c r="Y47" s="2025">
        <v>44978</v>
      </c>
      <c r="Z47" s="2079">
        <f t="shared" ref="Z47:Z56" si="38">+E47+56</f>
        <v>44987</v>
      </c>
      <c r="AA47" s="2030">
        <f t="shared" ref="AA47:AA53" si="39">+Z47-Y47</f>
        <v>9</v>
      </c>
      <c r="AB47" s="2032">
        <f>U47</f>
        <v>0</v>
      </c>
      <c r="AC47" s="2032">
        <f t="shared" si="35"/>
        <v>0</v>
      </c>
      <c r="AD47" s="2032">
        <f t="shared" ref="AD47:AD57" si="40">AC47+AB47</f>
        <v>0</v>
      </c>
      <c r="AE47" s="2032">
        <f>AE46+AD47</f>
        <v>5969493.3899999997</v>
      </c>
      <c r="AI47" s="1513">
        <v>44865</v>
      </c>
    </row>
    <row r="48" spans="1:35" ht="21" hidden="1" customHeight="1" outlineLevel="1">
      <c r="A48" s="1352">
        <v>9</v>
      </c>
      <c r="B48" s="2022" t="s">
        <v>1573</v>
      </c>
      <c r="C48" s="2023">
        <v>44927</v>
      </c>
      <c r="D48" s="2019" t="s">
        <v>1572</v>
      </c>
      <c r="E48" s="2079">
        <v>44965</v>
      </c>
      <c r="F48" s="2026">
        <f>+F$40+590150+1067479.88+287676</f>
        <v>6707669.4799999995</v>
      </c>
      <c r="G48" s="2026">
        <f t="shared" si="32"/>
        <v>287676</v>
      </c>
      <c r="H48" s="2026">
        <f t="shared" si="24"/>
        <v>-57535.200000000004</v>
      </c>
      <c r="I48" s="2026">
        <f t="shared" si="25"/>
        <v>-28767.600000000002</v>
      </c>
      <c r="J48" s="2026">
        <f t="shared" si="34"/>
        <v>201373.19999999998</v>
      </c>
      <c r="K48" s="2020"/>
      <c r="L48" s="1352">
        <v>9</v>
      </c>
      <c r="M48" s="2021" t="s">
        <v>1989</v>
      </c>
      <c r="N48" s="2018">
        <v>44977</v>
      </c>
      <c r="O48" s="2029">
        <f t="shared" si="31"/>
        <v>44993</v>
      </c>
      <c r="P48" s="2030">
        <f t="shared" si="19"/>
        <v>16</v>
      </c>
      <c r="Q48" s="2080">
        <f>+Q47+0</f>
        <v>5352513.5999999996</v>
      </c>
      <c r="R48" s="2026">
        <f>Q48-Q47</f>
        <v>0</v>
      </c>
      <c r="S48" s="2026">
        <f t="shared" si="36"/>
        <v>0</v>
      </c>
      <c r="T48" s="2026">
        <f t="shared" si="37"/>
        <v>0</v>
      </c>
      <c r="U48" s="2031">
        <f t="shared" ref="U48:U59" si="41">R48+S48+T48</f>
        <v>0</v>
      </c>
      <c r="V48" s="2020"/>
      <c r="W48" s="2017"/>
      <c r="X48" s="2021"/>
      <c r="Y48" s="2025">
        <v>45007</v>
      </c>
      <c r="Z48" s="2079">
        <f t="shared" si="38"/>
        <v>45021</v>
      </c>
      <c r="AA48" s="2030">
        <f t="shared" si="39"/>
        <v>14</v>
      </c>
      <c r="AB48" s="2032">
        <f>U48</f>
        <v>0</v>
      </c>
      <c r="AC48" s="2032">
        <f t="shared" si="35"/>
        <v>0</v>
      </c>
      <c r="AD48" s="2032">
        <f t="shared" si="40"/>
        <v>0</v>
      </c>
      <c r="AE48" s="2032">
        <f>AE47+AD48</f>
        <v>5969493.3899999997</v>
      </c>
      <c r="AI48" s="1513"/>
    </row>
    <row r="49" spans="1:35" ht="18.75" hidden="1" customHeight="1" outlineLevel="1">
      <c r="A49" s="1352">
        <v>10</v>
      </c>
      <c r="B49" s="2022" t="s">
        <v>1576</v>
      </c>
      <c r="C49" s="2023">
        <v>44958</v>
      </c>
      <c r="D49" s="2024" t="s">
        <v>1574</v>
      </c>
      <c r="E49" s="2079">
        <v>44990</v>
      </c>
      <c r="F49" s="2026">
        <f>+F40+2431009.22</f>
        <v>7193372.8200000003</v>
      </c>
      <c r="G49" s="2026">
        <f t="shared" si="32"/>
        <v>485703.34000000078</v>
      </c>
      <c r="H49" s="2026">
        <f t="shared" ref="H49:H54" si="42">(G49*$H$38)*-1</f>
        <v>-97140.668000000165</v>
      </c>
      <c r="I49" s="2026">
        <f t="shared" ref="I49:I54" si="43">(G49*$I$38)*-1</f>
        <v>-48570.334000000083</v>
      </c>
      <c r="J49" s="2026">
        <f t="shared" si="34"/>
        <v>339992.33800000051</v>
      </c>
      <c r="K49" s="2020"/>
      <c r="L49" s="1352">
        <v>10</v>
      </c>
      <c r="M49" s="2034" t="s">
        <v>1575</v>
      </c>
      <c r="N49" s="2025">
        <v>45005</v>
      </c>
      <c r="O49" s="2029">
        <f t="shared" si="31"/>
        <v>45018</v>
      </c>
      <c r="P49" s="2030">
        <f t="shared" si="19"/>
        <v>13</v>
      </c>
      <c r="Q49" s="2080">
        <f t="shared" si="33"/>
        <v>5352513.5999999996</v>
      </c>
      <c r="R49" s="2026">
        <f>Q49-Q48</f>
        <v>0</v>
      </c>
      <c r="S49" s="2026">
        <f t="shared" si="36"/>
        <v>0</v>
      </c>
      <c r="T49" s="2026">
        <f t="shared" si="37"/>
        <v>0</v>
      </c>
      <c r="U49" s="2031">
        <f t="shared" si="41"/>
        <v>0</v>
      </c>
      <c r="V49" s="2020"/>
      <c r="W49" s="2017"/>
      <c r="X49" s="2021"/>
      <c r="Y49" s="2025">
        <v>45046</v>
      </c>
      <c r="Z49" s="2079">
        <f t="shared" si="38"/>
        <v>45046</v>
      </c>
      <c r="AA49" s="2030">
        <f t="shared" si="39"/>
        <v>0</v>
      </c>
      <c r="AB49" s="2032">
        <f t="shared" ref="AB49:AB54" si="44">U49</f>
        <v>0</v>
      </c>
      <c r="AC49" s="2032">
        <f t="shared" si="35"/>
        <v>0</v>
      </c>
      <c r="AD49" s="2032">
        <f t="shared" si="40"/>
        <v>0</v>
      </c>
      <c r="AE49" s="2032">
        <f t="shared" ref="AE49:AE57" si="45">AE48+AD49</f>
        <v>5969493.3899999997</v>
      </c>
      <c r="AI49" s="1513"/>
    </row>
    <row r="50" spans="1:35" ht="24" hidden="1" outlineLevel="1">
      <c r="A50" s="1352">
        <v>11</v>
      </c>
      <c r="B50" s="2022" t="s">
        <v>1577</v>
      </c>
      <c r="C50" s="2023">
        <v>45008</v>
      </c>
      <c r="D50" s="2024" t="s">
        <v>1982</v>
      </c>
      <c r="E50" s="2079">
        <v>45022</v>
      </c>
      <c r="F50" s="2026">
        <f>+F40+3260853.04</f>
        <v>8023216.6399999997</v>
      </c>
      <c r="G50" s="2026">
        <f t="shared" si="32"/>
        <v>829843.81999999937</v>
      </c>
      <c r="H50" s="2026">
        <f t="shared" si="42"/>
        <v>-165968.76399999988</v>
      </c>
      <c r="I50" s="2026">
        <f t="shared" si="43"/>
        <v>-82984.38199999994</v>
      </c>
      <c r="J50" s="2026">
        <f t="shared" si="34"/>
        <v>580890.67399999953</v>
      </c>
      <c r="K50" s="2020"/>
      <c r="L50" s="1352">
        <v>11</v>
      </c>
      <c r="M50" s="2034" t="s">
        <v>1990</v>
      </c>
      <c r="N50" s="2025">
        <v>45052</v>
      </c>
      <c r="O50" s="2029">
        <f>E50+28</f>
        <v>45050</v>
      </c>
      <c r="P50" s="2030">
        <f t="shared" si="19"/>
        <v>-2</v>
      </c>
      <c r="Q50" s="2080">
        <f t="shared" ref="Q50:Q55" si="46">+Q49+R50</f>
        <v>5921039.6600000001</v>
      </c>
      <c r="R50" s="2026">
        <v>568526.06000000006</v>
      </c>
      <c r="S50" s="2026">
        <f t="shared" si="36"/>
        <v>-113705.21200000001</v>
      </c>
      <c r="T50" s="2026">
        <f t="shared" si="37"/>
        <v>-56852.606000000007</v>
      </c>
      <c r="U50" s="2031">
        <f t="shared" si="41"/>
        <v>397968.24200000003</v>
      </c>
      <c r="V50" s="2020"/>
      <c r="W50" s="2017"/>
      <c r="X50" s="2021"/>
      <c r="Y50" s="2025">
        <v>45075</v>
      </c>
      <c r="Z50" s="2079">
        <f t="shared" si="38"/>
        <v>45078</v>
      </c>
      <c r="AA50" s="2030">
        <f t="shared" si="39"/>
        <v>3</v>
      </c>
      <c r="AB50" s="2032">
        <f t="shared" si="44"/>
        <v>397968.24200000003</v>
      </c>
      <c r="AC50" s="2032">
        <f t="shared" si="35"/>
        <v>76751.018100000001</v>
      </c>
      <c r="AD50" s="2032">
        <f t="shared" si="40"/>
        <v>474719.26010000001</v>
      </c>
      <c r="AE50" s="2032">
        <f t="shared" si="45"/>
        <v>6444212.6500999993</v>
      </c>
      <c r="AI50" s="1513"/>
    </row>
    <row r="51" spans="1:35" hidden="1" outlineLevel="1">
      <c r="A51" s="1352">
        <v>12</v>
      </c>
      <c r="B51" s="2022" t="s">
        <v>2128</v>
      </c>
      <c r="C51" s="2023">
        <v>45039</v>
      </c>
      <c r="D51" s="2024" t="s">
        <v>1991</v>
      </c>
      <c r="E51" s="2079">
        <v>45052</v>
      </c>
      <c r="F51" s="2026">
        <f>+F40+3893017.66</f>
        <v>8655381.2599999998</v>
      </c>
      <c r="G51" s="2026">
        <f t="shared" si="32"/>
        <v>632164.62000000011</v>
      </c>
      <c r="H51" s="2026">
        <f t="shared" si="42"/>
        <v>-126432.92400000003</v>
      </c>
      <c r="I51" s="2026">
        <f t="shared" si="43"/>
        <v>-63216.462000000014</v>
      </c>
      <c r="J51" s="2026">
        <f t="shared" si="34"/>
        <v>442515.23400000011</v>
      </c>
      <c r="K51" s="2020"/>
      <c r="L51" s="1352">
        <v>12</v>
      </c>
      <c r="M51" s="2034" t="s">
        <v>2127</v>
      </c>
      <c r="N51" s="2025">
        <v>45075</v>
      </c>
      <c r="O51" s="2029">
        <f>E51+28</f>
        <v>45080</v>
      </c>
      <c r="P51" s="2030">
        <f t="shared" si="19"/>
        <v>5</v>
      </c>
      <c r="Q51" s="2080">
        <f t="shared" si="46"/>
        <v>6077126.6600000001</v>
      </c>
      <c r="R51" s="2026">
        <v>156087</v>
      </c>
      <c r="S51" s="2026">
        <f t="shared" si="36"/>
        <v>-31217.4</v>
      </c>
      <c r="T51" s="2026">
        <f t="shared" si="37"/>
        <v>-15608.7</v>
      </c>
      <c r="U51" s="2031">
        <f t="shared" si="41"/>
        <v>109260.90000000001</v>
      </c>
      <c r="V51" s="2020"/>
      <c r="W51" s="2017"/>
      <c r="X51" s="2021"/>
      <c r="Y51" s="2025">
        <v>45116</v>
      </c>
      <c r="Z51" s="2079">
        <f t="shared" si="38"/>
        <v>45108</v>
      </c>
      <c r="AA51" s="2030">
        <f t="shared" si="39"/>
        <v>-8</v>
      </c>
      <c r="AB51" s="2032">
        <f t="shared" si="44"/>
        <v>109260.90000000001</v>
      </c>
      <c r="AC51" s="2032">
        <f t="shared" si="35"/>
        <v>21071.744999999999</v>
      </c>
      <c r="AD51" s="2032">
        <f t="shared" si="40"/>
        <v>130332.645</v>
      </c>
      <c r="AE51" s="2032">
        <f t="shared" si="45"/>
        <v>6574545.2950999988</v>
      </c>
      <c r="AI51" s="1513"/>
    </row>
    <row r="52" spans="1:35" hidden="1" outlineLevel="1">
      <c r="A52" s="1352">
        <v>13</v>
      </c>
      <c r="B52" s="2022" t="s">
        <v>2271</v>
      </c>
      <c r="C52" s="2023">
        <v>45069</v>
      </c>
      <c r="D52" s="2024" t="s">
        <v>2129</v>
      </c>
      <c r="E52" s="2025">
        <v>45084</v>
      </c>
      <c r="F52" s="2026">
        <f>+F40+4600774.14</f>
        <v>9363137.7399999984</v>
      </c>
      <c r="G52" s="2026">
        <f t="shared" si="32"/>
        <v>707756.47999999858</v>
      </c>
      <c r="H52" s="2026">
        <f t="shared" si="42"/>
        <v>-141551.29599999971</v>
      </c>
      <c r="I52" s="2026">
        <f t="shared" si="43"/>
        <v>-70775.647999999856</v>
      </c>
      <c r="J52" s="2026">
        <f t="shared" ref="J52:J59" si="47">G52+H52+I52</f>
        <v>495429.53599999897</v>
      </c>
      <c r="K52" s="2020"/>
      <c r="L52" s="1352">
        <v>13</v>
      </c>
      <c r="M52" s="2034" t="s">
        <v>2130</v>
      </c>
      <c r="N52" s="2025">
        <v>45120</v>
      </c>
      <c r="O52" s="2029">
        <f>E52+28</f>
        <v>45112</v>
      </c>
      <c r="P52" s="2030">
        <f t="shared" si="19"/>
        <v>-8</v>
      </c>
      <c r="Q52" s="2080">
        <f t="shared" si="46"/>
        <v>6078979.9400000004</v>
      </c>
      <c r="R52" s="2026">
        <v>1853.28</v>
      </c>
      <c r="S52" s="2026">
        <f t="shared" si="36"/>
        <v>-370.65600000000001</v>
      </c>
      <c r="T52" s="2026">
        <f t="shared" si="37"/>
        <v>-185.328</v>
      </c>
      <c r="U52" s="2031">
        <f t="shared" si="41"/>
        <v>1297.296</v>
      </c>
      <c r="V52" s="2020"/>
      <c r="W52" s="2017"/>
      <c r="X52" s="2021"/>
      <c r="Y52" s="2025">
        <v>45147</v>
      </c>
      <c r="Z52" s="2025">
        <f t="shared" si="38"/>
        <v>45140</v>
      </c>
      <c r="AA52" s="2030">
        <f t="shared" si="39"/>
        <v>-7</v>
      </c>
      <c r="AB52" s="2032">
        <f t="shared" si="44"/>
        <v>1297.296</v>
      </c>
      <c r="AC52" s="2032">
        <f t="shared" ref="AC52:AC57" si="48">(R52+T52)*AC$38</f>
        <v>250.19279999999998</v>
      </c>
      <c r="AD52" s="2032">
        <f t="shared" si="40"/>
        <v>1547.4888000000001</v>
      </c>
      <c r="AE52" s="2032">
        <f t="shared" si="45"/>
        <v>6576092.7838999992</v>
      </c>
      <c r="AI52" s="1513"/>
    </row>
    <row r="53" spans="1:35" ht="24" hidden="1" outlineLevel="1">
      <c r="A53" s="1352">
        <v>14</v>
      </c>
      <c r="B53" s="2022" t="s">
        <v>2495</v>
      </c>
      <c r="C53" s="2023">
        <v>45100</v>
      </c>
      <c r="D53" s="2024" t="s">
        <v>2272</v>
      </c>
      <c r="E53" s="2025">
        <v>45115</v>
      </c>
      <c r="F53" s="2026">
        <f>+$F$40+4643730.14</f>
        <v>9406093.7399999984</v>
      </c>
      <c r="G53" s="2026">
        <f t="shared" si="32"/>
        <v>42956</v>
      </c>
      <c r="H53" s="2026">
        <f t="shared" si="42"/>
        <v>-8591.2000000000007</v>
      </c>
      <c r="I53" s="2026">
        <f t="shared" si="43"/>
        <v>-4295.6000000000004</v>
      </c>
      <c r="J53" s="2026">
        <f t="shared" si="47"/>
        <v>30069.200000000004</v>
      </c>
      <c r="K53" s="2020"/>
      <c r="L53" s="1352">
        <v>14</v>
      </c>
      <c r="M53" s="2034" t="s">
        <v>2273</v>
      </c>
      <c r="N53" s="2025">
        <v>45127</v>
      </c>
      <c r="O53" s="2029">
        <v>45143</v>
      </c>
      <c r="P53" s="2030">
        <f t="shared" si="19"/>
        <v>16</v>
      </c>
      <c r="Q53" s="2080">
        <f t="shared" si="46"/>
        <v>6133400.9400000004</v>
      </c>
      <c r="R53" s="2026">
        <v>54421</v>
      </c>
      <c r="S53" s="2026">
        <v>-4300459.84</v>
      </c>
      <c r="T53" s="2026">
        <f>(R53*T$38)*-1</f>
        <v>-5442.1</v>
      </c>
      <c r="U53" s="2031">
        <f t="shared" si="41"/>
        <v>-4251480.9399999995</v>
      </c>
      <c r="V53" s="2020"/>
      <c r="W53" s="2017"/>
      <c r="X53" s="2021"/>
      <c r="Y53" s="2025">
        <v>45187</v>
      </c>
      <c r="Z53" s="2079">
        <f t="shared" si="38"/>
        <v>45171</v>
      </c>
      <c r="AA53" s="2030">
        <f t="shared" si="39"/>
        <v>-16</v>
      </c>
      <c r="AB53" s="2032">
        <f t="shared" si="44"/>
        <v>-4251480.9399999995</v>
      </c>
      <c r="AC53" s="2032">
        <f t="shared" si="48"/>
        <v>7346.835</v>
      </c>
      <c r="AD53" s="2032">
        <f t="shared" si="40"/>
        <v>-4244134.1049999995</v>
      </c>
      <c r="AE53" s="2032">
        <f t="shared" si="45"/>
        <v>2331958.6788999997</v>
      </c>
      <c r="AI53" s="1513"/>
    </row>
    <row r="54" spans="1:35" ht="22.5" hidden="1" customHeight="1" outlineLevel="1">
      <c r="A54" s="1352">
        <v>15</v>
      </c>
      <c r="B54" s="2022" t="s">
        <v>2522</v>
      </c>
      <c r="C54" s="2023">
        <v>45130</v>
      </c>
      <c r="D54" s="2024" t="s">
        <v>2496</v>
      </c>
      <c r="E54" s="2025">
        <v>45147</v>
      </c>
      <c r="F54" s="2026">
        <f>+$F$40+6445634.24</f>
        <v>11207997.84</v>
      </c>
      <c r="G54" s="2026">
        <f t="shared" si="32"/>
        <v>1801904.1000000015</v>
      </c>
      <c r="H54" s="2026">
        <f t="shared" si="42"/>
        <v>-360380.8200000003</v>
      </c>
      <c r="I54" s="2026">
        <f t="shared" si="43"/>
        <v>-180190.41000000015</v>
      </c>
      <c r="J54" s="2026">
        <f t="shared" si="47"/>
        <v>1261332.870000001</v>
      </c>
      <c r="K54" s="2020"/>
      <c r="L54" s="1352">
        <v>15</v>
      </c>
      <c r="M54" s="2034" t="s">
        <v>2524</v>
      </c>
      <c r="N54" s="2025">
        <v>45176</v>
      </c>
      <c r="O54" s="2029">
        <f t="shared" ref="O54:O59" si="49">E54+28</f>
        <v>45175</v>
      </c>
      <c r="P54" s="2030">
        <f t="shared" si="19"/>
        <v>-1</v>
      </c>
      <c r="Q54" s="2080">
        <f t="shared" si="46"/>
        <v>8780690.040000001</v>
      </c>
      <c r="R54" s="2026">
        <f>2647289.1</f>
        <v>2647289.1</v>
      </c>
      <c r="S54" s="2026">
        <v>-198580.49</v>
      </c>
      <c r="T54" s="2026">
        <f>(R54*T$38)*-1</f>
        <v>-264728.91000000003</v>
      </c>
      <c r="U54" s="2031">
        <f t="shared" si="41"/>
        <v>2183979.7000000002</v>
      </c>
      <c r="V54" s="2020"/>
      <c r="W54" s="2017"/>
      <c r="X54" s="2021"/>
      <c r="Y54" s="2025">
        <v>45244</v>
      </c>
      <c r="Z54" s="2079">
        <f t="shared" si="38"/>
        <v>45203</v>
      </c>
      <c r="AA54" s="2030">
        <f t="shared" ref="AA54:AA59" si="50">+Z54-Y54</f>
        <v>-41</v>
      </c>
      <c r="AB54" s="2032">
        <f t="shared" si="44"/>
        <v>2183979.7000000002</v>
      </c>
      <c r="AC54" s="2032">
        <f t="shared" si="48"/>
        <v>357384.02849999996</v>
      </c>
      <c r="AD54" s="2032">
        <f t="shared" si="40"/>
        <v>2541363.7285000002</v>
      </c>
      <c r="AE54" s="2032">
        <f t="shared" si="45"/>
        <v>4873322.4073999999</v>
      </c>
      <c r="AI54" s="1513"/>
    </row>
    <row r="55" spans="1:35" ht="26.25" hidden="1" customHeight="1" outlineLevel="1">
      <c r="A55" s="1352">
        <v>16</v>
      </c>
      <c r="B55" s="2022" t="s">
        <v>2603</v>
      </c>
      <c r="C55" s="2023">
        <v>45161</v>
      </c>
      <c r="D55" s="2024" t="s">
        <v>2521</v>
      </c>
      <c r="E55" s="2025">
        <v>45179</v>
      </c>
      <c r="F55" s="2026">
        <f>+$F$40+6877615.12</f>
        <v>11639978.719999999</v>
      </c>
      <c r="G55" s="2026">
        <f>F55-F54</f>
        <v>431980.87999999896</v>
      </c>
      <c r="H55" s="2026">
        <f>-4762363.6+1289126.848</f>
        <v>-3473236.7519999994</v>
      </c>
      <c r="I55" s="2026">
        <f>(G55*$I$38)*-1+343880.76</f>
        <v>300682.67200000014</v>
      </c>
      <c r="J55" s="2026">
        <f t="shared" si="47"/>
        <v>-2740573.2</v>
      </c>
      <c r="K55" s="2020"/>
      <c r="L55" s="1352">
        <v>16</v>
      </c>
      <c r="M55" s="2034" t="s">
        <v>2523</v>
      </c>
      <c r="N55" s="2025">
        <v>45188</v>
      </c>
      <c r="O55" s="2029">
        <f t="shared" si="49"/>
        <v>45207</v>
      </c>
      <c r="P55" s="2030">
        <f t="shared" si="19"/>
        <v>19</v>
      </c>
      <c r="Q55" s="2080">
        <f t="shared" si="46"/>
        <v>9286971.6800000016</v>
      </c>
      <c r="R55" s="2026">
        <v>506281.64</v>
      </c>
      <c r="S55" s="2026">
        <v>0</v>
      </c>
      <c r="T55" s="2026">
        <v>-50628.17</v>
      </c>
      <c r="U55" s="2031">
        <f t="shared" si="41"/>
        <v>455653.47000000003</v>
      </c>
      <c r="V55" s="2020"/>
      <c r="W55" s="2017"/>
      <c r="X55" s="2021"/>
      <c r="Y55" s="2025">
        <v>45244</v>
      </c>
      <c r="Z55" s="2079">
        <f t="shared" si="38"/>
        <v>45235</v>
      </c>
      <c r="AA55" s="2030">
        <f t="shared" si="50"/>
        <v>-9</v>
      </c>
      <c r="AB55" s="2032">
        <f>U55</f>
        <v>455653.47000000003</v>
      </c>
      <c r="AC55" s="2032">
        <f t="shared" si="48"/>
        <v>68348.020499999999</v>
      </c>
      <c r="AD55" s="2032">
        <f t="shared" si="40"/>
        <v>524001.49050000001</v>
      </c>
      <c r="AE55" s="2032">
        <f t="shared" si="45"/>
        <v>5397323.8979000002</v>
      </c>
      <c r="AI55" s="1513"/>
    </row>
    <row r="56" spans="1:35" ht="21.75" hidden="1" customHeight="1" outlineLevel="1">
      <c r="A56" s="1352">
        <v>17</v>
      </c>
      <c r="B56" s="2022" t="s">
        <v>3116</v>
      </c>
      <c r="C56" s="3227" t="s">
        <v>2605</v>
      </c>
      <c r="D56" s="2024" t="s">
        <v>2604</v>
      </c>
      <c r="E56" s="2025">
        <v>45229</v>
      </c>
      <c r="F56" s="2026">
        <f>+F40+6877615.12</f>
        <v>11639978.719999999</v>
      </c>
      <c r="G56" s="2026">
        <f>F56-F55</f>
        <v>0</v>
      </c>
      <c r="H56" s="2026">
        <v>0</v>
      </c>
      <c r="I56" s="2026">
        <f>(G56*$I$38)*-1</f>
        <v>0</v>
      </c>
      <c r="J56" s="2026">
        <f t="shared" si="47"/>
        <v>0</v>
      </c>
      <c r="K56" s="2020"/>
      <c r="L56" s="1352">
        <v>17</v>
      </c>
      <c r="M56" s="2034" t="s">
        <v>2606</v>
      </c>
      <c r="N56" s="2025">
        <v>45265</v>
      </c>
      <c r="O56" s="2029">
        <f t="shared" si="49"/>
        <v>45257</v>
      </c>
      <c r="P56" s="2030">
        <f t="shared" si="19"/>
        <v>-8</v>
      </c>
      <c r="Q56" s="2080">
        <f>+Q55+R56</f>
        <v>9286971.6800000016</v>
      </c>
      <c r="R56" s="2026">
        <v>0</v>
      </c>
      <c r="S56" s="2026">
        <v>0</v>
      </c>
      <c r="T56" s="2026">
        <v>226230.41</v>
      </c>
      <c r="U56" s="2031">
        <f t="shared" si="41"/>
        <v>226230.41</v>
      </c>
      <c r="V56" s="2020"/>
      <c r="W56" s="2017"/>
      <c r="X56" s="2021"/>
      <c r="Y56" s="2025">
        <v>45285</v>
      </c>
      <c r="Z56" s="2025">
        <f t="shared" si="38"/>
        <v>45285</v>
      </c>
      <c r="AA56" s="2030">
        <f t="shared" si="50"/>
        <v>0</v>
      </c>
      <c r="AB56" s="2032">
        <f>U56</f>
        <v>226230.41</v>
      </c>
      <c r="AC56" s="2031">
        <f t="shared" si="48"/>
        <v>33934.561499999996</v>
      </c>
      <c r="AD56" s="2031">
        <f t="shared" si="40"/>
        <v>260164.97149999999</v>
      </c>
      <c r="AE56" s="2032">
        <f t="shared" si="45"/>
        <v>5657488.8694000002</v>
      </c>
      <c r="AI56" s="1513"/>
    </row>
    <row r="57" spans="1:35" ht="30.75" hidden="1" customHeight="1" outlineLevel="1">
      <c r="A57" s="1352">
        <v>18</v>
      </c>
      <c r="B57" s="2022" t="s">
        <v>3117</v>
      </c>
      <c r="C57" s="3227">
        <v>45467</v>
      </c>
      <c r="D57" s="2024" t="s">
        <v>3118</v>
      </c>
      <c r="E57" s="2025">
        <v>45469</v>
      </c>
      <c r="F57" s="2026">
        <v>4922408.08</v>
      </c>
      <c r="G57" s="2026">
        <v>397800</v>
      </c>
      <c r="H57" s="2026">
        <v>0</v>
      </c>
      <c r="I57" s="2026">
        <f>-39780+19890</f>
        <v>-19890</v>
      </c>
      <c r="J57" s="2026">
        <f t="shared" si="47"/>
        <v>377910</v>
      </c>
      <c r="K57" s="2020"/>
      <c r="L57" s="1352">
        <v>18</v>
      </c>
      <c r="M57" s="2034" t="s">
        <v>3119</v>
      </c>
      <c r="N57" s="2025">
        <v>45482</v>
      </c>
      <c r="O57" s="2029">
        <f t="shared" si="49"/>
        <v>45497</v>
      </c>
      <c r="P57" s="2030">
        <f t="shared" si="19"/>
        <v>15</v>
      </c>
      <c r="Q57" s="2080">
        <f>+Q56+R57</f>
        <v>9684771.6800000016</v>
      </c>
      <c r="R57" s="2026">
        <v>397800</v>
      </c>
      <c r="S57" s="2026">
        <v>0</v>
      </c>
      <c r="T57" s="2026">
        <f>-39780+19890</f>
        <v>-19890</v>
      </c>
      <c r="U57" s="2031">
        <f t="shared" si="41"/>
        <v>377910</v>
      </c>
      <c r="V57" s="2020"/>
      <c r="W57" s="2017"/>
      <c r="X57" s="2021"/>
      <c r="Y57" s="2025">
        <v>45553</v>
      </c>
      <c r="Z57" s="2025">
        <f>+E57+56</f>
        <v>45525</v>
      </c>
      <c r="AA57" s="2030">
        <f t="shared" si="50"/>
        <v>-28</v>
      </c>
      <c r="AB57" s="2032">
        <f>U57</f>
        <v>377910</v>
      </c>
      <c r="AC57" s="2031">
        <f t="shared" si="48"/>
        <v>56686.5</v>
      </c>
      <c r="AD57" s="2031">
        <f t="shared" si="40"/>
        <v>434596.5</v>
      </c>
      <c r="AE57" s="2032">
        <f t="shared" si="45"/>
        <v>6092085.3694000002</v>
      </c>
      <c r="AI57" s="1513"/>
    </row>
    <row r="58" spans="1:35" ht="21.75" hidden="1" customHeight="1" outlineLevel="1">
      <c r="A58" s="1352">
        <v>19</v>
      </c>
      <c r="B58" s="2022" t="s">
        <v>3120</v>
      </c>
      <c r="C58" s="3227">
        <v>45528</v>
      </c>
      <c r="D58" s="2024" t="s">
        <v>3121</v>
      </c>
      <c r="E58" s="2025">
        <v>45538</v>
      </c>
      <c r="F58" s="2026">
        <f>+F57+G58</f>
        <v>4922408.08</v>
      </c>
      <c r="G58" s="2026">
        <v>0</v>
      </c>
      <c r="H58" s="2026">
        <v>0</v>
      </c>
      <c r="I58" s="2026">
        <v>0</v>
      </c>
      <c r="J58" s="2026">
        <f t="shared" si="47"/>
        <v>0</v>
      </c>
      <c r="K58" s="2020"/>
      <c r="L58" s="1352">
        <v>19</v>
      </c>
      <c r="M58" s="2034" t="s">
        <v>3122</v>
      </c>
      <c r="N58" s="2025">
        <v>45551</v>
      </c>
      <c r="O58" s="2029">
        <f t="shared" si="49"/>
        <v>45566</v>
      </c>
      <c r="P58" s="2030">
        <f t="shared" si="19"/>
        <v>15</v>
      </c>
      <c r="Q58" s="2080">
        <f>+Q57+R58</f>
        <v>9684771.6800000016</v>
      </c>
      <c r="R58" s="2026">
        <v>0</v>
      </c>
      <c r="S58" s="2026">
        <v>0</v>
      </c>
      <c r="T58" s="2026">
        <v>0</v>
      </c>
      <c r="U58" s="2031">
        <f t="shared" si="41"/>
        <v>0</v>
      </c>
      <c r="V58" s="2020"/>
      <c r="W58" s="2017"/>
      <c r="X58" s="2021"/>
      <c r="Y58" s="2083">
        <v>45596</v>
      </c>
      <c r="Z58" s="2025">
        <f>+Z32</f>
        <v>45594</v>
      </c>
      <c r="AA58" s="2030">
        <f t="shared" si="50"/>
        <v>-2</v>
      </c>
      <c r="AB58" s="2032">
        <f>U58</f>
        <v>0</v>
      </c>
      <c r="AC58" s="2031">
        <f>(R58+T58)*AC$38</f>
        <v>0</v>
      </c>
      <c r="AD58" s="2031">
        <f>AC58+AB58</f>
        <v>0</v>
      </c>
      <c r="AE58" s="2032">
        <f>AE57+AD58</f>
        <v>6092085.3694000002</v>
      </c>
      <c r="AI58" s="1513"/>
    </row>
    <row r="59" spans="1:35" s="3956" customFormat="1" ht="24" hidden="1" outlineLevel="1">
      <c r="A59" s="3539">
        <v>20</v>
      </c>
      <c r="B59" s="3950" t="s">
        <v>3459</v>
      </c>
      <c r="C59" s="3227">
        <v>45589</v>
      </c>
      <c r="D59" s="3951" t="s">
        <v>3461</v>
      </c>
      <c r="E59" s="2025">
        <v>45579</v>
      </c>
      <c r="F59" s="2026">
        <f>+G59+F58</f>
        <v>5179132.1900000004</v>
      </c>
      <c r="G59" s="3952">
        <v>256724.11</v>
      </c>
      <c r="H59" s="2026">
        <v>0</v>
      </c>
      <c r="I59" s="2026">
        <f>271792.82-25672.41</f>
        <v>246120.41</v>
      </c>
      <c r="J59" s="2026">
        <f t="shared" si="47"/>
        <v>502844.52</v>
      </c>
      <c r="K59" s="3954"/>
      <c r="L59" s="3539">
        <v>20</v>
      </c>
      <c r="M59" s="3953" t="s">
        <v>3460</v>
      </c>
      <c r="N59" s="2025">
        <v>45635</v>
      </c>
      <c r="O59" s="2025">
        <f t="shared" si="49"/>
        <v>45607</v>
      </c>
      <c r="P59" s="2031">
        <f>O59-N59</f>
        <v>-28</v>
      </c>
      <c r="Q59" s="2080">
        <f>+Q58+R59</f>
        <v>9941495.790000001</v>
      </c>
      <c r="R59" s="3955">
        <v>256724.11</v>
      </c>
      <c r="S59" s="2031">
        <v>0</v>
      </c>
      <c r="T59" s="2031">
        <v>246120.41</v>
      </c>
      <c r="U59" s="2031">
        <f t="shared" si="41"/>
        <v>502844.52</v>
      </c>
      <c r="V59" s="3954"/>
      <c r="W59" s="2032"/>
      <c r="X59" s="2031"/>
      <c r="Y59" s="2083">
        <v>45635</v>
      </c>
      <c r="Z59" s="2079">
        <f>+E59+56</f>
        <v>45635</v>
      </c>
      <c r="AA59" s="2030">
        <f t="shared" si="50"/>
        <v>0</v>
      </c>
      <c r="AB59" s="2032">
        <f>U59</f>
        <v>502844.52</v>
      </c>
      <c r="AC59" s="2031">
        <f>(R59+T59)*AC$38</f>
        <v>75426.678</v>
      </c>
      <c r="AD59" s="2031">
        <f>AC59+AB59</f>
        <v>578271.19799999997</v>
      </c>
      <c r="AE59" s="2032">
        <f>AE58+AD59</f>
        <v>6670356.5674000001</v>
      </c>
      <c r="AI59" s="3956">
        <v>56</v>
      </c>
    </row>
    <row r="60" spans="1:35" ht="24.75" hidden="1" customHeight="1" outlineLevel="1" thickBot="1">
      <c r="A60" s="6071" t="s">
        <v>1522</v>
      </c>
      <c r="B60" s="6072"/>
      <c r="C60" s="6072"/>
      <c r="D60" s="6072"/>
      <c r="E60" s="6072"/>
      <c r="F60" s="6073"/>
      <c r="G60" s="2011">
        <f>SUM(G40:G59)</f>
        <v>12294502.829999998</v>
      </c>
      <c r="H60" s="2011">
        <f>SUM(H40:H59)</f>
        <v>-4762363.5999999996</v>
      </c>
      <c r="I60" s="2011">
        <f>SUM(I40:I59)</f>
        <v>-117650.34199999998</v>
      </c>
      <c r="J60" s="2011">
        <f>SUM(J40:J59)</f>
        <v>7414488.8880000003</v>
      </c>
      <c r="K60" s="1256"/>
      <c r="L60" s="2012" t="s">
        <v>1522</v>
      </c>
      <c r="M60" s="2013"/>
      <c r="N60" s="2013"/>
      <c r="O60" s="2013"/>
      <c r="P60" s="2013"/>
      <c r="Q60" s="2013"/>
      <c r="R60" s="2014">
        <f>SUM(R40:R59)</f>
        <v>9941495.790000001</v>
      </c>
      <c r="S60" s="2011">
        <f>SUM(S40:S59)</f>
        <v>-4762363.5980000002</v>
      </c>
      <c r="T60" s="2011">
        <f>SUM(T40:T59)</f>
        <v>5.9999999357387424E-3</v>
      </c>
      <c r="U60" s="2011">
        <f>SUM(U40:U59)</f>
        <v>5179132.1980000008</v>
      </c>
      <c r="V60" s="1256"/>
      <c r="W60" s="2015" t="s">
        <v>1522</v>
      </c>
      <c r="X60" s="2016"/>
      <c r="Y60" s="2016"/>
      <c r="Z60" s="2016"/>
      <c r="AA60" s="2016"/>
      <c r="AB60" s="2014">
        <f>SUM(AB40:AB59)</f>
        <v>5179132.1980000008</v>
      </c>
      <c r="AC60" s="2011">
        <f>SUM(AC40:AC59)</f>
        <v>1491224.3694</v>
      </c>
      <c r="AD60" s="2011">
        <f>SUM(AD40:AD59)</f>
        <v>6670356.5674000001</v>
      </c>
      <c r="AE60" s="2011">
        <f>AE59</f>
        <v>6670356.5674000001</v>
      </c>
      <c r="AI60" s="1513">
        <f>AI45+AI59</f>
        <v>44921</v>
      </c>
    </row>
    <row r="61" spans="1:35" ht="8.25" customHeight="1" collapsed="1">
      <c r="A61" s="1255"/>
      <c r="B61" s="1256"/>
      <c r="C61" s="1255"/>
      <c r="D61" s="1257"/>
      <c r="E61" s="1257"/>
      <c r="F61" s="1258"/>
      <c r="G61" s="1258"/>
      <c r="H61" s="1258"/>
      <c r="I61" s="1258"/>
      <c r="J61" s="1258"/>
      <c r="K61" s="1257"/>
      <c r="L61" s="1255"/>
      <c r="M61" s="1255"/>
      <c r="N61" s="1255"/>
      <c r="O61" s="1255"/>
      <c r="P61" s="1255"/>
      <c r="Q61" s="1255"/>
      <c r="R61" s="1258"/>
      <c r="S61" s="1258"/>
      <c r="T61" s="1258"/>
      <c r="U61" s="1259"/>
      <c r="V61" s="1257"/>
      <c r="W61" s="1257"/>
      <c r="X61" s="1257"/>
      <c r="Y61" s="1257"/>
      <c r="Z61" s="1257"/>
      <c r="AA61" s="1257"/>
      <c r="AB61" s="1257"/>
      <c r="AC61" s="1257"/>
      <c r="AD61" s="1257"/>
      <c r="AE61" s="1257"/>
    </row>
    <row r="62" spans="1:35" ht="30" hidden="1" customHeight="1" outlineLevel="1" thickBot="1">
      <c r="A62" s="1344" t="s">
        <v>1596</v>
      </c>
      <c r="B62" s="1345"/>
      <c r="C62" s="1345"/>
      <c r="D62" s="1346"/>
      <c r="E62" s="1346"/>
      <c r="F62" s="1347"/>
      <c r="G62" s="1347"/>
      <c r="H62" s="1347"/>
      <c r="I62" s="1347"/>
      <c r="J62" s="1347"/>
      <c r="K62" s="1346"/>
      <c r="L62" s="1345"/>
      <c r="M62" s="1345"/>
      <c r="N62" s="1345"/>
      <c r="O62" s="1345"/>
      <c r="P62" s="1345"/>
      <c r="Q62" s="1345"/>
      <c r="R62" s="1345"/>
      <c r="S62" s="1345"/>
      <c r="T62" s="1345"/>
      <c r="U62" s="1348"/>
      <c r="V62" s="1346"/>
      <c r="W62" s="1346"/>
      <c r="X62" s="1346"/>
      <c r="Y62" s="1346"/>
      <c r="Z62" s="1346"/>
      <c r="AA62" s="1346"/>
      <c r="AB62" s="1346"/>
      <c r="AC62" s="1346"/>
      <c r="AD62" s="1346"/>
      <c r="AE62" s="1349"/>
    </row>
    <row r="63" spans="1:35" hidden="1" outlineLevel="1">
      <c r="A63" s="6067" t="s">
        <v>1524</v>
      </c>
      <c r="B63" s="6068"/>
      <c r="C63" s="6068"/>
      <c r="D63" s="6068"/>
      <c r="E63" s="6068"/>
      <c r="F63" s="6068"/>
      <c r="G63" s="6069"/>
      <c r="H63" s="6069"/>
      <c r="I63" s="6069"/>
      <c r="J63" s="6070"/>
      <c r="K63" s="1256"/>
      <c r="L63" s="6060" t="s">
        <v>1525</v>
      </c>
      <c r="M63" s="6061"/>
      <c r="N63" s="6061"/>
      <c r="O63" s="6061"/>
      <c r="P63" s="6061"/>
      <c r="Q63" s="6061"/>
      <c r="R63" s="6062"/>
      <c r="S63" s="6062"/>
      <c r="T63" s="6062"/>
      <c r="U63" s="6063"/>
      <c r="V63" s="1256"/>
      <c r="W63" s="6064" t="s">
        <v>1526</v>
      </c>
      <c r="X63" s="6065"/>
      <c r="Y63" s="6065"/>
      <c r="Z63" s="6065"/>
      <c r="AA63" s="6065"/>
      <c r="AB63" s="6065"/>
      <c r="AC63" s="6065"/>
      <c r="AD63" s="6065"/>
      <c r="AE63" s="6066"/>
    </row>
    <row r="64" spans="1:35" ht="56.25" hidden="1" outlineLevel="1">
      <c r="A64" s="1381" t="s">
        <v>1462</v>
      </c>
      <c r="B64" s="1382" t="s">
        <v>1527</v>
      </c>
      <c r="C64" s="1382" t="s">
        <v>1528</v>
      </c>
      <c r="D64" s="1383" t="s">
        <v>1529</v>
      </c>
      <c r="E64" s="1383" t="s">
        <v>1530</v>
      </c>
      <c r="F64" s="1384" t="s">
        <v>1531</v>
      </c>
      <c r="G64" s="1385" t="s">
        <v>1532</v>
      </c>
      <c r="H64" s="1385" t="s">
        <v>1533</v>
      </c>
      <c r="I64" s="1385" t="s">
        <v>1534</v>
      </c>
      <c r="J64" s="1386" t="s">
        <v>1535</v>
      </c>
      <c r="K64" s="1289"/>
      <c r="L64" s="1401" t="s">
        <v>1536</v>
      </c>
      <c r="M64" s="1402" t="s">
        <v>1537</v>
      </c>
      <c r="N64" s="1402" t="s">
        <v>1530</v>
      </c>
      <c r="O64" s="1402" t="s">
        <v>1538</v>
      </c>
      <c r="P64" s="1403" t="s">
        <v>1539</v>
      </c>
      <c r="Q64" s="1404" t="s">
        <v>1540</v>
      </c>
      <c r="R64" s="1405" t="s">
        <v>1541</v>
      </c>
      <c r="S64" s="1405" t="s">
        <v>1533</v>
      </c>
      <c r="T64" s="1405" t="s">
        <v>1534</v>
      </c>
      <c r="U64" s="1406" t="s">
        <v>1542</v>
      </c>
      <c r="V64" s="1256"/>
      <c r="W64" s="1414" t="s">
        <v>1543</v>
      </c>
      <c r="X64" s="1415" t="s">
        <v>1544</v>
      </c>
      <c r="Y64" s="1416" t="s">
        <v>1545</v>
      </c>
      <c r="Z64" s="1416" t="s">
        <v>1546</v>
      </c>
      <c r="AA64" s="1417" t="s">
        <v>1539</v>
      </c>
      <c r="AB64" s="1417" t="s">
        <v>1547</v>
      </c>
      <c r="AC64" s="1417" t="s">
        <v>1548</v>
      </c>
      <c r="AD64" s="1416" t="s">
        <v>1549</v>
      </c>
      <c r="AE64" s="1418" t="s">
        <v>1550</v>
      </c>
    </row>
    <row r="65" spans="1:31" ht="17.25" hidden="1" customHeight="1" outlineLevel="1">
      <c r="A65" s="1387"/>
      <c r="B65" s="1388"/>
      <c r="C65" s="1389"/>
      <c r="D65" s="1390"/>
      <c r="E65" s="1391" t="s">
        <v>296</v>
      </c>
      <c r="F65" s="1392" t="s">
        <v>434</v>
      </c>
      <c r="G65" s="1392" t="s">
        <v>434</v>
      </c>
      <c r="H65" s="1393">
        <v>0.2</v>
      </c>
      <c r="I65" s="1393">
        <v>0.1</v>
      </c>
      <c r="J65" s="1394" t="s">
        <v>434</v>
      </c>
      <c r="K65" s="1256"/>
      <c r="L65" s="1407"/>
      <c r="M65" s="1408"/>
      <c r="N65" s="1409" t="s">
        <v>296</v>
      </c>
      <c r="O65" s="1408" t="s">
        <v>1551</v>
      </c>
      <c r="P65" s="1410" t="s">
        <v>1552</v>
      </c>
      <c r="Q65" s="1411" t="s">
        <v>434</v>
      </c>
      <c r="R65" s="1411" t="s">
        <v>434</v>
      </c>
      <c r="S65" s="1412">
        <v>0.2</v>
      </c>
      <c r="T65" s="1412">
        <v>0.1</v>
      </c>
      <c r="U65" s="1413" t="s">
        <v>434</v>
      </c>
      <c r="V65" s="1256"/>
      <c r="W65" s="1419"/>
      <c r="X65" s="1420" t="s">
        <v>296</v>
      </c>
      <c r="Y65" s="1420" t="s">
        <v>296</v>
      </c>
      <c r="Z65" s="1420" t="s">
        <v>1553</v>
      </c>
      <c r="AA65" s="1421" t="s">
        <v>1552</v>
      </c>
      <c r="AB65" s="1422"/>
      <c r="AC65" s="1423">
        <v>0.15</v>
      </c>
      <c r="AD65" s="1420" t="s">
        <v>296</v>
      </c>
      <c r="AE65" s="1424" t="s">
        <v>296</v>
      </c>
    </row>
    <row r="66" spans="1:31" s="722" customFormat="1" ht="12.75" hidden="1" customHeight="1" outlineLevel="1">
      <c r="A66" s="1314"/>
      <c r="B66" s="1314"/>
      <c r="C66" s="1314"/>
      <c r="D66" s="1314"/>
      <c r="E66" s="1314" t="s">
        <v>1481</v>
      </c>
      <c r="F66" s="1314"/>
      <c r="G66" s="1314"/>
      <c r="H66" s="1314"/>
      <c r="I66" s="1314"/>
      <c r="J66" s="1314"/>
      <c r="K66" s="1255"/>
      <c r="L66" s="1315"/>
      <c r="M66" s="1315"/>
      <c r="N66" s="1316" t="s">
        <v>1482</v>
      </c>
      <c r="O66" s="1314" t="s">
        <v>1554</v>
      </c>
      <c r="P66" s="1317" t="s">
        <v>1555</v>
      </c>
      <c r="Q66" s="1318" t="s">
        <v>1556</v>
      </c>
      <c r="R66" s="1318" t="s">
        <v>1557</v>
      </c>
      <c r="S66" s="1319" t="s">
        <v>1558</v>
      </c>
      <c r="T66" s="1319" t="s">
        <v>1559</v>
      </c>
      <c r="U66" s="1318" t="s">
        <v>1560</v>
      </c>
      <c r="V66" s="1255"/>
      <c r="W66" s="1316"/>
      <c r="X66" s="1316"/>
      <c r="Y66" s="1316" t="s">
        <v>1561</v>
      </c>
      <c r="Z66" s="1316" t="s">
        <v>1562</v>
      </c>
      <c r="AA66" s="1317" t="s">
        <v>1563</v>
      </c>
      <c r="AB66" s="1314" t="s">
        <v>1564</v>
      </c>
      <c r="AC66" s="1319" t="s">
        <v>1565</v>
      </c>
      <c r="AD66" s="1316" t="s">
        <v>1566</v>
      </c>
      <c r="AE66" s="1316"/>
    </row>
    <row r="67" spans="1:31" ht="24" hidden="1" outlineLevel="1">
      <c r="A67" s="723">
        <f>A40</f>
        <v>1</v>
      </c>
      <c r="B67" s="810" t="str">
        <f>B40</f>
        <v>IPA No. 01 Adv Pay</v>
      </c>
      <c r="C67" s="810" t="str">
        <f>C40</f>
        <v>Advance Payment</v>
      </c>
      <c r="D67" s="1320" t="str">
        <f>D40</f>
        <v>NSC-LTR-000010</v>
      </c>
      <c r="E67" s="1321">
        <f>E40</f>
        <v>44677</v>
      </c>
      <c r="F67" s="1322">
        <v>7575490</v>
      </c>
      <c r="G67" s="1322">
        <f>F67</f>
        <v>7575490</v>
      </c>
      <c r="H67" s="1322">
        <v>0</v>
      </c>
      <c r="I67" s="1322">
        <v>0</v>
      </c>
      <c r="J67" s="1322">
        <f>G67+H67+I67</f>
        <v>7575490</v>
      </c>
      <c r="K67" s="2801"/>
      <c r="L67" s="723">
        <v>1</v>
      </c>
      <c r="M67" s="724" t="s">
        <v>1581</v>
      </c>
      <c r="N67" s="1321">
        <v>44698</v>
      </c>
      <c r="O67" s="1323">
        <f t="shared" ref="O67:P73" si="51">O40</f>
        <v>44691</v>
      </c>
      <c r="P67" s="1324">
        <f t="shared" si="51"/>
        <v>-7</v>
      </c>
      <c r="Q67" s="1322">
        <v>7575490</v>
      </c>
      <c r="R67" s="1322">
        <f>Q67</f>
        <v>7575490</v>
      </c>
      <c r="S67" s="1322">
        <v>0</v>
      </c>
      <c r="T67" s="1322">
        <v>0</v>
      </c>
      <c r="U67" s="1322">
        <f>R67-S67-T67</f>
        <v>7575490</v>
      </c>
      <c r="V67" s="2801"/>
      <c r="W67" s="1350" t="str">
        <f>W40</f>
        <v>AMA-WTRAN-000703</v>
      </c>
      <c r="X67" s="1321">
        <f>X40</f>
        <v>44359</v>
      </c>
      <c r="Y67" s="1321">
        <f>Y40</f>
        <v>44714</v>
      </c>
      <c r="Z67" s="1321">
        <f>Z40</f>
        <v>44691</v>
      </c>
      <c r="AA67" s="1324">
        <f>AA40</f>
        <v>-23</v>
      </c>
      <c r="AB67" s="1327">
        <f t="shared" ref="AB67:AB74" si="52">U67</f>
        <v>7575490</v>
      </c>
      <c r="AC67" s="1327">
        <f>(R67+T67)*AC$65</f>
        <v>1136323.5</v>
      </c>
      <c r="AD67" s="1327">
        <f t="shared" ref="AD67:AD74" si="53">AC67+AB67</f>
        <v>8711813.5</v>
      </c>
      <c r="AE67" s="1327">
        <f>AD67</f>
        <v>8711813.5</v>
      </c>
    </row>
    <row r="68" spans="1:31" hidden="1" outlineLevel="1">
      <c r="A68" s="1352">
        <f t="shared" ref="A68:A74" si="54">A41</f>
        <v>2</v>
      </c>
      <c r="B68" s="810" t="str">
        <f t="shared" ref="B68:B83" si="55">B41</f>
        <v>IPA No. 02</v>
      </c>
      <c r="C68" s="2023">
        <f t="shared" ref="C68:E74" si="56">C41</f>
        <v>44713</v>
      </c>
      <c r="D68" s="2033" t="str">
        <f t="shared" si="56"/>
        <v>NSC-GENCORR-000027</v>
      </c>
      <c r="E68" s="2025">
        <f t="shared" si="56"/>
        <v>44768</v>
      </c>
      <c r="F68" s="2026">
        <f>(Q68*0)+F67+1954075.117</f>
        <v>9529565.1170000006</v>
      </c>
      <c r="G68" s="2026">
        <f>F68-F67</f>
        <v>1954075.1170000006</v>
      </c>
      <c r="H68" s="2026">
        <f>(G68*$H$65)*-1</f>
        <v>-390815.02340000012</v>
      </c>
      <c r="I68" s="2026">
        <f t="shared" ref="I68:I81" si="57">(G68*$I$65)*-1</f>
        <v>-195407.51170000006</v>
      </c>
      <c r="J68" s="2026">
        <f>G68+H68+I68</f>
        <v>1367852.5819000003</v>
      </c>
      <c r="K68" s="2027"/>
      <c r="L68" s="1352">
        <v>2</v>
      </c>
      <c r="M68" s="2028" t="s">
        <v>1584</v>
      </c>
      <c r="N68" s="2025">
        <v>44790</v>
      </c>
      <c r="O68" s="2029">
        <f t="shared" si="51"/>
        <v>44796</v>
      </c>
      <c r="P68" s="2030">
        <f t="shared" si="51"/>
        <v>6</v>
      </c>
      <c r="Q68" s="2026">
        <f>1622684.94+Q67</f>
        <v>9198174.9399999995</v>
      </c>
      <c r="R68" s="2026">
        <f t="shared" ref="R68:R73" si="58">Q68-Q67</f>
        <v>1622684.9399999995</v>
      </c>
      <c r="S68" s="2026">
        <f>(R68*S$65)*-1</f>
        <v>-324536.9879999999</v>
      </c>
      <c r="T68" s="2026">
        <f t="shared" ref="T68:T73" si="59">(R68*T$65)*-1</f>
        <v>-162268.49399999995</v>
      </c>
      <c r="U68" s="2031">
        <f t="shared" ref="U68:U75" si="60">R68+S68+T68</f>
        <v>1135879.4579999996</v>
      </c>
      <c r="V68" s="2027"/>
      <c r="W68" s="1351"/>
      <c r="X68" s="2802">
        <f>X41</f>
        <v>0</v>
      </c>
      <c r="Y68" s="2025">
        <f>Y41</f>
        <v>44832</v>
      </c>
      <c r="Z68" s="2025">
        <f>Z41</f>
        <v>44824</v>
      </c>
      <c r="AA68" s="2030">
        <f>AA41</f>
        <v>-8</v>
      </c>
      <c r="AB68" s="2032">
        <f t="shared" si="52"/>
        <v>1135879.4579999996</v>
      </c>
      <c r="AC68" s="2032">
        <f>(R68+T68)*AC$38</f>
        <v>219062.46689999991</v>
      </c>
      <c r="AD68" s="2032">
        <f t="shared" si="53"/>
        <v>1354941.9248999995</v>
      </c>
      <c r="AE68" s="2032">
        <f t="shared" ref="AE68:AE74" si="61">AE67+AD68</f>
        <v>10066755.424899999</v>
      </c>
    </row>
    <row r="69" spans="1:31" hidden="1" outlineLevel="1">
      <c r="A69" s="1352">
        <f t="shared" si="54"/>
        <v>3</v>
      </c>
      <c r="B69" s="810" t="str">
        <f t="shared" si="55"/>
        <v>IPA No. 03</v>
      </c>
      <c r="C69" s="2023">
        <f t="shared" si="56"/>
        <v>44743</v>
      </c>
      <c r="D69" s="2033" t="str">
        <f t="shared" si="56"/>
        <v>NSC-TRANSMIT-000067</v>
      </c>
      <c r="E69" s="2025">
        <f t="shared" si="56"/>
        <v>44852</v>
      </c>
      <c r="F69" s="2026">
        <f>(F68+70719.074)*0+F67+1693404.015</f>
        <v>9268894.0150000006</v>
      </c>
      <c r="G69" s="2026">
        <f t="shared" ref="G69:G74" si="62">+F69-F68</f>
        <v>-260671.10199999996</v>
      </c>
      <c r="H69" s="2026">
        <f>(G69*$H$65)*-1</f>
        <v>52134.220399999991</v>
      </c>
      <c r="I69" s="2026">
        <f t="shared" si="57"/>
        <v>26067.110199999996</v>
      </c>
      <c r="J69" s="2026">
        <f t="shared" ref="J69:J74" si="63">G69+H69+I69</f>
        <v>-182469.77139999997</v>
      </c>
      <c r="K69" s="2027"/>
      <c r="L69" s="1352">
        <v>3</v>
      </c>
      <c r="M69" s="2028" t="s">
        <v>1567</v>
      </c>
      <c r="N69" s="2025">
        <v>44863</v>
      </c>
      <c r="O69" s="2029">
        <f t="shared" si="51"/>
        <v>44880</v>
      </c>
      <c r="P69" s="2030">
        <f t="shared" si="51"/>
        <v>17</v>
      </c>
      <c r="Q69" s="2026">
        <f>+Q68+70719.07</f>
        <v>9268894.0099999998</v>
      </c>
      <c r="R69" s="2026">
        <f t="shared" si="58"/>
        <v>70719.070000000298</v>
      </c>
      <c r="S69" s="2026">
        <f>(R69*S$65)*-1</f>
        <v>-14143.81400000006</v>
      </c>
      <c r="T69" s="2026">
        <f t="shared" si="59"/>
        <v>-7071.9070000000302</v>
      </c>
      <c r="U69" s="2031">
        <f t="shared" si="60"/>
        <v>49503.349000000213</v>
      </c>
      <c r="V69" s="2027"/>
      <c r="W69" s="1351"/>
      <c r="X69" s="2025"/>
      <c r="Y69" s="2025">
        <f t="shared" ref="Y69:AA71" si="64">Y42</f>
        <v>44908</v>
      </c>
      <c r="Z69" s="2025">
        <f t="shared" si="64"/>
        <v>44908</v>
      </c>
      <c r="AA69" s="2030">
        <f t="shared" si="64"/>
        <v>0</v>
      </c>
      <c r="AB69" s="2032">
        <f t="shared" si="52"/>
        <v>49503.349000000213</v>
      </c>
      <c r="AC69" s="2032">
        <f>(R69+T69)*AC$38</f>
        <v>9547.0744500000401</v>
      </c>
      <c r="AD69" s="2032">
        <f t="shared" si="53"/>
        <v>59050.423450000249</v>
      </c>
      <c r="AE69" s="2032">
        <f t="shared" si="61"/>
        <v>10125805.84835</v>
      </c>
    </row>
    <row r="70" spans="1:31" hidden="1" outlineLevel="1">
      <c r="A70" s="1352">
        <f t="shared" si="54"/>
        <v>4</v>
      </c>
      <c r="B70" s="810" t="str">
        <f t="shared" si="55"/>
        <v>IPA No. 04</v>
      </c>
      <c r="C70" s="2023">
        <f t="shared" si="56"/>
        <v>44774</v>
      </c>
      <c r="D70" s="2033" t="str">
        <f t="shared" si="56"/>
        <v>NSC-TRANSMIT-000067</v>
      </c>
      <c r="E70" s="2025">
        <f t="shared" si="56"/>
        <v>44852</v>
      </c>
      <c r="F70" s="2026">
        <f>(F69+279737.85+270545)*0+F69</f>
        <v>9268894.0150000006</v>
      </c>
      <c r="G70" s="2026">
        <f t="shared" si="62"/>
        <v>0</v>
      </c>
      <c r="H70" s="2026">
        <f t="shared" ref="H70:H75" si="65">(G70*$H$65)*-1</f>
        <v>0</v>
      </c>
      <c r="I70" s="2026">
        <f t="shared" si="57"/>
        <v>0</v>
      </c>
      <c r="J70" s="2026">
        <f t="shared" si="63"/>
        <v>0</v>
      </c>
      <c r="K70" s="2027"/>
      <c r="L70" s="1352">
        <v>4</v>
      </c>
      <c r="M70" s="2028" t="s">
        <v>1568</v>
      </c>
      <c r="N70" s="2025">
        <v>44863</v>
      </c>
      <c r="O70" s="2029">
        <f t="shared" si="51"/>
        <v>44880</v>
      </c>
      <c r="P70" s="2030">
        <f t="shared" si="51"/>
        <v>17</v>
      </c>
      <c r="Q70" s="2026">
        <f>+Q69+279737.85</f>
        <v>9548631.8599999994</v>
      </c>
      <c r="R70" s="2026">
        <f t="shared" si="58"/>
        <v>279737.84999999963</v>
      </c>
      <c r="S70" s="2026">
        <f>(R70*S$65)*-1</f>
        <v>-55947.569999999927</v>
      </c>
      <c r="T70" s="2026">
        <f t="shared" si="59"/>
        <v>-27973.784999999963</v>
      </c>
      <c r="U70" s="2031">
        <f t="shared" si="60"/>
        <v>195816.49499999973</v>
      </c>
      <c r="V70" s="2027"/>
      <c r="W70" s="1351"/>
      <c r="X70" s="2025"/>
      <c r="Y70" s="2025">
        <f t="shared" si="64"/>
        <v>44908</v>
      </c>
      <c r="Z70" s="2025">
        <f t="shared" si="64"/>
        <v>44908</v>
      </c>
      <c r="AA70" s="2030">
        <f t="shared" si="64"/>
        <v>0</v>
      </c>
      <c r="AB70" s="2032">
        <f t="shared" si="52"/>
        <v>195816.49499999973</v>
      </c>
      <c r="AC70" s="2032">
        <f>(R70+T70)*AC$38</f>
        <v>37764.609749999945</v>
      </c>
      <c r="AD70" s="2032">
        <f t="shared" si="53"/>
        <v>233581.10474999968</v>
      </c>
      <c r="AE70" s="2032">
        <f t="shared" si="61"/>
        <v>10359386.9531</v>
      </c>
    </row>
    <row r="71" spans="1:31" hidden="1" outlineLevel="1">
      <c r="A71" s="1352">
        <f t="shared" si="54"/>
        <v>5</v>
      </c>
      <c r="B71" s="810" t="str">
        <f t="shared" si="55"/>
        <v>IPA No. 05</v>
      </c>
      <c r="C71" s="2023">
        <f t="shared" si="56"/>
        <v>44805</v>
      </c>
      <c r="D71" s="2033" t="str">
        <f t="shared" si="56"/>
        <v>NSC-TRANSMIT-000067</v>
      </c>
      <c r="E71" s="2025">
        <f t="shared" si="56"/>
        <v>44852</v>
      </c>
      <c r="F71" s="2026">
        <f>(F70+304493.412+40800)*0+F69</f>
        <v>9268894.0150000006</v>
      </c>
      <c r="G71" s="2026">
        <f t="shared" si="62"/>
        <v>0</v>
      </c>
      <c r="H71" s="2026">
        <f t="shared" si="65"/>
        <v>0</v>
      </c>
      <c r="I71" s="2026">
        <f t="shared" si="57"/>
        <v>0</v>
      </c>
      <c r="J71" s="2026">
        <f t="shared" si="63"/>
        <v>0</v>
      </c>
      <c r="K71" s="2027"/>
      <c r="L71" s="1352">
        <v>5</v>
      </c>
      <c r="M71" s="2028" t="s">
        <v>1569</v>
      </c>
      <c r="N71" s="2025">
        <v>44863</v>
      </c>
      <c r="O71" s="2029">
        <f t="shared" si="51"/>
        <v>44880</v>
      </c>
      <c r="P71" s="2030">
        <f t="shared" si="51"/>
        <v>17</v>
      </c>
      <c r="Q71" s="2026">
        <f>+Q70+304493.41</f>
        <v>9853125.2699999996</v>
      </c>
      <c r="R71" s="2026">
        <f t="shared" si="58"/>
        <v>304493.41000000015</v>
      </c>
      <c r="S71" s="2026">
        <f>(R71*S$65)*-1</f>
        <v>-60898.68200000003</v>
      </c>
      <c r="T71" s="2026">
        <f t="shared" si="59"/>
        <v>-30449.341000000015</v>
      </c>
      <c r="U71" s="2031">
        <f t="shared" si="60"/>
        <v>213145.3870000001</v>
      </c>
      <c r="V71" s="2027"/>
      <c r="W71" s="1352"/>
      <c r="X71" s="2029"/>
      <c r="Y71" s="2025">
        <f t="shared" si="64"/>
        <v>44908</v>
      </c>
      <c r="Z71" s="2025">
        <f t="shared" si="64"/>
        <v>44908</v>
      </c>
      <c r="AA71" s="2030">
        <f t="shared" si="64"/>
        <v>0</v>
      </c>
      <c r="AB71" s="2032">
        <f>U71</f>
        <v>213145.3870000001</v>
      </c>
      <c r="AC71" s="2032">
        <f>(R71+T71)*AC$38</f>
        <v>41106.610350000017</v>
      </c>
      <c r="AD71" s="2032">
        <f t="shared" si="53"/>
        <v>254251.99735000014</v>
      </c>
      <c r="AE71" s="2032">
        <f t="shared" si="61"/>
        <v>10613638.950449999</v>
      </c>
    </row>
    <row r="72" spans="1:31" ht="24" hidden="1" outlineLevel="1">
      <c r="A72" s="1352">
        <f t="shared" si="54"/>
        <v>6</v>
      </c>
      <c r="B72" s="810" t="str">
        <f t="shared" si="55"/>
        <v>IPA No. 06</v>
      </c>
      <c r="C72" s="2023">
        <f t="shared" si="56"/>
        <v>44835</v>
      </c>
      <c r="D72" s="2024" t="str">
        <f t="shared" si="56"/>
        <v>ITB04400-005C13-NSC-LTR-0155</v>
      </c>
      <c r="E72" s="2025">
        <f t="shared" si="56"/>
        <v>44870</v>
      </c>
      <c r="F72" s="2026">
        <f>(10065742.932+8439752.91747662)*0+F$67+10987933.195+81600+8203037.35</f>
        <v>26848060.545000002</v>
      </c>
      <c r="G72" s="2026">
        <f t="shared" si="62"/>
        <v>17579166.530000001</v>
      </c>
      <c r="H72" s="2026">
        <f t="shared" si="65"/>
        <v>-3515833.3060000003</v>
      </c>
      <c r="I72" s="2026">
        <f t="shared" si="57"/>
        <v>-1757916.6530000002</v>
      </c>
      <c r="J72" s="2026">
        <f t="shared" si="63"/>
        <v>12305416.571</v>
      </c>
      <c r="K72" s="2027"/>
      <c r="L72" s="1352">
        <v>6</v>
      </c>
      <c r="M72" s="2031" t="s">
        <v>1987</v>
      </c>
      <c r="N72" s="2025">
        <v>44902</v>
      </c>
      <c r="O72" s="2029">
        <f t="shared" si="51"/>
        <v>44898</v>
      </c>
      <c r="P72" s="2030">
        <f t="shared" si="51"/>
        <v>-4</v>
      </c>
      <c r="Q72" s="2026">
        <f>+Q71+8231954.57</f>
        <v>18085079.84</v>
      </c>
      <c r="R72" s="2026">
        <f t="shared" si="58"/>
        <v>8231954.5700000003</v>
      </c>
      <c r="S72" s="2026">
        <f>(R72*S$65)*-1</f>
        <v>-1646390.9140000001</v>
      </c>
      <c r="T72" s="2026">
        <f t="shared" si="59"/>
        <v>-823195.45700000005</v>
      </c>
      <c r="U72" s="2031">
        <f t="shared" si="60"/>
        <v>5762368.199</v>
      </c>
      <c r="V72" s="2027"/>
      <c r="W72" s="1351">
        <f>+W19</f>
        <v>0</v>
      </c>
      <c r="X72" s="2803">
        <f>+X19</f>
        <v>0</v>
      </c>
      <c r="Y72" s="2025">
        <v>44935</v>
      </c>
      <c r="Z72" s="2025">
        <f>Z45</f>
        <v>44926</v>
      </c>
      <c r="AA72" s="2030">
        <f>AA45</f>
        <v>-9</v>
      </c>
      <c r="AB72" s="2032">
        <f t="shared" si="52"/>
        <v>5762368.199</v>
      </c>
      <c r="AC72" s="2032">
        <f>(R72+T72)*AC$38</f>
        <v>1111313.8669499999</v>
      </c>
      <c r="AD72" s="2032">
        <f t="shared" si="53"/>
        <v>6873682.0659499997</v>
      </c>
      <c r="AE72" s="2032">
        <f t="shared" si="61"/>
        <v>17487321.016399998</v>
      </c>
    </row>
    <row r="73" spans="1:31" ht="24" hidden="1" outlineLevel="1">
      <c r="A73" s="1352">
        <f t="shared" si="54"/>
        <v>7</v>
      </c>
      <c r="B73" s="810" t="str">
        <f t="shared" si="55"/>
        <v>IPA No. 07</v>
      </c>
      <c r="C73" s="2023">
        <f t="shared" si="56"/>
        <v>44866</v>
      </c>
      <c r="D73" s="2024" t="str">
        <f t="shared" si="56"/>
        <v>1TB04400-005C13-NSC-LTR-0175</v>
      </c>
      <c r="E73" s="2025">
        <f t="shared" si="56"/>
        <v>44900</v>
      </c>
      <c r="F73" s="2026">
        <f>+F$67+22937188.54+618402+9500067.97</f>
        <v>40631148.509999998</v>
      </c>
      <c r="G73" s="2026">
        <f t="shared" si="62"/>
        <v>13783087.964999996</v>
      </c>
      <c r="H73" s="2026">
        <f t="shared" si="65"/>
        <v>-2756617.5929999994</v>
      </c>
      <c r="I73" s="2026">
        <f t="shared" si="57"/>
        <v>-1378308.7964999997</v>
      </c>
      <c r="J73" s="2026">
        <f t="shared" si="63"/>
        <v>9648161.5754999984</v>
      </c>
      <c r="K73" s="2027"/>
      <c r="L73" s="1352">
        <v>7</v>
      </c>
      <c r="M73" s="2031" t="s">
        <v>1988</v>
      </c>
      <c r="N73" s="2025">
        <v>44930</v>
      </c>
      <c r="O73" s="2029">
        <f t="shared" si="51"/>
        <v>44928</v>
      </c>
      <c r="P73" s="2030">
        <f t="shared" si="51"/>
        <v>-2</v>
      </c>
      <c r="Q73" s="2026">
        <f>Q72+11906580.9</f>
        <v>29991660.740000002</v>
      </c>
      <c r="R73" s="2026">
        <f t="shared" si="58"/>
        <v>11906580.900000002</v>
      </c>
      <c r="S73" s="2026">
        <f>((R73*S$65)*-1*0)-2261199.78</f>
        <v>-2261199.7799999998</v>
      </c>
      <c r="T73" s="2026">
        <f t="shared" si="59"/>
        <v>-1190658.0900000003</v>
      </c>
      <c r="U73" s="2031">
        <f t="shared" si="60"/>
        <v>8454723.0300000031</v>
      </c>
      <c r="V73" s="2027"/>
      <c r="W73" s="1352" t="s">
        <v>1593</v>
      </c>
      <c r="X73" s="2029">
        <v>44948</v>
      </c>
      <c r="Y73" s="2025">
        <v>44948</v>
      </c>
      <c r="Z73" s="2025">
        <f>Z46</f>
        <v>44956</v>
      </c>
      <c r="AA73" s="2030">
        <f>AA46</f>
        <v>8</v>
      </c>
      <c r="AB73" s="2032">
        <f t="shared" si="52"/>
        <v>8454723.0300000031</v>
      </c>
      <c r="AC73" s="2032">
        <f t="shared" ref="AC73:AC78" si="66">(R73+T73)*AC$38</f>
        <v>1607388.4215000004</v>
      </c>
      <c r="AD73" s="2032">
        <f t="shared" si="53"/>
        <v>10062111.451500004</v>
      </c>
      <c r="AE73" s="2032">
        <f t="shared" si="61"/>
        <v>27549432.467900001</v>
      </c>
    </row>
    <row r="74" spans="1:31" ht="36" hidden="1" customHeight="1" outlineLevel="1">
      <c r="A74" s="1352">
        <f t="shared" si="54"/>
        <v>8</v>
      </c>
      <c r="B74" s="810" t="str">
        <f t="shared" si="55"/>
        <v>IPA No. 08</v>
      </c>
      <c r="C74" s="2023">
        <f t="shared" si="56"/>
        <v>44896</v>
      </c>
      <c r="D74" s="2024" t="str">
        <f t="shared" si="56"/>
        <v>1TB04400-005C13-NSC-LTR-0214</v>
      </c>
      <c r="E74" s="2025">
        <f t="shared" si="56"/>
        <v>44931</v>
      </c>
      <c r="F74" s="2080">
        <f>+F$67+34841373.21+5092854.26+9500067.97</f>
        <v>57009785.439999998</v>
      </c>
      <c r="G74" s="2026">
        <f t="shared" si="62"/>
        <v>16378636.93</v>
      </c>
      <c r="H74" s="2026">
        <f t="shared" si="65"/>
        <v>-3275727.3859999999</v>
      </c>
      <c r="I74" s="2026">
        <f t="shared" si="57"/>
        <v>-1637863.693</v>
      </c>
      <c r="J74" s="2026">
        <f t="shared" si="63"/>
        <v>11465045.851</v>
      </c>
      <c r="K74" s="2027"/>
      <c r="L74" s="1352">
        <v>8</v>
      </c>
      <c r="M74" s="2034" t="s">
        <v>1570</v>
      </c>
      <c r="N74" s="2025">
        <v>44951</v>
      </c>
      <c r="O74" s="2029">
        <f t="shared" ref="O74:O79" si="67">E74+28</f>
        <v>44959</v>
      </c>
      <c r="P74" s="2030">
        <f>P47</f>
        <v>8</v>
      </c>
      <c r="Q74" s="2026">
        <f t="shared" ref="Q74:Q79" si="68">+Q73+R74</f>
        <v>46543956.189999998</v>
      </c>
      <c r="R74" s="2026">
        <v>16552295.449999999</v>
      </c>
      <c r="S74" s="2026">
        <f>(R74*S$65)*-1*0-3430575.49</f>
        <v>-3430575.49</v>
      </c>
      <c r="T74" s="2026">
        <f t="shared" ref="T74:T79" si="69">(R74*T$65)*-1</f>
        <v>-1655229.5449999999</v>
      </c>
      <c r="U74" s="2031">
        <f t="shared" si="60"/>
        <v>11466490.414999999</v>
      </c>
      <c r="V74" s="2027"/>
      <c r="W74" s="1352"/>
      <c r="X74" s="2029"/>
      <c r="Y74" s="2025">
        <v>44978</v>
      </c>
      <c r="Z74" s="2079">
        <f t="shared" ref="Z74:Z83" si="70">+E74+56</f>
        <v>44987</v>
      </c>
      <c r="AA74" s="2030">
        <f t="shared" ref="AA74:AA81" si="71">+Z74-Y74</f>
        <v>9</v>
      </c>
      <c r="AB74" s="2032">
        <f t="shared" si="52"/>
        <v>11466490.414999999</v>
      </c>
      <c r="AC74" s="2032">
        <f t="shared" si="66"/>
        <v>2234559.8857499999</v>
      </c>
      <c r="AD74" s="2032">
        <f t="shared" si="53"/>
        <v>13701050.300749999</v>
      </c>
      <c r="AE74" s="2032">
        <f t="shared" si="61"/>
        <v>41250482.768649995</v>
      </c>
    </row>
    <row r="75" spans="1:31" ht="24" hidden="1" outlineLevel="1">
      <c r="A75" s="1352">
        <v>9</v>
      </c>
      <c r="B75" s="810" t="str">
        <f t="shared" si="55"/>
        <v>IPA No. 09</v>
      </c>
      <c r="C75" s="2023">
        <v>44927</v>
      </c>
      <c r="D75" s="2019" t="s">
        <v>1572</v>
      </c>
      <c r="E75" s="2079">
        <v>44965</v>
      </c>
      <c r="F75" s="2080">
        <f>+F$67+34841373.21+5092854.26+9500067.97+1864162.23</f>
        <v>58873947.669999994</v>
      </c>
      <c r="G75" s="2026">
        <f t="shared" ref="G75:G83" si="72">+F75-F74</f>
        <v>1864162.2299999967</v>
      </c>
      <c r="H75" s="2026">
        <f t="shared" si="65"/>
        <v>-372832.44599999936</v>
      </c>
      <c r="I75" s="2026">
        <f t="shared" si="57"/>
        <v>-186416.22299999968</v>
      </c>
      <c r="J75" s="2026">
        <f t="shared" ref="J75:J86" si="73">G75+H75+I75</f>
        <v>1304913.5609999977</v>
      </c>
      <c r="K75" s="2027"/>
      <c r="L75" s="1352">
        <v>9</v>
      </c>
      <c r="M75" s="2021" t="s">
        <v>1989</v>
      </c>
      <c r="N75" s="2025">
        <v>44977</v>
      </c>
      <c r="O75" s="2029">
        <f t="shared" si="67"/>
        <v>44993</v>
      </c>
      <c r="P75" s="2030">
        <f>P48</f>
        <v>16</v>
      </c>
      <c r="Q75" s="2080">
        <f t="shared" si="68"/>
        <v>49452644.049999997</v>
      </c>
      <c r="R75" s="2026">
        <v>2908687.86</v>
      </c>
      <c r="S75" s="2026">
        <f>(R75*S$65)*-1</f>
        <v>-581737.57200000004</v>
      </c>
      <c r="T75" s="2026">
        <f t="shared" si="69"/>
        <v>-290868.78600000002</v>
      </c>
      <c r="U75" s="2031">
        <f t="shared" si="60"/>
        <v>2036081.5019999996</v>
      </c>
      <c r="V75" s="2027"/>
      <c r="W75" s="1352"/>
      <c r="X75" s="2029"/>
      <c r="Y75" s="2025">
        <v>45007</v>
      </c>
      <c r="Z75" s="2079">
        <f t="shared" si="70"/>
        <v>45021</v>
      </c>
      <c r="AA75" s="2030">
        <f t="shared" si="71"/>
        <v>14</v>
      </c>
      <c r="AB75" s="2032">
        <f t="shared" ref="AB75:AB84" si="74">U75</f>
        <v>2036081.5019999996</v>
      </c>
      <c r="AC75" s="2032">
        <f t="shared" si="66"/>
        <v>392672.86109999998</v>
      </c>
      <c r="AD75" s="2032">
        <f t="shared" ref="AD75:AD84" si="75">AC75+AB75</f>
        <v>2428754.3630999997</v>
      </c>
      <c r="AE75" s="2032">
        <f>AE74+AD75</f>
        <v>43679237.131749995</v>
      </c>
    </row>
    <row r="76" spans="1:31" ht="24" hidden="1" outlineLevel="1">
      <c r="A76" s="1352">
        <v>10</v>
      </c>
      <c r="B76" s="810" t="str">
        <f t="shared" si="55"/>
        <v>IPA No. 010</v>
      </c>
      <c r="C76" s="2023">
        <v>44958</v>
      </c>
      <c r="D76" s="2113" t="s">
        <v>1574</v>
      </c>
      <c r="E76" s="2079">
        <v>44990</v>
      </c>
      <c r="F76" s="2080">
        <f>+F67+55965036.26</f>
        <v>63540526.259999998</v>
      </c>
      <c r="G76" s="2026">
        <f t="shared" si="72"/>
        <v>4666578.5900000036</v>
      </c>
      <c r="H76" s="2026">
        <f t="shared" ref="H76:H81" si="76">(G76*$H$65)*-1</f>
        <v>-933315.71800000081</v>
      </c>
      <c r="I76" s="2026">
        <f t="shared" si="57"/>
        <v>-466657.8590000004</v>
      </c>
      <c r="J76" s="2026">
        <f t="shared" si="73"/>
        <v>3266605.0130000021</v>
      </c>
      <c r="K76" s="2027"/>
      <c r="L76" s="1352">
        <v>10</v>
      </c>
      <c r="M76" s="2034" t="s">
        <v>1575</v>
      </c>
      <c r="N76" s="2025">
        <v>45005</v>
      </c>
      <c r="O76" s="2029">
        <f t="shared" si="67"/>
        <v>45018</v>
      </c>
      <c r="P76" s="2030">
        <f>P49</f>
        <v>13</v>
      </c>
      <c r="Q76" s="2080">
        <f t="shared" si="68"/>
        <v>50435282.390000001</v>
      </c>
      <c r="R76" s="2026">
        <v>982638.34</v>
      </c>
      <c r="S76" s="2026">
        <f>(R76*S$65)*-1</f>
        <v>-196527.66800000001</v>
      </c>
      <c r="T76" s="2026">
        <f t="shared" si="69"/>
        <v>-98263.834000000003</v>
      </c>
      <c r="U76" s="2031">
        <f t="shared" ref="U76:U84" si="77">R76+S76+T76</f>
        <v>687846.83799999999</v>
      </c>
      <c r="V76" s="2027"/>
      <c r="W76" s="1352"/>
      <c r="X76" s="2029"/>
      <c r="Y76" s="2025">
        <v>45046</v>
      </c>
      <c r="Z76" s="2079">
        <f t="shared" si="70"/>
        <v>45046</v>
      </c>
      <c r="AA76" s="2030">
        <f t="shared" si="71"/>
        <v>0</v>
      </c>
      <c r="AB76" s="2032">
        <f t="shared" si="74"/>
        <v>687846.83799999999</v>
      </c>
      <c r="AC76" s="2032">
        <f t="shared" si="66"/>
        <v>132656.17589999997</v>
      </c>
      <c r="AD76" s="2032">
        <f t="shared" si="75"/>
        <v>820503.0138999999</v>
      </c>
      <c r="AE76" s="2032">
        <f t="shared" ref="AE76:AE81" si="78">AE75+AD76</f>
        <v>44499740.145649992</v>
      </c>
    </row>
    <row r="77" spans="1:31" ht="24" hidden="1" outlineLevel="1">
      <c r="A77" s="1352">
        <v>11</v>
      </c>
      <c r="B77" s="810" t="str">
        <f t="shared" si="55"/>
        <v>IPA No. 011</v>
      </c>
      <c r="C77" s="2023">
        <v>45008</v>
      </c>
      <c r="D77" s="2024" t="s">
        <v>1982</v>
      </c>
      <c r="E77" s="2079">
        <v>45022</v>
      </c>
      <c r="F77" s="2026">
        <f>+F67+57099487.66</f>
        <v>64674977.659999996</v>
      </c>
      <c r="G77" s="2026">
        <f t="shared" si="72"/>
        <v>1134451.3999999985</v>
      </c>
      <c r="H77" s="2026">
        <f t="shared" si="76"/>
        <v>-226890.27999999971</v>
      </c>
      <c r="I77" s="2026">
        <f t="shared" si="57"/>
        <v>-113445.13999999985</v>
      </c>
      <c r="J77" s="2026">
        <f t="shared" si="73"/>
        <v>794115.97999999893</v>
      </c>
      <c r="K77" s="2027"/>
      <c r="L77" s="1352">
        <v>11</v>
      </c>
      <c r="M77" s="2034" t="s">
        <v>1990</v>
      </c>
      <c r="N77" s="2025">
        <v>45052</v>
      </c>
      <c r="O77" s="2029">
        <f t="shared" si="67"/>
        <v>45050</v>
      </c>
      <c r="P77" s="2030">
        <f>P50</f>
        <v>-2</v>
      </c>
      <c r="Q77" s="2080">
        <f t="shared" si="68"/>
        <v>51463758.780000001</v>
      </c>
      <c r="R77" s="2026">
        <v>1028476.39</v>
      </c>
      <c r="S77" s="2026">
        <f>(R77*S$65)*-1</f>
        <v>-205695.27800000002</v>
      </c>
      <c r="T77" s="2026">
        <f t="shared" si="69"/>
        <v>-102847.63900000001</v>
      </c>
      <c r="U77" s="2031">
        <f t="shared" si="77"/>
        <v>719933.473</v>
      </c>
      <c r="V77" s="2027"/>
      <c r="W77" s="1352"/>
      <c r="X77" s="2029"/>
      <c r="Y77" s="2025">
        <v>45075</v>
      </c>
      <c r="Z77" s="2079">
        <f t="shared" si="70"/>
        <v>45078</v>
      </c>
      <c r="AA77" s="2030">
        <f t="shared" si="71"/>
        <v>3</v>
      </c>
      <c r="AB77" s="2032">
        <f t="shared" si="74"/>
        <v>719933.473</v>
      </c>
      <c r="AC77" s="2032">
        <f t="shared" si="66"/>
        <v>138844.31265000001</v>
      </c>
      <c r="AD77" s="2032">
        <f t="shared" si="75"/>
        <v>858777.78564999998</v>
      </c>
      <c r="AE77" s="2032">
        <f t="shared" si="78"/>
        <v>45358517.931299992</v>
      </c>
    </row>
    <row r="78" spans="1:31" hidden="1" outlineLevel="1">
      <c r="A78" s="1352">
        <v>12</v>
      </c>
      <c r="B78" s="810" t="str">
        <f t="shared" si="55"/>
        <v>IPA No. 012</v>
      </c>
      <c r="C78" s="2023">
        <v>45039</v>
      </c>
      <c r="D78" s="2024" t="s">
        <v>1991</v>
      </c>
      <c r="E78" s="2079">
        <v>45052</v>
      </c>
      <c r="F78" s="2026">
        <f>+F67+63304843.04</f>
        <v>70880333.039999992</v>
      </c>
      <c r="G78" s="2026">
        <f t="shared" si="72"/>
        <v>6205355.3799999952</v>
      </c>
      <c r="H78" s="2026">
        <f t="shared" si="76"/>
        <v>-1241071.0759999992</v>
      </c>
      <c r="I78" s="2026">
        <f t="shared" si="57"/>
        <v>-620535.53799999959</v>
      </c>
      <c r="J78" s="2026">
        <f t="shared" si="73"/>
        <v>4343748.7659999961</v>
      </c>
      <c r="K78" s="2027"/>
      <c r="L78" s="1352">
        <v>12</v>
      </c>
      <c r="M78" s="2034" t="s">
        <v>2127</v>
      </c>
      <c r="N78" s="2025">
        <v>45075</v>
      </c>
      <c r="O78" s="2029">
        <f t="shared" si="67"/>
        <v>45080</v>
      </c>
      <c r="P78" s="2030">
        <f t="shared" ref="P78:P85" si="79">O78-N78</f>
        <v>5</v>
      </c>
      <c r="Q78" s="2080">
        <f t="shared" si="68"/>
        <v>51682823.490000002</v>
      </c>
      <c r="R78" s="2026">
        <v>219064.71</v>
      </c>
      <c r="S78" s="2026">
        <f>(R78*S$65)*-1</f>
        <v>-43812.942000000003</v>
      </c>
      <c r="T78" s="2026">
        <f t="shared" si="69"/>
        <v>-21906.471000000001</v>
      </c>
      <c r="U78" s="2031">
        <f t="shared" si="77"/>
        <v>153345.29699999999</v>
      </c>
      <c r="V78" s="2027"/>
      <c r="W78" s="1352"/>
      <c r="X78" s="2029"/>
      <c r="Y78" s="2025">
        <v>45116</v>
      </c>
      <c r="Z78" s="2079">
        <f t="shared" si="70"/>
        <v>45108</v>
      </c>
      <c r="AA78" s="2030">
        <f t="shared" si="71"/>
        <v>-8</v>
      </c>
      <c r="AB78" s="2032">
        <f t="shared" si="74"/>
        <v>153345.29699999999</v>
      </c>
      <c r="AC78" s="2032">
        <f t="shared" si="66"/>
        <v>29573.735849999997</v>
      </c>
      <c r="AD78" s="2032">
        <f t="shared" si="75"/>
        <v>182919.03284999999</v>
      </c>
      <c r="AE78" s="2032">
        <f t="shared" si="78"/>
        <v>45541436.964149989</v>
      </c>
    </row>
    <row r="79" spans="1:31" hidden="1" outlineLevel="1">
      <c r="A79" s="1352">
        <v>13</v>
      </c>
      <c r="B79" s="810" t="str">
        <f t="shared" si="55"/>
        <v>IPA No. 013</v>
      </c>
      <c r="C79" s="2023">
        <v>45069</v>
      </c>
      <c r="D79" s="2024" t="s">
        <v>2129</v>
      </c>
      <c r="E79" s="2025">
        <v>45084</v>
      </c>
      <c r="F79" s="2026">
        <f>+F67+63955535.34</f>
        <v>71531025.340000004</v>
      </c>
      <c r="G79" s="2026">
        <f t="shared" si="72"/>
        <v>650692.30000001192</v>
      </c>
      <c r="H79" s="2026">
        <f t="shared" si="76"/>
        <v>-130138.46000000239</v>
      </c>
      <c r="I79" s="2026">
        <f t="shared" si="57"/>
        <v>-65069.230000001196</v>
      </c>
      <c r="J79" s="2026">
        <f t="shared" si="73"/>
        <v>455484.61000000831</v>
      </c>
      <c r="K79" s="2027"/>
      <c r="L79" s="1352">
        <v>13</v>
      </c>
      <c r="M79" s="2034" t="s">
        <v>2130</v>
      </c>
      <c r="N79" s="2025">
        <v>45120</v>
      </c>
      <c r="O79" s="2029">
        <f t="shared" si="67"/>
        <v>45112</v>
      </c>
      <c r="P79" s="2030">
        <f t="shared" si="79"/>
        <v>-8</v>
      </c>
      <c r="Q79" s="2080">
        <f t="shared" si="68"/>
        <v>52385192.850000001</v>
      </c>
      <c r="R79" s="2026">
        <v>702369.36</v>
      </c>
      <c r="S79" s="2026">
        <f>(R79*S$65)*-1</f>
        <v>-140473.872</v>
      </c>
      <c r="T79" s="2026">
        <f t="shared" si="69"/>
        <v>-70236.936000000002</v>
      </c>
      <c r="U79" s="2031">
        <f t="shared" si="77"/>
        <v>491658.55200000003</v>
      </c>
      <c r="V79" s="2027"/>
      <c r="W79" s="1352"/>
      <c r="X79" s="2029"/>
      <c r="Y79" s="2025">
        <v>45147</v>
      </c>
      <c r="Z79" s="2025">
        <f t="shared" si="70"/>
        <v>45140</v>
      </c>
      <c r="AA79" s="2030">
        <f t="shared" si="71"/>
        <v>-7</v>
      </c>
      <c r="AB79" s="2032">
        <f t="shared" si="74"/>
        <v>491658.55200000003</v>
      </c>
      <c r="AC79" s="2031">
        <f t="shared" ref="AC79:AC84" si="80">(R79+T79)*AC$38</f>
        <v>94819.863599999997</v>
      </c>
      <c r="AD79" s="2031">
        <f t="shared" si="75"/>
        <v>586478.41560000007</v>
      </c>
      <c r="AE79" s="2032">
        <f t="shared" si="78"/>
        <v>46127915.379749991</v>
      </c>
    </row>
    <row r="80" spans="1:31" ht="24" hidden="1" outlineLevel="1">
      <c r="A80" s="1352">
        <v>14</v>
      </c>
      <c r="B80" s="810" t="str">
        <f t="shared" si="55"/>
        <v>IPA No. 014</v>
      </c>
      <c r="C80" s="2023">
        <v>45100</v>
      </c>
      <c r="D80" s="2024" t="s">
        <v>2272</v>
      </c>
      <c r="E80" s="2025">
        <v>45115</v>
      </c>
      <c r="F80" s="2026">
        <f>+F67+64654146.65</f>
        <v>72229636.650000006</v>
      </c>
      <c r="G80" s="2026">
        <f t="shared" si="72"/>
        <v>698611.31000000238</v>
      </c>
      <c r="H80" s="2026">
        <f t="shared" si="76"/>
        <v>-139722.26200000048</v>
      </c>
      <c r="I80" s="2026">
        <f t="shared" si="57"/>
        <v>-69861.131000000241</v>
      </c>
      <c r="J80" s="2026">
        <f t="shared" si="73"/>
        <v>489027.9170000017</v>
      </c>
      <c r="K80" s="1256"/>
      <c r="L80" s="1352">
        <v>14</v>
      </c>
      <c r="M80" s="2034" t="s">
        <v>2273</v>
      </c>
      <c r="N80" s="2025">
        <v>45127</v>
      </c>
      <c r="O80" s="2029">
        <v>45143</v>
      </c>
      <c r="P80" s="2030">
        <f t="shared" si="79"/>
        <v>16</v>
      </c>
      <c r="Q80" s="2080">
        <f t="shared" ref="Q80:Q86" si="81">+Q79+R80</f>
        <v>53096886</v>
      </c>
      <c r="R80" s="2026">
        <v>711693.15</v>
      </c>
      <c r="S80" s="2026">
        <v>1386450.57</v>
      </c>
      <c r="T80" s="2026">
        <f>(R80*T$65)*-1</f>
        <v>-71169.315000000002</v>
      </c>
      <c r="U80" s="2031">
        <f t="shared" si="77"/>
        <v>2026974.4050000003</v>
      </c>
      <c r="V80" s="1256"/>
      <c r="W80" s="1352"/>
      <c r="X80" s="2029"/>
      <c r="Y80" s="2025">
        <v>45187</v>
      </c>
      <c r="Z80" s="2079">
        <f t="shared" si="70"/>
        <v>45171</v>
      </c>
      <c r="AA80" s="2030">
        <f t="shared" si="71"/>
        <v>-16</v>
      </c>
      <c r="AB80" s="2032">
        <f t="shared" si="74"/>
        <v>2026974.4050000003</v>
      </c>
      <c r="AC80" s="2031">
        <f t="shared" si="80"/>
        <v>96078.575249999994</v>
      </c>
      <c r="AD80" s="2031">
        <f t="shared" si="75"/>
        <v>2123052.98025</v>
      </c>
      <c r="AE80" s="2032">
        <f t="shared" si="78"/>
        <v>48250968.359999992</v>
      </c>
    </row>
    <row r="81" spans="1:35" ht="24" hidden="1" outlineLevel="1">
      <c r="A81" s="1352">
        <v>15</v>
      </c>
      <c r="B81" s="810" t="str">
        <f t="shared" si="55"/>
        <v>IPA No. 015</v>
      </c>
      <c r="C81" s="2023">
        <v>45130</v>
      </c>
      <c r="D81" s="2024" t="s">
        <v>2496</v>
      </c>
      <c r="E81" s="2025">
        <v>45147</v>
      </c>
      <c r="F81" s="2026">
        <f>+$F$67+64745023.05</f>
        <v>72320513.049999997</v>
      </c>
      <c r="G81" s="2026">
        <f t="shared" si="72"/>
        <v>90876.399999991059</v>
      </c>
      <c r="H81" s="2026">
        <f t="shared" si="76"/>
        <v>-18175.279999998213</v>
      </c>
      <c r="I81" s="2026">
        <f t="shared" si="57"/>
        <v>-9087.6399999991063</v>
      </c>
      <c r="J81" s="2026">
        <f t="shared" si="73"/>
        <v>63613.479999993746</v>
      </c>
      <c r="K81" s="1256"/>
      <c r="L81" s="1352">
        <v>15</v>
      </c>
      <c r="M81" s="2034" t="s">
        <v>2524</v>
      </c>
      <c r="N81" s="2025">
        <v>45176</v>
      </c>
      <c r="O81" s="2029">
        <f>E81+28</f>
        <v>45175</v>
      </c>
      <c r="P81" s="2030">
        <f t="shared" si="79"/>
        <v>-1</v>
      </c>
      <c r="Q81" s="2080">
        <f t="shared" si="81"/>
        <v>53187762.409999996</v>
      </c>
      <c r="R81" s="2026">
        <v>90876.41</v>
      </c>
      <c r="S81" s="2026">
        <v>949220.2</v>
      </c>
      <c r="T81" s="2026">
        <f>(R81*T$65)*-1</f>
        <v>-9087.6410000000014</v>
      </c>
      <c r="U81" s="2031">
        <f t="shared" si="77"/>
        <v>1031008.969</v>
      </c>
      <c r="V81" s="1256"/>
      <c r="W81" s="1352"/>
      <c r="X81" s="2029"/>
      <c r="Y81" s="2025">
        <v>45244</v>
      </c>
      <c r="Z81" s="2079">
        <f t="shared" si="70"/>
        <v>45203</v>
      </c>
      <c r="AA81" s="2030">
        <f t="shared" si="71"/>
        <v>-41</v>
      </c>
      <c r="AB81" s="2032">
        <f t="shared" si="74"/>
        <v>1031008.969</v>
      </c>
      <c r="AC81" s="2031">
        <f t="shared" si="80"/>
        <v>12268.315349999999</v>
      </c>
      <c r="AD81" s="2031">
        <f t="shared" si="75"/>
        <v>1043277.2843500001</v>
      </c>
      <c r="AE81" s="2032">
        <f t="shared" si="78"/>
        <v>49294245.644349992</v>
      </c>
      <c r="AF81" s="1367">
        <f>+AB81+AB82</f>
        <v>280597.62900000007</v>
      </c>
    </row>
    <row r="82" spans="1:35" ht="24" hidden="1" outlineLevel="1">
      <c r="A82" s="1352">
        <v>16</v>
      </c>
      <c r="B82" s="810" t="str">
        <f t="shared" si="55"/>
        <v>IPA No. 016</v>
      </c>
      <c r="C82" s="2023">
        <v>45161</v>
      </c>
      <c r="D82" s="2024" t="s">
        <v>2521</v>
      </c>
      <c r="E82" s="2025">
        <v>45179</v>
      </c>
      <c r="F82" s="2026">
        <f>+$F$67+64850121.89</f>
        <v>72425611.890000001</v>
      </c>
      <c r="G82" s="2026">
        <f t="shared" si="72"/>
        <v>105098.84000000358</v>
      </c>
      <c r="H82" s="2026">
        <f>-7100879.9+12970024.378-21019.7680000029</f>
        <v>5848124.7099999972</v>
      </c>
      <c r="I82" s="2026">
        <f>(G82*$I$65)*-1+3242506.09</f>
        <v>3231996.2059999993</v>
      </c>
      <c r="J82" s="2026">
        <f t="shared" si="73"/>
        <v>9185219.756000001</v>
      </c>
      <c r="K82" s="1256"/>
      <c r="L82" s="1352">
        <v>16</v>
      </c>
      <c r="M82" s="2034" t="s">
        <v>2523</v>
      </c>
      <c r="N82" s="2025">
        <v>45188</v>
      </c>
      <c r="O82" s="2029">
        <f>E82+28</f>
        <v>45207</v>
      </c>
      <c r="P82" s="2030">
        <f t="shared" si="79"/>
        <v>19</v>
      </c>
      <c r="Q82" s="2080">
        <f t="shared" si="81"/>
        <v>53240316.919999994</v>
      </c>
      <c r="R82" s="2026">
        <v>52554.51</v>
      </c>
      <c r="S82" s="2026">
        <v>-797710.4</v>
      </c>
      <c r="T82" s="2026">
        <v>-5255.45</v>
      </c>
      <c r="U82" s="2031">
        <f t="shared" si="77"/>
        <v>-750411.34</v>
      </c>
      <c r="V82" s="1256"/>
      <c r="W82" s="1352"/>
      <c r="X82" s="2029"/>
      <c r="Y82" s="2025">
        <v>45244</v>
      </c>
      <c r="Z82" s="2079">
        <f t="shared" si="70"/>
        <v>45235</v>
      </c>
      <c r="AA82" s="2030">
        <f>+Z82-Y82</f>
        <v>-9</v>
      </c>
      <c r="AB82" s="2032">
        <f t="shared" si="74"/>
        <v>-750411.34</v>
      </c>
      <c r="AC82" s="2031">
        <f t="shared" si="80"/>
        <v>7094.8590000000004</v>
      </c>
      <c r="AD82" s="2031">
        <f t="shared" si="75"/>
        <v>-743316.48099999991</v>
      </c>
      <c r="AE82" s="2032">
        <f>AE81+AD82</f>
        <v>48550929.163349994</v>
      </c>
    </row>
    <row r="83" spans="1:35" ht="24" hidden="1" outlineLevel="1">
      <c r="A83" s="1352">
        <v>17</v>
      </c>
      <c r="B83" s="810" t="str">
        <f t="shared" si="55"/>
        <v>IPA No. 017</v>
      </c>
      <c r="C83" s="3227" t="s">
        <v>2605</v>
      </c>
      <c r="D83" s="2024" t="s">
        <v>2604</v>
      </c>
      <c r="E83" s="2025">
        <v>45229</v>
      </c>
      <c r="F83" s="2026">
        <f>+F67+64797577.56</f>
        <v>72373067.560000002</v>
      </c>
      <c r="G83" s="2026">
        <f t="shared" si="72"/>
        <v>-52544.329999998212</v>
      </c>
      <c r="H83" s="2026">
        <v>-474610.1</v>
      </c>
      <c r="I83" s="2026">
        <v>2627.2189999995753</v>
      </c>
      <c r="J83" s="2026">
        <f t="shared" si="73"/>
        <v>-524527.21099999861</v>
      </c>
      <c r="K83" s="1256"/>
      <c r="L83" s="1352">
        <v>17</v>
      </c>
      <c r="M83" s="2034" t="s">
        <v>2606</v>
      </c>
      <c r="N83" s="2025">
        <v>45265</v>
      </c>
      <c r="O83" s="2029">
        <f>E83+28</f>
        <v>45257</v>
      </c>
      <c r="P83" s="2030">
        <f t="shared" si="79"/>
        <v>-8</v>
      </c>
      <c r="Q83" s="2080">
        <f t="shared" si="81"/>
        <v>53240316.919999994</v>
      </c>
      <c r="R83" s="2026">
        <v>0</v>
      </c>
      <c r="S83" s="2026">
        <v>-151509.79999999999</v>
      </c>
      <c r="T83" s="2026">
        <v>2283241.35</v>
      </c>
      <c r="U83" s="2031">
        <f t="shared" si="77"/>
        <v>2131731.5500000003</v>
      </c>
      <c r="V83" s="1256"/>
      <c r="W83" s="1352"/>
      <c r="X83" s="2029"/>
      <c r="Y83" s="2025">
        <v>45285</v>
      </c>
      <c r="Z83" s="2025">
        <f t="shared" si="70"/>
        <v>45285</v>
      </c>
      <c r="AA83" s="2030">
        <f>+Z83-Y83</f>
        <v>0</v>
      </c>
      <c r="AB83" s="2032">
        <f t="shared" si="74"/>
        <v>2131731.5500000003</v>
      </c>
      <c r="AC83" s="2031">
        <f t="shared" si="80"/>
        <v>342486.20250000001</v>
      </c>
      <c r="AD83" s="2031">
        <f t="shared" si="75"/>
        <v>2474217.7525000004</v>
      </c>
      <c r="AE83" s="2032">
        <f>AE82+AD83</f>
        <v>51025146.915849991</v>
      </c>
    </row>
    <row r="84" spans="1:35" ht="21.75" hidden="1" customHeight="1" outlineLevel="1">
      <c r="A84" s="1352">
        <v>18</v>
      </c>
      <c r="B84" s="810" t="str">
        <f>B57</f>
        <v>IPA No. 018</v>
      </c>
      <c r="C84" s="2023">
        <f>+C57</f>
        <v>45467</v>
      </c>
      <c r="D84" s="810" t="str">
        <f t="shared" ref="D84:E86" si="82">D57</f>
        <v>1TB04400-005C13-NSC-LTR-0402-0</v>
      </c>
      <c r="E84" s="2025">
        <f t="shared" si="82"/>
        <v>45469</v>
      </c>
      <c r="F84" s="2026">
        <v>46942826.920000002</v>
      </c>
      <c r="G84" s="2026">
        <v>1278000</v>
      </c>
      <c r="H84" s="2026">
        <v>0</v>
      </c>
      <c r="I84" s="2026">
        <f>-127800+63900</f>
        <v>-63900</v>
      </c>
      <c r="J84" s="2026">
        <f t="shared" si="73"/>
        <v>1214100</v>
      </c>
      <c r="K84" s="2020"/>
      <c r="L84" s="1352">
        <f t="shared" ref="L84:O85" si="83">+L57</f>
        <v>18</v>
      </c>
      <c r="M84" s="2034" t="str">
        <f t="shared" si="83"/>
        <v>1TB04400-400000-AMA-LTR-0053</v>
      </c>
      <c r="N84" s="2025">
        <f t="shared" si="83"/>
        <v>45482</v>
      </c>
      <c r="O84" s="2029">
        <f t="shared" si="83"/>
        <v>45497</v>
      </c>
      <c r="P84" s="2030">
        <f t="shared" si="79"/>
        <v>15</v>
      </c>
      <c r="Q84" s="2080">
        <f t="shared" si="81"/>
        <v>54518316.919999994</v>
      </c>
      <c r="R84" s="2026">
        <v>1278000</v>
      </c>
      <c r="S84" s="2026">
        <v>0</v>
      </c>
      <c r="T84" s="2026">
        <f>-127800+63900</f>
        <v>-63900</v>
      </c>
      <c r="U84" s="2031">
        <f t="shared" si="77"/>
        <v>1214100</v>
      </c>
      <c r="V84" s="2020"/>
      <c r="W84" s="2017"/>
      <c r="X84" s="2021"/>
      <c r="Y84" s="2025">
        <f>+Y57</f>
        <v>45553</v>
      </c>
      <c r="Z84" s="2025">
        <f>+Z57</f>
        <v>45525</v>
      </c>
      <c r="AA84" s="2030">
        <f>+Z84-Y84</f>
        <v>-28</v>
      </c>
      <c r="AB84" s="2032">
        <f t="shared" si="74"/>
        <v>1214100</v>
      </c>
      <c r="AC84" s="2031">
        <f t="shared" si="80"/>
        <v>182115</v>
      </c>
      <c r="AD84" s="2031">
        <f t="shared" si="75"/>
        <v>1396215</v>
      </c>
      <c r="AE84" s="2032">
        <f>AE83+AD84</f>
        <v>52421361.915849991</v>
      </c>
      <c r="AI84" s="1513"/>
    </row>
    <row r="85" spans="1:35" ht="21.75" hidden="1" customHeight="1" outlineLevel="1">
      <c r="A85" s="1352">
        <v>19</v>
      </c>
      <c r="B85" s="810" t="str">
        <f>B58</f>
        <v>IPA No. 019</v>
      </c>
      <c r="C85" s="2023">
        <f>+C58</f>
        <v>45528</v>
      </c>
      <c r="D85" s="810" t="str">
        <f t="shared" si="82"/>
        <v>1TB04400-005C13-NSC-LTR-0405</v>
      </c>
      <c r="E85" s="2025">
        <f t="shared" si="82"/>
        <v>45538</v>
      </c>
      <c r="F85" s="2026">
        <f>+F84</f>
        <v>46942826.920000002</v>
      </c>
      <c r="G85" s="2026">
        <v>0</v>
      </c>
      <c r="H85" s="2026">
        <v>0</v>
      </c>
      <c r="I85" s="2026">
        <v>0</v>
      </c>
      <c r="J85" s="2026">
        <f t="shared" si="73"/>
        <v>0</v>
      </c>
      <c r="K85" s="2020"/>
      <c r="L85" s="1352">
        <f t="shared" si="83"/>
        <v>19</v>
      </c>
      <c r="M85" s="2034" t="str">
        <f t="shared" si="83"/>
        <v>1TB04400-400000-AMA-LTR-0054</v>
      </c>
      <c r="N85" s="2025">
        <f t="shared" si="83"/>
        <v>45551</v>
      </c>
      <c r="O85" s="2029">
        <f t="shared" si="83"/>
        <v>45566</v>
      </c>
      <c r="P85" s="2030">
        <f t="shared" si="79"/>
        <v>15</v>
      </c>
      <c r="Q85" s="2080">
        <f t="shared" si="81"/>
        <v>54518316.919999994</v>
      </c>
      <c r="R85" s="2026">
        <v>0</v>
      </c>
      <c r="S85" s="2026">
        <v>0</v>
      </c>
      <c r="T85" s="2026">
        <v>0</v>
      </c>
      <c r="U85" s="2031">
        <f>R85+S85+T85</f>
        <v>0</v>
      </c>
      <c r="V85" s="2020"/>
      <c r="W85" s="2017"/>
      <c r="X85" s="2021"/>
      <c r="Y85" s="2025">
        <v>45596</v>
      </c>
      <c r="Z85" s="2025">
        <v>45594</v>
      </c>
      <c r="AA85" s="2030">
        <f>+Z85-Y85</f>
        <v>-2</v>
      </c>
      <c r="AB85" s="2032">
        <f>U85</f>
        <v>0</v>
      </c>
      <c r="AC85" s="2031">
        <f>(R85+T85)*AC$38</f>
        <v>0</v>
      </c>
      <c r="AD85" s="2031">
        <f>AC85+AB85</f>
        <v>0</v>
      </c>
      <c r="AE85" s="2032">
        <f>AE84+AD85</f>
        <v>52421361.915849991</v>
      </c>
      <c r="AI85" s="1513"/>
    </row>
    <row r="86" spans="1:35" ht="21.75" hidden="1" customHeight="1" outlineLevel="1">
      <c r="A86" s="3539">
        <f>A59</f>
        <v>20</v>
      </c>
      <c r="B86" s="3539" t="str">
        <f>B59</f>
        <v>IPA No. 020</v>
      </c>
      <c r="C86" s="3539">
        <f>C59</f>
        <v>45589</v>
      </c>
      <c r="D86" s="3957" t="str">
        <f t="shared" si="82"/>
        <v>1TB04400-005C13-NSC-LTR-0408</v>
      </c>
      <c r="E86" s="3539">
        <f t="shared" si="82"/>
        <v>45579</v>
      </c>
      <c r="F86" s="2026">
        <f>+F85+G86</f>
        <v>52909590.980000004</v>
      </c>
      <c r="G86" s="2026">
        <v>5966764.0599999996</v>
      </c>
      <c r="H86" s="2026">
        <v>0</v>
      </c>
      <c r="I86" s="2026">
        <f>2943817.76-596676.41</f>
        <v>2347141.3499999996</v>
      </c>
      <c r="J86" s="2026">
        <f t="shared" si="73"/>
        <v>8313905.4099999992</v>
      </c>
      <c r="K86" s="2020"/>
      <c r="L86" s="3539">
        <f>L59</f>
        <v>20</v>
      </c>
      <c r="M86" s="3957" t="str">
        <f>M59</f>
        <v>1TB04400-400000-AMA-LTR-0057</v>
      </c>
      <c r="N86" s="3539">
        <f>N59</f>
        <v>45635</v>
      </c>
      <c r="O86" s="3539">
        <f>O59</f>
        <v>45607</v>
      </c>
      <c r="P86" s="3539">
        <f>P59</f>
        <v>-28</v>
      </c>
      <c r="Q86" s="2080">
        <f t="shared" si="81"/>
        <v>60485080.979999997</v>
      </c>
      <c r="R86" s="2026">
        <v>5966764.0599999996</v>
      </c>
      <c r="S86" s="2026">
        <v>0</v>
      </c>
      <c r="T86" s="2026">
        <f>2943817.76-596676.41</f>
        <v>2347141.3499999996</v>
      </c>
      <c r="U86" s="2031">
        <f>R86+S86+T86</f>
        <v>8313905.4099999992</v>
      </c>
      <c r="V86" s="2020"/>
      <c r="W86" s="2017"/>
      <c r="X86" s="2021"/>
      <c r="Y86" s="3539">
        <f>Y59</f>
        <v>45635</v>
      </c>
      <c r="Z86" s="3539">
        <f>Z59</f>
        <v>45635</v>
      </c>
      <c r="AA86" s="3539">
        <f>AA59</f>
        <v>0</v>
      </c>
      <c r="AB86" s="2032">
        <f>U86</f>
        <v>8313905.4099999992</v>
      </c>
      <c r="AC86" s="2031">
        <f>(R86+T86)*AC$38</f>
        <v>1247085.8114999998</v>
      </c>
      <c r="AD86" s="2031">
        <f>AC86+AB86</f>
        <v>9560991.2214999981</v>
      </c>
      <c r="AE86" s="2032">
        <f>AE85+AD86</f>
        <v>61982353.137349993</v>
      </c>
      <c r="AI86" s="1513"/>
    </row>
    <row r="87" spans="1:35" ht="24.75" hidden="1" customHeight="1" outlineLevel="1" thickBot="1">
      <c r="A87" s="6045" t="s">
        <v>1522</v>
      </c>
      <c r="B87" s="6046"/>
      <c r="C87" s="6046"/>
      <c r="D87" s="6046"/>
      <c r="E87" s="6046"/>
      <c r="F87" s="6047"/>
      <c r="G87" s="1338">
        <f>SUM(G67:G86)</f>
        <v>79617831.620000005</v>
      </c>
      <c r="H87" s="1338">
        <f>SUM(H67:H86)</f>
        <v>-7575490</v>
      </c>
      <c r="I87" s="1338">
        <f>SUM(I67:I86)</f>
        <v>-956637.53000000026</v>
      </c>
      <c r="J87" s="1338">
        <f>SUM(J67:J86)</f>
        <v>71085704.090000004</v>
      </c>
      <c r="K87" s="1256"/>
      <c r="L87" s="1339" t="s">
        <v>1522</v>
      </c>
      <c r="M87" s="1340"/>
      <c r="N87" s="1340"/>
      <c r="O87" s="1340"/>
      <c r="P87" s="1340"/>
      <c r="Q87" s="1340"/>
      <c r="R87" s="1341">
        <f>SUM(R67:R86)</f>
        <v>60485080.979999997</v>
      </c>
      <c r="S87" s="1338">
        <f>SUM(S67:S86)</f>
        <v>-7575490</v>
      </c>
      <c r="T87" s="1338">
        <f>SUM(T67:T86)</f>
        <v>8.9999991469085217E-3</v>
      </c>
      <c r="U87" s="1338">
        <f>SUM(U67:U86)</f>
        <v>52909590.988999985</v>
      </c>
      <c r="V87" s="1256"/>
      <c r="W87" s="1342" t="s">
        <v>1522</v>
      </c>
      <c r="X87" s="1343"/>
      <c r="Y87" s="1343"/>
      <c r="Z87" s="1343"/>
      <c r="AA87" s="1343"/>
      <c r="AB87" s="1341">
        <f>SUM(AB67:AB86)</f>
        <v>52909590.988999985</v>
      </c>
      <c r="AC87" s="1338">
        <f>SUM(AC67:AC86)</f>
        <v>9072762.1483500004</v>
      </c>
      <c r="AD87" s="1338">
        <f>SUM(AD67:AD86)</f>
        <v>61982353.137349993</v>
      </c>
      <c r="AE87" s="1338">
        <f>AE86</f>
        <v>61982353.137349993</v>
      </c>
    </row>
    <row r="88" spans="1:35" ht="10.5" customHeight="1" collapsed="1" thickBot="1">
      <c r="A88" s="1255"/>
      <c r="B88" s="1256"/>
      <c r="C88" s="1255"/>
      <c r="D88" s="1257"/>
      <c r="E88" s="1257"/>
      <c r="F88" s="1258"/>
      <c r="G88" s="1258"/>
      <c r="H88" s="1258"/>
      <c r="I88" s="1258"/>
      <c r="J88" s="1258"/>
      <c r="K88" s="1257"/>
      <c r="L88" s="1255"/>
      <c r="M88" s="1255"/>
      <c r="N88" s="1255"/>
      <c r="O88" s="1255"/>
      <c r="P88" s="1255"/>
      <c r="Q88" s="1255"/>
      <c r="R88" s="1258"/>
      <c r="S88" s="1258"/>
      <c r="T88" s="1258"/>
      <c r="U88" s="1258"/>
      <c r="V88" s="1257"/>
      <c r="W88" s="1257"/>
      <c r="X88" s="1257"/>
      <c r="Y88" s="1257"/>
      <c r="Z88" s="1257"/>
      <c r="AA88" s="1257"/>
      <c r="AB88" s="1257"/>
      <c r="AC88" s="1257"/>
      <c r="AD88" s="1257"/>
      <c r="AE88" s="1257"/>
      <c r="AF88">
        <v>41098344.229999997</v>
      </c>
      <c r="AG88">
        <v>151509.79899999499</v>
      </c>
    </row>
    <row r="89" spans="1:35" ht="30" customHeight="1" outlineLevel="1" thickBot="1">
      <c r="A89" s="1277" t="s">
        <v>1597</v>
      </c>
      <c r="B89" s="1278"/>
      <c r="C89" s="1278"/>
      <c r="D89" s="1279"/>
      <c r="E89" s="1279"/>
      <c r="F89" s="1280"/>
      <c r="G89" s="1280"/>
      <c r="H89" s="1280"/>
      <c r="I89" s="1280"/>
      <c r="J89" s="1280"/>
      <c r="K89" s="1279"/>
      <c r="L89" s="1278"/>
      <c r="M89" s="1278"/>
      <c r="N89" s="1278"/>
      <c r="O89" s="1278"/>
      <c r="P89" s="1278"/>
      <c r="Q89" s="1278"/>
      <c r="R89" s="1278"/>
      <c r="S89" s="1278"/>
      <c r="T89" s="1278"/>
      <c r="U89" s="1281"/>
      <c r="V89" s="1279"/>
      <c r="W89" s="1279"/>
      <c r="X89" s="1279"/>
      <c r="Y89" s="1279"/>
      <c r="Z89" s="1279"/>
      <c r="AA89" s="1279"/>
      <c r="AB89" s="1279"/>
      <c r="AC89" s="1279"/>
      <c r="AD89" s="1279"/>
      <c r="AE89" s="1282"/>
    </row>
    <row r="90" spans="1:35" outlineLevel="1">
      <c r="A90" s="6067" t="s">
        <v>1524</v>
      </c>
      <c r="B90" s="6068"/>
      <c r="C90" s="6068"/>
      <c r="D90" s="6068"/>
      <c r="E90" s="6068"/>
      <c r="F90" s="6068"/>
      <c r="G90" s="6069"/>
      <c r="H90" s="6069"/>
      <c r="I90" s="6069"/>
      <c r="J90" s="6070"/>
      <c r="K90" s="1256"/>
      <c r="L90" s="6060" t="s">
        <v>1525</v>
      </c>
      <c r="M90" s="6061"/>
      <c r="N90" s="6061"/>
      <c r="O90" s="6061"/>
      <c r="P90" s="6061"/>
      <c r="Q90" s="6061"/>
      <c r="R90" s="6062"/>
      <c r="S90" s="6062"/>
      <c r="T90" s="6062"/>
      <c r="U90" s="6063"/>
      <c r="V90" s="1256"/>
      <c r="W90" s="6064" t="s">
        <v>1526</v>
      </c>
      <c r="X90" s="6065"/>
      <c r="Y90" s="6065"/>
      <c r="Z90" s="6065"/>
      <c r="AA90" s="6065"/>
      <c r="AB90" s="6065"/>
      <c r="AC90" s="6065"/>
      <c r="AD90" s="6065"/>
      <c r="AE90" s="6066"/>
    </row>
    <row r="91" spans="1:35" ht="56.25" outlineLevel="1">
      <c r="A91" s="1381" t="s">
        <v>1462</v>
      </c>
      <c r="B91" s="1382" t="s">
        <v>1527</v>
      </c>
      <c r="C91" s="1382" t="s">
        <v>1528</v>
      </c>
      <c r="D91" s="1383" t="s">
        <v>1529</v>
      </c>
      <c r="E91" s="1383" t="s">
        <v>1530</v>
      </c>
      <c r="F91" s="1384" t="s">
        <v>1531</v>
      </c>
      <c r="G91" s="1385" t="s">
        <v>1532</v>
      </c>
      <c r="H91" s="1385" t="s">
        <v>1533</v>
      </c>
      <c r="I91" s="1385" t="s">
        <v>1534</v>
      </c>
      <c r="J91" s="1386" t="s">
        <v>1535</v>
      </c>
      <c r="K91" s="1289"/>
      <c r="L91" s="1401" t="s">
        <v>1536</v>
      </c>
      <c r="M91" s="1402" t="s">
        <v>1537</v>
      </c>
      <c r="N91" s="1402" t="s">
        <v>1530</v>
      </c>
      <c r="O91" s="1402" t="s">
        <v>1538</v>
      </c>
      <c r="P91" s="1403" t="s">
        <v>1539</v>
      </c>
      <c r="Q91" s="1404" t="s">
        <v>1540</v>
      </c>
      <c r="R91" s="1405" t="s">
        <v>1541</v>
      </c>
      <c r="S91" s="1405" t="s">
        <v>1533</v>
      </c>
      <c r="T91" s="1405" t="s">
        <v>1534</v>
      </c>
      <c r="U91" s="1406" t="s">
        <v>1542</v>
      </c>
      <c r="V91" s="1256"/>
      <c r="W91" s="1414" t="s">
        <v>1543</v>
      </c>
      <c r="X91" s="1415" t="s">
        <v>1544</v>
      </c>
      <c r="Y91" s="1416" t="s">
        <v>1545</v>
      </c>
      <c r="Z91" s="1416" t="s">
        <v>1546</v>
      </c>
      <c r="AA91" s="1417" t="s">
        <v>1539</v>
      </c>
      <c r="AB91" s="1417" t="s">
        <v>1547</v>
      </c>
      <c r="AC91" s="1417" t="s">
        <v>1548</v>
      </c>
      <c r="AD91" s="1416" t="s">
        <v>1549</v>
      </c>
      <c r="AE91" s="1418" t="s">
        <v>1550</v>
      </c>
    </row>
    <row r="92" spans="1:35" ht="17.25" customHeight="1" outlineLevel="1">
      <c r="A92" s="1387"/>
      <c r="B92" s="1388"/>
      <c r="C92" s="1389"/>
      <c r="D92" s="1390"/>
      <c r="E92" s="1391" t="s">
        <v>296</v>
      </c>
      <c r="F92" s="1392" t="s">
        <v>434</v>
      </c>
      <c r="G92" s="1392" t="s">
        <v>434</v>
      </c>
      <c r="H92" s="1393">
        <v>0.2</v>
      </c>
      <c r="I92" s="1393">
        <v>0.1</v>
      </c>
      <c r="J92" s="1394" t="s">
        <v>434</v>
      </c>
      <c r="K92" s="1256"/>
      <c r="L92" s="1407"/>
      <c r="M92" s="1408"/>
      <c r="N92" s="1409" t="s">
        <v>296</v>
      </c>
      <c r="O92" s="1408" t="s">
        <v>1551</v>
      </c>
      <c r="P92" s="1410" t="s">
        <v>1552</v>
      </c>
      <c r="Q92" s="1411" t="s">
        <v>434</v>
      </c>
      <c r="R92" s="1411" t="s">
        <v>434</v>
      </c>
      <c r="S92" s="1412">
        <v>0.2</v>
      </c>
      <c r="T92" s="1412">
        <v>0.1</v>
      </c>
      <c r="U92" s="1413" t="s">
        <v>434</v>
      </c>
      <c r="V92" s="1256"/>
      <c r="W92" s="1419"/>
      <c r="X92" s="1420" t="s">
        <v>296</v>
      </c>
      <c r="Y92" s="1420" t="s">
        <v>296</v>
      </c>
      <c r="Z92" s="1420" t="s">
        <v>1553</v>
      </c>
      <c r="AA92" s="1421" t="s">
        <v>1552</v>
      </c>
      <c r="AB92" s="1422"/>
      <c r="AC92" s="1423">
        <v>0.15</v>
      </c>
      <c r="AD92" s="1420" t="s">
        <v>296</v>
      </c>
      <c r="AE92" s="1424" t="s">
        <v>296</v>
      </c>
    </row>
    <row r="93" spans="1:35" s="722" customFormat="1" ht="12.75" customHeight="1" outlineLevel="1">
      <c r="A93" s="1314"/>
      <c r="B93" s="1314"/>
      <c r="C93" s="1314"/>
      <c r="D93" s="1314"/>
      <c r="E93" s="1314" t="s">
        <v>1481</v>
      </c>
      <c r="F93" s="1314"/>
      <c r="G93" s="1314"/>
      <c r="H93" s="1314"/>
      <c r="I93" s="1314"/>
      <c r="J93" s="1314"/>
      <c r="K93" s="1255"/>
      <c r="L93" s="1315"/>
      <c r="M93" s="1315"/>
      <c r="N93" s="1316" t="s">
        <v>1482</v>
      </c>
      <c r="O93" s="1314" t="s">
        <v>1554</v>
      </c>
      <c r="P93" s="1317" t="s">
        <v>1555</v>
      </c>
      <c r="Q93" s="1318" t="s">
        <v>1556</v>
      </c>
      <c r="R93" s="1318" t="s">
        <v>1557</v>
      </c>
      <c r="S93" s="1319" t="s">
        <v>1558</v>
      </c>
      <c r="T93" s="1319" t="s">
        <v>1559</v>
      </c>
      <c r="U93" s="1318" t="s">
        <v>1560</v>
      </c>
      <c r="V93" s="1255"/>
      <c r="W93" s="1316"/>
      <c r="X93" s="1316"/>
      <c r="Y93" s="1316" t="s">
        <v>1561</v>
      </c>
      <c r="Z93" s="1316" t="s">
        <v>1562</v>
      </c>
      <c r="AA93" s="1317" t="s">
        <v>1563</v>
      </c>
      <c r="AB93" s="1314" t="s">
        <v>1564</v>
      </c>
      <c r="AC93" s="1319" t="s">
        <v>1565</v>
      </c>
      <c r="AD93" s="1316" t="s">
        <v>1566</v>
      </c>
      <c r="AE93" s="1316"/>
    </row>
    <row r="94" spans="1:35" ht="24" outlineLevel="1">
      <c r="A94" s="723">
        <f>A40</f>
        <v>1</v>
      </c>
      <c r="B94" s="810" t="str">
        <f>B40</f>
        <v>IPA No. 01 Adv Pay</v>
      </c>
      <c r="C94" s="810" t="str">
        <f>C40</f>
        <v>Advance Payment</v>
      </c>
      <c r="D94" s="1320" t="str">
        <f>D40</f>
        <v>NSC-LTR-000010</v>
      </c>
      <c r="E94" s="1321">
        <f>E40</f>
        <v>44677</v>
      </c>
      <c r="F94" s="1322">
        <v>3739706.8</v>
      </c>
      <c r="G94" s="1322">
        <f>F94</f>
        <v>3739706.8</v>
      </c>
      <c r="H94" s="1322">
        <v>0</v>
      </c>
      <c r="I94" s="1322">
        <v>0</v>
      </c>
      <c r="J94" s="1322">
        <f t="shared" ref="J94:J113" si="84">G94+H94+I94</f>
        <v>3739706.8</v>
      </c>
      <c r="K94" s="2801"/>
      <c r="L94" s="723">
        <v>1</v>
      </c>
      <c r="M94" s="724" t="s">
        <v>1581</v>
      </c>
      <c r="N94" s="1321">
        <v>44698</v>
      </c>
      <c r="O94" s="1323">
        <f>O40</f>
        <v>44691</v>
      </c>
      <c r="P94" s="1324">
        <f>P40</f>
        <v>-7</v>
      </c>
      <c r="Q94" s="1322">
        <v>3739706.8</v>
      </c>
      <c r="R94" s="1322">
        <f>Q94</f>
        <v>3739706.8</v>
      </c>
      <c r="S94" s="1322">
        <v>0</v>
      </c>
      <c r="T94" s="1322">
        <v>0</v>
      </c>
      <c r="U94" s="1322">
        <f>R94-S94-T94</f>
        <v>3739706.8</v>
      </c>
      <c r="V94" s="2801"/>
      <c r="W94" s="1350" t="str">
        <f>W40</f>
        <v>AMA-WTRAN-000703</v>
      </c>
      <c r="X94" s="1321">
        <f>X40</f>
        <v>44359</v>
      </c>
      <c r="Y94" s="1321">
        <f>Y40</f>
        <v>44714</v>
      </c>
      <c r="Z94" s="1321">
        <f>Z40</f>
        <v>44691</v>
      </c>
      <c r="AA94" s="1324">
        <f>AA40</f>
        <v>-23</v>
      </c>
      <c r="AB94" s="1327">
        <f t="shared" ref="AB94:AB100" si="85">U94</f>
        <v>3739706.8</v>
      </c>
      <c r="AC94" s="1327">
        <f>(R94+T94)*AC$65</f>
        <v>560956.0199999999</v>
      </c>
      <c r="AD94" s="1327">
        <f t="shared" ref="AD94:AD100" si="86">AC94+AB94</f>
        <v>4300662.8199999994</v>
      </c>
      <c r="AE94" s="1327">
        <f>AD94</f>
        <v>4300662.8199999994</v>
      </c>
      <c r="AF94">
        <f>+AC94/AB94</f>
        <v>0.15</v>
      </c>
    </row>
    <row r="95" spans="1:35" outlineLevel="1">
      <c r="A95" s="1352">
        <f t="shared" ref="A95:A101" si="87">A41</f>
        <v>2</v>
      </c>
      <c r="B95" s="810" t="str">
        <f t="shared" ref="B95:B110" si="88">B41</f>
        <v>IPA No. 02</v>
      </c>
      <c r="C95" s="2023">
        <f t="shared" ref="C95:E101" si="89">C41</f>
        <v>44713</v>
      </c>
      <c r="D95" s="2033" t="str">
        <f t="shared" si="89"/>
        <v>NSC-GENCORR-000027</v>
      </c>
      <c r="E95" s="2025">
        <f t="shared" si="89"/>
        <v>44768</v>
      </c>
      <c r="F95" s="2026">
        <f>(Q95*0)+F94+863978.02</f>
        <v>4603684.82</v>
      </c>
      <c r="G95" s="2026">
        <f>F95-F94</f>
        <v>863978.02000000048</v>
      </c>
      <c r="H95" s="2026">
        <f>(G95*$H$65)*-1</f>
        <v>-172795.60400000011</v>
      </c>
      <c r="I95" s="2026">
        <f t="shared" ref="I95:I108" si="90">(G95*$I$65)*-1</f>
        <v>-86397.802000000054</v>
      </c>
      <c r="J95" s="2026">
        <f t="shared" si="84"/>
        <v>604784.61400000041</v>
      </c>
      <c r="K95" s="2027"/>
      <c r="L95" s="1352">
        <v>2</v>
      </c>
      <c r="M95" s="2028" t="s">
        <v>1584</v>
      </c>
      <c r="N95" s="2025">
        <v>44790</v>
      </c>
      <c r="O95" s="2029">
        <f>O41</f>
        <v>44796</v>
      </c>
      <c r="P95" s="2030">
        <f>P41</f>
        <v>6</v>
      </c>
      <c r="Q95" s="2026">
        <f>795600.59+Q94</f>
        <v>4535307.3899999997</v>
      </c>
      <c r="R95" s="2026">
        <f t="shared" ref="R95:R100" si="91">Q95-Q94</f>
        <v>795600.58999999985</v>
      </c>
      <c r="S95" s="2026">
        <f t="shared" ref="S95:S100" si="92">(R95*S$65)*-1</f>
        <v>-159120.11799999999</v>
      </c>
      <c r="T95" s="2026">
        <f t="shared" ref="T95:T100" si="93">(R95*T$65)*-1</f>
        <v>-79560.058999999994</v>
      </c>
      <c r="U95" s="2031">
        <f t="shared" ref="U95:U102" si="94">R95+S95+T95</f>
        <v>556920.41299999983</v>
      </c>
      <c r="V95" s="2027"/>
      <c r="W95" s="1351">
        <f>W41</f>
        <v>0</v>
      </c>
      <c r="X95" s="2025"/>
      <c r="Y95" s="2025">
        <f t="shared" ref="Y95:AA98" si="95">Y41</f>
        <v>44832</v>
      </c>
      <c r="Z95" s="2025">
        <f t="shared" si="95"/>
        <v>44824</v>
      </c>
      <c r="AA95" s="2030">
        <f t="shared" si="95"/>
        <v>-8</v>
      </c>
      <c r="AB95" s="2032">
        <f t="shared" si="85"/>
        <v>556920.41299999983</v>
      </c>
      <c r="AC95" s="2032">
        <f t="shared" ref="AC95:AC102" si="96">(R95+T95)*AC$38</f>
        <v>107406.07964999997</v>
      </c>
      <c r="AD95" s="2032">
        <f t="shared" si="86"/>
        <v>664326.4926499998</v>
      </c>
      <c r="AE95" s="2032">
        <f t="shared" ref="AE95:AE100" si="97">AE94+AD95</f>
        <v>4964989.3126499988</v>
      </c>
    </row>
    <row r="96" spans="1:35" outlineLevel="1">
      <c r="A96" s="1352">
        <f t="shared" si="87"/>
        <v>3</v>
      </c>
      <c r="B96" s="810" t="str">
        <f t="shared" si="88"/>
        <v>IPA No. 03</v>
      </c>
      <c r="C96" s="2023">
        <f t="shared" si="89"/>
        <v>44743</v>
      </c>
      <c r="D96" s="2033" t="str">
        <f t="shared" si="89"/>
        <v>NSC-TRANSMIT-000067</v>
      </c>
      <c r="E96" s="2025">
        <f t="shared" si="89"/>
        <v>44852</v>
      </c>
      <c r="F96" s="2026">
        <f>(F95-101559.675)*0+F94+694040.911</f>
        <v>4433747.7110000001</v>
      </c>
      <c r="G96" s="2026">
        <f>+F96-F95</f>
        <v>-169937.10900000017</v>
      </c>
      <c r="H96" s="2026">
        <f>(G96*$H$65)*-1</f>
        <v>33987.421800000033</v>
      </c>
      <c r="I96" s="2026">
        <f t="shared" si="90"/>
        <v>16993.710900000016</v>
      </c>
      <c r="J96" s="2026">
        <f t="shared" si="84"/>
        <v>-118955.97630000011</v>
      </c>
      <c r="K96" s="2027"/>
      <c r="L96" s="1352">
        <v>3</v>
      </c>
      <c r="M96" s="2028" t="s">
        <v>1567</v>
      </c>
      <c r="N96" s="2025">
        <v>44863</v>
      </c>
      <c r="O96" s="2029">
        <f t="shared" ref="O96:P100" si="98">O69</f>
        <v>44880</v>
      </c>
      <c r="P96" s="2030">
        <f t="shared" si="98"/>
        <v>17</v>
      </c>
      <c r="Q96" s="2026">
        <f>+Q95-101559.68</f>
        <v>4433747.71</v>
      </c>
      <c r="R96" s="2026">
        <f>Q96-Q95</f>
        <v>-101559.6799999997</v>
      </c>
      <c r="S96" s="2026">
        <f t="shared" si="92"/>
        <v>20311.935999999943</v>
      </c>
      <c r="T96" s="2026">
        <f t="shared" si="93"/>
        <v>10155.967999999972</v>
      </c>
      <c r="U96" s="2031">
        <f t="shared" si="94"/>
        <v>-71091.77599999978</v>
      </c>
      <c r="V96" s="2027"/>
      <c r="W96" s="1351">
        <f>W42</f>
        <v>0</v>
      </c>
      <c r="X96" s="2025"/>
      <c r="Y96" s="2025">
        <f t="shared" si="95"/>
        <v>44908</v>
      </c>
      <c r="Z96" s="2025">
        <f t="shared" si="95"/>
        <v>44908</v>
      </c>
      <c r="AA96" s="2030">
        <f t="shared" si="95"/>
        <v>0</v>
      </c>
      <c r="AB96" s="2032">
        <f t="shared" si="85"/>
        <v>-71091.77599999978</v>
      </c>
      <c r="AC96" s="2032">
        <f t="shared" si="96"/>
        <v>-13710.55679999996</v>
      </c>
      <c r="AD96" s="2032">
        <f t="shared" si="86"/>
        <v>-84802.332799999742</v>
      </c>
      <c r="AE96" s="2032">
        <f t="shared" si="97"/>
        <v>4880186.9798499988</v>
      </c>
    </row>
    <row r="97" spans="1:35" outlineLevel="1">
      <c r="A97" s="1352">
        <f t="shared" si="87"/>
        <v>4</v>
      </c>
      <c r="B97" s="810" t="str">
        <f t="shared" si="88"/>
        <v>IPA No. 04</v>
      </c>
      <c r="C97" s="2023">
        <f t="shared" si="89"/>
        <v>44774</v>
      </c>
      <c r="D97" s="2033" t="str">
        <f t="shared" si="89"/>
        <v>NSC-TRANSMIT-000067</v>
      </c>
      <c r="E97" s="2025">
        <f t="shared" si="89"/>
        <v>44852</v>
      </c>
      <c r="F97" s="2026">
        <f>(F96+115730.398)*0+F96</f>
        <v>4433747.7110000001</v>
      </c>
      <c r="G97" s="2026">
        <f t="shared" ref="G97:G102" si="99">+F97-F96</f>
        <v>0</v>
      </c>
      <c r="H97" s="2026">
        <f t="shared" ref="H97:H102" si="100">(G97*$H$65)*-1</f>
        <v>0</v>
      </c>
      <c r="I97" s="2026">
        <f t="shared" si="90"/>
        <v>0</v>
      </c>
      <c r="J97" s="2026">
        <f t="shared" si="84"/>
        <v>0</v>
      </c>
      <c r="K97" s="2027"/>
      <c r="L97" s="1352">
        <v>4</v>
      </c>
      <c r="M97" s="2028" t="s">
        <v>1568</v>
      </c>
      <c r="N97" s="2025">
        <v>44863</v>
      </c>
      <c r="O97" s="2029">
        <f t="shared" si="98"/>
        <v>44880</v>
      </c>
      <c r="P97" s="2030">
        <f t="shared" si="98"/>
        <v>17</v>
      </c>
      <c r="Q97" s="2026">
        <f>+Q96+386275.4</f>
        <v>4820023.1100000003</v>
      </c>
      <c r="R97" s="2026">
        <f t="shared" si="91"/>
        <v>386275.40000000037</v>
      </c>
      <c r="S97" s="2026">
        <f t="shared" si="92"/>
        <v>-77255.080000000075</v>
      </c>
      <c r="T97" s="2026">
        <f t="shared" si="93"/>
        <v>-38627.540000000037</v>
      </c>
      <c r="U97" s="2031">
        <f t="shared" si="94"/>
        <v>270392.78000000026</v>
      </c>
      <c r="V97" s="2027"/>
      <c r="W97" s="1351">
        <f>W43</f>
        <v>0</v>
      </c>
      <c r="X97" s="2025"/>
      <c r="Y97" s="2025">
        <f t="shared" si="95"/>
        <v>44908</v>
      </c>
      <c r="Z97" s="2025">
        <f t="shared" si="95"/>
        <v>44908</v>
      </c>
      <c r="AA97" s="2030">
        <f t="shared" si="95"/>
        <v>0</v>
      </c>
      <c r="AB97" s="2032">
        <f t="shared" si="85"/>
        <v>270392.78000000026</v>
      </c>
      <c r="AC97" s="2032">
        <f t="shared" si="96"/>
        <v>52147.179000000047</v>
      </c>
      <c r="AD97" s="2032">
        <f t="shared" si="86"/>
        <v>322539.95900000032</v>
      </c>
      <c r="AE97" s="2032">
        <f t="shared" si="97"/>
        <v>5202726.9388499996</v>
      </c>
    </row>
    <row r="98" spans="1:35" outlineLevel="1">
      <c r="A98" s="1352">
        <f t="shared" si="87"/>
        <v>5</v>
      </c>
      <c r="B98" s="810" t="str">
        <f t="shared" si="88"/>
        <v>IPA No. 05</v>
      </c>
      <c r="C98" s="2023">
        <f t="shared" si="89"/>
        <v>44805</v>
      </c>
      <c r="D98" s="2033" t="str">
        <f t="shared" si="89"/>
        <v>NSC-TRANSMIT-000067</v>
      </c>
      <c r="E98" s="2025">
        <f t="shared" si="89"/>
        <v>44852</v>
      </c>
      <c r="F98" s="2026">
        <f>(F97+125972.026)*0+F96</f>
        <v>4433747.7110000001</v>
      </c>
      <c r="G98" s="2026">
        <f t="shared" si="99"/>
        <v>0</v>
      </c>
      <c r="H98" s="2026">
        <f t="shared" si="100"/>
        <v>0</v>
      </c>
      <c r="I98" s="2026">
        <f t="shared" si="90"/>
        <v>0</v>
      </c>
      <c r="J98" s="2026">
        <f t="shared" si="84"/>
        <v>0</v>
      </c>
      <c r="K98" s="2027"/>
      <c r="L98" s="1352">
        <v>5</v>
      </c>
      <c r="M98" s="2028" t="s">
        <v>1569</v>
      </c>
      <c r="N98" s="2025">
        <v>44863</v>
      </c>
      <c r="O98" s="2029">
        <f t="shared" si="98"/>
        <v>44880</v>
      </c>
      <c r="P98" s="2030">
        <f t="shared" si="98"/>
        <v>17</v>
      </c>
      <c r="Q98" s="2026">
        <f>+Q97+125972.03</f>
        <v>4945995.1400000006</v>
      </c>
      <c r="R98" s="2026">
        <f t="shared" si="91"/>
        <v>125972.03000000026</v>
      </c>
      <c r="S98" s="2026">
        <f t="shared" si="92"/>
        <v>-25194.406000000054</v>
      </c>
      <c r="T98" s="2026">
        <f t="shared" si="93"/>
        <v>-12597.203000000027</v>
      </c>
      <c r="U98" s="2031">
        <f t="shared" si="94"/>
        <v>88180.421000000191</v>
      </c>
      <c r="V98" s="2027"/>
      <c r="W98" s="1352"/>
      <c r="X98" s="2029"/>
      <c r="Y98" s="2025">
        <f t="shared" si="95"/>
        <v>44908</v>
      </c>
      <c r="Z98" s="2025">
        <f t="shared" si="95"/>
        <v>44908</v>
      </c>
      <c r="AA98" s="2030">
        <f t="shared" si="95"/>
        <v>0</v>
      </c>
      <c r="AB98" s="2032">
        <f t="shared" si="85"/>
        <v>88180.421000000191</v>
      </c>
      <c r="AC98" s="2032">
        <f t="shared" si="96"/>
        <v>17006.224050000033</v>
      </c>
      <c r="AD98" s="2032">
        <f t="shared" si="86"/>
        <v>105186.64505000022</v>
      </c>
      <c r="AE98" s="2032">
        <f t="shared" si="97"/>
        <v>5307913.5839</v>
      </c>
    </row>
    <row r="99" spans="1:35" ht="19.5" customHeight="1" outlineLevel="1">
      <c r="A99" s="1352">
        <f t="shared" si="87"/>
        <v>6</v>
      </c>
      <c r="B99" s="810" t="str">
        <f t="shared" si="88"/>
        <v>IPA No. 06</v>
      </c>
      <c r="C99" s="2023">
        <f t="shared" si="89"/>
        <v>44835</v>
      </c>
      <c r="D99" s="2024" t="str">
        <f t="shared" si="89"/>
        <v>ITB04400-005C13-NSC-LTR-0155</v>
      </c>
      <c r="E99" s="2025">
        <f t="shared" si="89"/>
        <v>44870</v>
      </c>
      <c r="F99" s="2026">
        <f>(4674124.667+133141.165289256)*0+F94+1068884.499+3065470.23</f>
        <v>7874061.5289999992</v>
      </c>
      <c r="G99" s="2026">
        <f t="shared" si="99"/>
        <v>3440313.817999999</v>
      </c>
      <c r="H99" s="2026">
        <f t="shared" si="100"/>
        <v>-688062.76359999983</v>
      </c>
      <c r="I99" s="2026">
        <f t="shared" si="90"/>
        <v>-344031.38179999992</v>
      </c>
      <c r="J99" s="2026">
        <f t="shared" si="84"/>
        <v>2408219.6725999992</v>
      </c>
      <c r="K99" s="2027"/>
      <c r="L99" s="1352">
        <v>6</v>
      </c>
      <c r="M99" s="2031" t="s">
        <v>1987</v>
      </c>
      <c r="N99" s="2025">
        <v>44902</v>
      </c>
      <c r="O99" s="2029">
        <f t="shared" si="98"/>
        <v>44898</v>
      </c>
      <c r="P99" s="2030">
        <f t="shared" si="98"/>
        <v>-4</v>
      </c>
      <c r="Q99" s="2026">
        <f>+Q98+46321.66</f>
        <v>4992316.8000000007</v>
      </c>
      <c r="R99" s="2026">
        <f t="shared" si="91"/>
        <v>46321.660000000149</v>
      </c>
      <c r="S99" s="2026">
        <f t="shared" si="92"/>
        <v>-9264.3320000000294</v>
      </c>
      <c r="T99" s="2026">
        <f t="shared" si="93"/>
        <v>-4632.1660000000147</v>
      </c>
      <c r="U99" s="2031">
        <f t="shared" si="94"/>
        <v>32425.162000000102</v>
      </c>
      <c r="V99" s="2027"/>
      <c r="W99" s="1351">
        <f>+W$19</f>
        <v>0</v>
      </c>
      <c r="X99" s="2803">
        <f>+X$19</f>
        <v>0</v>
      </c>
      <c r="Y99" s="2025">
        <v>44935</v>
      </c>
      <c r="Z99" s="2025">
        <f>Z45</f>
        <v>44926</v>
      </c>
      <c r="AA99" s="2030">
        <f>AA45</f>
        <v>-9</v>
      </c>
      <c r="AB99" s="2032">
        <f t="shared" si="85"/>
        <v>32425.162000000102</v>
      </c>
      <c r="AC99" s="2032">
        <f t="shared" si="96"/>
        <v>6253.4241000000202</v>
      </c>
      <c r="AD99" s="2032">
        <f t="shared" si="86"/>
        <v>38678.586100000124</v>
      </c>
      <c r="AE99" s="2032">
        <f t="shared" si="97"/>
        <v>5346592.17</v>
      </c>
    </row>
    <row r="100" spans="1:35" ht="24" outlineLevel="1">
      <c r="A100" s="1352">
        <f t="shared" si="87"/>
        <v>7</v>
      </c>
      <c r="B100" s="810" t="str">
        <f t="shared" si="88"/>
        <v>IPA No. 07</v>
      </c>
      <c r="C100" s="2023">
        <f t="shared" si="89"/>
        <v>44866</v>
      </c>
      <c r="D100" s="2024" t="str">
        <f t="shared" si="89"/>
        <v>1TB04400-005C13-NSC-LTR-0175</v>
      </c>
      <c r="E100" s="2025">
        <f t="shared" si="89"/>
        <v>44900</v>
      </c>
      <c r="F100" s="2026">
        <f>+F94+1467108.46+3531914.22</f>
        <v>8738729.4800000004</v>
      </c>
      <c r="G100" s="2026">
        <f t="shared" si="99"/>
        <v>864667.95100000128</v>
      </c>
      <c r="H100" s="2026">
        <f t="shared" si="100"/>
        <v>-172933.59020000027</v>
      </c>
      <c r="I100" s="2026">
        <f t="shared" si="90"/>
        <v>-86466.795100000134</v>
      </c>
      <c r="J100" s="2026">
        <f t="shared" si="84"/>
        <v>605267.56570000097</v>
      </c>
      <c r="K100" s="2027"/>
      <c r="L100" s="1352">
        <v>7</v>
      </c>
      <c r="M100" s="2031" t="s">
        <v>1988</v>
      </c>
      <c r="N100" s="2025">
        <v>44930</v>
      </c>
      <c r="O100" s="2029">
        <f t="shared" si="98"/>
        <v>44928</v>
      </c>
      <c r="P100" s="2030">
        <f t="shared" si="98"/>
        <v>-2</v>
      </c>
      <c r="Q100" s="2026">
        <f>Q99+18556.7</f>
        <v>5010873.5000000009</v>
      </c>
      <c r="R100" s="2026">
        <f t="shared" si="91"/>
        <v>18556.700000000186</v>
      </c>
      <c r="S100" s="2026">
        <f t="shared" si="92"/>
        <v>-3711.3400000000374</v>
      </c>
      <c r="T100" s="2026">
        <f t="shared" si="93"/>
        <v>-1855.6700000000187</v>
      </c>
      <c r="U100" s="2031">
        <f t="shared" si="94"/>
        <v>12989.690000000131</v>
      </c>
      <c r="V100" s="2027"/>
      <c r="W100" s="1352" t="s">
        <v>1593</v>
      </c>
      <c r="X100" s="2029">
        <v>44948</v>
      </c>
      <c r="Y100" s="2025">
        <v>44948</v>
      </c>
      <c r="Z100" s="2025">
        <f>Z46</f>
        <v>44956</v>
      </c>
      <c r="AA100" s="2030">
        <f>AA46</f>
        <v>8</v>
      </c>
      <c r="AB100" s="2032">
        <f t="shared" si="85"/>
        <v>12989.690000000131</v>
      </c>
      <c r="AC100" s="2032">
        <f t="shared" si="96"/>
        <v>2505.1545000000247</v>
      </c>
      <c r="AD100" s="2032">
        <f t="shared" si="86"/>
        <v>15494.844500000156</v>
      </c>
      <c r="AE100" s="2032">
        <f t="shared" si="97"/>
        <v>5362087.0145000005</v>
      </c>
    </row>
    <row r="101" spans="1:35" ht="16.5" customHeight="1" outlineLevel="1">
      <c r="A101" s="1352">
        <f t="shared" si="87"/>
        <v>8</v>
      </c>
      <c r="B101" s="810" t="str">
        <f t="shared" si="88"/>
        <v>IPA No. 08</v>
      </c>
      <c r="C101" s="2023">
        <f t="shared" si="89"/>
        <v>44896</v>
      </c>
      <c r="D101" s="2024" t="str">
        <f t="shared" si="89"/>
        <v>1TB04400-005C13-NSC-LTR-0214</v>
      </c>
      <c r="E101" s="2025">
        <f t="shared" si="89"/>
        <v>44931</v>
      </c>
      <c r="F101" s="2026">
        <f>+F$94+1587959.67+10205960.66</f>
        <v>15533627.129999999</v>
      </c>
      <c r="G101" s="2026">
        <f t="shared" si="99"/>
        <v>6794897.6499999985</v>
      </c>
      <c r="H101" s="2026">
        <f t="shared" si="100"/>
        <v>-1358979.5299999998</v>
      </c>
      <c r="I101" s="2026">
        <f t="shared" si="90"/>
        <v>-679489.7649999999</v>
      </c>
      <c r="J101" s="2026">
        <f t="shared" si="84"/>
        <v>4756428.3549999995</v>
      </c>
      <c r="K101" s="2027"/>
      <c r="L101" s="1352">
        <v>8</v>
      </c>
      <c r="M101" s="2034" t="s">
        <v>1570</v>
      </c>
      <c r="N101" s="2025">
        <v>44951</v>
      </c>
      <c r="O101" s="2029">
        <f t="shared" ref="O101:O106" si="101">E101+28</f>
        <v>44959</v>
      </c>
      <c r="P101" s="2030">
        <f>P74</f>
        <v>8</v>
      </c>
      <c r="Q101" s="2026">
        <f t="shared" ref="Q101:Q106" si="102">+Q100+R101</f>
        <v>5046199.8100000005</v>
      </c>
      <c r="R101" s="2026">
        <v>35326.31</v>
      </c>
      <c r="S101" s="2026">
        <f t="shared" ref="S101:S106" si="103">(R101*S$65)*-1</f>
        <v>-7065.2619999999997</v>
      </c>
      <c r="T101" s="2026">
        <f t="shared" ref="T101:T106" si="104">(R101*T$65)*-1</f>
        <v>-3532.6309999999999</v>
      </c>
      <c r="U101" s="2031">
        <f t="shared" si="94"/>
        <v>24728.416999999998</v>
      </c>
      <c r="V101" s="2027"/>
      <c r="W101" s="1352"/>
      <c r="X101" s="2029"/>
      <c r="Y101" s="2025">
        <v>44978</v>
      </c>
      <c r="Z101" s="2079">
        <f>+E101+56</f>
        <v>44987</v>
      </c>
      <c r="AA101" s="2030">
        <f t="shared" ref="AA101:AA108" si="105">+Z101-Y101</f>
        <v>9</v>
      </c>
      <c r="AB101" s="2032">
        <f t="shared" ref="AB101:AB111" si="106">U101</f>
        <v>24728.416999999998</v>
      </c>
      <c r="AC101" s="2032">
        <f t="shared" si="96"/>
        <v>4769.0518499999989</v>
      </c>
      <c r="AD101" s="2032">
        <f t="shared" ref="AD101:AD111" si="107">AC101+AB101</f>
        <v>29497.468849999997</v>
      </c>
      <c r="AE101" s="2032">
        <f>AE100+AD101</f>
        <v>5391584.4833500003</v>
      </c>
    </row>
    <row r="102" spans="1:35" ht="21" customHeight="1" outlineLevel="1">
      <c r="A102" s="1352">
        <v>9</v>
      </c>
      <c r="B102" s="810" t="str">
        <f t="shared" si="88"/>
        <v>IPA No. 09</v>
      </c>
      <c r="C102" s="2023">
        <v>44927</v>
      </c>
      <c r="D102" s="2019" t="s">
        <v>1572</v>
      </c>
      <c r="E102" s="2079">
        <v>44965</v>
      </c>
      <c r="F102" s="2026">
        <f>+F$94+1587959.67+10205960.66+4004889.62</f>
        <v>19538516.75</v>
      </c>
      <c r="G102" s="2026">
        <f t="shared" si="99"/>
        <v>4004889.620000001</v>
      </c>
      <c r="H102" s="2026">
        <f t="shared" si="100"/>
        <v>-800977.92400000023</v>
      </c>
      <c r="I102" s="2026">
        <f t="shared" si="90"/>
        <v>-400488.96200000012</v>
      </c>
      <c r="J102" s="2026">
        <f t="shared" si="84"/>
        <v>2803422.7340000006</v>
      </c>
      <c r="K102" s="2027"/>
      <c r="L102" s="1352">
        <v>9</v>
      </c>
      <c r="M102" s="2021" t="s">
        <v>1989</v>
      </c>
      <c r="N102" s="2025">
        <v>44977</v>
      </c>
      <c r="O102" s="2029">
        <f t="shared" si="101"/>
        <v>44993</v>
      </c>
      <c r="P102" s="2030">
        <f>P75</f>
        <v>16</v>
      </c>
      <c r="Q102" s="2026">
        <f t="shared" si="102"/>
        <v>9013675.2000000011</v>
      </c>
      <c r="R102" s="2026">
        <v>3967475.39</v>
      </c>
      <c r="S102" s="2026">
        <f t="shared" si="103"/>
        <v>-793495.0780000001</v>
      </c>
      <c r="T102" s="2026">
        <f t="shared" si="104"/>
        <v>-396747.53900000005</v>
      </c>
      <c r="U102" s="2031">
        <f t="shared" si="94"/>
        <v>2777232.773</v>
      </c>
      <c r="V102" s="2027"/>
      <c r="W102" s="1352"/>
      <c r="X102" s="2029"/>
      <c r="Y102" s="2025">
        <v>45007</v>
      </c>
      <c r="Z102" s="2079">
        <f>+E102+56</f>
        <v>45021</v>
      </c>
      <c r="AA102" s="2030">
        <f t="shared" si="105"/>
        <v>14</v>
      </c>
      <c r="AB102" s="2032">
        <f t="shared" si="106"/>
        <v>2777232.773</v>
      </c>
      <c r="AC102" s="2032">
        <f t="shared" si="96"/>
        <v>535609.17764999997</v>
      </c>
      <c r="AD102" s="2032">
        <f t="shared" si="107"/>
        <v>3312841.95065</v>
      </c>
      <c r="AE102" s="2032">
        <f>AE101+AD102</f>
        <v>8704426.4340000004</v>
      </c>
    </row>
    <row r="103" spans="1:35" ht="22.5" customHeight="1" outlineLevel="1">
      <c r="A103" s="1352">
        <v>10</v>
      </c>
      <c r="B103" s="810" t="str">
        <f t="shared" si="88"/>
        <v>IPA No. 010</v>
      </c>
      <c r="C103" s="2023">
        <v>44958</v>
      </c>
      <c r="D103" s="2113" t="s">
        <v>1574</v>
      </c>
      <c r="E103" s="2079">
        <v>44990</v>
      </c>
      <c r="F103" s="2026">
        <f>+F94+20172883.13</f>
        <v>23912589.93</v>
      </c>
      <c r="G103" s="2026">
        <f t="shared" ref="G103:G110" si="108">+F103-F102</f>
        <v>4374073.18</v>
      </c>
      <c r="H103" s="2026">
        <f t="shared" ref="H103:H108" si="109">(G103*$H$65)*-1</f>
        <v>-874814.63599999994</v>
      </c>
      <c r="I103" s="2026">
        <f t="shared" si="90"/>
        <v>-437407.31799999997</v>
      </c>
      <c r="J103" s="2026">
        <f t="shared" si="84"/>
        <v>3061851.2259999998</v>
      </c>
      <c r="K103" s="2027"/>
      <c r="L103" s="1352">
        <v>10</v>
      </c>
      <c r="M103" s="2034" t="s">
        <v>1575</v>
      </c>
      <c r="N103" s="2025">
        <v>45005</v>
      </c>
      <c r="O103" s="2029">
        <f t="shared" si="101"/>
        <v>45018</v>
      </c>
      <c r="P103" s="2030">
        <f>P76</f>
        <v>13</v>
      </c>
      <c r="Q103" s="2026">
        <f t="shared" si="102"/>
        <v>16707321.850000001</v>
      </c>
      <c r="R103" s="2026">
        <v>7693646.6500000004</v>
      </c>
      <c r="S103" s="2026">
        <f t="shared" si="103"/>
        <v>-1538729.33</v>
      </c>
      <c r="T103" s="2026">
        <f t="shared" si="104"/>
        <v>-769364.66500000004</v>
      </c>
      <c r="U103" s="2031">
        <f t="shared" ref="U103:U113" si="110">R103+S103+T103</f>
        <v>5385552.6550000003</v>
      </c>
      <c r="V103" s="2027"/>
      <c r="W103" s="1352"/>
      <c r="X103" s="2029"/>
      <c r="Y103" s="2025">
        <v>45046</v>
      </c>
      <c r="Z103" s="2079">
        <f t="shared" ref="Z103:Z108" si="111">+E103+56</f>
        <v>45046</v>
      </c>
      <c r="AA103" s="2030">
        <f t="shared" si="105"/>
        <v>0</v>
      </c>
      <c r="AB103" s="2032">
        <f t="shared" si="106"/>
        <v>5385552.6550000003</v>
      </c>
      <c r="AC103" s="2032">
        <f t="shared" ref="AC103:AC108" si="112">(R103+T103)*AC$38</f>
        <v>1038642.29775</v>
      </c>
      <c r="AD103" s="2032">
        <f t="shared" si="107"/>
        <v>6424194.9527500002</v>
      </c>
      <c r="AE103" s="2032">
        <f t="shared" ref="AE103:AE111" si="113">AE102+AD103</f>
        <v>15128621.386750001</v>
      </c>
    </row>
    <row r="104" spans="1:35" ht="21" customHeight="1" outlineLevel="1">
      <c r="A104" s="1352">
        <v>11</v>
      </c>
      <c r="B104" s="810" t="str">
        <f t="shared" si="88"/>
        <v>IPA No. 011</v>
      </c>
      <c r="C104" s="2023">
        <v>45008</v>
      </c>
      <c r="D104" s="2024" t="s">
        <v>1982</v>
      </c>
      <c r="E104" s="2079">
        <v>45022</v>
      </c>
      <c r="F104" s="2026">
        <f>+F94+20517663.09</f>
        <v>24257369.890000001</v>
      </c>
      <c r="G104" s="2026">
        <f t="shared" si="108"/>
        <v>344779.96000000089</v>
      </c>
      <c r="H104" s="2026">
        <f t="shared" si="109"/>
        <v>-68955.992000000188</v>
      </c>
      <c r="I104" s="2026">
        <f t="shared" si="90"/>
        <v>-34477.996000000094</v>
      </c>
      <c r="J104" s="2026">
        <f t="shared" si="84"/>
        <v>241345.97200000059</v>
      </c>
      <c r="K104" s="2027"/>
      <c r="L104" s="1352">
        <v>11</v>
      </c>
      <c r="M104" s="2034" t="s">
        <v>1990</v>
      </c>
      <c r="N104" s="2025">
        <v>45052</v>
      </c>
      <c r="O104" s="2029">
        <f t="shared" si="101"/>
        <v>45050</v>
      </c>
      <c r="P104" s="2030">
        <f>P77</f>
        <v>-2</v>
      </c>
      <c r="Q104" s="2026">
        <f t="shared" si="102"/>
        <v>17019819.920000002</v>
      </c>
      <c r="R104" s="2026">
        <v>312498.07</v>
      </c>
      <c r="S104" s="2026">
        <f t="shared" si="103"/>
        <v>-62499.614000000001</v>
      </c>
      <c r="T104" s="2026">
        <f t="shared" si="104"/>
        <v>-31249.807000000001</v>
      </c>
      <c r="U104" s="2031">
        <f t="shared" si="110"/>
        <v>218748.649</v>
      </c>
      <c r="V104" s="2027"/>
      <c r="W104" s="1352"/>
      <c r="X104" s="2029"/>
      <c r="Y104" s="2025">
        <v>45075</v>
      </c>
      <c r="Z104" s="2079">
        <f t="shared" si="111"/>
        <v>45078</v>
      </c>
      <c r="AA104" s="2030">
        <f t="shared" si="105"/>
        <v>3</v>
      </c>
      <c r="AB104" s="2032">
        <f t="shared" si="106"/>
        <v>218748.649</v>
      </c>
      <c r="AC104" s="2032">
        <f t="shared" si="112"/>
        <v>42187.239450000001</v>
      </c>
      <c r="AD104" s="2032">
        <f t="shared" si="107"/>
        <v>260935.88845</v>
      </c>
      <c r="AE104" s="2032">
        <f t="shared" si="113"/>
        <v>15389557.275200002</v>
      </c>
    </row>
    <row r="105" spans="1:35" outlineLevel="1">
      <c r="A105" s="1352">
        <v>12</v>
      </c>
      <c r="B105" s="810" t="str">
        <f t="shared" si="88"/>
        <v>IPA No. 012</v>
      </c>
      <c r="C105" s="2023">
        <v>45039</v>
      </c>
      <c r="D105" s="2024" t="s">
        <v>1991</v>
      </c>
      <c r="E105" s="2079">
        <v>45052</v>
      </c>
      <c r="F105" s="2026">
        <f>+F94+21238739.88</f>
        <v>24978446.68</v>
      </c>
      <c r="G105" s="2026">
        <f t="shared" si="108"/>
        <v>721076.78999999911</v>
      </c>
      <c r="H105" s="2026">
        <f t="shared" si="109"/>
        <v>-144215.35799999983</v>
      </c>
      <c r="I105" s="2026">
        <f t="shared" si="90"/>
        <v>-72107.678999999916</v>
      </c>
      <c r="J105" s="2026">
        <f t="shared" si="84"/>
        <v>504753.75299999944</v>
      </c>
      <c r="K105" s="2027"/>
      <c r="L105" s="1352">
        <v>12</v>
      </c>
      <c r="M105" s="2034" t="s">
        <v>2127</v>
      </c>
      <c r="N105" s="2025">
        <v>45075</v>
      </c>
      <c r="O105" s="2029">
        <f t="shared" si="101"/>
        <v>45080</v>
      </c>
      <c r="P105" s="2030">
        <f t="shared" ref="P105:P112" si="114">O105-N105</f>
        <v>5</v>
      </c>
      <c r="Q105" s="2026">
        <f>+Q104+R105</f>
        <v>17707567.650000002</v>
      </c>
      <c r="R105" s="2026">
        <v>687747.73</v>
      </c>
      <c r="S105" s="2026">
        <f t="shared" si="103"/>
        <v>-137549.546</v>
      </c>
      <c r="T105" s="2026">
        <f t="shared" si="104"/>
        <v>-68774.773000000001</v>
      </c>
      <c r="U105" s="2031">
        <f t="shared" si="110"/>
        <v>481423.41100000002</v>
      </c>
      <c r="V105" s="2027"/>
      <c r="W105" s="1352"/>
      <c r="X105" s="2029"/>
      <c r="Y105" s="2025">
        <v>45116</v>
      </c>
      <c r="Z105" s="2079">
        <f t="shared" si="111"/>
        <v>45108</v>
      </c>
      <c r="AA105" s="2030">
        <f t="shared" si="105"/>
        <v>-8</v>
      </c>
      <c r="AB105" s="2032">
        <f t="shared" si="106"/>
        <v>481423.41100000002</v>
      </c>
      <c r="AC105" s="2032">
        <f t="shared" si="112"/>
        <v>92845.943549999982</v>
      </c>
      <c r="AD105" s="2032">
        <f t="shared" si="107"/>
        <v>574269.35455000005</v>
      </c>
      <c r="AE105" s="2032">
        <f t="shared" si="113"/>
        <v>15963826.629750002</v>
      </c>
    </row>
    <row r="106" spans="1:35" outlineLevel="1">
      <c r="A106" s="1352">
        <v>13</v>
      </c>
      <c r="B106" s="810" t="str">
        <f t="shared" si="88"/>
        <v>IPA No. 013</v>
      </c>
      <c r="C106" s="2023">
        <v>45069</v>
      </c>
      <c r="D106" s="2024" t="s">
        <v>2129</v>
      </c>
      <c r="E106" s="2025">
        <v>45084</v>
      </c>
      <c r="F106" s="2026">
        <f>+F94+21482013.56</f>
        <v>25221720.359999999</v>
      </c>
      <c r="G106" s="2026">
        <f t="shared" si="108"/>
        <v>243273.6799999997</v>
      </c>
      <c r="H106" s="2026">
        <f t="shared" si="109"/>
        <v>-48654.735999999946</v>
      </c>
      <c r="I106" s="2026">
        <f t="shared" si="90"/>
        <v>-24327.367999999973</v>
      </c>
      <c r="J106" s="2026">
        <f t="shared" si="84"/>
        <v>170291.57599999977</v>
      </c>
      <c r="K106" s="2027"/>
      <c r="L106" s="1352">
        <v>13</v>
      </c>
      <c r="M106" s="2034" t="s">
        <v>2130</v>
      </c>
      <c r="N106" s="2025">
        <v>45120</v>
      </c>
      <c r="O106" s="2029">
        <f t="shared" si="101"/>
        <v>45112</v>
      </c>
      <c r="P106" s="2030">
        <f t="shared" si="114"/>
        <v>-8</v>
      </c>
      <c r="Q106" s="2026">
        <f t="shared" si="102"/>
        <v>17983112.400000002</v>
      </c>
      <c r="R106" s="2026">
        <v>275544.75</v>
      </c>
      <c r="S106" s="2026">
        <f t="shared" si="103"/>
        <v>-55108.950000000004</v>
      </c>
      <c r="T106" s="2026">
        <f t="shared" si="104"/>
        <v>-27554.475000000002</v>
      </c>
      <c r="U106" s="2031">
        <f t="shared" si="110"/>
        <v>192881.32499999998</v>
      </c>
      <c r="V106" s="2027"/>
      <c r="W106" s="1352"/>
      <c r="X106" s="2029"/>
      <c r="Y106" s="2025">
        <v>45147</v>
      </c>
      <c r="Z106" s="2079">
        <f t="shared" si="111"/>
        <v>45140</v>
      </c>
      <c r="AA106" s="2030">
        <f t="shared" si="105"/>
        <v>-7</v>
      </c>
      <c r="AB106" s="2032">
        <f t="shared" si="106"/>
        <v>192881.32499999998</v>
      </c>
      <c r="AC106" s="2031">
        <f t="shared" si="112"/>
        <v>37198.541249999995</v>
      </c>
      <c r="AD106" s="2031">
        <f t="shared" si="107"/>
        <v>230079.86624999996</v>
      </c>
      <c r="AE106" s="2032">
        <f t="shared" si="113"/>
        <v>16193906.496000003</v>
      </c>
    </row>
    <row r="107" spans="1:35" ht="18" customHeight="1" outlineLevel="1">
      <c r="A107" s="1352">
        <v>14</v>
      </c>
      <c r="B107" s="810" t="str">
        <f t="shared" si="88"/>
        <v>IPA No. 014</v>
      </c>
      <c r="C107" s="2023">
        <v>45100</v>
      </c>
      <c r="D107" s="2024" t="s">
        <v>2272</v>
      </c>
      <c r="E107" s="2025">
        <v>45115</v>
      </c>
      <c r="F107" s="2026">
        <f>+F94+21747752.56</f>
        <v>25487459.359999999</v>
      </c>
      <c r="G107" s="2026">
        <f t="shared" si="108"/>
        <v>265739</v>
      </c>
      <c r="H107" s="2026">
        <f t="shared" si="109"/>
        <v>-53147.8</v>
      </c>
      <c r="I107" s="2026">
        <f t="shared" si="90"/>
        <v>-26573.9</v>
      </c>
      <c r="J107" s="2026">
        <f t="shared" si="84"/>
        <v>186017.30000000002</v>
      </c>
      <c r="K107" s="2027"/>
      <c r="L107" s="1352">
        <v>14</v>
      </c>
      <c r="M107" s="2034" t="s">
        <v>2273</v>
      </c>
      <c r="N107" s="2025">
        <v>45127</v>
      </c>
      <c r="O107" s="2029">
        <v>45143</v>
      </c>
      <c r="P107" s="2030">
        <f t="shared" si="114"/>
        <v>16</v>
      </c>
      <c r="Q107" s="2026">
        <f t="shared" ref="Q107:Q113" si="115">+Q106+R107</f>
        <v>17983112.400000002</v>
      </c>
      <c r="R107" s="2026">
        <v>0</v>
      </c>
      <c r="S107" s="2026">
        <f>(R107*S$65)*-1</f>
        <v>0</v>
      </c>
      <c r="T107" s="2026">
        <f>(R107*T$65)*-1</f>
        <v>0</v>
      </c>
      <c r="U107" s="2031">
        <f t="shared" si="110"/>
        <v>0</v>
      </c>
      <c r="V107" s="2027"/>
      <c r="W107" s="1352"/>
      <c r="X107" s="2029"/>
      <c r="Y107" s="2025">
        <v>45187</v>
      </c>
      <c r="Z107" s="2079">
        <f t="shared" si="111"/>
        <v>45171</v>
      </c>
      <c r="AA107" s="2030">
        <f t="shared" si="105"/>
        <v>-16</v>
      </c>
      <c r="AB107" s="2032">
        <f t="shared" si="106"/>
        <v>0</v>
      </c>
      <c r="AC107" s="2031">
        <f t="shared" si="112"/>
        <v>0</v>
      </c>
      <c r="AD107" s="2031">
        <f t="shared" si="107"/>
        <v>0</v>
      </c>
      <c r="AE107" s="2032">
        <f t="shared" si="113"/>
        <v>16193906.496000003</v>
      </c>
    </row>
    <row r="108" spans="1:35" ht="24" outlineLevel="1">
      <c r="A108" s="1352">
        <v>15</v>
      </c>
      <c r="B108" s="810" t="str">
        <f t="shared" si="88"/>
        <v>IPA No. 015</v>
      </c>
      <c r="C108" s="2023">
        <v>45130</v>
      </c>
      <c r="D108" s="2024" t="s">
        <v>2496</v>
      </c>
      <c r="E108" s="2025">
        <v>45147</v>
      </c>
      <c r="F108" s="2026">
        <f>+$F$94+21762872.44</f>
        <v>25502579.240000002</v>
      </c>
      <c r="G108" s="2026">
        <f t="shared" si="108"/>
        <v>15119.880000002682</v>
      </c>
      <c r="H108" s="2026">
        <f t="shared" si="109"/>
        <v>-3023.9760000005367</v>
      </c>
      <c r="I108" s="2026">
        <f t="shared" si="90"/>
        <v>-1511.9880000002684</v>
      </c>
      <c r="J108" s="2026">
        <f t="shared" si="84"/>
        <v>10583.916000001876</v>
      </c>
      <c r="K108" s="2027"/>
      <c r="L108" s="1352">
        <v>15</v>
      </c>
      <c r="M108" s="2034" t="s">
        <v>2524</v>
      </c>
      <c r="N108" s="2025">
        <v>45176</v>
      </c>
      <c r="O108" s="2029">
        <f>E108+28</f>
        <v>45175</v>
      </c>
      <c r="P108" s="2030">
        <f t="shared" si="114"/>
        <v>-1</v>
      </c>
      <c r="Q108" s="2026">
        <f t="shared" si="115"/>
        <v>18263971.280000001</v>
      </c>
      <c r="R108" s="2026">
        <v>280858.88</v>
      </c>
      <c r="S108" s="2026">
        <f>-802422.08</f>
        <v>-802422.08</v>
      </c>
      <c r="T108" s="2026">
        <v>-28085.89</v>
      </c>
      <c r="U108" s="2031">
        <f t="shared" si="110"/>
        <v>-549649.09</v>
      </c>
      <c r="V108" s="2027"/>
      <c r="W108" s="1352"/>
      <c r="X108" s="2029"/>
      <c r="Y108" s="2025">
        <v>45244</v>
      </c>
      <c r="Z108" s="2079">
        <f t="shared" si="111"/>
        <v>45203</v>
      </c>
      <c r="AA108" s="2030">
        <f t="shared" si="105"/>
        <v>-41</v>
      </c>
      <c r="AB108" s="2032">
        <f t="shared" si="106"/>
        <v>-549649.09</v>
      </c>
      <c r="AC108" s="2031">
        <f t="shared" si="112"/>
        <v>37915.948499999999</v>
      </c>
      <c r="AD108" s="2031">
        <f t="shared" si="107"/>
        <v>-511733.14149999997</v>
      </c>
      <c r="AE108" s="2032">
        <f t="shared" si="113"/>
        <v>15682173.354500003</v>
      </c>
    </row>
    <row r="109" spans="1:35" ht="19.5" customHeight="1" outlineLevel="1">
      <c r="A109" s="1352">
        <v>16</v>
      </c>
      <c r="B109" s="810" t="str">
        <f t="shared" si="88"/>
        <v>IPA No. 016</v>
      </c>
      <c r="C109" s="2023">
        <v>45161</v>
      </c>
      <c r="D109" s="2024" t="s">
        <v>2521</v>
      </c>
      <c r="E109" s="2025">
        <v>45179</v>
      </c>
      <c r="F109" s="2026">
        <f>+$F$94+21762872.44</f>
        <v>25502579.240000002</v>
      </c>
      <c r="G109" s="2026">
        <f t="shared" si="108"/>
        <v>0</v>
      </c>
      <c r="H109" s="2026">
        <v>657169.48800000001</v>
      </c>
      <c r="I109" s="2026">
        <f>(G109*$I$65)*-1+1088143.62</f>
        <v>1088143.6200000001</v>
      </c>
      <c r="J109" s="2026">
        <f t="shared" si="84"/>
        <v>1745313.108</v>
      </c>
      <c r="K109" s="2027"/>
      <c r="L109" s="1352">
        <v>16</v>
      </c>
      <c r="M109" s="2034" t="s">
        <v>2523</v>
      </c>
      <c r="N109" s="2025">
        <v>45188</v>
      </c>
      <c r="O109" s="2029">
        <f>E109+28</f>
        <v>45207</v>
      </c>
      <c r="P109" s="2030">
        <f t="shared" si="114"/>
        <v>19</v>
      </c>
      <c r="Q109" s="2026">
        <f t="shared" si="115"/>
        <v>18263971.280000001</v>
      </c>
      <c r="R109" s="2026">
        <v>0</v>
      </c>
      <c r="S109" s="2026">
        <v>-88603.6</v>
      </c>
      <c r="T109" s="2026">
        <v>0</v>
      </c>
      <c r="U109" s="2031">
        <f t="shared" si="110"/>
        <v>-88603.6</v>
      </c>
      <c r="V109" s="2027"/>
      <c r="W109" s="1352"/>
      <c r="X109" s="2029"/>
      <c r="Y109" s="2025">
        <v>45244</v>
      </c>
      <c r="Z109" s="2079">
        <f>+E109+56</f>
        <v>45235</v>
      </c>
      <c r="AA109" s="2030">
        <f>+Z109-Y109</f>
        <v>-9</v>
      </c>
      <c r="AB109" s="2032">
        <f t="shared" si="106"/>
        <v>-88603.6</v>
      </c>
      <c r="AC109" s="2031">
        <f>(R109+T109)*AC$38</f>
        <v>0</v>
      </c>
      <c r="AD109" s="2031">
        <f t="shared" si="107"/>
        <v>-88603.6</v>
      </c>
      <c r="AE109" s="2032">
        <f t="shared" si="113"/>
        <v>15593569.754500004</v>
      </c>
    </row>
    <row r="110" spans="1:35" ht="24" outlineLevel="1">
      <c r="A110" s="1352">
        <v>17</v>
      </c>
      <c r="B110" s="810" t="str">
        <f t="shared" si="88"/>
        <v>IPA No. 017</v>
      </c>
      <c r="C110" s="3227" t="s">
        <v>2605</v>
      </c>
      <c r="D110" s="2024" t="s">
        <v>2604</v>
      </c>
      <c r="E110" s="2025">
        <v>45229</v>
      </c>
      <c r="F110" s="2026">
        <f>+F94+21762872.44</f>
        <v>25502579.240000002</v>
      </c>
      <c r="G110" s="2026">
        <f t="shared" si="108"/>
        <v>0</v>
      </c>
      <c r="H110" s="2026">
        <v>-44301.799999999799</v>
      </c>
      <c r="I110" s="2026">
        <v>0</v>
      </c>
      <c r="J110" s="2026">
        <f t="shared" si="84"/>
        <v>-44301.799999999799</v>
      </c>
      <c r="K110" s="2027"/>
      <c r="L110" s="1352">
        <v>17</v>
      </c>
      <c r="M110" s="2034" t="s">
        <v>2606</v>
      </c>
      <c r="N110" s="2025">
        <v>45265</v>
      </c>
      <c r="O110" s="2029">
        <f>E110+28</f>
        <v>45257</v>
      </c>
      <c r="P110" s="2030">
        <f t="shared" si="114"/>
        <v>-8</v>
      </c>
      <c r="Q110" s="2026">
        <f t="shared" si="115"/>
        <v>18263971.280000001</v>
      </c>
      <c r="R110" s="2026">
        <v>0</v>
      </c>
      <c r="S110" s="2026">
        <v>0</v>
      </c>
      <c r="T110" s="2026">
        <v>726213.23</v>
      </c>
      <c r="U110" s="2031">
        <f t="shared" si="110"/>
        <v>726213.23</v>
      </c>
      <c r="V110" s="2027"/>
      <c r="W110" s="2081"/>
      <c r="X110" s="2084"/>
      <c r="Y110" s="2025">
        <v>45285</v>
      </c>
      <c r="Z110" s="2025">
        <f>+E110+56</f>
        <v>45285</v>
      </c>
      <c r="AA110" s="2030">
        <f>+Z110-Y110</f>
        <v>0</v>
      </c>
      <c r="AB110" s="2032">
        <f t="shared" si="106"/>
        <v>726213.23</v>
      </c>
      <c r="AC110" s="2031">
        <f>(R110+T110)*AC$38</f>
        <v>108931.98449999999</v>
      </c>
      <c r="AD110" s="2031">
        <f t="shared" si="107"/>
        <v>835145.2145</v>
      </c>
      <c r="AE110" s="2032">
        <f t="shared" si="113"/>
        <v>16428714.969000004</v>
      </c>
    </row>
    <row r="111" spans="1:35" ht="21.75" customHeight="1" outlineLevel="1">
      <c r="A111" s="1352">
        <f>+A57</f>
        <v>18</v>
      </c>
      <c r="B111" s="1352" t="str">
        <f>+B57</f>
        <v>IPA No. 018</v>
      </c>
      <c r="C111" s="2023">
        <f t="shared" ref="C111:E112" si="116">+C84</f>
        <v>45467</v>
      </c>
      <c r="D111" s="2024" t="str">
        <f t="shared" si="116"/>
        <v>1TB04400-005C13-NSC-LTR-0402-0</v>
      </c>
      <c r="E111" s="2025">
        <f t="shared" si="116"/>
        <v>45469</v>
      </c>
      <c r="F111" s="2026">
        <v>14907664.460000001</v>
      </c>
      <c r="G111" s="2026">
        <v>383400</v>
      </c>
      <c r="H111" s="2026">
        <v>0</v>
      </c>
      <c r="I111" s="2026">
        <f>-38340+19170</f>
        <v>-19170</v>
      </c>
      <c r="J111" s="2026">
        <f t="shared" si="84"/>
        <v>364230</v>
      </c>
      <c r="K111" s="2020"/>
      <c r="L111" s="1352">
        <v>18</v>
      </c>
      <c r="M111" s="2034" t="str">
        <f t="shared" ref="M111:O112" si="117">+M84</f>
        <v>1TB04400-400000-AMA-LTR-0053</v>
      </c>
      <c r="N111" s="2025">
        <f t="shared" si="117"/>
        <v>45482</v>
      </c>
      <c r="O111" s="2029">
        <f t="shared" si="117"/>
        <v>45497</v>
      </c>
      <c r="P111" s="2030">
        <f t="shared" si="114"/>
        <v>15</v>
      </c>
      <c r="Q111" s="2026">
        <f t="shared" si="115"/>
        <v>18647371.280000001</v>
      </c>
      <c r="R111" s="2026">
        <v>383400</v>
      </c>
      <c r="S111" s="2026">
        <v>0</v>
      </c>
      <c r="T111" s="2026">
        <f>-38340+19170</f>
        <v>-19170</v>
      </c>
      <c r="U111" s="2031">
        <f t="shared" si="110"/>
        <v>364230</v>
      </c>
      <c r="V111" s="2020"/>
      <c r="W111" s="2017"/>
      <c r="X111" s="2021"/>
      <c r="Y111" s="2025">
        <f>+Y84</f>
        <v>45553</v>
      </c>
      <c r="Z111" s="2025">
        <f>+Z84</f>
        <v>45525</v>
      </c>
      <c r="AA111" s="2030">
        <f>+Z111-Y111</f>
        <v>-28</v>
      </c>
      <c r="AB111" s="2032">
        <f t="shared" si="106"/>
        <v>364230</v>
      </c>
      <c r="AC111" s="2031">
        <f>(R111+T111)*AC$38</f>
        <v>54634.5</v>
      </c>
      <c r="AD111" s="2031">
        <f t="shared" si="107"/>
        <v>418864.5</v>
      </c>
      <c r="AE111" s="2032">
        <f t="shared" si="113"/>
        <v>16847579.469000004</v>
      </c>
      <c r="AI111" s="1513"/>
    </row>
    <row r="112" spans="1:35" ht="21.75" customHeight="1" outlineLevel="1">
      <c r="A112" s="1352">
        <f>+A58</f>
        <v>19</v>
      </c>
      <c r="B112" s="1352" t="str">
        <f>+B58</f>
        <v>IPA No. 019</v>
      </c>
      <c r="C112" s="2023">
        <f t="shared" si="116"/>
        <v>45528</v>
      </c>
      <c r="D112" s="2024" t="str">
        <f t="shared" si="116"/>
        <v>1TB04400-005C13-NSC-LTR-0405</v>
      </c>
      <c r="E112" s="2025">
        <f t="shared" si="116"/>
        <v>45538</v>
      </c>
      <c r="F112" s="2026">
        <f>+F111</f>
        <v>14907664.460000001</v>
      </c>
      <c r="G112" s="2026">
        <v>0</v>
      </c>
      <c r="H112" s="2026">
        <v>0</v>
      </c>
      <c r="I112" s="2026">
        <v>0</v>
      </c>
      <c r="J112" s="2026">
        <v>0</v>
      </c>
      <c r="K112" s="2020"/>
      <c r="L112" s="1352">
        <v>19</v>
      </c>
      <c r="M112" s="2034" t="str">
        <f t="shared" si="117"/>
        <v>1TB04400-400000-AMA-LTR-0054</v>
      </c>
      <c r="N112" s="2025">
        <f t="shared" si="117"/>
        <v>45551</v>
      </c>
      <c r="O112" s="2029">
        <f t="shared" si="117"/>
        <v>45566</v>
      </c>
      <c r="P112" s="2030">
        <f t="shared" si="114"/>
        <v>15</v>
      </c>
      <c r="Q112" s="2026">
        <f t="shared" si="115"/>
        <v>18647371.280000001</v>
      </c>
      <c r="R112" s="2026">
        <v>0</v>
      </c>
      <c r="S112" s="2026">
        <v>0</v>
      </c>
      <c r="T112" s="2026">
        <v>0</v>
      </c>
      <c r="U112" s="2031">
        <f t="shared" si="110"/>
        <v>0</v>
      </c>
      <c r="V112" s="2020"/>
      <c r="W112" s="2017"/>
      <c r="X112" s="2021"/>
      <c r="Y112" s="2083">
        <v>45596</v>
      </c>
      <c r="Z112" s="2025">
        <f>+Z85</f>
        <v>45594</v>
      </c>
      <c r="AA112" s="2030">
        <f>+Z112-Y112</f>
        <v>-2</v>
      </c>
      <c r="AB112" s="2032">
        <f>U112</f>
        <v>0</v>
      </c>
      <c r="AC112" s="2031">
        <f>(R112+T112)*AC$38</f>
        <v>0</v>
      </c>
      <c r="AD112" s="2031">
        <f>AC112+AB112</f>
        <v>0</v>
      </c>
      <c r="AE112" s="2032">
        <f>AE111+AD112</f>
        <v>16847579.469000004</v>
      </c>
      <c r="AI112" s="1513"/>
    </row>
    <row r="113" spans="1:35" ht="24" outlineLevel="1">
      <c r="A113" s="1352">
        <v>20</v>
      </c>
      <c r="B113" s="1352" t="str">
        <f>+B59</f>
        <v>IPA No. 020</v>
      </c>
      <c r="C113" s="2023">
        <f>C59</f>
        <v>45589</v>
      </c>
      <c r="D113" s="3227" t="str">
        <f>D59</f>
        <v>1TB04400-005C13-NSC-LTR-0408</v>
      </c>
      <c r="E113" s="2025">
        <f>E59</f>
        <v>45579</v>
      </c>
      <c r="F113" s="2026">
        <f>+F112+G113</f>
        <v>16458381.510000002</v>
      </c>
      <c r="G113" s="2026">
        <v>1550717.05</v>
      </c>
      <c r="H113" s="2026">
        <v>0</v>
      </c>
      <c r="I113" s="2026">
        <f>900454.93-155071.7</f>
        <v>745383.23</v>
      </c>
      <c r="J113" s="2026">
        <f t="shared" si="84"/>
        <v>2296100.2800000003</v>
      </c>
      <c r="K113" s="2020"/>
      <c r="L113" s="1352">
        <v>20</v>
      </c>
      <c r="M113" s="3227" t="str">
        <f>M59</f>
        <v>1TB04400-400000-AMA-LTR-0057</v>
      </c>
      <c r="N113" s="2023">
        <f>N59</f>
        <v>45635</v>
      </c>
      <c r="O113" s="2023">
        <f>O59</f>
        <v>45607</v>
      </c>
      <c r="P113" s="2030">
        <f>P59</f>
        <v>-28</v>
      </c>
      <c r="Q113" s="2026">
        <f t="shared" si="115"/>
        <v>20198088.330000002</v>
      </c>
      <c r="R113" s="2026">
        <v>1550717.05</v>
      </c>
      <c r="S113" s="2026">
        <v>0</v>
      </c>
      <c r="T113" s="2026">
        <f>900454.93-155071.7</f>
        <v>745383.23</v>
      </c>
      <c r="U113" s="2031">
        <f t="shared" si="110"/>
        <v>2296100.2800000003</v>
      </c>
      <c r="V113" s="2020"/>
      <c r="W113" s="2017"/>
      <c r="X113" s="2021"/>
      <c r="Y113" s="2023">
        <f>Y59</f>
        <v>45635</v>
      </c>
      <c r="Z113" s="2023">
        <f>Z59</f>
        <v>45635</v>
      </c>
      <c r="AA113" s="2030">
        <f>AA59</f>
        <v>0</v>
      </c>
      <c r="AB113" s="2032">
        <f>U113</f>
        <v>2296100.2800000003</v>
      </c>
      <c r="AC113" s="2031">
        <f>(R113+T113)*AC$38</f>
        <v>344415.04200000002</v>
      </c>
      <c r="AD113" s="2031">
        <f>AC113+AB113</f>
        <v>2640515.3220000002</v>
      </c>
      <c r="AE113" s="2032">
        <f>AE112+AD113</f>
        <v>19488094.791000005</v>
      </c>
      <c r="AI113">
        <v>56</v>
      </c>
    </row>
    <row r="114" spans="1:35" ht="24.75" customHeight="1" outlineLevel="1" thickBot="1">
      <c r="A114" s="6071" t="s">
        <v>1522</v>
      </c>
      <c r="B114" s="6072"/>
      <c r="C114" s="6072"/>
      <c r="D114" s="6072"/>
      <c r="E114" s="6072"/>
      <c r="F114" s="6073"/>
      <c r="G114" s="2011">
        <f>SUM(G94:G113)</f>
        <v>27436696.290000003</v>
      </c>
      <c r="H114" s="2011">
        <f>SUM(H94:H113)</f>
        <v>-3739706.8</v>
      </c>
      <c r="I114" s="2011">
        <f>SUM(I94:I113)</f>
        <v>-361930.39399999985</v>
      </c>
      <c r="J114" s="2011">
        <f>SUM(J94:J113)</f>
        <v>23335059.096000001</v>
      </c>
      <c r="K114" s="1256"/>
      <c r="L114" s="2012" t="s">
        <v>1522</v>
      </c>
      <c r="M114" s="2013"/>
      <c r="N114" s="2013"/>
      <c r="O114" s="2013"/>
      <c r="P114" s="2013"/>
      <c r="Q114" s="2013"/>
      <c r="R114" s="2014">
        <f>SUM(R94:R113)</f>
        <v>20198088.330000002</v>
      </c>
      <c r="S114" s="2011">
        <f>SUM(S94:S113)</f>
        <v>-3739706.8000000007</v>
      </c>
      <c r="T114" s="2011">
        <f>SUM(T94:T113)</f>
        <v>9.9999997764825821E-3</v>
      </c>
      <c r="U114" s="2011">
        <f>SUM(U94:U113)</f>
        <v>16458381.540000003</v>
      </c>
      <c r="V114" s="1256"/>
      <c r="W114" s="2015" t="s">
        <v>1522</v>
      </c>
      <c r="X114" s="2016"/>
      <c r="Y114" s="2016"/>
      <c r="Z114" s="2016"/>
      <c r="AA114" s="2016"/>
      <c r="AB114" s="2014">
        <f>SUM(AB94:AB113)</f>
        <v>16458381.540000003</v>
      </c>
      <c r="AC114" s="2011">
        <f>SUM(AC94:AC113)</f>
        <v>3029713.2509999997</v>
      </c>
      <c r="AD114" s="2011">
        <f>SUM(AD94:AD113)</f>
        <v>19488094.791000005</v>
      </c>
      <c r="AE114" s="2011">
        <f>AE113</f>
        <v>19488094.791000005</v>
      </c>
      <c r="AF114" s="1367">
        <f>+AB104+AB105</f>
        <v>700172.06</v>
      </c>
      <c r="AG114" s="1367">
        <f>+AE105</f>
        <v>15963826.629750002</v>
      </c>
    </row>
    <row r="115" spans="1:35">
      <c r="A115" s="1255"/>
      <c r="B115" s="1256"/>
      <c r="C115" s="1255"/>
      <c r="D115" s="1257"/>
      <c r="E115" s="1257"/>
      <c r="F115" s="1258"/>
      <c r="G115" s="1258"/>
      <c r="H115" s="1258"/>
      <c r="I115" s="1258"/>
      <c r="J115" s="1258"/>
      <c r="K115" s="1257"/>
      <c r="L115" s="1255"/>
      <c r="M115" s="1255"/>
      <c r="N115" s="1255"/>
      <c r="O115" s="1255"/>
      <c r="P115" s="1255"/>
      <c r="Q115" s="1255"/>
      <c r="R115" s="1258"/>
      <c r="S115" s="1258"/>
      <c r="T115" s="1258"/>
      <c r="U115" s="1259"/>
      <c r="V115" s="1257"/>
      <c r="W115" s="1257"/>
      <c r="X115" s="1257"/>
      <c r="Y115" s="1257"/>
      <c r="Z115" s="1257"/>
      <c r="AA115" s="1257"/>
      <c r="AB115" s="1257"/>
      <c r="AC115" s="1257"/>
      <c r="AD115" s="1257"/>
      <c r="AE115" s="1257"/>
      <c r="AG115">
        <f>+AG114/1.15</f>
        <v>13881588.373695655</v>
      </c>
    </row>
    <row r="116" spans="1:35" ht="30" hidden="1" customHeight="1" outlineLevel="1" thickBot="1">
      <c r="A116" s="1344" t="s">
        <v>1598</v>
      </c>
      <c r="B116" s="1345"/>
      <c r="C116" s="1345"/>
      <c r="D116" s="1346"/>
      <c r="E116" s="1346"/>
      <c r="F116" s="1347"/>
      <c r="G116" s="1347"/>
      <c r="H116" s="1347"/>
      <c r="I116" s="1347"/>
      <c r="J116" s="1347"/>
      <c r="K116" s="1346"/>
      <c r="L116" s="1345"/>
      <c r="M116" s="1345"/>
      <c r="N116" s="1345"/>
      <c r="O116" s="1345"/>
      <c r="P116" s="1345"/>
      <c r="Q116" s="1345"/>
      <c r="R116" s="1345"/>
      <c r="S116" s="1345"/>
      <c r="T116" s="1345"/>
      <c r="U116" s="1348"/>
      <c r="V116" s="1346"/>
      <c r="W116" s="1346"/>
      <c r="X116" s="1346"/>
      <c r="Y116" s="1346"/>
      <c r="Z116" s="1346"/>
      <c r="AA116" s="1346"/>
      <c r="AB116" s="1346"/>
      <c r="AC116" s="1346"/>
      <c r="AD116" s="1346"/>
      <c r="AE116" s="1349"/>
    </row>
    <row r="117" spans="1:35" hidden="1" outlineLevel="1">
      <c r="A117" s="6067" t="s">
        <v>1524</v>
      </c>
      <c r="B117" s="6068"/>
      <c r="C117" s="6068"/>
      <c r="D117" s="6068"/>
      <c r="E117" s="6068"/>
      <c r="F117" s="6068"/>
      <c r="G117" s="6069"/>
      <c r="H117" s="6069"/>
      <c r="I117" s="6069"/>
      <c r="J117" s="6070"/>
      <c r="K117" s="1256"/>
      <c r="L117" s="6060" t="s">
        <v>1525</v>
      </c>
      <c r="M117" s="6061"/>
      <c r="N117" s="6061"/>
      <c r="O117" s="6061"/>
      <c r="P117" s="6061"/>
      <c r="Q117" s="6061"/>
      <c r="R117" s="6062"/>
      <c r="S117" s="6062"/>
      <c r="T117" s="6062"/>
      <c r="U117" s="6063"/>
      <c r="V117" s="1256"/>
      <c r="W117" s="6064" t="s">
        <v>1526</v>
      </c>
      <c r="X117" s="6065"/>
      <c r="Y117" s="6065"/>
      <c r="Z117" s="6065"/>
      <c r="AA117" s="6065"/>
      <c r="AB117" s="6065"/>
      <c r="AC117" s="6065"/>
      <c r="AD117" s="6065"/>
      <c r="AE117" s="6066"/>
    </row>
    <row r="118" spans="1:35" ht="56.25" hidden="1" outlineLevel="1">
      <c r="A118" s="1381" t="s">
        <v>1462</v>
      </c>
      <c r="B118" s="1382" t="s">
        <v>1527</v>
      </c>
      <c r="C118" s="1382" t="s">
        <v>1528</v>
      </c>
      <c r="D118" s="1383" t="s">
        <v>1529</v>
      </c>
      <c r="E118" s="1383" t="s">
        <v>1530</v>
      </c>
      <c r="F118" s="1384" t="s">
        <v>1531</v>
      </c>
      <c r="G118" s="1385" t="s">
        <v>1532</v>
      </c>
      <c r="H118" s="1385" t="s">
        <v>1533</v>
      </c>
      <c r="I118" s="1385" t="s">
        <v>1534</v>
      </c>
      <c r="J118" s="1386" t="s">
        <v>1535</v>
      </c>
      <c r="K118" s="1289"/>
      <c r="L118" s="1401" t="s">
        <v>1536</v>
      </c>
      <c r="M118" s="1402" t="s">
        <v>1537</v>
      </c>
      <c r="N118" s="1402" t="s">
        <v>1530</v>
      </c>
      <c r="O118" s="1402" t="s">
        <v>1538</v>
      </c>
      <c r="P118" s="1403" t="s">
        <v>1539</v>
      </c>
      <c r="Q118" s="1404" t="s">
        <v>1540</v>
      </c>
      <c r="R118" s="1405" t="s">
        <v>1541</v>
      </c>
      <c r="S118" s="1405" t="s">
        <v>1533</v>
      </c>
      <c r="T118" s="1405" t="s">
        <v>1534</v>
      </c>
      <c r="U118" s="1406" t="s">
        <v>1542</v>
      </c>
      <c r="V118" s="1256"/>
      <c r="W118" s="1414" t="s">
        <v>1543</v>
      </c>
      <c r="X118" s="1415" t="s">
        <v>1544</v>
      </c>
      <c r="Y118" s="1416" t="s">
        <v>1545</v>
      </c>
      <c r="Z118" s="1416" t="s">
        <v>1546</v>
      </c>
      <c r="AA118" s="1417" t="s">
        <v>1539</v>
      </c>
      <c r="AB118" s="1417" t="s">
        <v>1547</v>
      </c>
      <c r="AC118" s="1417" t="s">
        <v>1548</v>
      </c>
      <c r="AD118" s="1416" t="s">
        <v>1549</v>
      </c>
      <c r="AE118" s="1418" t="s">
        <v>1550</v>
      </c>
    </row>
    <row r="119" spans="1:35" ht="17.25" hidden="1" customHeight="1" outlineLevel="1">
      <c r="A119" s="1387"/>
      <c r="B119" s="1388"/>
      <c r="C119" s="1389"/>
      <c r="D119" s="1390"/>
      <c r="E119" s="1391" t="s">
        <v>296</v>
      </c>
      <c r="F119" s="1392" t="s">
        <v>434</v>
      </c>
      <c r="G119" s="1392" t="s">
        <v>434</v>
      </c>
      <c r="H119" s="1393">
        <v>0.2</v>
      </c>
      <c r="I119" s="1393">
        <v>0.1</v>
      </c>
      <c r="J119" s="1394" t="s">
        <v>434</v>
      </c>
      <c r="K119" s="1256"/>
      <c r="L119" s="1407"/>
      <c r="M119" s="1408"/>
      <c r="N119" s="1409" t="s">
        <v>296</v>
      </c>
      <c r="O119" s="1408" t="s">
        <v>1551</v>
      </c>
      <c r="P119" s="1410" t="s">
        <v>1552</v>
      </c>
      <c r="Q119" s="1411" t="s">
        <v>434</v>
      </c>
      <c r="R119" s="1411" t="s">
        <v>434</v>
      </c>
      <c r="S119" s="1412">
        <v>0.2</v>
      </c>
      <c r="T119" s="1412">
        <v>0.1</v>
      </c>
      <c r="U119" s="1413" t="s">
        <v>434</v>
      </c>
      <c r="V119" s="1256"/>
      <c r="W119" s="1419"/>
      <c r="X119" s="1420" t="s">
        <v>296</v>
      </c>
      <c r="Y119" s="1420" t="s">
        <v>296</v>
      </c>
      <c r="Z119" s="1420" t="s">
        <v>1553</v>
      </c>
      <c r="AA119" s="1421" t="s">
        <v>1552</v>
      </c>
      <c r="AB119" s="1422"/>
      <c r="AC119" s="1423">
        <v>0.15</v>
      </c>
      <c r="AD119" s="1420" t="s">
        <v>296</v>
      </c>
      <c r="AE119" s="1424" t="s">
        <v>296</v>
      </c>
    </row>
    <row r="120" spans="1:35" s="722" customFormat="1" ht="12.75" hidden="1" customHeight="1" outlineLevel="1">
      <c r="A120" s="1314"/>
      <c r="B120" s="1314"/>
      <c r="C120" s="1314"/>
      <c r="D120" s="1314"/>
      <c r="E120" s="1314" t="s">
        <v>1481</v>
      </c>
      <c r="F120" s="1314"/>
      <c r="G120" s="1314"/>
      <c r="H120" s="1314"/>
      <c r="I120" s="1314"/>
      <c r="J120" s="1314"/>
      <c r="K120" s="1255"/>
      <c r="L120" s="1315"/>
      <c r="M120" s="1315"/>
      <c r="N120" s="1316" t="s">
        <v>1482</v>
      </c>
      <c r="O120" s="1314" t="s">
        <v>1554</v>
      </c>
      <c r="P120" s="1317" t="s">
        <v>1555</v>
      </c>
      <c r="Q120" s="1318" t="s">
        <v>1556</v>
      </c>
      <c r="R120" s="1318" t="s">
        <v>1557</v>
      </c>
      <c r="S120" s="1319" t="s">
        <v>1558</v>
      </c>
      <c r="T120" s="1319" t="s">
        <v>1559</v>
      </c>
      <c r="U120" s="1318" t="s">
        <v>1560</v>
      </c>
      <c r="V120" s="1255"/>
      <c r="W120" s="1316"/>
      <c r="X120" s="1316"/>
      <c r="Y120" s="1316" t="s">
        <v>1561</v>
      </c>
      <c r="Z120" s="1316" t="s">
        <v>1562</v>
      </c>
      <c r="AA120" s="1317" t="s">
        <v>1563</v>
      </c>
      <c r="AB120" s="1314" t="s">
        <v>1564</v>
      </c>
      <c r="AC120" s="1319" t="s">
        <v>1565</v>
      </c>
      <c r="AD120" s="1316" t="s">
        <v>1566</v>
      </c>
      <c r="AE120" s="1316"/>
    </row>
    <row r="121" spans="1:35" ht="24" hidden="1" outlineLevel="1">
      <c r="A121" s="723">
        <f>A40</f>
        <v>1</v>
      </c>
      <c r="B121" s="810" t="str">
        <f>B40</f>
        <v>IPA No. 01 Adv Pay</v>
      </c>
      <c r="C121" s="1353" t="str">
        <f>C40</f>
        <v>Advance Payment</v>
      </c>
      <c r="D121" s="1320" t="str">
        <f>D40</f>
        <v>NSC-LTR-000010</v>
      </c>
      <c r="E121" s="1321">
        <f>E40</f>
        <v>44677</v>
      </c>
      <c r="F121" s="1322">
        <v>5912918</v>
      </c>
      <c r="G121" s="1322">
        <f>F121</f>
        <v>5912918</v>
      </c>
      <c r="H121" s="1322">
        <v>0</v>
      </c>
      <c r="I121" s="1322">
        <v>0</v>
      </c>
      <c r="J121" s="1322">
        <f t="shared" ref="J121:J139" si="118">G121+H121+I121</f>
        <v>5912918</v>
      </c>
      <c r="K121" s="2801"/>
      <c r="L121" s="723">
        <v>1</v>
      </c>
      <c r="M121" s="724" t="s">
        <v>1581</v>
      </c>
      <c r="N121" s="1321">
        <v>44698</v>
      </c>
      <c r="O121" s="1323">
        <f>O40</f>
        <v>44691</v>
      </c>
      <c r="P121" s="1324">
        <f>P40</f>
        <v>-7</v>
      </c>
      <c r="Q121" s="1322">
        <v>5912918</v>
      </c>
      <c r="R121" s="1322">
        <f>Q121</f>
        <v>5912918</v>
      </c>
      <c r="S121" s="1322">
        <v>0</v>
      </c>
      <c r="T121" s="1322">
        <v>0</v>
      </c>
      <c r="U121" s="1322">
        <f>R121-S121-T121</f>
        <v>5912918</v>
      </c>
      <c r="V121" s="2801"/>
      <c r="W121" s="1350" t="str">
        <f>W40</f>
        <v>AMA-WTRAN-000703</v>
      </c>
      <c r="X121" s="1321">
        <f>X40</f>
        <v>44359</v>
      </c>
      <c r="Y121" s="1321">
        <f>Y40</f>
        <v>44714</v>
      </c>
      <c r="Z121" s="1321">
        <f>Z40</f>
        <v>44691</v>
      </c>
      <c r="AA121" s="1324">
        <f>AA40</f>
        <v>-23</v>
      </c>
      <c r="AB121" s="1327">
        <f t="shared" ref="AB121:AB128" si="119">U121</f>
        <v>5912918</v>
      </c>
      <c r="AC121" s="1327">
        <f>(R121+T121)*AC$65</f>
        <v>886937.7</v>
      </c>
      <c r="AD121" s="1327">
        <f t="shared" ref="AD121:AD128" si="120">AC121+AB121</f>
        <v>6799855.7000000002</v>
      </c>
      <c r="AE121" s="1327">
        <f>AD121</f>
        <v>6799855.7000000002</v>
      </c>
    </row>
    <row r="122" spans="1:35" hidden="1" outlineLevel="1">
      <c r="A122" s="1352">
        <f t="shared" ref="A122:A128" si="121">A41</f>
        <v>2</v>
      </c>
      <c r="B122" s="810" t="str">
        <f t="shared" ref="B122:B140" si="122">B41</f>
        <v>IPA No. 02</v>
      </c>
      <c r="C122" s="2023">
        <f t="shared" ref="C122:E128" si="123">C41</f>
        <v>44713</v>
      </c>
      <c r="D122" s="2033" t="str">
        <f t="shared" si="123"/>
        <v>NSC-GENCORR-000027</v>
      </c>
      <c r="E122" s="2025">
        <f t="shared" si="123"/>
        <v>44768</v>
      </c>
      <c r="F122" s="2026">
        <f>(Q122*0)+F121+853397.174</f>
        <v>6766315.1739999996</v>
      </c>
      <c r="G122" s="2026">
        <f>F122-F121</f>
        <v>853397.17399999965</v>
      </c>
      <c r="H122" s="2026">
        <f>(G122*$H$65)*-1</f>
        <v>-170679.43479999993</v>
      </c>
      <c r="I122" s="2026">
        <f t="shared" ref="I122:I135" si="124">(G122*$I$65)*-1</f>
        <v>-85339.717399999965</v>
      </c>
      <c r="J122" s="2026">
        <f t="shared" si="118"/>
        <v>597378.02179999975</v>
      </c>
      <c r="K122" s="2027"/>
      <c r="L122" s="1352">
        <v>2</v>
      </c>
      <c r="M122" s="2028" t="s">
        <v>1584</v>
      </c>
      <c r="N122" s="2025">
        <v>44790</v>
      </c>
      <c r="O122" s="2029">
        <f>O41</f>
        <v>44796</v>
      </c>
      <c r="P122" s="2030">
        <f>P41</f>
        <v>6</v>
      </c>
      <c r="Q122" s="2026">
        <f>777555.56+Q121</f>
        <v>6690473.5600000005</v>
      </c>
      <c r="R122" s="2026">
        <f t="shared" ref="R122:R127" si="125">Q122-Q121</f>
        <v>777555.56000000052</v>
      </c>
      <c r="S122" s="2026">
        <f t="shared" ref="S122:S127" si="126">(R122*S$65)*-1</f>
        <v>-155511.11200000011</v>
      </c>
      <c r="T122" s="2026">
        <f t="shared" ref="T122:T127" si="127">(R122*T$65)*-1</f>
        <v>-77755.556000000055</v>
      </c>
      <c r="U122" s="2031">
        <f t="shared" ref="U122:U129" si="128">R122+S122+T122</f>
        <v>544288.89200000034</v>
      </c>
      <c r="V122" s="2027"/>
      <c r="W122" s="1351">
        <f>W41</f>
        <v>0</v>
      </c>
      <c r="X122" s="2025"/>
      <c r="Y122" s="2025">
        <f t="shared" ref="Y122:AA125" si="129">Y41</f>
        <v>44832</v>
      </c>
      <c r="Z122" s="2025">
        <f t="shared" si="129"/>
        <v>44824</v>
      </c>
      <c r="AA122" s="2030">
        <f t="shared" si="129"/>
        <v>-8</v>
      </c>
      <c r="AB122" s="2032">
        <f t="shared" si="119"/>
        <v>544288.89200000034</v>
      </c>
      <c r="AC122" s="2032">
        <f t="shared" ref="AC122:AC128" si="130">(R122+T122)*AC$38</f>
        <v>104970.00060000006</v>
      </c>
      <c r="AD122" s="2032">
        <f t="shared" si="120"/>
        <v>649258.89260000037</v>
      </c>
      <c r="AE122" s="2032">
        <f t="shared" ref="AE122:AE128" si="131">AE121+AD122</f>
        <v>7449114.592600001</v>
      </c>
    </row>
    <row r="123" spans="1:35" hidden="1" outlineLevel="1">
      <c r="A123" s="1352">
        <f t="shared" si="121"/>
        <v>3</v>
      </c>
      <c r="B123" s="810" t="str">
        <f t="shared" si="122"/>
        <v>IPA No. 03</v>
      </c>
      <c r="C123" s="2023">
        <f t="shared" si="123"/>
        <v>44743</v>
      </c>
      <c r="D123" s="2033" t="str">
        <f t="shared" si="123"/>
        <v>NSC-TRANSMIT-000067</v>
      </c>
      <c r="E123" s="2025">
        <f t="shared" si="123"/>
        <v>44852</v>
      </c>
      <c r="F123" s="2026">
        <f>(F122+395779.838)*0+F121+1173335.398</f>
        <v>7086253.398</v>
      </c>
      <c r="G123" s="2026">
        <f>+F123-F122</f>
        <v>319938.22400000039</v>
      </c>
      <c r="H123" s="2026">
        <f>(G123*$H$65)*-1</f>
        <v>-63987.644800000082</v>
      </c>
      <c r="I123" s="2026">
        <f t="shared" si="124"/>
        <v>-31993.822400000041</v>
      </c>
      <c r="J123" s="2026">
        <f t="shared" si="118"/>
        <v>223956.75680000029</v>
      </c>
      <c r="K123" s="2027"/>
      <c r="L123" s="1352">
        <v>3</v>
      </c>
      <c r="M123" s="2028" t="s">
        <v>1567</v>
      </c>
      <c r="N123" s="2025">
        <v>44863</v>
      </c>
      <c r="O123" s="2029">
        <f>O96</f>
        <v>44880</v>
      </c>
      <c r="P123" s="2030">
        <f>P42</f>
        <v>17</v>
      </c>
      <c r="Q123" s="2026">
        <f>+Q122+395779.84</f>
        <v>7086253.4000000004</v>
      </c>
      <c r="R123" s="2026">
        <f t="shared" si="125"/>
        <v>395779.83999999985</v>
      </c>
      <c r="S123" s="2026">
        <f t="shared" si="126"/>
        <v>-79155.967999999979</v>
      </c>
      <c r="T123" s="2026">
        <f t="shared" si="127"/>
        <v>-39577.983999999989</v>
      </c>
      <c r="U123" s="2031">
        <f t="shared" si="128"/>
        <v>277045.88799999986</v>
      </c>
      <c r="V123" s="2027"/>
      <c r="W123" s="1351">
        <f>W42</f>
        <v>0</v>
      </c>
      <c r="X123" s="2025"/>
      <c r="Y123" s="2025">
        <f t="shared" si="129"/>
        <v>44908</v>
      </c>
      <c r="Z123" s="2025">
        <f t="shared" si="129"/>
        <v>44908</v>
      </c>
      <c r="AA123" s="2030">
        <f t="shared" si="129"/>
        <v>0</v>
      </c>
      <c r="AB123" s="2032">
        <f t="shared" si="119"/>
        <v>277045.88799999986</v>
      </c>
      <c r="AC123" s="2032">
        <f t="shared" si="130"/>
        <v>53430.278399999974</v>
      </c>
      <c r="AD123" s="2032">
        <f t="shared" si="120"/>
        <v>330476.16639999981</v>
      </c>
      <c r="AE123" s="2032">
        <f t="shared" si="131"/>
        <v>7779590.7590000005</v>
      </c>
    </row>
    <row r="124" spans="1:35" hidden="1" outlineLevel="1">
      <c r="A124" s="1352">
        <f t="shared" si="121"/>
        <v>4</v>
      </c>
      <c r="B124" s="810" t="str">
        <f t="shared" si="122"/>
        <v>IPA No. 04</v>
      </c>
      <c r="C124" s="2023">
        <f t="shared" si="123"/>
        <v>44774</v>
      </c>
      <c r="D124" s="2033" t="str">
        <f t="shared" si="123"/>
        <v>NSC-TRANSMIT-000067</v>
      </c>
      <c r="E124" s="2025">
        <f t="shared" si="123"/>
        <v>44852</v>
      </c>
      <c r="F124" s="2026">
        <f>(F123+214329.808)*0+F123</f>
        <v>7086253.398</v>
      </c>
      <c r="G124" s="2026">
        <f t="shared" ref="G124:G129" si="132">+F124-F123</f>
        <v>0</v>
      </c>
      <c r="H124" s="2026">
        <f t="shared" ref="H124:H129" si="133">(G124*$H$65)*-1</f>
        <v>0</v>
      </c>
      <c r="I124" s="2026">
        <f t="shared" si="124"/>
        <v>0</v>
      </c>
      <c r="J124" s="2026">
        <f t="shared" si="118"/>
        <v>0</v>
      </c>
      <c r="K124" s="2027"/>
      <c r="L124" s="1352">
        <v>4</v>
      </c>
      <c r="M124" s="2028" t="s">
        <v>1568</v>
      </c>
      <c r="N124" s="2025">
        <v>44863</v>
      </c>
      <c r="O124" s="2029">
        <f>O97</f>
        <v>44880</v>
      </c>
      <c r="P124" s="2030">
        <f>P43</f>
        <v>17</v>
      </c>
      <c r="Q124" s="2026">
        <f>+Q123+214329.81</f>
        <v>7300583.21</v>
      </c>
      <c r="R124" s="2026">
        <f t="shared" si="125"/>
        <v>214329.80999999959</v>
      </c>
      <c r="S124" s="2026">
        <f t="shared" si="126"/>
        <v>-42865.961999999919</v>
      </c>
      <c r="T124" s="2026">
        <f t="shared" si="127"/>
        <v>-21432.98099999996</v>
      </c>
      <c r="U124" s="2031">
        <f t="shared" si="128"/>
        <v>150030.86699999971</v>
      </c>
      <c r="V124" s="2027"/>
      <c r="W124" s="1351">
        <f>W43</f>
        <v>0</v>
      </c>
      <c r="X124" s="2025"/>
      <c r="Y124" s="2025">
        <f t="shared" si="129"/>
        <v>44908</v>
      </c>
      <c r="Z124" s="2025">
        <f t="shared" si="129"/>
        <v>44908</v>
      </c>
      <c r="AA124" s="2030">
        <f t="shared" si="129"/>
        <v>0</v>
      </c>
      <c r="AB124" s="2032">
        <f t="shared" si="119"/>
        <v>150030.86699999971</v>
      </c>
      <c r="AC124" s="2032">
        <f t="shared" si="130"/>
        <v>28934.524349999941</v>
      </c>
      <c r="AD124" s="2032">
        <f t="shared" si="120"/>
        <v>178965.39134999964</v>
      </c>
      <c r="AE124" s="2032">
        <f t="shared" si="131"/>
        <v>7958556.1503499998</v>
      </c>
    </row>
    <row r="125" spans="1:35" hidden="1" outlineLevel="1">
      <c r="A125" s="1352">
        <f t="shared" si="121"/>
        <v>5</v>
      </c>
      <c r="B125" s="810" t="str">
        <f t="shared" si="122"/>
        <v>IPA No. 05</v>
      </c>
      <c r="C125" s="2023">
        <f t="shared" si="123"/>
        <v>44805</v>
      </c>
      <c r="D125" s="2033" t="str">
        <f t="shared" si="123"/>
        <v>NSC-TRANSMIT-000067</v>
      </c>
      <c r="E125" s="2025">
        <f t="shared" si="123"/>
        <v>44852</v>
      </c>
      <c r="F125" s="2026">
        <f>(F124+233297.048)*0+F123</f>
        <v>7086253.398</v>
      </c>
      <c r="G125" s="2026">
        <f t="shared" si="132"/>
        <v>0</v>
      </c>
      <c r="H125" s="2026">
        <f t="shared" si="133"/>
        <v>0</v>
      </c>
      <c r="I125" s="2026">
        <f t="shared" si="124"/>
        <v>0</v>
      </c>
      <c r="J125" s="2026">
        <f t="shared" si="118"/>
        <v>0</v>
      </c>
      <c r="K125" s="2027"/>
      <c r="L125" s="1352">
        <v>5</v>
      </c>
      <c r="M125" s="2028" t="s">
        <v>1569</v>
      </c>
      <c r="N125" s="2025">
        <v>44863</v>
      </c>
      <c r="O125" s="2029">
        <f>O98</f>
        <v>44880</v>
      </c>
      <c r="P125" s="2030">
        <f>P44</f>
        <v>17</v>
      </c>
      <c r="Q125" s="2026">
        <f>+Q124+233297.05</f>
        <v>7533880.2599999998</v>
      </c>
      <c r="R125" s="2026">
        <f t="shared" si="125"/>
        <v>233297.04999999981</v>
      </c>
      <c r="S125" s="2026">
        <f t="shared" si="126"/>
        <v>-46659.409999999967</v>
      </c>
      <c r="T125" s="2026">
        <f t="shared" si="127"/>
        <v>-23329.704999999984</v>
      </c>
      <c r="U125" s="2031">
        <f t="shared" si="128"/>
        <v>163307.93499999985</v>
      </c>
      <c r="V125" s="2027"/>
      <c r="W125" s="1352"/>
      <c r="X125" s="2029"/>
      <c r="Y125" s="2025">
        <f t="shared" si="129"/>
        <v>44908</v>
      </c>
      <c r="Z125" s="2025">
        <f t="shared" si="129"/>
        <v>44908</v>
      </c>
      <c r="AA125" s="2030">
        <f t="shared" si="129"/>
        <v>0</v>
      </c>
      <c r="AB125" s="2032">
        <f t="shared" si="119"/>
        <v>163307.93499999985</v>
      </c>
      <c r="AC125" s="2032">
        <f t="shared" si="130"/>
        <v>31495.101749999973</v>
      </c>
      <c r="AD125" s="2032">
        <f t="shared" si="120"/>
        <v>194803.03674999982</v>
      </c>
      <c r="AE125" s="2032">
        <f t="shared" si="131"/>
        <v>8153359.1870999997</v>
      </c>
    </row>
    <row r="126" spans="1:35" ht="24" hidden="1" outlineLevel="1">
      <c r="A126" s="1352">
        <f t="shared" si="121"/>
        <v>6</v>
      </c>
      <c r="B126" s="810" t="str">
        <f t="shared" si="122"/>
        <v>IPA No. 06</v>
      </c>
      <c r="C126" s="2023">
        <f t="shared" si="123"/>
        <v>44835</v>
      </c>
      <c r="D126" s="2024" t="str">
        <f t="shared" si="123"/>
        <v>ITB04400-005C13-NSC-LTR-0155</v>
      </c>
      <c r="E126" s="2025">
        <f t="shared" si="123"/>
        <v>44870</v>
      </c>
      <c r="F126" s="2026">
        <f>(7558391.422+246574.115702479)*0+F121+1867536.369+1275572.55</f>
        <v>9056026.9189999998</v>
      </c>
      <c r="G126" s="2026">
        <f t="shared" si="132"/>
        <v>1969773.5209999997</v>
      </c>
      <c r="H126" s="2026">
        <f t="shared" si="133"/>
        <v>-393954.70419999998</v>
      </c>
      <c r="I126" s="2026">
        <f t="shared" si="124"/>
        <v>-196977.35209999999</v>
      </c>
      <c r="J126" s="2026">
        <f t="shared" si="118"/>
        <v>1378841.4646999997</v>
      </c>
      <c r="K126" s="2027"/>
      <c r="L126" s="1352">
        <v>6</v>
      </c>
      <c r="M126" s="2031" t="s">
        <v>1987</v>
      </c>
      <c r="N126" s="2025">
        <v>44902</v>
      </c>
      <c r="O126" s="2029">
        <f>O99</f>
        <v>44898</v>
      </c>
      <c r="P126" s="2030">
        <f>P45</f>
        <v>-4</v>
      </c>
      <c r="Q126" s="2026">
        <f>+Q125+35809.24</f>
        <v>7569689.5</v>
      </c>
      <c r="R126" s="2026">
        <f t="shared" si="125"/>
        <v>35809.240000000224</v>
      </c>
      <c r="S126" s="2026">
        <f t="shared" si="126"/>
        <v>-7161.8480000000454</v>
      </c>
      <c r="T126" s="2026">
        <f t="shared" si="127"/>
        <v>-3580.9240000000227</v>
      </c>
      <c r="U126" s="2031">
        <f t="shared" si="128"/>
        <v>25066.468000000154</v>
      </c>
      <c r="V126" s="2027"/>
      <c r="W126" s="1351">
        <f>+W$19</f>
        <v>0</v>
      </c>
      <c r="X126" s="2803">
        <f>+X$19</f>
        <v>0</v>
      </c>
      <c r="Y126" s="2025">
        <v>44935</v>
      </c>
      <c r="Z126" s="2025">
        <f>Z45</f>
        <v>44926</v>
      </c>
      <c r="AA126" s="2030">
        <f>AA45</f>
        <v>-9</v>
      </c>
      <c r="AB126" s="2032">
        <f t="shared" si="119"/>
        <v>25066.468000000154</v>
      </c>
      <c r="AC126" s="2032">
        <f t="shared" si="130"/>
        <v>4834.2474000000302</v>
      </c>
      <c r="AD126" s="2032">
        <f t="shared" si="120"/>
        <v>29900.715400000183</v>
      </c>
      <c r="AE126" s="2032">
        <f t="shared" si="131"/>
        <v>8183259.9024999999</v>
      </c>
    </row>
    <row r="127" spans="1:35" ht="24" hidden="1" outlineLevel="1">
      <c r="A127" s="1352">
        <f t="shared" si="121"/>
        <v>7</v>
      </c>
      <c r="B127" s="810" t="str">
        <f t="shared" si="122"/>
        <v>IPA No. 07</v>
      </c>
      <c r="C127" s="2023">
        <f t="shared" si="123"/>
        <v>44866</v>
      </c>
      <c r="D127" s="2024" t="str">
        <f t="shared" si="123"/>
        <v>1TB04400-005C13-NSC-LTR-0175</v>
      </c>
      <c r="E127" s="2025">
        <f t="shared" si="123"/>
        <v>44900</v>
      </c>
      <c r="F127" s="2026">
        <f>+F121+2103994.62+1275572.55</f>
        <v>9292485.1699999999</v>
      </c>
      <c r="G127" s="2026">
        <f t="shared" si="132"/>
        <v>236458.25100000016</v>
      </c>
      <c r="H127" s="2026">
        <f t="shared" si="133"/>
        <v>-47291.650200000033</v>
      </c>
      <c r="I127" s="2026">
        <f t="shared" si="124"/>
        <v>-23645.825100000016</v>
      </c>
      <c r="J127" s="2026">
        <f t="shared" si="118"/>
        <v>165520.77570000011</v>
      </c>
      <c r="K127" s="2027"/>
      <c r="L127" s="1352">
        <v>7</v>
      </c>
      <c r="M127" s="2031" t="s">
        <v>1988</v>
      </c>
      <c r="N127" s="2025">
        <v>44930</v>
      </c>
      <c r="O127" s="2029">
        <f>O100</f>
        <v>44928</v>
      </c>
      <c r="P127" s="2030">
        <f>P46</f>
        <v>-2</v>
      </c>
      <c r="Q127" s="2026">
        <f>Q126-8450.77</f>
        <v>7561238.7300000004</v>
      </c>
      <c r="R127" s="2026">
        <f t="shared" si="125"/>
        <v>-8450.769999999553</v>
      </c>
      <c r="S127" s="2026">
        <f t="shared" si="126"/>
        <v>1690.1539999999106</v>
      </c>
      <c r="T127" s="2026">
        <f t="shared" si="127"/>
        <v>845.07699999995532</v>
      </c>
      <c r="U127" s="2031">
        <f t="shared" si="128"/>
        <v>-5915.5389999996869</v>
      </c>
      <c r="V127" s="2027"/>
      <c r="W127" s="1352" t="s">
        <v>1593</v>
      </c>
      <c r="X127" s="2029">
        <v>44948</v>
      </c>
      <c r="Y127" s="2025">
        <v>44948</v>
      </c>
      <c r="Z127" s="2025">
        <f>Z46</f>
        <v>44956</v>
      </c>
      <c r="AA127" s="2030">
        <f>AA46</f>
        <v>8</v>
      </c>
      <c r="AB127" s="2032">
        <f t="shared" si="119"/>
        <v>-5915.5389999996869</v>
      </c>
      <c r="AC127" s="2032">
        <f t="shared" si="130"/>
        <v>-1140.8539499999395</v>
      </c>
      <c r="AD127" s="2032">
        <f t="shared" si="120"/>
        <v>-7056.3929499996266</v>
      </c>
      <c r="AE127" s="2032">
        <f t="shared" si="131"/>
        <v>8176203.5095500005</v>
      </c>
    </row>
    <row r="128" spans="1:35" ht="30.95" hidden="1" customHeight="1" outlineLevel="1">
      <c r="A128" s="1352">
        <f t="shared" si="121"/>
        <v>8</v>
      </c>
      <c r="B128" s="810" t="str">
        <f t="shared" si="122"/>
        <v>IPA No. 08</v>
      </c>
      <c r="C128" s="2023">
        <f t="shared" si="123"/>
        <v>44896</v>
      </c>
      <c r="D128" s="2024" t="str">
        <f t="shared" si="123"/>
        <v>1TB04400-005C13-NSC-LTR-0214</v>
      </c>
      <c r="E128" s="2025">
        <f t="shared" si="123"/>
        <v>44931</v>
      </c>
      <c r="F128" s="2026">
        <f>+$F$121+2327808.05+3123409.97</f>
        <v>11364136.02</v>
      </c>
      <c r="G128" s="2026">
        <f t="shared" si="132"/>
        <v>2071650.8499999996</v>
      </c>
      <c r="H128" s="2026">
        <f t="shared" si="133"/>
        <v>-414330.16999999993</v>
      </c>
      <c r="I128" s="2026">
        <f t="shared" si="124"/>
        <v>-207165.08499999996</v>
      </c>
      <c r="J128" s="2026">
        <f t="shared" si="118"/>
        <v>1450155.5949999997</v>
      </c>
      <c r="K128" s="2027"/>
      <c r="L128" s="1352">
        <v>8</v>
      </c>
      <c r="M128" s="2034" t="s">
        <v>1570</v>
      </c>
      <c r="N128" s="2025">
        <v>44951</v>
      </c>
      <c r="O128" s="2029">
        <f t="shared" ref="O128:O133" si="134">E128+28</f>
        <v>44959</v>
      </c>
      <c r="P128" s="2030">
        <f>O128-N128</f>
        <v>8</v>
      </c>
      <c r="Q128" s="2026">
        <f t="shared" ref="Q128:Q133" si="135">+Q127+R128</f>
        <v>7579520.3200000003</v>
      </c>
      <c r="R128" s="2026">
        <v>18281.59</v>
      </c>
      <c r="S128" s="2026">
        <f>(R128*S$65)*-1</f>
        <v>-3656.3180000000002</v>
      </c>
      <c r="T128" s="2026">
        <f t="shared" ref="T128:T133" si="136">(R128*T$65)*-1</f>
        <v>-1828.1590000000001</v>
      </c>
      <c r="U128" s="2031">
        <f t="shared" si="128"/>
        <v>12797.113000000001</v>
      </c>
      <c r="V128" s="2027"/>
      <c r="W128" s="1352"/>
      <c r="X128" s="2029"/>
      <c r="Y128" s="2025">
        <v>44978</v>
      </c>
      <c r="Z128" s="2079">
        <f t="shared" ref="Z128:Z137" si="137">+E128+56</f>
        <v>44987</v>
      </c>
      <c r="AA128" s="2030">
        <f t="shared" ref="AA128:AA134" si="138">+Z128-Y128</f>
        <v>9</v>
      </c>
      <c r="AB128" s="2032">
        <f t="shared" si="119"/>
        <v>12797.113000000001</v>
      </c>
      <c r="AC128" s="2032">
        <f t="shared" si="130"/>
        <v>2468.0146500000001</v>
      </c>
      <c r="AD128" s="2032">
        <f t="shared" si="120"/>
        <v>15265.127650000002</v>
      </c>
      <c r="AE128" s="2032">
        <f t="shared" si="131"/>
        <v>8191468.6372000007</v>
      </c>
    </row>
    <row r="129" spans="1:33" ht="24" hidden="1" outlineLevel="1">
      <c r="A129" s="1352">
        <v>9</v>
      </c>
      <c r="B129" s="810" t="str">
        <f t="shared" si="122"/>
        <v>IPA No. 09</v>
      </c>
      <c r="C129" s="2023">
        <v>44927</v>
      </c>
      <c r="D129" s="2019" t="s">
        <v>1572</v>
      </c>
      <c r="E129" s="2079">
        <v>44965</v>
      </c>
      <c r="F129" s="2026">
        <f>+$F$121+2327808.05+3123409.97+184305.5</f>
        <v>11548441.52</v>
      </c>
      <c r="G129" s="2026">
        <f t="shared" si="132"/>
        <v>184305.5</v>
      </c>
      <c r="H129" s="2026">
        <f t="shared" si="133"/>
        <v>-36861.1</v>
      </c>
      <c r="I129" s="2026">
        <f t="shared" si="124"/>
        <v>-18430.55</v>
      </c>
      <c r="J129" s="2026">
        <f t="shared" si="118"/>
        <v>129013.84999999999</v>
      </c>
      <c r="K129" s="2027"/>
      <c r="L129" s="1352">
        <v>9</v>
      </c>
      <c r="M129" s="2021" t="s">
        <v>1989</v>
      </c>
      <c r="N129" s="2025">
        <v>44977</v>
      </c>
      <c r="O129" s="2029">
        <f t="shared" si="134"/>
        <v>44993</v>
      </c>
      <c r="P129" s="2030">
        <f t="shared" ref="P129:P139" si="139">O129-N129</f>
        <v>16</v>
      </c>
      <c r="Q129" s="2080">
        <f t="shared" si="135"/>
        <v>7701731.2400000002</v>
      </c>
      <c r="R129" s="2026">
        <v>122210.92</v>
      </c>
      <c r="S129" s="2026">
        <f>(R129*S$65)*-1</f>
        <v>-24442.184000000001</v>
      </c>
      <c r="T129" s="2026">
        <f t="shared" si="136"/>
        <v>-12221.092000000001</v>
      </c>
      <c r="U129" s="2031">
        <f t="shared" si="128"/>
        <v>85547.644</v>
      </c>
      <c r="V129" s="2027"/>
      <c r="W129" s="1352"/>
      <c r="X129" s="2029"/>
      <c r="Y129" s="2025">
        <v>45007</v>
      </c>
      <c r="Z129" s="2079">
        <f t="shared" si="137"/>
        <v>45021</v>
      </c>
      <c r="AA129" s="2030">
        <f t="shared" si="138"/>
        <v>14</v>
      </c>
      <c r="AB129" s="2032">
        <f t="shared" ref="AB129:AB139" si="140">U129</f>
        <v>85547.644</v>
      </c>
      <c r="AC129" s="2032">
        <f t="shared" ref="AC129:AC138" si="141">(R129+T129)*AC$38</f>
        <v>16498.474199999997</v>
      </c>
      <c r="AD129" s="2032">
        <f t="shared" ref="AD129:AD138" si="142">AC129+AB129</f>
        <v>102046.1182</v>
      </c>
      <c r="AE129" s="2032">
        <f>AE128+AD129</f>
        <v>8293514.7554000011</v>
      </c>
    </row>
    <row r="130" spans="1:33" ht="24" hidden="1" outlineLevel="1">
      <c r="A130" s="1352">
        <v>10</v>
      </c>
      <c r="B130" s="810" t="str">
        <f t="shared" si="122"/>
        <v>IPA No. 010</v>
      </c>
      <c r="C130" s="2023">
        <v>44958</v>
      </c>
      <c r="D130" s="2113" t="s">
        <v>1574</v>
      </c>
      <c r="E130" s="2079">
        <v>44990</v>
      </c>
      <c r="F130" s="2026">
        <f>+F121+7728387.65</f>
        <v>13641305.65</v>
      </c>
      <c r="G130" s="2026">
        <f t="shared" ref="G130:G137" si="143">+F130-F129</f>
        <v>2092864.1300000008</v>
      </c>
      <c r="H130" s="2026">
        <f t="shared" ref="H130:H135" si="144">(G130*$H$65)*-1</f>
        <v>-418572.82600000018</v>
      </c>
      <c r="I130" s="2026">
        <f t="shared" si="124"/>
        <v>-209286.41300000009</v>
      </c>
      <c r="J130" s="2026">
        <f t="shared" si="118"/>
        <v>1465004.8910000005</v>
      </c>
      <c r="K130" s="2027"/>
      <c r="L130" s="1352">
        <v>10</v>
      </c>
      <c r="M130" s="2034" t="s">
        <v>1575</v>
      </c>
      <c r="N130" s="2025">
        <v>45005</v>
      </c>
      <c r="O130" s="2029">
        <f t="shared" si="134"/>
        <v>45018</v>
      </c>
      <c r="P130" s="2030">
        <f t="shared" si="139"/>
        <v>13</v>
      </c>
      <c r="Q130" s="2080">
        <f t="shared" si="135"/>
        <v>7817104.5499999998</v>
      </c>
      <c r="R130" s="2026">
        <v>115373.31</v>
      </c>
      <c r="S130" s="2026">
        <f>(R130*S$65)*-1</f>
        <v>-23074.662</v>
      </c>
      <c r="T130" s="2026">
        <f t="shared" si="136"/>
        <v>-11537.331</v>
      </c>
      <c r="U130" s="2031">
        <f t="shared" ref="U130:U139" si="145">R130+S130+T130</f>
        <v>80761.316999999995</v>
      </c>
      <c r="V130" s="2027"/>
      <c r="W130" s="1352"/>
      <c r="X130" s="2029"/>
      <c r="Y130" s="2025">
        <v>45046</v>
      </c>
      <c r="Z130" s="2079">
        <f t="shared" si="137"/>
        <v>45046</v>
      </c>
      <c r="AA130" s="2030">
        <f t="shared" si="138"/>
        <v>0</v>
      </c>
      <c r="AB130" s="2032">
        <f t="shared" si="140"/>
        <v>80761.316999999995</v>
      </c>
      <c r="AC130" s="2032">
        <f t="shared" si="141"/>
        <v>15575.396849999997</v>
      </c>
      <c r="AD130" s="2032">
        <f t="shared" si="142"/>
        <v>96336.71385</v>
      </c>
      <c r="AE130" s="2032">
        <f>AE129+AD130</f>
        <v>8389851.469250001</v>
      </c>
    </row>
    <row r="131" spans="1:33" ht="24" hidden="1" outlineLevel="1">
      <c r="A131" s="1352">
        <v>11</v>
      </c>
      <c r="B131" s="810" t="str">
        <f t="shared" si="122"/>
        <v>IPA No. 011</v>
      </c>
      <c r="C131" s="2023">
        <v>45008</v>
      </c>
      <c r="D131" s="2024" t="s">
        <v>1982</v>
      </c>
      <c r="E131" s="2079">
        <v>45022</v>
      </c>
      <c r="F131" s="2026">
        <f>+F121+7914266</f>
        <v>13827184</v>
      </c>
      <c r="G131" s="2026">
        <f t="shared" si="143"/>
        <v>185878.34999999963</v>
      </c>
      <c r="H131" s="2026">
        <f t="shared" si="144"/>
        <v>-37175.669999999925</v>
      </c>
      <c r="I131" s="2026">
        <f t="shared" si="124"/>
        <v>-18587.834999999963</v>
      </c>
      <c r="J131" s="2026">
        <f t="shared" si="118"/>
        <v>130114.84499999974</v>
      </c>
      <c r="K131" s="2027"/>
      <c r="L131" s="1352">
        <v>11</v>
      </c>
      <c r="M131" s="2034" t="s">
        <v>1990</v>
      </c>
      <c r="N131" s="2025">
        <v>45052</v>
      </c>
      <c r="O131" s="2029">
        <f t="shared" si="134"/>
        <v>45050</v>
      </c>
      <c r="P131" s="2030">
        <f t="shared" si="139"/>
        <v>-2</v>
      </c>
      <c r="Q131" s="2080">
        <f t="shared" si="135"/>
        <v>7925640.25</v>
      </c>
      <c r="R131" s="2026">
        <v>108535.7</v>
      </c>
      <c r="S131" s="2026">
        <f>(R131*S$65)*-1</f>
        <v>-21707.14</v>
      </c>
      <c r="T131" s="2026">
        <f t="shared" si="136"/>
        <v>-10853.57</v>
      </c>
      <c r="U131" s="2031">
        <f t="shared" si="145"/>
        <v>75974.989999999991</v>
      </c>
      <c r="V131" s="2027"/>
      <c r="W131" s="1352"/>
      <c r="X131" s="2029"/>
      <c r="Y131" s="2025">
        <v>45075</v>
      </c>
      <c r="Z131" s="2079">
        <f t="shared" si="137"/>
        <v>45078</v>
      </c>
      <c r="AA131" s="2030">
        <f t="shared" si="138"/>
        <v>3</v>
      </c>
      <c r="AB131" s="2032">
        <f t="shared" si="140"/>
        <v>75974.989999999991</v>
      </c>
      <c r="AC131" s="2032">
        <f t="shared" si="141"/>
        <v>14652.3195</v>
      </c>
      <c r="AD131" s="2032">
        <f t="shared" si="142"/>
        <v>90627.309499999988</v>
      </c>
      <c r="AE131" s="2032">
        <f t="shared" ref="AE131:AE138" si="146">AE130+AD131</f>
        <v>8480478.7787500005</v>
      </c>
    </row>
    <row r="132" spans="1:33" hidden="1" outlineLevel="1">
      <c r="A132" s="1352">
        <v>12</v>
      </c>
      <c r="B132" s="810" t="str">
        <f t="shared" si="122"/>
        <v>IPA No. 012</v>
      </c>
      <c r="C132" s="2023">
        <v>45039</v>
      </c>
      <c r="D132" s="2024" t="s">
        <v>1991</v>
      </c>
      <c r="E132" s="2079">
        <v>45052</v>
      </c>
      <c r="F132" s="2026">
        <f>+F121+18529056.96</f>
        <v>24441974.960000001</v>
      </c>
      <c r="G132" s="2026">
        <f t="shared" si="143"/>
        <v>10614790.960000001</v>
      </c>
      <c r="H132" s="2026">
        <f t="shared" si="144"/>
        <v>-2122958.1920000003</v>
      </c>
      <c r="I132" s="2026">
        <f t="shared" si="124"/>
        <v>-1061479.0960000001</v>
      </c>
      <c r="J132" s="2026">
        <f t="shared" si="118"/>
        <v>7430353.6720000012</v>
      </c>
      <c r="K132" s="2027"/>
      <c r="L132" s="1352">
        <v>12</v>
      </c>
      <c r="M132" s="2034" t="s">
        <v>2127</v>
      </c>
      <c r="N132" s="2025">
        <v>45075</v>
      </c>
      <c r="O132" s="2029">
        <f t="shared" si="134"/>
        <v>45080</v>
      </c>
      <c r="P132" s="2030">
        <f t="shared" si="139"/>
        <v>5</v>
      </c>
      <c r="Q132" s="2080">
        <f t="shared" si="135"/>
        <v>8027338.3399999999</v>
      </c>
      <c r="R132" s="2026">
        <v>101698.09</v>
      </c>
      <c r="S132" s="2026">
        <f>(R132*S$65)*-1</f>
        <v>-20339.618000000002</v>
      </c>
      <c r="T132" s="2026">
        <f t="shared" si="136"/>
        <v>-10169.809000000001</v>
      </c>
      <c r="U132" s="2031">
        <f t="shared" si="145"/>
        <v>71188.663</v>
      </c>
      <c r="V132" s="2027"/>
      <c r="W132" s="1352"/>
      <c r="X132" s="2029"/>
      <c r="Y132" s="2025">
        <v>45116</v>
      </c>
      <c r="Z132" s="2079">
        <f t="shared" si="137"/>
        <v>45108</v>
      </c>
      <c r="AA132" s="2030">
        <f t="shared" si="138"/>
        <v>-8</v>
      </c>
      <c r="AB132" s="2032">
        <f t="shared" si="140"/>
        <v>71188.663</v>
      </c>
      <c r="AC132" s="2032">
        <f t="shared" si="141"/>
        <v>13729.242149999998</v>
      </c>
      <c r="AD132" s="2032">
        <f t="shared" si="142"/>
        <v>84917.905150000006</v>
      </c>
      <c r="AE132" s="2032">
        <f t="shared" si="146"/>
        <v>8565396.6839000005</v>
      </c>
    </row>
    <row r="133" spans="1:33" hidden="1" outlineLevel="1">
      <c r="A133" s="1352">
        <v>13</v>
      </c>
      <c r="B133" s="810" t="str">
        <f t="shared" si="122"/>
        <v>IPA No. 013</v>
      </c>
      <c r="C133" s="2023">
        <v>45069</v>
      </c>
      <c r="D133" s="2024" t="s">
        <v>2129</v>
      </c>
      <c r="E133" s="2025">
        <v>45084</v>
      </c>
      <c r="F133" s="2026">
        <f>+F121+30582988</f>
        <v>36495906</v>
      </c>
      <c r="G133" s="2026">
        <f t="shared" si="143"/>
        <v>12053931.039999999</v>
      </c>
      <c r="H133" s="2026">
        <f t="shared" si="144"/>
        <v>-2410786.2080000001</v>
      </c>
      <c r="I133" s="2026">
        <f t="shared" si="124"/>
        <v>-1205393.1040000001</v>
      </c>
      <c r="J133" s="2026">
        <f t="shared" si="118"/>
        <v>8437751.7279999983</v>
      </c>
      <c r="K133" s="2027"/>
      <c r="L133" s="1352">
        <v>13</v>
      </c>
      <c r="M133" s="2034" t="s">
        <v>2130</v>
      </c>
      <c r="N133" s="2025">
        <v>45120</v>
      </c>
      <c r="O133" s="2029">
        <f t="shared" si="134"/>
        <v>45112</v>
      </c>
      <c r="P133" s="2030">
        <f t="shared" si="139"/>
        <v>-8</v>
      </c>
      <c r="Q133" s="2080">
        <f t="shared" si="135"/>
        <v>19984642.869999997</v>
      </c>
      <c r="R133" s="2026">
        <v>11957304.529999999</v>
      </c>
      <c r="S133" s="2026">
        <f>(R133*S$65)*-1-0.01</f>
        <v>-2391460.9159999997</v>
      </c>
      <c r="T133" s="2026">
        <f t="shared" si="136"/>
        <v>-1195730.453</v>
      </c>
      <c r="U133" s="2031">
        <f t="shared" si="145"/>
        <v>8370113.1610000003</v>
      </c>
      <c r="V133" s="2027"/>
      <c r="W133" s="1352"/>
      <c r="X133" s="2029"/>
      <c r="Y133" s="2025">
        <v>45147</v>
      </c>
      <c r="Z133" s="2079">
        <f t="shared" si="137"/>
        <v>45140</v>
      </c>
      <c r="AA133" s="2030">
        <f t="shared" si="138"/>
        <v>-7</v>
      </c>
      <c r="AB133" s="2032">
        <f t="shared" si="140"/>
        <v>8370113.1610000003</v>
      </c>
      <c r="AC133" s="2031">
        <f t="shared" si="141"/>
        <v>1614236.1115499998</v>
      </c>
      <c r="AD133" s="2031">
        <f t="shared" si="142"/>
        <v>9984349.2725499999</v>
      </c>
      <c r="AE133" s="2032">
        <f t="shared" si="146"/>
        <v>18549745.95645</v>
      </c>
    </row>
    <row r="134" spans="1:33" ht="24" hidden="1" outlineLevel="1">
      <c r="A134" s="1352">
        <v>14</v>
      </c>
      <c r="B134" s="810" t="str">
        <f t="shared" si="122"/>
        <v>IPA No. 014</v>
      </c>
      <c r="C134" s="2023">
        <v>45100</v>
      </c>
      <c r="D134" s="2024" t="s">
        <v>2272</v>
      </c>
      <c r="E134" s="2025">
        <v>45115</v>
      </c>
      <c r="F134" s="2026">
        <f>+$F$121+39498203.79</f>
        <v>45411121.789999999</v>
      </c>
      <c r="G134" s="2026">
        <f t="shared" si="143"/>
        <v>8915215.7899999991</v>
      </c>
      <c r="H134" s="2026">
        <f t="shared" si="144"/>
        <v>-1783043.1579999998</v>
      </c>
      <c r="I134" s="2026">
        <f t="shared" si="124"/>
        <v>-891521.57899999991</v>
      </c>
      <c r="J134" s="2026">
        <f t="shared" si="118"/>
        <v>6240651.0529999994</v>
      </c>
      <c r="K134" s="2082"/>
      <c r="L134" s="1352">
        <v>14</v>
      </c>
      <c r="M134" s="2034" t="s">
        <v>2273</v>
      </c>
      <c r="N134" s="2025">
        <v>45127</v>
      </c>
      <c r="O134" s="2029">
        <v>45143</v>
      </c>
      <c r="P134" s="2030">
        <f t="shared" si="139"/>
        <v>16</v>
      </c>
      <c r="Q134" s="2080">
        <f t="shared" ref="Q134:Q139" si="147">+Q133+R134</f>
        <v>27256556.739999998</v>
      </c>
      <c r="R134" s="2026">
        <v>7271913.8700000001</v>
      </c>
      <c r="S134" s="2026">
        <v>0</v>
      </c>
      <c r="T134" s="2026">
        <f>(R134*T$65)*-1</f>
        <v>-727191.3870000001</v>
      </c>
      <c r="U134" s="2031">
        <f t="shared" si="145"/>
        <v>6544722.483</v>
      </c>
      <c r="V134" s="2082"/>
      <c r="W134" s="2081"/>
      <c r="X134" s="2084"/>
      <c r="Y134" s="2025">
        <v>45187</v>
      </c>
      <c r="Z134" s="2079">
        <f t="shared" si="137"/>
        <v>45171</v>
      </c>
      <c r="AA134" s="2030">
        <f t="shared" si="138"/>
        <v>-16</v>
      </c>
      <c r="AB134" s="2032">
        <f t="shared" si="140"/>
        <v>6544722.483</v>
      </c>
      <c r="AC134" s="2031">
        <f t="shared" si="141"/>
        <v>981708.37244999991</v>
      </c>
      <c r="AD134" s="2031">
        <f t="shared" si="142"/>
        <v>7526430.8554499997</v>
      </c>
      <c r="AE134" s="2032">
        <f t="shared" si="146"/>
        <v>26076176.811900001</v>
      </c>
    </row>
    <row r="135" spans="1:33" ht="24" hidden="1" outlineLevel="1">
      <c r="A135" s="1352">
        <v>15</v>
      </c>
      <c r="B135" s="810" t="str">
        <f t="shared" si="122"/>
        <v>IPA No. 015</v>
      </c>
      <c r="C135" s="2023">
        <v>45130</v>
      </c>
      <c r="D135" s="2024" t="s">
        <v>2496</v>
      </c>
      <c r="E135" s="2025">
        <v>45147</v>
      </c>
      <c r="F135" s="2026">
        <f>+$F$121+40324171.38</f>
        <v>46237089.380000003</v>
      </c>
      <c r="G135" s="2026">
        <f t="shared" si="143"/>
        <v>825967.59000000358</v>
      </c>
      <c r="H135" s="2026">
        <f t="shared" si="144"/>
        <v>-165193.51800000074</v>
      </c>
      <c r="I135" s="2026">
        <f t="shared" si="124"/>
        <v>-82596.759000000369</v>
      </c>
      <c r="J135" s="2026">
        <f t="shared" si="118"/>
        <v>578177.31300000241</v>
      </c>
      <c r="K135" s="2082"/>
      <c r="L135" s="1352">
        <v>15</v>
      </c>
      <c r="M135" s="2034" t="s">
        <v>2524</v>
      </c>
      <c r="N135" s="2025">
        <v>45176</v>
      </c>
      <c r="O135" s="2029">
        <f>E135+28</f>
        <v>45175</v>
      </c>
      <c r="P135" s="2030">
        <f t="shared" si="139"/>
        <v>-1</v>
      </c>
      <c r="Q135" s="2080">
        <f t="shared" si="147"/>
        <v>29849670.459999997</v>
      </c>
      <c r="R135" s="2804">
        <v>2593113.7200000002</v>
      </c>
      <c r="S135" s="2804">
        <v>-2819922.09</v>
      </c>
      <c r="T135" s="2804">
        <v>-259311.38</v>
      </c>
      <c r="U135" s="2031">
        <f t="shared" si="145"/>
        <v>-486119.74999999965</v>
      </c>
      <c r="V135" s="2082"/>
      <c r="W135" s="2081"/>
      <c r="X135" s="2084"/>
      <c r="Y135" s="2025">
        <v>45244</v>
      </c>
      <c r="Z135" s="2079">
        <f t="shared" si="137"/>
        <v>45203</v>
      </c>
      <c r="AA135" s="2030">
        <f t="shared" ref="AA135:AA140" si="148">+Z135-Y135</f>
        <v>-41</v>
      </c>
      <c r="AB135" s="2032">
        <f t="shared" si="140"/>
        <v>-486119.74999999965</v>
      </c>
      <c r="AC135" s="2031">
        <f t="shared" si="141"/>
        <v>350070.35100000002</v>
      </c>
      <c r="AD135" s="2031">
        <f t="shared" si="142"/>
        <v>-136049.39899999963</v>
      </c>
      <c r="AE135" s="2032">
        <f t="shared" si="146"/>
        <v>25940127.412900001</v>
      </c>
    </row>
    <row r="136" spans="1:33" ht="24" hidden="1" outlineLevel="1">
      <c r="A136" s="1352">
        <v>16</v>
      </c>
      <c r="B136" s="810" t="str">
        <f t="shared" si="122"/>
        <v>IPA No. 016</v>
      </c>
      <c r="C136" s="2023">
        <v>45161</v>
      </c>
      <c r="D136" s="2024" t="s">
        <v>2521</v>
      </c>
      <c r="E136" s="2025">
        <v>45179</v>
      </c>
      <c r="F136" s="2026">
        <f>+$F$121+41242759.04</f>
        <v>47155677.039999999</v>
      </c>
      <c r="G136" s="2026">
        <f t="shared" si="143"/>
        <v>918587.65999999642</v>
      </c>
      <c r="H136" s="2026">
        <f>(G136*$H$65)*-1+2474959.278</f>
        <v>2291241.7460000007</v>
      </c>
      <c r="I136" s="2026">
        <f>(G136*$I$65)*-1+2062137.95</f>
        <v>1970279.1840000004</v>
      </c>
      <c r="J136" s="2026">
        <f t="shared" si="118"/>
        <v>5180108.589999998</v>
      </c>
      <c r="K136" s="2082"/>
      <c r="L136" s="1352">
        <v>16</v>
      </c>
      <c r="M136" s="2034" t="s">
        <v>2523</v>
      </c>
      <c r="N136" s="2025">
        <v>45188</v>
      </c>
      <c r="O136" s="2029">
        <f>E136+28</f>
        <v>45207</v>
      </c>
      <c r="P136" s="2030">
        <f t="shared" si="139"/>
        <v>19</v>
      </c>
      <c r="Q136" s="2080">
        <f t="shared" si="147"/>
        <v>30768326.959999997</v>
      </c>
      <c r="R136" s="2804">
        <v>918656.5</v>
      </c>
      <c r="S136" s="2804">
        <v>-183731.3</v>
      </c>
      <c r="T136" s="2804">
        <v>-91865.65</v>
      </c>
      <c r="U136" s="2031">
        <f t="shared" si="145"/>
        <v>643059.54999999993</v>
      </c>
      <c r="V136" s="2082"/>
      <c r="W136" s="2081"/>
      <c r="X136" s="2084"/>
      <c r="Y136" s="2025">
        <v>45244</v>
      </c>
      <c r="Z136" s="2079">
        <f t="shared" si="137"/>
        <v>45235</v>
      </c>
      <c r="AA136" s="2030">
        <f t="shared" si="148"/>
        <v>-9</v>
      </c>
      <c r="AB136" s="2032">
        <f t="shared" si="140"/>
        <v>643059.54999999993</v>
      </c>
      <c r="AC136" s="2031">
        <f t="shared" si="141"/>
        <v>124018.62749999999</v>
      </c>
      <c r="AD136" s="2031">
        <f t="shared" si="142"/>
        <v>767078.17749999987</v>
      </c>
      <c r="AE136" s="2032">
        <f t="shared" si="146"/>
        <v>26707205.590399999</v>
      </c>
    </row>
    <row r="137" spans="1:33" ht="24" hidden="1" outlineLevel="1">
      <c r="A137" s="1352">
        <v>17</v>
      </c>
      <c r="B137" s="810" t="str">
        <f t="shared" si="122"/>
        <v>IPA No. 017</v>
      </c>
      <c r="C137" s="3227" t="s">
        <v>2605</v>
      </c>
      <c r="D137" s="2024" t="s">
        <v>2604</v>
      </c>
      <c r="E137" s="2025">
        <v>45229</v>
      </c>
      <c r="F137" s="2026">
        <f>+F121+42018508</f>
        <v>47931426</v>
      </c>
      <c r="G137" s="2026">
        <f t="shared" si="143"/>
        <v>775748.96000000089</v>
      </c>
      <c r="H137" s="2804">
        <v>-139325.47000000099</v>
      </c>
      <c r="I137" s="2804">
        <v>-38787.445999999996</v>
      </c>
      <c r="J137" s="2026">
        <f t="shared" si="118"/>
        <v>597636.04399999988</v>
      </c>
      <c r="K137" s="2082"/>
      <c r="L137" s="1352">
        <v>17</v>
      </c>
      <c r="M137" s="2034" t="s">
        <v>2606</v>
      </c>
      <c r="N137" s="2025">
        <v>45265</v>
      </c>
      <c r="O137" s="2029">
        <f>E137+28</f>
        <v>45257</v>
      </c>
      <c r="P137" s="2030">
        <f t="shared" si="139"/>
        <v>-8</v>
      </c>
      <c r="Q137" s="2080">
        <f t="shared" si="147"/>
        <v>31568232.539999995</v>
      </c>
      <c r="R137" s="2804">
        <v>799905.58</v>
      </c>
      <c r="S137" s="2804">
        <v>-94919.63</v>
      </c>
      <c r="T137" s="2804">
        <f>-79990.55+1282765.73</f>
        <v>1202775.18</v>
      </c>
      <c r="U137" s="2031">
        <f t="shared" si="145"/>
        <v>1907761.13</v>
      </c>
      <c r="V137" s="2082"/>
      <c r="W137" s="2081"/>
      <c r="X137" s="2084"/>
      <c r="Y137" s="2025">
        <v>45285</v>
      </c>
      <c r="Z137" s="2025">
        <f t="shared" si="137"/>
        <v>45285</v>
      </c>
      <c r="AA137" s="2030">
        <f t="shared" si="148"/>
        <v>0</v>
      </c>
      <c r="AB137" s="2032">
        <f t="shared" si="140"/>
        <v>1907761.13</v>
      </c>
      <c r="AC137" s="2031">
        <f t="shared" si="141"/>
        <v>300402.11399999994</v>
      </c>
      <c r="AD137" s="2031">
        <f t="shared" si="142"/>
        <v>2208163.2439999999</v>
      </c>
      <c r="AE137" s="2032">
        <f t="shared" si="146"/>
        <v>28915368.834399998</v>
      </c>
    </row>
    <row r="138" spans="1:33" ht="26.25" hidden="1" customHeight="1" outlineLevel="1">
      <c r="A138" s="2081">
        <f>+A111</f>
        <v>18</v>
      </c>
      <c r="B138" s="810" t="str">
        <f t="shared" si="122"/>
        <v>IPA No. 018</v>
      </c>
      <c r="C138" s="3227">
        <f t="shared" ref="C138:E140" si="149">+C111</f>
        <v>45467</v>
      </c>
      <c r="D138" s="3576" t="str">
        <f t="shared" si="149"/>
        <v>1TB04400-005C13-NSC-LTR-0402-0</v>
      </c>
      <c r="E138" s="2083">
        <f t="shared" si="149"/>
        <v>45469</v>
      </c>
      <c r="F138" s="2804">
        <v>31734099.530000001</v>
      </c>
      <c r="G138" s="2804">
        <v>930750</v>
      </c>
      <c r="H138" s="2804">
        <v>0</v>
      </c>
      <c r="I138" s="2804">
        <f>-93075+46537.5</f>
        <v>-46537.5</v>
      </c>
      <c r="J138" s="2026">
        <f t="shared" si="118"/>
        <v>884212.5</v>
      </c>
      <c r="K138" s="2082"/>
      <c r="L138" s="2081">
        <f t="shared" ref="L138:O140" si="150">+L111</f>
        <v>18</v>
      </c>
      <c r="M138" s="3577" t="str">
        <f t="shared" si="150"/>
        <v>1TB04400-400000-AMA-LTR-0053</v>
      </c>
      <c r="N138" s="2025">
        <f t="shared" si="150"/>
        <v>45482</v>
      </c>
      <c r="O138" s="2025">
        <f t="shared" si="150"/>
        <v>45497</v>
      </c>
      <c r="P138" s="2030">
        <f t="shared" si="139"/>
        <v>15</v>
      </c>
      <c r="Q138" s="2080">
        <f t="shared" si="147"/>
        <v>32498982.539999995</v>
      </c>
      <c r="R138" s="2804">
        <v>930750</v>
      </c>
      <c r="S138" s="2804">
        <v>0</v>
      </c>
      <c r="T138" s="2804">
        <f>-93075+46537.5</f>
        <v>-46537.5</v>
      </c>
      <c r="U138" s="2031">
        <f t="shared" si="145"/>
        <v>884212.5</v>
      </c>
      <c r="V138" s="2082"/>
      <c r="W138" s="2081"/>
      <c r="X138" s="2084"/>
      <c r="Y138" s="2083">
        <f>+Y111</f>
        <v>45553</v>
      </c>
      <c r="Z138" s="2083">
        <f>+Z111</f>
        <v>45525</v>
      </c>
      <c r="AA138" s="2030">
        <f t="shared" si="148"/>
        <v>-28</v>
      </c>
      <c r="AB138" s="2032">
        <f t="shared" si="140"/>
        <v>884212.5</v>
      </c>
      <c r="AC138" s="2031">
        <f t="shared" si="141"/>
        <v>132631.875</v>
      </c>
      <c r="AD138" s="2031">
        <f t="shared" si="142"/>
        <v>1016844.375</v>
      </c>
      <c r="AE138" s="2032">
        <f t="shared" si="146"/>
        <v>29932213.209399998</v>
      </c>
    </row>
    <row r="139" spans="1:33" ht="24" hidden="1" outlineLevel="1">
      <c r="A139" s="2081">
        <f>+A112</f>
        <v>19</v>
      </c>
      <c r="B139" s="810" t="str">
        <f t="shared" si="122"/>
        <v>IPA No. 019</v>
      </c>
      <c r="C139" s="3227">
        <f t="shared" si="149"/>
        <v>45528</v>
      </c>
      <c r="D139" s="3576" t="str">
        <f t="shared" si="149"/>
        <v>1TB04400-005C13-NSC-LTR-0405</v>
      </c>
      <c r="E139" s="2083">
        <f t="shared" si="149"/>
        <v>45538</v>
      </c>
      <c r="F139" s="2804">
        <f>+F138</f>
        <v>31734099.530000001</v>
      </c>
      <c r="G139" s="2804">
        <v>5148035</v>
      </c>
      <c r="H139" s="2804">
        <v>0</v>
      </c>
      <c r="I139" s="2804">
        <f>-514803.5+257401.75</f>
        <v>-257401.75</v>
      </c>
      <c r="J139" s="2026">
        <f t="shared" si="118"/>
        <v>4890633.25</v>
      </c>
      <c r="K139" s="2082"/>
      <c r="L139" s="2081">
        <f t="shared" si="150"/>
        <v>19</v>
      </c>
      <c r="M139" s="3577" t="str">
        <f t="shared" si="150"/>
        <v>1TB04400-400000-AMA-LTR-0054</v>
      </c>
      <c r="N139" s="2025">
        <f t="shared" si="150"/>
        <v>45551</v>
      </c>
      <c r="O139" s="2025">
        <f t="shared" si="150"/>
        <v>45566</v>
      </c>
      <c r="P139" s="2030">
        <f t="shared" si="139"/>
        <v>15</v>
      </c>
      <c r="Q139" s="2080">
        <f t="shared" si="147"/>
        <v>37647017.539999992</v>
      </c>
      <c r="R139" s="2804">
        <v>5148035</v>
      </c>
      <c r="S139" s="2804">
        <v>0</v>
      </c>
      <c r="T139" s="2804">
        <f>-514803.5+257401.75</f>
        <v>-257401.75</v>
      </c>
      <c r="U139" s="2031">
        <f t="shared" si="145"/>
        <v>4890633.25</v>
      </c>
      <c r="V139" s="2082"/>
      <c r="W139" s="3578"/>
      <c r="X139" s="3579"/>
      <c r="Y139" s="3580">
        <v>45596</v>
      </c>
      <c r="Z139" s="3580">
        <f>+Z112</f>
        <v>45594</v>
      </c>
      <c r="AA139" s="2030">
        <f t="shared" si="148"/>
        <v>-2</v>
      </c>
      <c r="AB139" s="2032">
        <f t="shared" si="140"/>
        <v>4890633.25</v>
      </c>
      <c r="AC139" s="2031">
        <f>(R139+T139)*AC$38</f>
        <v>733594.98749999993</v>
      </c>
      <c r="AD139" s="2031">
        <f>AC139+AB139</f>
        <v>5624228.2374999998</v>
      </c>
      <c r="AE139" s="2032">
        <f>AE138+AD139</f>
        <v>35556441.446899995</v>
      </c>
    </row>
    <row r="140" spans="1:33" ht="24" hidden="1" outlineLevel="1">
      <c r="A140" s="2081">
        <f>+A113</f>
        <v>20</v>
      </c>
      <c r="B140" s="810" t="str">
        <f t="shared" si="122"/>
        <v>IPA No. 020</v>
      </c>
      <c r="C140" s="3227">
        <f t="shared" si="149"/>
        <v>45589</v>
      </c>
      <c r="D140" s="3576" t="str">
        <f t="shared" si="149"/>
        <v>1TB04400-005C13-NSC-LTR-0408</v>
      </c>
      <c r="E140" s="2083">
        <f t="shared" si="149"/>
        <v>45579</v>
      </c>
      <c r="F140" s="2804">
        <f>+F139+G140</f>
        <v>34014498.109999999</v>
      </c>
      <c r="G140" s="2804">
        <v>2280398.58</v>
      </c>
      <c r="H140" s="2804">
        <v>0</v>
      </c>
      <c r="I140" s="2804">
        <f>1814744.84-228039.86</f>
        <v>1586704.98</v>
      </c>
      <c r="J140" s="2026">
        <f>G140+H140+I140</f>
        <v>3867103.56</v>
      </c>
      <c r="K140" s="2082"/>
      <c r="L140" s="2081">
        <f t="shared" si="150"/>
        <v>20</v>
      </c>
      <c r="M140" s="3577" t="str">
        <f t="shared" si="150"/>
        <v>1TB04400-400000-AMA-LTR-0057</v>
      </c>
      <c r="N140" s="2025">
        <f t="shared" si="150"/>
        <v>45635</v>
      </c>
      <c r="O140" s="2025">
        <f t="shared" si="150"/>
        <v>45607</v>
      </c>
      <c r="P140" s="2030">
        <f>O140-N140</f>
        <v>-28</v>
      </c>
      <c r="Q140" s="2080">
        <f>+Q139+R140</f>
        <v>39927416.11999999</v>
      </c>
      <c r="R140" s="2804">
        <v>2280398.58</v>
      </c>
      <c r="S140" s="2804">
        <v>0</v>
      </c>
      <c r="T140" s="2804">
        <f>1814744.84-228039.86</f>
        <v>1586704.98</v>
      </c>
      <c r="U140" s="2031">
        <f>R140+S140+T140</f>
        <v>3867103.56</v>
      </c>
      <c r="V140" s="2082"/>
      <c r="W140" s="3578"/>
      <c r="X140" s="3579"/>
      <c r="Y140" s="3580">
        <v>45596</v>
      </c>
      <c r="Z140" s="3580">
        <f>+Z113</f>
        <v>45635</v>
      </c>
      <c r="AA140" s="2030">
        <f t="shared" si="148"/>
        <v>39</v>
      </c>
      <c r="AB140" s="2032">
        <f>U140</f>
        <v>3867103.56</v>
      </c>
      <c r="AC140" s="2031">
        <f>(R140+T140)*AC$38</f>
        <v>580065.53399999999</v>
      </c>
      <c r="AD140" s="2031">
        <f>AC140+AB140</f>
        <v>4447169.0940000005</v>
      </c>
      <c r="AE140" s="2032">
        <f>AE139+AD140</f>
        <v>40003610.540899992</v>
      </c>
    </row>
    <row r="141" spans="1:33" ht="24.75" hidden="1" customHeight="1" outlineLevel="1" thickBot="1">
      <c r="A141" s="6045" t="s">
        <v>1522</v>
      </c>
      <c r="B141" s="6046"/>
      <c r="C141" s="6046"/>
      <c r="D141" s="6046"/>
      <c r="E141" s="6046"/>
      <c r="F141" s="6047"/>
      <c r="G141" s="1338">
        <f>SUM(G121:G140)</f>
        <v>56290609.579999998</v>
      </c>
      <c r="H141" s="1338">
        <f>SUM(H121:H140)</f>
        <v>-5912918</v>
      </c>
      <c r="I141" s="1338">
        <f>SUM(I121:I140)</f>
        <v>-818159.66999999993</v>
      </c>
      <c r="J141" s="1338">
        <f>SUM(J121:J140)</f>
        <v>49559531.909999996</v>
      </c>
      <c r="K141" s="1256"/>
      <c r="L141" s="1339" t="s">
        <v>1522</v>
      </c>
      <c r="M141" s="1340"/>
      <c r="N141" s="1340"/>
      <c r="O141" s="1340"/>
      <c r="P141" s="1340"/>
      <c r="Q141" s="1340"/>
      <c r="R141" s="1341">
        <f>SUM(R121:R140)</f>
        <v>39927416.11999999</v>
      </c>
      <c r="S141" s="1338">
        <f>SUM(S121:S140)</f>
        <v>-5912918.0039999997</v>
      </c>
      <c r="T141" s="1338">
        <f>SUM(T121:T140)</f>
        <v>5.9999998193234205E-3</v>
      </c>
      <c r="U141" s="1338">
        <f>SUM(U121:U140)</f>
        <v>34014498.122000001</v>
      </c>
      <c r="V141" s="1256"/>
      <c r="W141" s="1342" t="s">
        <v>1522</v>
      </c>
      <c r="X141" s="1343"/>
      <c r="Y141" s="1343"/>
      <c r="Z141" s="1343"/>
      <c r="AA141" s="1343"/>
      <c r="AB141" s="1341">
        <f>SUM(AB121:AB140)</f>
        <v>34014498.122000001</v>
      </c>
      <c r="AC141" s="1338">
        <f>SUM(AC121:AC140)</f>
        <v>5989112.4188999999</v>
      </c>
      <c r="AD141" s="1338">
        <f>SUM(AD121:AD140)</f>
        <v>40003610.540899992</v>
      </c>
      <c r="AE141" s="1338">
        <f>AE140</f>
        <v>40003610.540899992</v>
      </c>
    </row>
    <row r="142" spans="1:33" collapsed="1">
      <c r="A142" s="1255"/>
      <c r="B142" s="1256"/>
      <c r="C142" s="1255"/>
      <c r="D142" s="1257"/>
      <c r="E142" s="1257"/>
      <c r="F142" s="1258"/>
      <c r="G142" s="1258"/>
      <c r="H142" s="1258"/>
      <c r="I142" s="1258"/>
      <c r="J142" s="1258"/>
      <c r="K142" s="1257"/>
      <c r="L142" s="1255"/>
      <c r="M142" s="1255"/>
      <c r="N142" s="1255"/>
      <c r="O142" s="1255"/>
      <c r="P142" s="1255"/>
      <c r="Q142" s="1255"/>
      <c r="R142" s="1255"/>
      <c r="S142" s="1255"/>
      <c r="T142" s="1255"/>
      <c r="U142" s="1259">
        <f>U114-T114</f>
        <v>16458381.530000003</v>
      </c>
      <c r="V142" s="1257"/>
      <c r="W142" s="1257"/>
      <c r="X142" s="1257"/>
      <c r="Y142" s="1257"/>
      <c r="Z142" s="1257"/>
      <c r="AA142" s="1257"/>
      <c r="AB142" s="1257"/>
      <c r="AC142" s="1257"/>
      <c r="AD142" s="1257"/>
      <c r="AE142" s="1257"/>
      <c r="AG142">
        <f>+AG115*1.1</f>
        <v>15269747.211065222</v>
      </c>
    </row>
    <row r="143" spans="1:33">
      <c r="A143" s="1360"/>
      <c r="B143" s="1256"/>
      <c r="C143" s="1255"/>
      <c r="D143" s="1257"/>
      <c r="E143" s="1361"/>
      <c r="F143" s="1258"/>
      <c r="G143" s="1258"/>
      <c r="H143" s="1258"/>
      <c r="I143" s="1258"/>
      <c r="J143" s="1258"/>
      <c r="K143" s="1256"/>
      <c r="L143" s="1360"/>
      <c r="M143" s="1360"/>
      <c r="N143" s="1362"/>
      <c r="O143" s="1362"/>
      <c r="P143" s="1362"/>
      <c r="Q143" s="1360"/>
      <c r="R143" s="1360"/>
      <c r="S143" s="1360"/>
      <c r="T143" s="1360"/>
      <c r="U143" s="1363">
        <v>22369868.059999999</v>
      </c>
      <c r="V143" s="1256"/>
      <c r="W143" s="1363">
        <f>U143-U141</f>
        <v>-11644630.062000003</v>
      </c>
      <c r="X143" s="1364"/>
      <c r="Y143" s="1362"/>
      <c r="Z143" s="1362"/>
      <c r="AA143" s="1362"/>
      <c r="AB143" s="1360"/>
      <c r="AC143" s="1364"/>
      <c r="AD143" s="1362"/>
      <c r="AE143" s="1362"/>
    </row>
    <row r="144" spans="1:33">
      <c r="A144" s="1360"/>
      <c r="B144" s="1256"/>
      <c r="C144" s="1255"/>
      <c r="D144" s="1257"/>
      <c r="E144" s="1361"/>
      <c r="F144" s="1258"/>
      <c r="G144" s="1258"/>
      <c r="H144" s="1258"/>
      <c r="I144" s="1258"/>
      <c r="J144" s="1258"/>
      <c r="K144" s="1256"/>
      <c r="L144" s="1360"/>
      <c r="M144" s="1360"/>
      <c r="N144" s="1362"/>
      <c r="O144" s="1362"/>
      <c r="P144" s="1257"/>
      <c r="Q144" s="1258"/>
      <c r="R144" s="1258"/>
      <c r="S144" s="1258">
        <f>SUM(S94:S105)</f>
        <v>-2793572.1700000004</v>
      </c>
      <c r="T144" s="1258">
        <f>SUM(T94:T105)</f>
        <v>-1396786.0850000002</v>
      </c>
      <c r="U144" s="1258">
        <f>SUM(U94:U105)</f>
        <v>13517209.395000001</v>
      </c>
      <c r="V144" s="1256"/>
      <c r="W144" s="1360"/>
      <c r="X144" s="1364"/>
      <c r="Y144" s="1362"/>
      <c r="Z144" s="1362"/>
      <c r="AA144" s="1362"/>
      <c r="AB144" s="1363">
        <f>+AB114+'Schedule H DAE'!AB69+'Schedule H SIC'!AB40+'Schedule H GBC'!AB37+'Schedule H HKS 1'!AB37+'Schedule H HKS 2'!AB37+'Schedule H ATM'!AB37</f>
        <v>38664502.1505</v>
      </c>
      <c r="AC144" s="2120">
        <v>7158940.71</v>
      </c>
      <c r="AD144" s="2830">
        <f>SUM(AD94:AD104)</f>
        <v>15389557.275200002</v>
      </c>
      <c r="AE144" s="1362"/>
    </row>
    <row r="145" spans="1:31">
      <c r="A145" s="1365"/>
      <c r="B145" s="1256"/>
      <c r="C145" s="1255"/>
      <c r="D145" s="1257"/>
      <c r="E145" s="1361"/>
      <c r="F145" s="1366"/>
      <c r="G145" s="1366"/>
      <c r="H145" s="1366"/>
      <c r="I145" s="1366"/>
      <c r="J145" s="1258"/>
      <c r="K145" s="1256"/>
      <c r="L145" s="1365"/>
      <c r="M145" s="1365"/>
      <c r="N145" s="1365"/>
      <c r="O145" s="1365"/>
      <c r="P145" s="1257"/>
      <c r="Q145" s="1366"/>
      <c r="R145" s="1366"/>
      <c r="S145" s="1366"/>
      <c r="T145" s="1366"/>
      <c r="U145" s="1366">
        <f>+U144-T144</f>
        <v>14913995.480000002</v>
      </c>
      <c r="V145" s="1256"/>
      <c r="W145" s="1365"/>
      <c r="X145" s="1365"/>
      <c r="Y145" s="1362"/>
      <c r="Z145" s="1362"/>
      <c r="AA145" s="1362"/>
      <c r="AB145" s="1365">
        <v>24973123</v>
      </c>
      <c r="AC145" s="2121">
        <f>+AB114-AC144</f>
        <v>9299440.8300000019</v>
      </c>
      <c r="AD145" s="1362"/>
      <c r="AE145" s="1362"/>
    </row>
    <row r="146" spans="1:31">
      <c r="D146" s="1257"/>
      <c r="F146" s="1366"/>
      <c r="P146" s="1257"/>
      <c r="Q146" s="1366"/>
      <c r="R146" s="1366"/>
      <c r="S146" s="1366">
        <f>SUM(S94:S104)</f>
        <v>-2656022.6240000003</v>
      </c>
      <c r="T146" s="1366">
        <f>SUM(T94:T104)</f>
        <v>-1328011.3120000002</v>
      </c>
      <c r="U146" s="1366">
        <f>SUM(U94:U104)</f>
        <v>13035785.984000001</v>
      </c>
      <c r="AB146" s="1367">
        <f>+AB145-AB144</f>
        <v>-13691379.1505</v>
      </c>
    </row>
    <row r="147" spans="1:31">
      <c r="D147" s="1257"/>
      <c r="F147" s="1366"/>
      <c r="P147" s="1257"/>
      <c r="Q147" s="1366"/>
      <c r="R147" s="1366"/>
      <c r="S147" s="1366"/>
      <c r="T147" s="1366"/>
      <c r="U147" s="1366">
        <f>+U146-T146</f>
        <v>14363797.296000002</v>
      </c>
    </row>
    <row r="148" spans="1:31">
      <c r="D148" s="1257"/>
      <c r="F148" s="1366"/>
      <c r="R148" s="652"/>
      <c r="S148" s="652"/>
      <c r="T148" s="652"/>
      <c r="U148" s="652"/>
      <c r="AB148">
        <f>+AB114*1.1</f>
        <v>18104219.694000006</v>
      </c>
    </row>
    <row r="149" spans="1:31">
      <c r="U149" s="3020">
        <v>22369868.059999999</v>
      </c>
    </row>
    <row r="151" spans="1:31">
      <c r="AB151" s="1367">
        <f>+AB114+'Schedule H DAE'!AB69+'Schedule H SIC'!AB40+'Schedule H GBC'!AB37+'Schedule H HKS 1'!AB37+'Schedule H HKS 2'!AB37+'Schedule H ATM'!AB37</f>
        <v>38664502.1505</v>
      </c>
    </row>
    <row r="155" spans="1:31">
      <c r="AB155" s="2122">
        <f>+AB114+'Schedule H DAE'!AB69+'Schedule H SIC'!AB40+'Schedule H GBC'!AB37+'Schedule H HKS 1'!AB37+'Schedule H HKS 2'!AB37+'Schedule H ATM'!AB37</f>
        <v>38664502.1505</v>
      </c>
      <c r="AC155" t="s">
        <v>1599</v>
      </c>
    </row>
    <row r="156" spans="1:31">
      <c r="AB156">
        <v>27545100.760000002</v>
      </c>
    </row>
  </sheetData>
  <mergeCells count="20">
    <mergeCell ref="A114:F114"/>
    <mergeCell ref="A141:F141"/>
    <mergeCell ref="A10:J10"/>
    <mergeCell ref="L10:U10"/>
    <mergeCell ref="W10:AE10"/>
    <mergeCell ref="A34:F34"/>
    <mergeCell ref="A117:J117"/>
    <mergeCell ref="L117:U117"/>
    <mergeCell ref="W117:AE117"/>
    <mergeCell ref="A36:J36"/>
    <mergeCell ref="L36:U36"/>
    <mergeCell ref="W36:AE36"/>
    <mergeCell ref="A60:F60"/>
    <mergeCell ref="A63:J63"/>
    <mergeCell ref="L63:U63"/>
    <mergeCell ref="W63:AE63"/>
    <mergeCell ref="A87:F87"/>
    <mergeCell ref="A90:J90"/>
    <mergeCell ref="L90:U90"/>
    <mergeCell ref="W90:AE90"/>
  </mergeCells>
  <phoneticPr fontId="347" type="noConversion"/>
  <printOptions horizontalCentered="1"/>
  <pageMargins left="0.25" right="0.25" top="0.75" bottom="0.75" header="0.3" footer="0.3"/>
  <pageSetup paperSize="8" scale="62" fitToHeight="2" orientation="landscape" r:id="rId1"/>
  <headerFooter>
    <oddHeader>&amp;C&amp;"Calibri,Bold"&amp;18MONTHLY REPORT - INVOICE &amp; PAYMENT TRACKING LOG (NSCC - PILING)</oddHeader>
    <oddFooter>&amp;L1TB.01.003.01 - AYC 
MARCH'26 REPORT&amp;C&amp;A&amp;RPage &amp;P of &amp;N</oddFooter>
  </headerFooter>
  <rowBreaks count="2" manualBreakCount="2">
    <brk id="88" max="30" man="1"/>
    <brk id="115" max="30" man="1"/>
  </rowBreaks>
  <legacy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35E55-BA34-4575-BECB-3C81B859EE04}">
  <sheetPr codeName="Sheet40">
    <tabColor theme="7" tint="0.39997558519241921"/>
    <pageSetUpPr fitToPage="1"/>
  </sheetPr>
  <dimension ref="A1:AH57"/>
  <sheetViews>
    <sheetView showGridLines="0" view="pageBreakPreview" topLeftCell="H1" zoomScale="90" zoomScaleNormal="100" zoomScaleSheetLayoutView="90" workbookViewId="0">
      <selection activeCell="C43" sqref="C43"/>
    </sheetView>
  </sheetViews>
  <sheetFormatPr defaultColWidth="9" defaultRowHeight="12.75"/>
  <cols>
    <col min="1" max="1" width="10.85546875" customWidth="1"/>
    <col min="2" max="2" width="10.42578125" customWidth="1"/>
    <col min="3" max="3" width="11.42578125" customWidth="1"/>
    <col min="4" max="4" width="10.85546875" bestFit="1" customWidth="1"/>
    <col min="5" max="5" width="9.85546875" bestFit="1" customWidth="1"/>
    <col min="6" max="6" width="14" customWidth="1"/>
    <col min="7" max="7" width="14.85546875" customWidth="1"/>
    <col min="8" max="9" width="13" customWidth="1"/>
    <col min="10" max="10" width="13.85546875" customWidth="1"/>
    <col min="11" max="11" width="0.85546875" customWidth="1"/>
    <col min="12" max="12" width="6" customWidth="1"/>
    <col min="13" max="13" width="17.85546875" style="2854" bestFit="1" customWidth="1"/>
    <col min="14" max="15" width="9" customWidth="1"/>
    <col min="16" max="16" width="7.85546875" customWidth="1"/>
    <col min="17" max="18" width="16" customWidth="1"/>
    <col min="19" max="20" width="12.85546875" customWidth="1"/>
    <col min="21" max="21" width="11.42578125" customWidth="1"/>
    <col min="22" max="22" width="14.5703125" customWidth="1"/>
    <col min="23" max="23" width="0.85546875" customWidth="1"/>
    <col min="24" max="24" width="14" bestFit="1" customWidth="1"/>
    <col min="25" max="25" width="9" customWidth="1"/>
    <col min="26" max="26" width="9" hidden="1" customWidth="1"/>
    <col min="27" max="27" width="9" bestFit="1" customWidth="1"/>
    <col min="28" max="28" width="10" customWidth="1"/>
    <col min="29" max="29" width="7" customWidth="1"/>
    <col min="30" max="30" width="14" customWidth="1"/>
    <col min="31" max="31" width="15" customWidth="1"/>
    <col min="32" max="33" width="14" customWidth="1"/>
    <col min="34" max="34" width="13.5703125" bestFit="1" customWidth="1"/>
  </cols>
  <sheetData>
    <row r="1" spans="1:34">
      <c r="A1" s="1255"/>
      <c r="B1" s="1256"/>
      <c r="C1" s="1255"/>
      <c r="D1" s="1257"/>
      <c r="E1" s="1257"/>
      <c r="F1" s="1258"/>
      <c r="G1" s="1258"/>
      <c r="H1" s="1258"/>
      <c r="I1" s="1258"/>
      <c r="J1" s="1258"/>
      <c r="K1" s="1257"/>
      <c r="L1" s="1255"/>
      <c r="M1" s="2848"/>
      <c r="N1" s="1255"/>
      <c r="O1" s="1255"/>
      <c r="P1" s="1255"/>
      <c r="Q1" s="1255"/>
      <c r="R1" s="1255"/>
      <c r="S1" s="1255"/>
      <c r="T1" s="1255"/>
      <c r="U1" s="1255"/>
      <c r="V1" s="1259"/>
      <c r="W1" s="1257"/>
      <c r="X1" s="1257"/>
      <c r="Y1" s="1257"/>
      <c r="Z1" s="1257"/>
      <c r="AA1" s="1257"/>
      <c r="AB1" s="1257"/>
      <c r="AC1" s="1257"/>
      <c r="AD1" s="1257"/>
      <c r="AE1" s="1257"/>
      <c r="AF1" s="1257"/>
      <c r="AG1" s="1257"/>
    </row>
    <row r="2" spans="1:34">
      <c r="A2" s="9" t="str">
        <f>'Data Input'!A1&amp;" - "&amp;'Data Input'!B1</f>
        <v>PROGRAMME: - MARINA VILLAGE (PROGRAMME 1_TRIPLE BAY)</v>
      </c>
      <c r="B2" s="1256"/>
      <c r="C2" s="1255"/>
      <c r="D2" s="1257"/>
      <c r="E2" s="1257"/>
      <c r="F2" s="1258"/>
      <c r="G2" s="1258"/>
      <c r="H2" s="1258"/>
      <c r="I2" s="1258"/>
      <c r="J2" s="1258"/>
      <c r="K2" s="1257"/>
      <c r="L2" s="1255"/>
      <c r="M2" s="2848"/>
      <c r="N2" s="1255"/>
      <c r="O2" s="1255"/>
      <c r="P2" s="1255"/>
      <c r="Q2" s="1255"/>
      <c r="R2" s="1255"/>
      <c r="S2" s="1255"/>
      <c r="T2" s="1255"/>
      <c r="U2" s="1255"/>
      <c r="V2" s="1259"/>
      <c r="W2" s="1257"/>
      <c r="X2" s="1257"/>
      <c r="Y2" s="1257"/>
      <c r="Z2" s="1257"/>
      <c r="AA2" s="1257"/>
      <c r="AB2" s="1257"/>
      <c r="AC2" s="1257"/>
      <c r="AD2" s="1257"/>
      <c r="AE2" s="1257"/>
      <c r="AF2" s="1257"/>
      <c r="AG2" s="1257"/>
    </row>
    <row r="3" spans="1:34">
      <c r="A3" s="9" t="str">
        <f>'Data Input'!A2&amp;" - "&amp;'Data Input'!B2</f>
        <v>PROGRAMME CODE: - 1TB01003</v>
      </c>
      <c r="B3" s="1260"/>
      <c r="C3" s="1261"/>
      <c r="D3" s="1262"/>
      <c r="E3" s="1262"/>
      <c r="F3" s="1263"/>
      <c r="G3" s="1263"/>
      <c r="H3" s="1263"/>
      <c r="I3" s="1263"/>
      <c r="J3" s="1264"/>
      <c r="K3" s="1265"/>
      <c r="L3" s="1265"/>
      <c r="M3" s="1262"/>
      <c r="N3" s="1265"/>
      <c r="O3" s="1266"/>
      <c r="P3" s="1265"/>
      <c r="Q3" s="1265"/>
      <c r="R3" s="1265"/>
      <c r="S3" s="1265"/>
      <c r="T3" s="1265"/>
      <c r="U3" s="1265"/>
      <c r="V3" s="1267"/>
      <c r="W3" s="1265"/>
      <c r="X3" s="1265"/>
      <c r="Y3" s="1265"/>
      <c r="Z3" s="1265"/>
      <c r="AA3" s="1265"/>
      <c r="AB3" s="1265"/>
      <c r="AC3" s="1265"/>
      <c r="AD3" s="1265"/>
      <c r="AE3" s="1265"/>
      <c r="AF3" s="1265"/>
      <c r="AG3" s="1265"/>
    </row>
    <row r="4" spans="1:34">
      <c r="A4" s="9" t="str">
        <f>'Data Input'!A3&amp;" - "&amp;'Data Input'!B3</f>
        <v>ASSET NAME: - AMAALA YACHT CLUB</v>
      </c>
      <c r="B4" s="1260"/>
      <c r="C4" s="1268"/>
      <c r="D4" s="1265"/>
      <c r="E4" s="1265"/>
      <c r="F4" s="1267"/>
      <c r="G4" s="1267"/>
      <c r="H4" s="1267"/>
      <c r="I4" s="1267"/>
      <c r="J4" s="1269"/>
      <c r="K4" s="1265"/>
      <c r="L4" s="1265"/>
      <c r="M4" s="1262"/>
      <c r="N4" s="1265"/>
      <c r="O4" s="1266"/>
      <c r="P4" s="1265"/>
      <c r="Q4" s="1265"/>
      <c r="R4" s="1265"/>
      <c r="S4" s="1265"/>
      <c r="T4" s="1265"/>
      <c r="U4" s="1265"/>
      <c r="V4" s="1267"/>
      <c r="W4" s="1265"/>
      <c r="X4" s="1265"/>
      <c r="Y4" s="1265"/>
      <c r="Z4" s="1265"/>
      <c r="AA4" s="1265"/>
      <c r="AB4" s="1265"/>
      <c r="AC4" s="1265"/>
      <c r="AD4" s="1265"/>
      <c r="AE4" s="1265"/>
      <c r="AF4" s="1265"/>
      <c r="AG4" s="1265"/>
    </row>
    <row r="5" spans="1:34">
      <c r="A5" s="9" t="str">
        <f>'Data Input'!A4&amp;" - "&amp;'Data Input'!B4</f>
        <v>ASSET CODE: - 1TB01003.01</v>
      </c>
      <c r="B5" s="1270"/>
      <c r="C5" s="1268"/>
      <c r="D5" s="1265"/>
      <c r="E5" s="1265"/>
      <c r="F5" s="1267"/>
      <c r="G5" s="1267"/>
      <c r="H5" s="1267"/>
      <c r="I5" s="1267"/>
      <c r="J5" s="1269"/>
      <c r="K5" s="1265"/>
      <c r="L5" s="1265"/>
      <c r="M5" s="1262"/>
      <c r="N5" s="1265"/>
      <c r="O5" s="1266"/>
      <c r="P5" s="1265"/>
      <c r="Q5" s="1265"/>
      <c r="R5" s="1271"/>
      <c r="S5" s="1265"/>
      <c r="T5" s="1265"/>
      <c r="U5" s="1265"/>
      <c r="V5" s="1267"/>
      <c r="W5" s="1265"/>
      <c r="X5" s="1265"/>
      <c r="Y5" s="1265"/>
      <c r="Z5" s="1265"/>
      <c r="AA5" s="1265"/>
      <c r="AB5" s="1265"/>
      <c r="AC5" s="1265"/>
      <c r="AD5" s="1265"/>
      <c r="AE5" s="1265"/>
      <c r="AF5" s="1265"/>
      <c r="AG5" s="1265"/>
    </row>
    <row r="6" spans="1:34">
      <c r="A6" s="9" t="str">
        <f>'Data Input'!A7&amp;" - "&amp;'Data Input'!B7</f>
        <v>REPORT NO: - MONTHLY REPORT NO. 49</v>
      </c>
      <c r="B6" s="1272"/>
      <c r="C6" s="1268"/>
      <c r="D6" s="1265"/>
      <c r="E6" s="1265"/>
      <c r="F6" s="1267"/>
      <c r="G6" s="1267"/>
      <c r="H6" s="1267"/>
      <c r="I6" s="1267"/>
      <c r="J6" s="1269"/>
      <c r="K6" s="1265"/>
      <c r="L6" s="1265"/>
      <c r="M6" s="1262"/>
      <c r="N6" s="1265"/>
      <c r="O6" s="1266"/>
      <c r="P6" s="1265"/>
      <c r="Q6" s="1265"/>
      <c r="R6" s="1273"/>
      <c r="S6" s="1265"/>
      <c r="T6" s="1271"/>
      <c r="U6" s="1271"/>
      <c r="V6" s="1267"/>
      <c r="W6" s="1265"/>
      <c r="X6" s="1265"/>
      <c r="Y6" s="1265"/>
      <c r="Z6" s="1265"/>
      <c r="AA6" s="1265"/>
      <c r="AB6" s="1265"/>
      <c r="AC6" s="1265"/>
      <c r="AD6" s="1265"/>
      <c r="AE6" s="1265"/>
      <c r="AF6" s="1265"/>
      <c r="AG6" s="1265"/>
    </row>
    <row r="7" spans="1:34">
      <c r="A7" s="9" t="str">
        <f>'Data Input'!A8&amp;" - "&amp;'Data Input'!B8</f>
        <v>REPORTING PERIOD: - OCTOBER 2026</v>
      </c>
      <c r="B7" s="1262"/>
      <c r="C7" s="1274"/>
      <c r="D7" s="1262"/>
      <c r="E7" s="1262"/>
      <c r="F7" s="1263"/>
      <c r="G7" s="1263"/>
      <c r="H7" s="1263"/>
      <c r="I7" s="1263"/>
      <c r="J7" s="1264"/>
      <c r="K7" s="1265"/>
      <c r="L7" s="1265"/>
      <c r="M7" s="1262"/>
      <c r="N7" s="1265"/>
      <c r="O7" s="1265"/>
      <c r="P7" s="1265"/>
      <c r="Q7" s="1267"/>
      <c r="R7" s="1263"/>
      <c r="S7" s="1263"/>
      <c r="T7" s="1263"/>
      <c r="U7" s="1263"/>
      <c r="V7" s="1267"/>
      <c r="W7" s="1265"/>
      <c r="X7" s="1265"/>
      <c r="Y7" s="1265"/>
      <c r="Z7" s="1265"/>
      <c r="AA7" s="1265"/>
      <c r="AB7" s="1265"/>
      <c r="AC7" s="1265"/>
      <c r="AD7" s="1265"/>
      <c r="AE7" s="1265"/>
      <c r="AF7" s="1265"/>
      <c r="AG7" s="1265"/>
    </row>
    <row r="8" spans="1:34" ht="13.5" thickBot="1">
      <c r="A8" s="9"/>
      <c r="B8" s="1256"/>
      <c r="C8" s="1255"/>
      <c r="D8" s="1257"/>
      <c r="E8" s="1257"/>
      <c r="F8" s="1258"/>
      <c r="G8" s="1258"/>
      <c r="H8" s="1258"/>
      <c r="I8" s="1258"/>
      <c r="J8" s="1258"/>
      <c r="K8" s="1257"/>
      <c r="L8" s="1255"/>
      <c r="M8" s="2848"/>
      <c r="N8" s="1275"/>
      <c r="O8" s="1276"/>
      <c r="P8" s="1255"/>
      <c r="Q8" s="1255"/>
      <c r="R8" s="1255"/>
      <c r="S8" s="1255"/>
      <c r="T8" s="1255"/>
      <c r="U8" s="1255"/>
      <c r="V8" s="1259"/>
      <c r="W8" s="1257"/>
      <c r="X8" s="1257"/>
      <c r="Y8" s="1257"/>
      <c r="Z8" s="1257"/>
      <c r="AA8" s="1257"/>
      <c r="AB8" s="1257"/>
      <c r="AC8" s="1257"/>
      <c r="AD8" s="1257"/>
      <c r="AE8" s="1257"/>
      <c r="AF8" s="1257"/>
      <c r="AG8" s="1257"/>
    </row>
    <row r="9" spans="1:34" ht="30" customHeight="1" thickBot="1">
      <c r="A9" s="1354" t="s">
        <v>2529</v>
      </c>
      <c r="B9" s="1355"/>
      <c r="C9" s="1355"/>
      <c r="D9" s="1356"/>
      <c r="E9" s="1356"/>
      <c r="F9" s="1357"/>
      <c r="G9" s="1357"/>
      <c r="H9" s="1357"/>
      <c r="I9" s="1357"/>
      <c r="J9" s="1357"/>
      <c r="K9" s="1356"/>
      <c r="L9" s="1355"/>
      <c r="M9" s="2849"/>
      <c r="N9" s="1355"/>
      <c r="O9" s="1355"/>
      <c r="P9" s="1355"/>
      <c r="Q9" s="1355"/>
      <c r="R9" s="1355"/>
      <c r="S9" s="1355"/>
      <c r="T9" s="1355"/>
      <c r="U9" s="1355"/>
      <c r="V9" s="1358"/>
      <c r="W9" s="1356"/>
      <c r="X9" s="1356"/>
      <c r="Y9" s="1356"/>
      <c r="Z9" s="1356"/>
      <c r="AA9" s="1356"/>
      <c r="AB9" s="1356"/>
      <c r="AC9" s="1356"/>
      <c r="AD9" s="1356"/>
      <c r="AE9" s="1356"/>
      <c r="AF9" s="1356"/>
      <c r="AG9" s="1359"/>
    </row>
    <row r="10" spans="1:34">
      <c r="A10" s="6051" t="s">
        <v>1524</v>
      </c>
      <c r="B10" s="6052"/>
      <c r="C10" s="6052"/>
      <c r="D10" s="6052"/>
      <c r="E10" s="6052"/>
      <c r="F10" s="6052"/>
      <c r="G10" s="6053"/>
      <c r="H10" s="6053"/>
      <c r="I10" s="6053"/>
      <c r="J10" s="6054"/>
      <c r="K10" s="1256"/>
      <c r="L10" s="6055" t="s">
        <v>1525</v>
      </c>
      <c r="M10" s="6056"/>
      <c r="N10" s="6056"/>
      <c r="O10" s="6056"/>
      <c r="P10" s="6056"/>
      <c r="Q10" s="6056"/>
      <c r="R10" s="6057"/>
      <c r="S10" s="6057"/>
      <c r="T10" s="6057"/>
      <c r="U10" s="6057"/>
      <c r="V10" s="6058"/>
      <c r="W10" s="1256"/>
      <c r="X10" s="6043" t="s">
        <v>1526</v>
      </c>
      <c r="Y10" s="6044"/>
      <c r="Z10" s="6044"/>
      <c r="AA10" s="6044"/>
      <c r="AB10" s="6044"/>
      <c r="AC10" s="6044"/>
      <c r="AD10" s="6044"/>
      <c r="AE10" s="6044"/>
      <c r="AF10" s="6044"/>
      <c r="AG10" s="6059"/>
    </row>
    <row r="11" spans="1:34" ht="60" customHeight="1">
      <c r="A11" s="1283" t="s">
        <v>1462</v>
      </c>
      <c r="B11" s="1284" t="s">
        <v>1527</v>
      </c>
      <c r="C11" s="1284" t="s">
        <v>1528</v>
      </c>
      <c r="D11" s="1285" t="s">
        <v>1744</v>
      </c>
      <c r="E11" s="1285" t="s">
        <v>1530</v>
      </c>
      <c r="F11" s="1286" t="s">
        <v>1531</v>
      </c>
      <c r="G11" s="1287" t="s">
        <v>1532</v>
      </c>
      <c r="H11" s="1287" t="s">
        <v>1533</v>
      </c>
      <c r="I11" s="1287" t="s">
        <v>1534</v>
      </c>
      <c r="J11" s="1288" t="s">
        <v>1535</v>
      </c>
      <c r="K11" s="1289"/>
      <c r="L11" s="763" t="s">
        <v>1536</v>
      </c>
      <c r="M11" s="1290" t="s">
        <v>1601</v>
      </c>
      <c r="N11" s="1290" t="s">
        <v>1530</v>
      </c>
      <c r="O11" s="1290" t="s">
        <v>2151</v>
      </c>
      <c r="P11" s="764" t="s">
        <v>1539</v>
      </c>
      <c r="Q11" s="1291" t="s">
        <v>1540</v>
      </c>
      <c r="R11" s="1292" t="s">
        <v>1541</v>
      </c>
      <c r="S11" s="1292" t="s">
        <v>1533</v>
      </c>
      <c r="T11" s="1292" t="s">
        <v>1534</v>
      </c>
      <c r="U11" s="1292" t="s">
        <v>2595</v>
      </c>
      <c r="V11" s="1293" t="s">
        <v>1542</v>
      </c>
      <c r="W11" s="1256"/>
      <c r="X11" s="1294" t="s">
        <v>2086</v>
      </c>
      <c r="Y11" s="2839" t="s">
        <v>2087</v>
      </c>
      <c r="Z11" s="1295" t="s">
        <v>1544</v>
      </c>
      <c r="AA11" s="1296" t="s">
        <v>1545</v>
      </c>
      <c r="AB11" s="1296" t="s">
        <v>1761</v>
      </c>
      <c r="AC11" s="769" t="s">
        <v>1539</v>
      </c>
      <c r="AD11" s="769" t="s">
        <v>1547</v>
      </c>
      <c r="AE11" s="769" t="s">
        <v>1548</v>
      </c>
      <c r="AF11" s="1296" t="s">
        <v>1549</v>
      </c>
      <c r="AG11" s="1297" t="s">
        <v>1550</v>
      </c>
    </row>
    <row r="12" spans="1:34" ht="17.25" customHeight="1">
      <c r="A12" s="1298"/>
      <c r="B12" s="1299"/>
      <c r="C12" s="1300"/>
      <c r="D12" s="1301"/>
      <c r="E12" s="1302" t="s">
        <v>296</v>
      </c>
      <c r="F12" s="1303" t="s">
        <v>434</v>
      </c>
      <c r="G12" s="1303" t="s">
        <v>434</v>
      </c>
      <c r="H12" s="1304">
        <v>0.1</v>
      </c>
      <c r="I12" s="1304">
        <v>0.1</v>
      </c>
      <c r="J12" s="1305" t="s">
        <v>434</v>
      </c>
      <c r="K12" s="1256"/>
      <c r="L12" s="765"/>
      <c r="M12" s="766"/>
      <c r="N12" s="1306" t="s">
        <v>296</v>
      </c>
      <c r="O12" s="766" t="s">
        <v>2085</v>
      </c>
      <c r="P12" s="1307" t="s">
        <v>1552</v>
      </c>
      <c r="Q12" s="767" t="s">
        <v>434</v>
      </c>
      <c r="R12" s="767" t="s">
        <v>434</v>
      </c>
      <c r="S12" s="1308">
        <v>0.1</v>
      </c>
      <c r="T12" s="1308">
        <v>0.1</v>
      </c>
      <c r="U12" s="3226"/>
      <c r="V12" s="768" t="s">
        <v>434</v>
      </c>
      <c r="W12" s="1256"/>
      <c r="X12" s="770"/>
      <c r="Y12" s="2840"/>
      <c r="Z12" s="1309" t="s">
        <v>296</v>
      </c>
      <c r="AA12" s="1309" t="s">
        <v>296</v>
      </c>
      <c r="AB12" s="1309" t="s">
        <v>2090</v>
      </c>
      <c r="AC12" s="1310" t="s">
        <v>1552</v>
      </c>
      <c r="AD12" s="1311"/>
      <c r="AE12" s="1312">
        <v>0.15</v>
      </c>
      <c r="AF12" s="1309" t="s">
        <v>296</v>
      </c>
      <c r="AG12" s="1313" t="s">
        <v>296</v>
      </c>
    </row>
    <row r="13" spans="1:34" s="722" customFormat="1" ht="24.75" customHeight="1">
      <c r="A13" s="1314"/>
      <c r="B13" s="1314"/>
      <c r="C13" s="1314"/>
      <c r="D13" s="1314"/>
      <c r="E13" s="1314" t="s">
        <v>1481</v>
      </c>
      <c r="F13" s="1314"/>
      <c r="G13" s="1314"/>
      <c r="H13" s="1314"/>
      <c r="I13" s="1314"/>
      <c r="J13" s="1314"/>
      <c r="K13" s="1255"/>
      <c r="L13" s="1315"/>
      <c r="M13" s="1315"/>
      <c r="N13" s="1316" t="s">
        <v>1482</v>
      </c>
      <c r="O13" s="1314" t="s">
        <v>2084</v>
      </c>
      <c r="P13" s="1317" t="s">
        <v>1555</v>
      </c>
      <c r="Q13" s="1318" t="s">
        <v>1556</v>
      </c>
      <c r="R13" s="1318" t="s">
        <v>1557</v>
      </c>
      <c r="S13" s="1319" t="s">
        <v>1558</v>
      </c>
      <c r="T13" s="1319" t="s">
        <v>1559</v>
      </c>
      <c r="U13" s="1319" t="s">
        <v>1899</v>
      </c>
      <c r="V13" s="1318" t="s">
        <v>2596</v>
      </c>
      <c r="W13" s="1255"/>
      <c r="X13" s="1316"/>
      <c r="Y13" s="1316" t="s">
        <v>2088</v>
      </c>
      <c r="Z13" s="1316"/>
      <c r="AA13" s="1316" t="s">
        <v>2597</v>
      </c>
      <c r="AB13" s="1316" t="s">
        <v>2598</v>
      </c>
      <c r="AC13" s="1317" t="s">
        <v>2599</v>
      </c>
      <c r="AD13" s="1314" t="s">
        <v>2600</v>
      </c>
      <c r="AE13" s="1319" t="s">
        <v>2601</v>
      </c>
      <c r="AF13" s="1316" t="s">
        <v>2602</v>
      </c>
      <c r="AG13" s="1316"/>
    </row>
    <row r="14" spans="1:34" s="2837" customFormat="1" ht="36">
      <c r="A14" s="723">
        <v>1</v>
      </c>
      <c r="B14" s="810" t="s">
        <v>1763</v>
      </c>
      <c r="C14" s="1445" t="s">
        <v>2081</v>
      </c>
      <c r="D14" s="2835" t="s">
        <v>2082</v>
      </c>
      <c r="E14" s="1440">
        <v>45084</v>
      </c>
      <c r="F14" s="2836">
        <v>26095541.440000001</v>
      </c>
      <c r="G14" s="1444">
        <f>F14</f>
        <v>26095541.440000001</v>
      </c>
      <c r="H14" s="1444">
        <f>(G14*$H$12)*-1*0</f>
        <v>0</v>
      </c>
      <c r="I14" s="1444">
        <f>(G14*$I$12)*-1*0</f>
        <v>0</v>
      </c>
      <c r="J14" s="1444">
        <f t="shared" ref="J14:J26" si="0">G14+H14+I14</f>
        <v>26095541.440000001</v>
      </c>
      <c r="K14" s="1256"/>
      <c r="L14" s="1510">
        <v>1</v>
      </c>
      <c r="M14" s="2850" t="s">
        <v>2083</v>
      </c>
      <c r="N14" s="1440">
        <v>45084</v>
      </c>
      <c r="O14" s="1323">
        <f t="shared" ref="O14:O21" si="1">E14+21</f>
        <v>45105</v>
      </c>
      <c r="P14" s="1324">
        <f t="shared" ref="P14:P21" si="2">O14-N14</f>
        <v>21</v>
      </c>
      <c r="Q14" s="2836">
        <v>26095541.440000001</v>
      </c>
      <c r="R14" s="1444">
        <f>Q14</f>
        <v>26095541.440000001</v>
      </c>
      <c r="S14" s="1444">
        <f>(R14*$S$12)*-1*0</f>
        <v>0</v>
      </c>
      <c r="T14" s="1444">
        <f>(R14*$T$12)*-1*0</f>
        <v>0</v>
      </c>
      <c r="U14" s="1444"/>
      <c r="V14" s="1444">
        <f>R14+S14+T14</f>
        <v>26095541.440000001</v>
      </c>
      <c r="W14" s="1256"/>
      <c r="X14" s="2838" t="s">
        <v>2131</v>
      </c>
      <c r="Y14" s="2841">
        <v>45085</v>
      </c>
      <c r="Z14" s="1323"/>
      <c r="AA14" s="1321">
        <v>45088</v>
      </c>
      <c r="AB14" s="1321">
        <f t="shared" ref="AB14:AB26" si="3">+Y14+30</f>
        <v>45115</v>
      </c>
      <c r="AC14" s="1324">
        <f>+AB14-AA14</f>
        <v>27</v>
      </c>
      <c r="AD14" s="1327">
        <f>V14</f>
        <v>26095541.440000001</v>
      </c>
      <c r="AE14" s="1327">
        <f>(R14+T14+U14)*$AE$12</f>
        <v>3914331.216</v>
      </c>
      <c r="AF14" s="1327">
        <f>AD14+AE14</f>
        <v>30009872.656000003</v>
      </c>
      <c r="AG14" s="1327">
        <f>+AF14</f>
        <v>30009872.656000003</v>
      </c>
      <c r="AH14" s="2842">
        <f>+AD14*1.15</f>
        <v>30009872.655999999</v>
      </c>
    </row>
    <row r="15" spans="1:34" ht="24">
      <c r="A15" s="723">
        <v>2</v>
      </c>
      <c r="B15" s="810" t="s">
        <v>1764</v>
      </c>
      <c r="C15" s="1445">
        <v>45047</v>
      </c>
      <c r="D15" s="2835" t="s">
        <v>2115</v>
      </c>
      <c r="E15" s="1440">
        <v>45090</v>
      </c>
      <c r="F15" s="1322">
        <f>F14+12219632.81</f>
        <v>38315174.25</v>
      </c>
      <c r="G15" s="2847">
        <f>+F15-F14</f>
        <v>12219632.809999999</v>
      </c>
      <c r="H15" s="1444">
        <f>(G15*$H$12)*-1</f>
        <v>-1221963.281</v>
      </c>
      <c r="I15" s="1444">
        <f>(G15*$I$12)*-1</f>
        <v>-1221963.281</v>
      </c>
      <c r="J15" s="1444">
        <f t="shared" si="0"/>
        <v>9775706.2479999997</v>
      </c>
      <c r="K15" s="1256"/>
      <c r="L15" s="1510">
        <v>2</v>
      </c>
      <c r="M15" s="2850" t="s">
        <v>2114</v>
      </c>
      <c r="N15" s="1321">
        <v>45091</v>
      </c>
      <c r="O15" s="1323">
        <f t="shared" si="1"/>
        <v>45111</v>
      </c>
      <c r="P15" s="1324">
        <f t="shared" si="2"/>
        <v>20</v>
      </c>
      <c r="Q15" s="1322">
        <f>+Q14+7474280.72</f>
        <v>33569822.160000004</v>
      </c>
      <c r="R15" s="1444">
        <f>+Q15-Q14</f>
        <v>7474280.7200000025</v>
      </c>
      <c r="S15" s="1444">
        <f>(R15*$S$12)*-1</f>
        <v>-747428.07200000028</v>
      </c>
      <c r="T15" s="1444">
        <f>(R15*$T$12)*-1</f>
        <v>-747428.07200000028</v>
      </c>
      <c r="U15" s="1444"/>
      <c r="V15" s="1444">
        <f>R15+S15+T15</f>
        <v>5979424.5760000013</v>
      </c>
      <c r="W15" s="1256"/>
      <c r="X15" s="2838" t="s">
        <v>2307</v>
      </c>
      <c r="Y15" s="2841">
        <v>45130</v>
      </c>
      <c r="Z15" s="1323"/>
      <c r="AA15" s="1321">
        <v>45141</v>
      </c>
      <c r="AB15" s="1321">
        <f t="shared" si="3"/>
        <v>45160</v>
      </c>
      <c r="AC15" s="1324">
        <f t="shared" ref="AC15:AC26" si="4">+AB15-AA15</f>
        <v>19</v>
      </c>
      <c r="AD15" s="1327">
        <f>V15</f>
        <v>5979424.5760000013</v>
      </c>
      <c r="AE15" s="1327">
        <f>(R15+T15+U15)*$AE$12</f>
        <v>1009027.8972000002</v>
      </c>
      <c r="AF15" s="1327">
        <f t="shared" ref="AF15:AF24" si="5">AD15+AE15</f>
        <v>6988452.4732000018</v>
      </c>
      <c r="AG15" s="1327">
        <f t="shared" ref="AG15:AG29" si="6">+AF15+AG14</f>
        <v>36998325.129200004</v>
      </c>
    </row>
    <row r="16" spans="1:34" ht="36">
      <c r="A16" s="723">
        <v>3</v>
      </c>
      <c r="B16" s="810" t="s">
        <v>1765</v>
      </c>
      <c r="C16" s="1445">
        <v>45078</v>
      </c>
      <c r="D16" s="2835" t="s">
        <v>2116</v>
      </c>
      <c r="E16" s="1440">
        <v>45099</v>
      </c>
      <c r="F16" s="1322">
        <f t="shared" ref="F16:F27" si="7">F15+G16</f>
        <v>41270325.75</v>
      </c>
      <c r="G16" s="1444">
        <v>2955151.5</v>
      </c>
      <c r="H16" s="1444">
        <f>(G16*$H$12)*-1</f>
        <v>-295515.15000000002</v>
      </c>
      <c r="I16" s="1444">
        <f>(G16*$I$12)*-1</f>
        <v>-295515.15000000002</v>
      </c>
      <c r="J16" s="1444">
        <f t="shared" si="0"/>
        <v>2364121.2000000002</v>
      </c>
      <c r="K16" s="1256"/>
      <c r="L16" s="1510">
        <v>3</v>
      </c>
      <c r="M16" s="2850" t="s">
        <v>2140</v>
      </c>
      <c r="N16" s="1321">
        <v>45127</v>
      </c>
      <c r="O16" s="1323">
        <f t="shared" si="1"/>
        <v>45120</v>
      </c>
      <c r="P16" s="1324">
        <f t="shared" si="2"/>
        <v>-7</v>
      </c>
      <c r="Q16" s="1322">
        <f>+Q14+9064833.23</f>
        <v>35160374.670000002</v>
      </c>
      <c r="R16" s="1444">
        <f>+Q16-Q15</f>
        <v>1590552.5099999979</v>
      </c>
      <c r="S16" s="1444">
        <f>(R16*$S$12)*-1</f>
        <v>-159055.25099999981</v>
      </c>
      <c r="T16" s="1444">
        <f>(R16*$T$12)*-1</f>
        <v>-159055.25099999981</v>
      </c>
      <c r="U16" s="1444"/>
      <c r="V16" s="1444">
        <f>R16+S16+T16-0.01</f>
        <v>1272441.9979999985</v>
      </c>
      <c r="W16" s="1256"/>
      <c r="X16" s="2838" t="s">
        <v>2310</v>
      </c>
      <c r="Y16" s="2841">
        <v>45136</v>
      </c>
      <c r="Z16" s="1323"/>
      <c r="AA16" s="1321">
        <v>45147</v>
      </c>
      <c r="AB16" s="1321">
        <f t="shared" si="3"/>
        <v>45166</v>
      </c>
      <c r="AC16" s="1324">
        <f t="shared" si="4"/>
        <v>19</v>
      </c>
      <c r="AD16" s="1327">
        <f>V16</f>
        <v>1272441.9979999985</v>
      </c>
      <c r="AE16" s="1327">
        <f t="shared" ref="AE16:AE24" si="8">(R16+T16+U16)*$AE$12</f>
        <v>214724.58884999974</v>
      </c>
      <c r="AF16" s="1327">
        <f t="shared" si="5"/>
        <v>1487166.5868499982</v>
      </c>
      <c r="AG16" s="1327">
        <f t="shared" si="6"/>
        <v>38485491.716049999</v>
      </c>
    </row>
    <row r="17" spans="1:34" ht="36">
      <c r="A17" s="723">
        <v>4</v>
      </c>
      <c r="B17" s="810" t="s">
        <v>1766</v>
      </c>
      <c r="C17" s="1445">
        <v>45108</v>
      </c>
      <c r="D17" s="2835" t="s">
        <v>2308</v>
      </c>
      <c r="E17" s="1440">
        <v>45144</v>
      </c>
      <c r="F17" s="1322">
        <f t="shared" si="7"/>
        <v>50285467.509999998</v>
      </c>
      <c r="G17" s="1444">
        <v>9015141.7599999998</v>
      </c>
      <c r="H17" s="1444">
        <f>(G17*$H$12)*-1</f>
        <v>-901514.17599999998</v>
      </c>
      <c r="I17" s="1444">
        <f>(G17*$I$12)*-1</f>
        <v>-901514.17599999998</v>
      </c>
      <c r="J17" s="1444">
        <f t="shared" si="0"/>
        <v>7212113.4079999998</v>
      </c>
      <c r="K17" s="1256"/>
      <c r="L17" s="1510">
        <v>4</v>
      </c>
      <c r="M17" s="2850" t="s">
        <v>2309</v>
      </c>
      <c r="N17" s="1321">
        <v>45150</v>
      </c>
      <c r="O17" s="1323">
        <f t="shared" si="1"/>
        <v>45165</v>
      </c>
      <c r="P17" s="1324">
        <f t="shared" si="2"/>
        <v>15</v>
      </c>
      <c r="Q17" s="1322">
        <f>+Q14+16214428.12</f>
        <v>42309969.560000002</v>
      </c>
      <c r="R17" s="1444">
        <f>+Q17-Q16</f>
        <v>7149594.8900000006</v>
      </c>
      <c r="S17" s="1444">
        <f>(R17*$S$12)*-1</f>
        <v>-714959.48900000006</v>
      </c>
      <c r="T17" s="1444">
        <f>(R17*$T$12)*-1</f>
        <v>-714959.48900000006</v>
      </c>
      <c r="U17" s="1444"/>
      <c r="V17" s="1444">
        <f>R17+S17+T17-0.01</f>
        <v>5719675.9020000007</v>
      </c>
      <c r="W17" s="1256"/>
      <c r="X17" s="2838" t="s">
        <v>2320</v>
      </c>
      <c r="Y17" s="2841">
        <v>45165</v>
      </c>
      <c r="Z17" s="1323"/>
      <c r="AA17" s="1321">
        <v>45168</v>
      </c>
      <c r="AB17" s="1321">
        <f t="shared" si="3"/>
        <v>45195</v>
      </c>
      <c r="AC17" s="1324">
        <f t="shared" si="4"/>
        <v>27</v>
      </c>
      <c r="AD17" s="1327">
        <f>V17</f>
        <v>5719675.9020000007</v>
      </c>
      <c r="AE17" s="1327">
        <f t="shared" si="8"/>
        <v>965195.31015000003</v>
      </c>
      <c r="AF17" s="1327">
        <f t="shared" si="5"/>
        <v>6684871.212150001</v>
      </c>
      <c r="AG17" s="1327">
        <f t="shared" si="6"/>
        <v>45170362.928199999</v>
      </c>
    </row>
    <row r="18" spans="1:34" ht="36">
      <c r="A18" s="723">
        <v>5</v>
      </c>
      <c r="B18" s="810" t="s">
        <v>1767</v>
      </c>
      <c r="C18" s="1445">
        <v>45139</v>
      </c>
      <c r="D18" s="2835" t="s">
        <v>2352</v>
      </c>
      <c r="E18" s="1440">
        <v>45171</v>
      </c>
      <c r="F18" s="1322">
        <f t="shared" si="7"/>
        <v>62828278.549999997</v>
      </c>
      <c r="G18" s="1444">
        <v>12542811.039999999</v>
      </c>
      <c r="H18" s="1444">
        <f>(G18*$H$12)*-1</f>
        <v>-1254281.1040000001</v>
      </c>
      <c r="I18" s="1444">
        <f>(G18*$I$12)*-1</f>
        <v>-1254281.1040000001</v>
      </c>
      <c r="J18" s="1444">
        <f t="shared" si="0"/>
        <v>10034248.831999999</v>
      </c>
      <c r="K18" s="1256"/>
      <c r="L18" s="1510">
        <v>5</v>
      </c>
      <c r="M18" s="2850" t="s">
        <v>2353</v>
      </c>
      <c r="N18" s="1321">
        <v>45181</v>
      </c>
      <c r="O18" s="1323">
        <f t="shared" si="1"/>
        <v>45192</v>
      </c>
      <c r="P18" s="1324">
        <f t="shared" si="2"/>
        <v>11</v>
      </c>
      <c r="Q18" s="1322">
        <f>+Q14+31519020.01</f>
        <v>57614561.450000003</v>
      </c>
      <c r="R18" s="1444">
        <f>+Q18-Q17</f>
        <v>15304591.890000001</v>
      </c>
      <c r="S18" s="1444">
        <f>(R18*$S$12)*-1</f>
        <v>-1530459.1890000002</v>
      </c>
      <c r="T18" s="1444">
        <f>(R18*$T$12)*-1</f>
        <v>-1530459.1890000002</v>
      </c>
      <c r="U18" s="1444"/>
      <c r="V18" s="1444">
        <f>R18+S18+T18-0.01</f>
        <v>12243673.502000002</v>
      </c>
      <c r="W18" s="1256"/>
      <c r="X18" s="2838" t="s">
        <v>2517</v>
      </c>
      <c r="Y18" s="1323">
        <v>45197</v>
      </c>
      <c r="Z18" s="1323"/>
      <c r="AA18" s="1321">
        <v>45207</v>
      </c>
      <c r="AB18" s="1321">
        <f t="shared" si="3"/>
        <v>45227</v>
      </c>
      <c r="AC18" s="1324">
        <f t="shared" si="4"/>
        <v>20</v>
      </c>
      <c r="AD18" s="1327">
        <f>V18</f>
        <v>12243673.502000002</v>
      </c>
      <c r="AE18" s="1327">
        <f t="shared" si="8"/>
        <v>2066119.90515</v>
      </c>
      <c r="AF18" s="1327">
        <f t="shared" si="5"/>
        <v>14309793.407150002</v>
      </c>
      <c r="AG18" s="1327">
        <f t="shared" si="6"/>
        <v>59480156.335349999</v>
      </c>
    </row>
    <row r="19" spans="1:34" ht="33.950000000000003" customHeight="1">
      <c r="A19" s="723">
        <v>6</v>
      </c>
      <c r="B19" s="810" t="s">
        <v>1768</v>
      </c>
      <c r="C19" s="1445">
        <v>45170</v>
      </c>
      <c r="D19" s="2835" t="s">
        <v>2518</v>
      </c>
      <c r="E19" s="1440">
        <v>45200</v>
      </c>
      <c r="F19" s="1322">
        <f>+F18+G19</f>
        <v>71042424.659999996</v>
      </c>
      <c r="G19" s="1444">
        <v>8214146.1100000003</v>
      </c>
      <c r="H19" s="1444">
        <f>(G19*$H$12)*-1</f>
        <v>-821414.61100000003</v>
      </c>
      <c r="I19" s="1444">
        <f>(G19*$I$12)*-1</f>
        <v>-821414.61100000003</v>
      </c>
      <c r="J19" s="1444">
        <f>G19+H19+I19</f>
        <v>6571316.8880000003</v>
      </c>
      <c r="K19" s="1256"/>
      <c r="L19" s="1510">
        <v>5</v>
      </c>
      <c r="M19" s="2850" t="s">
        <v>2519</v>
      </c>
      <c r="N19" s="1321">
        <v>45204</v>
      </c>
      <c r="O19" s="1323">
        <f t="shared" si="1"/>
        <v>45221</v>
      </c>
      <c r="P19" s="1324">
        <f t="shared" si="2"/>
        <v>17</v>
      </c>
      <c r="Q19" s="1322">
        <f t="shared" ref="Q19:Q27" si="9">+R19+Q18</f>
        <v>64715031.150000006</v>
      </c>
      <c r="R19" s="1444">
        <v>7100469.7000000002</v>
      </c>
      <c r="S19" s="1444">
        <f>(R19*$S$12)*-1</f>
        <v>-710046.97000000009</v>
      </c>
      <c r="T19" s="1444">
        <f>(R19*$T$12)*-1</f>
        <v>-710046.97000000009</v>
      </c>
      <c r="U19" s="1444"/>
      <c r="V19" s="1444">
        <f>R19+S19+T19</f>
        <v>5680375.7600000007</v>
      </c>
      <c r="W19" s="1256"/>
      <c r="X19" s="2838" t="s">
        <v>2520</v>
      </c>
      <c r="Y19" s="1323">
        <v>45213</v>
      </c>
      <c r="Z19" s="1323"/>
      <c r="AA19" s="1321">
        <v>45221</v>
      </c>
      <c r="AB19" s="1321">
        <f t="shared" si="3"/>
        <v>45243</v>
      </c>
      <c r="AC19" s="1324">
        <f t="shared" si="4"/>
        <v>22</v>
      </c>
      <c r="AD19" s="1327">
        <f t="shared" ref="AD19:AD25" si="10">V19</f>
        <v>5680375.7600000007</v>
      </c>
      <c r="AE19" s="1327">
        <f t="shared" si="8"/>
        <v>958563.40950000007</v>
      </c>
      <c r="AF19" s="1327">
        <f t="shared" si="5"/>
        <v>6638939.1695000008</v>
      </c>
      <c r="AG19" s="1327">
        <f t="shared" si="6"/>
        <v>66119095.50485</v>
      </c>
    </row>
    <row r="20" spans="1:34" ht="46.5" customHeight="1">
      <c r="A20" s="723">
        <v>7</v>
      </c>
      <c r="B20" s="810" t="s">
        <v>1769</v>
      </c>
      <c r="C20" s="1929" t="s">
        <v>2574</v>
      </c>
      <c r="D20" s="2835" t="s">
        <v>2573</v>
      </c>
      <c r="E20" s="1440">
        <v>45227</v>
      </c>
      <c r="F20" s="1322">
        <f t="shared" si="7"/>
        <v>116136343.69</v>
      </c>
      <c r="G20" s="1444">
        <v>45093919.030000001</v>
      </c>
      <c r="H20" s="1444">
        <v>0</v>
      </c>
      <c r="I20" s="1444">
        <v>0</v>
      </c>
      <c r="J20" s="1444">
        <f t="shared" si="0"/>
        <v>45093919.030000001</v>
      </c>
      <c r="K20" s="1256"/>
      <c r="L20" s="1510">
        <v>7</v>
      </c>
      <c r="M20" s="2850" t="s">
        <v>2575</v>
      </c>
      <c r="N20" s="1321">
        <v>45231</v>
      </c>
      <c r="O20" s="1323">
        <f t="shared" si="1"/>
        <v>45248</v>
      </c>
      <c r="P20" s="1324">
        <f t="shared" si="2"/>
        <v>17</v>
      </c>
      <c r="Q20" s="1322">
        <f t="shared" si="9"/>
        <v>109808950.18000001</v>
      </c>
      <c r="R20" s="1444">
        <v>45093919.030000001</v>
      </c>
      <c r="S20" s="1444">
        <v>0</v>
      </c>
      <c r="T20" s="1444">
        <v>0</v>
      </c>
      <c r="U20" s="1444"/>
      <c r="V20" s="1444">
        <f>R20+S20+T20</f>
        <v>45093919.030000001</v>
      </c>
      <c r="W20" s="1256"/>
      <c r="X20" s="2838" t="s">
        <v>2576</v>
      </c>
      <c r="Y20" s="1323">
        <v>45242</v>
      </c>
      <c r="Z20" s="1323"/>
      <c r="AA20" s="1321">
        <v>45244</v>
      </c>
      <c r="AB20" s="1321">
        <f t="shared" si="3"/>
        <v>45272</v>
      </c>
      <c r="AC20" s="1324">
        <f t="shared" si="4"/>
        <v>28</v>
      </c>
      <c r="AD20" s="1327">
        <f t="shared" si="10"/>
        <v>45093919.030000001</v>
      </c>
      <c r="AE20" s="1327">
        <f t="shared" si="8"/>
        <v>6764087.8545000004</v>
      </c>
      <c r="AF20" s="1327">
        <f t="shared" si="5"/>
        <v>51858006.884500004</v>
      </c>
      <c r="AG20" s="1327">
        <f t="shared" si="6"/>
        <v>117977102.38935</v>
      </c>
      <c r="AH20" s="1367">
        <f>+AD20+AD21</f>
        <v>48171310.414000005</v>
      </c>
    </row>
    <row r="21" spans="1:34" ht="39.75" customHeight="1">
      <c r="A21" s="723">
        <v>8</v>
      </c>
      <c r="B21" s="810" t="s">
        <v>1770</v>
      </c>
      <c r="C21" s="1445">
        <v>45200</v>
      </c>
      <c r="D21" s="2835" t="s">
        <v>2577</v>
      </c>
      <c r="E21" s="1440">
        <v>45231</v>
      </c>
      <c r="F21" s="1322">
        <f t="shared" si="7"/>
        <v>121868879.47</v>
      </c>
      <c r="G21" s="1444">
        <v>5732535.7800000003</v>
      </c>
      <c r="H21" s="1444">
        <f>(G21*$H$12)*-1</f>
        <v>-573253.5780000001</v>
      </c>
      <c r="I21" s="1444">
        <f>(G21*$I$12)*-1</f>
        <v>-573253.5780000001</v>
      </c>
      <c r="J21" s="1444">
        <f t="shared" si="0"/>
        <v>4586028.6240000008</v>
      </c>
      <c r="K21" s="1256"/>
      <c r="L21" s="1510">
        <v>8</v>
      </c>
      <c r="M21" s="2850" t="s">
        <v>2578</v>
      </c>
      <c r="N21" s="1321">
        <v>45245</v>
      </c>
      <c r="O21" s="1323">
        <f t="shared" si="1"/>
        <v>45252</v>
      </c>
      <c r="P21" s="1324">
        <f t="shared" si="2"/>
        <v>7</v>
      </c>
      <c r="Q21" s="1322">
        <f t="shared" si="9"/>
        <v>113655689.41000001</v>
      </c>
      <c r="R21" s="1444">
        <v>3846739.23</v>
      </c>
      <c r="S21" s="1444">
        <f>(R21*$S$12)*-1</f>
        <v>-384673.92300000001</v>
      </c>
      <c r="T21" s="1444">
        <f>(R21*$T$12)*-1</f>
        <v>-384673.92300000001</v>
      </c>
      <c r="U21" s="1444"/>
      <c r="V21" s="1444">
        <f>R21+S21+T21</f>
        <v>3077391.3840000001</v>
      </c>
      <c r="W21" s="1256"/>
      <c r="X21" s="2838" t="s">
        <v>2579</v>
      </c>
      <c r="Y21" s="1323">
        <v>45253</v>
      </c>
      <c r="Z21" s="1323"/>
      <c r="AA21" s="1321">
        <v>45264</v>
      </c>
      <c r="AB21" s="1321">
        <f t="shared" si="3"/>
        <v>45283</v>
      </c>
      <c r="AC21" s="1324">
        <f t="shared" si="4"/>
        <v>19</v>
      </c>
      <c r="AD21" s="1327">
        <f t="shared" si="10"/>
        <v>3077391.3840000001</v>
      </c>
      <c r="AE21" s="1327">
        <f t="shared" si="8"/>
        <v>519309.79605</v>
      </c>
      <c r="AF21" s="1327">
        <f t="shared" si="5"/>
        <v>3596701.1800500001</v>
      </c>
      <c r="AG21" s="1327">
        <f t="shared" si="6"/>
        <v>121573803.5694</v>
      </c>
    </row>
    <row r="22" spans="1:34" ht="36">
      <c r="A22" s="723">
        <v>9</v>
      </c>
      <c r="B22" s="810" t="s">
        <v>1771</v>
      </c>
      <c r="C22" s="1445">
        <v>45231</v>
      </c>
      <c r="D22" s="2835" t="s">
        <v>2593</v>
      </c>
      <c r="E22" s="1440">
        <v>45263</v>
      </c>
      <c r="F22" s="1322">
        <f t="shared" si="7"/>
        <v>130186103.49186499</v>
      </c>
      <c r="G22" s="1444">
        <v>8317224.0218649898</v>
      </c>
      <c r="H22" s="1444">
        <f>(G22*$H$12)*-1</f>
        <v>-831722.40218649898</v>
      </c>
      <c r="I22" s="1444">
        <f>(G22*$I$12)*-1</f>
        <v>-831722.40218649898</v>
      </c>
      <c r="J22" s="1444">
        <f t="shared" si="0"/>
        <v>6653779.2174919918</v>
      </c>
      <c r="K22" s="1256"/>
      <c r="L22" s="1510">
        <v>9</v>
      </c>
      <c r="M22" s="2850" t="s">
        <v>2594</v>
      </c>
      <c r="N22" s="1321">
        <v>45273</v>
      </c>
      <c r="O22" s="1323">
        <f t="shared" ref="O22:O27" si="11">E22+21</f>
        <v>45284</v>
      </c>
      <c r="P22" s="1324">
        <f t="shared" ref="P22:P27" si="12">O22-N22</f>
        <v>11</v>
      </c>
      <c r="Q22" s="1322">
        <f t="shared" si="9"/>
        <v>119250983.33500001</v>
      </c>
      <c r="R22" s="1444">
        <v>5595293.9249999998</v>
      </c>
      <c r="S22" s="1444">
        <f>ROUND((R22*$S$12)*-1,1)</f>
        <v>-559529.4</v>
      </c>
      <c r="T22" s="1444">
        <f>ROUND((R22*$T$12)*-1,1)</f>
        <v>-559529.4</v>
      </c>
      <c r="U22" s="1444">
        <v>-535936.5</v>
      </c>
      <c r="V22" s="1444">
        <f t="shared" ref="V22:V30" si="13">R22+S22+T22+U22</f>
        <v>3940298.6249999991</v>
      </c>
      <c r="W22" s="1256"/>
      <c r="X22" s="2838" t="s">
        <v>2645</v>
      </c>
      <c r="Y22" s="1323">
        <v>45280</v>
      </c>
      <c r="Z22" s="1323"/>
      <c r="AA22" s="1321">
        <v>45313</v>
      </c>
      <c r="AB22" s="1321">
        <f t="shared" si="3"/>
        <v>45310</v>
      </c>
      <c r="AC22" s="1324">
        <f t="shared" si="4"/>
        <v>-3</v>
      </c>
      <c r="AD22" s="1327">
        <f t="shared" si="10"/>
        <v>3940298.6249999991</v>
      </c>
      <c r="AE22" s="1327">
        <f t="shared" si="8"/>
        <v>674974.20374999987</v>
      </c>
      <c r="AF22" s="1327">
        <f t="shared" si="5"/>
        <v>4615272.8287499994</v>
      </c>
      <c r="AG22" s="1327">
        <f t="shared" si="6"/>
        <v>126189076.39815</v>
      </c>
    </row>
    <row r="23" spans="1:34" ht="41.25" customHeight="1">
      <c r="A23" s="723">
        <v>10</v>
      </c>
      <c r="B23" s="810" t="s">
        <v>1626</v>
      </c>
      <c r="C23" s="1445">
        <v>45261</v>
      </c>
      <c r="D23" s="2835" t="s">
        <v>2646</v>
      </c>
      <c r="E23" s="1440">
        <v>45292</v>
      </c>
      <c r="F23" s="1322">
        <f t="shared" si="7"/>
        <v>135913528.4368524</v>
      </c>
      <c r="G23" s="1444">
        <v>5727424.944987406</v>
      </c>
      <c r="H23" s="1444">
        <v>-572742.49</v>
      </c>
      <c r="I23" s="1444">
        <v>-572742.49</v>
      </c>
      <c r="J23" s="1444">
        <f t="shared" si="0"/>
        <v>4581939.9649874056</v>
      </c>
      <c r="K23" s="1256"/>
      <c r="L23" s="1510">
        <v>10</v>
      </c>
      <c r="M23" s="2850" t="s">
        <v>2647</v>
      </c>
      <c r="N23" s="1321">
        <v>45315</v>
      </c>
      <c r="O23" s="1323">
        <f t="shared" si="11"/>
        <v>45313</v>
      </c>
      <c r="P23" s="1324">
        <f t="shared" si="12"/>
        <v>-2</v>
      </c>
      <c r="Q23" s="1322">
        <f t="shared" si="9"/>
        <v>122356423.94500001</v>
      </c>
      <c r="R23" s="1444">
        <v>3105440.61</v>
      </c>
      <c r="S23" s="1444">
        <v>-310544.06</v>
      </c>
      <c r="T23" s="1444">
        <v>-310544.06</v>
      </c>
      <c r="U23" s="1444"/>
      <c r="V23" s="1444">
        <f t="shared" si="13"/>
        <v>2484352.4899999998</v>
      </c>
      <c r="W23" s="1256"/>
      <c r="X23" s="2838" t="s">
        <v>2693</v>
      </c>
      <c r="Y23" s="1323">
        <v>45326</v>
      </c>
      <c r="Z23" s="1323"/>
      <c r="AA23" s="1323">
        <v>45336</v>
      </c>
      <c r="AB23" s="1321">
        <f t="shared" si="3"/>
        <v>45356</v>
      </c>
      <c r="AC23" s="1324">
        <f t="shared" si="4"/>
        <v>20</v>
      </c>
      <c r="AD23" s="1327">
        <f>V23</f>
        <v>2484352.4899999998</v>
      </c>
      <c r="AE23" s="1327">
        <f t="shared" si="8"/>
        <v>419234.48249999998</v>
      </c>
      <c r="AF23" s="1327">
        <f t="shared" si="5"/>
        <v>2903586.9724999997</v>
      </c>
      <c r="AG23" s="1327">
        <f t="shared" si="6"/>
        <v>129092663.37064999</v>
      </c>
    </row>
    <row r="24" spans="1:34" ht="46.5" customHeight="1">
      <c r="A24" s="723">
        <v>11</v>
      </c>
      <c r="B24" s="810" t="s">
        <v>1628</v>
      </c>
      <c r="C24" s="1445">
        <v>45292</v>
      </c>
      <c r="D24" s="2835" t="s">
        <v>2707</v>
      </c>
      <c r="E24" s="1440">
        <v>45323</v>
      </c>
      <c r="F24" s="1322">
        <f t="shared" si="7"/>
        <v>142624045.70265523</v>
      </c>
      <c r="G24" s="1444">
        <v>6710517.2658028435</v>
      </c>
      <c r="H24" s="1444">
        <f>(G24*$H$12)*-1</f>
        <v>-671051.72658028442</v>
      </c>
      <c r="I24" s="1444">
        <f>(G24*$I$12)*-1</f>
        <v>-671051.72658028442</v>
      </c>
      <c r="J24" s="1444">
        <f t="shared" si="0"/>
        <v>5368413.8126422744</v>
      </c>
      <c r="K24" s="1256"/>
      <c r="L24" s="1510">
        <v>11</v>
      </c>
      <c r="M24" s="2850" t="s">
        <v>2708</v>
      </c>
      <c r="N24" s="1321">
        <v>45346</v>
      </c>
      <c r="O24" s="1323">
        <f t="shared" si="11"/>
        <v>45344</v>
      </c>
      <c r="P24" s="1324">
        <f t="shared" si="12"/>
        <v>-2</v>
      </c>
      <c r="Q24" s="1322">
        <f t="shared" si="9"/>
        <v>125881687.59500001</v>
      </c>
      <c r="R24" s="1444">
        <v>3525263.65</v>
      </c>
      <c r="S24" s="1444">
        <v>-352526.36</v>
      </c>
      <c r="T24" s="1444">
        <v>-352526.36</v>
      </c>
      <c r="U24" s="1444"/>
      <c r="V24" s="1444">
        <f t="shared" si="13"/>
        <v>2820210.93</v>
      </c>
      <c r="W24" s="1256"/>
      <c r="X24" s="2838" t="s">
        <v>2729</v>
      </c>
      <c r="Y24" s="1323">
        <v>45357</v>
      </c>
      <c r="Z24" s="3225"/>
      <c r="AA24" s="1323">
        <v>45365</v>
      </c>
      <c r="AB24" s="1321">
        <f t="shared" si="3"/>
        <v>45387</v>
      </c>
      <c r="AC24" s="1324">
        <f t="shared" si="4"/>
        <v>22</v>
      </c>
      <c r="AD24" s="1327">
        <f t="shared" si="10"/>
        <v>2820210.93</v>
      </c>
      <c r="AE24" s="1327">
        <f t="shared" si="8"/>
        <v>475910.59349999996</v>
      </c>
      <c r="AF24" s="1327">
        <f t="shared" si="5"/>
        <v>3296121.5235000001</v>
      </c>
      <c r="AG24" s="1327">
        <f t="shared" si="6"/>
        <v>132388784.89414999</v>
      </c>
    </row>
    <row r="25" spans="1:34" ht="45.75" customHeight="1">
      <c r="A25" s="723">
        <v>12</v>
      </c>
      <c r="B25" s="810" t="s">
        <v>1630</v>
      </c>
      <c r="C25" s="1445">
        <v>45323</v>
      </c>
      <c r="D25" s="2835" t="s">
        <v>2730</v>
      </c>
      <c r="E25" s="1440">
        <v>45354</v>
      </c>
      <c r="F25" s="1322">
        <f t="shared" si="7"/>
        <v>152735805.19265524</v>
      </c>
      <c r="G25" s="1322">
        <v>10111759.490000006</v>
      </c>
      <c r="H25" s="1322">
        <v>-1011175.95</v>
      </c>
      <c r="I25" s="1322">
        <v>-1011175.95</v>
      </c>
      <c r="J25" s="1444">
        <f t="shared" si="0"/>
        <v>8089407.5900000064</v>
      </c>
      <c r="K25" s="1256"/>
      <c r="L25" s="3316">
        <v>12</v>
      </c>
      <c r="M25" s="1511" t="s">
        <v>2731</v>
      </c>
      <c r="N25" s="1321">
        <v>45367</v>
      </c>
      <c r="O25" s="1323">
        <f t="shared" si="11"/>
        <v>45375</v>
      </c>
      <c r="P25" s="1324">
        <f t="shared" si="12"/>
        <v>8</v>
      </c>
      <c r="Q25" s="1322">
        <f t="shared" si="9"/>
        <v>132104439.92500001</v>
      </c>
      <c r="R25" s="1444">
        <v>6222752.3300000001</v>
      </c>
      <c r="S25" s="1444">
        <v>-622275.24</v>
      </c>
      <c r="T25" s="1444">
        <v>-622275.24</v>
      </c>
      <c r="U25" s="1444"/>
      <c r="V25" s="1444">
        <f t="shared" si="13"/>
        <v>4978201.8499999996</v>
      </c>
      <c r="W25" s="1256"/>
      <c r="X25" s="2838" t="s">
        <v>2740</v>
      </c>
      <c r="Y25" s="1323">
        <v>45375</v>
      </c>
      <c r="Z25" s="3315"/>
      <c r="AA25" s="1323">
        <v>45378</v>
      </c>
      <c r="AB25" s="1321">
        <f t="shared" si="3"/>
        <v>45405</v>
      </c>
      <c r="AC25" s="1324">
        <f t="shared" si="4"/>
        <v>27</v>
      </c>
      <c r="AD25" s="1327">
        <f t="shared" si="10"/>
        <v>4978201.8499999996</v>
      </c>
      <c r="AE25" s="1327">
        <f t="shared" ref="AE25:AE30" si="14">(R25+T25+U25)*$AE$12</f>
        <v>840071.56349999993</v>
      </c>
      <c r="AF25" s="1327">
        <f t="shared" ref="AF25:AF30" si="15">AD25+AE25</f>
        <v>5818273.4134999998</v>
      </c>
      <c r="AG25" s="1327">
        <f t="shared" si="6"/>
        <v>138207058.30765</v>
      </c>
    </row>
    <row r="26" spans="1:34" ht="60">
      <c r="A26" s="723">
        <v>13</v>
      </c>
      <c r="B26" s="810" t="s">
        <v>1632</v>
      </c>
      <c r="C26" s="1929" t="s">
        <v>2941</v>
      </c>
      <c r="D26" s="1511" t="s">
        <v>2940</v>
      </c>
      <c r="E26" s="1321">
        <v>45495</v>
      </c>
      <c r="F26" s="1322">
        <f t="shared" si="7"/>
        <v>159440948.67265522</v>
      </c>
      <c r="G26" s="1322">
        <v>6705143.4800000004</v>
      </c>
      <c r="H26" s="1322">
        <v>0</v>
      </c>
      <c r="I26" s="1322">
        <v>0</v>
      </c>
      <c r="J26" s="1444">
        <f t="shared" si="0"/>
        <v>6705143.4800000004</v>
      </c>
      <c r="K26" s="1256"/>
      <c r="L26" s="3316">
        <v>13</v>
      </c>
      <c r="M26" s="1511" t="s">
        <v>2939</v>
      </c>
      <c r="N26" s="1321">
        <v>45495</v>
      </c>
      <c r="O26" s="1323">
        <f t="shared" si="11"/>
        <v>45516</v>
      </c>
      <c r="P26" s="1324">
        <f t="shared" si="12"/>
        <v>21</v>
      </c>
      <c r="Q26" s="1322">
        <f t="shared" si="9"/>
        <v>138809583.405</v>
      </c>
      <c r="R26" s="1322">
        <v>6705143.4800000004</v>
      </c>
      <c r="S26" s="1444">
        <v>0</v>
      </c>
      <c r="T26" s="1444">
        <v>0</v>
      </c>
      <c r="U26" s="1444"/>
      <c r="V26" s="1328">
        <f t="shared" si="13"/>
        <v>6705143.4800000004</v>
      </c>
      <c r="W26" s="1256"/>
      <c r="X26" s="2838" t="s">
        <v>2942</v>
      </c>
      <c r="Y26" s="1323">
        <v>45502</v>
      </c>
      <c r="Z26" s="1323"/>
      <c r="AA26" s="1323">
        <v>45504</v>
      </c>
      <c r="AB26" s="1321">
        <f t="shared" si="3"/>
        <v>45532</v>
      </c>
      <c r="AC26" s="1324">
        <f t="shared" si="4"/>
        <v>28</v>
      </c>
      <c r="AD26" s="1327">
        <f>V26</f>
        <v>6705143.4800000004</v>
      </c>
      <c r="AE26" s="1327">
        <f t="shared" si="14"/>
        <v>1005771.522</v>
      </c>
      <c r="AF26" s="1327">
        <f t="shared" si="15"/>
        <v>7710915.0020000003</v>
      </c>
      <c r="AG26" s="1327">
        <f t="shared" si="6"/>
        <v>145917973.30965</v>
      </c>
    </row>
    <row r="27" spans="1:34" ht="36">
      <c r="A27" s="723">
        <v>14</v>
      </c>
      <c r="B27" s="810" t="s">
        <v>1634</v>
      </c>
      <c r="C27" s="1929" t="s">
        <v>2973</v>
      </c>
      <c r="D27" s="2835" t="s">
        <v>2944</v>
      </c>
      <c r="E27" s="1321">
        <v>45498</v>
      </c>
      <c r="F27" s="1322">
        <f t="shared" si="7"/>
        <v>186428169.91265523</v>
      </c>
      <c r="G27" s="1322">
        <v>26987221.239999998</v>
      </c>
      <c r="H27" s="1322">
        <v>0</v>
      </c>
      <c r="I27" s="1322">
        <v>0</v>
      </c>
      <c r="J27" s="1444">
        <f>G27+H27+I27</f>
        <v>26987221.239999998</v>
      </c>
      <c r="K27" s="1256"/>
      <c r="L27" s="3316">
        <v>14</v>
      </c>
      <c r="M27" s="1511" t="s">
        <v>2943</v>
      </c>
      <c r="N27" s="1321">
        <v>45498</v>
      </c>
      <c r="O27" s="1323">
        <f t="shared" si="11"/>
        <v>45519</v>
      </c>
      <c r="P27" s="1324">
        <f t="shared" si="12"/>
        <v>21</v>
      </c>
      <c r="Q27" s="1322">
        <f t="shared" si="9"/>
        <v>165796804.64500001</v>
      </c>
      <c r="R27" s="1322">
        <v>26987221.239999998</v>
      </c>
      <c r="S27" s="1444">
        <v>0</v>
      </c>
      <c r="T27" s="1444">
        <v>0</v>
      </c>
      <c r="U27" s="1444"/>
      <c r="V27" s="1328">
        <f t="shared" si="13"/>
        <v>26987221.239999998</v>
      </c>
      <c r="W27" s="1256"/>
      <c r="X27" s="2838" t="s">
        <v>2945</v>
      </c>
      <c r="Y27" s="1323">
        <v>45503</v>
      </c>
      <c r="Z27" s="1323"/>
      <c r="AA27" s="1323">
        <v>45504</v>
      </c>
      <c r="AB27" s="1321">
        <f>+Y27+30</f>
        <v>45533</v>
      </c>
      <c r="AC27" s="1324">
        <f>+AB27-AA27</f>
        <v>29</v>
      </c>
      <c r="AD27" s="1327">
        <f>V27</f>
        <v>26987221.239999998</v>
      </c>
      <c r="AE27" s="1327">
        <f t="shared" si="14"/>
        <v>4048083.1859999998</v>
      </c>
      <c r="AF27" s="1327">
        <f t="shared" si="15"/>
        <v>31035304.425999999</v>
      </c>
      <c r="AG27" s="1327">
        <f t="shared" si="6"/>
        <v>176953277.73565</v>
      </c>
    </row>
    <row r="28" spans="1:34" ht="42" customHeight="1">
      <c r="A28" s="723">
        <v>15</v>
      </c>
      <c r="B28" s="810" t="s">
        <v>1636</v>
      </c>
      <c r="C28" s="1929" t="s">
        <v>2973</v>
      </c>
      <c r="D28" s="2835" t="s">
        <v>3042</v>
      </c>
      <c r="E28" s="1321">
        <v>45523</v>
      </c>
      <c r="F28" s="1322">
        <f>F27+G28</f>
        <v>223936215.94265524</v>
      </c>
      <c r="G28" s="1322">
        <v>37508046.030000001</v>
      </c>
      <c r="H28" s="1322">
        <v>0</v>
      </c>
      <c r="I28" s="1322">
        <v>0</v>
      </c>
      <c r="J28" s="1444">
        <f>G28+H28+I28</f>
        <v>37508046.030000001</v>
      </c>
      <c r="K28" s="1256"/>
      <c r="L28" s="3316">
        <v>15</v>
      </c>
      <c r="M28" s="2850" t="s">
        <v>3043</v>
      </c>
      <c r="N28" s="1321">
        <v>45537</v>
      </c>
      <c r="O28" s="1323">
        <f>E28+21</f>
        <v>45544</v>
      </c>
      <c r="P28" s="1324">
        <f>O28-N28</f>
        <v>7</v>
      </c>
      <c r="Q28" s="1322">
        <f>+R28+Q27</f>
        <v>203304850.67500001</v>
      </c>
      <c r="R28" s="1444">
        <v>37508046.030000001</v>
      </c>
      <c r="S28" s="1444">
        <v>0</v>
      </c>
      <c r="T28" s="1444">
        <v>0</v>
      </c>
      <c r="U28" s="1444"/>
      <c r="V28" s="1328">
        <f t="shared" si="13"/>
        <v>37508046.030000001</v>
      </c>
      <c r="W28" s="1256"/>
      <c r="X28" s="2838" t="s">
        <v>3114</v>
      </c>
      <c r="Y28" s="1323">
        <v>45554</v>
      </c>
      <c r="Z28" s="1323"/>
      <c r="AA28" s="1321">
        <v>45561</v>
      </c>
      <c r="AB28" s="1321">
        <f>+Y28+30</f>
        <v>45584</v>
      </c>
      <c r="AC28" s="1324">
        <f>+AB28-AA28</f>
        <v>23</v>
      </c>
      <c r="AD28" s="1327">
        <f>V28</f>
        <v>37508046.030000001</v>
      </c>
      <c r="AE28" s="1327">
        <f t="shared" si="14"/>
        <v>5626206.9045000002</v>
      </c>
      <c r="AF28" s="1327">
        <f t="shared" si="15"/>
        <v>43134252.934500001</v>
      </c>
      <c r="AG28" s="1327">
        <f t="shared" si="6"/>
        <v>220087530.67015001</v>
      </c>
    </row>
    <row r="29" spans="1:34" ht="31.5" customHeight="1">
      <c r="A29" s="723">
        <v>16</v>
      </c>
      <c r="B29" s="810" t="s">
        <v>1638</v>
      </c>
      <c r="C29" s="1445">
        <v>45589</v>
      </c>
      <c r="D29" s="2835" t="s">
        <v>3042</v>
      </c>
      <c r="E29" s="1440">
        <v>45582</v>
      </c>
      <c r="F29" s="1322">
        <f>F28+G29</f>
        <v>290395321.76265526</v>
      </c>
      <c r="G29" s="1322">
        <v>66459105.82</v>
      </c>
      <c r="H29" s="1322">
        <v>-6645910.5800000001</v>
      </c>
      <c r="I29" s="1322">
        <v>-6645910.5800000001</v>
      </c>
      <c r="J29" s="1444">
        <f>G29+H29+I29</f>
        <v>53167284.660000004</v>
      </c>
      <c r="K29" s="1256"/>
      <c r="L29" s="3316">
        <v>16</v>
      </c>
      <c r="M29" s="2850" t="s">
        <v>3517</v>
      </c>
      <c r="N29" s="1321">
        <v>45650</v>
      </c>
      <c r="O29" s="1323">
        <f>E29+21</f>
        <v>45603</v>
      </c>
      <c r="P29" s="1324">
        <f>O29-N29</f>
        <v>-47</v>
      </c>
      <c r="Q29" s="1322">
        <f>+R29+Q28</f>
        <v>220061073.60500002</v>
      </c>
      <c r="R29" s="1444">
        <v>16756222.93</v>
      </c>
      <c r="S29" s="1444">
        <v>-6276926.0700000003</v>
      </c>
      <c r="T29" s="1444">
        <v>-6276926.0700000003</v>
      </c>
      <c r="U29" s="1444"/>
      <c r="V29" s="1328">
        <f t="shared" si="13"/>
        <v>4202370.7899999991</v>
      </c>
      <c r="W29" s="1256"/>
      <c r="X29" s="2838" t="s">
        <v>3114</v>
      </c>
      <c r="Y29" s="1323">
        <v>45661</v>
      </c>
      <c r="Z29" s="1323"/>
      <c r="AA29" s="1321">
        <v>45672</v>
      </c>
      <c r="AB29" s="1321">
        <f>+Y29+30</f>
        <v>45691</v>
      </c>
      <c r="AC29" s="1324">
        <f>+AB29-AA29</f>
        <v>19</v>
      </c>
      <c r="AD29" s="1327">
        <f>V29</f>
        <v>4202370.7899999991</v>
      </c>
      <c r="AE29" s="1327">
        <f t="shared" si="14"/>
        <v>1571894.5289999999</v>
      </c>
      <c r="AF29" s="1327">
        <f t="shared" si="15"/>
        <v>5774265.3189999992</v>
      </c>
      <c r="AG29" s="1327">
        <f t="shared" si="6"/>
        <v>225861795.98915002</v>
      </c>
    </row>
    <row r="30" spans="1:34" ht="36">
      <c r="A30" s="723">
        <v>17</v>
      </c>
      <c r="B30" s="810" t="s">
        <v>1641</v>
      </c>
      <c r="C30" s="1445">
        <v>45650</v>
      </c>
      <c r="D30" s="2835" t="s">
        <v>3711</v>
      </c>
      <c r="E30" s="1440">
        <v>45676</v>
      </c>
      <c r="F30" s="1322">
        <f>F29+G30</f>
        <v>308187474.82265526</v>
      </c>
      <c r="G30" s="1322">
        <v>17792153.059999999</v>
      </c>
      <c r="H30" s="1322">
        <v>-2165698.5699999998</v>
      </c>
      <c r="I30" s="1322">
        <v>-2165698.5699999998</v>
      </c>
      <c r="J30" s="1444">
        <f>G30+H30+I30</f>
        <v>13460755.919999998</v>
      </c>
      <c r="K30" s="1256"/>
      <c r="L30" s="3316">
        <v>17</v>
      </c>
      <c r="M30" s="2850" t="s">
        <v>3710</v>
      </c>
      <c r="N30" s="1321">
        <v>45677</v>
      </c>
      <c r="O30" s="1323">
        <f>E30+21</f>
        <v>45697</v>
      </c>
      <c r="P30" s="1324">
        <f>O30-N30</f>
        <v>20</v>
      </c>
      <c r="Q30" s="1322">
        <f>+R30+Q29</f>
        <v>237853226.66500002</v>
      </c>
      <c r="R30" s="1444">
        <v>17792153.059999999</v>
      </c>
      <c r="S30" s="1444">
        <v>-2165698.5699999998</v>
      </c>
      <c r="T30" s="1444">
        <v>-2165698.5699999998</v>
      </c>
      <c r="U30" s="1444"/>
      <c r="V30" s="1328">
        <f t="shared" si="13"/>
        <v>13460755.919999998</v>
      </c>
      <c r="W30" s="1256"/>
      <c r="X30" s="2838" t="s">
        <v>3709</v>
      </c>
      <c r="Y30" s="1323">
        <v>45683</v>
      </c>
      <c r="Z30" s="1323"/>
      <c r="AA30" s="1321">
        <v>45685</v>
      </c>
      <c r="AB30" s="1321">
        <f>+Y30+30</f>
        <v>45713</v>
      </c>
      <c r="AC30" s="1324">
        <f>+AB30-AA30</f>
        <v>28</v>
      </c>
      <c r="AD30" s="1327">
        <f>V30</f>
        <v>13460755.919999998</v>
      </c>
      <c r="AE30" s="1327">
        <f t="shared" si="14"/>
        <v>2343968.1734999996</v>
      </c>
      <c r="AF30" s="1327">
        <f t="shared" si="15"/>
        <v>15804724.093499998</v>
      </c>
      <c r="AG30" s="1327">
        <f>+AF30+AG29</f>
        <v>241666520.08265001</v>
      </c>
    </row>
    <row r="31" spans="1:34">
      <c r="A31" s="723"/>
      <c r="B31" s="810"/>
      <c r="C31" s="1445"/>
      <c r="D31" s="2835"/>
      <c r="E31" s="1440"/>
      <c r="F31" s="1322"/>
      <c r="G31" s="1322"/>
      <c r="H31" s="1322"/>
      <c r="I31" s="1322"/>
      <c r="J31" s="1322"/>
      <c r="K31" s="1256"/>
      <c r="L31" s="1443"/>
      <c r="M31" s="2850"/>
      <c r="N31" s="1321"/>
      <c r="O31" s="1323"/>
      <c r="P31" s="1324"/>
      <c r="Q31" s="1322"/>
      <c r="R31" s="1444"/>
      <c r="S31" s="1444"/>
      <c r="T31" s="1444"/>
      <c r="U31" s="1444"/>
      <c r="V31" s="1328"/>
      <c r="W31" s="1256"/>
      <c r="X31" s="723"/>
      <c r="Y31" s="724"/>
      <c r="Z31" s="1323"/>
      <c r="AA31" s="1321"/>
      <c r="AB31" s="1321"/>
      <c r="AC31" s="1324"/>
      <c r="AD31" s="1327"/>
      <c r="AE31" s="1327"/>
      <c r="AF31" s="1327"/>
      <c r="AG31" s="1327"/>
    </row>
    <row r="32" spans="1:34">
      <c r="A32" s="1329"/>
      <c r="B32" s="1330"/>
      <c r="C32" s="1440"/>
      <c r="D32" s="1331"/>
      <c r="E32" s="1442"/>
      <c r="F32" s="1332"/>
      <c r="G32" s="1332"/>
      <c r="H32" s="1332"/>
      <c r="I32" s="1332"/>
      <c r="J32" s="1332"/>
      <c r="K32" s="1256"/>
      <c r="L32" s="1329"/>
      <c r="M32" s="2851"/>
      <c r="N32" s="1334"/>
      <c r="O32" s="1334"/>
      <c r="P32" s="1335"/>
      <c r="Q32" s="1322"/>
      <c r="R32" s="1333"/>
      <c r="S32" s="1333"/>
      <c r="T32" s="1333"/>
      <c r="U32" s="1333"/>
      <c r="V32" s="1336"/>
      <c r="W32" s="1256"/>
      <c r="X32" s="1329"/>
      <c r="Y32" s="1333"/>
      <c r="Z32" s="1337"/>
      <c r="AA32" s="1334"/>
      <c r="AB32" s="1334"/>
      <c r="AC32" s="1334"/>
      <c r="AD32" s="1329"/>
      <c r="AE32" s="1337"/>
      <c r="AF32" s="1334"/>
      <c r="AG32" s="1334"/>
    </row>
    <row r="33" spans="1:33" ht="24.75" customHeight="1" collapsed="1" thickBot="1">
      <c r="A33" s="6045" t="s">
        <v>1522</v>
      </c>
      <c r="B33" s="6046"/>
      <c r="C33" s="6046"/>
      <c r="D33" s="6046"/>
      <c r="E33" s="6046"/>
      <c r="F33" s="6047"/>
      <c r="G33" s="1338">
        <f>SUM(G14:G32)</f>
        <v>308187474.82265526</v>
      </c>
      <c r="H33" s="1338">
        <f>SUM(H14:H32)</f>
        <v>-16966243.618766785</v>
      </c>
      <c r="I33" s="1338">
        <f>SUM(I14:I32)</f>
        <v>-16966243.618766785</v>
      </c>
      <c r="J33" s="1338">
        <f>SUM(J14:J32)</f>
        <v>274254987.58512169</v>
      </c>
      <c r="K33" s="1256"/>
      <c r="L33" s="1339" t="s">
        <v>1522</v>
      </c>
      <c r="M33" s="1343"/>
      <c r="N33" s="1340"/>
      <c r="O33" s="1340"/>
      <c r="P33" s="1340"/>
      <c r="Q33" s="1340"/>
      <c r="R33" s="1341">
        <f>SUM(R14:R32)</f>
        <v>237853226.66500002</v>
      </c>
      <c r="S33" s="1338">
        <f>SUM(S14:S32)</f>
        <v>-14534122.594000001</v>
      </c>
      <c r="T33" s="1338">
        <f>SUM(T14:T32)</f>
        <v>-14534122.594000001</v>
      </c>
      <c r="U33" s="1338">
        <f>SUM(U14:U32)</f>
        <v>-535936.5</v>
      </c>
      <c r="V33" s="1338">
        <f>SUM(V14:V32)</f>
        <v>208249044.947</v>
      </c>
      <c r="W33" s="1256"/>
      <c r="X33" s="1342" t="s">
        <v>1522</v>
      </c>
      <c r="Y33" s="1343"/>
      <c r="Z33" s="1343"/>
      <c r="AA33" s="1343"/>
      <c r="AB33" s="1343"/>
      <c r="AC33" s="1343"/>
      <c r="AD33" s="1341">
        <f>SUM(AD14:AD32)</f>
        <v>208249044.947</v>
      </c>
      <c r="AE33" s="1338">
        <f>SUM(AE14:AE32)</f>
        <v>33417475.135650001</v>
      </c>
      <c r="AF33" s="1338">
        <f>SUM(AF14:AF32)</f>
        <v>241666520.08265001</v>
      </c>
      <c r="AG33" s="1338">
        <f>+AG30</f>
        <v>241666520.08265001</v>
      </c>
    </row>
    <row r="34" spans="1:33">
      <c r="A34" s="1360"/>
      <c r="B34" s="1256"/>
      <c r="C34" s="1255"/>
      <c r="D34" s="1257"/>
      <c r="E34" s="1361"/>
      <c r="F34" s="1258"/>
      <c r="G34" s="1258"/>
      <c r="H34" s="1258"/>
      <c r="I34" s="1258"/>
      <c r="J34" s="1258"/>
      <c r="K34" s="1256"/>
      <c r="L34" s="1360"/>
      <c r="M34" s="2852"/>
      <c r="N34" s="1362"/>
      <c r="O34" s="1362"/>
      <c r="P34" s="1362"/>
      <c r="Q34" s="1360"/>
      <c r="R34" s="1360"/>
      <c r="S34" s="1360"/>
      <c r="T34" s="1360"/>
      <c r="U34" s="1360"/>
      <c r="V34" s="1363"/>
      <c r="W34" s="1256"/>
      <c r="X34" s="1360"/>
      <c r="Y34" s="1360"/>
      <c r="Z34" s="1364"/>
      <c r="AA34" s="1362"/>
      <c r="AB34" s="1362"/>
      <c r="AC34" s="1362"/>
      <c r="AD34" s="4257"/>
      <c r="AE34" s="1364"/>
      <c r="AF34" s="1362"/>
      <c r="AG34" s="1362"/>
    </row>
    <row r="35" spans="1:33">
      <c r="A35" s="1360"/>
      <c r="B35" s="1256"/>
      <c r="C35" s="1255"/>
      <c r="D35" s="1257"/>
      <c r="E35" s="1361"/>
      <c r="F35" s="1258"/>
      <c r="G35" s="1258"/>
      <c r="H35" s="1258"/>
      <c r="I35" s="1258"/>
      <c r="J35" s="1258"/>
      <c r="K35" s="1256"/>
      <c r="L35" s="1360"/>
      <c r="M35" s="2852"/>
      <c r="N35" s="1362"/>
      <c r="O35" s="1362"/>
      <c r="P35" s="1362"/>
      <c r="Q35" s="1360"/>
      <c r="R35" s="1360"/>
      <c r="S35" s="1360"/>
      <c r="T35" s="1360"/>
      <c r="U35" s="1360"/>
      <c r="V35" s="1363"/>
      <c r="W35" s="1256"/>
      <c r="X35" s="4289"/>
      <c r="Y35" s="1363"/>
      <c r="Z35" s="1363"/>
      <c r="AA35" s="1258"/>
      <c r="AB35" s="1258"/>
      <c r="AC35" s="1258"/>
      <c r="AD35" s="4290"/>
      <c r="AE35" s="1363"/>
      <c r="AF35" s="1362"/>
      <c r="AG35" s="1362"/>
    </row>
    <row r="36" spans="1:33">
      <c r="A36" s="1360"/>
      <c r="B36" s="1256"/>
      <c r="C36" s="1255"/>
      <c r="D36" s="1257"/>
      <c r="E36" s="1361"/>
      <c r="F36" s="1258"/>
      <c r="G36" s="1258"/>
      <c r="H36" s="1258"/>
      <c r="I36" s="1258"/>
      <c r="J36" s="1258"/>
      <c r="K36" s="1256"/>
      <c r="L36" s="1360"/>
      <c r="M36" s="2852"/>
      <c r="N36" s="1362"/>
      <c r="O36" s="1362"/>
      <c r="P36" s="1362"/>
      <c r="Q36" s="1360"/>
      <c r="R36" s="1360"/>
      <c r="S36" s="1360"/>
      <c r="T36" s="1360"/>
      <c r="U36" s="1360"/>
      <c r="V36" s="1363"/>
      <c r="W36" s="1256"/>
      <c r="X36" s="4291"/>
      <c r="Y36" s="1363"/>
      <c r="Z36" s="1363"/>
      <c r="AA36" s="1258"/>
      <c r="AB36" s="1258"/>
      <c r="AC36" s="1258"/>
      <c r="AD36" s="4292"/>
      <c r="AE36" s="1363"/>
      <c r="AF36" s="1362"/>
      <c r="AG36" s="1362"/>
    </row>
    <row r="37" spans="1:33">
      <c r="A37" s="1360"/>
      <c r="B37" s="1256"/>
      <c r="C37" s="1255"/>
      <c r="D37" s="1257"/>
      <c r="E37" s="1361"/>
      <c r="F37" s="1258"/>
      <c r="G37" s="1258"/>
      <c r="H37" s="1258"/>
      <c r="I37" s="1258"/>
      <c r="J37" s="1258"/>
      <c r="K37" s="1256"/>
      <c r="L37" s="1360"/>
      <c r="M37" s="2852"/>
      <c r="N37" s="1362"/>
      <c r="O37" s="1362"/>
      <c r="P37" s="1362"/>
      <c r="Q37" s="1360"/>
      <c r="R37" s="1360"/>
      <c r="S37" s="1360"/>
      <c r="T37" s="1360"/>
      <c r="U37" s="1360"/>
      <c r="V37" s="1363"/>
      <c r="W37" s="1256"/>
      <c r="X37" s="4293" t="s">
        <v>4598</v>
      </c>
      <c r="Y37" s="4294"/>
      <c r="Z37" s="4294"/>
      <c r="AA37" s="4295"/>
      <c r="AB37" s="4295"/>
      <c r="AC37" s="4295"/>
      <c r="AD37" s="4296">
        <f>+AD35+AD33</f>
        <v>208249044.947</v>
      </c>
      <c r="AE37" s="1363"/>
      <c r="AF37" s="1362"/>
      <c r="AG37" s="1362"/>
    </row>
    <row r="38" spans="1:33">
      <c r="A38" s="1360"/>
      <c r="B38" s="1256"/>
      <c r="C38" s="1255"/>
      <c r="D38" s="1257"/>
      <c r="E38" s="1361"/>
      <c r="F38" s="1258"/>
      <c r="G38" s="1258"/>
      <c r="H38" s="1258"/>
      <c r="I38" s="1258"/>
      <c r="J38" s="1258"/>
      <c r="K38" s="1256"/>
      <c r="L38" s="1360"/>
      <c r="M38" s="2852"/>
      <c r="N38" s="1362"/>
      <c r="O38" s="1362"/>
      <c r="P38" s="1362"/>
      <c r="Q38" s="1360"/>
      <c r="R38" s="1360"/>
      <c r="S38" s="1360"/>
      <c r="T38" s="1360"/>
      <c r="U38" s="1360"/>
      <c r="V38" s="1363"/>
      <c r="W38" s="1256"/>
      <c r="X38" s="4289"/>
      <c r="Y38" s="1363"/>
      <c r="Z38" s="1363"/>
      <c r="AA38" s="1258"/>
      <c r="AB38" s="1258"/>
      <c r="AC38" s="1258"/>
      <c r="AD38" s="4290"/>
      <c r="AE38" s="1363"/>
      <c r="AF38" s="1362"/>
      <c r="AG38" s="1362"/>
    </row>
    <row r="39" spans="1:33">
      <c r="A39" s="1360"/>
      <c r="B39" s="1256"/>
      <c r="C39" s="1255"/>
      <c r="D39" s="1257"/>
      <c r="E39" s="1361"/>
      <c r="F39" s="1258"/>
      <c r="G39" s="1258"/>
      <c r="H39" s="1258"/>
      <c r="I39" s="1258"/>
      <c r="J39" s="1258"/>
      <c r="K39" s="1256"/>
      <c r="L39" s="1360"/>
      <c r="M39" s="2852"/>
      <c r="N39" s="1362"/>
      <c r="O39" s="1362"/>
      <c r="P39" s="1362"/>
      <c r="Q39" s="1360"/>
      <c r="R39" s="1360"/>
      <c r="S39" s="1360"/>
      <c r="T39" s="1360"/>
      <c r="U39" s="1360"/>
      <c r="V39" s="1363"/>
      <c r="W39" s="1256"/>
      <c r="X39" s="4289" t="s">
        <v>4599</v>
      </c>
      <c r="Y39" s="1363"/>
      <c r="Z39" s="1363"/>
      <c r="AA39" s="1258"/>
      <c r="AB39" s="1258"/>
      <c r="AC39" s="1258"/>
      <c r="AD39" s="4292"/>
      <c r="AE39" s="1363"/>
      <c r="AF39" s="1362"/>
      <c r="AG39" s="1362"/>
    </row>
    <row r="40" spans="1:33">
      <c r="A40" s="1360"/>
      <c r="B40" s="1256"/>
      <c r="C40" s="1255"/>
      <c r="D40" s="1257"/>
      <c r="E40" s="1361"/>
      <c r="F40" s="1258"/>
      <c r="G40" s="1258"/>
      <c r="H40" s="1258"/>
      <c r="I40" s="1258"/>
      <c r="J40" s="1258"/>
      <c r="K40" s="1256"/>
      <c r="L40" s="1360"/>
      <c r="M40" s="2852"/>
      <c r="N40" s="1362"/>
      <c r="O40" s="1362"/>
      <c r="P40" s="1362"/>
      <c r="Q40" s="1360"/>
      <c r="R40" s="1360"/>
      <c r="S40" s="1360"/>
      <c r="T40" s="1360"/>
      <c r="U40" s="1360"/>
      <c r="V40" s="1363"/>
      <c r="W40" s="1256"/>
      <c r="X40" s="4291" t="s">
        <v>4600</v>
      </c>
      <c r="Y40" s="1363"/>
      <c r="Z40" s="1363"/>
      <c r="AA40" s="1258"/>
      <c r="AB40" s="1258"/>
      <c r="AC40" s="1258"/>
      <c r="AD40" s="4292">
        <v>-26095541.440000001</v>
      </c>
      <c r="AE40" s="1363"/>
      <c r="AF40" s="1362"/>
      <c r="AG40" s="1362"/>
    </row>
    <row r="41" spans="1:33">
      <c r="A41" s="1360"/>
      <c r="B41" s="1256"/>
      <c r="C41" s="1255"/>
      <c r="D41" s="1257"/>
      <c r="E41" s="1361"/>
      <c r="F41" s="1258"/>
      <c r="G41" s="1258"/>
      <c r="H41" s="1258"/>
      <c r="I41" s="1258"/>
      <c r="J41" s="1258"/>
      <c r="K41" s="1256"/>
      <c r="L41" s="1360"/>
      <c r="M41" s="2852"/>
      <c r="N41" s="1362"/>
      <c r="O41" s="1362"/>
      <c r="P41" s="1362"/>
      <c r="Q41" s="1360"/>
      <c r="R41" s="1360"/>
      <c r="S41" s="1360"/>
      <c r="T41" s="1360"/>
      <c r="U41" s="1360"/>
      <c r="V41" s="1363"/>
      <c r="W41" s="1256"/>
      <c r="X41" s="4291" t="s">
        <v>4601</v>
      </c>
      <c r="Y41" s="1363"/>
      <c r="Z41" s="1363"/>
      <c r="AA41" s="1258"/>
      <c r="AB41" s="1258"/>
      <c r="AC41" s="1258"/>
      <c r="AD41" s="4292">
        <v>-11561418.85</v>
      </c>
      <c r="AE41" s="1363"/>
      <c r="AF41" s="1362"/>
      <c r="AG41" s="1362"/>
    </row>
    <row r="42" spans="1:33">
      <c r="A42" s="1360"/>
      <c r="B42" s="1256"/>
      <c r="C42" s="1255"/>
      <c r="D42" s="1257"/>
      <c r="E42" s="1361"/>
      <c r="F42" s="1258"/>
      <c r="G42" s="1258"/>
      <c r="H42" s="1258"/>
      <c r="I42" s="1258"/>
      <c r="J42" s="1258"/>
      <c r="K42" s="1256"/>
      <c r="L42" s="1360"/>
      <c r="M42" s="2852"/>
      <c r="N42" s="1362"/>
      <c r="O42" s="1362"/>
      <c r="P42" s="1362"/>
      <c r="Q42" s="1360"/>
      <c r="R42" s="1360"/>
      <c r="S42" s="1360"/>
      <c r="T42" s="1360"/>
      <c r="U42" s="1360"/>
      <c r="V42" s="1363"/>
      <c r="W42" s="1256"/>
      <c r="X42" s="4291"/>
      <c r="Y42" s="1363"/>
      <c r="Z42" s="1363"/>
      <c r="AA42" s="1258"/>
      <c r="AB42" s="1258"/>
      <c r="AC42" s="1258"/>
      <c r="AD42" s="4292"/>
      <c r="AE42" s="1363"/>
      <c r="AF42" s="1362"/>
      <c r="AG42" s="1362"/>
    </row>
    <row r="43" spans="1:33">
      <c r="A43" s="1360"/>
      <c r="B43" s="1256"/>
      <c r="C43" s="1255"/>
      <c r="D43" s="1257"/>
      <c r="E43" s="1361"/>
      <c r="F43" s="1258"/>
      <c r="G43" s="1258"/>
      <c r="H43" s="1258"/>
      <c r="I43" s="1258"/>
      <c r="J43" s="1258"/>
      <c r="K43" s="1256"/>
      <c r="L43" s="1360"/>
      <c r="M43" s="2852"/>
      <c r="N43" s="1362"/>
      <c r="O43" s="1362"/>
      <c r="P43" s="1362"/>
      <c r="Q43" s="1360"/>
      <c r="R43" s="1360"/>
      <c r="S43" s="1360"/>
      <c r="T43" s="1360"/>
      <c r="U43" s="1360"/>
      <c r="V43" s="4297"/>
      <c r="W43" s="4298"/>
      <c r="X43" s="4299" t="s">
        <v>4602</v>
      </c>
      <c r="Y43" s="4300"/>
      <c r="Z43" s="4300"/>
      <c r="AA43" s="4301"/>
      <c r="AB43" s="4301"/>
      <c r="AC43" s="4301"/>
      <c r="AD43" s="4302">
        <f>+AD41+AD40+AD37</f>
        <v>170592084.65700001</v>
      </c>
      <c r="AE43" s="1363"/>
      <c r="AF43" s="1362"/>
      <c r="AG43" s="1362"/>
    </row>
    <row r="44" spans="1:33">
      <c r="A44" s="1360"/>
      <c r="B44" s="1256"/>
      <c r="C44" s="1255"/>
      <c r="D44" s="1257"/>
      <c r="E44" s="1361"/>
      <c r="F44" s="1258"/>
      <c r="G44" s="1258"/>
      <c r="H44" s="1258"/>
      <c r="I44" s="1258"/>
      <c r="J44" s="1258"/>
      <c r="K44" s="1256"/>
      <c r="L44" s="1360"/>
      <c r="M44" s="2852"/>
      <c r="N44" s="1362"/>
      <c r="O44" s="1362"/>
      <c r="P44" s="1362"/>
      <c r="Q44" s="1360"/>
      <c r="R44" s="1360"/>
      <c r="S44" s="1360"/>
      <c r="T44" s="1360"/>
      <c r="U44" s="1360"/>
      <c r="V44" s="1363"/>
      <c r="W44" s="1256"/>
      <c r="X44" s="1360"/>
      <c r="Y44" s="1360"/>
      <c r="Z44" s="1364"/>
      <c r="AA44" s="1362"/>
      <c r="AB44" s="1362"/>
      <c r="AC44" s="1362"/>
      <c r="AD44" s="4257"/>
      <c r="AE44" s="1364"/>
      <c r="AF44" s="1362"/>
      <c r="AG44" s="1362"/>
    </row>
    <row r="45" spans="1:33">
      <c r="A45" s="1360"/>
      <c r="B45" s="1256"/>
      <c r="C45" s="1255"/>
      <c r="D45" s="1257"/>
      <c r="E45" s="1361"/>
      <c r="F45" s="1258"/>
      <c r="G45" s="1258"/>
      <c r="H45" s="1258"/>
      <c r="I45" s="1258"/>
      <c r="J45" s="1258"/>
      <c r="K45" s="1256"/>
      <c r="L45" s="1360"/>
      <c r="M45" s="2852"/>
      <c r="N45" s="1362"/>
      <c r="O45" s="1362"/>
      <c r="P45" s="1362"/>
      <c r="Q45" s="1360"/>
      <c r="R45" s="1360"/>
      <c r="S45" s="1360"/>
      <c r="T45" s="1360"/>
      <c r="U45" s="1360"/>
      <c r="V45" s="1363"/>
      <c r="W45" s="1256"/>
      <c r="X45" s="1360"/>
      <c r="Y45" s="1360"/>
      <c r="Z45" s="1364"/>
      <c r="AA45" s="1362"/>
      <c r="AB45" s="1362"/>
      <c r="AC45" s="1362"/>
      <c r="AD45" s="4257"/>
      <c r="AE45" s="1364"/>
      <c r="AF45" s="1362"/>
      <c r="AG45" s="1362"/>
    </row>
    <row r="46" spans="1:33">
      <c r="A46" s="1360"/>
      <c r="B46" s="1256"/>
      <c r="C46" s="1255"/>
      <c r="D46" s="1257"/>
      <c r="E46" s="1361"/>
      <c r="F46" s="1258"/>
      <c r="G46" s="1258"/>
      <c r="H46" s="1258"/>
      <c r="I46" s="1258"/>
      <c r="J46" s="1258"/>
      <c r="K46" s="1256"/>
      <c r="L46" s="1360"/>
      <c r="M46" s="2852"/>
      <c r="N46" s="1362"/>
      <c r="O46" s="1362"/>
      <c r="P46" s="1362"/>
      <c r="Q46" s="1360"/>
      <c r="R46" s="1360"/>
      <c r="S46" s="1360"/>
      <c r="T46" s="1360"/>
      <c r="U46" s="1360"/>
      <c r="V46" s="1363"/>
      <c r="W46" s="1256"/>
      <c r="X46" s="1360"/>
      <c r="Y46" s="1360"/>
      <c r="Z46" s="1364"/>
      <c r="AA46" s="1362"/>
      <c r="AB46" s="1362"/>
      <c r="AC46" s="1362"/>
      <c r="AD46" s="4257">
        <f>SUM(AD40:AD41)</f>
        <v>-37656960.289999999</v>
      </c>
      <c r="AE46" s="1364"/>
      <c r="AF46" s="1362"/>
      <c r="AG46" s="1362"/>
    </row>
    <row r="47" spans="1:33">
      <c r="A47" s="1360"/>
      <c r="B47" s="1256"/>
      <c r="C47" s="1255"/>
      <c r="D47" s="1257"/>
      <c r="E47" s="1361"/>
      <c r="F47" s="1258"/>
      <c r="G47" s="1258"/>
      <c r="H47" s="1258"/>
      <c r="I47" s="1258"/>
      <c r="J47" s="1258"/>
      <c r="K47" s="1256"/>
      <c r="L47" s="1360"/>
      <c r="M47" s="2852"/>
      <c r="N47" s="1362"/>
      <c r="O47" s="1362"/>
      <c r="P47" s="1362"/>
      <c r="Q47" s="1360"/>
      <c r="R47" s="1360"/>
      <c r="S47" s="1360"/>
      <c r="T47" s="1360"/>
      <c r="U47" s="1360"/>
      <c r="V47" s="1363"/>
      <c r="W47" s="1256"/>
      <c r="X47" s="1360"/>
      <c r="Y47" s="1360"/>
      <c r="Z47" s="1364"/>
      <c r="AA47" s="1362"/>
      <c r="AB47" s="1362"/>
      <c r="AC47" s="1362"/>
      <c r="AD47" s="4257"/>
      <c r="AE47" s="1364"/>
      <c r="AF47" s="1362"/>
      <c r="AG47" s="1362"/>
    </row>
    <row r="48" spans="1:33">
      <c r="A48" s="1360"/>
      <c r="B48" s="1256"/>
      <c r="C48" s="1255"/>
      <c r="D48" s="1257"/>
      <c r="E48" s="1361"/>
      <c r="F48" s="1258"/>
      <c r="G48" s="1258"/>
      <c r="H48" s="1258"/>
      <c r="I48" s="1258"/>
      <c r="J48" s="1258"/>
      <c r="K48" s="1256"/>
      <c r="L48" s="1360"/>
      <c r="M48" s="2852"/>
      <c r="N48" s="1362"/>
      <c r="O48" s="1362"/>
      <c r="P48" s="1362"/>
      <c r="Q48" s="1360"/>
      <c r="R48" s="1360"/>
      <c r="S48" s="1360"/>
      <c r="T48" s="1360"/>
      <c r="U48" s="1360"/>
      <c r="V48" s="1363"/>
      <c r="W48" s="1256"/>
      <c r="X48" s="1360"/>
      <c r="Y48" s="1360"/>
      <c r="Z48" s="1364"/>
      <c r="AA48" s="1362"/>
      <c r="AB48" s="1362"/>
      <c r="AC48" s="1362"/>
      <c r="AD48" s="4257"/>
      <c r="AE48" s="1364"/>
      <c r="AF48" s="1362"/>
      <c r="AG48" s="1362"/>
    </row>
    <row r="49" spans="1:33">
      <c r="A49" s="1360"/>
      <c r="B49" s="1256"/>
      <c r="C49" s="1255"/>
      <c r="D49" s="1257"/>
      <c r="E49" s="1361"/>
      <c r="F49" s="1258"/>
      <c r="G49" s="1258"/>
      <c r="H49" s="1258"/>
      <c r="I49" s="1258"/>
      <c r="J49" s="1258"/>
      <c r="K49" s="1256"/>
      <c r="L49" s="1360"/>
      <c r="M49" s="2852"/>
      <c r="N49" s="1362"/>
      <c r="O49" s="1362"/>
      <c r="P49" s="1257"/>
      <c r="Q49" s="1258"/>
      <c r="R49" s="1258"/>
      <c r="S49" s="1258"/>
      <c r="T49" s="1258"/>
      <c r="U49" s="1258"/>
      <c r="V49" s="1258">
        <f>+V33-T33</f>
        <v>222783167.54100001</v>
      </c>
      <c r="W49" s="1256"/>
      <c r="X49" s="1360"/>
      <c r="Y49" s="1360"/>
      <c r="Z49" s="1364"/>
      <c r="AA49" s="1362"/>
      <c r="AB49" s="1362"/>
      <c r="AC49" s="1362"/>
      <c r="AD49" s="1360"/>
      <c r="AE49" s="1364"/>
      <c r="AF49" s="1362"/>
      <c r="AG49" s="1362"/>
    </row>
    <row r="50" spans="1:33">
      <c r="A50" s="1365"/>
      <c r="B50" s="1256"/>
      <c r="C50" s="1255"/>
      <c r="D50" s="1257"/>
      <c r="E50" s="1361"/>
      <c r="F50" s="1366"/>
      <c r="G50" s="1366"/>
      <c r="H50" s="1366"/>
      <c r="I50" s="1366"/>
      <c r="J50" s="1258"/>
      <c r="K50" s="1256"/>
      <c r="L50" s="1365"/>
      <c r="M50" s="2853">
        <f>403092.61/11085046.72</f>
        <v>3.6363636544059594E-2</v>
      </c>
      <c r="N50" s="1365"/>
      <c r="O50" s="1365"/>
      <c r="P50" s="1257"/>
      <c r="Q50" s="1366"/>
      <c r="R50" s="1366"/>
      <c r="S50" s="1366"/>
      <c r="T50" s="1366"/>
      <c r="U50" s="1366"/>
      <c r="V50" s="1366"/>
      <c r="W50" s="1256"/>
      <c r="X50" s="1365"/>
      <c r="Y50" s="1365"/>
      <c r="Z50" s="1365"/>
      <c r="AA50" s="1362"/>
      <c r="AB50" s="1362"/>
      <c r="AC50" s="1362"/>
      <c r="AD50" s="1365"/>
      <c r="AE50" s="1365"/>
      <c r="AF50" s="1362"/>
      <c r="AG50" s="1362"/>
    </row>
    <row r="51" spans="1:33">
      <c r="D51" s="1257"/>
      <c r="E51" s="153">
        <v>44197</v>
      </c>
      <c r="F51" s="1366"/>
      <c r="P51" s="1257"/>
      <c r="Q51" s="1366"/>
      <c r="R51" s="1366">
        <f>+R14+R15+R16+R17+R18+R19+R20</f>
        <v>109808950.18000001</v>
      </c>
      <c r="S51" s="1366"/>
      <c r="T51" s="1366"/>
      <c r="U51" s="1366"/>
      <c r="V51" s="1366"/>
      <c r="AB51" s="153">
        <v>44094</v>
      </c>
      <c r="AD51" s="1367"/>
    </row>
    <row r="52" spans="1:33">
      <c r="D52" s="1257"/>
      <c r="E52" s="153">
        <f>E51-45</f>
        <v>44152</v>
      </c>
      <c r="F52" s="1366"/>
      <c r="P52" s="1257"/>
      <c r="Q52" s="1366"/>
      <c r="R52" s="1366"/>
      <c r="S52" s="1366"/>
      <c r="T52" s="1366"/>
      <c r="U52" s="1366"/>
      <c r="V52" s="1366"/>
      <c r="AB52" s="153">
        <f>AB51-45</f>
        <v>44049</v>
      </c>
    </row>
    <row r="53" spans="1:33">
      <c r="D53" s="1257"/>
      <c r="F53" s="1366"/>
      <c r="H53" s="153">
        <v>43986</v>
      </c>
      <c r="R53" s="652"/>
      <c r="S53" s="652"/>
      <c r="T53" s="652"/>
      <c r="U53" s="652"/>
      <c r="V53" s="652"/>
    </row>
    <row r="55" spans="1:33">
      <c r="AD55" t="s">
        <v>2330</v>
      </c>
    </row>
    <row r="56" spans="1:33">
      <c r="AD56" s="3018">
        <v>45222</v>
      </c>
      <c r="AE56" s="3018">
        <v>45253</v>
      </c>
      <c r="AF56" s="3018">
        <v>45283</v>
      </c>
    </row>
    <row r="57" spans="1:33">
      <c r="AD57" s="3020">
        <v>11439880.26</v>
      </c>
    </row>
  </sheetData>
  <mergeCells count="4">
    <mergeCell ref="A10:J10"/>
    <mergeCell ref="L10:V10"/>
    <mergeCell ref="X10:AG10"/>
    <mergeCell ref="A33:F33"/>
  </mergeCells>
  <printOptions horizontalCentered="1"/>
  <pageMargins left="0.25" right="0.25" top="0.75" bottom="0.75" header="0.3" footer="0.3"/>
  <pageSetup paperSize="8" scale="62" fitToHeight="2" orientation="landscape" r:id="rId1"/>
  <headerFooter>
    <oddHeader>&amp;C&amp;"Calibri,Bold"&amp;18MONTHLY REPORT - INVOICE &amp; PAYMENT TRACKING LOG (SAUDI ARABIAN BAYTUR)</oddHeader>
    <oddFooter>&amp;L1TB.01.003.01 - AYC 
MARCH'26 REPORT&amp;C&amp;A&amp;RPage &amp;P of &amp;N</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EE40C-10D9-44BB-BFB3-B53FE5512345}">
  <sheetPr codeName="Sheet41">
    <tabColor theme="7" tint="0.39997558519241921"/>
    <pageSetUpPr fitToPage="1"/>
  </sheetPr>
  <dimension ref="A1:AG47"/>
  <sheetViews>
    <sheetView showGridLines="0" view="pageBreakPreview" zoomScale="90" zoomScaleNormal="100" zoomScaleSheetLayoutView="90" workbookViewId="0">
      <selection activeCell="C43" sqref="C43"/>
    </sheetView>
  </sheetViews>
  <sheetFormatPr defaultColWidth="9" defaultRowHeight="12.75"/>
  <cols>
    <col min="1" max="1" width="10.85546875" customWidth="1"/>
    <col min="2" max="2" width="10.42578125" customWidth="1"/>
    <col min="3" max="3" width="11.42578125" customWidth="1"/>
    <col min="4" max="4" width="10.85546875" bestFit="1" customWidth="1"/>
    <col min="5" max="5" width="9.85546875" bestFit="1" customWidth="1"/>
    <col min="6" max="6" width="12" customWidth="1"/>
    <col min="7" max="7" width="12.85546875" bestFit="1" customWidth="1"/>
    <col min="8" max="9" width="11.85546875" bestFit="1" customWidth="1"/>
    <col min="10" max="10" width="13.85546875" customWidth="1"/>
    <col min="11" max="11" width="0.85546875" customWidth="1"/>
    <col min="12" max="12" width="6" customWidth="1"/>
    <col min="13" max="13" width="17.85546875" style="2854" bestFit="1" customWidth="1"/>
    <col min="14" max="15" width="9" customWidth="1"/>
    <col min="16" max="16" width="7.85546875" customWidth="1"/>
    <col min="17" max="17" width="13.85546875" customWidth="1"/>
    <col min="18" max="18" width="15.5703125" customWidth="1"/>
    <col min="19" max="20" width="11.42578125" customWidth="1"/>
    <col min="21" max="21" width="14.5703125" customWidth="1"/>
    <col min="22" max="22" width="0.85546875" customWidth="1"/>
    <col min="23" max="23" width="14" bestFit="1" customWidth="1"/>
    <col min="24" max="24" width="9" customWidth="1"/>
    <col min="25" max="25" width="9" hidden="1" customWidth="1"/>
    <col min="26" max="26" width="9" bestFit="1" customWidth="1"/>
    <col min="27" max="27" width="10" customWidth="1"/>
    <col min="28" max="28" width="7" customWidth="1"/>
    <col min="29" max="29" width="12.42578125" customWidth="1"/>
    <col min="30" max="30" width="13.5703125" customWidth="1"/>
    <col min="31" max="32" width="14" customWidth="1"/>
    <col min="33" max="33" width="13.5703125" bestFit="1" customWidth="1"/>
  </cols>
  <sheetData>
    <row r="1" spans="1:33">
      <c r="A1" s="1255"/>
      <c r="B1" s="1256"/>
      <c r="C1" s="1255"/>
      <c r="D1" s="1257"/>
      <c r="E1" s="1257"/>
      <c r="F1" s="1258"/>
      <c r="G1" s="1258"/>
      <c r="H1" s="1258"/>
      <c r="I1" s="1258"/>
      <c r="J1" s="1258"/>
      <c r="K1" s="1257"/>
      <c r="L1" s="1255"/>
      <c r="M1" s="2848"/>
      <c r="N1" s="1255"/>
      <c r="O1" s="1255"/>
      <c r="P1" s="1255"/>
      <c r="Q1" s="1255"/>
      <c r="R1" s="1255"/>
      <c r="S1" s="1255"/>
      <c r="T1" s="1255"/>
      <c r="U1" s="1259"/>
      <c r="V1" s="1257"/>
      <c r="W1" s="1257"/>
      <c r="X1" s="1257"/>
      <c r="Y1" s="1257"/>
      <c r="Z1" s="1257"/>
      <c r="AA1" s="1257"/>
      <c r="AB1" s="1257"/>
      <c r="AC1" s="1257"/>
      <c r="AD1" s="1257"/>
      <c r="AE1" s="1257"/>
      <c r="AF1" s="1257"/>
    </row>
    <row r="2" spans="1:33">
      <c r="A2" s="9" t="str">
        <f>'Data Input'!A1&amp;" - "&amp;'Data Input'!B1</f>
        <v>PROGRAMME: - MARINA VILLAGE (PROGRAMME 1_TRIPLE BAY)</v>
      </c>
      <c r="B2" s="1256"/>
      <c r="C2" s="1255"/>
      <c r="D2" s="1257"/>
      <c r="E2" s="1257"/>
      <c r="F2" s="1258"/>
      <c r="G2" s="1258"/>
      <c r="H2" s="1258"/>
      <c r="I2" s="1258"/>
      <c r="J2" s="1258"/>
      <c r="K2" s="1257"/>
      <c r="L2" s="1255"/>
      <c r="M2" s="2848"/>
      <c r="N2" s="1255"/>
      <c r="O2" s="1255"/>
      <c r="P2" s="1255"/>
      <c r="Q2" s="1255"/>
      <c r="R2" s="1255"/>
      <c r="S2" s="1255"/>
      <c r="T2" s="1255"/>
      <c r="U2" s="1259"/>
      <c r="V2" s="1257"/>
      <c r="W2" s="1257"/>
      <c r="X2" s="1257"/>
      <c r="Y2" s="1257"/>
      <c r="Z2" s="1257"/>
      <c r="AA2" s="1257"/>
      <c r="AB2" s="1257"/>
      <c r="AC2" s="1257"/>
      <c r="AD2" s="1257"/>
      <c r="AE2" s="1257"/>
      <c r="AF2" s="1257"/>
    </row>
    <row r="3" spans="1:33">
      <c r="A3" s="9" t="str">
        <f>'Data Input'!A2&amp;" - "&amp;'Data Input'!B2</f>
        <v>PROGRAMME CODE: - 1TB01003</v>
      </c>
      <c r="B3" s="1260"/>
      <c r="C3" s="1261"/>
      <c r="D3" s="1262"/>
      <c r="E3" s="1262"/>
      <c r="F3" s="1263"/>
      <c r="G3" s="1263"/>
      <c r="H3" s="1263"/>
      <c r="I3" s="1263"/>
      <c r="J3" s="1264"/>
      <c r="K3" s="1265"/>
      <c r="L3" s="1265"/>
      <c r="M3" s="1262"/>
      <c r="N3" s="1265"/>
      <c r="O3" s="1266"/>
      <c r="P3" s="1265"/>
      <c r="Q3" s="1265"/>
      <c r="R3" s="1265"/>
      <c r="S3" s="1265"/>
      <c r="T3" s="1265"/>
      <c r="U3" s="1267"/>
      <c r="V3" s="1265"/>
      <c r="W3" s="1265"/>
      <c r="X3" s="1265"/>
      <c r="Y3" s="1265"/>
      <c r="Z3" s="1265"/>
      <c r="AA3" s="1265"/>
      <c r="AB3" s="1265"/>
      <c r="AC3" s="1265"/>
      <c r="AD3" s="1265"/>
      <c r="AE3" s="1265"/>
      <c r="AF3" s="1265"/>
    </row>
    <row r="4" spans="1:33">
      <c r="A4" s="9" t="str">
        <f>'Data Input'!A3&amp;" - "&amp;'Data Input'!B3</f>
        <v>ASSET NAME: - AMAALA YACHT CLUB</v>
      </c>
      <c r="B4" s="1260"/>
      <c r="C4" s="1268"/>
      <c r="D4" s="1265"/>
      <c r="E4" s="1265"/>
      <c r="F4" s="1267"/>
      <c r="G4" s="1267"/>
      <c r="H4" s="1267"/>
      <c r="I4" s="1267"/>
      <c r="J4" s="1269"/>
      <c r="K4" s="1265"/>
      <c r="L4" s="1265"/>
      <c r="M4" s="1262"/>
      <c r="N4" s="1265"/>
      <c r="O4" s="1266"/>
      <c r="P4" s="1265"/>
      <c r="Q4" s="1265"/>
      <c r="R4" s="1265"/>
      <c r="S4" s="1265"/>
      <c r="T4" s="1265"/>
      <c r="U4" s="1267"/>
      <c r="V4" s="1265"/>
      <c r="W4" s="1265"/>
      <c r="X4" s="1265"/>
      <c r="Y4" s="1265"/>
      <c r="Z4" s="1265"/>
      <c r="AA4" s="1265"/>
      <c r="AB4" s="1265"/>
      <c r="AC4" s="1265"/>
      <c r="AD4" s="1265"/>
      <c r="AE4" s="1265"/>
      <c r="AF4" s="1265"/>
    </row>
    <row r="5" spans="1:33">
      <c r="A5" s="9" t="str">
        <f>'Data Input'!A4&amp;" - "&amp;'Data Input'!B4</f>
        <v>ASSET CODE: - 1TB01003.01</v>
      </c>
      <c r="B5" s="1270"/>
      <c r="C5" s="1268"/>
      <c r="D5" s="1265"/>
      <c r="E5" s="1265"/>
      <c r="F5" s="1267"/>
      <c r="G5" s="1267"/>
      <c r="H5" s="1267"/>
      <c r="I5" s="1267"/>
      <c r="J5" s="1269"/>
      <c r="K5" s="1265"/>
      <c r="L5" s="1265"/>
      <c r="M5" s="1262"/>
      <c r="N5" s="1265"/>
      <c r="O5" s="1266"/>
      <c r="P5" s="1265"/>
      <c r="Q5" s="1265"/>
      <c r="R5" s="1271"/>
      <c r="S5" s="1265"/>
      <c r="T5" s="1265"/>
      <c r="U5" s="1267"/>
      <c r="V5" s="1265"/>
      <c r="W5" s="1265"/>
      <c r="X5" s="1265"/>
      <c r="Y5" s="1265"/>
      <c r="Z5" s="1265"/>
      <c r="AA5" s="1265"/>
      <c r="AB5" s="1265"/>
      <c r="AC5" s="1265"/>
      <c r="AD5" s="1265"/>
      <c r="AE5" s="1265"/>
      <c r="AF5" s="1265"/>
    </row>
    <row r="6" spans="1:33">
      <c r="A6" s="9" t="str">
        <f>'Data Input'!A7&amp;" - "&amp;'Data Input'!B7</f>
        <v>REPORT NO: - MONTHLY REPORT NO. 49</v>
      </c>
      <c r="B6" s="1272"/>
      <c r="C6" s="1268"/>
      <c r="D6" s="1265"/>
      <c r="E6" s="1265"/>
      <c r="F6" s="1267"/>
      <c r="G6" s="1267"/>
      <c r="H6" s="1267"/>
      <c r="I6" s="1267"/>
      <c r="J6" s="1269"/>
      <c r="K6" s="1265"/>
      <c r="L6" s="1265"/>
      <c r="M6" s="1262"/>
      <c r="N6" s="1265"/>
      <c r="O6" s="1266"/>
      <c r="P6" s="1265"/>
      <c r="Q6" s="1265"/>
      <c r="R6" s="1273"/>
      <c r="S6" s="1265"/>
      <c r="T6" s="1271"/>
      <c r="U6" s="1267"/>
      <c r="V6" s="1265"/>
      <c r="W6" s="1265"/>
      <c r="X6" s="1265"/>
      <c r="Y6" s="1265"/>
      <c r="Z6" s="1265"/>
      <c r="AA6" s="1265"/>
      <c r="AB6" s="1265"/>
      <c r="AC6" s="1265"/>
      <c r="AD6" s="1265"/>
      <c r="AE6" s="1265"/>
      <c r="AF6" s="1265"/>
    </row>
    <row r="7" spans="1:33">
      <c r="A7" s="9" t="str">
        <f>'Data Input'!A8&amp;" - "&amp;'Data Input'!B8</f>
        <v>REPORTING PERIOD: - OCTOBER 2026</v>
      </c>
      <c r="B7" s="1262"/>
      <c r="C7" s="1274"/>
      <c r="D7" s="1262"/>
      <c r="E7" s="1262"/>
      <c r="F7" s="1263"/>
      <c r="G7" s="1263"/>
      <c r="H7" s="1263"/>
      <c r="I7" s="1263"/>
      <c r="J7" s="1264"/>
      <c r="K7" s="1265"/>
      <c r="L7" s="1265"/>
      <c r="M7" s="1262"/>
      <c r="N7" s="1265"/>
      <c r="O7" s="1265"/>
      <c r="P7" s="1265"/>
      <c r="Q7" s="1267"/>
      <c r="R7" s="1263"/>
      <c r="S7" s="1263"/>
      <c r="T7" s="1263"/>
      <c r="U7" s="1267"/>
      <c r="V7" s="1265"/>
      <c r="W7" s="1265"/>
      <c r="X7" s="1265"/>
      <c r="Y7" s="1265"/>
      <c r="Z7" s="1265"/>
      <c r="AA7" s="1265"/>
      <c r="AB7" s="1265"/>
      <c r="AC7" s="1265"/>
      <c r="AD7" s="1265"/>
      <c r="AE7" s="1265"/>
      <c r="AF7" s="1265"/>
    </row>
    <row r="8" spans="1:33" ht="13.5" thickBot="1">
      <c r="A8" s="9"/>
      <c r="B8" s="1256"/>
      <c r="C8" s="1255"/>
      <c r="D8" s="1257"/>
      <c r="E8" s="1257"/>
      <c r="F8" s="1258"/>
      <c r="G8" s="1258"/>
      <c r="H8" s="1258"/>
      <c r="I8" s="1258"/>
      <c r="J8" s="1258"/>
      <c r="K8" s="1257"/>
      <c r="L8" s="1255"/>
      <c r="M8" s="2848"/>
      <c r="N8" s="1275"/>
      <c r="O8" s="1276"/>
      <c r="P8" s="1255"/>
      <c r="Q8" s="1255"/>
      <c r="R8" s="1255"/>
      <c r="S8" s="1255"/>
      <c r="T8" s="1255"/>
      <c r="U8" s="1259"/>
      <c r="V8" s="1257"/>
      <c r="W8" s="1257"/>
      <c r="X8" s="1257"/>
      <c r="Y8" s="1257"/>
      <c r="Z8" s="1257"/>
      <c r="AA8" s="1257"/>
      <c r="AB8" s="1257"/>
      <c r="AC8" s="1257"/>
      <c r="AD8" s="1257"/>
      <c r="AE8" s="1257"/>
      <c r="AF8" s="1257"/>
    </row>
    <row r="9" spans="1:33" ht="30" customHeight="1" thickBot="1">
      <c r="A9" s="1354" t="s">
        <v>2530</v>
      </c>
      <c r="B9" s="1355"/>
      <c r="C9" s="1355"/>
      <c r="D9" s="1356"/>
      <c r="E9" s="1356"/>
      <c r="F9" s="1357"/>
      <c r="G9" s="1357"/>
      <c r="H9" s="1357"/>
      <c r="I9" s="1357"/>
      <c r="J9" s="1357"/>
      <c r="K9" s="1356"/>
      <c r="L9" s="1355"/>
      <c r="M9" s="2849"/>
      <c r="N9" s="1355"/>
      <c r="O9" s="1355"/>
      <c r="P9" s="1355"/>
      <c r="Q9" s="1355"/>
      <c r="R9" s="1355"/>
      <c r="S9" s="1355"/>
      <c r="T9" s="1355"/>
      <c r="U9" s="1358"/>
      <c r="V9" s="1356"/>
      <c r="W9" s="1356"/>
      <c r="X9" s="1356"/>
      <c r="Y9" s="1356"/>
      <c r="Z9" s="1356"/>
      <c r="AA9" s="1356"/>
      <c r="AB9" s="1356"/>
      <c r="AC9" s="1356"/>
      <c r="AD9" s="1356"/>
      <c r="AE9" s="1356"/>
      <c r="AF9" s="1359"/>
    </row>
    <row r="10" spans="1:33">
      <c r="A10" s="6051" t="s">
        <v>1524</v>
      </c>
      <c r="B10" s="6052"/>
      <c r="C10" s="6052"/>
      <c r="D10" s="6052"/>
      <c r="E10" s="6052"/>
      <c r="F10" s="6052"/>
      <c r="G10" s="6053"/>
      <c r="H10" s="6053"/>
      <c r="I10" s="6053"/>
      <c r="J10" s="6054"/>
      <c r="K10" s="1256"/>
      <c r="L10" s="6055" t="s">
        <v>1525</v>
      </c>
      <c r="M10" s="6056"/>
      <c r="N10" s="6056"/>
      <c r="O10" s="6056"/>
      <c r="P10" s="6056"/>
      <c r="Q10" s="6056"/>
      <c r="R10" s="6057"/>
      <c r="S10" s="6057"/>
      <c r="T10" s="6057"/>
      <c r="U10" s="6058"/>
      <c r="V10" s="1256"/>
      <c r="W10" s="6043" t="s">
        <v>1526</v>
      </c>
      <c r="X10" s="6044"/>
      <c r="Y10" s="6044"/>
      <c r="Z10" s="6044"/>
      <c r="AA10" s="6044"/>
      <c r="AB10" s="6044"/>
      <c r="AC10" s="6044"/>
      <c r="AD10" s="6044"/>
      <c r="AE10" s="6044"/>
      <c r="AF10" s="6059"/>
    </row>
    <row r="11" spans="1:33" ht="60" customHeight="1">
      <c r="A11" s="1283" t="s">
        <v>1462</v>
      </c>
      <c r="B11" s="1284" t="s">
        <v>1527</v>
      </c>
      <c r="C11" s="1284" t="s">
        <v>1528</v>
      </c>
      <c r="D11" s="1285" t="s">
        <v>1744</v>
      </c>
      <c r="E11" s="1285" t="s">
        <v>1530</v>
      </c>
      <c r="F11" s="1286" t="s">
        <v>1531</v>
      </c>
      <c r="G11" s="1287" t="s">
        <v>1532</v>
      </c>
      <c r="H11" s="1287" t="s">
        <v>1533</v>
      </c>
      <c r="I11" s="1287" t="s">
        <v>1534</v>
      </c>
      <c r="J11" s="1288" t="s">
        <v>1535</v>
      </c>
      <c r="K11" s="1289"/>
      <c r="L11" s="763" t="s">
        <v>1536</v>
      </c>
      <c r="M11" s="1290" t="s">
        <v>1601</v>
      </c>
      <c r="N11" s="1290" t="s">
        <v>1530</v>
      </c>
      <c r="O11" s="1290" t="s">
        <v>3167</v>
      </c>
      <c r="P11" s="764" t="s">
        <v>1539</v>
      </c>
      <c r="Q11" s="1291" t="s">
        <v>1540</v>
      </c>
      <c r="R11" s="1292" t="s">
        <v>1541</v>
      </c>
      <c r="S11" s="1292" t="s">
        <v>1533</v>
      </c>
      <c r="T11" s="1292" t="s">
        <v>1534</v>
      </c>
      <c r="U11" s="1293" t="s">
        <v>1542</v>
      </c>
      <c r="V11" s="1256"/>
      <c r="W11" s="1294" t="s">
        <v>2086</v>
      </c>
      <c r="X11" s="2839" t="s">
        <v>2087</v>
      </c>
      <c r="Y11" s="1295" t="s">
        <v>1544</v>
      </c>
      <c r="Z11" s="1296" t="s">
        <v>1545</v>
      </c>
      <c r="AA11" s="1296" t="s">
        <v>1761</v>
      </c>
      <c r="AB11" s="769" t="s">
        <v>1539</v>
      </c>
      <c r="AC11" s="769" t="s">
        <v>1547</v>
      </c>
      <c r="AD11" s="769" t="s">
        <v>2528</v>
      </c>
      <c r="AE11" s="1296" t="s">
        <v>1549</v>
      </c>
      <c r="AF11" s="1297" t="s">
        <v>1550</v>
      </c>
    </row>
    <row r="12" spans="1:33" ht="24.75" customHeight="1">
      <c r="A12" s="1298"/>
      <c r="B12" s="1299"/>
      <c r="C12" s="1300"/>
      <c r="D12" s="1301"/>
      <c r="E12" s="1302" t="s">
        <v>296</v>
      </c>
      <c r="F12" s="1303" t="s">
        <v>434</v>
      </c>
      <c r="G12" s="1303" t="s">
        <v>434</v>
      </c>
      <c r="H12" s="1304">
        <v>0.1</v>
      </c>
      <c r="I12" s="1304">
        <v>0.1</v>
      </c>
      <c r="J12" s="1305" t="s">
        <v>434</v>
      </c>
      <c r="K12" s="1256"/>
      <c r="L12" s="765"/>
      <c r="M12" s="766"/>
      <c r="N12" s="1306" t="s">
        <v>296</v>
      </c>
      <c r="O12" s="766" t="s">
        <v>3165</v>
      </c>
      <c r="P12" s="1307" t="s">
        <v>1552</v>
      </c>
      <c r="Q12" s="767" t="s">
        <v>434</v>
      </c>
      <c r="R12" s="767" t="s">
        <v>434</v>
      </c>
      <c r="S12" s="1308">
        <v>0</v>
      </c>
      <c r="T12" s="1308">
        <v>0</v>
      </c>
      <c r="U12" s="768" t="s">
        <v>434</v>
      </c>
      <c r="V12" s="1256"/>
      <c r="W12" s="770"/>
      <c r="X12" s="2840"/>
      <c r="Y12" s="1309" t="s">
        <v>296</v>
      </c>
      <c r="Z12" s="1309" t="s">
        <v>296</v>
      </c>
      <c r="AA12" s="1309" t="s">
        <v>3166</v>
      </c>
      <c r="AB12" s="1310" t="s">
        <v>1552</v>
      </c>
      <c r="AC12" s="1311"/>
      <c r="AD12" s="1312">
        <v>-0.05</v>
      </c>
      <c r="AE12" s="1309" t="s">
        <v>296</v>
      </c>
      <c r="AF12" s="1313" t="s">
        <v>296</v>
      </c>
    </row>
    <row r="13" spans="1:33" s="722" customFormat="1" ht="25.5" customHeight="1">
      <c r="A13" s="1314"/>
      <c r="B13" s="1314"/>
      <c r="C13" s="1314"/>
      <c r="D13" s="1314"/>
      <c r="E13" s="1314" t="s">
        <v>1481</v>
      </c>
      <c r="F13" s="1314"/>
      <c r="G13" s="1314"/>
      <c r="H13" s="1314"/>
      <c r="I13" s="1314"/>
      <c r="J13" s="1314"/>
      <c r="K13" s="1255"/>
      <c r="L13" s="1315"/>
      <c r="M13" s="1315"/>
      <c r="N13" s="1316" t="s">
        <v>1482</v>
      </c>
      <c r="O13" s="1314" t="s">
        <v>2084</v>
      </c>
      <c r="P13" s="1317" t="s">
        <v>1555</v>
      </c>
      <c r="Q13" s="1318" t="s">
        <v>1556</v>
      </c>
      <c r="R13" s="1318" t="s">
        <v>1557</v>
      </c>
      <c r="S13" s="1319" t="s">
        <v>1605</v>
      </c>
      <c r="T13" s="1319" t="s">
        <v>1606</v>
      </c>
      <c r="U13" s="1318" t="s">
        <v>1560</v>
      </c>
      <c r="V13" s="1255"/>
      <c r="W13" s="1316"/>
      <c r="X13" s="1316" t="s">
        <v>1561</v>
      </c>
      <c r="Y13" s="1316"/>
      <c r="Z13" s="1316" t="s">
        <v>2088</v>
      </c>
      <c r="AA13" s="1316" t="s">
        <v>2089</v>
      </c>
      <c r="AB13" s="1317" t="s">
        <v>2091</v>
      </c>
      <c r="AC13" s="1314" t="s">
        <v>2092</v>
      </c>
      <c r="AD13" s="1319" t="s">
        <v>2534</v>
      </c>
      <c r="AE13" s="1316" t="s">
        <v>2094</v>
      </c>
      <c r="AF13" s="1316"/>
    </row>
    <row r="14" spans="1:33" s="2837" customFormat="1" ht="34.5" customHeight="1">
      <c r="A14" s="723">
        <v>1</v>
      </c>
      <c r="B14" s="810" t="s">
        <v>1763</v>
      </c>
      <c r="C14" s="1445">
        <v>45161</v>
      </c>
      <c r="D14" s="2835" t="s">
        <v>2531</v>
      </c>
      <c r="E14" s="1440">
        <v>45179</v>
      </c>
      <c r="F14" s="2836">
        <v>819298.55</v>
      </c>
      <c r="G14" s="1444">
        <f>F14</f>
        <v>819298.55</v>
      </c>
      <c r="H14" s="1444">
        <f>(G14*$H$12)*-1*0</f>
        <v>0</v>
      </c>
      <c r="I14" s="1444">
        <f>(G14*$I$12)*-1*0</f>
        <v>0</v>
      </c>
      <c r="J14" s="1444">
        <f>G14+H14+I14</f>
        <v>819298.55</v>
      </c>
      <c r="K14" s="1256"/>
      <c r="L14" s="1510">
        <v>1</v>
      </c>
      <c r="M14" s="2850" t="s">
        <v>2532</v>
      </c>
      <c r="N14" s="1440">
        <v>45194</v>
      </c>
      <c r="O14" s="1323">
        <f>E14+21</f>
        <v>45200</v>
      </c>
      <c r="P14" s="1324">
        <f>O14-N14</f>
        <v>6</v>
      </c>
      <c r="Q14" s="2836">
        <v>819298.55</v>
      </c>
      <c r="R14" s="1444">
        <f>Q14</f>
        <v>819298.55</v>
      </c>
      <c r="S14" s="1444">
        <f>(R14*$S$12)*-1*0</f>
        <v>0</v>
      </c>
      <c r="T14" s="1444">
        <f>(R14*$T$12)*-1*0</f>
        <v>0</v>
      </c>
      <c r="U14" s="1444">
        <f>R14+S14+T14</f>
        <v>819298.55</v>
      </c>
      <c r="V14" s="1256"/>
      <c r="W14" s="2838" t="s">
        <v>2580</v>
      </c>
      <c r="X14" s="2841">
        <v>45208</v>
      </c>
      <c r="Y14" s="1323"/>
      <c r="Z14" s="1321">
        <v>45236</v>
      </c>
      <c r="AA14" s="1321">
        <f>+X14+30</f>
        <v>45238</v>
      </c>
      <c r="AB14" s="1324">
        <f>+AA14-Z14</f>
        <v>2</v>
      </c>
      <c r="AC14" s="1327">
        <f>U14</f>
        <v>819298.55</v>
      </c>
      <c r="AD14" s="1327">
        <v>-15605.82</v>
      </c>
      <c r="AE14" s="1327">
        <f>AC14+AD14</f>
        <v>803692.7300000001</v>
      </c>
      <c r="AF14" s="1327">
        <f>+AE14</f>
        <v>803692.7300000001</v>
      </c>
      <c r="AG14" s="2842">
        <f>+AC14*1.15</f>
        <v>942193.33250000002</v>
      </c>
    </row>
    <row r="15" spans="1:33">
      <c r="A15" s="723"/>
      <c r="B15" s="810"/>
      <c r="C15" s="1445"/>
      <c r="D15" s="2835"/>
      <c r="E15" s="1440"/>
      <c r="F15" s="1322"/>
      <c r="G15" s="2847"/>
      <c r="H15" s="1444"/>
      <c r="I15" s="1444"/>
      <c r="J15" s="1444"/>
      <c r="K15" s="1256"/>
      <c r="L15" s="1510"/>
      <c r="M15" s="2850"/>
      <c r="N15" s="1321"/>
      <c r="O15" s="1323"/>
      <c r="P15" s="1324"/>
      <c r="Q15" s="1322"/>
      <c r="R15" s="1444"/>
      <c r="S15" s="1444"/>
      <c r="T15" s="1444"/>
      <c r="U15" s="1444"/>
      <c r="V15" s="1256"/>
      <c r="W15" s="2838"/>
      <c r="X15" s="2841"/>
      <c r="Y15" s="1323"/>
      <c r="Z15" s="1321"/>
      <c r="AA15" s="1321"/>
      <c r="AB15" s="1324"/>
      <c r="AC15" s="1327"/>
      <c r="AD15" s="1327"/>
      <c r="AE15" s="1327"/>
      <c r="AF15" s="1327"/>
    </row>
    <row r="16" spans="1:33">
      <c r="A16" s="723"/>
      <c r="B16" s="810"/>
      <c r="C16" s="1445"/>
      <c r="D16" s="2835"/>
      <c r="E16" s="1440"/>
      <c r="F16" s="1322"/>
      <c r="G16" s="1444"/>
      <c r="H16" s="1444"/>
      <c r="I16" s="1444"/>
      <c r="J16" s="1444"/>
      <c r="K16" s="1256"/>
      <c r="L16" s="1510"/>
      <c r="M16" s="2850"/>
      <c r="N16" s="1321"/>
      <c r="O16" s="1323"/>
      <c r="P16" s="1324"/>
      <c r="Q16" s="1322"/>
      <c r="R16" s="1444"/>
      <c r="S16" s="1444"/>
      <c r="T16" s="1444"/>
      <c r="U16" s="1444"/>
      <c r="V16" s="1256"/>
      <c r="W16" s="2838"/>
      <c r="X16" s="2841"/>
      <c r="Y16" s="1323"/>
      <c r="Z16" s="1321"/>
      <c r="AA16" s="1321"/>
      <c r="AB16" s="1324"/>
      <c r="AC16" s="1327"/>
      <c r="AD16" s="1327"/>
      <c r="AE16" s="1327"/>
      <c r="AF16" s="1327"/>
    </row>
    <row r="17" spans="1:32">
      <c r="A17" s="723"/>
      <c r="B17" s="810"/>
      <c r="C17" s="1445"/>
      <c r="D17" s="2835"/>
      <c r="E17" s="1440"/>
      <c r="F17" s="1322"/>
      <c r="G17" s="1444"/>
      <c r="H17" s="1444"/>
      <c r="I17" s="1444"/>
      <c r="J17" s="1444"/>
      <c r="K17" s="1256"/>
      <c r="L17" s="1510"/>
      <c r="M17" s="2850"/>
      <c r="N17" s="1321"/>
      <c r="O17" s="1323"/>
      <c r="P17" s="1324"/>
      <c r="Q17" s="1322"/>
      <c r="R17" s="1444"/>
      <c r="S17" s="1444"/>
      <c r="T17" s="1444"/>
      <c r="U17" s="1444"/>
      <c r="V17" s="1256"/>
      <c r="W17" s="2838"/>
      <c r="X17" s="2841"/>
      <c r="Y17" s="1323"/>
      <c r="Z17" s="1321"/>
      <c r="AA17" s="1321"/>
      <c r="AB17" s="1324"/>
      <c r="AC17" s="1327"/>
      <c r="AD17" s="1327"/>
      <c r="AE17" s="1327"/>
      <c r="AF17" s="1327"/>
    </row>
    <row r="18" spans="1:32">
      <c r="A18" s="723"/>
      <c r="B18" s="810"/>
      <c r="C18" s="1445"/>
      <c r="D18" s="2835"/>
      <c r="E18" s="1440"/>
      <c r="F18" s="1322"/>
      <c r="G18" s="1444"/>
      <c r="H18" s="1444"/>
      <c r="I18" s="1444"/>
      <c r="J18" s="1444"/>
      <c r="K18" s="1256"/>
      <c r="L18" s="1510"/>
      <c r="M18" s="2850"/>
      <c r="N18" s="1321"/>
      <c r="O18" s="1323"/>
      <c r="P18" s="1324"/>
      <c r="Q18" s="1322"/>
      <c r="R18" s="1444"/>
      <c r="S18" s="1444"/>
      <c r="T18" s="1444"/>
      <c r="U18" s="1444"/>
      <c r="V18" s="1256"/>
      <c r="W18" s="2838"/>
      <c r="X18" s="1323"/>
      <c r="Y18" s="1323"/>
      <c r="Z18" s="1321"/>
      <c r="AA18" s="1321"/>
      <c r="AB18" s="1324"/>
      <c r="AC18" s="1327"/>
      <c r="AD18" s="1327"/>
      <c r="AE18" s="1327"/>
      <c r="AF18" s="1327"/>
    </row>
    <row r="19" spans="1:32" ht="33.950000000000003" customHeight="1">
      <c r="A19" s="723"/>
      <c r="B19" s="810"/>
      <c r="C19" s="1445"/>
      <c r="D19" s="2835"/>
      <c r="E19" s="1440"/>
      <c r="F19" s="1322"/>
      <c r="G19" s="1444"/>
      <c r="H19" s="1444"/>
      <c r="I19" s="1444"/>
      <c r="J19" s="1444"/>
      <c r="K19" s="1256"/>
      <c r="L19" s="1510"/>
      <c r="M19" s="2850"/>
      <c r="N19" s="1321"/>
      <c r="O19" s="1323"/>
      <c r="P19" s="1324"/>
      <c r="Q19" s="1322"/>
      <c r="R19" s="1444"/>
      <c r="S19" s="1444"/>
      <c r="T19" s="1444"/>
      <c r="U19" s="1444"/>
      <c r="V19" s="1256"/>
      <c r="W19" s="2838"/>
      <c r="X19" s="1323"/>
      <c r="Y19" s="1323"/>
      <c r="Z19" s="1321"/>
      <c r="AA19" s="1321"/>
      <c r="AB19" s="1324"/>
      <c r="AC19" s="1327"/>
      <c r="AD19" s="1327"/>
      <c r="AE19" s="1327"/>
      <c r="AF19" s="1327"/>
    </row>
    <row r="20" spans="1:32">
      <c r="A20" s="723"/>
      <c r="B20" s="810"/>
      <c r="C20" s="1445"/>
      <c r="D20" s="2835"/>
      <c r="E20" s="1440"/>
      <c r="F20" s="1322"/>
      <c r="G20" s="1444"/>
      <c r="H20" s="1444"/>
      <c r="I20" s="1444"/>
      <c r="J20" s="1444"/>
      <c r="K20" s="1256"/>
      <c r="L20" s="1510"/>
      <c r="M20" s="2850"/>
      <c r="N20" s="1321"/>
      <c r="O20" s="1323"/>
      <c r="P20" s="1324"/>
      <c r="Q20" s="1322"/>
      <c r="R20" s="1444"/>
      <c r="S20" s="1444"/>
      <c r="T20" s="1444"/>
      <c r="U20" s="1444"/>
      <c r="V20" s="1256"/>
      <c r="W20" s="723"/>
      <c r="X20" s="724"/>
      <c r="Y20" s="1323"/>
      <c r="Z20" s="1321"/>
      <c r="AA20" s="1321"/>
      <c r="AB20" s="1324"/>
      <c r="AC20" s="1327"/>
      <c r="AD20" s="1327"/>
      <c r="AE20" s="1327"/>
      <c r="AF20" s="1327"/>
    </row>
    <row r="21" spans="1:32">
      <c r="A21" s="723"/>
      <c r="B21" s="810"/>
      <c r="C21" s="1445"/>
      <c r="D21" s="2835"/>
      <c r="E21" s="1440"/>
      <c r="F21" s="1322"/>
      <c r="G21" s="1444"/>
      <c r="H21" s="1444"/>
      <c r="I21" s="1444"/>
      <c r="J21" s="1444"/>
      <c r="K21" s="1256"/>
      <c r="L21" s="1510"/>
      <c r="M21" s="2850"/>
      <c r="N21" s="1321"/>
      <c r="O21" s="1323"/>
      <c r="P21" s="1324"/>
      <c r="Q21" s="1322"/>
      <c r="R21" s="1444"/>
      <c r="S21" s="1444"/>
      <c r="T21" s="1444"/>
      <c r="U21" s="1444"/>
      <c r="V21" s="1256"/>
      <c r="W21" s="723"/>
      <c r="X21" s="724"/>
      <c r="Y21" s="1323"/>
      <c r="Z21" s="1321"/>
      <c r="AA21" s="1321"/>
      <c r="AB21" s="1324"/>
      <c r="AC21" s="1327"/>
      <c r="AD21" s="1327"/>
      <c r="AE21" s="1327"/>
      <c r="AF21" s="1327"/>
    </row>
    <row r="22" spans="1:32">
      <c r="A22" s="723"/>
      <c r="B22" s="810"/>
      <c r="C22" s="1445"/>
      <c r="D22" s="2835"/>
      <c r="E22" s="1440"/>
      <c r="F22" s="1322"/>
      <c r="G22" s="1444"/>
      <c r="H22" s="1444"/>
      <c r="I22" s="1444"/>
      <c r="J22" s="1444"/>
      <c r="K22" s="1256"/>
      <c r="L22" s="1510"/>
      <c r="M22" s="2850"/>
      <c r="N22" s="1321"/>
      <c r="O22" s="1323"/>
      <c r="P22" s="1324"/>
      <c r="Q22" s="1322"/>
      <c r="R22" s="1444"/>
      <c r="S22" s="1444"/>
      <c r="T22" s="1444"/>
      <c r="U22" s="1444"/>
      <c r="V22" s="1256"/>
      <c r="W22" s="723"/>
      <c r="X22" s="724"/>
      <c r="Y22" s="1323"/>
      <c r="Z22" s="1321"/>
      <c r="AA22" s="1321"/>
      <c r="AB22" s="1324"/>
      <c r="AC22" s="1327"/>
      <c r="AD22" s="1327"/>
      <c r="AE22" s="1327"/>
      <c r="AF22" s="1327"/>
    </row>
    <row r="23" spans="1:32">
      <c r="A23" s="723"/>
      <c r="B23" s="810"/>
      <c r="C23" s="1445"/>
      <c r="D23" s="2835"/>
      <c r="E23" s="1440"/>
      <c r="F23" s="1322"/>
      <c r="G23" s="1444"/>
      <c r="H23" s="1444"/>
      <c r="I23" s="1444"/>
      <c r="J23" s="1444"/>
      <c r="K23" s="1256"/>
      <c r="L23" s="1510"/>
      <c r="M23" s="2850"/>
      <c r="N23" s="1321"/>
      <c r="O23" s="1323"/>
      <c r="P23" s="1324"/>
      <c r="Q23" s="1322"/>
      <c r="R23" s="1444"/>
      <c r="S23" s="1444"/>
      <c r="T23" s="1444"/>
      <c r="U23" s="1444"/>
      <c r="V23" s="1256"/>
      <c r="W23" s="723"/>
      <c r="X23" s="724"/>
      <c r="Y23" s="1323"/>
      <c r="Z23" s="1321"/>
      <c r="AA23" s="1321"/>
      <c r="AB23" s="1324"/>
      <c r="AC23" s="1327"/>
      <c r="AD23" s="1327"/>
      <c r="AE23" s="1327"/>
      <c r="AF23" s="1327"/>
    </row>
    <row r="24" spans="1:32">
      <c r="A24" s="723"/>
      <c r="B24" s="810"/>
      <c r="C24" s="1445"/>
      <c r="D24" s="2835"/>
      <c r="E24" s="1440"/>
      <c r="F24" s="1322"/>
      <c r="G24" s="1444"/>
      <c r="H24" s="1444"/>
      <c r="I24" s="1444"/>
      <c r="J24" s="1444"/>
      <c r="K24" s="1256"/>
      <c r="L24" s="1510"/>
      <c r="M24" s="2850"/>
      <c r="N24" s="1321"/>
      <c r="O24" s="1323"/>
      <c r="P24" s="1324"/>
      <c r="Q24" s="1322"/>
      <c r="R24" s="1444"/>
      <c r="S24" s="1444"/>
      <c r="T24" s="1444"/>
      <c r="U24" s="1444"/>
      <c r="V24" s="1256"/>
      <c r="W24" s="723"/>
      <c r="X24" s="724"/>
      <c r="Y24" s="1323"/>
      <c r="Z24" s="1321"/>
      <c r="AA24" s="1321"/>
      <c r="AB24" s="1324"/>
      <c r="AC24" s="1327"/>
      <c r="AD24" s="1327"/>
      <c r="AE24" s="1327"/>
      <c r="AF24" s="1327"/>
    </row>
    <row r="25" spans="1:32">
      <c r="A25" s="723"/>
      <c r="B25" s="810"/>
      <c r="C25" s="1445"/>
      <c r="D25" s="2835"/>
      <c r="E25" s="1440"/>
      <c r="F25" s="1322"/>
      <c r="G25" s="1322"/>
      <c r="H25" s="1322"/>
      <c r="I25" s="1322"/>
      <c r="J25" s="1322"/>
      <c r="K25" s="1256"/>
      <c r="L25" s="1443"/>
      <c r="M25" s="2850"/>
      <c r="N25" s="1321"/>
      <c r="O25" s="1323"/>
      <c r="P25" s="1324"/>
      <c r="Q25" s="1322"/>
      <c r="R25" s="1444"/>
      <c r="S25" s="1444"/>
      <c r="T25" s="1444"/>
      <c r="U25" s="1328"/>
      <c r="V25" s="1256"/>
      <c r="W25" s="723"/>
      <c r="X25" s="724"/>
      <c r="Y25" s="1323"/>
      <c r="Z25" s="1321"/>
      <c r="AA25" s="1321"/>
      <c r="AB25" s="1324"/>
      <c r="AC25" s="1327"/>
      <c r="AD25" s="1327"/>
      <c r="AE25" s="1327"/>
      <c r="AF25" s="1327"/>
    </row>
    <row r="26" spans="1:32">
      <c r="A26" s="723"/>
      <c r="B26" s="810"/>
      <c r="C26" s="1445"/>
      <c r="D26" s="2835"/>
      <c r="E26" s="1440"/>
      <c r="F26" s="1322"/>
      <c r="G26" s="1322"/>
      <c r="H26" s="1322"/>
      <c r="I26" s="1322"/>
      <c r="J26" s="1322"/>
      <c r="K26" s="1256"/>
      <c r="L26" s="1443"/>
      <c r="M26" s="2850"/>
      <c r="N26" s="1321"/>
      <c r="O26" s="1323"/>
      <c r="P26" s="1324"/>
      <c r="Q26" s="1322"/>
      <c r="R26" s="1444"/>
      <c r="S26" s="1444"/>
      <c r="T26" s="1444"/>
      <c r="U26" s="1328"/>
      <c r="V26" s="1256"/>
      <c r="W26" s="723"/>
      <c r="X26" s="724"/>
      <c r="Y26" s="1323"/>
      <c r="Z26" s="1321"/>
      <c r="AA26" s="1321"/>
      <c r="AB26" s="1324"/>
      <c r="AC26" s="1327"/>
      <c r="AD26" s="1327"/>
      <c r="AE26" s="1327"/>
      <c r="AF26" s="1327"/>
    </row>
    <row r="27" spans="1:32">
      <c r="A27" s="723"/>
      <c r="B27" s="810"/>
      <c r="C27" s="1445"/>
      <c r="D27" s="2835"/>
      <c r="E27" s="1440"/>
      <c r="F27" s="1322"/>
      <c r="G27" s="1322"/>
      <c r="H27" s="1322"/>
      <c r="I27" s="1322"/>
      <c r="J27" s="1322"/>
      <c r="K27" s="1256"/>
      <c r="L27" s="1443"/>
      <c r="M27" s="2850"/>
      <c r="N27" s="1321"/>
      <c r="O27" s="1323"/>
      <c r="P27" s="1324"/>
      <c r="Q27" s="1322"/>
      <c r="R27" s="1444"/>
      <c r="S27" s="1444"/>
      <c r="T27" s="1444"/>
      <c r="U27" s="1328"/>
      <c r="V27" s="1256"/>
      <c r="W27" s="723"/>
      <c r="X27" s="724"/>
      <c r="Y27" s="1323"/>
      <c r="Z27" s="1321"/>
      <c r="AA27" s="1321"/>
      <c r="AB27" s="1324"/>
      <c r="AC27" s="1327"/>
      <c r="AD27" s="1327"/>
      <c r="AE27" s="1327"/>
      <c r="AF27" s="1327"/>
    </row>
    <row r="28" spans="1:32">
      <c r="A28" s="723"/>
      <c r="B28" s="810"/>
      <c r="C28" s="1445"/>
      <c r="D28" s="2835"/>
      <c r="E28" s="1440"/>
      <c r="F28" s="1322"/>
      <c r="G28" s="1322"/>
      <c r="H28" s="1322"/>
      <c r="I28" s="1322"/>
      <c r="J28" s="1322"/>
      <c r="K28" s="1256"/>
      <c r="L28" s="1443"/>
      <c r="M28" s="2850"/>
      <c r="N28" s="1321"/>
      <c r="O28" s="1323"/>
      <c r="P28" s="1324"/>
      <c r="Q28" s="1322"/>
      <c r="R28" s="1444"/>
      <c r="S28" s="1444"/>
      <c r="T28" s="1444"/>
      <c r="U28" s="1328"/>
      <c r="V28" s="1256"/>
      <c r="W28" s="723"/>
      <c r="X28" s="724"/>
      <c r="Y28" s="1323"/>
      <c r="Z28" s="1321"/>
      <c r="AA28" s="1321"/>
      <c r="AB28" s="1324"/>
      <c r="AC28" s="1327"/>
      <c r="AD28" s="1327"/>
      <c r="AE28" s="1327"/>
      <c r="AF28" s="1327"/>
    </row>
    <row r="29" spans="1:32">
      <c r="A29" s="723"/>
      <c r="B29" s="810"/>
      <c r="C29" s="1445"/>
      <c r="D29" s="2835"/>
      <c r="E29" s="1440"/>
      <c r="F29" s="1322"/>
      <c r="G29" s="1322"/>
      <c r="H29" s="1322"/>
      <c r="I29" s="1322"/>
      <c r="J29" s="1322"/>
      <c r="K29" s="1256"/>
      <c r="L29" s="1443"/>
      <c r="M29" s="2850"/>
      <c r="N29" s="1321"/>
      <c r="O29" s="1323"/>
      <c r="P29" s="1324"/>
      <c r="Q29" s="1322"/>
      <c r="R29" s="1444"/>
      <c r="S29" s="1444"/>
      <c r="T29" s="1444"/>
      <c r="U29" s="1328"/>
      <c r="V29" s="1256"/>
      <c r="W29" s="723"/>
      <c r="X29" s="724"/>
      <c r="Y29" s="1323"/>
      <c r="Z29" s="1321"/>
      <c r="AA29" s="1321"/>
      <c r="AB29" s="1324"/>
      <c r="AC29" s="1327"/>
      <c r="AD29" s="1327"/>
      <c r="AE29" s="1327"/>
      <c r="AF29" s="1327"/>
    </row>
    <row r="30" spans="1:32">
      <c r="A30" s="723"/>
      <c r="B30" s="810"/>
      <c r="C30" s="1445"/>
      <c r="D30" s="2835"/>
      <c r="E30" s="1440"/>
      <c r="F30" s="1322"/>
      <c r="G30" s="1322"/>
      <c r="H30" s="1322"/>
      <c r="I30" s="1322"/>
      <c r="J30" s="1322"/>
      <c r="K30" s="1256"/>
      <c r="L30" s="1443"/>
      <c r="M30" s="2850"/>
      <c r="N30" s="1321"/>
      <c r="O30" s="1323"/>
      <c r="P30" s="1324"/>
      <c r="Q30" s="1322"/>
      <c r="R30" s="1444"/>
      <c r="S30" s="1444"/>
      <c r="T30" s="1444"/>
      <c r="U30" s="1328"/>
      <c r="V30" s="1256"/>
      <c r="W30" s="723"/>
      <c r="X30" s="724"/>
      <c r="Y30" s="1323"/>
      <c r="Z30" s="1321"/>
      <c r="AA30" s="1321"/>
      <c r="AB30" s="1324"/>
      <c r="AC30" s="1327"/>
      <c r="AD30" s="1327"/>
      <c r="AE30" s="1327"/>
      <c r="AF30" s="1327"/>
    </row>
    <row r="31" spans="1:32">
      <c r="A31" s="723"/>
      <c r="B31" s="810"/>
      <c r="C31" s="1445"/>
      <c r="D31" s="2835"/>
      <c r="E31" s="1440"/>
      <c r="F31" s="1322"/>
      <c r="G31" s="1322"/>
      <c r="H31" s="1322"/>
      <c r="I31" s="1322"/>
      <c r="J31" s="1322"/>
      <c r="K31" s="1256"/>
      <c r="L31" s="1443"/>
      <c r="M31" s="2850"/>
      <c r="N31" s="1321"/>
      <c r="O31" s="1323"/>
      <c r="P31" s="1324"/>
      <c r="Q31" s="1322"/>
      <c r="R31" s="1444"/>
      <c r="S31" s="1444"/>
      <c r="T31" s="1444"/>
      <c r="U31" s="1328"/>
      <c r="V31" s="1256"/>
      <c r="W31" s="723"/>
      <c r="X31" s="724"/>
      <c r="Y31" s="1323"/>
      <c r="Z31" s="1321"/>
      <c r="AA31" s="1321"/>
      <c r="AB31" s="1324"/>
      <c r="AC31" s="1327"/>
      <c r="AD31" s="1327"/>
      <c r="AE31" s="1327"/>
      <c r="AF31" s="1327"/>
    </row>
    <row r="32" spans="1:32">
      <c r="A32" s="723"/>
      <c r="B32" s="810"/>
      <c r="C32" s="1445"/>
      <c r="D32" s="2835"/>
      <c r="E32" s="1440"/>
      <c r="F32" s="1322"/>
      <c r="G32" s="1322"/>
      <c r="H32" s="1322"/>
      <c r="I32" s="1322"/>
      <c r="J32" s="1322"/>
      <c r="K32" s="1256"/>
      <c r="L32" s="1443"/>
      <c r="M32" s="2850"/>
      <c r="N32" s="1321"/>
      <c r="O32" s="1323"/>
      <c r="P32" s="1324"/>
      <c r="Q32" s="1322"/>
      <c r="R32" s="1444"/>
      <c r="S32" s="1444"/>
      <c r="T32" s="1444"/>
      <c r="U32" s="1328"/>
      <c r="V32" s="1256"/>
      <c r="W32" s="723"/>
      <c r="X32" s="724"/>
      <c r="Y32" s="1323"/>
      <c r="Z32" s="1321"/>
      <c r="AA32" s="1321"/>
      <c r="AB32" s="1324"/>
      <c r="AC32" s="1327"/>
      <c r="AD32" s="1327"/>
      <c r="AE32" s="1327"/>
      <c r="AF32" s="1327"/>
    </row>
    <row r="33" spans="1:32">
      <c r="A33" s="723"/>
      <c r="B33" s="810"/>
      <c r="C33" s="1445"/>
      <c r="D33" s="1320"/>
      <c r="E33" s="1440"/>
      <c r="F33" s="1322"/>
      <c r="G33" s="1322"/>
      <c r="H33" s="1322"/>
      <c r="I33" s="1322"/>
      <c r="J33" s="1322"/>
      <c r="K33" s="1256"/>
      <c r="L33" s="1443"/>
      <c r="M33" s="2850"/>
      <c r="N33" s="1321"/>
      <c r="O33" s="1323"/>
      <c r="P33" s="1324"/>
      <c r="Q33" s="1322"/>
      <c r="R33" s="1444"/>
      <c r="S33" s="1444"/>
      <c r="T33" s="1444"/>
      <c r="U33" s="1328"/>
      <c r="V33" s="1256"/>
      <c r="W33" s="723"/>
      <c r="X33" s="724"/>
      <c r="Y33" s="1323"/>
      <c r="Z33" s="1321"/>
      <c r="AA33" s="1321"/>
      <c r="AB33" s="1324"/>
      <c r="AC33" s="1327"/>
      <c r="AD33" s="1327"/>
      <c r="AE33" s="1327"/>
      <c r="AF33" s="1327"/>
    </row>
    <row r="34" spans="1:32">
      <c r="A34" s="723"/>
      <c r="B34" s="810"/>
      <c r="C34" s="1445"/>
      <c r="D34" s="1320"/>
      <c r="E34" s="1440"/>
      <c r="F34" s="1322"/>
      <c r="G34" s="1322"/>
      <c r="H34" s="1322"/>
      <c r="I34" s="1322"/>
      <c r="J34" s="1322"/>
      <c r="K34" s="1256"/>
      <c r="L34" s="1443"/>
      <c r="M34" s="2850"/>
      <c r="N34" s="1321"/>
      <c r="O34" s="1323"/>
      <c r="P34" s="1324"/>
      <c r="Q34" s="1322"/>
      <c r="R34" s="1444"/>
      <c r="S34" s="1444"/>
      <c r="T34" s="1444"/>
      <c r="U34" s="1328"/>
      <c r="V34" s="1256"/>
      <c r="W34" s="723"/>
      <c r="X34" s="724"/>
      <c r="Y34" s="1323"/>
      <c r="Z34" s="1321"/>
      <c r="AA34" s="1321"/>
      <c r="AB34" s="1324"/>
      <c r="AC34" s="1327"/>
      <c r="AD34" s="1327"/>
      <c r="AE34" s="1327"/>
      <c r="AF34" s="1327"/>
    </row>
    <row r="35" spans="1:32">
      <c r="A35" s="723"/>
      <c r="B35" s="810"/>
      <c r="C35" s="1445"/>
      <c r="D35" s="1320"/>
      <c r="E35" s="1441"/>
      <c r="F35" s="1322"/>
      <c r="G35" s="1322"/>
      <c r="H35" s="1322"/>
      <c r="I35" s="1322"/>
      <c r="J35" s="1322"/>
      <c r="K35" s="1256"/>
      <c r="L35" s="1443"/>
      <c r="M35" s="2850"/>
      <c r="N35" s="1321"/>
      <c r="O35" s="1323"/>
      <c r="P35" s="1324"/>
      <c r="Q35" s="1322"/>
      <c r="R35" s="1444"/>
      <c r="S35" s="1444"/>
      <c r="T35" s="1444"/>
      <c r="U35" s="1328"/>
      <c r="V35" s="1256"/>
      <c r="W35" s="723"/>
      <c r="X35" s="724"/>
      <c r="Y35" s="1323"/>
      <c r="Z35" s="1321"/>
      <c r="AA35" s="1321"/>
      <c r="AB35" s="1324"/>
      <c r="AC35" s="1327"/>
      <c r="AD35" s="1327"/>
      <c r="AE35" s="1327"/>
      <c r="AF35" s="1327"/>
    </row>
    <row r="36" spans="1:32">
      <c r="A36" s="1329"/>
      <c r="B36" s="1330"/>
      <c r="C36" s="1440"/>
      <c r="D36" s="1331"/>
      <c r="E36" s="1442"/>
      <c r="F36" s="1332"/>
      <c r="G36" s="1332"/>
      <c r="H36" s="1332"/>
      <c r="I36" s="1332"/>
      <c r="J36" s="1332"/>
      <c r="K36" s="1256"/>
      <c r="L36" s="1329"/>
      <c r="M36" s="2851"/>
      <c r="N36" s="1334"/>
      <c r="O36" s="1334"/>
      <c r="P36" s="1335"/>
      <c r="Q36" s="1322"/>
      <c r="R36" s="1333"/>
      <c r="S36" s="1333"/>
      <c r="T36" s="1333"/>
      <c r="U36" s="1336"/>
      <c r="V36" s="1256"/>
      <c r="W36" s="1329"/>
      <c r="X36" s="1333"/>
      <c r="Y36" s="1337"/>
      <c r="Z36" s="1334"/>
      <c r="AA36" s="1334"/>
      <c r="AB36" s="1334"/>
      <c r="AC36" s="1329"/>
      <c r="AD36" s="1337"/>
      <c r="AE36" s="1334"/>
      <c r="AF36" s="1334"/>
    </row>
    <row r="37" spans="1:32" ht="24.75" customHeight="1" collapsed="1" thickBot="1">
      <c r="A37" s="6045" t="s">
        <v>1522</v>
      </c>
      <c r="B37" s="6046"/>
      <c r="C37" s="6046"/>
      <c r="D37" s="6046"/>
      <c r="E37" s="6046"/>
      <c r="F37" s="6047"/>
      <c r="G37" s="1338">
        <f>SUM(G14:G36)</f>
        <v>819298.55</v>
      </c>
      <c r="H37" s="1338">
        <f>SUM(H14:H36)</f>
        <v>0</v>
      </c>
      <c r="I37" s="1338">
        <f>SUM(I14:I36)</f>
        <v>0</v>
      </c>
      <c r="J37" s="1338">
        <f>SUM(J14:J36)</f>
        <v>819298.55</v>
      </c>
      <c r="K37" s="1256"/>
      <c r="L37" s="1339" t="s">
        <v>1522</v>
      </c>
      <c r="M37" s="1343"/>
      <c r="N37" s="1340"/>
      <c r="O37" s="1340"/>
      <c r="P37" s="1340"/>
      <c r="Q37" s="1340"/>
      <c r="R37" s="1341">
        <f>SUM(R14:R36)</f>
        <v>819298.55</v>
      </c>
      <c r="S37" s="1338">
        <f>SUM(S14:S36)</f>
        <v>0</v>
      </c>
      <c r="T37" s="1338">
        <f>SUM(T14:T36)</f>
        <v>0</v>
      </c>
      <c r="U37" s="1338">
        <f>SUM(U14:U36)</f>
        <v>819298.55</v>
      </c>
      <c r="V37" s="1256"/>
      <c r="W37" s="1342" t="s">
        <v>1522</v>
      </c>
      <c r="X37" s="1343"/>
      <c r="Y37" s="1343"/>
      <c r="Z37" s="1343"/>
      <c r="AA37" s="1343"/>
      <c r="AB37" s="1343"/>
      <c r="AC37" s="1341">
        <f>SUM(AC14:AC36)</f>
        <v>819298.55</v>
      </c>
      <c r="AD37" s="1338">
        <f>SUM(AD14:AD36)</f>
        <v>-15605.82</v>
      </c>
      <c r="AE37" s="1338">
        <f>SUM(AE14:AE36)</f>
        <v>803692.7300000001</v>
      </c>
      <c r="AF37" s="1338">
        <f>+AF14</f>
        <v>803692.7300000001</v>
      </c>
    </row>
    <row r="38" spans="1:32">
      <c r="A38" s="1360"/>
      <c r="B38" s="1256"/>
      <c r="C38" s="1255"/>
      <c r="D38" s="1257"/>
      <c r="E38" s="1361"/>
      <c r="F38" s="1258"/>
      <c r="G38" s="1258"/>
      <c r="H38" s="1258"/>
      <c r="I38" s="1258"/>
      <c r="J38" s="1258"/>
      <c r="K38" s="1256"/>
      <c r="L38" s="1360"/>
      <c r="M38" s="2852"/>
      <c r="N38" s="1362"/>
      <c r="O38" s="1362"/>
      <c r="P38" s="1362"/>
      <c r="Q38" s="1360"/>
      <c r="R38" s="1360"/>
      <c r="S38" s="1360"/>
      <c r="T38" s="1360"/>
      <c r="U38" s="1363"/>
      <c r="V38" s="1256"/>
      <c r="W38" s="1360"/>
      <c r="X38" s="1360"/>
      <c r="Y38" s="1364"/>
      <c r="Z38" s="1362"/>
      <c r="AA38" s="1362"/>
      <c r="AB38" s="1362"/>
      <c r="AC38" s="1360"/>
      <c r="AD38" s="1364"/>
      <c r="AE38" s="1362"/>
      <c r="AF38" s="1362"/>
    </row>
    <row r="39" spans="1:32">
      <c r="A39" s="1360"/>
      <c r="B39" s="1256"/>
      <c r="C39" s="1255"/>
      <c r="D39" s="1257"/>
      <c r="E39" s="1361"/>
      <c r="F39" s="1258"/>
      <c r="G39" s="1258"/>
      <c r="H39" s="1258"/>
      <c r="I39" s="1258"/>
      <c r="J39" s="1258"/>
      <c r="K39" s="1256"/>
      <c r="L39" s="1360"/>
      <c r="M39" s="2852"/>
      <c r="N39" s="1362"/>
      <c r="O39" s="1362"/>
      <c r="P39" s="1257"/>
      <c r="Q39" s="1258"/>
      <c r="R39" s="1258"/>
      <c r="S39" s="1258"/>
      <c r="T39" s="1258"/>
      <c r="U39" s="1258">
        <f>+U37-T37</f>
        <v>819298.55</v>
      </c>
      <c r="V39" s="1256"/>
      <c r="W39" s="1360"/>
      <c r="X39" s="1360"/>
      <c r="Y39" s="1364"/>
      <c r="Z39" s="1362"/>
      <c r="AA39" s="1362"/>
      <c r="AB39" s="1362"/>
      <c r="AC39" s="1360"/>
      <c r="AD39" s="1364"/>
      <c r="AE39" s="1362"/>
      <c r="AF39" s="1362"/>
    </row>
    <row r="40" spans="1:32">
      <c r="A40" s="1365"/>
      <c r="B40" s="1256"/>
      <c r="C40" s="1255"/>
      <c r="D40" s="1257"/>
      <c r="E40" s="1361"/>
      <c r="F40" s="1366"/>
      <c r="G40" s="1366"/>
      <c r="H40" s="1366"/>
      <c r="I40" s="1366"/>
      <c r="J40" s="1258"/>
      <c r="K40" s="1256"/>
      <c r="L40" s="1365"/>
      <c r="M40" s="2853">
        <f>403092.61/11085046.72</f>
        <v>3.6363636544059594E-2</v>
      </c>
      <c r="N40" s="1365"/>
      <c r="O40" s="1365"/>
      <c r="P40" s="1257"/>
      <c r="Q40" s="1366"/>
      <c r="R40" s="1366"/>
      <c r="S40" s="1366"/>
      <c r="T40" s="1366"/>
      <c r="U40" s="1366"/>
      <c r="V40" s="1256"/>
      <c r="W40" s="1365"/>
      <c r="X40" s="1365"/>
      <c r="Y40" s="1365"/>
      <c r="Z40" s="1362"/>
      <c r="AA40" s="1362"/>
      <c r="AB40" s="1362"/>
      <c r="AC40" s="1365"/>
      <c r="AD40" s="1365"/>
      <c r="AE40" s="1362"/>
      <c r="AF40" s="1362"/>
    </row>
    <row r="41" spans="1:32">
      <c r="D41" s="1257"/>
      <c r="E41" s="153">
        <v>44197</v>
      </c>
      <c r="F41" s="1366"/>
      <c r="P41" s="1257"/>
      <c r="Q41" s="1366"/>
      <c r="R41" s="1366"/>
      <c r="S41" s="1366"/>
      <c r="T41" s="1366"/>
      <c r="U41" s="1366"/>
      <c r="AA41" s="153">
        <v>44094</v>
      </c>
      <c r="AC41" s="1367"/>
    </row>
    <row r="42" spans="1:32">
      <c r="D42" s="1257"/>
      <c r="E42" s="153">
        <f>E41-45</f>
        <v>44152</v>
      </c>
      <c r="F42" s="1366"/>
      <c r="P42" s="1257"/>
      <c r="Q42" s="1366"/>
      <c r="R42" s="1366"/>
      <c r="S42" s="1366"/>
      <c r="T42" s="1366"/>
      <c r="U42" s="1366"/>
      <c r="AA42" s="153">
        <f>AA41-45</f>
        <v>44049</v>
      </c>
    </row>
    <row r="43" spans="1:32">
      <c r="D43" s="1257"/>
      <c r="F43" s="1366"/>
      <c r="H43" s="153">
        <v>43986</v>
      </c>
      <c r="R43" s="652"/>
      <c r="S43" s="652"/>
      <c r="T43" s="652"/>
      <c r="U43" s="652"/>
    </row>
    <row r="45" spans="1:32">
      <c r="AC45" t="s">
        <v>2330</v>
      </c>
    </row>
    <row r="46" spans="1:32">
      <c r="AC46" s="3018">
        <v>45222</v>
      </c>
      <c r="AD46" s="3018">
        <v>45253</v>
      </c>
      <c r="AE46" s="3018">
        <v>45283</v>
      </c>
    </row>
    <row r="47" spans="1:32">
      <c r="AC47" s="3020">
        <v>11439880.26</v>
      </c>
    </row>
  </sheetData>
  <mergeCells count="4">
    <mergeCell ref="A10:J10"/>
    <mergeCell ref="L10:U10"/>
    <mergeCell ref="W10:AF10"/>
    <mergeCell ref="A37:F37"/>
  </mergeCells>
  <printOptions horizontalCentered="1"/>
  <pageMargins left="0.25" right="0.25" top="0.75" bottom="0.75" header="0.3" footer="0.3"/>
  <pageSetup paperSize="8" scale="67" fitToHeight="2" orientation="landscape" r:id="rId1"/>
  <headerFooter>
    <oddHeader>&amp;C&amp;"Calibri,Bold"&amp;18MONTHLY REPORT - INVOICE &amp; PAYMENT TRACKING LOG (MEDTEL)</oddHeader>
    <oddFooter>&amp;L1TB.01.003.01 - AYC 
MARCH'26 REPORT&amp;C&amp;A&amp;RPage &amp;P of &amp;N</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C295E-5168-4D30-8769-279C6FD6E600}">
  <sheetPr codeName="Sheet42">
    <tabColor theme="7" tint="0.39997558519241921"/>
    <pageSetUpPr fitToPage="1"/>
  </sheetPr>
  <dimension ref="A1:AH47"/>
  <sheetViews>
    <sheetView showGridLines="0" view="pageBreakPreview" topLeftCell="H11" zoomScaleNormal="100" zoomScaleSheetLayoutView="100" workbookViewId="0">
      <selection activeCell="C43" sqref="C43"/>
    </sheetView>
  </sheetViews>
  <sheetFormatPr defaultColWidth="9" defaultRowHeight="12.75"/>
  <cols>
    <col min="1" max="1" width="10.85546875" customWidth="1"/>
    <col min="2" max="2" width="10.42578125" customWidth="1"/>
    <col min="3" max="3" width="11.42578125" customWidth="1"/>
    <col min="4" max="4" width="10.85546875" bestFit="1" customWidth="1"/>
    <col min="5" max="5" width="9.85546875" bestFit="1" customWidth="1"/>
    <col min="6" max="6" width="12" customWidth="1"/>
    <col min="7" max="7" width="12.85546875" bestFit="1" customWidth="1"/>
    <col min="8" max="9" width="11.85546875" bestFit="1" customWidth="1"/>
    <col min="10" max="10" width="13.85546875" customWidth="1"/>
    <col min="11" max="11" width="0.85546875" customWidth="1"/>
    <col min="12" max="12" width="6" customWidth="1"/>
    <col min="13" max="13" width="17.85546875" style="2854" bestFit="1" customWidth="1"/>
    <col min="14" max="14" width="9.5703125" bestFit="1" customWidth="1"/>
    <col min="15" max="15" width="9" customWidth="1"/>
    <col min="16" max="16" width="7.85546875" customWidth="1"/>
    <col min="17" max="17" width="13.85546875" customWidth="1"/>
    <col min="18" max="18" width="15.5703125" customWidth="1"/>
    <col min="19" max="21" width="11.42578125" customWidth="1"/>
    <col min="22" max="22" width="14.5703125" customWidth="1"/>
    <col min="23" max="23" width="0.85546875" customWidth="1"/>
    <col min="24" max="24" width="14" bestFit="1" customWidth="1"/>
    <col min="25" max="25" width="9" customWidth="1"/>
    <col min="26" max="26" width="9" hidden="1" customWidth="1"/>
    <col min="27" max="27" width="9" bestFit="1" customWidth="1"/>
    <col min="28" max="28" width="10" customWidth="1"/>
    <col min="29" max="29" width="7" customWidth="1"/>
    <col min="30" max="30" width="12.42578125" customWidth="1"/>
    <col min="31" max="31" width="15" customWidth="1"/>
    <col min="32" max="33" width="14" customWidth="1"/>
    <col min="34" max="34" width="13.5703125" bestFit="1" customWidth="1"/>
  </cols>
  <sheetData>
    <row r="1" spans="1:34">
      <c r="A1" s="1255"/>
      <c r="B1" s="1256"/>
      <c r="C1" s="1255"/>
      <c r="D1" s="1257"/>
      <c r="E1" s="1257"/>
      <c r="F1" s="1258"/>
      <c r="G1" s="1258"/>
      <c r="H1" s="1258"/>
      <c r="I1" s="1258"/>
      <c r="J1" s="1258"/>
      <c r="K1" s="1257"/>
      <c r="L1" s="1255"/>
      <c r="M1" s="2848"/>
      <c r="N1" s="1255"/>
      <c r="O1" s="1255"/>
      <c r="P1" s="1255"/>
      <c r="Q1" s="1255"/>
      <c r="R1" s="1255"/>
      <c r="S1" s="1255"/>
      <c r="T1" s="1255"/>
      <c r="U1" s="1255"/>
      <c r="V1" s="1259"/>
      <c r="W1" s="1257"/>
      <c r="X1" s="1257"/>
      <c r="Y1" s="1257"/>
      <c r="Z1" s="1257"/>
      <c r="AA1" s="1257"/>
      <c r="AB1" s="1257"/>
      <c r="AC1" s="1257"/>
      <c r="AD1" s="1257"/>
      <c r="AE1" s="1257"/>
      <c r="AF1" s="1257"/>
      <c r="AG1" s="1257"/>
    </row>
    <row r="2" spans="1:34">
      <c r="A2" s="9" t="str">
        <f>'Data Input'!A1&amp;" - "&amp;'Data Input'!B1</f>
        <v>PROGRAMME: - MARINA VILLAGE (PROGRAMME 1_TRIPLE BAY)</v>
      </c>
      <c r="B2" s="1256"/>
      <c r="C2" s="1255"/>
      <c r="D2" s="1257"/>
      <c r="E2" s="1257"/>
      <c r="F2" s="1258"/>
      <c r="G2" s="1258"/>
      <c r="H2" s="1258"/>
      <c r="I2" s="1258"/>
      <c r="J2" s="1258"/>
      <c r="K2" s="1257"/>
      <c r="L2" s="1255"/>
      <c r="M2" s="2848"/>
      <c r="N2" s="1255"/>
      <c r="O2" s="1255"/>
      <c r="P2" s="1255"/>
      <c r="Q2" s="1255"/>
      <c r="R2" s="1255"/>
      <c r="S2" s="1255"/>
      <c r="T2" s="1255"/>
      <c r="U2" s="1255"/>
      <c r="V2" s="1259"/>
      <c r="W2" s="1257"/>
      <c r="X2" s="1257"/>
      <c r="Y2" s="1257"/>
      <c r="Z2" s="1257"/>
      <c r="AA2" s="1257"/>
      <c r="AB2" s="1257"/>
      <c r="AC2" s="1257"/>
      <c r="AD2" s="1257"/>
      <c r="AE2" s="1257"/>
      <c r="AF2" s="1257"/>
      <c r="AG2" s="1257"/>
    </row>
    <row r="3" spans="1:34">
      <c r="A3" s="9" t="str">
        <f>'Data Input'!A2&amp;" - "&amp;'Data Input'!B2</f>
        <v>PROGRAMME CODE: - 1TB01003</v>
      </c>
      <c r="B3" s="1260"/>
      <c r="C3" s="1261"/>
      <c r="D3" s="1262"/>
      <c r="E3" s="1262"/>
      <c r="F3" s="1263"/>
      <c r="G3" s="1263"/>
      <c r="H3" s="1263"/>
      <c r="I3" s="1263"/>
      <c r="J3" s="1264"/>
      <c r="K3" s="1265"/>
      <c r="L3" s="1265"/>
      <c r="M3" s="1262"/>
      <c r="N3" s="1265"/>
      <c r="O3" s="1266"/>
      <c r="P3" s="1265"/>
      <c r="Q3" s="1265"/>
      <c r="R3" s="1265"/>
      <c r="S3" s="1265"/>
      <c r="T3" s="1265"/>
      <c r="U3" s="1265"/>
      <c r="V3" s="1267"/>
      <c r="W3" s="1265"/>
      <c r="X3" s="1265"/>
      <c r="Y3" s="1265"/>
      <c r="Z3" s="1265"/>
      <c r="AA3" s="1265"/>
      <c r="AB3" s="1265"/>
      <c r="AC3" s="1265"/>
      <c r="AD3" s="1265"/>
      <c r="AE3" s="1265"/>
      <c r="AF3" s="1265"/>
      <c r="AG3" s="1265"/>
    </row>
    <row r="4" spans="1:34">
      <c r="A4" s="9" t="str">
        <f>'Data Input'!A3&amp;" - "&amp;'Data Input'!B3</f>
        <v>ASSET NAME: - AMAALA YACHT CLUB</v>
      </c>
      <c r="B4" s="1260"/>
      <c r="C4" s="1268"/>
      <c r="D4" s="1265"/>
      <c r="E4" s="1265"/>
      <c r="F4" s="1267"/>
      <c r="G4" s="1267"/>
      <c r="H4" s="1267"/>
      <c r="I4" s="1267"/>
      <c r="J4" s="1269"/>
      <c r="K4" s="1265"/>
      <c r="L4" s="1265"/>
      <c r="M4" s="1262"/>
      <c r="N4" s="1265"/>
      <c r="O4" s="1266"/>
      <c r="P4" s="1265"/>
      <c r="Q4" s="1265"/>
      <c r="R4" s="1265"/>
      <c r="S4" s="1265"/>
      <c r="T4" s="1265"/>
      <c r="U4" s="1265"/>
      <c r="V4" s="1267"/>
      <c r="W4" s="1265"/>
      <c r="X4" s="1265"/>
      <c r="Y4" s="1265"/>
      <c r="Z4" s="1265"/>
      <c r="AA4" s="1265"/>
      <c r="AB4" s="1265"/>
      <c r="AC4" s="1265"/>
      <c r="AD4" s="1265"/>
      <c r="AE4" s="1265"/>
      <c r="AF4" s="1265"/>
      <c r="AG4" s="1265"/>
    </row>
    <row r="5" spans="1:34">
      <c r="A5" s="9" t="str">
        <f>'Data Input'!A4&amp;" - "&amp;'Data Input'!B4</f>
        <v>ASSET CODE: - 1TB01003.01</v>
      </c>
      <c r="B5" s="1270"/>
      <c r="C5" s="1268"/>
      <c r="D5" s="1265"/>
      <c r="E5" s="1265"/>
      <c r="F5" s="1267"/>
      <c r="G5" s="1267"/>
      <c r="H5" s="1267"/>
      <c r="I5" s="1267"/>
      <c r="J5" s="1269"/>
      <c r="K5" s="1265"/>
      <c r="L5" s="1265"/>
      <c r="M5" s="1262"/>
      <c r="N5" s="1265"/>
      <c r="O5" s="1266"/>
      <c r="P5" s="1265"/>
      <c r="Q5" s="1265"/>
      <c r="R5" s="1271"/>
      <c r="S5" s="1265"/>
      <c r="T5" s="1265"/>
      <c r="U5" s="1265"/>
      <c r="V5" s="1267"/>
      <c r="W5" s="1265"/>
      <c r="X5" s="1265"/>
      <c r="Y5" s="1265"/>
      <c r="Z5" s="1265"/>
      <c r="AA5" s="1265"/>
      <c r="AB5" s="1265"/>
      <c r="AC5" s="1265"/>
      <c r="AD5" s="1265"/>
      <c r="AE5" s="1265"/>
      <c r="AF5" s="1265"/>
      <c r="AG5" s="1265"/>
    </row>
    <row r="6" spans="1:34">
      <c r="A6" s="9" t="str">
        <f>'Data Input'!A7&amp;" - "&amp;'Data Input'!B7</f>
        <v>REPORT NO: - MONTHLY REPORT NO. 49</v>
      </c>
      <c r="B6" s="1272"/>
      <c r="C6" s="1268"/>
      <c r="D6" s="1265"/>
      <c r="E6" s="1265"/>
      <c r="F6" s="1267"/>
      <c r="G6" s="1267"/>
      <c r="H6" s="1267"/>
      <c r="I6" s="1267"/>
      <c r="J6" s="1269"/>
      <c r="K6" s="1265"/>
      <c r="L6" s="1265"/>
      <c r="M6" s="1262"/>
      <c r="N6" s="1265"/>
      <c r="O6" s="1266"/>
      <c r="P6" s="1265"/>
      <c r="Q6" s="1265"/>
      <c r="R6" s="1273"/>
      <c r="S6" s="1265"/>
      <c r="T6" s="1271"/>
      <c r="U6" s="1271"/>
      <c r="V6" s="1267"/>
      <c r="W6" s="1265"/>
      <c r="X6" s="1265"/>
      <c r="Y6" s="1265"/>
      <c r="Z6" s="1265"/>
      <c r="AA6" s="1265"/>
      <c r="AB6" s="1265"/>
      <c r="AC6" s="1265"/>
      <c r="AD6" s="1265"/>
      <c r="AE6" s="1265"/>
      <c r="AF6" s="1265"/>
      <c r="AG6" s="1265"/>
    </row>
    <row r="7" spans="1:34">
      <c r="A7" s="9" t="str">
        <f>'Data Input'!A8&amp;" - "&amp;'Data Input'!B8</f>
        <v>REPORTING PERIOD: - OCTOBER 2026</v>
      </c>
      <c r="B7" s="1262"/>
      <c r="C7" s="1274"/>
      <c r="D7" s="1262"/>
      <c r="E7" s="1262"/>
      <c r="F7" s="1263"/>
      <c r="G7" s="1263"/>
      <c r="H7" s="1263"/>
      <c r="I7" s="1263"/>
      <c r="J7" s="1264"/>
      <c r="K7" s="1265"/>
      <c r="L7" s="1265"/>
      <c r="M7" s="1262"/>
      <c r="N7" s="1265"/>
      <c r="O7" s="1265"/>
      <c r="P7" s="1265"/>
      <c r="Q7" s="1267"/>
      <c r="R7" s="1263"/>
      <c r="S7" s="1263"/>
      <c r="T7" s="1263"/>
      <c r="U7" s="1263"/>
      <c r="V7" s="1267"/>
      <c r="W7" s="1265"/>
      <c r="X7" s="1265"/>
      <c r="Y7" s="1265"/>
      <c r="Z7" s="1265"/>
      <c r="AA7" s="1265"/>
      <c r="AB7" s="1265"/>
      <c r="AC7" s="1265"/>
      <c r="AD7" s="1265"/>
      <c r="AE7" s="1265"/>
      <c r="AF7" s="1265"/>
      <c r="AG7" s="1265"/>
    </row>
    <row r="8" spans="1:34" ht="13.5" thickBot="1">
      <c r="A8" s="9"/>
      <c r="B8" s="1256"/>
      <c r="C8" s="1255"/>
      <c r="D8" s="1257"/>
      <c r="E8" s="1257"/>
      <c r="F8" s="1258"/>
      <c r="G8" s="1258"/>
      <c r="H8" s="1258"/>
      <c r="I8" s="1258"/>
      <c r="J8" s="1258"/>
      <c r="K8" s="1257"/>
      <c r="L8" s="1255"/>
      <c r="M8" s="2848"/>
      <c r="N8" s="1275"/>
      <c r="O8" s="1276"/>
      <c r="P8" s="1255"/>
      <c r="Q8" s="1255"/>
      <c r="R8" s="1255"/>
      <c r="S8" s="1255"/>
      <c r="T8" s="1255"/>
      <c r="U8" s="1255"/>
      <c r="V8" s="1259"/>
      <c r="W8" s="1257"/>
      <c r="X8" s="1257"/>
      <c r="Y8" s="1257"/>
      <c r="Z8" s="1257"/>
      <c r="AA8" s="1257"/>
      <c r="AB8" s="1257"/>
      <c r="AC8" s="1257"/>
      <c r="AD8" s="1257"/>
      <c r="AE8" s="1257"/>
      <c r="AF8" s="1257"/>
      <c r="AG8" s="1257"/>
    </row>
    <row r="9" spans="1:34" ht="30" customHeight="1" thickBot="1">
      <c r="A9" s="1354" t="s">
        <v>2610</v>
      </c>
      <c r="B9" s="1355"/>
      <c r="C9" s="1355"/>
      <c r="D9" s="1356"/>
      <c r="E9" s="1356"/>
      <c r="F9" s="1357"/>
      <c r="G9" s="1357"/>
      <c r="H9" s="1357"/>
      <c r="I9" s="1357"/>
      <c r="J9" s="1357"/>
      <c r="K9" s="1356"/>
      <c r="L9" s="1355"/>
      <c r="M9" s="2849"/>
      <c r="N9" s="1355"/>
      <c r="O9" s="1355"/>
      <c r="P9" s="1355"/>
      <c r="Q9" s="1355"/>
      <c r="R9" s="1355"/>
      <c r="S9" s="1355"/>
      <c r="T9" s="1355"/>
      <c r="U9" s="1355"/>
      <c r="V9" s="1358"/>
      <c r="W9" s="4659"/>
      <c r="X9" s="1356"/>
      <c r="Y9" s="1356"/>
      <c r="Z9" s="1356"/>
      <c r="AA9" s="1356"/>
      <c r="AB9" s="1356"/>
      <c r="AC9" s="1356"/>
      <c r="AD9" s="1356"/>
      <c r="AE9" s="1356"/>
      <c r="AF9" s="1356"/>
      <c r="AG9" s="1359"/>
    </row>
    <row r="10" spans="1:34">
      <c r="A10" s="6051" t="s">
        <v>1524</v>
      </c>
      <c r="B10" s="6052"/>
      <c r="C10" s="6052"/>
      <c r="D10" s="6052"/>
      <c r="E10" s="6052"/>
      <c r="F10" s="6052"/>
      <c r="G10" s="6053"/>
      <c r="H10" s="6053"/>
      <c r="I10" s="6053"/>
      <c r="J10" s="6054"/>
      <c r="K10" s="1256"/>
      <c r="L10" s="6055" t="s">
        <v>1525</v>
      </c>
      <c r="M10" s="6056"/>
      <c r="N10" s="6056"/>
      <c r="O10" s="6056"/>
      <c r="P10" s="6056"/>
      <c r="Q10" s="6056"/>
      <c r="R10" s="6057"/>
      <c r="S10" s="6057"/>
      <c r="T10" s="6057"/>
      <c r="U10" s="6057"/>
      <c r="V10" s="6058"/>
      <c r="W10" s="1256"/>
      <c r="X10" s="6043" t="s">
        <v>1526</v>
      </c>
      <c r="Y10" s="6044"/>
      <c r="Z10" s="6044"/>
      <c r="AA10" s="6044"/>
      <c r="AB10" s="6044"/>
      <c r="AC10" s="6044"/>
      <c r="AD10" s="6044"/>
      <c r="AE10" s="6044"/>
      <c r="AF10" s="6044"/>
      <c r="AG10" s="6059"/>
    </row>
    <row r="11" spans="1:34" ht="60" customHeight="1">
      <c r="A11" s="1283" t="s">
        <v>1462</v>
      </c>
      <c r="B11" s="1284" t="s">
        <v>1527</v>
      </c>
      <c r="C11" s="1284" t="s">
        <v>1528</v>
      </c>
      <c r="D11" s="1285" t="s">
        <v>1744</v>
      </c>
      <c r="E11" s="1285" t="s">
        <v>1530</v>
      </c>
      <c r="F11" s="1286" t="s">
        <v>1531</v>
      </c>
      <c r="G11" s="1287" t="s">
        <v>1532</v>
      </c>
      <c r="H11" s="1287" t="s">
        <v>1533</v>
      </c>
      <c r="I11" s="1287" t="s">
        <v>1534</v>
      </c>
      <c r="J11" s="1288" t="s">
        <v>1535</v>
      </c>
      <c r="K11" s="1289"/>
      <c r="L11" s="763" t="s">
        <v>1536</v>
      </c>
      <c r="M11" s="1290" t="s">
        <v>1601</v>
      </c>
      <c r="N11" s="1290" t="s">
        <v>1530</v>
      </c>
      <c r="O11" s="1290" t="s">
        <v>3164</v>
      </c>
      <c r="P11" s="764" t="s">
        <v>1539</v>
      </c>
      <c r="Q11" s="1291" t="s">
        <v>1540</v>
      </c>
      <c r="R11" s="1292" t="s">
        <v>1541</v>
      </c>
      <c r="S11" s="1292" t="s">
        <v>1533</v>
      </c>
      <c r="T11" s="1292" t="s">
        <v>1534</v>
      </c>
      <c r="U11" s="1292" t="s">
        <v>2595</v>
      </c>
      <c r="V11" s="1293" t="s">
        <v>1542</v>
      </c>
      <c r="W11" s="1256"/>
      <c r="X11" s="1294" t="s">
        <v>2086</v>
      </c>
      <c r="Y11" s="2839" t="s">
        <v>2087</v>
      </c>
      <c r="Z11" s="1295" t="s">
        <v>1544</v>
      </c>
      <c r="AA11" s="1296" t="s">
        <v>1545</v>
      </c>
      <c r="AB11" s="1296" t="s">
        <v>1761</v>
      </c>
      <c r="AC11" s="769" t="s">
        <v>1539</v>
      </c>
      <c r="AD11" s="769" t="s">
        <v>1547</v>
      </c>
      <c r="AE11" s="769" t="s">
        <v>1548</v>
      </c>
      <c r="AF11" s="1296" t="s">
        <v>1549</v>
      </c>
      <c r="AG11" s="1297" t="s">
        <v>1550</v>
      </c>
    </row>
    <row r="12" spans="1:34" ht="24.75" customHeight="1">
      <c r="A12" s="1298"/>
      <c r="B12" s="1299"/>
      <c r="C12" s="1300"/>
      <c r="D12" s="1301"/>
      <c r="E12" s="1302" t="s">
        <v>296</v>
      </c>
      <c r="F12" s="1303" t="s">
        <v>434</v>
      </c>
      <c r="G12" s="1303" t="s">
        <v>434</v>
      </c>
      <c r="H12" s="1304">
        <v>0.3</v>
      </c>
      <c r="I12" s="1304">
        <v>0.1</v>
      </c>
      <c r="J12" s="1305" t="s">
        <v>434</v>
      </c>
      <c r="K12" s="1256"/>
      <c r="L12" s="765"/>
      <c r="M12" s="766"/>
      <c r="N12" s="1306" t="s">
        <v>296</v>
      </c>
      <c r="O12" s="766" t="s">
        <v>3165</v>
      </c>
      <c r="P12" s="1307" t="s">
        <v>1552</v>
      </c>
      <c r="Q12" s="767" t="s">
        <v>434</v>
      </c>
      <c r="R12" s="767" t="s">
        <v>434</v>
      </c>
      <c r="S12" s="1308">
        <v>0.3</v>
      </c>
      <c r="T12" s="1308">
        <v>0.1</v>
      </c>
      <c r="U12" s="3226"/>
      <c r="V12" s="768" t="s">
        <v>434</v>
      </c>
      <c r="W12" s="1256"/>
      <c r="X12" s="770"/>
      <c r="Y12" s="2840"/>
      <c r="Z12" s="1309" t="s">
        <v>296</v>
      </c>
      <c r="AA12" s="1309" t="s">
        <v>296</v>
      </c>
      <c r="AB12" s="1309" t="s">
        <v>3166</v>
      </c>
      <c r="AC12" s="1310" t="s">
        <v>1552</v>
      </c>
      <c r="AD12" s="1311"/>
      <c r="AE12" s="1312">
        <v>0.15</v>
      </c>
      <c r="AF12" s="1309" t="s">
        <v>296</v>
      </c>
      <c r="AG12" s="1313" t="s">
        <v>296</v>
      </c>
    </row>
    <row r="13" spans="1:34" s="722" customFormat="1" ht="24.75" customHeight="1">
      <c r="A13" s="1314"/>
      <c r="B13" s="1314"/>
      <c r="C13" s="1314"/>
      <c r="D13" s="1314"/>
      <c r="E13" s="1314" t="s">
        <v>1481</v>
      </c>
      <c r="F13" s="1314"/>
      <c r="G13" s="1314"/>
      <c r="H13" s="1314"/>
      <c r="I13" s="1314"/>
      <c r="J13" s="1314"/>
      <c r="K13" s="1255"/>
      <c r="L13" s="1315"/>
      <c r="M13" s="1315"/>
      <c r="N13" s="1316" t="s">
        <v>1482</v>
      </c>
      <c r="O13" s="1314" t="s">
        <v>2084</v>
      </c>
      <c r="P13" s="1317" t="s">
        <v>1555</v>
      </c>
      <c r="Q13" s="1318" t="s">
        <v>1556</v>
      </c>
      <c r="R13" s="1318" t="s">
        <v>1557</v>
      </c>
      <c r="S13" s="1319" t="s">
        <v>1558</v>
      </c>
      <c r="T13" s="1319" t="s">
        <v>1559</v>
      </c>
      <c r="U13" s="1319" t="s">
        <v>1899</v>
      </c>
      <c r="V13" s="1318" t="s">
        <v>2596</v>
      </c>
      <c r="W13" s="1255"/>
      <c r="X13" s="1316"/>
      <c r="Y13" s="1316" t="s">
        <v>2088</v>
      </c>
      <c r="Z13" s="1316"/>
      <c r="AA13" s="1316" t="s">
        <v>2597</v>
      </c>
      <c r="AB13" s="1316" t="s">
        <v>2598</v>
      </c>
      <c r="AC13" s="1317" t="s">
        <v>2599</v>
      </c>
      <c r="AD13" s="1314" t="s">
        <v>2600</v>
      </c>
      <c r="AE13" s="1319" t="s">
        <v>2601</v>
      </c>
      <c r="AF13" s="1316" t="s">
        <v>2602</v>
      </c>
      <c r="AG13" s="1316"/>
    </row>
    <row r="14" spans="1:34" s="2837" customFormat="1" ht="36.75" customHeight="1">
      <c r="A14" s="4704">
        <v>1</v>
      </c>
      <c r="B14" s="4705" t="s">
        <v>1763</v>
      </c>
      <c r="C14" s="4706" t="s">
        <v>2081</v>
      </c>
      <c r="D14" s="4707" t="s">
        <v>2611</v>
      </c>
      <c r="E14" s="4708">
        <v>45274</v>
      </c>
      <c r="F14" s="4709">
        <v>685941.9</v>
      </c>
      <c r="G14" s="4710">
        <f>F14</f>
        <v>685941.9</v>
      </c>
      <c r="H14" s="4710">
        <f>(G14*$H$12)*-1*0</f>
        <v>0</v>
      </c>
      <c r="I14" s="4710">
        <f>(G14*$I$12)*-1*0</f>
        <v>0</v>
      </c>
      <c r="J14" s="4710">
        <f t="shared" ref="J14:J21" si="0">G14+H14+I14</f>
        <v>685941.9</v>
      </c>
      <c r="K14" s="4711"/>
      <c r="L14" s="4712">
        <v>1</v>
      </c>
      <c r="M14" s="4713" t="s">
        <v>2612</v>
      </c>
      <c r="N14" s="4708">
        <v>45277</v>
      </c>
      <c r="O14" s="4714">
        <f t="shared" ref="O14:O21" si="1">E14+21</f>
        <v>45295</v>
      </c>
      <c r="P14" s="4715">
        <f t="shared" ref="P14:P21" si="2">O14-N14</f>
        <v>18</v>
      </c>
      <c r="Q14" s="4709">
        <v>685941.9</v>
      </c>
      <c r="R14" s="4710">
        <f>Q14</f>
        <v>685941.9</v>
      </c>
      <c r="S14" s="4710">
        <f>(R14*$S$12)*-1*0</f>
        <v>0</v>
      </c>
      <c r="T14" s="4710">
        <f>(R14*$T$12)*-1*0</f>
        <v>0</v>
      </c>
      <c r="U14" s="4710"/>
      <c r="V14" s="4710">
        <f t="shared" ref="V14:V21" si="3">R14+S14+T14</f>
        <v>685941.9</v>
      </c>
      <c r="W14" s="4711"/>
      <c r="X14" s="4716" t="s">
        <v>2613</v>
      </c>
      <c r="Y14" s="4717">
        <v>45277</v>
      </c>
      <c r="Z14" s="4714"/>
      <c r="AA14" s="4718">
        <v>45281</v>
      </c>
      <c r="AB14" s="4718">
        <f t="shared" ref="AB14:AB21" si="4">+Y14+30</f>
        <v>45307</v>
      </c>
      <c r="AC14" s="4715">
        <f>+AB14-AA14</f>
        <v>26</v>
      </c>
      <c r="AD14" s="4719">
        <f t="shared" ref="AD14:AD19" si="5">V14</f>
        <v>685941.9</v>
      </c>
      <c r="AE14" s="4719">
        <f t="shared" ref="AE14:AE19" si="6">+AD14*0.15</f>
        <v>102891.285</v>
      </c>
      <c r="AF14" s="4719">
        <f t="shared" ref="AF14:AF19" si="7">AD14+AE14</f>
        <v>788833.18500000006</v>
      </c>
      <c r="AG14" s="4719">
        <f>+AF14</f>
        <v>788833.18500000006</v>
      </c>
      <c r="AH14" s="2842">
        <f>+AD14*1.15</f>
        <v>788833.18499999994</v>
      </c>
    </row>
    <row r="15" spans="1:34" ht="35.25" customHeight="1">
      <c r="A15" s="4704">
        <v>2</v>
      </c>
      <c r="B15" s="4705" t="s">
        <v>1764</v>
      </c>
      <c r="C15" s="4706">
        <v>45559</v>
      </c>
      <c r="D15" s="4707" t="s">
        <v>3113</v>
      </c>
      <c r="E15" s="4708">
        <v>45574</v>
      </c>
      <c r="F15" s="4720">
        <f t="shared" ref="F15:F21" si="8">+F14+G15</f>
        <v>1177229.8</v>
      </c>
      <c r="G15" s="4721">
        <v>491287.9</v>
      </c>
      <c r="H15" s="4710">
        <v>-147386.37</v>
      </c>
      <c r="I15" s="4710">
        <v>-49128.790000000008</v>
      </c>
      <c r="J15" s="4710">
        <f t="shared" si="0"/>
        <v>294772.74</v>
      </c>
      <c r="K15" s="4711"/>
      <c r="L15" s="4712">
        <v>2</v>
      </c>
      <c r="M15" s="4713" t="s">
        <v>3369</v>
      </c>
      <c r="N15" s="4718">
        <v>45582</v>
      </c>
      <c r="O15" s="4714">
        <f t="shared" si="1"/>
        <v>45595</v>
      </c>
      <c r="P15" s="4715">
        <f t="shared" si="2"/>
        <v>13</v>
      </c>
      <c r="Q15" s="4720">
        <f>R15+Q14</f>
        <v>1177229.8</v>
      </c>
      <c r="R15" s="4710">
        <v>491287.9</v>
      </c>
      <c r="S15" s="4710">
        <v>-147386.37</v>
      </c>
      <c r="T15" s="4710">
        <v>-49128.79</v>
      </c>
      <c r="U15" s="4710"/>
      <c r="V15" s="4710">
        <f t="shared" si="3"/>
        <v>294772.74000000005</v>
      </c>
      <c r="W15" s="4711"/>
      <c r="X15" s="4716" t="s">
        <v>3368</v>
      </c>
      <c r="Y15" s="4717">
        <v>45586</v>
      </c>
      <c r="Z15" s="4714"/>
      <c r="AA15" s="4718">
        <v>45596</v>
      </c>
      <c r="AB15" s="4718">
        <f t="shared" si="4"/>
        <v>45616</v>
      </c>
      <c r="AC15" s="4715">
        <f>+AB15-AA15</f>
        <v>20</v>
      </c>
      <c r="AD15" s="4719">
        <f t="shared" si="5"/>
        <v>294772.74000000005</v>
      </c>
      <c r="AE15" s="4719">
        <f t="shared" si="6"/>
        <v>44215.911000000007</v>
      </c>
      <c r="AF15" s="4719">
        <f t="shared" si="7"/>
        <v>338988.65100000007</v>
      </c>
      <c r="AG15" s="4719">
        <f t="shared" ref="AG15:AG20" si="9">+AF15+AG14</f>
        <v>1127821.8360000001</v>
      </c>
    </row>
    <row r="16" spans="1:34" ht="35.450000000000003" customHeight="1">
      <c r="A16" s="4704">
        <v>3</v>
      </c>
      <c r="B16" s="4705" t="s">
        <v>1765</v>
      </c>
      <c r="C16" s="4706">
        <v>45589</v>
      </c>
      <c r="D16" s="4707" t="s">
        <v>3457</v>
      </c>
      <c r="E16" s="4708">
        <v>45613</v>
      </c>
      <c r="F16" s="4720">
        <f t="shared" si="8"/>
        <v>1991193.79</v>
      </c>
      <c r="G16" s="4710">
        <v>813963.99</v>
      </c>
      <c r="H16" s="4710">
        <v>-244189.2</v>
      </c>
      <c r="I16" s="4710">
        <v>-81396.399999999994</v>
      </c>
      <c r="J16" s="4710">
        <f t="shared" si="0"/>
        <v>488378.39</v>
      </c>
      <c r="K16" s="4711"/>
      <c r="L16" s="4712">
        <v>3</v>
      </c>
      <c r="M16" s="4713" t="s">
        <v>3458</v>
      </c>
      <c r="N16" s="4718">
        <v>45617</v>
      </c>
      <c r="O16" s="4714">
        <f t="shared" si="1"/>
        <v>45634</v>
      </c>
      <c r="P16" s="4715">
        <f t="shared" si="2"/>
        <v>17</v>
      </c>
      <c r="Q16" s="4720">
        <f t="shared" ref="Q16:Q21" si="10">R16+Q15</f>
        <v>1977860.19</v>
      </c>
      <c r="R16" s="4710">
        <v>800630.39</v>
      </c>
      <c r="S16" s="4710">
        <v>-240189.12</v>
      </c>
      <c r="T16" s="4710">
        <v>-80063.039999999994</v>
      </c>
      <c r="U16" s="4710"/>
      <c r="V16" s="4710">
        <f t="shared" si="3"/>
        <v>480378.23000000004</v>
      </c>
      <c r="W16" s="4711"/>
      <c r="X16" s="4716" t="s">
        <v>4340</v>
      </c>
      <c r="Y16" s="4717">
        <v>45631</v>
      </c>
      <c r="Z16" s="4714"/>
      <c r="AA16" s="4718">
        <v>45644</v>
      </c>
      <c r="AB16" s="4718">
        <f t="shared" si="4"/>
        <v>45661</v>
      </c>
      <c r="AC16" s="4715">
        <f>+AB16-AA16</f>
        <v>17</v>
      </c>
      <c r="AD16" s="4719">
        <f t="shared" si="5"/>
        <v>480378.23000000004</v>
      </c>
      <c r="AE16" s="4719">
        <f t="shared" si="6"/>
        <v>72056.734500000006</v>
      </c>
      <c r="AF16" s="4719">
        <f t="shared" si="7"/>
        <v>552434.9645</v>
      </c>
      <c r="AG16" s="4719">
        <f t="shared" si="9"/>
        <v>1680256.8005000001</v>
      </c>
    </row>
    <row r="17" spans="1:34" ht="24" customHeight="1">
      <c r="A17" s="4704">
        <v>4</v>
      </c>
      <c r="B17" s="4705" t="s">
        <v>1766</v>
      </c>
      <c r="C17" s="4706">
        <v>45658</v>
      </c>
      <c r="D17" s="4707" t="s">
        <v>3976</v>
      </c>
      <c r="E17" s="4708">
        <v>45673</v>
      </c>
      <c r="F17" s="4720">
        <f t="shared" si="8"/>
        <v>2175832.41</v>
      </c>
      <c r="G17" s="4710">
        <v>184638.62</v>
      </c>
      <c r="H17" s="4710">
        <v>-55391.59</v>
      </c>
      <c r="I17" s="4710">
        <v>-18463.86</v>
      </c>
      <c r="J17" s="4710">
        <f t="shared" si="0"/>
        <v>110783.17</v>
      </c>
      <c r="K17" s="4711"/>
      <c r="L17" s="4712">
        <v>4</v>
      </c>
      <c r="M17" s="4713" t="s">
        <v>3975</v>
      </c>
      <c r="N17" s="4718">
        <v>45734</v>
      </c>
      <c r="O17" s="4714">
        <f t="shared" si="1"/>
        <v>45694</v>
      </c>
      <c r="P17" s="4715">
        <f t="shared" si="2"/>
        <v>-40</v>
      </c>
      <c r="Q17" s="4720">
        <f t="shared" si="10"/>
        <v>2162498.81</v>
      </c>
      <c r="R17" s="4710">
        <v>184638.62</v>
      </c>
      <c r="S17" s="4710">
        <v>-55391.59</v>
      </c>
      <c r="T17" s="4710">
        <v>-18463.86</v>
      </c>
      <c r="U17" s="4710"/>
      <c r="V17" s="4710">
        <f t="shared" si="3"/>
        <v>110783.17</v>
      </c>
      <c r="W17" s="4711"/>
      <c r="X17" s="4716" t="s">
        <v>4341</v>
      </c>
      <c r="Y17" s="4717">
        <v>45770</v>
      </c>
      <c r="Z17" s="4714"/>
      <c r="AA17" s="4718">
        <v>45811</v>
      </c>
      <c r="AB17" s="4718">
        <f t="shared" si="4"/>
        <v>45800</v>
      </c>
      <c r="AC17" s="4715">
        <f>+AB17-AA17</f>
        <v>-11</v>
      </c>
      <c r="AD17" s="4719">
        <f t="shared" si="5"/>
        <v>110783.17</v>
      </c>
      <c r="AE17" s="4719">
        <f t="shared" si="6"/>
        <v>16617.4755</v>
      </c>
      <c r="AF17" s="4719">
        <f t="shared" si="7"/>
        <v>127400.6455</v>
      </c>
      <c r="AG17" s="4719">
        <f t="shared" si="9"/>
        <v>1807657.4460000002</v>
      </c>
    </row>
    <row r="18" spans="1:34" ht="36">
      <c r="A18" s="4704">
        <v>5</v>
      </c>
      <c r="B18" s="4705" t="s">
        <v>1767</v>
      </c>
      <c r="C18" s="4706">
        <v>45901</v>
      </c>
      <c r="D18" s="4707" t="s">
        <v>4769</v>
      </c>
      <c r="E18" s="4708">
        <v>45925</v>
      </c>
      <c r="F18" s="4720">
        <f t="shared" si="8"/>
        <v>2488723.5100000002</v>
      </c>
      <c r="G18" s="4710">
        <v>312891.09999999998</v>
      </c>
      <c r="H18" s="4710">
        <v>-93867.33</v>
      </c>
      <c r="I18" s="4710">
        <v>-31289.11</v>
      </c>
      <c r="J18" s="4710">
        <f t="shared" si="0"/>
        <v>187734.65999999997</v>
      </c>
      <c r="K18" s="4711"/>
      <c r="L18" s="4712">
        <v>5</v>
      </c>
      <c r="M18" s="4713" t="s">
        <v>4768</v>
      </c>
      <c r="N18" s="4718">
        <v>45929</v>
      </c>
      <c r="O18" s="4714">
        <f t="shared" si="1"/>
        <v>45946</v>
      </c>
      <c r="P18" s="4715">
        <f t="shared" si="2"/>
        <v>17</v>
      </c>
      <c r="Q18" s="4720">
        <f t="shared" si="10"/>
        <v>2475389.91</v>
      </c>
      <c r="R18" s="4710">
        <v>312891.09999999998</v>
      </c>
      <c r="S18" s="4710">
        <v>-93867.33</v>
      </c>
      <c r="T18" s="4710">
        <v>-31289.11</v>
      </c>
      <c r="U18" s="4710"/>
      <c r="V18" s="4710">
        <f t="shared" si="3"/>
        <v>187734.65999999997</v>
      </c>
      <c r="W18" s="4711"/>
      <c r="X18" s="4716" t="s">
        <v>4767</v>
      </c>
      <c r="Y18" s="4714">
        <v>45935</v>
      </c>
      <c r="Z18" s="4714"/>
      <c r="AA18" s="4718"/>
      <c r="AB18" s="4718">
        <f t="shared" si="4"/>
        <v>45965</v>
      </c>
      <c r="AC18" s="4715"/>
      <c r="AD18" s="4719">
        <f t="shared" si="5"/>
        <v>187734.65999999997</v>
      </c>
      <c r="AE18" s="4719">
        <f t="shared" si="6"/>
        <v>28160.198999999997</v>
      </c>
      <c r="AF18" s="4719">
        <f t="shared" si="7"/>
        <v>215894.85899999997</v>
      </c>
      <c r="AG18" s="4719">
        <f t="shared" si="9"/>
        <v>2023552.3050000002</v>
      </c>
    </row>
    <row r="19" spans="1:34" ht="36">
      <c r="A19" s="4704">
        <v>6</v>
      </c>
      <c r="B19" s="4705" t="s">
        <v>1768</v>
      </c>
      <c r="C19" s="4706">
        <v>45962</v>
      </c>
      <c r="D19" s="4707" t="s">
        <v>5500</v>
      </c>
      <c r="E19" s="4708">
        <v>45993</v>
      </c>
      <c r="F19" s="4720">
        <f t="shared" si="8"/>
        <v>2605384.3600000003</v>
      </c>
      <c r="G19" s="4710">
        <v>116660.85</v>
      </c>
      <c r="H19" s="4710">
        <v>-34998.26</v>
      </c>
      <c r="I19" s="4710">
        <v>-11666.09</v>
      </c>
      <c r="J19" s="4710">
        <f t="shared" si="0"/>
        <v>69996.5</v>
      </c>
      <c r="K19" s="4711"/>
      <c r="L19" s="4712">
        <v>6</v>
      </c>
      <c r="M19" s="4713" t="s">
        <v>5501</v>
      </c>
      <c r="N19" s="4718">
        <v>46006</v>
      </c>
      <c r="O19" s="4714">
        <f t="shared" si="1"/>
        <v>46014</v>
      </c>
      <c r="P19" s="4715">
        <f t="shared" si="2"/>
        <v>8</v>
      </c>
      <c r="Q19" s="4720">
        <f t="shared" si="10"/>
        <v>2592050.7600000002</v>
      </c>
      <c r="R19" s="4710">
        <v>116660.85</v>
      </c>
      <c r="S19" s="4710">
        <v>-34998.26</v>
      </c>
      <c r="T19" s="4710">
        <v>-11666.09</v>
      </c>
      <c r="U19" s="4710"/>
      <c r="V19" s="4710">
        <f t="shared" si="3"/>
        <v>69996.5</v>
      </c>
      <c r="W19" s="4711"/>
      <c r="X19" s="4716" t="s">
        <v>5505</v>
      </c>
      <c r="Y19" s="4714">
        <v>45939</v>
      </c>
      <c r="Z19" s="4714"/>
      <c r="AA19" s="4718"/>
      <c r="AB19" s="4718">
        <f t="shared" si="4"/>
        <v>45969</v>
      </c>
      <c r="AC19" s="4715"/>
      <c r="AD19" s="4719">
        <f t="shared" si="5"/>
        <v>69996.5</v>
      </c>
      <c r="AE19" s="4719">
        <f t="shared" si="6"/>
        <v>10499.475</v>
      </c>
      <c r="AF19" s="4719">
        <f t="shared" si="7"/>
        <v>80495.975000000006</v>
      </c>
      <c r="AG19" s="4719">
        <f t="shared" si="9"/>
        <v>2104048.2800000003</v>
      </c>
    </row>
    <row r="20" spans="1:34" ht="36">
      <c r="A20" s="4704">
        <v>7</v>
      </c>
      <c r="B20" s="4705" t="s">
        <v>1769</v>
      </c>
      <c r="C20" s="4722">
        <v>45992</v>
      </c>
      <c r="D20" s="4707" t="s">
        <v>5502</v>
      </c>
      <c r="E20" s="4708">
        <v>46041</v>
      </c>
      <c r="F20" s="4720">
        <f t="shared" si="8"/>
        <v>2692609.7600000002</v>
      </c>
      <c r="G20" s="4710">
        <v>87225.4</v>
      </c>
      <c r="H20" s="4710">
        <v>-26167.62</v>
      </c>
      <c r="I20" s="4710">
        <v>-8722.5400000000009</v>
      </c>
      <c r="J20" s="4710">
        <f t="shared" si="0"/>
        <v>52335.24</v>
      </c>
      <c r="K20" s="4711"/>
      <c r="L20" s="4712">
        <v>7</v>
      </c>
      <c r="M20" s="4713" t="s">
        <v>5503</v>
      </c>
      <c r="N20" s="4718">
        <v>46051</v>
      </c>
      <c r="O20" s="4714">
        <f t="shared" si="1"/>
        <v>46062</v>
      </c>
      <c r="P20" s="4715">
        <f t="shared" si="2"/>
        <v>11</v>
      </c>
      <c r="Q20" s="4720">
        <f t="shared" si="10"/>
        <v>2679276.16</v>
      </c>
      <c r="R20" s="4710">
        <v>87225.4</v>
      </c>
      <c r="S20" s="4710">
        <v>-26167.62</v>
      </c>
      <c r="T20" s="4710">
        <v>-8722.5400000000009</v>
      </c>
      <c r="U20" s="4710"/>
      <c r="V20" s="4710">
        <f t="shared" si="3"/>
        <v>52335.24</v>
      </c>
      <c r="W20" s="1256"/>
      <c r="X20" s="4780" t="s">
        <v>6110</v>
      </c>
      <c r="Y20" s="4781">
        <v>46062</v>
      </c>
      <c r="Z20" s="4781"/>
      <c r="AA20" s="4782"/>
      <c r="AB20" s="4782">
        <f t="shared" si="4"/>
        <v>46092</v>
      </c>
      <c r="AC20" s="4783"/>
      <c r="AD20" s="4719">
        <f t="shared" ref="AD20" si="11">V20</f>
        <v>52335.24</v>
      </c>
      <c r="AE20" s="4719">
        <f t="shared" ref="AE20" si="12">+AD20*0.15</f>
        <v>7850.2859999999991</v>
      </c>
      <c r="AF20" s="4719">
        <f t="shared" ref="AF20" si="13">AD20+AE20</f>
        <v>60185.525999999998</v>
      </c>
      <c r="AG20" s="4719">
        <f t="shared" si="9"/>
        <v>2164233.8060000003</v>
      </c>
      <c r="AH20">
        <f>+V20*1.15</f>
        <v>60185.525999999991</v>
      </c>
    </row>
    <row r="21" spans="1:34" ht="36">
      <c r="A21" s="4704">
        <v>8</v>
      </c>
      <c r="B21" s="4705" t="s">
        <v>1770</v>
      </c>
      <c r="C21" s="4722">
        <v>46054</v>
      </c>
      <c r="D21" s="4707" t="s">
        <v>5504</v>
      </c>
      <c r="E21" s="4708">
        <v>46112</v>
      </c>
      <c r="F21" s="4720">
        <f t="shared" si="8"/>
        <v>2901872.9200000004</v>
      </c>
      <c r="G21" s="4710">
        <v>209263.16</v>
      </c>
      <c r="H21" s="4710">
        <v>-87941.62</v>
      </c>
      <c r="I21" s="4710">
        <f>-G21*$I$12</f>
        <v>-20926.316000000003</v>
      </c>
      <c r="J21" s="4710">
        <f t="shared" si="0"/>
        <v>100395.224</v>
      </c>
      <c r="K21" s="4711"/>
      <c r="L21" s="4712">
        <v>8</v>
      </c>
      <c r="M21" s="4713" t="s">
        <v>5587</v>
      </c>
      <c r="N21" s="4718">
        <v>46117</v>
      </c>
      <c r="O21" s="4714">
        <f t="shared" si="1"/>
        <v>46133</v>
      </c>
      <c r="P21" s="4715">
        <f t="shared" si="2"/>
        <v>16</v>
      </c>
      <c r="Q21" s="4720">
        <f t="shared" si="10"/>
        <v>2888539.3200000003</v>
      </c>
      <c r="R21" s="4710">
        <v>209263.16</v>
      </c>
      <c r="S21" s="4710">
        <v>-87941.62</v>
      </c>
      <c r="T21" s="4710">
        <f>-R21*$T$12</f>
        <v>-20926.316000000003</v>
      </c>
      <c r="U21" s="4710"/>
      <c r="V21" s="4710">
        <f t="shared" si="3"/>
        <v>100395.224</v>
      </c>
      <c r="W21" s="1256"/>
      <c r="X21" s="4780" t="s">
        <v>6254</v>
      </c>
      <c r="Y21" s="4781">
        <v>46156</v>
      </c>
      <c r="Z21" s="3244"/>
      <c r="AA21" s="3243"/>
      <c r="AB21" s="4782">
        <f t="shared" si="4"/>
        <v>46186</v>
      </c>
      <c r="AC21" s="3245"/>
      <c r="AD21" s="3250"/>
      <c r="AE21" s="3250"/>
      <c r="AF21" s="3250"/>
      <c r="AG21" s="3250"/>
    </row>
    <row r="22" spans="1:34">
      <c r="A22" s="723"/>
      <c r="B22" s="810"/>
      <c r="C22" s="1445"/>
      <c r="D22" s="2835"/>
      <c r="E22" s="1440"/>
      <c r="F22" s="1322"/>
      <c r="G22" s="1444"/>
      <c r="H22" s="1444"/>
      <c r="I22" s="1444"/>
      <c r="J22" s="1444"/>
      <c r="K22" s="1256"/>
      <c r="L22" s="1510"/>
      <c r="M22" s="2850"/>
      <c r="N22" s="1321"/>
      <c r="O22" s="1323"/>
      <c r="P22" s="1324"/>
      <c r="Q22" s="1322"/>
      <c r="R22" s="1444"/>
      <c r="S22" s="1444"/>
      <c r="T22" s="1444"/>
      <c r="U22" s="1444"/>
      <c r="V22" s="1444"/>
      <c r="W22" s="1256"/>
      <c r="X22" s="2838"/>
      <c r="Y22" s="1323"/>
      <c r="Z22" s="1323"/>
      <c r="AA22" s="1321"/>
      <c r="AB22" s="1321"/>
      <c r="AC22" s="1324"/>
      <c r="AD22" s="1327"/>
      <c r="AE22" s="1327"/>
      <c r="AF22" s="1327"/>
      <c r="AG22" s="1327"/>
    </row>
    <row r="23" spans="1:34">
      <c r="A23" s="723"/>
      <c r="B23" s="810"/>
      <c r="C23" s="1445"/>
      <c r="D23" s="2835"/>
      <c r="E23" s="1440"/>
      <c r="F23" s="1322"/>
      <c r="G23" s="1444"/>
      <c r="H23" s="1444"/>
      <c r="I23" s="1444"/>
      <c r="J23" s="1444"/>
      <c r="K23" s="1256"/>
      <c r="L23" s="1510"/>
      <c r="M23" s="2850"/>
      <c r="N23" s="1321"/>
      <c r="O23" s="1323"/>
      <c r="P23" s="1324"/>
      <c r="Q23" s="1322"/>
      <c r="R23" s="1444"/>
      <c r="S23" s="1444"/>
      <c r="T23" s="1444"/>
      <c r="U23" s="1444"/>
      <c r="V23" s="1444"/>
      <c r="W23" s="1256"/>
      <c r="X23" s="723"/>
      <c r="Y23" s="724"/>
      <c r="Z23" s="1323"/>
      <c r="AA23" s="1321"/>
      <c r="AB23" s="1321"/>
      <c r="AC23" s="1324"/>
      <c r="AD23" s="1327"/>
      <c r="AE23" s="1327"/>
      <c r="AF23" s="1327"/>
      <c r="AG23" s="1327"/>
    </row>
    <row r="24" spans="1:34">
      <c r="A24" s="723"/>
      <c r="B24" s="810"/>
      <c r="C24" s="1445"/>
      <c r="D24" s="2835"/>
      <c r="E24" s="1440"/>
      <c r="F24" s="1322"/>
      <c r="G24" s="1444"/>
      <c r="H24" s="1444"/>
      <c r="I24" s="1444"/>
      <c r="J24" s="1444"/>
      <c r="K24" s="1256"/>
      <c r="L24" s="1510"/>
      <c r="M24" s="2850"/>
      <c r="N24" s="1321"/>
      <c r="O24" s="1323"/>
      <c r="P24" s="1324"/>
      <c r="Q24" s="1322"/>
      <c r="R24" s="1444"/>
      <c r="S24" s="1444"/>
      <c r="T24" s="1444"/>
      <c r="U24" s="1444"/>
      <c r="V24" s="1444"/>
      <c r="W24" s="1256"/>
      <c r="X24" s="723"/>
      <c r="Y24" s="724"/>
      <c r="Z24" s="1323"/>
      <c r="AA24" s="1321"/>
      <c r="AB24" s="1321"/>
      <c r="AC24" s="1324"/>
      <c r="AD24" s="1327"/>
      <c r="AE24" s="1327"/>
      <c r="AF24" s="1327"/>
      <c r="AG24" s="1327"/>
    </row>
    <row r="25" spans="1:34">
      <c r="A25" s="723"/>
      <c r="B25" s="810"/>
      <c r="C25" s="1445"/>
      <c r="D25" s="2835"/>
      <c r="E25" s="1440"/>
      <c r="F25" s="1322"/>
      <c r="G25" s="1322"/>
      <c r="H25" s="1322"/>
      <c r="I25" s="1322"/>
      <c r="J25" s="1322"/>
      <c r="K25" s="1256"/>
      <c r="L25" s="1443"/>
      <c r="M25" s="2850"/>
      <c r="N25" s="1321"/>
      <c r="O25" s="1323"/>
      <c r="P25" s="1324"/>
      <c r="Q25" s="1322"/>
      <c r="R25" s="1444"/>
      <c r="S25" s="1444"/>
      <c r="T25" s="1444"/>
      <c r="U25" s="1444"/>
      <c r="V25" s="1328"/>
      <c r="W25" s="1256"/>
      <c r="X25" s="723"/>
      <c r="Y25" s="724"/>
      <c r="Z25" s="1323"/>
      <c r="AA25" s="1321"/>
      <c r="AB25" s="1321"/>
      <c r="AC25" s="1324"/>
      <c r="AD25" s="1327"/>
      <c r="AE25" s="1327"/>
      <c r="AF25" s="1327"/>
      <c r="AG25" s="1327"/>
    </row>
    <row r="26" spans="1:34">
      <c r="A26" s="723"/>
      <c r="B26" s="810"/>
      <c r="C26" s="1445"/>
      <c r="D26" s="2835"/>
      <c r="E26" s="1440"/>
      <c r="F26" s="1322"/>
      <c r="G26" s="1322"/>
      <c r="H26" s="1322"/>
      <c r="I26" s="1322"/>
      <c r="J26" s="1322"/>
      <c r="K26" s="1256"/>
      <c r="L26" s="1443"/>
      <c r="M26" s="2850"/>
      <c r="N26" s="1321"/>
      <c r="O26" s="1323"/>
      <c r="P26" s="1324"/>
      <c r="Q26" s="1322"/>
      <c r="R26" s="1444"/>
      <c r="S26" s="1444"/>
      <c r="T26" s="1444"/>
      <c r="U26" s="1444"/>
      <c r="V26" s="1328"/>
      <c r="W26" s="1256"/>
      <c r="X26" s="723"/>
      <c r="Y26" s="724"/>
      <c r="Z26" s="1323"/>
      <c r="AA26" s="1321"/>
      <c r="AB26" s="1321"/>
      <c r="AC26" s="1324"/>
      <c r="AD26" s="1327"/>
      <c r="AE26" s="1327"/>
      <c r="AF26" s="1327"/>
      <c r="AG26" s="1327"/>
    </row>
    <row r="27" spans="1:34">
      <c r="A27" s="723"/>
      <c r="B27" s="810"/>
      <c r="C27" s="1445"/>
      <c r="D27" s="2835"/>
      <c r="E27" s="1440"/>
      <c r="F27" s="1322"/>
      <c r="G27" s="1322"/>
      <c r="H27" s="1322"/>
      <c r="I27" s="1322"/>
      <c r="J27" s="1322"/>
      <c r="K27" s="1256"/>
      <c r="L27" s="1443"/>
      <c r="M27" s="2850"/>
      <c r="N27" s="1321"/>
      <c r="O27" s="1323"/>
      <c r="P27" s="1324"/>
      <c r="Q27" s="1322"/>
      <c r="R27" s="1444"/>
      <c r="S27" s="1444"/>
      <c r="T27" s="1444"/>
      <c r="U27" s="1444"/>
      <c r="V27" s="1328"/>
      <c r="W27" s="1256"/>
      <c r="X27" s="723"/>
      <c r="Y27" s="724"/>
      <c r="Z27" s="1323"/>
      <c r="AA27" s="1321"/>
      <c r="AB27" s="1321"/>
      <c r="AC27" s="1324"/>
      <c r="AD27" s="1327"/>
      <c r="AE27" s="1327"/>
      <c r="AF27" s="1327"/>
      <c r="AG27" s="1327"/>
    </row>
    <row r="28" spans="1:34">
      <c r="A28" s="723"/>
      <c r="B28" s="810"/>
      <c r="C28" s="1445"/>
      <c r="D28" s="2835"/>
      <c r="E28" s="1440"/>
      <c r="F28" s="1322"/>
      <c r="G28" s="1322"/>
      <c r="H28" s="1322"/>
      <c r="I28" s="1322"/>
      <c r="J28" s="1322"/>
      <c r="K28" s="1256"/>
      <c r="L28" s="1443"/>
      <c r="M28" s="2850"/>
      <c r="N28" s="1321"/>
      <c r="O28" s="1323"/>
      <c r="P28" s="1324"/>
      <c r="Q28" s="1322"/>
      <c r="R28" s="1444"/>
      <c r="S28" s="1444"/>
      <c r="T28" s="1444"/>
      <c r="U28" s="1444"/>
      <c r="V28" s="1328"/>
      <c r="W28" s="1256"/>
      <c r="X28" s="723"/>
      <c r="Y28" s="724"/>
      <c r="Z28" s="1323"/>
      <c r="AA28" s="1321"/>
      <c r="AB28" s="1321"/>
      <c r="AC28" s="1324"/>
      <c r="AD28" s="1327"/>
      <c r="AE28" s="1327"/>
      <c r="AF28" s="1327"/>
      <c r="AG28" s="1327"/>
    </row>
    <row r="29" spans="1:34">
      <c r="A29" s="723"/>
      <c r="B29" s="810"/>
      <c r="C29" s="1445"/>
      <c r="D29" s="2835"/>
      <c r="E29" s="1440"/>
      <c r="F29" s="1322"/>
      <c r="G29" s="1322"/>
      <c r="H29" s="1322"/>
      <c r="I29" s="1322"/>
      <c r="J29" s="1322"/>
      <c r="K29" s="1256"/>
      <c r="L29" s="1443"/>
      <c r="M29" s="2850"/>
      <c r="N29" s="1321"/>
      <c r="O29" s="1323"/>
      <c r="P29" s="1324"/>
      <c r="Q29" s="1322"/>
      <c r="R29" s="1444"/>
      <c r="S29" s="1444"/>
      <c r="T29" s="1444"/>
      <c r="U29" s="1444"/>
      <c r="V29" s="1328"/>
      <c r="W29" s="1256"/>
      <c r="X29" s="723"/>
      <c r="Y29" s="724"/>
      <c r="Z29" s="1323"/>
      <c r="AA29" s="1321"/>
      <c r="AB29" s="1321"/>
      <c r="AC29" s="1324"/>
      <c r="AD29" s="1327"/>
      <c r="AE29" s="1327"/>
      <c r="AF29" s="1327"/>
      <c r="AG29" s="1327"/>
    </row>
    <row r="30" spans="1:34">
      <c r="A30" s="723"/>
      <c r="B30" s="810"/>
      <c r="C30" s="1445"/>
      <c r="D30" s="2835"/>
      <c r="E30" s="1440"/>
      <c r="F30" s="1322"/>
      <c r="G30" s="1322"/>
      <c r="H30" s="1322"/>
      <c r="I30" s="1322"/>
      <c r="J30" s="1322"/>
      <c r="K30" s="1256"/>
      <c r="L30" s="1443"/>
      <c r="M30" s="2850"/>
      <c r="N30" s="1321"/>
      <c r="O30" s="1323"/>
      <c r="P30" s="1324"/>
      <c r="Q30" s="1322"/>
      <c r="R30" s="1444"/>
      <c r="S30" s="1444"/>
      <c r="T30" s="1444"/>
      <c r="U30" s="1444"/>
      <c r="V30" s="1328"/>
      <c r="W30" s="1256"/>
      <c r="X30" s="723"/>
      <c r="Y30" s="724"/>
      <c r="Z30" s="1323"/>
      <c r="AA30" s="1321"/>
      <c r="AB30" s="1321"/>
      <c r="AC30" s="1324"/>
      <c r="AD30" s="1327"/>
      <c r="AE30" s="1327"/>
      <c r="AF30" s="1327"/>
      <c r="AG30" s="1327"/>
    </row>
    <row r="31" spans="1:34">
      <c r="A31" s="723"/>
      <c r="B31" s="810"/>
      <c r="C31" s="1445"/>
      <c r="D31" s="2835"/>
      <c r="E31" s="1440"/>
      <c r="F31" s="1322"/>
      <c r="G31" s="1322"/>
      <c r="H31" s="1322"/>
      <c r="I31" s="1322"/>
      <c r="J31" s="1322"/>
      <c r="K31" s="1256"/>
      <c r="L31" s="1443"/>
      <c r="M31" s="2850"/>
      <c r="N31" s="1321"/>
      <c r="O31" s="1323"/>
      <c r="P31" s="1324"/>
      <c r="Q31" s="1322"/>
      <c r="R31" s="1444"/>
      <c r="S31" s="1444"/>
      <c r="T31" s="1444"/>
      <c r="U31" s="1444"/>
      <c r="V31" s="1328"/>
      <c r="W31" s="1256"/>
      <c r="X31" s="723"/>
      <c r="Y31" s="724"/>
      <c r="Z31" s="1323"/>
      <c r="AA31" s="1321"/>
      <c r="AB31" s="1321"/>
      <c r="AC31" s="1324"/>
      <c r="AD31" s="1327"/>
      <c r="AE31" s="1327"/>
      <c r="AF31" s="1327"/>
      <c r="AG31" s="1327"/>
    </row>
    <row r="32" spans="1:34">
      <c r="A32" s="723"/>
      <c r="B32" s="810"/>
      <c r="C32" s="1445"/>
      <c r="D32" s="2835"/>
      <c r="E32" s="1440"/>
      <c r="F32" s="1322"/>
      <c r="G32" s="1322"/>
      <c r="H32" s="1322"/>
      <c r="I32" s="1322"/>
      <c r="J32" s="1322"/>
      <c r="K32" s="1256"/>
      <c r="L32" s="1443"/>
      <c r="M32" s="2850"/>
      <c r="N32" s="1321"/>
      <c r="O32" s="1323"/>
      <c r="P32" s="1324"/>
      <c r="Q32" s="1322"/>
      <c r="R32" s="1444"/>
      <c r="S32" s="1444"/>
      <c r="T32" s="1444"/>
      <c r="U32" s="1444"/>
      <c r="V32" s="1328"/>
      <c r="W32" s="1256"/>
      <c r="X32" s="723"/>
      <c r="Y32" s="724"/>
      <c r="Z32" s="1323"/>
      <c r="AA32" s="1321"/>
      <c r="AB32" s="1321"/>
      <c r="AC32" s="1324"/>
      <c r="AD32" s="1327"/>
      <c r="AE32" s="1327"/>
      <c r="AF32" s="1327"/>
      <c r="AG32" s="1327"/>
    </row>
    <row r="33" spans="1:33">
      <c r="A33" s="723"/>
      <c r="B33" s="810"/>
      <c r="C33" s="1445"/>
      <c r="D33" s="1320"/>
      <c r="E33" s="1440"/>
      <c r="F33" s="1322"/>
      <c r="G33" s="1322"/>
      <c r="H33" s="1322"/>
      <c r="I33" s="1322"/>
      <c r="J33" s="1322"/>
      <c r="K33" s="1256"/>
      <c r="L33" s="1443"/>
      <c r="M33" s="2850"/>
      <c r="N33" s="1321"/>
      <c r="O33" s="1323"/>
      <c r="P33" s="1324"/>
      <c r="Q33" s="1322"/>
      <c r="R33" s="1444"/>
      <c r="S33" s="1444"/>
      <c r="T33" s="1444"/>
      <c r="U33" s="1444"/>
      <c r="V33" s="1328"/>
      <c r="W33" s="1256"/>
      <c r="X33" s="723"/>
      <c r="Y33" s="724"/>
      <c r="Z33" s="1323"/>
      <c r="AA33" s="1321"/>
      <c r="AB33" s="1321"/>
      <c r="AC33" s="1324"/>
      <c r="AD33" s="1327"/>
      <c r="AE33" s="1327"/>
      <c r="AF33" s="1327"/>
      <c r="AG33" s="1327"/>
    </row>
    <row r="34" spans="1:33">
      <c r="A34" s="723"/>
      <c r="B34" s="810"/>
      <c r="C34" s="1445"/>
      <c r="D34" s="1320"/>
      <c r="E34" s="1440"/>
      <c r="F34" s="1322"/>
      <c r="G34" s="1322"/>
      <c r="H34" s="1322"/>
      <c r="I34" s="1322"/>
      <c r="J34" s="1322"/>
      <c r="K34" s="1256"/>
      <c r="L34" s="1443"/>
      <c r="M34" s="2850"/>
      <c r="N34" s="1321"/>
      <c r="O34" s="1323"/>
      <c r="P34" s="1324"/>
      <c r="Q34" s="1322"/>
      <c r="R34" s="1444"/>
      <c r="S34" s="1444"/>
      <c r="T34" s="1444"/>
      <c r="U34" s="1444"/>
      <c r="V34" s="1328"/>
      <c r="W34" s="1256"/>
      <c r="X34" s="723"/>
      <c r="Y34" s="724"/>
      <c r="Z34" s="1323"/>
      <c r="AA34" s="1321"/>
      <c r="AB34" s="1321"/>
      <c r="AC34" s="1324"/>
      <c r="AD34" s="1327"/>
      <c r="AE34" s="1327"/>
      <c r="AF34" s="1327"/>
      <c r="AG34" s="1327"/>
    </row>
    <row r="35" spans="1:33">
      <c r="A35" s="723"/>
      <c r="B35" s="810"/>
      <c r="C35" s="1445"/>
      <c r="D35" s="1320"/>
      <c r="E35" s="1441"/>
      <c r="F35" s="1322"/>
      <c r="G35" s="1322"/>
      <c r="H35" s="1322"/>
      <c r="I35" s="1322"/>
      <c r="J35" s="1322"/>
      <c r="K35" s="1256"/>
      <c r="L35" s="1443"/>
      <c r="M35" s="2850"/>
      <c r="N35" s="1321"/>
      <c r="O35" s="1323"/>
      <c r="P35" s="1324"/>
      <c r="Q35" s="1322"/>
      <c r="R35" s="1444"/>
      <c r="S35" s="1444"/>
      <c r="T35" s="1444"/>
      <c r="U35" s="1444"/>
      <c r="V35" s="1328"/>
      <c r="W35" s="1256"/>
      <c r="X35" s="723"/>
      <c r="Y35" s="724"/>
      <c r="Z35" s="1323"/>
      <c r="AA35" s="1321"/>
      <c r="AB35" s="1321"/>
      <c r="AC35" s="1324"/>
      <c r="AD35" s="1327"/>
      <c r="AE35" s="1327"/>
      <c r="AF35" s="1327"/>
      <c r="AG35" s="1327"/>
    </row>
    <row r="36" spans="1:33">
      <c r="A36" s="1329"/>
      <c r="B36" s="1330"/>
      <c r="C36" s="1440"/>
      <c r="D36" s="1331"/>
      <c r="E36" s="1442"/>
      <c r="F36" s="1332"/>
      <c r="G36" s="1332"/>
      <c r="H36" s="1332"/>
      <c r="I36" s="1332"/>
      <c r="J36" s="1332"/>
      <c r="K36" s="1256"/>
      <c r="L36" s="1329"/>
      <c r="M36" s="2851"/>
      <c r="N36" s="1334"/>
      <c r="O36" s="1334"/>
      <c r="P36" s="1335"/>
      <c r="Q36" s="1322"/>
      <c r="R36" s="1333"/>
      <c r="S36" s="1333"/>
      <c r="T36" s="1333"/>
      <c r="U36" s="1333"/>
      <c r="V36" s="1336"/>
      <c r="W36" s="1256"/>
      <c r="X36" s="1329"/>
      <c r="Y36" s="1333"/>
      <c r="Z36" s="1337"/>
      <c r="AA36" s="1334"/>
      <c r="AB36" s="1334"/>
      <c r="AC36" s="1334"/>
      <c r="AD36" s="1329"/>
      <c r="AE36" s="1337"/>
      <c r="AF36" s="1334"/>
      <c r="AG36" s="1334"/>
    </row>
    <row r="37" spans="1:33" ht="24.75" customHeight="1" collapsed="1" thickBot="1">
      <c r="A37" s="6045" t="s">
        <v>1522</v>
      </c>
      <c r="B37" s="6046"/>
      <c r="C37" s="6046"/>
      <c r="D37" s="6046"/>
      <c r="E37" s="6046"/>
      <c r="F37" s="6047"/>
      <c r="G37" s="1338">
        <f>SUM(G14:G36)</f>
        <v>2901872.9200000004</v>
      </c>
      <c r="H37" s="1338">
        <f>SUM(H14:H36)</f>
        <v>-689941.99</v>
      </c>
      <c r="I37" s="1338">
        <f>SUM(I14:I36)</f>
        <v>-221593.10599999997</v>
      </c>
      <c r="J37" s="1338">
        <f>SUM(J14:J36)</f>
        <v>1990337.8239999998</v>
      </c>
      <c r="K37" s="1256"/>
      <c r="L37" s="1339" t="s">
        <v>1522</v>
      </c>
      <c r="M37" s="1343"/>
      <c r="N37" s="1340"/>
      <c r="O37" s="1340"/>
      <c r="P37" s="1340"/>
      <c r="Q37" s="1340"/>
      <c r="R37" s="1341">
        <f>SUM(R14:R36)</f>
        <v>2888539.3200000003</v>
      </c>
      <c r="S37" s="1338">
        <f>SUM(S14:S36)</f>
        <v>-685941.90999999992</v>
      </c>
      <c r="T37" s="1338">
        <f>SUM(T14:T36)</f>
        <v>-220259.74599999998</v>
      </c>
      <c r="U37" s="1338"/>
      <c r="V37" s="1338">
        <f>SUM(V14:V36)</f>
        <v>1982337.6639999999</v>
      </c>
      <c r="W37" s="1256"/>
      <c r="X37" s="1342" t="s">
        <v>1522</v>
      </c>
      <c r="Y37" s="1343"/>
      <c r="Z37" s="1343"/>
      <c r="AA37" s="1343"/>
      <c r="AB37" s="1343"/>
      <c r="AC37" s="1343"/>
      <c r="AD37" s="1341">
        <f>SUM(AD14:AD36)</f>
        <v>1881942.44</v>
      </c>
      <c r="AE37" s="1338">
        <f>SUM(AE14:AE36)</f>
        <v>282291.36600000004</v>
      </c>
      <c r="AF37" s="1338">
        <f>SUM(AF14:AF36)</f>
        <v>2164233.8060000003</v>
      </c>
      <c r="AG37" s="1338">
        <f>+AG17</f>
        <v>1807657.4460000002</v>
      </c>
    </row>
    <row r="38" spans="1:33">
      <c r="A38" s="1360"/>
      <c r="B38" s="1256"/>
      <c r="C38" s="1255"/>
      <c r="D38" s="1257"/>
      <c r="E38" s="1361"/>
      <c r="F38" s="1258"/>
      <c r="G38" s="1258"/>
      <c r="H38" s="1258"/>
      <c r="I38" s="1258"/>
      <c r="J38" s="1258"/>
      <c r="K38" s="1256"/>
      <c r="L38" s="1360"/>
      <c r="M38" s="2852"/>
      <c r="N38" s="1362"/>
      <c r="O38" s="1362"/>
      <c r="P38" s="1362"/>
      <c r="Q38" s="1360"/>
      <c r="R38" s="1360"/>
      <c r="S38" s="1360"/>
      <c r="T38" s="1360"/>
      <c r="U38" s="1360"/>
      <c r="V38" s="1363"/>
      <c r="W38" s="1256"/>
      <c r="X38" s="1360"/>
      <c r="Y38" s="1360"/>
      <c r="Z38" s="1364"/>
      <c r="AA38" s="1362"/>
      <c r="AB38" s="1362"/>
      <c r="AC38" s="1362"/>
      <c r="AD38" s="1360"/>
      <c r="AE38" s="1364"/>
      <c r="AF38" s="1362"/>
      <c r="AG38" s="1362"/>
    </row>
    <row r="39" spans="1:33">
      <c r="A39" s="1360"/>
      <c r="B39" s="1256"/>
      <c r="C39" s="1255"/>
      <c r="D39" s="1257"/>
      <c r="E39" s="1361"/>
      <c r="F39" s="1258"/>
      <c r="G39" s="1258"/>
      <c r="H39" s="1258"/>
      <c r="I39" s="1258"/>
      <c r="J39" s="1258"/>
      <c r="K39" s="1256"/>
      <c r="L39" s="1360"/>
      <c r="M39" s="2852"/>
      <c r="N39" s="1362"/>
      <c r="O39" s="1362"/>
      <c r="P39" s="1257"/>
      <c r="Q39" s="1258"/>
      <c r="R39" s="1258"/>
      <c r="S39" s="1258"/>
      <c r="T39" s="1258"/>
      <c r="U39" s="1258"/>
      <c r="V39" s="1258">
        <f>+V37-T37</f>
        <v>2202597.4099999997</v>
      </c>
      <c r="W39" s="1256"/>
      <c r="X39" s="1360"/>
      <c r="Y39" s="1360"/>
      <c r="Z39" s="1364"/>
      <c r="AA39" s="1362"/>
      <c r="AB39" s="1362"/>
      <c r="AC39" s="1362"/>
      <c r="AD39" s="1360"/>
      <c r="AE39" s="1364"/>
      <c r="AF39" s="1362"/>
      <c r="AG39" s="1362"/>
    </row>
    <row r="40" spans="1:33">
      <c r="A40" s="1365"/>
      <c r="B40" s="1256"/>
      <c r="C40" s="1255"/>
      <c r="D40" s="1257"/>
      <c r="E40" s="1361"/>
      <c r="F40" s="1366"/>
      <c r="G40" s="1366"/>
      <c r="H40" s="1366"/>
      <c r="I40" s="1366"/>
      <c r="J40" s="1258"/>
      <c r="K40" s="1256"/>
      <c r="L40" s="1365"/>
      <c r="M40" s="2853">
        <f>403092.61/11085046.72</f>
        <v>3.6363636544059594E-2</v>
      </c>
      <c r="N40" s="1365"/>
      <c r="O40" s="1365"/>
      <c r="P40" s="1257"/>
      <c r="Q40" s="1366"/>
      <c r="R40" s="1366"/>
      <c r="S40" s="1366"/>
      <c r="T40" s="1366"/>
      <c r="U40" s="1366"/>
      <c r="V40" s="1366"/>
      <c r="W40" s="1256"/>
      <c r="X40" s="1365"/>
      <c r="Y40" s="1365"/>
      <c r="Z40" s="1365"/>
      <c r="AA40" s="1362"/>
      <c r="AB40" s="1362"/>
      <c r="AC40" s="1362"/>
      <c r="AD40" s="1365"/>
      <c r="AE40" s="1365"/>
      <c r="AF40" s="1362"/>
      <c r="AG40" s="1362"/>
    </row>
    <row r="41" spans="1:33">
      <c r="D41" s="1257"/>
      <c r="E41" s="153">
        <v>44197</v>
      </c>
      <c r="F41" s="1366"/>
      <c r="P41" s="1257"/>
      <c r="Q41" s="1366"/>
      <c r="R41" s="1366">
        <f>+R14+R15+R16+R17+R18+R19+R20</f>
        <v>2679276.16</v>
      </c>
      <c r="S41" s="1366"/>
      <c r="T41" s="1366"/>
      <c r="U41" s="1366"/>
      <c r="V41" s="1366"/>
      <c r="AB41" s="153">
        <v>44094</v>
      </c>
      <c r="AD41" s="1367"/>
    </row>
    <row r="42" spans="1:33">
      <c r="D42" s="1257"/>
      <c r="E42" s="153">
        <f>E41-45</f>
        <v>44152</v>
      </c>
      <c r="F42" s="1366"/>
      <c r="P42" s="1257"/>
      <c r="Q42" s="1366"/>
      <c r="R42" s="1366"/>
      <c r="S42" s="1366"/>
      <c r="T42" s="1366"/>
      <c r="U42" s="1366"/>
      <c r="V42" s="1366"/>
      <c r="AB42" s="153">
        <f>AB41-45</f>
        <v>44049</v>
      </c>
    </row>
    <row r="43" spans="1:33">
      <c r="D43" s="1257"/>
      <c r="F43" s="1366"/>
      <c r="H43" s="153">
        <v>43986</v>
      </c>
      <c r="R43" s="652"/>
      <c r="S43" s="652"/>
      <c r="T43" s="652"/>
      <c r="U43" s="652"/>
      <c r="V43" s="652"/>
    </row>
    <row r="45" spans="1:33">
      <c r="AD45" t="s">
        <v>2330</v>
      </c>
    </row>
    <row r="46" spans="1:33">
      <c r="AD46" s="3018">
        <v>45222</v>
      </c>
      <c r="AE46" s="3018">
        <v>45253</v>
      </c>
      <c r="AF46" s="3018">
        <v>45283</v>
      </c>
    </row>
    <row r="47" spans="1:33">
      <c r="AD47" s="3020">
        <v>11439880.26</v>
      </c>
    </row>
  </sheetData>
  <mergeCells count="4">
    <mergeCell ref="A10:J10"/>
    <mergeCell ref="L10:V10"/>
    <mergeCell ref="X10:AG10"/>
    <mergeCell ref="A37:F37"/>
  </mergeCells>
  <printOptions horizontalCentered="1"/>
  <pageMargins left="0.25" right="0.25" top="0.75" bottom="0.75" header="0.3" footer="0.3"/>
  <pageSetup paperSize="8" scale="65" fitToHeight="2" orientation="landscape" r:id="rId1"/>
  <headerFooter>
    <oddHeader>&amp;C&amp;"Calibri,Bold"&amp;18MONTHLY REPORT - INVOICE &amp; PAYMENT TRACKING LOG (ESCCO)</oddHeader>
    <oddFooter>&amp;L1TB.01.003.01 - AYC 
MARCH'26 REPORT&amp;C&amp;A&amp;RPage &amp;P of &amp;N</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5E5EA-C7F6-4BAA-8BB5-CD1B683421CC}">
  <sheetPr codeName="Sheet43">
    <tabColor theme="7" tint="0.39997558519241921"/>
    <pageSetUpPr fitToPage="1"/>
  </sheetPr>
  <dimension ref="A1:AH47"/>
  <sheetViews>
    <sheetView showGridLines="0" view="pageBreakPreview" topLeftCell="C14" zoomScale="90" zoomScaleNormal="100" zoomScaleSheetLayoutView="90" workbookViewId="0">
      <selection activeCell="C43" sqref="C43"/>
    </sheetView>
  </sheetViews>
  <sheetFormatPr defaultColWidth="9" defaultRowHeight="12.75"/>
  <cols>
    <col min="1" max="1" width="10.85546875" customWidth="1"/>
    <col min="2" max="2" width="10.42578125" customWidth="1"/>
    <col min="3" max="3" width="11.42578125" customWidth="1"/>
    <col min="4" max="4" width="10.85546875" bestFit="1" customWidth="1"/>
    <col min="5" max="5" width="9.85546875" bestFit="1" customWidth="1"/>
    <col min="6" max="6" width="12" customWidth="1"/>
    <col min="7" max="7" width="12.85546875" bestFit="1" customWidth="1"/>
    <col min="8" max="9" width="11.85546875" bestFit="1" customWidth="1"/>
    <col min="10" max="10" width="13.85546875" customWidth="1"/>
    <col min="11" max="11" width="0.85546875" customWidth="1"/>
    <col min="12" max="12" width="6" customWidth="1"/>
    <col min="13" max="13" width="17.85546875" style="2854" bestFit="1" customWidth="1"/>
    <col min="14" max="15" width="9" customWidth="1"/>
    <col min="16" max="16" width="7.85546875" customWidth="1"/>
    <col min="17" max="17" width="13.85546875" customWidth="1"/>
    <col min="18" max="18" width="15.5703125" customWidth="1"/>
    <col min="19" max="19" width="13" customWidth="1"/>
    <col min="20" max="21" width="11.42578125" customWidth="1"/>
    <col min="22" max="22" width="14.5703125" customWidth="1"/>
    <col min="23" max="23" width="0.85546875" customWidth="1"/>
    <col min="24" max="24" width="14" bestFit="1" customWidth="1"/>
    <col min="25" max="25" width="9" customWidth="1"/>
    <col min="26" max="26" width="9" hidden="1" customWidth="1"/>
    <col min="27" max="27" width="9" bestFit="1" customWidth="1"/>
    <col min="28" max="28" width="10" customWidth="1"/>
    <col min="29" max="29" width="7" customWidth="1"/>
    <col min="30" max="30" width="12.42578125" customWidth="1"/>
    <col min="31" max="31" width="15" customWidth="1"/>
    <col min="32" max="33" width="14" customWidth="1"/>
    <col min="34" max="34" width="13.5703125" bestFit="1" customWidth="1"/>
  </cols>
  <sheetData>
    <row r="1" spans="1:34">
      <c r="A1" s="1255"/>
      <c r="B1" s="1256"/>
      <c r="C1" s="1255"/>
      <c r="D1" s="1257"/>
      <c r="E1" s="1257"/>
      <c r="F1" s="1258"/>
      <c r="G1" s="1258"/>
      <c r="H1" s="1258"/>
      <c r="I1" s="1258"/>
      <c r="J1" s="1258"/>
      <c r="K1" s="1257"/>
      <c r="L1" s="1255"/>
      <c r="M1" s="2848"/>
      <c r="N1" s="1255"/>
      <c r="O1" s="1255"/>
      <c r="P1" s="1255"/>
      <c r="Q1" s="1255"/>
      <c r="R1" s="1255"/>
      <c r="S1" s="1255"/>
      <c r="T1" s="1255"/>
      <c r="U1" s="1255"/>
      <c r="V1" s="1259"/>
      <c r="W1" s="1257"/>
      <c r="X1" s="1257"/>
      <c r="Y1" s="1257"/>
      <c r="Z1" s="1257"/>
      <c r="AA1" s="1257"/>
      <c r="AB1" s="1257"/>
      <c r="AC1" s="1257"/>
      <c r="AD1" s="1257"/>
      <c r="AE1" s="1257"/>
      <c r="AF1" s="1257"/>
      <c r="AG1" s="1257"/>
    </row>
    <row r="2" spans="1:34">
      <c r="A2" s="9" t="str">
        <f>'Data Input'!A1&amp;" - "&amp;'Data Input'!B1</f>
        <v>PROGRAMME: - MARINA VILLAGE (PROGRAMME 1_TRIPLE BAY)</v>
      </c>
      <c r="B2" s="1256"/>
      <c r="C2" s="1255"/>
      <c r="D2" s="1257"/>
      <c r="E2" s="1257"/>
      <c r="F2" s="1258"/>
      <c r="G2" s="1258"/>
      <c r="H2" s="1258"/>
      <c r="I2" s="1258"/>
      <c r="J2" s="1258"/>
      <c r="K2" s="1257"/>
      <c r="L2" s="1255"/>
      <c r="M2" s="2848"/>
      <c r="N2" s="1255"/>
      <c r="O2" s="1255"/>
      <c r="P2" s="1255"/>
      <c r="Q2" s="1255"/>
      <c r="R2" s="1255"/>
      <c r="S2" s="1255"/>
      <c r="T2" s="1255"/>
      <c r="U2" s="1255"/>
      <c r="V2" s="1259"/>
      <c r="W2" s="1257"/>
      <c r="X2" s="1257"/>
      <c r="Y2" s="1257"/>
      <c r="Z2" s="1257"/>
      <c r="AA2" s="1257"/>
      <c r="AB2" s="1257"/>
      <c r="AC2" s="1257"/>
      <c r="AD2" s="1257"/>
      <c r="AE2" s="1257"/>
      <c r="AF2" s="1257"/>
      <c r="AG2" s="1257"/>
    </row>
    <row r="3" spans="1:34">
      <c r="A3" s="9" t="str">
        <f>'Data Input'!A2&amp;" - "&amp;'Data Input'!B2</f>
        <v>PROGRAMME CODE: - 1TB01003</v>
      </c>
      <c r="B3" s="1260"/>
      <c r="C3" s="1261"/>
      <c r="D3" s="1262"/>
      <c r="E3" s="1262"/>
      <c r="F3" s="1263"/>
      <c r="G3" s="1263"/>
      <c r="H3" s="1263"/>
      <c r="I3" s="1263"/>
      <c r="J3" s="1264"/>
      <c r="K3" s="1265"/>
      <c r="L3" s="1265"/>
      <c r="M3" s="1262"/>
      <c r="N3" s="1265"/>
      <c r="O3" s="1266"/>
      <c r="P3" s="1265"/>
      <c r="Q3" s="1265"/>
      <c r="R3" s="1265"/>
      <c r="S3" s="1265"/>
      <c r="T3" s="1265"/>
      <c r="U3" s="1265"/>
      <c r="V3" s="1267"/>
      <c r="W3" s="1265"/>
      <c r="X3" s="1265"/>
      <c r="Y3" s="1265"/>
      <c r="Z3" s="1265"/>
      <c r="AA3" s="1265"/>
      <c r="AB3" s="1265"/>
      <c r="AC3" s="1265"/>
      <c r="AD3" s="1265"/>
      <c r="AE3" s="1265"/>
      <c r="AF3" s="1265"/>
      <c r="AG3" s="1265"/>
    </row>
    <row r="4" spans="1:34">
      <c r="A4" s="9" t="str">
        <f>'Data Input'!A3&amp;" - "&amp;'Data Input'!B3</f>
        <v>ASSET NAME: - AMAALA YACHT CLUB</v>
      </c>
      <c r="B4" s="1260"/>
      <c r="C4" s="1268"/>
      <c r="D4" s="1265"/>
      <c r="E4" s="1265"/>
      <c r="F4" s="1267"/>
      <c r="G4" s="1267"/>
      <c r="H4" s="1267"/>
      <c r="I4" s="1267"/>
      <c r="J4" s="1269"/>
      <c r="K4" s="1265"/>
      <c r="L4" s="1265"/>
      <c r="M4" s="1262"/>
      <c r="N4" s="1265"/>
      <c r="O4" s="1266"/>
      <c r="P4" s="1265"/>
      <c r="Q4" s="1265"/>
      <c r="R4" s="1265"/>
      <c r="S4" s="1265"/>
      <c r="T4" s="1265"/>
      <c r="U4" s="1265"/>
      <c r="V4" s="1267"/>
      <c r="W4" s="1265"/>
      <c r="X4" s="1265"/>
      <c r="Y4" s="1265"/>
      <c r="Z4" s="1265"/>
      <c r="AA4" s="1265"/>
      <c r="AB4" s="1265"/>
      <c r="AC4" s="1265"/>
      <c r="AD4" s="1265"/>
      <c r="AE4" s="1265"/>
      <c r="AF4" s="1265"/>
      <c r="AG4" s="1265"/>
    </row>
    <row r="5" spans="1:34">
      <c r="A5" s="9" t="str">
        <f>'Data Input'!A4&amp;" - "&amp;'Data Input'!B4</f>
        <v>ASSET CODE: - 1TB01003.01</v>
      </c>
      <c r="B5" s="1270"/>
      <c r="C5" s="1268"/>
      <c r="D5" s="1265"/>
      <c r="E5" s="1265"/>
      <c r="F5" s="1267"/>
      <c r="G5" s="1267"/>
      <c r="H5" s="1267"/>
      <c r="I5" s="1267"/>
      <c r="J5" s="1269"/>
      <c r="K5" s="1265"/>
      <c r="L5" s="1265"/>
      <c r="M5" s="1262"/>
      <c r="N5" s="1265"/>
      <c r="O5" s="1266"/>
      <c r="P5" s="1265"/>
      <c r="Q5" s="1265"/>
      <c r="R5" s="1271"/>
      <c r="S5" s="1265"/>
      <c r="T5" s="1265"/>
      <c r="U5" s="1265"/>
      <c r="V5" s="1267"/>
      <c r="W5" s="1265"/>
      <c r="X5" s="1265"/>
      <c r="Y5" s="1265"/>
      <c r="Z5" s="1265"/>
      <c r="AA5" s="1265"/>
      <c r="AB5" s="1265"/>
      <c r="AC5" s="1265"/>
      <c r="AD5" s="1265"/>
      <c r="AE5" s="1265"/>
      <c r="AF5" s="1265"/>
      <c r="AG5" s="1265"/>
    </row>
    <row r="6" spans="1:34">
      <c r="A6" s="9" t="str">
        <f>'Data Input'!A7&amp;" - "&amp;'Data Input'!B7</f>
        <v>REPORT NO: - MONTHLY REPORT NO. 49</v>
      </c>
      <c r="B6" s="1272"/>
      <c r="C6" s="1268"/>
      <c r="D6" s="1265"/>
      <c r="E6" s="1265"/>
      <c r="F6" s="1267"/>
      <c r="G6" s="1267"/>
      <c r="H6" s="1267"/>
      <c r="I6" s="1267"/>
      <c r="J6" s="1269"/>
      <c r="K6" s="1265"/>
      <c r="L6" s="1265"/>
      <c r="M6" s="1262"/>
      <c r="N6" s="1265"/>
      <c r="O6" s="1266"/>
      <c r="P6" s="1265"/>
      <c r="Q6" s="1265"/>
      <c r="R6" s="1273"/>
      <c r="S6" s="1265"/>
      <c r="T6" s="1271"/>
      <c r="U6" s="1271"/>
      <c r="V6" s="1267"/>
      <c r="W6" s="1265"/>
      <c r="X6" s="1265"/>
      <c r="Y6" s="1265"/>
      <c r="Z6" s="1265"/>
      <c r="AA6" s="1265"/>
      <c r="AB6" s="1265"/>
      <c r="AC6" s="1265"/>
      <c r="AD6" s="1265"/>
      <c r="AE6" s="1265"/>
      <c r="AF6" s="1265"/>
      <c r="AG6" s="1265"/>
    </row>
    <row r="7" spans="1:34">
      <c r="A7" s="9" t="str">
        <f>'Data Input'!A8&amp;" - "&amp;'Data Input'!B8</f>
        <v>REPORTING PERIOD: - OCTOBER 2026</v>
      </c>
      <c r="B7" s="1262"/>
      <c r="C7" s="1274"/>
      <c r="D7" s="1262"/>
      <c r="E7" s="1262"/>
      <c r="F7" s="1263"/>
      <c r="G7" s="1263"/>
      <c r="H7" s="1263"/>
      <c r="I7" s="1263"/>
      <c r="J7" s="1264"/>
      <c r="K7" s="1265"/>
      <c r="L7" s="1265"/>
      <c r="M7" s="1262"/>
      <c r="N7" s="1265"/>
      <c r="O7" s="1265"/>
      <c r="P7" s="1265"/>
      <c r="Q7" s="1267"/>
      <c r="R7" s="1263"/>
      <c r="S7" s="1263"/>
      <c r="T7" s="1263"/>
      <c r="U7" s="1263"/>
      <c r="V7" s="1267"/>
      <c r="W7" s="1265"/>
      <c r="X7" s="1265"/>
      <c r="Y7" s="1265"/>
      <c r="Z7" s="1265"/>
      <c r="AA7" s="1265"/>
      <c r="AB7" s="1265"/>
      <c r="AC7" s="1265"/>
      <c r="AD7" s="1265"/>
      <c r="AE7" s="1265"/>
      <c r="AF7" s="1265"/>
      <c r="AG7" s="1265"/>
    </row>
    <row r="8" spans="1:34" ht="13.5" thickBot="1">
      <c r="A8" s="9"/>
      <c r="B8" s="1256"/>
      <c r="C8" s="1255"/>
      <c r="D8" s="1257"/>
      <c r="E8" s="1257"/>
      <c r="F8" s="1258"/>
      <c r="G8" s="1258"/>
      <c r="H8" s="1258"/>
      <c r="I8" s="1258"/>
      <c r="J8" s="1258"/>
      <c r="K8" s="1257"/>
      <c r="L8" s="1255"/>
      <c r="M8" s="2848"/>
      <c r="N8" s="1275"/>
      <c r="O8" s="1276"/>
      <c r="P8" s="1255"/>
      <c r="Q8" s="1255"/>
      <c r="R8" s="1255"/>
      <c r="S8" s="1255"/>
      <c r="T8" s="1255"/>
      <c r="U8" s="1255"/>
      <c r="V8" s="1259"/>
      <c r="W8" s="1257"/>
      <c r="X8" s="1257"/>
      <c r="Y8" s="1257"/>
      <c r="Z8" s="1257"/>
      <c r="AA8" s="1257"/>
      <c r="AB8" s="1257"/>
      <c r="AC8" s="1257"/>
      <c r="AD8" s="1257"/>
      <c r="AE8" s="1257"/>
      <c r="AF8" s="1257"/>
      <c r="AG8" s="1257"/>
    </row>
    <row r="9" spans="1:34" ht="30" customHeight="1" thickBot="1">
      <c r="A9" s="1354" t="s">
        <v>2697</v>
      </c>
      <c r="B9" s="1355"/>
      <c r="C9" s="1355"/>
      <c r="D9" s="1356"/>
      <c r="E9" s="1356"/>
      <c r="F9" s="1357"/>
      <c r="G9" s="1357"/>
      <c r="H9" s="1357"/>
      <c r="I9" s="1357"/>
      <c r="J9" s="1357"/>
      <c r="K9" s="1356"/>
      <c r="L9" s="1355"/>
      <c r="M9" s="2849"/>
      <c r="N9" s="1355"/>
      <c r="O9" s="1355"/>
      <c r="P9" s="1355"/>
      <c r="Q9" s="1355"/>
      <c r="R9" s="1355"/>
      <c r="S9" s="1355"/>
      <c r="T9" s="1355"/>
      <c r="U9" s="1355"/>
      <c r="V9" s="1358"/>
      <c r="W9" s="1356"/>
      <c r="X9" s="1356"/>
      <c r="Y9" s="1356"/>
      <c r="Z9" s="1356"/>
      <c r="AA9" s="1356"/>
      <c r="AB9" s="1356"/>
      <c r="AC9" s="1356"/>
      <c r="AD9" s="1356"/>
      <c r="AE9" s="1356"/>
      <c r="AF9" s="1356"/>
      <c r="AG9" s="1359"/>
    </row>
    <row r="10" spans="1:34">
      <c r="A10" s="6051" t="s">
        <v>1524</v>
      </c>
      <c r="B10" s="6052"/>
      <c r="C10" s="6052"/>
      <c r="D10" s="6052"/>
      <c r="E10" s="6052"/>
      <c r="F10" s="6052"/>
      <c r="G10" s="6053"/>
      <c r="H10" s="6053"/>
      <c r="I10" s="6053"/>
      <c r="J10" s="6054"/>
      <c r="K10" s="1256"/>
      <c r="L10" s="6055" t="s">
        <v>1525</v>
      </c>
      <c r="M10" s="6056"/>
      <c r="N10" s="6056"/>
      <c r="O10" s="6056"/>
      <c r="P10" s="6056"/>
      <c r="Q10" s="6056"/>
      <c r="R10" s="6057"/>
      <c r="S10" s="6057"/>
      <c r="T10" s="6057"/>
      <c r="U10" s="6057"/>
      <c r="V10" s="6058"/>
      <c r="W10" s="1256"/>
      <c r="X10" s="6043" t="s">
        <v>1526</v>
      </c>
      <c r="Y10" s="6044"/>
      <c r="Z10" s="6044"/>
      <c r="AA10" s="6044"/>
      <c r="AB10" s="6044"/>
      <c r="AC10" s="6044"/>
      <c r="AD10" s="6044"/>
      <c r="AE10" s="6044"/>
      <c r="AF10" s="6044"/>
      <c r="AG10" s="6059"/>
    </row>
    <row r="11" spans="1:34" ht="60" customHeight="1">
      <c r="A11" s="1283" t="s">
        <v>1462</v>
      </c>
      <c r="B11" s="1284" t="s">
        <v>1527</v>
      </c>
      <c r="C11" s="1284" t="s">
        <v>1528</v>
      </c>
      <c r="D11" s="1285" t="s">
        <v>1744</v>
      </c>
      <c r="E11" s="1285" t="s">
        <v>1530</v>
      </c>
      <c r="F11" s="1286" t="s">
        <v>1531</v>
      </c>
      <c r="G11" s="1287" t="s">
        <v>1532</v>
      </c>
      <c r="H11" s="1287" t="s">
        <v>1533</v>
      </c>
      <c r="I11" s="1287" t="s">
        <v>1534</v>
      </c>
      <c r="J11" s="1288" t="s">
        <v>1535</v>
      </c>
      <c r="K11" s="1289"/>
      <c r="L11" s="763" t="s">
        <v>1536</v>
      </c>
      <c r="M11" s="1290" t="s">
        <v>1601</v>
      </c>
      <c r="N11" s="1290" t="s">
        <v>1530</v>
      </c>
      <c r="O11" s="1290" t="s">
        <v>2151</v>
      </c>
      <c r="P11" s="764" t="s">
        <v>1539</v>
      </c>
      <c r="Q11" s="1291" t="s">
        <v>1540</v>
      </c>
      <c r="R11" s="1292" t="s">
        <v>1541</v>
      </c>
      <c r="S11" s="1292" t="s">
        <v>1533</v>
      </c>
      <c r="T11" s="1292" t="s">
        <v>1534</v>
      </c>
      <c r="U11" s="1292" t="s">
        <v>2595</v>
      </c>
      <c r="V11" s="1293" t="s">
        <v>1542</v>
      </c>
      <c r="W11" s="1256"/>
      <c r="X11" s="1294" t="s">
        <v>2086</v>
      </c>
      <c r="Y11" s="2839" t="s">
        <v>2087</v>
      </c>
      <c r="Z11" s="1295" t="s">
        <v>1544</v>
      </c>
      <c r="AA11" s="1296" t="s">
        <v>1545</v>
      </c>
      <c r="AB11" s="1296" t="s">
        <v>1761</v>
      </c>
      <c r="AC11" s="769" t="s">
        <v>1539</v>
      </c>
      <c r="AD11" s="769" t="s">
        <v>1547</v>
      </c>
      <c r="AE11" s="769" t="s">
        <v>1548</v>
      </c>
      <c r="AF11" s="1296" t="s">
        <v>1549</v>
      </c>
      <c r="AG11" s="1297" t="s">
        <v>1550</v>
      </c>
    </row>
    <row r="12" spans="1:34" ht="17.25" customHeight="1">
      <c r="A12" s="1298"/>
      <c r="B12" s="1299"/>
      <c r="C12" s="1300"/>
      <c r="D12" s="1301"/>
      <c r="E12" s="1302" t="s">
        <v>296</v>
      </c>
      <c r="F12" s="1303" t="s">
        <v>434</v>
      </c>
      <c r="G12" s="1303" t="s">
        <v>434</v>
      </c>
      <c r="H12" s="1304">
        <v>0.35</v>
      </c>
      <c r="I12" s="1304">
        <v>0.1</v>
      </c>
      <c r="J12" s="1305" t="s">
        <v>434</v>
      </c>
      <c r="K12" s="1256"/>
      <c r="L12" s="765"/>
      <c r="M12" s="766"/>
      <c r="N12" s="1306" t="s">
        <v>296</v>
      </c>
      <c r="O12" s="766" t="s">
        <v>2085</v>
      </c>
      <c r="P12" s="1307" t="s">
        <v>1552</v>
      </c>
      <c r="Q12" s="767" t="s">
        <v>434</v>
      </c>
      <c r="R12" s="767" t="s">
        <v>434</v>
      </c>
      <c r="S12" s="1308">
        <v>0.35</v>
      </c>
      <c r="T12" s="1308">
        <v>0.1</v>
      </c>
      <c r="U12" s="3226"/>
      <c r="V12" s="768" t="s">
        <v>434</v>
      </c>
      <c r="W12" s="1256"/>
      <c r="X12" s="770"/>
      <c r="Y12" s="2840"/>
      <c r="Z12" s="1309" t="s">
        <v>296</v>
      </c>
      <c r="AA12" s="1309" t="s">
        <v>296</v>
      </c>
      <c r="AB12" s="1309" t="s">
        <v>2090</v>
      </c>
      <c r="AC12" s="1310" t="s">
        <v>1552</v>
      </c>
      <c r="AD12" s="1311"/>
      <c r="AE12" s="1312">
        <v>0.15</v>
      </c>
      <c r="AF12" s="1309" t="s">
        <v>296</v>
      </c>
      <c r="AG12" s="1313" t="s">
        <v>296</v>
      </c>
    </row>
    <row r="13" spans="1:34" s="722" customFormat="1" ht="24.75" customHeight="1">
      <c r="A13" s="1314"/>
      <c r="B13" s="1314"/>
      <c r="C13" s="1314"/>
      <c r="D13" s="1314"/>
      <c r="E13" s="1314" t="s">
        <v>1481</v>
      </c>
      <c r="F13" s="1314"/>
      <c r="G13" s="1314"/>
      <c r="H13" s="1314"/>
      <c r="I13" s="1314"/>
      <c r="J13" s="1314"/>
      <c r="K13" s="1255"/>
      <c r="L13" s="1315"/>
      <c r="M13" s="1315"/>
      <c r="N13" s="1316" t="s">
        <v>1482</v>
      </c>
      <c r="O13" s="1314" t="s">
        <v>2084</v>
      </c>
      <c r="P13" s="1317" t="s">
        <v>1555</v>
      </c>
      <c r="Q13" s="1318" t="s">
        <v>1556</v>
      </c>
      <c r="R13" s="1318" t="s">
        <v>1557</v>
      </c>
      <c r="S13" s="1319" t="s">
        <v>1558</v>
      </c>
      <c r="T13" s="1319" t="s">
        <v>1559</v>
      </c>
      <c r="U13" s="1319" t="s">
        <v>1899</v>
      </c>
      <c r="V13" s="1318" t="s">
        <v>2596</v>
      </c>
      <c r="W13" s="1255"/>
      <c r="X13" s="1316"/>
      <c r="Y13" s="1316" t="s">
        <v>2088</v>
      </c>
      <c r="Z13" s="1316"/>
      <c r="AA13" s="1316" t="s">
        <v>2597</v>
      </c>
      <c r="AB13" s="1316" t="s">
        <v>2598</v>
      </c>
      <c r="AC13" s="1317" t="s">
        <v>2599</v>
      </c>
      <c r="AD13" s="1314" t="s">
        <v>2600</v>
      </c>
      <c r="AE13" s="1319" t="s">
        <v>2601</v>
      </c>
      <c r="AF13" s="1316" t="s">
        <v>2602</v>
      </c>
      <c r="AG13" s="1316"/>
    </row>
    <row r="14" spans="1:34" s="2837" customFormat="1" ht="39" customHeight="1">
      <c r="A14" s="723">
        <v>1</v>
      </c>
      <c r="B14" s="810" t="s">
        <v>1763</v>
      </c>
      <c r="C14" s="1445" t="s">
        <v>2081</v>
      </c>
      <c r="D14" s="2835" t="s">
        <v>2698</v>
      </c>
      <c r="E14" s="1440">
        <v>45231</v>
      </c>
      <c r="F14" s="2836">
        <v>1643323.15</v>
      </c>
      <c r="G14" s="1444">
        <f>F14</f>
        <v>1643323.15</v>
      </c>
      <c r="H14" s="1444">
        <f>(G14*$H$12)*-1*0</f>
        <v>0</v>
      </c>
      <c r="I14" s="1444">
        <f>(G14*$I$12)*-1*0</f>
        <v>0</v>
      </c>
      <c r="J14" s="1444">
        <f t="shared" ref="J14:J19" si="0">G14+H14+I14</f>
        <v>1643323.15</v>
      </c>
      <c r="K14" s="1256"/>
      <c r="L14" s="1510">
        <v>1</v>
      </c>
      <c r="M14" s="2850" t="s">
        <v>2699</v>
      </c>
      <c r="N14" s="1440">
        <v>45238</v>
      </c>
      <c r="O14" s="1323">
        <f t="shared" ref="O14:O19" si="1">E14+21</f>
        <v>45252</v>
      </c>
      <c r="P14" s="1324">
        <f t="shared" ref="P14:P19" si="2">O14-N14</f>
        <v>14</v>
      </c>
      <c r="Q14" s="2836">
        <v>1643323.15</v>
      </c>
      <c r="R14" s="1444">
        <f>Q14</f>
        <v>1643323.15</v>
      </c>
      <c r="S14" s="1444">
        <f>(R14*$S$12)*-1*0</f>
        <v>0</v>
      </c>
      <c r="T14" s="1444">
        <f>(R14*$T$12)*-1*0</f>
        <v>0</v>
      </c>
      <c r="U14" s="1444"/>
      <c r="V14" s="1444">
        <f t="shared" ref="V14:V19" si="3">R14+S14+T14</f>
        <v>1643323.15</v>
      </c>
      <c r="W14" s="1256"/>
      <c r="X14" s="2838" t="s">
        <v>2700</v>
      </c>
      <c r="Y14" s="1321">
        <v>45246</v>
      </c>
      <c r="Z14" s="1323"/>
      <c r="AA14" s="1321">
        <v>45246</v>
      </c>
      <c r="AB14" s="1321">
        <f t="shared" ref="AB14:AB19" si="4">+Y14+30</f>
        <v>45276</v>
      </c>
      <c r="AC14" s="1324">
        <f t="shared" ref="AC14:AC19" si="5">+AB14-AA14</f>
        <v>30</v>
      </c>
      <c r="AD14" s="1327">
        <f t="shared" ref="AD14:AD19" si="6">V14</f>
        <v>1643323.15</v>
      </c>
      <c r="AE14" s="1327">
        <f t="shared" ref="AE14:AE19" si="7">(R14+T14+U14)*$AE$12</f>
        <v>246498.47249999997</v>
      </c>
      <c r="AF14" s="1327">
        <f t="shared" ref="AF14:AF19" si="8">AD14+AE14</f>
        <v>1889821.6224999998</v>
      </c>
      <c r="AG14" s="1327">
        <f>+AF14</f>
        <v>1889821.6224999998</v>
      </c>
      <c r="AH14" s="2842">
        <f>+AD14*1.15</f>
        <v>1889821.6224999998</v>
      </c>
    </row>
    <row r="15" spans="1:34" ht="36">
      <c r="A15" s="723">
        <v>2</v>
      </c>
      <c r="B15" s="810" t="s">
        <v>1764</v>
      </c>
      <c r="C15" s="1445">
        <v>45383</v>
      </c>
      <c r="D15" s="2835" t="s">
        <v>2779</v>
      </c>
      <c r="E15" s="1440">
        <v>45427</v>
      </c>
      <c r="F15" s="1322">
        <f t="shared" ref="F15:F23" si="9">+F14+G15</f>
        <v>2326387.15</v>
      </c>
      <c r="G15" s="2847">
        <v>683064</v>
      </c>
      <c r="H15" s="1444">
        <f>ROUND(-G15*$H$12,2)</f>
        <v>-239072.4</v>
      </c>
      <c r="I15" s="1444">
        <f>ROUND(-G15*I12,2)</f>
        <v>-68306.399999999994</v>
      </c>
      <c r="J15" s="1444">
        <f t="shared" si="0"/>
        <v>375685.19999999995</v>
      </c>
      <c r="K15" s="1256"/>
      <c r="L15" s="1510">
        <v>2</v>
      </c>
      <c r="M15" s="2850" t="s">
        <v>2814</v>
      </c>
      <c r="N15" s="1440">
        <v>45446</v>
      </c>
      <c r="O15" s="1323">
        <f t="shared" si="1"/>
        <v>45448</v>
      </c>
      <c r="P15" s="1324">
        <f t="shared" si="2"/>
        <v>2</v>
      </c>
      <c r="Q15" s="1322">
        <f t="shared" ref="Q15:Q23" si="10">+Q14+R15</f>
        <v>2326387.15</v>
      </c>
      <c r="R15" s="1444">
        <v>683064</v>
      </c>
      <c r="S15" s="1444">
        <f>ROUND(-S12*R15,2)</f>
        <v>-239072.4</v>
      </c>
      <c r="T15" s="1444">
        <f>ROUND(-T12*R15,2)</f>
        <v>-68306.399999999994</v>
      </c>
      <c r="U15" s="1444"/>
      <c r="V15" s="1444">
        <f t="shared" si="3"/>
        <v>375685.19999999995</v>
      </c>
      <c r="W15" s="1256"/>
      <c r="X15" s="2838" t="s">
        <v>2974</v>
      </c>
      <c r="Y15" s="1321">
        <v>45490</v>
      </c>
      <c r="Z15" s="3367"/>
      <c r="AA15" s="1321">
        <v>45504</v>
      </c>
      <c r="AB15" s="1321">
        <f t="shared" si="4"/>
        <v>45520</v>
      </c>
      <c r="AC15" s="1324">
        <f t="shared" si="5"/>
        <v>16</v>
      </c>
      <c r="AD15" s="1327">
        <f t="shared" si="6"/>
        <v>375685.19999999995</v>
      </c>
      <c r="AE15" s="1327">
        <f t="shared" si="7"/>
        <v>92213.64</v>
      </c>
      <c r="AF15" s="1327">
        <f t="shared" si="8"/>
        <v>467898.83999999997</v>
      </c>
      <c r="AG15" s="1327">
        <f t="shared" ref="AG15:AG22" si="11">+AF15+AG14</f>
        <v>2357720.4624999999</v>
      </c>
    </row>
    <row r="16" spans="1:34" ht="36">
      <c r="A16" s="723">
        <v>3</v>
      </c>
      <c r="B16" s="810" t="s">
        <v>1765</v>
      </c>
      <c r="C16" s="1445">
        <v>45444</v>
      </c>
      <c r="D16" s="2835" t="s">
        <v>2975</v>
      </c>
      <c r="E16" s="1440">
        <v>45487</v>
      </c>
      <c r="F16" s="1322">
        <f t="shared" si="9"/>
        <v>6048086.3499999996</v>
      </c>
      <c r="G16" s="1444">
        <v>3721699.2</v>
      </c>
      <c r="H16" s="1444">
        <v>-1302594.72</v>
      </c>
      <c r="I16" s="1444">
        <v>-279680.7</v>
      </c>
      <c r="J16" s="1444">
        <f t="shared" si="0"/>
        <v>2139423.7800000003</v>
      </c>
      <c r="K16" s="1256"/>
      <c r="L16" s="1510">
        <v>3</v>
      </c>
      <c r="M16" s="2850" t="s">
        <v>2976</v>
      </c>
      <c r="N16" s="1440">
        <v>45497</v>
      </c>
      <c r="O16" s="1323">
        <f t="shared" si="1"/>
        <v>45508</v>
      </c>
      <c r="P16" s="1324">
        <f t="shared" si="2"/>
        <v>11</v>
      </c>
      <c r="Q16" s="1322">
        <f t="shared" si="10"/>
        <v>3256186.95</v>
      </c>
      <c r="R16" s="1444">
        <v>929799.8</v>
      </c>
      <c r="S16" s="1444">
        <v>-325429.93</v>
      </c>
      <c r="T16" s="1444">
        <v>-92979.98</v>
      </c>
      <c r="U16" s="1444"/>
      <c r="V16" s="1444">
        <f t="shared" si="3"/>
        <v>511389.89000000013</v>
      </c>
      <c r="W16" s="1256"/>
      <c r="X16" s="2838" t="s">
        <v>2977</v>
      </c>
      <c r="Y16" s="1321">
        <v>45512</v>
      </c>
      <c r="Z16" s="1323"/>
      <c r="AA16" s="1321">
        <v>45523</v>
      </c>
      <c r="AB16" s="1321">
        <f t="shared" si="4"/>
        <v>45542</v>
      </c>
      <c r="AC16" s="1324">
        <f t="shared" si="5"/>
        <v>19</v>
      </c>
      <c r="AD16" s="1327">
        <f t="shared" si="6"/>
        <v>511389.89000000013</v>
      </c>
      <c r="AE16" s="1327">
        <f t="shared" si="7"/>
        <v>125522.973</v>
      </c>
      <c r="AF16" s="1327">
        <f t="shared" si="8"/>
        <v>636912.86300000013</v>
      </c>
      <c r="AG16" s="1327">
        <f t="shared" si="11"/>
        <v>2994633.3255000003</v>
      </c>
    </row>
    <row r="17" spans="1:33" ht="36">
      <c r="A17" s="723">
        <v>4</v>
      </c>
      <c r="B17" s="810" t="s">
        <v>1766</v>
      </c>
      <c r="C17" s="1445">
        <v>45528</v>
      </c>
      <c r="D17" s="2835" t="s">
        <v>3366</v>
      </c>
      <c r="E17" s="1440">
        <v>45545</v>
      </c>
      <c r="F17" s="1322">
        <f t="shared" si="9"/>
        <v>6112478.3499999996</v>
      </c>
      <c r="G17" s="1444">
        <v>64391.999999999767</v>
      </c>
      <c r="H17" s="1444">
        <v>-22537.199999999837</v>
      </c>
      <c r="I17" s="1444">
        <v>-6439.1999999999825</v>
      </c>
      <c r="J17" s="1444">
        <f t="shared" si="0"/>
        <v>35415.599999999948</v>
      </c>
      <c r="K17" s="1256"/>
      <c r="L17" s="1510">
        <v>4</v>
      </c>
      <c r="M17" s="2850" t="s">
        <v>3367</v>
      </c>
      <c r="N17" s="1321">
        <v>45564</v>
      </c>
      <c r="O17" s="1323">
        <f t="shared" si="1"/>
        <v>45566</v>
      </c>
      <c r="P17" s="1324">
        <f t="shared" si="2"/>
        <v>2</v>
      </c>
      <c r="Q17" s="1322">
        <f t="shared" si="10"/>
        <v>3320578.95</v>
      </c>
      <c r="R17" s="1444">
        <v>64391.999999999767</v>
      </c>
      <c r="S17" s="1444">
        <v>-22537.199999999837</v>
      </c>
      <c r="T17" s="1444">
        <v>-6439.1999999999825</v>
      </c>
      <c r="U17" s="1444"/>
      <c r="V17" s="1444">
        <f t="shared" si="3"/>
        <v>35415.599999999948</v>
      </c>
      <c r="W17" s="1256"/>
      <c r="X17" s="2838" t="s">
        <v>3451</v>
      </c>
      <c r="Y17" s="2841">
        <v>45616</v>
      </c>
      <c r="Z17" s="3244"/>
      <c r="AA17" s="1321">
        <v>45624</v>
      </c>
      <c r="AB17" s="1321">
        <f t="shared" si="4"/>
        <v>45646</v>
      </c>
      <c r="AC17" s="1324">
        <f t="shared" si="5"/>
        <v>22</v>
      </c>
      <c r="AD17" s="1327">
        <f t="shared" si="6"/>
        <v>35415.599999999948</v>
      </c>
      <c r="AE17" s="1327">
        <f t="shared" si="7"/>
        <v>8692.9199999999673</v>
      </c>
      <c r="AF17" s="1327">
        <f t="shared" si="8"/>
        <v>44108.519999999917</v>
      </c>
      <c r="AG17" s="1327">
        <f t="shared" si="11"/>
        <v>3038741.8455000003</v>
      </c>
    </row>
    <row r="18" spans="1:33" ht="35.25" customHeight="1">
      <c r="A18" s="723">
        <v>5</v>
      </c>
      <c r="B18" s="810" t="s">
        <v>1767</v>
      </c>
      <c r="C18" s="1445">
        <v>45597</v>
      </c>
      <c r="D18" s="2835" t="s">
        <v>3455</v>
      </c>
      <c r="E18" s="1440">
        <v>45624</v>
      </c>
      <c r="F18" s="1322">
        <f t="shared" si="9"/>
        <v>6467355.8799999999</v>
      </c>
      <c r="G18" s="1444">
        <v>354877.53</v>
      </c>
      <c r="H18" s="1444">
        <v>-124207.14</v>
      </c>
      <c r="I18" s="1444">
        <v>-35487.75</v>
      </c>
      <c r="J18" s="1444">
        <f t="shared" si="0"/>
        <v>195182.64</v>
      </c>
      <c r="K18" s="1256"/>
      <c r="L18" s="1510">
        <v>5</v>
      </c>
      <c r="M18" s="2850" t="s">
        <v>3456</v>
      </c>
      <c r="N18" s="1321">
        <v>45641</v>
      </c>
      <c r="O18" s="1323">
        <f t="shared" si="1"/>
        <v>45645</v>
      </c>
      <c r="P18" s="1324">
        <f t="shared" si="2"/>
        <v>4</v>
      </c>
      <c r="Q18" s="1322">
        <f t="shared" si="10"/>
        <v>3685820.5500000003</v>
      </c>
      <c r="R18" s="1444">
        <v>365241.59999999998</v>
      </c>
      <c r="S18" s="1444">
        <v>-127834.56</v>
      </c>
      <c r="T18" s="1444">
        <v>-36524.160000000003</v>
      </c>
      <c r="U18" s="1444"/>
      <c r="V18" s="1444">
        <f t="shared" si="3"/>
        <v>200882.87999999998</v>
      </c>
      <c r="W18" s="1256"/>
      <c r="X18" s="2838" t="s">
        <v>3708</v>
      </c>
      <c r="Y18" s="1323">
        <v>45669</v>
      </c>
      <c r="Z18" s="1323"/>
      <c r="AA18" s="1321">
        <v>45683</v>
      </c>
      <c r="AB18" s="1321">
        <f t="shared" si="4"/>
        <v>45699</v>
      </c>
      <c r="AC18" s="1324">
        <f t="shared" si="5"/>
        <v>16</v>
      </c>
      <c r="AD18" s="1327">
        <f t="shared" si="6"/>
        <v>200882.87999999998</v>
      </c>
      <c r="AE18" s="1327">
        <f t="shared" si="7"/>
        <v>49307.615999999987</v>
      </c>
      <c r="AF18" s="1327">
        <f t="shared" si="8"/>
        <v>250190.49599999996</v>
      </c>
      <c r="AG18" s="1327">
        <f t="shared" si="11"/>
        <v>3288932.3415000001</v>
      </c>
    </row>
    <row r="19" spans="1:33" ht="36">
      <c r="A19" s="723">
        <v>6</v>
      </c>
      <c r="B19" s="810" t="s">
        <v>1768</v>
      </c>
      <c r="C19" s="1445">
        <v>45778</v>
      </c>
      <c r="D19" s="2835" t="s">
        <v>4492</v>
      </c>
      <c r="E19" s="1440">
        <v>45792</v>
      </c>
      <c r="F19" s="1322">
        <f t="shared" si="9"/>
        <v>7048173.879999999</v>
      </c>
      <c r="G19" s="1444">
        <v>580817.99999999907</v>
      </c>
      <c r="H19" s="1444">
        <v>-203286.2999999997</v>
      </c>
      <c r="I19" s="1444">
        <v>-58081.79999999993</v>
      </c>
      <c r="J19" s="1444">
        <f t="shared" si="0"/>
        <v>319449.89999999944</v>
      </c>
      <c r="K19" s="1256"/>
      <c r="L19" s="1510">
        <v>6</v>
      </c>
      <c r="M19" s="2850" t="s">
        <v>4493</v>
      </c>
      <c r="N19" s="1321">
        <v>45818</v>
      </c>
      <c r="O19" s="1323">
        <f t="shared" si="1"/>
        <v>45813</v>
      </c>
      <c r="P19" s="1324">
        <f t="shared" si="2"/>
        <v>-5</v>
      </c>
      <c r="Q19" s="1322">
        <f t="shared" si="10"/>
        <v>4040925.1500000004</v>
      </c>
      <c r="R19" s="1444">
        <v>355104.6</v>
      </c>
      <c r="S19" s="1444">
        <v>-124286.61</v>
      </c>
      <c r="T19" s="1444">
        <v>-35510.46</v>
      </c>
      <c r="U19" s="1444"/>
      <c r="V19" s="1444">
        <f t="shared" si="3"/>
        <v>195307.53</v>
      </c>
      <c r="W19" s="1256"/>
      <c r="X19" s="2838" t="s">
        <v>4494</v>
      </c>
      <c r="Y19" s="1323">
        <v>45826</v>
      </c>
      <c r="Z19" s="1323"/>
      <c r="AA19" s="1321">
        <v>45858</v>
      </c>
      <c r="AB19" s="1321">
        <f t="shared" si="4"/>
        <v>45856</v>
      </c>
      <c r="AC19" s="1324">
        <f t="shared" si="5"/>
        <v>-2</v>
      </c>
      <c r="AD19" s="1327">
        <f t="shared" si="6"/>
        <v>195307.53</v>
      </c>
      <c r="AE19" s="1327">
        <f t="shared" si="7"/>
        <v>47939.120999999992</v>
      </c>
      <c r="AF19" s="1327">
        <f t="shared" si="8"/>
        <v>243246.65099999998</v>
      </c>
      <c r="AG19" s="1327">
        <f t="shared" si="11"/>
        <v>3532178.9925000002</v>
      </c>
    </row>
    <row r="20" spans="1:33" ht="36">
      <c r="A20" s="4396">
        <v>7</v>
      </c>
      <c r="B20" s="810" t="s">
        <v>1769</v>
      </c>
      <c r="C20" s="1929">
        <v>45925</v>
      </c>
      <c r="D20" s="2835" t="s">
        <v>4820</v>
      </c>
      <c r="E20" s="1440">
        <v>45928</v>
      </c>
      <c r="F20" s="1322">
        <f t="shared" si="9"/>
        <v>7560532.879999999</v>
      </c>
      <c r="G20" s="1444">
        <v>512359</v>
      </c>
      <c r="H20" s="1444">
        <v>-179325.65</v>
      </c>
      <c r="I20" s="1444">
        <v>-51235.9</v>
      </c>
      <c r="J20" s="1444">
        <f>G20+H20+I20</f>
        <v>281797.44999999995</v>
      </c>
      <c r="K20" s="1256"/>
      <c r="L20" s="3316">
        <v>7</v>
      </c>
      <c r="M20" s="2850" t="s">
        <v>4821</v>
      </c>
      <c r="N20" s="1321">
        <v>45930</v>
      </c>
      <c r="O20" s="4397">
        <f>E20+21</f>
        <v>45949</v>
      </c>
      <c r="P20" s="4398">
        <f>O20-N20</f>
        <v>19</v>
      </c>
      <c r="Q20" s="1322">
        <f t="shared" si="10"/>
        <v>4553284.1500000004</v>
      </c>
      <c r="R20" s="1444">
        <v>512359</v>
      </c>
      <c r="S20" s="1444">
        <v>-179325.65</v>
      </c>
      <c r="T20" s="1444">
        <v>-51235.9</v>
      </c>
      <c r="U20" s="1444"/>
      <c r="V20" s="1444">
        <f>R20+S20+T20</f>
        <v>281797.44999999995</v>
      </c>
      <c r="W20" s="1256"/>
      <c r="X20" s="4399" t="s">
        <v>4822</v>
      </c>
      <c r="Y20" s="4400">
        <v>45939</v>
      </c>
      <c r="Z20" s="4401"/>
      <c r="AA20" s="4402"/>
      <c r="AB20" s="4402">
        <f>+Y20+30</f>
        <v>45969</v>
      </c>
      <c r="AC20" s="4403"/>
      <c r="AD20" s="4404">
        <f t="shared" ref="AD20" si="12">V20</f>
        <v>281797.44999999995</v>
      </c>
      <c r="AE20" s="4404">
        <f t="shared" ref="AE20" si="13">(R20+T20+U20)*$AE$12</f>
        <v>69168.464999999997</v>
      </c>
      <c r="AF20" s="4404">
        <f t="shared" ref="AF20" si="14">AD20+AE20</f>
        <v>350965.91499999992</v>
      </c>
      <c r="AG20" s="4404">
        <f t="shared" si="11"/>
        <v>3883144.9075000002</v>
      </c>
    </row>
    <row r="21" spans="1:33" ht="36">
      <c r="A21" s="4396">
        <v>8</v>
      </c>
      <c r="B21" s="810" t="s">
        <v>1770</v>
      </c>
      <c r="C21" s="1445">
        <v>45931</v>
      </c>
      <c r="D21" s="2835" t="s">
        <v>5160</v>
      </c>
      <c r="E21" s="1440">
        <v>45966</v>
      </c>
      <c r="F21" s="1322">
        <f t="shared" si="9"/>
        <v>8374306.8299999991</v>
      </c>
      <c r="G21" s="1444">
        <v>813773.95</v>
      </c>
      <c r="H21" s="1444">
        <v>-284820.88</v>
      </c>
      <c r="I21" s="1444">
        <v>-81377.399999999994</v>
      </c>
      <c r="J21" s="1444">
        <f>G21+H21+I21</f>
        <v>447575.66999999993</v>
      </c>
      <c r="K21" s="1256"/>
      <c r="L21" s="3316">
        <v>8</v>
      </c>
      <c r="M21" s="2850" t="s">
        <v>5161</v>
      </c>
      <c r="N21" s="1321">
        <v>45979</v>
      </c>
      <c r="O21" s="1323">
        <f>E21+21</f>
        <v>45987</v>
      </c>
      <c r="P21" s="1324">
        <f>O21-N21</f>
        <v>8</v>
      </c>
      <c r="Q21" s="1322">
        <f t="shared" si="10"/>
        <v>5367058.1000000006</v>
      </c>
      <c r="R21" s="1444">
        <v>813773.95</v>
      </c>
      <c r="S21" s="1444">
        <v>-284820.88</v>
      </c>
      <c r="T21" s="1444">
        <v>-81377.399999999994</v>
      </c>
      <c r="U21" s="1444"/>
      <c r="V21" s="1444">
        <f>R21+S21+T21</f>
        <v>447575.66999999993</v>
      </c>
      <c r="W21" s="1256"/>
      <c r="X21" s="4399" t="s">
        <v>5229</v>
      </c>
      <c r="Y21" s="4400">
        <v>45991</v>
      </c>
      <c r="Z21" s="4401"/>
      <c r="AA21" s="4402"/>
      <c r="AB21" s="4402">
        <f>+Y21+30</f>
        <v>46021</v>
      </c>
      <c r="AC21" s="4406"/>
      <c r="AD21" s="4404">
        <f t="shared" ref="AD21" si="15">V21</f>
        <v>447575.66999999993</v>
      </c>
      <c r="AE21" s="4404">
        <f t="shared" ref="AE21" si="16">(R21+T21+U21)*$AE$12</f>
        <v>109859.48249999998</v>
      </c>
      <c r="AF21" s="4404">
        <f t="shared" ref="AF21" si="17">AD21+AE21</f>
        <v>557435.15249999985</v>
      </c>
      <c r="AG21" s="4404">
        <f t="shared" si="11"/>
        <v>4440580.0600000005</v>
      </c>
    </row>
    <row r="22" spans="1:33" ht="36">
      <c r="A22" s="4396">
        <v>9</v>
      </c>
      <c r="B22" s="810" t="s">
        <v>1771</v>
      </c>
      <c r="C22" s="1445">
        <v>45962</v>
      </c>
      <c r="D22" s="2835" t="s">
        <v>5506</v>
      </c>
      <c r="E22" s="1440">
        <v>45987</v>
      </c>
      <c r="F22" s="1322">
        <f t="shared" si="9"/>
        <v>8899552.4299999997</v>
      </c>
      <c r="G22" s="1444">
        <v>525245.6</v>
      </c>
      <c r="H22" s="1444">
        <v>-183835.95999999996</v>
      </c>
      <c r="I22" s="1444">
        <v>-52524.559999999939</v>
      </c>
      <c r="J22" s="1444">
        <f>G22+H22+I22</f>
        <v>288885.08000000007</v>
      </c>
      <c r="K22" s="1256"/>
      <c r="L22" s="3316">
        <v>9</v>
      </c>
      <c r="M22" s="2850" t="s">
        <v>5507</v>
      </c>
      <c r="N22" s="1321">
        <v>46006</v>
      </c>
      <c r="O22" s="1323">
        <f>E22+21</f>
        <v>46008</v>
      </c>
      <c r="P22" s="1324">
        <f>O22-N22</f>
        <v>2</v>
      </c>
      <c r="Q22" s="1322">
        <f t="shared" si="10"/>
        <v>5817551.0000000009</v>
      </c>
      <c r="R22" s="1444">
        <v>450492.9</v>
      </c>
      <c r="S22" s="1444">
        <v>-340015.92</v>
      </c>
      <c r="T22" s="1444">
        <v>-45049.29</v>
      </c>
      <c r="U22" s="1444"/>
      <c r="V22" s="1444">
        <f>R22+S22+T22</f>
        <v>65427.690000000039</v>
      </c>
      <c r="W22" s="1256"/>
      <c r="X22" s="4346" t="s">
        <v>5510</v>
      </c>
      <c r="Y22" s="4400">
        <v>46015</v>
      </c>
      <c r="Z22" s="4401"/>
      <c r="AA22" s="4402"/>
      <c r="AB22" s="4402">
        <f>+Y22+30</f>
        <v>46045</v>
      </c>
      <c r="AC22" s="4406"/>
      <c r="AD22" s="4404">
        <f t="shared" ref="AD22" si="18">V22</f>
        <v>65427.690000000039</v>
      </c>
      <c r="AE22" s="4404">
        <f t="shared" ref="AE22" si="19">(R22+T22+U22)*$AE$12</f>
        <v>60816.541500000007</v>
      </c>
      <c r="AF22" s="4404">
        <f t="shared" ref="AF22" si="20">AD22+AE22</f>
        <v>126244.23150000005</v>
      </c>
      <c r="AG22" s="4404">
        <f t="shared" si="11"/>
        <v>4566824.2915000003</v>
      </c>
    </row>
    <row r="23" spans="1:33" ht="36">
      <c r="A23" s="4396">
        <v>10</v>
      </c>
      <c r="B23" s="810" t="s">
        <v>1626</v>
      </c>
      <c r="C23" s="1445">
        <v>45992</v>
      </c>
      <c r="D23" s="2835" t="s">
        <v>5508</v>
      </c>
      <c r="E23" s="1440">
        <v>46020</v>
      </c>
      <c r="F23" s="1322">
        <f t="shared" si="9"/>
        <v>9371719.7799999993</v>
      </c>
      <c r="G23" s="1444">
        <v>472167.34999999974</v>
      </c>
      <c r="H23" s="1444"/>
      <c r="I23" s="1444">
        <v>-47216.734999999986</v>
      </c>
      <c r="J23" s="1444">
        <f>G23+H23+I23</f>
        <v>424950.61499999976</v>
      </c>
      <c r="K23" s="1256"/>
      <c r="L23" s="3316">
        <v>10</v>
      </c>
      <c r="M23" s="2850" t="s">
        <v>5509</v>
      </c>
      <c r="N23" s="1321">
        <v>46046</v>
      </c>
      <c r="O23" s="1323">
        <f>E23+21</f>
        <v>46041</v>
      </c>
      <c r="P23" s="1324">
        <f>O23-N23</f>
        <v>-5</v>
      </c>
      <c r="Q23" s="1322">
        <f t="shared" si="10"/>
        <v>5907264.6000000006</v>
      </c>
      <c r="R23" s="1444">
        <v>89713.600000000006</v>
      </c>
      <c r="S23" s="1444"/>
      <c r="T23" s="1444">
        <v>-8971.36</v>
      </c>
      <c r="U23" s="1444"/>
      <c r="V23" s="1444">
        <f>R23+S23+T23</f>
        <v>80742.240000000005</v>
      </c>
      <c r="W23" s="1256"/>
      <c r="X23" s="3249"/>
      <c r="Y23" s="4658"/>
      <c r="Z23" s="3244"/>
      <c r="AA23" s="3243"/>
      <c r="AB23" s="3243"/>
      <c r="AC23" s="3245"/>
      <c r="AD23" s="3250"/>
      <c r="AE23" s="3250"/>
      <c r="AF23" s="3250"/>
      <c r="AG23" s="3250"/>
    </row>
    <row r="24" spans="1:33">
      <c r="A24" s="723"/>
      <c r="B24" s="810"/>
      <c r="C24" s="1445"/>
      <c r="D24" s="2835"/>
      <c r="E24" s="1440"/>
      <c r="F24" s="1322"/>
      <c r="G24" s="1444"/>
      <c r="H24" s="1444"/>
      <c r="I24" s="1444"/>
      <c r="J24" s="1444"/>
      <c r="K24" s="1256"/>
      <c r="L24" s="1510"/>
      <c r="M24" s="2850"/>
      <c r="N24" s="1321"/>
      <c r="O24" s="1323"/>
      <c r="P24" s="1324"/>
      <c r="Q24" s="1322"/>
      <c r="R24" s="1444"/>
      <c r="S24" s="1444"/>
      <c r="T24" s="1444"/>
      <c r="U24" s="1444"/>
      <c r="V24" s="1444"/>
      <c r="W24" s="1256"/>
      <c r="X24" s="723"/>
      <c r="Y24" s="724"/>
      <c r="Z24" s="1323"/>
      <c r="AA24" s="1321"/>
      <c r="AB24" s="1321"/>
      <c r="AC24" s="1324"/>
      <c r="AD24" s="1327"/>
      <c r="AE24" s="1327"/>
      <c r="AF24" s="1327"/>
      <c r="AG24" s="1327"/>
    </row>
    <row r="25" spans="1:33">
      <c r="A25" s="723"/>
      <c r="B25" s="810"/>
      <c r="C25" s="1445"/>
      <c r="D25" s="2835"/>
      <c r="E25" s="1440"/>
      <c r="F25" s="1322"/>
      <c r="G25" s="1322"/>
      <c r="H25" s="1322"/>
      <c r="I25" s="1322"/>
      <c r="J25" s="1322"/>
      <c r="K25" s="1256"/>
      <c r="L25" s="1443"/>
      <c r="M25" s="2850"/>
      <c r="N25" s="1321"/>
      <c r="O25" s="1323"/>
      <c r="P25" s="1324"/>
      <c r="Q25" s="1322"/>
      <c r="R25" s="1444"/>
      <c r="S25" s="1444"/>
      <c r="T25" s="1444"/>
      <c r="U25" s="1444"/>
      <c r="V25" s="1328"/>
      <c r="W25" s="1256"/>
      <c r="X25" s="723"/>
      <c r="Y25" s="724"/>
      <c r="Z25" s="1323"/>
      <c r="AA25" s="1321"/>
      <c r="AB25" s="1321"/>
      <c r="AC25" s="1324"/>
      <c r="AD25" s="1327"/>
      <c r="AE25" s="1327"/>
      <c r="AF25" s="1327"/>
      <c r="AG25" s="1327"/>
    </row>
    <row r="26" spans="1:33">
      <c r="A26" s="723"/>
      <c r="B26" s="810"/>
      <c r="C26" s="1445"/>
      <c r="D26" s="2835"/>
      <c r="E26" s="1440"/>
      <c r="F26" s="1322"/>
      <c r="G26" s="1322"/>
      <c r="H26" s="1322"/>
      <c r="I26" s="1322"/>
      <c r="J26" s="1322"/>
      <c r="K26" s="1256"/>
      <c r="L26" s="1443"/>
      <c r="M26" s="2850"/>
      <c r="N26" s="1321"/>
      <c r="O26" s="1323"/>
      <c r="P26" s="1324"/>
      <c r="Q26" s="1322"/>
      <c r="R26" s="1444"/>
      <c r="S26" s="1444"/>
      <c r="T26" s="1444"/>
      <c r="U26" s="1444"/>
      <c r="V26" s="1328"/>
      <c r="W26" s="1256"/>
      <c r="X26" s="723"/>
      <c r="Y26" s="724"/>
      <c r="Z26" s="1323"/>
      <c r="AA26" s="1321"/>
      <c r="AB26" s="1321"/>
      <c r="AC26" s="1324"/>
      <c r="AD26" s="1327"/>
      <c r="AE26" s="1327"/>
      <c r="AF26" s="1327"/>
      <c r="AG26" s="1327"/>
    </row>
    <row r="27" spans="1:33">
      <c r="A27" s="723"/>
      <c r="B27" s="810"/>
      <c r="C27" s="1445"/>
      <c r="D27" s="2835"/>
      <c r="E27" s="1440"/>
      <c r="F27" s="1322"/>
      <c r="G27" s="1322"/>
      <c r="H27" s="1322"/>
      <c r="I27" s="1322"/>
      <c r="J27" s="1322"/>
      <c r="K27" s="1256"/>
      <c r="L27" s="1443"/>
      <c r="M27" s="2850"/>
      <c r="N27" s="1321"/>
      <c r="O27" s="1323"/>
      <c r="P27" s="1324"/>
      <c r="Q27" s="1322"/>
      <c r="R27" s="1444"/>
      <c r="S27" s="1444"/>
      <c r="T27" s="1444"/>
      <c r="U27" s="1444"/>
      <c r="V27" s="1328"/>
      <c r="W27" s="1256"/>
      <c r="X27" s="723"/>
      <c r="Y27" s="724"/>
      <c r="Z27" s="1323"/>
      <c r="AA27" s="1321"/>
      <c r="AB27" s="1321"/>
      <c r="AC27" s="1324"/>
      <c r="AD27" s="1327"/>
      <c r="AE27" s="1327"/>
      <c r="AF27" s="1327"/>
      <c r="AG27" s="1327"/>
    </row>
    <row r="28" spans="1:33">
      <c r="A28" s="723"/>
      <c r="B28" s="810"/>
      <c r="C28" s="1445"/>
      <c r="D28" s="2835"/>
      <c r="E28" s="1440"/>
      <c r="F28" s="1322"/>
      <c r="G28" s="1322"/>
      <c r="H28" s="1322"/>
      <c r="I28" s="1322"/>
      <c r="J28" s="1322"/>
      <c r="K28" s="1256"/>
      <c r="L28" s="1443"/>
      <c r="M28" s="2850"/>
      <c r="N28" s="1321"/>
      <c r="O28" s="1323"/>
      <c r="P28" s="1324"/>
      <c r="Q28" s="1322"/>
      <c r="R28" s="1444"/>
      <c r="S28" s="1444"/>
      <c r="T28" s="1444"/>
      <c r="U28" s="1444"/>
      <c r="V28" s="1328"/>
      <c r="W28" s="1256"/>
      <c r="X28" s="723"/>
      <c r="Y28" s="724"/>
      <c r="Z28" s="1323"/>
      <c r="AA28" s="1321"/>
      <c r="AB28" s="1321"/>
      <c r="AC28" s="1324"/>
      <c r="AD28" s="1327"/>
      <c r="AE28" s="1327"/>
      <c r="AF28" s="1327"/>
      <c r="AG28" s="1327"/>
    </row>
    <row r="29" spans="1:33">
      <c r="A29" s="723"/>
      <c r="B29" s="810"/>
      <c r="C29" s="1445"/>
      <c r="D29" s="2835"/>
      <c r="E29" s="1440"/>
      <c r="F29" s="1322"/>
      <c r="G29" s="1322"/>
      <c r="H29" s="1322"/>
      <c r="I29" s="1322"/>
      <c r="J29" s="1322"/>
      <c r="K29" s="1256"/>
      <c r="L29" s="1443"/>
      <c r="M29" s="2850"/>
      <c r="N29" s="1321"/>
      <c r="O29" s="1323"/>
      <c r="P29" s="1324"/>
      <c r="Q29" s="1322"/>
      <c r="R29" s="1444"/>
      <c r="S29" s="1444"/>
      <c r="T29" s="1444"/>
      <c r="U29" s="1444"/>
      <c r="V29" s="1328"/>
      <c r="W29" s="1256"/>
      <c r="X29" s="723"/>
      <c r="Y29" s="724"/>
      <c r="Z29" s="1323"/>
      <c r="AA29" s="1321"/>
      <c r="AB29" s="1321"/>
      <c r="AC29" s="1324"/>
      <c r="AD29" s="1327"/>
      <c r="AE29" s="1327"/>
      <c r="AF29" s="1327"/>
      <c r="AG29" s="1327"/>
    </row>
    <row r="30" spans="1:33">
      <c r="A30" s="723"/>
      <c r="B30" s="810"/>
      <c r="C30" s="1445"/>
      <c r="D30" s="2835"/>
      <c r="E30" s="1440"/>
      <c r="F30" s="1322"/>
      <c r="G30" s="1322"/>
      <c r="H30" s="1322"/>
      <c r="I30" s="1322"/>
      <c r="J30" s="1322"/>
      <c r="K30" s="1256"/>
      <c r="L30" s="1443"/>
      <c r="M30" s="2850"/>
      <c r="N30" s="1321"/>
      <c r="O30" s="1323"/>
      <c r="P30" s="1324"/>
      <c r="Q30" s="1322"/>
      <c r="R30" s="1444"/>
      <c r="S30" s="1444"/>
      <c r="T30" s="1444"/>
      <c r="U30" s="1444"/>
      <c r="V30" s="1328"/>
      <c r="W30" s="1256"/>
      <c r="X30" s="723"/>
      <c r="Y30" s="724"/>
      <c r="Z30" s="1323"/>
      <c r="AA30" s="1321"/>
      <c r="AB30" s="1321"/>
      <c r="AC30" s="1324"/>
      <c r="AD30" s="1327"/>
      <c r="AE30" s="1327"/>
      <c r="AF30" s="1327"/>
      <c r="AG30" s="1327"/>
    </row>
    <row r="31" spans="1:33">
      <c r="A31" s="723"/>
      <c r="B31" s="810"/>
      <c r="C31" s="1445"/>
      <c r="D31" s="2835"/>
      <c r="E31" s="1440"/>
      <c r="F31" s="1322"/>
      <c r="G31" s="1322"/>
      <c r="H31" s="1322"/>
      <c r="I31" s="1322"/>
      <c r="J31" s="1322"/>
      <c r="K31" s="1256"/>
      <c r="L31" s="1443"/>
      <c r="M31" s="2850"/>
      <c r="N31" s="1321"/>
      <c r="O31" s="1323"/>
      <c r="P31" s="1324"/>
      <c r="Q31" s="1322"/>
      <c r="R31" s="1444"/>
      <c r="S31" s="1444"/>
      <c r="T31" s="1444"/>
      <c r="U31" s="1444"/>
      <c r="V31" s="1328"/>
      <c r="W31" s="1256"/>
      <c r="X31" s="723"/>
      <c r="Y31" s="724"/>
      <c r="Z31" s="1323"/>
      <c r="AA31" s="1321"/>
      <c r="AB31" s="1321"/>
      <c r="AC31" s="1324"/>
      <c r="AD31" s="1327"/>
      <c r="AE31" s="1327"/>
      <c r="AF31" s="1327"/>
      <c r="AG31" s="1327"/>
    </row>
    <row r="32" spans="1:33">
      <c r="A32" s="723"/>
      <c r="B32" s="810"/>
      <c r="C32" s="1445"/>
      <c r="D32" s="2835"/>
      <c r="E32" s="1440"/>
      <c r="F32" s="1322"/>
      <c r="G32" s="1322"/>
      <c r="H32" s="1322"/>
      <c r="I32" s="1322"/>
      <c r="J32" s="1322"/>
      <c r="K32" s="1256"/>
      <c r="L32" s="1443"/>
      <c r="M32" s="2850"/>
      <c r="N32" s="1321"/>
      <c r="O32" s="1323"/>
      <c r="P32" s="1324"/>
      <c r="Q32" s="1322"/>
      <c r="R32" s="1444"/>
      <c r="S32" s="1444"/>
      <c r="T32" s="1444"/>
      <c r="U32" s="1444"/>
      <c r="V32" s="1328"/>
      <c r="W32" s="1256"/>
      <c r="X32" s="723"/>
      <c r="Y32" s="724"/>
      <c r="Z32" s="1323"/>
      <c r="AA32" s="1321"/>
      <c r="AB32" s="1321"/>
      <c r="AC32" s="1324"/>
      <c r="AD32" s="1327"/>
      <c r="AE32" s="1327"/>
      <c r="AF32" s="1327"/>
      <c r="AG32" s="1327"/>
    </row>
    <row r="33" spans="1:33">
      <c r="A33" s="723"/>
      <c r="B33" s="810"/>
      <c r="C33" s="1445"/>
      <c r="D33" s="1320"/>
      <c r="E33" s="1440"/>
      <c r="F33" s="1322"/>
      <c r="G33" s="1322"/>
      <c r="H33" s="1322"/>
      <c r="I33" s="1322"/>
      <c r="J33" s="1322"/>
      <c r="K33" s="1256"/>
      <c r="L33" s="1443"/>
      <c r="M33" s="2850"/>
      <c r="N33" s="1321"/>
      <c r="O33" s="1323"/>
      <c r="P33" s="1324"/>
      <c r="Q33" s="1322"/>
      <c r="R33" s="1444"/>
      <c r="S33" s="1444"/>
      <c r="T33" s="1444"/>
      <c r="U33" s="1444"/>
      <c r="V33" s="1328"/>
      <c r="W33" s="1256"/>
      <c r="X33" s="723"/>
      <c r="Y33" s="724"/>
      <c r="Z33" s="1323"/>
      <c r="AA33" s="1321"/>
      <c r="AB33" s="1321"/>
      <c r="AC33" s="1324"/>
      <c r="AD33" s="1327"/>
      <c r="AE33" s="1327"/>
      <c r="AF33" s="1327"/>
      <c r="AG33" s="1327"/>
    </row>
    <row r="34" spans="1:33">
      <c r="A34" s="723"/>
      <c r="B34" s="810"/>
      <c r="C34" s="1445"/>
      <c r="D34" s="1320"/>
      <c r="E34" s="1440"/>
      <c r="F34" s="1322"/>
      <c r="G34" s="1322"/>
      <c r="H34" s="1322"/>
      <c r="I34" s="1322"/>
      <c r="J34" s="1322"/>
      <c r="K34" s="1256"/>
      <c r="L34" s="1443"/>
      <c r="M34" s="2850"/>
      <c r="N34" s="1321"/>
      <c r="O34" s="1323"/>
      <c r="P34" s="1324"/>
      <c r="Q34" s="1322"/>
      <c r="R34" s="1444"/>
      <c r="S34" s="1444"/>
      <c r="T34" s="1444"/>
      <c r="U34" s="1444"/>
      <c r="V34" s="1328"/>
      <c r="W34" s="1256"/>
      <c r="X34" s="723"/>
      <c r="Y34" s="724"/>
      <c r="Z34" s="1323"/>
      <c r="AA34" s="1321"/>
      <c r="AB34" s="1321"/>
      <c r="AC34" s="1324"/>
      <c r="AD34" s="1327"/>
      <c r="AE34" s="1327"/>
      <c r="AF34" s="1327"/>
      <c r="AG34" s="1327"/>
    </row>
    <row r="35" spans="1:33">
      <c r="A35" s="723"/>
      <c r="B35" s="810"/>
      <c r="C35" s="1445"/>
      <c r="D35" s="1320"/>
      <c r="E35" s="1441"/>
      <c r="F35" s="1322"/>
      <c r="G35" s="1322"/>
      <c r="H35" s="1322"/>
      <c r="I35" s="1322"/>
      <c r="J35" s="1322"/>
      <c r="K35" s="1256"/>
      <c r="L35" s="1443"/>
      <c r="M35" s="2850"/>
      <c r="N35" s="1321"/>
      <c r="O35" s="1323"/>
      <c r="P35" s="1324"/>
      <c r="Q35" s="1322"/>
      <c r="R35" s="1444"/>
      <c r="S35" s="1444"/>
      <c r="T35" s="1444"/>
      <c r="U35" s="1444"/>
      <c r="V35" s="1328"/>
      <c r="W35" s="1256"/>
      <c r="X35" s="723"/>
      <c r="Y35" s="724"/>
      <c r="Z35" s="1323"/>
      <c r="AA35" s="1321"/>
      <c r="AB35" s="1321"/>
      <c r="AC35" s="1324"/>
      <c r="AD35" s="1327"/>
      <c r="AE35" s="1327"/>
      <c r="AF35" s="1327"/>
      <c r="AG35" s="1327"/>
    </row>
    <row r="36" spans="1:33">
      <c r="A36" s="1329"/>
      <c r="B36" s="1330"/>
      <c r="C36" s="1440"/>
      <c r="D36" s="1331"/>
      <c r="E36" s="1442"/>
      <c r="F36" s="1332"/>
      <c r="G36" s="1332"/>
      <c r="H36" s="1332"/>
      <c r="I36" s="1332"/>
      <c r="J36" s="1332"/>
      <c r="K36" s="1256"/>
      <c r="L36" s="1329"/>
      <c r="M36" s="2851"/>
      <c r="N36" s="1334"/>
      <c r="O36" s="1334"/>
      <c r="P36" s="1335"/>
      <c r="Q36" s="1322"/>
      <c r="R36" s="1333"/>
      <c r="S36" s="1333"/>
      <c r="T36" s="1333"/>
      <c r="U36" s="1333"/>
      <c r="V36" s="1336"/>
      <c r="W36" s="1256"/>
      <c r="X36" s="1329"/>
      <c r="Y36" s="1333"/>
      <c r="Z36" s="1337"/>
      <c r="AA36" s="1334"/>
      <c r="AB36" s="1334"/>
      <c r="AC36" s="1334"/>
      <c r="AD36" s="1329"/>
      <c r="AE36" s="1337"/>
      <c r="AF36" s="1334"/>
      <c r="AG36" s="1334"/>
    </row>
    <row r="37" spans="1:33" ht="24.75" customHeight="1" collapsed="1" thickBot="1">
      <c r="A37" s="6045" t="s">
        <v>1522</v>
      </c>
      <c r="B37" s="6046"/>
      <c r="C37" s="6046"/>
      <c r="D37" s="6046"/>
      <c r="E37" s="6046"/>
      <c r="F37" s="6047"/>
      <c r="G37" s="1338">
        <f>SUM(G14:G36)</f>
        <v>9371719.7799999993</v>
      </c>
      <c r="H37" s="1338">
        <f>SUM(H14:H36)</f>
        <v>-2539680.2499999991</v>
      </c>
      <c r="I37" s="1338">
        <f>SUM(I14:I36)</f>
        <v>-680350.44499999983</v>
      </c>
      <c r="J37" s="1338">
        <f>SUM(J14:J36)</f>
        <v>6151689.084999999</v>
      </c>
      <c r="K37" s="1256"/>
      <c r="L37" s="1339" t="s">
        <v>1522</v>
      </c>
      <c r="M37" s="1343"/>
      <c r="N37" s="1340"/>
      <c r="O37" s="1340"/>
      <c r="P37" s="1340"/>
      <c r="Q37" s="1340"/>
      <c r="R37" s="1341">
        <f>SUM(R14:R36)</f>
        <v>5907264.6000000006</v>
      </c>
      <c r="S37" s="1338">
        <f>SUM(S14:S36)</f>
        <v>-1643323.15</v>
      </c>
      <c r="T37" s="1338">
        <f>SUM(T14:T36)</f>
        <v>-426394.14999999997</v>
      </c>
      <c r="U37" s="1338"/>
      <c r="V37" s="1338">
        <f>SUM(V14:V36)</f>
        <v>3837547.3000000003</v>
      </c>
      <c r="W37" s="1256"/>
      <c r="X37" s="1342" t="s">
        <v>1522</v>
      </c>
      <c r="Y37" s="1343"/>
      <c r="Z37" s="1343"/>
      <c r="AA37" s="1343"/>
      <c r="AB37" s="1343"/>
      <c r="AC37" s="1343"/>
      <c r="AD37" s="1341">
        <f>SUM(AD14:AD36)</f>
        <v>3756805.06</v>
      </c>
      <c r="AE37" s="1338">
        <f>SUM(AE14:AE36)</f>
        <v>810019.23149999999</v>
      </c>
      <c r="AF37" s="1338">
        <f>SUM(AF14:AF36)</f>
        <v>4566824.2915000003</v>
      </c>
      <c r="AG37" s="1338">
        <f>+AG19</f>
        <v>3532178.9925000002</v>
      </c>
    </row>
    <row r="38" spans="1:33">
      <c r="A38" s="1360"/>
      <c r="B38" s="1256"/>
      <c r="C38" s="1255"/>
      <c r="D38" s="1257"/>
      <c r="E38" s="1361"/>
      <c r="F38" s="1258"/>
      <c r="G38" s="1258"/>
      <c r="H38" s="1258"/>
      <c r="I38" s="1258"/>
      <c r="J38" s="1258"/>
      <c r="K38" s="1256"/>
      <c r="L38" s="1360"/>
      <c r="M38" s="2852"/>
      <c r="N38" s="1362"/>
      <c r="O38" s="1362"/>
      <c r="P38" s="1362"/>
      <c r="Q38" s="1360"/>
      <c r="R38" s="1360"/>
      <c r="S38" s="1360"/>
      <c r="T38" s="1360"/>
      <c r="U38" s="1360"/>
      <c r="V38" s="1363"/>
      <c r="W38" s="1256"/>
      <c r="X38" s="1360"/>
      <c r="Y38" s="1360"/>
      <c r="Z38" s="1364"/>
      <c r="AA38" s="1362"/>
      <c r="AB38" s="1362"/>
      <c r="AC38" s="1362"/>
      <c r="AD38" s="1360"/>
      <c r="AE38" s="1364"/>
      <c r="AF38" s="1362"/>
      <c r="AG38" s="1362"/>
    </row>
    <row r="39" spans="1:33">
      <c r="A39" s="1360"/>
      <c r="B39" s="1256"/>
      <c r="C39" s="1255"/>
      <c r="D39" s="1257"/>
      <c r="E39" s="1361"/>
      <c r="F39" s="1258"/>
      <c r="G39" s="1258"/>
      <c r="H39" s="1258"/>
      <c r="I39" s="1258"/>
      <c r="J39" s="1258"/>
      <c r="K39" s="1256"/>
      <c r="L39" s="1360"/>
      <c r="M39" s="2852"/>
      <c r="N39" s="1362"/>
      <c r="O39" s="1362"/>
      <c r="P39" s="1257"/>
      <c r="Q39" s="1258"/>
      <c r="R39" s="1258"/>
      <c r="S39" s="1258"/>
      <c r="T39" s="1258"/>
      <c r="U39" s="1258"/>
      <c r="V39" s="1258">
        <f>+V37-T37</f>
        <v>4263941.45</v>
      </c>
      <c r="W39" s="1256"/>
      <c r="X39" s="1360"/>
      <c r="Y39" s="1360"/>
      <c r="Z39" s="1364"/>
      <c r="AA39" s="1362"/>
      <c r="AB39" s="1362"/>
      <c r="AC39" s="1362"/>
      <c r="AD39" s="1360"/>
      <c r="AE39" s="1364"/>
      <c r="AF39" s="1362"/>
      <c r="AG39" s="1362"/>
    </row>
    <row r="40" spans="1:33">
      <c r="A40" s="1365"/>
      <c r="B40" s="1256"/>
      <c r="C40" s="1255"/>
      <c r="D40" s="1257"/>
      <c r="E40" s="1361"/>
      <c r="F40" s="1366"/>
      <c r="G40" s="1366"/>
      <c r="H40" s="1366"/>
      <c r="I40" s="1366"/>
      <c r="J40" s="1258"/>
      <c r="K40" s="1256"/>
      <c r="L40" s="1365"/>
      <c r="M40" s="2853">
        <f>403092.61/11085046.72</f>
        <v>3.6363636544059594E-2</v>
      </c>
      <c r="N40" s="1365"/>
      <c r="O40" s="1365"/>
      <c r="P40" s="1257"/>
      <c r="Q40" s="1366"/>
      <c r="R40" s="1366"/>
      <c r="S40" s="1366"/>
      <c r="T40" s="1366"/>
      <c r="U40" s="1366"/>
      <c r="V40" s="1366"/>
      <c r="W40" s="1256"/>
      <c r="X40" s="1365"/>
      <c r="Y40" s="1365"/>
      <c r="Z40" s="1365"/>
      <c r="AA40" s="1362"/>
      <c r="AB40" s="1362"/>
      <c r="AC40" s="1362"/>
      <c r="AD40" s="1365"/>
      <c r="AE40" s="1365"/>
      <c r="AF40" s="1362"/>
      <c r="AG40" s="1362"/>
    </row>
    <row r="41" spans="1:33">
      <c r="D41" s="1257"/>
      <c r="E41" s="153">
        <v>44197</v>
      </c>
      <c r="F41" s="1366"/>
      <c r="P41" s="1257"/>
      <c r="Q41" s="1366"/>
      <c r="R41" s="1366">
        <f>+R14+R15+R16+R17+R18+R19+R20</f>
        <v>4553284.1500000004</v>
      </c>
      <c r="S41" s="1366"/>
      <c r="T41" s="1366"/>
      <c r="U41" s="1366"/>
      <c r="V41" s="1366"/>
      <c r="AB41" s="153">
        <v>44094</v>
      </c>
      <c r="AD41" s="1367"/>
    </row>
    <row r="42" spans="1:33">
      <c r="D42" s="1257"/>
      <c r="E42" s="153">
        <f>E41-45</f>
        <v>44152</v>
      </c>
      <c r="F42" s="1366"/>
      <c r="P42" s="1257"/>
      <c r="Q42" s="1366"/>
      <c r="R42" s="1366"/>
      <c r="S42" s="1366"/>
      <c r="T42" s="1366"/>
      <c r="U42" s="1366"/>
      <c r="V42" s="1366"/>
      <c r="AB42" s="153">
        <f>AB41-45</f>
        <v>44049</v>
      </c>
    </row>
    <row r="43" spans="1:33">
      <c r="D43" s="1257"/>
      <c r="F43" s="1366"/>
      <c r="H43" s="153">
        <v>43986</v>
      </c>
      <c r="R43" s="652"/>
      <c r="S43" s="652"/>
      <c r="T43" s="652"/>
      <c r="U43" s="652"/>
      <c r="V43" s="652"/>
    </row>
    <row r="45" spans="1:33">
      <c r="AD45" t="s">
        <v>2330</v>
      </c>
    </row>
    <row r="46" spans="1:33">
      <c r="AD46" s="3018">
        <v>45222</v>
      </c>
      <c r="AE46" s="3018">
        <v>45253</v>
      </c>
      <c r="AF46" s="3018">
        <v>45283</v>
      </c>
    </row>
    <row r="47" spans="1:33">
      <c r="AD47" s="3020">
        <v>11439880.26</v>
      </c>
    </row>
  </sheetData>
  <mergeCells count="4">
    <mergeCell ref="A10:J10"/>
    <mergeCell ref="L10:V10"/>
    <mergeCell ref="X10:AG10"/>
    <mergeCell ref="A37:F37"/>
  </mergeCells>
  <printOptions horizontalCentered="1"/>
  <pageMargins left="0.25" right="0.25" top="0.75" bottom="0.75" header="0.3" footer="0.3"/>
  <pageSetup paperSize="8" scale="65" fitToHeight="2" orientation="landscape" r:id="rId1"/>
  <headerFooter>
    <oddHeader>&amp;C&amp;"Calibri,Bold"&amp;18MONTHLY REPORT - INVOICE &amp; PAYMENT TRACKING LOG (RAQTAN)</oddHeader>
    <oddFooter>&amp;L1TB.01.003.01 - AYC 
MARCH'26 REPORT&amp;C&amp;A&amp;RPage &amp;P of &amp;N</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30D0A-19E0-4F8A-94F2-9BA1E22461D9}">
  <sheetPr codeName="Sheet44">
    <tabColor theme="7" tint="0.39997558519241921"/>
  </sheetPr>
  <dimension ref="A1:AH54"/>
  <sheetViews>
    <sheetView showGridLines="0" view="pageBreakPreview" topLeftCell="A12" zoomScale="70" zoomScaleNormal="100" zoomScaleSheetLayoutView="70" workbookViewId="0">
      <selection activeCell="C43" sqref="C43"/>
    </sheetView>
  </sheetViews>
  <sheetFormatPr defaultColWidth="9" defaultRowHeight="12.75"/>
  <cols>
    <col min="1" max="1" width="10.85546875" customWidth="1"/>
    <col min="2" max="2" width="10.42578125" customWidth="1"/>
    <col min="3" max="3" width="11.42578125" customWidth="1"/>
    <col min="4" max="4" width="10.85546875" bestFit="1" customWidth="1"/>
    <col min="5" max="5" width="9.85546875" bestFit="1" customWidth="1"/>
    <col min="6" max="6" width="14" customWidth="1"/>
    <col min="7" max="7" width="14.28515625" customWidth="1"/>
    <col min="8" max="8" width="11.85546875" bestFit="1" customWidth="1"/>
    <col min="9" max="9" width="12.85546875" bestFit="1" customWidth="1"/>
    <col min="10" max="10" width="13.85546875" customWidth="1"/>
    <col min="11" max="11" width="0.85546875" customWidth="1"/>
    <col min="12" max="12" width="7" bestFit="1" customWidth="1"/>
    <col min="13" max="13" width="17.85546875" style="2854" bestFit="1" customWidth="1"/>
    <col min="14" max="15" width="9.85546875" bestFit="1" customWidth="1"/>
    <col min="16" max="16" width="7.85546875" customWidth="1"/>
    <col min="17" max="18" width="16" customWidth="1"/>
    <col min="19" max="19" width="11.42578125" customWidth="1"/>
    <col min="20" max="20" width="12.85546875" bestFit="1" customWidth="1"/>
    <col min="21" max="21" width="14.5703125" customWidth="1"/>
    <col min="22" max="22" width="0.85546875" customWidth="1"/>
    <col min="23" max="23" width="14" bestFit="1" customWidth="1"/>
    <col min="24" max="24" width="9.85546875" bestFit="1" customWidth="1"/>
    <col min="25" max="25" width="9" hidden="1" customWidth="1"/>
    <col min="26" max="26" width="9.85546875" bestFit="1" customWidth="1"/>
    <col min="27" max="27" width="10" customWidth="1"/>
    <col min="28" max="28" width="7" customWidth="1"/>
    <col min="29" max="29" width="14" customWidth="1"/>
    <col min="30" max="30" width="15" customWidth="1"/>
    <col min="31" max="32" width="14" customWidth="1"/>
    <col min="33" max="33" width="13.5703125" bestFit="1" customWidth="1"/>
    <col min="34" max="34" width="11.85546875" bestFit="1" customWidth="1"/>
  </cols>
  <sheetData>
    <row r="1" spans="1:34">
      <c r="A1" s="1255"/>
      <c r="B1" s="1256"/>
      <c r="C1" s="1255"/>
      <c r="D1" s="1257"/>
      <c r="E1" s="1257"/>
      <c r="F1" s="1258"/>
      <c r="G1" s="1258"/>
      <c r="H1" s="1258"/>
      <c r="I1" s="1258"/>
      <c r="J1" s="1258"/>
      <c r="K1" s="1257"/>
      <c r="L1" s="1255"/>
      <c r="M1" s="2848"/>
      <c r="N1" s="1255"/>
      <c r="O1" s="1255"/>
      <c r="P1" s="1255"/>
      <c r="Q1" s="1255"/>
      <c r="R1" s="1255"/>
      <c r="S1" s="1255"/>
      <c r="T1" s="1255"/>
      <c r="U1" s="1259"/>
      <c r="V1" s="1257"/>
      <c r="W1" s="1257"/>
      <c r="X1" s="1257"/>
      <c r="Y1" s="1257"/>
      <c r="Z1" s="1257"/>
      <c r="AA1" s="1257"/>
      <c r="AB1" s="1257"/>
      <c r="AC1" s="1257"/>
      <c r="AD1" s="1257"/>
      <c r="AE1" s="1257"/>
      <c r="AF1" s="1257"/>
    </row>
    <row r="2" spans="1:34">
      <c r="A2" s="9" t="str">
        <f>'Data Input'!A1&amp;" - "&amp;'Data Input'!B1</f>
        <v>PROGRAMME: - MARINA VILLAGE (PROGRAMME 1_TRIPLE BAY)</v>
      </c>
      <c r="B2" s="1256"/>
      <c r="C2" s="1255"/>
      <c r="D2" s="1257"/>
      <c r="E2" s="1257"/>
      <c r="F2" s="1258"/>
      <c r="G2" s="1258"/>
      <c r="H2" s="1258"/>
      <c r="I2" s="1258"/>
      <c r="J2" s="1258"/>
      <c r="K2" s="1257"/>
      <c r="L2" s="1255"/>
      <c r="M2" s="2848"/>
      <c r="N2" s="1255"/>
      <c r="O2" s="1255"/>
      <c r="P2" s="1255"/>
      <c r="Q2" s="1255"/>
      <c r="R2" s="1255"/>
      <c r="S2" s="1255"/>
      <c r="T2" s="1255"/>
      <c r="U2" s="1259"/>
      <c r="V2" s="1257"/>
      <c r="W2" s="1257"/>
      <c r="X2" s="1257"/>
      <c r="Y2" s="1257"/>
      <c r="Z2" s="1257"/>
      <c r="AA2" s="1257"/>
      <c r="AB2" s="1257"/>
      <c r="AC2" s="1257"/>
      <c r="AD2" s="1257"/>
      <c r="AE2" s="1257"/>
      <c r="AF2" s="1257"/>
    </row>
    <row r="3" spans="1:34">
      <c r="A3" s="9" t="str">
        <f>'Data Input'!A2&amp;" - "&amp;'Data Input'!B2</f>
        <v>PROGRAMME CODE: - 1TB01003</v>
      </c>
      <c r="B3" s="1260"/>
      <c r="C3" s="1261"/>
      <c r="D3" s="1262"/>
      <c r="E3" s="1262"/>
      <c r="F3" s="1263"/>
      <c r="G3" s="1263"/>
      <c r="H3" s="1263"/>
      <c r="I3" s="1263"/>
      <c r="J3" s="1264"/>
      <c r="K3" s="1265"/>
      <c r="L3" s="1265"/>
      <c r="M3" s="1262"/>
      <c r="N3" s="1265"/>
      <c r="O3" s="1266"/>
      <c r="P3" s="1265"/>
      <c r="Q3" s="1265"/>
      <c r="R3" s="1265"/>
      <c r="S3" s="1265"/>
      <c r="T3" s="1265"/>
      <c r="U3" s="1267"/>
      <c r="V3" s="1265"/>
      <c r="W3" s="1265"/>
      <c r="X3" s="1265"/>
      <c r="Y3" s="1265"/>
      <c r="Z3" s="1265"/>
      <c r="AA3" s="1265"/>
      <c r="AB3" s="1265"/>
      <c r="AC3" s="1265"/>
      <c r="AD3" s="1265"/>
      <c r="AE3" s="1265"/>
      <c r="AF3" s="1265"/>
    </row>
    <row r="4" spans="1:34">
      <c r="A4" s="9" t="str">
        <f>'Data Input'!A3&amp;" - "&amp;'Data Input'!B3</f>
        <v>ASSET NAME: - AMAALA YACHT CLUB</v>
      </c>
      <c r="B4" s="1260"/>
      <c r="C4" s="1268"/>
      <c r="D4" s="1265"/>
      <c r="E4" s="1265"/>
      <c r="F4" s="1267"/>
      <c r="G4" s="1267"/>
      <c r="H4" s="1267"/>
      <c r="I4" s="1267"/>
      <c r="J4" s="1269"/>
      <c r="K4" s="1265"/>
      <c r="L4" s="1265"/>
      <c r="M4" s="1262"/>
      <c r="N4" s="1265"/>
      <c r="O4" s="1266"/>
      <c r="P4" s="1265"/>
      <c r="Q4" s="1265"/>
      <c r="R4" s="1265"/>
      <c r="S4" s="1265"/>
      <c r="T4" s="1265"/>
      <c r="U4" s="1267"/>
      <c r="V4" s="1265"/>
      <c r="W4" s="1265"/>
      <c r="X4" s="1265"/>
      <c r="Y4" s="1265"/>
      <c r="Z4" s="1265"/>
      <c r="AA4" s="1265"/>
      <c r="AB4" s="1265"/>
      <c r="AC4" s="1265"/>
      <c r="AD4" s="1265"/>
      <c r="AE4" s="1265"/>
      <c r="AF4" s="1265"/>
    </row>
    <row r="5" spans="1:34">
      <c r="A5" s="9" t="str">
        <f>'Data Input'!A4&amp;" - "&amp;'Data Input'!B4</f>
        <v>ASSET CODE: - 1TB01003.01</v>
      </c>
      <c r="B5" s="1270"/>
      <c r="C5" s="1268"/>
      <c r="D5" s="1265"/>
      <c r="E5" s="1265"/>
      <c r="F5" s="1267"/>
      <c r="G5" s="1267"/>
      <c r="H5" s="1267"/>
      <c r="I5" s="1267"/>
      <c r="J5" s="1269"/>
      <c r="K5" s="1265"/>
      <c r="L5" s="1265"/>
      <c r="M5" s="1262"/>
      <c r="N5" s="1265"/>
      <c r="O5" s="1266"/>
      <c r="P5" s="1265"/>
      <c r="Q5" s="1265"/>
      <c r="R5" s="1271"/>
      <c r="S5" s="1265"/>
      <c r="T5" s="1265"/>
      <c r="U5" s="1267"/>
      <c r="V5" s="1265"/>
      <c r="W5" s="1265"/>
      <c r="X5" s="1265"/>
      <c r="Y5" s="1265"/>
      <c r="Z5" s="1265"/>
      <c r="AA5" s="1265"/>
      <c r="AB5" s="1265"/>
      <c r="AC5" s="1265"/>
      <c r="AD5" s="1265"/>
      <c r="AE5" s="1265"/>
      <c r="AF5" s="1265"/>
    </row>
    <row r="6" spans="1:34">
      <c r="A6" s="9" t="str">
        <f>'Data Input'!A7&amp;" - "&amp;'Data Input'!B7</f>
        <v>REPORT NO: - MONTHLY REPORT NO. 49</v>
      </c>
      <c r="B6" s="1272"/>
      <c r="C6" s="1268"/>
      <c r="D6" s="1265"/>
      <c r="E6" s="1265"/>
      <c r="F6" s="1267"/>
      <c r="G6" s="1267"/>
      <c r="H6" s="1267"/>
      <c r="I6" s="1267"/>
      <c r="J6" s="1269"/>
      <c r="K6" s="1265"/>
      <c r="L6" s="1265"/>
      <c r="M6" s="1262"/>
      <c r="N6" s="1265"/>
      <c r="O6" s="1266"/>
      <c r="P6" s="1265"/>
      <c r="Q6" s="1265"/>
      <c r="R6" s="1273"/>
      <c r="S6" s="1265"/>
      <c r="T6" s="1271"/>
      <c r="U6" s="1267"/>
      <c r="V6" s="1265"/>
      <c r="W6" s="1265"/>
      <c r="X6" s="1265"/>
      <c r="Y6" s="1265"/>
      <c r="Z6" s="1265"/>
      <c r="AA6" s="1265"/>
      <c r="AB6" s="1265"/>
      <c r="AC6" s="1265"/>
      <c r="AD6" s="1265"/>
      <c r="AE6" s="1265"/>
      <c r="AF6" s="1265"/>
    </row>
    <row r="7" spans="1:34">
      <c r="A7" s="9" t="str">
        <f>'Data Input'!A8&amp;" - "&amp;'Data Input'!B8</f>
        <v>REPORTING PERIOD: - OCTOBER 2026</v>
      </c>
      <c r="B7" s="1262"/>
      <c r="C7" s="1274"/>
      <c r="D7" s="1262"/>
      <c r="E7" s="1262"/>
      <c r="F7" s="1263"/>
      <c r="G7" s="1263"/>
      <c r="H7" s="1263"/>
      <c r="I7" s="1263"/>
      <c r="J7" s="1264"/>
      <c r="K7" s="1265"/>
      <c r="L7" s="1265"/>
      <c r="M7" s="1262"/>
      <c r="N7" s="1265"/>
      <c r="O7" s="1265"/>
      <c r="P7" s="1265"/>
      <c r="Q7" s="1267"/>
      <c r="R7" s="1263"/>
      <c r="S7" s="1263"/>
      <c r="T7" s="1263"/>
      <c r="U7" s="1267"/>
      <c r="V7" s="1265"/>
      <c r="W7" s="1265"/>
      <c r="X7" s="1265"/>
      <c r="Y7" s="1265"/>
      <c r="Z7" s="1265"/>
      <c r="AA7" s="1265"/>
      <c r="AB7" s="1265"/>
      <c r="AC7" s="1265"/>
      <c r="AD7" s="1265"/>
      <c r="AE7" s="1265"/>
      <c r="AF7" s="1265"/>
    </row>
    <row r="8" spans="1:34" ht="7.5" customHeight="1" thickBot="1">
      <c r="A8" s="9"/>
      <c r="B8" s="1256"/>
      <c r="C8" s="1255"/>
      <c r="D8" s="1257"/>
      <c r="E8" s="1257"/>
      <c r="F8" s="1258"/>
      <c r="G8" s="1258"/>
      <c r="H8" s="1258"/>
      <c r="I8" s="1258"/>
      <c r="J8" s="1258"/>
      <c r="K8" s="1257"/>
      <c r="L8" s="1255"/>
      <c r="M8" s="2848"/>
      <c r="N8" s="1275"/>
      <c r="O8" s="1276"/>
      <c r="P8" s="1255"/>
      <c r="Q8" s="1255"/>
      <c r="R8" s="1255"/>
      <c r="S8" s="1255"/>
      <c r="T8" s="1255"/>
      <c r="U8" s="1259"/>
      <c r="V8" s="1257"/>
      <c r="W8" s="1257"/>
      <c r="X8" s="1257"/>
      <c r="Y8" s="1257"/>
      <c r="Z8" s="1257"/>
      <c r="AA8" s="1257"/>
      <c r="AB8" s="1257"/>
      <c r="AC8" s="1257"/>
      <c r="AD8" s="1257"/>
      <c r="AE8" s="1257"/>
      <c r="AF8" s="1257"/>
    </row>
    <row r="9" spans="1:34" ht="30" customHeight="1" thickBot="1">
      <c r="A9" s="1354" t="str">
        <f>'Schedule B'!A151&amp;" - "&amp;'Schedule B'!B151</f>
        <v>CN.003C09 - DEPA Interior Fitout</v>
      </c>
      <c r="B9" s="1355"/>
      <c r="C9" s="1355"/>
      <c r="D9" s="1356"/>
      <c r="E9" s="1356"/>
      <c r="F9" s="1357"/>
      <c r="G9" s="1357"/>
      <c r="H9" s="1357"/>
      <c r="I9" s="1357"/>
      <c r="J9" s="1357"/>
      <c r="K9" s="1356"/>
      <c r="L9" s="1355"/>
      <c r="M9" s="2849"/>
      <c r="N9" s="1355"/>
      <c r="O9" s="1355"/>
      <c r="P9" s="1355"/>
      <c r="Q9" s="1355"/>
      <c r="R9" s="1355"/>
      <c r="S9" s="1355"/>
      <c r="T9" s="1355"/>
      <c r="U9" s="1358"/>
      <c r="V9" s="4659"/>
      <c r="W9" s="1356"/>
      <c r="X9" s="1356"/>
      <c r="Y9" s="1356"/>
      <c r="Z9" s="1356"/>
      <c r="AA9" s="1356"/>
      <c r="AB9" s="1356"/>
      <c r="AC9" s="1356"/>
      <c r="AD9" s="1356"/>
      <c r="AE9" s="1356"/>
      <c r="AF9" s="1359"/>
    </row>
    <row r="10" spans="1:34">
      <c r="A10" s="6051" t="s">
        <v>1524</v>
      </c>
      <c r="B10" s="6052"/>
      <c r="C10" s="6052"/>
      <c r="D10" s="6052"/>
      <c r="E10" s="6052"/>
      <c r="F10" s="6052"/>
      <c r="G10" s="6053"/>
      <c r="H10" s="6053"/>
      <c r="I10" s="6053"/>
      <c r="J10" s="6054"/>
      <c r="K10" s="1256"/>
      <c r="L10" s="6055" t="s">
        <v>1525</v>
      </c>
      <c r="M10" s="6056"/>
      <c r="N10" s="6056"/>
      <c r="O10" s="6056"/>
      <c r="P10" s="6056"/>
      <c r="Q10" s="6056"/>
      <c r="R10" s="6057"/>
      <c r="S10" s="6057"/>
      <c r="T10" s="6057"/>
      <c r="U10" s="6058"/>
      <c r="V10" s="1256"/>
      <c r="W10" s="6043" t="s">
        <v>1526</v>
      </c>
      <c r="X10" s="6044"/>
      <c r="Y10" s="6044"/>
      <c r="Z10" s="6044"/>
      <c r="AA10" s="6044"/>
      <c r="AB10" s="6044"/>
      <c r="AC10" s="6044"/>
      <c r="AD10" s="6044"/>
      <c r="AE10" s="6044"/>
      <c r="AF10" s="6059"/>
    </row>
    <row r="11" spans="1:34" ht="60" customHeight="1">
      <c r="A11" s="1283" t="s">
        <v>1462</v>
      </c>
      <c r="B11" s="1284" t="s">
        <v>1527</v>
      </c>
      <c r="C11" s="1284" t="s">
        <v>1528</v>
      </c>
      <c r="D11" s="1285" t="s">
        <v>1744</v>
      </c>
      <c r="E11" s="1285" t="s">
        <v>1530</v>
      </c>
      <c r="F11" s="1286" t="s">
        <v>1531</v>
      </c>
      <c r="G11" s="1287" t="s">
        <v>1532</v>
      </c>
      <c r="H11" s="1287" t="s">
        <v>1533</v>
      </c>
      <c r="I11" s="1287" t="s">
        <v>1534</v>
      </c>
      <c r="J11" s="1288" t="s">
        <v>1535</v>
      </c>
      <c r="K11" s="1289"/>
      <c r="L11" s="763" t="s">
        <v>1536</v>
      </c>
      <c r="M11" s="1290" t="s">
        <v>1601</v>
      </c>
      <c r="N11" s="1290" t="s">
        <v>1530</v>
      </c>
      <c r="O11" s="1290" t="s">
        <v>1602</v>
      </c>
      <c r="P11" s="764" t="s">
        <v>1539</v>
      </c>
      <c r="Q11" s="1291" t="s">
        <v>1540</v>
      </c>
      <c r="R11" s="1292" t="s">
        <v>1541</v>
      </c>
      <c r="S11" s="1292" t="s">
        <v>1533</v>
      </c>
      <c r="T11" s="1292" t="s">
        <v>1534</v>
      </c>
      <c r="U11" s="1293" t="s">
        <v>1542</v>
      </c>
      <c r="V11" s="1256"/>
      <c r="W11" s="1294" t="s">
        <v>2086</v>
      </c>
      <c r="X11" s="2839" t="s">
        <v>2087</v>
      </c>
      <c r="Y11" s="1295" t="s">
        <v>1544</v>
      </c>
      <c r="Z11" s="1296" t="s">
        <v>1545</v>
      </c>
      <c r="AA11" s="1296" t="s">
        <v>1761</v>
      </c>
      <c r="AB11" s="769" t="s">
        <v>1539</v>
      </c>
      <c r="AC11" s="769" t="s">
        <v>1547</v>
      </c>
      <c r="AD11" s="769" t="s">
        <v>1548</v>
      </c>
      <c r="AE11" s="1296" t="s">
        <v>1549</v>
      </c>
      <c r="AF11" s="1297" t="s">
        <v>1550</v>
      </c>
    </row>
    <row r="12" spans="1:34" ht="17.25" customHeight="1">
      <c r="A12" s="1298"/>
      <c r="B12" s="1299"/>
      <c r="C12" s="1300"/>
      <c r="D12" s="1301"/>
      <c r="E12" s="1302" t="s">
        <v>296</v>
      </c>
      <c r="F12" s="1303" t="s">
        <v>434</v>
      </c>
      <c r="G12" s="1303" t="s">
        <v>434</v>
      </c>
      <c r="H12" s="1304" t="s">
        <v>805</v>
      </c>
      <c r="I12" s="1304">
        <v>0.15</v>
      </c>
      <c r="J12" s="1305" t="s">
        <v>434</v>
      </c>
      <c r="K12" s="1256"/>
      <c r="L12" s="765"/>
      <c r="M12" s="766"/>
      <c r="N12" s="1306" t="s">
        <v>296</v>
      </c>
      <c r="O12" s="766" t="s">
        <v>2085</v>
      </c>
      <c r="P12" s="1307" t="s">
        <v>1552</v>
      </c>
      <c r="Q12" s="767" t="s">
        <v>434</v>
      </c>
      <c r="R12" s="767" t="s">
        <v>434</v>
      </c>
      <c r="S12" s="1308" t="s">
        <v>805</v>
      </c>
      <c r="T12" s="1308">
        <v>0.15</v>
      </c>
      <c r="U12" s="768" t="s">
        <v>434</v>
      </c>
      <c r="V12" s="1256"/>
      <c r="W12" s="770"/>
      <c r="X12" s="2840"/>
      <c r="Y12" s="1309" t="s">
        <v>296</v>
      </c>
      <c r="Z12" s="1309" t="s">
        <v>296</v>
      </c>
      <c r="AA12" s="1309" t="s">
        <v>2090</v>
      </c>
      <c r="AB12" s="1310" t="s">
        <v>1552</v>
      </c>
      <c r="AC12" s="1311"/>
      <c r="AD12" s="1312">
        <v>0.15</v>
      </c>
      <c r="AE12" s="1309" t="s">
        <v>296</v>
      </c>
      <c r="AF12" s="1313" t="s">
        <v>296</v>
      </c>
    </row>
    <row r="13" spans="1:34" s="722" customFormat="1" ht="18" customHeight="1">
      <c r="A13" s="1314"/>
      <c r="B13" s="1314"/>
      <c r="C13" s="1314"/>
      <c r="D13" s="1314"/>
      <c r="E13" s="1314" t="s">
        <v>1481</v>
      </c>
      <c r="F13" s="1314"/>
      <c r="G13" s="1314"/>
      <c r="H13" s="1314"/>
      <c r="I13" s="1314"/>
      <c r="J13" s="1314"/>
      <c r="K13" s="1255"/>
      <c r="L13" s="1315"/>
      <c r="M13" s="1315"/>
      <c r="N13" s="1316" t="s">
        <v>1482</v>
      </c>
      <c r="O13" s="1314" t="s">
        <v>1604</v>
      </c>
      <c r="P13" s="1317" t="s">
        <v>1555</v>
      </c>
      <c r="Q13" s="1318" t="s">
        <v>1556</v>
      </c>
      <c r="R13" s="1318" t="s">
        <v>1557</v>
      </c>
      <c r="S13" s="1319" t="s">
        <v>2762</v>
      </c>
      <c r="T13" s="1319" t="s">
        <v>1559</v>
      </c>
      <c r="U13" s="1318" t="s">
        <v>2596</v>
      </c>
      <c r="V13" s="1255"/>
      <c r="W13" s="1316"/>
      <c r="X13" s="1316" t="s">
        <v>2088</v>
      </c>
      <c r="Y13" s="1316"/>
      <c r="Z13" s="1316" t="s">
        <v>2597</v>
      </c>
      <c r="AA13" s="1316" t="s">
        <v>2598</v>
      </c>
      <c r="AB13" s="1317" t="s">
        <v>2599</v>
      </c>
      <c r="AC13" s="1314" t="s">
        <v>2600</v>
      </c>
      <c r="AD13" s="1319" t="s">
        <v>2774</v>
      </c>
      <c r="AE13" s="1316" t="s">
        <v>2602</v>
      </c>
      <c r="AF13" s="1316"/>
    </row>
    <row r="14" spans="1:34" s="2837" customFormat="1" ht="36">
      <c r="A14" s="4688">
        <v>1</v>
      </c>
      <c r="B14" s="4689" t="s">
        <v>1763</v>
      </c>
      <c r="C14" s="4761">
        <v>45352</v>
      </c>
      <c r="D14" s="4691" t="s">
        <v>2760</v>
      </c>
      <c r="E14" s="4692">
        <v>45386</v>
      </c>
      <c r="F14" s="4762">
        <f>+G14</f>
        <v>10908108.550000001</v>
      </c>
      <c r="G14" s="4694">
        <v>10908108.550000001</v>
      </c>
      <c r="H14" s="4694">
        <v>0</v>
      </c>
      <c r="I14" s="4694">
        <f>(G14*$I$12)*-1</f>
        <v>-1636216.2825</v>
      </c>
      <c r="J14" s="4694">
        <f t="shared" ref="J14:J21" si="0">G14+H14+I14</f>
        <v>9271892.2675000001</v>
      </c>
      <c r="K14" s="4695"/>
      <c r="L14" s="4696">
        <v>1</v>
      </c>
      <c r="M14" s="4697" t="s">
        <v>2761</v>
      </c>
      <c r="N14" s="4692">
        <v>45403</v>
      </c>
      <c r="O14" s="4698">
        <f t="shared" ref="O14:O36" si="1">E14+14</f>
        <v>45400</v>
      </c>
      <c r="P14" s="4699">
        <f t="shared" ref="P14:P35" si="2">O14-N14</f>
        <v>-3</v>
      </c>
      <c r="Q14" s="4693">
        <f>+R14</f>
        <v>10489133.300000001</v>
      </c>
      <c r="R14" s="4694">
        <v>10489133.300000001</v>
      </c>
      <c r="S14" s="4694">
        <v>0</v>
      </c>
      <c r="T14" s="4694">
        <f>(R14*$T$12)*-1</f>
        <v>-1573369.9950000001</v>
      </c>
      <c r="U14" s="4694">
        <f t="shared" ref="U14:U20" si="3">R14+S14+T14</f>
        <v>8915763.3049999997</v>
      </c>
      <c r="V14" s="4695"/>
      <c r="W14" s="4700" t="s">
        <v>2773</v>
      </c>
      <c r="X14" s="4703">
        <v>45424</v>
      </c>
      <c r="Y14" s="4698"/>
      <c r="Z14" s="4701">
        <v>45431</v>
      </c>
      <c r="AA14" s="4701">
        <f t="shared" ref="AA14:AA36" si="4">+X14+30</f>
        <v>45454</v>
      </c>
      <c r="AB14" s="4699">
        <f t="shared" ref="AB14:AB22" si="5">+AA14-Z14</f>
        <v>23</v>
      </c>
      <c r="AC14" s="4702">
        <f t="shared" ref="AC14:AC20" si="6">+U14</f>
        <v>8915763.3049999997</v>
      </c>
      <c r="AD14" s="4702">
        <f t="shared" ref="AD14:AD20" si="7">+(AC14-T14)*0.15</f>
        <v>1573369.9950000001</v>
      </c>
      <c r="AE14" s="4702">
        <f t="shared" ref="AE14:AE20" si="8">AC14+AD14</f>
        <v>10489133.300000001</v>
      </c>
      <c r="AF14" s="4702">
        <f>+AE14</f>
        <v>10489133.300000001</v>
      </c>
      <c r="AG14" s="2842">
        <f>+AC14*1.15</f>
        <v>10253127.800749999</v>
      </c>
      <c r="AH14" s="2837">
        <f>+T14*0.15</f>
        <v>-236005.49924999999</v>
      </c>
    </row>
    <row r="15" spans="1:34" ht="43.5" customHeight="1">
      <c r="A15" s="4688">
        <v>2</v>
      </c>
      <c r="B15" s="4689" t="s">
        <v>1764</v>
      </c>
      <c r="C15" s="4761">
        <v>45383</v>
      </c>
      <c r="D15" s="4691" t="s">
        <v>3108</v>
      </c>
      <c r="E15" s="4692">
        <v>45427</v>
      </c>
      <c r="F15" s="4762">
        <f t="shared" ref="F15:F21" si="9">+G15+F14</f>
        <v>15374838.190000001</v>
      </c>
      <c r="G15" s="4762">
        <v>4466729.6399999997</v>
      </c>
      <c r="H15" s="4694">
        <v>0</v>
      </c>
      <c r="I15" s="4694">
        <f>(G15*$I$12)*-1</f>
        <v>-670009.44599999988</v>
      </c>
      <c r="J15" s="4694">
        <f t="shared" si="0"/>
        <v>3796720.1939999997</v>
      </c>
      <c r="K15" s="4695"/>
      <c r="L15" s="4696">
        <v>2</v>
      </c>
      <c r="M15" s="4697" t="s">
        <v>2775</v>
      </c>
      <c r="N15" s="4692">
        <v>45431</v>
      </c>
      <c r="O15" s="4698">
        <f t="shared" si="1"/>
        <v>45441</v>
      </c>
      <c r="P15" s="4699">
        <f t="shared" si="2"/>
        <v>10</v>
      </c>
      <c r="Q15" s="4693">
        <f t="shared" ref="Q15:Q35" si="10">+R15+Q14</f>
        <v>14349533.34</v>
      </c>
      <c r="R15" s="4693">
        <v>3860400.04</v>
      </c>
      <c r="S15" s="4694">
        <v>0</v>
      </c>
      <c r="T15" s="4694">
        <f>(R15*$T$12)*-1</f>
        <v>-579060.00599999994</v>
      </c>
      <c r="U15" s="4694">
        <f t="shared" si="3"/>
        <v>3281340.034</v>
      </c>
      <c r="V15" s="4695"/>
      <c r="W15" s="4700" t="s">
        <v>2812</v>
      </c>
      <c r="X15" s="4703">
        <v>45453</v>
      </c>
      <c r="Y15" s="4698"/>
      <c r="Z15" s="4701">
        <v>45456</v>
      </c>
      <c r="AA15" s="4701">
        <f t="shared" si="4"/>
        <v>45483</v>
      </c>
      <c r="AB15" s="4699">
        <f t="shared" si="5"/>
        <v>27</v>
      </c>
      <c r="AC15" s="4702">
        <f t="shared" si="6"/>
        <v>3281340.034</v>
      </c>
      <c r="AD15" s="4702">
        <f t="shared" si="7"/>
        <v>579060.00599999994</v>
      </c>
      <c r="AE15" s="4702">
        <f t="shared" si="8"/>
        <v>3860400.04</v>
      </c>
      <c r="AF15" s="4702">
        <f t="shared" ref="AF15:AF28" si="11">+AE15+AF14</f>
        <v>14349533.34</v>
      </c>
      <c r="AH15" s="1367">
        <f>+AD14-AH14</f>
        <v>1809375.49425</v>
      </c>
    </row>
    <row r="16" spans="1:34" ht="33" customHeight="1">
      <c r="A16" s="4688">
        <v>3</v>
      </c>
      <c r="B16" s="4689" t="s">
        <v>1765</v>
      </c>
      <c r="C16" s="4761">
        <v>45413</v>
      </c>
      <c r="D16" s="4691" t="s">
        <v>3109</v>
      </c>
      <c r="E16" s="4692">
        <v>45469</v>
      </c>
      <c r="F16" s="4762">
        <f t="shared" si="9"/>
        <v>18992642.100000001</v>
      </c>
      <c r="G16" s="4762">
        <v>3617803.91</v>
      </c>
      <c r="H16" s="4694">
        <v>0</v>
      </c>
      <c r="I16" s="4694">
        <f>(G16*$I$12)*-1</f>
        <v>-542670.58649999998</v>
      </c>
      <c r="J16" s="4694">
        <f t="shared" si="0"/>
        <v>3075133.3234999999</v>
      </c>
      <c r="K16" s="4695"/>
      <c r="L16" s="4696">
        <v>3</v>
      </c>
      <c r="M16" s="4697" t="s">
        <v>2813</v>
      </c>
      <c r="N16" s="4692">
        <v>45473</v>
      </c>
      <c r="O16" s="4698">
        <f t="shared" si="1"/>
        <v>45483</v>
      </c>
      <c r="P16" s="4699">
        <f t="shared" si="2"/>
        <v>10</v>
      </c>
      <c r="Q16" s="4693">
        <f t="shared" si="10"/>
        <v>16969455.100000001</v>
      </c>
      <c r="R16" s="4694">
        <v>2619921.7599999998</v>
      </c>
      <c r="S16" s="4694">
        <v>0</v>
      </c>
      <c r="T16" s="4694">
        <f>(R16*$T$12)*-1</f>
        <v>-392988.26399999997</v>
      </c>
      <c r="U16" s="4694">
        <f t="shared" si="3"/>
        <v>2226933.4959999998</v>
      </c>
      <c r="V16" s="4695"/>
      <c r="W16" s="4700" t="s">
        <v>2860</v>
      </c>
      <c r="X16" s="4703">
        <v>45489</v>
      </c>
      <c r="Y16" s="4698"/>
      <c r="Z16" s="4701">
        <v>45490</v>
      </c>
      <c r="AA16" s="4701">
        <f t="shared" si="4"/>
        <v>45519</v>
      </c>
      <c r="AB16" s="4699">
        <f t="shared" si="5"/>
        <v>29</v>
      </c>
      <c r="AC16" s="4702">
        <f t="shared" si="6"/>
        <v>2226933.4959999998</v>
      </c>
      <c r="AD16" s="4702">
        <f t="shared" si="7"/>
        <v>392988.26399999997</v>
      </c>
      <c r="AE16" s="4702">
        <f t="shared" si="8"/>
        <v>2619921.7599999998</v>
      </c>
      <c r="AF16" s="4702">
        <f t="shared" si="11"/>
        <v>16969455.100000001</v>
      </c>
    </row>
    <row r="17" spans="1:33" ht="41.25" customHeight="1">
      <c r="A17" s="4688">
        <v>4</v>
      </c>
      <c r="B17" s="4689" t="s">
        <v>1766</v>
      </c>
      <c r="C17" s="4761">
        <v>45444</v>
      </c>
      <c r="D17" s="4691" t="s">
        <v>3107</v>
      </c>
      <c r="E17" s="4692">
        <v>45512</v>
      </c>
      <c r="F17" s="4762">
        <f t="shared" si="9"/>
        <v>20887242.09</v>
      </c>
      <c r="G17" s="4694">
        <v>1894599.99</v>
      </c>
      <c r="H17" s="4694">
        <v>0</v>
      </c>
      <c r="I17" s="4694">
        <v>-284190</v>
      </c>
      <c r="J17" s="4694">
        <f t="shared" si="0"/>
        <v>1610409.99</v>
      </c>
      <c r="K17" s="4695"/>
      <c r="L17" s="4696">
        <v>4</v>
      </c>
      <c r="M17" s="4697" t="s">
        <v>2978</v>
      </c>
      <c r="N17" s="4692">
        <v>45516</v>
      </c>
      <c r="O17" s="4698">
        <f t="shared" si="1"/>
        <v>45526</v>
      </c>
      <c r="P17" s="4699">
        <f t="shared" si="2"/>
        <v>10</v>
      </c>
      <c r="Q17" s="4693">
        <f t="shared" si="10"/>
        <v>17872001.510000002</v>
      </c>
      <c r="R17" s="4694">
        <v>902546.41</v>
      </c>
      <c r="S17" s="4694">
        <v>0</v>
      </c>
      <c r="T17" s="4694">
        <f>(R17*$T$12)*-1</f>
        <v>-135381.9615</v>
      </c>
      <c r="U17" s="4694">
        <f t="shared" si="3"/>
        <v>767164.44850000006</v>
      </c>
      <c r="V17" s="4695"/>
      <c r="W17" s="4700" t="s">
        <v>3048</v>
      </c>
      <c r="X17" s="4703">
        <v>45544</v>
      </c>
      <c r="Y17" s="4698"/>
      <c r="Z17" s="4701">
        <v>45556</v>
      </c>
      <c r="AA17" s="4701">
        <f t="shared" si="4"/>
        <v>45574</v>
      </c>
      <c r="AB17" s="4699">
        <f t="shared" si="5"/>
        <v>18</v>
      </c>
      <c r="AC17" s="4702">
        <f t="shared" si="6"/>
        <v>767164.44850000006</v>
      </c>
      <c r="AD17" s="4702">
        <f t="shared" si="7"/>
        <v>135381.9615</v>
      </c>
      <c r="AE17" s="4702">
        <f t="shared" si="8"/>
        <v>902546.41</v>
      </c>
      <c r="AF17" s="4702">
        <f t="shared" si="11"/>
        <v>17872001.510000002</v>
      </c>
    </row>
    <row r="18" spans="1:33" ht="39" customHeight="1">
      <c r="A18" s="4688">
        <v>5</v>
      </c>
      <c r="B18" s="4689" t="s">
        <v>1767</v>
      </c>
      <c r="C18" s="4761">
        <v>45474</v>
      </c>
      <c r="D18" s="4691" t="s">
        <v>3106</v>
      </c>
      <c r="E18" s="4692">
        <v>45523</v>
      </c>
      <c r="F18" s="4762">
        <f t="shared" si="9"/>
        <v>23051395.300000001</v>
      </c>
      <c r="G18" s="4694">
        <v>2164153.21</v>
      </c>
      <c r="H18" s="4694">
        <v>0</v>
      </c>
      <c r="I18" s="4694">
        <v>-324622.98</v>
      </c>
      <c r="J18" s="4694">
        <f t="shared" si="0"/>
        <v>1839530.23</v>
      </c>
      <c r="K18" s="4695"/>
      <c r="L18" s="4696">
        <v>5</v>
      </c>
      <c r="M18" s="4697" t="s">
        <v>3047</v>
      </c>
      <c r="N18" s="4701">
        <v>45542</v>
      </c>
      <c r="O18" s="4698">
        <f t="shared" si="1"/>
        <v>45537</v>
      </c>
      <c r="P18" s="4699">
        <f t="shared" si="2"/>
        <v>-5</v>
      </c>
      <c r="Q18" s="4693">
        <f t="shared" si="10"/>
        <v>18998753.370000001</v>
      </c>
      <c r="R18" s="4694">
        <v>1126751.8600000001</v>
      </c>
      <c r="S18" s="4694">
        <v>0</v>
      </c>
      <c r="T18" s="4694">
        <f>(R18*$T$12)*-1</f>
        <v>-169012.77900000001</v>
      </c>
      <c r="U18" s="4694">
        <f t="shared" si="3"/>
        <v>957739.08100000012</v>
      </c>
      <c r="V18" s="4695"/>
      <c r="W18" s="4700" t="s">
        <v>3104</v>
      </c>
      <c r="X18" s="4698">
        <v>45567</v>
      </c>
      <c r="Y18" s="4698"/>
      <c r="Z18" s="4701">
        <v>45582</v>
      </c>
      <c r="AA18" s="4701">
        <f t="shared" si="4"/>
        <v>45597</v>
      </c>
      <c r="AB18" s="4699">
        <f t="shared" si="5"/>
        <v>15</v>
      </c>
      <c r="AC18" s="4702">
        <f t="shared" si="6"/>
        <v>957739.08100000012</v>
      </c>
      <c r="AD18" s="4702">
        <f t="shared" si="7"/>
        <v>169012.77900000001</v>
      </c>
      <c r="AE18" s="4702">
        <f t="shared" si="8"/>
        <v>1126751.8600000001</v>
      </c>
      <c r="AF18" s="4702">
        <f t="shared" si="11"/>
        <v>18998753.370000001</v>
      </c>
    </row>
    <row r="19" spans="1:33" ht="38.25" customHeight="1">
      <c r="A19" s="4688">
        <v>6</v>
      </c>
      <c r="B19" s="4689" t="s">
        <v>1768</v>
      </c>
      <c r="C19" s="4761">
        <v>45505</v>
      </c>
      <c r="D19" s="4691" t="s">
        <v>3105</v>
      </c>
      <c r="E19" s="4692">
        <v>45570</v>
      </c>
      <c r="F19" s="4762">
        <f>+F18+G19</f>
        <v>25137103.02</v>
      </c>
      <c r="G19" s="4694">
        <v>2085707.72</v>
      </c>
      <c r="H19" s="4694">
        <v>0</v>
      </c>
      <c r="I19" s="4694">
        <v>-324622.98</v>
      </c>
      <c r="J19" s="4694">
        <f>G19+H19+I19</f>
        <v>1761084.74</v>
      </c>
      <c r="K19" s="4695"/>
      <c r="L19" s="4696">
        <v>5</v>
      </c>
      <c r="M19" s="4697" t="s">
        <v>3110</v>
      </c>
      <c r="N19" s="4701">
        <v>45575</v>
      </c>
      <c r="O19" s="4698">
        <f t="shared" si="1"/>
        <v>45584</v>
      </c>
      <c r="P19" s="4699">
        <f t="shared" si="2"/>
        <v>9</v>
      </c>
      <c r="Q19" s="4693">
        <f t="shared" si="10"/>
        <v>19813375.380000003</v>
      </c>
      <c r="R19" s="4694">
        <v>814622.01</v>
      </c>
      <c r="S19" s="4694">
        <v>0</v>
      </c>
      <c r="T19" s="4694">
        <v>-122193.3</v>
      </c>
      <c r="U19" s="4694">
        <f t="shared" si="3"/>
        <v>692428.71</v>
      </c>
      <c r="V19" s="4695"/>
      <c r="W19" s="4700" t="s">
        <v>3362</v>
      </c>
      <c r="X19" s="4698">
        <v>45587</v>
      </c>
      <c r="Y19" s="4698"/>
      <c r="Z19" s="4701">
        <v>45596</v>
      </c>
      <c r="AA19" s="4701">
        <f t="shared" si="4"/>
        <v>45617</v>
      </c>
      <c r="AB19" s="4699">
        <f t="shared" si="5"/>
        <v>21</v>
      </c>
      <c r="AC19" s="4702">
        <f t="shared" si="6"/>
        <v>692428.71</v>
      </c>
      <c r="AD19" s="4702">
        <f t="shared" si="7"/>
        <v>122193.3015</v>
      </c>
      <c r="AE19" s="4702">
        <f t="shared" si="8"/>
        <v>814622.01150000002</v>
      </c>
      <c r="AF19" s="4702">
        <f t="shared" si="11"/>
        <v>19813375.381500002</v>
      </c>
    </row>
    <row r="20" spans="1:33" ht="45.75" customHeight="1">
      <c r="A20" s="4688">
        <v>7</v>
      </c>
      <c r="B20" s="4689" t="s">
        <v>1769</v>
      </c>
      <c r="C20" s="4761">
        <v>45536</v>
      </c>
      <c r="D20" s="4691" t="s">
        <v>3111</v>
      </c>
      <c r="E20" s="4692">
        <v>45574</v>
      </c>
      <c r="F20" s="4762">
        <f t="shared" si="9"/>
        <v>28959575.370000001</v>
      </c>
      <c r="G20" s="4762">
        <v>3822472.35</v>
      </c>
      <c r="H20" s="4694">
        <v>0</v>
      </c>
      <c r="I20" s="4694">
        <v>-573370.85</v>
      </c>
      <c r="J20" s="4694">
        <f t="shared" si="0"/>
        <v>3249101.5</v>
      </c>
      <c r="K20" s="4695"/>
      <c r="L20" s="4696">
        <v>7</v>
      </c>
      <c r="M20" s="4697" t="s">
        <v>3112</v>
      </c>
      <c r="N20" s="4701">
        <v>45578</v>
      </c>
      <c r="O20" s="4698">
        <f t="shared" si="1"/>
        <v>45588</v>
      </c>
      <c r="P20" s="4699">
        <f t="shared" si="2"/>
        <v>10</v>
      </c>
      <c r="Q20" s="4693">
        <f t="shared" si="10"/>
        <v>22167964.910000004</v>
      </c>
      <c r="R20" s="4694">
        <v>2354589.5299999998</v>
      </c>
      <c r="S20" s="4694">
        <v>0</v>
      </c>
      <c r="T20" s="4694">
        <v>-353188.43</v>
      </c>
      <c r="U20" s="4694">
        <f t="shared" si="3"/>
        <v>2001401.0999999999</v>
      </c>
      <c r="V20" s="4695"/>
      <c r="W20" s="4700" t="s">
        <v>3363</v>
      </c>
      <c r="X20" s="4698">
        <v>45587</v>
      </c>
      <c r="Y20" s="4698"/>
      <c r="Z20" s="4701">
        <v>45614</v>
      </c>
      <c r="AA20" s="4701">
        <f t="shared" si="4"/>
        <v>45617</v>
      </c>
      <c r="AB20" s="4699">
        <f t="shared" si="5"/>
        <v>3</v>
      </c>
      <c r="AC20" s="4702">
        <f t="shared" si="6"/>
        <v>2001401.0999999999</v>
      </c>
      <c r="AD20" s="4702">
        <f t="shared" si="7"/>
        <v>353188.42949999997</v>
      </c>
      <c r="AE20" s="4702">
        <f t="shared" si="8"/>
        <v>2354589.5294999997</v>
      </c>
      <c r="AF20" s="4702">
        <f t="shared" si="11"/>
        <v>22167964.911000002</v>
      </c>
      <c r="AG20" s="1367"/>
    </row>
    <row r="21" spans="1:33" ht="36">
      <c r="A21" s="4688">
        <v>8</v>
      </c>
      <c r="B21" s="4689" t="s">
        <v>1770</v>
      </c>
      <c r="C21" s="4761">
        <v>45589</v>
      </c>
      <c r="D21" s="4691" t="s">
        <v>3364</v>
      </c>
      <c r="E21" s="4692">
        <v>45596</v>
      </c>
      <c r="F21" s="4762">
        <f t="shared" si="9"/>
        <v>31718113.400000002</v>
      </c>
      <c r="G21" s="4694">
        <v>2758538.03</v>
      </c>
      <c r="H21" s="4694">
        <v>0</v>
      </c>
      <c r="I21" s="4694">
        <v>-413780.7</v>
      </c>
      <c r="J21" s="4694">
        <f t="shared" si="0"/>
        <v>2344757.3299999996</v>
      </c>
      <c r="K21" s="4695"/>
      <c r="L21" s="4696">
        <v>8</v>
      </c>
      <c r="M21" s="4697" t="s">
        <v>3365</v>
      </c>
      <c r="N21" s="4701">
        <v>45603</v>
      </c>
      <c r="O21" s="4698">
        <f t="shared" si="1"/>
        <v>45610</v>
      </c>
      <c r="P21" s="4699">
        <f t="shared" si="2"/>
        <v>7</v>
      </c>
      <c r="Q21" s="4693">
        <f t="shared" si="10"/>
        <v>24069232.400000002</v>
      </c>
      <c r="R21" s="4694">
        <v>1901267.49</v>
      </c>
      <c r="S21" s="4694">
        <v>0</v>
      </c>
      <c r="T21" s="4694">
        <v>-285190.12</v>
      </c>
      <c r="U21" s="4694">
        <f t="shared" ref="U21:U35" si="12">R21+S21+T21</f>
        <v>1616077.37</v>
      </c>
      <c r="V21" s="4695"/>
      <c r="W21" s="4700" t="s">
        <v>3445</v>
      </c>
      <c r="X21" s="4698">
        <v>45616</v>
      </c>
      <c r="Y21" s="4698"/>
      <c r="Z21" s="4701">
        <v>45635</v>
      </c>
      <c r="AA21" s="4701">
        <f t="shared" si="4"/>
        <v>45646</v>
      </c>
      <c r="AB21" s="4699">
        <f t="shared" si="5"/>
        <v>11</v>
      </c>
      <c r="AC21" s="4702">
        <f t="shared" ref="AC21:AC28" si="13">+U21</f>
        <v>1616077.37</v>
      </c>
      <c r="AD21" s="4702">
        <f t="shared" ref="AD21:AD28" si="14">+(AC21-T21)*0.15</f>
        <v>285190.12350000005</v>
      </c>
      <c r="AE21" s="4702">
        <f t="shared" ref="AE21:AE27" si="15">AC21+AD21</f>
        <v>1901267.4935000001</v>
      </c>
      <c r="AF21" s="4702">
        <f t="shared" si="11"/>
        <v>24069232.404500004</v>
      </c>
    </row>
    <row r="22" spans="1:33" ht="33.75" customHeight="1">
      <c r="A22" s="4688">
        <v>9</v>
      </c>
      <c r="B22" s="4689" t="s">
        <v>1771</v>
      </c>
      <c r="C22" s="4761">
        <v>45620</v>
      </c>
      <c r="D22" s="4691" t="s">
        <v>3446</v>
      </c>
      <c r="E22" s="4692">
        <v>45627</v>
      </c>
      <c r="F22" s="4762">
        <f t="shared" ref="F22:F36" si="16">+G22+F21</f>
        <v>36005151.800000004</v>
      </c>
      <c r="G22" s="4694">
        <v>4287038.4000000004</v>
      </c>
      <c r="H22" s="4694">
        <v>0</v>
      </c>
      <c r="I22" s="4694">
        <v>-643055.76</v>
      </c>
      <c r="J22" s="4694">
        <f t="shared" ref="J22:J28" si="17">G22+H22+I22</f>
        <v>3643982.6400000006</v>
      </c>
      <c r="K22" s="4695"/>
      <c r="L22" s="4696">
        <v>9</v>
      </c>
      <c r="M22" s="4697" t="s">
        <v>3447</v>
      </c>
      <c r="N22" s="4701"/>
      <c r="O22" s="4698">
        <f t="shared" si="1"/>
        <v>45641</v>
      </c>
      <c r="P22" s="4699"/>
      <c r="Q22" s="4762">
        <f t="shared" si="10"/>
        <v>27462520.910000004</v>
      </c>
      <c r="R22" s="4694">
        <v>3393288.51</v>
      </c>
      <c r="S22" s="4694">
        <v>0</v>
      </c>
      <c r="T22" s="4694">
        <v>-508993.28000000003</v>
      </c>
      <c r="U22" s="4694">
        <f t="shared" si="12"/>
        <v>2884295.2299999995</v>
      </c>
      <c r="V22" s="4695"/>
      <c r="W22" s="4700" t="s">
        <v>3516</v>
      </c>
      <c r="X22" s="4698">
        <v>45662</v>
      </c>
      <c r="Y22" s="4698"/>
      <c r="Z22" s="4701">
        <v>45683</v>
      </c>
      <c r="AA22" s="4701">
        <f t="shared" si="4"/>
        <v>45692</v>
      </c>
      <c r="AB22" s="4699">
        <f t="shared" si="5"/>
        <v>9</v>
      </c>
      <c r="AC22" s="4702">
        <f t="shared" si="13"/>
        <v>2884295.2299999995</v>
      </c>
      <c r="AD22" s="4702">
        <f t="shared" si="14"/>
        <v>508993.27649999992</v>
      </c>
      <c r="AE22" s="4702">
        <f t="shared" si="15"/>
        <v>3393288.5064999992</v>
      </c>
      <c r="AF22" s="4702">
        <f t="shared" si="11"/>
        <v>27462520.911000002</v>
      </c>
    </row>
    <row r="23" spans="1:33" ht="36">
      <c r="A23" s="4688">
        <v>10</v>
      </c>
      <c r="B23" s="4689" t="s">
        <v>1626</v>
      </c>
      <c r="C23" s="4761">
        <v>45627</v>
      </c>
      <c r="D23" s="4691" t="s">
        <v>3705</v>
      </c>
      <c r="E23" s="4692">
        <v>45658</v>
      </c>
      <c r="F23" s="4762">
        <f t="shared" si="16"/>
        <v>41682277.310000002</v>
      </c>
      <c r="G23" s="4694">
        <v>5677125.5099999998</v>
      </c>
      <c r="H23" s="4694">
        <v>0</v>
      </c>
      <c r="I23" s="4694">
        <v>-851568.83</v>
      </c>
      <c r="J23" s="4694">
        <f t="shared" si="17"/>
        <v>4825556.68</v>
      </c>
      <c r="K23" s="4695"/>
      <c r="L23" s="4696">
        <v>10</v>
      </c>
      <c r="M23" s="4697" t="s">
        <v>3706</v>
      </c>
      <c r="N23" s="4701">
        <v>45684</v>
      </c>
      <c r="O23" s="4698">
        <f t="shared" si="1"/>
        <v>45672</v>
      </c>
      <c r="P23" s="4699">
        <f t="shared" si="2"/>
        <v>-12</v>
      </c>
      <c r="Q23" s="4762">
        <f t="shared" si="10"/>
        <v>31809208.840000004</v>
      </c>
      <c r="R23" s="4694">
        <v>4346687.93</v>
      </c>
      <c r="S23" s="4694">
        <v>0</v>
      </c>
      <c r="T23" s="4694">
        <v>-652003.18999999994</v>
      </c>
      <c r="U23" s="4694">
        <f t="shared" si="12"/>
        <v>3694684.7399999998</v>
      </c>
      <c r="V23" s="4695"/>
      <c r="W23" s="4700" t="s">
        <v>3707</v>
      </c>
      <c r="X23" s="4698">
        <v>45693</v>
      </c>
      <c r="Y23" s="4698"/>
      <c r="Z23" s="4701">
        <v>45742</v>
      </c>
      <c r="AA23" s="4701">
        <f t="shared" si="4"/>
        <v>45723</v>
      </c>
      <c r="AB23" s="4699">
        <f t="shared" ref="AB23:AB30" si="18">+AA23-Z23</f>
        <v>-19</v>
      </c>
      <c r="AC23" s="4702">
        <f t="shared" si="13"/>
        <v>3694684.7399999998</v>
      </c>
      <c r="AD23" s="4702">
        <f t="shared" si="14"/>
        <v>652003.18949999998</v>
      </c>
      <c r="AE23" s="4702">
        <f t="shared" si="15"/>
        <v>4346687.9294999996</v>
      </c>
      <c r="AF23" s="4702">
        <f t="shared" si="11"/>
        <v>31809208.840500001</v>
      </c>
    </row>
    <row r="24" spans="1:33" ht="36">
      <c r="A24" s="4688">
        <v>11</v>
      </c>
      <c r="B24" s="4689" t="s">
        <v>1628</v>
      </c>
      <c r="C24" s="4761">
        <v>45658</v>
      </c>
      <c r="D24" s="4691" t="s">
        <v>3972</v>
      </c>
      <c r="E24" s="4692">
        <v>45690</v>
      </c>
      <c r="F24" s="4762">
        <f t="shared" si="16"/>
        <v>46805429.950000003</v>
      </c>
      <c r="G24" s="4694">
        <v>5123152.6399999997</v>
      </c>
      <c r="H24" s="4694">
        <v>0</v>
      </c>
      <c r="I24" s="4694">
        <v>-768472.9</v>
      </c>
      <c r="J24" s="4694">
        <f t="shared" si="17"/>
        <v>4354679.7399999993</v>
      </c>
      <c r="K24" s="4695"/>
      <c r="L24" s="4696">
        <v>11</v>
      </c>
      <c r="M24" s="4697" t="s">
        <v>3971</v>
      </c>
      <c r="N24" s="4701">
        <v>45719</v>
      </c>
      <c r="O24" s="4698">
        <f t="shared" si="1"/>
        <v>45704</v>
      </c>
      <c r="P24" s="4699">
        <f t="shared" si="2"/>
        <v>-15</v>
      </c>
      <c r="Q24" s="4762">
        <f t="shared" si="10"/>
        <v>35734472.990000002</v>
      </c>
      <c r="R24" s="4694">
        <v>3925264.15</v>
      </c>
      <c r="S24" s="4694">
        <v>0</v>
      </c>
      <c r="T24" s="4694">
        <v>-588789.62</v>
      </c>
      <c r="U24" s="4694">
        <f t="shared" si="12"/>
        <v>3336474.53</v>
      </c>
      <c r="V24" s="4695"/>
      <c r="W24" s="4700" t="s">
        <v>4380</v>
      </c>
      <c r="X24" s="4698">
        <v>45742</v>
      </c>
      <c r="Y24" s="4698"/>
      <c r="Z24" s="4698">
        <v>45789</v>
      </c>
      <c r="AA24" s="4701">
        <f t="shared" si="4"/>
        <v>45772</v>
      </c>
      <c r="AB24" s="4699">
        <f t="shared" si="18"/>
        <v>-17</v>
      </c>
      <c r="AC24" s="4702">
        <f t="shared" si="13"/>
        <v>3336474.53</v>
      </c>
      <c r="AD24" s="4702">
        <f t="shared" si="14"/>
        <v>588789.62249999994</v>
      </c>
      <c r="AE24" s="4702">
        <f t="shared" si="15"/>
        <v>3925264.1524999999</v>
      </c>
      <c r="AF24" s="4702">
        <f t="shared" si="11"/>
        <v>35734472.993000001</v>
      </c>
    </row>
    <row r="25" spans="1:33" ht="36">
      <c r="A25" s="4688">
        <v>12</v>
      </c>
      <c r="B25" s="4689" t="s">
        <v>1630</v>
      </c>
      <c r="C25" s="4761">
        <v>45689</v>
      </c>
      <c r="D25" s="4691" t="s">
        <v>3973</v>
      </c>
      <c r="E25" s="4692">
        <v>45718</v>
      </c>
      <c r="F25" s="4762">
        <f t="shared" si="16"/>
        <v>52100744.190000005</v>
      </c>
      <c r="G25" s="4762">
        <v>5295314.24</v>
      </c>
      <c r="H25" s="4694">
        <v>0</v>
      </c>
      <c r="I25" s="4762">
        <v>-794297.14</v>
      </c>
      <c r="J25" s="4694">
        <f t="shared" si="17"/>
        <v>4501017.1000000006</v>
      </c>
      <c r="K25" s="4695"/>
      <c r="L25" s="4696">
        <v>12</v>
      </c>
      <c r="M25" s="4697" t="s">
        <v>3974</v>
      </c>
      <c r="N25" s="4701">
        <v>45734</v>
      </c>
      <c r="O25" s="4698">
        <f t="shared" si="1"/>
        <v>45732</v>
      </c>
      <c r="P25" s="4699">
        <f t="shared" si="2"/>
        <v>-2</v>
      </c>
      <c r="Q25" s="4762">
        <f t="shared" si="10"/>
        <v>39724769.640000001</v>
      </c>
      <c r="R25" s="4694">
        <v>3990296.65</v>
      </c>
      <c r="S25" s="4694">
        <v>0</v>
      </c>
      <c r="T25" s="4694">
        <v>-598544.5</v>
      </c>
      <c r="U25" s="4694">
        <f t="shared" si="12"/>
        <v>3391752.15</v>
      </c>
      <c r="V25" s="4695"/>
      <c r="W25" s="4700" t="s">
        <v>4381</v>
      </c>
      <c r="X25" s="4698">
        <v>45753</v>
      </c>
      <c r="Y25" s="4698"/>
      <c r="Z25" s="4698">
        <v>45789</v>
      </c>
      <c r="AA25" s="4701">
        <f t="shared" si="4"/>
        <v>45783</v>
      </c>
      <c r="AB25" s="4699">
        <f t="shared" si="18"/>
        <v>-6</v>
      </c>
      <c r="AC25" s="4702">
        <f t="shared" si="13"/>
        <v>3391752.15</v>
      </c>
      <c r="AD25" s="4702">
        <f t="shared" si="14"/>
        <v>598544.49749999994</v>
      </c>
      <c r="AE25" s="4702">
        <f>AC25+AD25</f>
        <v>3990296.6475</v>
      </c>
      <c r="AF25" s="4702">
        <f t="shared" si="11"/>
        <v>39724769.640500002</v>
      </c>
    </row>
    <row r="26" spans="1:33" ht="36">
      <c r="A26" s="4688">
        <v>13</v>
      </c>
      <c r="B26" s="4689" t="s">
        <v>4382</v>
      </c>
      <c r="C26" s="4761">
        <v>45717</v>
      </c>
      <c r="D26" s="4691" t="s">
        <v>4384</v>
      </c>
      <c r="E26" s="4692">
        <v>45750</v>
      </c>
      <c r="F26" s="4762">
        <f t="shared" si="16"/>
        <v>57873035.190000005</v>
      </c>
      <c r="G26" s="4762">
        <f>4906447.35+865843.65</f>
        <v>5772291</v>
      </c>
      <c r="H26" s="4762">
        <v>0</v>
      </c>
      <c r="I26" s="4762">
        <v>-865843.65</v>
      </c>
      <c r="J26" s="4762">
        <f t="shared" si="17"/>
        <v>4906447.3499999996</v>
      </c>
      <c r="K26" s="4695"/>
      <c r="L26" s="4696">
        <v>13</v>
      </c>
      <c r="M26" s="4697" t="s">
        <v>4383</v>
      </c>
      <c r="N26" s="4701">
        <v>45764</v>
      </c>
      <c r="O26" s="4698">
        <f t="shared" si="1"/>
        <v>45764</v>
      </c>
      <c r="P26" s="4699">
        <f t="shared" si="2"/>
        <v>0</v>
      </c>
      <c r="Q26" s="4762">
        <f t="shared" si="10"/>
        <v>43795076.759999998</v>
      </c>
      <c r="R26" s="4694">
        <v>4070307.12</v>
      </c>
      <c r="S26" s="4694">
        <v>0</v>
      </c>
      <c r="T26" s="4694">
        <v>-610546.06999999995</v>
      </c>
      <c r="U26" s="4763">
        <f t="shared" si="12"/>
        <v>3459761.0500000003</v>
      </c>
      <c r="V26" s="4695"/>
      <c r="W26" s="4700" t="s">
        <v>4419</v>
      </c>
      <c r="X26" s="4698">
        <v>45834</v>
      </c>
      <c r="Y26" s="4698"/>
      <c r="Z26" s="4701">
        <v>45846</v>
      </c>
      <c r="AA26" s="4701">
        <f t="shared" si="4"/>
        <v>45864</v>
      </c>
      <c r="AB26" s="4699">
        <f t="shared" si="18"/>
        <v>18</v>
      </c>
      <c r="AC26" s="4702">
        <f t="shared" si="13"/>
        <v>3459761.0500000003</v>
      </c>
      <c r="AD26" s="4702">
        <f t="shared" si="14"/>
        <v>610546.06799999997</v>
      </c>
      <c r="AE26" s="4702">
        <f t="shared" si="15"/>
        <v>4070307.1180000002</v>
      </c>
      <c r="AF26" s="4702">
        <f t="shared" si="11"/>
        <v>43795076.758500002</v>
      </c>
    </row>
    <row r="27" spans="1:33" ht="36">
      <c r="A27" s="4688">
        <v>14</v>
      </c>
      <c r="B27" s="4689" t="s">
        <v>4385</v>
      </c>
      <c r="C27" s="4761">
        <v>45748</v>
      </c>
      <c r="D27" s="4691" t="s">
        <v>4387</v>
      </c>
      <c r="E27" s="4692">
        <v>45780</v>
      </c>
      <c r="F27" s="4762">
        <f t="shared" si="16"/>
        <v>61951557.710000008</v>
      </c>
      <c r="G27" s="4762">
        <v>4078522.52</v>
      </c>
      <c r="H27" s="4762">
        <v>0</v>
      </c>
      <c r="I27" s="4762">
        <v>-611778.38</v>
      </c>
      <c r="J27" s="4762">
        <f t="shared" si="17"/>
        <v>3466744.14</v>
      </c>
      <c r="K27" s="4695"/>
      <c r="L27" s="4696">
        <v>14</v>
      </c>
      <c r="M27" s="4697" t="s">
        <v>4386</v>
      </c>
      <c r="N27" s="4701">
        <v>45818</v>
      </c>
      <c r="O27" s="4698">
        <f t="shared" si="1"/>
        <v>45794</v>
      </c>
      <c r="P27" s="4699">
        <f t="shared" si="2"/>
        <v>-24</v>
      </c>
      <c r="Q27" s="4762">
        <f t="shared" si="10"/>
        <v>45880271.119999997</v>
      </c>
      <c r="R27" s="4694">
        <v>2085194.36</v>
      </c>
      <c r="S27" s="4694">
        <v>0</v>
      </c>
      <c r="T27" s="4694">
        <v>-312779.15000000002</v>
      </c>
      <c r="U27" s="4763">
        <f t="shared" si="12"/>
        <v>1772415.21</v>
      </c>
      <c r="V27" s="4695"/>
      <c r="W27" s="4700" t="s">
        <v>4421</v>
      </c>
      <c r="X27" s="4698">
        <v>45839</v>
      </c>
      <c r="Y27" s="4698"/>
      <c r="Z27" s="4701">
        <v>45858</v>
      </c>
      <c r="AA27" s="4701">
        <f t="shared" si="4"/>
        <v>45869</v>
      </c>
      <c r="AB27" s="4699">
        <f t="shared" si="18"/>
        <v>11</v>
      </c>
      <c r="AC27" s="4702">
        <f t="shared" si="13"/>
        <v>1772415.21</v>
      </c>
      <c r="AD27" s="4702">
        <f t="shared" si="14"/>
        <v>312779.15399999998</v>
      </c>
      <c r="AE27" s="4702">
        <f t="shared" si="15"/>
        <v>2085194.3640000001</v>
      </c>
      <c r="AF27" s="4702">
        <f t="shared" si="11"/>
        <v>45880271.122500002</v>
      </c>
    </row>
    <row r="28" spans="1:33" ht="36">
      <c r="A28" s="4688">
        <v>15</v>
      </c>
      <c r="B28" s="4689" t="s">
        <v>4489</v>
      </c>
      <c r="C28" s="4761">
        <v>45778</v>
      </c>
      <c r="D28" s="4691" t="s">
        <v>4490</v>
      </c>
      <c r="E28" s="4692">
        <v>45810</v>
      </c>
      <c r="F28" s="4762">
        <f t="shared" si="16"/>
        <v>66838837.390000008</v>
      </c>
      <c r="G28" s="4762">
        <v>4887279.68</v>
      </c>
      <c r="H28" s="4762">
        <v>0</v>
      </c>
      <c r="I28" s="4762">
        <v>-733091.95</v>
      </c>
      <c r="J28" s="4762">
        <f t="shared" si="17"/>
        <v>4154187.7299999995</v>
      </c>
      <c r="K28" s="4695"/>
      <c r="L28" s="4696">
        <v>15</v>
      </c>
      <c r="M28" s="4697" t="s">
        <v>4491</v>
      </c>
      <c r="N28" s="4701">
        <v>45838</v>
      </c>
      <c r="O28" s="4698">
        <f t="shared" si="1"/>
        <v>45824</v>
      </c>
      <c r="P28" s="4699">
        <f t="shared" si="2"/>
        <v>-14</v>
      </c>
      <c r="Q28" s="4762">
        <f t="shared" si="10"/>
        <v>49037298.549999997</v>
      </c>
      <c r="R28" s="4694">
        <v>3157027.43</v>
      </c>
      <c r="S28" s="4694">
        <v>0</v>
      </c>
      <c r="T28" s="4694">
        <v>-473554.11</v>
      </c>
      <c r="U28" s="4763">
        <f t="shared" si="12"/>
        <v>2683473.3200000003</v>
      </c>
      <c r="V28" s="4695"/>
      <c r="W28" s="4700" t="s">
        <v>4564</v>
      </c>
      <c r="X28" s="4698">
        <v>45862</v>
      </c>
      <c r="Y28" s="4698"/>
      <c r="Z28" s="4701">
        <v>45869</v>
      </c>
      <c r="AA28" s="4701">
        <f t="shared" si="4"/>
        <v>45892</v>
      </c>
      <c r="AB28" s="4699">
        <f t="shared" si="18"/>
        <v>23</v>
      </c>
      <c r="AC28" s="4702">
        <f t="shared" si="13"/>
        <v>2683473.3200000003</v>
      </c>
      <c r="AD28" s="4702">
        <f t="shared" si="14"/>
        <v>473554.11450000003</v>
      </c>
      <c r="AE28" s="4702">
        <f t="shared" ref="AE28:AE34" si="19">AC28+AD28</f>
        <v>3157027.4345000004</v>
      </c>
      <c r="AF28" s="4702">
        <f t="shared" si="11"/>
        <v>49037298.557000004</v>
      </c>
    </row>
    <row r="29" spans="1:33" ht="36">
      <c r="A29" s="4688">
        <v>16</v>
      </c>
      <c r="B29" s="4689" t="s">
        <v>4561</v>
      </c>
      <c r="C29" s="4761">
        <v>45809</v>
      </c>
      <c r="D29" s="4691" t="s">
        <v>4562</v>
      </c>
      <c r="E29" s="4692">
        <v>45842</v>
      </c>
      <c r="F29" s="4762">
        <f t="shared" si="16"/>
        <v>71044652.250000015</v>
      </c>
      <c r="G29" s="4762">
        <v>4205814.8600000003</v>
      </c>
      <c r="H29" s="4762">
        <v>0</v>
      </c>
      <c r="I29" s="4762">
        <v>-630872.23</v>
      </c>
      <c r="J29" s="4762">
        <f t="shared" ref="J29:J36" si="20">G29+H29+I29</f>
        <v>3574942.6300000004</v>
      </c>
      <c r="K29" s="4695"/>
      <c r="L29" s="4696">
        <v>16</v>
      </c>
      <c r="M29" s="4697" t="s">
        <v>4563</v>
      </c>
      <c r="N29" s="4701">
        <v>45874</v>
      </c>
      <c r="O29" s="4698">
        <f t="shared" si="1"/>
        <v>45856</v>
      </c>
      <c r="P29" s="4699">
        <f t="shared" si="2"/>
        <v>-18</v>
      </c>
      <c r="Q29" s="4762">
        <f t="shared" si="10"/>
        <v>52071883.599999994</v>
      </c>
      <c r="R29" s="4694">
        <v>3034585.05</v>
      </c>
      <c r="S29" s="4694">
        <v>0</v>
      </c>
      <c r="T29" s="4694">
        <v>-455187.76</v>
      </c>
      <c r="U29" s="4763">
        <f t="shared" si="12"/>
        <v>2579397.29</v>
      </c>
      <c r="V29" s="4695"/>
      <c r="W29" s="4700" t="s">
        <v>4663</v>
      </c>
      <c r="X29" s="4698">
        <v>45888</v>
      </c>
      <c r="Y29" s="4698"/>
      <c r="Z29" s="4701">
        <v>45900</v>
      </c>
      <c r="AA29" s="4701">
        <f t="shared" si="4"/>
        <v>45918</v>
      </c>
      <c r="AB29" s="4699">
        <f t="shared" si="18"/>
        <v>18</v>
      </c>
      <c r="AC29" s="4702">
        <f t="shared" ref="AC29:AC34" si="21">+U29</f>
        <v>2579397.29</v>
      </c>
      <c r="AD29" s="4702">
        <f t="shared" ref="AD29:AD34" si="22">+(AC29-T29)*0.15</f>
        <v>455187.75749999995</v>
      </c>
      <c r="AE29" s="4702">
        <f t="shared" si="19"/>
        <v>3034585.0474999999</v>
      </c>
      <c r="AF29" s="4702">
        <f t="shared" ref="AF29:AF34" si="23">+AE29+AF28</f>
        <v>52071883.604500003</v>
      </c>
    </row>
    <row r="30" spans="1:33" ht="36">
      <c r="A30" s="4688">
        <v>17</v>
      </c>
      <c r="B30" s="4689" t="s">
        <v>4664</v>
      </c>
      <c r="C30" s="4761">
        <v>45839</v>
      </c>
      <c r="D30" s="4691" t="s">
        <v>4665</v>
      </c>
      <c r="E30" s="4692">
        <v>45871</v>
      </c>
      <c r="F30" s="4762">
        <f t="shared" si="16"/>
        <v>75916581.030000016</v>
      </c>
      <c r="G30" s="4762">
        <v>4871928.78</v>
      </c>
      <c r="H30" s="4762">
        <v>0</v>
      </c>
      <c r="I30" s="4762">
        <v>-730789.32</v>
      </c>
      <c r="J30" s="4762">
        <f t="shared" si="20"/>
        <v>4141139.4600000004</v>
      </c>
      <c r="K30" s="4695"/>
      <c r="L30" s="4696">
        <v>17</v>
      </c>
      <c r="M30" s="4697" t="s">
        <v>4666</v>
      </c>
      <c r="N30" s="4701">
        <v>45888</v>
      </c>
      <c r="O30" s="4698">
        <f t="shared" si="1"/>
        <v>45885</v>
      </c>
      <c r="P30" s="4699">
        <f t="shared" si="2"/>
        <v>-3</v>
      </c>
      <c r="Q30" s="4762">
        <f t="shared" si="10"/>
        <v>55223620.779999994</v>
      </c>
      <c r="R30" s="4694">
        <v>3151737.18</v>
      </c>
      <c r="S30" s="4694">
        <v>0</v>
      </c>
      <c r="T30" s="4694">
        <v>-472760.58</v>
      </c>
      <c r="U30" s="4763">
        <f t="shared" si="12"/>
        <v>2678976.6</v>
      </c>
      <c r="V30" s="4695"/>
      <c r="W30" s="4700" t="s">
        <v>4897</v>
      </c>
      <c r="X30" s="4698">
        <v>45902</v>
      </c>
      <c r="Y30" s="4698"/>
      <c r="Z30" s="4701">
        <v>45924</v>
      </c>
      <c r="AA30" s="4701">
        <f t="shared" si="4"/>
        <v>45932</v>
      </c>
      <c r="AB30" s="4699">
        <f t="shared" si="18"/>
        <v>8</v>
      </c>
      <c r="AC30" s="4702">
        <f t="shared" si="21"/>
        <v>2678976.6</v>
      </c>
      <c r="AD30" s="4702">
        <f t="shared" si="22"/>
        <v>472760.57699999999</v>
      </c>
      <c r="AE30" s="4702">
        <f t="shared" si="19"/>
        <v>3151737.1770000001</v>
      </c>
      <c r="AF30" s="4702">
        <f t="shared" si="23"/>
        <v>55223620.781500004</v>
      </c>
    </row>
    <row r="31" spans="1:33" ht="36">
      <c r="A31" s="4688">
        <v>18</v>
      </c>
      <c r="B31" s="4689" t="s">
        <v>4750</v>
      </c>
      <c r="C31" s="4761">
        <v>45870</v>
      </c>
      <c r="D31" s="4691" t="s">
        <v>4751</v>
      </c>
      <c r="E31" s="4692">
        <v>45901</v>
      </c>
      <c r="F31" s="4762">
        <f t="shared" si="16"/>
        <v>80931703.340000018</v>
      </c>
      <c r="G31" s="4762">
        <v>5015122.3100000024</v>
      </c>
      <c r="H31" s="4762">
        <v>0</v>
      </c>
      <c r="I31" s="4762">
        <v>-730789.32</v>
      </c>
      <c r="J31" s="4762">
        <f t="shared" si="20"/>
        <v>4284332.9900000021</v>
      </c>
      <c r="K31" s="4695"/>
      <c r="L31" s="4696">
        <v>18</v>
      </c>
      <c r="M31" s="4697" t="s">
        <v>4752</v>
      </c>
      <c r="N31" s="4701">
        <v>45924</v>
      </c>
      <c r="O31" s="4698">
        <f t="shared" si="1"/>
        <v>45915</v>
      </c>
      <c r="P31" s="4699">
        <f t="shared" si="2"/>
        <v>-9</v>
      </c>
      <c r="Q31" s="4762">
        <f t="shared" si="10"/>
        <v>58361610.359999992</v>
      </c>
      <c r="R31" s="4694">
        <v>3137989.58</v>
      </c>
      <c r="S31" s="4694">
        <v>0</v>
      </c>
      <c r="T31" s="4694">
        <v>-470698.43</v>
      </c>
      <c r="U31" s="4763">
        <f t="shared" si="12"/>
        <v>2667291.15</v>
      </c>
      <c r="V31" s="4695"/>
      <c r="W31" s="4700" t="s">
        <v>4753</v>
      </c>
      <c r="X31" s="4698">
        <v>45930</v>
      </c>
      <c r="Y31" s="4698"/>
      <c r="Z31" s="4701"/>
      <c r="AA31" s="4701">
        <f t="shared" si="4"/>
        <v>45960</v>
      </c>
      <c r="AB31" s="4699"/>
      <c r="AC31" s="4702">
        <f t="shared" si="21"/>
        <v>2667291.15</v>
      </c>
      <c r="AD31" s="4702">
        <f t="shared" si="22"/>
        <v>470698.43699999998</v>
      </c>
      <c r="AE31" s="4702">
        <f t="shared" si="19"/>
        <v>3137989.5869999998</v>
      </c>
      <c r="AF31" s="4702">
        <f t="shared" si="23"/>
        <v>58361610.368500002</v>
      </c>
    </row>
    <row r="32" spans="1:33" ht="36">
      <c r="A32" s="4688">
        <v>19</v>
      </c>
      <c r="B32" s="4689" t="s">
        <v>4770</v>
      </c>
      <c r="C32" s="4761">
        <v>45901</v>
      </c>
      <c r="D32" s="4691" t="s">
        <v>4772</v>
      </c>
      <c r="E32" s="4692">
        <v>45922</v>
      </c>
      <c r="F32" s="4762">
        <f t="shared" si="16"/>
        <v>85239336.440000013</v>
      </c>
      <c r="G32" s="4762">
        <f>3015091.21+1292541.89</f>
        <v>4307633.0999999996</v>
      </c>
      <c r="H32" s="4762">
        <v>0</v>
      </c>
      <c r="I32" s="4762">
        <v>-730789.32</v>
      </c>
      <c r="J32" s="4762">
        <f t="shared" si="20"/>
        <v>3576843.78</v>
      </c>
      <c r="K32" s="4695"/>
      <c r="L32" s="4696">
        <v>19</v>
      </c>
      <c r="M32" s="4697" t="s">
        <v>4771</v>
      </c>
      <c r="N32" s="4701">
        <v>45924</v>
      </c>
      <c r="O32" s="4698">
        <f t="shared" si="1"/>
        <v>45936</v>
      </c>
      <c r="P32" s="4699">
        <f t="shared" si="2"/>
        <v>12</v>
      </c>
      <c r="Q32" s="4762">
        <f t="shared" si="10"/>
        <v>61376701.569999993</v>
      </c>
      <c r="R32" s="4694">
        <v>3015091.21</v>
      </c>
      <c r="S32" s="4694">
        <v>0</v>
      </c>
      <c r="T32" s="4694">
        <v>-452263.69</v>
      </c>
      <c r="U32" s="4763">
        <f t="shared" si="12"/>
        <v>2562827.52</v>
      </c>
      <c r="V32" s="4695"/>
      <c r="W32" s="4700" t="s">
        <v>4773</v>
      </c>
      <c r="X32" s="4698">
        <v>45935</v>
      </c>
      <c r="Y32" s="4698"/>
      <c r="Z32" s="4701"/>
      <c r="AA32" s="4701">
        <f t="shared" si="4"/>
        <v>45965</v>
      </c>
      <c r="AB32" s="4699"/>
      <c r="AC32" s="4702">
        <f t="shared" si="21"/>
        <v>2562827.52</v>
      </c>
      <c r="AD32" s="4702">
        <f t="shared" si="22"/>
        <v>452263.68150000001</v>
      </c>
      <c r="AE32" s="4702">
        <f t="shared" si="19"/>
        <v>3015091.2015</v>
      </c>
      <c r="AF32" s="4702">
        <f t="shared" si="23"/>
        <v>61376701.57</v>
      </c>
    </row>
    <row r="33" spans="1:32" ht="36">
      <c r="A33" s="4688">
        <v>20</v>
      </c>
      <c r="B33" s="4689" t="s">
        <v>5158</v>
      </c>
      <c r="C33" s="4761">
        <v>45931</v>
      </c>
      <c r="D33" s="4691" t="s">
        <v>5159</v>
      </c>
      <c r="E33" s="4692">
        <v>45962</v>
      </c>
      <c r="F33" s="4762">
        <f t="shared" si="16"/>
        <v>90713702.590000018</v>
      </c>
      <c r="G33" s="4762">
        <v>5474366.1500000004</v>
      </c>
      <c r="H33" s="4762">
        <v>0</v>
      </c>
      <c r="I33" s="4762">
        <v>-821154.92</v>
      </c>
      <c r="J33" s="4762">
        <f t="shared" si="20"/>
        <v>4653211.2300000004</v>
      </c>
      <c r="K33" s="4695"/>
      <c r="L33" s="4696">
        <v>20</v>
      </c>
      <c r="M33" s="4697" t="s">
        <v>5169</v>
      </c>
      <c r="N33" s="4701">
        <v>45985</v>
      </c>
      <c r="O33" s="4698">
        <f t="shared" si="1"/>
        <v>45976</v>
      </c>
      <c r="P33" s="4699">
        <f t="shared" si="2"/>
        <v>-9</v>
      </c>
      <c r="Q33" s="4762">
        <f t="shared" si="10"/>
        <v>64747181.349999994</v>
      </c>
      <c r="R33" s="4694">
        <v>3370479.78</v>
      </c>
      <c r="S33" s="4694">
        <v>0</v>
      </c>
      <c r="T33" s="4694">
        <v>-505571.96</v>
      </c>
      <c r="U33" s="4763">
        <f t="shared" si="12"/>
        <v>2864907.82</v>
      </c>
      <c r="V33" s="4695"/>
      <c r="W33" s="4700" t="s">
        <v>5520</v>
      </c>
      <c r="X33" s="4698">
        <v>45998</v>
      </c>
      <c r="Y33" s="4698"/>
      <c r="Z33" s="4701"/>
      <c r="AA33" s="4701">
        <f t="shared" si="4"/>
        <v>46028</v>
      </c>
      <c r="AB33" s="4699"/>
      <c r="AC33" s="4702">
        <f t="shared" si="21"/>
        <v>2864907.82</v>
      </c>
      <c r="AD33" s="4702">
        <f t="shared" si="22"/>
        <v>505571.96699999995</v>
      </c>
      <c r="AE33" s="4702">
        <f t="shared" si="19"/>
        <v>3370479.7869999995</v>
      </c>
      <c r="AF33" s="4702">
        <f t="shared" si="23"/>
        <v>64747181.357000001</v>
      </c>
    </row>
    <row r="34" spans="1:32" ht="36">
      <c r="A34" s="4688">
        <v>21</v>
      </c>
      <c r="B34" s="4689" t="s">
        <v>5511</v>
      </c>
      <c r="C34" s="4761">
        <v>45962</v>
      </c>
      <c r="D34" s="4691" t="s">
        <v>5514</v>
      </c>
      <c r="E34" s="4692">
        <v>45993</v>
      </c>
      <c r="F34" s="4762">
        <f t="shared" si="16"/>
        <v>97637356.050000012</v>
      </c>
      <c r="G34" s="4762">
        <v>6923653.46</v>
      </c>
      <c r="H34" s="4762">
        <v>0</v>
      </c>
      <c r="I34" s="4762">
        <v>-1038548.02</v>
      </c>
      <c r="J34" s="4762">
        <f t="shared" si="20"/>
        <v>5885105.4399999995</v>
      </c>
      <c r="K34" s="4695"/>
      <c r="L34" s="4696">
        <v>21</v>
      </c>
      <c r="M34" s="4697" t="s">
        <v>5515</v>
      </c>
      <c r="N34" s="4701">
        <v>46006</v>
      </c>
      <c r="O34" s="4698">
        <f t="shared" si="1"/>
        <v>46007</v>
      </c>
      <c r="P34" s="4699">
        <f t="shared" si="2"/>
        <v>1</v>
      </c>
      <c r="Q34" s="4762">
        <f t="shared" si="10"/>
        <v>68859769.469999999</v>
      </c>
      <c r="R34" s="4694">
        <v>4112588.12</v>
      </c>
      <c r="S34" s="4694">
        <v>0</v>
      </c>
      <c r="T34" s="4694">
        <v>-618388.22</v>
      </c>
      <c r="U34" s="4763">
        <f t="shared" si="12"/>
        <v>3494199.9000000004</v>
      </c>
      <c r="V34" s="4695"/>
      <c r="W34" s="4700" t="s">
        <v>5519</v>
      </c>
      <c r="X34" s="4698">
        <v>46016</v>
      </c>
      <c r="Y34" s="4698"/>
      <c r="Z34" s="4701"/>
      <c r="AA34" s="4701">
        <f t="shared" si="4"/>
        <v>46046</v>
      </c>
      <c r="AB34" s="4699"/>
      <c r="AC34" s="4702">
        <f t="shared" si="21"/>
        <v>3494199.9000000004</v>
      </c>
      <c r="AD34" s="4702">
        <f t="shared" si="22"/>
        <v>616888.21799999999</v>
      </c>
      <c r="AE34" s="4702">
        <f t="shared" si="19"/>
        <v>4111088.1180000002</v>
      </c>
      <c r="AF34" s="4702">
        <f t="shared" si="23"/>
        <v>68858269.474999994</v>
      </c>
    </row>
    <row r="35" spans="1:32" ht="36">
      <c r="A35" s="4688">
        <v>22</v>
      </c>
      <c r="B35" s="4689" t="s">
        <v>5512</v>
      </c>
      <c r="C35" s="4761">
        <v>46023</v>
      </c>
      <c r="D35" s="4691" t="s">
        <v>5516</v>
      </c>
      <c r="E35" s="4692">
        <v>46054</v>
      </c>
      <c r="F35" s="4762">
        <f t="shared" si="16"/>
        <v>101433292.07000001</v>
      </c>
      <c r="G35" s="4762">
        <v>3795936.02</v>
      </c>
      <c r="H35" s="4762">
        <v>0</v>
      </c>
      <c r="I35" s="4762">
        <v>-569390.4</v>
      </c>
      <c r="J35" s="4762">
        <f t="shared" si="20"/>
        <v>3226545.62</v>
      </c>
      <c r="K35" s="4695"/>
      <c r="L35" s="4696">
        <v>22</v>
      </c>
      <c r="M35" s="4697" t="s">
        <v>5517</v>
      </c>
      <c r="N35" s="4701">
        <v>46082</v>
      </c>
      <c r="O35" s="4698">
        <f t="shared" si="1"/>
        <v>46068</v>
      </c>
      <c r="P35" s="4699">
        <f t="shared" si="2"/>
        <v>-14</v>
      </c>
      <c r="Q35" s="4762">
        <f t="shared" si="10"/>
        <v>72655705.489999995</v>
      </c>
      <c r="R35" s="4694">
        <v>3795936.02</v>
      </c>
      <c r="S35" s="4694">
        <v>0</v>
      </c>
      <c r="T35" s="4694">
        <v>-569390.4</v>
      </c>
      <c r="U35" s="4763">
        <f t="shared" si="12"/>
        <v>3226545.62</v>
      </c>
      <c r="V35" s="4695"/>
      <c r="W35" s="4700" t="s">
        <v>5520</v>
      </c>
      <c r="X35" s="4698">
        <v>46094</v>
      </c>
      <c r="Y35" s="4698"/>
      <c r="Z35" s="4701">
        <v>46116</v>
      </c>
      <c r="AA35" s="4701">
        <f t="shared" si="4"/>
        <v>46124</v>
      </c>
      <c r="AB35" s="4699"/>
      <c r="AC35" s="4702">
        <f t="shared" ref="AC35" si="24">+U35</f>
        <v>3226545.62</v>
      </c>
      <c r="AD35" s="4702">
        <f t="shared" ref="AD35" si="25">+(AC35-T35)*0.15</f>
        <v>569390.40299999993</v>
      </c>
      <c r="AE35" s="4702">
        <f t="shared" ref="AE35" si="26">AC35+AD35</f>
        <v>3795936.023</v>
      </c>
      <c r="AF35" s="4702">
        <f t="shared" ref="AF35" si="27">+AE35+AF34</f>
        <v>72654205.497999996</v>
      </c>
    </row>
    <row r="36" spans="1:32" ht="33.75" customHeight="1">
      <c r="A36" s="4688">
        <v>23</v>
      </c>
      <c r="B36" s="4689" t="s">
        <v>5513</v>
      </c>
      <c r="C36" s="4761">
        <v>46055</v>
      </c>
      <c r="D36" s="4691" t="s">
        <v>5518</v>
      </c>
      <c r="E36" s="4692">
        <v>46082</v>
      </c>
      <c r="F36" s="4762">
        <f t="shared" si="16"/>
        <v>106483245.09</v>
      </c>
      <c r="G36" s="4762">
        <v>5049953.0199999996</v>
      </c>
      <c r="H36" s="4762">
        <v>0</v>
      </c>
      <c r="I36" s="4762">
        <v>-757492.95</v>
      </c>
      <c r="J36" s="4762">
        <f t="shared" si="20"/>
        <v>4292460.0699999994</v>
      </c>
      <c r="K36" s="1256"/>
      <c r="L36" s="4840">
        <v>23</v>
      </c>
      <c r="M36" s="4843" t="s">
        <v>5405</v>
      </c>
      <c r="N36" s="4701">
        <v>46124</v>
      </c>
      <c r="O36" s="4698">
        <f t="shared" si="1"/>
        <v>46096</v>
      </c>
      <c r="P36" s="4837">
        <f>O36-N36</f>
        <v>-28</v>
      </c>
      <c r="Q36" s="4844">
        <f>+R36+Q35</f>
        <v>74975529.059999987</v>
      </c>
      <c r="R36" s="4694">
        <v>2319823.5699999998</v>
      </c>
      <c r="S36" s="4845">
        <v>0</v>
      </c>
      <c r="T36" s="4845">
        <f>-R36*$T$12</f>
        <v>-347973.53549999994</v>
      </c>
      <c r="U36" s="4846">
        <f>R36+S36+T36</f>
        <v>1971850.0344999998</v>
      </c>
      <c r="V36" s="1256"/>
      <c r="W36" s="4700" t="s">
        <v>6315</v>
      </c>
      <c r="X36" s="4698">
        <v>46181</v>
      </c>
      <c r="Y36" s="4698"/>
      <c r="Z36" s="4701"/>
      <c r="AA36" s="4701">
        <f t="shared" si="4"/>
        <v>46211</v>
      </c>
      <c r="AB36" s="3245"/>
      <c r="AC36" s="3250"/>
      <c r="AD36" s="3250"/>
      <c r="AE36" s="3250"/>
      <c r="AF36" s="3250"/>
    </row>
    <row r="37" spans="1:32" ht="33.75" customHeight="1">
      <c r="A37" s="4688">
        <v>24</v>
      </c>
      <c r="B37" s="4689" t="s">
        <v>6536</v>
      </c>
      <c r="C37" s="4761">
        <v>46174</v>
      </c>
      <c r="D37" s="4691" t="s">
        <v>6537</v>
      </c>
      <c r="E37" s="4692">
        <v>46218</v>
      </c>
      <c r="F37" s="4762">
        <f t="shared" ref="F37" si="28">+G37+F36</f>
        <v>108065923.04000001</v>
      </c>
      <c r="G37" s="4762">
        <v>1582677.95</v>
      </c>
      <c r="H37" s="4762">
        <v>0</v>
      </c>
      <c r="I37" s="4762">
        <v>-757492.95</v>
      </c>
      <c r="J37" s="4762">
        <f t="shared" ref="J37" si="29">G37+H37+I37</f>
        <v>825185</v>
      </c>
      <c r="K37" s="1256"/>
      <c r="L37" s="4840">
        <v>24</v>
      </c>
      <c r="M37" s="4697" t="s">
        <v>6538</v>
      </c>
      <c r="N37" s="4701">
        <v>46224</v>
      </c>
      <c r="O37" s="4698">
        <f t="shared" ref="O37" si="30">E37+14</f>
        <v>46232</v>
      </c>
      <c r="P37" s="4837">
        <f>O37-N37</f>
        <v>8</v>
      </c>
      <c r="Q37" s="4844">
        <f>+R37+Q36</f>
        <v>76558197.00999999</v>
      </c>
      <c r="R37" s="4694">
        <v>1582667.95</v>
      </c>
      <c r="S37" s="4845">
        <v>0</v>
      </c>
      <c r="T37" s="4845">
        <f>-R37*$T$12</f>
        <v>-237400.19249999998</v>
      </c>
      <c r="U37" s="4846">
        <f>R37+S37+T37</f>
        <v>1345267.7575000001</v>
      </c>
      <c r="V37" s="1256"/>
      <c r="W37" s="4700" t="s">
        <v>6614</v>
      </c>
      <c r="X37" s="4698">
        <v>46257</v>
      </c>
      <c r="Y37" s="4698"/>
      <c r="Z37" s="4701"/>
      <c r="AA37" s="4701">
        <f t="shared" ref="AA37" si="31">+X37+30</f>
        <v>46287</v>
      </c>
      <c r="AB37" s="1324"/>
      <c r="AC37" s="1327"/>
      <c r="AD37" s="1327"/>
      <c r="AE37" s="1327"/>
      <c r="AF37" s="1327"/>
    </row>
    <row r="38" spans="1:32" s="3489" customFormat="1" ht="8.25" customHeight="1">
      <c r="A38" s="4660"/>
      <c r="B38" s="4661"/>
      <c r="C38" s="4662"/>
      <c r="D38" s="4663"/>
      <c r="E38" s="4664"/>
      <c r="F38" s="4665"/>
      <c r="G38" s="4665"/>
      <c r="H38" s="4665"/>
      <c r="I38" s="4665"/>
      <c r="J38" s="4665"/>
      <c r="K38" s="4666"/>
      <c r="L38" s="4667"/>
      <c r="M38" s="4668"/>
      <c r="N38" s="4669"/>
      <c r="O38" s="4670"/>
      <c r="P38" s="4671"/>
      <c r="Q38" s="4665"/>
      <c r="R38" s="4672"/>
      <c r="S38" s="4672"/>
      <c r="T38" s="4672"/>
      <c r="U38" s="4673"/>
      <c r="V38" s="4666"/>
      <c r="W38" s="4674"/>
      <c r="X38" s="4670"/>
      <c r="Y38" s="4670"/>
      <c r="Z38" s="4669"/>
      <c r="AA38" s="4669"/>
      <c r="AB38" s="4671"/>
      <c r="AC38" s="4675"/>
      <c r="AD38" s="4675"/>
      <c r="AE38" s="4675"/>
      <c r="AF38" s="4675"/>
    </row>
    <row r="39" spans="1:32" ht="24.75" customHeight="1" collapsed="1" thickBot="1">
      <c r="A39" s="6045" t="s">
        <v>1522</v>
      </c>
      <c r="B39" s="6046"/>
      <c r="C39" s="6046"/>
      <c r="D39" s="6046"/>
      <c r="E39" s="6046"/>
      <c r="F39" s="6047"/>
      <c r="G39" s="1338">
        <f>SUM(G14:G38)</f>
        <v>108065923.04000001</v>
      </c>
      <c r="H39" s="1338">
        <f>SUM(H14:H38)</f>
        <v>0</v>
      </c>
      <c r="I39" s="1338">
        <f>SUM(I14:I38)</f>
        <v>-16804911.864999998</v>
      </c>
      <c r="J39" s="1338">
        <f>SUM(J14:J38)</f>
        <v>91261011.174999997</v>
      </c>
      <c r="K39" s="1256"/>
      <c r="L39" s="1339" t="s">
        <v>1522</v>
      </c>
      <c r="M39" s="1343"/>
      <c r="N39" s="1340"/>
      <c r="O39" s="1340"/>
      <c r="P39" s="1340"/>
      <c r="Q39" s="1340"/>
      <c r="R39" s="1341">
        <f>SUM(R14:R38)</f>
        <v>76558197.00999999</v>
      </c>
      <c r="S39" s="1338">
        <f>SUM(S14:S38)</f>
        <v>0</v>
      </c>
      <c r="T39" s="1338">
        <f>SUM(T14:T38)</f>
        <v>-11485229.543500002</v>
      </c>
      <c r="U39" s="1338">
        <f>SUM(U14:U38)</f>
        <v>65072967.466499999</v>
      </c>
      <c r="V39" s="1256"/>
      <c r="W39" s="1342" t="s">
        <v>1522</v>
      </c>
      <c r="X39" s="1343"/>
      <c r="Y39" s="1343"/>
      <c r="Z39" s="1343"/>
      <c r="AA39" s="1343"/>
      <c r="AB39" s="1343"/>
      <c r="AC39" s="1341">
        <f>SUM(AC14:AC38)</f>
        <v>61755849.674499996</v>
      </c>
      <c r="AD39" s="1338">
        <f>SUM(AD14:AD38)</f>
        <v>10898355.823500004</v>
      </c>
      <c r="AE39" s="1338">
        <f>SUM(AE14:AE38)</f>
        <v>72654205.497999996</v>
      </c>
      <c r="AF39" s="1338">
        <f>+AF30</f>
        <v>55223620.781500004</v>
      </c>
    </row>
    <row r="40" spans="1:32">
      <c r="A40" s="1360"/>
      <c r="B40" s="1256"/>
      <c r="C40" s="1255"/>
      <c r="D40" s="1257"/>
      <c r="E40" s="1361"/>
      <c r="F40" s="1258"/>
      <c r="G40" s="1258"/>
      <c r="H40" s="1258"/>
      <c r="I40" s="1258"/>
      <c r="J40" s="1258"/>
      <c r="K40" s="1256"/>
      <c r="L40" s="1360"/>
      <c r="M40" s="2852"/>
      <c r="N40" s="1362"/>
      <c r="O40" s="1362"/>
      <c r="P40" s="1362"/>
      <c r="Q40" s="1360"/>
      <c r="R40" s="1360"/>
      <c r="S40" s="1360"/>
      <c r="T40" s="1360"/>
      <c r="U40" s="1363"/>
      <c r="V40" s="1256"/>
      <c r="W40" s="1360"/>
      <c r="X40" s="1360"/>
      <c r="Y40" s="1364"/>
      <c r="Z40" s="1362"/>
      <c r="AA40" s="1362"/>
      <c r="AB40" s="1362"/>
      <c r="AC40" s="1360"/>
      <c r="AD40" s="1364"/>
      <c r="AE40" s="1362"/>
      <c r="AF40" s="1362"/>
    </row>
    <row r="41" spans="1:32">
      <c r="A41" s="1360"/>
      <c r="B41" s="1256"/>
      <c r="C41" s="1255"/>
      <c r="D41" s="1257"/>
      <c r="E41" s="1361"/>
      <c r="F41" s="1258"/>
      <c r="G41" s="1258"/>
      <c r="H41" s="1258"/>
      <c r="I41" s="1258"/>
      <c r="J41" s="1258"/>
      <c r="K41" s="1256"/>
      <c r="L41" s="1360"/>
      <c r="M41" s="2852"/>
      <c r="N41" s="1362"/>
      <c r="O41" s="1362"/>
      <c r="P41" s="1257"/>
      <c r="Q41" s="1258"/>
      <c r="R41" s="1258"/>
      <c r="S41" s="1258"/>
      <c r="T41" s="1258"/>
      <c r="U41" s="1258">
        <f>+U39-T39</f>
        <v>76558197.010000005</v>
      </c>
      <c r="V41" s="1256"/>
      <c r="W41" s="1360"/>
      <c r="X41" s="1360"/>
      <c r="Y41" s="1364"/>
      <c r="Z41" s="1362"/>
      <c r="AA41" s="1362"/>
      <c r="AB41" s="1362"/>
      <c r="AC41" s="1360"/>
      <c r="AD41" s="1364"/>
      <c r="AE41" s="1362"/>
      <c r="AF41" s="1362"/>
    </row>
    <row r="42" spans="1:32">
      <c r="A42" s="1365"/>
      <c r="B42" s="1256"/>
      <c r="C42" s="1255"/>
      <c r="D42" s="1257"/>
      <c r="E42" s="1361"/>
      <c r="F42" s="1366"/>
      <c r="G42" s="1366"/>
      <c r="H42" s="1366"/>
      <c r="I42" s="1366"/>
      <c r="J42" s="1258"/>
      <c r="K42" s="1256"/>
      <c r="L42" s="1365"/>
      <c r="M42" s="2853">
        <f>403092.61/11085046.72</f>
        <v>3.6363636544059594E-2</v>
      </c>
      <c r="N42" s="1365"/>
      <c r="O42" s="1365"/>
      <c r="P42" s="1257"/>
      <c r="Q42" s="1366"/>
      <c r="R42" s="1366"/>
      <c r="S42" s="1366"/>
      <c r="T42" s="1366"/>
      <c r="U42" s="1366"/>
      <c r="V42" s="1256"/>
      <c r="W42" s="1365"/>
      <c r="X42" s="1365"/>
      <c r="Y42" s="1365"/>
      <c r="Z42" s="1362"/>
      <c r="AA42" s="1362"/>
      <c r="AB42" s="1362"/>
      <c r="AC42" s="1259">
        <f>+AC19+AC18</f>
        <v>1650167.7910000002</v>
      </c>
      <c r="AD42" s="1365"/>
      <c r="AE42" s="1362"/>
      <c r="AF42" s="1362"/>
    </row>
    <row r="43" spans="1:32">
      <c r="D43" s="1257"/>
      <c r="E43" s="153">
        <v>44197</v>
      </c>
      <c r="F43" s="1366"/>
      <c r="P43" s="1257"/>
      <c r="Q43" s="1366"/>
      <c r="R43" s="1366">
        <f>+R14+R15+R16+R17+R18+R19+R20</f>
        <v>22167964.910000004</v>
      </c>
      <c r="S43" s="1366"/>
      <c r="T43" s="1366"/>
      <c r="U43" s="1366"/>
      <c r="AA43" s="153">
        <v>44094</v>
      </c>
      <c r="AC43" s="1367"/>
    </row>
    <row r="44" spans="1:32">
      <c r="D44" s="1257"/>
      <c r="E44" s="153">
        <f>E43-45</f>
        <v>44152</v>
      </c>
      <c r="F44" s="1366"/>
      <c r="P44" s="1257"/>
      <c r="Q44" s="1366"/>
      <c r="R44" s="1366"/>
      <c r="S44" s="1366"/>
      <c r="T44" s="1366"/>
      <c r="U44" s="1366"/>
      <c r="AA44" s="153">
        <f>AA43-45</f>
        <v>44049</v>
      </c>
    </row>
    <row r="45" spans="1:32">
      <c r="D45" s="1257"/>
      <c r="F45" s="1366"/>
      <c r="H45" s="153">
        <v>43986</v>
      </c>
      <c r="R45" s="652"/>
      <c r="S45" s="652"/>
      <c r="T45" s="652"/>
      <c r="U45" s="652"/>
    </row>
    <row r="47" spans="1:32">
      <c r="AC47" t="s">
        <v>2330</v>
      </c>
    </row>
    <row r="48" spans="1:32">
      <c r="AC48" s="3018">
        <v>45222</v>
      </c>
      <c r="AD48" s="3018">
        <v>45253</v>
      </c>
      <c r="AE48" s="3018">
        <v>45283</v>
      </c>
    </row>
    <row r="49" spans="6:29">
      <c r="AC49" s="3020">
        <v>11439880.26</v>
      </c>
    </row>
    <row r="52" spans="6:29">
      <c r="F52" s="3020">
        <v>60238743.090000004</v>
      </c>
    </row>
    <row r="53" spans="6:29">
      <c r="F53" s="3020">
        <v>55223620.780000001</v>
      </c>
    </row>
    <row r="54" spans="6:29">
      <c r="F54" s="3020">
        <f>+F52-F53</f>
        <v>5015122.3100000024</v>
      </c>
    </row>
  </sheetData>
  <mergeCells count="4">
    <mergeCell ref="A10:J10"/>
    <mergeCell ref="L10:U10"/>
    <mergeCell ref="W10:AF10"/>
    <mergeCell ref="A39:F39"/>
  </mergeCells>
  <printOptions horizontalCentered="1"/>
  <pageMargins left="0.25" right="0.25" top="0.75" bottom="0.75" header="0.3" footer="0.3"/>
  <pageSetup paperSize="8" scale="64" fitToHeight="2" orientation="landscape" r:id="rId1"/>
  <headerFooter>
    <oddHeader>&amp;C&amp;"Calibri,Bold"&amp;18MONTHLY REPORT - INVOICE &amp; PAYMENT TRACKING LOG (DEPA)</oddHeader>
    <oddFooter>&amp;L1TB.01.003.01 - AYC 
MARCH'26 REPORT&amp;C&amp;A&amp;RPage &amp;P of &amp;N</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24778-8E6E-42CE-82C4-2057249544DA}">
  <sheetPr codeName="Sheet45">
    <tabColor theme="7" tint="0.39997558519241921"/>
    <pageSetUpPr fitToPage="1"/>
  </sheetPr>
  <dimension ref="A1:AH47"/>
  <sheetViews>
    <sheetView showGridLines="0" view="pageBreakPreview" zoomScale="70" zoomScaleNormal="100" zoomScaleSheetLayoutView="70" workbookViewId="0">
      <selection activeCell="L29" sqref="L29"/>
    </sheetView>
  </sheetViews>
  <sheetFormatPr defaultColWidth="9" defaultRowHeight="12.75"/>
  <cols>
    <col min="1" max="1" width="10.85546875" customWidth="1"/>
    <col min="2" max="2" width="10.42578125" customWidth="1"/>
    <col min="3" max="3" width="11.42578125" customWidth="1"/>
    <col min="4" max="4" width="10.85546875" bestFit="1" customWidth="1"/>
    <col min="5" max="5" width="9.85546875" bestFit="1" customWidth="1"/>
    <col min="6" max="6" width="14" customWidth="1"/>
    <col min="7" max="7" width="12.85546875" bestFit="1" customWidth="1"/>
    <col min="8" max="9" width="11.85546875" bestFit="1" customWidth="1"/>
    <col min="10" max="10" width="13.85546875" customWidth="1"/>
    <col min="11" max="11" width="0.85546875" customWidth="1"/>
    <col min="12" max="12" width="6" customWidth="1"/>
    <col min="13" max="13" width="17.85546875" style="2854" bestFit="1" customWidth="1"/>
    <col min="14" max="15" width="9.5703125" bestFit="1" customWidth="1"/>
    <col min="16" max="16" width="7.85546875" customWidth="1"/>
    <col min="17" max="18" width="16" customWidth="1"/>
    <col min="19" max="19" width="11.42578125" customWidth="1"/>
    <col min="20" max="20" width="12" customWidth="1"/>
    <col min="21" max="21" width="14.5703125" customWidth="1"/>
    <col min="22" max="22" width="0.85546875" customWidth="1"/>
    <col min="23" max="23" width="14" bestFit="1" customWidth="1"/>
    <col min="24" max="24" width="9.85546875" bestFit="1" customWidth="1"/>
    <col min="25" max="25" width="9" hidden="1" customWidth="1"/>
    <col min="26" max="26" width="9.85546875" bestFit="1" customWidth="1"/>
    <col min="27" max="27" width="10" customWidth="1"/>
    <col min="28" max="28" width="7" customWidth="1"/>
    <col min="29" max="29" width="15.28515625" bestFit="1" customWidth="1"/>
    <col min="30" max="30" width="15" customWidth="1"/>
    <col min="31" max="32" width="14" customWidth="1"/>
    <col min="33" max="33" width="13.5703125" bestFit="1" customWidth="1"/>
    <col min="34" max="34" width="11.85546875" bestFit="1" customWidth="1"/>
  </cols>
  <sheetData>
    <row r="1" spans="1:34">
      <c r="A1" s="1255"/>
      <c r="B1" s="1256"/>
      <c r="C1" s="1255"/>
      <c r="D1" s="1257"/>
      <c r="E1" s="1257"/>
      <c r="F1" s="1258"/>
      <c r="G1" s="1258"/>
      <c r="H1" s="1258"/>
      <c r="I1" s="1258"/>
      <c r="J1" s="1258"/>
      <c r="K1" s="1257"/>
      <c r="L1" s="1255"/>
      <c r="M1" s="2848"/>
      <c r="N1" s="1255"/>
      <c r="O1" s="1255"/>
      <c r="P1" s="1255"/>
      <c r="Q1" s="1255"/>
      <c r="R1" s="1255"/>
      <c r="S1" s="1255"/>
      <c r="T1" s="1255"/>
      <c r="U1" s="1259"/>
      <c r="V1" s="1257"/>
      <c r="W1" s="1257"/>
      <c r="X1" s="1257"/>
      <c r="Y1" s="1257"/>
      <c r="Z1" s="1257"/>
      <c r="AA1" s="1257"/>
      <c r="AB1" s="1257"/>
      <c r="AC1" s="1257"/>
      <c r="AD1" s="1257"/>
      <c r="AE1" s="1257"/>
      <c r="AF1" s="1257"/>
    </row>
    <row r="2" spans="1:34">
      <c r="A2" s="9" t="str">
        <f>'Data Input'!A1&amp;" - "&amp;'Data Input'!B1</f>
        <v>PROGRAMME: - MARINA VILLAGE (PROGRAMME 1_TRIPLE BAY)</v>
      </c>
      <c r="B2" s="1256"/>
      <c r="C2" s="1255"/>
      <c r="D2" s="1257"/>
      <c r="E2" s="1257"/>
      <c r="F2" s="1258"/>
      <c r="G2" s="1258"/>
      <c r="H2" s="1258"/>
      <c r="I2" s="1258"/>
      <c r="J2" s="1258"/>
      <c r="K2" s="1257"/>
      <c r="L2" s="1255"/>
      <c r="M2" s="2848"/>
      <c r="N2" s="1255"/>
      <c r="O2" s="1255"/>
      <c r="P2" s="1255"/>
      <c r="Q2" s="1255"/>
      <c r="R2" s="1255"/>
      <c r="S2" s="1255"/>
      <c r="T2" s="1255"/>
      <c r="U2" s="1259"/>
      <c r="V2" s="1257"/>
      <c r="W2" s="1257"/>
      <c r="X2" s="1257"/>
      <c r="Y2" s="1257"/>
      <c r="Z2" s="1257"/>
      <c r="AA2" s="1257"/>
      <c r="AB2" s="1257"/>
      <c r="AC2" s="1257"/>
      <c r="AD2" s="1257"/>
      <c r="AE2" s="1257"/>
      <c r="AF2" s="1257"/>
    </row>
    <row r="3" spans="1:34">
      <c r="A3" s="9" t="str">
        <f>'Data Input'!A2&amp;" - "&amp;'Data Input'!B2</f>
        <v>PROGRAMME CODE: - 1TB01003</v>
      </c>
      <c r="B3" s="1260"/>
      <c r="C3" s="1261"/>
      <c r="D3" s="1262"/>
      <c r="E3" s="1262"/>
      <c r="F3" s="1263"/>
      <c r="G3" s="1263"/>
      <c r="H3" s="1263"/>
      <c r="I3" s="1263"/>
      <c r="J3" s="1264"/>
      <c r="K3" s="1265"/>
      <c r="L3" s="1265"/>
      <c r="M3" s="1262"/>
      <c r="N3" s="1265"/>
      <c r="O3" s="1266"/>
      <c r="P3" s="1265"/>
      <c r="Q3" s="1265"/>
      <c r="R3" s="1265"/>
      <c r="S3" s="1265"/>
      <c r="T3" s="1265"/>
      <c r="U3" s="1267"/>
      <c r="V3" s="1265"/>
      <c r="W3" s="1265"/>
      <c r="X3" s="1265"/>
      <c r="Y3" s="1265"/>
      <c r="Z3" s="1265"/>
      <c r="AA3" s="1265"/>
      <c r="AB3" s="1265"/>
      <c r="AC3" s="1265"/>
      <c r="AD3" s="1265"/>
      <c r="AE3" s="1265"/>
      <c r="AF3" s="1265"/>
    </row>
    <row r="4" spans="1:34">
      <c r="A4" s="9" t="str">
        <f>'Data Input'!A3&amp;" - "&amp;'Data Input'!B3</f>
        <v>ASSET NAME: - AMAALA YACHT CLUB</v>
      </c>
      <c r="B4" s="1260"/>
      <c r="C4" s="1268"/>
      <c r="D4" s="1265"/>
      <c r="E4" s="1265"/>
      <c r="F4" s="1267"/>
      <c r="G4" s="1267"/>
      <c r="H4" s="1267"/>
      <c r="I4" s="1267"/>
      <c r="J4" s="1269"/>
      <c r="K4" s="1265"/>
      <c r="L4" s="1265"/>
      <c r="M4" s="1262"/>
      <c r="N4" s="1265"/>
      <c r="O4" s="1266"/>
      <c r="P4" s="1265"/>
      <c r="Q4" s="1265"/>
      <c r="R4" s="1265"/>
      <c r="S4" s="1265"/>
      <c r="T4" s="1265"/>
      <c r="U4" s="1267"/>
      <c r="V4" s="1265"/>
      <c r="W4" s="1265"/>
      <c r="X4" s="1265"/>
      <c r="Y4" s="1265"/>
      <c r="Z4" s="1265"/>
      <c r="AA4" s="1265"/>
      <c r="AB4" s="1265"/>
      <c r="AC4" s="1265"/>
      <c r="AD4" s="1265"/>
      <c r="AE4" s="1265"/>
      <c r="AF4" s="1265"/>
    </row>
    <row r="5" spans="1:34">
      <c r="A5" s="9" t="str">
        <f>'Data Input'!A4&amp;" - "&amp;'Data Input'!B4</f>
        <v>ASSET CODE: - 1TB01003.01</v>
      </c>
      <c r="B5" s="1270"/>
      <c r="C5" s="1268"/>
      <c r="D5" s="1265"/>
      <c r="E5" s="1265"/>
      <c r="F5" s="1267"/>
      <c r="G5" s="1267"/>
      <c r="H5" s="1267"/>
      <c r="I5" s="1267"/>
      <c r="J5" s="1269"/>
      <c r="K5" s="1265"/>
      <c r="L5" s="1265"/>
      <c r="M5" s="1262"/>
      <c r="N5" s="1265"/>
      <c r="O5" s="1266"/>
      <c r="P5" s="1265"/>
      <c r="Q5" s="1265"/>
      <c r="R5" s="1271"/>
      <c r="S5" s="1265"/>
      <c r="T5" s="1265"/>
      <c r="U5" s="1267"/>
      <c r="V5" s="1265"/>
      <c r="W5" s="1265"/>
      <c r="X5" s="1265"/>
      <c r="Y5" s="1265"/>
      <c r="Z5" s="1265"/>
      <c r="AA5" s="1265"/>
      <c r="AB5" s="1265"/>
      <c r="AC5" s="1265"/>
      <c r="AD5" s="1265"/>
      <c r="AE5" s="1265"/>
      <c r="AF5" s="1265"/>
    </row>
    <row r="6" spans="1:34">
      <c r="A6" s="9" t="str">
        <f>'Data Input'!A7&amp;" - "&amp;'Data Input'!B7</f>
        <v>REPORT NO: - MONTHLY REPORT NO. 49</v>
      </c>
      <c r="B6" s="1272"/>
      <c r="C6" s="1268"/>
      <c r="D6" s="1265"/>
      <c r="E6" s="1265"/>
      <c r="F6" s="1267"/>
      <c r="G6" s="1267"/>
      <c r="H6" s="1267"/>
      <c r="I6" s="1267"/>
      <c r="J6" s="1269"/>
      <c r="K6" s="1265"/>
      <c r="L6" s="1265"/>
      <c r="M6" s="1262"/>
      <c r="N6" s="1265"/>
      <c r="O6" s="1266"/>
      <c r="P6" s="1265"/>
      <c r="Q6" s="1265"/>
      <c r="R6" s="1273"/>
      <c r="S6" s="1265"/>
      <c r="T6" s="1271"/>
      <c r="U6" s="1267"/>
      <c r="V6" s="1265"/>
      <c r="W6" s="1265"/>
      <c r="X6" s="1265"/>
      <c r="Y6" s="1265"/>
      <c r="Z6" s="1265"/>
      <c r="AA6" s="1265"/>
      <c r="AB6" s="1265"/>
      <c r="AC6" s="1265"/>
      <c r="AD6" s="1265"/>
      <c r="AE6" s="1265"/>
      <c r="AF6" s="1265"/>
    </row>
    <row r="7" spans="1:34">
      <c r="A7" s="9" t="str">
        <f>'Data Input'!A8&amp;" - "&amp;'Data Input'!B8</f>
        <v>REPORTING PERIOD: - OCTOBER 2026</v>
      </c>
      <c r="B7" s="1262"/>
      <c r="C7" s="1274"/>
      <c r="D7" s="1262"/>
      <c r="E7" s="1262"/>
      <c r="F7" s="1263"/>
      <c r="G7" s="1263"/>
      <c r="H7" s="1263"/>
      <c r="I7" s="1263"/>
      <c r="J7" s="1264"/>
      <c r="K7" s="1265"/>
      <c r="L7" s="1265"/>
      <c r="M7" s="1262"/>
      <c r="N7" s="1265"/>
      <c r="O7" s="1265"/>
      <c r="P7" s="1265"/>
      <c r="Q7" s="1267"/>
      <c r="R7" s="1263"/>
      <c r="S7" s="1263"/>
      <c r="T7" s="1263"/>
      <c r="U7" s="1267"/>
      <c r="V7" s="1265"/>
      <c r="W7" s="1265"/>
      <c r="X7" s="1265"/>
      <c r="Y7" s="1265"/>
      <c r="Z7" s="1265"/>
      <c r="AA7" s="1265"/>
      <c r="AB7" s="1265"/>
      <c r="AC7" s="1265"/>
      <c r="AD7" s="1265"/>
      <c r="AE7" s="1265"/>
      <c r="AF7" s="1265"/>
    </row>
    <row r="8" spans="1:34" ht="13.5" thickBot="1">
      <c r="A8" s="9"/>
      <c r="B8" s="1256"/>
      <c r="C8" s="1255"/>
      <c r="D8" s="1257"/>
      <c r="E8" s="1257"/>
      <c r="F8" s="1258"/>
      <c r="G8" s="1258"/>
      <c r="H8" s="1258"/>
      <c r="I8" s="1258"/>
      <c r="J8" s="1258"/>
      <c r="K8" s="1257"/>
      <c r="L8" s="1255"/>
      <c r="M8" s="2848"/>
      <c r="N8" s="1275"/>
      <c r="O8" s="1276"/>
      <c r="P8" s="1255"/>
      <c r="Q8" s="1255"/>
      <c r="R8" s="1255"/>
      <c r="S8" s="1255"/>
      <c r="T8" s="1255"/>
      <c r="U8" s="1259"/>
      <c r="V8" s="1257"/>
      <c r="W8" s="1257"/>
      <c r="X8" s="1257"/>
      <c r="Y8" s="1257"/>
      <c r="Z8" s="1257"/>
      <c r="AA8" s="1257"/>
      <c r="AB8" s="1257"/>
      <c r="AC8" s="1257"/>
      <c r="AD8" s="1257"/>
      <c r="AE8" s="1257"/>
      <c r="AF8" s="1257"/>
    </row>
    <row r="9" spans="1:34" ht="30" customHeight="1" thickBot="1">
      <c r="A9" s="1354" t="str">
        <f>'Schedule B'!A204&amp;" - "&amp;'Schedule B'!C204</f>
        <v>FFEOSE.003F06 - FF&amp;E and OSE Procurement Agent (Areen Design Ltd)</v>
      </c>
      <c r="B9" s="1355"/>
      <c r="C9" s="1355"/>
      <c r="D9" s="1356"/>
      <c r="E9" s="1356"/>
      <c r="F9" s="1357"/>
      <c r="G9" s="1357"/>
      <c r="H9" s="1357"/>
      <c r="I9" s="1357"/>
      <c r="J9" s="1357"/>
      <c r="K9" s="1356"/>
      <c r="L9" s="1355"/>
      <c r="M9" s="2849"/>
      <c r="N9" s="1355"/>
      <c r="O9" s="1355"/>
      <c r="P9" s="1355"/>
      <c r="Q9" s="1355"/>
      <c r="R9" s="1355"/>
      <c r="S9" s="1355"/>
      <c r="T9" s="1355"/>
      <c r="U9" s="1358"/>
      <c r="V9" s="1356"/>
      <c r="W9" s="1356"/>
      <c r="X9" s="1356"/>
      <c r="Y9" s="1356"/>
      <c r="Z9" s="1356"/>
      <c r="AA9" s="1356"/>
      <c r="AB9" s="1356"/>
      <c r="AC9" s="1356"/>
      <c r="AD9" s="1356"/>
      <c r="AE9" s="1356"/>
      <c r="AF9" s="1359"/>
    </row>
    <row r="10" spans="1:34">
      <c r="A10" s="6051" t="s">
        <v>1524</v>
      </c>
      <c r="B10" s="6052"/>
      <c r="C10" s="6052"/>
      <c r="D10" s="6052"/>
      <c r="E10" s="6052"/>
      <c r="F10" s="6052"/>
      <c r="G10" s="6053"/>
      <c r="H10" s="6053"/>
      <c r="I10" s="6053"/>
      <c r="J10" s="6054"/>
      <c r="K10" s="1256"/>
      <c r="L10" s="6055" t="s">
        <v>1525</v>
      </c>
      <c r="M10" s="6056"/>
      <c r="N10" s="6056"/>
      <c r="O10" s="6056"/>
      <c r="P10" s="6056"/>
      <c r="Q10" s="6056"/>
      <c r="R10" s="6057"/>
      <c r="S10" s="6057"/>
      <c r="T10" s="6057"/>
      <c r="U10" s="6058"/>
      <c r="V10" s="1256"/>
      <c r="W10" s="6043" t="s">
        <v>1526</v>
      </c>
      <c r="X10" s="6044"/>
      <c r="Y10" s="6044"/>
      <c r="Z10" s="6044"/>
      <c r="AA10" s="6044"/>
      <c r="AB10" s="6044"/>
      <c r="AC10" s="6044"/>
      <c r="AD10" s="6044"/>
      <c r="AE10" s="6044"/>
      <c r="AF10" s="6059"/>
    </row>
    <row r="11" spans="1:34" ht="60" customHeight="1">
      <c r="A11" s="1283" t="s">
        <v>1462</v>
      </c>
      <c r="B11" s="1284" t="s">
        <v>1527</v>
      </c>
      <c r="C11" s="1284" t="s">
        <v>1528</v>
      </c>
      <c r="D11" s="1285" t="s">
        <v>1744</v>
      </c>
      <c r="E11" s="1285" t="s">
        <v>1530</v>
      </c>
      <c r="F11" s="1286" t="s">
        <v>1531</v>
      </c>
      <c r="G11" s="1287" t="s">
        <v>1532</v>
      </c>
      <c r="H11" s="1287" t="s">
        <v>1533</v>
      </c>
      <c r="I11" s="1287" t="s">
        <v>1534</v>
      </c>
      <c r="J11" s="1288" t="s">
        <v>1535</v>
      </c>
      <c r="K11" s="1289"/>
      <c r="L11" s="763" t="s">
        <v>1536</v>
      </c>
      <c r="M11" s="1290" t="s">
        <v>1601</v>
      </c>
      <c r="N11" s="1290" t="s">
        <v>1530</v>
      </c>
      <c r="O11" s="1290" t="s">
        <v>2151</v>
      </c>
      <c r="P11" s="764" t="s">
        <v>1539</v>
      </c>
      <c r="Q11" s="1291" t="s">
        <v>1540</v>
      </c>
      <c r="R11" s="1292" t="s">
        <v>1541</v>
      </c>
      <c r="S11" s="1292" t="s">
        <v>1533</v>
      </c>
      <c r="T11" s="1292" t="s">
        <v>1534</v>
      </c>
      <c r="U11" s="1293" t="s">
        <v>1542</v>
      </c>
      <c r="V11" s="1256"/>
      <c r="W11" s="1294" t="s">
        <v>3085</v>
      </c>
      <c r="X11" s="2839" t="s">
        <v>2087</v>
      </c>
      <c r="Y11" s="1295" t="s">
        <v>1544</v>
      </c>
      <c r="Z11" s="1296" t="s">
        <v>1545</v>
      </c>
      <c r="AA11" s="1296" t="s">
        <v>1761</v>
      </c>
      <c r="AB11" s="769" t="s">
        <v>1539</v>
      </c>
      <c r="AC11" s="769" t="s">
        <v>1547</v>
      </c>
      <c r="AD11" s="769" t="s">
        <v>3086</v>
      </c>
      <c r="AE11" s="1296" t="s">
        <v>1549</v>
      </c>
      <c r="AF11" s="1297" t="s">
        <v>1550</v>
      </c>
    </row>
    <row r="12" spans="1:34" ht="22.5" customHeight="1">
      <c r="A12" s="1298"/>
      <c r="B12" s="1299"/>
      <c r="C12" s="1300"/>
      <c r="D12" s="1301"/>
      <c r="E12" s="1302" t="s">
        <v>296</v>
      </c>
      <c r="F12" s="1303" t="s">
        <v>434</v>
      </c>
      <c r="G12" s="1303" t="s">
        <v>434</v>
      </c>
      <c r="H12" s="1304" t="s">
        <v>805</v>
      </c>
      <c r="I12" s="1304" t="s">
        <v>805</v>
      </c>
      <c r="J12" s="1305" t="s">
        <v>434</v>
      </c>
      <c r="K12" s="1256"/>
      <c r="L12" s="765"/>
      <c r="M12" s="766"/>
      <c r="N12" s="1306" t="s">
        <v>296</v>
      </c>
      <c r="O12" s="766" t="s">
        <v>3084</v>
      </c>
      <c r="P12" s="1307" t="s">
        <v>1552</v>
      </c>
      <c r="Q12" s="767" t="s">
        <v>434</v>
      </c>
      <c r="R12" s="767" t="s">
        <v>434</v>
      </c>
      <c r="S12" s="1308" t="s">
        <v>805</v>
      </c>
      <c r="T12" s="1308" t="s">
        <v>805</v>
      </c>
      <c r="U12" s="768" t="s">
        <v>434</v>
      </c>
      <c r="V12" s="1256"/>
      <c r="W12" s="770"/>
      <c r="X12" s="2840"/>
      <c r="Y12" s="1309" t="s">
        <v>296</v>
      </c>
      <c r="Z12" s="1309" t="s">
        <v>296</v>
      </c>
      <c r="AA12" s="1309" t="s">
        <v>3102</v>
      </c>
      <c r="AB12" s="1310" t="s">
        <v>1552</v>
      </c>
      <c r="AC12" s="1311"/>
      <c r="AD12" s="3593">
        <v>-0.05</v>
      </c>
      <c r="AE12" s="1309" t="s">
        <v>296</v>
      </c>
      <c r="AF12" s="1313" t="s">
        <v>296</v>
      </c>
    </row>
    <row r="13" spans="1:34" s="722" customFormat="1" ht="24.75" customHeight="1">
      <c r="A13" s="1314"/>
      <c r="B13" s="1314"/>
      <c r="C13" s="1314"/>
      <c r="D13" s="1314"/>
      <c r="E13" s="1314" t="s">
        <v>1481</v>
      </c>
      <c r="F13" s="1314"/>
      <c r="G13" s="1314"/>
      <c r="H13" s="1314"/>
      <c r="I13" s="1314"/>
      <c r="J13" s="1314"/>
      <c r="K13" s="1255"/>
      <c r="L13" s="1315"/>
      <c r="M13" s="1315"/>
      <c r="N13" s="1316" t="s">
        <v>1482</v>
      </c>
      <c r="O13" s="1314" t="s">
        <v>2084</v>
      </c>
      <c r="P13" s="1317" t="s">
        <v>1555</v>
      </c>
      <c r="Q13" s="1318" t="s">
        <v>1556</v>
      </c>
      <c r="R13" s="1318" t="s">
        <v>1557</v>
      </c>
      <c r="S13" s="1319" t="s">
        <v>1605</v>
      </c>
      <c r="T13" s="1319" t="s">
        <v>1606</v>
      </c>
      <c r="U13" s="1318" t="s">
        <v>1560</v>
      </c>
      <c r="V13" s="1255"/>
      <c r="W13" s="1316"/>
      <c r="X13" s="1316" t="s">
        <v>1561</v>
      </c>
      <c r="Y13" s="1316"/>
      <c r="Z13" s="1316" t="s">
        <v>2088</v>
      </c>
      <c r="AA13" s="1316" t="s">
        <v>2089</v>
      </c>
      <c r="AB13" s="1317" t="s">
        <v>2091</v>
      </c>
      <c r="AC13" s="1314" t="s">
        <v>2092</v>
      </c>
      <c r="AD13" s="1319" t="s">
        <v>5525</v>
      </c>
      <c r="AE13" s="1316" t="s">
        <v>2094</v>
      </c>
      <c r="AF13" s="1316"/>
    </row>
    <row r="14" spans="1:34" s="2837" customFormat="1" ht="41.25" customHeight="1">
      <c r="A14" s="4688">
        <v>1</v>
      </c>
      <c r="B14" s="4689" t="s">
        <v>1763</v>
      </c>
      <c r="C14" s="4761" t="s">
        <v>3968</v>
      </c>
      <c r="D14" s="4691" t="s">
        <v>3087</v>
      </c>
      <c r="E14" s="4692">
        <v>45533</v>
      </c>
      <c r="F14" s="4762">
        <f>+G14</f>
        <v>8437500</v>
      </c>
      <c r="G14" s="4694">
        <v>8437500</v>
      </c>
      <c r="H14" s="4694">
        <v>0</v>
      </c>
      <c r="I14" s="4694">
        <v>0</v>
      </c>
      <c r="J14" s="4694">
        <f t="shared" ref="J14:J21" si="0">G14+H14+I14</f>
        <v>8437500</v>
      </c>
      <c r="K14" s="4695"/>
      <c r="L14" s="4696">
        <v>1</v>
      </c>
      <c r="M14" s="4697" t="s">
        <v>3088</v>
      </c>
      <c r="N14" s="4692">
        <v>45551</v>
      </c>
      <c r="O14" s="4698">
        <f t="shared" ref="O14:O25" si="1">E14+21</f>
        <v>45554</v>
      </c>
      <c r="P14" s="4699">
        <f t="shared" ref="P14:P25" si="2">O14-N14</f>
        <v>3</v>
      </c>
      <c r="Q14" s="4693">
        <f>+R14</f>
        <v>8437500</v>
      </c>
      <c r="R14" s="4694">
        <v>8437500</v>
      </c>
      <c r="S14" s="4694">
        <v>0</v>
      </c>
      <c r="T14" s="4694">
        <v>0</v>
      </c>
      <c r="U14" s="4694">
        <f t="shared" ref="U14:U20" si="3">R14+S14+T14</f>
        <v>8437500</v>
      </c>
      <c r="V14" s="4695"/>
      <c r="W14" s="4700" t="s">
        <v>3089</v>
      </c>
      <c r="X14" s="4703">
        <v>45565</v>
      </c>
      <c r="Y14" s="4698"/>
      <c r="Z14" s="4701">
        <v>45565</v>
      </c>
      <c r="AA14" s="4701">
        <f t="shared" ref="AA14:AA24" si="4">+X14+30</f>
        <v>45595</v>
      </c>
      <c r="AB14" s="4699">
        <f t="shared" ref="AB14:AB21" si="5">+AA14-Z14</f>
        <v>30</v>
      </c>
      <c r="AC14" s="4702">
        <f>+U14</f>
        <v>8437500</v>
      </c>
      <c r="AD14" s="4702">
        <v>0</v>
      </c>
      <c r="AE14" s="4702">
        <f t="shared" ref="AE14:AE20" si="6">AC14+AD14</f>
        <v>8437500</v>
      </c>
      <c r="AF14" s="4702">
        <f>+AE14</f>
        <v>8437500</v>
      </c>
      <c r="AG14" s="2842">
        <f>+AC14*1.15</f>
        <v>9703125</v>
      </c>
      <c r="AH14" s="2837">
        <f>+T14*0.15</f>
        <v>0</v>
      </c>
    </row>
    <row r="15" spans="1:34" ht="43.5" customHeight="1">
      <c r="A15" s="4688">
        <v>2</v>
      </c>
      <c r="B15" s="4689" t="s">
        <v>1764</v>
      </c>
      <c r="C15" s="4761" t="s">
        <v>3090</v>
      </c>
      <c r="D15" s="4691" t="s">
        <v>3091</v>
      </c>
      <c r="E15" s="4692">
        <v>45545</v>
      </c>
      <c r="F15" s="4762">
        <f t="shared" ref="F15:F25" si="7">+G15+F14</f>
        <v>8935900</v>
      </c>
      <c r="G15" s="4762">
        <v>498400</v>
      </c>
      <c r="H15" s="4694">
        <v>0</v>
      </c>
      <c r="I15" s="4694">
        <v>0</v>
      </c>
      <c r="J15" s="4694">
        <f t="shared" si="0"/>
        <v>498400</v>
      </c>
      <c r="K15" s="4695"/>
      <c r="L15" s="4696">
        <v>2</v>
      </c>
      <c r="M15" s="4697" t="s">
        <v>3092</v>
      </c>
      <c r="N15" s="4692">
        <v>45554</v>
      </c>
      <c r="O15" s="4698">
        <f t="shared" si="1"/>
        <v>45566</v>
      </c>
      <c r="P15" s="4699">
        <f t="shared" si="2"/>
        <v>12</v>
      </c>
      <c r="Q15" s="4693">
        <f t="shared" ref="Q15:Q25" si="8">+R15+Q14</f>
        <v>8935900</v>
      </c>
      <c r="R15" s="4693">
        <v>498400</v>
      </c>
      <c r="S15" s="4694">
        <v>0</v>
      </c>
      <c r="T15" s="4694">
        <v>0</v>
      </c>
      <c r="U15" s="4694">
        <f t="shared" si="3"/>
        <v>498400</v>
      </c>
      <c r="V15" s="4695"/>
      <c r="W15" s="4700" t="s">
        <v>3093</v>
      </c>
      <c r="X15" s="4703">
        <v>45561</v>
      </c>
      <c r="Y15" s="4698"/>
      <c r="Z15" s="4701">
        <v>45579</v>
      </c>
      <c r="AA15" s="4701">
        <f t="shared" si="4"/>
        <v>45591</v>
      </c>
      <c r="AB15" s="4699">
        <f t="shared" si="5"/>
        <v>12</v>
      </c>
      <c r="AC15" s="4702">
        <f t="shared" ref="AC15:AC20" si="9">+R15</f>
        <v>498400</v>
      </c>
      <c r="AD15" s="4702">
        <f>-(AC15-T15)*0.15</f>
        <v>-74760</v>
      </c>
      <c r="AE15" s="4702">
        <f t="shared" si="6"/>
        <v>423640</v>
      </c>
      <c r="AF15" s="4702">
        <f t="shared" ref="AF15:AF20" si="10">+AE15+AF14</f>
        <v>8861140</v>
      </c>
      <c r="AH15" s="1367">
        <f>+AD14-AH14</f>
        <v>0</v>
      </c>
    </row>
    <row r="16" spans="1:34" ht="24" customHeight="1">
      <c r="A16" s="4688">
        <v>3</v>
      </c>
      <c r="B16" s="4689" t="s">
        <v>1765</v>
      </c>
      <c r="C16" s="4761" t="s">
        <v>3453</v>
      </c>
      <c r="D16" s="4691" t="s">
        <v>3452</v>
      </c>
      <c r="E16" s="4692">
        <v>45616</v>
      </c>
      <c r="F16" s="4762">
        <f t="shared" si="7"/>
        <v>9083825.6199999992</v>
      </c>
      <c r="G16" s="4762">
        <v>147925.62</v>
      </c>
      <c r="H16" s="4694">
        <v>0</v>
      </c>
      <c r="I16" s="4694">
        <v>0</v>
      </c>
      <c r="J16" s="4694">
        <f t="shared" si="0"/>
        <v>147925.62</v>
      </c>
      <c r="K16" s="4695"/>
      <c r="L16" s="4696">
        <v>3</v>
      </c>
      <c r="M16" s="4697" t="s">
        <v>3454</v>
      </c>
      <c r="N16" s="4692">
        <v>45621</v>
      </c>
      <c r="O16" s="4698">
        <f t="shared" si="1"/>
        <v>45637</v>
      </c>
      <c r="P16" s="4699">
        <f t="shared" si="2"/>
        <v>16</v>
      </c>
      <c r="Q16" s="4693">
        <f t="shared" si="8"/>
        <v>9083825.6199999992</v>
      </c>
      <c r="R16" s="4694">
        <v>147925.62</v>
      </c>
      <c r="S16" s="4694">
        <v>0</v>
      </c>
      <c r="T16" s="4694">
        <v>0</v>
      </c>
      <c r="U16" s="4694">
        <f t="shared" si="3"/>
        <v>147925.62</v>
      </c>
      <c r="V16" s="4695"/>
      <c r="W16" s="4700" t="s">
        <v>4332</v>
      </c>
      <c r="X16" s="4703">
        <v>45706</v>
      </c>
      <c r="Y16" s="4698"/>
      <c r="Z16" s="4701">
        <v>45783</v>
      </c>
      <c r="AA16" s="4701">
        <f t="shared" si="4"/>
        <v>45736</v>
      </c>
      <c r="AB16" s="4699">
        <f t="shared" si="5"/>
        <v>-47</v>
      </c>
      <c r="AC16" s="4702">
        <f t="shared" si="9"/>
        <v>147925.62</v>
      </c>
      <c r="AD16" s="4702">
        <f>-(AC16-T16)*0.15</f>
        <v>-22188.842999999997</v>
      </c>
      <c r="AE16" s="4702">
        <f t="shared" si="6"/>
        <v>125736.777</v>
      </c>
      <c r="AF16" s="4702">
        <f t="shared" si="10"/>
        <v>8986876.7770000007</v>
      </c>
      <c r="AG16">
        <f>+AD16/U16</f>
        <v>-0.15</v>
      </c>
    </row>
    <row r="17" spans="1:33" ht="36" customHeight="1">
      <c r="A17" s="4688">
        <v>4</v>
      </c>
      <c r="B17" s="4689" t="s">
        <v>1766</v>
      </c>
      <c r="C17" s="4761" t="s">
        <v>3970</v>
      </c>
      <c r="D17" s="4691" t="s">
        <v>3969</v>
      </c>
      <c r="E17" s="4692">
        <v>45712</v>
      </c>
      <c r="F17" s="4762">
        <f t="shared" si="7"/>
        <v>9241122.5899999999</v>
      </c>
      <c r="G17" s="4694">
        <v>157296.97</v>
      </c>
      <c r="H17" s="4694">
        <v>0</v>
      </c>
      <c r="I17" s="4694">
        <v>0</v>
      </c>
      <c r="J17" s="4694">
        <f t="shared" si="0"/>
        <v>157296.97</v>
      </c>
      <c r="K17" s="4695"/>
      <c r="L17" s="4696">
        <v>4</v>
      </c>
      <c r="M17" s="4697" t="s">
        <v>3965</v>
      </c>
      <c r="N17" s="4692">
        <v>45726</v>
      </c>
      <c r="O17" s="4698">
        <f t="shared" si="1"/>
        <v>45733</v>
      </c>
      <c r="P17" s="4699">
        <f t="shared" si="2"/>
        <v>7</v>
      </c>
      <c r="Q17" s="4693">
        <f t="shared" si="8"/>
        <v>9241122.5899999999</v>
      </c>
      <c r="R17" s="4694">
        <v>157296.97</v>
      </c>
      <c r="S17" s="4694">
        <v>0</v>
      </c>
      <c r="T17" s="4694">
        <v>0</v>
      </c>
      <c r="U17" s="4694">
        <f t="shared" si="3"/>
        <v>157296.97</v>
      </c>
      <c r="V17" s="4695"/>
      <c r="W17" s="4700" t="s">
        <v>4333</v>
      </c>
      <c r="X17" s="4698">
        <v>45747</v>
      </c>
      <c r="Y17" s="4698"/>
      <c r="Z17" s="4701">
        <v>45783</v>
      </c>
      <c r="AA17" s="4701">
        <f t="shared" si="4"/>
        <v>45777</v>
      </c>
      <c r="AB17" s="4699">
        <f t="shared" si="5"/>
        <v>-6</v>
      </c>
      <c r="AC17" s="4702">
        <f t="shared" si="9"/>
        <v>157296.97</v>
      </c>
      <c r="AD17" s="4702">
        <f>-(AC17-T17)*0.15</f>
        <v>-23594.5455</v>
      </c>
      <c r="AE17" s="4702">
        <f t="shared" si="6"/>
        <v>133702.42449999999</v>
      </c>
      <c r="AF17" s="4702">
        <f t="shared" si="10"/>
        <v>9120579.2015000004</v>
      </c>
    </row>
    <row r="18" spans="1:33" ht="36">
      <c r="A18" s="4688">
        <v>5</v>
      </c>
      <c r="B18" s="4689" t="s">
        <v>1767</v>
      </c>
      <c r="C18" s="4761" t="s">
        <v>3967</v>
      </c>
      <c r="D18" s="4691" t="s">
        <v>3966</v>
      </c>
      <c r="E18" s="4692">
        <v>45726</v>
      </c>
      <c r="F18" s="4762">
        <f t="shared" si="7"/>
        <v>11524587.59</v>
      </c>
      <c r="G18" s="4693">
        <v>2283465</v>
      </c>
      <c r="H18" s="4694">
        <v>0</v>
      </c>
      <c r="I18" s="4694">
        <v>0</v>
      </c>
      <c r="J18" s="4694">
        <f t="shared" si="0"/>
        <v>2283465</v>
      </c>
      <c r="K18" s="4695"/>
      <c r="L18" s="4696">
        <v>5</v>
      </c>
      <c r="M18" s="4697" t="s">
        <v>3965</v>
      </c>
      <c r="N18" s="4701">
        <v>45733</v>
      </c>
      <c r="O18" s="4698">
        <f t="shared" si="1"/>
        <v>45747</v>
      </c>
      <c r="P18" s="4699">
        <f t="shared" si="2"/>
        <v>14</v>
      </c>
      <c r="Q18" s="4693">
        <f t="shared" si="8"/>
        <v>11524587.59</v>
      </c>
      <c r="R18" s="4693">
        <v>2283465</v>
      </c>
      <c r="S18" s="4694">
        <v>0</v>
      </c>
      <c r="T18" s="4694">
        <v>0</v>
      </c>
      <c r="U18" s="4694">
        <f t="shared" si="3"/>
        <v>2283465</v>
      </c>
      <c r="V18" s="4695"/>
      <c r="W18" s="4700" t="s">
        <v>4234</v>
      </c>
      <c r="X18" s="4698">
        <v>45771</v>
      </c>
      <c r="Y18" s="4698"/>
      <c r="Z18" s="4701">
        <v>45777</v>
      </c>
      <c r="AA18" s="4701">
        <f t="shared" si="4"/>
        <v>45801</v>
      </c>
      <c r="AB18" s="4699">
        <f t="shared" si="5"/>
        <v>24</v>
      </c>
      <c r="AC18" s="4702">
        <f t="shared" si="9"/>
        <v>2283465</v>
      </c>
      <c r="AD18" s="4702">
        <v>0</v>
      </c>
      <c r="AE18" s="4702">
        <f t="shared" si="6"/>
        <v>2283465</v>
      </c>
      <c r="AF18" s="4702">
        <f t="shared" si="10"/>
        <v>11404044.2015</v>
      </c>
    </row>
    <row r="19" spans="1:33" ht="36">
      <c r="A19" s="4688">
        <v>6</v>
      </c>
      <c r="B19" s="4689" t="s">
        <v>1768</v>
      </c>
      <c r="C19" s="4761">
        <v>45682</v>
      </c>
      <c r="D19" s="4691" t="s">
        <v>4334</v>
      </c>
      <c r="E19" s="4692">
        <v>45733</v>
      </c>
      <c r="F19" s="4762">
        <f t="shared" si="7"/>
        <v>11615238.529999999</v>
      </c>
      <c r="G19" s="4694">
        <v>90650.94</v>
      </c>
      <c r="H19" s="4694">
        <v>0</v>
      </c>
      <c r="I19" s="4694">
        <v>0</v>
      </c>
      <c r="J19" s="4694">
        <f t="shared" si="0"/>
        <v>90650.94</v>
      </c>
      <c r="K19" s="4695"/>
      <c r="L19" s="4696">
        <v>6</v>
      </c>
      <c r="M19" s="4697" t="s">
        <v>4335</v>
      </c>
      <c r="N19" s="4701">
        <v>45778</v>
      </c>
      <c r="O19" s="4698">
        <f t="shared" si="1"/>
        <v>45754</v>
      </c>
      <c r="P19" s="4699">
        <f t="shared" si="2"/>
        <v>-24</v>
      </c>
      <c r="Q19" s="4693">
        <f t="shared" si="8"/>
        <v>11615238.529999999</v>
      </c>
      <c r="R19" s="4694">
        <v>90650.94</v>
      </c>
      <c r="S19" s="4694">
        <v>0</v>
      </c>
      <c r="T19" s="4694">
        <v>0</v>
      </c>
      <c r="U19" s="4694">
        <f t="shared" si="3"/>
        <v>90650.94</v>
      </c>
      <c r="V19" s="4695"/>
      <c r="W19" s="4700" t="s">
        <v>4336</v>
      </c>
      <c r="X19" s="4698">
        <v>45790</v>
      </c>
      <c r="Y19" s="4698"/>
      <c r="Z19" s="4701">
        <v>45813</v>
      </c>
      <c r="AA19" s="4701">
        <f t="shared" si="4"/>
        <v>45820</v>
      </c>
      <c r="AB19" s="4699">
        <f t="shared" si="5"/>
        <v>7</v>
      </c>
      <c r="AC19" s="4702">
        <f t="shared" si="9"/>
        <v>90650.94</v>
      </c>
      <c r="AD19" s="4702">
        <f>-(AC19-T19)*0.15</f>
        <v>-13597.641</v>
      </c>
      <c r="AE19" s="4702">
        <f t="shared" si="6"/>
        <v>77053.298999999999</v>
      </c>
      <c r="AF19" s="4702">
        <f t="shared" si="10"/>
        <v>11481097.500500001</v>
      </c>
    </row>
    <row r="20" spans="1:33" ht="36">
      <c r="A20" s="4688">
        <v>7</v>
      </c>
      <c r="B20" s="4689" t="s">
        <v>1769</v>
      </c>
      <c r="C20" s="4690" t="s">
        <v>4372</v>
      </c>
      <c r="D20" s="4691" t="s">
        <v>4373</v>
      </c>
      <c r="E20" s="4692">
        <v>45776</v>
      </c>
      <c r="F20" s="4762">
        <f t="shared" si="7"/>
        <v>20134372.280000001</v>
      </c>
      <c r="G20" s="4694">
        <v>8519133.75</v>
      </c>
      <c r="H20" s="4694">
        <v>0</v>
      </c>
      <c r="I20" s="4694">
        <v>0</v>
      </c>
      <c r="J20" s="4694">
        <f t="shared" si="0"/>
        <v>8519133.75</v>
      </c>
      <c r="K20" s="4695"/>
      <c r="L20" s="4696">
        <v>7</v>
      </c>
      <c r="M20" s="4697" t="s">
        <v>4488</v>
      </c>
      <c r="N20" s="4701">
        <v>45825</v>
      </c>
      <c r="O20" s="4698">
        <f t="shared" si="1"/>
        <v>45797</v>
      </c>
      <c r="P20" s="4699">
        <f t="shared" si="2"/>
        <v>-28</v>
      </c>
      <c r="Q20" s="4762">
        <f t="shared" si="8"/>
        <v>20134372.280000001</v>
      </c>
      <c r="R20" s="4694">
        <v>8519133.75</v>
      </c>
      <c r="S20" s="4694">
        <v>0</v>
      </c>
      <c r="T20" s="4694">
        <v>0</v>
      </c>
      <c r="U20" s="4694">
        <f t="shared" si="3"/>
        <v>8519133.75</v>
      </c>
      <c r="V20" s="4695"/>
      <c r="W20" s="4700" t="s">
        <v>4487</v>
      </c>
      <c r="X20" s="4698">
        <v>45856</v>
      </c>
      <c r="Y20" s="4698"/>
      <c r="Z20" s="4701">
        <v>45869</v>
      </c>
      <c r="AA20" s="4701">
        <f t="shared" si="4"/>
        <v>45886</v>
      </c>
      <c r="AB20" s="4699">
        <f t="shared" si="5"/>
        <v>17</v>
      </c>
      <c r="AC20" s="4702">
        <f t="shared" si="9"/>
        <v>8519133.75</v>
      </c>
      <c r="AD20" s="4702">
        <v>0</v>
      </c>
      <c r="AE20" s="4702">
        <f t="shared" si="6"/>
        <v>8519133.75</v>
      </c>
      <c r="AF20" s="4702">
        <f t="shared" si="10"/>
        <v>20000231.250500001</v>
      </c>
      <c r="AG20" s="1367"/>
    </row>
    <row r="21" spans="1:33" ht="36">
      <c r="A21" s="4688">
        <v>8</v>
      </c>
      <c r="B21" s="4689" t="s">
        <v>1770</v>
      </c>
      <c r="C21" s="4761">
        <v>45748</v>
      </c>
      <c r="D21" s="4691" t="s">
        <v>4565</v>
      </c>
      <c r="E21" s="4692">
        <v>45834</v>
      </c>
      <c r="F21" s="4762">
        <f t="shared" si="7"/>
        <v>20176732.630000003</v>
      </c>
      <c r="G21" s="4694">
        <v>42360.35</v>
      </c>
      <c r="H21" s="4694">
        <v>0</v>
      </c>
      <c r="I21" s="4694">
        <v>0</v>
      </c>
      <c r="J21" s="4694">
        <f t="shared" si="0"/>
        <v>42360.35</v>
      </c>
      <c r="K21" s="4695"/>
      <c r="L21" s="4696">
        <v>8</v>
      </c>
      <c r="M21" s="4697" t="s">
        <v>4566</v>
      </c>
      <c r="N21" s="4701">
        <v>45841</v>
      </c>
      <c r="O21" s="4698">
        <f t="shared" si="1"/>
        <v>45855</v>
      </c>
      <c r="P21" s="4699">
        <f t="shared" si="2"/>
        <v>14</v>
      </c>
      <c r="Q21" s="4762">
        <f t="shared" si="8"/>
        <v>20176732.630000003</v>
      </c>
      <c r="R21" s="4694">
        <v>42360.35</v>
      </c>
      <c r="S21" s="4694">
        <v>0</v>
      </c>
      <c r="T21" s="4694">
        <v>0</v>
      </c>
      <c r="U21" s="4694">
        <f t="shared" ref="U21:U25" si="11">R21+S21+T21</f>
        <v>42360.35</v>
      </c>
      <c r="V21" s="4695"/>
      <c r="W21" s="4700" t="s">
        <v>4567</v>
      </c>
      <c r="X21" s="4698">
        <v>45874</v>
      </c>
      <c r="Y21" s="4698"/>
      <c r="Z21" s="4701">
        <v>45900</v>
      </c>
      <c r="AA21" s="4701">
        <f t="shared" si="4"/>
        <v>45904</v>
      </c>
      <c r="AB21" s="4699">
        <f t="shared" si="5"/>
        <v>4</v>
      </c>
      <c r="AC21" s="4702">
        <f>+R21</f>
        <v>42360.35</v>
      </c>
      <c r="AD21" s="4702">
        <f>-(AC21-T21)*0.15</f>
        <v>-6354.0524999999998</v>
      </c>
      <c r="AE21" s="4702">
        <f>AC21+AD21</f>
        <v>36006.297500000001</v>
      </c>
      <c r="AF21" s="4702">
        <f>+AE21+AF20</f>
        <v>20036237.548</v>
      </c>
    </row>
    <row r="22" spans="1:33" ht="36">
      <c r="A22" s="4688">
        <v>9</v>
      </c>
      <c r="B22" s="4689" t="s">
        <v>1771</v>
      </c>
      <c r="C22" s="4761" t="s">
        <v>4662</v>
      </c>
      <c r="D22" s="4691" t="s">
        <v>4661</v>
      </c>
      <c r="E22" s="4692">
        <v>45889</v>
      </c>
      <c r="F22" s="4762">
        <f t="shared" si="7"/>
        <v>20565168.130000003</v>
      </c>
      <c r="G22" s="4694">
        <v>388435.5</v>
      </c>
      <c r="H22" s="4694">
        <v>0</v>
      </c>
      <c r="I22" s="4694">
        <v>0</v>
      </c>
      <c r="J22" s="4694">
        <f t="shared" ref="J22:J27" si="12">G22+H22+I22</f>
        <v>388435.5</v>
      </c>
      <c r="K22" s="4695"/>
      <c r="L22" s="4696">
        <v>9</v>
      </c>
      <c r="M22" s="4697" t="s">
        <v>4741</v>
      </c>
      <c r="N22" s="4701">
        <v>45900</v>
      </c>
      <c r="O22" s="4698">
        <f t="shared" si="1"/>
        <v>45910</v>
      </c>
      <c r="P22" s="4699">
        <f t="shared" si="2"/>
        <v>10</v>
      </c>
      <c r="Q22" s="4762">
        <f t="shared" si="8"/>
        <v>20565168.130000003</v>
      </c>
      <c r="R22" s="4694">
        <v>388435.5</v>
      </c>
      <c r="S22" s="4694">
        <v>0</v>
      </c>
      <c r="T22" s="4694">
        <v>0</v>
      </c>
      <c r="U22" s="4694">
        <f t="shared" si="11"/>
        <v>388435.5</v>
      </c>
      <c r="V22" s="4695"/>
      <c r="W22" s="4700" t="s">
        <v>4896</v>
      </c>
      <c r="X22" s="4698">
        <v>45917</v>
      </c>
      <c r="Y22" s="4698"/>
      <c r="Z22" s="4701"/>
      <c r="AA22" s="4701">
        <f t="shared" si="4"/>
        <v>45947</v>
      </c>
      <c r="AB22" s="4699"/>
      <c r="AC22" s="4702">
        <f>+R22</f>
        <v>388435.5</v>
      </c>
      <c r="AD22" s="4702">
        <f>-(AC22-T22)*0.15</f>
        <v>-58265.324999999997</v>
      </c>
      <c r="AE22" s="4702">
        <f>AC22+AD22</f>
        <v>330170.17499999999</v>
      </c>
      <c r="AF22" s="4702">
        <f>+AE22+AF21</f>
        <v>20366407.723000001</v>
      </c>
    </row>
    <row r="23" spans="1:33" ht="36">
      <c r="A23" s="4688">
        <v>10</v>
      </c>
      <c r="B23" s="4689" t="s">
        <v>1626</v>
      </c>
      <c r="C23" s="4761">
        <v>45901</v>
      </c>
      <c r="D23" s="4691" t="s">
        <v>4739</v>
      </c>
      <c r="E23" s="4692">
        <v>45922</v>
      </c>
      <c r="F23" s="4762">
        <f t="shared" si="7"/>
        <v>20636956.760000002</v>
      </c>
      <c r="G23" s="4694">
        <v>71788.63</v>
      </c>
      <c r="H23" s="4694">
        <v>0</v>
      </c>
      <c r="I23" s="4694">
        <v>0</v>
      </c>
      <c r="J23" s="4694">
        <f t="shared" si="12"/>
        <v>71788.63</v>
      </c>
      <c r="K23" s="4695"/>
      <c r="L23" s="4696">
        <v>10</v>
      </c>
      <c r="M23" s="4697" t="s">
        <v>4740</v>
      </c>
      <c r="N23" s="4701">
        <v>45924</v>
      </c>
      <c r="O23" s="4698">
        <f t="shared" si="1"/>
        <v>45943</v>
      </c>
      <c r="P23" s="4699">
        <f t="shared" si="2"/>
        <v>19</v>
      </c>
      <c r="Q23" s="4762">
        <f t="shared" si="8"/>
        <v>20685331.630000003</v>
      </c>
      <c r="R23" s="4694">
        <v>120163.5</v>
      </c>
      <c r="S23" s="4694">
        <v>0</v>
      </c>
      <c r="T23" s="4694">
        <v>0</v>
      </c>
      <c r="U23" s="4694">
        <f t="shared" si="11"/>
        <v>120163.5</v>
      </c>
      <c r="V23" s="4695"/>
      <c r="W23" s="4700" t="s">
        <v>4754</v>
      </c>
      <c r="X23" s="4698">
        <v>45932</v>
      </c>
      <c r="Y23" s="4698"/>
      <c r="Z23" s="4698"/>
      <c r="AA23" s="4701">
        <f t="shared" si="4"/>
        <v>45962</v>
      </c>
      <c r="AB23" s="4699"/>
      <c r="AC23" s="4702">
        <f>+R23</f>
        <v>120163.5</v>
      </c>
      <c r="AD23" s="4702">
        <f>-(AC23-T23)*0.15</f>
        <v>-18024.524999999998</v>
      </c>
      <c r="AE23" s="4702">
        <f>AC23+AD23</f>
        <v>102138.97500000001</v>
      </c>
      <c r="AF23" s="4702">
        <f>+AE23+AF22</f>
        <v>20468546.698000003</v>
      </c>
    </row>
    <row r="24" spans="1:33" ht="36">
      <c r="A24" s="4688">
        <v>11</v>
      </c>
      <c r="B24" s="4689" t="s">
        <v>1628</v>
      </c>
      <c r="C24" s="4761">
        <v>45931</v>
      </c>
      <c r="D24" s="4691" t="s">
        <v>5157</v>
      </c>
      <c r="E24" s="4692">
        <v>45971</v>
      </c>
      <c r="F24" s="4762">
        <f t="shared" si="7"/>
        <v>20704628.07</v>
      </c>
      <c r="G24" s="4694">
        <v>67671.31</v>
      </c>
      <c r="H24" s="4694">
        <v>0</v>
      </c>
      <c r="I24" s="4694">
        <v>0</v>
      </c>
      <c r="J24" s="4694">
        <f t="shared" si="12"/>
        <v>67671.31</v>
      </c>
      <c r="K24" s="4695"/>
      <c r="L24" s="4696">
        <v>11</v>
      </c>
      <c r="M24" s="4697" t="s">
        <v>5170</v>
      </c>
      <c r="N24" s="4701">
        <v>45985</v>
      </c>
      <c r="O24" s="4698">
        <f t="shared" si="1"/>
        <v>45992</v>
      </c>
      <c r="P24" s="4699">
        <f t="shared" si="2"/>
        <v>7</v>
      </c>
      <c r="Q24" s="4762">
        <f t="shared" si="8"/>
        <v>20753002.940000001</v>
      </c>
      <c r="R24" s="4694">
        <v>67671.31</v>
      </c>
      <c r="S24" s="4694">
        <v>0</v>
      </c>
      <c r="T24" s="4694">
        <v>0</v>
      </c>
      <c r="U24" s="4694">
        <f t="shared" si="11"/>
        <v>67671.31</v>
      </c>
      <c r="V24" s="4695"/>
      <c r="W24" s="4700" t="s">
        <v>5524</v>
      </c>
      <c r="X24" s="4698">
        <v>45995</v>
      </c>
      <c r="Y24" s="4698"/>
      <c r="Z24" s="4698"/>
      <c r="AA24" s="4701">
        <f t="shared" si="4"/>
        <v>46025</v>
      </c>
      <c r="AB24" s="4699"/>
      <c r="AC24" s="4702">
        <f>+R24</f>
        <v>67671.31</v>
      </c>
      <c r="AD24" s="4702">
        <f>-(AC24-T24)*0.15</f>
        <v>-10150.6965</v>
      </c>
      <c r="AE24" s="4702">
        <f>AC24+AD24</f>
        <v>57520.613499999999</v>
      </c>
      <c r="AF24" s="4702">
        <f>+AE24+AF23</f>
        <v>20526067.311500002</v>
      </c>
      <c r="AG24" s="4504"/>
    </row>
    <row r="25" spans="1:33" ht="36">
      <c r="A25" s="4688">
        <v>12</v>
      </c>
      <c r="B25" s="4689" t="s">
        <v>1630</v>
      </c>
      <c r="C25" s="4690" t="s">
        <v>5522</v>
      </c>
      <c r="D25" s="4691" t="s">
        <v>5521</v>
      </c>
      <c r="E25" s="4692">
        <v>46069</v>
      </c>
      <c r="F25" s="4762">
        <f t="shared" si="7"/>
        <v>25036200.57</v>
      </c>
      <c r="G25" s="4762">
        <v>4331572.5</v>
      </c>
      <c r="H25" s="4694">
        <v>0</v>
      </c>
      <c r="I25" s="4694">
        <v>0</v>
      </c>
      <c r="J25" s="4694">
        <f t="shared" si="12"/>
        <v>4331572.5</v>
      </c>
      <c r="K25" s="4695"/>
      <c r="L25" s="4696">
        <v>12</v>
      </c>
      <c r="M25" s="4697" t="s">
        <v>5523</v>
      </c>
      <c r="N25" s="4701">
        <v>46082</v>
      </c>
      <c r="O25" s="4698">
        <f t="shared" si="1"/>
        <v>46090</v>
      </c>
      <c r="P25" s="4699">
        <f t="shared" si="2"/>
        <v>8</v>
      </c>
      <c r="Q25" s="4762">
        <f t="shared" si="8"/>
        <v>25084575.440000001</v>
      </c>
      <c r="R25" s="4694">
        <v>4331572.5</v>
      </c>
      <c r="S25" s="4694">
        <v>0</v>
      </c>
      <c r="T25" s="4694">
        <v>0</v>
      </c>
      <c r="U25" s="4694">
        <f t="shared" si="11"/>
        <v>4331572.5</v>
      </c>
      <c r="V25" s="4695"/>
      <c r="W25" s="4700" t="s">
        <v>5524</v>
      </c>
      <c r="X25" s="4698">
        <v>45729</v>
      </c>
      <c r="Y25" s="4698"/>
      <c r="Z25" s="4698">
        <v>46116</v>
      </c>
      <c r="AA25" s="4701">
        <f t="shared" ref="AA25:AA27" si="13">+X25+30</f>
        <v>45759</v>
      </c>
      <c r="AB25" s="4699"/>
      <c r="AC25" s="4702">
        <f>+R25</f>
        <v>4331572.5</v>
      </c>
      <c r="AD25" s="4702">
        <f>-(AC25-T25)*0.15</f>
        <v>-649735.875</v>
      </c>
      <c r="AE25" s="4702">
        <f>AC25+AD25</f>
        <v>3681836.625</v>
      </c>
      <c r="AF25" s="4702">
        <f>+AE25+AF24</f>
        <v>24207903.936500002</v>
      </c>
    </row>
    <row r="26" spans="1:33" ht="36">
      <c r="A26" s="4688">
        <v>13</v>
      </c>
      <c r="B26" s="4689" t="s">
        <v>1632</v>
      </c>
      <c r="C26" s="4690">
        <v>46082</v>
      </c>
      <c r="D26" s="4691" t="s">
        <v>6116</v>
      </c>
      <c r="E26" s="4692">
        <v>46121</v>
      </c>
      <c r="F26" s="4762">
        <f t="shared" ref="F26" si="14">+G26+F25</f>
        <v>25262308.809999999</v>
      </c>
      <c r="G26" s="4762">
        <v>226108.24</v>
      </c>
      <c r="H26" s="4694">
        <v>0</v>
      </c>
      <c r="I26" s="4694">
        <v>0</v>
      </c>
      <c r="J26" s="4694">
        <f t="shared" si="12"/>
        <v>226108.24</v>
      </c>
      <c r="K26" s="4695"/>
      <c r="L26" s="4696">
        <v>13</v>
      </c>
      <c r="M26" s="4697" t="s">
        <v>6117</v>
      </c>
      <c r="N26" s="4701">
        <v>46135</v>
      </c>
      <c r="O26" s="4698">
        <f t="shared" ref="O26" si="15">E26+21</f>
        <v>46142</v>
      </c>
      <c r="P26" s="4699">
        <f t="shared" ref="P26" si="16">O26-N26</f>
        <v>7</v>
      </c>
      <c r="Q26" s="4762">
        <f t="shared" ref="Q26" si="17">+R26+Q25</f>
        <v>25310683.68</v>
      </c>
      <c r="R26" s="4694">
        <v>226108.24</v>
      </c>
      <c r="S26" s="4694">
        <v>0</v>
      </c>
      <c r="T26" s="4694">
        <v>0</v>
      </c>
      <c r="U26" s="4694">
        <f>R26+S26+T26</f>
        <v>226108.24</v>
      </c>
      <c r="V26" s="1256"/>
      <c r="W26" s="4700" t="s">
        <v>6261</v>
      </c>
      <c r="X26" s="4698">
        <v>46161</v>
      </c>
      <c r="Y26" s="4698"/>
      <c r="Z26" s="4701"/>
      <c r="AA26" s="4701">
        <f t="shared" si="13"/>
        <v>46191</v>
      </c>
      <c r="AB26" s="1324"/>
      <c r="AC26" s="1327"/>
      <c r="AD26" s="1327"/>
      <c r="AE26" s="1327"/>
      <c r="AF26" s="1327"/>
    </row>
    <row r="27" spans="1:33" ht="36">
      <c r="A27" s="4688">
        <v>14</v>
      </c>
      <c r="B27" s="4689" t="s">
        <v>1634</v>
      </c>
      <c r="C27" s="4690">
        <v>46113</v>
      </c>
      <c r="D27" s="4691" t="s">
        <v>6214</v>
      </c>
      <c r="E27" s="4692">
        <v>46148</v>
      </c>
      <c r="F27" s="4762">
        <f t="shared" ref="F27" si="18">+G27+F26</f>
        <v>25284285.279999997</v>
      </c>
      <c r="G27" s="4762">
        <v>21976.47</v>
      </c>
      <c r="H27" s="4694">
        <v>0</v>
      </c>
      <c r="I27" s="4694">
        <v>0</v>
      </c>
      <c r="J27" s="4694">
        <f t="shared" si="12"/>
        <v>21976.47</v>
      </c>
      <c r="K27" s="4695"/>
      <c r="L27" s="4696">
        <v>14</v>
      </c>
      <c r="M27" s="4697" t="s">
        <v>6215</v>
      </c>
      <c r="N27" s="4701">
        <v>46135</v>
      </c>
      <c r="O27" s="4698">
        <f t="shared" ref="O27" si="19">E27+21</f>
        <v>46169</v>
      </c>
      <c r="P27" s="4699">
        <f t="shared" ref="P27" si="20">O27-N27</f>
        <v>34</v>
      </c>
      <c r="Q27" s="4762">
        <f t="shared" ref="Q27" si="21">+R27+Q26</f>
        <v>25332660.149999999</v>
      </c>
      <c r="R27" s="4694">
        <v>21976.47</v>
      </c>
      <c r="S27" s="4694">
        <v>0</v>
      </c>
      <c r="T27" s="4694">
        <v>0</v>
      </c>
      <c r="U27" s="4694">
        <f t="shared" ref="U27" si="22">R27+S27+T27</f>
        <v>21976.47</v>
      </c>
      <c r="V27" s="1256"/>
      <c r="W27" s="4700" t="s">
        <v>6270</v>
      </c>
      <c r="X27" s="4929">
        <v>46168</v>
      </c>
      <c r="Y27" s="4929"/>
      <c r="Z27" s="4930"/>
      <c r="AA27" s="4930">
        <f t="shared" si="13"/>
        <v>46198</v>
      </c>
      <c r="AB27" s="1324"/>
      <c r="AC27" s="1327"/>
      <c r="AD27" s="1327"/>
      <c r="AE27" s="1327"/>
      <c r="AF27" s="1327"/>
    </row>
    <row r="28" spans="1:33" ht="24">
      <c r="A28" s="4688">
        <v>15</v>
      </c>
      <c r="B28" s="4689" t="s">
        <v>1636</v>
      </c>
      <c r="C28" s="4690">
        <v>46143</v>
      </c>
      <c r="D28" s="4691" t="s">
        <v>6673</v>
      </c>
      <c r="E28" s="4692">
        <v>46205</v>
      </c>
      <c r="F28" s="4762">
        <f t="shared" ref="F28" si="23">+G28+F27</f>
        <v>25319298.819999997</v>
      </c>
      <c r="G28" s="4762">
        <v>35013.54</v>
      </c>
      <c r="H28" s="4694">
        <v>0</v>
      </c>
      <c r="I28" s="4694">
        <v>0</v>
      </c>
      <c r="J28" s="4694">
        <f t="shared" ref="J28" si="24">G28+H28+I28</f>
        <v>35013.54</v>
      </c>
      <c r="K28" s="4695"/>
      <c r="L28" s="4696">
        <v>15</v>
      </c>
      <c r="M28" s="4697" t="s">
        <v>6674</v>
      </c>
      <c r="N28" s="4701">
        <v>46288</v>
      </c>
      <c r="O28" s="4698">
        <f t="shared" ref="O28" si="25">E28+21</f>
        <v>46226</v>
      </c>
      <c r="P28" s="4699">
        <f t="shared" ref="P28" si="26">O28-N28</f>
        <v>-62</v>
      </c>
      <c r="Q28" s="4762">
        <f t="shared" ref="Q28" si="27">+R28+Q27</f>
        <v>25367673.689999998</v>
      </c>
      <c r="R28" s="4694">
        <v>35013.54</v>
      </c>
      <c r="S28" s="4694">
        <v>0</v>
      </c>
      <c r="T28" s="4694">
        <v>0</v>
      </c>
      <c r="U28" s="4694">
        <f t="shared" ref="U28" si="28">R28+S28+T28</f>
        <v>35013.54</v>
      </c>
      <c r="V28" s="1256"/>
      <c r="W28" s="723"/>
      <c r="X28" s="724"/>
      <c r="Y28" s="1323"/>
      <c r="Z28" s="1321"/>
      <c r="AA28" s="1321"/>
      <c r="AB28" s="1324"/>
      <c r="AC28" s="1327"/>
      <c r="AD28" s="1327"/>
      <c r="AE28" s="1327"/>
      <c r="AF28" s="1327"/>
    </row>
    <row r="29" spans="1:33">
      <c r="A29" s="723"/>
      <c r="B29" s="810"/>
      <c r="C29" s="1445"/>
      <c r="D29" s="2835"/>
      <c r="E29" s="1440"/>
      <c r="F29" s="1322"/>
      <c r="G29" s="1322"/>
      <c r="H29" s="1322"/>
      <c r="I29" s="1322"/>
      <c r="J29" s="1322"/>
      <c r="K29" s="1256"/>
      <c r="L29" s="1443"/>
      <c r="M29" s="2850"/>
      <c r="N29" s="1321"/>
      <c r="O29" s="1323"/>
      <c r="P29" s="1324"/>
      <c r="Q29" s="1322"/>
      <c r="R29" s="1444"/>
      <c r="S29" s="1444"/>
      <c r="T29" s="1444"/>
      <c r="U29" s="1328"/>
      <c r="V29" s="1256"/>
      <c r="W29" s="723"/>
      <c r="X29" s="724"/>
      <c r="Y29" s="1323"/>
      <c r="Z29" s="1321"/>
      <c r="AA29" s="1321"/>
      <c r="AB29" s="1324"/>
      <c r="AC29" s="1327"/>
      <c r="AD29" s="1327"/>
      <c r="AE29" s="1327"/>
      <c r="AF29" s="1327"/>
    </row>
    <row r="30" spans="1:33">
      <c r="A30" s="723"/>
      <c r="B30" s="810"/>
      <c r="C30" s="1445"/>
      <c r="D30" s="2835"/>
      <c r="E30" s="1440"/>
      <c r="F30" s="1322"/>
      <c r="G30" s="1322"/>
      <c r="H30" s="1322"/>
      <c r="I30" s="1322"/>
      <c r="J30" s="1322"/>
      <c r="K30" s="1256"/>
      <c r="L30" s="1443"/>
      <c r="M30" s="2850"/>
      <c r="N30" s="1321"/>
      <c r="O30" s="1323"/>
      <c r="P30" s="1324"/>
      <c r="Q30" s="1322"/>
      <c r="R30" s="1444"/>
      <c r="S30" s="1444"/>
      <c r="T30" s="1444"/>
      <c r="U30" s="1328"/>
      <c r="V30" s="1256"/>
      <c r="W30" s="723"/>
      <c r="X30" s="724"/>
      <c r="Y30" s="1323"/>
      <c r="Z30" s="1321"/>
      <c r="AA30" s="1321"/>
      <c r="AB30" s="1324"/>
      <c r="AC30" s="1327"/>
      <c r="AD30" s="1327"/>
      <c r="AE30" s="1327"/>
      <c r="AF30" s="1327"/>
    </row>
    <row r="31" spans="1:33">
      <c r="A31" s="723"/>
      <c r="B31" s="810"/>
      <c r="C31" s="1445"/>
      <c r="D31" s="2835"/>
      <c r="E31" s="1440"/>
      <c r="F31" s="1322"/>
      <c r="G31" s="1322"/>
      <c r="H31" s="1322"/>
      <c r="I31" s="1322"/>
      <c r="J31" s="1322"/>
      <c r="K31" s="1256"/>
      <c r="L31" s="1443"/>
      <c r="M31" s="2850"/>
      <c r="N31" s="1321"/>
      <c r="O31" s="1323"/>
      <c r="P31" s="1324"/>
      <c r="Q31" s="1322"/>
      <c r="R31" s="1444"/>
      <c r="S31" s="1444"/>
      <c r="T31" s="1444"/>
      <c r="U31" s="1328"/>
      <c r="V31" s="1256"/>
      <c r="W31" s="723"/>
      <c r="X31" s="724"/>
      <c r="Y31" s="1323"/>
      <c r="Z31" s="1321"/>
      <c r="AA31" s="1321"/>
      <c r="AB31" s="1324"/>
      <c r="AC31" s="1327"/>
      <c r="AD31" s="1327"/>
      <c r="AE31" s="1327"/>
      <c r="AF31" s="1327"/>
    </row>
    <row r="32" spans="1:33">
      <c r="A32" s="723"/>
      <c r="B32" s="810"/>
      <c r="C32" s="1445"/>
      <c r="D32" s="2835"/>
      <c r="E32" s="1440"/>
      <c r="F32" s="1322"/>
      <c r="G32" s="1322"/>
      <c r="H32" s="1322"/>
      <c r="I32" s="1322"/>
      <c r="J32" s="1322"/>
      <c r="K32" s="1256"/>
      <c r="L32" s="1443"/>
      <c r="M32" s="2850"/>
      <c r="N32" s="1321"/>
      <c r="O32" s="1323"/>
      <c r="P32" s="1324"/>
      <c r="Q32" s="1322"/>
      <c r="R32" s="1444"/>
      <c r="S32" s="1444"/>
      <c r="T32" s="1444"/>
      <c r="U32" s="1328"/>
      <c r="V32" s="1256"/>
      <c r="W32" s="723"/>
      <c r="X32" s="724"/>
      <c r="Y32" s="1323"/>
      <c r="Z32" s="1321"/>
      <c r="AA32" s="1321"/>
      <c r="AB32" s="1324"/>
      <c r="AC32" s="1327"/>
      <c r="AD32" s="1327"/>
      <c r="AE32" s="1327"/>
      <c r="AF32" s="1327"/>
    </row>
    <row r="33" spans="1:32">
      <c r="A33" s="723"/>
      <c r="B33" s="810"/>
      <c r="C33" s="1445"/>
      <c r="D33" s="1320"/>
      <c r="E33" s="1440"/>
      <c r="F33" s="1322"/>
      <c r="G33" s="1322"/>
      <c r="H33" s="1322"/>
      <c r="I33" s="1322"/>
      <c r="J33" s="1322"/>
      <c r="K33" s="1256"/>
      <c r="L33" s="1443"/>
      <c r="M33" s="2850"/>
      <c r="N33" s="1321"/>
      <c r="O33" s="1323"/>
      <c r="P33" s="1324"/>
      <c r="Q33" s="1322"/>
      <c r="R33" s="1444"/>
      <c r="S33" s="1444"/>
      <c r="T33" s="1444"/>
      <c r="U33" s="1328"/>
      <c r="V33" s="1256"/>
      <c r="W33" s="723"/>
      <c r="X33" s="724"/>
      <c r="Y33" s="1323"/>
      <c r="Z33" s="1321"/>
      <c r="AA33" s="1321"/>
      <c r="AB33" s="1324"/>
      <c r="AC33" s="1327"/>
      <c r="AD33" s="1327"/>
      <c r="AE33" s="1327"/>
      <c r="AF33" s="1327"/>
    </row>
    <row r="34" spans="1:32">
      <c r="A34" s="723"/>
      <c r="B34" s="810"/>
      <c r="C34" s="1445"/>
      <c r="D34" s="1320"/>
      <c r="E34" s="1440"/>
      <c r="F34" s="1322"/>
      <c r="G34" s="1322"/>
      <c r="H34" s="1322"/>
      <c r="I34" s="1322"/>
      <c r="J34" s="1322"/>
      <c r="K34" s="1256"/>
      <c r="L34" s="1443"/>
      <c r="M34" s="2850"/>
      <c r="N34" s="1321"/>
      <c r="O34" s="1323"/>
      <c r="P34" s="1324"/>
      <c r="Q34" s="1322"/>
      <c r="R34" s="1444"/>
      <c r="S34" s="1444"/>
      <c r="T34" s="1444"/>
      <c r="U34" s="1328"/>
      <c r="V34" s="1256"/>
      <c r="W34" s="723"/>
      <c r="X34" s="724"/>
      <c r="Y34" s="1323"/>
      <c r="Z34" s="1321"/>
      <c r="AA34" s="1321"/>
      <c r="AB34" s="1324"/>
      <c r="AC34" s="1327"/>
      <c r="AD34" s="1327"/>
      <c r="AE34" s="1327"/>
      <c r="AF34" s="1327"/>
    </row>
    <row r="35" spans="1:32">
      <c r="A35" s="723"/>
      <c r="B35" s="810"/>
      <c r="C35" s="1445"/>
      <c r="D35" s="1320"/>
      <c r="E35" s="1441"/>
      <c r="F35" s="1322"/>
      <c r="G35" s="1322"/>
      <c r="H35" s="1322"/>
      <c r="I35" s="1322"/>
      <c r="J35" s="1322"/>
      <c r="K35" s="1256"/>
      <c r="L35" s="1443"/>
      <c r="M35" s="2850"/>
      <c r="N35" s="1321"/>
      <c r="O35" s="1323"/>
      <c r="P35" s="1324"/>
      <c r="Q35" s="1322"/>
      <c r="R35" s="1444"/>
      <c r="S35" s="1444"/>
      <c r="T35" s="1444"/>
      <c r="U35" s="1328"/>
      <c r="V35" s="1256"/>
      <c r="W35" s="723"/>
      <c r="X35" s="724"/>
      <c r="Y35" s="1323"/>
      <c r="Z35" s="1321"/>
      <c r="AA35" s="1321"/>
      <c r="AB35" s="1324"/>
      <c r="AC35" s="1327"/>
      <c r="AD35" s="1327"/>
      <c r="AE35" s="1327"/>
      <c r="AF35" s="1327"/>
    </row>
    <row r="36" spans="1:32">
      <c r="A36" s="1329"/>
      <c r="B36" s="1330"/>
      <c r="C36" s="1440"/>
      <c r="D36" s="1331"/>
      <c r="E36" s="1442"/>
      <c r="F36" s="1332"/>
      <c r="G36" s="1332"/>
      <c r="H36" s="1332"/>
      <c r="I36" s="1332"/>
      <c r="J36" s="1332"/>
      <c r="K36" s="1256"/>
      <c r="L36" s="1329"/>
      <c r="M36" s="2851"/>
      <c r="N36" s="1334"/>
      <c r="O36" s="1334"/>
      <c r="P36" s="1335"/>
      <c r="Q36" s="1322"/>
      <c r="R36" s="1333"/>
      <c r="S36" s="1333"/>
      <c r="T36" s="1333"/>
      <c r="U36" s="1336"/>
      <c r="V36" s="1256"/>
      <c r="W36" s="1329"/>
      <c r="X36" s="1333"/>
      <c r="Y36" s="1337"/>
      <c r="Z36" s="1334"/>
      <c r="AA36" s="1334"/>
      <c r="AB36" s="1334"/>
      <c r="AC36" s="1329"/>
      <c r="AD36" s="1337"/>
      <c r="AE36" s="1334"/>
      <c r="AF36" s="1334"/>
    </row>
    <row r="37" spans="1:32" ht="24.75" customHeight="1" collapsed="1" thickBot="1">
      <c r="A37" s="6045" t="s">
        <v>1522</v>
      </c>
      <c r="B37" s="6046"/>
      <c r="C37" s="6046"/>
      <c r="D37" s="6046"/>
      <c r="E37" s="6046"/>
      <c r="F37" s="6047"/>
      <c r="G37" s="1338">
        <f>SUM(G14:G36)</f>
        <v>25319298.819999997</v>
      </c>
      <c r="H37" s="1338">
        <f>SUM(H14:H36)</f>
        <v>0</v>
      </c>
      <c r="I37" s="1338">
        <f>SUM(I14:I36)</f>
        <v>0</v>
      </c>
      <c r="J37" s="1338">
        <f>SUM(J14:J36)</f>
        <v>25319298.819999997</v>
      </c>
      <c r="K37" s="1256"/>
      <c r="L37" s="1339" t="s">
        <v>1522</v>
      </c>
      <c r="M37" s="1343"/>
      <c r="N37" s="1340"/>
      <c r="O37" s="1340"/>
      <c r="P37" s="1340"/>
      <c r="Q37" s="1340"/>
      <c r="R37" s="1341">
        <f>SUM(R14:R36)</f>
        <v>25367673.689999998</v>
      </c>
      <c r="S37" s="1338">
        <f>SUM(S14:S36)</f>
        <v>0</v>
      </c>
      <c r="T37" s="1338">
        <f>SUM(T14:T36)</f>
        <v>0</v>
      </c>
      <c r="U37" s="1338">
        <f>SUM(U14:U36)</f>
        <v>25367673.689999998</v>
      </c>
      <c r="V37" s="1256"/>
      <c r="W37" s="1342" t="s">
        <v>1522</v>
      </c>
      <c r="X37" s="1343"/>
      <c r="Y37" s="1343"/>
      <c r="Z37" s="1343"/>
      <c r="AA37" s="1343"/>
      <c r="AB37" s="1343"/>
      <c r="AC37" s="1341">
        <f>SUM(AC14:AC36)</f>
        <v>25084575.440000001</v>
      </c>
      <c r="AD37" s="1338">
        <f>SUM(AD14:AD36)</f>
        <v>-876671.50349999999</v>
      </c>
      <c r="AE37" s="1338">
        <f>SUM(AE14:AE36)</f>
        <v>24207903.936500002</v>
      </c>
      <c r="AF37" s="1338">
        <f>+AF21</f>
        <v>20036237.548</v>
      </c>
    </row>
    <row r="38" spans="1:32">
      <c r="A38" s="1360"/>
      <c r="B38" s="1256"/>
      <c r="C38" s="1255"/>
      <c r="D38" s="1257"/>
      <c r="E38" s="1361"/>
      <c r="F38" s="1258"/>
      <c r="G38" s="1258"/>
      <c r="H38" s="1258"/>
      <c r="I38" s="1258"/>
      <c r="J38" s="1258"/>
      <c r="K38" s="1256"/>
      <c r="L38" s="1360"/>
      <c r="M38" s="2852"/>
      <c r="N38" s="1362"/>
      <c r="O38" s="1362"/>
      <c r="P38" s="1362"/>
      <c r="Q38" s="1360"/>
      <c r="R38" s="1360"/>
      <c r="S38" s="1360"/>
      <c r="T38" s="1360"/>
      <c r="U38" s="1363"/>
      <c r="V38" s="1256"/>
      <c r="W38" s="1360"/>
      <c r="X38" s="1360"/>
      <c r="Y38" s="1364"/>
      <c r="Z38" s="1362"/>
      <c r="AA38" s="1362"/>
      <c r="AB38" s="1362"/>
      <c r="AC38" s="1360"/>
      <c r="AD38" s="1364"/>
      <c r="AE38" s="1362"/>
      <c r="AF38" s="1362"/>
    </row>
    <row r="39" spans="1:32">
      <c r="A39" s="1360"/>
      <c r="B39" s="1256"/>
      <c r="C39" s="1255"/>
      <c r="D39" s="1257"/>
      <c r="E39" s="1361"/>
      <c r="F39" s="1258"/>
      <c r="G39" s="1258"/>
      <c r="H39" s="1258"/>
      <c r="I39" s="1258"/>
      <c r="J39" s="1258"/>
      <c r="K39" s="1256"/>
      <c r="L39" s="1360"/>
      <c r="M39" s="2852"/>
      <c r="N39" s="1362"/>
      <c r="O39" s="1362"/>
      <c r="P39" s="1257"/>
      <c r="Q39" s="1258"/>
      <c r="R39" s="1258"/>
      <c r="S39" s="1258"/>
      <c r="T39" s="1258"/>
      <c r="U39" s="1258">
        <f>+U37-T37</f>
        <v>25367673.689999998</v>
      </c>
      <c r="V39" s="1256"/>
      <c r="W39" s="1360"/>
      <c r="X39" s="1360"/>
      <c r="Y39" s="1364"/>
      <c r="Z39" s="1362"/>
      <c r="AA39" s="1362"/>
      <c r="AB39" s="1362"/>
      <c r="AC39" s="1360"/>
      <c r="AD39" s="1364"/>
      <c r="AE39" s="1362"/>
      <c r="AF39" s="1362"/>
    </row>
    <row r="40" spans="1:32">
      <c r="A40" s="1365"/>
      <c r="B40" s="1256"/>
      <c r="C40" s="1255"/>
      <c r="D40" s="1257"/>
      <c r="E40" s="1361"/>
      <c r="F40" s="1366"/>
      <c r="G40" s="1366"/>
      <c r="H40" s="1366"/>
      <c r="I40" s="1366"/>
      <c r="J40" s="1258"/>
      <c r="K40" s="1256"/>
      <c r="L40" s="1365"/>
      <c r="M40" s="2853">
        <f>403092.61/11085046.72</f>
        <v>3.6363636544059594E-2</v>
      </c>
      <c r="N40" s="1365"/>
      <c r="O40" s="1365"/>
      <c r="P40" s="1257"/>
      <c r="Q40" s="1366"/>
      <c r="R40" s="1366"/>
      <c r="S40" s="1366"/>
      <c r="T40" s="1366"/>
      <c r="U40" s="1366"/>
      <c r="V40" s="1256"/>
      <c r="W40" s="1365"/>
      <c r="X40" s="1365"/>
      <c r="Y40" s="1365"/>
      <c r="Z40" s="1362"/>
      <c r="AA40" s="1362"/>
      <c r="AB40" s="1362"/>
      <c r="AC40" s="1365"/>
      <c r="AD40" s="1365"/>
      <c r="AE40" s="1362"/>
      <c r="AF40" s="1362"/>
    </row>
    <row r="41" spans="1:32">
      <c r="D41" s="1257"/>
      <c r="E41" s="153">
        <v>44197</v>
      </c>
      <c r="F41" s="1366"/>
      <c r="P41" s="1257"/>
      <c r="Q41" s="1366"/>
      <c r="R41" s="1366">
        <f>+R14+R15+R16+R17+R18+R19+R20</f>
        <v>20134372.280000001</v>
      </c>
      <c r="S41" s="1366"/>
      <c r="T41" s="1366"/>
      <c r="U41" s="1366"/>
      <c r="AA41" s="153">
        <v>44094</v>
      </c>
      <c r="AC41" s="1367"/>
    </row>
    <row r="42" spans="1:32">
      <c r="D42" s="1257"/>
      <c r="E42" s="153">
        <f>E41-45</f>
        <v>44152</v>
      </c>
      <c r="F42" s="1366"/>
      <c r="P42" s="1257"/>
      <c r="Q42" s="1366"/>
      <c r="R42" s="1366"/>
      <c r="S42" s="1366"/>
      <c r="T42" s="1366"/>
      <c r="U42" s="1366"/>
      <c r="AA42" s="153">
        <f>AA41-45</f>
        <v>44049</v>
      </c>
    </row>
    <row r="43" spans="1:32">
      <c r="D43" s="1257"/>
      <c r="F43" s="1366"/>
      <c r="H43" s="153">
        <v>43986</v>
      </c>
      <c r="R43" s="652"/>
      <c r="S43" s="652"/>
      <c r="T43" s="652"/>
      <c r="U43" s="652"/>
    </row>
    <row r="45" spans="1:32">
      <c r="AC45" t="s">
        <v>2330</v>
      </c>
    </row>
    <row r="46" spans="1:32">
      <c r="AC46" s="3018">
        <v>45222</v>
      </c>
      <c r="AD46" s="3018">
        <v>45253</v>
      </c>
      <c r="AE46" s="3018">
        <v>45283</v>
      </c>
    </row>
    <row r="47" spans="1:32">
      <c r="AC47" s="3020">
        <v>11439880.26</v>
      </c>
    </row>
  </sheetData>
  <mergeCells count="4">
    <mergeCell ref="A10:J10"/>
    <mergeCell ref="L10:U10"/>
    <mergeCell ref="W10:AF10"/>
    <mergeCell ref="A37:F37"/>
  </mergeCells>
  <printOptions horizontalCentered="1"/>
  <pageMargins left="0.25" right="0.25" top="0.75" bottom="0.75" header="0.3" footer="0.3"/>
  <pageSetup paperSize="8" scale="65" fitToHeight="2" orientation="landscape" r:id="rId1"/>
  <headerFooter>
    <oddHeader>&amp;C&amp;"Calibri,Bold"&amp;18MONTHLY REPORT - INVOICE &amp; PAYMENT TRACKING LOG (AREEN)</oddHeader>
    <oddFooter>&amp;L1TB.01.003.01 - AYC 
MARCH'26 REPORT&amp;C&amp;A&amp;RPage &amp;P of &amp;N</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B8A52-744A-4445-B9B4-AD4ED89C25DC}">
  <sheetPr codeName="Sheet46">
    <tabColor theme="7" tint="0.39997558519241921"/>
    <pageSetUpPr fitToPage="1"/>
  </sheetPr>
  <dimension ref="A1:AG47"/>
  <sheetViews>
    <sheetView showGridLines="0" view="pageBreakPreview" topLeftCell="C14" zoomScale="90" zoomScaleNormal="100" zoomScaleSheetLayoutView="90" workbookViewId="0">
      <selection activeCell="AA34" sqref="AA34"/>
    </sheetView>
  </sheetViews>
  <sheetFormatPr defaultColWidth="9" defaultRowHeight="12.75"/>
  <cols>
    <col min="1" max="1" width="10.85546875" customWidth="1"/>
    <col min="2" max="2" width="10.42578125" customWidth="1"/>
    <col min="3" max="3" width="11.42578125" customWidth="1"/>
    <col min="4" max="4" width="10.85546875" bestFit="1" customWidth="1"/>
    <col min="5" max="5" width="9.85546875" bestFit="1" customWidth="1"/>
    <col min="6" max="6" width="13.85546875" customWidth="1"/>
    <col min="7" max="7" width="13" bestFit="1" customWidth="1"/>
    <col min="8" max="9" width="11.85546875" bestFit="1" customWidth="1"/>
    <col min="10" max="10" width="13.85546875" customWidth="1"/>
    <col min="11" max="11" width="0.85546875" customWidth="1"/>
    <col min="12" max="12" width="6" customWidth="1"/>
    <col min="13" max="13" width="17.85546875" style="2854" bestFit="1" customWidth="1"/>
    <col min="14" max="15" width="9" customWidth="1"/>
    <col min="16" max="16" width="7.85546875" customWidth="1"/>
    <col min="17" max="17" width="13.85546875" customWidth="1"/>
    <col min="18" max="18" width="15.5703125" customWidth="1"/>
    <col min="19" max="19" width="11.85546875" customWidth="1"/>
    <col min="20" max="20" width="12.42578125" customWidth="1"/>
    <col min="21" max="21" width="14.5703125" customWidth="1"/>
    <col min="22" max="22" width="0.85546875" customWidth="1"/>
    <col min="23" max="23" width="14" bestFit="1" customWidth="1"/>
    <col min="24" max="24" width="9.85546875" bestFit="1" customWidth="1"/>
    <col min="25" max="25" width="9" hidden="1" customWidth="1"/>
    <col min="26" max="26" width="9" bestFit="1" customWidth="1"/>
    <col min="27" max="27" width="10" customWidth="1"/>
    <col min="28" max="28" width="7" customWidth="1"/>
    <col min="29" max="29" width="12.42578125" customWidth="1"/>
    <col min="30" max="30" width="13.5703125" customWidth="1"/>
    <col min="31" max="32" width="14" customWidth="1"/>
    <col min="33" max="33" width="13.5703125" bestFit="1" customWidth="1"/>
  </cols>
  <sheetData>
    <row r="1" spans="1:33">
      <c r="A1" s="1255"/>
      <c r="B1" s="1256"/>
      <c r="C1" s="1255"/>
      <c r="D1" s="1257"/>
      <c r="E1" s="1257"/>
      <c r="F1" s="1258"/>
      <c r="G1" s="1258"/>
      <c r="H1" s="1258"/>
      <c r="I1" s="1258"/>
      <c r="J1" s="1258"/>
      <c r="K1" s="1257"/>
      <c r="L1" s="1255"/>
      <c r="M1" s="2848"/>
      <c r="N1" s="1255"/>
      <c r="O1" s="1255"/>
      <c r="P1" s="1255"/>
      <c r="Q1" s="1255"/>
      <c r="R1" s="1255"/>
      <c r="S1" s="1255"/>
      <c r="T1" s="1255"/>
      <c r="U1" s="1259"/>
      <c r="V1" s="1257"/>
      <c r="W1" s="1257"/>
      <c r="X1" s="1257"/>
      <c r="Y1" s="1257"/>
      <c r="Z1" s="1257"/>
      <c r="AA1" s="1257"/>
      <c r="AB1" s="1257"/>
      <c r="AC1" s="1257"/>
      <c r="AD1" s="1257"/>
      <c r="AE1" s="1257"/>
      <c r="AF1" s="1257"/>
    </row>
    <row r="2" spans="1:33">
      <c r="A2" s="9" t="str">
        <f>'Data Input'!A1&amp;" - "&amp;'Data Input'!B1</f>
        <v>PROGRAMME: - MARINA VILLAGE (PROGRAMME 1_TRIPLE BAY)</v>
      </c>
      <c r="B2" s="1256"/>
      <c r="C2" s="1255"/>
      <c r="D2" s="1257"/>
      <c r="E2" s="1257"/>
      <c r="F2" s="1258"/>
      <c r="G2" s="1258"/>
      <c r="H2" s="1258"/>
      <c r="I2" s="1258"/>
      <c r="J2" s="1258"/>
      <c r="K2" s="1257"/>
      <c r="L2" s="1255"/>
      <c r="M2" s="2848"/>
      <c r="N2" s="1255"/>
      <c r="O2" s="1255"/>
      <c r="P2" s="1255"/>
      <c r="Q2" s="1255"/>
      <c r="R2" s="1255"/>
      <c r="S2" s="1255"/>
      <c r="T2" s="1255"/>
      <c r="U2" s="1259"/>
      <c r="V2" s="1257"/>
      <c r="W2" s="1257"/>
      <c r="X2" s="1257"/>
      <c r="Y2" s="1257"/>
      <c r="Z2" s="1257"/>
      <c r="AA2" s="1257"/>
      <c r="AB2" s="1257"/>
      <c r="AC2" s="1257"/>
      <c r="AD2" s="1257"/>
      <c r="AE2" s="1257"/>
      <c r="AF2" s="1257"/>
    </row>
    <row r="3" spans="1:33">
      <c r="A3" s="9" t="str">
        <f>'Data Input'!A2&amp;" - "&amp;'Data Input'!B2</f>
        <v>PROGRAMME CODE: - 1TB01003</v>
      </c>
      <c r="B3" s="1260"/>
      <c r="C3" s="1261"/>
      <c r="D3" s="1262"/>
      <c r="E3" s="1262"/>
      <c r="F3" s="1263"/>
      <c r="G3" s="1263"/>
      <c r="H3" s="1263"/>
      <c r="I3" s="1263"/>
      <c r="J3" s="1264"/>
      <c r="K3" s="1265"/>
      <c r="L3" s="1265"/>
      <c r="M3" s="1262"/>
      <c r="N3" s="1265"/>
      <c r="O3" s="1266"/>
      <c r="P3" s="1265"/>
      <c r="Q3" s="1265"/>
      <c r="R3" s="1265"/>
      <c r="S3" s="1265"/>
      <c r="T3" s="1265"/>
      <c r="U3" s="1267"/>
      <c r="V3" s="1265"/>
      <c r="W3" s="1265"/>
      <c r="X3" s="1265"/>
      <c r="Y3" s="1265"/>
      <c r="Z3" s="1265"/>
      <c r="AA3" s="1265"/>
      <c r="AB3" s="1265"/>
      <c r="AC3" s="1265"/>
      <c r="AD3" s="1265"/>
      <c r="AE3" s="1265"/>
      <c r="AF3" s="1265"/>
    </row>
    <row r="4" spans="1:33">
      <c r="A4" s="9" t="str">
        <f>'Data Input'!A3&amp;" - "&amp;'Data Input'!B3</f>
        <v>ASSET NAME: - AMAALA YACHT CLUB</v>
      </c>
      <c r="B4" s="1260"/>
      <c r="C4" s="1268"/>
      <c r="D4" s="1265"/>
      <c r="E4" s="1265"/>
      <c r="F4" s="1267"/>
      <c r="G4" s="1267"/>
      <c r="H4" s="1267"/>
      <c r="I4" s="1267"/>
      <c r="J4" s="1269"/>
      <c r="K4" s="1265"/>
      <c r="L4" s="1265"/>
      <c r="M4" s="1262"/>
      <c r="N4" s="1265"/>
      <c r="O4" s="1266"/>
      <c r="P4" s="1265"/>
      <c r="Q4" s="1265"/>
      <c r="R4" s="1265"/>
      <c r="S4" s="1265"/>
      <c r="T4" s="1265"/>
      <c r="U4" s="1267"/>
      <c r="V4" s="1265"/>
      <c r="W4" s="1265"/>
      <c r="X4" s="1265"/>
      <c r="Y4" s="1265"/>
      <c r="Z4" s="1265"/>
      <c r="AA4" s="1265"/>
      <c r="AB4" s="1265"/>
      <c r="AC4" s="1265"/>
      <c r="AD4" s="1265"/>
      <c r="AE4" s="1265"/>
      <c r="AF4" s="1265"/>
    </row>
    <row r="5" spans="1:33">
      <c r="A5" s="9" t="str">
        <f>'Data Input'!A4&amp;" - "&amp;'Data Input'!B4</f>
        <v>ASSET CODE: - 1TB01003.01</v>
      </c>
      <c r="B5" s="1270"/>
      <c r="C5" s="1268"/>
      <c r="D5" s="1265"/>
      <c r="E5" s="1265"/>
      <c r="F5" s="1267"/>
      <c r="G5" s="1267"/>
      <c r="H5" s="1267"/>
      <c r="I5" s="1267"/>
      <c r="J5" s="1269"/>
      <c r="K5" s="1265"/>
      <c r="L5" s="1265"/>
      <c r="M5" s="1262"/>
      <c r="N5" s="1265"/>
      <c r="O5" s="1266"/>
      <c r="P5" s="1265"/>
      <c r="Q5" s="1265"/>
      <c r="R5" s="1271"/>
      <c r="S5" s="1265"/>
      <c r="T5" s="1265"/>
      <c r="U5" s="1267"/>
      <c r="V5" s="1265"/>
      <c r="W5" s="1265"/>
      <c r="X5" s="1265"/>
      <c r="Y5" s="1265"/>
      <c r="Z5" s="1265"/>
      <c r="AA5" s="1265"/>
      <c r="AB5" s="1265"/>
      <c r="AC5" s="1265"/>
      <c r="AD5" s="1265"/>
      <c r="AE5" s="1265"/>
      <c r="AF5" s="1265"/>
    </row>
    <row r="6" spans="1:33">
      <c r="A6" s="9" t="str">
        <f>'Data Input'!A7&amp;" - "&amp;'Data Input'!B7</f>
        <v>REPORT NO: - MONTHLY REPORT NO. 49</v>
      </c>
      <c r="B6" s="1272"/>
      <c r="C6" s="1268"/>
      <c r="D6" s="1265"/>
      <c r="E6" s="1265"/>
      <c r="F6" s="1267"/>
      <c r="G6" s="1267"/>
      <c r="H6" s="1267"/>
      <c r="I6" s="1267"/>
      <c r="J6" s="1269"/>
      <c r="K6" s="1265"/>
      <c r="L6" s="1265"/>
      <c r="M6" s="1262"/>
      <c r="N6" s="1265"/>
      <c r="O6" s="1266"/>
      <c r="P6" s="1265"/>
      <c r="Q6" s="1265"/>
      <c r="R6" s="1273"/>
      <c r="S6" s="1265"/>
      <c r="T6" s="1271"/>
      <c r="U6" s="1267"/>
      <c r="V6" s="1265"/>
      <c r="W6" s="1265"/>
      <c r="X6" s="1265"/>
      <c r="Y6" s="1265"/>
      <c r="Z6" s="1265"/>
      <c r="AA6" s="1265"/>
      <c r="AB6" s="1265"/>
      <c r="AC6" s="1265"/>
      <c r="AD6" s="1265"/>
      <c r="AE6" s="1265"/>
      <c r="AF6" s="1265"/>
    </row>
    <row r="7" spans="1:33">
      <c r="A7" s="9" t="str">
        <f>'Data Input'!A8&amp;" - "&amp;'Data Input'!B8</f>
        <v>REPORTING PERIOD: - OCTOBER 2026</v>
      </c>
      <c r="B7" s="1262"/>
      <c r="C7" s="1274"/>
      <c r="D7" s="1262"/>
      <c r="E7" s="1262"/>
      <c r="F7" s="1263"/>
      <c r="G7" s="1263"/>
      <c r="H7" s="1263"/>
      <c r="I7" s="1263"/>
      <c r="J7" s="1264"/>
      <c r="K7" s="1265"/>
      <c r="L7" s="1265"/>
      <c r="M7" s="1262"/>
      <c r="N7" s="1265"/>
      <c r="O7" s="1265"/>
      <c r="P7" s="1265"/>
      <c r="Q7" s="1267"/>
      <c r="R7" s="1263"/>
      <c r="S7" s="1263"/>
      <c r="T7" s="1263"/>
      <c r="U7" s="1267"/>
      <c r="V7" s="1265"/>
      <c r="W7" s="1265"/>
      <c r="X7" s="1265"/>
      <c r="Y7" s="1265"/>
      <c r="Z7" s="1265"/>
      <c r="AA7" s="1265"/>
      <c r="AB7" s="1265"/>
      <c r="AC7" s="1265"/>
      <c r="AD7" s="1265"/>
      <c r="AE7" s="1265"/>
      <c r="AF7" s="1265"/>
    </row>
    <row r="8" spans="1:33" ht="13.5" thickBot="1">
      <c r="A8" s="9"/>
      <c r="B8" s="1256"/>
      <c r="C8" s="1255"/>
      <c r="D8" s="1257"/>
      <c r="E8" s="1257"/>
      <c r="F8" s="1258"/>
      <c r="G8" s="1258"/>
      <c r="H8" s="1258"/>
      <c r="I8" s="1258"/>
      <c r="J8" s="1258"/>
      <c r="K8" s="1257"/>
      <c r="L8" s="1255"/>
      <c r="M8" s="2848"/>
      <c r="N8" s="1275"/>
      <c r="O8" s="1276"/>
      <c r="P8" s="1255"/>
      <c r="Q8" s="1255"/>
      <c r="R8" s="1255"/>
      <c r="S8" s="1255"/>
      <c r="T8" s="1255"/>
      <c r="U8" s="1259"/>
      <c r="V8" s="1257"/>
      <c r="W8" s="1257"/>
      <c r="X8" s="1257"/>
      <c r="Y8" s="1257"/>
      <c r="Z8" s="1257"/>
      <c r="AA8" s="1257"/>
      <c r="AB8" s="1257"/>
      <c r="AC8" s="1257"/>
      <c r="AD8" s="1257"/>
      <c r="AE8" s="1257"/>
      <c r="AF8" s="1257"/>
    </row>
    <row r="9" spans="1:33" ht="30" customHeight="1" thickBot="1">
      <c r="A9" s="1354" t="str">
        <f>'Schedule B'!A152&amp;" - "&amp;'Schedule B'!C152</f>
        <v>CN.003C27 - Façade &amp; Glazing Works (Alutec)</v>
      </c>
      <c r="B9" s="1355"/>
      <c r="C9" s="1355"/>
      <c r="D9" s="1356"/>
      <c r="E9" s="1356"/>
      <c r="F9" s="1357"/>
      <c r="G9" s="1357"/>
      <c r="H9" s="1357"/>
      <c r="I9" s="1357"/>
      <c r="J9" s="1357"/>
      <c r="K9" s="1356"/>
      <c r="L9" s="1355"/>
      <c r="M9" s="2849"/>
      <c r="N9" s="1355"/>
      <c r="O9" s="1355"/>
      <c r="P9" s="1355"/>
      <c r="Q9" s="1355"/>
      <c r="R9" s="1355"/>
      <c r="S9" s="1355"/>
      <c r="T9" s="1355"/>
      <c r="U9" s="1358"/>
      <c r="V9" s="4659"/>
      <c r="W9" s="1356"/>
      <c r="X9" s="1356"/>
      <c r="Y9" s="1356"/>
      <c r="Z9" s="1356"/>
      <c r="AA9" s="1356"/>
      <c r="AB9" s="1356"/>
      <c r="AC9" s="1356"/>
      <c r="AD9" s="1356"/>
      <c r="AE9" s="1356"/>
      <c r="AF9" s="1359"/>
    </row>
    <row r="10" spans="1:33">
      <c r="A10" s="6051" t="s">
        <v>1524</v>
      </c>
      <c r="B10" s="6052"/>
      <c r="C10" s="6052"/>
      <c r="D10" s="6052"/>
      <c r="E10" s="6052"/>
      <c r="F10" s="6052"/>
      <c r="G10" s="6053"/>
      <c r="H10" s="6053"/>
      <c r="I10" s="6053"/>
      <c r="J10" s="6054"/>
      <c r="K10" s="1256"/>
      <c r="L10" s="6055" t="s">
        <v>1525</v>
      </c>
      <c r="M10" s="6056"/>
      <c r="N10" s="6056"/>
      <c r="O10" s="6056"/>
      <c r="P10" s="6056"/>
      <c r="Q10" s="6056"/>
      <c r="R10" s="6057"/>
      <c r="S10" s="6057"/>
      <c r="T10" s="6057"/>
      <c r="U10" s="6058"/>
      <c r="V10" s="1256"/>
      <c r="W10" s="6043" t="s">
        <v>1526</v>
      </c>
      <c r="X10" s="6044"/>
      <c r="Y10" s="6044"/>
      <c r="Z10" s="6044"/>
      <c r="AA10" s="6044"/>
      <c r="AB10" s="6044"/>
      <c r="AC10" s="6044"/>
      <c r="AD10" s="6044"/>
      <c r="AE10" s="6044"/>
      <c r="AF10" s="6059"/>
    </row>
    <row r="11" spans="1:33" ht="60" customHeight="1">
      <c r="A11" s="1283" t="s">
        <v>1462</v>
      </c>
      <c r="B11" s="1284" t="s">
        <v>1527</v>
      </c>
      <c r="C11" s="1284" t="s">
        <v>1528</v>
      </c>
      <c r="D11" s="1285" t="s">
        <v>1744</v>
      </c>
      <c r="E11" s="1285" t="s">
        <v>1530</v>
      </c>
      <c r="F11" s="1286" t="s">
        <v>1531</v>
      </c>
      <c r="G11" s="1287" t="s">
        <v>1532</v>
      </c>
      <c r="H11" s="1287" t="s">
        <v>1533</v>
      </c>
      <c r="I11" s="1287" t="s">
        <v>1534</v>
      </c>
      <c r="J11" s="1288" t="s">
        <v>1535</v>
      </c>
      <c r="K11" s="1289"/>
      <c r="L11" s="763" t="s">
        <v>1536</v>
      </c>
      <c r="M11" s="1290" t="s">
        <v>1601</v>
      </c>
      <c r="N11" s="1290" t="s">
        <v>1530</v>
      </c>
      <c r="O11" s="1290" t="s">
        <v>2151</v>
      </c>
      <c r="P11" s="764" t="s">
        <v>1539</v>
      </c>
      <c r="Q11" s="1291" t="s">
        <v>1540</v>
      </c>
      <c r="R11" s="1292" t="s">
        <v>1541</v>
      </c>
      <c r="S11" s="1292" t="s">
        <v>1533</v>
      </c>
      <c r="T11" s="1292" t="s">
        <v>1534</v>
      </c>
      <c r="U11" s="1293" t="s">
        <v>1542</v>
      </c>
      <c r="V11" s="1256"/>
      <c r="W11" s="1294" t="s">
        <v>2086</v>
      </c>
      <c r="X11" s="2839" t="s">
        <v>2087</v>
      </c>
      <c r="Y11" s="1295" t="s">
        <v>1544</v>
      </c>
      <c r="Z11" s="1296" t="s">
        <v>1545</v>
      </c>
      <c r="AA11" s="1296" t="s">
        <v>3101</v>
      </c>
      <c r="AB11" s="769" t="s">
        <v>1539</v>
      </c>
      <c r="AC11" s="769" t="s">
        <v>1547</v>
      </c>
      <c r="AD11" s="769" t="s">
        <v>2528</v>
      </c>
      <c r="AE11" s="1296" t="s">
        <v>1549</v>
      </c>
      <c r="AF11" s="1297" t="s">
        <v>1550</v>
      </c>
    </row>
    <row r="12" spans="1:33" ht="17.25" customHeight="1">
      <c r="A12" s="1298"/>
      <c r="B12" s="1299"/>
      <c r="C12" s="1300"/>
      <c r="D12" s="1301"/>
      <c r="E12" s="1302" t="s">
        <v>296</v>
      </c>
      <c r="F12" s="1303" t="s">
        <v>434</v>
      </c>
      <c r="G12" s="1303" t="s">
        <v>434</v>
      </c>
      <c r="H12" s="1304">
        <v>0.25</v>
      </c>
      <c r="I12" s="1304">
        <v>0.1</v>
      </c>
      <c r="J12" s="1305" t="s">
        <v>434</v>
      </c>
      <c r="K12" s="1256"/>
      <c r="L12" s="765"/>
      <c r="M12" s="766"/>
      <c r="N12" s="1306" t="s">
        <v>296</v>
      </c>
      <c r="O12" s="766" t="s">
        <v>3100</v>
      </c>
      <c r="P12" s="1307" t="s">
        <v>1552</v>
      </c>
      <c r="Q12" s="767" t="s">
        <v>434</v>
      </c>
      <c r="R12" s="767" t="s">
        <v>434</v>
      </c>
      <c r="S12" s="1308">
        <v>0.25</v>
      </c>
      <c r="T12" s="1308">
        <v>0.1</v>
      </c>
      <c r="U12" s="768" t="s">
        <v>434</v>
      </c>
      <c r="V12" s="1256"/>
      <c r="W12" s="770"/>
      <c r="X12" s="2840"/>
      <c r="Y12" s="1309" t="s">
        <v>296</v>
      </c>
      <c r="Z12" s="1309" t="s">
        <v>296</v>
      </c>
      <c r="AA12" s="1309" t="s">
        <v>3103</v>
      </c>
      <c r="AB12" s="1310" t="s">
        <v>1552</v>
      </c>
      <c r="AC12" s="1311"/>
      <c r="AD12" s="1312">
        <v>-0.05</v>
      </c>
      <c r="AE12" s="1309" t="s">
        <v>296</v>
      </c>
      <c r="AF12" s="1313" t="s">
        <v>296</v>
      </c>
    </row>
    <row r="13" spans="1:33" s="722" customFormat="1" ht="25.5" customHeight="1">
      <c r="A13" s="1314"/>
      <c r="B13" s="1314"/>
      <c r="C13" s="1314"/>
      <c r="D13" s="1314"/>
      <c r="E13" s="1314" t="s">
        <v>1481</v>
      </c>
      <c r="F13" s="1314"/>
      <c r="G13" s="1314"/>
      <c r="H13" s="1314"/>
      <c r="I13" s="1314"/>
      <c r="J13" s="1314"/>
      <c r="K13" s="1255"/>
      <c r="L13" s="1315"/>
      <c r="M13" s="1315"/>
      <c r="N13" s="1316" t="s">
        <v>1482</v>
      </c>
      <c r="O13" s="1314" t="s">
        <v>2084</v>
      </c>
      <c r="P13" s="1317" t="s">
        <v>1555</v>
      </c>
      <c r="Q13" s="1318" t="s">
        <v>1556</v>
      </c>
      <c r="R13" s="1318" t="s">
        <v>1557</v>
      </c>
      <c r="S13" s="1319" t="s">
        <v>3482</v>
      </c>
      <c r="T13" s="1319" t="s">
        <v>1559</v>
      </c>
      <c r="U13" s="1318" t="s">
        <v>1560</v>
      </c>
      <c r="V13" s="1255"/>
      <c r="W13" s="1316"/>
      <c r="X13" s="1316" t="s">
        <v>1561</v>
      </c>
      <c r="Y13" s="1316"/>
      <c r="Z13" s="1316" t="s">
        <v>2088</v>
      </c>
      <c r="AA13" s="1316" t="s">
        <v>3168</v>
      </c>
      <c r="AB13" s="1317" t="s">
        <v>2091</v>
      </c>
      <c r="AC13" s="1314" t="s">
        <v>2092</v>
      </c>
      <c r="AD13" s="1319" t="s">
        <v>2534</v>
      </c>
      <c r="AE13" s="1316" t="s">
        <v>2094</v>
      </c>
      <c r="AF13" s="1316"/>
    </row>
    <row r="14" spans="1:33" s="2837" customFormat="1" ht="50.25" customHeight="1">
      <c r="A14" s="4688">
        <v>1</v>
      </c>
      <c r="B14" s="4689" t="s">
        <v>1763</v>
      </c>
      <c r="C14" s="4690" t="s">
        <v>1579</v>
      </c>
      <c r="D14" s="4691" t="s">
        <v>3097</v>
      </c>
      <c r="E14" s="4692">
        <v>45533</v>
      </c>
      <c r="F14" s="4693">
        <f>+G14</f>
        <v>7474917.6399999997</v>
      </c>
      <c r="G14" s="4694">
        <v>7474917.6399999997</v>
      </c>
      <c r="H14" s="4694">
        <f>(G14*$H$12)*-1*0</f>
        <v>0</v>
      </c>
      <c r="I14" s="4694">
        <f>(G14*$I$12)*-1*0</f>
        <v>0</v>
      </c>
      <c r="J14" s="4694">
        <f>G14+H14+I14</f>
        <v>7474917.6399999997</v>
      </c>
      <c r="K14" s="4695"/>
      <c r="L14" s="4696">
        <v>1</v>
      </c>
      <c r="M14" s="4697" t="s">
        <v>3098</v>
      </c>
      <c r="N14" s="4692">
        <v>45543</v>
      </c>
      <c r="O14" s="4698">
        <f t="shared" ref="O14:O31" si="0">E14+21</f>
        <v>45554</v>
      </c>
      <c r="P14" s="4699">
        <f t="shared" ref="P14:P31" si="1">O14-N14</f>
        <v>11</v>
      </c>
      <c r="Q14" s="4693">
        <v>819298.55</v>
      </c>
      <c r="R14" s="4694">
        <v>7474917.6399999997</v>
      </c>
      <c r="S14" s="4694">
        <f>(R14*$S$12)*-1*0</f>
        <v>0</v>
      </c>
      <c r="T14" s="4694">
        <f>(R14*$T$12)*-1*0</f>
        <v>0</v>
      </c>
      <c r="U14" s="4694">
        <f t="shared" ref="U14:U31" si="2">R14+S14+T14</f>
        <v>7474917.6399999997</v>
      </c>
      <c r="V14" s="4695"/>
      <c r="W14" s="4700" t="s">
        <v>3099</v>
      </c>
      <c r="X14" s="4703">
        <v>45554</v>
      </c>
      <c r="Y14" s="4698"/>
      <c r="Z14" s="4701">
        <v>45582</v>
      </c>
      <c r="AA14" s="4701">
        <f t="shared" ref="AA14:AA28" si="3">+X14+21</f>
        <v>45575</v>
      </c>
      <c r="AB14" s="4699">
        <f t="shared" ref="AB14:AB24" si="4">+AA14-Z14</f>
        <v>-7</v>
      </c>
      <c r="AC14" s="4702">
        <f t="shared" ref="AC14:AC24" si="5">+U14</f>
        <v>7474917.6399999997</v>
      </c>
      <c r="AD14" s="4702">
        <f>+(7455788.61-AC14)</f>
        <v>-19129.029999999329</v>
      </c>
      <c r="AE14" s="4702">
        <f t="shared" ref="AE14:AE24" si="6">AC14+AD14</f>
        <v>7455788.6100000003</v>
      </c>
      <c r="AF14" s="4702">
        <f>+AE14</f>
        <v>7455788.6100000003</v>
      </c>
      <c r="AG14" s="2842">
        <f>+AC14*1.15</f>
        <v>8596155.2859999985</v>
      </c>
    </row>
    <row r="15" spans="1:33" ht="36">
      <c r="A15" s="4688">
        <v>2</v>
      </c>
      <c r="B15" s="4689" t="s">
        <v>1764</v>
      </c>
      <c r="C15" s="4761">
        <v>45589</v>
      </c>
      <c r="D15" s="4691" t="s">
        <v>3361</v>
      </c>
      <c r="E15" s="4692">
        <v>45606</v>
      </c>
      <c r="F15" s="4762">
        <f>+F14+G15</f>
        <v>8368918.04</v>
      </c>
      <c r="G15" s="4836">
        <v>894000.4</v>
      </c>
      <c r="H15" s="4694">
        <f>-ROUND(G15*$H$12,2)</f>
        <v>-223500.1</v>
      </c>
      <c r="I15" s="4694">
        <f>-ROUND(G15*$I$12,2)-0.01</f>
        <v>-89400.049999999988</v>
      </c>
      <c r="J15" s="4694">
        <f t="shared" ref="J15:J31" si="7">+I15+H15+G15</f>
        <v>581100.25</v>
      </c>
      <c r="K15" s="4695"/>
      <c r="L15" s="4696">
        <v>2</v>
      </c>
      <c r="M15" s="4697" t="s">
        <v>3450</v>
      </c>
      <c r="N15" s="4701">
        <v>45615</v>
      </c>
      <c r="O15" s="4698">
        <f t="shared" si="0"/>
        <v>45627</v>
      </c>
      <c r="P15" s="4699">
        <f t="shared" si="1"/>
        <v>12</v>
      </c>
      <c r="Q15" s="4762">
        <f t="shared" ref="Q15:Q31" si="8">+Q14+R15</f>
        <v>1713298.9500000002</v>
      </c>
      <c r="R15" s="4694">
        <v>894000.4</v>
      </c>
      <c r="S15" s="4694">
        <v>-223500.1</v>
      </c>
      <c r="T15" s="4694">
        <v>-89400.05</v>
      </c>
      <c r="U15" s="4694">
        <f t="shared" si="2"/>
        <v>581100.25</v>
      </c>
      <c r="V15" s="4695"/>
      <c r="W15" s="4700" t="s">
        <v>3703</v>
      </c>
      <c r="X15" s="4703">
        <v>45669</v>
      </c>
      <c r="Y15" s="4698"/>
      <c r="Z15" s="4701">
        <v>45687</v>
      </c>
      <c r="AA15" s="4701">
        <f t="shared" si="3"/>
        <v>45690</v>
      </c>
      <c r="AB15" s="4699">
        <f t="shared" si="4"/>
        <v>3</v>
      </c>
      <c r="AC15" s="4702">
        <f t="shared" si="5"/>
        <v>581100.25</v>
      </c>
      <c r="AD15" s="4702">
        <v>-3293.33</v>
      </c>
      <c r="AE15" s="4702">
        <f t="shared" si="6"/>
        <v>577806.92000000004</v>
      </c>
      <c r="AF15" s="4702">
        <f t="shared" ref="AF15:AF24" si="9">+AE15+AF14</f>
        <v>8033595.5300000003</v>
      </c>
      <c r="AG15" s="1367">
        <f>+AC15-AD15</f>
        <v>584393.57999999996</v>
      </c>
    </row>
    <row r="16" spans="1:33" ht="36">
      <c r="A16" s="4688">
        <v>3</v>
      </c>
      <c r="B16" s="4689" t="s">
        <v>1765</v>
      </c>
      <c r="C16" s="4761">
        <v>45620</v>
      </c>
      <c r="D16" s="4691" t="s">
        <v>3448</v>
      </c>
      <c r="E16" s="4692">
        <v>45630</v>
      </c>
      <c r="F16" s="4762">
        <f t="shared" ref="F16:F31" si="10">+F15+G16</f>
        <v>8923214.9299999997</v>
      </c>
      <c r="G16" s="4694">
        <v>554296.89</v>
      </c>
      <c r="H16" s="4694">
        <f>-ROUND(G16*$H$12,2)</f>
        <v>-138574.22</v>
      </c>
      <c r="I16" s="4694">
        <f>-ROUND(G16*$I$12,2)-0.01</f>
        <v>-55429.700000000004</v>
      </c>
      <c r="J16" s="4694">
        <f t="shared" si="7"/>
        <v>360292.97</v>
      </c>
      <c r="K16" s="4695"/>
      <c r="L16" s="4696">
        <v>3</v>
      </c>
      <c r="M16" s="4697" t="s">
        <v>3449</v>
      </c>
      <c r="N16" s="4701">
        <v>45638</v>
      </c>
      <c r="O16" s="4698">
        <f t="shared" si="0"/>
        <v>45651</v>
      </c>
      <c r="P16" s="4699">
        <f t="shared" si="1"/>
        <v>13</v>
      </c>
      <c r="Q16" s="4762">
        <f t="shared" si="8"/>
        <v>2098820.64</v>
      </c>
      <c r="R16" s="4694">
        <v>385521.69</v>
      </c>
      <c r="S16" s="4694">
        <v>-96380.42</v>
      </c>
      <c r="T16" s="4694">
        <v>-38552.17</v>
      </c>
      <c r="U16" s="4694">
        <f t="shared" si="2"/>
        <v>250589.10000000003</v>
      </c>
      <c r="V16" s="4695"/>
      <c r="W16" s="4700" t="s">
        <v>3704</v>
      </c>
      <c r="X16" s="4703">
        <v>45669</v>
      </c>
      <c r="Y16" s="4698"/>
      <c r="Z16" s="4701">
        <v>45687</v>
      </c>
      <c r="AA16" s="4701">
        <f t="shared" si="3"/>
        <v>45690</v>
      </c>
      <c r="AB16" s="4699">
        <f t="shared" si="4"/>
        <v>3</v>
      </c>
      <c r="AC16" s="4702">
        <f t="shared" si="5"/>
        <v>250589.10000000003</v>
      </c>
      <c r="AD16" s="4702">
        <v>-2986.99</v>
      </c>
      <c r="AE16" s="4702">
        <f t="shared" si="6"/>
        <v>247602.11000000004</v>
      </c>
      <c r="AF16" s="4702">
        <f t="shared" si="9"/>
        <v>8281197.6400000006</v>
      </c>
      <c r="AG16" s="1367">
        <f>+AC16-AD16</f>
        <v>253576.09000000003</v>
      </c>
    </row>
    <row r="17" spans="1:33" ht="36">
      <c r="A17" s="4688">
        <v>4</v>
      </c>
      <c r="B17" s="4689" t="s">
        <v>1766</v>
      </c>
      <c r="C17" s="4761">
        <v>45650</v>
      </c>
      <c r="D17" s="4691" t="s">
        <v>3514</v>
      </c>
      <c r="E17" s="4692">
        <v>45654</v>
      </c>
      <c r="F17" s="4762">
        <f t="shared" si="10"/>
        <v>9004943.9199999999</v>
      </c>
      <c r="G17" s="4694">
        <v>81728.990000000005</v>
      </c>
      <c r="H17" s="4694">
        <f>-ROUND(G17*$H$12,2)</f>
        <v>-20432.25</v>
      </c>
      <c r="I17" s="4694">
        <f>-ROUND(G17*$I$12,2)-0.01</f>
        <v>-8172.91</v>
      </c>
      <c r="J17" s="4694">
        <f t="shared" si="7"/>
        <v>53123.83</v>
      </c>
      <c r="K17" s="4695"/>
      <c r="L17" s="4696">
        <v>4</v>
      </c>
      <c r="M17" s="4697" t="s">
        <v>3515</v>
      </c>
      <c r="N17" s="4701">
        <v>45672</v>
      </c>
      <c r="O17" s="4698">
        <f t="shared" si="0"/>
        <v>45675</v>
      </c>
      <c r="P17" s="4699">
        <f t="shared" si="1"/>
        <v>3</v>
      </c>
      <c r="Q17" s="4762">
        <f t="shared" si="8"/>
        <v>2180549.6300000004</v>
      </c>
      <c r="R17" s="4694">
        <v>81728.990000000005</v>
      </c>
      <c r="S17" s="4694">
        <v>-20432.25</v>
      </c>
      <c r="T17" s="4694">
        <v>-8172.88</v>
      </c>
      <c r="U17" s="4694">
        <f t="shared" si="2"/>
        <v>53123.860000000008</v>
      </c>
      <c r="V17" s="4695"/>
      <c r="W17" s="4700" t="s">
        <v>3952</v>
      </c>
      <c r="X17" s="4703">
        <v>45683</v>
      </c>
      <c r="Y17" s="4698"/>
      <c r="Z17" s="4701">
        <v>45743</v>
      </c>
      <c r="AA17" s="4701">
        <f t="shared" si="3"/>
        <v>45704</v>
      </c>
      <c r="AB17" s="4699">
        <f t="shared" si="4"/>
        <v>-39</v>
      </c>
      <c r="AC17" s="4702">
        <f t="shared" si="5"/>
        <v>53123.860000000008</v>
      </c>
      <c r="AD17" s="4702">
        <v>-2986.99</v>
      </c>
      <c r="AE17" s="4702">
        <f t="shared" si="6"/>
        <v>50136.87000000001</v>
      </c>
      <c r="AF17" s="4702">
        <f t="shared" si="9"/>
        <v>8331334.5100000007</v>
      </c>
    </row>
    <row r="18" spans="1:33" ht="43.5" customHeight="1">
      <c r="A18" s="4688">
        <v>5</v>
      </c>
      <c r="B18" s="4689" t="s">
        <v>1767</v>
      </c>
      <c r="C18" s="4761">
        <v>45681</v>
      </c>
      <c r="D18" s="4691" t="s">
        <v>3962</v>
      </c>
      <c r="E18" s="4692">
        <v>45685</v>
      </c>
      <c r="F18" s="4762">
        <f t="shared" si="10"/>
        <v>10170598.34</v>
      </c>
      <c r="G18" s="4694">
        <v>1165654.42</v>
      </c>
      <c r="H18" s="4694">
        <v>-291413.61</v>
      </c>
      <c r="I18" s="4694">
        <v>-14847.800000000017</v>
      </c>
      <c r="J18" s="4694">
        <f t="shared" si="7"/>
        <v>859393.00999999989</v>
      </c>
      <c r="K18" s="4695"/>
      <c r="L18" s="4696">
        <v>5</v>
      </c>
      <c r="M18" s="4697" t="s">
        <v>3515</v>
      </c>
      <c r="N18" s="4701">
        <v>45733</v>
      </c>
      <c r="O18" s="4698">
        <f t="shared" si="0"/>
        <v>45706</v>
      </c>
      <c r="P18" s="4699">
        <f t="shared" si="1"/>
        <v>-27</v>
      </c>
      <c r="Q18" s="4762">
        <f t="shared" si="8"/>
        <v>3059789.41</v>
      </c>
      <c r="R18" s="4694">
        <v>879239.78</v>
      </c>
      <c r="S18" s="4694">
        <v>-219809.94999999995</v>
      </c>
      <c r="T18" s="4694">
        <v>-87923.97000000003</v>
      </c>
      <c r="U18" s="4694">
        <f t="shared" si="2"/>
        <v>571505.8600000001</v>
      </c>
      <c r="V18" s="4695"/>
      <c r="W18" s="4700" t="s">
        <v>4395</v>
      </c>
      <c r="X18" s="4698">
        <v>45751</v>
      </c>
      <c r="Y18" s="4698"/>
      <c r="Z18" s="4701">
        <v>45838</v>
      </c>
      <c r="AA18" s="4701">
        <f t="shared" si="3"/>
        <v>45772</v>
      </c>
      <c r="AB18" s="4699">
        <f t="shared" si="4"/>
        <v>-66</v>
      </c>
      <c r="AC18" s="4702">
        <f t="shared" si="5"/>
        <v>571505.8600000001</v>
      </c>
      <c r="AD18" s="4702">
        <v>-2986.99</v>
      </c>
      <c r="AE18" s="4702">
        <f t="shared" si="6"/>
        <v>568518.87000000011</v>
      </c>
      <c r="AF18" s="4702">
        <f t="shared" si="9"/>
        <v>8899853.3800000008</v>
      </c>
    </row>
    <row r="19" spans="1:33" ht="33.75" customHeight="1">
      <c r="A19" s="4688">
        <v>6</v>
      </c>
      <c r="B19" s="4689" t="s">
        <v>1768</v>
      </c>
      <c r="C19" s="4761">
        <v>45712</v>
      </c>
      <c r="D19" s="4691" t="s">
        <v>3963</v>
      </c>
      <c r="E19" s="4692">
        <v>45712</v>
      </c>
      <c r="F19" s="4762">
        <f t="shared" si="10"/>
        <v>11754605.209999999</v>
      </c>
      <c r="G19" s="4694">
        <v>1584006.8699999999</v>
      </c>
      <c r="H19" s="4694">
        <v>-396001.71000000008</v>
      </c>
      <c r="I19" s="4694">
        <v>-158400.68</v>
      </c>
      <c r="J19" s="4694">
        <f t="shared" si="7"/>
        <v>1029604.4799999997</v>
      </c>
      <c r="K19" s="4695"/>
      <c r="L19" s="4696">
        <v>6</v>
      </c>
      <c r="M19" s="4697" t="s">
        <v>3964</v>
      </c>
      <c r="N19" s="4701">
        <v>45757</v>
      </c>
      <c r="O19" s="4698">
        <f t="shared" si="0"/>
        <v>45733</v>
      </c>
      <c r="P19" s="4699">
        <f t="shared" si="1"/>
        <v>-24</v>
      </c>
      <c r="Q19" s="4762">
        <f t="shared" si="8"/>
        <v>3911239.13</v>
      </c>
      <c r="R19" s="4694">
        <v>851449.72</v>
      </c>
      <c r="S19" s="4694">
        <v>-212862.42</v>
      </c>
      <c r="T19" s="4694">
        <v>-85144.97</v>
      </c>
      <c r="U19" s="4694">
        <f t="shared" si="2"/>
        <v>553442.32999999996</v>
      </c>
      <c r="V19" s="4695"/>
      <c r="W19" s="4700" t="s">
        <v>4396</v>
      </c>
      <c r="X19" s="4698">
        <v>45791</v>
      </c>
      <c r="Y19" s="4698"/>
      <c r="Z19" s="4701">
        <v>45838</v>
      </c>
      <c r="AA19" s="4701">
        <f t="shared" si="3"/>
        <v>45812</v>
      </c>
      <c r="AB19" s="4699">
        <f t="shared" si="4"/>
        <v>-26</v>
      </c>
      <c r="AC19" s="4702">
        <f t="shared" si="5"/>
        <v>553442.32999999996</v>
      </c>
      <c r="AD19" s="4702">
        <v>-2986.99</v>
      </c>
      <c r="AE19" s="4702">
        <f t="shared" si="6"/>
        <v>550455.34</v>
      </c>
      <c r="AF19" s="4702">
        <f t="shared" si="9"/>
        <v>9450308.7200000007</v>
      </c>
    </row>
    <row r="20" spans="1:33" ht="36">
      <c r="A20" s="4688">
        <v>7</v>
      </c>
      <c r="B20" s="4689" t="s">
        <v>1769</v>
      </c>
      <c r="C20" s="4761">
        <v>45740</v>
      </c>
      <c r="D20" s="4691" t="s">
        <v>4329</v>
      </c>
      <c r="E20" s="4692">
        <v>45755</v>
      </c>
      <c r="F20" s="4762">
        <f t="shared" si="10"/>
        <v>12319920.76</v>
      </c>
      <c r="G20" s="4694">
        <v>565315.55000000005</v>
      </c>
      <c r="H20" s="4694">
        <v>-141328.89000000001</v>
      </c>
      <c r="I20" s="4694">
        <v>-56531.589999999967</v>
      </c>
      <c r="J20" s="4694">
        <f t="shared" si="7"/>
        <v>367455.07000000007</v>
      </c>
      <c r="K20" s="4695"/>
      <c r="L20" s="4696">
        <v>7</v>
      </c>
      <c r="M20" s="4697" t="s">
        <v>4328</v>
      </c>
      <c r="N20" s="4701">
        <v>45764</v>
      </c>
      <c r="O20" s="4698">
        <f t="shared" si="0"/>
        <v>45776</v>
      </c>
      <c r="P20" s="4699">
        <f t="shared" si="1"/>
        <v>12</v>
      </c>
      <c r="Q20" s="4762">
        <f t="shared" si="8"/>
        <v>4246125.68</v>
      </c>
      <c r="R20" s="4694">
        <v>334886.55</v>
      </c>
      <c r="S20" s="4694">
        <v>-83721.64</v>
      </c>
      <c r="T20" s="4694">
        <v>-33488.68</v>
      </c>
      <c r="U20" s="4694">
        <f t="shared" si="2"/>
        <v>217676.22999999998</v>
      </c>
      <c r="V20" s="4695"/>
      <c r="W20" s="4700" t="s">
        <v>4397</v>
      </c>
      <c r="X20" s="4698">
        <v>45791</v>
      </c>
      <c r="Y20" s="4698"/>
      <c r="Z20" s="4701">
        <v>45838</v>
      </c>
      <c r="AA20" s="4701">
        <f t="shared" si="3"/>
        <v>45812</v>
      </c>
      <c r="AB20" s="4699">
        <f t="shared" si="4"/>
        <v>-26</v>
      </c>
      <c r="AC20" s="4702">
        <f t="shared" si="5"/>
        <v>217676.22999999998</v>
      </c>
      <c r="AD20" s="4702">
        <v>-2986.99</v>
      </c>
      <c r="AE20" s="4702">
        <f t="shared" si="6"/>
        <v>214689.24</v>
      </c>
      <c r="AF20" s="4702">
        <f t="shared" si="9"/>
        <v>9664997.9600000009</v>
      </c>
    </row>
    <row r="21" spans="1:33" ht="36">
      <c r="A21" s="4688">
        <v>8</v>
      </c>
      <c r="B21" s="4689" t="s">
        <v>1770</v>
      </c>
      <c r="C21" s="4761">
        <v>45771</v>
      </c>
      <c r="D21" s="4691" t="s">
        <v>4331</v>
      </c>
      <c r="E21" s="4692">
        <v>45791</v>
      </c>
      <c r="F21" s="4762">
        <f t="shared" si="10"/>
        <v>27301891.84</v>
      </c>
      <c r="G21" s="4694">
        <v>14981971.08</v>
      </c>
      <c r="H21" s="4694">
        <v>-3745492.7699999996</v>
      </c>
      <c r="I21" s="4694">
        <v>-1498197.14</v>
      </c>
      <c r="J21" s="4694">
        <f t="shared" si="7"/>
        <v>9738281.1700000018</v>
      </c>
      <c r="K21" s="4695"/>
      <c r="L21" s="4696">
        <v>8</v>
      </c>
      <c r="M21" s="4697" t="s">
        <v>4330</v>
      </c>
      <c r="N21" s="4701">
        <v>45799</v>
      </c>
      <c r="O21" s="4698">
        <f t="shared" si="0"/>
        <v>45812</v>
      </c>
      <c r="P21" s="4699">
        <f t="shared" si="1"/>
        <v>13</v>
      </c>
      <c r="Q21" s="4762">
        <f t="shared" si="8"/>
        <v>14874139.76</v>
      </c>
      <c r="R21" s="4694">
        <v>10628014.08</v>
      </c>
      <c r="S21" s="4694">
        <v>-2657003.52</v>
      </c>
      <c r="T21" s="4694">
        <v>-1062801.43</v>
      </c>
      <c r="U21" s="4694">
        <f t="shared" si="2"/>
        <v>6908209.1300000008</v>
      </c>
      <c r="V21" s="4695"/>
      <c r="W21" s="4700" t="s">
        <v>4398</v>
      </c>
      <c r="X21" s="4698">
        <v>45825</v>
      </c>
      <c r="Y21" s="4698"/>
      <c r="Z21" s="4701">
        <v>45840</v>
      </c>
      <c r="AA21" s="4701">
        <f t="shared" si="3"/>
        <v>45846</v>
      </c>
      <c r="AB21" s="4699">
        <f t="shared" si="4"/>
        <v>6</v>
      </c>
      <c r="AC21" s="4702">
        <f t="shared" si="5"/>
        <v>6908209.1300000008</v>
      </c>
      <c r="AD21" s="4702">
        <v>-2986.99</v>
      </c>
      <c r="AE21" s="4702">
        <f t="shared" si="6"/>
        <v>6905222.1400000006</v>
      </c>
      <c r="AF21" s="4702">
        <f t="shared" si="9"/>
        <v>16570220.100000001</v>
      </c>
    </row>
    <row r="22" spans="1:33" ht="36">
      <c r="A22" s="4688">
        <v>9</v>
      </c>
      <c r="B22" s="4689" t="s">
        <v>1771</v>
      </c>
      <c r="C22" s="4761">
        <v>45778</v>
      </c>
      <c r="D22" s="4691" t="s">
        <v>4399</v>
      </c>
      <c r="E22" s="4692">
        <v>45799</v>
      </c>
      <c r="F22" s="4762">
        <f t="shared" si="10"/>
        <v>29972984.629999999</v>
      </c>
      <c r="G22" s="4694">
        <v>2671092.79</v>
      </c>
      <c r="H22" s="4694">
        <f>-ROUND(G22*$H$12,2)</f>
        <v>-667773.19999999995</v>
      </c>
      <c r="I22" s="4694">
        <f>-ROUND(G22*$I$12,2)-0.01</f>
        <v>-267109.29000000004</v>
      </c>
      <c r="J22" s="4694">
        <f t="shared" si="7"/>
        <v>1736210.3</v>
      </c>
      <c r="K22" s="4695"/>
      <c r="L22" s="4696">
        <v>9</v>
      </c>
      <c r="M22" s="4697" t="s">
        <v>4400</v>
      </c>
      <c r="N22" s="4701">
        <v>45826</v>
      </c>
      <c r="O22" s="4698">
        <f t="shared" si="0"/>
        <v>45820</v>
      </c>
      <c r="P22" s="4699">
        <f t="shared" si="1"/>
        <v>-6</v>
      </c>
      <c r="Q22" s="4762">
        <f t="shared" si="8"/>
        <v>17545232.550000001</v>
      </c>
      <c r="R22" s="4694">
        <v>2671092.79</v>
      </c>
      <c r="S22" s="4694">
        <v>-667773.19999999995</v>
      </c>
      <c r="T22" s="4694">
        <v>-267109.25</v>
      </c>
      <c r="U22" s="4694">
        <f t="shared" si="2"/>
        <v>1736210.34</v>
      </c>
      <c r="V22" s="4695"/>
      <c r="W22" s="4700" t="s">
        <v>4486</v>
      </c>
      <c r="X22" s="4698">
        <v>45851</v>
      </c>
      <c r="Y22" s="4698"/>
      <c r="Z22" s="4701">
        <v>45876</v>
      </c>
      <c r="AA22" s="4701">
        <f t="shared" si="3"/>
        <v>45872</v>
      </c>
      <c r="AB22" s="4699">
        <f t="shared" si="4"/>
        <v>-4</v>
      </c>
      <c r="AC22" s="4702">
        <f t="shared" si="5"/>
        <v>1736210.34</v>
      </c>
      <c r="AD22" s="4702">
        <v>-5417.5</v>
      </c>
      <c r="AE22" s="4702">
        <f t="shared" si="6"/>
        <v>1730792.84</v>
      </c>
      <c r="AF22" s="4702">
        <f t="shared" si="9"/>
        <v>18301012.940000001</v>
      </c>
    </row>
    <row r="23" spans="1:33" ht="36">
      <c r="A23" s="4688">
        <v>10</v>
      </c>
      <c r="B23" s="4689" t="s">
        <v>1626</v>
      </c>
      <c r="C23" s="4761">
        <v>45809</v>
      </c>
      <c r="D23" s="4691" t="s">
        <v>4414</v>
      </c>
      <c r="E23" s="4692">
        <v>45833</v>
      </c>
      <c r="F23" s="4762">
        <f t="shared" si="10"/>
        <v>41055351</v>
      </c>
      <c r="G23" s="4694">
        <v>11082366.369999999</v>
      </c>
      <c r="H23" s="4694">
        <f>-ROUND(G23*$H$12,2)</f>
        <v>-2770591.59</v>
      </c>
      <c r="I23" s="4694">
        <f>-ROUND(G23*$I$12,2)-0.01</f>
        <v>-1108236.6499999999</v>
      </c>
      <c r="J23" s="4694">
        <f t="shared" si="7"/>
        <v>7203538.129999999</v>
      </c>
      <c r="K23" s="4695"/>
      <c r="L23" s="4696">
        <v>10</v>
      </c>
      <c r="M23" s="4697" t="s">
        <v>4568</v>
      </c>
      <c r="N23" s="4701">
        <v>45874</v>
      </c>
      <c r="O23" s="4698">
        <f t="shared" si="0"/>
        <v>45854</v>
      </c>
      <c r="P23" s="4699">
        <f t="shared" si="1"/>
        <v>-20</v>
      </c>
      <c r="Q23" s="4762">
        <f t="shared" si="8"/>
        <v>23657272.280000001</v>
      </c>
      <c r="R23" s="4694">
        <v>6112039.7300000004</v>
      </c>
      <c r="S23" s="4694">
        <v>-1528009.93</v>
      </c>
      <c r="T23" s="4694">
        <v>-611203.99</v>
      </c>
      <c r="U23" s="4694">
        <f t="shared" si="2"/>
        <v>3972825.8100000005</v>
      </c>
      <c r="V23" s="4695"/>
      <c r="W23" s="4700" t="s">
        <v>4658</v>
      </c>
      <c r="X23" s="4698">
        <v>45886</v>
      </c>
      <c r="Y23" s="4698"/>
      <c r="Z23" s="4701">
        <v>45900</v>
      </c>
      <c r="AA23" s="4701">
        <f t="shared" si="3"/>
        <v>45907</v>
      </c>
      <c r="AB23" s="4837">
        <f t="shared" si="4"/>
        <v>7</v>
      </c>
      <c r="AC23" s="4838">
        <f t="shared" si="5"/>
        <v>3972825.8100000005</v>
      </c>
      <c r="AD23" s="4838">
        <v>-8551.66</v>
      </c>
      <c r="AE23" s="4838">
        <f t="shared" si="6"/>
        <v>3964274.1500000004</v>
      </c>
      <c r="AF23" s="4838">
        <f t="shared" si="9"/>
        <v>22265287.090000004</v>
      </c>
      <c r="AG23" s="4348"/>
    </row>
    <row r="24" spans="1:33" ht="36">
      <c r="A24" s="4688">
        <v>11</v>
      </c>
      <c r="B24" s="4689" t="s">
        <v>1628</v>
      </c>
      <c r="C24" s="4761">
        <v>45839</v>
      </c>
      <c r="D24" s="4691" t="s">
        <v>4659</v>
      </c>
      <c r="E24" s="4692">
        <v>45862</v>
      </c>
      <c r="F24" s="4762">
        <f t="shared" si="10"/>
        <v>46721910.189999998</v>
      </c>
      <c r="G24" s="4694">
        <v>5666559.1900000004</v>
      </c>
      <c r="H24" s="4694">
        <v>-1416639.8</v>
      </c>
      <c r="I24" s="4694">
        <v>-566655.9</v>
      </c>
      <c r="J24" s="4694">
        <f t="shared" si="7"/>
        <v>3683263.49</v>
      </c>
      <c r="K24" s="4695"/>
      <c r="L24" s="4696">
        <v>11</v>
      </c>
      <c r="M24" s="4697" t="s">
        <v>4660</v>
      </c>
      <c r="N24" s="4701">
        <v>45888</v>
      </c>
      <c r="O24" s="4698">
        <f t="shared" si="0"/>
        <v>45883</v>
      </c>
      <c r="P24" s="4699">
        <f t="shared" si="1"/>
        <v>-5</v>
      </c>
      <c r="Q24" s="4762">
        <f t="shared" si="8"/>
        <v>25712612.609999999</v>
      </c>
      <c r="R24" s="4694">
        <v>2055340.33</v>
      </c>
      <c r="S24" s="4694">
        <v>-513835.09</v>
      </c>
      <c r="T24" s="4694">
        <v>-205534.01</v>
      </c>
      <c r="U24" s="4694">
        <f t="shared" si="2"/>
        <v>1335971.23</v>
      </c>
      <c r="V24" s="4695"/>
      <c r="W24" s="4700" t="s">
        <v>4658</v>
      </c>
      <c r="X24" s="4839">
        <v>45896</v>
      </c>
      <c r="Y24" s="4698"/>
      <c r="Z24" s="4701">
        <v>45924</v>
      </c>
      <c r="AA24" s="4701">
        <f t="shared" si="3"/>
        <v>45917</v>
      </c>
      <c r="AB24" s="4837">
        <f t="shared" si="4"/>
        <v>-7</v>
      </c>
      <c r="AC24" s="4838">
        <f t="shared" si="5"/>
        <v>1335971.23</v>
      </c>
      <c r="AD24" s="4702">
        <v>-1906.93</v>
      </c>
      <c r="AE24" s="4702">
        <f t="shared" si="6"/>
        <v>1334064.3</v>
      </c>
      <c r="AF24" s="4838">
        <f t="shared" si="9"/>
        <v>23599351.390000004</v>
      </c>
    </row>
    <row r="25" spans="1:33" ht="36">
      <c r="A25" s="4688">
        <v>12</v>
      </c>
      <c r="B25" s="4689" t="s">
        <v>1630</v>
      </c>
      <c r="C25" s="4761">
        <v>45870</v>
      </c>
      <c r="D25" s="4691" t="s">
        <v>4776</v>
      </c>
      <c r="E25" s="4692">
        <v>45895</v>
      </c>
      <c r="F25" s="4762">
        <f t="shared" si="10"/>
        <v>49684769.589999996</v>
      </c>
      <c r="G25" s="4762">
        <f>767272.2+2195587.2</f>
        <v>2962859.4000000004</v>
      </c>
      <c r="H25" s="4762">
        <f>-G25*25%</f>
        <v>-740714.85000000009</v>
      </c>
      <c r="I25" s="4762">
        <f>-G25*10%</f>
        <v>-296285.94000000006</v>
      </c>
      <c r="J25" s="4694">
        <f t="shared" si="7"/>
        <v>1925858.6100000003</v>
      </c>
      <c r="K25" s="4695"/>
      <c r="L25" s="4840">
        <v>12</v>
      </c>
      <c r="M25" s="4697" t="s">
        <v>4775</v>
      </c>
      <c r="N25" s="4701">
        <v>45929</v>
      </c>
      <c r="O25" s="4698">
        <f t="shared" si="0"/>
        <v>45916</v>
      </c>
      <c r="P25" s="4699">
        <f t="shared" si="1"/>
        <v>-13</v>
      </c>
      <c r="Q25" s="4762">
        <f t="shared" si="8"/>
        <v>26479884.809999999</v>
      </c>
      <c r="R25" s="4694">
        <v>767272.2</v>
      </c>
      <c r="S25" s="4694">
        <v>-191818.05</v>
      </c>
      <c r="T25" s="4694">
        <v>-76727.22</v>
      </c>
      <c r="U25" s="4763">
        <f t="shared" si="2"/>
        <v>498726.92999999993</v>
      </c>
      <c r="V25" s="4695"/>
      <c r="W25" s="4700" t="s">
        <v>4777</v>
      </c>
      <c r="X25" s="4698">
        <v>45935</v>
      </c>
      <c r="Y25" s="4698"/>
      <c r="Z25" s="4701"/>
      <c r="AA25" s="4701">
        <f t="shared" si="3"/>
        <v>45956</v>
      </c>
      <c r="AB25" s="4699"/>
      <c r="AC25" s="4702">
        <f t="shared" ref="AC25:AC28" si="11">+U25</f>
        <v>498726.92999999993</v>
      </c>
      <c r="AD25" s="4702">
        <v>-1906.93</v>
      </c>
      <c r="AE25" s="4702">
        <f t="shared" ref="AE25:AE28" si="12">AC25+AD25</f>
        <v>496819.99999999994</v>
      </c>
      <c r="AF25" s="4702">
        <f t="shared" ref="AF25:AF28" si="13">+AE25+AF24</f>
        <v>24096171.390000004</v>
      </c>
    </row>
    <row r="26" spans="1:33" ht="36">
      <c r="A26" s="4841">
        <v>13</v>
      </c>
      <c r="B26" s="4689" t="s">
        <v>1632</v>
      </c>
      <c r="C26" s="4761">
        <v>45901</v>
      </c>
      <c r="D26" s="4691" t="s">
        <v>4823</v>
      </c>
      <c r="E26" s="4692">
        <v>45921</v>
      </c>
      <c r="F26" s="4762">
        <f t="shared" si="10"/>
        <v>53302330.619999997</v>
      </c>
      <c r="G26" s="4762">
        <v>3617561.03</v>
      </c>
      <c r="H26" s="4762">
        <v>-904390.25</v>
      </c>
      <c r="I26" s="4762">
        <v>-361756.12000000011</v>
      </c>
      <c r="J26" s="4694">
        <f t="shared" si="7"/>
        <v>2351414.6599999997</v>
      </c>
      <c r="K26" s="4695"/>
      <c r="L26" s="4840">
        <v>13</v>
      </c>
      <c r="M26" s="4697" t="s">
        <v>4824</v>
      </c>
      <c r="N26" s="4701">
        <v>45929</v>
      </c>
      <c r="O26" s="4839">
        <f t="shared" si="0"/>
        <v>45942</v>
      </c>
      <c r="P26" s="4837">
        <f t="shared" si="1"/>
        <v>13</v>
      </c>
      <c r="Q26" s="4762">
        <f t="shared" si="8"/>
        <v>27056062.609999999</v>
      </c>
      <c r="R26" s="4694">
        <v>576177.80000000005</v>
      </c>
      <c r="S26" s="4694">
        <v>-144044.45000000001</v>
      </c>
      <c r="T26" s="4694">
        <v>-57617.77</v>
      </c>
      <c r="U26" s="4842">
        <f t="shared" si="2"/>
        <v>374515.58</v>
      </c>
      <c r="V26" s="4695"/>
      <c r="W26" s="4700" t="s">
        <v>4825</v>
      </c>
      <c r="X26" s="4839">
        <v>45938</v>
      </c>
      <c r="Y26" s="4698"/>
      <c r="Z26" s="4701"/>
      <c r="AA26" s="4701">
        <f t="shared" si="3"/>
        <v>45959</v>
      </c>
      <c r="AB26" s="4699"/>
      <c r="AC26" s="4702">
        <f t="shared" si="11"/>
        <v>374515.58</v>
      </c>
      <c r="AD26" s="4702">
        <v>-1906.93</v>
      </c>
      <c r="AE26" s="4702">
        <f t="shared" si="12"/>
        <v>372608.65</v>
      </c>
      <c r="AF26" s="4702">
        <f t="shared" si="13"/>
        <v>24468780.040000003</v>
      </c>
    </row>
    <row r="27" spans="1:33" ht="36">
      <c r="A27" s="4841">
        <v>14</v>
      </c>
      <c r="B27" s="4689" t="s">
        <v>1634</v>
      </c>
      <c r="C27" s="4761">
        <v>45931</v>
      </c>
      <c r="D27" s="4691" t="s">
        <v>5155</v>
      </c>
      <c r="E27" s="4692">
        <v>45953</v>
      </c>
      <c r="F27" s="4762">
        <f t="shared" si="10"/>
        <v>56379327.399999999</v>
      </c>
      <c r="G27" s="4762">
        <v>3076996.78</v>
      </c>
      <c r="H27" s="4762">
        <v>-769249.19</v>
      </c>
      <c r="I27" s="4762">
        <v>-307699.69</v>
      </c>
      <c r="J27" s="4694">
        <f t="shared" si="7"/>
        <v>2000047.9</v>
      </c>
      <c r="K27" s="4695"/>
      <c r="L27" s="4840">
        <v>14</v>
      </c>
      <c r="M27" s="4697" t="s">
        <v>5156</v>
      </c>
      <c r="N27" s="4701">
        <v>45979</v>
      </c>
      <c r="O27" s="4698">
        <f t="shared" si="0"/>
        <v>45974</v>
      </c>
      <c r="P27" s="4699">
        <f t="shared" si="1"/>
        <v>-5</v>
      </c>
      <c r="Q27" s="4762">
        <f t="shared" si="8"/>
        <v>28239031.41</v>
      </c>
      <c r="R27" s="4694">
        <v>1182968.8</v>
      </c>
      <c r="S27" s="4694">
        <v>-915726.62</v>
      </c>
      <c r="T27" s="4694">
        <v>-118296.92</v>
      </c>
      <c r="U27" s="4763">
        <f t="shared" si="2"/>
        <v>148945.26000000007</v>
      </c>
      <c r="V27" s="4695"/>
      <c r="W27" s="4700" t="s">
        <v>5226</v>
      </c>
      <c r="X27" s="4839">
        <v>45998</v>
      </c>
      <c r="Y27" s="4698"/>
      <c r="Z27" s="4701"/>
      <c r="AA27" s="4701">
        <f t="shared" si="3"/>
        <v>46019</v>
      </c>
      <c r="AB27" s="4699"/>
      <c r="AC27" s="4702">
        <f t="shared" si="11"/>
        <v>148945.26000000007</v>
      </c>
      <c r="AD27" s="4702">
        <v>-1906.93</v>
      </c>
      <c r="AE27" s="4702">
        <f t="shared" si="12"/>
        <v>147038.33000000007</v>
      </c>
      <c r="AF27" s="4702">
        <f t="shared" si="13"/>
        <v>24615818.370000005</v>
      </c>
    </row>
    <row r="28" spans="1:33" ht="36">
      <c r="A28" s="4841">
        <v>15</v>
      </c>
      <c r="B28" s="4689" t="s">
        <v>1636</v>
      </c>
      <c r="C28" s="4761">
        <v>45962</v>
      </c>
      <c r="D28" s="4691" t="s">
        <v>5526</v>
      </c>
      <c r="E28" s="4692">
        <v>45987</v>
      </c>
      <c r="F28" s="4762">
        <f t="shared" si="10"/>
        <v>58757301.585999995</v>
      </c>
      <c r="G28" s="4762">
        <v>2377974.1860000002</v>
      </c>
      <c r="H28" s="4762">
        <v>0</v>
      </c>
      <c r="I28" s="4762">
        <v>-237797.40000000084</v>
      </c>
      <c r="J28" s="4694">
        <f t="shared" si="7"/>
        <v>2140176.7859999994</v>
      </c>
      <c r="K28" s="4695"/>
      <c r="L28" s="4840">
        <v>15</v>
      </c>
      <c r="M28" s="4697" t="s">
        <v>5527</v>
      </c>
      <c r="N28" s="4701">
        <v>46006</v>
      </c>
      <c r="O28" s="4698">
        <f t="shared" si="0"/>
        <v>46008</v>
      </c>
      <c r="P28" s="4699">
        <f t="shared" si="1"/>
        <v>2</v>
      </c>
      <c r="Q28" s="4762">
        <f t="shared" si="8"/>
        <v>29151402.539999999</v>
      </c>
      <c r="R28" s="4694">
        <v>912371.13</v>
      </c>
      <c r="S28" s="4694">
        <v>0</v>
      </c>
      <c r="T28" s="4694">
        <v>-91237.1</v>
      </c>
      <c r="U28" s="4763">
        <f t="shared" si="2"/>
        <v>821134.03</v>
      </c>
      <c r="V28" s="4695"/>
      <c r="W28" s="4700" t="s">
        <v>5533</v>
      </c>
      <c r="X28" s="4839">
        <v>46027</v>
      </c>
      <c r="Y28" s="4698"/>
      <c r="Z28" s="4701"/>
      <c r="AA28" s="4701">
        <f t="shared" si="3"/>
        <v>46048</v>
      </c>
      <c r="AB28" s="4699"/>
      <c r="AC28" s="4702">
        <f t="shared" si="11"/>
        <v>821134.03</v>
      </c>
      <c r="AD28" s="4702">
        <v>-1906.93</v>
      </c>
      <c r="AE28" s="4702">
        <f t="shared" si="12"/>
        <v>819227.1</v>
      </c>
      <c r="AF28" s="4702">
        <f t="shared" si="13"/>
        <v>25435045.470000006</v>
      </c>
    </row>
    <row r="29" spans="1:33" ht="36">
      <c r="A29" s="4841">
        <v>16</v>
      </c>
      <c r="B29" s="4689" t="s">
        <v>1638</v>
      </c>
      <c r="C29" s="4761">
        <v>45992</v>
      </c>
      <c r="D29" s="4691" t="s">
        <v>5528</v>
      </c>
      <c r="E29" s="4692">
        <v>46008</v>
      </c>
      <c r="F29" s="4762">
        <f t="shared" si="10"/>
        <v>60430581.810229868</v>
      </c>
      <c r="G29" s="4762">
        <v>1673280.2242298741</v>
      </c>
      <c r="H29" s="4762">
        <v>0</v>
      </c>
      <c r="I29" s="4762">
        <v>-167328.00999999978</v>
      </c>
      <c r="J29" s="4694">
        <f t="shared" si="7"/>
        <v>1505952.2142298743</v>
      </c>
      <c r="K29" s="4695"/>
      <c r="L29" s="4840">
        <v>16</v>
      </c>
      <c r="M29" s="4697" t="s">
        <v>5529</v>
      </c>
      <c r="N29" s="4701">
        <v>46048</v>
      </c>
      <c r="O29" s="4698">
        <f t="shared" si="0"/>
        <v>46029</v>
      </c>
      <c r="P29" s="4699">
        <f t="shared" si="1"/>
        <v>-19</v>
      </c>
      <c r="Q29" s="4762">
        <f t="shared" si="8"/>
        <v>29477702.66</v>
      </c>
      <c r="R29" s="4694">
        <v>326300.12</v>
      </c>
      <c r="S29" s="4694">
        <v>0</v>
      </c>
      <c r="T29" s="4694">
        <v>-32630.01</v>
      </c>
      <c r="U29" s="4763">
        <f t="shared" si="2"/>
        <v>293670.11</v>
      </c>
      <c r="V29" s="4695"/>
      <c r="W29" s="4700" t="s">
        <v>5534</v>
      </c>
      <c r="X29" s="4839">
        <v>46084</v>
      </c>
      <c r="Y29" s="4698"/>
      <c r="Z29" s="4701">
        <v>46128</v>
      </c>
      <c r="AA29" s="4701">
        <f t="shared" ref="AA29:AA32" si="14">+X29+21</f>
        <v>46105</v>
      </c>
      <c r="AB29" s="4699"/>
      <c r="AC29" s="4702">
        <f t="shared" ref="AC29" si="15">+U29</f>
        <v>293670.11</v>
      </c>
      <c r="AD29" s="4702">
        <v>-1906.93</v>
      </c>
      <c r="AE29" s="4702">
        <f t="shared" ref="AE29" si="16">AC29+AD29</f>
        <v>291763.18</v>
      </c>
      <c r="AF29" s="4702">
        <f t="shared" ref="AF29" si="17">+AE29+AF28</f>
        <v>25726808.650000006</v>
      </c>
    </row>
    <row r="30" spans="1:33" ht="36">
      <c r="A30" s="4841">
        <v>17</v>
      </c>
      <c r="B30" s="4689" t="s">
        <v>1641</v>
      </c>
      <c r="C30" s="4761">
        <v>46023</v>
      </c>
      <c r="D30" s="4691" t="s">
        <v>5530</v>
      </c>
      <c r="E30" s="4692">
        <v>46044</v>
      </c>
      <c r="F30" s="4762">
        <f t="shared" si="10"/>
        <v>61639220.634271957</v>
      </c>
      <c r="G30" s="4762">
        <v>1208638.8240420925</v>
      </c>
      <c r="H30" s="4762">
        <v>0</v>
      </c>
      <c r="I30" s="4762">
        <v>-120863.87098658457</v>
      </c>
      <c r="J30" s="4694">
        <f t="shared" si="7"/>
        <v>1087774.953055508</v>
      </c>
      <c r="K30" s="4695"/>
      <c r="L30" s="4840">
        <v>17</v>
      </c>
      <c r="M30" s="4697" t="s">
        <v>5531</v>
      </c>
      <c r="N30" s="4701">
        <v>46085</v>
      </c>
      <c r="O30" s="4698">
        <f t="shared" si="0"/>
        <v>46065</v>
      </c>
      <c r="P30" s="4699">
        <f t="shared" si="1"/>
        <v>-20</v>
      </c>
      <c r="Q30" s="4762">
        <f t="shared" si="8"/>
        <v>29577847.18</v>
      </c>
      <c r="R30" s="4694">
        <v>100144.52</v>
      </c>
      <c r="S30" s="4694">
        <v>0</v>
      </c>
      <c r="T30" s="4694">
        <v>-10014.450000000001</v>
      </c>
      <c r="U30" s="4763">
        <f t="shared" si="2"/>
        <v>90130.07</v>
      </c>
      <c r="V30" s="1256"/>
      <c r="W30" s="4700" t="s">
        <v>6233</v>
      </c>
      <c r="X30" s="4698">
        <v>46153</v>
      </c>
      <c r="Y30" s="4698"/>
      <c r="Z30" s="4701"/>
      <c r="AA30" s="4701">
        <f t="shared" si="14"/>
        <v>46174</v>
      </c>
      <c r="AB30" s="3245"/>
      <c r="AC30" s="3250"/>
      <c r="AD30" s="3250"/>
      <c r="AE30" s="3250"/>
      <c r="AF30" s="3250"/>
    </row>
    <row r="31" spans="1:33" ht="36">
      <c r="A31" s="4841">
        <v>18</v>
      </c>
      <c r="B31" s="4689" t="s">
        <v>1642</v>
      </c>
      <c r="C31" s="4761">
        <v>45931</v>
      </c>
      <c r="D31" s="4691" t="s">
        <v>5532</v>
      </c>
      <c r="E31" s="4692">
        <v>46078</v>
      </c>
      <c r="F31" s="4762">
        <f t="shared" si="10"/>
        <v>62729904.005116239</v>
      </c>
      <c r="G31" s="4762">
        <v>1090683.3708442857</v>
      </c>
      <c r="H31" s="4762">
        <v>0</v>
      </c>
      <c r="I31" s="4762">
        <v>-109068.32866680389</v>
      </c>
      <c r="J31" s="4694">
        <f t="shared" si="7"/>
        <v>981615.04217748181</v>
      </c>
      <c r="K31" s="4695"/>
      <c r="L31" s="4840">
        <v>18</v>
      </c>
      <c r="M31" s="4697" t="s">
        <v>6156</v>
      </c>
      <c r="N31" s="4701">
        <v>46126</v>
      </c>
      <c r="O31" s="4698">
        <f t="shared" si="0"/>
        <v>46099</v>
      </c>
      <c r="P31" s="4699">
        <f t="shared" si="1"/>
        <v>-27</v>
      </c>
      <c r="Q31" s="4762">
        <f t="shared" si="8"/>
        <v>29632970.690000001</v>
      </c>
      <c r="R31" s="4694">
        <v>55123.51</v>
      </c>
      <c r="S31" s="4694">
        <v>0</v>
      </c>
      <c r="T31" s="4694">
        <f>-R31*T12</f>
        <v>-5512.3510000000006</v>
      </c>
      <c r="U31" s="4763">
        <f t="shared" si="2"/>
        <v>49611.159</v>
      </c>
      <c r="V31" s="1256"/>
      <c r="W31" s="4700" t="s">
        <v>6233</v>
      </c>
      <c r="X31" s="4698">
        <v>46153</v>
      </c>
      <c r="Y31" s="4698"/>
      <c r="Z31" s="4701"/>
      <c r="AA31" s="4701">
        <f t="shared" si="14"/>
        <v>46174</v>
      </c>
      <c r="AB31" s="3245"/>
      <c r="AC31" s="3250"/>
      <c r="AD31" s="3250"/>
      <c r="AE31" s="3250"/>
      <c r="AF31" s="3250"/>
    </row>
    <row r="32" spans="1:33" ht="36">
      <c r="A32" s="4841">
        <v>19</v>
      </c>
      <c r="B32" s="4689" t="s">
        <v>1644</v>
      </c>
      <c r="C32" s="4761">
        <v>46082</v>
      </c>
      <c r="D32" s="4691" t="s">
        <v>6157</v>
      </c>
      <c r="E32" s="4692">
        <v>46105</v>
      </c>
      <c r="F32" s="4762">
        <f t="shared" ref="F32" si="18">+F31+G32</f>
        <v>62834968.175116241</v>
      </c>
      <c r="G32" s="4762">
        <v>105064.17</v>
      </c>
      <c r="H32" s="4762">
        <v>0</v>
      </c>
      <c r="I32" s="4762">
        <f>-G32*I12</f>
        <v>-10506.417000000001</v>
      </c>
      <c r="J32" s="4694">
        <f t="shared" ref="J32" si="19">+I32+H32+G32</f>
        <v>94557.752999999997</v>
      </c>
      <c r="K32" s="4695"/>
      <c r="L32" s="4840">
        <v>19</v>
      </c>
      <c r="M32" s="4697" t="s">
        <v>6158</v>
      </c>
      <c r="N32" s="4701">
        <v>46138</v>
      </c>
      <c r="O32" s="4698">
        <f t="shared" ref="O32" si="20">E32+21</f>
        <v>46126</v>
      </c>
      <c r="P32" s="4699">
        <f t="shared" ref="P32" si="21">O32-N32</f>
        <v>-12</v>
      </c>
      <c r="Q32" s="4762">
        <f t="shared" ref="Q32" si="22">+Q31+R32</f>
        <v>29738034.860000003</v>
      </c>
      <c r="R32" s="4694">
        <v>105064.17</v>
      </c>
      <c r="S32" s="4694">
        <v>0</v>
      </c>
      <c r="T32" s="4694">
        <f>-R32*$T$12</f>
        <v>-10506.417000000001</v>
      </c>
      <c r="U32" s="4763">
        <f t="shared" ref="U32" si="23">R32+S32+T32</f>
        <v>94557.752999999997</v>
      </c>
      <c r="V32" s="1256"/>
      <c r="W32" s="4700" t="s">
        <v>6504</v>
      </c>
      <c r="X32" s="4698">
        <v>46215</v>
      </c>
      <c r="Y32" s="4698"/>
      <c r="Z32" s="4701"/>
      <c r="AA32" s="4701">
        <f t="shared" si="14"/>
        <v>46236</v>
      </c>
      <c r="AB32" s="4406"/>
      <c r="AC32" s="4404"/>
      <c r="AD32" s="4404"/>
      <c r="AE32" s="4404"/>
      <c r="AF32" s="4404"/>
    </row>
    <row r="33" spans="1:32" ht="36">
      <c r="A33" s="4841">
        <v>20</v>
      </c>
      <c r="B33" s="4689" t="s">
        <v>1647</v>
      </c>
      <c r="C33" s="4761">
        <v>46113</v>
      </c>
      <c r="D33" s="4691" t="s">
        <v>6157</v>
      </c>
      <c r="E33" s="4692">
        <v>46132</v>
      </c>
      <c r="F33" s="4762">
        <f t="shared" ref="F33" si="24">+F32+G33</f>
        <v>63048049.21511624</v>
      </c>
      <c r="G33" s="4762">
        <v>213081.04</v>
      </c>
      <c r="H33" s="4762">
        <v>0</v>
      </c>
      <c r="I33" s="4762">
        <f>-G33*I12</f>
        <v>-21308.104000000003</v>
      </c>
      <c r="J33" s="4694">
        <f>+I33+H33+G33-0.01</f>
        <v>191772.92600000001</v>
      </c>
      <c r="K33" s="4695"/>
      <c r="L33" s="4840">
        <v>20</v>
      </c>
      <c r="M33" s="4697" t="s">
        <v>6294</v>
      </c>
      <c r="N33" s="4701">
        <v>46174</v>
      </c>
      <c r="O33" s="4698">
        <f t="shared" ref="O33" si="25">E33+21</f>
        <v>46153</v>
      </c>
      <c r="P33" s="4699">
        <f t="shared" ref="P33" si="26">O33-N33</f>
        <v>-21</v>
      </c>
      <c r="Q33" s="4762">
        <f t="shared" ref="Q33" si="27">+Q32+R33</f>
        <v>29951115.900000002</v>
      </c>
      <c r="R33" s="4694">
        <v>213081.04</v>
      </c>
      <c r="S33" s="4694">
        <v>0</v>
      </c>
      <c r="T33" s="4694">
        <f>-R33*$T$12</f>
        <v>-21308.104000000003</v>
      </c>
      <c r="U33" s="4763">
        <f>R33+S33+T33-0.01</f>
        <v>191772.92600000001</v>
      </c>
      <c r="V33" s="1256"/>
      <c r="W33" s="4700" t="s">
        <v>6598</v>
      </c>
      <c r="X33" s="4698">
        <v>46252</v>
      </c>
      <c r="Y33" s="4698"/>
      <c r="Z33" s="4701"/>
      <c r="AA33" s="4701">
        <f t="shared" ref="AA33:AA34" si="28">+X33+21</f>
        <v>46273</v>
      </c>
      <c r="AB33" s="1324"/>
      <c r="AC33" s="1327"/>
      <c r="AD33" s="1327"/>
      <c r="AE33" s="1327"/>
      <c r="AF33" s="1327"/>
    </row>
    <row r="34" spans="1:32" ht="36">
      <c r="A34" s="4841">
        <v>21</v>
      </c>
      <c r="B34" s="4689" t="s">
        <v>1650</v>
      </c>
      <c r="C34" s="4690" t="s">
        <v>6557</v>
      </c>
      <c r="D34" s="4691" t="s">
        <v>6558</v>
      </c>
      <c r="E34" s="4692">
        <v>46240</v>
      </c>
      <c r="F34" s="4762">
        <f t="shared" ref="F34" si="29">+F33+G34</f>
        <v>63048049.21511624</v>
      </c>
      <c r="G34" s="4762">
        <v>0</v>
      </c>
      <c r="H34" s="4762">
        <v>0</v>
      </c>
      <c r="I34" s="4762">
        <v>2913181.72</v>
      </c>
      <c r="J34" s="4694">
        <f>+I34+H34+G34</f>
        <v>2913181.72</v>
      </c>
      <c r="K34" s="4695"/>
      <c r="L34" s="4840">
        <v>21</v>
      </c>
      <c r="M34" s="4697" t="s">
        <v>6559</v>
      </c>
      <c r="N34" s="4701">
        <v>46174</v>
      </c>
      <c r="O34" s="4698">
        <f t="shared" ref="O34" si="30">E34+21</f>
        <v>46261</v>
      </c>
      <c r="P34" s="4699">
        <f t="shared" ref="P34" si="31">O34-N34</f>
        <v>87</v>
      </c>
      <c r="Q34" s="4762">
        <f t="shared" ref="Q34" si="32">+Q33+R34</f>
        <v>29951115.900000002</v>
      </c>
      <c r="R34" s="4694">
        <v>0</v>
      </c>
      <c r="S34" s="4694">
        <v>0</v>
      </c>
      <c r="T34" s="4694">
        <v>2913181.72</v>
      </c>
      <c r="U34" s="4763">
        <f>R34+S34+T34</f>
        <v>2913181.72</v>
      </c>
      <c r="V34" s="1256"/>
      <c r="W34" s="723"/>
      <c r="X34" s="1323">
        <v>46272</v>
      </c>
      <c r="Y34" s="1323"/>
      <c r="Z34" s="1321"/>
      <c r="AA34" s="1321">
        <f t="shared" si="28"/>
        <v>46293</v>
      </c>
      <c r="AB34" s="1324"/>
      <c r="AC34" s="1327"/>
      <c r="AD34" s="1327"/>
      <c r="AE34" s="1327"/>
      <c r="AF34" s="1327"/>
    </row>
    <row r="35" spans="1:32">
      <c r="A35" s="723"/>
      <c r="B35" s="810"/>
      <c r="C35" s="1445"/>
      <c r="D35" s="1320"/>
      <c r="E35" s="1441"/>
      <c r="F35" s="1322"/>
      <c r="G35" s="1322"/>
      <c r="H35" s="1322"/>
      <c r="I35" s="1322"/>
      <c r="J35" s="1322"/>
      <c r="K35" s="1256"/>
      <c r="L35" s="1443"/>
      <c r="M35" s="2850"/>
      <c r="N35" s="1321"/>
      <c r="O35" s="1323"/>
      <c r="P35" s="1324"/>
      <c r="Q35" s="1322"/>
      <c r="R35" s="1444"/>
      <c r="S35" s="1444"/>
      <c r="T35" s="1444"/>
      <c r="U35" s="1328"/>
      <c r="V35" s="1256"/>
      <c r="W35" s="723"/>
      <c r="X35" s="724"/>
      <c r="Y35" s="1323"/>
      <c r="Z35" s="1321"/>
      <c r="AA35" s="1321"/>
      <c r="AB35" s="1324"/>
      <c r="AC35" s="1327"/>
      <c r="AD35" s="1327"/>
      <c r="AE35" s="1327"/>
      <c r="AF35" s="1327"/>
    </row>
    <row r="36" spans="1:32">
      <c r="A36" s="1329"/>
      <c r="B36" s="1330"/>
      <c r="C36" s="1440"/>
      <c r="D36" s="1331"/>
      <c r="E36" s="1442"/>
      <c r="F36" s="1332"/>
      <c r="G36" s="1332"/>
      <c r="H36" s="1332"/>
      <c r="I36" s="1332"/>
      <c r="J36" s="1332"/>
      <c r="K36" s="1256"/>
      <c r="L36" s="1329"/>
      <c r="M36" s="2851"/>
      <c r="N36" s="1334"/>
      <c r="O36" s="1334"/>
      <c r="P36" s="1335"/>
      <c r="Q36" s="1322"/>
      <c r="R36" s="1333"/>
      <c r="S36" s="1333"/>
      <c r="T36" s="1333"/>
      <c r="U36" s="1336"/>
      <c r="V36" s="1256"/>
      <c r="W36" s="1329"/>
      <c r="X36" s="1333"/>
      <c r="Y36" s="1337"/>
      <c r="Z36" s="1334"/>
      <c r="AA36" s="1334"/>
      <c r="AB36" s="1334"/>
      <c r="AC36" s="1329"/>
      <c r="AD36" s="1337"/>
      <c r="AE36" s="1334"/>
      <c r="AF36" s="1334"/>
    </row>
    <row r="37" spans="1:32" ht="24.75" customHeight="1" collapsed="1" thickBot="1">
      <c r="A37" s="6045" t="s">
        <v>1522</v>
      </c>
      <c r="B37" s="6046"/>
      <c r="C37" s="6046"/>
      <c r="D37" s="6046"/>
      <c r="E37" s="6046"/>
      <c r="F37" s="6047"/>
      <c r="G37" s="1338">
        <f>SUM(G14:G36)</f>
        <v>63048049.21511624</v>
      </c>
      <c r="H37" s="1338">
        <f>SUM(H14:H36)</f>
        <v>-12226102.43</v>
      </c>
      <c r="I37" s="1338">
        <f>SUM(I14:I36)</f>
        <v>-2542413.8706533904</v>
      </c>
      <c r="J37" s="1338">
        <f>SUM(J14:J36)</f>
        <v>48279532.904462859</v>
      </c>
      <c r="K37" s="1256"/>
      <c r="L37" s="1339" t="s">
        <v>1522</v>
      </c>
      <c r="M37" s="1343"/>
      <c r="N37" s="1340"/>
      <c r="O37" s="1340"/>
      <c r="P37" s="1340"/>
      <c r="Q37" s="1340"/>
      <c r="R37" s="1341">
        <f>SUM(R14:R36)</f>
        <v>36606734.990000002</v>
      </c>
      <c r="S37" s="1338">
        <f>SUM(S14:S36)</f>
        <v>-7474917.6399999997</v>
      </c>
      <c r="T37" s="1338">
        <f>SUM(T14:T36)</f>
        <v>-2.1999998949468136E-2</v>
      </c>
      <c r="U37" s="1338">
        <f>SUM(U14:U36)</f>
        <v>29131817.318000004</v>
      </c>
      <c r="V37" s="1256"/>
      <c r="W37" s="1342" t="s">
        <v>1522</v>
      </c>
      <c r="X37" s="1343"/>
      <c r="Y37" s="1343"/>
      <c r="Z37" s="1343"/>
      <c r="AA37" s="1343"/>
      <c r="AB37" s="1343"/>
      <c r="AC37" s="1341">
        <f>SUM(AC14:AC36)</f>
        <v>25792563.690000005</v>
      </c>
      <c r="AD37" s="1338">
        <f>SUM(AD14:AD36)</f>
        <v>-65755.039999999324</v>
      </c>
      <c r="AE37" s="1338">
        <f>SUM(AE14:AE36)</f>
        <v>25726808.650000006</v>
      </c>
      <c r="AF37" s="1338">
        <f>+AF24</f>
        <v>23599351.390000004</v>
      </c>
    </row>
    <row r="38" spans="1:32">
      <c r="A38" s="1360"/>
      <c r="B38" s="1256"/>
      <c r="C38" s="1255"/>
      <c r="D38" s="1257"/>
      <c r="E38" s="1361"/>
      <c r="F38" s="1258"/>
      <c r="G38" s="1258"/>
      <c r="H38" s="1258"/>
      <c r="I38" s="1258"/>
      <c r="J38" s="1258"/>
      <c r="K38" s="1256"/>
      <c r="L38" s="1360"/>
      <c r="M38" s="2852"/>
      <c r="N38" s="1362"/>
      <c r="O38" s="1362"/>
      <c r="P38" s="1362"/>
      <c r="Q38" s="1360"/>
      <c r="R38" s="1360"/>
      <c r="S38" s="1360">
        <v>7474917.6399999997</v>
      </c>
      <c r="T38" s="1360"/>
      <c r="U38" s="1363"/>
      <c r="V38" s="1256"/>
      <c r="W38" s="1360"/>
      <c r="X38" s="1360"/>
      <c r="Y38" s="1364"/>
      <c r="Z38" s="1362"/>
      <c r="AA38" s="1362"/>
      <c r="AB38" s="1362"/>
      <c r="AC38" s="1360"/>
      <c r="AD38" s="1364"/>
      <c r="AE38" s="1362"/>
      <c r="AF38" s="1362"/>
    </row>
    <row r="39" spans="1:32">
      <c r="A39" s="1360"/>
      <c r="B39" s="1256"/>
      <c r="C39" s="1255"/>
      <c r="D39" s="1257"/>
      <c r="E39" s="1361"/>
      <c r="F39" s="1258"/>
      <c r="G39" s="1258"/>
      <c r="H39" s="1258"/>
      <c r="I39" s="1258"/>
      <c r="J39" s="1258"/>
      <c r="K39" s="1256"/>
      <c r="L39" s="1360"/>
      <c r="M39" s="2852"/>
      <c r="N39" s="1362"/>
      <c r="O39" s="1362"/>
      <c r="P39" s="1257"/>
      <c r="Q39" s="1258"/>
      <c r="R39" s="1258"/>
      <c r="S39" s="1258">
        <f>+S38+S37</f>
        <v>0</v>
      </c>
      <c r="T39" s="1258"/>
      <c r="U39" s="1258">
        <f>+U37-T37</f>
        <v>29131817.340000004</v>
      </c>
      <c r="V39" s="1256"/>
      <c r="W39" s="1360"/>
      <c r="X39" s="1360"/>
      <c r="Y39" s="1364"/>
      <c r="Z39" s="1362"/>
      <c r="AA39" s="1362"/>
      <c r="AB39" s="1362"/>
      <c r="AC39" s="1360"/>
      <c r="AD39" s="1364"/>
      <c r="AE39" s="1362"/>
      <c r="AF39" s="1362"/>
    </row>
    <row r="40" spans="1:32">
      <c r="A40" s="1365"/>
      <c r="B40" s="1256"/>
      <c r="C40" s="1255"/>
      <c r="D40" s="1257"/>
      <c r="E40" s="1361"/>
      <c r="F40" s="1366"/>
      <c r="G40" s="1366"/>
      <c r="H40" s="1366"/>
      <c r="I40" s="1366"/>
      <c r="J40" s="1258"/>
      <c r="K40" s="1256"/>
      <c r="L40" s="1365"/>
      <c r="M40" s="2853">
        <f>403092.61/11085046.72</f>
        <v>3.6363636544059594E-2</v>
      </c>
      <c r="N40" s="1365"/>
      <c r="O40" s="1365"/>
      <c r="P40" s="1257"/>
      <c r="Q40" s="1366"/>
      <c r="R40" s="1366"/>
      <c r="S40" s="1366">
        <f>+S39-S26-S25</f>
        <v>335862.5</v>
      </c>
      <c r="T40" s="1366"/>
      <c r="U40" s="1366"/>
      <c r="V40" s="1256"/>
      <c r="W40" s="1365"/>
      <c r="X40" s="1365"/>
      <c r="Y40" s="1365"/>
      <c r="Z40" s="1362"/>
      <c r="AA40" s="1362"/>
      <c r="AB40" s="1362"/>
      <c r="AC40" s="1365"/>
      <c r="AD40" s="1365"/>
      <c r="AE40" s="1362"/>
      <c r="AF40" s="1362"/>
    </row>
    <row r="41" spans="1:32">
      <c r="D41" s="1257"/>
      <c r="E41" s="153">
        <v>44197</v>
      </c>
      <c r="F41" s="1366"/>
      <c r="P41" s="1257"/>
      <c r="Q41" s="1366"/>
      <c r="R41" s="1366"/>
      <c r="S41" s="1366"/>
      <c r="T41" s="1366"/>
      <c r="U41" s="1366"/>
      <c r="X41" s="153"/>
      <c r="AA41" s="153">
        <v>44094</v>
      </c>
      <c r="AC41" s="1367"/>
    </row>
    <row r="42" spans="1:32">
      <c r="D42" s="1257"/>
      <c r="E42" s="153">
        <f>E41-45</f>
        <v>44152</v>
      </c>
      <c r="F42" s="1366"/>
      <c r="P42" s="1257"/>
      <c r="Q42" s="1366"/>
      <c r="R42" s="1366"/>
      <c r="S42" s="1366">
        <v>-267109.25</v>
      </c>
      <c r="T42" s="1366"/>
      <c r="U42" s="1366"/>
      <c r="AA42" s="153">
        <f>AA41-45</f>
        <v>44049</v>
      </c>
    </row>
    <row r="43" spans="1:32">
      <c r="D43" s="1257"/>
      <c r="F43" s="1366"/>
      <c r="H43" s="153">
        <v>43986</v>
      </c>
      <c r="R43" s="652"/>
      <c r="S43" s="652"/>
      <c r="T43" s="652"/>
      <c r="U43" s="652"/>
      <c r="X43" s="153"/>
    </row>
    <row r="45" spans="1:32">
      <c r="AC45" t="s">
        <v>2330</v>
      </c>
    </row>
    <row r="46" spans="1:32">
      <c r="AC46" s="3018">
        <v>45222</v>
      </c>
      <c r="AD46" s="3018">
        <v>45253</v>
      </c>
      <c r="AE46" s="3018">
        <v>45283</v>
      </c>
    </row>
    <row r="47" spans="1:32">
      <c r="AC47" s="3020">
        <v>11439880.26</v>
      </c>
    </row>
  </sheetData>
  <mergeCells count="4">
    <mergeCell ref="A10:J10"/>
    <mergeCell ref="L10:U10"/>
    <mergeCell ref="W10:AF10"/>
    <mergeCell ref="A37:F37"/>
  </mergeCells>
  <printOptions horizontalCentered="1"/>
  <pageMargins left="0.25" right="0.25" top="0.75" bottom="0.75" header="0.3" footer="0.3"/>
  <pageSetup paperSize="8" scale="67" fitToHeight="2" orientation="landscape" r:id="rId1"/>
  <headerFooter>
    <oddHeader>&amp;C&amp;"Calibri,Bold"&amp;18MONTHLY REPORT - INVOICE &amp; PAYMENT TRACKING LOG (ALUTEC)</oddHeader>
    <oddFooter>&amp;L1TB.01.003.01 - AYC 
MARCH'26 REPORT&amp;C&amp;A&amp;RPage &amp;P of &amp;N</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7F8E6-9AC0-4189-B5DD-AD63E71BDB7A}">
  <sheetPr codeName="Sheet47">
    <tabColor theme="7" tint="0.39997558519241921"/>
    <pageSetUpPr fitToPage="1"/>
  </sheetPr>
  <dimension ref="A1:AG52"/>
  <sheetViews>
    <sheetView showGridLines="0" view="pageBreakPreview" topLeftCell="F20" zoomScale="90" zoomScaleNormal="100" zoomScaleSheetLayoutView="90" workbookViewId="0">
      <selection activeCell="C43" sqref="C43"/>
    </sheetView>
  </sheetViews>
  <sheetFormatPr defaultColWidth="9" defaultRowHeight="12.75"/>
  <cols>
    <col min="1" max="1" width="10.85546875" customWidth="1"/>
    <col min="2" max="2" width="10.42578125" customWidth="1"/>
    <col min="3" max="3" width="11.42578125" customWidth="1"/>
    <col min="4" max="4" width="10.85546875" bestFit="1" customWidth="1"/>
    <col min="5" max="5" width="12.42578125" bestFit="1" customWidth="1"/>
    <col min="6" max="6" width="14.42578125" customWidth="1"/>
    <col min="7" max="7" width="12.85546875" bestFit="1" customWidth="1"/>
    <col min="8" max="9" width="11.85546875" bestFit="1" customWidth="1"/>
    <col min="10" max="10" width="13.85546875" customWidth="1"/>
    <col min="11" max="11" width="0.85546875" customWidth="1"/>
    <col min="12" max="12" width="6" customWidth="1"/>
    <col min="13" max="13" width="17.85546875" style="2854" bestFit="1" customWidth="1"/>
    <col min="14" max="14" width="9" customWidth="1"/>
    <col min="15" max="15" width="9.42578125" bestFit="1" customWidth="1"/>
    <col min="16" max="16" width="7.85546875" customWidth="1"/>
    <col min="17" max="17" width="13.85546875" customWidth="1"/>
    <col min="18" max="18" width="15.5703125" customWidth="1"/>
    <col min="19" max="20" width="11.42578125" customWidth="1"/>
    <col min="21" max="21" width="14.5703125" customWidth="1"/>
    <col min="22" max="22" width="0.85546875" customWidth="1"/>
    <col min="23" max="23" width="14" bestFit="1" customWidth="1"/>
    <col min="24" max="24" width="9" customWidth="1"/>
    <col min="25" max="25" width="9" hidden="1" customWidth="1"/>
    <col min="26" max="26" width="9" bestFit="1" customWidth="1"/>
    <col min="27" max="27" width="10" customWidth="1"/>
    <col min="28" max="28" width="7" customWidth="1"/>
    <col min="29" max="29" width="12.42578125" customWidth="1"/>
    <col min="30" max="30" width="13.5703125" customWidth="1"/>
    <col min="31" max="32" width="14" customWidth="1"/>
    <col min="33" max="33" width="13.5703125" bestFit="1" customWidth="1"/>
  </cols>
  <sheetData>
    <row r="1" spans="1:33">
      <c r="A1" s="1255"/>
      <c r="B1" s="1256"/>
      <c r="C1" s="1255"/>
      <c r="D1" s="1257"/>
      <c r="E1" s="1257"/>
      <c r="F1" s="1258"/>
      <c r="G1" s="1258"/>
      <c r="H1" s="1258"/>
      <c r="I1" s="1258"/>
      <c r="J1" s="1258"/>
      <c r="K1" s="1257"/>
      <c r="L1" s="1255"/>
      <c r="M1" s="2848"/>
      <c r="N1" s="1255"/>
      <c r="O1" s="1255"/>
      <c r="P1" s="1255"/>
      <c r="Q1" s="1255"/>
      <c r="R1" s="1255"/>
      <c r="S1" s="1255"/>
      <c r="T1" s="1255"/>
      <c r="U1" s="1259"/>
      <c r="V1" s="1257"/>
      <c r="W1" s="1257"/>
      <c r="X1" s="1257"/>
      <c r="Y1" s="1257"/>
      <c r="Z1" s="1257"/>
      <c r="AA1" s="1257"/>
      <c r="AB1" s="1257"/>
      <c r="AC1" s="1257"/>
      <c r="AD1" s="1257"/>
      <c r="AE1" s="1257"/>
      <c r="AF1" s="1257"/>
    </row>
    <row r="2" spans="1:33">
      <c r="A2" s="9" t="str">
        <f>'Data Input'!A1&amp;" - "&amp;'Data Input'!B1</f>
        <v>PROGRAMME: - MARINA VILLAGE (PROGRAMME 1_TRIPLE BAY)</v>
      </c>
      <c r="B2" s="1256"/>
      <c r="C2" s="1255"/>
      <c r="D2" s="1257"/>
      <c r="E2" s="1257"/>
      <c r="F2" s="1258"/>
      <c r="G2" s="1258"/>
      <c r="H2" s="1258"/>
      <c r="I2" s="1258"/>
      <c r="J2" s="1258"/>
      <c r="K2" s="1257"/>
      <c r="L2" s="1255"/>
      <c r="M2" s="2848"/>
      <c r="N2" s="1255"/>
      <c r="O2" s="1255"/>
      <c r="P2" s="1255"/>
      <c r="Q2" s="1255"/>
      <c r="R2" s="1255"/>
      <c r="S2" s="1255"/>
      <c r="T2" s="1255"/>
      <c r="U2" s="1259"/>
      <c r="V2" s="1257"/>
      <c r="W2" s="1257"/>
      <c r="X2" s="1257"/>
      <c r="Y2" s="1257"/>
      <c r="Z2" s="1257"/>
      <c r="AA2" s="1257"/>
      <c r="AB2" s="1257"/>
      <c r="AC2" s="1257"/>
      <c r="AD2" s="1257"/>
      <c r="AE2" s="1257"/>
      <c r="AF2" s="1257"/>
    </row>
    <row r="3" spans="1:33">
      <c r="A3" s="9" t="str">
        <f>'Data Input'!A2&amp;" - "&amp;'Data Input'!B2</f>
        <v>PROGRAMME CODE: - 1TB01003</v>
      </c>
      <c r="B3" s="1260"/>
      <c r="C3" s="1261"/>
      <c r="D3" s="1262"/>
      <c r="E3" s="1262"/>
      <c r="F3" s="1263"/>
      <c r="G3" s="1263"/>
      <c r="H3" s="1263"/>
      <c r="I3" s="1263"/>
      <c r="J3" s="1264"/>
      <c r="K3" s="1265"/>
      <c r="L3" s="1265"/>
      <c r="M3" s="1262"/>
      <c r="N3" s="1265"/>
      <c r="O3" s="1266"/>
      <c r="P3" s="1265"/>
      <c r="Q3" s="1265"/>
      <c r="R3" s="1265"/>
      <c r="S3" s="1265"/>
      <c r="T3" s="1265"/>
      <c r="U3" s="1267"/>
      <c r="V3" s="1265"/>
      <c r="W3" s="1265"/>
      <c r="X3" s="1265"/>
      <c r="Y3" s="1265"/>
      <c r="Z3" s="1265"/>
      <c r="AA3" s="1265"/>
      <c r="AB3" s="1265"/>
      <c r="AC3" s="1265"/>
      <c r="AD3" s="1265"/>
      <c r="AE3" s="1265"/>
      <c r="AF3" s="1265"/>
    </row>
    <row r="4" spans="1:33">
      <c r="A4" s="9" t="str">
        <f>'Data Input'!A3&amp;" - "&amp;'Data Input'!B3</f>
        <v>ASSET NAME: - AMAALA YACHT CLUB</v>
      </c>
      <c r="B4" s="1260"/>
      <c r="C4" s="1268"/>
      <c r="D4" s="1265"/>
      <c r="E4" s="1265"/>
      <c r="F4" s="1267"/>
      <c r="G4" s="1267"/>
      <c r="H4" s="1267"/>
      <c r="I4" s="1267"/>
      <c r="J4" s="1269"/>
      <c r="K4" s="1265"/>
      <c r="L4" s="1265"/>
      <c r="M4" s="1262"/>
      <c r="N4" s="1265"/>
      <c r="O4" s="1266"/>
      <c r="P4" s="1265"/>
      <c r="Q4" s="1265"/>
      <c r="R4" s="1265"/>
      <c r="S4" s="1265"/>
      <c r="T4" s="1265"/>
      <c r="U4" s="1267"/>
      <c r="V4" s="1265"/>
      <c r="W4" s="1265"/>
      <c r="X4" s="1265"/>
      <c r="Y4" s="1265"/>
      <c r="Z4" s="1265"/>
      <c r="AA4" s="1265"/>
      <c r="AB4" s="1265"/>
      <c r="AC4" s="1265"/>
      <c r="AD4" s="1265"/>
      <c r="AE4" s="1265"/>
      <c r="AF4" s="1265"/>
    </row>
    <row r="5" spans="1:33">
      <c r="A5" s="9" t="str">
        <f>'Data Input'!A4&amp;" - "&amp;'Data Input'!B4</f>
        <v>ASSET CODE: - 1TB01003.01</v>
      </c>
      <c r="B5" s="1270"/>
      <c r="C5" s="1268"/>
      <c r="D5" s="1265"/>
      <c r="E5" s="1265"/>
      <c r="F5" s="1267"/>
      <c r="G5" s="1267"/>
      <c r="H5" s="1267"/>
      <c r="I5" s="1267"/>
      <c r="J5" s="1269"/>
      <c r="K5" s="1265"/>
      <c r="L5" s="1265"/>
      <c r="M5" s="1262"/>
      <c r="N5" s="1265"/>
      <c r="O5" s="1266"/>
      <c r="P5" s="1265"/>
      <c r="Q5" s="1265"/>
      <c r="R5" s="1271"/>
      <c r="S5" s="1265"/>
      <c r="T5" s="1265"/>
      <c r="U5" s="1267"/>
      <c r="V5" s="1265"/>
      <c r="W5" s="1265"/>
      <c r="X5" s="1265"/>
      <c r="Y5" s="1265"/>
      <c r="Z5" s="1265"/>
      <c r="AA5" s="1265"/>
      <c r="AB5" s="1265"/>
      <c r="AC5" s="1265"/>
      <c r="AD5" s="1265"/>
      <c r="AE5" s="1265"/>
      <c r="AF5" s="1265"/>
    </row>
    <row r="6" spans="1:33">
      <c r="A6" s="9" t="str">
        <f>'Data Input'!A7&amp;" - "&amp;'Data Input'!B7</f>
        <v>REPORT NO: - MONTHLY REPORT NO. 49</v>
      </c>
      <c r="B6" s="1272"/>
      <c r="C6" s="1268"/>
      <c r="D6" s="1265"/>
      <c r="E6" s="1265"/>
      <c r="F6" s="1267"/>
      <c r="G6" s="1267"/>
      <c r="H6" s="1267"/>
      <c r="I6" s="1267"/>
      <c r="J6" s="1269"/>
      <c r="K6" s="1265"/>
      <c r="L6" s="1265"/>
      <c r="M6" s="1262"/>
      <c r="N6" s="1265"/>
      <c r="O6" s="1266"/>
      <c r="P6" s="1265"/>
      <c r="Q6" s="1265"/>
      <c r="R6" s="1273"/>
      <c r="S6" s="1265"/>
      <c r="T6" s="1271"/>
      <c r="U6" s="1267"/>
      <c r="V6" s="1265"/>
      <c r="W6" s="1265"/>
      <c r="X6" s="1265"/>
      <c r="Y6" s="1265"/>
      <c r="Z6" s="1265"/>
      <c r="AA6" s="1265"/>
      <c r="AB6" s="1265"/>
      <c r="AC6" s="1265"/>
      <c r="AD6" s="1265"/>
      <c r="AE6" s="1265"/>
      <c r="AF6" s="1265"/>
    </row>
    <row r="7" spans="1:33">
      <c r="A7" s="9" t="str">
        <f>'Data Input'!A8&amp;" - "&amp;'Data Input'!B8</f>
        <v>REPORTING PERIOD: - OCTOBER 2026</v>
      </c>
      <c r="B7" s="1262"/>
      <c r="C7" s="1274"/>
      <c r="D7" s="1262"/>
      <c r="E7" s="1262"/>
      <c r="F7" s="1263"/>
      <c r="G7" s="1263"/>
      <c r="H7" s="1263"/>
      <c r="I7" s="1263"/>
      <c r="J7" s="1264"/>
      <c r="K7" s="1265"/>
      <c r="L7" s="1265"/>
      <c r="M7" s="1262"/>
      <c r="N7" s="1265"/>
      <c r="O7" s="1265"/>
      <c r="P7" s="1265"/>
      <c r="Q7" s="1267"/>
      <c r="R7" s="1263"/>
      <c r="S7" s="1263"/>
      <c r="T7" s="1263"/>
      <c r="U7" s="1267"/>
      <c r="V7" s="1265"/>
      <c r="W7" s="1265"/>
      <c r="X7" s="1265"/>
      <c r="Y7" s="1265"/>
      <c r="Z7" s="1265"/>
      <c r="AA7" s="1265"/>
      <c r="AB7" s="1265"/>
      <c r="AC7" s="1265"/>
      <c r="AD7" s="1265"/>
      <c r="AE7" s="1265"/>
      <c r="AF7" s="1265"/>
    </row>
    <row r="8" spans="1:33" ht="13.5" thickBot="1">
      <c r="A8" s="9"/>
      <c r="B8" s="1256"/>
      <c r="C8" s="1255"/>
      <c r="D8" s="1257"/>
      <c r="E8" s="1257"/>
      <c r="F8" s="1258"/>
      <c r="G8" s="1258"/>
      <c r="H8" s="1258"/>
      <c r="I8" s="1258"/>
      <c r="J8" s="1258"/>
      <c r="K8" s="1257"/>
      <c r="L8" s="1255"/>
      <c r="M8" s="2848"/>
      <c r="N8" s="1275"/>
      <c r="O8" s="1276"/>
      <c r="P8" s="1255"/>
      <c r="Q8" s="1255"/>
      <c r="R8" s="1255"/>
      <c r="S8" s="1255"/>
      <c r="T8" s="1255"/>
      <c r="U8" s="1259"/>
      <c r="V8" s="1257"/>
      <c r="W8" s="1257"/>
      <c r="X8" s="1257"/>
      <c r="Y8" s="1257"/>
      <c r="Z8" s="1257"/>
      <c r="AA8" s="1257"/>
      <c r="AB8" s="1257"/>
      <c r="AC8" s="1257"/>
      <c r="AD8" s="1257"/>
      <c r="AE8" s="1257"/>
      <c r="AF8" s="1257"/>
    </row>
    <row r="9" spans="1:33" ht="30" customHeight="1" thickBot="1">
      <c r="A9" s="1354" t="s">
        <v>3474</v>
      </c>
      <c r="B9" s="1355"/>
      <c r="C9" s="1355"/>
      <c r="D9" s="1356"/>
      <c r="E9" s="1356"/>
      <c r="F9" s="1357"/>
      <c r="G9" s="1357"/>
      <c r="H9" s="1357"/>
      <c r="I9" s="1357"/>
      <c r="J9" s="1357"/>
      <c r="K9" s="1356"/>
      <c r="L9" s="1355"/>
      <c r="M9" s="2849"/>
      <c r="N9" s="1355"/>
      <c r="O9" s="1355"/>
      <c r="P9" s="1355"/>
      <c r="Q9" s="1355"/>
      <c r="R9" s="1355"/>
      <c r="S9" s="1355"/>
      <c r="T9" s="1355"/>
      <c r="U9" s="1358"/>
      <c r="V9" s="1356"/>
      <c r="W9" s="1356"/>
      <c r="X9" s="1356"/>
      <c r="Y9" s="1356"/>
      <c r="Z9" s="1356"/>
      <c r="AA9" s="1356"/>
      <c r="AB9" s="1356"/>
      <c r="AC9" s="1356"/>
      <c r="AD9" s="1356"/>
      <c r="AE9" s="1356"/>
      <c r="AF9" s="1359"/>
    </row>
    <row r="10" spans="1:33">
      <c r="A10" s="6051" t="s">
        <v>1524</v>
      </c>
      <c r="B10" s="6052"/>
      <c r="C10" s="6052"/>
      <c r="D10" s="6052"/>
      <c r="E10" s="6052"/>
      <c r="F10" s="6052"/>
      <c r="G10" s="6053"/>
      <c r="H10" s="6053"/>
      <c r="I10" s="6053"/>
      <c r="J10" s="6054"/>
      <c r="K10" s="1256"/>
      <c r="L10" s="6055" t="s">
        <v>1525</v>
      </c>
      <c r="M10" s="6056"/>
      <c r="N10" s="6056"/>
      <c r="O10" s="6056"/>
      <c r="P10" s="6056"/>
      <c r="Q10" s="6056"/>
      <c r="R10" s="6057"/>
      <c r="S10" s="6057"/>
      <c r="T10" s="6057"/>
      <c r="U10" s="6058"/>
      <c r="V10" s="1256"/>
      <c r="W10" s="6043" t="s">
        <v>1526</v>
      </c>
      <c r="X10" s="6044"/>
      <c r="Y10" s="6044"/>
      <c r="Z10" s="6044"/>
      <c r="AA10" s="6044"/>
      <c r="AB10" s="6044"/>
      <c r="AC10" s="6044"/>
      <c r="AD10" s="6044"/>
      <c r="AE10" s="6044"/>
      <c r="AF10" s="6059"/>
    </row>
    <row r="11" spans="1:33" ht="60" customHeight="1">
      <c r="A11" s="1283" t="s">
        <v>1462</v>
      </c>
      <c r="B11" s="1284" t="s">
        <v>1527</v>
      </c>
      <c r="C11" s="1284" t="s">
        <v>1528</v>
      </c>
      <c r="D11" s="1285" t="s">
        <v>1744</v>
      </c>
      <c r="E11" s="1285" t="s">
        <v>1530</v>
      </c>
      <c r="F11" s="1286" t="s">
        <v>1531</v>
      </c>
      <c r="G11" s="1287" t="s">
        <v>1532</v>
      </c>
      <c r="H11" s="1287" t="s">
        <v>1533</v>
      </c>
      <c r="I11" s="1287" t="s">
        <v>1534</v>
      </c>
      <c r="J11" s="1288" t="s">
        <v>1535</v>
      </c>
      <c r="K11" s="1289"/>
      <c r="L11" s="763" t="s">
        <v>1536</v>
      </c>
      <c r="M11" s="1290" t="s">
        <v>1601</v>
      </c>
      <c r="N11" s="1290" t="s">
        <v>1530</v>
      </c>
      <c r="O11" s="1290" t="s">
        <v>2151</v>
      </c>
      <c r="P11" s="764" t="s">
        <v>1539</v>
      </c>
      <c r="Q11" s="1291" t="s">
        <v>1540</v>
      </c>
      <c r="R11" s="1292" t="s">
        <v>1541</v>
      </c>
      <c r="S11" s="1292" t="s">
        <v>1533</v>
      </c>
      <c r="T11" s="1292" t="s">
        <v>1534</v>
      </c>
      <c r="U11" s="1293" t="s">
        <v>1542</v>
      </c>
      <c r="V11" s="1256"/>
      <c r="W11" s="1294" t="s">
        <v>2086</v>
      </c>
      <c r="X11" s="2839" t="s">
        <v>2087</v>
      </c>
      <c r="Y11" s="1295" t="s">
        <v>1544</v>
      </c>
      <c r="Z11" s="1296" t="s">
        <v>1545</v>
      </c>
      <c r="AA11" s="1296" t="s">
        <v>3101</v>
      </c>
      <c r="AB11" s="769" t="s">
        <v>1539</v>
      </c>
      <c r="AC11" s="769" t="s">
        <v>1547</v>
      </c>
      <c r="AD11" s="769" t="s">
        <v>3478</v>
      </c>
      <c r="AE11" s="1296" t="s">
        <v>1549</v>
      </c>
      <c r="AF11" s="1297" t="s">
        <v>1550</v>
      </c>
    </row>
    <row r="12" spans="1:33" ht="17.25" customHeight="1">
      <c r="A12" s="1298"/>
      <c r="B12" s="1299"/>
      <c r="C12" s="1300"/>
      <c r="D12" s="1301"/>
      <c r="E12" s="1302" t="s">
        <v>296</v>
      </c>
      <c r="F12" s="1303" t="s">
        <v>434</v>
      </c>
      <c r="G12" s="1303" t="s">
        <v>434</v>
      </c>
      <c r="H12" s="1304">
        <v>0</v>
      </c>
      <c r="I12" s="1304">
        <v>0</v>
      </c>
      <c r="J12" s="1305" t="s">
        <v>434</v>
      </c>
      <c r="K12" s="1256"/>
      <c r="L12" s="765"/>
      <c r="M12" s="766"/>
      <c r="N12" s="1306" t="s">
        <v>296</v>
      </c>
      <c r="O12" s="766" t="s">
        <v>3100</v>
      </c>
      <c r="P12" s="1307" t="s">
        <v>1552</v>
      </c>
      <c r="Q12" s="767" t="s">
        <v>434</v>
      </c>
      <c r="R12" s="767" t="s">
        <v>434</v>
      </c>
      <c r="S12" s="1308">
        <v>0</v>
      </c>
      <c r="T12" s="1308">
        <v>0</v>
      </c>
      <c r="U12" s="768" t="s">
        <v>434</v>
      </c>
      <c r="V12" s="1256"/>
      <c r="W12" s="770"/>
      <c r="X12" s="2840"/>
      <c r="Y12" s="1309" t="s">
        <v>296</v>
      </c>
      <c r="Z12" s="1309" t="s">
        <v>296</v>
      </c>
      <c r="AA12" s="1309" t="s">
        <v>3103</v>
      </c>
      <c r="AB12" s="1310" t="s">
        <v>1552</v>
      </c>
      <c r="AC12" s="1311"/>
      <c r="AD12" s="1312">
        <v>0.15</v>
      </c>
      <c r="AE12" s="1309" t="s">
        <v>296</v>
      </c>
      <c r="AF12" s="1313" t="s">
        <v>296</v>
      </c>
    </row>
    <row r="13" spans="1:33" s="722" customFormat="1" ht="25.5" customHeight="1">
      <c r="A13" s="1314"/>
      <c r="B13" s="1314"/>
      <c r="C13" s="1314"/>
      <c r="D13" s="1314"/>
      <c r="E13" s="1314" t="s">
        <v>1481</v>
      </c>
      <c r="F13" s="1314"/>
      <c r="G13" s="1314"/>
      <c r="H13" s="1314"/>
      <c r="I13" s="1314"/>
      <c r="J13" s="1314"/>
      <c r="K13" s="1255"/>
      <c r="L13" s="1315"/>
      <c r="M13" s="1315"/>
      <c r="N13" s="1316" t="s">
        <v>1482</v>
      </c>
      <c r="O13" s="1314" t="s">
        <v>2084</v>
      </c>
      <c r="P13" s="1317" t="s">
        <v>1555</v>
      </c>
      <c r="Q13" s="1318" t="s">
        <v>1556</v>
      </c>
      <c r="R13" s="1318" t="s">
        <v>1557</v>
      </c>
      <c r="S13" s="1319" t="s">
        <v>1605</v>
      </c>
      <c r="T13" s="1319" t="s">
        <v>1606</v>
      </c>
      <c r="U13" s="1318" t="s">
        <v>1560</v>
      </c>
      <c r="V13" s="1255"/>
      <c r="W13" s="1316"/>
      <c r="X13" s="1316" t="s">
        <v>1561</v>
      </c>
      <c r="Y13" s="1316"/>
      <c r="Z13" s="1316" t="s">
        <v>2088</v>
      </c>
      <c r="AA13" s="1316" t="s">
        <v>3168</v>
      </c>
      <c r="AB13" s="1317" t="s">
        <v>2091</v>
      </c>
      <c r="AC13" s="1314" t="s">
        <v>2092</v>
      </c>
      <c r="AD13" s="1319" t="s">
        <v>3479</v>
      </c>
      <c r="AE13" s="1316" t="s">
        <v>2094</v>
      </c>
      <c r="AF13" s="1316"/>
    </row>
    <row r="14" spans="1:33" s="2837" customFormat="1" ht="50.25" customHeight="1">
      <c r="A14" s="4704">
        <v>1</v>
      </c>
      <c r="B14" s="4705" t="s">
        <v>1763</v>
      </c>
      <c r="C14" s="4722">
        <v>45605</v>
      </c>
      <c r="D14" s="4707" t="s">
        <v>3476</v>
      </c>
      <c r="E14" s="4708">
        <v>45616</v>
      </c>
      <c r="F14" s="4709">
        <f>G14</f>
        <v>969150</v>
      </c>
      <c r="G14" s="4710">
        <v>969150</v>
      </c>
      <c r="H14" s="4710">
        <f>(G14*$H$12)*-1*0</f>
        <v>0</v>
      </c>
      <c r="I14" s="4710">
        <f>(G14*$I$12)*-1*0</f>
        <v>0</v>
      </c>
      <c r="J14" s="4710">
        <f t="shared" ref="J14:J19" si="0">G14+H14+I14</f>
        <v>969150</v>
      </c>
      <c r="K14" s="4711"/>
      <c r="L14" s="4712">
        <v>1</v>
      </c>
      <c r="M14" s="4713" t="s">
        <v>3477</v>
      </c>
      <c r="N14" s="4708">
        <v>45634</v>
      </c>
      <c r="O14" s="4714">
        <f t="shared" ref="O14:O23" si="1">E14+21</f>
        <v>45637</v>
      </c>
      <c r="P14" s="4715">
        <f t="shared" ref="P14:P23" si="2">O14-N14</f>
        <v>3</v>
      </c>
      <c r="Q14" s="4709">
        <f>R14</f>
        <v>969150</v>
      </c>
      <c r="R14" s="4710">
        <v>969150</v>
      </c>
      <c r="S14" s="4710">
        <f t="shared" ref="S14:S19" si="3">(R14*$S$12)*-1*0</f>
        <v>0</v>
      </c>
      <c r="T14" s="4710">
        <f t="shared" ref="T14:T19" si="4">(R14*$T$12)*-1*0</f>
        <v>0</v>
      </c>
      <c r="U14" s="4710">
        <f t="shared" ref="U14:U19" si="5">R14+S14+T14</f>
        <v>969150</v>
      </c>
      <c r="V14" s="4711"/>
      <c r="W14" s="4716" t="s">
        <v>3508</v>
      </c>
      <c r="X14" s="4717">
        <v>45648</v>
      </c>
      <c r="Y14" s="4714"/>
      <c r="Z14" s="4718">
        <v>45655</v>
      </c>
      <c r="AA14" s="4718">
        <f t="shared" ref="AA14:AA22" si="6">+X14+21</f>
        <v>45669</v>
      </c>
      <c r="AB14" s="4715">
        <f t="shared" ref="AB14:AB22" si="7">+AA14-Z14</f>
        <v>14</v>
      </c>
      <c r="AC14" s="4719">
        <f t="shared" ref="AC14:AC22" si="8">+U14</f>
        <v>969150</v>
      </c>
      <c r="AD14" s="4719">
        <f>ROUND(AC14*$AD$12,2)</f>
        <v>145372.5</v>
      </c>
      <c r="AE14" s="4719">
        <f t="shared" ref="AE14:AE20" si="9">+AD14+AC14</f>
        <v>1114522.5</v>
      </c>
      <c r="AF14" s="4719">
        <f>+AE14</f>
        <v>1114522.5</v>
      </c>
      <c r="AG14" s="2842">
        <f>+AC14*1.15</f>
        <v>1114522.5</v>
      </c>
    </row>
    <row r="15" spans="1:33" ht="44.25" customHeight="1">
      <c r="A15" s="4704">
        <v>2</v>
      </c>
      <c r="B15" s="4705" t="s">
        <v>3510</v>
      </c>
      <c r="C15" s="4706">
        <v>45650</v>
      </c>
      <c r="D15" s="4707" t="s">
        <v>3509</v>
      </c>
      <c r="E15" s="4708">
        <v>45637</v>
      </c>
      <c r="F15" s="4720">
        <f t="shared" ref="F15:F22" si="10">+F14+G15</f>
        <v>1486800</v>
      </c>
      <c r="G15" s="4721">
        <v>517650</v>
      </c>
      <c r="H15" s="4710">
        <v>0</v>
      </c>
      <c r="I15" s="4710">
        <v>0</v>
      </c>
      <c r="J15" s="4710">
        <f t="shared" si="0"/>
        <v>517650</v>
      </c>
      <c r="K15" s="4711"/>
      <c r="L15" s="4712">
        <v>2</v>
      </c>
      <c r="M15" s="4713" t="s">
        <v>3511</v>
      </c>
      <c r="N15" s="4718">
        <v>45654</v>
      </c>
      <c r="O15" s="4714">
        <f t="shared" si="1"/>
        <v>45658</v>
      </c>
      <c r="P15" s="4715">
        <f t="shared" si="2"/>
        <v>4</v>
      </c>
      <c r="Q15" s="4720">
        <f t="shared" ref="Q15:Q28" si="11">+Q14+R15</f>
        <v>1486800</v>
      </c>
      <c r="R15" s="4710">
        <v>517650</v>
      </c>
      <c r="S15" s="4710">
        <f t="shared" si="3"/>
        <v>0</v>
      </c>
      <c r="T15" s="4710">
        <f t="shared" si="4"/>
        <v>0</v>
      </c>
      <c r="U15" s="4710">
        <f t="shared" si="5"/>
        <v>517650</v>
      </c>
      <c r="V15" s="4711"/>
      <c r="W15" s="4716" t="s">
        <v>3951</v>
      </c>
      <c r="X15" s="4717">
        <v>45677</v>
      </c>
      <c r="Y15" s="4714"/>
      <c r="Z15" s="4718">
        <v>45742</v>
      </c>
      <c r="AA15" s="4718">
        <f t="shared" si="6"/>
        <v>45698</v>
      </c>
      <c r="AB15" s="4715">
        <f t="shared" si="7"/>
        <v>-44</v>
      </c>
      <c r="AC15" s="4719">
        <f t="shared" si="8"/>
        <v>517650</v>
      </c>
      <c r="AD15" s="4719">
        <f t="shared" ref="AD15:AD22" si="12">+AC15*15%</f>
        <v>77647.5</v>
      </c>
      <c r="AE15" s="4719">
        <f t="shared" si="9"/>
        <v>595297.5</v>
      </c>
      <c r="AF15" s="4719">
        <f t="shared" ref="AF15:AF22" si="13">+AE15+AF14</f>
        <v>1709820</v>
      </c>
    </row>
    <row r="16" spans="1:33" ht="36">
      <c r="A16" s="4704">
        <v>3</v>
      </c>
      <c r="B16" s="4705" t="s">
        <v>3700</v>
      </c>
      <c r="C16" s="4706">
        <v>45658</v>
      </c>
      <c r="D16" s="4707" t="s">
        <v>3701</v>
      </c>
      <c r="E16" s="4708">
        <v>45698</v>
      </c>
      <c r="F16" s="4720">
        <f t="shared" si="10"/>
        <v>2029650</v>
      </c>
      <c r="G16" s="4710">
        <v>542850</v>
      </c>
      <c r="H16" s="4710">
        <v>0</v>
      </c>
      <c r="I16" s="4710">
        <v>0</v>
      </c>
      <c r="J16" s="4710">
        <f t="shared" si="0"/>
        <v>542850</v>
      </c>
      <c r="K16" s="4711"/>
      <c r="L16" s="4712">
        <v>3</v>
      </c>
      <c r="M16" s="4713" t="s">
        <v>3702</v>
      </c>
      <c r="N16" s="4718">
        <v>45344</v>
      </c>
      <c r="O16" s="4714">
        <f t="shared" si="1"/>
        <v>45719</v>
      </c>
      <c r="P16" s="4715">
        <f t="shared" si="2"/>
        <v>375</v>
      </c>
      <c r="Q16" s="4720">
        <f t="shared" si="11"/>
        <v>2029650</v>
      </c>
      <c r="R16" s="4710">
        <v>542850</v>
      </c>
      <c r="S16" s="4710">
        <f t="shared" si="3"/>
        <v>0</v>
      </c>
      <c r="T16" s="4710">
        <f t="shared" si="4"/>
        <v>0</v>
      </c>
      <c r="U16" s="4710">
        <f t="shared" si="5"/>
        <v>542850</v>
      </c>
      <c r="V16" s="4711"/>
      <c r="W16" s="4716" t="s">
        <v>4229</v>
      </c>
      <c r="X16" s="4717">
        <v>45722</v>
      </c>
      <c r="Y16" s="4714"/>
      <c r="Z16" s="4718">
        <v>45754</v>
      </c>
      <c r="AA16" s="4718">
        <f t="shared" si="6"/>
        <v>45743</v>
      </c>
      <c r="AB16" s="4715">
        <f t="shared" si="7"/>
        <v>-11</v>
      </c>
      <c r="AC16" s="4719">
        <f t="shared" si="8"/>
        <v>542850</v>
      </c>
      <c r="AD16" s="4719">
        <f t="shared" si="12"/>
        <v>81427.5</v>
      </c>
      <c r="AE16" s="4719">
        <f t="shared" si="9"/>
        <v>624277.5</v>
      </c>
      <c r="AF16" s="4719">
        <f t="shared" si="13"/>
        <v>2334097.5</v>
      </c>
    </row>
    <row r="17" spans="1:33" ht="36">
      <c r="A17" s="4704">
        <v>4</v>
      </c>
      <c r="B17" s="4705" t="s">
        <v>4235</v>
      </c>
      <c r="C17" s="4706">
        <v>45689</v>
      </c>
      <c r="D17" s="4707" t="s">
        <v>4238</v>
      </c>
      <c r="E17" s="4708">
        <v>45734</v>
      </c>
      <c r="F17" s="4720">
        <f t="shared" si="10"/>
        <v>3134600</v>
      </c>
      <c r="G17" s="4710">
        <v>1104950</v>
      </c>
      <c r="H17" s="4710">
        <v>0</v>
      </c>
      <c r="I17" s="4710">
        <v>0</v>
      </c>
      <c r="J17" s="4710">
        <f t="shared" si="0"/>
        <v>1104950</v>
      </c>
      <c r="K17" s="4711"/>
      <c r="L17" s="4712">
        <v>4</v>
      </c>
      <c r="M17" s="4713" t="s">
        <v>4237</v>
      </c>
      <c r="N17" s="4718">
        <v>45756</v>
      </c>
      <c r="O17" s="4714">
        <f t="shared" si="1"/>
        <v>45755</v>
      </c>
      <c r="P17" s="4715">
        <f t="shared" si="2"/>
        <v>-1</v>
      </c>
      <c r="Q17" s="4720">
        <f t="shared" si="11"/>
        <v>2820195</v>
      </c>
      <c r="R17" s="4710">
        <v>790545</v>
      </c>
      <c r="S17" s="4710">
        <f t="shared" si="3"/>
        <v>0</v>
      </c>
      <c r="T17" s="4710">
        <f t="shared" si="4"/>
        <v>0</v>
      </c>
      <c r="U17" s="4710">
        <f t="shared" si="5"/>
        <v>790545</v>
      </c>
      <c r="V17" s="4711"/>
      <c r="W17" s="4716" t="s">
        <v>4236</v>
      </c>
      <c r="X17" s="4717">
        <v>45762</v>
      </c>
      <c r="Y17" s="4714"/>
      <c r="Z17" s="4718">
        <v>45777</v>
      </c>
      <c r="AA17" s="4718">
        <f t="shared" si="6"/>
        <v>45783</v>
      </c>
      <c r="AB17" s="4715">
        <f t="shared" si="7"/>
        <v>6</v>
      </c>
      <c r="AC17" s="4719">
        <f t="shared" si="8"/>
        <v>790545</v>
      </c>
      <c r="AD17" s="4719">
        <f t="shared" si="12"/>
        <v>118581.75</v>
      </c>
      <c r="AE17" s="4719">
        <f t="shared" si="9"/>
        <v>909126.75</v>
      </c>
      <c r="AF17" s="4719">
        <f t="shared" si="13"/>
        <v>3243224.25</v>
      </c>
    </row>
    <row r="18" spans="1:33" ht="36">
      <c r="A18" s="4704">
        <v>5</v>
      </c>
      <c r="B18" s="4705" t="s">
        <v>4322</v>
      </c>
      <c r="C18" s="4706">
        <v>45717</v>
      </c>
      <c r="D18" s="4707" t="s">
        <v>4326</v>
      </c>
      <c r="E18" s="4708">
        <v>45761</v>
      </c>
      <c r="F18" s="4720">
        <f t="shared" si="10"/>
        <v>4302340</v>
      </c>
      <c r="G18" s="4710">
        <v>1167740</v>
      </c>
      <c r="H18" s="4710">
        <v>0</v>
      </c>
      <c r="I18" s="4710">
        <v>0</v>
      </c>
      <c r="J18" s="4710">
        <f t="shared" si="0"/>
        <v>1167740</v>
      </c>
      <c r="K18" s="4711"/>
      <c r="L18" s="4712">
        <v>5</v>
      </c>
      <c r="M18" s="4713" t="s">
        <v>4323</v>
      </c>
      <c r="N18" s="4718">
        <v>45774</v>
      </c>
      <c r="O18" s="4714">
        <f t="shared" si="1"/>
        <v>45782</v>
      </c>
      <c r="P18" s="4715">
        <f t="shared" si="2"/>
        <v>8</v>
      </c>
      <c r="Q18" s="4720">
        <f t="shared" si="11"/>
        <v>3979815</v>
      </c>
      <c r="R18" s="4710">
        <v>1159620</v>
      </c>
      <c r="S18" s="4710">
        <f t="shared" si="3"/>
        <v>0</v>
      </c>
      <c r="T18" s="4710">
        <f t="shared" si="4"/>
        <v>0</v>
      </c>
      <c r="U18" s="4710">
        <f t="shared" si="5"/>
        <v>1159620</v>
      </c>
      <c r="V18" s="4711"/>
      <c r="W18" s="4716" t="s">
        <v>4327</v>
      </c>
      <c r="X18" s="4714">
        <v>45783</v>
      </c>
      <c r="Y18" s="4714"/>
      <c r="Z18" s="4718">
        <v>45818</v>
      </c>
      <c r="AA18" s="4718">
        <f t="shared" si="6"/>
        <v>45804</v>
      </c>
      <c r="AB18" s="4715">
        <f t="shared" si="7"/>
        <v>-14</v>
      </c>
      <c r="AC18" s="4719">
        <f t="shared" si="8"/>
        <v>1159620</v>
      </c>
      <c r="AD18" s="4719">
        <f t="shared" si="12"/>
        <v>173943</v>
      </c>
      <c r="AE18" s="4719">
        <f t="shared" si="9"/>
        <v>1333563</v>
      </c>
      <c r="AF18" s="4719">
        <f t="shared" si="13"/>
        <v>4576787.25</v>
      </c>
    </row>
    <row r="19" spans="1:33" ht="33.950000000000003" customHeight="1">
      <c r="A19" s="4704">
        <v>6</v>
      </c>
      <c r="B19" s="4705" t="s">
        <v>4324</v>
      </c>
      <c r="C19" s="4706">
        <v>45748</v>
      </c>
      <c r="D19" s="4707" t="s">
        <v>4325</v>
      </c>
      <c r="E19" s="4708">
        <v>45794</v>
      </c>
      <c r="F19" s="4720">
        <f t="shared" si="10"/>
        <v>6057419</v>
      </c>
      <c r="G19" s="4710">
        <v>1755079</v>
      </c>
      <c r="H19" s="4710">
        <v>0</v>
      </c>
      <c r="I19" s="4710">
        <v>0</v>
      </c>
      <c r="J19" s="4710">
        <f t="shared" si="0"/>
        <v>1755079</v>
      </c>
      <c r="K19" s="4711"/>
      <c r="L19" s="4712">
        <v>6</v>
      </c>
      <c r="M19" s="4713" t="s">
        <v>4394</v>
      </c>
      <c r="N19" s="4718">
        <v>45818</v>
      </c>
      <c r="O19" s="4714">
        <f t="shared" si="1"/>
        <v>45815</v>
      </c>
      <c r="P19" s="4715">
        <f t="shared" si="2"/>
        <v>-3</v>
      </c>
      <c r="Q19" s="4720">
        <f t="shared" si="11"/>
        <v>5723898</v>
      </c>
      <c r="R19" s="4710">
        <v>1744083</v>
      </c>
      <c r="S19" s="4710">
        <f t="shared" si="3"/>
        <v>0</v>
      </c>
      <c r="T19" s="4710">
        <f t="shared" si="4"/>
        <v>0</v>
      </c>
      <c r="U19" s="4710">
        <f t="shared" si="5"/>
        <v>1744083</v>
      </c>
      <c r="V19" s="4711"/>
      <c r="W19" s="4716" t="s">
        <v>4418</v>
      </c>
      <c r="X19" s="4714">
        <v>45836</v>
      </c>
      <c r="Y19" s="4714"/>
      <c r="Z19" s="4718">
        <v>45846</v>
      </c>
      <c r="AA19" s="4718">
        <f t="shared" si="6"/>
        <v>45857</v>
      </c>
      <c r="AB19" s="4715">
        <f t="shared" si="7"/>
        <v>11</v>
      </c>
      <c r="AC19" s="4719">
        <f t="shared" si="8"/>
        <v>1744083</v>
      </c>
      <c r="AD19" s="4719">
        <f t="shared" si="12"/>
        <v>261612.44999999998</v>
      </c>
      <c r="AE19" s="4719">
        <f t="shared" si="9"/>
        <v>2005695.45</v>
      </c>
      <c r="AF19" s="4719">
        <f t="shared" si="13"/>
        <v>6582482.7000000002</v>
      </c>
    </row>
    <row r="20" spans="1:33" ht="36">
      <c r="A20" s="4704">
        <v>7</v>
      </c>
      <c r="B20" s="4705" t="s">
        <v>4569</v>
      </c>
      <c r="C20" s="4706">
        <v>45778</v>
      </c>
      <c r="D20" s="4707" t="s">
        <v>4571</v>
      </c>
      <c r="E20" s="4708">
        <v>45825</v>
      </c>
      <c r="F20" s="4720">
        <f t="shared" si="10"/>
        <v>8498048</v>
      </c>
      <c r="G20" s="4710">
        <v>2440629</v>
      </c>
      <c r="H20" s="4710">
        <v>0</v>
      </c>
      <c r="I20" s="4710">
        <v>0</v>
      </c>
      <c r="J20" s="4710">
        <f t="shared" ref="J20:J25" si="14">G20+H20+I20</f>
        <v>2440629</v>
      </c>
      <c r="K20" s="4711"/>
      <c r="L20" s="4712">
        <v>7</v>
      </c>
      <c r="M20" s="4713" t="s">
        <v>4572</v>
      </c>
      <c r="N20" s="4718">
        <v>45837</v>
      </c>
      <c r="O20" s="4714">
        <f t="shared" si="1"/>
        <v>45846</v>
      </c>
      <c r="P20" s="4715">
        <f t="shared" si="2"/>
        <v>9</v>
      </c>
      <c r="Q20" s="4720">
        <f t="shared" si="11"/>
        <v>8156188</v>
      </c>
      <c r="R20" s="4710">
        <v>2432290</v>
      </c>
      <c r="S20" s="4710">
        <f t="shared" ref="S20:S28" si="15">(R20*$S$12)*-1*0</f>
        <v>0</v>
      </c>
      <c r="T20" s="4710">
        <f t="shared" ref="T20:T28" si="16">(R20*$T$12)*-1*0</f>
        <v>0</v>
      </c>
      <c r="U20" s="4710">
        <f t="shared" ref="U20:U28" si="17">R20+S20+T20</f>
        <v>2432290</v>
      </c>
      <c r="V20" s="4711"/>
      <c r="W20" s="4716" t="s">
        <v>4573</v>
      </c>
      <c r="X20" s="4714">
        <v>45847</v>
      </c>
      <c r="Y20" s="4714"/>
      <c r="Z20" s="4718">
        <v>45861</v>
      </c>
      <c r="AA20" s="4718">
        <f t="shared" si="6"/>
        <v>45868</v>
      </c>
      <c r="AB20" s="4715">
        <f t="shared" si="7"/>
        <v>7</v>
      </c>
      <c r="AC20" s="4719">
        <f t="shared" si="8"/>
        <v>2432290</v>
      </c>
      <c r="AD20" s="4719">
        <f t="shared" si="12"/>
        <v>364843.5</v>
      </c>
      <c r="AE20" s="4719">
        <f t="shared" si="9"/>
        <v>2797133.5</v>
      </c>
      <c r="AF20" s="4719">
        <f t="shared" si="13"/>
        <v>9379616.1999999993</v>
      </c>
    </row>
    <row r="21" spans="1:33" ht="36">
      <c r="A21" s="4704">
        <v>8</v>
      </c>
      <c r="B21" s="4705" t="s">
        <v>4570</v>
      </c>
      <c r="C21" s="4706">
        <v>45809</v>
      </c>
      <c r="D21" s="4707" t="s">
        <v>4574</v>
      </c>
      <c r="E21" s="4708">
        <v>45844</v>
      </c>
      <c r="F21" s="4720">
        <f t="shared" si="10"/>
        <v>10595512</v>
      </c>
      <c r="G21" s="4710">
        <v>2097464</v>
      </c>
      <c r="H21" s="4710">
        <v>0</v>
      </c>
      <c r="I21" s="4710">
        <v>0</v>
      </c>
      <c r="J21" s="4710">
        <f t="shared" si="14"/>
        <v>2097464</v>
      </c>
      <c r="K21" s="4711"/>
      <c r="L21" s="4712">
        <v>8</v>
      </c>
      <c r="M21" s="4713" t="s">
        <v>4575</v>
      </c>
      <c r="N21" s="4718">
        <v>45851</v>
      </c>
      <c r="O21" s="4714">
        <f t="shared" si="1"/>
        <v>45865</v>
      </c>
      <c r="P21" s="4715">
        <f t="shared" si="2"/>
        <v>14</v>
      </c>
      <c r="Q21" s="4720">
        <f t="shared" si="11"/>
        <v>10263319</v>
      </c>
      <c r="R21" s="4710">
        <v>2107131</v>
      </c>
      <c r="S21" s="4710">
        <f t="shared" si="15"/>
        <v>0</v>
      </c>
      <c r="T21" s="4710">
        <f t="shared" si="16"/>
        <v>0</v>
      </c>
      <c r="U21" s="4710">
        <f t="shared" si="17"/>
        <v>2107131</v>
      </c>
      <c r="V21" s="4711"/>
      <c r="W21" s="4716" t="s">
        <v>4576</v>
      </c>
      <c r="X21" s="4714">
        <v>45857</v>
      </c>
      <c r="Y21" s="4714"/>
      <c r="Z21" s="4718">
        <v>45869</v>
      </c>
      <c r="AA21" s="4718">
        <f t="shared" si="6"/>
        <v>45878</v>
      </c>
      <c r="AB21" s="4715">
        <f t="shared" si="7"/>
        <v>9</v>
      </c>
      <c r="AC21" s="4719">
        <f t="shared" si="8"/>
        <v>2107131</v>
      </c>
      <c r="AD21" s="4719">
        <f t="shared" si="12"/>
        <v>316069.64999999997</v>
      </c>
      <c r="AE21" s="4719">
        <f t="shared" ref="AE21:AE26" si="18">+AD21+AC21</f>
        <v>2423200.65</v>
      </c>
      <c r="AF21" s="4719">
        <f t="shared" si="13"/>
        <v>11802816.85</v>
      </c>
    </row>
    <row r="22" spans="1:33" ht="36">
      <c r="A22" s="4704">
        <v>9</v>
      </c>
      <c r="B22" s="4705" t="s">
        <v>4764</v>
      </c>
      <c r="C22" s="4706">
        <v>45839</v>
      </c>
      <c r="D22" s="4707" t="s">
        <v>4656</v>
      </c>
      <c r="E22" s="4708">
        <v>45880</v>
      </c>
      <c r="F22" s="4720">
        <f t="shared" si="10"/>
        <v>12664016</v>
      </c>
      <c r="G22" s="4710">
        <v>2068504</v>
      </c>
      <c r="H22" s="4710">
        <v>0</v>
      </c>
      <c r="I22" s="4710">
        <v>0</v>
      </c>
      <c r="J22" s="4710">
        <f t="shared" si="14"/>
        <v>2068504</v>
      </c>
      <c r="K22" s="4711"/>
      <c r="L22" s="4712">
        <v>9</v>
      </c>
      <c r="M22" s="4713" t="s">
        <v>4657</v>
      </c>
      <c r="N22" s="4718">
        <v>45888</v>
      </c>
      <c r="O22" s="4714">
        <f t="shared" si="1"/>
        <v>45901</v>
      </c>
      <c r="P22" s="4715">
        <f t="shared" si="2"/>
        <v>13</v>
      </c>
      <c r="Q22" s="4720">
        <f t="shared" si="11"/>
        <v>12276793</v>
      </c>
      <c r="R22" s="4710">
        <v>2013474</v>
      </c>
      <c r="S22" s="4710">
        <f t="shared" si="15"/>
        <v>0</v>
      </c>
      <c r="T22" s="4710">
        <f t="shared" si="16"/>
        <v>0</v>
      </c>
      <c r="U22" s="4710">
        <f t="shared" si="17"/>
        <v>2013474</v>
      </c>
      <c r="V22" s="4711"/>
      <c r="W22" s="4716" t="s">
        <v>4895</v>
      </c>
      <c r="X22" s="4714">
        <v>45901</v>
      </c>
      <c r="Y22" s="4714"/>
      <c r="Z22" s="4718">
        <v>45936</v>
      </c>
      <c r="AA22" s="4718">
        <f t="shared" si="6"/>
        <v>45922</v>
      </c>
      <c r="AB22" s="4715">
        <f t="shared" si="7"/>
        <v>-14</v>
      </c>
      <c r="AC22" s="4719">
        <f t="shared" si="8"/>
        <v>2013474</v>
      </c>
      <c r="AD22" s="4719">
        <f t="shared" si="12"/>
        <v>302021.09999999998</v>
      </c>
      <c r="AE22" s="4719">
        <f t="shared" si="18"/>
        <v>2315495.1</v>
      </c>
      <c r="AF22" s="4719">
        <f t="shared" si="13"/>
        <v>14118311.949999999</v>
      </c>
    </row>
    <row r="23" spans="1:33" ht="36">
      <c r="A23" s="4704">
        <v>10</v>
      </c>
      <c r="B23" s="4705" t="s">
        <v>4742</v>
      </c>
      <c r="C23" s="4706">
        <v>45870</v>
      </c>
      <c r="D23" s="4707" t="s">
        <v>4830</v>
      </c>
      <c r="E23" s="4708">
        <v>45904</v>
      </c>
      <c r="F23" s="4720">
        <f t="shared" ref="F23:F28" si="19">+F22+G23</f>
        <v>15016811</v>
      </c>
      <c r="G23" s="4710">
        <v>2352795</v>
      </c>
      <c r="H23" s="4710">
        <v>0</v>
      </c>
      <c r="I23" s="4710">
        <v>0</v>
      </c>
      <c r="J23" s="4710">
        <f t="shared" si="14"/>
        <v>2352795</v>
      </c>
      <c r="K23" s="4711"/>
      <c r="L23" s="4712">
        <v>10</v>
      </c>
      <c r="M23" s="4713" t="s">
        <v>4831</v>
      </c>
      <c r="N23" s="4718">
        <v>45914</v>
      </c>
      <c r="O23" s="4714">
        <f t="shared" si="1"/>
        <v>45925</v>
      </c>
      <c r="P23" s="4715">
        <f t="shared" si="2"/>
        <v>11</v>
      </c>
      <c r="Q23" s="4720">
        <f t="shared" si="11"/>
        <v>14576752</v>
      </c>
      <c r="R23" s="4710">
        <v>2299959</v>
      </c>
      <c r="S23" s="4710">
        <f t="shared" si="15"/>
        <v>0</v>
      </c>
      <c r="T23" s="4710">
        <f t="shared" si="16"/>
        <v>0</v>
      </c>
      <c r="U23" s="4710">
        <f t="shared" si="17"/>
        <v>2299959</v>
      </c>
      <c r="V23" s="4711"/>
      <c r="W23" s="4716" t="s">
        <v>4743</v>
      </c>
      <c r="X23" s="4714">
        <v>45924</v>
      </c>
      <c r="Y23" s="4714"/>
      <c r="Z23" s="4718"/>
      <c r="AA23" s="4718">
        <f t="shared" ref="AA23:AA29" si="20">+X23+21</f>
        <v>45945</v>
      </c>
      <c r="AB23" s="4715"/>
      <c r="AC23" s="4719">
        <f t="shared" ref="AC23" si="21">+U23</f>
        <v>2299959</v>
      </c>
      <c r="AD23" s="4719">
        <f t="shared" ref="AD23" si="22">+AC23*15%</f>
        <v>344993.85</v>
      </c>
      <c r="AE23" s="4719">
        <f t="shared" si="18"/>
        <v>2644952.85</v>
      </c>
      <c r="AF23" s="4719">
        <f t="shared" ref="AF23" si="23">+AE23+AF22</f>
        <v>16763264.799999999</v>
      </c>
      <c r="AG23" t="s">
        <v>2022</v>
      </c>
    </row>
    <row r="24" spans="1:33" ht="36">
      <c r="A24" s="4704">
        <v>11</v>
      </c>
      <c r="B24" s="4705" t="s">
        <v>4761</v>
      </c>
      <c r="C24" s="4706">
        <v>45901</v>
      </c>
      <c r="D24" s="4707" t="s">
        <v>4763</v>
      </c>
      <c r="E24" s="4708">
        <v>45922</v>
      </c>
      <c r="F24" s="4720">
        <f t="shared" si="19"/>
        <v>17085315</v>
      </c>
      <c r="G24" s="4710">
        <v>2068504</v>
      </c>
      <c r="H24" s="4710">
        <v>0</v>
      </c>
      <c r="I24" s="4710">
        <v>0</v>
      </c>
      <c r="J24" s="4710">
        <f t="shared" si="14"/>
        <v>2068504</v>
      </c>
      <c r="K24" s="4711"/>
      <c r="L24" s="4712">
        <v>11</v>
      </c>
      <c r="M24" s="4713" t="s">
        <v>4762</v>
      </c>
      <c r="N24" s="4718">
        <v>45924</v>
      </c>
      <c r="O24" s="4714">
        <f t="shared" ref="O24:O29" si="24">E24+21</f>
        <v>45943</v>
      </c>
      <c r="P24" s="4715">
        <f t="shared" ref="P24:P29" si="25">O24-N24</f>
        <v>19</v>
      </c>
      <c r="Q24" s="4720">
        <f t="shared" si="11"/>
        <v>16049410</v>
      </c>
      <c r="R24" s="4710">
        <v>1472658</v>
      </c>
      <c r="S24" s="4710">
        <f t="shared" si="15"/>
        <v>0</v>
      </c>
      <c r="T24" s="4710">
        <f t="shared" si="16"/>
        <v>0</v>
      </c>
      <c r="U24" s="4710">
        <f t="shared" si="17"/>
        <v>1472658</v>
      </c>
      <c r="V24" s="4711"/>
      <c r="W24" s="4716" t="s">
        <v>5154</v>
      </c>
      <c r="X24" s="4714">
        <v>45945</v>
      </c>
      <c r="Y24" s="4714"/>
      <c r="Z24" s="4718"/>
      <c r="AA24" s="4718">
        <f t="shared" si="20"/>
        <v>45966</v>
      </c>
      <c r="AB24" s="4715"/>
      <c r="AC24" s="4719">
        <f t="shared" ref="AC24" si="26">+U24</f>
        <v>1472658</v>
      </c>
      <c r="AD24" s="4719">
        <f t="shared" ref="AD24" si="27">+AC24*15%</f>
        <v>220898.69999999998</v>
      </c>
      <c r="AE24" s="4719">
        <f t="shared" si="18"/>
        <v>1693556.7</v>
      </c>
      <c r="AF24" s="4719">
        <f t="shared" ref="AF24" si="28">+AE24+AF23</f>
        <v>18456821.5</v>
      </c>
      <c r="AG24" t="s">
        <v>2022</v>
      </c>
    </row>
    <row r="25" spans="1:33" ht="36">
      <c r="A25" s="4704">
        <v>12</v>
      </c>
      <c r="B25" s="4705" t="s">
        <v>5151</v>
      </c>
      <c r="C25" s="4706">
        <v>45931</v>
      </c>
      <c r="D25" s="4707" t="s">
        <v>5152</v>
      </c>
      <c r="E25" s="4708">
        <v>45958</v>
      </c>
      <c r="F25" s="4720">
        <f t="shared" si="19"/>
        <v>18729701</v>
      </c>
      <c r="G25" s="4720">
        <v>1644386</v>
      </c>
      <c r="H25" s="4710">
        <v>0</v>
      </c>
      <c r="I25" s="4710">
        <v>0</v>
      </c>
      <c r="J25" s="4710">
        <f t="shared" si="14"/>
        <v>1644386</v>
      </c>
      <c r="K25" s="4711"/>
      <c r="L25" s="4712">
        <v>12</v>
      </c>
      <c r="M25" s="4713" t="s">
        <v>5153</v>
      </c>
      <c r="N25" s="4718">
        <v>45979</v>
      </c>
      <c r="O25" s="4714">
        <f t="shared" si="24"/>
        <v>45979</v>
      </c>
      <c r="P25" s="4715">
        <f t="shared" si="25"/>
        <v>0</v>
      </c>
      <c r="Q25" s="4720">
        <f t="shared" si="11"/>
        <v>17691374</v>
      </c>
      <c r="R25" s="4710">
        <v>1641964</v>
      </c>
      <c r="S25" s="4710">
        <f t="shared" si="15"/>
        <v>0</v>
      </c>
      <c r="T25" s="4710">
        <f t="shared" si="16"/>
        <v>0</v>
      </c>
      <c r="U25" s="4723">
        <f t="shared" si="17"/>
        <v>1641964</v>
      </c>
      <c r="V25" s="4711"/>
      <c r="W25" s="4716" t="s">
        <v>5227</v>
      </c>
      <c r="X25" s="4714">
        <v>45997</v>
      </c>
      <c r="Y25" s="4714"/>
      <c r="Z25" s="4718"/>
      <c r="AA25" s="4718">
        <f t="shared" si="20"/>
        <v>46018</v>
      </c>
      <c r="AB25" s="4715"/>
      <c r="AC25" s="4719">
        <f t="shared" ref="AC25" si="29">+U25</f>
        <v>1641964</v>
      </c>
      <c r="AD25" s="4719">
        <f t="shared" ref="AD25" si="30">+AC25*15%</f>
        <v>246294.59999999998</v>
      </c>
      <c r="AE25" s="4719">
        <f t="shared" si="18"/>
        <v>1888258.6</v>
      </c>
      <c r="AF25" s="4719">
        <f t="shared" ref="AF25" si="31">+AE25+AF24</f>
        <v>20345080.100000001</v>
      </c>
      <c r="AG25" t="s">
        <v>2022</v>
      </c>
    </row>
    <row r="26" spans="1:33" ht="36">
      <c r="A26" s="4704">
        <v>13</v>
      </c>
      <c r="B26" s="4705" t="s">
        <v>4382</v>
      </c>
      <c r="C26" s="4706">
        <v>45962</v>
      </c>
      <c r="D26" s="4707" t="s">
        <v>5535</v>
      </c>
      <c r="E26" s="4708">
        <v>45993</v>
      </c>
      <c r="F26" s="4720">
        <f t="shared" si="19"/>
        <v>20788547</v>
      </c>
      <c r="G26" s="4710">
        <v>2058846</v>
      </c>
      <c r="H26" s="4710">
        <v>0</v>
      </c>
      <c r="I26" s="4710">
        <v>0</v>
      </c>
      <c r="J26" s="4710">
        <f t="shared" ref="J26" si="32">G26+H26+I26</f>
        <v>2058846</v>
      </c>
      <c r="K26" s="4711"/>
      <c r="L26" s="4712">
        <v>13</v>
      </c>
      <c r="M26" s="4713" t="s">
        <v>5536</v>
      </c>
      <c r="N26" s="4718">
        <v>46013</v>
      </c>
      <c r="O26" s="4714">
        <f t="shared" si="24"/>
        <v>46014</v>
      </c>
      <c r="P26" s="4715">
        <f t="shared" si="25"/>
        <v>1</v>
      </c>
      <c r="Q26" s="4720">
        <f t="shared" si="11"/>
        <v>19750220</v>
      </c>
      <c r="R26" s="4710">
        <v>2058846</v>
      </c>
      <c r="S26" s="4710">
        <f t="shared" si="15"/>
        <v>0</v>
      </c>
      <c r="T26" s="4710">
        <f t="shared" si="16"/>
        <v>0</v>
      </c>
      <c r="U26" s="4723">
        <f t="shared" si="17"/>
        <v>2058846</v>
      </c>
      <c r="V26" s="4711"/>
      <c r="W26" s="4716" t="s">
        <v>5540</v>
      </c>
      <c r="X26" s="4714">
        <v>46039</v>
      </c>
      <c r="Y26" s="4714"/>
      <c r="Z26" s="4718"/>
      <c r="AA26" s="4718">
        <f t="shared" si="20"/>
        <v>46060</v>
      </c>
      <c r="AB26" s="4715"/>
      <c r="AC26" s="4719">
        <f t="shared" ref="AC26" si="33">+U26</f>
        <v>2058846</v>
      </c>
      <c r="AD26" s="4719">
        <f t="shared" ref="AD26" si="34">+AC26*15%</f>
        <v>308826.89999999997</v>
      </c>
      <c r="AE26" s="4719">
        <f t="shared" si="18"/>
        <v>2367672.9</v>
      </c>
      <c r="AF26" s="4719">
        <f t="shared" ref="AF26" si="35">+AE26+AF25</f>
        <v>22712753</v>
      </c>
    </row>
    <row r="27" spans="1:33" ht="36">
      <c r="A27" s="4704">
        <v>14</v>
      </c>
      <c r="B27" s="4705" t="s">
        <v>4385</v>
      </c>
      <c r="C27" s="4706">
        <v>45992</v>
      </c>
      <c r="D27" s="4707" t="s">
        <v>5537</v>
      </c>
      <c r="E27" s="4708">
        <v>46023</v>
      </c>
      <c r="F27" s="4720">
        <f t="shared" si="19"/>
        <v>21804949.210000001</v>
      </c>
      <c r="G27" s="4710">
        <v>1016402.21</v>
      </c>
      <c r="H27" s="4710">
        <v>0</v>
      </c>
      <c r="I27" s="4710">
        <v>0</v>
      </c>
      <c r="J27" s="4710">
        <f t="shared" ref="J27:J28" si="36">G27+H27+I27</f>
        <v>1016402.21</v>
      </c>
      <c r="K27" s="4711"/>
      <c r="L27" s="4712">
        <v>14</v>
      </c>
      <c r="M27" s="4713" t="s">
        <v>5538</v>
      </c>
      <c r="N27" s="4718">
        <v>46063</v>
      </c>
      <c r="O27" s="4714">
        <f t="shared" si="24"/>
        <v>46044</v>
      </c>
      <c r="P27" s="4715">
        <f t="shared" si="25"/>
        <v>-19</v>
      </c>
      <c r="Q27" s="4720">
        <f t="shared" si="11"/>
        <v>20766622.210000001</v>
      </c>
      <c r="R27" s="4710">
        <v>1016402.21</v>
      </c>
      <c r="S27" s="4710">
        <f t="shared" si="15"/>
        <v>0</v>
      </c>
      <c r="T27" s="4710">
        <f t="shared" si="16"/>
        <v>0</v>
      </c>
      <c r="U27" s="4723">
        <f t="shared" si="17"/>
        <v>1016402.21</v>
      </c>
      <c r="V27" s="1256"/>
      <c r="W27" s="4346" t="s">
        <v>5541</v>
      </c>
      <c r="X27" s="3244">
        <v>46081</v>
      </c>
      <c r="Y27" s="4401"/>
      <c r="Z27" s="4402"/>
      <c r="AA27" s="3243">
        <f t="shared" si="20"/>
        <v>46102</v>
      </c>
      <c r="AB27" s="4406"/>
      <c r="AC27" s="3250"/>
      <c r="AD27" s="3250"/>
      <c r="AE27" s="3250"/>
      <c r="AF27" s="3250"/>
    </row>
    <row r="28" spans="1:33" ht="36">
      <c r="A28" s="4704">
        <v>15</v>
      </c>
      <c r="B28" s="4705" t="s">
        <v>4489</v>
      </c>
      <c r="C28" s="4706">
        <v>46023</v>
      </c>
      <c r="D28" s="4707" t="s">
        <v>5539</v>
      </c>
      <c r="E28" s="4708">
        <v>46086</v>
      </c>
      <c r="F28" s="4720">
        <f t="shared" si="19"/>
        <v>23229583.210000001</v>
      </c>
      <c r="G28" s="4720">
        <v>1424634</v>
      </c>
      <c r="H28" s="4710">
        <v>0</v>
      </c>
      <c r="I28" s="4710">
        <v>0</v>
      </c>
      <c r="J28" s="4710">
        <f t="shared" si="36"/>
        <v>1424634</v>
      </c>
      <c r="K28" s="4711"/>
      <c r="L28" s="4712">
        <v>15</v>
      </c>
      <c r="M28" s="4713" t="s">
        <v>5588</v>
      </c>
      <c r="N28" s="4718">
        <v>46117</v>
      </c>
      <c r="O28" s="4714">
        <f t="shared" si="24"/>
        <v>46107</v>
      </c>
      <c r="P28" s="4715">
        <f t="shared" si="25"/>
        <v>-10</v>
      </c>
      <c r="Q28" s="4720">
        <f t="shared" si="11"/>
        <v>22191256.210000001</v>
      </c>
      <c r="R28" s="4710">
        <v>1424634</v>
      </c>
      <c r="S28" s="4710">
        <f t="shared" si="15"/>
        <v>0</v>
      </c>
      <c r="T28" s="4710">
        <f t="shared" si="16"/>
        <v>0</v>
      </c>
      <c r="U28" s="4723">
        <f t="shared" si="17"/>
        <v>1424634</v>
      </c>
      <c r="V28" s="3252"/>
      <c r="W28" s="4346" t="s">
        <v>6196</v>
      </c>
      <c r="X28" s="3244">
        <v>46142</v>
      </c>
      <c r="Y28" s="3244"/>
      <c r="Z28" s="3243"/>
      <c r="AA28" s="3243">
        <f t="shared" si="20"/>
        <v>46163</v>
      </c>
      <c r="AB28" s="3245"/>
      <c r="AC28" s="3250"/>
      <c r="AD28" s="3250"/>
      <c r="AE28" s="3250"/>
      <c r="AF28" s="3250"/>
    </row>
    <row r="29" spans="1:33" ht="36">
      <c r="A29" s="4704">
        <v>16</v>
      </c>
      <c r="B29" s="4705" t="s">
        <v>4561</v>
      </c>
      <c r="C29" s="4706">
        <v>46113</v>
      </c>
      <c r="D29" s="4707" t="s">
        <v>6423</v>
      </c>
      <c r="E29" s="4708">
        <v>46139</v>
      </c>
      <c r="F29" s="4720">
        <f t="shared" ref="F29" si="37">+F28+G29</f>
        <v>23384183.210000001</v>
      </c>
      <c r="G29" s="4720">
        <v>154600</v>
      </c>
      <c r="H29" s="4710">
        <v>0</v>
      </c>
      <c r="I29" s="4710">
        <v>0</v>
      </c>
      <c r="J29" s="4710">
        <f t="shared" ref="J29" si="38">G29+H29+I29</f>
        <v>154600</v>
      </c>
      <c r="K29" s="4711"/>
      <c r="L29" s="4712">
        <v>15</v>
      </c>
      <c r="M29" s="4713" t="s">
        <v>5588</v>
      </c>
      <c r="N29" s="4718">
        <v>46117</v>
      </c>
      <c r="O29" s="4714">
        <f t="shared" si="24"/>
        <v>46160</v>
      </c>
      <c r="P29" s="4715">
        <f t="shared" si="25"/>
        <v>43</v>
      </c>
      <c r="Q29" s="4720">
        <f t="shared" ref="Q29" si="39">+Q28+R29</f>
        <v>22345856.210000001</v>
      </c>
      <c r="R29" s="4710">
        <v>154600</v>
      </c>
      <c r="S29" s="4710">
        <f t="shared" ref="S29" si="40">(R29*$S$12)*-1*0</f>
        <v>0</v>
      </c>
      <c r="T29" s="4710">
        <f t="shared" ref="T29" si="41">(R29*$T$12)*-1*0</f>
        <v>0</v>
      </c>
      <c r="U29" s="4723">
        <f t="shared" ref="U29" si="42">R29+S29+T29</f>
        <v>154600</v>
      </c>
      <c r="V29" s="1256"/>
      <c r="W29" s="2838" t="s">
        <v>6196</v>
      </c>
      <c r="X29" s="1323">
        <v>46226</v>
      </c>
      <c r="Y29" s="1323"/>
      <c r="Z29" s="1321"/>
      <c r="AA29" s="1321">
        <f t="shared" si="20"/>
        <v>46247</v>
      </c>
      <c r="AB29" s="1324"/>
      <c r="AC29" s="1327"/>
      <c r="AD29" s="1327"/>
      <c r="AE29" s="1327"/>
      <c r="AF29" s="1327"/>
    </row>
    <row r="30" spans="1:33">
      <c r="A30" s="723"/>
      <c r="B30" s="810"/>
      <c r="C30" s="1445"/>
      <c r="D30" s="2835"/>
      <c r="E30" s="1440"/>
      <c r="F30" s="1322"/>
      <c r="G30" s="1322"/>
      <c r="H30" s="1322"/>
      <c r="I30" s="1322"/>
      <c r="J30" s="1322"/>
      <c r="K30" s="1256"/>
      <c r="L30" s="1443"/>
      <c r="M30" s="2850"/>
      <c r="N30" s="1321"/>
      <c r="O30" s="1323"/>
      <c r="P30" s="1324"/>
      <c r="Q30" s="1322"/>
      <c r="R30" s="1444"/>
      <c r="S30" s="1444"/>
      <c r="T30" s="1444"/>
      <c r="U30" s="1328"/>
      <c r="V30" s="1256"/>
      <c r="W30" s="723"/>
      <c r="X30" s="1323"/>
      <c r="Y30" s="1323"/>
      <c r="Z30" s="1321"/>
      <c r="AA30" s="1321"/>
      <c r="AB30" s="1324"/>
      <c r="AC30" s="1327"/>
      <c r="AD30" s="1327"/>
      <c r="AE30" s="1327"/>
      <c r="AF30" s="1327"/>
    </row>
    <row r="31" spans="1:33">
      <c r="A31" s="723"/>
      <c r="B31" s="810"/>
      <c r="C31" s="1445"/>
      <c r="D31" s="2835"/>
      <c r="E31" s="1440"/>
      <c r="F31" s="1322"/>
      <c r="G31" s="1322"/>
      <c r="H31" s="1322"/>
      <c r="I31" s="1322"/>
      <c r="J31" s="1322"/>
      <c r="K31" s="1256"/>
      <c r="L31" s="1443"/>
      <c r="M31" s="2850"/>
      <c r="N31" s="1321"/>
      <c r="O31" s="1323"/>
      <c r="P31" s="1324"/>
      <c r="Q31" s="1322"/>
      <c r="R31" s="1444"/>
      <c r="S31" s="1444"/>
      <c r="T31" s="1444"/>
      <c r="U31" s="1328"/>
      <c r="V31" s="1256"/>
      <c r="W31" s="723"/>
      <c r="X31" s="1323"/>
      <c r="Y31" s="1323"/>
      <c r="Z31" s="1321"/>
      <c r="AA31" s="1321"/>
      <c r="AB31" s="1324"/>
      <c r="AC31" s="1327"/>
      <c r="AD31" s="1327"/>
      <c r="AE31" s="1327"/>
      <c r="AF31" s="1327"/>
    </row>
    <row r="32" spans="1:33">
      <c r="A32" s="723"/>
      <c r="B32" s="810"/>
      <c r="C32" s="1445"/>
      <c r="D32" s="1320"/>
      <c r="E32" s="1440"/>
      <c r="F32" s="1322"/>
      <c r="G32" s="1322"/>
      <c r="H32" s="1322"/>
      <c r="I32" s="1322"/>
      <c r="J32" s="1322"/>
      <c r="K32" s="1256"/>
      <c r="L32" s="1443"/>
      <c r="M32" s="2850"/>
      <c r="N32" s="1321"/>
      <c r="O32" s="1323"/>
      <c r="P32" s="1324"/>
      <c r="Q32" s="1322"/>
      <c r="R32" s="1444"/>
      <c r="S32" s="1444"/>
      <c r="T32" s="1444"/>
      <c r="U32" s="1328"/>
      <c r="V32" s="1256"/>
      <c r="W32" s="723"/>
      <c r="X32" s="1323"/>
      <c r="Y32" s="1323"/>
      <c r="Z32" s="1321"/>
      <c r="AA32" s="1321"/>
      <c r="AB32" s="1324"/>
      <c r="AC32" s="1327"/>
      <c r="AD32" s="1327"/>
      <c r="AE32" s="1327"/>
      <c r="AF32" s="1327"/>
    </row>
    <row r="33" spans="1:32">
      <c r="A33" s="723"/>
      <c r="B33" s="810"/>
      <c r="C33" s="1445"/>
      <c r="D33" s="1320"/>
      <c r="E33" s="1440"/>
      <c r="F33" s="1322"/>
      <c r="G33" s="1322"/>
      <c r="H33" s="1322"/>
      <c r="I33" s="1322"/>
      <c r="J33" s="1322"/>
      <c r="K33" s="1256"/>
      <c r="L33" s="1443"/>
      <c r="M33" s="2850"/>
      <c r="N33" s="1321"/>
      <c r="O33" s="1323"/>
      <c r="P33" s="1324"/>
      <c r="Q33" s="1322"/>
      <c r="R33" s="1444"/>
      <c r="S33" s="1444"/>
      <c r="T33" s="1444"/>
      <c r="U33" s="1328"/>
      <c r="V33" s="1256"/>
      <c r="W33" s="723"/>
      <c r="X33" s="1323"/>
      <c r="Y33" s="1323"/>
      <c r="Z33" s="1321"/>
      <c r="AA33" s="1321"/>
      <c r="AB33" s="1324"/>
      <c r="AC33" s="1327"/>
      <c r="AD33" s="1327"/>
      <c r="AE33" s="1327"/>
      <c r="AF33" s="1327"/>
    </row>
    <row r="34" spans="1:32">
      <c r="A34" s="723"/>
      <c r="B34" s="810"/>
      <c r="C34" s="1445"/>
      <c r="D34" s="1320"/>
      <c r="E34" s="1441"/>
      <c r="F34" s="1322"/>
      <c r="G34" s="1322"/>
      <c r="H34" s="1322"/>
      <c r="I34" s="1322"/>
      <c r="J34" s="1322"/>
      <c r="K34" s="1256"/>
      <c r="L34" s="1443"/>
      <c r="M34" s="2850"/>
      <c r="N34" s="1321"/>
      <c r="O34" s="1323"/>
      <c r="P34" s="1324"/>
      <c r="Q34" s="1322"/>
      <c r="R34" s="1444"/>
      <c r="S34" s="1444"/>
      <c r="T34" s="1444"/>
      <c r="U34" s="1328"/>
      <c r="V34" s="1256"/>
      <c r="W34" s="723"/>
      <c r="X34" s="1323"/>
      <c r="Y34" s="1323"/>
      <c r="Z34" s="1321"/>
      <c r="AA34" s="1321"/>
      <c r="AB34" s="1324"/>
      <c r="AC34" s="1327"/>
      <c r="AD34" s="1327"/>
      <c r="AE34" s="1327"/>
      <c r="AF34" s="1327"/>
    </row>
    <row r="35" spans="1:32">
      <c r="A35" s="1329"/>
      <c r="B35" s="1330"/>
      <c r="C35" s="1440"/>
      <c r="D35" s="1331"/>
      <c r="E35" s="1442"/>
      <c r="F35" s="1332"/>
      <c r="G35" s="1332"/>
      <c r="H35" s="1332"/>
      <c r="I35" s="1332"/>
      <c r="J35" s="1332"/>
      <c r="K35" s="1256"/>
      <c r="L35" s="1329"/>
      <c r="M35" s="2851"/>
      <c r="N35" s="1334"/>
      <c r="O35" s="1334"/>
      <c r="P35" s="1335"/>
      <c r="Q35" s="1322"/>
      <c r="R35" s="1333"/>
      <c r="S35" s="1333"/>
      <c r="T35" s="1333"/>
      <c r="U35" s="1336"/>
      <c r="V35" s="1256"/>
      <c r="W35" s="1329"/>
      <c r="X35" s="1333"/>
      <c r="Y35" s="1337"/>
      <c r="Z35" s="1334"/>
      <c r="AA35" s="1334"/>
      <c r="AB35" s="1334"/>
      <c r="AC35" s="1329"/>
      <c r="AD35" s="1337"/>
      <c r="AE35" s="1334"/>
      <c r="AF35" s="1334"/>
    </row>
    <row r="36" spans="1:32" ht="24.75" customHeight="1" collapsed="1" thickBot="1">
      <c r="A36" s="6045" t="s">
        <v>1522</v>
      </c>
      <c r="B36" s="6046"/>
      <c r="C36" s="6046"/>
      <c r="D36" s="6046"/>
      <c r="E36" s="6046"/>
      <c r="F36" s="6047"/>
      <c r="G36" s="1338">
        <f>SUM(G14:G35)</f>
        <v>23384183.210000001</v>
      </c>
      <c r="H36" s="1338">
        <f>SUM(H14:H35)</f>
        <v>0</v>
      </c>
      <c r="I36" s="1338">
        <f>SUM(I14:I35)</f>
        <v>0</v>
      </c>
      <c r="J36" s="1338">
        <f>SUM(J14:J35)</f>
        <v>23384183.210000001</v>
      </c>
      <c r="K36" s="1256"/>
      <c r="L36" s="1339" t="s">
        <v>1522</v>
      </c>
      <c r="M36" s="1343"/>
      <c r="N36" s="1340"/>
      <c r="O36" s="1340"/>
      <c r="P36" s="1340"/>
      <c r="Q36" s="1340"/>
      <c r="R36" s="1341">
        <f>SUM(R14:R35)</f>
        <v>22345856.210000001</v>
      </c>
      <c r="S36" s="1338">
        <f>SUM(S14:S35)</f>
        <v>0</v>
      </c>
      <c r="T36" s="1338">
        <f>SUM(T14:T35)</f>
        <v>0</v>
      </c>
      <c r="U36" s="1338">
        <f>SUM(U14:U35)</f>
        <v>22345856.210000001</v>
      </c>
      <c r="V36" s="1256"/>
      <c r="W36" s="1342" t="s">
        <v>1522</v>
      </c>
      <c r="X36" s="1343"/>
      <c r="Y36" s="1343"/>
      <c r="Z36" s="1343"/>
      <c r="AA36" s="1343"/>
      <c r="AB36" s="1343"/>
      <c r="AC36" s="1341">
        <f>SUM(AC14:AC35)</f>
        <v>19750220</v>
      </c>
      <c r="AD36" s="1338">
        <f>SUM(AD14:AD35)</f>
        <v>2962533</v>
      </c>
      <c r="AE36" s="1338">
        <f>SUM(AE14:AE35)</f>
        <v>22712753</v>
      </c>
      <c r="AF36" s="1338">
        <f>+AF22</f>
        <v>14118311.949999999</v>
      </c>
    </row>
    <row r="37" spans="1:32">
      <c r="A37" s="1360"/>
      <c r="B37" s="1256"/>
      <c r="C37" s="1255"/>
      <c r="D37" s="1257"/>
      <c r="E37" s="1361"/>
      <c r="F37" s="1258"/>
      <c r="G37" s="1258"/>
      <c r="H37" s="1258"/>
      <c r="I37" s="1258"/>
      <c r="J37" s="1258"/>
      <c r="K37" s="1256"/>
      <c r="L37" s="1360"/>
      <c r="M37" s="2852"/>
      <c r="N37" s="1362"/>
      <c r="O37" s="1362"/>
      <c r="P37" s="1362"/>
      <c r="Q37" s="1360"/>
      <c r="R37" s="1360"/>
      <c r="S37" s="1360"/>
      <c r="T37" s="1360"/>
      <c r="U37" s="1363"/>
      <c r="V37" s="1256"/>
      <c r="W37" s="1360"/>
      <c r="X37" s="1360"/>
      <c r="Y37" s="1364"/>
      <c r="Z37" s="1362"/>
      <c r="AA37" s="1362"/>
      <c r="AB37" s="1362"/>
      <c r="AC37" s="1360"/>
      <c r="AD37" s="1364"/>
      <c r="AE37" s="1362"/>
      <c r="AF37" s="1362"/>
    </row>
    <row r="38" spans="1:32">
      <c r="A38" s="1360"/>
      <c r="B38" s="1256"/>
      <c r="C38" s="1255"/>
      <c r="D38" s="1257"/>
      <c r="E38" s="1361"/>
      <c r="F38" s="1258"/>
      <c r="G38" s="1258"/>
      <c r="H38" s="1258"/>
      <c r="I38" s="1258"/>
      <c r="J38" s="1258"/>
      <c r="K38" s="1256"/>
      <c r="L38" s="1360"/>
      <c r="M38" s="2852"/>
      <c r="N38" s="1362"/>
      <c r="O38" s="1362"/>
      <c r="P38" s="1257"/>
      <c r="Q38" s="1258"/>
      <c r="R38" s="1258"/>
      <c r="S38" s="1258"/>
      <c r="T38" s="1258"/>
      <c r="U38" s="1258">
        <f>+U36-T36</f>
        <v>22345856.210000001</v>
      </c>
      <c r="V38" s="1256"/>
      <c r="W38" s="1360"/>
      <c r="X38" s="1360"/>
      <c r="Y38" s="1364"/>
      <c r="Z38" s="1362"/>
      <c r="AA38" s="1362"/>
      <c r="AB38" s="1362"/>
      <c r="AC38" s="1360"/>
      <c r="AD38" s="1364"/>
      <c r="AE38" s="1362"/>
      <c r="AF38" s="1362"/>
    </row>
    <row r="39" spans="1:32">
      <c r="A39" s="1365"/>
      <c r="B39" s="1256"/>
      <c r="C39" s="1255"/>
      <c r="D39" s="1257"/>
      <c r="E39" s="1361"/>
      <c r="F39" s="1366"/>
      <c r="G39" s="1366"/>
      <c r="H39" s="1366"/>
      <c r="I39" s="1366"/>
      <c r="J39" s="1258"/>
      <c r="K39" s="1256"/>
      <c r="L39" s="1365"/>
      <c r="M39" s="2853">
        <f>403092.61/11085046.72</f>
        <v>3.6363636544059594E-2</v>
      </c>
      <c r="N39" s="1365"/>
      <c r="O39" s="1365"/>
      <c r="P39" s="1257"/>
      <c r="Q39" s="1366"/>
      <c r="R39" s="1366"/>
      <c r="S39" s="1366"/>
      <c r="T39" s="1366"/>
      <c r="U39" s="1366"/>
      <c r="V39" s="1256"/>
      <c r="W39" s="1365"/>
      <c r="X39" s="1365"/>
      <c r="Y39" s="1365"/>
      <c r="Z39" s="1362"/>
      <c r="AA39" s="1362"/>
      <c r="AB39" s="1362"/>
      <c r="AC39" s="1365"/>
      <c r="AD39" s="1365"/>
      <c r="AE39" s="1362"/>
      <c r="AF39" s="1362"/>
    </row>
    <row r="40" spans="1:32">
      <c r="D40" s="1257"/>
      <c r="E40" s="153">
        <v>44197</v>
      </c>
      <c r="F40" s="1366"/>
      <c r="P40" s="1257"/>
      <c r="Q40" s="1366"/>
      <c r="R40" s="1366"/>
      <c r="S40" s="1366"/>
      <c r="T40" s="1366"/>
      <c r="U40" s="1366"/>
      <c r="AA40" s="153">
        <v>44094</v>
      </c>
      <c r="AC40" s="1367"/>
    </row>
    <row r="41" spans="1:32">
      <c r="D41" s="1257"/>
      <c r="E41" s="153">
        <f>E40-45</f>
        <v>44152</v>
      </c>
      <c r="F41" s="1366"/>
      <c r="P41" s="1257"/>
      <c r="Q41" s="1366"/>
      <c r="R41" s="1366"/>
      <c r="S41" s="1366"/>
      <c r="T41" s="1366"/>
      <c r="U41" s="1366"/>
      <c r="AA41" s="153">
        <f>AA40-45</f>
        <v>44049</v>
      </c>
    </row>
    <row r="42" spans="1:32">
      <c r="D42" s="1257"/>
      <c r="F42" s="1366"/>
      <c r="H42" s="153">
        <v>43986</v>
      </c>
      <c r="R42" s="652"/>
      <c r="S42" s="652"/>
      <c r="T42" s="652"/>
      <c r="U42" s="652"/>
    </row>
    <row r="44" spans="1:32">
      <c r="AC44" t="s">
        <v>2330</v>
      </c>
    </row>
    <row r="45" spans="1:32">
      <c r="E45" s="3020">
        <v>12331823</v>
      </c>
      <c r="AC45" s="3018">
        <v>45222</v>
      </c>
      <c r="AD45" s="3018">
        <v>45253</v>
      </c>
      <c r="AE45" s="3018">
        <v>45283</v>
      </c>
    </row>
    <row r="46" spans="1:32">
      <c r="E46" s="3020">
        <v>10263319</v>
      </c>
      <c r="AC46" s="3020">
        <v>11439880.26</v>
      </c>
    </row>
    <row r="47" spans="1:32">
      <c r="E47" s="3020">
        <f>+E45-E46</f>
        <v>2068504</v>
      </c>
    </row>
    <row r="50" spans="5:5">
      <c r="E50" s="3020">
        <v>14629588</v>
      </c>
    </row>
    <row r="51" spans="5:5">
      <c r="E51" s="3020">
        <v>12276793</v>
      </c>
    </row>
    <row r="52" spans="5:5">
      <c r="E52" s="3020">
        <f>+E50-E51</f>
        <v>2352795</v>
      </c>
    </row>
  </sheetData>
  <mergeCells count="4">
    <mergeCell ref="A10:J10"/>
    <mergeCell ref="L10:U10"/>
    <mergeCell ref="W10:AF10"/>
    <mergeCell ref="A36:F36"/>
  </mergeCells>
  <phoneticPr fontId="347" type="noConversion"/>
  <printOptions horizontalCentered="1"/>
  <pageMargins left="0.25" right="0.25" top="0.75" bottom="0.75" header="0.3" footer="0.3"/>
  <pageSetup paperSize="8" scale="67" fitToHeight="2" orientation="landscape" r:id="rId1"/>
  <headerFooter>
    <oddHeader>&amp;C&amp;"Calibri,Bold"&amp;18MONTHLY REPORT - INVOICE &amp; PAYMENT TRACKING LOG (MAS - WET WORKS)</oddHeader>
    <oddFooter>&amp;L1TB.01.003.01 - AYC 
MARCH'26 REPORT&amp;C&amp;A&amp;RPage &amp;P of &amp;N</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9EDB3-D974-4ACF-A04B-C91349001468}">
  <sheetPr codeName="Sheet48">
    <tabColor theme="7" tint="0.39997558519241921"/>
    <pageSetUpPr fitToPage="1"/>
  </sheetPr>
  <dimension ref="A1:AG47"/>
  <sheetViews>
    <sheetView showGridLines="0" view="pageBreakPreview" topLeftCell="I11" zoomScale="90" zoomScaleNormal="100" zoomScaleSheetLayoutView="90" workbookViewId="0">
      <selection activeCell="C43" sqref="C43"/>
    </sheetView>
  </sheetViews>
  <sheetFormatPr defaultColWidth="9" defaultRowHeight="12.75"/>
  <cols>
    <col min="1" max="1" width="10.85546875" customWidth="1"/>
    <col min="2" max="2" width="10.42578125" customWidth="1"/>
    <col min="3" max="3" width="11.42578125" customWidth="1"/>
    <col min="4" max="4" width="10.85546875" bestFit="1" customWidth="1"/>
    <col min="5" max="5" width="9.85546875" bestFit="1" customWidth="1"/>
    <col min="6" max="6" width="12" customWidth="1"/>
    <col min="7" max="7" width="12.85546875" bestFit="1" customWidth="1"/>
    <col min="8" max="9" width="11.85546875" bestFit="1" customWidth="1"/>
    <col min="10" max="10" width="13.85546875" customWidth="1"/>
    <col min="11" max="11" width="0.85546875" customWidth="1"/>
    <col min="12" max="12" width="6" customWidth="1"/>
    <col min="13" max="13" width="17.85546875" style="2854" bestFit="1" customWidth="1"/>
    <col min="14" max="15" width="9" customWidth="1"/>
    <col min="16" max="16" width="7.85546875" customWidth="1"/>
    <col min="17" max="17" width="13.85546875" customWidth="1"/>
    <col min="18" max="18" width="15.5703125" customWidth="1"/>
    <col min="19" max="20" width="11.42578125" customWidth="1"/>
    <col min="21" max="21" width="14.5703125" customWidth="1"/>
    <col min="22" max="22" width="0.85546875" customWidth="1"/>
    <col min="23" max="23" width="14" bestFit="1" customWidth="1"/>
    <col min="24" max="24" width="9" customWidth="1"/>
    <col min="25" max="25" width="9" hidden="1" customWidth="1"/>
    <col min="26" max="26" width="9" bestFit="1" customWidth="1"/>
    <col min="27" max="27" width="10" customWidth="1"/>
    <col min="28" max="28" width="7" customWidth="1"/>
    <col min="29" max="29" width="12.42578125" customWidth="1"/>
    <col min="30" max="30" width="13.5703125" customWidth="1"/>
    <col min="31" max="32" width="14" customWidth="1"/>
    <col min="33" max="33" width="13.5703125" bestFit="1" customWidth="1"/>
  </cols>
  <sheetData>
    <row r="1" spans="1:33">
      <c r="A1" s="1255"/>
      <c r="B1" s="1256"/>
      <c r="C1" s="1255"/>
      <c r="D1" s="1257"/>
      <c r="E1" s="1257"/>
      <c r="F1" s="1258"/>
      <c r="G1" s="1258"/>
      <c r="H1" s="1258"/>
      <c r="I1" s="1258"/>
      <c r="J1" s="1258"/>
      <c r="K1" s="1257"/>
      <c r="L1" s="1255"/>
      <c r="M1" s="2848"/>
      <c r="N1" s="1255"/>
      <c r="O1" s="1255"/>
      <c r="P1" s="1255"/>
      <c r="Q1" s="1255"/>
      <c r="R1" s="1255"/>
      <c r="S1" s="1255"/>
      <c r="T1" s="1255"/>
      <c r="U1" s="1259"/>
      <c r="V1" s="1257"/>
      <c r="W1" s="1257"/>
      <c r="X1" s="1257"/>
      <c r="Y1" s="1257"/>
      <c r="Z1" s="1257"/>
      <c r="AA1" s="1257"/>
      <c r="AB1" s="1257"/>
      <c r="AC1" s="1257"/>
      <c r="AD1" s="1257"/>
      <c r="AE1" s="1257"/>
      <c r="AF1" s="1257"/>
    </row>
    <row r="2" spans="1:33">
      <c r="A2" s="9" t="str">
        <f>'Data Input'!A1&amp;" - "&amp;'Data Input'!B1</f>
        <v>PROGRAMME: - MARINA VILLAGE (PROGRAMME 1_TRIPLE BAY)</v>
      </c>
      <c r="B2" s="1256"/>
      <c r="C2" s="1255"/>
      <c r="D2" s="1257"/>
      <c r="E2" s="1257"/>
      <c r="F2" s="1258"/>
      <c r="G2" s="1258"/>
      <c r="H2" s="1258"/>
      <c r="I2" s="1258"/>
      <c r="J2" s="1258"/>
      <c r="K2" s="1257"/>
      <c r="L2" s="1255"/>
      <c r="M2" s="2848"/>
      <c r="N2" s="1255"/>
      <c r="O2" s="1255"/>
      <c r="P2" s="1255"/>
      <c r="Q2" s="1255"/>
      <c r="R2" s="1255"/>
      <c r="S2" s="1255"/>
      <c r="T2" s="1255"/>
      <c r="U2" s="1259"/>
      <c r="V2" s="1257"/>
      <c r="W2" s="1257"/>
      <c r="X2" s="1257"/>
      <c r="Y2" s="1257"/>
      <c r="Z2" s="1257"/>
      <c r="AA2" s="1257"/>
      <c r="AB2" s="1257"/>
      <c r="AC2" s="1257"/>
      <c r="AD2" s="1257"/>
      <c r="AE2" s="1257"/>
      <c r="AF2" s="1257"/>
    </row>
    <row r="3" spans="1:33">
      <c r="A3" s="9" t="str">
        <f>'Data Input'!A2&amp;" - "&amp;'Data Input'!B2</f>
        <v>PROGRAMME CODE: - 1TB01003</v>
      </c>
      <c r="B3" s="1260"/>
      <c r="C3" s="1261"/>
      <c r="D3" s="1262"/>
      <c r="E3" s="1262"/>
      <c r="F3" s="1263"/>
      <c r="G3" s="1263"/>
      <c r="H3" s="1263"/>
      <c r="I3" s="1263"/>
      <c r="J3" s="1264"/>
      <c r="K3" s="1265"/>
      <c r="L3" s="1265"/>
      <c r="M3" s="1262"/>
      <c r="N3" s="1265"/>
      <c r="O3" s="1266"/>
      <c r="P3" s="1265"/>
      <c r="Q3" s="1265"/>
      <c r="R3" s="1265"/>
      <c r="S3" s="1265"/>
      <c r="T3" s="1265"/>
      <c r="U3" s="1267"/>
      <c r="V3" s="1265"/>
      <c r="W3" s="1265"/>
      <c r="X3" s="1265"/>
      <c r="Y3" s="1265"/>
      <c r="Z3" s="1265"/>
      <c r="AA3" s="1265"/>
      <c r="AB3" s="1265"/>
      <c r="AC3" s="1265"/>
      <c r="AD3" s="1265"/>
      <c r="AE3" s="1265"/>
      <c r="AF3" s="1265"/>
    </row>
    <row r="4" spans="1:33">
      <c r="A4" s="9" t="str">
        <f>'Data Input'!A3&amp;" - "&amp;'Data Input'!B3</f>
        <v>ASSET NAME: - AMAALA YACHT CLUB</v>
      </c>
      <c r="B4" s="1260"/>
      <c r="C4" s="1268"/>
      <c r="D4" s="1265"/>
      <c r="E4" s="1265"/>
      <c r="F4" s="1267"/>
      <c r="G4" s="1267"/>
      <c r="H4" s="1267"/>
      <c r="I4" s="1267"/>
      <c r="J4" s="1269"/>
      <c r="K4" s="1265"/>
      <c r="L4" s="1265"/>
      <c r="M4" s="1262"/>
      <c r="N4" s="1265"/>
      <c r="O4" s="1266"/>
      <c r="P4" s="1265"/>
      <c r="Q4" s="1265"/>
      <c r="R4" s="1265"/>
      <c r="S4" s="1265"/>
      <c r="T4" s="1265"/>
      <c r="U4" s="1267"/>
      <c r="V4" s="1265"/>
      <c r="W4" s="1265"/>
      <c r="X4" s="1265"/>
      <c r="Y4" s="1265"/>
      <c r="Z4" s="1265"/>
      <c r="AA4" s="1265"/>
      <c r="AB4" s="1265"/>
      <c r="AC4" s="1265"/>
      <c r="AD4" s="1265"/>
      <c r="AE4" s="1265"/>
      <c r="AF4" s="1265"/>
    </row>
    <row r="5" spans="1:33">
      <c r="A5" s="9" t="str">
        <f>'Data Input'!A4&amp;" - "&amp;'Data Input'!B4</f>
        <v>ASSET CODE: - 1TB01003.01</v>
      </c>
      <c r="B5" s="1270"/>
      <c r="C5" s="1268"/>
      <c r="D5" s="1265"/>
      <c r="E5" s="1265"/>
      <c r="F5" s="1267"/>
      <c r="G5" s="1267"/>
      <c r="H5" s="1267"/>
      <c r="I5" s="1267"/>
      <c r="J5" s="1269"/>
      <c r="K5" s="1265"/>
      <c r="L5" s="1265"/>
      <c r="M5" s="1262"/>
      <c r="N5" s="1265"/>
      <c r="O5" s="1266"/>
      <c r="P5" s="1265"/>
      <c r="Q5" s="1265"/>
      <c r="R5" s="1271"/>
      <c r="S5" s="1265"/>
      <c r="T5" s="1265"/>
      <c r="U5" s="1267"/>
      <c r="V5" s="1265"/>
      <c r="W5" s="1265"/>
      <c r="X5" s="1265"/>
      <c r="Y5" s="1265"/>
      <c r="Z5" s="1265"/>
      <c r="AA5" s="1265"/>
      <c r="AB5" s="1265"/>
      <c r="AC5" s="1265"/>
      <c r="AD5" s="1265"/>
      <c r="AE5" s="1265"/>
      <c r="AF5" s="1265"/>
    </row>
    <row r="6" spans="1:33">
      <c r="A6" s="9" t="str">
        <f>'Data Input'!A7&amp;" - "&amp;'Data Input'!B7</f>
        <v>REPORT NO: - MONTHLY REPORT NO. 49</v>
      </c>
      <c r="B6" s="1272"/>
      <c r="C6" s="1268"/>
      <c r="D6" s="1265"/>
      <c r="E6" s="1265"/>
      <c r="F6" s="1267"/>
      <c r="G6" s="1267"/>
      <c r="H6" s="1267"/>
      <c r="I6" s="1267"/>
      <c r="J6" s="1269"/>
      <c r="K6" s="1265"/>
      <c r="L6" s="1265"/>
      <c r="M6" s="1262"/>
      <c r="N6" s="1265"/>
      <c r="O6" s="1266"/>
      <c r="P6" s="1265"/>
      <c r="Q6" s="1265"/>
      <c r="R6" s="1273"/>
      <c r="S6" s="1265"/>
      <c r="T6" s="1271"/>
      <c r="U6" s="1267"/>
      <c r="V6" s="1265"/>
      <c r="W6" s="1265"/>
      <c r="X6" s="1265"/>
      <c r="Y6" s="1265"/>
      <c r="Z6" s="1265"/>
      <c r="AA6" s="1265"/>
      <c r="AB6" s="1265"/>
      <c r="AC6" s="1265"/>
      <c r="AD6" s="1265"/>
      <c r="AE6" s="1265"/>
      <c r="AF6" s="1265"/>
    </row>
    <row r="7" spans="1:33">
      <c r="A7" s="9" t="str">
        <f>'Data Input'!A8&amp;" - "&amp;'Data Input'!B8</f>
        <v>REPORTING PERIOD: - OCTOBER 2026</v>
      </c>
      <c r="B7" s="1262"/>
      <c r="C7" s="1274"/>
      <c r="D7" s="1262"/>
      <c r="E7" s="1262"/>
      <c r="F7" s="1263"/>
      <c r="G7" s="1263"/>
      <c r="H7" s="1263"/>
      <c r="I7" s="1263"/>
      <c r="J7" s="1264"/>
      <c r="K7" s="1265"/>
      <c r="L7" s="1265"/>
      <c r="M7" s="1262"/>
      <c r="N7" s="1265"/>
      <c r="O7" s="1265"/>
      <c r="P7" s="1265"/>
      <c r="Q7" s="1267"/>
      <c r="R7" s="1263"/>
      <c r="S7" s="1263"/>
      <c r="T7" s="1263"/>
      <c r="U7" s="1267"/>
      <c r="V7" s="1265"/>
      <c r="W7" s="1265"/>
      <c r="X7" s="1265"/>
      <c r="Y7" s="1265"/>
      <c r="Z7" s="1265"/>
      <c r="AA7" s="1265"/>
      <c r="AB7" s="1265"/>
      <c r="AC7" s="1265"/>
      <c r="AD7" s="1265"/>
      <c r="AE7" s="1265"/>
      <c r="AF7" s="1265"/>
    </row>
    <row r="8" spans="1:33" ht="13.5" thickBot="1">
      <c r="A8" s="9"/>
      <c r="B8" s="1256"/>
      <c r="C8" s="1255"/>
      <c r="D8" s="1257"/>
      <c r="E8" s="1257"/>
      <c r="F8" s="1258"/>
      <c r="G8" s="1258"/>
      <c r="H8" s="1258"/>
      <c r="I8" s="1258"/>
      <c r="J8" s="1258"/>
      <c r="K8" s="1257"/>
      <c r="L8" s="1255"/>
      <c r="M8" s="2848"/>
      <c r="N8" s="1275"/>
      <c r="O8" s="1276"/>
      <c r="P8" s="1255"/>
      <c r="Q8" s="1255"/>
      <c r="R8" s="1255"/>
      <c r="S8" s="1255"/>
      <c r="T8" s="1255"/>
      <c r="U8" s="1259"/>
      <c r="V8" s="1257"/>
      <c r="W8" s="1257"/>
      <c r="X8" s="1257"/>
      <c r="Y8" s="1257"/>
      <c r="Z8" s="1257"/>
      <c r="AA8" s="1257"/>
      <c r="AB8" s="1257"/>
      <c r="AC8" s="1257"/>
      <c r="AD8" s="1257"/>
      <c r="AE8" s="1257"/>
      <c r="AF8" s="1257"/>
    </row>
    <row r="9" spans="1:33" ht="30" customHeight="1" thickBot="1">
      <c r="A9" s="1354" t="s">
        <v>3475</v>
      </c>
      <c r="B9" s="1355"/>
      <c r="C9" s="1355"/>
      <c r="D9" s="1356"/>
      <c r="E9" s="1356"/>
      <c r="F9" s="1357"/>
      <c r="G9" s="1357"/>
      <c r="H9" s="1357"/>
      <c r="I9" s="1357"/>
      <c r="J9" s="1357"/>
      <c r="K9" s="1356"/>
      <c r="L9" s="1355"/>
      <c r="M9" s="2849"/>
      <c r="N9" s="1355"/>
      <c r="O9" s="1355"/>
      <c r="P9" s="1355"/>
      <c r="Q9" s="1355"/>
      <c r="R9" s="1355"/>
      <c r="S9" s="1355"/>
      <c r="T9" s="1355"/>
      <c r="U9" s="1358"/>
      <c r="V9" s="1356"/>
      <c r="W9" s="1356"/>
      <c r="X9" s="1356"/>
      <c r="Y9" s="1356"/>
      <c r="Z9" s="1356"/>
      <c r="AA9" s="1356"/>
      <c r="AB9" s="1356"/>
      <c r="AC9" s="1356"/>
      <c r="AD9" s="1356"/>
      <c r="AE9" s="1356"/>
      <c r="AF9" s="1359"/>
    </row>
    <row r="10" spans="1:33">
      <c r="A10" s="6051" t="s">
        <v>1524</v>
      </c>
      <c r="B10" s="6052"/>
      <c r="C10" s="6052"/>
      <c r="D10" s="6052"/>
      <c r="E10" s="6052"/>
      <c r="F10" s="6052"/>
      <c r="G10" s="6053"/>
      <c r="H10" s="6053"/>
      <c r="I10" s="6053"/>
      <c r="J10" s="6054"/>
      <c r="K10" s="1256"/>
      <c r="L10" s="6055" t="s">
        <v>1525</v>
      </c>
      <c r="M10" s="6056"/>
      <c r="N10" s="6056"/>
      <c r="O10" s="6056"/>
      <c r="P10" s="6056"/>
      <c r="Q10" s="6056"/>
      <c r="R10" s="6057"/>
      <c r="S10" s="6057"/>
      <c r="T10" s="6057"/>
      <c r="U10" s="6058"/>
      <c r="V10" s="1256"/>
      <c r="W10" s="6043" t="s">
        <v>1526</v>
      </c>
      <c r="X10" s="6044"/>
      <c r="Y10" s="6044"/>
      <c r="Z10" s="6044"/>
      <c r="AA10" s="6044"/>
      <c r="AB10" s="6044"/>
      <c r="AC10" s="6044"/>
      <c r="AD10" s="6044"/>
      <c r="AE10" s="6044"/>
      <c r="AF10" s="6059"/>
    </row>
    <row r="11" spans="1:33" ht="60" customHeight="1">
      <c r="A11" s="1283" t="s">
        <v>1462</v>
      </c>
      <c r="B11" s="1284" t="s">
        <v>1527</v>
      </c>
      <c r="C11" s="1284" t="s">
        <v>1528</v>
      </c>
      <c r="D11" s="1285" t="s">
        <v>1744</v>
      </c>
      <c r="E11" s="1285" t="s">
        <v>1530</v>
      </c>
      <c r="F11" s="1286" t="s">
        <v>1531</v>
      </c>
      <c r="G11" s="1287" t="s">
        <v>1532</v>
      </c>
      <c r="H11" s="1287" t="s">
        <v>1533</v>
      </c>
      <c r="I11" s="1287" t="s">
        <v>1534</v>
      </c>
      <c r="J11" s="1288" t="s">
        <v>1535</v>
      </c>
      <c r="K11" s="1289"/>
      <c r="L11" s="763" t="s">
        <v>1536</v>
      </c>
      <c r="M11" s="1290" t="s">
        <v>1601</v>
      </c>
      <c r="N11" s="1290" t="s">
        <v>1530</v>
      </c>
      <c r="O11" s="1290" t="s">
        <v>2151</v>
      </c>
      <c r="P11" s="764" t="s">
        <v>1539</v>
      </c>
      <c r="Q11" s="1291" t="s">
        <v>1540</v>
      </c>
      <c r="R11" s="1292" t="s">
        <v>1541</v>
      </c>
      <c r="S11" s="1292" t="s">
        <v>1533</v>
      </c>
      <c r="T11" s="1292" t="s">
        <v>1534</v>
      </c>
      <c r="U11" s="1293" t="s">
        <v>1542</v>
      </c>
      <c r="V11" s="1256"/>
      <c r="W11" s="1294" t="s">
        <v>2086</v>
      </c>
      <c r="X11" s="2839" t="s">
        <v>2087</v>
      </c>
      <c r="Y11" s="1295" t="s">
        <v>1544</v>
      </c>
      <c r="Z11" s="1296" t="s">
        <v>1545</v>
      </c>
      <c r="AA11" s="1296" t="s">
        <v>3101</v>
      </c>
      <c r="AB11" s="769" t="s">
        <v>1539</v>
      </c>
      <c r="AC11" s="769" t="s">
        <v>1547</v>
      </c>
      <c r="AD11" s="769" t="s">
        <v>3478</v>
      </c>
      <c r="AE11" s="1296" t="s">
        <v>1549</v>
      </c>
      <c r="AF11" s="1297" t="s">
        <v>1550</v>
      </c>
    </row>
    <row r="12" spans="1:33" ht="17.25" customHeight="1">
      <c r="A12" s="1298"/>
      <c r="B12" s="1299"/>
      <c r="C12" s="1300"/>
      <c r="D12" s="1301"/>
      <c r="E12" s="1302" t="s">
        <v>296</v>
      </c>
      <c r="F12" s="1303" t="s">
        <v>434</v>
      </c>
      <c r="G12" s="1303" t="s">
        <v>434</v>
      </c>
      <c r="H12" s="1304">
        <v>0</v>
      </c>
      <c r="I12" s="1304">
        <v>0.1</v>
      </c>
      <c r="J12" s="1305" t="s">
        <v>434</v>
      </c>
      <c r="K12" s="1256"/>
      <c r="L12" s="765"/>
      <c r="M12" s="766"/>
      <c r="N12" s="1306" t="s">
        <v>296</v>
      </c>
      <c r="O12" s="766" t="s">
        <v>3100</v>
      </c>
      <c r="P12" s="1307" t="s">
        <v>1552</v>
      </c>
      <c r="Q12" s="767" t="s">
        <v>434</v>
      </c>
      <c r="R12" s="767" t="s">
        <v>434</v>
      </c>
      <c r="S12" s="1308">
        <v>0</v>
      </c>
      <c r="T12" s="1308">
        <v>0.1</v>
      </c>
      <c r="U12" s="768" t="s">
        <v>434</v>
      </c>
      <c r="V12" s="1256"/>
      <c r="W12" s="770"/>
      <c r="X12" s="2840"/>
      <c r="Y12" s="1309" t="s">
        <v>296</v>
      </c>
      <c r="Z12" s="1309" t="s">
        <v>296</v>
      </c>
      <c r="AA12" s="1309" t="s">
        <v>3103</v>
      </c>
      <c r="AB12" s="1310" t="s">
        <v>1552</v>
      </c>
      <c r="AC12" s="1311"/>
      <c r="AD12" s="1312">
        <v>0.15</v>
      </c>
      <c r="AE12" s="1309" t="s">
        <v>296</v>
      </c>
      <c r="AF12" s="1313" t="s">
        <v>296</v>
      </c>
    </row>
    <row r="13" spans="1:33" s="722" customFormat="1" ht="25.5" customHeight="1">
      <c r="A13" s="1314"/>
      <c r="B13" s="1314"/>
      <c r="C13" s="1314"/>
      <c r="D13" s="1314"/>
      <c r="E13" s="1314" t="s">
        <v>1481</v>
      </c>
      <c r="F13" s="1314"/>
      <c r="G13" s="1314"/>
      <c r="H13" s="1314"/>
      <c r="I13" s="1314"/>
      <c r="J13" s="1314"/>
      <c r="K13" s="1255"/>
      <c r="L13" s="1315"/>
      <c r="M13" s="1315"/>
      <c r="N13" s="1316" t="s">
        <v>1482</v>
      </c>
      <c r="O13" s="1314" t="s">
        <v>2084</v>
      </c>
      <c r="P13" s="1317" t="s">
        <v>1555</v>
      </c>
      <c r="Q13" s="1318" t="s">
        <v>1556</v>
      </c>
      <c r="R13" s="1318" t="s">
        <v>1557</v>
      </c>
      <c r="S13" s="1319" t="s">
        <v>1605</v>
      </c>
      <c r="T13" s="1319" t="s">
        <v>1559</v>
      </c>
      <c r="U13" s="1318" t="s">
        <v>1560</v>
      </c>
      <c r="V13" s="1255"/>
      <c r="W13" s="1316"/>
      <c r="X13" s="1316" t="s">
        <v>1561</v>
      </c>
      <c r="Y13" s="1316"/>
      <c r="Z13" s="1316" t="s">
        <v>2088</v>
      </c>
      <c r="AA13" s="1316" t="s">
        <v>3168</v>
      </c>
      <c r="AB13" s="1317" t="s">
        <v>2091</v>
      </c>
      <c r="AC13" s="1314" t="s">
        <v>2092</v>
      </c>
      <c r="AD13" s="1319" t="s">
        <v>3479</v>
      </c>
      <c r="AE13" s="1316" t="s">
        <v>2094</v>
      </c>
      <c r="AF13" s="1316"/>
    </row>
    <row r="14" spans="1:33" s="2837" customFormat="1" ht="50.25" customHeight="1">
      <c r="A14" s="723">
        <v>1</v>
      </c>
      <c r="B14" s="810" t="s">
        <v>1763</v>
      </c>
      <c r="C14" s="1929" t="s">
        <v>1579</v>
      </c>
      <c r="D14" s="2835" t="s">
        <v>3480</v>
      </c>
      <c r="E14" s="1440">
        <v>45616</v>
      </c>
      <c r="F14" s="2836">
        <f>+G14</f>
        <v>914924.96</v>
      </c>
      <c r="G14" s="1444">
        <v>914924.96</v>
      </c>
      <c r="H14" s="1444">
        <f>(G14*$H$12)*-1*0</f>
        <v>0</v>
      </c>
      <c r="I14" s="1444">
        <f>(G14*$I$12)*-1</f>
        <v>-91492.495999999999</v>
      </c>
      <c r="J14" s="1444">
        <f>G14+H14+I14</f>
        <v>823432.46399999992</v>
      </c>
      <c r="K14" s="1256"/>
      <c r="L14" s="1510">
        <v>1</v>
      </c>
      <c r="M14" s="2850" t="s">
        <v>3481</v>
      </c>
      <c r="N14" s="1440">
        <v>45628</v>
      </c>
      <c r="O14" s="1323">
        <f>E14+21</f>
        <v>45637</v>
      </c>
      <c r="P14" s="1324">
        <f>O14-N14</f>
        <v>9</v>
      </c>
      <c r="Q14" s="2836">
        <f>R14</f>
        <v>836682.35</v>
      </c>
      <c r="R14" s="1444">
        <v>836682.35</v>
      </c>
      <c r="S14" s="1444">
        <f>(R14*$S$12)*-1*0</f>
        <v>0</v>
      </c>
      <c r="T14" s="1444">
        <f>(R14*$T$12)*-1</f>
        <v>-83668.235000000001</v>
      </c>
      <c r="U14" s="1444">
        <f>R14+S14+T14</f>
        <v>753014.11499999999</v>
      </c>
      <c r="V14" s="1256"/>
      <c r="W14" s="2838" t="s">
        <v>3950</v>
      </c>
      <c r="X14" s="2841">
        <v>45649</v>
      </c>
      <c r="Y14" s="1323"/>
      <c r="Z14" s="1321">
        <v>45685</v>
      </c>
      <c r="AA14" s="1321">
        <f>+X14+21</f>
        <v>45670</v>
      </c>
      <c r="AB14" s="1324">
        <f>+AA14-Z14</f>
        <v>-15</v>
      </c>
      <c r="AC14" s="1327">
        <f>+U14</f>
        <v>753014.11499999999</v>
      </c>
      <c r="AD14" s="1327">
        <f>+AC14*15%</f>
        <v>112952.11725</v>
      </c>
      <c r="AE14" s="1327">
        <f>+AD14+AC14</f>
        <v>865966.23225</v>
      </c>
      <c r="AF14" s="1327">
        <f>+AE14</f>
        <v>865966.23225</v>
      </c>
      <c r="AG14" s="2842">
        <f>+AC14*1.15</f>
        <v>865966.23224999988</v>
      </c>
    </row>
    <row r="15" spans="1:33" s="2837" customFormat="1" ht="50.25" customHeight="1">
      <c r="A15" s="723">
        <v>2</v>
      </c>
      <c r="B15" s="810" t="s">
        <v>1764</v>
      </c>
      <c r="C15" s="1929">
        <v>45638</v>
      </c>
      <c r="D15" s="2835" t="s">
        <v>3512</v>
      </c>
      <c r="E15" s="1440">
        <v>45637</v>
      </c>
      <c r="F15" s="2836">
        <f>+G15+F14</f>
        <v>1157134.8799999999</v>
      </c>
      <c r="G15" s="1444">
        <v>242209.92000000001</v>
      </c>
      <c r="H15" s="1444">
        <v>0</v>
      </c>
      <c r="I15" s="1444">
        <f>(G15*$I$12)*-1</f>
        <v>-24220.992000000002</v>
      </c>
      <c r="J15" s="1444">
        <f>G15+H15+I15</f>
        <v>217988.92800000001</v>
      </c>
      <c r="K15" s="1256"/>
      <c r="L15" s="1510">
        <v>2</v>
      </c>
      <c r="M15" s="2850" t="s">
        <v>3513</v>
      </c>
      <c r="N15" s="1440">
        <v>45662</v>
      </c>
      <c r="O15" s="1323">
        <f>E15+21</f>
        <v>45658</v>
      </c>
      <c r="P15" s="1324">
        <f>O15-N15</f>
        <v>-4</v>
      </c>
      <c r="Q15" s="2836">
        <f>+Q14+R15</f>
        <v>1020572.27</v>
      </c>
      <c r="R15" s="1444">
        <v>183889.92000000001</v>
      </c>
      <c r="S15" s="1444">
        <f>(R15*$S$12)*-1*0</f>
        <v>0</v>
      </c>
      <c r="T15" s="1444">
        <f>(R15*$T$12)*-1</f>
        <v>-18388.992000000002</v>
      </c>
      <c r="U15" s="1444">
        <f>R15+S15+T15</f>
        <v>165500.92800000001</v>
      </c>
      <c r="V15" s="1256"/>
      <c r="W15" s="2838" t="s">
        <v>4230</v>
      </c>
      <c r="X15" s="2841">
        <v>45677</v>
      </c>
      <c r="Y15" s="1323"/>
      <c r="Z15" s="1321">
        <v>45770</v>
      </c>
      <c r="AA15" s="1321">
        <f>+X15+21</f>
        <v>45698</v>
      </c>
      <c r="AB15" s="1324">
        <f>+AA15-Z15</f>
        <v>-72</v>
      </c>
      <c r="AC15" s="1327">
        <f>+U15</f>
        <v>165500.92800000001</v>
      </c>
      <c r="AD15" s="1327">
        <f>+AC15*15%</f>
        <v>24825.139200000001</v>
      </c>
      <c r="AE15" s="1327">
        <f>+AD15+AC15</f>
        <v>190326.06720000002</v>
      </c>
      <c r="AF15" s="1327">
        <f>+AF14+AE15</f>
        <v>1056292.29945</v>
      </c>
      <c r="AG15" s="2842"/>
    </row>
    <row r="16" spans="1:33" s="2837" customFormat="1" ht="50.25" customHeight="1">
      <c r="A16" s="723">
        <v>3</v>
      </c>
      <c r="B16" s="810" t="s">
        <v>1765</v>
      </c>
      <c r="C16" s="1929">
        <v>45717</v>
      </c>
      <c r="D16" s="2835" t="s">
        <v>4832</v>
      </c>
      <c r="E16" s="1440">
        <v>45734</v>
      </c>
      <c r="F16" s="2836">
        <f>+G16+F15</f>
        <v>1421112.96</v>
      </c>
      <c r="G16" s="1444">
        <v>263978.08000000007</v>
      </c>
      <c r="H16" s="1444">
        <v>0</v>
      </c>
      <c r="I16" s="1444">
        <f>(G16*$I$12)*-1</f>
        <v>-26397.808000000008</v>
      </c>
      <c r="J16" s="1444">
        <f>G16+H16+I16</f>
        <v>237580.27200000006</v>
      </c>
      <c r="K16" s="1256"/>
      <c r="L16" s="1510">
        <v>3</v>
      </c>
      <c r="M16" s="2850" t="s">
        <v>4833</v>
      </c>
      <c r="N16" s="1440">
        <v>45768</v>
      </c>
      <c r="O16" s="1323">
        <f>E16+21</f>
        <v>45755</v>
      </c>
      <c r="P16" s="1324">
        <f>O16-N16</f>
        <v>-13</v>
      </c>
      <c r="Q16" s="2836">
        <f>+Q15+R16</f>
        <v>1216710.3500000001</v>
      </c>
      <c r="R16" s="1444">
        <v>196138.08</v>
      </c>
      <c r="S16" s="1444">
        <f>(R16*$S$12)*-1*0</f>
        <v>0</v>
      </c>
      <c r="T16" s="1444">
        <f>(R16*$T$12)*-1</f>
        <v>-19613.808000000001</v>
      </c>
      <c r="U16" s="1444">
        <f>R16+S16+T16</f>
        <v>176524.272</v>
      </c>
      <c r="V16" s="1256"/>
      <c r="W16" s="2838" t="s">
        <v>4893</v>
      </c>
      <c r="X16" s="2841">
        <v>45806</v>
      </c>
      <c r="Y16" s="1323"/>
      <c r="Z16" s="1321">
        <v>45837</v>
      </c>
      <c r="AA16" s="1321">
        <f>+X16+21</f>
        <v>45827</v>
      </c>
      <c r="AB16" s="1324">
        <f>+AA16-Z16</f>
        <v>-10</v>
      </c>
      <c r="AC16" s="1327">
        <f>+U16</f>
        <v>176524.272</v>
      </c>
      <c r="AD16" s="1327">
        <f>+AC16*15%</f>
        <v>26478.640799999997</v>
      </c>
      <c r="AE16" s="1327">
        <f>+AD16+AC16</f>
        <v>203002.91279999999</v>
      </c>
      <c r="AF16" s="1327">
        <f>+AF15+AE16</f>
        <v>1259295.2122500001</v>
      </c>
      <c r="AG16" s="2842"/>
    </row>
    <row r="17" spans="1:32" ht="36">
      <c r="A17" s="723">
        <v>4</v>
      </c>
      <c r="B17" s="810" t="s">
        <v>1766</v>
      </c>
      <c r="C17" s="1445">
        <v>45931</v>
      </c>
      <c r="D17" s="2835" t="s">
        <v>5148</v>
      </c>
      <c r="E17" s="1440">
        <v>45948</v>
      </c>
      <c r="F17" s="2836">
        <f>+G17+F16</f>
        <v>1479432.96</v>
      </c>
      <c r="G17" s="1444">
        <v>58320</v>
      </c>
      <c r="H17" s="1444">
        <v>0</v>
      </c>
      <c r="I17" s="1444">
        <f>63751.52-5832</f>
        <v>57919.519999999997</v>
      </c>
      <c r="J17" s="1444">
        <f>G17+H17+I17</f>
        <v>116239.51999999999</v>
      </c>
      <c r="K17" s="1256"/>
      <c r="L17" s="1510">
        <v>4</v>
      </c>
      <c r="M17" s="2850" t="s">
        <v>5149</v>
      </c>
      <c r="N17" s="1440">
        <v>45957</v>
      </c>
      <c r="O17" s="1323">
        <f>E17+21</f>
        <v>45969</v>
      </c>
      <c r="P17" s="1324">
        <f>O17-N17</f>
        <v>12</v>
      </c>
      <c r="Q17" s="2836">
        <f>+Q16+R17</f>
        <v>1294644.1600000001</v>
      </c>
      <c r="R17" s="1444">
        <v>77933.81</v>
      </c>
      <c r="S17" s="1444">
        <f>(R17*$S$12)*-1*0</f>
        <v>0</v>
      </c>
      <c r="T17" s="1444">
        <f>63751.52-25445.81</f>
        <v>38305.709999999992</v>
      </c>
      <c r="U17" s="1444">
        <f>R17+S17+T17</f>
        <v>116239.51999999999</v>
      </c>
      <c r="V17" s="1256"/>
      <c r="W17" s="4399" t="s">
        <v>5150</v>
      </c>
      <c r="X17" s="4419">
        <v>45966</v>
      </c>
      <c r="Y17" s="4401"/>
      <c r="Z17" s="4402"/>
      <c r="AA17" s="4402">
        <f>+X17+21</f>
        <v>45987</v>
      </c>
      <c r="AB17" s="4406"/>
      <c r="AC17" s="4404">
        <f>+U17</f>
        <v>116239.51999999999</v>
      </c>
      <c r="AD17" s="4404">
        <f>+AC17*15%</f>
        <v>17435.927999999996</v>
      </c>
      <c r="AE17" s="4404">
        <f>+AD17+AC17</f>
        <v>133675.44799999997</v>
      </c>
      <c r="AF17" s="4404">
        <f>+AF16+AE17</f>
        <v>1392970.6602500002</v>
      </c>
    </row>
    <row r="18" spans="1:32">
      <c r="A18" s="723"/>
      <c r="B18" s="810"/>
      <c r="C18" s="1445"/>
      <c r="D18" s="2835"/>
      <c r="E18" s="1440"/>
      <c r="F18" s="1322"/>
      <c r="G18" s="1444"/>
      <c r="H18" s="1444"/>
      <c r="I18" s="1444"/>
      <c r="J18" s="1444"/>
      <c r="K18" s="1256"/>
      <c r="L18" s="1510"/>
      <c r="M18" s="2850"/>
      <c r="N18" s="1321"/>
      <c r="O18" s="1323"/>
      <c r="P18" s="1324"/>
      <c r="Q18" s="1322"/>
      <c r="R18" s="1444"/>
      <c r="S18" s="1444"/>
      <c r="T18" s="1444"/>
      <c r="U18" s="1444"/>
      <c r="V18" s="1256"/>
      <c r="W18" s="2838"/>
      <c r="X18" s="1323"/>
      <c r="Y18" s="1323"/>
      <c r="Z18" s="1321"/>
      <c r="AA18" s="1321"/>
      <c r="AB18" s="1324"/>
      <c r="AC18" s="1327"/>
      <c r="AD18" s="1327"/>
      <c r="AE18" s="1327"/>
      <c r="AF18" s="1327"/>
    </row>
    <row r="19" spans="1:32" ht="33.950000000000003" customHeight="1">
      <c r="A19" s="723"/>
      <c r="B19" s="810"/>
      <c r="C19" s="1445"/>
      <c r="D19" s="2835"/>
      <c r="E19" s="1440"/>
      <c r="F19" s="1322"/>
      <c r="G19" s="1444"/>
      <c r="H19" s="1444"/>
      <c r="I19" s="1444"/>
      <c r="J19" s="1444"/>
      <c r="K19" s="1256"/>
      <c r="L19" s="1510"/>
      <c r="M19" s="2850"/>
      <c r="N19" s="1321"/>
      <c r="O19" s="1323"/>
      <c r="P19" s="1324"/>
      <c r="Q19" s="1322"/>
      <c r="R19" s="1444"/>
      <c r="S19" s="1444"/>
      <c r="T19" s="1444"/>
      <c r="U19" s="1444"/>
      <c r="V19" s="1256"/>
      <c r="W19" s="2838"/>
      <c r="X19" s="1323"/>
      <c r="Y19" s="1323"/>
      <c r="Z19" s="1321"/>
      <c r="AA19" s="1321"/>
      <c r="AB19" s="1324"/>
      <c r="AC19" s="1327"/>
      <c r="AD19" s="1327"/>
      <c r="AE19" s="1327"/>
      <c r="AF19" s="1327"/>
    </row>
    <row r="20" spans="1:32">
      <c r="A20" s="723"/>
      <c r="B20" s="810"/>
      <c r="C20" s="1445"/>
      <c r="D20" s="2835"/>
      <c r="E20" s="1440"/>
      <c r="F20" s="1322"/>
      <c r="G20" s="1444"/>
      <c r="H20" s="1444"/>
      <c r="I20" s="1444"/>
      <c r="J20" s="1444"/>
      <c r="K20" s="1256"/>
      <c r="L20" s="1510"/>
      <c r="M20" s="2850"/>
      <c r="N20" s="1321"/>
      <c r="O20" s="1323"/>
      <c r="P20" s="1324"/>
      <c r="Q20" s="1322"/>
      <c r="R20" s="1444"/>
      <c r="S20" s="1444"/>
      <c r="T20" s="1444"/>
      <c r="U20" s="1444"/>
      <c r="V20" s="1256"/>
      <c r="W20" s="723"/>
      <c r="X20" s="724"/>
      <c r="Y20" s="1323"/>
      <c r="Z20" s="1321"/>
      <c r="AA20" s="1321"/>
      <c r="AB20" s="1324"/>
      <c r="AC20" s="1327"/>
      <c r="AD20" s="1327"/>
      <c r="AE20" s="1327"/>
      <c r="AF20" s="1327"/>
    </row>
    <row r="21" spans="1:32">
      <c r="A21" s="723"/>
      <c r="B21" s="810"/>
      <c r="C21" s="1445"/>
      <c r="D21" s="2835"/>
      <c r="E21" s="1440"/>
      <c r="F21" s="1322"/>
      <c r="G21" s="1444"/>
      <c r="H21" s="1444"/>
      <c r="I21" s="1444"/>
      <c r="J21" s="1444"/>
      <c r="K21" s="1256"/>
      <c r="L21" s="1510"/>
      <c r="M21" s="2850"/>
      <c r="N21" s="1321"/>
      <c r="O21" s="1323"/>
      <c r="P21" s="1324"/>
      <c r="Q21" s="1322"/>
      <c r="R21" s="1444"/>
      <c r="S21" s="1444"/>
      <c r="T21" s="1444"/>
      <c r="U21" s="1444"/>
      <c r="V21" s="1256"/>
      <c r="W21" s="723"/>
      <c r="X21" s="724"/>
      <c r="Y21" s="1323"/>
      <c r="Z21" s="1321"/>
      <c r="AA21" s="1321"/>
      <c r="AB21" s="1324"/>
      <c r="AC21" s="1327"/>
      <c r="AD21" s="1327"/>
      <c r="AE21" s="1327"/>
      <c r="AF21" s="1327"/>
    </row>
    <row r="22" spans="1:32">
      <c r="A22" s="723"/>
      <c r="B22" s="810"/>
      <c r="C22" s="1445"/>
      <c r="D22" s="2835"/>
      <c r="E22" s="1440"/>
      <c r="F22" s="1322"/>
      <c r="G22" s="1444"/>
      <c r="H22" s="1444"/>
      <c r="I22" s="1444"/>
      <c r="J22" s="1444"/>
      <c r="K22" s="1256"/>
      <c r="L22" s="1510"/>
      <c r="M22" s="2850"/>
      <c r="N22" s="1321"/>
      <c r="O22" s="1323"/>
      <c r="P22" s="1324"/>
      <c r="Q22" s="1322"/>
      <c r="R22" s="1444"/>
      <c r="S22" s="1444"/>
      <c r="T22" s="1444"/>
      <c r="U22" s="1444"/>
      <c r="V22" s="1256"/>
      <c r="W22" s="723"/>
      <c r="X22" s="724"/>
      <c r="Y22" s="1323"/>
      <c r="Z22" s="1321"/>
      <c r="AA22" s="1321"/>
      <c r="AB22" s="1324"/>
      <c r="AC22" s="1327"/>
      <c r="AD22" s="1327"/>
      <c r="AE22" s="1327"/>
      <c r="AF22" s="1327"/>
    </row>
    <row r="23" spans="1:32">
      <c r="A23" s="723"/>
      <c r="B23" s="810"/>
      <c r="C23" s="1445"/>
      <c r="D23" s="2835"/>
      <c r="E23" s="1440"/>
      <c r="F23" s="1322"/>
      <c r="G23" s="1444"/>
      <c r="H23" s="1444"/>
      <c r="I23" s="1444"/>
      <c r="J23" s="1444"/>
      <c r="K23" s="1256"/>
      <c r="L23" s="1510"/>
      <c r="M23" s="2850"/>
      <c r="N23" s="1321"/>
      <c r="O23" s="1323"/>
      <c r="P23" s="1324"/>
      <c r="Q23" s="1322"/>
      <c r="R23" s="1444"/>
      <c r="S23" s="1444"/>
      <c r="T23" s="1444"/>
      <c r="U23" s="1444"/>
      <c r="V23" s="1256"/>
      <c r="W23" s="723"/>
      <c r="X23" s="724"/>
      <c r="Y23" s="1323"/>
      <c r="Z23" s="1321"/>
      <c r="AA23" s="1321"/>
      <c r="AB23" s="1324"/>
      <c r="AC23" s="1327"/>
      <c r="AD23" s="1327"/>
      <c r="AE23" s="1327"/>
      <c r="AF23" s="1327"/>
    </row>
    <row r="24" spans="1:32">
      <c r="A24" s="723"/>
      <c r="B24" s="810"/>
      <c r="C24" s="1445"/>
      <c r="D24" s="2835"/>
      <c r="E24" s="1440"/>
      <c r="F24" s="1322"/>
      <c r="G24" s="1444"/>
      <c r="H24" s="1444"/>
      <c r="I24" s="1444"/>
      <c r="J24" s="1444"/>
      <c r="K24" s="1256"/>
      <c r="L24" s="1510"/>
      <c r="M24" s="2850"/>
      <c r="N24" s="1321"/>
      <c r="O24" s="1323"/>
      <c r="P24" s="1324"/>
      <c r="Q24" s="1322"/>
      <c r="R24" s="1444"/>
      <c r="S24" s="1444"/>
      <c r="T24" s="1444"/>
      <c r="U24" s="1444"/>
      <c r="V24" s="1256"/>
      <c r="W24" s="723"/>
      <c r="X24" s="724"/>
      <c r="Y24" s="1323"/>
      <c r="Z24" s="1321"/>
      <c r="AA24" s="1321"/>
      <c r="AB24" s="1324"/>
      <c r="AC24" s="1327"/>
      <c r="AD24" s="1327"/>
      <c r="AE24" s="1327"/>
      <c r="AF24" s="1327"/>
    </row>
    <row r="25" spans="1:32">
      <c r="A25" s="723"/>
      <c r="B25" s="810"/>
      <c r="C25" s="1445"/>
      <c r="D25" s="2835"/>
      <c r="E25" s="1440"/>
      <c r="F25" s="1322"/>
      <c r="G25" s="1322"/>
      <c r="H25" s="1322"/>
      <c r="I25" s="1322"/>
      <c r="J25" s="1322"/>
      <c r="K25" s="1256"/>
      <c r="L25" s="1443"/>
      <c r="M25" s="2850"/>
      <c r="N25" s="1321"/>
      <c r="O25" s="1323"/>
      <c r="P25" s="1324"/>
      <c r="Q25" s="1322"/>
      <c r="R25" s="1444"/>
      <c r="S25" s="1444"/>
      <c r="T25" s="1444"/>
      <c r="U25" s="1328"/>
      <c r="V25" s="1256"/>
      <c r="W25" s="723"/>
      <c r="X25" s="724"/>
      <c r="Y25" s="1323"/>
      <c r="Z25" s="1321"/>
      <c r="AA25" s="1321"/>
      <c r="AB25" s="1324"/>
      <c r="AC25" s="1327"/>
      <c r="AD25" s="1327"/>
      <c r="AE25" s="1327"/>
      <c r="AF25" s="1327"/>
    </row>
    <row r="26" spans="1:32">
      <c r="A26" s="723"/>
      <c r="B26" s="810"/>
      <c r="C26" s="1445"/>
      <c r="D26" s="2835"/>
      <c r="E26" s="1440"/>
      <c r="F26" s="1322"/>
      <c r="G26" s="1322"/>
      <c r="H26" s="1322"/>
      <c r="I26" s="1322"/>
      <c r="J26" s="1322"/>
      <c r="K26" s="1256"/>
      <c r="L26" s="1443"/>
      <c r="M26" s="2850"/>
      <c r="N26" s="1321"/>
      <c r="O26" s="1323"/>
      <c r="P26" s="1324"/>
      <c r="Q26" s="1322"/>
      <c r="R26" s="1444"/>
      <c r="S26" s="1444"/>
      <c r="T26" s="1444"/>
      <c r="U26" s="1328"/>
      <c r="V26" s="1256"/>
      <c r="W26" s="723"/>
      <c r="X26" s="724"/>
      <c r="Y26" s="1323"/>
      <c r="Z26" s="1321"/>
      <c r="AA26" s="1321"/>
      <c r="AB26" s="1324"/>
      <c r="AC26" s="1327"/>
      <c r="AD26" s="1327"/>
      <c r="AE26" s="1327"/>
      <c r="AF26" s="1327"/>
    </row>
    <row r="27" spans="1:32">
      <c r="A27" s="723"/>
      <c r="B27" s="810"/>
      <c r="C27" s="1445"/>
      <c r="D27" s="2835"/>
      <c r="E27" s="1440"/>
      <c r="F27" s="1322"/>
      <c r="G27" s="1322"/>
      <c r="H27" s="1322"/>
      <c r="I27" s="1322"/>
      <c r="J27" s="1322"/>
      <c r="K27" s="1256"/>
      <c r="L27" s="1443"/>
      <c r="M27" s="2850"/>
      <c r="N27" s="1321"/>
      <c r="O27" s="1323"/>
      <c r="P27" s="1324"/>
      <c r="Q27" s="1322"/>
      <c r="R27" s="1444"/>
      <c r="S27" s="1444"/>
      <c r="T27" s="1444"/>
      <c r="U27" s="1328"/>
      <c r="V27" s="1256"/>
      <c r="W27" s="723"/>
      <c r="X27" s="724"/>
      <c r="Y27" s="1323"/>
      <c r="Z27" s="1321"/>
      <c r="AA27" s="1321"/>
      <c r="AB27" s="1324"/>
      <c r="AC27" s="1327"/>
      <c r="AD27" s="1327"/>
      <c r="AE27" s="1327"/>
      <c r="AF27" s="1327"/>
    </row>
    <row r="28" spans="1:32">
      <c r="A28" s="723"/>
      <c r="B28" s="810"/>
      <c r="C28" s="1445"/>
      <c r="D28" s="2835"/>
      <c r="E28" s="1440"/>
      <c r="F28" s="1322"/>
      <c r="G28" s="1322"/>
      <c r="H28" s="1322"/>
      <c r="I28" s="1322"/>
      <c r="J28" s="1322"/>
      <c r="K28" s="1256"/>
      <c r="L28" s="1443"/>
      <c r="M28" s="2850"/>
      <c r="N28" s="1321"/>
      <c r="O28" s="1323"/>
      <c r="P28" s="1324"/>
      <c r="Q28" s="1322"/>
      <c r="R28" s="1444"/>
      <c r="S28" s="1444"/>
      <c r="T28" s="1444"/>
      <c r="U28" s="1328"/>
      <c r="V28" s="1256"/>
      <c r="W28" s="723"/>
      <c r="X28" s="724"/>
      <c r="Y28" s="1323"/>
      <c r="Z28" s="1321"/>
      <c r="AA28" s="1321"/>
      <c r="AB28" s="1324"/>
      <c r="AC28" s="1327"/>
      <c r="AD28" s="1327"/>
      <c r="AE28" s="1327"/>
      <c r="AF28" s="1327"/>
    </row>
    <row r="29" spans="1:32">
      <c r="A29" s="723"/>
      <c r="B29" s="810"/>
      <c r="C29" s="1445"/>
      <c r="D29" s="2835"/>
      <c r="E29" s="1440"/>
      <c r="F29" s="1322"/>
      <c r="G29" s="1322"/>
      <c r="H29" s="1322"/>
      <c r="I29" s="1322"/>
      <c r="J29" s="1322"/>
      <c r="K29" s="1256"/>
      <c r="L29" s="1443"/>
      <c r="M29" s="2850"/>
      <c r="N29" s="1321"/>
      <c r="O29" s="1323"/>
      <c r="P29" s="1324"/>
      <c r="Q29" s="1322"/>
      <c r="R29" s="1444"/>
      <c r="S29" s="1444"/>
      <c r="T29" s="1444"/>
      <c r="U29" s="1328"/>
      <c r="V29" s="1256"/>
      <c r="W29" s="723"/>
      <c r="X29" s="724"/>
      <c r="Y29" s="1323"/>
      <c r="Z29" s="1321"/>
      <c r="AA29" s="1321"/>
      <c r="AB29" s="1324"/>
      <c r="AC29" s="1327"/>
      <c r="AD29" s="1327"/>
      <c r="AE29" s="1327"/>
      <c r="AF29" s="1327"/>
    </row>
    <row r="30" spans="1:32">
      <c r="A30" s="723"/>
      <c r="B30" s="810"/>
      <c r="C30" s="1445"/>
      <c r="D30" s="2835"/>
      <c r="E30" s="1440"/>
      <c r="F30" s="1322"/>
      <c r="G30" s="1322"/>
      <c r="H30" s="1322"/>
      <c r="I30" s="1322"/>
      <c r="J30" s="1322"/>
      <c r="K30" s="1256"/>
      <c r="L30" s="1443"/>
      <c r="M30" s="2850"/>
      <c r="N30" s="1321"/>
      <c r="O30" s="1323"/>
      <c r="P30" s="1324"/>
      <c r="Q30" s="1322"/>
      <c r="R30" s="1444"/>
      <c r="S30" s="1444"/>
      <c r="T30" s="1444"/>
      <c r="U30" s="1328"/>
      <c r="V30" s="1256"/>
      <c r="W30" s="723"/>
      <c r="X30" s="724"/>
      <c r="Y30" s="1323"/>
      <c r="Z30" s="1321"/>
      <c r="AA30" s="1321"/>
      <c r="AB30" s="1324"/>
      <c r="AC30" s="1327"/>
      <c r="AD30" s="1327"/>
      <c r="AE30" s="1327"/>
      <c r="AF30" s="1327"/>
    </row>
    <row r="31" spans="1:32">
      <c r="A31" s="723"/>
      <c r="B31" s="810"/>
      <c r="C31" s="1445"/>
      <c r="D31" s="2835"/>
      <c r="E31" s="1440"/>
      <c r="F31" s="1322"/>
      <c r="G31" s="1322"/>
      <c r="H31" s="1322"/>
      <c r="I31" s="1322"/>
      <c r="J31" s="1322"/>
      <c r="K31" s="1256"/>
      <c r="L31" s="1443"/>
      <c r="M31" s="2850"/>
      <c r="N31" s="1321"/>
      <c r="O31" s="1323"/>
      <c r="P31" s="1324"/>
      <c r="Q31" s="1322"/>
      <c r="R31" s="1444"/>
      <c r="S31" s="1444"/>
      <c r="T31" s="1444"/>
      <c r="U31" s="1328"/>
      <c r="V31" s="1256"/>
      <c r="W31" s="723"/>
      <c r="X31" s="724"/>
      <c r="Y31" s="1323"/>
      <c r="Z31" s="1321"/>
      <c r="AA31" s="1321"/>
      <c r="AB31" s="1324"/>
      <c r="AC31" s="1327"/>
      <c r="AD31" s="1327"/>
      <c r="AE31" s="1327"/>
      <c r="AF31" s="1327"/>
    </row>
    <row r="32" spans="1:32">
      <c r="A32" s="723"/>
      <c r="B32" s="810"/>
      <c r="C32" s="1445"/>
      <c r="D32" s="2835"/>
      <c r="E32" s="1440"/>
      <c r="F32" s="1322"/>
      <c r="G32" s="1322"/>
      <c r="H32" s="1322"/>
      <c r="I32" s="1322"/>
      <c r="J32" s="1322"/>
      <c r="K32" s="1256"/>
      <c r="L32" s="1443"/>
      <c r="M32" s="2850"/>
      <c r="N32" s="1321"/>
      <c r="O32" s="1323"/>
      <c r="P32" s="1324"/>
      <c r="Q32" s="1322"/>
      <c r="R32" s="1444"/>
      <c r="S32" s="1444"/>
      <c r="T32" s="1444"/>
      <c r="U32" s="1328"/>
      <c r="V32" s="1256"/>
      <c r="W32" s="723"/>
      <c r="X32" s="724"/>
      <c r="Y32" s="1323"/>
      <c r="Z32" s="1321"/>
      <c r="AA32" s="1321"/>
      <c r="AB32" s="1324"/>
      <c r="AC32" s="1327"/>
      <c r="AD32" s="1327"/>
      <c r="AE32" s="1327"/>
      <c r="AF32" s="1327"/>
    </row>
    <row r="33" spans="1:32">
      <c r="A33" s="723"/>
      <c r="B33" s="810"/>
      <c r="C33" s="1445"/>
      <c r="D33" s="1320"/>
      <c r="E33" s="1440"/>
      <c r="F33" s="1322"/>
      <c r="G33" s="1322"/>
      <c r="H33" s="1322"/>
      <c r="I33" s="1322"/>
      <c r="J33" s="1322"/>
      <c r="K33" s="1256"/>
      <c r="L33" s="1443"/>
      <c r="M33" s="2850"/>
      <c r="N33" s="1321"/>
      <c r="O33" s="1323"/>
      <c r="P33" s="1324"/>
      <c r="Q33" s="1322"/>
      <c r="R33" s="1444"/>
      <c r="S33" s="1444"/>
      <c r="T33" s="1444"/>
      <c r="U33" s="1328"/>
      <c r="V33" s="1256"/>
      <c r="W33" s="723"/>
      <c r="X33" s="724"/>
      <c r="Y33" s="1323"/>
      <c r="Z33" s="1321"/>
      <c r="AA33" s="1321"/>
      <c r="AB33" s="1324"/>
      <c r="AC33" s="1327"/>
      <c r="AD33" s="1327"/>
      <c r="AE33" s="1327"/>
      <c r="AF33" s="1327"/>
    </row>
    <row r="34" spans="1:32">
      <c r="A34" s="723"/>
      <c r="B34" s="810"/>
      <c r="C34" s="1445"/>
      <c r="D34" s="1320"/>
      <c r="E34" s="1440"/>
      <c r="F34" s="1322"/>
      <c r="G34" s="1322"/>
      <c r="H34" s="1322"/>
      <c r="I34" s="1322"/>
      <c r="J34" s="1322"/>
      <c r="K34" s="1256"/>
      <c r="L34" s="1443"/>
      <c r="M34" s="2850"/>
      <c r="N34" s="1321"/>
      <c r="O34" s="1323"/>
      <c r="P34" s="1324"/>
      <c r="Q34" s="1322"/>
      <c r="R34" s="1444"/>
      <c r="S34" s="1444"/>
      <c r="T34" s="1444"/>
      <c r="U34" s="1328"/>
      <c r="V34" s="1256"/>
      <c r="W34" s="723"/>
      <c r="X34" s="724"/>
      <c r="Y34" s="1323"/>
      <c r="Z34" s="1321"/>
      <c r="AA34" s="1321"/>
      <c r="AB34" s="1324"/>
      <c r="AC34" s="1327"/>
      <c r="AD34" s="1327"/>
      <c r="AE34" s="1327"/>
      <c r="AF34" s="1327"/>
    </row>
    <row r="35" spans="1:32">
      <c r="A35" s="723"/>
      <c r="B35" s="810"/>
      <c r="C35" s="1445"/>
      <c r="D35" s="1320"/>
      <c r="E35" s="1441"/>
      <c r="F35" s="1322"/>
      <c r="G35" s="1322"/>
      <c r="H35" s="1322"/>
      <c r="I35" s="1322"/>
      <c r="J35" s="1322"/>
      <c r="K35" s="1256"/>
      <c r="L35" s="1443"/>
      <c r="M35" s="2850"/>
      <c r="N35" s="1321"/>
      <c r="O35" s="1323"/>
      <c r="P35" s="1324"/>
      <c r="Q35" s="1322"/>
      <c r="R35" s="1444"/>
      <c r="S35" s="1444"/>
      <c r="T35" s="1444"/>
      <c r="U35" s="1328"/>
      <c r="V35" s="1256"/>
      <c r="W35" s="723"/>
      <c r="X35" s="724"/>
      <c r="Y35" s="1323"/>
      <c r="Z35" s="1321"/>
      <c r="AA35" s="1321"/>
      <c r="AB35" s="1324"/>
      <c r="AC35" s="1327"/>
      <c r="AD35" s="1327"/>
      <c r="AE35" s="1327"/>
      <c r="AF35" s="1327"/>
    </row>
    <row r="36" spans="1:32">
      <c r="A36" s="1329"/>
      <c r="B36" s="1330"/>
      <c r="C36" s="1440"/>
      <c r="D36" s="1331"/>
      <c r="E36" s="1442"/>
      <c r="F36" s="1332"/>
      <c r="G36" s="1332"/>
      <c r="H36" s="1332"/>
      <c r="I36" s="1332"/>
      <c r="J36" s="1332"/>
      <c r="K36" s="1256"/>
      <c r="L36" s="1329"/>
      <c r="M36" s="2851"/>
      <c r="N36" s="1334"/>
      <c r="O36" s="1334"/>
      <c r="P36" s="1335"/>
      <c r="Q36" s="1322"/>
      <c r="R36" s="1333"/>
      <c r="S36" s="1333"/>
      <c r="T36" s="1333"/>
      <c r="U36" s="1336"/>
      <c r="V36" s="1256"/>
      <c r="W36" s="1329"/>
      <c r="X36" s="1333"/>
      <c r="Y36" s="1337"/>
      <c r="Z36" s="1334"/>
      <c r="AA36" s="1334"/>
      <c r="AB36" s="1334"/>
      <c r="AC36" s="1329"/>
      <c r="AD36" s="1337"/>
      <c r="AE36" s="1334"/>
      <c r="AF36" s="1334"/>
    </row>
    <row r="37" spans="1:32" ht="24.75" customHeight="1" collapsed="1" thickBot="1">
      <c r="A37" s="6045" t="s">
        <v>1522</v>
      </c>
      <c r="B37" s="6046"/>
      <c r="C37" s="6046"/>
      <c r="D37" s="6046"/>
      <c r="E37" s="6046"/>
      <c r="F37" s="6047"/>
      <c r="G37" s="1338">
        <f>SUM(G14:G36)</f>
        <v>1479432.96</v>
      </c>
      <c r="H37" s="1338">
        <f>SUM(H14:H36)</f>
        <v>0</v>
      </c>
      <c r="I37" s="1338">
        <f>SUM(I14:I36)</f>
        <v>-84191.776000000013</v>
      </c>
      <c r="J37" s="1338">
        <f>SUM(J14:J36)</f>
        <v>1395241.1840000001</v>
      </c>
      <c r="K37" s="1256"/>
      <c r="L37" s="1339" t="s">
        <v>1522</v>
      </c>
      <c r="M37" s="1343"/>
      <c r="N37" s="1340"/>
      <c r="O37" s="1340"/>
      <c r="P37" s="1340"/>
      <c r="Q37" s="1340"/>
      <c r="R37" s="1341">
        <f>SUM(R14:R36)</f>
        <v>1294644.1600000001</v>
      </c>
      <c r="S37" s="1338">
        <f>SUM(S14:S36)</f>
        <v>0</v>
      </c>
      <c r="T37" s="1338">
        <f>SUM(T14:T36)</f>
        <v>-83365.325000000012</v>
      </c>
      <c r="U37" s="1338">
        <f>SUM(U14:U36)</f>
        <v>1211278.835</v>
      </c>
      <c r="V37" s="1256"/>
      <c r="W37" s="1342" t="s">
        <v>1522</v>
      </c>
      <c r="X37" s="1343"/>
      <c r="Y37" s="1343"/>
      <c r="Z37" s="1343"/>
      <c r="AA37" s="1343"/>
      <c r="AB37" s="1343"/>
      <c r="AC37" s="1341">
        <f>SUM(AC14:AC36)</f>
        <v>1211278.835</v>
      </c>
      <c r="AD37" s="1338">
        <f>SUM(AD14:AD36)</f>
        <v>181691.82524999997</v>
      </c>
      <c r="AE37" s="1338">
        <f>SUM(AE14:AE36)</f>
        <v>1392970.6602500002</v>
      </c>
      <c r="AF37" s="1338">
        <f>+AF16</f>
        <v>1259295.2122500001</v>
      </c>
    </row>
    <row r="38" spans="1:32">
      <c r="A38" s="1360"/>
      <c r="B38" s="1256"/>
      <c r="C38" s="1255"/>
      <c r="D38" s="1257"/>
      <c r="E38" s="1361"/>
      <c r="F38" s="1258"/>
      <c r="G38" s="1258"/>
      <c r="H38" s="1258"/>
      <c r="I38" s="1258"/>
      <c r="J38" s="1258"/>
      <c r="K38" s="1256"/>
      <c r="L38" s="1360"/>
      <c r="M38" s="2852"/>
      <c r="N38" s="1362"/>
      <c r="O38" s="1362"/>
      <c r="P38" s="1362"/>
      <c r="Q38" s="1360"/>
      <c r="R38" s="1360"/>
      <c r="S38" s="1360"/>
      <c r="T38" s="1360"/>
      <c r="U38" s="1363"/>
      <c r="V38" s="1256"/>
      <c r="W38" s="1360"/>
      <c r="X38" s="1360"/>
      <c r="Y38" s="1364"/>
      <c r="Z38" s="1362"/>
      <c r="AA38" s="1362"/>
      <c r="AB38" s="1362"/>
      <c r="AC38" s="1360"/>
      <c r="AD38" s="1364"/>
      <c r="AE38" s="1362"/>
      <c r="AF38" s="1362"/>
    </row>
    <row r="39" spans="1:32">
      <c r="A39" s="1360"/>
      <c r="B39" s="1256"/>
      <c r="C39" s="1255"/>
      <c r="D39" s="1257"/>
      <c r="E39" s="1361"/>
      <c r="F39" s="1258"/>
      <c r="G39" s="1258"/>
      <c r="H39" s="1258"/>
      <c r="I39" s="1258"/>
      <c r="J39" s="1258"/>
      <c r="K39" s="1256"/>
      <c r="L39" s="1360"/>
      <c r="M39" s="2852"/>
      <c r="N39" s="1362"/>
      <c r="O39" s="1362"/>
      <c r="P39" s="1257"/>
      <c r="Q39" s="1258"/>
      <c r="R39" s="1258"/>
      <c r="S39" s="1258"/>
      <c r="T39" s="1258"/>
      <c r="U39" s="1258">
        <f>+U37-T37</f>
        <v>1294644.1599999999</v>
      </c>
      <c r="V39" s="1256"/>
      <c r="W39" s="1360"/>
      <c r="X39" s="1360"/>
      <c r="Y39" s="1364"/>
      <c r="Z39" s="1362"/>
      <c r="AA39" s="1362"/>
      <c r="AB39" s="1362"/>
      <c r="AC39" s="1360"/>
      <c r="AD39" s="1364"/>
      <c r="AE39" s="1362"/>
      <c r="AF39" s="1362"/>
    </row>
    <row r="40" spans="1:32">
      <c r="A40" s="1365"/>
      <c r="B40" s="1256"/>
      <c r="C40" s="1255"/>
      <c r="D40" s="1257"/>
      <c r="E40" s="1361"/>
      <c r="F40" s="1366"/>
      <c r="G40" s="1366"/>
      <c r="H40" s="1366"/>
      <c r="I40" s="1366"/>
      <c r="J40" s="1258"/>
      <c r="K40" s="1256"/>
      <c r="L40" s="1365"/>
      <c r="M40" s="2853">
        <f>403092.61/11085046.72</f>
        <v>3.6363636544059594E-2</v>
      </c>
      <c r="N40" s="1365"/>
      <c r="O40" s="1365"/>
      <c r="P40" s="1257"/>
      <c r="Q40" s="1366"/>
      <c r="R40" s="1366"/>
      <c r="S40" s="1366"/>
      <c r="T40" s="1366"/>
      <c r="U40" s="1366"/>
      <c r="V40" s="1256"/>
      <c r="W40" s="1365"/>
      <c r="X40" s="1365"/>
      <c r="Y40" s="1365"/>
      <c r="Z40" s="1362"/>
      <c r="AA40" s="1362"/>
      <c r="AB40" s="1362"/>
      <c r="AC40" s="1365"/>
      <c r="AD40" s="1365"/>
      <c r="AE40" s="1362"/>
      <c r="AF40" s="1362"/>
    </row>
    <row r="41" spans="1:32">
      <c r="D41" s="1257"/>
      <c r="E41" s="153">
        <v>44197</v>
      </c>
      <c r="F41" s="1366"/>
      <c r="P41" s="1257"/>
      <c r="Q41" s="1366"/>
      <c r="R41" s="1366"/>
      <c r="S41" s="1366"/>
      <c r="T41" s="1366"/>
      <c r="U41" s="1366"/>
      <c r="AA41" s="153">
        <v>44094</v>
      </c>
      <c r="AC41" s="1367"/>
    </row>
    <row r="42" spans="1:32">
      <c r="D42" s="1257"/>
      <c r="E42" s="153">
        <f>E41-45</f>
        <v>44152</v>
      </c>
      <c r="F42" s="1366"/>
      <c r="P42" s="1257"/>
      <c r="Q42" s="1366"/>
      <c r="R42" s="1366"/>
      <c r="S42" s="1366"/>
      <c r="T42" s="1366"/>
      <c r="U42" s="1366"/>
      <c r="AA42" s="153">
        <f>AA41-45</f>
        <v>44049</v>
      </c>
    </row>
    <row r="43" spans="1:32">
      <c r="D43" s="1257"/>
      <c r="F43" s="1366"/>
      <c r="H43" s="153">
        <v>43986</v>
      </c>
      <c r="R43" s="652"/>
      <c r="S43" s="652"/>
      <c r="T43" s="652"/>
      <c r="U43" s="652"/>
    </row>
    <row r="45" spans="1:32">
      <c r="G45" s="3020">
        <v>1284550.3500000001</v>
      </c>
      <c r="AC45" t="s">
        <v>2330</v>
      </c>
    </row>
    <row r="46" spans="1:32">
      <c r="G46" s="3020">
        <v>1020572.27</v>
      </c>
      <c r="AC46" s="3018">
        <v>45222</v>
      </c>
      <c r="AD46" s="3018">
        <v>45253</v>
      </c>
      <c r="AE46" s="3018">
        <v>45283</v>
      </c>
    </row>
    <row r="47" spans="1:32">
      <c r="G47" s="3020">
        <f>+G45-G46</f>
        <v>263978.08000000007</v>
      </c>
      <c r="AC47" s="3020">
        <v>11439880.26</v>
      </c>
    </row>
  </sheetData>
  <mergeCells count="4">
    <mergeCell ref="A10:J10"/>
    <mergeCell ref="L10:U10"/>
    <mergeCell ref="W10:AF10"/>
    <mergeCell ref="A37:F37"/>
  </mergeCells>
  <phoneticPr fontId="347" type="noConversion"/>
  <printOptions horizontalCentered="1"/>
  <pageMargins left="0.25" right="0.25" top="0.75" bottom="0.75" header="0.3" footer="0.3"/>
  <pageSetup paperSize="8" scale="67" fitToHeight="2" orientation="landscape" r:id="rId1"/>
  <headerFooter>
    <oddHeader>&amp;C&amp;"Calibri,Bold"&amp;18MONTHLY REPORT - INVOICE &amp; PAYMENT TRACKING LOG (MAS - AMPHITHEATRE WORKS)</oddHeader>
    <oddFooter>&amp;L1TB.01.003.01 - AYC 
MARCH'26 REPORT&amp;C&amp;A&amp;RPage &amp;P of &amp;N</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5D045-65B3-4484-A1E4-61DB1C0E6D5B}">
  <sheetPr codeName="Sheet49">
    <tabColor theme="7" tint="0.39997558519241921"/>
    <pageSetUpPr fitToPage="1"/>
  </sheetPr>
  <dimension ref="A1:AG59"/>
  <sheetViews>
    <sheetView showGridLines="0" view="pageBreakPreview" topLeftCell="G9" zoomScale="90" zoomScaleNormal="100" zoomScaleSheetLayoutView="90" workbookViewId="0">
      <selection activeCell="X28" sqref="X28"/>
    </sheetView>
  </sheetViews>
  <sheetFormatPr defaultColWidth="9" defaultRowHeight="12.75"/>
  <cols>
    <col min="1" max="1" width="10.85546875" customWidth="1"/>
    <col min="2" max="2" width="10.42578125" customWidth="1"/>
    <col min="3" max="3" width="11.42578125" customWidth="1"/>
    <col min="4" max="4" width="10.85546875" bestFit="1" customWidth="1"/>
    <col min="5" max="5" width="9.85546875" bestFit="1" customWidth="1"/>
    <col min="6" max="6" width="13.85546875" customWidth="1"/>
    <col min="7" max="7" width="12.85546875" bestFit="1" customWidth="1"/>
    <col min="8" max="8" width="11.85546875" bestFit="1" customWidth="1"/>
    <col min="9" max="9" width="13.5703125" bestFit="1" customWidth="1"/>
    <col min="10" max="10" width="13.85546875" customWidth="1"/>
    <col min="11" max="11" width="0.85546875" customWidth="1"/>
    <col min="12" max="12" width="6" customWidth="1"/>
    <col min="13" max="13" width="17.85546875" style="2854" bestFit="1" customWidth="1"/>
    <col min="14" max="14" width="9" customWidth="1"/>
    <col min="15" max="15" width="9.42578125" bestFit="1" customWidth="1"/>
    <col min="16" max="16" width="7.85546875" customWidth="1"/>
    <col min="17" max="17" width="13.85546875" customWidth="1"/>
    <col min="18" max="18" width="15.5703125" customWidth="1"/>
    <col min="19" max="20" width="11.42578125" customWidth="1"/>
    <col min="21" max="21" width="14.5703125" customWidth="1"/>
    <col min="22" max="22" width="0.85546875" customWidth="1"/>
    <col min="23" max="23" width="14" bestFit="1" customWidth="1"/>
    <col min="24" max="24" width="9" customWidth="1"/>
    <col min="25" max="25" width="9" hidden="1" customWidth="1"/>
    <col min="26" max="26" width="9" bestFit="1" customWidth="1"/>
    <col min="27" max="27" width="10" customWidth="1"/>
    <col min="28" max="28" width="7" customWidth="1"/>
    <col min="29" max="29" width="12.42578125" customWidth="1"/>
    <col min="30" max="30" width="13.5703125" customWidth="1"/>
    <col min="31" max="32" width="14" customWidth="1"/>
    <col min="33" max="33" width="13.5703125" bestFit="1" customWidth="1"/>
  </cols>
  <sheetData>
    <row r="1" spans="1:33">
      <c r="A1" s="1255"/>
      <c r="B1" s="1256"/>
      <c r="C1" s="1255"/>
      <c r="D1" s="1257"/>
      <c r="E1" s="1257"/>
      <c r="F1" s="1258"/>
      <c r="G1" s="1258"/>
      <c r="H1" s="1258"/>
      <c r="I1" s="1258"/>
      <c r="J1" s="1258"/>
      <c r="K1" s="1257"/>
      <c r="L1" s="1255"/>
      <c r="M1" s="2848"/>
      <c r="N1" s="1255"/>
      <c r="O1" s="1255"/>
      <c r="P1" s="1255"/>
      <c r="Q1" s="1255"/>
      <c r="R1" s="1255"/>
      <c r="S1" s="1255"/>
      <c r="T1" s="1255"/>
      <c r="U1" s="1259"/>
      <c r="V1" s="1257"/>
      <c r="W1" s="1257"/>
      <c r="X1" s="1257"/>
      <c r="Y1" s="1257"/>
      <c r="Z1" s="1257"/>
      <c r="AA1" s="1257"/>
      <c r="AB1" s="1257"/>
      <c r="AC1" s="1257"/>
      <c r="AD1" s="1257"/>
      <c r="AE1" s="1257"/>
      <c r="AF1" s="1257"/>
    </row>
    <row r="2" spans="1:33">
      <c r="A2" s="9" t="str">
        <f>'Data Input'!A1&amp;" - "&amp;'Data Input'!B1</f>
        <v>PROGRAMME: - MARINA VILLAGE (PROGRAMME 1_TRIPLE BAY)</v>
      </c>
      <c r="B2" s="1256"/>
      <c r="C2" s="1255"/>
      <c r="D2" s="1257"/>
      <c r="E2" s="1257"/>
      <c r="F2" s="1258"/>
      <c r="G2" s="1258"/>
      <c r="H2" s="1258"/>
      <c r="I2" s="1258"/>
      <c r="J2" s="1258"/>
      <c r="K2" s="1257"/>
      <c r="L2" s="1255"/>
      <c r="M2" s="2848"/>
      <c r="N2" s="1255"/>
      <c r="O2" s="1255"/>
      <c r="P2" s="1255"/>
      <c r="Q2" s="1255"/>
      <c r="R2" s="1255"/>
      <c r="S2" s="1255"/>
      <c r="T2" s="1255"/>
      <c r="U2" s="1259"/>
      <c r="V2" s="1257"/>
      <c r="W2" s="1257"/>
      <c r="X2" s="1257"/>
      <c r="Y2" s="1257"/>
      <c r="Z2" s="1257"/>
      <c r="AA2" s="1257"/>
      <c r="AB2" s="1257"/>
      <c r="AC2" s="1257"/>
      <c r="AD2" s="1257"/>
      <c r="AE2" s="1257"/>
      <c r="AF2" s="1257"/>
    </row>
    <row r="3" spans="1:33">
      <c r="A3" s="9" t="str">
        <f>'Data Input'!A2&amp;" - "&amp;'Data Input'!B2</f>
        <v>PROGRAMME CODE: - 1TB01003</v>
      </c>
      <c r="B3" s="1260"/>
      <c r="C3" s="1261"/>
      <c r="D3" s="1262"/>
      <c r="E3" s="1262"/>
      <c r="F3" s="1263"/>
      <c r="G3" s="1263"/>
      <c r="H3" s="1263"/>
      <c r="I3" s="1263"/>
      <c r="J3" s="1264"/>
      <c r="K3" s="1265"/>
      <c r="L3" s="1265"/>
      <c r="M3" s="1262"/>
      <c r="N3" s="1265"/>
      <c r="O3" s="1266"/>
      <c r="P3" s="1265"/>
      <c r="Q3" s="1265"/>
      <c r="R3" s="1265"/>
      <c r="S3" s="1265"/>
      <c r="T3" s="1265"/>
      <c r="U3" s="1267"/>
      <c r="V3" s="1265"/>
      <c r="W3" s="1265"/>
      <c r="X3" s="1265"/>
      <c r="Y3" s="1265"/>
      <c r="Z3" s="1265"/>
      <c r="AA3" s="1265"/>
      <c r="AB3" s="1265"/>
      <c r="AC3" s="1265"/>
      <c r="AD3" s="1265"/>
      <c r="AE3" s="1265"/>
      <c r="AF3" s="1265"/>
    </row>
    <row r="4" spans="1:33">
      <c r="A4" s="9" t="str">
        <f>'Data Input'!A3&amp;" - "&amp;'Data Input'!B3</f>
        <v>ASSET NAME: - AMAALA YACHT CLUB</v>
      </c>
      <c r="B4" s="1260"/>
      <c r="C4" s="1268"/>
      <c r="D4" s="1265"/>
      <c r="E4" s="1265"/>
      <c r="F4" s="1267"/>
      <c r="G4" s="1267"/>
      <c r="H4" s="1267"/>
      <c r="I4" s="1267"/>
      <c r="J4" s="1269"/>
      <c r="K4" s="1265"/>
      <c r="L4" s="1265"/>
      <c r="M4" s="1262"/>
      <c r="N4" s="1265"/>
      <c r="O4" s="1266"/>
      <c r="P4" s="1265"/>
      <c r="Q4" s="1265"/>
      <c r="R4" s="1265"/>
      <c r="S4" s="1265"/>
      <c r="T4" s="1265"/>
      <c r="U4" s="1267"/>
      <c r="V4" s="1265"/>
      <c r="W4" s="1265"/>
      <c r="X4" s="1265"/>
      <c r="Y4" s="1265"/>
      <c r="Z4" s="1265"/>
      <c r="AA4" s="1265"/>
      <c r="AB4" s="1265"/>
      <c r="AC4" s="1265"/>
      <c r="AD4" s="1265"/>
      <c r="AE4" s="1265"/>
      <c r="AF4" s="1265"/>
    </row>
    <row r="5" spans="1:33">
      <c r="A5" s="9" t="str">
        <f>'Data Input'!A4&amp;" - "&amp;'Data Input'!B4</f>
        <v>ASSET CODE: - 1TB01003.01</v>
      </c>
      <c r="B5" s="1270"/>
      <c r="C5" s="1268"/>
      <c r="D5" s="1265"/>
      <c r="E5" s="1265"/>
      <c r="F5" s="1267"/>
      <c r="G5" s="1267"/>
      <c r="H5" s="1267"/>
      <c r="I5" s="1267"/>
      <c r="J5" s="1269"/>
      <c r="K5" s="1265"/>
      <c r="L5" s="1265"/>
      <c r="M5" s="1262"/>
      <c r="N5" s="1265"/>
      <c r="O5" s="1266"/>
      <c r="P5" s="1265"/>
      <c r="Q5" s="1265"/>
      <c r="R5" s="1271"/>
      <c r="S5" s="1265"/>
      <c r="T5" s="1265"/>
      <c r="U5" s="1267"/>
      <c r="V5" s="1265"/>
      <c r="W5" s="1265"/>
      <c r="X5" s="1265"/>
      <c r="Y5" s="1265"/>
      <c r="Z5" s="1265"/>
      <c r="AA5" s="1265"/>
      <c r="AB5" s="1265"/>
      <c r="AC5" s="1265"/>
      <c r="AD5" s="1265"/>
      <c r="AE5" s="1265"/>
      <c r="AF5" s="1265"/>
    </row>
    <row r="6" spans="1:33">
      <c r="A6" s="9" t="str">
        <f>'Data Input'!A7&amp;" - "&amp;'Data Input'!B7</f>
        <v>REPORT NO: - MONTHLY REPORT NO. 49</v>
      </c>
      <c r="B6" s="1272"/>
      <c r="C6" s="1268"/>
      <c r="D6" s="1265"/>
      <c r="E6" s="1265"/>
      <c r="F6" s="1267"/>
      <c r="G6" s="1267"/>
      <c r="H6" s="1267"/>
      <c r="I6" s="1267"/>
      <c r="J6" s="1269"/>
      <c r="K6" s="1265"/>
      <c r="L6" s="1265"/>
      <c r="M6" s="1262"/>
      <c r="N6" s="1265"/>
      <c r="O6" s="1266"/>
      <c r="P6" s="1265"/>
      <c r="Q6" s="1265"/>
      <c r="R6" s="1273"/>
      <c r="S6" s="1265"/>
      <c r="T6" s="1271"/>
      <c r="U6" s="1267"/>
      <c r="V6" s="1265"/>
      <c r="W6" s="1265"/>
      <c r="X6" s="1265"/>
      <c r="Y6" s="1265"/>
      <c r="Z6" s="1265"/>
      <c r="AA6" s="1265"/>
      <c r="AB6" s="1265"/>
      <c r="AC6" s="1265"/>
      <c r="AD6" s="1265"/>
      <c r="AE6" s="1265"/>
      <c r="AF6" s="1265"/>
    </row>
    <row r="7" spans="1:33">
      <c r="A7" s="9" t="str">
        <f>'Data Input'!A8&amp;" - "&amp;'Data Input'!B8</f>
        <v>REPORTING PERIOD: - OCTOBER 2026</v>
      </c>
      <c r="B7" s="1262"/>
      <c r="C7" s="1274"/>
      <c r="D7" s="1262"/>
      <c r="E7" s="1262"/>
      <c r="F7" s="1263"/>
      <c r="G7" s="1263"/>
      <c r="H7" s="1263"/>
      <c r="I7" s="1263"/>
      <c r="J7" s="1264"/>
      <c r="K7" s="1265"/>
      <c r="L7" s="1265"/>
      <c r="M7" s="1262"/>
      <c r="N7" s="1265"/>
      <c r="O7" s="1265"/>
      <c r="P7" s="1265"/>
      <c r="Q7" s="1267"/>
      <c r="R7" s="1263"/>
      <c r="S7" s="1263"/>
      <c r="T7" s="1263"/>
      <c r="U7" s="1267"/>
      <c r="V7" s="1265"/>
      <c r="W7" s="1265"/>
      <c r="X7" s="1265"/>
      <c r="Y7" s="1265"/>
      <c r="Z7" s="1265"/>
      <c r="AA7" s="1265"/>
      <c r="AB7" s="1265"/>
      <c r="AC7" s="1265"/>
      <c r="AD7" s="1265"/>
      <c r="AE7" s="1265"/>
      <c r="AF7" s="1265"/>
    </row>
    <row r="8" spans="1:33" ht="13.5" thickBot="1">
      <c r="A8" s="9"/>
      <c r="B8" s="1256"/>
      <c r="C8" s="1255"/>
      <c r="D8" s="1257"/>
      <c r="E8" s="1257"/>
      <c r="F8" s="1258"/>
      <c r="G8" s="1258"/>
      <c r="H8" s="1258"/>
      <c r="I8" s="1258"/>
      <c r="J8" s="1258"/>
      <c r="K8" s="1257"/>
      <c r="L8" s="1255"/>
      <c r="M8" s="2848"/>
      <c r="N8" s="1275"/>
      <c r="O8" s="1276"/>
      <c r="P8" s="1255"/>
      <c r="Q8" s="1255"/>
      <c r="R8" s="1255"/>
      <c r="S8" s="1255"/>
      <c r="T8" s="1255"/>
      <c r="U8" s="1259"/>
      <c r="V8" s="1257"/>
      <c r="W8" s="1257"/>
      <c r="X8" s="1257"/>
      <c r="Y8" s="1257"/>
      <c r="Z8" s="1257"/>
      <c r="AA8" s="1257"/>
      <c r="AB8" s="1257"/>
      <c r="AC8" s="1257"/>
      <c r="AD8" s="1257"/>
      <c r="AE8" s="1257"/>
      <c r="AF8" s="1257"/>
    </row>
    <row r="9" spans="1:33" ht="30" customHeight="1" thickBot="1">
      <c r="A9" s="1354" t="str">
        <f>'Schedule B'!A155&amp;" - "&amp;'Schedule B'!B155</f>
        <v>CN.003C34 - Al Fanar - MEP Labour Supply</v>
      </c>
      <c r="B9" s="1355"/>
      <c r="C9" s="1355"/>
      <c r="D9" s="1356"/>
      <c r="E9" s="1356"/>
      <c r="F9" s="1357"/>
      <c r="G9" s="1357"/>
      <c r="H9" s="1357"/>
      <c r="I9" s="1357"/>
      <c r="J9" s="1357"/>
      <c r="K9" s="1356"/>
      <c r="L9" s="1355"/>
      <c r="M9" s="2849"/>
      <c r="N9" s="1355"/>
      <c r="O9" s="1355"/>
      <c r="P9" s="1355"/>
      <c r="Q9" s="1355"/>
      <c r="R9" s="1355"/>
      <c r="S9" s="1355"/>
      <c r="T9" s="1355"/>
      <c r="U9" s="1358"/>
      <c r="V9" s="1356"/>
      <c r="W9" s="1356"/>
      <c r="X9" s="1356"/>
      <c r="Y9" s="1356"/>
      <c r="Z9" s="1356"/>
      <c r="AA9" s="1356"/>
      <c r="AB9" s="1356"/>
      <c r="AC9" s="1356"/>
      <c r="AD9" s="1356"/>
      <c r="AE9" s="1356"/>
      <c r="AF9" s="1359"/>
    </row>
    <row r="10" spans="1:33">
      <c r="A10" s="6051" t="s">
        <v>1524</v>
      </c>
      <c r="B10" s="6052"/>
      <c r="C10" s="6052"/>
      <c r="D10" s="6052"/>
      <c r="E10" s="6052"/>
      <c r="F10" s="6052"/>
      <c r="G10" s="6053"/>
      <c r="H10" s="6053"/>
      <c r="I10" s="6053"/>
      <c r="J10" s="6054"/>
      <c r="K10" s="1256"/>
      <c r="L10" s="6055" t="s">
        <v>1525</v>
      </c>
      <c r="M10" s="6056"/>
      <c r="N10" s="6056"/>
      <c r="O10" s="6056"/>
      <c r="P10" s="6056"/>
      <c r="Q10" s="6056"/>
      <c r="R10" s="6057"/>
      <c r="S10" s="6057"/>
      <c r="T10" s="6057"/>
      <c r="U10" s="6058"/>
      <c r="V10" s="1256"/>
      <c r="W10" s="6043" t="s">
        <v>1526</v>
      </c>
      <c r="X10" s="6044"/>
      <c r="Y10" s="6044"/>
      <c r="Z10" s="6044"/>
      <c r="AA10" s="6044"/>
      <c r="AB10" s="6044"/>
      <c r="AC10" s="6044"/>
      <c r="AD10" s="6044"/>
      <c r="AE10" s="6044"/>
      <c r="AF10" s="6059"/>
    </row>
    <row r="11" spans="1:33" ht="60" customHeight="1">
      <c r="A11" s="1283" t="s">
        <v>1462</v>
      </c>
      <c r="B11" s="1284" t="s">
        <v>1527</v>
      </c>
      <c r="C11" s="1284" t="s">
        <v>1528</v>
      </c>
      <c r="D11" s="1285" t="s">
        <v>1744</v>
      </c>
      <c r="E11" s="1285" t="s">
        <v>1530</v>
      </c>
      <c r="F11" s="1286" t="s">
        <v>1531</v>
      </c>
      <c r="G11" s="1287" t="s">
        <v>1532</v>
      </c>
      <c r="H11" s="1287" t="s">
        <v>1533</v>
      </c>
      <c r="I11" s="1287" t="s">
        <v>1534</v>
      </c>
      <c r="J11" s="1288" t="s">
        <v>1535</v>
      </c>
      <c r="K11" s="1289"/>
      <c r="L11" s="763" t="s">
        <v>1536</v>
      </c>
      <c r="M11" s="1290" t="s">
        <v>1601</v>
      </c>
      <c r="N11" s="1290" t="s">
        <v>1530</v>
      </c>
      <c r="O11" s="1290" t="s">
        <v>2151</v>
      </c>
      <c r="P11" s="764" t="s">
        <v>1539</v>
      </c>
      <c r="Q11" s="1291" t="s">
        <v>1540</v>
      </c>
      <c r="R11" s="1292" t="s">
        <v>1541</v>
      </c>
      <c r="S11" s="1292" t="s">
        <v>1533</v>
      </c>
      <c r="T11" s="1292" t="s">
        <v>1534</v>
      </c>
      <c r="U11" s="1293" t="s">
        <v>1542</v>
      </c>
      <c r="V11" s="1256"/>
      <c r="W11" s="1294" t="s">
        <v>2086</v>
      </c>
      <c r="X11" s="2839" t="s">
        <v>2087</v>
      </c>
      <c r="Y11" s="1295" t="s">
        <v>1544</v>
      </c>
      <c r="Z11" s="1296" t="s">
        <v>1545</v>
      </c>
      <c r="AA11" s="1296" t="s">
        <v>1761</v>
      </c>
      <c r="AB11" s="769" t="s">
        <v>1539</v>
      </c>
      <c r="AC11" s="769" t="s">
        <v>1547</v>
      </c>
      <c r="AD11" s="769" t="s">
        <v>3478</v>
      </c>
      <c r="AE11" s="1296" t="s">
        <v>1549</v>
      </c>
      <c r="AF11" s="1297" t="s">
        <v>1550</v>
      </c>
    </row>
    <row r="12" spans="1:33" ht="36.75" customHeight="1">
      <c r="A12" s="1298"/>
      <c r="B12" s="1299"/>
      <c r="C12" s="1300"/>
      <c r="D12" s="1301"/>
      <c r="E12" s="1302" t="s">
        <v>296</v>
      </c>
      <c r="F12" s="1303" t="s">
        <v>434</v>
      </c>
      <c r="G12" s="1303" t="s">
        <v>434</v>
      </c>
      <c r="H12" s="1304">
        <v>0</v>
      </c>
      <c r="I12" s="1304">
        <v>0</v>
      </c>
      <c r="J12" s="1305" t="s">
        <v>434</v>
      </c>
      <c r="K12" s="1256"/>
      <c r="L12" s="765"/>
      <c r="M12" s="766"/>
      <c r="N12" s="1306" t="s">
        <v>296</v>
      </c>
      <c r="O12" s="766" t="s">
        <v>3574</v>
      </c>
      <c r="P12" s="1307" t="s">
        <v>1552</v>
      </c>
      <c r="Q12" s="767" t="s">
        <v>434</v>
      </c>
      <c r="R12" s="767" t="s">
        <v>434</v>
      </c>
      <c r="S12" s="1308">
        <v>0</v>
      </c>
      <c r="T12" s="1308">
        <v>0</v>
      </c>
      <c r="U12" s="768" t="s">
        <v>434</v>
      </c>
      <c r="V12" s="1256"/>
      <c r="W12" s="770"/>
      <c r="X12" s="2840"/>
      <c r="Y12" s="1309" t="s">
        <v>296</v>
      </c>
      <c r="Z12" s="1309" t="s">
        <v>296</v>
      </c>
      <c r="AA12" s="1309" t="s">
        <v>3579</v>
      </c>
      <c r="AB12" s="1310" t="s">
        <v>1552</v>
      </c>
      <c r="AC12" s="1311"/>
      <c r="AD12" s="1312">
        <v>0.15</v>
      </c>
      <c r="AE12" s="1309" t="s">
        <v>296</v>
      </c>
      <c r="AF12" s="1313" t="s">
        <v>296</v>
      </c>
    </row>
    <row r="13" spans="1:33" s="722" customFormat="1" ht="25.5" customHeight="1">
      <c r="A13" s="1314"/>
      <c r="B13" s="1314"/>
      <c r="C13" s="1314"/>
      <c r="D13" s="1314"/>
      <c r="E13" s="1314" t="s">
        <v>1481</v>
      </c>
      <c r="F13" s="1314"/>
      <c r="G13" s="1314"/>
      <c r="H13" s="1314"/>
      <c r="I13" s="1314"/>
      <c r="J13" s="1314"/>
      <c r="K13" s="1255"/>
      <c r="L13" s="1315"/>
      <c r="M13" s="1315"/>
      <c r="N13" s="1316" t="s">
        <v>1482</v>
      </c>
      <c r="O13" s="1314" t="s">
        <v>2084</v>
      </c>
      <c r="P13" s="1317" t="s">
        <v>1555</v>
      </c>
      <c r="Q13" s="1318" t="s">
        <v>1556</v>
      </c>
      <c r="R13" s="1318" t="s">
        <v>1557</v>
      </c>
      <c r="S13" s="1319" t="s">
        <v>1605</v>
      </c>
      <c r="T13" s="1319" t="s">
        <v>1559</v>
      </c>
      <c r="U13" s="1318" t="s">
        <v>1560</v>
      </c>
      <c r="V13" s="1255"/>
      <c r="W13" s="1316"/>
      <c r="X13" s="1316" t="s">
        <v>1561</v>
      </c>
      <c r="Y13" s="1316"/>
      <c r="Z13" s="1316" t="s">
        <v>2088</v>
      </c>
      <c r="AA13" s="1316" t="s">
        <v>2089</v>
      </c>
      <c r="AB13" s="1317" t="s">
        <v>2091</v>
      </c>
      <c r="AC13" s="1314" t="s">
        <v>2092</v>
      </c>
      <c r="AD13" s="1319" t="s">
        <v>3479</v>
      </c>
      <c r="AE13" s="1316" t="s">
        <v>2094</v>
      </c>
      <c r="AF13" s="1316"/>
    </row>
    <row r="14" spans="1:33" s="2837" customFormat="1" ht="50.25" customHeight="1">
      <c r="A14" s="4688">
        <v>1</v>
      </c>
      <c r="B14" s="4689" t="s">
        <v>3699</v>
      </c>
      <c r="C14" s="4689" t="s">
        <v>3577</v>
      </c>
      <c r="D14" s="4691" t="s">
        <v>3576</v>
      </c>
      <c r="E14" s="4692">
        <v>45644</v>
      </c>
      <c r="F14" s="4693">
        <f>+G14</f>
        <v>19919915.219999999</v>
      </c>
      <c r="G14" s="4694">
        <v>19919915.219999999</v>
      </c>
      <c r="H14" s="4694">
        <f t="shared" ref="H14:H19" si="0">(G14*$H$12)*-1*0</f>
        <v>0</v>
      </c>
      <c r="I14" s="4694">
        <f t="shared" ref="I14:I19" si="1">(G14*$I$12)*-1</f>
        <v>0</v>
      </c>
      <c r="J14" s="4694">
        <f t="shared" ref="J14:J19" si="2">G14+H14+I14</f>
        <v>19919915.219999999</v>
      </c>
      <c r="K14" s="4695"/>
      <c r="L14" s="4696">
        <v>1</v>
      </c>
      <c r="M14" s="4697" t="s">
        <v>3575</v>
      </c>
      <c r="N14" s="4692">
        <v>45654</v>
      </c>
      <c r="O14" s="4698">
        <f t="shared" ref="O14:O20" si="3">E14+21</f>
        <v>45665</v>
      </c>
      <c r="P14" s="4699">
        <f t="shared" ref="P14:P20" si="4">O14-N14</f>
        <v>11</v>
      </c>
      <c r="Q14" s="4693">
        <f>R14</f>
        <v>18765256.300000001</v>
      </c>
      <c r="R14" s="4694">
        <v>18765256.300000001</v>
      </c>
      <c r="S14" s="4694">
        <f t="shared" ref="S14:S20" si="5">(R14*$S$12)*-1*0</f>
        <v>0</v>
      </c>
      <c r="T14" s="4694">
        <f t="shared" ref="T14:T20" si="6">(R14*$T$12)*-1</f>
        <v>0</v>
      </c>
      <c r="U14" s="4694">
        <f t="shared" ref="U14:U20" si="7">R14+S14+T14</f>
        <v>18765256.300000001</v>
      </c>
      <c r="V14" s="4695"/>
      <c r="W14" s="4700" t="s">
        <v>3949</v>
      </c>
      <c r="X14" s="4703">
        <v>45684</v>
      </c>
      <c r="Y14" s="4698"/>
      <c r="Z14" s="4701">
        <v>45741</v>
      </c>
      <c r="AA14" s="4701">
        <f t="shared" ref="AA14:AA24" si="8">+X14+30</f>
        <v>45714</v>
      </c>
      <c r="AB14" s="4699">
        <f t="shared" ref="AB14:AB20" si="9">+AA14-Z14</f>
        <v>-27</v>
      </c>
      <c r="AC14" s="4702">
        <f>+U14</f>
        <v>18765256.300000001</v>
      </c>
      <c r="AD14" s="4702">
        <f t="shared" ref="AD14:AD23" si="10">+AC14*15%</f>
        <v>2814788.4449999998</v>
      </c>
      <c r="AE14" s="4702">
        <f t="shared" ref="AE14:AE23" si="11">+AD14+AC14</f>
        <v>21580044.745000001</v>
      </c>
      <c r="AF14" s="4702">
        <f>+AE14</f>
        <v>21580044.745000001</v>
      </c>
      <c r="AG14" s="2842">
        <f>+AC14*1.15</f>
        <v>21580044.745000001</v>
      </c>
    </row>
    <row r="15" spans="1:33" s="2837" customFormat="1" ht="50.25" customHeight="1">
      <c r="A15" s="4688">
        <v>2</v>
      </c>
      <c r="B15" s="4689" t="s">
        <v>3959</v>
      </c>
      <c r="C15" s="4690" t="s">
        <v>3960</v>
      </c>
      <c r="D15" s="4691" t="s">
        <v>3961</v>
      </c>
      <c r="E15" s="4692">
        <v>45665</v>
      </c>
      <c r="F15" s="4693">
        <f>+G14+G15</f>
        <v>41674804.920000002</v>
      </c>
      <c r="G15" s="4694">
        <v>21754889.699999999</v>
      </c>
      <c r="H15" s="4694">
        <f t="shared" si="0"/>
        <v>0</v>
      </c>
      <c r="I15" s="4694">
        <f t="shared" si="1"/>
        <v>0</v>
      </c>
      <c r="J15" s="4694">
        <f t="shared" si="2"/>
        <v>21754889.699999999</v>
      </c>
      <c r="K15" s="4695"/>
      <c r="L15" s="4696">
        <v>2</v>
      </c>
      <c r="M15" s="4697" t="s">
        <v>3958</v>
      </c>
      <c r="N15" s="4692">
        <v>45732</v>
      </c>
      <c r="O15" s="4698">
        <f t="shared" si="3"/>
        <v>45686</v>
      </c>
      <c r="P15" s="4699">
        <f t="shared" si="4"/>
        <v>-46</v>
      </c>
      <c r="Q15" s="4693">
        <f>+R15+R14</f>
        <v>40520146</v>
      </c>
      <c r="R15" s="4694">
        <v>21754889.699999999</v>
      </c>
      <c r="S15" s="4694">
        <f t="shared" si="5"/>
        <v>0</v>
      </c>
      <c r="T15" s="4694">
        <f t="shared" si="6"/>
        <v>0</v>
      </c>
      <c r="U15" s="4694">
        <f t="shared" si="7"/>
        <v>21754889.699999999</v>
      </c>
      <c r="V15" s="4695"/>
      <c r="W15" s="4700" t="s">
        <v>4231</v>
      </c>
      <c r="X15" s="4703">
        <v>45762</v>
      </c>
      <c r="Y15" s="4698"/>
      <c r="Z15" s="4701">
        <v>45770</v>
      </c>
      <c r="AA15" s="4701">
        <f t="shared" si="8"/>
        <v>45792</v>
      </c>
      <c r="AB15" s="4699">
        <f t="shared" si="9"/>
        <v>22</v>
      </c>
      <c r="AC15" s="4702">
        <v>21754889.699999999</v>
      </c>
      <c r="AD15" s="4702">
        <f t="shared" si="10"/>
        <v>3263233.4549999996</v>
      </c>
      <c r="AE15" s="4702">
        <f t="shared" si="11"/>
        <v>25018123.154999997</v>
      </c>
      <c r="AF15" s="4702">
        <f t="shared" ref="AF15:AF23" si="12">+AE15+AF14</f>
        <v>46598167.899999999</v>
      </c>
      <c r="AG15" s="2842"/>
    </row>
    <row r="16" spans="1:33" s="2837" customFormat="1" ht="50.25" customHeight="1">
      <c r="A16" s="4688">
        <v>3</v>
      </c>
      <c r="B16" s="4689" t="s">
        <v>4313</v>
      </c>
      <c r="C16" s="4690" t="s">
        <v>4315</v>
      </c>
      <c r="D16" s="4691" t="s">
        <v>4314</v>
      </c>
      <c r="E16" s="4692">
        <v>45743</v>
      </c>
      <c r="F16" s="4693">
        <f t="shared" ref="F16:F25" si="13">+G16+F15</f>
        <v>60167760.174115017</v>
      </c>
      <c r="G16" s="4694">
        <v>18492955.254115015</v>
      </c>
      <c r="H16" s="4694">
        <f t="shared" si="0"/>
        <v>0</v>
      </c>
      <c r="I16" s="4694">
        <f t="shared" si="1"/>
        <v>0</v>
      </c>
      <c r="J16" s="4694">
        <f t="shared" si="2"/>
        <v>18492955.254115015</v>
      </c>
      <c r="K16" s="4695"/>
      <c r="L16" s="4696">
        <v>3</v>
      </c>
      <c r="M16" s="4697" t="s">
        <v>4316</v>
      </c>
      <c r="N16" s="4692">
        <v>45774</v>
      </c>
      <c r="O16" s="4698">
        <f t="shared" si="3"/>
        <v>45764</v>
      </c>
      <c r="P16" s="4699">
        <f t="shared" si="4"/>
        <v>-10</v>
      </c>
      <c r="Q16" s="4693">
        <f t="shared" ref="Q16:Q25" si="14">+Q15+R16</f>
        <v>42914917</v>
      </c>
      <c r="R16" s="4694">
        <v>2394771</v>
      </c>
      <c r="S16" s="4694">
        <f t="shared" si="5"/>
        <v>0</v>
      </c>
      <c r="T16" s="4694">
        <f t="shared" si="6"/>
        <v>0</v>
      </c>
      <c r="U16" s="4694">
        <f t="shared" si="7"/>
        <v>2394771</v>
      </c>
      <c r="V16" s="4695"/>
      <c r="W16" s="4700" t="s">
        <v>4321</v>
      </c>
      <c r="X16" s="4703">
        <v>45791</v>
      </c>
      <c r="Y16" s="4698"/>
      <c r="Z16" s="4701">
        <v>45805</v>
      </c>
      <c r="AA16" s="4701">
        <f t="shared" si="8"/>
        <v>45821</v>
      </c>
      <c r="AB16" s="4699">
        <f t="shared" si="9"/>
        <v>16</v>
      </c>
      <c r="AC16" s="4702">
        <v>2394771</v>
      </c>
      <c r="AD16" s="4702">
        <f t="shared" si="10"/>
        <v>359215.64999999997</v>
      </c>
      <c r="AE16" s="4702">
        <f t="shared" si="11"/>
        <v>2753986.65</v>
      </c>
      <c r="AF16" s="4702">
        <f t="shared" si="12"/>
        <v>49352154.549999997</v>
      </c>
      <c r="AG16" s="2842"/>
    </row>
    <row r="17" spans="1:32" ht="36">
      <c r="A17" s="4688">
        <v>4</v>
      </c>
      <c r="B17" s="4689" t="s">
        <v>4318</v>
      </c>
      <c r="C17" s="4690" t="s">
        <v>4319</v>
      </c>
      <c r="D17" s="4691" t="s">
        <v>4317</v>
      </c>
      <c r="E17" s="4692">
        <v>45788</v>
      </c>
      <c r="F17" s="4693">
        <f t="shared" si="13"/>
        <v>67939560.174115002</v>
      </c>
      <c r="G17" s="4694">
        <v>7771799.9999999879</v>
      </c>
      <c r="H17" s="4694">
        <f t="shared" si="0"/>
        <v>0</v>
      </c>
      <c r="I17" s="4694">
        <f t="shared" si="1"/>
        <v>0</v>
      </c>
      <c r="J17" s="4694">
        <f t="shared" si="2"/>
        <v>7771799.9999999879</v>
      </c>
      <c r="K17" s="4695"/>
      <c r="L17" s="4696">
        <v>4</v>
      </c>
      <c r="M17" s="4697" t="s">
        <v>4320</v>
      </c>
      <c r="N17" s="4701">
        <v>45797</v>
      </c>
      <c r="O17" s="4698">
        <f t="shared" si="3"/>
        <v>45809</v>
      </c>
      <c r="P17" s="4699">
        <f t="shared" si="4"/>
        <v>12</v>
      </c>
      <c r="Q17" s="4693">
        <f t="shared" si="14"/>
        <v>45816977.5</v>
      </c>
      <c r="R17" s="4694">
        <v>2902060.5</v>
      </c>
      <c r="S17" s="4694">
        <f t="shared" si="5"/>
        <v>0</v>
      </c>
      <c r="T17" s="4694">
        <f t="shared" si="6"/>
        <v>0</v>
      </c>
      <c r="U17" s="4694">
        <f t="shared" si="7"/>
        <v>2902060.5</v>
      </c>
      <c r="V17" s="4695"/>
      <c r="W17" s="4700" t="s">
        <v>4390</v>
      </c>
      <c r="X17" s="4703">
        <v>45823</v>
      </c>
      <c r="Y17" s="4698"/>
      <c r="Z17" s="4701">
        <v>45837</v>
      </c>
      <c r="AA17" s="4701">
        <f t="shared" si="8"/>
        <v>45853</v>
      </c>
      <c r="AB17" s="4699">
        <f t="shared" si="9"/>
        <v>16</v>
      </c>
      <c r="AC17" s="4702">
        <f t="shared" ref="AC17:AC23" si="15">U17</f>
        <v>2902060.5</v>
      </c>
      <c r="AD17" s="4702">
        <f t="shared" si="10"/>
        <v>435309.07500000001</v>
      </c>
      <c r="AE17" s="4702">
        <f t="shared" si="11"/>
        <v>3337369.5750000002</v>
      </c>
      <c r="AF17" s="4702">
        <f t="shared" si="12"/>
        <v>52689524.125</v>
      </c>
    </row>
    <row r="18" spans="1:32" ht="41.25" customHeight="1">
      <c r="A18" s="4688">
        <v>5</v>
      </c>
      <c r="B18" s="4689" t="s">
        <v>4391</v>
      </c>
      <c r="C18" s="4690" t="s">
        <v>4835</v>
      </c>
      <c r="D18" s="4691" t="s">
        <v>4393</v>
      </c>
      <c r="E18" s="4692">
        <v>45803</v>
      </c>
      <c r="F18" s="4693">
        <f t="shared" si="13"/>
        <v>76209513.174115002</v>
      </c>
      <c r="G18" s="4694">
        <f>4252989+4016964</f>
        <v>8269953</v>
      </c>
      <c r="H18" s="4694">
        <f t="shared" si="0"/>
        <v>0</v>
      </c>
      <c r="I18" s="4694">
        <f t="shared" si="1"/>
        <v>0</v>
      </c>
      <c r="J18" s="4694">
        <f t="shared" si="2"/>
        <v>8269953</v>
      </c>
      <c r="K18" s="4695"/>
      <c r="L18" s="4696">
        <v>5</v>
      </c>
      <c r="M18" s="4697" t="s">
        <v>4392</v>
      </c>
      <c r="N18" s="4701">
        <v>45818</v>
      </c>
      <c r="O18" s="4698">
        <f t="shared" si="3"/>
        <v>45824</v>
      </c>
      <c r="P18" s="4699">
        <f t="shared" si="4"/>
        <v>6</v>
      </c>
      <c r="Q18" s="4693">
        <f t="shared" si="14"/>
        <v>50069966.5</v>
      </c>
      <c r="R18" s="4694">
        <v>4252989</v>
      </c>
      <c r="S18" s="4694">
        <f t="shared" si="5"/>
        <v>0</v>
      </c>
      <c r="T18" s="4694">
        <f t="shared" si="6"/>
        <v>0</v>
      </c>
      <c r="U18" s="4694">
        <f t="shared" si="7"/>
        <v>4252989</v>
      </c>
      <c r="V18" s="4695"/>
      <c r="W18" s="4700" t="s">
        <v>4420</v>
      </c>
      <c r="X18" s="4703">
        <v>45834</v>
      </c>
      <c r="Y18" s="4698"/>
      <c r="Z18" s="4701">
        <v>45838</v>
      </c>
      <c r="AA18" s="4701">
        <f t="shared" si="8"/>
        <v>45864</v>
      </c>
      <c r="AB18" s="4699">
        <f t="shared" si="9"/>
        <v>26</v>
      </c>
      <c r="AC18" s="4702">
        <f t="shared" si="15"/>
        <v>4252989</v>
      </c>
      <c r="AD18" s="4702">
        <f t="shared" si="10"/>
        <v>637948.35</v>
      </c>
      <c r="AE18" s="4702">
        <f t="shared" si="11"/>
        <v>4890937.3499999996</v>
      </c>
      <c r="AF18" s="4702">
        <f t="shared" si="12"/>
        <v>57580461.475000001</v>
      </c>
    </row>
    <row r="19" spans="1:32" ht="33.950000000000003" customHeight="1">
      <c r="A19" s="4688">
        <v>6</v>
      </c>
      <c r="B19" s="4689" t="s">
        <v>4577</v>
      </c>
      <c r="C19" s="4690" t="s">
        <v>4836</v>
      </c>
      <c r="D19" s="4691" t="s">
        <v>4578</v>
      </c>
      <c r="E19" s="4692">
        <v>45830</v>
      </c>
      <c r="F19" s="4693">
        <f t="shared" si="13"/>
        <v>83256947.174115002</v>
      </c>
      <c r="G19" s="4694">
        <v>7047434</v>
      </c>
      <c r="H19" s="4694">
        <f t="shared" si="0"/>
        <v>0</v>
      </c>
      <c r="I19" s="4694">
        <f t="shared" si="1"/>
        <v>0</v>
      </c>
      <c r="J19" s="4694">
        <f t="shared" si="2"/>
        <v>7047434</v>
      </c>
      <c r="K19" s="4695"/>
      <c r="L19" s="4696">
        <v>6</v>
      </c>
      <c r="M19" s="4697" t="s">
        <v>4579</v>
      </c>
      <c r="N19" s="4701">
        <v>45862</v>
      </c>
      <c r="O19" s="4698">
        <f t="shared" si="3"/>
        <v>45851</v>
      </c>
      <c r="P19" s="4699">
        <f t="shared" si="4"/>
        <v>-11</v>
      </c>
      <c r="Q19" s="4693">
        <f t="shared" si="14"/>
        <v>54149805</v>
      </c>
      <c r="R19" s="4694">
        <v>4079838.5</v>
      </c>
      <c r="S19" s="4694">
        <f t="shared" si="5"/>
        <v>0</v>
      </c>
      <c r="T19" s="4694">
        <f t="shared" si="6"/>
        <v>0</v>
      </c>
      <c r="U19" s="4694">
        <f t="shared" si="7"/>
        <v>4079838.5</v>
      </c>
      <c r="V19" s="4695"/>
      <c r="W19" s="4700" t="s">
        <v>4580</v>
      </c>
      <c r="X19" s="4698">
        <v>45874</v>
      </c>
      <c r="Y19" s="4698"/>
      <c r="Z19" s="4701">
        <v>45930</v>
      </c>
      <c r="AA19" s="4701">
        <f t="shared" si="8"/>
        <v>45904</v>
      </c>
      <c r="AB19" s="4699">
        <f t="shared" si="9"/>
        <v>-26</v>
      </c>
      <c r="AC19" s="4702">
        <f t="shared" si="15"/>
        <v>4079838.5</v>
      </c>
      <c r="AD19" s="4702">
        <f t="shared" si="10"/>
        <v>611975.77500000002</v>
      </c>
      <c r="AE19" s="4702">
        <f t="shared" si="11"/>
        <v>4691814.2750000004</v>
      </c>
      <c r="AF19" s="4702">
        <f t="shared" si="12"/>
        <v>62272275.75</v>
      </c>
    </row>
    <row r="20" spans="1:32" ht="36">
      <c r="A20" s="4688">
        <v>7</v>
      </c>
      <c r="B20" s="4689" t="s">
        <v>4837</v>
      </c>
      <c r="C20" s="4761" t="s">
        <v>4834</v>
      </c>
      <c r="D20" s="4691" t="s">
        <v>4654</v>
      </c>
      <c r="E20" s="4692">
        <v>45865</v>
      </c>
      <c r="F20" s="4693">
        <f t="shared" si="13"/>
        <v>93160343.684114993</v>
      </c>
      <c r="G20" s="4694">
        <v>9903396.5099999979</v>
      </c>
      <c r="H20" s="4694">
        <f t="shared" ref="H20:H25" si="16">(G20*$H$12)*-1*0</f>
        <v>0</v>
      </c>
      <c r="I20" s="4694">
        <f t="shared" ref="I20:I25" si="17">(G20*$I$12)*-1</f>
        <v>0</v>
      </c>
      <c r="J20" s="4694">
        <f t="shared" ref="J20:J25" si="18">G20+H20+I20</f>
        <v>9903396.5099999979</v>
      </c>
      <c r="K20" s="4695"/>
      <c r="L20" s="4696">
        <v>7</v>
      </c>
      <c r="M20" s="4697" t="s">
        <v>4655</v>
      </c>
      <c r="N20" s="4701">
        <v>45888</v>
      </c>
      <c r="O20" s="4698">
        <f t="shared" si="3"/>
        <v>45886</v>
      </c>
      <c r="P20" s="4699">
        <f t="shared" si="4"/>
        <v>-2</v>
      </c>
      <c r="Q20" s="4693">
        <f t="shared" si="14"/>
        <v>59908608.280000001</v>
      </c>
      <c r="R20" s="4694">
        <v>5758803.2800000003</v>
      </c>
      <c r="S20" s="4694">
        <f t="shared" si="5"/>
        <v>0</v>
      </c>
      <c r="T20" s="4694">
        <f t="shared" si="6"/>
        <v>0</v>
      </c>
      <c r="U20" s="4694">
        <f t="shared" si="7"/>
        <v>5758803.2800000003</v>
      </c>
      <c r="V20" s="4695"/>
      <c r="W20" s="4700" t="s">
        <v>4891</v>
      </c>
      <c r="X20" s="4698">
        <v>45901</v>
      </c>
      <c r="Y20" s="4698"/>
      <c r="Z20" s="4701">
        <v>45930</v>
      </c>
      <c r="AA20" s="4701">
        <f t="shared" si="8"/>
        <v>45931</v>
      </c>
      <c r="AB20" s="4699">
        <f t="shared" si="9"/>
        <v>1</v>
      </c>
      <c r="AC20" s="4702">
        <f t="shared" si="15"/>
        <v>5758803.2800000003</v>
      </c>
      <c r="AD20" s="4702">
        <f t="shared" si="10"/>
        <v>863820.49199999997</v>
      </c>
      <c r="AE20" s="4702">
        <f t="shared" si="11"/>
        <v>6622623.7719999999</v>
      </c>
      <c r="AF20" s="4702">
        <f t="shared" si="12"/>
        <v>68894899.522</v>
      </c>
    </row>
    <row r="21" spans="1:32" ht="36">
      <c r="A21" s="4688">
        <v>8</v>
      </c>
      <c r="B21" s="4689" t="s">
        <v>4653</v>
      </c>
      <c r="C21" s="4690" t="s">
        <v>4839</v>
      </c>
      <c r="D21" s="4691" t="s">
        <v>4838</v>
      </c>
      <c r="E21" s="4692">
        <v>45911</v>
      </c>
      <c r="F21" s="4693">
        <f t="shared" si="13"/>
        <v>106952156.834115</v>
      </c>
      <c r="G21" s="4694">
        <v>13791813.150000006</v>
      </c>
      <c r="H21" s="4694">
        <f t="shared" si="16"/>
        <v>0</v>
      </c>
      <c r="I21" s="4694">
        <f t="shared" si="17"/>
        <v>0</v>
      </c>
      <c r="J21" s="4694">
        <f t="shared" si="18"/>
        <v>13791813.150000006</v>
      </c>
      <c r="K21" s="4695"/>
      <c r="L21" s="4696">
        <v>8</v>
      </c>
      <c r="M21" s="4697" t="s">
        <v>4840</v>
      </c>
      <c r="N21" s="4701">
        <v>45924</v>
      </c>
      <c r="O21" s="4698">
        <f t="shared" ref="O21:O26" si="19">E21+21</f>
        <v>45932</v>
      </c>
      <c r="P21" s="4699">
        <f t="shared" ref="P21:P26" si="20">O21-N21</f>
        <v>8</v>
      </c>
      <c r="Q21" s="4693">
        <f t="shared" si="14"/>
        <v>72073397.310000002</v>
      </c>
      <c r="R21" s="4694">
        <v>12164789.029999999</v>
      </c>
      <c r="S21" s="4694">
        <f t="shared" ref="S21:S26" si="21">(R21*$S$12)*-1*0</f>
        <v>0</v>
      </c>
      <c r="T21" s="4694">
        <f t="shared" ref="T21:T26" si="22">(R21*$T$12)*-1</f>
        <v>0</v>
      </c>
      <c r="U21" s="4694">
        <f t="shared" ref="U21:U26" si="23">R21+S21+T21</f>
        <v>12164789.029999999</v>
      </c>
      <c r="V21" s="4695"/>
      <c r="W21" s="4700" t="s">
        <v>4892</v>
      </c>
      <c r="X21" s="4698">
        <v>45942</v>
      </c>
      <c r="Y21" s="4698"/>
      <c r="Z21" s="4701"/>
      <c r="AA21" s="4701">
        <f t="shared" si="8"/>
        <v>45972</v>
      </c>
      <c r="AB21" s="4699"/>
      <c r="AC21" s="4702">
        <f t="shared" si="15"/>
        <v>12164789.029999999</v>
      </c>
      <c r="AD21" s="4702">
        <f t="shared" si="10"/>
        <v>1824718.3544999999</v>
      </c>
      <c r="AE21" s="4702">
        <f t="shared" si="11"/>
        <v>13989507.384499999</v>
      </c>
      <c r="AF21" s="4702">
        <f t="shared" si="12"/>
        <v>82884406.906499997</v>
      </c>
    </row>
    <row r="22" spans="1:32" ht="36">
      <c r="A22" s="4688">
        <v>9</v>
      </c>
      <c r="B22" s="4689" t="s">
        <v>5145</v>
      </c>
      <c r="C22" s="4690" t="s">
        <v>5146</v>
      </c>
      <c r="D22" s="4691" t="s">
        <v>5147</v>
      </c>
      <c r="E22" s="4692">
        <v>45963</v>
      </c>
      <c r="F22" s="4693">
        <f t="shared" si="13"/>
        <v>111632672.144115</v>
      </c>
      <c r="G22" s="4694">
        <v>4680515.3099999996</v>
      </c>
      <c r="H22" s="4694">
        <f t="shared" si="16"/>
        <v>0</v>
      </c>
      <c r="I22" s="4694">
        <f t="shared" si="17"/>
        <v>0</v>
      </c>
      <c r="J22" s="4694">
        <f t="shared" si="18"/>
        <v>4680515.3099999996</v>
      </c>
      <c r="K22" s="4695"/>
      <c r="L22" s="4696">
        <v>9</v>
      </c>
      <c r="M22" s="4697" t="s">
        <v>5542</v>
      </c>
      <c r="N22" s="4701">
        <v>46058</v>
      </c>
      <c r="O22" s="4698">
        <f t="shared" si="19"/>
        <v>45984</v>
      </c>
      <c r="P22" s="4699">
        <f t="shared" si="20"/>
        <v>-74</v>
      </c>
      <c r="Q22" s="4693">
        <f t="shared" si="14"/>
        <v>75431356.840000004</v>
      </c>
      <c r="R22" s="4694">
        <v>3357959.53</v>
      </c>
      <c r="S22" s="4694">
        <f t="shared" si="21"/>
        <v>0</v>
      </c>
      <c r="T22" s="4694">
        <f t="shared" si="22"/>
        <v>0</v>
      </c>
      <c r="U22" s="4694">
        <f t="shared" si="23"/>
        <v>3357959.53</v>
      </c>
      <c r="V22" s="4695"/>
      <c r="W22" s="4700" t="s">
        <v>5551</v>
      </c>
      <c r="X22" s="4698">
        <v>46081</v>
      </c>
      <c r="Y22" s="4698"/>
      <c r="Z22" s="4701"/>
      <c r="AA22" s="4701">
        <f t="shared" si="8"/>
        <v>46111</v>
      </c>
      <c r="AB22" s="4699"/>
      <c r="AC22" s="4702">
        <f t="shared" si="15"/>
        <v>3357959.53</v>
      </c>
      <c r="AD22" s="4702">
        <f t="shared" si="10"/>
        <v>503693.92949999997</v>
      </c>
      <c r="AE22" s="4702">
        <f t="shared" si="11"/>
        <v>3861653.4594999999</v>
      </c>
      <c r="AF22" s="4702">
        <f t="shared" si="12"/>
        <v>86746060.365999997</v>
      </c>
    </row>
    <row r="23" spans="1:32" ht="36">
      <c r="A23" s="4688">
        <v>10</v>
      </c>
      <c r="B23" s="4689" t="s">
        <v>4742</v>
      </c>
      <c r="C23" s="4764" t="s">
        <v>5544</v>
      </c>
      <c r="D23" s="4691" t="s">
        <v>5543</v>
      </c>
      <c r="E23" s="4692">
        <v>45967</v>
      </c>
      <c r="F23" s="4693">
        <f t="shared" si="13"/>
        <v>113381370.644115</v>
      </c>
      <c r="G23" s="4694">
        <v>1748698.5</v>
      </c>
      <c r="H23" s="4694">
        <f t="shared" si="16"/>
        <v>0</v>
      </c>
      <c r="I23" s="4694">
        <f t="shared" si="17"/>
        <v>0</v>
      </c>
      <c r="J23" s="4694">
        <f t="shared" si="18"/>
        <v>1748698.5</v>
      </c>
      <c r="K23" s="4695"/>
      <c r="L23" s="4696">
        <v>10</v>
      </c>
      <c r="M23" s="4697" t="s">
        <v>5545</v>
      </c>
      <c r="N23" s="4701">
        <v>46058</v>
      </c>
      <c r="O23" s="4698">
        <f t="shared" si="19"/>
        <v>45988</v>
      </c>
      <c r="P23" s="4699">
        <f t="shared" si="20"/>
        <v>-70</v>
      </c>
      <c r="Q23" s="4693">
        <f t="shared" si="14"/>
        <v>77403384.840000004</v>
      </c>
      <c r="R23" s="4694">
        <v>1972028</v>
      </c>
      <c r="S23" s="4694">
        <f t="shared" si="21"/>
        <v>0</v>
      </c>
      <c r="T23" s="4694">
        <f t="shared" si="22"/>
        <v>0</v>
      </c>
      <c r="U23" s="4694">
        <f t="shared" si="23"/>
        <v>1972028</v>
      </c>
      <c r="V23" s="4695"/>
      <c r="W23" s="4700" t="s">
        <v>5552</v>
      </c>
      <c r="X23" s="4698">
        <v>46081</v>
      </c>
      <c r="Y23" s="4698"/>
      <c r="Z23" s="4701"/>
      <c r="AA23" s="4701">
        <f t="shared" si="8"/>
        <v>46111</v>
      </c>
      <c r="AB23" s="4699"/>
      <c r="AC23" s="4702">
        <f t="shared" si="15"/>
        <v>1972028</v>
      </c>
      <c r="AD23" s="4702">
        <f t="shared" si="10"/>
        <v>295804.2</v>
      </c>
      <c r="AE23" s="4702">
        <f t="shared" si="11"/>
        <v>2267832.2000000002</v>
      </c>
      <c r="AF23" s="4702">
        <f t="shared" si="12"/>
        <v>89013892.566</v>
      </c>
    </row>
    <row r="24" spans="1:32" ht="36">
      <c r="A24" s="4688">
        <v>11</v>
      </c>
      <c r="B24" s="4689" t="s">
        <v>4761</v>
      </c>
      <c r="C24" s="4764" t="s">
        <v>5547</v>
      </c>
      <c r="D24" s="4691" t="s">
        <v>5546</v>
      </c>
      <c r="E24" s="4692">
        <v>46050</v>
      </c>
      <c r="F24" s="4693">
        <f t="shared" si="13"/>
        <v>119921218.344115</v>
      </c>
      <c r="G24" s="4694">
        <v>6539847.6999999993</v>
      </c>
      <c r="H24" s="4694">
        <f t="shared" si="16"/>
        <v>0</v>
      </c>
      <c r="I24" s="4694">
        <f t="shared" si="17"/>
        <v>0</v>
      </c>
      <c r="J24" s="4694">
        <f t="shared" si="18"/>
        <v>6539847.6999999993</v>
      </c>
      <c r="K24" s="4695"/>
      <c r="L24" s="4696">
        <v>11</v>
      </c>
      <c r="M24" s="4697" t="s">
        <v>5545</v>
      </c>
      <c r="N24" s="4701">
        <v>46082</v>
      </c>
      <c r="O24" s="4698">
        <f t="shared" si="19"/>
        <v>46071</v>
      </c>
      <c r="P24" s="4699">
        <f t="shared" si="20"/>
        <v>-11</v>
      </c>
      <c r="Q24" s="4693">
        <f t="shared" si="14"/>
        <v>82146350.200000003</v>
      </c>
      <c r="R24" s="4694">
        <v>4742965.3600000003</v>
      </c>
      <c r="S24" s="4694">
        <f t="shared" si="21"/>
        <v>0</v>
      </c>
      <c r="T24" s="4694">
        <f t="shared" si="22"/>
        <v>0</v>
      </c>
      <c r="U24" s="4694">
        <f t="shared" si="23"/>
        <v>4742965.3600000003</v>
      </c>
      <c r="V24" s="4695"/>
      <c r="W24" s="4700" t="s">
        <v>5553</v>
      </c>
      <c r="X24" s="4698">
        <v>46095</v>
      </c>
      <c r="Y24" s="4698"/>
      <c r="Z24" s="4701">
        <v>46116</v>
      </c>
      <c r="AA24" s="4701">
        <f t="shared" si="8"/>
        <v>46125</v>
      </c>
      <c r="AB24" s="4699"/>
      <c r="AC24" s="4702">
        <f>U24</f>
        <v>4742965.3600000003</v>
      </c>
      <c r="AD24" s="4702">
        <f t="shared" ref="AD24" si="24">+AC24*15%</f>
        <v>711444.804</v>
      </c>
      <c r="AE24" s="4702">
        <f t="shared" ref="AE24" si="25">+AD24+AC24</f>
        <v>5454410.1640000008</v>
      </c>
      <c r="AF24" s="4702">
        <f t="shared" ref="AF24" si="26">+AE24+AF23</f>
        <v>94468302.730000004</v>
      </c>
    </row>
    <row r="25" spans="1:32" ht="36">
      <c r="A25" s="4688">
        <v>12</v>
      </c>
      <c r="B25" s="4689" t="s">
        <v>5151</v>
      </c>
      <c r="C25" s="4764" t="s">
        <v>5549</v>
      </c>
      <c r="D25" s="4691" t="s">
        <v>5548</v>
      </c>
      <c r="E25" s="4692">
        <v>46063</v>
      </c>
      <c r="F25" s="4693">
        <f t="shared" si="13"/>
        <v>121846508.844115</v>
      </c>
      <c r="G25" s="4762">
        <v>1925290.5</v>
      </c>
      <c r="H25" s="4694">
        <f t="shared" si="16"/>
        <v>0</v>
      </c>
      <c r="I25" s="4694">
        <f t="shared" si="17"/>
        <v>0</v>
      </c>
      <c r="J25" s="4694">
        <f t="shared" si="18"/>
        <v>1925290.5</v>
      </c>
      <c r="K25" s="4695"/>
      <c r="L25" s="4696">
        <v>12</v>
      </c>
      <c r="M25" s="4697" t="s">
        <v>5550</v>
      </c>
      <c r="N25" s="4701">
        <v>46077</v>
      </c>
      <c r="O25" s="4698">
        <f t="shared" si="19"/>
        <v>46084</v>
      </c>
      <c r="P25" s="4699">
        <f t="shared" si="20"/>
        <v>7</v>
      </c>
      <c r="Q25" s="4693">
        <f t="shared" si="14"/>
        <v>82985497.700000003</v>
      </c>
      <c r="R25" s="4694">
        <v>839147.5</v>
      </c>
      <c r="S25" s="4694">
        <f t="shared" si="21"/>
        <v>0</v>
      </c>
      <c r="T25" s="4694">
        <f t="shared" si="22"/>
        <v>0</v>
      </c>
      <c r="U25" s="4763">
        <f t="shared" si="23"/>
        <v>839147.5</v>
      </c>
      <c r="V25" s="1256"/>
      <c r="W25" s="4830" t="s">
        <v>6149</v>
      </c>
      <c r="X25" s="4405">
        <v>46139</v>
      </c>
      <c r="Y25" s="3244"/>
      <c r="Z25" s="3243"/>
      <c r="AA25" s="3243">
        <f>+X25+30</f>
        <v>46169</v>
      </c>
      <c r="AB25" s="3245"/>
      <c r="AC25" s="3250"/>
      <c r="AD25" s="3250"/>
      <c r="AE25" s="3250"/>
      <c r="AF25" s="3250"/>
    </row>
    <row r="26" spans="1:32" ht="36">
      <c r="A26" s="4688">
        <v>13</v>
      </c>
      <c r="B26" s="4689" t="s">
        <v>4382</v>
      </c>
      <c r="C26" s="4764">
        <v>46113</v>
      </c>
      <c r="D26" s="4691" t="s">
        <v>6427</v>
      </c>
      <c r="E26" s="4692">
        <v>46147</v>
      </c>
      <c r="F26" s="4693">
        <f t="shared" ref="F26" si="27">+G26+F25</f>
        <v>125128833.864115</v>
      </c>
      <c r="G26" s="4762">
        <v>3282325.02</v>
      </c>
      <c r="H26" s="4694">
        <f t="shared" ref="H26" si="28">(G26*$H$12)*-1*0</f>
        <v>0</v>
      </c>
      <c r="I26" s="4694">
        <f t="shared" ref="I26" si="29">(G26*$I$12)*-1</f>
        <v>0</v>
      </c>
      <c r="J26" s="4694">
        <f t="shared" ref="J26" si="30">G26+H26+I26</f>
        <v>3282325.02</v>
      </c>
      <c r="K26" s="4695"/>
      <c r="L26" s="4696">
        <v>13</v>
      </c>
      <c r="M26" s="4697" t="s">
        <v>5550</v>
      </c>
      <c r="N26" s="4701">
        <v>46077</v>
      </c>
      <c r="O26" s="4698">
        <f t="shared" si="19"/>
        <v>46168</v>
      </c>
      <c r="P26" s="4699">
        <f t="shared" si="20"/>
        <v>91</v>
      </c>
      <c r="Q26" s="4693">
        <f t="shared" ref="Q26" si="31">+Q25+R26</f>
        <v>86267822.719999999</v>
      </c>
      <c r="R26" s="4694">
        <v>3282325.02</v>
      </c>
      <c r="S26" s="4694">
        <f t="shared" si="21"/>
        <v>0</v>
      </c>
      <c r="T26" s="4694">
        <f t="shared" si="22"/>
        <v>0</v>
      </c>
      <c r="U26" s="4763">
        <f t="shared" si="23"/>
        <v>3282325.02</v>
      </c>
      <c r="V26" s="1256"/>
      <c r="W26" s="4700" t="s">
        <v>6573</v>
      </c>
      <c r="X26" s="4405">
        <v>46240</v>
      </c>
      <c r="Y26" s="3244"/>
      <c r="Z26" s="3243"/>
      <c r="AA26" s="3243">
        <f>+X26+30</f>
        <v>46270</v>
      </c>
      <c r="AB26" s="1324"/>
      <c r="AC26" s="1327"/>
      <c r="AD26" s="1327"/>
      <c r="AE26" s="1327"/>
      <c r="AF26" s="1327"/>
    </row>
    <row r="27" spans="1:32" ht="36">
      <c r="A27" s="4688">
        <v>14</v>
      </c>
      <c r="B27" s="4689" t="s">
        <v>4385</v>
      </c>
      <c r="C27" s="4764">
        <v>46174</v>
      </c>
      <c r="D27" s="4691" t="s">
        <v>6577</v>
      </c>
      <c r="E27" s="4692">
        <v>46210</v>
      </c>
      <c r="F27" s="4693">
        <f t="shared" ref="F27" si="32">+G27+F26</f>
        <v>128789993.524115</v>
      </c>
      <c r="G27" s="4762">
        <v>3661159.66</v>
      </c>
      <c r="H27" s="4694">
        <f t="shared" ref="H27" si="33">(G27*$H$12)*-1*0</f>
        <v>0</v>
      </c>
      <c r="I27" s="4694">
        <f t="shared" ref="I27" si="34">(G27*$I$12)*-1</f>
        <v>0</v>
      </c>
      <c r="J27" s="4694">
        <f t="shared" ref="J27" si="35">G27+H27+I27</f>
        <v>3661159.66</v>
      </c>
      <c r="K27" s="4695"/>
      <c r="L27" s="4696">
        <v>14</v>
      </c>
      <c r="M27" s="4697" t="s">
        <v>6578</v>
      </c>
      <c r="N27" s="4701">
        <v>46251</v>
      </c>
      <c r="O27" s="4698">
        <f t="shared" ref="O27" si="36">E27+21</f>
        <v>46231</v>
      </c>
      <c r="P27" s="4699">
        <f t="shared" ref="P27" si="37">O27-N27</f>
        <v>-20</v>
      </c>
      <c r="Q27" s="4693">
        <f t="shared" ref="Q27" si="38">+Q26+R27</f>
        <v>89928982.379999995</v>
      </c>
      <c r="R27" s="4694">
        <v>3661159.66</v>
      </c>
      <c r="S27" s="4694">
        <f t="shared" ref="S27" si="39">(R27*$S$12)*-1*0</f>
        <v>0</v>
      </c>
      <c r="T27" s="4694">
        <f t="shared" ref="T27" si="40">(R27*$T$12)*-1</f>
        <v>0</v>
      </c>
      <c r="U27" s="4763">
        <f t="shared" ref="U27" si="41">R27+S27+T27</f>
        <v>3661159.66</v>
      </c>
      <c r="V27" s="1256"/>
      <c r="W27" s="4700" t="s">
        <v>6653</v>
      </c>
      <c r="X27" s="4405">
        <v>46278</v>
      </c>
      <c r="Y27" s="3244"/>
      <c r="Z27" s="3243"/>
      <c r="AA27" s="3243">
        <f>+X27+30</f>
        <v>46308</v>
      </c>
      <c r="AB27" s="1324"/>
      <c r="AC27" s="1327"/>
      <c r="AD27" s="1327"/>
      <c r="AE27" s="1327"/>
      <c r="AF27" s="1327"/>
    </row>
    <row r="28" spans="1:32" ht="36">
      <c r="A28" s="4688">
        <v>15</v>
      </c>
      <c r="B28" s="4689" t="s">
        <v>4489</v>
      </c>
      <c r="C28" s="4764">
        <v>46266</v>
      </c>
      <c r="D28" s="4691" t="s">
        <v>6654</v>
      </c>
      <c r="E28" s="4692">
        <v>46259</v>
      </c>
      <c r="F28" s="4693">
        <f t="shared" ref="F28" si="42">+G28+F27</f>
        <v>131213586.23411499</v>
      </c>
      <c r="G28" s="4762">
        <v>2423592.71</v>
      </c>
      <c r="H28" s="4694">
        <f t="shared" ref="H28" si="43">(G28*$H$12)*-1*0</f>
        <v>0</v>
      </c>
      <c r="I28" s="4694">
        <f t="shared" ref="I28" si="44">(G28*$I$12)*-1</f>
        <v>0</v>
      </c>
      <c r="J28" s="4694">
        <f t="shared" ref="J28" si="45">G28+H28+I28</f>
        <v>2423592.71</v>
      </c>
      <c r="K28" s="4695"/>
      <c r="L28" s="4696">
        <v>15</v>
      </c>
      <c r="M28" s="4697" t="s">
        <v>6655</v>
      </c>
      <c r="N28" s="4701">
        <v>46284</v>
      </c>
      <c r="O28" s="4698">
        <f t="shared" ref="O28" si="46">E28+21</f>
        <v>46280</v>
      </c>
      <c r="P28" s="4699">
        <f t="shared" ref="P28" si="47">O28-N28</f>
        <v>-4</v>
      </c>
      <c r="Q28" s="4693">
        <f t="shared" ref="Q28" si="48">+Q27+R28</f>
        <v>92352575.089999989</v>
      </c>
      <c r="R28" s="4694">
        <v>2423592.71</v>
      </c>
      <c r="S28" s="4694">
        <f t="shared" ref="S28" si="49">(R28*$S$12)*-1*0</f>
        <v>0</v>
      </c>
      <c r="T28" s="4694">
        <f t="shared" ref="T28" si="50">(R28*$T$12)*-1</f>
        <v>0</v>
      </c>
      <c r="U28" s="4763">
        <f t="shared" ref="U28" si="51">R28+S28+T28</f>
        <v>2423592.71</v>
      </c>
      <c r="V28" s="1256"/>
      <c r="W28" s="723"/>
      <c r="X28" s="724"/>
      <c r="Y28" s="1323"/>
      <c r="Z28" s="1321"/>
      <c r="AA28" s="1321"/>
      <c r="AB28" s="1324"/>
      <c r="AC28" s="1327"/>
      <c r="AD28" s="1327"/>
      <c r="AE28" s="1327"/>
      <c r="AF28" s="1327"/>
    </row>
    <row r="29" spans="1:32">
      <c r="A29" s="723"/>
      <c r="B29" s="810"/>
      <c r="C29" s="1445"/>
      <c r="D29" s="2835"/>
      <c r="E29" s="1440"/>
      <c r="F29" s="1322"/>
      <c r="G29" s="1322"/>
      <c r="H29" s="1322"/>
      <c r="I29" s="1322"/>
      <c r="J29" s="1322"/>
      <c r="K29" s="1256"/>
      <c r="L29" s="1443"/>
      <c r="M29" s="2850"/>
      <c r="N29" s="1321"/>
      <c r="O29" s="1323"/>
      <c r="P29" s="1324"/>
      <c r="Q29" s="1322"/>
      <c r="R29" s="1444"/>
      <c r="S29" s="1444"/>
      <c r="T29" s="1444"/>
      <c r="U29" s="1328"/>
      <c r="V29" s="1256"/>
      <c r="W29" s="723"/>
      <c r="X29" s="724"/>
      <c r="Y29" s="1323"/>
      <c r="Z29" s="1321"/>
      <c r="AA29" s="1321"/>
      <c r="AB29" s="1324"/>
      <c r="AC29" s="1327"/>
      <c r="AD29" s="1327"/>
      <c r="AE29" s="1327"/>
      <c r="AF29" s="1327"/>
    </row>
    <row r="30" spans="1:32">
      <c r="A30" s="723"/>
      <c r="B30" s="810"/>
      <c r="C30" s="1445"/>
      <c r="D30" s="2835"/>
      <c r="E30" s="1440"/>
      <c r="F30" s="1322"/>
      <c r="G30" s="1322"/>
      <c r="H30" s="1322"/>
      <c r="I30" s="1322"/>
      <c r="J30" s="1322"/>
      <c r="K30" s="1256"/>
      <c r="L30" s="1443"/>
      <c r="M30" s="2850"/>
      <c r="N30" s="1321"/>
      <c r="O30" s="1323"/>
      <c r="P30" s="1324"/>
      <c r="Q30" s="1322"/>
      <c r="R30" s="1444"/>
      <c r="S30" s="1444"/>
      <c r="T30" s="1444"/>
      <c r="U30" s="1328"/>
      <c r="V30" s="1256"/>
      <c r="W30" s="723"/>
      <c r="X30" s="724"/>
      <c r="Y30" s="1323"/>
      <c r="Z30" s="1321"/>
      <c r="AA30" s="1321"/>
      <c r="AB30" s="1324"/>
      <c r="AC30" s="1327"/>
      <c r="AD30" s="1327"/>
      <c r="AE30" s="1327"/>
      <c r="AF30" s="1327"/>
    </row>
    <row r="31" spans="1:32">
      <c r="A31" s="723"/>
      <c r="B31" s="810"/>
      <c r="C31" s="1445"/>
      <c r="D31" s="2835"/>
      <c r="E31" s="1440"/>
      <c r="F31" s="1322"/>
      <c r="G31" s="1322"/>
      <c r="H31" s="1322"/>
      <c r="I31" s="1322"/>
      <c r="J31" s="1322"/>
      <c r="K31" s="1256"/>
      <c r="L31" s="1443"/>
      <c r="M31" s="2850"/>
      <c r="N31" s="1321"/>
      <c r="O31" s="1323"/>
      <c r="P31" s="1324"/>
      <c r="Q31" s="1322"/>
      <c r="R31" s="1444"/>
      <c r="S31" s="1444"/>
      <c r="T31" s="1444"/>
      <c r="U31" s="1328"/>
      <c r="V31" s="1256"/>
      <c r="W31" s="723"/>
      <c r="X31" s="724"/>
      <c r="Y31" s="1323"/>
      <c r="Z31" s="1321"/>
      <c r="AA31" s="1321"/>
      <c r="AB31" s="1324"/>
      <c r="AC31" s="1327"/>
      <c r="AD31" s="1327"/>
      <c r="AE31" s="1327"/>
      <c r="AF31" s="1327"/>
    </row>
    <row r="32" spans="1:32">
      <c r="A32" s="723"/>
      <c r="B32" s="810"/>
      <c r="C32" s="1445"/>
      <c r="D32" s="2835"/>
      <c r="E32" s="1440"/>
      <c r="F32" s="1322"/>
      <c r="G32" s="1322"/>
      <c r="H32" s="1322"/>
      <c r="I32" s="1322"/>
      <c r="J32" s="1322"/>
      <c r="K32" s="1256"/>
      <c r="L32" s="1443"/>
      <c r="M32" s="2850"/>
      <c r="N32" s="1321"/>
      <c r="O32" s="1323"/>
      <c r="P32" s="1324"/>
      <c r="Q32" s="1322"/>
      <c r="R32" s="1444"/>
      <c r="S32" s="1444"/>
      <c r="T32" s="1444"/>
      <c r="U32" s="1328"/>
      <c r="V32" s="1256"/>
      <c r="W32" s="723"/>
      <c r="X32" s="724"/>
      <c r="Y32" s="1323"/>
      <c r="Z32" s="1321"/>
      <c r="AA32" s="1321"/>
      <c r="AB32" s="1324"/>
      <c r="AC32" s="1327"/>
      <c r="AD32" s="1327"/>
      <c r="AE32" s="1327"/>
      <c r="AF32" s="1327"/>
    </row>
    <row r="33" spans="1:32">
      <c r="A33" s="723"/>
      <c r="B33" s="810"/>
      <c r="C33" s="1445"/>
      <c r="D33" s="1320"/>
      <c r="E33" s="1440"/>
      <c r="F33" s="1322"/>
      <c r="G33" s="1322"/>
      <c r="H33" s="1322"/>
      <c r="I33" s="1322"/>
      <c r="J33" s="1322"/>
      <c r="K33" s="1256"/>
      <c r="L33" s="1443"/>
      <c r="M33" s="2850"/>
      <c r="N33" s="1321"/>
      <c r="O33" s="1323"/>
      <c r="P33" s="1324"/>
      <c r="Q33" s="1322"/>
      <c r="R33" s="1444"/>
      <c r="S33" s="1444"/>
      <c r="T33" s="1444"/>
      <c r="U33" s="1328"/>
      <c r="V33" s="1256"/>
      <c r="W33" s="723"/>
      <c r="X33" s="724"/>
      <c r="Y33" s="1323"/>
      <c r="Z33" s="1321"/>
      <c r="AA33" s="1321"/>
      <c r="AB33" s="1324"/>
      <c r="AC33" s="1327"/>
      <c r="AD33" s="1327"/>
      <c r="AE33" s="1327"/>
      <c r="AF33" s="1327"/>
    </row>
    <row r="34" spans="1:32">
      <c r="A34" s="723"/>
      <c r="B34" s="810"/>
      <c r="C34" s="1445"/>
      <c r="D34" s="1320"/>
      <c r="E34" s="1440"/>
      <c r="F34" s="1322"/>
      <c r="G34" s="1322"/>
      <c r="H34" s="1322"/>
      <c r="I34" s="1322"/>
      <c r="J34" s="1322"/>
      <c r="K34" s="1256"/>
      <c r="L34" s="1443"/>
      <c r="M34" s="2850"/>
      <c r="N34" s="1321"/>
      <c r="O34" s="1323"/>
      <c r="P34" s="1324"/>
      <c r="Q34" s="1322"/>
      <c r="R34" s="1444"/>
      <c r="S34" s="1444"/>
      <c r="T34" s="1444"/>
      <c r="U34" s="1328"/>
      <c r="V34" s="1256"/>
      <c r="W34" s="723"/>
      <c r="X34" s="724"/>
      <c r="Y34" s="1323"/>
      <c r="Z34" s="1321"/>
      <c r="AA34" s="1321"/>
      <c r="AB34" s="1324"/>
      <c r="AC34" s="1327"/>
      <c r="AD34" s="1327"/>
      <c r="AE34" s="1327"/>
      <c r="AF34" s="1327"/>
    </row>
    <row r="35" spans="1:32">
      <c r="A35" s="723"/>
      <c r="B35" s="810"/>
      <c r="C35" s="1445"/>
      <c r="D35" s="1320"/>
      <c r="E35" s="1441"/>
      <c r="F35" s="1322"/>
      <c r="G35" s="1322"/>
      <c r="H35" s="1322"/>
      <c r="I35" s="1322"/>
      <c r="J35" s="1322"/>
      <c r="K35" s="1256"/>
      <c r="L35" s="1443"/>
      <c r="M35" s="2850"/>
      <c r="N35" s="1321"/>
      <c r="O35" s="1323"/>
      <c r="P35" s="1324"/>
      <c r="Q35" s="1322"/>
      <c r="R35" s="1444"/>
      <c r="S35" s="1444"/>
      <c r="T35" s="1444"/>
      <c r="U35" s="1328"/>
      <c r="V35" s="1256"/>
      <c r="W35" s="723"/>
      <c r="X35" s="724"/>
      <c r="Y35" s="1323"/>
      <c r="Z35" s="1321"/>
      <c r="AA35" s="1321"/>
      <c r="AB35" s="1324"/>
      <c r="AC35" s="1327"/>
      <c r="AD35" s="1327"/>
      <c r="AE35" s="1327"/>
      <c r="AF35" s="1327"/>
    </row>
    <row r="36" spans="1:32">
      <c r="A36" s="1329"/>
      <c r="B36" s="1330"/>
      <c r="C36" s="1440"/>
      <c r="D36" s="1331"/>
      <c r="E36" s="1442"/>
      <c r="F36" s="1332"/>
      <c r="G36" s="1332"/>
      <c r="H36" s="1332"/>
      <c r="I36" s="1332"/>
      <c r="J36" s="1332"/>
      <c r="K36" s="1256"/>
      <c r="L36" s="1329"/>
      <c r="M36" s="2851"/>
      <c r="N36" s="1334"/>
      <c r="O36" s="1334"/>
      <c r="P36" s="1335"/>
      <c r="Q36" s="1322"/>
      <c r="R36" s="1333"/>
      <c r="S36" s="1333"/>
      <c r="T36" s="1333"/>
      <c r="U36" s="1336"/>
      <c r="V36" s="1256"/>
      <c r="W36" s="1329"/>
      <c r="X36" s="1333"/>
      <c r="Y36" s="1337"/>
      <c r="Z36" s="1334"/>
      <c r="AA36" s="1334"/>
      <c r="AB36" s="1334"/>
      <c r="AC36" s="1329"/>
      <c r="AD36" s="1337"/>
      <c r="AE36" s="1334"/>
      <c r="AF36" s="1334"/>
    </row>
    <row r="37" spans="1:32" ht="24.75" customHeight="1" collapsed="1" thickBot="1">
      <c r="A37" s="6045" t="s">
        <v>1522</v>
      </c>
      <c r="B37" s="6046"/>
      <c r="C37" s="6046"/>
      <c r="D37" s="6046"/>
      <c r="E37" s="6046"/>
      <c r="F37" s="6047"/>
      <c r="G37" s="1338">
        <f>SUM(G14:G36)</f>
        <v>131213586.23411499</v>
      </c>
      <c r="H37" s="1338">
        <f>SUM(H14:H36)</f>
        <v>0</v>
      </c>
      <c r="I37" s="1338">
        <f>SUM(I14:I36)</f>
        <v>0</v>
      </c>
      <c r="J37" s="1338">
        <f>SUM(J14:J36)</f>
        <v>131213586.23411499</v>
      </c>
      <c r="K37" s="1256"/>
      <c r="L37" s="1339" t="s">
        <v>1522</v>
      </c>
      <c r="M37" s="1343"/>
      <c r="N37" s="1340"/>
      <c r="O37" s="1340"/>
      <c r="P37" s="1340"/>
      <c r="Q37" s="1340"/>
      <c r="R37" s="1341">
        <f>SUM(R14:R36)</f>
        <v>92352575.089999989</v>
      </c>
      <c r="S37" s="1338">
        <f>SUM(S14:S36)</f>
        <v>0</v>
      </c>
      <c r="T37" s="1338">
        <f>SUM(T14:T36)</f>
        <v>0</v>
      </c>
      <c r="U37" s="1338">
        <f>SUM(U14:U36)</f>
        <v>92352575.089999989</v>
      </c>
      <c r="V37" s="1256"/>
      <c r="W37" s="1342" t="s">
        <v>1522</v>
      </c>
      <c r="X37" s="1343"/>
      <c r="Y37" s="1343"/>
      <c r="Z37" s="1343"/>
      <c r="AA37" s="1343"/>
      <c r="AB37" s="1343"/>
      <c r="AC37" s="1341">
        <f>SUM(AC14:AC36)</f>
        <v>82146350.200000003</v>
      </c>
      <c r="AD37" s="1338">
        <f>SUM(AD14:AD36)</f>
        <v>12321952.529999999</v>
      </c>
      <c r="AE37" s="1338">
        <f>SUM(AE14:AE36)</f>
        <v>94468302.730000004</v>
      </c>
      <c r="AF37" s="1338">
        <f>+AF21</f>
        <v>82884406.906499997</v>
      </c>
    </row>
    <row r="38" spans="1:32">
      <c r="A38" s="1360"/>
      <c r="B38" s="1256"/>
      <c r="C38" s="1255"/>
      <c r="D38" s="1257"/>
      <c r="E38" s="1361"/>
      <c r="F38" s="1258"/>
      <c r="G38" s="1258"/>
      <c r="H38" s="1258"/>
      <c r="I38" s="1258"/>
      <c r="J38" s="1258"/>
      <c r="K38" s="1256"/>
      <c r="L38" s="1360"/>
      <c r="M38" s="2852"/>
      <c r="N38" s="1362"/>
      <c r="O38" s="1362"/>
      <c r="P38" s="1362"/>
      <c r="Q38" s="1360"/>
      <c r="R38" s="1360"/>
      <c r="S38" s="1360"/>
      <c r="T38" s="1360"/>
      <c r="U38" s="1363"/>
      <c r="V38" s="1256"/>
      <c r="W38" s="1360"/>
      <c r="X38" s="1360"/>
      <c r="Y38" s="1364"/>
      <c r="Z38" s="1362"/>
      <c r="AA38" s="1362"/>
      <c r="AB38" s="1362"/>
      <c r="AC38" s="1360"/>
      <c r="AD38" s="1364"/>
      <c r="AE38" s="1362"/>
      <c r="AF38" s="1362"/>
    </row>
    <row r="39" spans="1:32">
      <c r="A39" s="1360"/>
      <c r="B39" s="1256"/>
      <c r="C39" s="1255"/>
      <c r="D39" s="1257"/>
      <c r="E39" s="1361"/>
      <c r="F39" s="1258"/>
      <c r="G39" s="1258"/>
      <c r="H39" s="1258"/>
      <c r="I39" s="1258"/>
      <c r="J39" s="1258"/>
      <c r="K39" s="1256"/>
      <c r="L39" s="1360"/>
      <c r="M39" s="2852"/>
      <c r="N39" s="1362"/>
      <c r="O39" s="1362"/>
      <c r="P39" s="1257"/>
      <c r="Q39" s="1258"/>
      <c r="R39" s="1258"/>
      <c r="S39" s="1258"/>
      <c r="T39" s="1258"/>
      <c r="U39" s="1258">
        <f>+U37-T37</f>
        <v>92352575.089999989</v>
      </c>
      <c r="V39" s="1256"/>
      <c r="W39" s="1360"/>
      <c r="X39" s="1360"/>
      <c r="Y39" s="1364"/>
      <c r="Z39" s="1362"/>
      <c r="AA39" s="1362"/>
      <c r="AB39" s="1362"/>
      <c r="AC39" s="1360"/>
      <c r="AD39" s="1364"/>
      <c r="AE39" s="1362"/>
      <c r="AF39" s="1362"/>
    </row>
    <row r="40" spans="1:32">
      <c r="A40" s="1365"/>
      <c r="B40" s="1256"/>
      <c r="C40" s="1255"/>
      <c r="D40" s="1257"/>
      <c r="E40" s="1361"/>
      <c r="F40" s="1366"/>
      <c r="G40" s="1366"/>
      <c r="H40" s="1366"/>
      <c r="I40" s="1366"/>
      <c r="J40" s="1258"/>
      <c r="K40" s="1256"/>
      <c r="L40" s="1365"/>
      <c r="M40" s="2853">
        <f>403092.61/11085046.72</f>
        <v>3.6363636544059594E-2</v>
      </c>
      <c r="N40" s="1365"/>
      <c r="O40" s="1365"/>
      <c r="P40" s="1257"/>
      <c r="Q40" s="1366"/>
      <c r="R40" s="1366"/>
      <c r="S40" s="1366"/>
      <c r="T40" s="1366"/>
      <c r="U40" s="1366"/>
      <c r="V40" s="1256"/>
      <c r="W40" s="1365"/>
      <c r="X40" s="1365"/>
      <c r="Y40" s="1365"/>
      <c r="Z40" s="1362"/>
      <c r="AA40" s="1362"/>
      <c r="AB40" s="1362"/>
      <c r="AC40" s="1365"/>
      <c r="AD40" s="1365"/>
      <c r="AE40" s="1362"/>
      <c r="AF40" s="1362"/>
    </row>
    <row r="41" spans="1:32">
      <c r="D41" s="1257"/>
      <c r="E41" s="153">
        <v>44197</v>
      </c>
      <c r="F41" s="1366"/>
      <c r="P41" s="1257"/>
      <c r="Q41" s="1366"/>
      <c r="R41" s="1366"/>
      <c r="S41" s="1366"/>
      <c r="T41" s="1366"/>
      <c r="U41" s="1366"/>
      <c r="AA41" s="153">
        <v>44094</v>
      </c>
      <c r="AC41" s="1367"/>
    </row>
    <row r="42" spans="1:32">
      <c r="D42" s="1257"/>
      <c r="E42" s="153">
        <f>E41-45</f>
        <v>44152</v>
      </c>
      <c r="F42" s="1366"/>
      <c r="P42" s="1257"/>
      <c r="Q42" s="1366"/>
      <c r="R42" s="1366"/>
      <c r="S42" s="1366"/>
      <c r="T42" s="1366"/>
      <c r="U42" s="1366"/>
      <c r="AA42" s="153">
        <f>AA41-45</f>
        <v>44049</v>
      </c>
    </row>
    <row r="43" spans="1:32">
      <c r="D43" s="1257"/>
      <c r="F43" s="1366"/>
      <c r="H43" s="153">
        <v>43986</v>
      </c>
      <c r="R43" s="652"/>
      <c r="S43" s="652"/>
      <c r="T43" s="652"/>
      <c r="U43" s="652"/>
    </row>
    <row r="45" spans="1:32">
      <c r="I45" s="1367"/>
      <c r="AC45" t="s">
        <v>2330</v>
      </c>
    </row>
    <row r="46" spans="1:32">
      <c r="AC46" s="3018">
        <v>45222</v>
      </c>
      <c r="AD46" s="3018">
        <v>45253</v>
      </c>
      <c r="AE46" s="3018">
        <v>45283</v>
      </c>
    </row>
    <row r="47" spans="1:32">
      <c r="G47" s="3020">
        <v>57117400.5</v>
      </c>
      <c r="AC47" s="3020">
        <v>11439880.26</v>
      </c>
    </row>
    <row r="48" spans="1:32">
      <c r="G48" s="3020">
        <v>50069966.5</v>
      </c>
    </row>
    <row r="49" spans="7:7">
      <c r="G49" s="3020">
        <f>+G47-G48</f>
        <v>7047434</v>
      </c>
    </row>
    <row r="53" spans="7:7">
      <c r="G53" s="3020">
        <v>64053201.509999998</v>
      </c>
    </row>
    <row r="54" spans="7:7">
      <c r="G54" s="3020">
        <v>54149805</v>
      </c>
    </row>
    <row r="55" spans="7:7">
      <c r="G55" s="3020">
        <f>+G53-G54</f>
        <v>9903396.5099999979</v>
      </c>
    </row>
    <row r="57" spans="7:7">
      <c r="G57" s="3020">
        <v>73700421.430000007</v>
      </c>
    </row>
    <row r="58" spans="7:7">
      <c r="G58" s="3020">
        <v>59908608.280000001</v>
      </c>
    </row>
    <row r="59" spans="7:7">
      <c r="G59" s="3020">
        <f>+G57-G58</f>
        <v>13791813.150000006</v>
      </c>
    </row>
  </sheetData>
  <mergeCells count="4">
    <mergeCell ref="A10:J10"/>
    <mergeCell ref="L10:U10"/>
    <mergeCell ref="W10:AF10"/>
    <mergeCell ref="A37:F37"/>
  </mergeCells>
  <phoneticPr fontId="347" type="noConversion"/>
  <printOptions horizontalCentered="1"/>
  <pageMargins left="0.25" right="0.25" top="0.75" bottom="0.75" header="0.3" footer="0.3"/>
  <pageSetup paperSize="8" scale="67" fitToHeight="2" orientation="landscape" r:id="rId1"/>
  <headerFooter>
    <oddHeader>&amp;C&amp;"Calibri,Bold"&amp;18MONTHLY REPORT - INVOICE &amp; PAYMENT TRACKING LOG (AL FANAR)</oddHeader>
    <oddFooter>&amp;L1TB.01.003.01 - AYC 
MARCH'26 REPORT&amp;C&amp;A&amp;RPage &amp;P of &amp;N</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3EF19-03BC-434D-A513-BA2A9A246A01}">
  <sheetPr codeName="Sheet50">
    <tabColor theme="7" tint="0.39997558519241921"/>
    <pageSetUpPr fitToPage="1"/>
  </sheetPr>
  <dimension ref="A1:AG47"/>
  <sheetViews>
    <sheetView showGridLines="0" view="pageBreakPreview" topLeftCell="H11" zoomScale="80" zoomScaleNormal="100" zoomScaleSheetLayoutView="80" workbookViewId="0">
      <selection activeCell="AA35" sqref="X35:AA35"/>
    </sheetView>
  </sheetViews>
  <sheetFormatPr defaultColWidth="9" defaultRowHeight="12.75"/>
  <cols>
    <col min="1" max="1" width="10.85546875" customWidth="1"/>
    <col min="2" max="2" width="10.42578125" customWidth="1"/>
    <col min="3" max="3" width="11.42578125" customWidth="1"/>
    <col min="4" max="4" width="10.85546875" bestFit="1" customWidth="1"/>
    <col min="5" max="5" width="10.7109375" bestFit="1" customWidth="1"/>
    <col min="6" max="6" width="14.42578125" bestFit="1" customWidth="1"/>
    <col min="7" max="7" width="12.85546875" bestFit="1" customWidth="1"/>
    <col min="8" max="9" width="11" bestFit="1" customWidth="1"/>
    <col min="10" max="10" width="13.85546875" customWidth="1"/>
    <col min="11" max="11" width="0.85546875" customWidth="1"/>
    <col min="12" max="12" width="6" customWidth="1"/>
    <col min="13" max="13" width="17.85546875" style="2854" bestFit="1" customWidth="1"/>
    <col min="14" max="14" width="10.7109375" bestFit="1" customWidth="1"/>
    <col min="15" max="15" width="13.140625" bestFit="1" customWidth="1"/>
    <col min="16" max="16" width="7.85546875" customWidth="1"/>
    <col min="17" max="17" width="13.85546875" customWidth="1"/>
    <col min="18" max="18" width="15.5703125" customWidth="1"/>
    <col min="19" max="20" width="11.42578125" customWidth="1"/>
    <col min="21" max="21" width="14.5703125" customWidth="1"/>
    <col min="22" max="22" width="0.85546875" customWidth="1"/>
    <col min="23" max="23" width="14" bestFit="1" customWidth="1"/>
    <col min="24" max="24" width="10.7109375" bestFit="1" customWidth="1"/>
    <col min="25" max="25" width="14.5703125" bestFit="1" customWidth="1"/>
    <col min="26" max="27" width="10.28515625" bestFit="1" customWidth="1"/>
    <col min="28" max="28" width="7" customWidth="1"/>
    <col min="29" max="29" width="12.42578125" customWidth="1"/>
    <col min="30" max="30" width="13.5703125" customWidth="1"/>
    <col min="31" max="32" width="14" customWidth="1"/>
    <col min="33" max="33" width="13.5703125" bestFit="1" customWidth="1"/>
  </cols>
  <sheetData>
    <row r="1" spans="1:33">
      <c r="A1" s="1255"/>
      <c r="B1" s="1256"/>
      <c r="C1" s="1255"/>
      <c r="D1" s="1257"/>
      <c r="E1" s="1257"/>
      <c r="F1" s="1258"/>
      <c r="G1" s="1258"/>
      <c r="H1" s="1258"/>
      <c r="I1" s="1258"/>
      <c r="J1" s="1258"/>
      <c r="K1" s="1257"/>
      <c r="L1" s="1255"/>
      <c r="M1" s="2848"/>
      <c r="N1" s="1255"/>
      <c r="O1" s="1255"/>
      <c r="P1" s="1255"/>
      <c r="Q1" s="1255"/>
      <c r="R1" s="1255"/>
      <c r="S1" s="1255"/>
      <c r="T1" s="1255"/>
      <c r="U1" s="1259"/>
      <c r="V1" s="1257"/>
      <c r="W1" s="1257"/>
      <c r="X1" s="1257"/>
      <c r="Y1" s="1257"/>
      <c r="Z1" s="1257"/>
      <c r="AA1" s="1257"/>
      <c r="AB1" s="1257"/>
      <c r="AC1" s="1257"/>
      <c r="AD1" s="1257"/>
      <c r="AE1" s="1257"/>
      <c r="AF1" s="1257"/>
    </row>
    <row r="2" spans="1:33">
      <c r="A2" s="9" t="str">
        <f>'Data Input'!A1&amp;" - "&amp;'Data Input'!B1</f>
        <v>PROGRAMME: - MARINA VILLAGE (PROGRAMME 1_TRIPLE BAY)</v>
      </c>
      <c r="B2" s="1256"/>
      <c r="C2" s="1255"/>
      <c r="D2" s="1257"/>
      <c r="E2" s="1257"/>
      <c r="F2" s="1258"/>
      <c r="G2" s="1258"/>
      <c r="H2" s="1258"/>
      <c r="I2" s="1258"/>
      <c r="J2" s="1258"/>
      <c r="K2" s="1257"/>
      <c r="L2" s="1255"/>
      <c r="M2" s="2848"/>
      <c r="N2" s="1255"/>
      <c r="O2" s="1255"/>
      <c r="P2" s="1255"/>
      <c r="Q2" s="1255"/>
      <c r="R2" s="1255"/>
      <c r="S2" s="1255"/>
      <c r="T2" s="1255"/>
      <c r="U2" s="1259"/>
      <c r="V2" s="1257"/>
      <c r="W2" s="1257"/>
      <c r="X2" s="1257"/>
      <c r="Y2" s="1257"/>
      <c r="Z2" s="1257"/>
      <c r="AA2" s="1257"/>
      <c r="AB2" s="1257"/>
      <c r="AC2" s="1257"/>
      <c r="AD2" s="1257"/>
      <c r="AE2" s="1257"/>
      <c r="AF2" s="1257"/>
    </row>
    <row r="3" spans="1:33">
      <c r="A3" s="9" t="str">
        <f>'Data Input'!A2&amp;" - "&amp;'Data Input'!B2</f>
        <v>PROGRAMME CODE: - 1TB01003</v>
      </c>
      <c r="B3" s="1260"/>
      <c r="C3" s="1261"/>
      <c r="D3" s="1262"/>
      <c r="E3" s="1262"/>
      <c r="F3" s="1263"/>
      <c r="G3" s="1263"/>
      <c r="H3" s="1263"/>
      <c r="I3" s="1263"/>
      <c r="J3" s="1264"/>
      <c r="K3" s="1265"/>
      <c r="L3" s="1265"/>
      <c r="M3" s="1262"/>
      <c r="N3" s="1265"/>
      <c r="O3" s="1266"/>
      <c r="P3" s="1265"/>
      <c r="Q3" s="1265"/>
      <c r="R3" s="1265"/>
      <c r="S3" s="1265"/>
      <c r="T3" s="1265"/>
      <c r="U3" s="1267"/>
      <c r="V3" s="1265"/>
      <c r="W3" s="1265"/>
      <c r="X3" s="1265"/>
      <c r="Y3" s="1265"/>
      <c r="Z3" s="1265"/>
      <c r="AA3" s="1265"/>
      <c r="AB3" s="1265"/>
      <c r="AC3" s="1265"/>
      <c r="AD3" s="1265"/>
      <c r="AE3" s="1265"/>
      <c r="AF3" s="1265"/>
    </row>
    <row r="4" spans="1:33">
      <c r="A4" s="9" t="str">
        <f>'Data Input'!A3&amp;" - "&amp;'Data Input'!B3</f>
        <v>ASSET NAME: - AMAALA YACHT CLUB</v>
      </c>
      <c r="B4" s="1260"/>
      <c r="C4" s="1268"/>
      <c r="D4" s="1265"/>
      <c r="E4" s="1265"/>
      <c r="F4" s="1267"/>
      <c r="G4" s="1267"/>
      <c r="H4" s="1267"/>
      <c r="I4" s="1267"/>
      <c r="J4" s="1269"/>
      <c r="K4" s="1265"/>
      <c r="L4" s="1265"/>
      <c r="M4" s="1262"/>
      <c r="N4" s="1265"/>
      <c r="O4" s="1266"/>
      <c r="P4" s="1265"/>
      <c r="Q4" s="1265"/>
      <c r="R4" s="1265"/>
      <c r="S4" s="1265"/>
      <c r="T4" s="1265"/>
      <c r="U4" s="1267"/>
      <c r="V4" s="1265"/>
      <c r="W4" s="1265"/>
      <c r="X4" s="1265"/>
      <c r="Y4" s="1265"/>
      <c r="Z4" s="1265"/>
      <c r="AA4" s="1265"/>
      <c r="AB4" s="1265"/>
      <c r="AC4" s="1265"/>
      <c r="AD4" s="1265"/>
      <c r="AE4" s="1265"/>
      <c r="AF4" s="1265"/>
    </row>
    <row r="5" spans="1:33">
      <c r="A5" s="9" t="str">
        <f>'Data Input'!A4&amp;" - "&amp;'Data Input'!B4</f>
        <v>ASSET CODE: - 1TB01003.01</v>
      </c>
      <c r="B5" s="1270"/>
      <c r="C5" s="1268"/>
      <c r="D5" s="1265"/>
      <c r="E5" s="1265"/>
      <c r="F5" s="1267"/>
      <c r="G5" s="1267"/>
      <c r="H5" s="1267"/>
      <c r="I5" s="1267"/>
      <c r="J5" s="1269"/>
      <c r="K5" s="1265"/>
      <c r="L5" s="1265"/>
      <c r="M5" s="1262"/>
      <c r="N5" s="1265"/>
      <c r="O5" s="1266"/>
      <c r="P5" s="1265"/>
      <c r="Q5" s="1265"/>
      <c r="R5" s="1271"/>
      <c r="S5" s="1265"/>
      <c r="T5" s="1265"/>
      <c r="U5" s="1267"/>
      <c r="V5" s="1265"/>
      <c r="W5" s="1265"/>
      <c r="X5" s="1265"/>
      <c r="Y5" s="1265"/>
      <c r="Z5" s="1265"/>
      <c r="AA5" s="1265"/>
      <c r="AB5" s="1265"/>
      <c r="AC5" s="1265"/>
      <c r="AD5" s="1265"/>
      <c r="AE5" s="1265"/>
      <c r="AF5" s="1265"/>
    </row>
    <row r="6" spans="1:33">
      <c r="A6" s="9" t="str">
        <f>'Data Input'!A7&amp;" - "&amp;'Data Input'!B7</f>
        <v>REPORT NO: - MONTHLY REPORT NO. 49</v>
      </c>
      <c r="B6" s="1272"/>
      <c r="C6" s="1268"/>
      <c r="D6" s="1265"/>
      <c r="E6" s="1265"/>
      <c r="F6" s="1267"/>
      <c r="G6" s="1267"/>
      <c r="H6" s="1267"/>
      <c r="I6" s="1267"/>
      <c r="J6" s="1269"/>
      <c r="K6" s="1265"/>
      <c r="L6" s="1265"/>
      <c r="M6" s="1262"/>
      <c r="N6" s="1265"/>
      <c r="O6" s="1266"/>
      <c r="P6" s="1265"/>
      <c r="Q6" s="1265"/>
      <c r="R6" s="1273"/>
      <c r="S6" s="1265"/>
      <c r="T6" s="1271"/>
      <c r="U6" s="1267"/>
      <c r="V6" s="1265"/>
      <c r="W6" s="1265"/>
      <c r="X6" s="1265"/>
      <c r="Y6" s="1265"/>
      <c r="Z6" s="1265"/>
      <c r="AA6" s="1265"/>
      <c r="AB6" s="1265"/>
      <c r="AC6" s="1265"/>
      <c r="AD6" s="1265"/>
      <c r="AE6" s="1265"/>
      <c r="AF6" s="1265"/>
    </row>
    <row r="7" spans="1:33">
      <c r="A7" s="9" t="str">
        <f>'Data Input'!A8&amp;" - "&amp;'Data Input'!B8</f>
        <v>REPORTING PERIOD: - OCTOBER 2026</v>
      </c>
      <c r="B7" s="1262"/>
      <c r="C7" s="1274"/>
      <c r="D7" s="1262"/>
      <c r="E7" s="1262"/>
      <c r="F7" s="1263"/>
      <c r="G7" s="1263"/>
      <c r="H7" s="1263"/>
      <c r="I7" s="1263"/>
      <c r="J7" s="1264"/>
      <c r="K7" s="1265"/>
      <c r="L7" s="1265"/>
      <c r="M7" s="1262"/>
      <c r="N7" s="1265"/>
      <c r="O7" s="1265"/>
      <c r="P7" s="1265"/>
      <c r="Q7" s="1267"/>
      <c r="R7" s="1263"/>
      <c r="S7" s="1263"/>
      <c r="T7" s="1263"/>
      <c r="U7" s="1267"/>
      <c r="V7" s="1265"/>
      <c r="W7" s="1265"/>
      <c r="X7" s="1265"/>
      <c r="Y7" s="1265"/>
      <c r="Z7" s="1265"/>
      <c r="AA7" s="1265"/>
      <c r="AB7" s="1265"/>
      <c r="AC7" s="1265"/>
      <c r="AD7" s="1265"/>
      <c r="AE7" s="1265"/>
      <c r="AF7" s="1265"/>
    </row>
    <row r="8" spans="1:33" ht="13.5" thickBot="1">
      <c r="A8" s="9"/>
      <c r="B8" s="1256"/>
      <c r="C8" s="1255"/>
      <c r="D8" s="1257"/>
      <c r="E8" s="1257"/>
      <c r="F8" s="1258"/>
      <c r="G8" s="1258"/>
      <c r="H8" s="1258"/>
      <c r="I8" s="1258"/>
      <c r="J8" s="1258"/>
      <c r="K8" s="1257"/>
      <c r="L8" s="1255"/>
      <c r="M8" s="2848"/>
      <c r="N8" s="1275"/>
      <c r="O8" s="1276"/>
      <c r="P8" s="1255"/>
      <c r="Q8" s="1255"/>
      <c r="R8" s="1255"/>
      <c r="S8" s="1255"/>
      <c r="T8" s="1255"/>
      <c r="U8" s="1259"/>
      <c r="V8" s="1257"/>
      <c r="W8" s="1257"/>
      <c r="X8" s="1257"/>
      <c r="Y8" s="1257"/>
      <c r="Z8" s="1257"/>
      <c r="AA8" s="1257"/>
      <c r="AB8" s="1257"/>
      <c r="AC8" s="1257"/>
      <c r="AD8" s="1257"/>
      <c r="AE8" s="1257"/>
      <c r="AF8" s="1257"/>
    </row>
    <row r="9" spans="1:33" ht="30" customHeight="1" thickBot="1">
      <c r="A9" s="1354" t="str">
        <f>'Schedule B'!A26&amp;" - "&amp;'Schedule B'!C26</f>
        <v>PS.003F08 - CML (Independent Commissioning Agent) COO 7</v>
      </c>
      <c r="B9" s="1355"/>
      <c r="C9" s="1355"/>
      <c r="D9" s="1356"/>
      <c r="E9" s="1356"/>
      <c r="F9" s="1357"/>
      <c r="G9" s="1357"/>
      <c r="H9" s="1357"/>
      <c r="I9" s="1357"/>
      <c r="J9" s="1357"/>
      <c r="K9" s="1356"/>
      <c r="L9" s="1355"/>
      <c r="M9" s="2849"/>
      <c r="N9" s="1355"/>
      <c r="O9" s="1355"/>
      <c r="P9" s="1355"/>
      <c r="Q9" s="1355"/>
      <c r="R9" s="1355"/>
      <c r="S9" s="1355"/>
      <c r="T9" s="1355"/>
      <c r="U9" s="1358"/>
      <c r="V9" s="4659"/>
      <c r="W9" s="1356"/>
      <c r="X9" s="1356"/>
      <c r="Y9" s="1356"/>
      <c r="Z9" s="1356"/>
      <c r="AA9" s="1356"/>
      <c r="AB9" s="1356"/>
      <c r="AC9" s="1356"/>
      <c r="AD9" s="1356"/>
      <c r="AE9" s="1356"/>
      <c r="AF9" s="1359"/>
    </row>
    <row r="10" spans="1:33">
      <c r="A10" s="6051" t="s">
        <v>1524</v>
      </c>
      <c r="B10" s="6052"/>
      <c r="C10" s="6052"/>
      <c r="D10" s="6052"/>
      <c r="E10" s="6052"/>
      <c r="F10" s="6052"/>
      <c r="G10" s="6053"/>
      <c r="H10" s="6053"/>
      <c r="I10" s="6053"/>
      <c r="J10" s="6054"/>
      <c r="K10" s="1256"/>
      <c r="L10" s="6055" t="s">
        <v>1525</v>
      </c>
      <c r="M10" s="6056"/>
      <c r="N10" s="6056"/>
      <c r="O10" s="6056"/>
      <c r="P10" s="6056"/>
      <c r="Q10" s="6056"/>
      <c r="R10" s="6057"/>
      <c r="S10" s="6057"/>
      <c r="T10" s="6057"/>
      <c r="U10" s="6058"/>
      <c r="V10" s="1256"/>
      <c r="W10" s="6043" t="s">
        <v>1526</v>
      </c>
      <c r="X10" s="6044"/>
      <c r="Y10" s="6044"/>
      <c r="Z10" s="6044"/>
      <c r="AA10" s="6044"/>
      <c r="AB10" s="6044"/>
      <c r="AC10" s="6044"/>
      <c r="AD10" s="6044"/>
      <c r="AE10" s="6044"/>
      <c r="AF10" s="6059"/>
    </row>
    <row r="11" spans="1:33" ht="60" customHeight="1">
      <c r="A11" s="1283" t="s">
        <v>1462</v>
      </c>
      <c r="B11" s="1284" t="s">
        <v>1527</v>
      </c>
      <c r="C11" s="1284" t="s">
        <v>1528</v>
      </c>
      <c r="D11" s="1285" t="s">
        <v>1744</v>
      </c>
      <c r="E11" s="1285" t="s">
        <v>1530</v>
      </c>
      <c r="F11" s="1286" t="s">
        <v>1531</v>
      </c>
      <c r="G11" s="1287" t="s">
        <v>1532</v>
      </c>
      <c r="H11" s="1287" t="s">
        <v>1533</v>
      </c>
      <c r="I11" s="1287" t="s">
        <v>1534</v>
      </c>
      <c r="J11" s="1288" t="s">
        <v>1535</v>
      </c>
      <c r="K11" s="1289"/>
      <c r="L11" s="763" t="s">
        <v>1536</v>
      </c>
      <c r="M11" s="1290" t="s">
        <v>1601</v>
      </c>
      <c r="N11" s="1290" t="s">
        <v>1530</v>
      </c>
      <c r="O11" s="1290" t="s">
        <v>2151</v>
      </c>
      <c r="P11" s="764" t="s">
        <v>1539</v>
      </c>
      <c r="Q11" s="1291" t="s">
        <v>1540</v>
      </c>
      <c r="R11" s="1292" t="s">
        <v>1541</v>
      </c>
      <c r="S11" s="1292" t="s">
        <v>1533</v>
      </c>
      <c r="T11" s="1292" t="s">
        <v>1534</v>
      </c>
      <c r="U11" s="1293" t="s">
        <v>1542</v>
      </c>
      <c r="V11" s="1256"/>
      <c r="W11" s="1294" t="s">
        <v>3085</v>
      </c>
      <c r="X11" s="2839" t="s">
        <v>2087</v>
      </c>
      <c r="Y11" s="1295" t="s">
        <v>1544</v>
      </c>
      <c r="Z11" s="1296" t="s">
        <v>1545</v>
      </c>
      <c r="AA11" s="1296" t="s">
        <v>1761</v>
      </c>
      <c r="AB11" s="769" t="s">
        <v>1539</v>
      </c>
      <c r="AC11" s="769" t="s">
        <v>1547</v>
      </c>
      <c r="AD11" s="769" t="s">
        <v>1548</v>
      </c>
      <c r="AE11" s="1296" t="s">
        <v>1549</v>
      </c>
      <c r="AF11" s="1297" t="s">
        <v>1550</v>
      </c>
    </row>
    <row r="12" spans="1:33" ht="26.25" customHeight="1">
      <c r="A12" s="1298"/>
      <c r="B12" s="1299"/>
      <c r="C12" s="1300"/>
      <c r="D12" s="1301"/>
      <c r="E12" s="1302" t="s">
        <v>296</v>
      </c>
      <c r="F12" s="1303" t="s">
        <v>434</v>
      </c>
      <c r="G12" s="1303" t="s">
        <v>434</v>
      </c>
      <c r="H12" s="1304" t="s">
        <v>805</v>
      </c>
      <c r="I12" s="1304" t="s">
        <v>805</v>
      </c>
      <c r="J12" s="1305" t="s">
        <v>434</v>
      </c>
      <c r="K12" s="1256"/>
      <c r="L12" s="765"/>
      <c r="M12" s="766"/>
      <c r="N12" s="1306" t="s">
        <v>296</v>
      </c>
      <c r="O12" s="766" t="s">
        <v>2152</v>
      </c>
      <c r="P12" s="1307" t="s">
        <v>1552</v>
      </c>
      <c r="Q12" s="767" t="s">
        <v>434</v>
      </c>
      <c r="R12" s="767" t="s">
        <v>434</v>
      </c>
      <c r="S12" s="1308" t="s">
        <v>805</v>
      </c>
      <c r="T12" s="1308" t="s">
        <v>805</v>
      </c>
      <c r="U12" s="768" t="s">
        <v>434</v>
      </c>
      <c r="V12" s="1256"/>
      <c r="W12" s="770"/>
      <c r="X12" s="2840"/>
      <c r="Y12" s="1309" t="s">
        <v>296</v>
      </c>
      <c r="Z12" s="1309" t="s">
        <v>296</v>
      </c>
      <c r="AA12" s="1309" t="s">
        <v>3578</v>
      </c>
      <c r="AB12" s="1310" t="s">
        <v>1552</v>
      </c>
      <c r="AC12" s="1311"/>
      <c r="AD12" s="1312">
        <v>0.15</v>
      </c>
      <c r="AE12" s="1309" t="s">
        <v>296</v>
      </c>
      <c r="AF12" s="1313" t="s">
        <v>296</v>
      </c>
    </row>
    <row r="13" spans="1:33" s="722" customFormat="1" ht="22.5" customHeight="1">
      <c r="A13" s="1314"/>
      <c r="B13" s="1314"/>
      <c r="C13" s="1314"/>
      <c r="D13" s="1314"/>
      <c r="E13" s="1314" t="s">
        <v>1481</v>
      </c>
      <c r="F13" s="1314"/>
      <c r="G13" s="1314"/>
      <c r="H13" s="1314"/>
      <c r="I13" s="1314"/>
      <c r="J13" s="1314"/>
      <c r="K13" s="1255"/>
      <c r="L13" s="1315"/>
      <c r="M13" s="1315"/>
      <c r="N13" s="1316" t="s">
        <v>1482</v>
      </c>
      <c r="O13" s="1314" t="s">
        <v>2084</v>
      </c>
      <c r="P13" s="1317" t="s">
        <v>1555</v>
      </c>
      <c r="Q13" s="1318" t="s">
        <v>1556</v>
      </c>
      <c r="R13" s="1318" t="s">
        <v>1557</v>
      </c>
      <c r="S13" s="1319" t="s">
        <v>1605</v>
      </c>
      <c r="T13" s="1319" t="s">
        <v>1606</v>
      </c>
      <c r="U13" s="1318" t="s">
        <v>1560</v>
      </c>
      <c r="V13" s="1255"/>
      <c r="W13" s="1316"/>
      <c r="X13" s="1316" t="s">
        <v>1561</v>
      </c>
      <c r="Y13" s="1316"/>
      <c r="Z13" s="1316" t="s">
        <v>2088</v>
      </c>
      <c r="AA13" s="1316" t="s">
        <v>2089</v>
      </c>
      <c r="AB13" s="1317" t="s">
        <v>2091</v>
      </c>
      <c r="AC13" s="1314" t="s">
        <v>2092</v>
      </c>
      <c r="AD13" s="1319" t="s">
        <v>2093</v>
      </c>
      <c r="AE13" s="1316" t="s">
        <v>2094</v>
      </c>
      <c r="AF13" s="1316"/>
    </row>
    <row r="14" spans="1:33" s="2837" customFormat="1" ht="57.75" customHeight="1">
      <c r="A14" s="4688">
        <v>1</v>
      </c>
      <c r="B14" s="4689" t="s">
        <v>1763</v>
      </c>
      <c r="C14" s="4690">
        <v>45597</v>
      </c>
      <c r="D14" s="4691" t="s">
        <v>3581</v>
      </c>
      <c r="E14" s="4692">
        <v>45643</v>
      </c>
      <c r="F14" s="4693">
        <f>+G14</f>
        <v>118750</v>
      </c>
      <c r="G14" s="4694">
        <v>118750</v>
      </c>
      <c r="H14" s="4694">
        <v>0</v>
      </c>
      <c r="I14" s="4694">
        <v>0</v>
      </c>
      <c r="J14" s="4694">
        <f t="shared" ref="J14:J20" si="0">G14+H14+I14</f>
        <v>118750</v>
      </c>
      <c r="K14" s="4695"/>
      <c r="L14" s="4696">
        <v>1</v>
      </c>
      <c r="M14" s="4697" t="s">
        <v>3580</v>
      </c>
      <c r="N14" s="4692">
        <v>45668</v>
      </c>
      <c r="O14" s="4698">
        <f t="shared" ref="O14:O29" si="1">E14+21</f>
        <v>45664</v>
      </c>
      <c r="P14" s="4699">
        <f t="shared" ref="P14:P29" si="2">O14-N14</f>
        <v>-4</v>
      </c>
      <c r="Q14" s="4693">
        <f>+R14</f>
        <v>118750</v>
      </c>
      <c r="R14" s="4694">
        <v>118750</v>
      </c>
      <c r="S14" s="4694">
        <v>0</v>
      </c>
      <c r="T14" s="4694">
        <v>0</v>
      </c>
      <c r="U14" s="4694">
        <f t="shared" ref="U14:U20" si="3">R14+S14+T14</f>
        <v>118750</v>
      </c>
      <c r="V14" s="4695"/>
      <c r="W14" s="4700" t="s">
        <v>4232</v>
      </c>
      <c r="X14" s="4703">
        <v>45679</v>
      </c>
      <c r="Y14" s="4698"/>
      <c r="Z14" s="4701">
        <v>45768</v>
      </c>
      <c r="AA14" s="4701">
        <f t="shared" ref="AA14:AA19" si="4">+X14+30</f>
        <v>45709</v>
      </c>
      <c r="AB14" s="4699">
        <f t="shared" ref="AB14:AB22" si="5">+AA14-Z14</f>
        <v>-59</v>
      </c>
      <c r="AC14" s="4702">
        <v>118750</v>
      </c>
      <c r="AD14" s="4702">
        <f t="shared" ref="AD14:AD22" si="6">+AC14*15%</f>
        <v>17812.5</v>
      </c>
      <c r="AE14" s="4702">
        <f t="shared" ref="AE14:AE22" si="7">+AD14+AC14</f>
        <v>136562.5</v>
      </c>
      <c r="AF14" s="4702">
        <f>+AE14</f>
        <v>136562.5</v>
      </c>
      <c r="AG14" s="2842">
        <f>+AC14*1.15</f>
        <v>136562.5</v>
      </c>
    </row>
    <row r="15" spans="1:33" s="2837" customFormat="1" ht="57.75" customHeight="1">
      <c r="A15" s="4688">
        <v>2</v>
      </c>
      <c r="B15" s="4689" t="s">
        <v>1764</v>
      </c>
      <c r="C15" s="4690">
        <v>45627</v>
      </c>
      <c r="D15" s="4691" t="s">
        <v>3582</v>
      </c>
      <c r="E15" s="4692">
        <v>45664</v>
      </c>
      <c r="F15" s="4693">
        <f t="shared" ref="F15:F28" si="8">+G15+F14</f>
        <v>310538.89</v>
      </c>
      <c r="G15" s="4694">
        <v>191788.89</v>
      </c>
      <c r="H15" s="4694">
        <v>0</v>
      </c>
      <c r="I15" s="4694">
        <v>0</v>
      </c>
      <c r="J15" s="4694">
        <f t="shared" si="0"/>
        <v>191788.89</v>
      </c>
      <c r="K15" s="4695">
        <v>2</v>
      </c>
      <c r="L15" s="4696">
        <v>2</v>
      </c>
      <c r="M15" s="4697" t="s">
        <v>3583</v>
      </c>
      <c r="N15" s="4692">
        <v>45672</v>
      </c>
      <c r="O15" s="4698">
        <f t="shared" si="1"/>
        <v>45685</v>
      </c>
      <c r="P15" s="4699">
        <f t="shared" si="2"/>
        <v>13</v>
      </c>
      <c r="Q15" s="4693">
        <f t="shared" ref="Q15:Q29" si="9">+R15+Q14</f>
        <v>310545</v>
      </c>
      <c r="R15" s="4694">
        <v>191795</v>
      </c>
      <c r="S15" s="4694">
        <v>0</v>
      </c>
      <c r="T15" s="4694">
        <v>0</v>
      </c>
      <c r="U15" s="4694">
        <f t="shared" si="3"/>
        <v>191795</v>
      </c>
      <c r="V15" s="4695"/>
      <c r="W15" s="4700" t="s">
        <v>4233</v>
      </c>
      <c r="X15" s="4703">
        <v>45679</v>
      </c>
      <c r="Y15" s="4698"/>
      <c r="Z15" s="4701">
        <v>45768</v>
      </c>
      <c r="AA15" s="4701">
        <f t="shared" si="4"/>
        <v>45709</v>
      </c>
      <c r="AB15" s="4699">
        <f t="shared" si="5"/>
        <v>-59</v>
      </c>
      <c r="AC15" s="4702">
        <v>191795</v>
      </c>
      <c r="AD15" s="4702">
        <f t="shared" si="6"/>
        <v>28769.25</v>
      </c>
      <c r="AE15" s="4702">
        <f t="shared" si="7"/>
        <v>220564.25</v>
      </c>
      <c r="AF15" s="4702">
        <f t="shared" ref="AF15:AF22" si="10">+AE15+AF14</f>
        <v>357126.75</v>
      </c>
      <c r="AG15" s="2842">
        <f>+AC15*1.15</f>
        <v>220564.24999999997</v>
      </c>
    </row>
    <row r="16" spans="1:33" ht="41.25" customHeight="1">
      <c r="A16" s="4688">
        <v>3</v>
      </c>
      <c r="B16" s="4689" t="s">
        <v>1765</v>
      </c>
      <c r="C16" s="4690">
        <v>45658</v>
      </c>
      <c r="D16" s="4691" t="s">
        <v>3697</v>
      </c>
      <c r="E16" s="4692">
        <v>45687</v>
      </c>
      <c r="F16" s="4693">
        <f t="shared" si="8"/>
        <v>508438.89</v>
      </c>
      <c r="G16" s="4694">
        <v>197900</v>
      </c>
      <c r="H16" s="4694">
        <v>0</v>
      </c>
      <c r="I16" s="4694">
        <v>0</v>
      </c>
      <c r="J16" s="4694">
        <f t="shared" si="0"/>
        <v>197900</v>
      </c>
      <c r="K16" s="4695"/>
      <c r="L16" s="4696">
        <v>3</v>
      </c>
      <c r="M16" s="4697" t="s">
        <v>3698</v>
      </c>
      <c r="N16" s="4692">
        <v>45705</v>
      </c>
      <c r="O16" s="4698">
        <f t="shared" si="1"/>
        <v>45708</v>
      </c>
      <c r="P16" s="4699">
        <f t="shared" si="2"/>
        <v>3</v>
      </c>
      <c r="Q16" s="4693">
        <f t="shared" si="9"/>
        <v>508445</v>
      </c>
      <c r="R16" s="4694">
        <v>197900</v>
      </c>
      <c r="S16" s="4694">
        <v>0</v>
      </c>
      <c r="T16" s="4694">
        <v>0</v>
      </c>
      <c r="U16" s="4694">
        <f t="shared" si="3"/>
        <v>197900</v>
      </c>
      <c r="V16" s="4695"/>
      <c r="W16" s="4700" t="s">
        <v>4307</v>
      </c>
      <c r="X16" s="4703">
        <v>45719</v>
      </c>
      <c r="Y16" s="4698"/>
      <c r="Z16" s="4701">
        <v>45796</v>
      </c>
      <c r="AA16" s="4701">
        <f t="shared" si="4"/>
        <v>45749</v>
      </c>
      <c r="AB16" s="4699">
        <f t="shared" si="5"/>
        <v>-47</v>
      </c>
      <c r="AC16" s="4702">
        <v>197900</v>
      </c>
      <c r="AD16" s="4702">
        <f t="shared" si="6"/>
        <v>29685</v>
      </c>
      <c r="AE16" s="4702">
        <f t="shared" si="7"/>
        <v>227585</v>
      </c>
      <c r="AF16" s="4702">
        <f t="shared" si="10"/>
        <v>584711.75</v>
      </c>
    </row>
    <row r="17" spans="1:32" ht="42" customHeight="1">
      <c r="A17" s="4688">
        <v>4</v>
      </c>
      <c r="B17" s="4689" t="s">
        <v>1766</v>
      </c>
      <c r="C17" s="4690">
        <v>45689</v>
      </c>
      <c r="D17" s="4691" t="s">
        <v>3957</v>
      </c>
      <c r="E17" s="4692">
        <v>45721</v>
      </c>
      <c r="F17" s="4693">
        <f t="shared" si="8"/>
        <v>686658.68</v>
      </c>
      <c r="G17" s="4694">
        <v>178219.79</v>
      </c>
      <c r="H17" s="4694">
        <v>0</v>
      </c>
      <c r="I17" s="4694">
        <v>0</v>
      </c>
      <c r="J17" s="4694">
        <f t="shared" si="0"/>
        <v>178219.79</v>
      </c>
      <c r="K17" s="4695"/>
      <c r="L17" s="4696">
        <v>4</v>
      </c>
      <c r="M17" s="4697" t="s">
        <v>3956</v>
      </c>
      <c r="N17" s="4701">
        <v>45717</v>
      </c>
      <c r="O17" s="4698">
        <f t="shared" si="1"/>
        <v>45742</v>
      </c>
      <c r="P17" s="4699">
        <f t="shared" si="2"/>
        <v>25</v>
      </c>
      <c r="Q17" s="4693">
        <f t="shared" si="9"/>
        <v>686664.79</v>
      </c>
      <c r="R17" s="4694">
        <v>178219.79</v>
      </c>
      <c r="S17" s="4694">
        <v>0</v>
      </c>
      <c r="T17" s="4694">
        <v>0</v>
      </c>
      <c r="U17" s="4694">
        <f t="shared" si="3"/>
        <v>178219.79</v>
      </c>
      <c r="V17" s="4695"/>
      <c r="W17" s="4700" t="s">
        <v>4308</v>
      </c>
      <c r="X17" s="4703">
        <v>45750</v>
      </c>
      <c r="Y17" s="4698"/>
      <c r="Z17" s="4701">
        <v>45796</v>
      </c>
      <c r="AA17" s="4701">
        <f t="shared" si="4"/>
        <v>45780</v>
      </c>
      <c r="AB17" s="4699">
        <f t="shared" si="5"/>
        <v>-16</v>
      </c>
      <c r="AC17" s="4702">
        <v>178219.79</v>
      </c>
      <c r="AD17" s="4702">
        <f t="shared" si="6"/>
        <v>26732.968499999999</v>
      </c>
      <c r="AE17" s="4702">
        <f t="shared" si="7"/>
        <v>204952.7585</v>
      </c>
      <c r="AF17" s="4702">
        <f t="shared" si="10"/>
        <v>789664.5085</v>
      </c>
    </row>
    <row r="18" spans="1:32" ht="36">
      <c r="A18" s="4688">
        <v>5</v>
      </c>
      <c r="B18" s="4689" t="s">
        <v>1767</v>
      </c>
      <c r="C18" s="4690">
        <v>45717</v>
      </c>
      <c r="D18" s="4691" t="s">
        <v>4309</v>
      </c>
      <c r="E18" s="4692">
        <v>45750</v>
      </c>
      <c r="F18" s="4693">
        <f t="shared" si="8"/>
        <v>929971.18</v>
      </c>
      <c r="G18" s="4694">
        <v>243312.5</v>
      </c>
      <c r="H18" s="4694">
        <v>0</v>
      </c>
      <c r="I18" s="4694">
        <v>0</v>
      </c>
      <c r="J18" s="4694">
        <f t="shared" si="0"/>
        <v>243312.5</v>
      </c>
      <c r="K18" s="4695"/>
      <c r="L18" s="4696">
        <v>5</v>
      </c>
      <c r="M18" s="4697" t="s">
        <v>4310</v>
      </c>
      <c r="N18" s="4701">
        <v>45774</v>
      </c>
      <c r="O18" s="4698">
        <f t="shared" si="1"/>
        <v>45771</v>
      </c>
      <c r="P18" s="4699">
        <f t="shared" si="2"/>
        <v>-3</v>
      </c>
      <c r="Q18" s="4693">
        <f t="shared" si="9"/>
        <v>929977.29</v>
      </c>
      <c r="R18" s="4694">
        <v>243312.5</v>
      </c>
      <c r="S18" s="4694">
        <v>0</v>
      </c>
      <c r="T18" s="4694">
        <v>0</v>
      </c>
      <c r="U18" s="4694">
        <f t="shared" si="3"/>
        <v>243312.5</v>
      </c>
      <c r="V18" s="4695"/>
      <c r="W18" s="4700" t="s">
        <v>4389</v>
      </c>
      <c r="X18" s="4703">
        <v>45783</v>
      </c>
      <c r="Y18" s="4698"/>
      <c r="Z18" s="4701">
        <v>45813</v>
      </c>
      <c r="AA18" s="4701">
        <f t="shared" si="4"/>
        <v>45813</v>
      </c>
      <c r="AB18" s="4699">
        <f t="shared" si="5"/>
        <v>0</v>
      </c>
      <c r="AC18" s="4702">
        <f>R18</f>
        <v>243312.5</v>
      </c>
      <c r="AD18" s="4702">
        <f t="shared" si="6"/>
        <v>36496.875</v>
      </c>
      <c r="AE18" s="4702">
        <f t="shared" si="7"/>
        <v>279809.375</v>
      </c>
      <c r="AF18" s="4702">
        <f t="shared" si="10"/>
        <v>1069473.8835</v>
      </c>
    </row>
    <row r="19" spans="1:32" ht="36">
      <c r="A19" s="4688">
        <v>6</v>
      </c>
      <c r="B19" s="4689" t="s">
        <v>1768</v>
      </c>
      <c r="C19" s="4690">
        <v>45748</v>
      </c>
      <c r="D19" s="4691" t="s">
        <v>4311</v>
      </c>
      <c r="E19" s="4692">
        <v>45782</v>
      </c>
      <c r="F19" s="4693">
        <f t="shared" si="8"/>
        <v>1162716.1800000002</v>
      </c>
      <c r="G19" s="4694">
        <v>232745</v>
      </c>
      <c r="H19" s="4694">
        <v>0</v>
      </c>
      <c r="I19" s="4694">
        <v>0</v>
      </c>
      <c r="J19" s="4694">
        <f t="shared" si="0"/>
        <v>232745</v>
      </c>
      <c r="K19" s="4695"/>
      <c r="L19" s="4696">
        <v>6</v>
      </c>
      <c r="M19" s="4697" t="s">
        <v>4312</v>
      </c>
      <c r="N19" s="4701">
        <v>45785</v>
      </c>
      <c r="O19" s="4698">
        <f t="shared" si="1"/>
        <v>45803</v>
      </c>
      <c r="P19" s="4699">
        <f t="shared" si="2"/>
        <v>18</v>
      </c>
      <c r="Q19" s="4693">
        <f t="shared" si="9"/>
        <v>1162722.29</v>
      </c>
      <c r="R19" s="4694">
        <v>232745</v>
      </c>
      <c r="S19" s="4694">
        <v>0</v>
      </c>
      <c r="T19" s="4694">
        <v>0</v>
      </c>
      <c r="U19" s="4694">
        <f t="shared" si="3"/>
        <v>232745</v>
      </c>
      <c r="V19" s="4695"/>
      <c r="W19" s="4700" t="s">
        <v>4388</v>
      </c>
      <c r="X19" s="4703">
        <v>45789</v>
      </c>
      <c r="Y19" s="4698"/>
      <c r="Z19" s="4703">
        <v>45813</v>
      </c>
      <c r="AA19" s="4701">
        <f t="shared" si="4"/>
        <v>45819</v>
      </c>
      <c r="AB19" s="4699">
        <f t="shared" si="5"/>
        <v>6</v>
      </c>
      <c r="AC19" s="4702">
        <v>232745</v>
      </c>
      <c r="AD19" s="4702">
        <f t="shared" si="6"/>
        <v>34911.75</v>
      </c>
      <c r="AE19" s="4702">
        <f t="shared" si="7"/>
        <v>267656.75</v>
      </c>
      <c r="AF19" s="4702">
        <f t="shared" si="10"/>
        <v>1337130.6335</v>
      </c>
    </row>
    <row r="20" spans="1:32" ht="36">
      <c r="A20" s="4688">
        <v>7</v>
      </c>
      <c r="B20" s="4689" t="s">
        <v>1769</v>
      </c>
      <c r="C20" s="4761">
        <v>45778</v>
      </c>
      <c r="D20" s="4691" t="s">
        <v>4412</v>
      </c>
      <c r="E20" s="4692">
        <v>45812</v>
      </c>
      <c r="F20" s="4693">
        <f t="shared" si="8"/>
        <v>1389983.9300000002</v>
      </c>
      <c r="G20" s="4694">
        <v>227267.75</v>
      </c>
      <c r="H20" s="4694">
        <v>0</v>
      </c>
      <c r="I20" s="4694">
        <v>0</v>
      </c>
      <c r="J20" s="4694">
        <f t="shared" si="0"/>
        <v>227267.75</v>
      </c>
      <c r="K20" s="4695"/>
      <c r="L20" s="4696">
        <v>7</v>
      </c>
      <c r="M20" s="4697" t="s">
        <v>4413</v>
      </c>
      <c r="N20" s="4701">
        <v>45832</v>
      </c>
      <c r="O20" s="4698">
        <f t="shared" si="1"/>
        <v>45833</v>
      </c>
      <c r="P20" s="4699">
        <f t="shared" si="2"/>
        <v>1</v>
      </c>
      <c r="Q20" s="4693">
        <f t="shared" si="9"/>
        <v>1389990.04</v>
      </c>
      <c r="R20" s="4694">
        <v>227267.75</v>
      </c>
      <c r="S20" s="4694">
        <v>0</v>
      </c>
      <c r="T20" s="4694">
        <v>0</v>
      </c>
      <c r="U20" s="4694">
        <f t="shared" si="3"/>
        <v>227267.75</v>
      </c>
      <c r="V20" s="4695"/>
      <c r="W20" s="4700" t="s">
        <v>4424</v>
      </c>
      <c r="X20" s="4698">
        <v>45840</v>
      </c>
      <c r="Y20" s="4698"/>
      <c r="Z20" s="4701">
        <v>45861</v>
      </c>
      <c r="AA20" s="4701">
        <f t="shared" ref="AA20:AA30" si="11">+X20+30</f>
        <v>45870</v>
      </c>
      <c r="AB20" s="4699">
        <f t="shared" si="5"/>
        <v>9</v>
      </c>
      <c r="AC20" s="4702">
        <v>232745</v>
      </c>
      <c r="AD20" s="4702">
        <f t="shared" si="6"/>
        <v>34911.75</v>
      </c>
      <c r="AE20" s="4702">
        <f t="shared" si="7"/>
        <v>267656.75</v>
      </c>
      <c r="AF20" s="4702">
        <f t="shared" si="10"/>
        <v>1604787.3835</v>
      </c>
    </row>
    <row r="21" spans="1:32" ht="36">
      <c r="A21" s="4688">
        <v>8</v>
      </c>
      <c r="B21" s="4689" t="s">
        <v>1770</v>
      </c>
      <c r="C21" s="4761">
        <v>45809</v>
      </c>
      <c r="D21" s="4691" t="s">
        <v>4581</v>
      </c>
      <c r="E21" s="4692">
        <v>45842</v>
      </c>
      <c r="F21" s="4693">
        <f t="shared" si="8"/>
        <v>1593009.4300000002</v>
      </c>
      <c r="G21" s="4694">
        <v>203025.5</v>
      </c>
      <c r="H21" s="4694">
        <v>0</v>
      </c>
      <c r="I21" s="4694">
        <v>0</v>
      </c>
      <c r="J21" s="4694">
        <f t="shared" ref="J21:J28" si="12">G21+H21+I21</f>
        <v>203025.5</v>
      </c>
      <c r="K21" s="4695"/>
      <c r="L21" s="4696">
        <v>8</v>
      </c>
      <c r="M21" s="4697" t="s">
        <v>4582</v>
      </c>
      <c r="N21" s="4701">
        <v>45851</v>
      </c>
      <c r="O21" s="4698">
        <f t="shared" si="1"/>
        <v>45863</v>
      </c>
      <c r="P21" s="4699">
        <f t="shared" si="2"/>
        <v>12</v>
      </c>
      <c r="Q21" s="4693">
        <f t="shared" si="9"/>
        <v>1593015.54</v>
      </c>
      <c r="R21" s="4694">
        <v>203025.5</v>
      </c>
      <c r="S21" s="4694">
        <v>0</v>
      </c>
      <c r="T21" s="4694">
        <v>0</v>
      </c>
      <c r="U21" s="4694">
        <f t="shared" ref="U21:U28" si="13">R21+S21+T21</f>
        <v>203025.5</v>
      </c>
      <c r="V21" s="4695"/>
      <c r="W21" s="4700" t="s">
        <v>4583</v>
      </c>
      <c r="X21" s="4698">
        <v>45874</v>
      </c>
      <c r="Y21" s="4698"/>
      <c r="Z21" s="4701">
        <v>45900</v>
      </c>
      <c r="AA21" s="4701">
        <f t="shared" si="11"/>
        <v>45904</v>
      </c>
      <c r="AB21" s="4699">
        <f t="shared" si="5"/>
        <v>4</v>
      </c>
      <c r="AC21" s="4702">
        <v>203025.5</v>
      </c>
      <c r="AD21" s="4702">
        <f t="shared" si="6"/>
        <v>30453.824999999997</v>
      </c>
      <c r="AE21" s="4702">
        <f t="shared" si="7"/>
        <v>233479.32500000001</v>
      </c>
      <c r="AF21" s="4702">
        <f t="shared" si="10"/>
        <v>1838266.7084999999</v>
      </c>
    </row>
    <row r="22" spans="1:32" ht="36">
      <c r="A22" s="4688">
        <v>9</v>
      </c>
      <c r="B22" s="4689" t="s">
        <v>1771</v>
      </c>
      <c r="C22" s="4761">
        <v>45839</v>
      </c>
      <c r="D22" s="4691" t="s">
        <v>4584</v>
      </c>
      <c r="E22" s="4692">
        <v>45873</v>
      </c>
      <c r="F22" s="4693">
        <f t="shared" si="8"/>
        <v>1835720.54</v>
      </c>
      <c r="G22" s="4694">
        <v>242711.11</v>
      </c>
      <c r="H22" s="4694">
        <v>0</v>
      </c>
      <c r="I22" s="4694">
        <v>0</v>
      </c>
      <c r="J22" s="4694">
        <f t="shared" si="12"/>
        <v>242711.11</v>
      </c>
      <c r="K22" s="4695"/>
      <c r="L22" s="4696">
        <v>9</v>
      </c>
      <c r="M22" s="4697" t="s">
        <v>4652</v>
      </c>
      <c r="N22" s="4701">
        <v>45888</v>
      </c>
      <c r="O22" s="4698">
        <f t="shared" si="1"/>
        <v>45894</v>
      </c>
      <c r="P22" s="4699">
        <f t="shared" si="2"/>
        <v>6</v>
      </c>
      <c r="Q22" s="4693">
        <f t="shared" si="9"/>
        <v>1835726.65</v>
      </c>
      <c r="R22" s="4694">
        <v>242711.11</v>
      </c>
      <c r="S22" s="4694">
        <v>0</v>
      </c>
      <c r="T22" s="4694">
        <v>0</v>
      </c>
      <c r="U22" s="4694">
        <f t="shared" si="13"/>
        <v>242711.11</v>
      </c>
      <c r="V22" s="4695"/>
      <c r="W22" s="4700" t="s">
        <v>4734</v>
      </c>
      <c r="X22" s="4698">
        <v>45902</v>
      </c>
      <c r="Y22" s="4698"/>
      <c r="Z22" s="4701">
        <v>45936</v>
      </c>
      <c r="AA22" s="4701">
        <f t="shared" si="11"/>
        <v>45932</v>
      </c>
      <c r="AB22" s="4699">
        <f t="shared" si="5"/>
        <v>-4</v>
      </c>
      <c r="AC22" s="4702">
        <v>242711.11</v>
      </c>
      <c r="AD22" s="4702">
        <f t="shared" si="6"/>
        <v>36406.666499999999</v>
      </c>
      <c r="AE22" s="4702">
        <f t="shared" si="7"/>
        <v>279117.77649999998</v>
      </c>
      <c r="AF22" s="4702">
        <f t="shared" si="10"/>
        <v>2117384.4849999999</v>
      </c>
    </row>
    <row r="23" spans="1:32" ht="36">
      <c r="A23" s="4688">
        <v>10</v>
      </c>
      <c r="B23" s="4689" t="s">
        <v>1626</v>
      </c>
      <c r="C23" s="4761">
        <v>45870</v>
      </c>
      <c r="D23" s="4691" t="s">
        <v>4731</v>
      </c>
      <c r="E23" s="4692">
        <v>45902</v>
      </c>
      <c r="F23" s="4693">
        <f t="shared" si="8"/>
        <v>2056017.04</v>
      </c>
      <c r="G23" s="4694">
        <v>220296.5</v>
      </c>
      <c r="H23" s="4694">
        <v>0</v>
      </c>
      <c r="I23" s="4694">
        <v>0</v>
      </c>
      <c r="J23" s="4694">
        <f t="shared" si="12"/>
        <v>220296.5</v>
      </c>
      <c r="K23" s="4695"/>
      <c r="L23" s="4696">
        <v>10</v>
      </c>
      <c r="M23" s="4697" t="s">
        <v>4732</v>
      </c>
      <c r="N23" s="4701">
        <v>45914</v>
      </c>
      <c r="O23" s="4698">
        <f t="shared" si="1"/>
        <v>45923</v>
      </c>
      <c r="P23" s="4699">
        <f t="shared" si="2"/>
        <v>9</v>
      </c>
      <c r="Q23" s="4693">
        <f t="shared" si="9"/>
        <v>2056023.15</v>
      </c>
      <c r="R23" s="4694">
        <v>220296.5</v>
      </c>
      <c r="S23" s="4694">
        <v>0</v>
      </c>
      <c r="T23" s="4694">
        <v>0</v>
      </c>
      <c r="U23" s="4694">
        <f t="shared" si="13"/>
        <v>220296.5</v>
      </c>
      <c r="V23" s="4695"/>
      <c r="W23" s="4700" t="s">
        <v>4733</v>
      </c>
      <c r="X23" s="4698">
        <v>45922</v>
      </c>
      <c r="Y23" s="4698"/>
      <c r="Z23" s="4701"/>
      <c r="AA23" s="4701">
        <f t="shared" si="11"/>
        <v>45952</v>
      </c>
      <c r="AB23" s="4699"/>
      <c r="AC23" s="4702">
        <v>242711.11</v>
      </c>
      <c r="AD23" s="4702">
        <f t="shared" ref="AD23" si="14">+AC23*15%</f>
        <v>36406.666499999999</v>
      </c>
      <c r="AE23" s="4702">
        <f t="shared" ref="AE23" si="15">+AD23+AC23</f>
        <v>279117.77649999998</v>
      </c>
      <c r="AF23" s="4702">
        <f t="shared" ref="AF23" si="16">+AE23+AF22</f>
        <v>2396502.2615</v>
      </c>
    </row>
    <row r="24" spans="1:32" ht="36">
      <c r="A24" s="4688">
        <v>11</v>
      </c>
      <c r="B24" s="4689" t="s">
        <v>1628</v>
      </c>
      <c r="C24" s="4761">
        <v>45901</v>
      </c>
      <c r="D24" s="4691" t="s">
        <v>4737</v>
      </c>
      <c r="E24" s="4692">
        <v>45922</v>
      </c>
      <c r="F24" s="4693">
        <f t="shared" si="8"/>
        <v>2299517.04</v>
      </c>
      <c r="G24" s="4694">
        <v>243500</v>
      </c>
      <c r="H24" s="4694">
        <v>0</v>
      </c>
      <c r="I24" s="4694">
        <v>0</v>
      </c>
      <c r="J24" s="4694">
        <f t="shared" si="12"/>
        <v>243500</v>
      </c>
      <c r="K24" s="4695"/>
      <c r="L24" s="4696">
        <v>11</v>
      </c>
      <c r="M24" s="4697" t="s">
        <v>4738</v>
      </c>
      <c r="N24" s="4701">
        <v>45924</v>
      </c>
      <c r="O24" s="4698">
        <f t="shared" si="1"/>
        <v>45943</v>
      </c>
      <c r="P24" s="4699">
        <f t="shared" si="2"/>
        <v>19</v>
      </c>
      <c r="Q24" s="4693">
        <f t="shared" si="9"/>
        <v>2299523.15</v>
      </c>
      <c r="R24" s="4694">
        <v>243500</v>
      </c>
      <c r="S24" s="4694">
        <v>0</v>
      </c>
      <c r="T24" s="4694">
        <v>0</v>
      </c>
      <c r="U24" s="4694">
        <f t="shared" si="13"/>
        <v>243500</v>
      </c>
      <c r="V24" s="4695"/>
      <c r="W24" s="4700" t="s">
        <v>4760</v>
      </c>
      <c r="X24" s="4698">
        <v>45933</v>
      </c>
      <c r="Y24" s="4698"/>
      <c r="Z24" s="4701"/>
      <c r="AA24" s="4701">
        <f t="shared" si="11"/>
        <v>45963</v>
      </c>
      <c r="AB24" s="4699"/>
      <c r="AC24" s="4702">
        <v>242711.11</v>
      </c>
      <c r="AD24" s="4702">
        <f t="shared" ref="AD24" si="17">+AC24*15%</f>
        <v>36406.666499999999</v>
      </c>
      <c r="AE24" s="4702">
        <f t="shared" ref="AE24" si="18">+AD24+AC24</f>
        <v>279117.77649999998</v>
      </c>
      <c r="AF24" s="4702">
        <f t="shared" ref="AF24" si="19">+AE24+AF23</f>
        <v>2675620.0380000002</v>
      </c>
    </row>
    <row r="25" spans="1:32" ht="36">
      <c r="A25" s="4688">
        <v>12</v>
      </c>
      <c r="B25" s="4689" t="s">
        <v>1630</v>
      </c>
      <c r="C25" s="4761">
        <v>45931</v>
      </c>
      <c r="D25" s="4691" t="s">
        <v>5143</v>
      </c>
      <c r="E25" s="4692">
        <v>45966</v>
      </c>
      <c r="F25" s="4693">
        <f t="shared" si="8"/>
        <v>2552011.87</v>
      </c>
      <c r="G25" s="4762">
        <v>252494.83</v>
      </c>
      <c r="H25" s="4694">
        <v>0</v>
      </c>
      <c r="I25" s="4694">
        <v>0</v>
      </c>
      <c r="J25" s="4694">
        <f t="shared" si="12"/>
        <v>252494.83</v>
      </c>
      <c r="K25" s="4695"/>
      <c r="L25" s="4696">
        <v>12</v>
      </c>
      <c r="M25" s="4697" t="s">
        <v>5144</v>
      </c>
      <c r="N25" s="4701">
        <v>45979</v>
      </c>
      <c r="O25" s="4698">
        <f t="shared" si="1"/>
        <v>45987</v>
      </c>
      <c r="P25" s="4699">
        <f t="shared" si="2"/>
        <v>8</v>
      </c>
      <c r="Q25" s="4693">
        <f t="shared" si="9"/>
        <v>2552017.98</v>
      </c>
      <c r="R25" s="4694">
        <v>252494.83</v>
      </c>
      <c r="S25" s="4694">
        <v>0</v>
      </c>
      <c r="T25" s="4694">
        <v>0</v>
      </c>
      <c r="U25" s="4694">
        <f t="shared" si="13"/>
        <v>252494.83</v>
      </c>
      <c r="V25" s="4695"/>
      <c r="W25" s="4700" t="s">
        <v>5228</v>
      </c>
      <c r="X25" s="4698">
        <v>45999</v>
      </c>
      <c r="Y25" s="4698"/>
      <c r="Z25" s="4701"/>
      <c r="AA25" s="4701">
        <f t="shared" si="11"/>
        <v>46029</v>
      </c>
      <c r="AB25" s="4699"/>
      <c r="AC25" s="4702">
        <v>242711.11</v>
      </c>
      <c r="AD25" s="4702">
        <f t="shared" ref="AD25" si="20">+AC25*15%</f>
        <v>36406.666499999999</v>
      </c>
      <c r="AE25" s="4702">
        <f t="shared" ref="AE25" si="21">+AD25+AC25</f>
        <v>279117.77649999998</v>
      </c>
      <c r="AF25" s="4702">
        <f t="shared" ref="AF25" si="22">+AE25+AF24</f>
        <v>2954737.8145000003</v>
      </c>
    </row>
    <row r="26" spans="1:32" ht="36">
      <c r="A26" s="4688">
        <v>13</v>
      </c>
      <c r="B26" s="4689" t="s">
        <v>1632</v>
      </c>
      <c r="C26" s="4761">
        <v>45962</v>
      </c>
      <c r="D26" s="4691" t="s">
        <v>5554</v>
      </c>
      <c r="E26" s="4692">
        <v>46000</v>
      </c>
      <c r="F26" s="4693">
        <f t="shared" si="8"/>
        <v>2768534.95</v>
      </c>
      <c r="G26" s="4694">
        <v>216523.08</v>
      </c>
      <c r="H26" s="4694">
        <v>0</v>
      </c>
      <c r="I26" s="4694">
        <v>0</v>
      </c>
      <c r="J26" s="4694">
        <f t="shared" si="12"/>
        <v>216523.08</v>
      </c>
      <c r="K26" s="4695"/>
      <c r="L26" s="4696">
        <v>13</v>
      </c>
      <c r="M26" s="4697" t="s">
        <v>5555</v>
      </c>
      <c r="N26" s="4701">
        <v>46013</v>
      </c>
      <c r="O26" s="4698">
        <f t="shared" si="1"/>
        <v>46021</v>
      </c>
      <c r="P26" s="4699">
        <f t="shared" si="2"/>
        <v>8</v>
      </c>
      <c r="Q26" s="4693">
        <f t="shared" si="9"/>
        <v>2768541.06</v>
      </c>
      <c r="R26" s="4694">
        <v>216523.08</v>
      </c>
      <c r="S26" s="4694">
        <v>0</v>
      </c>
      <c r="T26" s="4694">
        <v>0</v>
      </c>
      <c r="U26" s="4694">
        <f t="shared" si="13"/>
        <v>216523.08</v>
      </c>
      <c r="V26" s="4695"/>
      <c r="W26" s="4700" t="s">
        <v>5561</v>
      </c>
      <c r="X26" s="4698">
        <v>46037</v>
      </c>
      <c r="Y26" s="4698"/>
      <c r="Z26" s="4701"/>
      <c r="AA26" s="4701">
        <f t="shared" si="11"/>
        <v>46067</v>
      </c>
      <c r="AB26" s="4699"/>
      <c r="AC26" s="4702">
        <v>242711.11</v>
      </c>
      <c r="AD26" s="4702">
        <f t="shared" ref="AD26" si="23">+AC26*15%</f>
        <v>36406.666499999999</v>
      </c>
      <c r="AE26" s="4702">
        <f t="shared" ref="AE26" si="24">+AD26+AC26</f>
        <v>279117.77649999998</v>
      </c>
      <c r="AF26" s="4702">
        <f t="shared" ref="AF26" si="25">+AE26+AF25</f>
        <v>3233855.5910000005</v>
      </c>
    </row>
    <row r="27" spans="1:32" ht="36">
      <c r="A27" s="4688">
        <v>14</v>
      </c>
      <c r="B27" s="4689" t="s">
        <v>1634</v>
      </c>
      <c r="C27" s="4761">
        <v>45992</v>
      </c>
      <c r="D27" s="4691" t="s">
        <v>5556</v>
      </c>
      <c r="E27" s="4692">
        <v>46028</v>
      </c>
      <c r="F27" s="4693">
        <f t="shared" si="8"/>
        <v>2970523.8400000003</v>
      </c>
      <c r="G27" s="4694">
        <v>201988.89</v>
      </c>
      <c r="H27" s="4694">
        <v>0</v>
      </c>
      <c r="I27" s="4694">
        <v>0</v>
      </c>
      <c r="J27" s="4694">
        <f t="shared" si="12"/>
        <v>201988.89</v>
      </c>
      <c r="K27" s="4695"/>
      <c r="L27" s="4696">
        <v>14</v>
      </c>
      <c r="M27" s="4697" t="s">
        <v>5557</v>
      </c>
      <c r="N27" s="4701">
        <v>46046</v>
      </c>
      <c r="O27" s="4698">
        <f t="shared" si="1"/>
        <v>46049</v>
      </c>
      <c r="P27" s="4699">
        <f t="shared" si="2"/>
        <v>3</v>
      </c>
      <c r="Q27" s="4693">
        <f t="shared" si="9"/>
        <v>2970529.95</v>
      </c>
      <c r="R27" s="4694">
        <v>201988.89</v>
      </c>
      <c r="S27" s="4694">
        <v>0</v>
      </c>
      <c r="T27" s="4694">
        <v>0</v>
      </c>
      <c r="U27" s="4694">
        <f t="shared" si="13"/>
        <v>201988.89</v>
      </c>
      <c r="V27" s="4695"/>
      <c r="W27" s="4700" t="s">
        <v>5562</v>
      </c>
      <c r="X27" s="4698">
        <v>46063</v>
      </c>
      <c r="Y27" s="4698"/>
      <c r="Z27" s="4701">
        <v>46116</v>
      </c>
      <c r="AA27" s="4701">
        <f t="shared" si="11"/>
        <v>46093</v>
      </c>
      <c r="AB27" s="4699"/>
      <c r="AC27" s="4702">
        <f>U27</f>
        <v>201988.89</v>
      </c>
      <c r="AD27" s="4702">
        <f>+AC27*15%</f>
        <v>30298.333500000001</v>
      </c>
      <c r="AE27" s="4702">
        <f t="shared" ref="AE27:AE28" si="26">+AD27+AC27</f>
        <v>232287.22350000002</v>
      </c>
      <c r="AF27" s="4702">
        <f t="shared" ref="AF27:AF28" si="27">+AE27+AF26</f>
        <v>3466142.8145000003</v>
      </c>
    </row>
    <row r="28" spans="1:32" ht="36">
      <c r="A28" s="4688">
        <v>15</v>
      </c>
      <c r="B28" s="4689" t="s">
        <v>1636</v>
      </c>
      <c r="C28" s="4761">
        <v>46023</v>
      </c>
      <c r="D28" s="4691" t="s">
        <v>5558</v>
      </c>
      <c r="E28" s="4692">
        <v>46057</v>
      </c>
      <c r="F28" s="4693">
        <f t="shared" si="8"/>
        <v>3134777.6900000004</v>
      </c>
      <c r="G28" s="4694">
        <v>164253.85</v>
      </c>
      <c r="H28" s="4694">
        <v>0</v>
      </c>
      <c r="I28" s="4694">
        <v>0</v>
      </c>
      <c r="J28" s="4694">
        <f t="shared" si="12"/>
        <v>164253.85</v>
      </c>
      <c r="K28" s="4695"/>
      <c r="L28" s="4696">
        <v>15</v>
      </c>
      <c r="M28" s="4697" t="s">
        <v>5559</v>
      </c>
      <c r="N28" s="4701">
        <v>46063</v>
      </c>
      <c r="O28" s="4698">
        <f t="shared" si="1"/>
        <v>46078</v>
      </c>
      <c r="P28" s="4699">
        <f t="shared" si="2"/>
        <v>15</v>
      </c>
      <c r="Q28" s="4693">
        <f t="shared" si="9"/>
        <v>3134783.8000000003</v>
      </c>
      <c r="R28" s="4694">
        <v>164253.85</v>
      </c>
      <c r="S28" s="4694">
        <v>0</v>
      </c>
      <c r="T28" s="4694">
        <v>0</v>
      </c>
      <c r="U28" s="4694">
        <f t="shared" si="13"/>
        <v>164253.85</v>
      </c>
      <c r="V28" s="4695"/>
      <c r="W28" s="4700" t="s">
        <v>5563</v>
      </c>
      <c r="X28" s="4698">
        <v>46078</v>
      </c>
      <c r="Y28" s="4698"/>
      <c r="Z28" s="4701">
        <v>46116</v>
      </c>
      <c r="AA28" s="4701">
        <f t="shared" si="11"/>
        <v>46108</v>
      </c>
      <c r="AB28" s="4699"/>
      <c r="AC28" s="4702">
        <f>U28</f>
        <v>164253.85</v>
      </c>
      <c r="AD28" s="4702">
        <f>+AC28*15%</f>
        <v>24638.077499999999</v>
      </c>
      <c r="AE28" s="4702">
        <f t="shared" si="26"/>
        <v>188891.92749999999</v>
      </c>
      <c r="AF28" s="4702">
        <f t="shared" si="27"/>
        <v>3655034.7420000006</v>
      </c>
    </row>
    <row r="29" spans="1:32" ht="36">
      <c r="A29" s="4688">
        <v>16</v>
      </c>
      <c r="B29" s="4689" t="s">
        <v>1638</v>
      </c>
      <c r="C29" s="4761">
        <v>46054</v>
      </c>
      <c r="D29" s="4691" t="s">
        <v>5560</v>
      </c>
      <c r="E29" s="4692">
        <v>46089</v>
      </c>
      <c r="F29" s="4693">
        <f>+G29+F28</f>
        <v>3278002.6900000004</v>
      </c>
      <c r="G29" s="4762">
        <v>143225</v>
      </c>
      <c r="H29" s="4694">
        <v>0</v>
      </c>
      <c r="I29" s="4694">
        <v>0</v>
      </c>
      <c r="J29" s="4694">
        <f t="shared" ref="J29" si="28">G29+H29+I29</f>
        <v>143225</v>
      </c>
      <c r="K29" s="1256"/>
      <c r="L29" s="4696">
        <v>16</v>
      </c>
      <c r="M29" s="4697" t="s">
        <v>6115</v>
      </c>
      <c r="N29" s="4701">
        <v>46124</v>
      </c>
      <c r="O29" s="4698">
        <f t="shared" si="1"/>
        <v>46110</v>
      </c>
      <c r="P29" s="4699">
        <f t="shared" si="2"/>
        <v>-14</v>
      </c>
      <c r="Q29" s="4693">
        <f t="shared" si="9"/>
        <v>3278008.8000000003</v>
      </c>
      <c r="R29" s="4694">
        <v>143225</v>
      </c>
      <c r="S29" s="4694">
        <v>0</v>
      </c>
      <c r="T29" s="4694">
        <v>0</v>
      </c>
      <c r="U29" s="4694">
        <f t="shared" ref="U29" si="29">R29+S29+T29</f>
        <v>143225</v>
      </c>
      <c r="V29" s="1256"/>
      <c r="W29" s="4700" t="s">
        <v>6138</v>
      </c>
      <c r="X29" s="4698">
        <v>46136</v>
      </c>
      <c r="Y29" s="4698"/>
      <c r="Z29" s="4701"/>
      <c r="AA29" s="4701">
        <f t="shared" si="11"/>
        <v>46166</v>
      </c>
      <c r="AB29" s="3245"/>
      <c r="AC29" s="3250"/>
      <c r="AD29" s="3250"/>
      <c r="AE29" s="3250"/>
      <c r="AF29" s="3250"/>
    </row>
    <row r="30" spans="1:32" ht="36">
      <c r="A30" s="4688">
        <v>17</v>
      </c>
      <c r="B30" s="4689" t="s">
        <v>1641</v>
      </c>
      <c r="C30" s="4761">
        <v>46082</v>
      </c>
      <c r="D30" s="4691" t="s">
        <v>6113</v>
      </c>
      <c r="E30" s="4692">
        <v>46120</v>
      </c>
      <c r="F30" s="4693">
        <f t="shared" ref="F30" si="30">+G30+F29</f>
        <v>3430824.9100000006</v>
      </c>
      <c r="G30" s="4694">
        <v>152822.22</v>
      </c>
      <c r="H30" s="4694">
        <v>0</v>
      </c>
      <c r="I30" s="4694">
        <v>0</v>
      </c>
      <c r="J30" s="4694">
        <f t="shared" ref="J30" si="31">G30+H30+I30</f>
        <v>152822.22</v>
      </c>
      <c r="K30" s="4695"/>
      <c r="L30" s="4696">
        <v>17</v>
      </c>
      <c r="M30" s="4697" t="s">
        <v>6114</v>
      </c>
      <c r="N30" s="4701">
        <v>46135</v>
      </c>
      <c r="O30" s="4698">
        <f t="shared" ref="O30" si="32">E30+21</f>
        <v>46141</v>
      </c>
      <c r="P30" s="4699">
        <f t="shared" ref="P30" si="33">O30-N30</f>
        <v>6</v>
      </c>
      <c r="Q30" s="4693">
        <f t="shared" ref="Q30" si="34">+R30+Q29</f>
        <v>3430831.0200000005</v>
      </c>
      <c r="R30" s="4694">
        <v>152822.22</v>
      </c>
      <c r="S30" s="4694">
        <v>0</v>
      </c>
      <c r="T30" s="4694">
        <v>0</v>
      </c>
      <c r="U30" s="4694">
        <f t="shared" ref="U30" si="35">R30+S30+T30</f>
        <v>152822.22</v>
      </c>
      <c r="V30" s="1256"/>
      <c r="W30" s="4700" t="s">
        <v>6200</v>
      </c>
      <c r="X30" s="4698">
        <v>46146</v>
      </c>
      <c r="Y30" s="4698"/>
      <c r="Z30" s="4701"/>
      <c r="AA30" s="4701">
        <f t="shared" si="11"/>
        <v>46176</v>
      </c>
      <c r="AB30" s="4406"/>
      <c r="AC30" s="4404"/>
      <c r="AD30" s="4404"/>
      <c r="AE30" s="4404"/>
      <c r="AF30" s="4404"/>
    </row>
    <row r="31" spans="1:32" ht="36">
      <c r="A31" s="4688">
        <v>18</v>
      </c>
      <c r="B31" s="4689" t="s">
        <v>1642</v>
      </c>
      <c r="C31" s="4761">
        <v>46113</v>
      </c>
      <c r="D31" s="4691" t="s">
        <v>6230</v>
      </c>
      <c r="E31" s="4692">
        <v>46148</v>
      </c>
      <c r="F31" s="4693">
        <f t="shared" ref="F31" si="36">+G31+F30</f>
        <v>3597732.6000000006</v>
      </c>
      <c r="G31" s="4694">
        <v>166907.69</v>
      </c>
      <c r="H31" s="4694">
        <v>0</v>
      </c>
      <c r="I31" s="4694">
        <v>0</v>
      </c>
      <c r="J31" s="4694">
        <f t="shared" ref="J31" si="37">G31+H31+I31</f>
        <v>166907.69</v>
      </c>
      <c r="K31" s="4695"/>
      <c r="L31" s="4696">
        <v>18</v>
      </c>
      <c r="M31" s="4697" t="s">
        <v>6231</v>
      </c>
      <c r="N31" s="4701">
        <v>46154</v>
      </c>
      <c r="O31" s="4698">
        <f t="shared" ref="O31" si="38">E31+21</f>
        <v>46169</v>
      </c>
      <c r="P31" s="4699">
        <f t="shared" ref="P31" si="39">O31-N31</f>
        <v>15</v>
      </c>
      <c r="Q31" s="4693">
        <f t="shared" ref="Q31" si="40">+R31+Q30</f>
        <v>3597738.7100000004</v>
      </c>
      <c r="R31" s="4694">
        <v>166907.69</v>
      </c>
      <c r="S31" s="4694">
        <v>0</v>
      </c>
      <c r="T31" s="4694">
        <v>0</v>
      </c>
      <c r="U31" s="4694">
        <f t="shared" ref="U31" si="41">R31+S31+T31</f>
        <v>166907.69</v>
      </c>
      <c r="V31" s="1256"/>
      <c r="W31" s="5110" t="s">
        <v>6447</v>
      </c>
      <c r="X31" s="4839">
        <v>46198</v>
      </c>
      <c r="Y31" s="4698"/>
      <c r="Z31" s="4701"/>
      <c r="AA31" s="4701">
        <f>+X31+30</f>
        <v>46228</v>
      </c>
      <c r="AB31" s="1324"/>
      <c r="AC31" s="1327"/>
      <c r="AD31" s="1327"/>
      <c r="AE31" s="1327"/>
      <c r="AF31" s="1327"/>
    </row>
    <row r="32" spans="1:32" ht="36">
      <c r="A32" s="4688">
        <v>19</v>
      </c>
      <c r="B32" s="4689" t="s">
        <v>1644</v>
      </c>
      <c r="C32" s="4761">
        <v>46143</v>
      </c>
      <c r="D32" s="4691" t="s">
        <v>6407</v>
      </c>
      <c r="E32" s="4692">
        <v>46178</v>
      </c>
      <c r="F32" s="4693">
        <f t="shared" ref="F32" si="42">+G32+F31</f>
        <v>3733359.5200000005</v>
      </c>
      <c r="G32" s="4694">
        <v>135626.92000000001</v>
      </c>
      <c r="H32" s="4694">
        <v>0</v>
      </c>
      <c r="I32" s="4694">
        <v>0</v>
      </c>
      <c r="J32" s="4694">
        <f t="shared" ref="J32" si="43">G32+H32+I32</f>
        <v>135626.92000000001</v>
      </c>
      <c r="K32" s="4695"/>
      <c r="L32" s="4696">
        <v>19</v>
      </c>
      <c r="M32" s="4697" t="s">
        <v>6552</v>
      </c>
      <c r="N32" s="4701">
        <v>46198</v>
      </c>
      <c r="O32" s="4698">
        <f t="shared" ref="O32" si="44">E32+21</f>
        <v>46199</v>
      </c>
      <c r="P32" s="4699">
        <f t="shared" ref="P32" si="45">O32-N32</f>
        <v>1</v>
      </c>
      <c r="Q32" s="4693">
        <f t="shared" ref="Q32" si="46">+R32+Q31</f>
        <v>3733365.6300000004</v>
      </c>
      <c r="R32" s="4694">
        <v>135626.92000000001</v>
      </c>
      <c r="S32" s="4694">
        <v>0</v>
      </c>
      <c r="T32" s="4694">
        <v>0</v>
      </c>
      <c r="U32" s="4694">
        <f t="shared" ref="U32" si="47">R32+S32+T32</f>
        <v>135626.92000000001</v>
      </c>
      <c r="V32" s="1256"/>
      <c r="W32" s="4700" t="s">
        <v>6542</v>
      </c>
      <c r="X32" s="4698">
        <v>46226</v>
      </c>
      <c r="Y32" s="4698"/>
      <c r="Z32" s="4701"/>
      <c r="AA32" s="4701">
        <f>+X32+30</f>
        <v>46256</v>
      </c>
      <c r="AB32" s="1324"/>
      <c r="AC32" s="1327"/>
      <c r="AD32" s="1327"/>
      <c r="AE32" s="1327"/>
      <c r="AF32" s="1327"/>
    </row>
    <row r="33" spans="1:32" ht="36">
      <c r="A33" s="4688">
        <v>20</v>
      </c>
      <c r="B33" s="4689" t="s">
        <v>1647</v>
      </c>
      <c r="C33" s="4761">
        <v>46204</v>
      </c>
      <c r="D33" s="4691" t="s">
        <v>6481</v>
      </c>
      <c r="E33" s="4692">
        <v>46205</v>
      </c>
      <c r="F33" s="4693">
        <f t="shared" ref="F33" si="48">+G33+F32</f>
        <v>3831359.5200000005</v>
      </c>
      <c r="G33" s="4694">
        <v>98000</v>
      </c>
      <c r="H33" s="4694">
        <v>0</v>
      </c>
      <c r="I33" s="4694">
        <v>0</v>
      </c>
      <c r="J33" s="4694">
        <f t="shared" ref="J33" si="49">G33+H33+I33</f>
        <v>98000</v>
      </c>
      <c r="K33" s="4695"/>
      <c r="L33" s="4696">
        <v>20</v>
      </c>
      <c r="M33" s="4697" t="s">
        <v>6482</v>
      </c>
      <c r="N33" s="4701">
        <v>46214</v>
      </c>
      <c r="O33" s="4698">
        <f t="shared" ref="O33" si="50">E33+21</f>
        <v>46226</v>
      </c>
      <c r="P33" s="4699">
        <f t="shared" ref="P33" si="51">O33-N33</f>
        <v>12</v>
      </c>
      <c r="Q33" s="4693">
        <f t="shared" ref="Q33" si="52">+R33+Q32</f>
        <v>3831365.6300000004</v>
      </c>
      <c r="R33" s="4694">
        <v>98000</v>
      </c>
      <c r="S33" s="4694">
        <v>0</v>
      </c>
      <c r="T33" s="4694">
        <v>0</v>
      </c>
      <c r="U33" s="4694">
        <f t="shared" ref="U33" si="53">R33+S33+T33</f>
        <v>98000</v>
      </c>
      <c r="V33" s="1256"/>
      <c r="W33" s="4700" t="s">
        <v>6597</v>
      </c>
      <c r="X33" s="4698">
        <v>46251</v>
      </c>
      <c r="Y33" s="4698"/>
      <c r="Z33" s="4701"/>
      <c r="AA33" s="4701">
        <f>+X33+30</f>
        <v>46281</v>
      </c>
      <c r="AB33" s="1324"/>
      <c r="AC33" s="1327"/>
      <c r="AD33" s="1327"/>
      <c r="AE33" s="1327"/>
      <c r="AF33" s="1327"/>
    </row>
    <row r="34" spans="1:32" ht="36">
      <c r="A34" s="4688">
        <v>21</v>
      </c>
      <c r="B34" s="4689" t="s">
        <v>1650</v>
      </c>
      <c r="C34" s="4761">
        <v>46235</v>
      </c>
      <c r="D34" s="4691" t="s">
        <v>6481</v>
      </c>
      <c r="E34" s="4692">
        <v>46244</v>
      </c>
      <c r="F34" s="4693">
        <f t="shared" ref="F34" si="54">+G34+F33</f>
        <v>3853996.2400000007</v>
      </c>
      <c r="G34" s="4694">
        <v>22636.720000000001</v>
      </c>
      <c r="H34" s="4694">
        <v>0</v>
      </c>
      <c r="I34" s="4694">
        <v>0</v>
      </c>
      <c r="J34" s="4694">
        <f t="shared" ref="J34" si="55">G34+H34+I34</f>
        <v>22636.720000000001</v>
      </c>
      <c r="K34" s="4695"/>
      <c r="L34" s="4696">
        <v>21</v>
      </c>
      <c r="M34" s="4697" t="s">
        <v>6576</v>
      </c>
      <c r="N34" s="4701">
        <v>46251</v>
      </c>
      <c r="O34" s="4698">
        <f t="shared" ref="O34" si="56">E34+21</f>
        <v>46265</v>
      </c>
      <c r="P34" s="4699">
        <f t="shared" ref="P34" si="57">O34-N34</f>
        <v>14</v>
      </c>
      <c r="Q34" s="4693">
        <f t="shared" ref="Q34" si="58">+R34+Q33</f>
        <v>3854002.3500000006</v>
      </c>
      <c r="R34" s="4694">
        <v>22636.720000000001</v>
      </c>
      <c r="S34" s="4694">
        <v>0</v>
      </c>
      <c r="T34" s="4694">
        <v>0</v>
      </c>
      <c r="U34" s="4694">
        <f t="shared" ref="U34" si="59">R34+S34+T34</f>
        <v>22636.720000000001</v>
      </c>
      <c r="V34" s="1256"/>
      <c r="W34" s="4700" t="s">
        <v>6652</v>
      </c>
      <c r="X34" s="4698">
        <v>46276</v>
      </c>
      <c r="Y34" s="4698"/>
      <c r="Z34" s="4701"/>
      <c r="AA34" s="4701">
        <f>+X34+30</f>
        <v>46306</v>
      </c>
      <c r="AB34" s="1324"/>
      <c r="AC34" s="1327"/>
      <c r="AD34" s="1327"/>
      <c r="AE34" s="1327"/>
      <c r="AF34" s="1327"/>
    </row>
    <row r="35" spans="1:32" ht="36">
      <c r="A35" s="4688">
        <v>22</v>
      </c>
      <c r="B35" s="4689" t="s">
        <v>6644</v>
      </c>
      <c r="C35" s="4761">
        <v>46235</v>
      </c>
      <c r="D35" s="4691" t="s">
        <v>6645</v>
      </c>
      <c r="E35" s="4692">
        <v>46268</v>
      </c>
      <c r="F35" s="4693">
        <f t="shared" ref="F35" si="60">+G35+F34</f>
        <v>3873841.7600000007</v>
      </c>
      <c r="G35" s="4694">
        <v>19845.52</v>
      </c>
      <c r="H35" s="4694">
        <v>0</v>
      </c>
      <c r="I35" s="4694">
        <v>0</v>
      </c>
      <c r="J35" s="4694">
        <f t="shared" ref="J35" si="61">G35+H35+I35</f>
        <v>19845.52</v>
      </c>
      <c r="K35" s="4695"/>
      <c r="L35" s="4696">
        <v>22</v>
      </c>
      <c r="M35" s="4697" t="s">
        <v>6646</v>
      </c>
      <c r="N35" s="4701">
        <v>46273</v>
      </c>
      <c r="O35" s="4698">
        <f t="shared" ref="O35" si="62">E35+21</f>
        <v>46289</v>
      </c>
      <c r="P35" s="4699">
        <f t="shared" ref="P35" si="63">O35-N35</f>
        <v>16</v>
      </c>
      <c r="Q35" s="4693">
        <f t="shared" ref="Q35" si="64">+R35+Q34</f>
        <v>3873847.8700000006</v>
      </c>
      <c r="R35" s="4694">
        <v>19845.52</v>
      </c>
      <c r="S35" s="4694">
        <v>0</v>
      </c>
      <c r="T35" s="4694">
        <v>0</v>
      </c>
      <c r="U35" s="4694">
        <f t="shared" ref="U35" si="65">R35+S35+T35</f>
        <v>19845.52</v>
      </c>
      <c r="V35" s="1256"/>
      <c r="W35" s="4700" t="s">
        <v>6712</v>
      </c>
      <c r="X35" s="4698">
        <v>46293</v>
      </c>
      <c r="Y35" s="4698"/>
      <c r="Z35" s="4701"/>
      <c r="AA35" s="4701">
        <f>+X35+30</f>
        <v>46323</v>
      </c>
      <c r="AB35" s="1324"/>
      <c r="AC35" s="1327"/>
      <c r="AD35" s="1327"/>
      <c r="AE35" s="1327"/>
      <c r="AF35" s="1327"/>
    </row>
    <row r="36" spans="1:32">
      <c r="A36" s="723"/>
      <c r="B36" s="810"/>
      <c r="C36" s="1445"/>
      <c r="D36" s="1320"/>
      <c r="E36" s="1441"/>
      <c r="F36" s="1322"/>
      <c r="G36" s="1322"/>
      <c r="H36" s="1322"/>
      <c r="I36" s="1322"/>
      <c r="J36" s="1322"/>
      <c r="K36" s="1256"/>
      <c r="L36" s="1443"/>
      <c r="M36" s="2850"/>
      <c r="N36" s="1321"/>
      <c r="O36" s="1323"/>
      <c r="P36" s="1324"/>
      <c r="Q36" s="1322"/>
      <c r="R36" s="1444"/>
      <c r="S36" s="1444"/>
      <c r="T36" s="1444"/>
      <c r="U36" s="1328"/>
      <c r="V36" s="1256"/>
      <c r="W36" s="723"/>
      <c r="X36" s="1323"/>
      <c r="Y36" s="1323"/>
      <c r="Z36" s="1321"/>
      <c r="AA36" s="1321"/>
      <c r="AB36" s="1324"/>
      <c r="AC36" s="1327"/>
      <c r="AD36" s="1327"/>
      <c r="AE36" s="1327"/>
      <c r="AF36" s="1327"/>
    </row>
    <row r="37" spans="1:32">
      <c r="A37" s="1329"/>
      <c r="B37" s="1330"/>
      <c r="C37" s="1440"/>
      <c r="D37" s="1331"/>
      <c r="E37" s="1442"/>
      <c r="F37" s="1332"/>
      <c r="G37" s="1332"/>
      <c r="H37" s="1332"/>
      <c r="I37" s="1332"/>
      <c r="J37" s="1332"/>
      <c r="K37" s="1256"/>
      <c r="L37" s="1329"/>
      <c r="M37" s="2851"/>
      <c r="N37" s="1334"/>
      <c r="O37" s="1334"/>
      <c r="P37" s="1335"/>
      <c r="Q37" s="1322"/>
      <c r="R37" s="1333"/>
      <c r="S37" s="1333"/>
      <c r="T37" s="1333"/>
      <c r="U37" s="1336"/>
      <c r="V37" s="1256"/>
      <c r="W37" s="1329"/>
      <c r="X37" s="1333"/>
      <c r="Y37" s="1337"/>
      <c r="Z37" s="1334"/>
      <c r="AA37" s="1334"/>
      <c r="AB37" s="1334"/>
      <c r="AC37" s="1329"/>
      <c r="AD37" s="1337"/>
      <c r="AE37" s="1334"/>
      <c r="AF37" s="1334"/>
    </row>
    <row r="38" spans="1:32" ht="24.75" customHeight="1" collapsed="1" thickBot="1">
      <c r="A38" s="6045" t="s">
        <v>1522</v>
      </c>
      <c r="B38" s="6046"/>
      <c r="C38" s="6046"/>
      <c r="D38" s="6046"/>
      <c r="E38" s="6046"/>
      <c r="F38" s="6047"/>
      <c r="G38" s="1338">
        <f>SUM(G14:G37)</f>
        <v>3873841.7600000007</v>
      </c>
      <c r="H38" s="1338">
        <f>SUM(H14:H37)</f>
        <v>0</v>
      </c>
      <c r="I38" s="1338">
        <f>SUM(I14:I37)</f>
        <v>0</v>
      </c>
      <c r="J38" s="1338">
        <f>SUM(J14:J37)</f>
        <v>3873841.7600000007</v>
      </c>
      <c r="K38" s="1256"/>
      <c r="L38" s="1339" t="s">
        <v>1522</v>
      </c>
      <c r="M38" s="1343"/>
      <c r="N38" s="1340"/>
      <c r="O38" s="1340"/>
      <c r="P38" s="1340"/>
      <c r="Q38" s="1340"/>
      <c r="R38" s="1341">
        <f>SUM(R14:R37)</f>
        <v>3873847.8700000006</v>
      </c>
      <c r="S38" s="1338">
        <f>SUM(S14:S37)</f>
        <v>0</v>
      </c>
      <c r="T38" s="1338">
        <f>SUM(T14:T37)</f>
        <v>0</v>
      </c>
      <c r="U38" s="1338">
        <f>SUM(U14:U37)</f>
        <v>3873847.8700000006</v>
      </c>
      <c r="V38" s="1256"/>
      <c r="W38" s="1342" t="s">
        <v>1522</v>
      </c>
      <c r="X38" s="1343"/>
      <c r="Y38" s="1343"/>
      <c r="Z38" s="1343"/>
      <c r="AA38" s="1343"/>
      <c r="AB38" s="1343"/>
      <c r="AC38" s="1341">
        <f>SUM(AC14:AC37)</f>
        <v>3178291.0799999996</v>
      </c>
      <c r="AD38" s="1338">
        <f>SUM(AD14:AD37)</f>
        <v>476743.66200000001</v>
      </c>
      <c r="AE38" s="1338">
        <f>SUM(AE14:AE37)</f>
        <v>3655034.7420000006</v>
      </c>
      <c r="AF38" s="1338">
        <f>+AF22</f>
        <v>2117384.4849999999</v>
      </c>
    </row>
    <row r="39" spans="1:32">
      <c r="A39" s="1360"/>
      <c r="B39" s="1256"/>
      <c r="C39" s="1255"/>
      <c r="D39" s="1257"/>
      <c r="E39" s="1361"/>
      <c r="F39" s="1258"/>
      <c r="G39" s="1258"/>
      <c r="H39" s="1258"/>
      <c r="I39" s="1258"/>
      <c r="J39" s="1258"/>
      <c r="K39" s="1256"/>
      <c r="L39" s="1360"/>
      <c r="M39" s="2852"/>
      <c r="N39" s="1362"/>
      <c r="O39" s="1362"/>
      <c r="P39" s="1362"/>
      <c r="Q39" s="1360"/>
      <c r="R39" s="1360"/>
      <c r="S39" s="1360"/>
      <c r="T39" s="1360"/>
      <c r="U39" s="1363"/>
      <c r="V39" s="1256"/>
      <c r="W39" s="1360"/>
      <c r="X39" s="1360"/>
      <c r="Y39" s="1364"/>
      <c r="Z39" s="1362"/>
      <c r="AA39" s="1362"/>
      <c r="AB39" s="1362"/>
      <c r="AC39" s="1360"/>
      <c r="AD39" s="1364"/>
      <c r="AE39" s="1362"/>
      <c r="AF39" s="1362"/>
    </row>
    <row r="40" spans="1:32">
      <c r="A40" s="1360"/>
      <c r="B40" s="1256"/>
      <c r="C40" s="1255"/>
      <c r="D40" s="1257"/>
      <c r="E40" s="1361"/>
      <c r="F40" s="1258"/>
      <c r="G40" s="1258"/>
      <c r="H40" s="1258"/>
      <c r="I40" s="1258"/>
      <c r="J40" s="1258"/>
      <c r="K40" s="1256"/>
      <c r="L40" s="1360"/>
      <c r="M40" s="2852"/>
      <c r="N40" s="1362"/>
      <c r="O40" s="1362"/>
      <c r="P40" s="1257"/>
      <c r="Q40" s="1258"/>
      <c r="R40" s="1258"/>
      <c r="S40" s="1258"/>
      <c r="T40" s="1258"/>
      <c r="U40" s="1258">
        <f>+U19*1.15</f>
        <v>267656.75</v>
      </c>
      <c r="V40" s="1256"/>
      <c r="W40" s="1360"/>
      <c r="X40" s="1360"/>
      <c r="Y40" s="1364"/>
      <c r="Z40" s="1362"/>
      <c r="AA40" s="1362"/>
      <c r="AB40" s="1362"/>
      <c r="AC40" s="1360"/>
      <c r="AD40" s="1364"/>
      <c r="AE40" s="1362"/>
      <c r="AF40" s="1362"/>
    </row>
    <row r="41" spans="1:32">
      <c r="A41" s="1365"/>
      <c r="B41" s="1256"/>
      <c r="C41" s="1255"/>
      <c r="D41" s="1257"/>
      <c r="E41" s="1361"/>
      <c r="F41" s="1366"/>
      <c r="G41" s="1366"/>
      <c r="H41" s="1366"/>
      <c r="I41" s="1366"/>
      <c r="J41" s="1258"/>
      <c r="K41" s="1256"/>
      <c r="L41" s="1365"/>
      <c r="M41" s="2853">
        <f>403092.61/11085046.72</f>
        <v>3.6363636544059594E-2</v>
      </c>
      <c r="N41" s="1365"/>
      <c r="O41" s="1365"/>
      <c r="P41" s="1257"/>
      <c r="Q41" s="1366"/>
      <c r="R41" s="1366"/>
      <c r="S41" s="1366"/>
      <c r="T41" s="1366"/>
      <c r="U41" s="1366">
        <f>+U17+U18</f>
        <v>421532.29000000004</v>
      </c>
      <c r="V41" s="1256"/>
      <c r="W41" s="1365"/>
      <c r="X41" s="1365"/>
      <c r="Y41" s="1365"/>
      <c r="Z41" s="1362"/>
      <c r="AA41" s="1362"/>
      <c r="AB41" s="1362"/>
      <c r="AC41" s="1365"/>
      <c r="AD41" s="1365"/>
      <c r="AE41" s="1362"/>
      <c r="AF41" s="1362"/>
    </row>
    <row r="42" spans="1:32">
      <c r="D42" s="1257"/>
      <c r="E42" s="153">
        <v>44197</v>
      </c>
      <c r="F42" s="1366"/>
      <c r="P42" s="1257"/>
      <c r="Q42" s="1366"/>
      <c r="R42" s="1366"/>
      <c r="S42" s="1366"/>
      <c r="T42" s="1366"/>
      <c r="U42" s="1366">
        <f>+U41*1.15</f>
        <v>484762.1335</v>
      </c>
      <c r="AA42" s="153">
        <v>44094</v>
      </c>
      <c r="AC42" s="1367"/>
    </row>
    <row r="43" spans="1:32">
      <c r="D43" s="1257"/>
      <c r="E43" s="153">
        <f>E42-45</f>
        <v>44152</v>
      </c>
      <c r="F43" s="1366"/>
      <c r="P43" s="1257"/>
      <c r="Q43" s="1366"/>
      <c r="R43" s="1366"/>
      <c r="S43" s="1366"/>
      <c r="T43" s="1366"/>
      <c r="U43" s="1366"/>
      <c r="AA43" s="153">
        <f>AA42-45</f>
        <v>44049</v>
      </c>
    </row>
    <row r="44" spans="1:32">
      <c r="D44" s="1257"/>
      <c r="F44" s="1366"/>
      <c r="H44" s="153">
        <v>43986</v>
      </c>
      <c r="R44" s="652"/>
      <c r="S44" s="652"/>
      <c r="T44" s="652"/>
      <c r="U44" s="652"/>
    </row>
    <row r="45" spans="1:32">
      <c r="M45" s="4278">
        <v>45812</v>
      </c>
    </row>
    <row r="46" spans="1:32">
      <c r="M46" s="2854">
        <v>51</v>
      </c>
    </row>
    <row r="47" spans="1:32">
      <c r="M47" s="4278">
        <f>+M46+M45</f>
        <v>45863</v>
      </c>
    </row>
  </sheetData>
  <mergeCells count="4">
    <mergeCell ref="A10:J10"/>
    <mergeCell ref="L10:U10"/>
    <mergeCell ref="W10:AF10"/>
    <mergeCell ref="A38:F38"/>
  </mergeCells>
  <printOptions horizontalCentered="1"/>
  <pageMargins left="0.25" right="0.25" top="0.75" bottom="0.75" header="0.3" footer="0.3"/>
  <pageSetup paperSize="8" scale="62" fitToHeight="2" orientation="landscape" r:id="rId1"/>
  <headerFooter>
    <oddHeader>&amp;C&amp;"Calibri,Bold"&amp;18MONTHLY REPORT - INVOICE &amp; PAYMENT TRACKING LOG (CML)</oddHeader>
    <oddFooter>&amp;L1TB.01.003.01 - AYC 
MARCH'26 REPORT&amp;C&amp;A&amp;RPage &amp;P of &amp;N</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9F218-F748-4414-B621-7D8A18549835}">
  <sheetPr>
    <tabColor theme="7" tint="0.39997558519241921"/>
    <pageSetUpPr fitToPage="1"/>
  </sheetPr>
  <dimension ref="A1:AG43"/>
  <sheetViews>
    <sheetView showGridLines="0" view="pageBreakPreview" topLeftCell="H1" zoomScaleNormal="100" zoomScaleSheetLayoutView="100" workbookViewId="0">
      <selection activeCell="C43" sqref="C43"/>
    </sheetView>
  </sheetViews>
  <sheetFormatPr defaultColWidth="9" defaultRowHeight="12.75"/>
  <cols>
    <col min="1" max="1" width="10.85546875" customWidth="1"/>
    <col min="2" max="2" width="10.42578125" customWidth="1"/>
    <col min="3" max="3" width="11.42578125" customWidth="1"/>
    <col min="4" max="4" width="10.85546875" bestFit="1" customWidth="1"/>
    <col min="5" max="5" width="9.85546875" bestFit="1" customWidth="1"/>
    <col min="6" max="6" width="12" customWidth="1"/>
    <col min="7" max="7" width="12.85546875" bestFit="1" customWidth="1"/>
    <col min="8" max="9" width="11" bestFit="1" customWidth="1"/>
    <col min="10" max="10" width="13.85546875" customWidth="1"/>
    <col min="11" max="11" width="0.85546875" customWidth="1"/>
    <col min="12" max="12" width="6" customWidth="1"/>
    <col min="13" max="13" width="17.85546875" style="2854" bestFit="1" customWidth="1"/>
    <col min="14" max="14" width="9" customWidth="1"/>
    <col min="15" max="15" width="10" customWidth="1"/>
    <col min="16" max="16" width="7.85546875" customWidth="1"/>
    <col min="17" max="17" width="13.85546875" customWidth="1"/>
    <col min="18" max="18" width="15.5703125" customWidth="1"/>
    <col min="19" max="20" width="11.42578125" customWidth="1"/>
    <col min="21" max="21" width="14.5703125" customWidth="1"/>
    <col min="22" max="22" width="0.85546875" customWidth="1"/>
    <col min="23" max="23" width="14" bestFit="1" customWidth="1"/>
    <col min="24" max="24" width="9" customWidth="1"/>
    <col min="25" max="25" width="9" hidden="1" customWidth="1"/>
    <col min="26" max="26" width="9" bestFit="1" customWidth="1"/>
    <col min="27" max="27" width="10" customWidth="1"/>
    <col min="28" max="28" width="7" customWidth="1"/>
    <col min="29" max="29" width="12.42578125" customWidth="1"/>
    <col min="30" max="30" width="13.5703125" customWidth="1"/>
    <col min="31" max="32" width="14" customWidth="1"/>
    <col min="33" max="33" width="13.5703125" bestFit="1" customWidth="1"/>
  </cols>
  <sheetData>
    <row r="1" spans="1:33">
      <c r="A1" s="1255"/>
      <c r="B1" s="1256"/>
      <c r="C1" s="1255"/>
      <c r="D1" s="1257"/>
      <c r="E1" s="1257"/>
      <c r="F1" s="1258"/>
      <c r="G1" s="1258"/>
      <c r="H1" s="1258"/>
      <c r="I1" s="1258"/>
      <c r="J1" s="1258"/>
      <c r="K1" s="1257"/>
      <c r="L1" s="1255"/>
      <c r="M1" s="2848"/>
      <c r="N1" s="1255"/>
      <c r="O1" s="1255"/>
      <c r="P1" s="1255"/>
      <c r="Q1" s="1255"/>
      <c r="R1" s="1255"/>
      <c r="S1" s="1255"/>
      <c r="T1" s="1255"/>
      <c r="U1" s="1259"/>
      <c r="V1" s="1257"/>
      <c r="W1" s="1257"/>
      <c r="X1" s="1257"/>
      <c r="Y1" s="1257"/>
      <c r="Z1" s="1257"/>
      <c r="AA1" s="1257"/>
      <c r="AB1" s="1257"/>
      <c r="AC1" s="1257"/>
      <c r="AD1" s="1257"/>
      <c r="AE1" s="1257"/>
      <c r="AF1" s="1257"/>
    </row>
    <row r="2" spans="1:33">
      <c r="A2" s="9" t="str">
        <f>'Data Input'!A1&amp;" - "&amp;'Data Input'!B1</f>
        <v>PROGRAMME: - MARINA VILLAGE (PROGRAMME 1_TRIPLE BAY)</v>
      </c>
      <c r="B2" s="1256"/>
      <c r="C2" s="1255"/>
      <c r="D2" s="1257"/>
      <c r="E2" s="1257"/>
      <c r="F2" s="1258"/>
      <c r="G2" s="1258"/>
      <c r="H2" s="1258"/>
      <c r="I2" s="1258"/>
      <c r="J2" s="1258"/>
      <c r="K2" s="1257"/>
      <c r="L2" s="1255"/>
      <c r="M2" s="2848"/>
      <c r="N2" s="1255"/>
      <c r="O2" s="1255"/>
      <c r="P2" s="1255"/>
      <c r="Q2" s="1255"/>
      <c r="R2" s="1255"/>
      <c r="S2" s="1255"/>
      <c r="T2" s="1255"/>
      <c r="U2" s="1259"/>
      <c r="V2" s="1257"/>
      <c r="W2" s="1257"/>
      <c r="X2" s="1257"/>
      <c r="Y2" s="1257"/>
      <c r="Z2" s="1257"/>
      <c r="AA2" s="1257"/>
      <c r="AB2" s="1257"/>
      <c r="AC2" s="1257"/>
      <c r="AD2" s="1257"/>
      <c r="AE2" s="1257"/>
      <c r="AF2" s="1257"/>
    </row>
    <row r="3" spans="1:33">
      <c r="A3" s="9" t="str">
        <f>'Data Input'!A2&amp;" - "&amp;'Data Input'!B2</f>
        <v>PROGRAMME CODE: - 1TB01003</v>
      </c>
      <c r="B3" s="1260"/>
      <c r="C3" s="1261"/>
      <c r="D3" s="1262"/>
      <c r="E3" s="1262"/>
      <c r="F3" s="1263"/>
      <c r="G3" s="1263"/>
      <c r="H3" s="1263"/>
      <c r="I3" s="1263"/>
      <c r="J3" s="1264"/>
      <c r="K3" s="1265"/>
      <c r="L3" s="1265"/>
      <c r="M3" s="1262"/>
      <c r="N3" s="1265"/>
      <c r="O3" s="1266"/>
      <c r="P3" s="1265"/>
      <c r="Q3" s="1265"/>
      <c r="R3" s="1265"/>
      <c r="S3" s="1265"/>
      <c r="T3" s="1265"/>
      <c r="U3" s="1267"/>
      <c r="V3" s="1265"/>
      <c r="W3" s="1265"/>
      <c r="X3" s="1265"/>
      <c r="Y3" s="1265"/>
      <c r="Z3" s="1265"/>
      <c r="AA3" s="1265"/>
      <c r="AB3" s="1265"/>
      <c r="AC3" s="1265"/>
      <c r="AD3" s="1265"/>
      <c r="AE3" s="1265"/>
      <c r="AF3" s="1265"/>
    </row>
    <row r="4" spans="1:33">
      <c r="A4" s="9" t="str">
        <f>'Data Input'!A3&amp;" - "&amp;'Data Input'!B3</f>
        <v>ASSET NAME: - AMAALA YACHT CLUB</v>
      </c>
      <c r="B4" s="1260"/>
      <c r="C4" s="1268"/>
      <c r="D4" s="1265"/>
      <c r="E4" s="1265"/>
      <c r="F4" s="1267"/>
      <c r="G4" s="1267"/>
      <c r="H4" s="1267"/>
      <c r="I4" s="1267"/>
      <c r="J4" s="1269"/>
      <c r="K4" s="1265"/>
      <c r="L4" s="1265"/>
      <c r="M4" s="1262"/>
      <c r="N4" s="1265"/>
      <c r="O4" s="1266"/>
      <c r="P4" s="1265"/>
      <c r="Q4" s="1265"/>
      <c r="R4" s="1265"/>
      <c r="S4" s="1265"/>
      <c r="T4" s="1265"/>
      <c r="U4" s="1267"/>
      <c r="V4" s="1265"/>
      <c r="W4" s="1265"/>
      <c r="X4" s="1265"/>
      <c r="Y4" s="1265"/>
      <c r="Z4" s="1265"/>
      <c r="AA4" s="1265"/>
      <c r="AB4" s="1265"/>
      <c r="AC4" s="1265"/>
      <c r="AD4" s="1265"/>
      <c r="AE4" s="1265"/>
      <c r="AF4" s="1265"/>
    </row>
    <row r="5" spans="1:33">
      <c r="A5" s="9" t="str">
        <f>'Data Input'!A4&amp;" - "&amp;'Data Input'!B4</f>
        <v>ASSET CODE: - 1TB01003.01</v>
      </c>
      <c r="B5" s="1270"/>
      <c r="C5" s="1268"/>
      <c r="D5" s="1265"/>
      <c r="E5" s="1265"/>
      <c r="F5" s="1267"/>
      <c r="G5" s="1267"/>
      <c r="H5" s="1267"/>
      <c r="I5" s="1267"/>
      <c r="J5" s="1269"/>
      <c r="K5" s="1265"/>
      <c r="L5" s="1265"/>
      <c r="M5" s="1262"/>
      <c r="N5" s="1265"/>
      <c r="O5" s="1266"/>
      <c r="P5" s="1265"/>
      <c r="Q5" s="1265"/>
      <c r="R5" s="1271"/>
      <c r="S5" s="1265"/>
      <c r="T5" s="1265"/>
      <c r="U5" s="1267"/>
      <c r="V5" s="1265"/>
      <c r="W5" s="1265"/>
      <c r="X5" s="1265"/>
      <c r="Y5" s="1265"/>
      <c r="Z5" s="1265"/>
      <c r="AA5" s="1265"/>
      <c r="AB5" s="1265"/>
      <c r="AC5" s="1265"/>
      <c r="AD5" s="1265"/>
      <c r="AE5" s="1265"/>
      <c r="AF5" s="1265"/>
    </row>
    <row r="6" spans="1:33">
      <c r="A6" s="9" t="str">
        <f>'Data Input'!A7&amp;" - "&amp;'Data Input'!B7</f>
        <v>REPORT NO: - MONTHLY REPORT NO. 49</v>
      </c>
      <c r="B6" s="1272"/>
      <c r="C6" s="1268"/>
      <c r="D6" s="1265"/>
      <c r="E6" s="1265"/>
      <c r="F6" s="1267"/>
      <c r="G6" s="1267"/>
      <c r="H6" s="1267"/>
      <c r="I6" s="1267"/>
      <c r="J6" s="1269"/>
      <c r="K6" s="1265"/>
      <c r="L6" s="1265"/>
      <c r="M6" s="1262"/>
      <c r="N6" s="1265"/>
      <c r="O6" s="1266"/>
      <c r="P6" s="1265"/>
      <c r="Q6" s="1265"/>
      <c r="R6" s="1273"/>
      <c r="S6" s="1265"/>
      <c r="T6" s="1271"/>
      <c r="U6" s="1267"/>
      <c r="V6" s="1265"/>
      <c r="W6" s="1265"/>
      <c r="X6" s="1265"/>
      <c r="Y6" s="1265"/>
      <c r="Z6" s="1265"/>
      <c r="AA6" s="1265"/>
      <c r="AB6" s="1265"/>
      <c r="AC6" s="1265"/>
      <c r="AD6" s="1265"/>
      <c r="AE6" s="1265"/>
      <c r="AF6" s="1265"/>
    </row>
    <row r="7" spans="1:33">
      <c r="A7" s="9" t="str">
        <f>'Data Input'!A8&amp;" - "&amp;'Data Input'!B8</f>
        <v>REPORTING PERIOD: - OCTOBER 2026</v>
      </c>
      <c r="B7" s="1262"/>
      <c r="C7" s="1274"/>
      <c r="D7" s="1262"/>
      <c r="E7" s="1262"/>
      <c r="F7" s="1263"/>
      <c r="G7" s="1263"/>
      <c r="H7" s="1263"/>
      <c r="I7" s="1263"/>
      <c r="J7" s="1264"/>
      <c r="K7" s="1265"/>
      <c r="L7" s="1265"/>
      <c r="M7" s="1262"/>
      <c r="N7" s="1265"/>
      <c r="O7" s="1265"/>
      <c r="P7" s="1265"/>
      <c r="Q7" s="1267"/>
      <c r="R7" s="1263"/>
      <c r="S7" s="1263"/>
      <c r="T7" s="1263"/>
      <c r="U7" s="1267"/>
      <c r="V7" s="1265"/>
      <c r="W7" s="1265"/>
      <c r="X7" s="1265"/>
      <c r="Y7" s="1265"/>
      <c r="Z7" s="1265"/>
      <c r="AA7" s="1265"/>
      <c r="AB7" s="1265"/>
      <c r="AC7" s="1265"/>
      <c r="AD7" s="1265"/>
      <c r="AE7" s="1265"/>
      <c r="AF7" s="1265"/>
    </row>
    <row r="8" spans="1:33" ht="13.5" thickBot="1">
      <c r="A8" s="9"/>
      <c r="B8" s="1256"/>
      <c r="C8" s="1255"/>
      <c r="D8" s="1257"/>
      <c r="E8" s="1257"/>
      <c r="F8" s="1258"/>
      <c r="G8" s="1258"/>
      <c r="H8" s="1258"/>
      <c r="I8" s="1258"/>
      <c r="J8" s="1258"/>
      <c r="K8" s="1257"/>
      <c r="L8" s="1255"/>
      <c r="M8" s="2848"/>
      <c r="N8" s="1275"/>
      <c r="O8" s="1276"/>
      <c r="P8" s="1255"/>
      <c r="Q8" s="1255"/>
      <c r="R8" s="1255"/>
      <c r="S8" s="1255"/>
      <c r="T8" s="1255"/>
      <c r="U8" s="1259"/>
      <c r="V8" s="1257"/>
      <c r="W8" s="1257"/>
      <c r="X8" s="1257"/>
      <c r="Y8" s="1257"/>
      <c r="Z8" s="1257"/>
      <c r="AA8" s="1257"/>
      <c r="AB8" s="1257"/>
      <c r="AC8" s="1257"/>
      <c r="AD8" s="1257"/>
      <c r="AE8" s="1257"/>
      <c r="AF8" s="1257"/>
    </row>
    <row r="9" spans="1:33" ht="30" customHeight="1" thickBot="1">
      <c r="A9" s="1354" t="str">
        <f>'Schedule B'!A34&amp;" - "&amp;'Schedule B'!C34</f>
        <v>PS.003F07  - Euro Consult (COO 6)</v>
      </c>
      <c r="B9" s="1355"/>
      <c r="C9" s="1355"/>
      <c r="D9" s="1356"/>
      <c r="E9" s="1356"/>
      <c r="F9" s="1357"/>
      <c r="G9" s="1357"/>
      <c r="H9" s="1357"/>
      <c r="I9" s="1357"/>
      <c r="J9" s="1357"/>
      <c r="K9" s="1356"/>
      <c r="L9" s="1355"/>
      <c r="M9" s="2849"/>
      <c r="N9" s="1355"/>
      <c r="O9" s="1355"/>
      <c r="P9" s="1355"/>
      <c r="Q9" s="1355"/>
      <c r="R9" s="1355"/>
      <c r="S9" s="1355"/>
      <c r="T9" s="1355"/>
      <c r="U9" s="1358"/>
      <c r="V9" s="1356"/>
      <c r="W9" s="1356"/>
      <c r="X9" s="1356"/>
      <c r="Y9" s="1356"/>
      <c r="Z9" s="1356"/>
      <c r="AA9" s="1356"/>
      <c r="AB9" s="1356"/>
      <c r="AC9" s="1356"/>
      <c r="AD9" s="1356"/>
      <c r="AE9" s="1356"/>
      <c r="AF9" s="1359"/>
    </row>
    <row r="10" spans="1:33">
      <c r="A10" s="6051" t="s">
        <v>1524</v>
      </c>
      <c r="B10" s="6052"/>
      <c r="C10" s="6052"/>
      <c r="D10" s="6052"/>
      <c r="E10" s="6052"/>
      <c r="F10" s="6052"/>
      <c r="G10" s="6053"/>
      <c r="H10" s="6053"/>
      <c r="I10" s="6053"/>
      <c r="J10" s="6054"/>
      <c r="K10" s="1256"/>
      <c r="L10" s="6055" t="s">
        <v>1525</v>
      </c>
      <c r="M10" s="6056"/>
      <c r="N10" s="6056"/>
      <c r="O10" s="6056"/>
      <c r="P10" s="6056"/>
      <c r="Q10" s="6056"/>
      <c r="R10" s="6057"/>
      <c r="S10" s="6057"/>
      <c r="T10" s="6057"/>
      <c r="U10" s="6058"/>
      <c r="V10" s="1256"/>
      <c r="W10" s="6043" t="s">
        <v>1526</v>
      </c>
      <c r="X10" s="6044"/>
      <c r="Y10" s="6044"/>
      <c r="Z10" s="6044"/>
      <c r="AA10" s="6044"/>
      <c r="AB10" s="6044"/>
      <c r="AC10" s="6044"/>
      <c r="AD10" s="6044"/>
      <c r="AE10" s="6044"/>
      <c r="AF10" s="6059"/>
    </row>
    <row r="11" spans="1:33" ht="60" customHeight="1">
      <c r="A11" s="1283" t="s">
        <v>1462</v>
      </c>
      <c r="B11" s="1284" t="s">
        <v>1527</v>
      </c>
      <c r="C11" s="1284" t="s">
        <v>1528</v>
      </c>
      <c r="D11" s="1285" t="s">
        <v>1744</v>
      </c>
      <c r="E11" s="1285" t="s">
        <v>1530</v>
      </c>
      <c r="F11" s="1286" t="s">
        <v>1531</v>
      </c>
      <c r="G11" s="1287" t="s">
        <v>1532</v>
      </c>
      <c r="H11" s="1287" t="s">
        <v>1533</v>
      </c>
      <c r="I11" s="1287" t="s">
        <v>1534</v>
      </c>
      <c r="J11" s="1288" t="s">
        <v>1535</v>
      </c>
      <c r="K11" s="1289"/>
      <c r="L11" s="763" t="s">
        <v>1536</v>
      </c>
      <c r="M11" s="1290" t="s">
        <v>1601</v>
      </c>
      <c r="N11" s="1290" t="s">
        <v>1530</v>
      </c>
      <c r="O11" s="1290" t="s">
        <v>2151</v>
      </c>
      <c r="P11" s="764" t="s">
        <v>1539</v>
      </c>
      <c r="Q11" s="1291" t="s">
        <v>1540</v>
      </c>
      <c r="R11" s="1292" t="s">
        <v>1541</v>
      </c>
      <c r="S11" s="1292" t="s">
        <v>1533</v>
      </c>
      <c r="T11" s="1292" t="s">
        <v>1534</v>
      </c>
      <c r="U11" s="1293" t="s">
        <v>1542</v>
      </c>
      <c r="V11" s="1256"/>
      <c r="W11" s="1294" t="s">
        <v>3085</v>
      </c>
      <c r="X11" s="2839" t="s">
        <v>2087</v>
      </c>
      <c r="Y11" s="1295" t="s">
        <v>1544</v>
      </c>
      <c r="Z11" s="1296" t="s">
        <v>1545</v>
      </c>
      <c r="AA11" s="1296" t="s">
        <v>1761</v>
      </c>
      <c r="AB11" s="769" t="s">
        <v>1539</v>
      </c>
      <c r="AC11" s="769" t="s">
        <v>1547</v>
      </c>
      <c r="AD11" s="769" t="s">
        <v>1548</v>
      </c>
      <c r="AE11" s="1296" t="s">
        <v>1549</v>
      </c>
      <c r="AF11" s="1297" t="s">
        <v>1550</v>
      </c>
    </row>
    <row r="12" spans="1:33" ht="26.25" customHeight="1">
      <c r="A12" s="1298"/>
      <c r="B12" s="1299"/>
      <c r="C12" s="1300"/>
      <c r="D12" s="1301"/>
      <c r="E12" s="1302" t="s">
        <v>296</v>
      </c>
      <c r="F12" s="1303" t="s">
        <v>434</v>
      </c>
      <c r="G12" s="1303" t="s">
        <v>434</v>
      </c>
      <c r="H12" s="1304" t="s">
        <v>805</v>
      </c>
      <c r="I12" s="1304" t="s">
        <v>805</v>
      </c>
      <c r="J12" s="1305" t="s">
        <v>434</v>
      </c>
      <c r="K12" s="1256"/>
      <c r="L12" s="765"/>
      <c r="M12" s="766"/>
      <c r="N12" s="1306" t="s">
        <v>296</v>
      </c>
      <c r="O12" s="766" t="s">
        <v>2152</v>
      </c>
      <c r="P12" s="1307" t="s">
        <v>1552</v>
      </c>
      <c r="Q12" s="767" t="s">
        <v>434</v>
      </c>
      <c r="R12" s="767" t="s">
        <v>434</v>
      </c>
      <c r="S12" s="1308" t="s">
        <v>805</v>
      </c>
      <c r="T12" s="1308" t="s">
        <v>805</v>
      </c>
      <c r="U12" s="768" t="s">
        <v>434</v>
      </c>
      <c r="V12" s="1256"/>
      <c r="W12" s="770"/>
      <c r="X12" s="2840"/>
      <c r="Y12" s="1309" t="s">
        <v>296</v>
      </c>
      <c r="Z12" s="1309" t="s">
        <v>296</v>
      </c>
      <c r="AA12" s="1309" t="s">
        <v>3578</v>
      </c>
      <c r="AB12" s="1310" t="s">
        <v>1552</v>
      </c>
      <c r="AC12" s="1311"/>
      <c r="AD12" s="1312">
        <v>0.15</v>
      </c>
      <c r="AE12" s="1309" t="s">
        <v>296</v>
      </c>
      <c r="AF12" s="1313" t="s">
        <v>296</v>
      </c>
    </row>
    <row r="13" spans="1:33" s="722" customFormat="1" ht="22.5" customHeight="1">
      <c r="A13" s="1314"/>
      <c r="B13" s="1314"/>
      <c r="C13" s="1314"/>
      <c r="D13" s="1314"/>
      <c r="E13" s="1314" t="s">
        <v>1481</v>
      </c>
      <c r="F13" s="1314"/>
      <c r="G13" s="1314"/>
      <c r="H13" s="1314"/>
      <c r="I13" s="1314"/>
      <c r="J13" s="1314"/>
      <c r="K13" s="1255"/>
      <c r="L13" s="1315"/>
      <c r="M13" s="1315"/>
      <c r="N13" s="1316" t="s">
        <v>1482</v>
      </c>
      <c r="O13" s="1314" t="s">
        <v>2084</v>
      </c>
      <c r="P13" s="1317" t="s">
        <v>1555</v>
      </c>
      <c r="Q13" s="1318" t="s">
        <v>1556</v>
      </c>
      <c r="R13" s="1318" t="s">
        <v>1557</v>
      </c>
      <c r="S13" s="1319" t="s">
        <v>1605</v>
      </c>
      <c r="T13" s="1319" t="s">
        <v>1606</v>
      </c>
      <c r="U13" s="1318" t="s">
        <v>1560</v>
      </c>
      <c r="V13" s="1255"/>
      <c r="W13" s="1316"/>
      <c r="X13" s="1316" t="s">
        <v>1561</v>
      </c>
      <c r="Y13" s="1316"/>
      <c r="Z13" s="1316" t="s">
        <v>2088</v>
      </c>
      <c r="AA13" s="1316" t="s">
        <v>2089</v>
      </c>
      <c r="AB13" s="1317" t="s">
        <v>2091</v>
      </c>
      <c r="AC13" s="1314" t="s">
        <v>2092</v>
      </c>
      <c r="AD13" s="1319" t="s">
        <v>2093</v>
      </c>
      <c r="AE13" s="1316" t="s">
        <v>2094</v>
      </c>
      <c r="AF13" s="1316"/>
    </row>
    <row r="14" spans="1:33" s="2837" customFormat="1" ht="57.75" customHeight="1">
      <c r="A14" s="4688">
        <v>1</v>
      </c>
      <c r="B14" s="4689" t="s">
        <v>1763</v>
      </c>
      <c r="C14" s="4690">
        <v>45651</v>
      </c>
      <c r="D14" s="4691" t="s">
        <v>4354</v>
      </c>
      <c r="E14" s="4692">
        <v>45669</v>
      </c>
      <c r="F14" s="4693">
        <f>+G14</f>
        <v>16136.06</v>
      </c>
      <c r="G14" s="4694">
        <v>16136.06</v>
      </c>
      <c r="H14" s="4694">
        <v>0</v>
      </c>
      <c r="I14" s="4694">
        <v>0</v>
      </c>
      <c r="J14" s="4694">
        <f>G14+H14+I14</f>
        <v>16136.06</v>
      </c>
      <c r="K14" s="4695"/>
      <c r="L14" s="4696">
        <v>1</v>
      </c>
      <c r="M14" s="4697" t="s">
        <v>4353</v>
      </c>
      <c r="N14" s="4692">
        <v>45677</v>
      </c>
      <c r="O14" s="4698">
        <f>E14+21</f>
        <v>45690</v>
      </c>
      <c r="P14" s="4699">
        <f>O14-N14</f>
        <v>13</v>
      </c>
      <c r="Q14" s="4693">
        <f>+R14</f>
        <v>16136.06</v>
      </c>
      <c r="R14" s="4694">
        <v>16136.06</v>
      </c>
      <c r="S14" s="4694">
        <v>0</v>
      </c>
      <c r="T14" s="4694">
        <v>0</v>
      </c>
      <c r="U14" s="4694">
        <f>R14+S14+T14</f>
        <v>16136.06</v>
      </c>
      <c r="V14" s="4695"/>
      <c r="W14" s="4700" t="s">
        <v>4359</v>
      </c>
      <c r="X14" s="4703">
        <v>45713</v>
      </c>
      <c r="Y14" s="4698"/>
      <c r="Z14" s="4701">
        <v>45768</v>
      </c>
      <c r="AA14" s="4701">
        <f>+X14+30</f>
        <v>45743</v>
      </c>
      <c r="AB14" s="4699">
        <f>+AA14-Z14</f>
        <v>-25</v>
      </c>
      <c r="AC14" s="4702">
        <f>+R14</f>
        <v>16136.06</v>
      </c>
      <c r="AD14" s="4702">
        <f>+AC14*15%</f>
        <v>2420.4089999999997</v>
      </c>
      <c r="AE14" s="4702">
        <f>+AD14+AC14</f>
        <v>18556.468999999997</v>
      </c>
      <c r="AF14" s="4702">
        <f>+AE14</f>
        <v>18556.468999999997</v>
      </c>
      <c r="AG14" s="2842">
        <f>+AC14*1.15</f>
        <v>18556.468999999997</v>
      </c>
    </row>
    <row r="15" spans="1:33" s="2837" customFormat="1" ht="57.75" customHeight="1">
      <c r="A15" s="4688">
        <v>2</v>
      </c>
      <c r="B15" s="4689" t="s">
        <v>1764</v>
      </c>
      <c r="C15" s="4690">
        <v>45682</v>
      </c>
      <c r="D15" s="4691" t="s">
        <v>4355</v>
      </c>
      <c r="E15" s="4692">
        <v>45685</v>
      </c>
      <c r="F15" s="4693">
        <f>+G15+F14</f>
        <v>54739.360000000001</v>
      </c>
      <c r="G15" s="4694">
        <v>38603.300000000003</v>
      </c>
      <c r="H15" s="4694">
        <v>0</v>
      </c>
      <c r="I15" s="4694">
        <v>0</v>
      </c>
      <c r="J15" s="4694">
        <f>G15+H15+I15</f>
        <v>38603.300000000003</v>
      </c>
      <c r="K15" s="4695">
        <v>2</v>
      </c>
      <c r="L15" s="4696">
        <v>2</v>
      </c>
      <c r="M15" s="4697" t="s">
        <v>4356</v>
      </c>
      <c r="N15" s="4692">
        <v>45705</v>
      </c>
      <c r="O15" s="4698">
        <f>E15+21</f>
        <v>45706</v>
      </c>
      <c r="P15" s="4699">
        <f>O15-N15</f>
        <v>1</v>
      </c>
      <c r="Q15" s="4693">
        <f>+R15+Q14</f>
        <v>54739.360000000001</v>
      </c>
      <c r="R15" s="4694">
        <v>38603.300000000003</v>
      </c>
      <c r="S15" s="4694">
        <v>0</v>
      </c>
      <c r="T15" s="4694">
        <v>0</v>
      </c>
      <c r="U15" s="4694">
        <f>R15+S15+T15</f>
        <v>38603.300000000003</v>
      </c>
      <c r="V15" s="4695"/>
      <c r="W15" s="4700" t="s">
        <v>4360</v>
      </c>
      <c r="X15" s="4703">
        <v>45733</v>
      </c>
      <c r="Y15" s="4698"/>
      <c r="Z15" s="4701">
        <v>45773</v>
      </c>
      <c r="AA15" s="4701">
        <f>+X15+30</f>
        <v>45763</v>
      </c>
      <c r="AB15" s="4699">
        <f>+AA15-Z15</f>
        <v>-10</v>
      </c>
      <c r="AC15" s="4702">
        <f>+R15</f>
        <v>38603.300000000003</v>
      </c>
      <c r="AD15" s="4702">
        <f>+AC15*15%</f>
        <v>5790.4949999999999</v>
      </c>
      <c r="AE15" s="4702">
        <f>+AD15+AC15</f>
        <v>44393.795000000006</v>
      </c>
      <c r="AF15" s="4702">
        <f>+AE15+AF14</f>
        <v>62950.264000000003</v>
      </c>
      <c r="AG15" s="2842">
        <f>+AC15*1.15</f>
        <v>44393.794999999998</v>
      </c>
    </row>
    <row r="16" spans="1:33" ht="41.25" customHeight="1">
      <c r="A16" s="4688">
        <v>3</v>
      </c>
      <c r="B16" s="4689" t="s">
        <v>1765</v>
      </c>
      <c r="C16" s="4690">
        <v>45693</v>
      </c>
      <c r="D16" s="4691" t="s">
        <v>4358</v>
      </c>
      <c r="E16" s="4692">
        <v>45734</v>
      </c>
      <c r="F16" s="4693">
        <f>+G16+F15</f>
        <v>64000.42</v>
      </c>
      <c r="G16" s="4694">
        <v>9261.06</v>
      </c>
      <c r="H16" s="4694">
        <v>0</v>
      </c>
      <c r="I16" s="4694">
        <v>0</v>
      </c>
      <c r="J16" s="4694">
        <f>G16+H16+I16</f>
        <v>9261.06</v>
      </c>
      <c r="K16" s="4695"/>
      <c r="L16" s="4696">
        <v>3</v>
      </c>
      <c r="M16" s="4697" t="s">
        <v>4357</v>
      </c>
      <c r="N16" s="4692">
        <v>45762</v>
      </c>
      <c r="O16" s="4698">
        <f>E16+21</f>
        <v>45755</v>
      </c>
      <c r="P16" s="4699">
        <f>O16-N16</f>
        <v>-7</v>
      </c>
      <c r="Q16" s="4693">
        <f>+R16+Q15</f>
        <v>64000.42</v>
      </c>
      <c r="R16" s="4694">
        <v>9261.06</v>
      </c>
      <c r="S16" s="4694">
        <v>0</v>
      </c>
      <c r="T16" s="4694">
        <v>0</v>
      </c>
      <c r="U16" s="4694">
        <f>R16+S16+T16</f>
        <v>9261.06</v>
      </c>
      <c r="V16" s="4695"/>
      <c r="W16" s="4700" t="s">
        <v>4482</v>
      </c>
      <c r="X16" s="4703">
        <v>45789</v>
      </c>
      <c r="Y16" s="4698"/>
      <c r="Z16" s="4701">
        <v>45838</v>
      </c>
      <c r="AA16" s="4701">
        <f>+X16+30</f>
        <v>45819</v>
      </c>
      <c r="AB16" s="4699">
        <f>+AA16-Z16</f>
        <v>-19</v>
      </c>
      <c r="AC16" s="4702">
        <f>+R16</f>
        <v>9261.06</v>
      </c>
      <c r="AD16" s="4702">
        <f>+AC16*15%</f>
        <v>1389.1589999999999</v>
      </c>
      <c r="AE16" s="4702">
        <f>+AD16+AC16</f>
        <v>10650.218999999999</v>
      </c>
      <c r="AF16" s="4702">
        <f>+AE16+AF15</f>
        <v>73600.483000000007</v>
      </c>
    </row>
    <row r="17" spans="1:32" ht="36">
      <c r="A17" s="4688">
        <v>4</v>
      </c>
      <c r="B17" s="4689" t="s">
        <v>1766</v>
      </c>
      <c r="C17" s="4690">
        <v>45809</v>
      </c>
      <c r="D17" s="4691" t="s">
        <v>4585</v>
      </c>
      <c r="E17" s="4692">
        <v>45855</v>
      </c>
      <c r="F17" s="4693">
        <f>+G17+F16</f>
        <v>84414</v>
      </c>
      <c r="G17" s="4694">
        <v>20413.580000000002</v>
      </c>
      <c r="H17" s="4694">
        <v>0</v>
      </c>
      <c r="I17" s="4694">
        <v>0</v>
      </c>
      <c r="J17" s="4694">
        <f>G17+H17+I17</f>
        <v>20413.580000000002</v>
      </c>
      <c r="K17" s="4695"/>
      <c r="L17" s="4696">
        <v>4</v>
      </c>
      <c r="M17" s="4697" t="s">
        <v>4586</v>
      </c>
      <c r="N17" s="4701">
        <v>45874</v>
      </c>
      <c r="O17" s="4698">
        <f>E17+21</f>
        <v>45876</v>
      </c>
      <c r="P17" s="4699">
        <f>O17-N17</f>
        <v>2</v>
      </c>
      <c r="Q17" s="4693">
        <f>+R17+Q16</f>
        <v>84414</v>
      </c>
      <c r="R17" s="4694">
        <v>20413.580000000002</v>
      </c>
      <c r="S17" s="4694">
        <v>0</v>
      </c>
      <c r="T17" s="4694">
        <v>0</v>
      </c>
      <c r="U17" s="4694">
        <f>R17+S17+T17</f>
        <v>20413.580000000002</v>
      </c>
      <c r="V17" s="4695"/>
      <c r="W17" s="4700" t="s">
        <v>4651</v>
      </c>
      <c r="X17" s="4703">
        <v>45888</v>
      </c>
      <c r="Y17" s="4698"/>
      <c r="Z17" s="4701">
        <v>45900</v>
      </c>
      <c r="AA17" s="4701">
        <f>+X17+30</f>
        <v>45918</v>
      </c>
      <c r="AB17" s="4699">
        <f>+AA17-Z17</f>
        <v>18</v>
      </c>
      <c r="AC17" s="4702">
        <f>+R17</f>
        <v>20413.580000000002</v>
      </c>
      <c r="AD17" s="4702">
        <f>+AC17*15%</f>
        <v>3062.0370000000003</v>
      </c>
      <c r="AE17" s="4702">
        <f>+AD17+AC17</f>
        <v>23475.617000000002</v>
      </c>
      <c r="AF17" s="4702">
        <f>+AE17+AF16</f>
        <v>97076.1</v>
      </c>
    </row>
    <row r="18" spans="1:32" ht="36">
      <c r="A18" s="4688">
        <v>5</v>
      </c>
      <c r="B18" s="4689" t="s">
        <v>1767</v>
      </c>
      <c r="C18" s="4690">
        <v>46082</v>
      </c>
      <c r="D18" s="4691" t="s">
        <v>6118</v>
      </c>
      <c r="E18" s="4692">
        <v>46124</v>
      </c>
      <c r="F18" s="4693">
        <f>+G18+F17</f>
        <v>128677.64</v>
      </c>
      <c r="G18" s="4694">
        <v>44263.64</v>
      </c>
      <c r="H18" s="4694">
        <v>0</v>
      </c>
      <c r="I18" s="4694">
        <v>0</v>
      </c>
      <c r="J18" s="4694">
        <f>G18+H18+I18</f>
        <v>44263.64</v>
      </c>
      <c r="K18" s="4695"/>
      <c r="L18" s="4696">
        <v>5</v>
      </c>
      <c r="M18" s="4697" t="s">
        <v>6119</v>
      </c>
      <c r="N18" s="4701">
        <v>46135</v>
      </c>
      <c r="O18" s="4698">
        <f>E18+21</f>
        <v>46145</v>
      </c>
      <c r="P18" s="4699">
        <f>O18-N18</f>
        <v>10</v>
      </c>
      <c r="Q18" s="4693">
        <f>+R18+Q17</f>
        <v>128677.64</v>
      </c>
      <c r="R18" s="4694">
        <v>44263.64</v>
      </c>
      <c r="S18" s="4694">
        <v>0</v>
      </c>
      <c r="T18" s="4694">
        <v>0</v>
      </c>
      <c r="U18" s="4694">
        <f>R18+S18+T18</f>
        <v>44263.64</v>
      </c>
      <c r="V18" s="1256"/>
      <c r="W18" s="4700" t="s">
        <v>6253</v>
      </c>
      <c r="X18" s="2841">
        <v>46155</v>
      </c>
      <c r="Y18" s="1323"/>
      <c r="Z18" s="1321"/>
      <c r="AA18" s="1321">
        <f>+X18+30</f>
        <v>46185</v>
      </c>
      <c r="AB18" s="1324"/>
      <c r="AC18" s="1327"/>
      <c r="AD18" s="1327"/>
      <c r="AE18" s="1327"/>
      <c r="AF18" s="1327"/>
    </row>
    <row r="19" spans="1:32">
      <c r="A19" s="723"/>
      <c r="B19" s="810"/>
      <c r="C19" s="1929"/>
      <c r="D19" s="2835"/>
      <c r="E19" s="1440"/>
      <c r="F19" s="2836"/>
      <c r="G19" s="1444"/>
      <c r="H19" s="1444"/>
      <c r="I19" s="1444"/>
      <c r="J19" s="1444"/>
      <c r="K19" s="1256"/>
      <c r="L19" s="1510"/>
      <c r="M19" s="2850"/>
      <c r="N19" s="1321"/>
      <c r="O19" s="1323"/>
      <c r="P19" s="1324"/>
      <c r="Q19" s="2836"/>
      <c r="R19" s="1444"/>
      <c r="S19" s="1444"/>
      <c r="T19" s="1444"/>
      <c r="U19" s="1444"/>
      <c r="V19" s="1256"/>
      <c r="W19" s="2838"/>
      <c r="X19" s="2841"/>
      <c r="Y19" s="1323"/>
      <c r="Z19" s="1321"/>
      <c r="AA19" s="1321"/>
      <c r="AB19" s="1324"/>
      <c r="AC19" s="1327"/>
      <c r="AD19" s="1327"/>
      <c r="AE19" s="1327"/>
      <c r="AF19" s="1327"/>
    </row>
    <row r="20" spans="1:32">
      <c r="A20" s="723"/>
      <c r="B20" s="810"/>
      <c r="C20" s="1445"/>
      <c r="D20" s="2835"/>
      <c r="E20" s="1440"/>
      <c r="F20" s="1322"/>
      <c r="G20" s="1444"/>
      <c r="H20" s="1444"/>
      <c r="I20" s="1444"/>
      <c r="J20" s="1444"/>
      <c r="K20" s="1256"/>
      <c r="L20" s="1510"/>
      <c r="M20" s="2850"/>
      <c r="N20" s="1321"/>
      <c r="O20" s="1323"/>
      <c r="P20" s="1324"/>
      <c r="Q20" s="1322"/>
      <c r="R20" s="1444"/>
      <c r="S20" s="1444"/>
      <c r="T20" s="1444"/>
      <c r="U20" s="1444"/>
      <c r="V20" s="1256"/>
      <c r="W20" s="723"/>
      <c r="X20" s="724"/>
      <c r="Y20" s="1323"/>
      <c r="Z20" s="1321"/>
      <c r="AA20" s="1321"/>
      <c r="AB20" s="1324"/>
      <c r="AC20" s="1327"/>
      <c r="AD20" s="1327"/>
      <c r="AE20" s="1327"/>
      <c r="AF20" s="1327"/>
    </row>
    <row r="21" spans="1:32">
      <c r="A21" s="723"/>
      <c r="B21" s="810"/>
      <c r="C21" s="1445"/>
      <c r="D21" s="2835"/>
      <c r="E21" s="1440"/>
      <c r="F21" s="1322"/>
      <c r="G21" s="1444"/>
      <c r="H21" s="1444"/>
      <c r="I21" s="1444"/>
      <c r="J21" s="1444"/>
      <c r="K21" s="1256"/>
      <c r="L21" s="1510"/>
      <c r="M21" s="2850"/>
      <c r="N21" s="1321"/>
      <c r="O21" s="1323"/>
      <c r="P21" s="1324"/>
      <c r="Q21" s="1322"/>
      <c r="R21" s="1444"/>
      <c r="S21" s="1444"/>
      <c r="T21" s="1444"/>
      <c r="U21" s="1444"/>
      <c r="V21" s="1256"/>
      <c r="W21" s="723"/>
      <c r="X21" s="724"/>
      <c r="Y21" s="1323"/>
      <c r="Z21" s="1321"/>
      <c r="AA21" s="1321"/>
      <c r="AB21" s="1324"/>
      <c r="AC21" s="1327"/>
      <c r="AD21" s="1327"/>
      <c r="AE21" s="1327"/>
      <c r="AF21" s="1327"/>
    </row>
    <row r="22" spans="1:32">
      <c r="A22" s="723"/>
      <c r="B22" s="810"/>
      <c r="C22" s="1445"/>
      <c r="D22" s="2835"/>
      <c r="E22" s="1440"/>
      <c r="F22" s="1322"/>
      <c r="G22" s="1444"/>
      <c r="H22" s="1444"/>
      <c r="I22" s="1444"/>
      <c r="J22" s="1444"/>
      <c r="K22" s="1256"/>
      <c r="L22" s="1510"/>
      <c r="M22" s="2850"/>
      <c r="N22" s="1321"/>
      <c r="O22" s="1323"/>
      <c r="P22" s="1324"/>
      <c r="Q22" s="1322"/>
      <c r="R22" s="1444"/>
      <c r="S22" s="1444"/>
      <c r="T22" s="1444"/>
      <c r="U22" s="1444"/>
      <c r="V22" s="1256"/>
      <c r="W22" s="723"/>
      <c r="X22" s="724"/>
      <c r="Y22" s="1323"/>
      <c r="Z22" s="1321"/>
      <c r="AA22" s="1321"/>
      <c r="AB22" s="1324"/>
      <c r="AC22" s="1327"/>
      <c r="AD22" s="1327"/>
      <c r="AE22" s="1327"/>
      <c r="AF22" s="1327"/>
    </row>
    <row r="23" spans="1:32">
      <c r="A23" s="723"/>
      <c r="B23" s="810"/>
      <c r="C23" s="1445"/>
      <c r="D23" s="2835"/>
      <c r="E23" s="1440"/>
      <c r="F23" s="1322"/>
      <c r="G23" s="1444"/>
      <c r="H23" s="1444"/>
      <c r="I23" s="1444"/>
      <c r="J23" s="1444"/>
      <c r="K23" s="1256"/>
      <c r="L23" s="1510"/>
      <c r="M23" s="2850"/>
      <c r="N23" s="1321"/>
      <c r="O23" s="1323"/>
      <c r="P23" s="1324"/>
      <c r="Q23" s="1322"/>
      <c r="R23" s="1444"/>
      <c r="S23" s="1444"/>
      <c r="T23" s="1444"/>
      <c r="U23" s="1444"/>
      <c r="V23" s="1256"/>
      <c r="W23" s="723"/>
      <c r="X23" s="724"/>
      <c r="Y23" s="1323"/>
      <c r="Z23" s="1321"/>
      <c r="AA23" s="1321"/>
      <c r="AB23" s="1324"/>
      <c r="AC23" s="1327"/>
      <c r="AD23" s="1327"/>
      <c r="AE23" s="1327"/>
      <c r="AF23" s="1327"/>
    </row>
    <row r="24" spans="1:32">
      <c r="A24" s="723"/>
      <c r="B24" s="810"/>
      <c r="C24" s="1445"/>
      <c r="D24" s="2835"/>
      <c r="E24" s="1440"/>
      <c r="F24" s="1322"/>
      <c r="G24" s="1444"/>
      <c r="H24" s="1444"/>
      <c r="I24" s="1444"/>
      <c r="J24" s="1444"/>
      <c r="K24" s="1256"/>
      <c r="L24" s="1510"/>
      <c r="M24" s="2850"/>
      <c r="N24" s="1321"/>
      <c r="O24" s="1323"/>
      <c r="P24" s="1324"/>
      <c r="Q24" s="1322"/>
      <c r="R24" s="1444"/>
      <c r="S24" s="1444"/>
      <c r="T24" s="1444"/>
      <c r="U24" s="1444"/>
      <c r="V24" s="1256"/>
      <c r="W24" s="723"/>
      <c r="X24" s="724"/>
      <c r="Y24" s="1323"/>
      <c r="Z24" s="1321"/>
      <c r="AA24" s="1321"/>
      <c r="AB24" s="1324"/>
      <c r="AC24" s="1327"/>
      <c r="AD24" s="1327"/>
      <c r="AE24" s="1327"/>
      <c r="AF24" s="1327"/>
    </row>
    <row r="25" spans="1:32">
      <c r="A25" s="723"/>
      <c r="B25" s="810"/>
      <c r="C25" s="1445"/>
      <c r="D25" s="2835"/>
      <c r="E25" s="1440"/>
      <c r="F25" s="1322"/>
      <c r="G25" s="1322"/>
      <c r="H25" s="1322"/>
      <c r="I25" s="1322"/>
      <c r="J25" s="1322"/>
      <c r="K25" s="1256"/>
      <c r="L25" s="1443"/>
      <c r="M25" s="2850"/>
      <c r="N25" s="1321"/>
      <c r="O25" s="1323"/>
      <c r="P25" s="1324"/>
      <c r="Q25" s="1322"/>
      <c r="R25" s="1444"/>
      <c r="S25" s="1444"/>
      <c r="T25" s="1444"/>
      <c r="U25" s="1328"/>
      <c r="V25" s="1256"/>
      <c r="W25" s="723"/>
      <c r="X25" s="724"/>
      <c r="Y25" s="1323"/>
      <c r="Z25" s="1321"/>
      <c r="AA25" s="1321"/>
      <c r="AB25" s="1324"/>
      <c r="AC25" s="1327"/>
      <c r="AD25" s="1327"/>
      <c r="AE25" s="1327"/>
      <c r="AF25" s="1327"/>
    </row>
    <row r="26" spans="1:32">
      <c r="A26" s="723"/>
      <c r="B26" s="810"/>
      <c r="C26" s="1445"/>
      <c r="D26" s="2835"/>
      <c r="E26" s="1440"/>
      <c r="F26" s="1322"/>
      <c r="G26" s="1322"/>
      <c r="H26" s="1322"/>
      <c r="I26" s="1322"/>
      <c r="J26" s="1322"/>
      <c r="K26" s="1256"/>
      <c r="L26" s="1443"/>
      <c r="M26" s="2850"/>
      <c r="N26" s="1321"/>
      <c r="O26" s="1323"/>
      <c r="P26" s="1324"/>
      <c r="Q26" s="1322"/>
      <c r="R26" s="1444"/>
      <c r="S26" s="1444"/>
      <c r="T26" s="1444"/>
      <c r="U26" s="1328"/>
      <c r="V26" s="1256"/>
      <c r="W26" s="723"/>
      <c r="X26" s="724"/>
      <c r="Y26" s="1323"/>
      <c r="Z26" s="1321"/>
      <c r="AA26" s="1321"/>
      <c r="AB26" s="1324"/>
      <c r="AC26" s="1327"/>
      <c r="AD26" s="1327"/>
      <c r="AE26" s="1327"/>
      <c r="AF26" s="1327"/>
    </row>
    <row r="27" spans="1:32">
      <c r="A27" s="723"/>
      <c r="B27" s="810"/>
      <c r="C27" s="1445"/>
      <c r="D27" s="2835"/>
      <c r="E27" s="1440"/>
      <c r="F27" s="1322"/>
      <c r="G27" s="1322"/>
      <c r="H27" s="1322"/>
      <c r="I27" s="1322"/>
      <c r="J27" s="1322"/>
      <c r="K27" s="1256"/>
      <c r="L27" s="1443"/>
      <c r="M27" s="2850"/>
      <c r="N27" s="1321"/>
      <c r="O27" s="1323"/>
      <c r="P27" s="1324"/>
      <c r="Q27" s="1322"/>
      <c r="R27" s="1444"/>
      <c r="S27" s="1444"/>
      <c r="T27" s="1444"/>
      <c r="U27" s="1328"/>
      <c r="V27" s="1256"/>
      <c r="W27" s="723"/>
      <c r="X27" s="724"/>
      <c r="Y27" s="1323"/>
      <c r="Z27" s="1321"/>
      <c r="AA27" s="1321"/>
      <c r="AB27" s="1324"/>
      <c r="AC27" s="1327"/>
      <c r="AD27" s="1327"/>
      <c r="AE27" s="1327"/>
      <c r="AF27" s="1327"/>
    </row>
    <row r="28" spans="1:32">
      <c r="A28" s="723"/>
      <c r="B28" s="810"/>
      <c r="C28" s="1445"/>
      <c r="D28" s="2835"/>
      <c r="E28" s="1440"/>
      <c r="F28" s="1322"/>
      <c r="G28" s="1322"/>
      <c r="H28" s="1322"/>
      <c r="I28" s="1322"/>
      <c r="J28" s="1322"/>
      <c r="K28" s="1256"/>
      <c r="L28" s="1443"/>
      <c r="M28" s="2850"/>
      <c r="N28" s="1321"/>
      <c r="O28" s="1323"/>
      <c r="P28" s="1324"/>
      <c r="Q28" s="1322"/>
      <c r="R28" s="1444"/>
      <c r="S28" s="1444"/>
      <c r="T28" s="1444"/>
      <c r="U28" s="1328"/>
      <c r="V28" s="1256"/>
      <c r="W28" s="723"/>
      <c r="X28" s="724"/>
      <c r="Y28" s="1323"/>
      <c r="Z28" s="1321"/>
      <c r="AA28" s="1321"/>
      <c r="AB28" s="1324"/>
      <c r="AC28" s="1327"/>
      <c r="AD28" s="1327"/>
      <c r="AE28" s="1327"/>
      <c r="AF28" s="1327"/>
    </row>
    <row r="29" spans="1:32">
      <c r="A29" s="723"/>
      <c r="B29" s="810"/>
      <c r="C29" s="1445"/>
      <c r="D29" s="2835"/>
      <c r="E29" s="1440"/>
      <c r="F29" s="1322"/>
      <c r="G29" s="1322"/>
      <c r="H29" s="1322"/>
      <c r="I29" s="1322"/>
      <c r="J29" s="1322"/>
      <c r="K29" s="1256"/>
      <c r="L29" s="1443"/>
      <c r="M29" s="2850"/>
      <c r="N29" s="1321"/>
      <c r="O29" s="1323"/>
      <c r="P29" s="1324"/>
      <c r="Q29" s="1322"/>
      <c r="R29" s="1444"/>
      <c r="S29" s="1444"/>
      <c r="T29" s="1444"/>
      <c r="U29" s="1328"/>
      <c r="V29" s="1256"/>
      <c r="W29" s="723"/>
      <c r="X29" s="724"/>
      <c r="Y29" s="1323"/>
      <c r="Z29" s="1321"/>
      <c r="AA29" s="1321"/>
      <c r="AB29" s="1324"/>
      <c r="AC29" s="1327"/>
      <c r="AD29" s="1327"/>
      <c r="AE29" s="1327"/>
      <c r="AF29" s="1327"/>
    </row>
    <row r="30" spans="1:32">
      <c r="A30" s="723"/>
      <c r="B30" s="810"/>
      <c r="C30" s="1445"/>
      <c r="D30" s="2835"/>
      <c r="E30" s="1440"/>
      <c r="F30" s="1322"/>
      <c r="G30" s="1322"/>
      <c r="H30" s="1322"/>
      <c r="I30" s="1322"/>
      <c r="J30" s="1322"/>
      <c r="K30" s="1256"/>
      <c r="L30" s="1443"/>
      <c r="M30" s="2850"/>
      <c r="N30" s="1321"/>
      <c r="O30" s="1323"/>
      <c r="P30" s="1324"/>
      <c r="Q30" s="1322"/>
      <c r="R30" s="1444"/>
      <c r="S30" s="1444"/>
      <c r="T30" s="1444"/>
      <c r="U30" s="1328"/>
      <c r="V30" s="1256"/>
      <c r="W30" s="723"/>
      <c r="X30" s="724"/>
      <c r="Y30" s="1323"/>
      <c r="Z30" s="1321"/>
      <c r="AA30" s="1321"/>
      <c r="AB30" s="1324"/>
      <c r="AC30" s="1327"/>
      <c r="AD30" s="1327"/>
      <c r="AE30" s="1327"/>
      <c r="AF30" s="1327"/>
    </row>
    <row r="31" spans="1:32">
      <c r="A31" s="723"/>
      <c r="B31" s="810"/>
      <c r="C31" s="1445"/>
      <c r="D31" s="2835"/>
      <c r="E31" s="1440"/>
      <c r="F31" s="1322"/>
      <c r="G31" s="1322"/>
      <c r="H31" s="1322"/>
      <c r="I31" s="1322"/>
      <c r="J31" s="1322"/>
      <c r="K31" s="1256"/>
      <c r="L31" s="1443"/>
      <c r="M31" s="2850"/>
      <c r="N31" s="1321"/>
      <c r="O31" s="1323"/>
      <c r="P31" s="1324"/>
      <c r="Q31" s="1322"/>
      <c r="R31" s="1444"/>
      <c r="S31" s="1444"/>
      <c r="T31" s="1444"/>
      <c r="U31" s="1328"/>
      <c r="V31" s="1256"/>
      <c r="W31" s="723"/>
      <c r="X31" s="724"/>
      <c r="Y31" s="1323"/>
      <c r="Z31" s="1321"/>
      <c r="AA31" s="1321"/>
      <c r="AB31" s="1324"/>
      <c r="AC31" s="1327"/>
      <c r="AD31" s="1327"/>
      <c r="AE31" s="1327"/>
      <c r="AF31" s="1327"/>
    </row>
    <row r="32" spans="1:32">
      <c r="A32" s="723"/>
      <c r="B32" s="810"/>
      <c r="C32" s="1445"/>
      <c r="D32" s="2835"/>
      <c r="E32" s="1440"/>
      <c r="F32" s="1322"/>
      <c r="G32" s="1322"/>
      <c r="H32" s="1322"/>
      <c r="I32" s="1322"/>
      <c r="J32" s="1322"/>
      <c r="K32" s="1256"/>
      <c r="L32" s="1443"/>
      <c r="M32" s="2850"/>
      <c r="N32" s="1321"/>
      <c r="O32" s="1323"/>
      <c r="P32" s="1324"/>
      <c r="Q32" s="1322"/>
      <c r="R32" s="1444"/>
      <c r="S32" s="1444"/>
      <c r="T32" s="1444"/>
      <c r="U32" s="1328"/>
      <c r="V32" s="1256"/>
      <c r="W32" s="723"/>
      <c r="X32" s="724"/>
      <c r="Y32" s="1323"/>
      <c r="Z32" s="1321"/>
      <c r="AA32" s="1321"/>
      <c r="AB32" s="1324"/>
      <c r="AC32" s="1327"/>
      <c r="AD32" s="1327"/>
      <c r="AE32" s="1327"/>
      <c r="AF32" s="1327"/>
    </row>
    <row r="33" spans="1:32">
      <c r="A33" s="723"/>
      <c r="B33" s="810"/>
      <c r="C33" s="1445"/>
      <c r="D33" s="1320"/>
      <c r="E33" s="1440"/>
      <c r="F33" s="1322"/>
      <c r="G33" s="1322"/>
      <c r="H33" s="1322"/>
      <c r="I33" s="1322"/>
      <c r="J33" s="1322"/>
      <c r="K33" s="1256"/>
      <c r="L33" s="1443"/>
      <c r="M33" s="2850"/>
      <c r="N33" s="1321"/>
      <c r="O33" s="1323"/>
      <c r="P33" s="1324"/>
      <c r="Q33" s="1322"/>
      <c r="R33" s="1444"/>
      <c r="S33" s="1444"/>
      <c r="T33" s="1444"/>
      <c r="U33" s="1328"/>
      <c r="V33" s="1256"/>
      <c r="W33" s="723"/>
      <c r="X33" s="724"/>
      <c r="Y33" s="1323"/>
      <c r="Z33" s="1321"/>
      <c r="AA33" s="1321"/>
      <c r="AB33" s="1324"/>
      <c r="AC33" s="1327"/>
      <c r="AD33" s="1327"/>
      <c r="AE33" s="1327"/>
      <c r="AF33" s="1327"/>
    </row>
    <row r="34" spans="1:32">
      <c r="A34" s="723"/>
      <c r="B34" s="810"/>
      <c r="C34" s="1445"/>
      <c r="D34" s="1320"/>
      <c r="E34" s="1440"/>
      <c r="F34" s="1322"/>
      <c r="G34" s="1322"/>
      <c r="H34" s="1322"/>
      <c r="I34" s="1322"/>
      <c r="J34" s="1322"/>
      <c r="K34" s="1256"/>
      <c r="L34" s="1443"/>
      <c r="M34" s="2850"/>
      <c r="N34" s="1321"/>
      <c r="O34" s="1323"/>
      <c r="P34" s="1324"/>
      <c r="Q34" s="1322"/>
      <c r="R34" s="1444"/>
      <c r="S34" s="1444"/>
      <c r="T34" s="1444"/>
      <c r="U34" s="1328"/>
      <c r="V34" s="1256"/>
      <c r="W34" s="723"/>
      <c r="X34" s="724"/>
      <c r="Y34" s="1323"/>
      <c r="Z34" s="1321"/>
      <c r="AA34" s="1321"/>
      <c r="AB34" s="1324"/>
      <c r="AC34" s="1327"/>
      <c r="AD34" s="1327"/>
      <c r="AE34" s="1327"/>
      <c r="AF34" s="1327"/>
    </row>
    <row r="35" spans="1:32">
      <c r="A35" s="723"/>
      <c r="B35" s="810"/>
      <c r="C35" s="1445"/>
      <c r="D35" s="1320"/>
      <c r="E35" s="1441"/>
      <c r="F35" s="1322"/>
      <c r="G35" s="1322"/>
      <c r="H35" s="1322"/>
      <c r="I35" s="1322"/>
      <c r="J35" s="1322"/>
      <c r="K35" s="1256"/>
      <c r="L35" s="1443"/>
      <c r="M35" s="2850"/>
      <c r="N35" s="1321"/>
      <c r="O35" s="1323"/>
      <c r="P35" s="1324"/>
      <c r="Q35" s="1322"/>
      <c r="R35" s="1444"/>
      <c r="S35" s="1444"/>
      <c r="T35" s="1444"/>
      <c r="U35" s="1328"/>
      <c r="V35" s="1256"/>
      <c r="W35" s="723"/>
      <c r="X35" s="724"/>
      <c r="Y35" s="1323"/>
      <c r="Z35" s="1321"/>
      <c r="AA35" s="1321"/>
      <c r="AB35" s="1324"/>
      <c r="AC35" s="1327"/>
      <c r="AD35" s="1327"/>
      <c r="AE35" s="1327"/>
      <c r="AF35" s="1327"/>
    </row>
    <row r="36" spans="1:32">
      <c r="A36" s="1329"/>
      <c r="B36" s="1330"/>
      <c r="C36" s="1440"/>
      <c r="D36" s="1331"/>
      <c r="E36" s="1442"/>
      <c r="F36" s="1332"/>
      <c r="G36" s="1332"/>
      <c r="H36" s="1332"/>
      <c r="I36" s="1332"/>
      <c r="J36" s="1332"/>
      <c r="K36" s="1256"/>
      <c r="L36" s="1329"/>
      <c r="M36" s="2851"/>
      <c r="N36" s="1334"/>
      <c r="O36" s="1334"/>
      <c r="P36" s="1335"/>
      <c r="Q36" s="1322"/>
      <c r="R36" s="1333"/>
      <c r="S36" s="1333"/>
      <c r="T36" s="1333"/>
      <c r="U36" s="1336"/>
      <c r="V36" s="1256"/>
      <c r="W36" s="1329"/>
      <c r="X36" s="1333"/>
      <c r="Y36" s="1337"/>
      <c r="Z36" s="1334"/>
      <c r="AA36" s="1334"/>
      <c r="AB36" s="1334"/>
      <c r="AC36" s="1329"/>
      <c r="AD36" s="1337"/>
      <c r="AE36" s="1334"/>
      <c r="AF36" s="1334"/>
    </row>
    <row r="37" spans="1:32" ht="24.75" customHeight="1" collapsed="1" thickBot="1">
      <c r="A37" s="6045" t="s">
        <v>1522</v>
      </c>
      <c r="B37" s="6046"/>
      <c r="C37" s="6046"/>
      <c r="D37" s="6046"/>
      <c r="E37" s="6046"/>
      <c r="F37" s="6047"/>
      <c r="G37" s="1338">
        <f>SUM(G14:G36)</f>
        <v>128677.64</v>
      </c>
      <c r="H37" s="1338">
        <f>SUM(H14:H36)</f>
        <v>0</v>
      </c>
      <c r="I37" s="1338">
        <f>SUM(I14:I36)</f>
        <v>0</v>
      </c>
      <c r="J37" s="1338">
        <f>SUM(J14:J36)</f>
        <v>128677.64</v>
      </c>
      <c r="K37" s="1256"/>
      <c r="L37" s="1339" t="s">
        <v>1522</v>
      </c>
      <c r="M37" s="1343"/>
      <c r="N37" s="1340"/>
      <c r="O37" s="1340"/>
      <c r="P37" s="1340"/>
      <c r="Q37" s="1340"/>
      <c r="R37" s="1341">
        <f>SUM(R14:R36)</f>
        <v>128677.64</v>
      </c>
      <c r="S37" s="1338">
        <f>SUM(S14:S36)</f>
        <v>0</v>
      </c>
      <c r="T37" s="1338">
        <f>SUM(T14:T36)</f>
        <v>0</v>
      </c>
      <c r="U37" s="1338">
        <f>SUM(U14:U36)</f>
        <v>128677.64</v>
      </c>
      <c r="V37" s="1256"/>
      <c r="W37" s="1342" t="s">
        <v>1522</v>
      </c>
      <c r="X37" s="1343"/>
      <c r="Y37" s="1343"/>
      <c r="Z37" s="1343"/>
      <c r="AA37" s="1343"/>
      <c r="AB37" s="1343"/>
      <c r="AC37" s="1341">
        <f>SUM(AC14:AC36)</f>
        <v>84414</v>
      </c>
      <c r="AD37" s="1338">
        <f>SUM(AD14:AD36)</f>
        <v>12662.099999999999</v>
      </c>
      <c r="AE37" s="1338">
        <f>SUM(AE14:AE36)</f>
        <v>97076.1</v>
      </c>
      <c r="AF37" s="1338">
        <f>+AF17</f>
        <v>97076.1</v>
      </c>
    </row>
    <row r="38" spans="1:32">
      <c r="A38" s="1360"/>
      <c r="B38" s="1256"/>
      <c r="C38" s="1255"/>
      <c r="D38" s="1257"/>
      <c r="E38" s="1361"/>
      <c r="F38" s="1258"/>
      <c r="G38" s="1258"/>
      <c r="H38" s="1258"/>
      <c r="I38" s="1258"/>
      <c r="J38" s="1258"/>
      <c r="K38" s="1256"/>
      <c r="L38" s="1360"/>
      <c r="M38" s="2852"/>
      <c r="N38" s="1362"/>
      <c r="O38" s="1362"/>
      <c r="P38" s="1362"/>
      <c r="Q38" s="1360"/>
      <c r="R38" s="1360"/>
      <c r="S38" s="1360"/>
      <c r="T38" s="1360"/>
      <c r="U38" s="1363"/>
      <c r="V38" s="1256"/>
      <c r="W38" s="1360"/>
      <c r="X38" s="1360"/>
      <c r="Y38" s="1364"/>
      <c r="Z38" s="1362"/>
      <c r="AA38" s="1362"/>
      <c r="AB38" s="1362"/>
      <c r="AC38" s="1360"/>
      <c r="AD38" s="1364"/>
      <c r="AE38" s="1362"/>
      <c r="AF38" s="1362"/>
    </row>
    <row r="39" spans="1:32">
      <c r="A39" s="1360"/>
      <c r="B39" s="1256"/>
      <c r="C39" s="1255"/>
      <c r="D39" s="1257"/>
      <c r="E39" s="1361"/>
      <c r="F39" s="1258"/>
      <c r="G39" s="1258"/>
      <c r="H39" s="1258"/>
      <c r="I39" s="1258"/>
      <c r="J39" s="1258"/>
      <c r="K39" s="1256"/>
      <c r="L39" s="1360"/>
      <c r="M39" s="2852"/>
      <c r="N39" s="1362"/>
      <c r="O39" s="1362"/>
      <c r="P39" s="1257"/>
      <c r="Q39" s="1258"/>
      <c r="R39" s="1258"/>
      <c r="S39" s="1258"/>
      <c r="T39" s="1258"/>
      <c r="U39" s="1258">
        <f>+U19*1.15</f>
        <v>0</v>
      </c>
      <c r="V39" s="1256"/>
      <c r="W39" s="1360"/>
      <c r="X39" s="1360"/>
      <c r="Y39" s="1364"/>
      <c r="Z39" s="1362"/>
      <c r="AA39" s="1362"/>
      <c r="AB39" s="1362"/>
      <c r="AC39" s="1360"/>
      <c r="AD39" s="1364"/>
      <c r="AE39" s="1362"/>
      <c r="AF39" s="1362"/>
    </row>
    <row r="40" spans="1:32">
      <c r="A40" s="1365"/>
      <c r="B40" s="1256"/>
      <c r="C40" s="1255"/>
      <c r="D40" s="1257"/>
      <c r="E40" s="1361"/>
      <c r="F40" s="1366"/>
      <c r="G40" s="1366"/>
      <c r="H40" s="1366"/>
      <c r="I40" s="1366"/>
      <c r="J40" s="1258"/>
      <c r="K40" s="1256"/>
      <c r="L40" s="1365"/>
      <c r="M40" s="2853">
        <f>403092.61/11085046.72</f>
        <v>3.6363636544059594E-2</v>
      </c>
      <c r="N40" s="1365"/>
      <c r="O40" s="1365"/>
      <c r="P40" s="1257"/>
      <c r="Q40" s="1366"/>
      <c r="R40" s="1366"/>
      <c r="S40" s="1366"/>
      <c r="T40" s="1366"/>
      <c r="U40" s="1366">
        <f>+U17+U18</f>
        <v>64677.22</v>
      </c>
      <c r="V40" s="1256"/>
      <c r="W40" s="1365"/>
      <c r="X40" s="1365"/>
      <c r="Y40" s="1365"/>
      <c r="Z40" s="1362"/>
      <c r="AA40" s="1362"/>
      <c r="AB40" s="1362"/>
      <c r="AC40" s="1365"/>
      <c r="AD40" s="1365"/>
      <c r="AE40" s="1362"/>
      <c r="AF40" s="1362"/>
    </row>
    <row r="41" spans="1:32">
      <c r="D41" s="1257"/>
      <c r="E41" s="153">
        <v>44197</v>
      </c>
      <c r="F41" s="1366"/>
      <c r="P41" s="1257"/>
      <c r="Q41" s="1366"/>
      <c r="R41" s="1366"/>
      <c r="S41" s="1366"/>
      <c r="T41" s="1366"/>
      <c r="U41" s="1366">
        <f>+U40*1.15</f>
        <v>74378.803</v>
      </c>
      <c r="AA41" s="153">
        <v>44094</v>
      </c>
      <c r="AC41" s="1367"/>
    </row>
    <row r="42" spans="1:32">
      <c r="D42" s="1257"/>
      <c r="E42" s="153">
        <f>E41-45</f>
        <v>44152</v>
      </c>
      <c r="F42" s="1366"/>
      <c r="P42" s="1257"/>
      <c r="Q42" s="1366"/>
      <c r="R42" s="1366"/>
      <c r="S42" s="1366"/>
      <c r="T42" s="1366"/>
      <c r="U42" s="1366"/>
      <c r="AA42" s="153">
        <f>AA41-45</f>
        <v>44049</v>
      </c>
    </row>
    <row r="43" spans="1:32">
      <c r="D43" s="1257"/>
      <c r="F43" s="1366"/>
      <c r="H43" s="153">
        <v>43986</v>
      </c>
      <c r="R43" s="652"/>
      <c r="S43" s="652"/>
      <c r="T43" s="652"/>
      <c r="U43" s="652"/>
    </row>
  </sheetData>
  <mergeCells count="4">
    <mergeCell ref="A10:J10"/>
    <mergeCell ref="L10:U10"/>
    <mergeCell ref="W10:AF10"/>
    <mergeCell ref="A37:F37"/>
  </mergeCells>
  <printOptions horizontalCentered="1"/>
  <pageMargins left="0.25" right="0.25" top="0.75" bottom="0.75" header="0.3" footer="0.3"/>
  <pageSetup paperSize="8" scale="67" fitToHeight="2" orientation="landscape" r:id="rId1"/>
  <headerFooter>
    <oddHeader>&amp;C&amp;"Calibri Bold,Bold"&amp;18&amp;K000000MONTHLY REPORT - INVOICE &amp; PAYMENT TRACKING LOG (EURO CONSULT)</oddHeader>
    <oddFooter>&amp;L1TB.01.003.01 - AYC 
MARCH'26 REPORT&amp;C&amp;A&amp;RPage &amp;P of &amp;N</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11E3E-7AC9-A142-93B1-13F96937DE92}">
  <sheetPr>
    <tabColor theme="7" tint="0.39997558519241921"/>
    <pageSetUpPr fitToPage="1"/>
  </sheetPr>
  <dimension ref="A1:AG43"/>
  <sheetViews>
    <sheetView showGridLines="0" view="pageBreakPreview" topLeftCell="H1" zoomScaleNormal="100" zoomScaleSheetLayoutView="100" workbookViewId="0">
      <selection activeCell="C43" sqref="C43"/>
    </sheetView>
  </sheetViews>
  <sheetFormatPr defaultColWidth="9" defaultRowHeight="12.75"/>
  <cols>
    <col min="1" max="1" width="10.85546875" customWidth="1"/>
    <col min="2" max="2" width="10.42578125" customWidth="1"/>
    <col min="3" max="3" width="11.42578125" customWidth="1"/>
    <col min="4" max="4" width="10.85546875" bestFit="1" customWidth="1"/>
    <col min="5" max="5" width="9.85546875" bestFit="1" customWidth="1"/>
    <col min="6" max="6" width="12" customWidth="1"/>
    <col min="7" max="7" width="12.85546875" bestFit="1" customWidth="1"/>
    <col min="8" max="9" width="11" bestFit="1" customWidth="1"/>
    <col min="10" max="10" width="13.85546875" customWidth="1"/>
    <col min="11" max="11" width="0.85546875" customWidth="1"/>
    <col min="12" max="12" width="6" customWidth="1"/>
    <col min="13" max="13" width="17.85546875" style="2854" bestFit="1" customWidth="1"/>
    <col min="14" max="14" width="9" customWidth="1"/>
    <col min="15" max="15" width="10" customWidth="1"/>
    <col min="16" max="16" width="7.85546875" customWidth="1"/>
    <col min="17" max="17" width="13.85546875" customWidth="1"/>
    <col min="18" max="18" width="15.5703125" customWidth="1"/>
    <col min="19" max="20" width="11.42578125" customWidth="1"/>
    <col min="21" max="21" width="14.5703125" customWidth="1"/>
    <col min="22" max="22" width="0.85546875" customWidth="1"/>
    <col min="23" max="23" width="14" bestFit="1" customWidth="1"/>
    <col min="24" max="24" width="9" customWidth="1"/>
    <col min="25" max="25" width="9" hidden="1" customWidth="1"/>
    <col min="26" max="26" width="9" bestFit="1" customWidth="1"/>
    <col min="27" max="27" width="10" customWidth="1"/>
    <col min="28" max="28" width="7" customWidth="1"/>
    <col min="29" max="29" width="12.42578125" customWidth="1"/>
    <col min="30" max="30" width="13.5703125" customWidth="1"/>
    <col min="31" max="32" width="14" customWidth="1"/>
    <col min="33" max="33" width="13.5703125" bestFit="1" customWidth="1"/>
  </cols>
  <sheetData>
    <row r="1" spans="1:33">
      <c r="A1" s="1255"/>
      <c r="B1" s="1256"/>
      <c r="C1" s="1255"/>
      <c r="D1" s="1257"/>
      <c r="E1" s="1257"/>
      <c r="F1" s="1258"/>
      <c r="G1" s="1258"/>
      <c r="H1" s="1258"/>
      <c r="I1" s="1258"/>
      <c r="J1" s="1258"/>
      <c r="K1" s="1257"/>
      <c r="L1" s="1255"/>
      <c r="M1" s="2848"/>
      <c r="N1" s="1255"/>
      <c r="O1" s="1255"/>
      <c r="P1" s="1255"/>
      <c r="Q1" s="1255"/>
      <c r="R1" s="1255"/>
      <c r="S1" s="1255"/>
      <c r="T1" s="1255"/>
      <c r="U1" s="1259"/>
      <c r="V1" s="1257"/>
      <c r="W1" s="1257"/>
      <c r="X1" s="1257"/>
      <c r="Y1" s="1257"/>
      <c r="Z1" s="1257"/>
      <c r="AA1" s="1257"/>
      <c r="AB1" s="1257"/>
      <c r="AC1" s="1257"/>
      <c r="AD1" s="1257"/>
      <c r="AE1" s="1257"/>
      <c r="AF1" s="1257"/>
    </row>
    <row r="2" spans="1:33">
      <c r="A2" s="9" t="str">
        <f>'Data Input'!A1&amp;" - "&amp;'Data Input'!B1</f>
        <v>PROGRAMME: - MARINA VILLAGE (PROGRAMME 1_TRIPLE BAY)</v>
      </c>
      <c r="B2" s="1256"/>
      <c r="C2" s="1255"/>
      <c r="D2" s="1257"/>
      <c r="E2" s="1257"/>
      <c r="F2" s="1258"/>
      <c r="G2" s="1258"/>
      <c r="H2" s="1258"/>
      <c r="I2" s="1258"/>
      <c r="J2" s="1258"/>
      <c r="K2" s="1257"/>
      <c r="L2" s="1255"/>
      <c r="M2" s="2848"/>
      <c r="N2" s="1255"/>
      <c r="O2" s="1255"/>
      <c r="P2" s="1255"/>
      <c r="Q2" s="1255"/>
      <c r="R2" s="1255"/>
      <c r="S2" s="1255"/>
      <c r="T2" s="1255"/>
      <c r="U2" s="1259"/>
      <c r="V2" s="1257"/>
      <c r="W2" s="1257"/>
      <c r="X2" s="1257"/>
      <c r="Y2" s="1257"/>
      <c r="Z2" s="1257"/>
      <c r="AA2" s="1257"/>
      <c r="AB2" s="1257"/>
      <c r="AC2" s="1257"/>
      <c r="AD2" s="1257"/>
      <c r="AE2" s="1257"/>
      <c r="AF2" s="1257"/>
    </row>
    <row r="3" spans="1:33">
      <c r="A3" s="9" t="str">
        <f>'Data Input'!A2&amp;" - "&amp;'Data Input'!B2</f>
        <v>PROGRAMME CODE: - 1TB01003</v>
      </c>
      <c r="B3" s="1260"/>
      <c r="C3" s="1261"/>
      <c r="D3" s="1262"/>
      <c r="E3" s="1262"/>
      <c r="F3" s="1263"/>
      <c r="G3" s="1263"/>
      <c r="H3" s="1263"/>
      <c r="I3" s="1263"/>
      <c r="J3" s="1264"/>
      <c r="K3" s="1265"/>
      <c r="L3" s="1265"/>
      <c r="M3" s="1262"/>
      <c r="N3" s="1265"/>
      <c r="O3" s="1266"/>
      <c r="P3" s="1265"/>
      <c r="Q3" s="1265"/>
      <c r="R3" s="1265"/>
      <c r="S3" s="1265"/>
      <c r="T3" s="1265"/>
      <c r="U3" s="1267"/>
      <c r="V3" s="1265"/>
      <c r="W3" s="1265"/>
      <c r="X3" s="1265"/>
      <c r="Y3" s="1265"/>
      <c r="Z3" s="1265"/>
      <c r="AA3" s="1265"/>
      <c r="AB3" s="1265"/>
      <c r="AC3" s="1265"/>
      <c r="AD3" s="1265"/>
      <c r="AE3" s="1265"/>
      <c r="AF3" s="1265"/>
    </row>
    <row r="4" spans="1:33">
      <c r="A4" s="9" t="str">
        <f>'Data Input'!A3&amp;" - "&amp;'Data Input'!B3</f>
        <v>ASSET NAME: - AMAALA YACHT CLUB</v>
      </c>
      <c r="B4" s="1260"/>
      <c r="C4" s="1268"/>
      <c r="D4" s="1265"/>
      <c r="E4" s="1265"/>
      <c r="F4" s="1267"/>
      <c r="G4" s="1267"/>
      <c r="H4" s="1267"/>
      <c r="I4" s="1267"/>
      <c r="J4" s="1269"/>
      <c r="K4" s="1265"/>
      <c r="L4" s="1265"/>
      <c r="M4" s="1262"/>
      <c r="N4" s="1265"/>
      <c r="O4" s="1266"/>
      <c r="P4" s="1265"/>
      <c r="Q4" s="1265"/>
      <c r="R4" s="1265"/>
      <c r="S4" s="1265"/>
      <c r="T4" s="1265"/>
      <c r="U4" s="1267"/>
      <c r="V4" s="1265"/>
      <c r="W4" s="1265"/>
      <c r="X4" s="1265"/>
      <c r="Y4" s="1265"/>
      <c r="Z4" s="1265"/>
      <c r="AA4" s="1265"/>
      <c r="AB4" s="1265"/>
      <c r="AC4" s="1265"/>
      <c r="AD4" s="1265"/>
      <c r="AE4" s="1265"/>
      <c r="AF4" s="1265"/>
    </row>
    <row r="5" spans="1:33">
      <c r="A5" s="9" t="str">
        <f>'Data Input'!A4&amp;" - "&amp;'Data Input'!B4</f>
        <v>ASSET CODE: - 1TB01003.01</v>
      </c>
      <c r="B5" s="1270"/>
      <c r="C5" s="1268"/>
      <c r="D5" s="1265"/>
      <c r="E5" s="1265"/>
      <c r="F5" s="1267"/>
      <c r="G5" s="1267"/>
      <c r="H5" s="1267"/>
      <c r="I5" s="1267"/>
      <c r="J5" s="1269"/>
      <c r="K5" s="1265"/>
      <c r="L5" s="1265"/>
      <c r="M5" s="1262"/>
      <c r="N5" s="1265"/>
      <c r="O5" s="1266"/>
      <c r="P5" s="1265"/>
      <c r="Q5" s="1265"/>
      <c r="R5" s="1271"/>
      <c r="S5" s="1265"/>
      <c r="T5" s="1265"/>
      <c r="U5" s="1267"/>
      <c r="V5" s="1265"/>
      <c r="W5" s="1265"/>
      <c r="X5" s="1265"/>
      <c r="Y5" s="1265"/>
      <c r="Z5" s="1265"/>
      <c r="AA5" s="1265"/>
      <c r="AB5" s="1265"/>
      <c r="AC5" s="1265"/>
      <c r="AD5" s="1265"/>
      <c r="AE5" s="1265"/>
      <c r="AF5" s="1265"/>
    </row>
    <row r="6" spans="1:33">
      <c r="A6" s="9" t="str">
        <f>'Data Input'!A7&amp;" - "&amp;'Data Input'!B7</f>
        <v>REPORT NO: - MONTHLY REPORT NO. 49</v>
      </c>
      <c r="B6" s="1272"/>
      <c r="C6" s="1268"/>
      <c r="D6" s="1265"/>
      <c r="E6" s="1265"/>
      <c r="F6" s="1267"/>
      <c r="G6" s="1267"/>
      <c r="H6" s="1267"/>
      <c r="I6" s="1267"/>
      <c r="J6" s="1269"/>
      <c r="K6" s="1265"/>
      <c r="L6" s="1265"/>
      <c r="M6" s="1262"/>
      <c r="N6" s="1265"/>
      <c r="O6" s="1266"/>
      <c r="P6" s="1265"/>
      <c r="Q6" s="1265"/>
      <c r="R6" s="1273"/>
      <c r="S6" s="1265"/>
      <c r="T6" s="1271"/>
      <c r="U6" s="1267"/>
      <c r="V6" s="1265"/>
      <c r="W6" s="1265"/>
      <c r="X6" s="1265"/>
      <c r="Y6" s="1265"/>
      <c r="Z6" s="1265"/>
      <c r="AA6" s="1265"/>
      <c r="AB6" s="1265"/>
      <c r="AC6" s="1265"/>
      <c r="AD6" s="1265"/>
      <c r="AE6" s="1265"/>
      <c r="AF6" s="1265"/>
    </row>
    <row r="7" spans="1:33">
      <c r="A7" s="9" t="str">
        <f>'Data Input'!A8&amp;" - "&amp;'Data Input'!B8</f>
        <v>REPORTING PERIOD: - OCTOBER 2026</v>
      </c>
      <c r="B7" s="1262"/>
      <c r="C7" s="1274"/>
      <c r="D7" s="1262"/>
      <c r="E7" s="1262"/>
      <c r="F7" s="1263"/>
      <c r="G7" s="1263"/>
      <c r="H7" s="1263"/>
      <c r="I7" s="1263"/>
      <c r="J7" s="1264"/>
      <c r="K7" s="1265"/>
      <c r="L7" s="1265"/>
      <c r="M7" s="1262"/>
      <c r="N7" s="1265"/>
      <c r="O7" s="1265"/>
      <c r="P7" s="1265"/>
      <c r="Q7" s="1267"/>
      <c r="R7" s="1263"/>
      <c r="S7" s="1263"/>
      <c r="T7" s="1263"/>
      <c r="U7" s="1267"/>
      <c r="V7" s="1265"/>
      <c r="W7" s="1265"/>
      <c r="X7" s="1265"/>
      <c r="Y7" s="1265"/>
      <c r="Z7" s="1265"/>
      <c r="AA7" s="1265"/>
      <c r="AB7" s="1265"/>
      <c r="AC7" s="1265"/>
      <c r="AD7" s="1265"/>
      <c r="AE7" s="1265"/>
      <c r="AF7" s="1265"/>
    </row>
    <row r="8" spans="1:33" ht="13.5" thickBot="1">
      <c r="A8" s="9"/>
      <c r="B8" s="1256"/>
      <c r="C8" s="1255"/>
      <c r="D8" s="1257"/>
      <c r="E8" s="1257"/>
      <c r="F8" s="1258"/>
      <c r="G8" s="1258"/>
      <c r="H8" s="1258"/>
      <c r="I8" s="1258"/>
      <c r="J8" s="1258"/>
      <c r="K8" s="1257"/>
      <c r="L8" s="1255"/>
      <c r="M8" s="2848"/>
      <c r="N8" s="1275"/>
      <c r="O8" s="1276"/>
      <c r="P8" s="1255"/>
      <c r="Q8" s="1255"/>
      <c r="R8" s="1255"/>
      <c r="S8" s="1255"/>
      <c r="T8" s="1255"/>
      <c r="U8" s="1259"/>
      <c r="V8" s="1257"/>
      <c r="W8" s="1257"/>
      <c r="X8" s="1257"/>
      <c r="Y8" s="1257"/>
      <c r="Z8" s="1257"/>
      <c r="AA8" s="1257"/>
      <c r="AB8" s="1257"/>
      <c r="AC8" s="1257"/>
      <c r="AD8" s="1257"/>
      <c r="AE8" s="1257"/>
      <c r="AF8" s="1257"/>
    </row>
    <row r="9" spans="1:33" ht="30" customHeight="1" thickBot="1">
      <c r="A9" s="1354" t="str">
        <f>'Schedule B'!A35&amp;" - "&amp;'Schedule B'!C35</f>
        <v>PS.003F09 - Euro Consult (COO 27)</v>
      </c>
      <c r="B9" s="1355"/>
      <c r="C9" s="1355"/>
      <c r="D9" s="1356"/>
      <c r="E9" s="1356"/>
      <c r="F9" s="1357"/>
      <c r="G9" s="1357"/>
      <c r="H9" s="1357"/>
      <c r="I9" s="1357"/>
      <c r="J9" s="1357"/>
      <c r="K9" s="1356"/>
      <c r="L9" s="1355"/>
      <c r="M9" s="2849"/>
      <c r="N9" s="1355"/>
      <c r="O9" s="1355"/>
      <c r="P9" s="1355"/>
      <c r="Q9" s="1355"/>
      <c r="R9" s="1355"/>
      <c r="S9" s="1355"/>
      <c r="T9" s="1355"/>
      <c r="U9" s="1358"/>
      <c r="V9" s="1356"/>
      <c r="W9" s="1356"/>
      <c r="X9" s="1356"/>
      <c r="Y9" s="1356"/>
      <c r="Z9" s="1356"/>
      <c r="AA9" s="1356"/>
      <c r="AB9" s="1356"/>
      <c r="AC9" s="1356"/>
      <c r="AD9" s="1356"/>
      <c r="AE9" s="1356"/>
      <c r="AF9" s="1359"/>
    </row>
    <row r="10" spans="1:33">
      <c r="A10" s="6051" t="s">
        <v>1524</v>
      </c>
      <c r="B10" s="6052"/>
      <c r="C10" s="6052"/>
      <c r="D10" s="6052"/>
      <c r="E10" s="6052"/>
      <c r="F10" s="6052"/>
      <c r="G10" s="6053"/>
      <c r="H10" s="6053"/>
      <c r="I10" s="6053"/>
      <c r="J10" s="6054"/>
      <c r="K10" s="1256"/>
      <c r="L10" s="6055" t="s">
        <v>1525</v>
      </c>
      <c r="M10" s="6056"/>
      <c r="N10" s="6056"/>
      <c r="O10" s="6056"/>
      <c r="P10" s="6056"/>
      <c r="Q10" s="6056"/>
      <c r="R10" s="6057"/>
      <c r="S10" s="6057"/>
      <c r="T10" s="6057"/>
      <c r="U10" s="6058"/>
      <c r="V10" s="1256"/>
      <c r="W10" s="6043" t="s">
        <v>1526</v>
      </c>
      <c r="X10" s="6044"/>
      <c r="Y10" s="6044"/>
      <c r="Z10" s="6044"/>
      <c r="AA10" s="6044"/>
      <c r="AB10" s="6044"/>
      <c r="AC10" s="6044"/>
      <c r="AD10" s="6044"/>
      <c r="AE10" s="6044"/>
      <c r="AF10" s="6059"/>
    </row>
    <row r="11" spans="1:33" ht="60" customHeight="1">
      <c r="A11" s="1283" t="s">
        <v>1462</v>
      </c>
      <c r="B11" s="1284" t="s">
        <v>1527</v>
      </c>
      <c r="C11" s="1284" t="s">
        <v>1528</v>
      </c>
      <c r="D11" s="1285" t="s">
        <v>1744</v>
      </c>
      <c r="E11" s="1285" t="s">
        <v>1530</v>
      </c>
      <c r="F11" s="1286" t="s">
        <v>1531</v>
      </c>
      <c r="G11" s="1287" t="s">
        <v>1532</v>
      </c>
      <c r="H11" s="1287" t="s">
        <v>1533</v>
      </c>
      <c r="I11" s="1287" t="s">
        <v>1534</v>
      </c>
      <c r="J11" s="1288" t="s">
        <v>1535</v>
      </c>
      <c r="K11" s="1289"/>
      <c r="L11" s="763" t="s">
        <v>1536</v>
      </c>
      <c r="M11" s="1290" t="s">
        <v>1601</v>
      </c>
      <c r="N11" s="1290" t="s">
        <v>1530</v>
      </c>
      <c r="O11" s="1290" t="s">
        <v>2151</v>
      </c>
      <c r="P11" s="764" t="s">
        <v>1539</v>
      </c>
      <c r="Q11" s="1291" t="s">
        <v>1540</v>
      </c>
      <c r="R11" s="1292" t="s">
        <v>1541</v>
      </c>
      <c r="S11" s="1292" t="s">
        <v>1533</v>
      </c>
      <c r="T11" s="1292" t="s">
        <v>1534</v>
      </c>
      <c r="U11" s="1293" t="s">
        <v>1542</v>
      </c>
      <c r="V11" s="1256"/>
      <c r="W11" s="1294" t="s">
        <v>3085</v>
      </c>
      <c r="X11" s="2839" t="s">
        <v>2087</v>
      </c>
      <c r="Y11" s="1295" t="s">
        <v>1544</v>
      </c>
      <c r="Z11" s="1296" t="s">
        <v>1545</v>
      </c>
      <c r="AA11" s="1296" t="s">
        <v>1761</v>
      </c>
      <c r="AB11" s="769" t="s">
        <v>1539</v>
      </c>
      <c r="AC11" s="769" t="s">
        <v>1547</v>
      </c>
      <c r="AD11" s="769" t="s">
        <v>1548</v>
      </c>
      <c r="AE11" s="1296" t="s">
        <v>1549</v>
      </c>
      <c r="AF11" s="1297" t="s">
        <v>1550</v>
      </c>
    </row>
    <row r="12" spans="1:33" ht="26.25" customHeight="1">
      <c r="A12" s="1298"/>
      <c r="B12" s="1299"/>
      <c r="C12" s="1300"/>
      <c r="D12" s="1301"/>
      <c r="E12" s="1302" t="s">
        <v>296</v>
      </c>
      <c r="F12" s="1303" t="s">
        <v>434</v>
      </c>
      <c r="G12" s="1303" t="s">
        <v>434</v>
      </c>
      <c r="H12" s="1304" t="s">
        <v>805</v>
      </c>
      <c r="I12" s="1304" t="s">
        <v>805</v>
      </c>
      <c r="J12" s="1305" t="s">
        <v>434</v>
      </c>
      <c r="K12" s="1256"/>
      <c r="L12" s="765"/>
      <c r="M12" s="766"/>
      <c r="N12" s="1306" t="s">
        <v>296</v>
      </c>
      <c r="O12" s="766" t="s">
        <v>2152</v>
      </c>
      <c r="P12" s="1307" t="s">
        <v>1552</v>
      </c>
      <c r="Q12" s="767" t="s">
        <v>434</v>
      </c>
      <c r="R12" s="767" t="s">
        <v>434</v>
      </c>
      <c r="S12" s="1308" t="s">
        <v>805</v>
      </c>
      <c r="T12" s="1308" t="s">
        <v>805</v>
      </c>
      <c r="U12" s="768" t="s">
        <v>434</v>
      </c>
      <c r="V12" s="1256"/>
      <c r="W12" s="770"/>
      <c r="X12" s="2840"/>
      <c r="Y12" s="1309" t="s">
        <v>296</v>
      </c>
      <c r="Z12" s="1309" t="s">
        <v>296</v>
      </c>
      <c r="AA12" s="1309" t="s">
        <v>3578</v>
      </c>
      <c r="AB12" s="1310" t="s">
        <v>1552</v>
      </c>
      <c r="AC12" s="1311"/>
      <c r="AD12" s="1312">
        <v>0.15</v>
      </c>
      <c r="AE12" s="1309" t="s">
        <v>296</v>
      </c>
      <c r="AF12" s="1313" t="s">
        <v>296</v>
      </c>
    </row>
    <row r="13" spans="1:33" s="722" customFormat="1" ht="22.5" customHeight="1">
      <c r="A13" s="1314"/>
      <c r="B13" s="1314"/>
      <c r="C13" s="1314"/>
      <c r="D13" s="1314"/>
      <c r="E13" s="1314" t="s">
        <v>1481</v>
      </c>
      <c r="F13" s="1314"/>
      <c r="G13" s="1314"/>
      <c r="H13" s="1314"/>
      <c r="I13" s="1314"/>
      <c r="J13" s="1314"/>
      <c r="K13" s="1255"/>
      <c r="L13" s="1315"/>
      <c r="M13" s="1315"/>
      <c r="N13" s="1316" t="s">
        <v>1482</v>
      </c>
      <c r="O13" s="1314" t="s">
        <v>2084</v>
      </c>
      <c r="P13" s="1317" t="s">
        <v>1555</v>
      </c>
      <c r="Q13" s="1318" t="s">
        <v>1556</v>
      </c>
      <c r="R13" s="1318" t="s">
        <v>1557</v>
      </c>
      <c r="S13" s="1319" t="s">
        <v>1605</v>
      </c>
      <c r="T13" s="1319" t="s">
        <v>1606</v>
      </c>
      <c r="U13" s="1318" t="s">
        <v>1560</v>
      </c>
      <c r="V13" s="1255"/>
      <c r="W13" s="1316"/>
      <c r="X13" s="1316" t="s">
        <v>1561</v>
      </c>
      <c r="Y13" s="1316"/>
      <c r="Z13" s="1316" t="s">
        <v>2088</v>
      </c>
      <c r="AA13" s="1316" t="s">
        <v>2089</v>
      </c>
      <c r="AB13" s="1317" t="s">
        <v>2091</v>
      </c>
      <c r="AC13" s="1314" t="s">
        <v>2092</v>
      </c>
      <c r="AD13" s="1319" t="s">
        <v>2093</v>
      </c>
      <c r="AE13" s="1316" t="s">
        <v>2094</v>
      </c>
      <c r="AF13" s="1316"/>
    </row>
    <row r="14" spans="1:33" s="2837" customFormat="1" ht="57.75" customHeight="1">
      <c r="A14" s="4688">
        <v>1</v>
      </c>
      <c r="B14" s="4689" t="s">
        <v>1763</v>
      </c>
      <c r="C14" s="4690">
        <v>45689</v>
      </c>
      <c r="D14" s="4691" t="s">
        <v>4408</v>
      </c>
      <c r="E14" s="4692">
        <v>45704</v>
      </c>
      <c r="F14" s="4693">
        <f>+G14</f>
        <v>24000</v>
      </c>
      <c r="G14" s="4694">
        <v>24000</v>
      </c>
      <c r="H14" s="4694">
        <v>0</v>
      </c>
      <c r="I14" s="4694">
        <v>0</v>
      </c>
      <c r="J14" s="4694">
        <f>G14+H14+I14</f>
        <v>24000</v>
      </c>
      <c r="K14" s="4695"/>
      <c r="L14" s="4696">
        <v>1</v>
      </c>
      <c r="M14" s="4697" t="s">
        <v>4409</v>
      </c>
      <c r="N14" s="4692">
        <v>45762</v>
      </c>
      <c r="O14" s="4698">
        <f>E14+21</f>
        <v>45725</v>
      </c>
      <c r="P14" s="4699">
        <f>O14-N14</f>
        <v>-37</v>
      </c>
      <c r="Q14" s="4693">
        <f>+R14</f>
        <v>24000</v>
      </c>
      <c r="R14" s="4694">
        <v>24000</v>
      </c>
      <c r="S14" s="4694">
        <v>0</v>
      </c>
      <c r="T14" s="4694">
        <v>0</v>
      </c>
      <c r="U14" s="4694">
        <f>R14+S14+T14</f>
        <v>24000</v>
      </c>
      <c r="V14" s="4695"/>
      <c r="W14" s="4700" t="s">
        <v>4587</v>
      </c>
      <c r="X14" s="4703">
        <v>45827</v>
      </c>
      <c r="Y14" s="4698"/>
      <c r="Z14" s="4701">
        <v>45861</v>
      </c>
      <c r="AA14" s="4701">
        <f>+X14+30</f>
        <v>45857</v>
      </c>
      <c r="AB14" s="4699">
        <f>+AA14-Z14</f>
        <v>-4</v>
      </c>
      <c r="AC14" s="4702">
        <f>+R14</f>
        <v>24000</v>
      </c>
      <c r="AD14" s="4702">
        <f>+AC14*15%</f>
        <v>3600</v>
      </c>
      <c r="AE14" s="4702">
        <f>+AD14+AC14</f>
        <v>27600</v>
      </c>
      <c r="AF14" s="4702">
        <f>+AE14</f>
        <v>27600</v>
      </c>
      <c r="AG14" s="2842">
        <f>+AC14*1.15</f>
        <v>27599.999999999996</v>
      </c>
    </row>
    <row r="15" spans="1:33" s="2837" customFormat="1" ht="57.75" customHeight="1">
      <c r="A15" s="4688">
        <v>2</v>
      </c>
      <c r="B15" s="4689" t="s">
        <v>1764</v>
      </c>
      <c r="C15" s="4690">
        <v>45778</v>
      </c>
      <c r="D15" s="4691" t="s">
        <v>4410</v>
      </c>
      <c r="E15" s="4692">
        <v>45810</v>
      </c>
      <c r="F15" s="4693">
        <f>+G15+F14</f>
        <v>36000</v>
      </c>
      <c r="G15" s="4694">
        <v>12000</v>
      </c>
      <c r="H15" s="4694">
        <v>0</v>
      </c>
      <c r="I15" s="4694">
        <v>0</v>
      </c>
      <c r="J15" s="4694">
        <f>G15+H15+I15</f>
        <v>12000</v>
      </c>
      <c r="K15" s="4695">
        <v>2</v>
      </c>
      <c r="L15" s="4696">
        <v>2</v>
      </c>
      <c r="M15" s="4697" t="s">
        <v>4411</v>
      </c>
      <c r="N15" s="4692">
        <v>45832</v>
      </c>
      <c r="O15" s="4698">
        <f>E15+21</f>
        <v>45831</v>
      </c>
      <c r="P15" s="4699">
        <f>O15-N15</f>
        <v>-1</v>
      </c>
      <c r="Q15" s="4693">
        <f>+R15+Q14</f>
        <v>36000</v>
      </c>
      <c r="R15" s="4694">
        <v>12000</v>
      </c>
      <c r="S15" s="4694">
        <v>0</v>
      </c>
      <c r="T15" s="4694">
        <v>0</v>
      </c>
      <c r="U15" s="4694">
        <f>R15+S15+T15</f>
        <v>12000</v>
      </c>
      <c r="V15" s="4695"/>
      <c r="W15" s="4700" t="s">
        <v>4588</v>
      </c>
      <c r="X15" s="4703">
        <v>45847</v>
      </c>
      <c r="Y15" s="4698"/>
      <c r="Z15" s="4701">
        <v>45876</v>
      </c>
      <c r="AA15" s="4701">
        <f>+X15+30</f>
        <v>45877</v>
      </c>
      <c r="AB15" s="4699">
        <f>+AA15-Z15</f>
        <v>1</v>
      </c>
      <c r="AC15" s="4702">
        <f>+R15</f>
        <v>12000</v>
      </c>
      <c r="AD15" s="4702">
        <f>+AC15*15%</f>
        <v>1800</v>
      </c>
      <c r="AE15" s="4702">
        <f>+AD15+AC15</f>
        <v>13800</v>
      </c>
      <c r="AF15" s="4702">
        <f>+AE15+AF14</f>
        <v>41400</v>
      </c>
      <c r="AG15" s="2842">
        <f>+AC15*1.15</f>
        <v>13799.999999999998</v>
      </c>
    </row>
    <row r="16" spans="1:33" ht="41.25" customHeight="1">
      <c r="A16" s="4688">
        <v>3</v>
      </c>
      <c r="B16" s="4689" t="s">
        <v>1765</v>
      </c>
      <c r="C16" s="4690" t="s">
        <v>4842</v>
      </c>
      <c r="D16" s="4691" t="s">
        <v>4841</v>
      </c>
      <c r="E16" s="4692">
        <v>45908</v>
      </c>
      <c r="F16" s="4693">
        <f>+G16+F15</f>
        <v>45000</v>
      </c>
      <c r="G16" s="4694">
        <v>9000</v>
      </c>
      <c r="H16" s="4694">
        <v>0</v>
      </c>
      <c r="I16" s="4694">
        <v>0</v>
      </c>
      <c r="J16" s="4694">
        <f>G16+H16+I16</f>
        <v>9000</v>
      </c>
      <c r="K16" s="4695"/>
      <c r="L16" s="4696">
        <v>3</v>
      </c>
      <c r="M16" s="4697" t="s">
        <v>4843</v>
      </c>
      <c r="N16" s="4692">
        <v>45914</v>
      </c>
      <c r="O16" s="4698">
        <f>E16+21</f>
        <v>45929</v>
      </c>
      <c r="P16" s="4699">
        <f>O16-N16</f>
        <v>15</v>
      </c>
      <c r="Q16" s="4693">
        <f>+R16+Q15</f>
        <v>45000</v>
      </c>
      <c r="R16" s="4694">
        <v>9000</v>
      </c>
      <c r="S16" s="4694">
        <v>0</v>
      </c>
      <c r="T16" s="4694">
        <v>0</v>
      </c>
      <c r="U16" s="4694">
        <f>R16+S16+T16</f>
        <v>9000</v>
      </c>
      <c r="V16" s="4695"/>
      <c r="W16" s="4700" t="s">
        <v>5564</v>
      </c>
      <c r="X16" s="4703">
        <v>45927</v>
      </c>
      <c r="Y16" s="4698"/>
      <c r="Z16" s="4701">
        <v>45876</v>
      </c>
      <c r="AA16" s="4701">
        <f>+X16+30</f>
        <v>45957</v>
      </c>
      <c r="AB16" s="4699">
        <f>+AA16-Z16</f>
        <v>81</v>
      </c>
      <c r="AC16" s="4702">
        <f>+R16</f>
        <v>9000</v>
      </c>
      <c r="AD16" s="4702">
        <f>+AC16*15%</f>
        <v>1350</v>
      </c>
      <c r="AE16" s="4702">
        <f>+AD16+AC16</f>
        <v>10350</v>
      </c>
      <c r="AF16" s="4702">
        <f>+AE16+AF15</f>
        <v>51750</v>
      </c>
    </row>
    <row r="17" spans="1:32" ht="36">
      <c r="A17" s="4688">
        <v>4</v>
      </c>
      <c r="B17" s="4689" t="s">
        <v>1766</v>
      </c>
      <c r="C17" s="4690">
        <v>46082</v>
      </c>
      <c r="D17" s="4691" t="s">
        <v>6120</v>
      </c>
      <c r="E17" s="4692">
        <v>46124</v>
      </c>
      <c r="F17" s="4693">
        <f>+G17+F16</f>
        <v>54000</v>
      </c>
      <c r="G17" s="4694">
        <v>9000</v>
      </c>
      <c r="H17" s="4694">
        <v>0</v>
      </c>
      <c r="I17" s="4694">
        <v>0</v>
      </c>
      <c r="J17" s="4694">
        <f>G17+H17+I17</f>
        <v>9000</v>
      </c>
      <c r="K17" s="4695"/>
      <c r="L17" s="4696">
        <v>3</v>
      </c>
      <c r="M17" s="4697" t="s">
        <v>6121</v>
      </c>
      <c r="N17" s="4692">
        <v>46135</v>
      </c>
      <c r="O17" s="4698">
        <f>E17+21</f>
        <v>46145</v>
      </c>
      <c r="P17" s="4699">
        <f>O17-N17</f>
        <v>10</v>
      </c>
      <c r="Q17" s="4693">
        <f>+R17+Q16</f>
        <v>54000</v>
      </c>
      <c r="R17" s="4694">
        <v>9000</v>
      </c>
      <c r="S17" s="4694">
        <v>0</v>
      </c>
      <c r="T17" s="4694">
        <v>0</v>
      </c>
      <c r="U17" s="4694">
        <f>R17+S17+T17</f>
        <v>9000</v>
      </c>
      <c r="V17" s="1256"/>
      <c r="W17" s="4700" t="s">
        <v>6252</v>
      </c>
      <c r="X17" s="2841">
        <v>46155</v>
      </c>
      <c r="Y17" s="1323"/>
      <c r="Z17" s="1321"/>
      <c r="AA17" s="4701">
        <f>+X17+30</f>
        <v>46185</v>
      </c>
      <c r="AB17" s="1324"/>
      <c r="AC17" s="1327"/>
      <c r="AD17" s="1327"/>
      <c r="AE17" s="1327"/>
      <c r="AF17" s="1327"/>
    </row>
    <row r="18" spans="1:32">
      <c r="A18" s="723"/>
      <c r="B18" s="810"/>
      <c r="C18" s="1929"/>
      <c r="D18" s="2835"/>
      <c r="E18" s="1440"/>
      <c r="F18" s="2836"/>
      <c r="G18" s="1444"/>
      <c r="H18" s="1444"/>
      <c r="I18" s="1444"/>
      <c r="J18" s="1444"/>
      <c r="K18" s="1256"/>
      <c r="L18" s="1510"/>
      <c r="M18" s="2850"/>
      <c r="N18" s="1321"/>
      <c r="O18" s="1323"/>
      <c r="P18" s="1324"/>
      <c r="Q18" s="2836"/>
      <c r="R18" s="1444"/>
      <c r="S18" s="1444"/>
      <c r="T18" s="1444"/>
      <c r="U18" s="1444"/>
      <c r="V18" s="1256"/>
      <c r="W18" s="2838"/>
      <c r="X18" s="2841"/>
      <c r="Y18" s="1323"/>
      <c r="Z18" s="1321"/>
      <c r="AA18" s="1321"/>
      <c r="AB18" s="1324"/>
      <c r="AC18" s="1327"/>
      <c r="AD18" s="1327"/>
      <c r="AE18" s="1327"/>
      <c r="AF18" s="1327"/>
    </row>
    <row r="19" spans="1:32">
      <c r="A19" s="723"/>
      <c r="B19" s="810"/>
      <c r="C19" s="1929"/>
      <c r="D19" s="2835"/>
      <c r="E19" s="1440"/>
      <c r="F19" s="2836"/>
      <c r="G19" s="1444"/>
      <c r="H19" s="1444"/>
      <c r="I19" s="1444"/>
      <c r="J19" s="1444"/>
      <c r="K19" s="1256"/>
      <c r="L19" s="1510"/>
      <c r="M19" s="2850"/>
      <c r="N19" s="1321"/>
      <c r="O19" s="1323"/>
      <c r="P19" s="1324"/>
      <c r="Q19" s="2836"/>
      <c r="R19" s="1444"/>
      <c r="S19" s="1444"/>
      <c r="T19" s="1444"/>
      <c r="U19" s="1444"/>
      <c r="V19" s="1256"/>
      <c r="W19" s="2838"/>
      <c r="X19" s="2841"/>
      <c r="Y19" s="1323"/>
      <c r="Z19" s="1321"/>
      <c r="AA19" s="1321"/>
      <c r="AB19" s="1324"/>
      <c r="AC19" s="1327"/>
      <c r="AD19" s="1327"/>
      <c r="AE19" s="1327"/>
      <c r="AF19" s="1327"/>
    </row>
    <row r="20" spans="1:32">
      <c r="A20" s="723"/>
      <c r="B20" s="810"/>
      <c r="C20" s="1445"/>
      <c r="D20" s="2835"/>
      <c r="E20" s="1440"/>
      <c r="F20" s="1322"/>
      <c r="G20" s="1444"/>
      <c r="H20" s="1444"/>
      <c r="I20" s="1444"/>
      <c r="J20" s="1444"/>
      <c r="K20" s="1256"/>
      <c r="L20" s="1510"/>
      <c r="M20" s="2850"/>
      <c r="N20" s="1321"/>
      <c r="O20" s="1323"/>
      <c r="P20" s="1324"/>
      <c r="Q20" s="1322"/>
      <c r="R20" s="1444"/>
      <c r="S20" s="1444"/>
      <c r="T20" s="1444"/>
      <c r="U20" s="1444"/>
      <c r="V20" s="1256"/>
      <c r="W20" s="723"/>
      <c r="X20" s="724"/>
      <c r="Y20" s="1323"/>
      <c r="Z20" s="1321"/>
      <c r="AA20" s="1321"/>
      <c r="AB20" s="1324"/>
      <c r="AC20" s="1327"/>
      <c r="AD20" s="1327"/>
      <c r="AE20" s="1327"/>
      <c r="AF20" s="1327"/>
    </row>
    <row r="21" spans="1:32">
      <c r="A21" s="723"/>
      <c r="B21" s="810"/>
      <c r="C21" s="1445"/>
      <c r="D21" s="2835"/>
      <c r="E21" s="1440"/>
      <c r="F21" s="1322"/>
      <c r="G21" s="1444"/>
      <c r="H21" s="1444"/>
      <c r="I21" s="1444"/>
      <c r="J21" s="1444"/>
      <c r="K21" s="1256"/>
      <c r="L21" s="1510"/>
      <c r="M21" s="2850"/>
      <c r="N21" s="1321"/>
      <c r="O21" s="1323"/>
      <c r="P21" s="1324"/>
      <c r="Q21" s="1322"/>
      <c r="R21" s="1444"/>
      <c r="S21" s="1444"/>
      <c r="T21" s="1444"/>
      <c r="U21" s="1444"/>
      <c r="V21" s="1256"/>
      <c r="W21" s="723"/>
      <c r="X21" s="724"/>
      <c r="Y21" s="1323"/>
      <c r="Z21" s="1321"/>
      <c r="AA21" s="1321"/>
      <c r="AB21" s="1324"/>
      <c r="AC21" s="1327"/>
      <c r="AD21" s="1327"/>
      <c r="AE21" s="1327"/>
      <c r="AF21" s="1327"/>
    </row>
    <row r="22" spans="1:32">
      <c r="A22" s="723"/>
      <c r="B22" s="810"/>
      <c r="C22" s="1445"/>
      <c r="D22" s="2835"/>
      <c r="E22" s="1440"/>
      <c r="F22" s="1322"/>
      <c r="G22" s="1444"/>
      <c r="H22" s="1444"/>
      <c r="I22" s="1444"/>
      <c r="J22" s="1444"/>
      <c r="K22" s="1256"/>
      <c r="L22" s="1510"/>
      <c r="M22" s="2850"/>
      <c r="N22" s="1321"/>
      <c r="O22" s="1323"/>
      <c r="P22" s="1324"/>
      <c r="Q22" s="1322"/>
      <c r="R22" s="1444"/>
      <c r="S22" s="1444"/>
      <c r="T22" s="1444"/>
      <c r="U22" s="1444"/>
      <c r="V22" s="1256"/>
      <c r="W22" s="723"/>
      <c r="X22" s="724"/>
      <c r="Y22" s="1323"/>
      <c r="Z22" s="1321"/>
      <c r="AA22" s="1321"/>
      <c r="AB22" s="1324"/>
      <c r="AC22" s="1327"/>
      <c r="AD22" s="1327"/>
      <c r="AE22" s="1327"/>
      <c r="AF22" s="1327"/>
    </row>
    <row r="23" spans="1:32">
      <c r="A23" s="723"/>
      <c r="B23" s="810"/>
      <c r="C23" s="1445"/>
      <c r="D23" s="2835"/>
      <c r="E23" s="1440"/>
      <c r="F23" s="1322"/>
      <c r="G23" s="1444"/>
      <c r="H23" s="1444"/>
      <c r="I23" s="1444"/>
      <c r="J23" s="1444"/>
      <c r="K23" s="1256"/>
      <c r="L23" s="1510"/>
      <c r="M23" s="2850"/>
      <c r="N23" s="1321"/>
      <c r="O23" s="1323"/>
      <c r="P23" s="1324"/>
      <c r="Q23" s="1322"/>
      <c r="R23" s="1444"/>
      <c r="S23" s="1444"/>
      <c r="T23" s="1444"/>
      <c r="U23" s="1444"/>
      <c r="V23" s="1256"/>
      <c r="W23" s="723"/>
      <c r="X23" s="724"/>
      <c r="Y23" s="1323"/>
      <c r="Z23" s="1321"/>
      <c r="AA23" s="1321"/>
      <c r="AB23" s="1324"/>
      <c r="AC23" s="1327"/>
      <c r="AD23" s="1327"/>
      <c r="AE23" s="1327"/>
      <c r="AF23" s="1327"/>
    </row>
    <row r="24" spans="1:32">
      <c r="A24" s="723"/>
      <c r="B24" s="810"/>
      <c r="C24" s="1445"/>
      <c r="D24" s="2835"/>
      <c r="E24" s="1440"/>
      <c r="F24" s="1322"/>
      <c r="G24" s="1444"/>
      <c r="H24" s="1444"/>
      <c r="I24" s="1444"/>
      <c r="J24" s="1444"/>
      <c r="K24" s="1256"/>
      <c r="L24" s="1510"/>
      <c r="M24" s="2850"/>
      <c r="N24" s="1321"/>
      <c r="O24" s="1323"/>
      <c r="P24" s="1324"/>
      <c r="Q24" s="1322"/>
      <c r="R24" s="1444"/>
      <c r="S24" s="1444"/>
      <c r="T24" s="1444"/>
      <c r="U24" s="1444"/>
      <c r="V24" s="1256"/>
      <c r="W24" s="723"/>
      <c r="X24" s="724"/>
      <c r="Y24" s="1323"/>
      <c r="Z24" s="1321"/>
      <c r="AA24" s="1321"/>
      <c r="AB24" s="1324"/>
      <c r="AC24" s="1327"/>
      <c r="AD24" s="1327"/>
      <c r="AE24" s="1327"/>
      <c r="AF24" s="1327"/>
    </row>
    <row r="25" spans="1:32">
      <c r="A25" s="723"/>
      <c r="B25" s="810"/>
      <c r="C25" s="1445"/>
      <c r="D25" s="2835"/>
      <c r="E25" s="1440"/>
      <c r="F25" s="1322"/>
      <c r="G25" s="1322"/>
      <c r="H25" s="1322"/>
      <c r="I25" s="1322"/>
      <c r="J25" s="1322"/>
      <c r="K25" s="1256"/>
      <c r="L25" s="1443"/>
      <c r="M25" s="2850"/>
      <c r="N25" s="1321"/>
      <c r="O25" s="1323"/>
      <c r="P25" s="1324"/>
      <c r="Q25" s="1322"/>
      <c r="R25" s="1444"/>
      <c r="S25" s="1444"/>
      <c r="T25" s="1444"/>
      <c r="U25" s="1328"/>
      <c r="V25" s="1256"/>
      <c r="W25" s="723"/>
      <c r="X25" s="724"/>
      <c r="Y25" s="1323"/>
      <c r="Z25" s="1321"/>
      <c r="AA25" s="1321"/>
      <c r="AB25" s="1324"/>
      <c r="AC25" s="1327"/>
      <c r="AD25" s="1327"/>
      <c r="AE25" s="1327"/>
      <c r="AF25" s="1327"/>
    </row>
    <row r="26" spans="1:32">
      <c r="A26" s="723"/>
      <c r="B26" s="810"/>
      <c r="C26" s="1445"/>
      <c r="D26" s="2835"/>
      <c r="E26" s="1440"/>
      <c r="F26" s="1322"/>
      <c r="G26" s="1322"/>
      <c r="H26" s="1322"/>
      <c r="I26" s="1322"/>
      <c r="J26" s="1322"/>
      <c r="K26" s="1256"/>
      <c r="L26" s="1443"/>
      <c r="M26" s="2850"/>
      <c r="N26" s="1321"/>
      <c r="O26" s="1323"/>
      <c r="P26" s="1324"/>
      <c r="Q26" s="1322"/>
      <c r="R26" s="1444"/>
      <c r="S26" s="1444"/>
      <c r="T26" s="1444"/>
      <c r="U26" s="1328"/>
      <c r="V26" s="1256"/>
      <c r="W26" s="723"/>
      <c r="X26" s="724"/>
      <c r="Y26" s="1323"/>
      <c r="Z26" s="1321"/>
      <c r="AA26" s="1321"/>
      <c r="AB26" s="1324"/>
      <c r="AC26" s="1327"/>
      <c r="AD26" s="1327"/>
      <c r="AE26" s="1327"/>
      <c r="AF26" s="1327"/>
    </row>
    <row r="27" spans="1:32">
      <c r="A27" s="723"/>
      <c r="B27" s="810"/>
      <c r="C27" s="1445"/>
      <c r="D27" s="2835"/>
      <c r="E27" s="1440"/>
      <c r="F27" s="1322"/>
      <c r="G27" s="1322"/>
      <c r="H27" s="1322"/>
      <c r="I27" s="1322"/>
      <c r="J27" s="1322"/>
      <c r="K27" s="1256"/>
      <c r="L27" s="1443"/>
      <c r="M27" s="2850"/>
      <c r="N27" s="1321"/>
      <c r="O27" s="1323"/>
      <c r="P27" s="1324"/>
      <c r="Q27" s="1322"/>
      <c r="R27" s="1444"/>
      <c r="S27" s="1444"/>
      <c r="T27" s="1444"/>
      <c r="U27" s="1328"/>
      <c r="V27" s="1256"/>
      <c r="W27" s="723"/>
      <c r="X27" s="724"/>
      <c r="Y27" s="1323"/>
      <c r="Z27" s="1321"/>
      <c r="AA27" s="1321"/>
      <c r="AB27" s="1324"/>
      <c r="AC27" s="1327"/>
      <c r="AD27" s="1327"/>
      <c r="AE27" s="1327"/>
      <c r="AF27" s="1327"/>
    </row>
    <row r="28" spans="1:32">
      <c r="A28" s="723"/>
      <c r="B28" s="810"/>
      <c r="C28" s="1445"/>
      <c r="D28" s="2835"/>
      <c r="E28" s="1440"/>
      <c r="F28" s="1322"/>
      <c r="G28" s="1322"/>
      <c r="H28" s="1322"/>
      <c r="I28" s="1322"/>
      <c r="J28" s="1322"/>
      <c r="K28" s="1256"/>
      <c r="L28" s="1443"/>
      <c r="M28" s="2850"/>
      <c r="N28" s="1321"/>
      <c r="O28" s="1323"/>
      <c r="P28" s="1324"/>
      <c r="Q28" s="1322"/>
      <c r="R28" s="1444"/>
      <c r="S28" s="1444"/>
      <c r="T28" s="1444"/>
      <c r="U28" s="1328"/>
      <c r="V28" s="1256"/>
      <c r="W28" s="723"/>
      <c r="X28" s="724"/>
      <c r="Y28" s="1323"/>
      <c r="Z28" s="1321"/>
      <c r="AA28" s="1321"/>
      <c r="AB28" s="1324"/>
      <c r="AC28" s="1327"/>
      <c r="AD28" s="1327"/>
      <c r="AE28" s="1327"/>
      <c r="AF28" s="1327"/>
    </row>
    <row r="29" spans="1:32">
      <c r="A29" s="723"/>
      <c r="B29" s="810"/>
      <c r="C29" s="1445"/>
      <c r="D29" s="2835"/>
      <c r="E29" s="1440"/>
      <c r="F29" s="1322"/>
      <c r="G29" s="1322"/>
      <c r="H29" s="1322"/>
      <c r="I29" s="1322"/>
      <c r="J29" s="1322"/>
      <c r="K29" s="1256"/>
      <c r="L29" s="1443"/>
      <c r="M29" s="2850"/>
      <c r="N29" s="1321"/>
      <c r="O29" s="1323"/>
      <c r="P29" s="1324"/>
      <c r="Q29" s="1322"/>
      <c r="R29" s="1444"/>
      <c r="S29" s="1444"/>
      <c r="T29" s="1444"/>
      <c r="U29" s="1328"/>
      <c r="V29" s="1256"/>
      <c r="W29" s="723"/>
      <c r="X29" s="724"/>
      <c r="Y29" s="1323"/>
      <c r="Z29" s="1321"/>
      <c r="AA29" s="1321"/>
      <c r="AB29" s="1324"/>
      <c r="AC29" s="1327"/>
      <c r="AD29" s="1327"/>
      <c r="AE29" s="1327"/>
      <c r="AF29" s="1327"/>
    </row>
    <row r="30" spans="1:32">
      <c r="A30" s="723"/>
      <c r="B30" s="810"/>
      <c r="C30" s="1445"/>
      <c r="D30" s="2835"/>
      <c r="E30" s="1440"/>
      <c r="F30" s="1322"/>
      <c r="G30" s="1322"/>
      <c r="H30" s="1322"/>
      <c r="I30" s="1322"/>
      <c r="J30" s="1322"/>
      <c r="K30" s="1256"/>
      <c r="L30" s="1443"/>
      <c r="M30" s="2850"/>
      <c r="N30" s="1321"/>
      <c r="O30" s="1323"/>
      <c r="P30" s="1324"/>
      <c r="Q30" s="1322"/>
      <c r="R30" s="1444"/>
      <c r="S30" s="1444"/>
      <c r="T30" s="1444"/>
      <c r="U30" s="1328"/>
      <c r="V30" s="1256"/>
      <c r="W30" s="723"/>
      <c r="X30" s="724"/>
      <c r="Y30" s="1323"/>
      <c r="Z30" s="1321"/>
      <c r="AA30" s="1321"/>
      <c r="AB30" s="1324"/>
      <c r="AC30" s="1327"/>
      <c r="AD30" s="1327"/>
      <c r="AE30" s="1327"/>
      <c r="AF30" s="1327"/>
    </row>
    <row r="31" spans="1:32">
      <c r="A31" s="723"/>
      <c r="B31" s="810"/>
      <c r="C31" s="1445"/>
      <c r="D31" s="2835"/>
      <c r="E31" s="1440"/>
      <c r="F31" s="1322"/>
      <c r="G31" s="1322"/>
      <c r="H31" s="1322"/>
      <c r="I31" s="1322"/>
      <c r="J31" s="1322"/>
      <c r="K31" s="1256"/>
      <c r="L31" s="1443"/>
      <c r="M31" s="2850"/>
      <c r="N31" s="1321"/>
      <c r="O31" s="1323"/>
      <c r="P31" s="1324"/>
      <c r="Q31" s="1322"/>
      <c r="R31" s="1444"/>
      <c r="S31" s="1444"/>
      <c r="T31" s="1444"/>
      <c r="U31" s="1328"/>
      <c r="V31" s="1256"/>
      <c r="W31" s="723"/>
      <c r="X31" s="724"/>
      <c r="Y31" s="1323"/>
      <c r="Z31" s="1321"/>
      <c r="AA31" s="1321"/>
      <c r="AB31" s="1324"/>
      <c r="AC31" s="1327"/>
      <c r="AD31" s="1327"/>
      <c r="AE31" s="1327"/>
      <c r="AF31" s="1327"/>
    </row>
    <row r="32" spans="1:32">
      <c r="A32" s="723"/>
      <c r="B32" s="810"/>
      <c r="C32" s="1445"/>
      <c r="D32" s="2835"/>
      <c r="E32" s="1440"/>
      <c r="F32" s="1322"/>
      <c r="G32" s="1322"/>
      <c r="H32" s="1322"/>
      <c r="I32" s="1322"/>
      <c r="J32" s="1322"/>
      <c r="K32" s="1256"/>
      <c r="L32" s="1443"/>
      <c r="M32" s="2850"/>
      <c r="N32" s="1321"/>
      <c r="O32" s="1323"/>
      <c r="P32" s="1324"/>
      <c r="Q32" s="1322"/>
      <c r="R32" s="1444"/>
      <c r="S32" s="1444"/>
      <c r="T32" s="1444"/>
      <c r="U32" s="1328"/>
      <c r="V32" s="1256"/>
      <c r="W32" s="723"/>
      <c r="X32" s="724"/>
      <c r="Y32" s="1323"/>
      <c r="Z32" s="1321"/>
      <c r="AA32" s="1321"/>
      <c r="AB32" s="1324"/>
      <c r="AC32" s="1327"/>
      <c r="AD32" s="1327"/>
      <c r="AE32" s="1327"/>
      <c r="AF32" s="1327"/>
    </row>
    <row r="33" spans="1:32">
      <c r="A33" s="723"/>
      <c r="B33" s="810"/>
      <c r="C33" s="1445"/>
      <c r="D33" s="1320"/>
      <c r="E33" s="1440"/>
      <c r="F33" s="1322"/>
      <c r="G33" s="1322"/>
      <c r="H33" s="1322"/>
      <c r="I33" s="1322"/>
      <c r="J33" s="1322"/>
      <c r="K33" s="1256"/>
      <c r="L33" s="1443"/>
      <c r="M33" s="2850"/>
      <c r="N33" s="1321"/>
      <c r="O33" s="1323"/>
      <c r="P33" s="1324"/>
      <c r="Q33" s="1322"/>
      <c r="R33" s="1444"/>
      <c r="S33" s="1444"/>
      <c r="T33" s="1444"/>
      <c r="U33" s="1328"/>
      <c r="V33" s="1256"/>
      <c r="W33" s="723"/>
      <c r="X33" s="724"/>
      <c r="Y33" s="1323"/>
      <c r="Z33" s="1321"/>
      <c r="AA33" s="1321"/>
      <c r="AB33" s="1324"/>
      <c r="AC33" s="1327"/>
      <c r="AD33" s="1327"/>
      <c r="AE33" s="1327"/>
      <c r="AF33" s="1327"/>
    </row>
    <row r="34" spans="1:32">
      <c r="A34" s="723"/>
      <c r="B34" s="810"/>
      <c r="C34" s="1445"/>
      <c r="D34" s="1320"/>
      <c r="E34" s="1440"/>
      <c r="F34" s="1322"/>
      <c r="G34" s="1322"/>
      <c r="H34" s="1322"/>
      <c r="I34" s="1322"/>
      <c r="J34" s="1322"/>
      <c r="K34" s="1256"/>
      <c r="L34" s="1443"/>
      <c r="M34" s="2850"/>
      <c r="N34" s="1321"/>
      <c r="O34" s="1323"/>
      <c r="P34" s="1324"/>
      <c r="Q34" s="1322"/>
      <c r="R34" s="1444"/>
      <c r="S34" s="1444"/>
      <c r="T34" s="1444"/>
      <c r="U34" s="1328"/>
      <c r="V34" s="1256"/>
      <c r="W34" s="723"/>
      <c r="X34" s="724"/>
      <c r="Y34" s="1323"/>
      <c r="Z34" s="1321"/>
      <c r="AA34" s="1321"/>
      <c r="AB34" s="1324"/>
      <c r="AC34" s="1327"/>
      <c r="AD34" s="1327"/>
      <c r="AE34" s="1327"/>
      <c r="AF34" s="1327"/>
    </row>
    <row r="35" spans="1:32">
      <c r="A35" s="723"/>
      <c r="B35" s="810"/>
      <c r="C35" s="1445"/>
      <c r="D35" s="1320"/>
      <c r="E35" s="1441"/>
      <c r="F35" s="1322"/>
      <c r="G35" s="1322"/>
      <c r="H35" s="1322"/>
      <c r="I35" s="1322"/>
      <c r="J35" s="1322"/>
      <c r="K35" s="1256"/>
      <c r="L35" s="1443"/>
      <c r="M35" s="2850"/>
      <c r="N35" s="1321"/>
      <c r="O35" s="1323"/>
      <c r="P35" s="1324"/>
      <c r="Q35" s="1322"/>
      <c r="R35" s="1444"/>
      <c r="S35" s="1444"/>
      <c r="T35" s="1444"/>
      <c r="U35" s="1328"/>
      <c r="V35" s="1256"/>
      <c r="W35" s="723"/>
      <c r="X35" s="724"/>
      <c r="Y35" s="1323"/>
      <c r="Z35" s="1321"/>
      <c r="AA35" s="1321"/>
      <c r="AB35" s="1324"/>
      <c r="AC35" s="1327"/>
      <c r="AD35" s="1327"/>
      <c r="AE35" s="1327"/>
      <c r="AF35" s="1327"/>
    </row>
    <row r="36" spans="1:32">
      <c r="A36" s="1329"/>
      <c r="B36" s="1330"/>
      <c r="C36" s="1440"/>
      <c r="D36" s="1331"/>
      <c r="E36" s="1442"/>
      <c r="F36" s="1332"/>
      <c r="G36" s="1332"/>
      <c r="H36" s="1332"/>
      <c r="I36" s="1332"/>
      <c r="J36" s="1332"/>
      <c r="K36" s="1256"/>
      <c r="L36" s="1329"/>
      <c r="M36" s="2851"/>
      <c r="N36" s="1334"/>
      <c r="O36" s="1334"/>
      <c r="P36" s="1335"/>
      <c r="Q36" s="1322"/>
      <c r="R36" s="1333"/>
      <c r="S36" s="1333"/>
      <c r="T36" s="1333"/>
      <c r="U36" s="1336"/>
      <c r="V36" s="1256"/>
      <c r="W36" s="1329"/>
      <c r="X36" s="1333"/>
      <c r="Y36" s="1337"/>
      <c r="Z36" s="1334"/>
      <c r="AA36" s="1334"/>
      <c r="AB36" s="1334"/>
      <c r="AC36" s="1329"/>
      <c r="AD36" s="1337"/>
      <c r="AE36" s="1334"/>
      <c r="AF36" s="1334"/>
    </row>
    <row r="37" spans="1:32" ht="24.75" customHeight="1" collapsed="1" thickBot="1">
      <c r="A37" s="6045" t="s">
        <v>1522</v>
      </c>
      <c r="B37" s="6046"/>
      <c r="C37" s="6046"/>
      <c r="D37" s="6046"/>
      <c r="E37" s="6046"/>
      <c r="F37" s="6047"/>
      <c r="G37" s="1338">
        <f>SUM(G14:G36)</f>
        <v>54000</v>
      </c>
      <c r="H37" s="1338">
        <f>SUM(H14:H36)</f>
        <v>0</v>
      </c>
      <c r="I37" s="1338">
        <f>SUM(I14:I36)</f>
        <v>0</v>
      </c>
      <c r="J37" s="1338">
        <f>SUM(J14:J36)</f>
        <v>54000</v>
      </c>
      <c r="K37" s="1256"/>
      <c r="L37" s="1339" t="s">
        <v>1522</v>
      </c>
      <c r="M37" s="1343"/>
      <c r="N37" s="1340"/>
      <c r="O37" s="1340"/>
      <c r="P37" s="1340"/>
      <c r="Q37" s="1340"/>
      <c r="R37" s="1341">
        <f>SUM(R14:R36)</f>
        <v>54000</v>
      </c>
      <c r="S37" s="1338">
        <f>SUM(S14:S36)</f>
        <v>0</v>
      </c>
      <c r="T37" s="1338">
        <f>SUM(T14:T36)</f>
        <v>0</v>
      </c>
      <c r="U37" s="1338">
        <f>SUM(U14:U36)</f>
        <v>54000</v>
      </c>
      <c r="V37" s="1256"/>
      <c r="W37" s="1342" t="s">
        <v>1522</v>
      </c>
      <c r="X37" s="1343"/>
      <c r="Y37" s="1343"/>
      <c r="Z37" s="1343"/>
      <c r="AA37" s="1343"/>
      <c r="AB37" s="1343"/>
      <c r="AC37" s="1341">
        <f>SUM(AC14:AC36)</f>
        <v>45000</v>
      </c>
      <c r="AD37" s="1338">
        <f>SUM(AD14:AD36)</f>
        <v>6750</v>
      </c>
      <c r="AE37" s="1338">
        <f>SUM(AE14:AE36)</f>
        <v>51750</v>
      </c>
      <c r="AF37" s="1338">
        <f>+AF15</f>
        <v>41400</v>
      </c>
    </row>
    <row r="38" spans="1:32">
      <c r="A38" s="1360"/>
      <c r="B38" s="1256"/>
      <c r="C38" s="1255"/>
      <c r="D38" s="1257"/>
      <c r="E38" s="1361"/>
      <c r="F38" s="1258"/>
      <c r="G38" s="1258"/>
      <c r="H38" s="1258"/>
      <c r="I38" s="1258"/>
      <c r="J38" s="1258"/>
      <c r="K38" s="1256"/>
      <c r="L38" s="1360"/>
      <c r="M38" s="2852"/>
      <c r="N38" s="1362"/>
      <c r="O38" s="1362"/>
      <c r="P38" s="1362"/>
      <c r="Q38" s="1360"/>
      <c r="R38" s="1360"/>
      <c r="S38" s="1360"/>
      <c r="T38" s="1360"/>
      <c r="U38" s="1363"/>
      <c r="V38" s="1256"/>
      <c r="W38" s="1360"/>
      <c r="X38" s="1360"/>
      <c r="Y38" s="1364"/>
      <c r="Z38" s="1362"/>
      <c r="AA38" s="1362"/>
      <c r="AB38" s="1362"/>
      <c r="AC38" s="1360"/>
      <c r="AD38" s="1364"/>
      <c r="AE38" s="1362"/>
      <c r="AF38" s="1362"/>
    </row>
    <row r="39" spans="1:32">
      <c r="A39" s="1360"/>
      <c r="B39" s="1256"/>
      <c r="C39" s="1255"/>
      <c r="D39" s="1257"/>
      <c r="E39" s="1361"/>
      <c r="F39" s="1258"/>
      <c r="G39" s="1258"/>
      <c r="H39" s="1258"/>
      <c r="I39" s="1258"/>
      <c r="J39" s="1258"/>
      <c r="K39" s="1256"/>
      <c r="L39" s="1360"/>
      <c r="M39" s="2852"/>
      <c r="N39" s="1362"/>
      <c r="O39" s="1362"/>
      <c r="P39" s="1257"/>
      <c r="Q39" s="1258"/>
      <c r="R39" s="1258"/>
      <c r="S39" s="1258"/>
      <c r="T39" s="1258"/>
      <c r="U39" s="1258">
        <f>+U19*1.15</f>
        <v>0</v>
      </c>
      <c r="V39" s="1256"/>
      <c r="W39" s="1360"/>
      <c r="X39" s="1360"/>
      <c r="Y39" s="1364"/>
      <c r="Z39" s="1362"/>
      <c r="AA39" s="1362"/>
      <c r="AB39" s="1362"/>
      <c r="AC39" s="1360"/>
      <c r="AD39" s="1364"/>
      <c r="AE39" s="1362"/>
      <c r="AF39" s="1362"/>
    </row>
    <row r="40" spans="1:32">
      <c r="A40" s="1365"/>
      <c r="B40" s="1256"/>
      <c r="C40" s="1255"/>
      <c r="D40" s="1257"/>
      <c r="E40" s="1361"/>
      <c r="F40" s="1366"/>
      <c r="G40" s="1366"/>
      <c r="H40" s="1366"/>
      <c r="I40" s="1366"/>
      <c r="J40" s="1258"/>
      <c r="K40" s="1256"/>
      <c r="L40" s="1365"/>
      <c r="M40" s="2853">
        <f>403092.61/11085046.72</f>
        <v>3.6363636544059594E-2</v>
      </c>
      <c r="N40" s="1365"/>
      <c r="O40" s="1365"/>
      <c r="P40" s="1257"/>
      <c r="Q40" s="1366"/>
      <c r="R40" s="1366"/>
      <c r="S40" s="1366"/>
      <c r="T40" s="1366"/>
      <c r="U40" s="1366">
        <f>+U17+U18</f>
        <v>9000</v>
      </c>
      <c r="V40" s="1256"/>
      <c r="W40" s="1365"/>
      <c r="X40" s="1365"/>
      <c r="Y40" s="1365"/>
      <c r="Z40" s="1362"/>
      <c r="AA40" s="1362"/>
      <c r="AB40" s="1362"/>
      <c r="AC40" s="1365"/>
      <c r="AD40" s="1365"/>
      <c r="AE40" s="1362"/>
      <c r="AF40" s="1362"/>
    </row>
    <row r="41" spans="1:32">
      <c r="D41" s="1257"/>
      <c r="E41" s="153">
        <v>44197</v>
      </c>
      <c r="F41" s="1366"/>
      <c r="P41" s="1257"/>
      <c r="Q41" s="1366"/>
      <c r="R41" s="1366"/>
      <c r="S41" s="1366"/>
      <c r="T41" s="1366"/>
      <c r="U41" s="1366">
        <f>+U40*1.15</f>
        <v>10350</v>
      </c>
      <c r="AA41" s="153">
        <v>44094</v>
      </c>
      <c r="AC41" s="1367"/>
    </row>
    <row r="42" spans="1:32">
      <c r="D42" s="1257"/>
      <c r="E42" s="153">
        <f>E41-45</f>
        <v>44152</v>
      </c>
      <c r="F42" s="1366"/>
      <c r="P42" s="1257"/>
      <c r="Q42" s="1366"/>
      <c r="R42" s="1366"/>
      <c r="S42" s="1366"/>
      <c r="T42" s="1366"/>
      <c r="U42" s="1366"/>
      <c r="AA42" s="153">
        <f>AA41-45</f>
        <v>44049</v>
      </c>
    </row>
    <row r="43" spans="1:32">
      <c r="D43" s="1257"/>
      <c r="F43" s="1366"/>
      <c r="H43" s="153">
        <v>43986</v>
      </c>
      <c r="R43" s="652"/>
      <c r="S43" s="652"/>
      <c r="T43" s="652"/>
      <c r="U43" s="652"/>
    </row>
  </sheetData>
  <mergeCells count="4">
    <mergeCell ref="A10:J10"/>
    <mergeCell ref="L10:U10"/>
    <mergeCell ref="W10:AF10"/>
    <mergeCell ref="A37:F37"/>
  </mergeCells>
  <phoneticPr fontId="347" type="noConversion"/>
  <printOptions horizontalCentered="1"/>
  <pageMargins left="0.25" right="0.25" top="0.75" bottom="0.75" header="0.3" footer="0.3"/>
  <pageSetup paperSize="8" scale="67" fitToHeight="2" orientation="landscape" r:id="rId1"/>
  <headerFooter>
    <oddHeader>&amp;C&amp;"Calibri Bold,Bold"&amp;18&amp;K000000MONTHLY REPORT - INVOICE &amp; PAYMENT TRACKING LOG (EURO CONSULT CO027)</oddHeader>
    <oddFooter>&amp;L1TB.01.003.01 - AYC 
MARCH'26 REPORT&amp;C&amp;A&amp;RPage &amp;P of &amp;N</odd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B0C6A-B4C4-4D68-8DF2-49B74DD22B4F}">
  <sheetPr>
    <tabColor theme="7" tint="0.39997558519241921"/>
    <pageSetUpPr fitToPage="1"/>
  </sheetPr>
  <dimension ref="A1:AG47"/>
  <sheetViews>
    <sheetView showGridLines="0" view="pageBreakPreview" topLeftCell="C11" zoomScale="90" zoomScaleNormal="100" zoomScaleSheetLayoutView="90" workbookViewId="0">
      <selection activeCell="C43" sqref="C43"/>
    </sheetView>
  </sheetViews>
  <sheetFormatPr defaultColWidth="9" defaultRowHeight="12.75"/>
  <cols>
    <col min="1" max="1" width="10.85546875" customWidth="1"/>
    <col min="2" max="2" width="10.42578125" customWidth="1"/>
    <col min="3" max="3" width="11.42578125" customWidth="1"/>
    <col min="4" max="4" width="10.85546875" bestFit="1" customWidth="1"/>
    <col min="5" max="5" width="9.85546875" bestFit="1" customWidth="1"/>
    <col min="6" max="6" width="12" customWidth="1"/>
    <col min="7" max="7" width="12.85546875" bestFit="1" customWidth="1"/>
    <col min="8" max="9" width="11.85546875" bestFit="1" customWidth="1"/>
    <col min="10" max="10" width="13.85546875" customWidth="1"/>
    <col min="11" max="11" width="0.85546875" customWidth="1"/>
    <col min="12" max="12" width="6" customWidth="1"/>
    <col min="13" max="13" width="17.85546875" style="2854" bestFit="1" customWidth="1"/>
    <col min="14" max="14" width="9" customWidth="1"/>
    <col min="15" max="15" width="9.85546875" bestFit="1" customWidth="1"/>
    <col min="16" max="16" width="7.85546875" customWidth="1"/>
    <col min="17" max="17" width="13.85546875" customWidth="1"/>
    <col min="18" max="18" width="15.5703125" customWidth="1"/>
    <col min="19" max="20" width="11.42578125" customWidth="1"/>
    <col min="21" max="21" width="14.5703125" customWidth="1"/>
    <col min="22" max="22" width="0.85546875" customWidth="1"/>
    <col min="23" max="23" width="14" bestFit="1" customWidth="1"/>
    <col min="24" max="24" width="9" customWidth="1"/>
    <col min="25" max="25" width="9" hidden="1" customWidth="1"/>
    <col min="26" max="26" width="9" bestFit="1" customWidth="1"/>
    <col min="27" max="27" width="10" customWidth="1"/>
    <col min="28" max="28" width="7" customWidth="1"/>
    <col min="29" max="29" width="12.42578125" customWidth="1"/>
    <col min="30" max="30" width="13.5703125" customWidth="1"/>
    <col min="31" max="32" width="14" customWidth="1"/>
    <col min="33" max="33" width="13.5703125" bestFit="1" customWidth="1"/>
  </cols>
  <sheetData>
    <row r="1" spans="1:33">
      <c r="A1" s="1255"/>
      <c r="B1" s="1256"/>
      <c r="C1" s="1255"/>
      <c r="D1" s="1257"/>
      <c r="E1" s="1257"/>
      <c r="F1" s="1258"/>
      <c r="G1" s="1258"/>
      <c r="H1" s="1258"/>
      <c r="I1" s="1258"/>
      <c r="J1" s="1258"/>
      <c r="K1" s="1257"/>
      <c r="L1" s="1255"/>
      <c r="M1" s="2848"/>
      <c r="N1" s="1255"/>
      <c r="O1" s="1255"/>
      <c r="P1" s="1255"/>
      <c r="Q1" s="1255"/>
      <c r="R1" s="1255"/>
      <c r="S1" s="1255"/>
      <c r="T1" s="1255"/>
      <c r="U1" s="1259"/>
      <c r="V1" s="1257"/>
      <c r="W1" s="1257"/>
      <c r="X1" s="1257"/>
      <c r="Y1" s="1257"/>
      <c r="Z1" s="1257"/>
      <c r="AA1" s="1257"/>
      <c r="AB1" s="1257"/>
      <c r="AC1" s="1257"/>
      <c r="AD1" s="1257"/>
      <c r="AE1" s="1257"/>
      <c r="AF1" s="1257"/>
    </row>
    <row r="2" spans="1:33">
      <c r="A2" s="9" t="str">
        <f>'Data Input'!A1&amp;" - "&amp;'Data Input'!B1</f>
        <v>PROGRAMME: - MARINA VILLAGE (PROGRAMME 1_TRIPLE BAY)</v>
      </c>
      <c r="B2" s="1256"/>
      <c r="C2" s="1255"/>
      <c r="D2" s="1257"/>
      <c r="E2" s="1257"/>
      <c r="F2" s="1258"/>
      <c r="G2" s="1258"/>
      <c r="H2" s="1258"/>
      <c r="I2" s="1258"/>
      <c r="J2" s="1258"/>
      <c r="K2" s="1257"/>
      <c r="L2" s="1255"/>
      <c r="M2" s="2848"/>
      <c r="N2" s="1255"/>
      <c r="O2" s="1255"/>
      <c r="P2" s="1255"/>
      <c r="Q2" s="1255"/>
      <c r="R2" s="1255"/>
      <c r="S2" s="1255"/>
      <c r="T2" s="1255"/>
      <c r="U2" s="1259"/>
      <c r="V2" s="1257"/>
      <c r="W2" s="1257"/>
      <c r="X2" s="1257"/>
      <c r="Y2" s="1257"/>
      <c r="Z2" s="1257"/>
      <c r="AA2" s="1257"/>
      <c r="AB2" s="1257"/>
      <c r="AC2" s="1257"/>
      <c r="AD2" s="1257"/>
      <c r="AE2" s="1257"/>
      <c r="AF2" s="1257"/>
    </row>
    <row r="3" spans="1:33">
      <c r="A3" s="9" t="str">
        <f>'Data Input'!A2&amp;" - "&amp;'Data Input'!B2</f>
        <v>PROGRAMME CODE: - 1TB01003</v>
      </c>
      <c r="B3" s="1260"/>
      <c r="C3" s="1261"/>
      <c r="D3" s="1262"/>
      <c r="E3" s="1262"/>
      <c r="F3" s="1263"/>
      <c r="G3" s="1263"/>
      <c r="H3" s="1263"/>
      <c r="I3" s="1263"/>
      <c r="J3" s="1264"/>
      <c r="K3" s="1265"/>
      <c r="L3" s="1265"/>
      <c r="M3" s="1262"/>
      <c r="N3" s="1265"/>
      <c r="O3" s="1266"/>
      <c r="P3" s="1265"/>
      <c r="Q3" s="1265"/>
      <c r="R3" s="1265"/>
      <c r="S3" s="1265"/>
      <c r="T3" s="1265"/>
      <c r="U3" s="1267"/>
      <c r="V3" s="1265"/>
      <c r="W3" s="1265"/>
      <c r="X3" s="1265"/>
      <c r="Y3" s="1265"/>
      <c r="Z3" s="1265"/>
      <c r="AA3" s="1265"/>
      <c r="AB3" s="1265"/>
      <c r="AC3" s="1265"/>
      <c r="AD3" s="1265"/>
      <c r="AE3" s="1265"/>
      <c r="AF3" s="1265"/>
    </row>
    <row r="4" spans="1:33">
      <c r="A4" s="9" t="str">
        <f>'Data Input'!A3&amp;" - "&amp;'Data Input'!B3</f>
        <v>ASSET NAME: - AMAALA YACHT CLUB</v>
      </c>
      <c r="B4" s="1260"/>
      <c r="C4" s="1268"/>
      <c r="D4" s="1265"/>
      <c r="E4" s="1265"/>
      <c r="F4" s="1267"/>
      <c r="G4" s="1267"/>
      <c r="H4" s="1267"/>
      <c r="I4" s="1267"/>
      <c r="J4" s="1269"/>
      <c r="K4" s="1265"/>
      <c r="L4" s="1265"/>
      <c r="M4" s="1262"/>
      <c r="N4" s="1265"/>
      <c r="O4" s="1266"/>
      <c r="P4" s="1265"/>
      <c r="Q4" s="1265"/>
      <c r="R4" s="1265"/>
      <c r="S4" s="1265"/>
      <c r="T4" s="1265"/>
      <c r="U4" s="1267"/>
      <c r="V4" s="1265"/>
      <c r="W4" s="1265"/>
      <c r="X4" s="1265"/>
      <c r="Y4" s="1265"/>
      <c r="Z4" s="1265"/>
      <c r="AA4" s="1265"/>
      <c r="AB4" s="1265"/>
      <c r="AC4" s="1265"/>
      <c r="AD4" s="1265"/>
      <c r="AE4" s="1265"/>
      <c r="AF4" s="1265"/>
    </row>
    <row r="5" spans="1:33">
      <c r="A5" s="9" t="str">
        <f>'Data Input'!A4&amp;" - "&amp;'Data Input'!B4</f>
        <v>ASSET CODE: - 1TB01003.01</v>
      </c>
      <c r="B5" s="1270"/>
      <c r="C5" s="1268"/>
      <c r="D5" s="1265"/>
      <c r="E5" s="1265"/>
      <c r="F5" s="1267"/>
      <c r="G5" s="1267"/>
      <c r="H5" s="1267"/>
      <c r="I5" s="1267"/>
      <c r="J5" s="1269"/>
      <c r="K5" s="1265"/>
      <c r="L5" s="1265"/>
      <c r="M5" s="1262"/>
      <c r="N5" s="1265"/>
      <c r="O5" s="1266"/>
      <c r="P5" s="1265"/>
      <c r="Q5" s="1265"/>
      <c r="R5" s="1271"/>
      <c r="S5" s="1265"/>
      <c r="T5" s="1265"/>
      <c r="U5" s="1267"/>
      <c r="V5" s="1265"/>
      <c r="W5" s="1265"/>
      <c r="X5" s="1265"/>
      <c r="Y5" s="1265"/>
      <c r="Z5" s="1265"/>
      <c r="AA5" s="1265"/>
      <c r="AB5" s="1265"/>
      <c r="AC5" s="1265"/>
      <c r="AD5" s="1265"/>
      <c r="AE5" s="1265"/>
      <c r="AF5" s="1265"/>
    </row>
    <row r="6" spans="1:33">
      <c r="A6" s="9" t="str">
        <f>'Data Input'!A7&amp;" - "&amp;'Data Input'!B7</f>
        <v>REPORT NO: - MONTHLY REPORT NO. 49</v>
      </c>
      <c r="B6" s="1272"/>
      <c r="C6" s="1268"/>
      <c r="D6" s="1265"/>
      <c r="E6" s="1265"/>
      <c r="F6" s="1267"/>
      <c r="G6" s="1267"/>
      <c r="H6" s="1267"/>
      <c r="I6" s="1267"/>
      <c r="J6" s="1269"/>
      <c r="K6" s="1265"/>
      <c r="L6" s="1265"/>
      <c r="M6" s="1262"/>
      <c r="N6" s="1265"/>
      <c r="O6" s="1266"/>
      <c r="P6" s="1265"/>
      <c r="Q6" s="1265"/>
      <c r="R6" s="1273"/>
      <c r="S6" s="1265"/>
      <c r="T6" s="1271"/>
      <c r="U6" s="1267"/>
      <c r="V6" s="1265"/>
      <c r="W6" s="1265"/>
      <c r="X6" s="1265"/>
      <c r="Y6" s="1265"/>
      <c r="Z6" s="1265"/>
      <c r="AA6" s="1265"/>
      <c r="AB6" s="1265"/>
      <c r="AC6" s="1265"/>
      <c r="AD6" s="1265"/>
      <c r="AE6" s="1265"/>
      <c r="AF6" s="1265"/>
    </row>
    <row r="7" spans="1:33">
      <c r="A7" s="9" t="str">
        <f>'Data Input'!A8&amp;" - "&amp;'Data Input'!B8</f>
        <v>REPORTING PERIOD: - OCTOBER 2026</v>
      </c>
      <c r="B7" s="1262"/>
      <c r="C7" s="1274"/>
      <c r="D7" s="1262"/>
      <c r="E7" s="1262"/>
      <c r="F7" s="1263"/>
      <c r="G7" s="1263"/>
      <c r="H7" s="1263"/>
      <c r="I7" s="1263"/>
      <c r="J7" s="1264"/>
      <c r="K7" s="1265"/>
      <c r="L7" s="1265"/>
      <c r="M7" s="1262"/>
      <c r="N7" s="1265"/>
      <c r="O7" s="1265"/>
      <c r="P7" s="1265"/>
      <c r="Q7" s="1267"/>
      <c r="R7" s="1263"/>
      <c r="S7" s="1263"/>
      <c r="T7" s="1263"/>
      <c r="U7" s="1267"/>
      <c r="V7" s="1265"/>
      <c r="W7" s="1265"/>
      <c r="X7" s="1265"/>
      <c r="Y7" s="1265"/>
      <c r="Z7" s="1265"/>
      <c r="AA7" s="1265"/>
      <c r="AB7" s="1265"/>
      <c r="AC7" s="1265"/>
      <c r="AD7" s="1265"/>
      <c r="AE7" s="1265"/>
      <c r="AF7" s="1265"/>
    </row>
    <row r="8" spans="1:33" ht="13.5" thickBot="1">
      <c r="A8" s="9"/>
      <c r="B8" s="1256"/>
      <c r="C8" s="1255"/>
      <c r="D8" s="1257"/>
      <c r="E8" s="1257"/>
      <c r="F8" s="1258"/>
      <c r="G8" s="1258"/>
      <c r="H8" s="1258"/>
      <c r="I8" s="1258"/>
      <c r="J8" s="1258"/>
      <c r="K8" s="1257"/>
      <c r="L8" s="1255"/>
      <c r="M8" s="2848"/>
      <c r="N8" s="1275"/>
      <c r="O8" s="1276"/>
      <c r="P8" s="1255"/>
      <c r="Q8" s="1255"/>
      <c r="R8" s="1255"/>
      <c r="S8" s="1255"/>
      <c r="T8" s="1255"/>
      <c r="U8" s="1259"/>
      <c r="V8" s="1257"/>
      <c r="W8" s="1257"/>
      <c r="X8" s="1257"/>
      <c r="Y8" s="1257"/>
      <c r="Z8" s="1257"/>
      <c r="AA8" s="1257"/>
      <c r="AB8" s="1257"/>
      <c r="AC8" s="1257"/>
      <c r="AD8" s="1257"/>
      <c r="AE8" s="1257"/>
      <c r="AF8" s="1257"/>
    </row>
    <row r="9" spans="1:33" ht="30" customHeight="1" thickBot="1">
      <c r="A9" s="1354" t="s">
        <v>4508</v>
      </c>
      <c r="B9" s="1355"/>
      <c r="C9" s="1355"/>
      <c r="D9" s="1356"/>
      <c r="E9" s="1356"/>
      <c r="F9" s="1357"/>
      <c r="G9" s="1357"/>
      <c r="H9" s="1357"/>
      <c r="I9" s="1357"/>
      <c r="J9" s="1357"/>
      <c r="K9" s="1356"/>
      <c r="L9" s="1355"/>
      <c r="M9" s="2849"/>
      <c r="N9" s="1355"/>
      <c r="O9" s="1355"/>
      <c r="P9" s="1355"/>
      <c r="Q9" s="1355"/>
      <c r="R9" s="1355"/>
      <c r="S9" s="1355"/>
      <c r="T9" s="1355"/>
      <c r="U9" s="1358"/>
      <c r="V9" s="1356"/>
      <c r="W9" s="1356"/>
      <c r="X9" s="1356"/>
      <c r="Y9" s="1356"/>
      <c r="Z9" s="1356"/>
      <c r="AA9" s="1356"/>
      <c r="AB9" s="1356"/>
      <c r="AC9" s="1356"/>
      <c r="AD9" s="1356"/>
      <c r="AE9" s="1356"/>
      <c r="AF9" s="1359"/>
    </row>
    <row r="10" spans="1:33">
      <c r="A10" s="6051" t="s">
        <v>1524</v>
      </c>
      <c r="B10" s="6052"/>
      <c r="C10" s="6052"/>
      <c r="D10" s="6052"/>
      <c r="E10" s="6052"/>
      <c r="F10" s="6052"/>
      <c r="G10" s="6053"/>
      <c r="H10" s="6053"/>
      <c r="I10" s="6053"/>
      <c r="J10" s="6054"/>
      <c r="K10" s="1256"/>
      <c r="L10" s="6055" t="s">
        <v>1525</v>
      </c>
      <c r="M10" s="6056"/>
      <c r="N10" s="6056"/>
      <c r="O10" s="6056"/>
      <c r="P10" s="6056"/>
      <c r="Q10" s="6056"/>
      <c r="R10" s="6057"/>
      <c r="S10" s="6057"/>
      <c r="T10" s="6057"/>
      <c r="U10" s="6058"/>
      <c r="V10" s="1256"/>
      <c r="W10" s="6043" t="s">
        <v>1526</v>
      </c>
      <c r="X10" s="6044"/>
      <c r="Y10" s="6044"/>
      <c r="Z10" s="6044"/>
      <c r="AA10" s="6044"/>
      <c r="AB10" s="6044"/>
      <c r="AC10" s="6044"/>
      <c r="AD10" s="6044"/>
      <c r="AE10" s="6044"/>
      <c r="AF10" s="6059"/>
    </row>
    <row r="11" spans="1:33" ht="60" customHeight="1">
      <c r="A11" s="1283" t="s">
        <v>1462</v>
      </c>
      <c r="B11" s="1284" t="s">
        <v>1527</v>
      </c>
      <c r="C11" s="1284" t="s">
        <v>1528</v>
      </c>
      <c r="D11" s="1285" t="s">
        <v>1744</v>
      </c>
      <c r="E11" s="1285" t="s">
        <v>1530</v>
      </c>
      <c r="F11" s="1286" t="s">
        <v>1531</v>
      </c>
      <c r="G11" s="1287" t="s">
        <v>1532</v>
      </c>
      <c r="H11" s="1287" t="s">
        <v>1533</v>
      </c>
      <c r="I11" s="1287" t="s">
        <v>1534</v>
      </c>
      <c r="J11" s="1288" t="s">
        <v>1535</v>
      </c>
      <c r="K11" s="1289"/>
      <c r="L11" s="763" t="s">
        <v>1536</v>
      </c>
      <c r="M11" s="1290" t="s">
        <v>1601</v>
      </c>
      <c r="N11" s="1290" t="s">
        <v>1530</v>
      </c>
      <c r="O11" s="1290" t="s">
        <v>4509</v>
      </c>
      <c r="P11" s="764" t="s">
        <v>1539</v>
      </c>
      <c r="Q11" s="1291" t="s">
        <v>1540</v>
      </c>
      <c r="R11" s="1292" t="s">
        <v>1541</v>
      </c>
      <c r="S11" s="1292" t="s">
        <v>1533</v>
      </c>
      <c r="T11" s="1292" t="s">
        <v>1534</v>
      </c>
      <c r="U11" s="1293" t="s">
        <v>1542</v>
      </c>
      <c r="V11" s="1256"/>
      <c r="W11" s="1294" t="s">
        <v>2086</v>
      </c>
      <c r="X11" s="2839" t="s">
        <v>2087</v>
      </c>
      <c r="Y11" s="1295" t="s">
        <v>1544</v>
      </c>
      <c r="Z11" s="1296" t="s">
        <v>1545</v>
      </c>
      <c r="AA11" s="1296" t="s">
        <v>3101</v>
      </c>
      <c r="AB11" s="769" t="s">
        <v>1539</v>
      </c>
      <c r="AC11" s="769" t="s">
        <v>1547</v>
      </c>
      <c r="AD11" s="769" t="s">
        <v>3478</v>
      </c>
      <c r="AE11" s="1296" t="s">
        <v>1549</v>
      </c>
      <c r="AF11" s="1297" t="s">
        <v>1550</v>
      </c>
    </row>
    <row r="12" spans="1:33" ht="17.25" customHeight="1">
      <c r="A12" s="1298"/>
      <c r="B12" s="1299"/>
      <c r="C12" s="1300"/>
      <c r="D12" s="1301"/>
      <c r="E12" s="1302" t="s">
        <v>296</v>
      </c>
      <c r="F12" s="1303" t="s">
        <v>434</v>
      </c>
      <c r="G12" s="1303" t="s">
        <v>434</v>
      </c>
      <c r="H12" s="1304">
        <v>0</v>
      </c>
      <c r="I12" s="1304">
        <v>0.05</v>
      </c>
      <c r="J12" s="1305" t="s">
        <v>434</v>
      </c>
      <c r="K12" s="1256"/>
      <c r="L12" s="765"/>
      <c r="M12" s="766"/>
      <c r="N12" s="1306" t="s">
        <v>296</v>
      </c>
      <c r="O12" s="766" t="s">
        <v>4510</v>
      </c>
      <c r="P12" s="1307" t="s">
        <v>1552</v>
      </c>
      <c r="Q12" s="767" t="s">
        <v>434</v>
      </c>
      <c r="R12" s="767" t="s">
        <v>434</v>
      </c>
      <c r="S12" s="1308">
        <v>0</v>
      </c>
      <c r="T12" s="1308">
        <v>0.05</v>
      </c>
      <c r="U12" s="768" t="s">
        <v>434</v>
      </c>
      <c r="V12" s="1256"/>
      <c r="W12" s="770"/>
      <c r="X12" s="2840"/>
      <c r="Y12" s="1309" t="s">
        <v>296</v>
      </c>
      <c r="Z12" s="1309" t="s">
        <v>296</v>
      </c>
      <c r="AA12" s="1309" t="s">
        <v>4511</v>
      </c>
      <c r="AB12" s="1310" t="s">
        <v>1552</v>
      </c>
      <c r="AC12" s="1311"/>
      <c r="AD12" s="1312">
        <v>0.15</v>
      </c>
      <c r="AE12" s="1309" t="s">
        <v>296</v>
      </c>
      <c r="AF12" s="1313" t="s">
        <v>296</v>
      </c>
    </row>
    <row r="13" spans="1:33" s="722" customFormat="1" ht="25.5" customHeight="1">
      <c r="A13" s="1314"/>
      <c r="B13" s="1314"/>
      <c r="C13" s="1314"/>
      <c r="D13" s="1314"/>
      <c r="E13" s="1314" t="s">
        <v>1481</v>
      </c>
      <c r="F13" s="1314"/>
      <c r="G13" s="1314"/>
      <c r="H13" s="1314"/>
      <c r="I13" s="1314"/>
      <c r="J13" s="1314"/>
      <c r="K13" s="1255"/>
      <c r="L13" s="1315"/>
      <c r="M13" s="1315"/>
      <c r="N13" s="1316" t="s">
        <v>1482</v>
      </c>
      <c r="O13" s="1314" t="s">
        <v>4522</v>
      </c>
      <c r="P13" s="1317" t="s">
        <v>1555</v>
      </c>
      <c r="Q13" s="1318" t="s">
        <v>1556</v>
      </c>
      <c r="R13" s="1318" t="s">
        <v>1557</v>
      </c>
      <c r="S13" s="1319" t="s">
        <v>1605</v>
      </c>
      <c r="T13" s="1319" t="s">
        <v>1559</v>
      </c>
      <c r="U13" s="1318" t="s">
        <v>1560</v>
      </c>
      <c r="V13" s="1255"/>
      <c r="W13" s="1316"/>
      <c r="X13" s="1316" t="s">
        <v>1561</v>
      </c>
      <c r="Y13" s="1316"/>
      <c r="Z13" s="1316" t="s">
        <v>2088</v>
      </c>
      <c r="AA13" s="1316" t="s">
        <v>3168</v>
      </c>
      <c r="AB13" s="1317" t="s">
        <v>2091</v>
      </c>
      <c r="AC13" s="1314" t="s">
        <v>2092</v>
      </c>
      <c r="AD13" s="1319" t="s">
        <v>3479</v>
      </c>
      <c r="AE13" s="1316" t="s">
        <v>2094</v>
      </c>
      <c r="AF13" s="1316"/>
    </row>
    <row r="14" spans="1:33" s="2837" customFormat="1" ht="50.25" customHeight="1">
      <c r="A14" s="4688">
        <v>1</v>
      </c>
      <c r="B14" s="4689" t="s">
        <v>1763</v>
      </c>
      <c r="C14" s="4690" t="s">
        <v>4513</v>
      </c>
      <c r="D14" s="4691" t="s">
        <v>4512</v>
      </c>
      <c r="E14" s="4692">
        <v>45680</v>
      </c>
      <c r="F14" s="4693">
        <f>+G14</f>
        <v>2495482.5</v>
      </c>
      <c r="G14" s="4693">
        <v>2495482.5</v>
      </c>
      <c r="H14" s="4694">
        <f>(G14*$H$12)*-1*0</f>
        <v>0</v>
      </c>
      <c r="I14" s="4694">
        <v>-124774.13</v>
      </c>
      <c r="J14" s="4694">
        <f t="shared" ref="J14:J19" si="0">G14+H14+I14</f>
        <v>2370708.37</v>
      </c>
      <c r="K14" s="4695"/>
      <c r="L14" s="4696">
        <v>1</v>
      </c>
      <c r="M14" s="4697" t="s">
        <v>4514</v>
      </c>
      <c r="N14" s="4692">
        <v>45714</v>
      </c>
      <c r="O14" s="4698">
        <f t="shared" ref="O14:O19" si="1">E14+15</f>
        <v>45695</v>
      </c>
      <c r="P14" s="4699">
        <f t="shared" ref="P14:P19" si="2">O14-N14</f>
        <v>-19</v>
      </c>
      <c r="Q14" s="4693">
        <f>+R14</f>
        <v>2495482.5</v>
      </c>
      <c r="R14" s="4693">
        <v>2495482.5</v>
      </c>
      <c r="S14" s="4694">
        <f>(R14*$S$12)*-1*0</f>
        <v>0</v>
      </c>
      <c r="T14" s="4694">
        <v>-124774.13</v>
      </c>
      <c r="U14" s="4694">
        <f t="shared" ref="U14:U19" si="3">R14+S14+T14</f>
        <v>2370708.37</v>
      </c>
      <c r="V14" s="4695"/>
      <c r="W14" s="4700" t="s">
        <v>4515</v>
      </c>
      <c r="X14" s="4703">
        <v>45754</v>
      </c>
      <c r="Y14" s="4698"/>
      <c r="Z14" s="4701">
        <v>45768</v>
      </c>
      <c r="AA14" s="4701">
        <f>+X14+21</f>
        <v>45775</v>
      </c>
      <c r="AB14" s="4699">
        <f>+AA14-Z14</f>
        <v>7</v>
      </c>
      <c r="AC14" s="4702">
        <f>+U14</f>
        <v>2370708.37</v>
      </c>
      <c r="AD14" s="4702">
        <f>+AC14*15%</f>
        <v>355606.25550000003</v>
      </c>
      <c r="AE14" s="4702">
        <f>+AD14+AC14</f>
        <v>2726314.6255000001</v>
      </c>
      <c r="AF14" s="4702">
        <f>+AE14</f>
        <v>2726314.6255000001</v>
      </c>
      <c r="AG14" s="2842">
        <f>+AC14*1.15</f>
        <v>2726314.6255000001</v>
      </c>
    </row>
    <row r="15" spans="1:33" s="2837" customFormat="1" ht="50.25" customHeight="1">
      <c r="A15" s="4688">
        <v>2</v>
      </c>
      <c r="B15" s="4689" t="s">
        <v>1764</v>
      </c>
      <c r="C15" s="4690" t="s">
        <v>4517</v>
      </c>
      <c r="D15" s="4691" t="s">
        <v>4516</v>
      </c>
      <c r="E15" s="4692">
        <v>45776</v>
      </c>
      <c r="F15" s="4693">
        <f>+G15+F14</f>
        <v>4277970</v>
      </c>
      <c r="G15" s="4694">
        <v>1782487.5</v>
      </c>
      <c r="H15" s="4694">
        <v>0</v>
      </c>
      <c r="I15" s="4694">
        <v>-89124.37</v>
      </c>
      <c r="J15" s="4694">
        <f t="shared" si="0"/>
        <v>1693363.13</v>
      </c>
      <c r="K15" s="4695"/>
      <c r="L15" s="4696">
        <v>2</v>
      </c>
      <c r="M15" s="4697" t="s">
        <v>4518</v>
      </c>
      <c r="N15" s="4692">
        <v>45837</v>
      </c>
      <c r="O15" s="4698">
        <f t="shared" si="1"/>
        <v>45791</v>
      </c>
      <c r="P15" s="4699">
        <f t="shared" si="2"/>
        <v>-46</v>
      </c>
      <c r="Q15" s="4693">
        <f>+Q14+R15</f>
        <v>4277970</v>
      </c>
      <c r="R15" s="4694">
        <v>1782487.5</v>
      </c>
      <c r="S15" s="4694">
        <f>(R15*$S$12)*-1*0</f>
        <v>0</v>
      </c>
      <c r="T15" s="4694">
        <v>-89124.37</v>
      </c>
      <c r="U15" s="4694">
        <f t="shared" si="3"/>
        <v>1693363.13</v>
      </c>
      <c r="V15" s="4695"/>
      <c r="W15" s="4700" t="s">
        <v>4519</v>
      </c>
      <c r="X15" s="4703">
        <v>45854</v>
      </c>
      <c r="Y15" s="4698"/>
      <c r="Z15" s="4701">
        <v>45866</v>
      </c>
      <c r="AA15" s="4701">
        <f>+X15+21</f>
        <v>45875</v>
      </c>
      <c r="AB15" s="4699">
        <f>+AA15-Z15</f>
        <v>9</v>
      </c>
      <c r="AC15" s="4702">
        <f>+U15</f>
        <v>1693363.13</v>
      </c>
      <c r="AD15" s="4702">
        <f>+AC15*15%</f>
        <v>254004.46949999998</v>
      </c>
      <c r="AE15" s="4702">
        <f>+AD15+AC15</f>
        <v>1947367.5994999998</v>
      </c>
      <c r="AF15" s="4702">
        <f>+AF14+AE15</f>
        <v>4673682.2249999996</v>
      </c>
      <c r="AG15" s="2842"/>
    </row>
    <row r="16" spans="1:33" s="2837" customFormat="1" ht="50.25" customHeight="1">
      <c r="A16" s="4688">
        <v>3</v>
      </c>
      <c r="B16" s="4689" t="s">
        <v>1765</v>
      </c>
      <c r="C16" s="4690" t="s">
        <v>4648</v>
      </c>
      <c r="D16" s="4691" t="s">
        <v>4649</v>
      </c>
      <c r="E16" s="4692">
        <v>45867</v>
      </c>
      <c r="F16" s="4693">
        <f>+G16+F15</f>
        <v>5176343.7</v>
      </c>
      <c r="G16" s="4694">
        <v>898373.7</v>
      </c>
      <c r="H16" s="4694">
        <v>0</v>
      </c>
      <c r="I16" s="4694">
        <v>-44918.69</v>
      </c>
      <c r="J16" s="4694">
        <f t="shared" si="0"/>
        <v>853455.01</v>
      </c>
      <c r="K16" s="4695"/>
      <c r="L16" s="4696">
        <v>3</v>
      </c>
      <c r="M16" s="4697" t="s">
        <v>4650</v>
      </c>
      <c r="N16" s="4692">
        <v>45887</v>
      </c>
      <c r="O16" s="4698">
        <f t="shared" si="1"/>
        <v>45882</v>
      </c>
      <c r="P16" s="4699">
        <f t="shared" si="2"/>
        <v>-5</v>
      </c>
      <c r="Q16" s="4693">
        <f>+Q15+R16</f>
        <v>5176343.7</v>
      </c>
      <c r="R16" s="4694">
        <v>898373.7</v>
      </c>
      <c r="S16" s="4694">
        <f>(R16*$S$12)*-1*0</f>
        <v>0</v>
      </c>
      <c r="T16" s="4694">
        <v>-44918.69</v>
      </c>
      <c r="U16" s="4694">
        <f t="shared" si="3"/>
        <v>853455.01</v>
      </c>
      <c r="V16" s="4695"/>
      <c r="W16" s="4700" t="s">
        <v>4890</v>
      </c>
      <c r="X16" s="4703">
        <v>45895</v>
      </c>
      <c r="Y16" s="4698"/>
      <c r="Z16" s="4701">
        <v>45936</v>
      </c>
      <c r="AA16" s="4701">
        <f>+X16+21</f>
        <v>45916</v>
      </c>
      <c r="AB16" s="4699">
        <f>+AA16-Z16</f>
        <v>-20</v>
      </c>
      <c r="AC16" s="4702">
        <f>+U16</f>
        <v>853455.01</v>
      </c>
      <c r="AD16" s="4702">
        <f>+AC16*15%</f>
        <v>128018.2515</v>
      </c>
      <c r="AE16" s="4702">
        <f>+AD16+AC16</f>
        <v>981473.26150000002</v>
      </c>
      <c r="AF16" s="4702">
        <f>+AF15+AE16</f>
        <v>5655155.4864999996</v>
      </c>
      <c r="AG16" s="2842"/>
    </row>
    <row r="17" spans="1:32" ht="36">
      <c r="A17" s="4688">
        <v>4</v>
      </c>
      <c r="B17" s="4689" t="s">
        <v>1766</v>
      </c>
      <c r="C17" s="4761">
        <v>45901</v>
      </c>
      <c r="D17" s="4691" t="s">
        <v>4778</v>
      </c>
      <c r="E17" s="4692">
        <v>45921</v>
      </c>
      <c r="F17" s="4693">
        <f>+G17+F16</f>
        <v>6702153</v>
      </c>
      <c r="G17" s="4694">
        <v>1525809.3</v>
      </c>
      <c r="H17" s="4694">
        <v>0</v>
      </c>
      <c r="I17" s="4694">
        <v>-76290.460000000006</v>
      </c>
      <c r="J17" s="4694">
        <f t="shared" si="0"/>
        <v>1449518.84</v>
      </c>
      <c r="K17" s="4693">
        <f>+L17+K16</f>
        <v>4</v>
      </c>
      <c r="L17" s="4696">
        <v>4</v>
      </c>
      <c r="M17" s="4697" t="s">
        <v>4779</v>
      </c>
      <c r="N17" s="4701">
        <v>45922</v>
      </c>
      <c r="O17" s="4698">
        <f t="shared" si="1"/>
        <v>45936</v>
      </c>
      <c r="P17" s="4699">
        <f t="shared" si="2"/>
        <v>14</v>
      </c>
      <c r="Q17" s="4693">
        <f>+Q16+R17</f>
        <v>6702153</v>
      </c>
      <c r="R17" s="4694">
        <v>1525809.3</v>
      </c>
      <c r="S17" s="4694">
        <v>0</v>
      </c>
      <c r="T17" s="4694">
        <v>-76290.460000000006</v>
      </c>
      <c r="U17" s="4694">
        <f t="shared" si="3"/>
        <v>1449518.84</v>
      </c>
      <c r="V17" s="4695"/>
      <c r="W17" s="4700" t="s">
        <v>4780</v>
      </c>
      <c r="X17" s="4703">
        <v>45935</v>
      </c>
      <c r="Y17" s="4698"/>
      <c r="Z17" s="4701"/>
      <c r="AA17" s="4701">
        <f>+X17+21</f>
        <v>45956</v>
      </c>
      <c r="AB17" s="4699"/>
      <c r="AC17" s="4702">
        <f>+U17</f>
        <v>1449518.84</v>
      </c>
      <c r="AD17" s="4702">
        <f>+AC17*15%</f>
        <v>217427.826</v>
      </c>
      <c r="AE17" s="4702">
        <f>+AD17+AC17</f>
        <v>1666946.6660000002</v>
      </c>
      <c r="AF17" s="4702">
        <f>+AF16+AE17</f>
        <v>7322102.1524999999</v>
      </c>
    </row>
    <row r="18" spans="1:32" ht="36">
      <c r="A18" s="4688">
        <v>5</v>
      </c>
      <c r="B18" s="4689" t="s">
        <v>1767</v>
      </c>
      <c r="C18" s="4761">
        <v>45992</v>
      </c>
      <c r="D18" s="4691" t="s">
        <v>6154</v>
      </c>
      <c r="E18" s="4692">
        <v>46117</v>
      </c>
      <c r="F18" s="4693">
        <f>+G18+F17</f>
        <v>6915493</v>
      </c>
      <c r="G18" s="4694">
        <v>213340</v>
      </c>
      <c r="H18" s="4694">
        <v>0</v>
      </c>
      <c r="I18" s="4694">
        <f>-G18*I12</f>
        <v>-10667</v>
      </c>
      <c r="J18" s="4694">
        <f t="shared" si="0"/>
        <v>202673</v>
      </c>
      <c r="K18" s="4693">
        <f>+L18+K17</f>
        <v>9</v>
      </c>
      <c r="L18" s="4696">
        <v>5</v>
      </c>
      <c r="M18" s="4697" t="s">
        <v>6155</v>
      </c>
      <c r="N18" s="4701">
        <v>46141</v>
      </c>
      <c r="O18" s="4698">
        <f t="shared" si="1"/>
        <v>46132</v>
      </c>
      <c r="P18" s="4699">
        <f t="shared" si="2"/>
        <v>-9</v>
      </c>
      <c r="Q18" s="4693">
        <f>+Q17+R18</f>
        <v>6915493</v>
      </c>
      <c r="R18" s="4694">
        <v>213340</v>
      </c>
      <c r="S18" s="4694">
        <v>0</v>
      </c>
      <c r="T18" s="4694">
        <f>-R18*T12</f>
        <v>-10667</v>
      </c>
      <c r="U18" s="4694">
        <f t="shared" si="3"/>
        <v>202673</v>
      </c>
      <c r="V18" s="1256"/>
      <c r="W18" s="4831"/>
      <c r="X18" s="4832"/>
      <c r="Y18" s="4832"/>
      <c r="Z18" s="4833"/>
      <c r="AA18" s="4833"/>
      <c r="AB18" s="4834"/>
      <c r="AC18" s="4835"/>
      <c r="AD18" s="4835"/>
      <c r="AE18" s="4835"/>
      <c r="AF18" s="4835"/>
    </row>
    <row r="19" spans="1:32" ht="33.950000000000003" customHeight="1">
      <c r="A19" s="4688">
        <v>6</v>
      </c>
      <c r="B19" s="4689" t="s">
        <v>1768</v>
      </c>
      <c r="C19" s="4761">
        <v>46174</v>
      </c>
      <c r="D19" s="4691" t="s">
        <v>6539</v>
      </c>
      <c r="E19" s="4692">
        <v>46215</v>
      </c>
      <c r="F19" s="4693">
        <f>+G19+F18</f>
        <v>6982571.3899999997</v>
      </c>
      <c r="G19" s="4694">
        <v>67078.39</v>
      </c>
      <c r="H19" s="4694">
        <v>0</v>
      </c>
      <c r="I19" s="4694">
        <f>-G19*I12</f>
        <v>-3353.9195</v>
      </c>
      <c r="J19" s="4694">
        <f t="shared" si="0"/>
        <v>63724.470499999996</v>
      </c>
      <c r="K19" s="4693">
        <f>+L19+K18</f>
        <v>15</v>
      </c>
      <c r="L19" s="4696">
        <v>6</v>
      </c>
      <c r="M19" s="4697" t="s">
        <v>6540</v>
      </c>
      <c r="N19" s="4701">
        <v>46141</v>
      </c>
      <c r="O19" s="4698">
        <f t="shared" si="1"/>
        <v>46230</v>
      </c>
      <c r="P19" s="4699">
        <f t="shared" si="2"/>
        <v>89</v>
      </c>
      <c r="Q19" s="4693">
        <f>+Q18+R19</f>
        <v>6982571.3899999997</v>
      </c>
      <c r="R19" s="4694">
        <v>67078.39</v>
      </c>
      <c r="S19" s="4694">
        <v>0</v>
      </c>
      <c r="T19" s="4694">
        <f>-R19*T12</f>
        <v>-3353.9195</v>
      </c>
      <c r="U19" s="4694">
        <f t="shared" si="3"/>
        <v>63724.470499999996</v>
      </c>
      <c r="V19" s="1256"/>
      <c r="W19" s="4700" t="s">
        <v>6599</v>
      </c>
      <c r="X19" s="4703">
        <v>46252</v>
      </c>
      <c r="Y19" s="4698"/>
      <c r="Z19" s="4701"/>
      <c r="AA19" s="4701">
        <f>+X19+21</f>
        <v>46273</v>
      </c>
      <c r="AB19" s="1324"/>
      <c r="AC19" s="1327"/>
      <c r="AD19" s="1327"/>
      <c r="AE19" s="1327"/>
      <c r="AF19" s="1327"/>
    </row>
    <row r="20" spans="1:32">
      <c r="A20" s="723"/>
      <c r="B20" s="810"/>
      <c r="C20" s="1445"/>
      <c r="D20" s="2835"/>
      <c r="E20" s="1440"/>
      <c r="F20" s="1322"/>
      <c r="G20" s="1444"/>
      <c r="H20" s="1444"/>
      <c r="I20" s="1444"/>
      <c r="J20" s="1444"/>
      <c r="K20" s="1256"/>
      <c r="L20" s="1510"/>
      <c r="M20" s="2850"/>
      <c r="N20" s="1321"/>
      <c r="O20" s="1323"/>
      <c r="P20" s="1324"/>
      <c r="Q20" s="1322"/>
      <c r="R20" s="1444"/>
      <c r="S20" s="1444"/>
      <c r="T20" s="1444"/>
      <c r="U20" s="1444"/>
      <c r="V20" s="1256"/>
      <c r="W20" s="723"/>
      <c r="X20" s="724"/>
      <c r="Y20" s="1323"/>
      <c r="Z20" s="1321"/>
      <c r="AA20" s="1321"/>
      <c r="AB20" s="1324"/>
      <c r="AC20" s="1327"/>
      <c r="AD20" s="1327"/>
      <c r="AE20" s="1327"/>
      <c r="AF20" s="1327"/>
    </row>
    <row r="21" spans="1:32">
      <c r="A21" s="723"/>
      <c r="B21" s="810"/>
      <c r="C21" s="1445"/>
      <c r="D21" s="2835"/>
      <c r="E21" s="1440"/>
      <c r="F21" s="1322"/>
      <c r="G21" s="1444"/>
      <c r="H21" s="1444"/>
      <c r="I21" s="1444"/>
      <c r="J21" s="1444"/>
      <c r="K21" s="1256"/>
      <c r="L21" s="1510"/>
      <c r="M21" s="2850"/>
      <c r="N21" s="1321"/>
      <c r="O21" s="1323"/>
      <c r="P21" s="1324"/>
      <c r="Q21" s="1322"/>
      <c r="R21" s="1444"/>
      <c r="S21" s="1444"/>
      <c r="T21" s="1444"/>
      <c r="U21" s="1444"/>
      <c r="V21" s="1256"/>
      <c r="W21" s="723"/>
      <c r="X21" s="724"/>
      <c r="Y21" s="1323"/>
      <c r="Z21" s="1321"/>
      <c r="AA21" s="1321"/>
      <c r="AB21" s="1324"/>
      <c r="AC21" s="1327"/>
      <c r="AD21" s="1327"/>
      <c r="AE21" s="1327"/>
      <c r="AF21" s="1327"/>
    </row>
    <row r="22" spans="1:32">
      <c r="A22" s="723"/>
      <c r="B22" s="810"/>
      <c r="C22" s="1445"/>
      <c r="D22" s="2835"/>
      <c r="E22" s="1440"/>
      <c r="F22" s="1322"/>
      <c r="G22" s="1444"/>
      <c r="H22" s="1444"/>
      <c r="I22" s="1444"/>
      <c r="J22" s="1444"/>
      <c r="K22" s="1256"/>
      <c r="L22" s="1510"/>
      <c r="M22" s="2850"/>
      <c r="N22" s="1321"/>
      <c r="O22" s="1323"/>
      <c r="P22" s="1324"/>
      <c r="Q22" s="1322"/>
      <c r="R22" s="1444"/>
      <c r="S22" s="1444"/>
      <c r="T22" s="1444"/>
      <c r="U22" s="1444"/>
      <c r="V22" s="1256"/>
      <c r="W22" s="723"/>
      <c r="X22" s="724"/>
      <c r="Y22" s="1323"/>
      <c r="Z22" s="1321"/>
      <c r="AA22" s="1321"/>
      <c r="AB22" s="1324"/>
      <c r="AC22" s="1327"/>
      <c r="AD22" s="1327"/>
      <c r="AE22" s="1327"/>
      <c r="AF22" s="1327"/>
    </row>
    <row r="23" spans="1:32">
      <c r="A23" s="723"/>
      <c r="B23" s="810"/>
      <c r="C23" s="1445"/>
      <c r="D23" s="2835"/>
      <c r="E23" s="1440"/>
      <c r="F23" s="1322"/>
      <c r="G23" s="1444"/>
      <c r="H23" s="1444"/>
      <c r="I23" s="1444"/>
      <c r="J23" s="1444"/>
      <c r="K23" s="1256"/>
      <c r="L23" s="1510"/>
      <c r="M23" s="2850"/>
      <c r="N23" s="1321"/>
      <c r="O23" s="1323"/>
      <c r="P23" s="1324"/>
      <c r="Q23" s="1322"/>
      <c r="R23" s="1444"/>
      <c r="S23" s="1444"/>
      <c r="T23" s="1444"/>
      <c r="U23" s="1444"/>
      <c r="V23" s="1256"/>
      <c r="W23" s="723"/>
      <c r="X23" s="724"/>
      <c r="Y23" s="1323"/>
      <c r="Z23" s="1321"/>
      <c r="AA23" s="1321"/>
      <c r="AB23" s="1324"/>
      <c r="AC23" s="1327"/>
      <c r="AD23" s="1327"/>
      <c r="AE23" s="1327"/>
      <c r="AF23" s="1327"/>
    </row>
    <row r="24" spans="1:32">
      <c r="A24" s="723"/>
      <c r="B24" s="810"/>
      <c r="C24" s="1445"/>
      <c r="D24" s="2835"/>
      <c r="E24" s="1440"/>
      <c r="F24" s="1322"/>
      <c r="G24" s="1444"/>
      <c r="H24" s="1444"/>
      <c r="I24" s="1444"/>
      <c r="J24" s="1444"/>
      <c r="K24" s="1256"/>
      <c r="L24" s="1510"/>
      <c r="M24" s="2850"/>
      <c r="N24" s="1321"/>
      <c r="O24" s="1323"/>
      <c r="P24" s="1324"/>
      <c r="Q24" s="1322"/>
      <c r="R24" s="1444"/>
      <c r="S24" s="1444"/>
      <c r="T24" s="1444"/>
      <c r="U24" s="1444"/>
      <c r="V24" s="1256"/>
      <c r="W24" s="723"/>
      <c r="X24" s="724"/>
      <c r="Y24" s="1323"/>
      <c r="Z24" s="1321"/>
      <c r="AA24" s="1321"/>
      <c r="AB24" s="1324"/>
      <c r="AC24" s="1327"/>
      <c r="AD24" s="1327"/>
      <c r="AE24" s="1327"/>
      <c r="AF24" s="1327"/>
    </row>
    <row r="25" spans="1:32">
      <c r="A25" s="723"/>
      <c r="B25" s="810"/>
      <c r="C25" s="1445"/>
      <c r="D25" s="2835"/>
      <c r="E25" s="1440"/>
      <c r="F25" s="1322"/>
      <c r="G25" s="1322"/>
      <c r="H25" s="1322"/>
      <c r="I25" s="1322"/>
      <c r="J25" s="1322"/>
      <c r="K25" s="1256"/>
      <c r="L25" s="1443"/>
      <c r="M25" s="2850"/>
      <c r="N25" s="1321"/>
      <c r="O25" s="1323"/>
      <c r="P25" s="1324"/>
      <c r="Q25" s="1322"/>
      <c r="R25" s="1444"/>
      <c r="S25" s="1444"/>
      <c r="T25" s="1444"/>
      <c r="U25" s="1328"/>
      <c r="V25" s="1256"/>
      <c r="W25" s="723"/>
      <c r="X25" s="724"/>
      <c r="Y25" s="1323"/>
      <c r="Z25" s="1321"/>
      <c r="AA25" s="1321"/>
      <c r="AB25" s="1324"/>
      <c r="AC25" s="1327"/>
      <c r="AD25" s="1327"/>
      <c r="AE25" s="1327"/>
      <c r="AF25" s="1327"/>
    </row>
    <row r="26" spans="1:32">
      <c r="A26" s="723"/>
      <c r="B26" s="810"/>
      <c r="C26" s="1445"/>
      <c r="D26" s="2835"/>
      <c r="E26" s="1440"/>
      <c r="F26" s="1322"/>
      <c r="G26" s="1322"/>
      <c r="H26" s="1322"/>
      <c r="I26" s="1322"/>
      <c r="J26" s="1322"/>
      <c r="K26" s="1256"/>
      <c r="L26" s="1443"/>
      <c r="M26" s="2850"/>
      <c r="N26" s="1321"/>
      <c r="O26" s="1323"/>
      <c r="P26" s="1324"/>
      <c r="Q26" s="1322"/>
      <c r="R26" s="1444"/>
      <c r="S26" s="1444"/>
      <c r="T26" s="1444"/>
      <c r="U26" s="1328"/>
      <c r="V26" s="1256"/>
      <c r="W26" s="723"/>
      <c r="X26" s="724"/>
      <c r="Y26" s="1323"/>
      <c r="Z26" s="1321"/>
      <c r="AA26" s="1321"/>
      <c r="AB26" s="1324"/>
      <c r="AC26" s="1327"/>
      <c r="AD26" s="1327"/>
      <c r="AE26" s="1327"/>
      <c r="AF26" s="1327"/>
    </row>
    <row r="27" spans="1:32">
      <c r="A27" s="723"/>
      <c r="B27" s="810"/>
      <c r="C27" s="1445"/>
      <c r="D27" s="2835"/>
      <c r="E27" s="1440"/>
      <c r="F27" s="1322"/>
      <c r="G27" s="1322"/>
      <c r="H27" s="1322"/>
      <c r="I27" s="1322"/>
      <c r="J27" s="1322"/>
      <c r="K27" s="1256"/>
      <c r="L27" s="1443"/>
      <c r="M27" s="2850"/>
      <c r="N27" s="1321"/>
      <c r="O27" s="1323"/>
      <c r="P27" s="1324"/>
      <c r="Q27" s="1322"/>
      <c r="R27" s="1444"/>
      <c r="S27" s="1444"/>
      <c r="T27" s="1444"/>
      <c r="U27" s="1328"/>
      <c r="V27" s="1256"/>
      <c r="W27" s="723"/>
      <c r="X27" s="724"/>
      <c r="Y27" s="1323"/>
      <c r="Z27" s="1321"/>
      <c r="AA27" s="1321"/>
      <c r="AB27" s="1324"/>
      <c r="AC27" s="1327"/>
      <c r="AD27" s="1327"/>
      <c r="AE27" s="1327"/>
      <c r="AF27" s="1327"/>
    </row>
    <row r="28" spans="1:32">
      <c r="A28" s="723"/>
      <c r="B28" s="810"/>
      <c r="C28" s="1445"/>
      <c r="D28" s="2835"/>
      <c r="E28" s="1440"/>
      <c r="F28" s="1322"/>
      <c r="G28" s="1322"/>
      <c r="H28" s="1322"/>
      <c r="I28" s="1322"/>
      <c r="J28" s="1322"/>
      <c r="K28" s="1256"/>
      <c r="L28" s="1443"/>
      <c r="M28" s="2850"/>
      <c r="N28" s="1321"/>
      <c r="O28" s="1323"/>
      <c r="P28" s="1324"/>
      <c r="Q28" s="1322"/>
      <c r="R28" s="1444"/>
      <c r="S28" s="1444"/>
      <c r="T28" s="1444"/>
      <c r="U28" s="1328"/>
      <c r="V28" s="1256"/>
      <c r="W28" s="723"/>
      <c r="X28" s="724"/>
      <c r="Y28" s="1323"/>
      <c r="Z28" s="1321"/>
      <c r="AA28" s="1321"/>
      <c r="AB28" s="1324"/>
      <c r="AC28" s="1327"/>
      <c r="AD28" s="1327"/>
      <c r="AE28" s="1327"/>
      <c r="AF28" s="1327"/>
    </row>
    <row r="29" spans="1:32">
      <c r="A29" s="723"/>
      <c r="B29" s="810"/>
      <c r="C29" s="1445"/>
      <c r="D29" s="2835"/>
      <c r="E29" s="1440"/>
      <c r="F29" s="1322"/>
      <c r="G29" s="1322"/>
      <c r="H29" s="1322"/>
      <c r="I29" s="1322"/>
      <c r="J29" s="1322"/>
      <c r="K29" s="1256"/>
      <c r="L29" s="1443"/>
      <c r="M29" s="2850"/>
      <c r="N29" s="1321"/>
      <c r="O29" s="1323"/>
      <c r="P29" s="1324"/>
      <c r="Q29" s="1322"/>
      <c r="R29" s="1444"/>
      <c r="S29" s="1444"/>
      <c r="T29" s="1444"/>
      <c r="U29" s="1328"/>
      <c r="V29" s="1256"/>
      <c r="W29" s="723"/>
      <c r="X29" s="724"/>
      <c r="Y29" s="1323"/>
      <c r="Z29" s="1321"/>
      <c r="AA29" s="1321"/>
      <c r="AB29" s="1324"/>
      <c r="AC29" s="1327"/>
      <c r="AD29" s="1327"/>
      <c r="AE29" s="1327"/>
      <c r="AF29" s="1327"/>
    </row>
    <row r="30" spans="1:32">
      <c r="A30" s="723"/>
      <c r="B30" s="810"/>
      <c r="C30" s="1445"/>
      <c r="D30" s="2835"/>
      <c r="E30" s="1440"/>
      <c r="F30" s="1322"/>
      <c r="G30" s="1322"/>
      <c r="H30" s="1322"/>
      <c r="I30" s="1322"/>
      <c r="J30" s="1322"/>
      <c r="K30" s="1256"/>
      <c r="L30" s="1443"/>
      <c r="M30" s="2850"/>
      <c r="N30" s="1321"/>
      <c r="O30" s="1323"/>
      <c r="P30" s="1324"/>
      <c r="Q30" s="1322"/>
      <c r="R30" s="1444"/>
      <c r="S30" s="1444"/>
      <c r="T30" s="1444"/>
      <c r="U30" s="1328"/>
      <c r="V30" s="1256"/>
      <c r="W30" s="723"/>
      <c r="X30" s="724"/>
      <c r="Y30" s="1323"/>
      <c r="Z30" s="1321"/>
      <c r="AA30" s="1321"/>
      <c r="AB30" s="1324"/>
      <c r="AC30" s="1327"/>
      <c r="AD30" s="1327"/>
      <c r="AE30" s="1327"/>
      <c r="AF30" s="1327"/>
    </row>
    <row r="31" spans="1:32">
      <c r="A31" s="723"/>
      <c r="B31" s="810"/>
      <c r="C31" s="1445"/>
      <c r="D31" s="2835"/>
      <c r="E31" s="1440"/>
      <c r="F31" s="1322"/>
      <c r="G31" s="1322"/>
      <c r="H31" s="1322"/>
      <c r="I31" s="1322"/>
      <c r="J31" s="1322"/>
      <c r="K31" s="1256"/>
      <c r="L31" s="1443"/>
      <c r="M31" s="2850"/>
      <c r="N31" s="1321"/>
      <c r="O31" s="1323"/>
      <c r="P31" s="1324"/>
      <c r="Q31" s="1322"/>
      <c r="R31" s="1444"/>
      <c r="S31" s="1444"/>
      <c r="T31" s="1444"/>
      <c r="U31" s="1328"/>
      <c r="V31" s="1256"/>
      <c r="W31" s="723"/>
      <c r="X31" s="724"/>
      <c r="Y31" s="1323"/>
      <c r="Z31" s="1321"/>
      <c r="AA31" s="1321"/>
      <c r="AB31" s="1324"/>
      <c r="AC31" s="1327"/>
      <c r="AD31" s="1327"/>
      <c r="AE31" s="1327"/>
      <c r="AF31" s="1327"/>
    </row>
    <row r="32" spans="1:32">
      <c r="A32" s="723"/>
      <c r="B32" s="810"/>
      <c r="C32" s="1445"/>
      <c r="D32" s="2835"/>
      <c r="E32" s="1440"/>
      <c r="F32" s="1322"/>
      <c r="G32" s="1322"/>
      <c r="H32" s="1322"/>
      <c r="I32" s="1322"/>
      <c r="J32" s="1322"/>
      <c r="K32" s="1256"/>
      <c r="L32" s="1443"/>
      <c r="M32" s="2850"/>
      <c r="N32" s="1321"/>
      <c r="O32" s="1323"/>
      <c r="P32" s="1324"/>
      <c r="Q32" s="1322"/>
      <c r="R32" s="1444"/>
      <c r="S32" s="1444"/>
      <c r="T32" s="1444"/>
      <c r="U32" s="1328"/>
      <c r="V32" s="1256"/>
      <c r="W32" s="723"/>
      <c r="X32" s="724"/>
      <c r="Y32" s="1323"/>
      <c r="Z32" s="1321"/>
      <c r="AA32" s="1321"/>
      <c r="AB32" s="1324"/>
      <c r="AC32" s="1327"/>
      <c r="AD32" s="1327"/>
      <c r="AE32" s="1327"/>
      <c r="AF32" s="1327"/>
    </row>
    <row r="33" spans="1:32">
      <c r="A33" s="723"/>
      <c r="B33" s="810"/>
      <c r="C33" s="1445"/>
      <c r="D33" s="1320"/>
      <c r="E33" s="1440"/>
      <c r="F33" s="1322"/>
      <c r="G33" s="1322"/>
      <c r="H33" s="1322"/>
      <c r="I33" s="1322"/>
      <c r="J33" s="1322"/>
      <c r="K33" s="1256"/>
      <c r="L33" s="1443"/>
      <c r="M33" s="2850"/>
      <c r="N33" s="1321"/>
      <c r="O33" s="1323"/>
      <c r="P33" s="1324"/>
      <c r="Q33" s="1322"/>
      <c r="R33" s="1444"/>
      <c r="S33" s="1444"/>
      <c r="T33" s="1444"/>
      <c r="U33" s="1328"/>
      <c r="V33" s="1256"/>
      <c r="W33" s="723"/>
      <c r="X33" s="724"/>
      <c r="Y33" s="1323"/>
      <c r="Z33" s="1321"/>
      <c r="AA33" s="1321"/>
      <c r="AB33" s="1324"/>
      <c r="AC33" s="1327"/>
      <c r="AD33" s="1327"/>
      <c r="AE33" s="1327"/>
      <c r="AF33" s="1327"/>
    </row>
    <row r="34" spans="1:32">
      <c r="A34" s="723"/>
      <c r="B34" s="810"/>
      <c r="C34" s="1445"/>
      <c r="D34" s="1320"/>
      <c r="E34" s="1440"/>
      <c r="F34" s="1322"/>
      <c r="G34" s="1322"/>
      <c r="H34" s="1322"/>
      <c r="I34" s="1322"/>
      <c r="J34" s="1322"/>
      <c r="K34" s="1256"/>
      <c r="L34" s="1443"/>
      <c r="M34" s="2850"/>
      <c r="N34" s="1321"/>
      <c r="O34" s="1323"/>
      <c r="P34" s="1324"/>
      <c r="Q34" s="1322"/>
      <c r="R34" s="1444"/>
      <c r="S34" s="1444"/>
      <c r="T34" s="1444"/>
      <c r="U34" s="1328"/>
      <c r="V34" s="1256"/>
      <c r="W34" s="723"/>
      <c r="X34" s="724"/>
      <c r="Y34" s="1323"/>
      <c r="Z34" s="1321"/>
      <c r="AA34" s="1321"/>
      <c r="AB34" s="1324"/>
      <c r="AC34" s="1327"/>
      <c r="AD34" s="1327"/>
      <c r="AE34" s="1327"/>
      <c r="AF34" s="1327"/>
    </row>
    <row r="35" spans="1:32">
      <c r="A35" s="723"/>
      <c r="B35" s="810"/>
      <c r="C35" s="1445"/>
      <c r="D35" s="1320"/>
      <c r="E35" s="1441"/>
      <c r="F35" s="1322"/>
      <c r="G35" s="1322"/>
      <c r="H35" s="1322"/>
      <c r="I35" s="1322"/>
      <c r="J35" s="1322"/>
      <c r="K35" s="1256"/>
      <c r="L35" s="1443"/>
      <c r="M35" s="2850"/>
      <c r="N35" s="1321"/>
      <c r="O35" s="1323"/>
      <c r="P35" s="1324"/>
      <c r="Q35" s="1322"/>
      <c r="R35" s="1444"/>
      <c r="S35" s="1444"/>
      <c r="T35" s="1444"/>
      <c r="U35" s="1328"/>
      <c r="V35" s="1256"/>
      <c r="W35" s="723"/>
      <c r="X35" s="724"/>
      <c r="Y35" s="1323"/>
      <c r="Z35" s="1321"/>
      <c r="AA35" s="1321"/>
      <c r="AB35" s="1324"/>
      <c r="AC35" s="1327"/>
      <c r="AD35" s="1327"/>
      <c r="AE35" s="1327"/>
      <c r="AF35" s="1327"/>
    </row>
    <row r="36" spans="1:32">
      <c r="A36" s="1329"/>
      <c r="B36" s="1330"/>
      <c r="C36" s="1440"/>
      <c r="D36" s="1331"/>
      <c r="E36" s="1442"/>
      <c r="F36" s="1332"/>
      <c r="G36" s="1332"/>
      <c r="H36" s="1332"/>
      <c r="I36" s="1332"/>
      <c r="J36" s="1332"/>
      <c r="K36" s="1256"/>
      <c r="L36" s="1329"/>
      <c r="M36" s="2851"/>
      <c r="N36" s="1334"/>
      <c r="O36" s="1334"/>
      <c r="P36" s="1335"/>
      <c r="Q36" s="1322"/>
      <c r="R36" s="1333"/>
      <c r="S36" s="1333"/>
      <c r="T36" s="1333"/>
      <c r="U36" s="1336"/>
      <c r="V36" s="1256"/>
      <c r="W36" s="1329"/>
      <c r="X36" s="1333"/>
      <c r="Y36" s="1337"/>
      <c r="Z36" s="1334"/>
      <c r="AA36" s="1334"/>
      <c r="AB36" s="1334"/>
      <c r="AC36" s="1329"/>
      <c r="AD36" s="1337"/>
      <c r="AE36" s="1334"/>
      <c r="AF36" s="1334"/>
    </row>
    <row r="37" spans="1:32" ht="24.75" customHeight="1" collapsed="1" thickBot="1">
      <c r="A37" s="6045" t="s">
        <v>1522</v>
      </c>
      <c r="B37" s="6046"/>
      <c r="C37" s="6046"/>
      <c r="D37" s="6046"/>
      <c r="E37" s="6046"/>
      <c r="F37" s="6047"/>
      <c r="G37" s="1338">
        <f>SUM(G14:G36)</f>
        <v>6982571.3899999997</v>
      </c>
      <c r="H37" s="1338">
        <f>SUM(H14:H36)</f>
        <v>0</v>
      </c>
      <c r="I37" s="1338">
        <f>SUM(I14:I36)</f>
        <v>-349128.56950000004</v>
      </c>
      <c r="J37" s="1338">
        <f>SUM(J14:J36)</f>
        <v>6633442.8204999994</v>
      </c>
      <c r="K37" s="1256"/>
      <c r="L37" s="1339" t="s">
        <v>1522</v>
      </c>
      <c r="M37" s="1343"/>
      <c r="N37" s="1340"/>
      <c r="O37" s="1340"/>
      <c r="P37" s="1340"/>
      <c r="Q37" s="1340"/>
      <c r="R37" s="1341">
        <f>SUM(R14:R36)</f>
        <v>6982571.3899999997</v>
      </c>
      <c r="S37" s="1338">
        <f>SUM(S14:S36)</f>
        <v>0</v>
      </c>
      <c r="T37" s="1338">
        <f>SUM(T14:T36)</f>
        <v>-349128.56950000004</v>
      </c>
      <c r="U37" s="1338">
        <f>SUM(U14:U36)</f>
        <v>6633442.8204999994</v>
      </c>
      <c r="V37" s="1256"/>
      <c r="W37" s="1342" t="s">
        <v>1522</v>
      </c>
      <c r="X37" s="1343"/>
      <c r="Y37" s="1343"/>
      <c r="Z37" s="1343"/>
      <c r="AA37" s="1343"/>
      <c r="AB37" s="1343"/>
      <c r="AC37" s="1341">
        <f>SUM(AC14:AC36)</f>
        <v>6367045.3499999996</v>
      </c>
      <c r="AD37" s="1338">
        <f>SUM(AD14:AD36)</f>
        <v>955056.80249999999</v>
      </c>
      <c r="AE37" s="1338">
        <f>SUM(AE14:AE36)</f>
        <v>7322102.1524999999</v>
      </c>
      <c r="AF37" s="1338">
        <f>+AF16</f>
        <v>5655155.4864999996</v>
      </c>
    </row>
    <row r="38" spans="1:32">
      <c r="A38" s="1360"/>
      <c r="B38" s="1256"/>
      <c r="C38" s="1255"/>
      <c r="D38" s="1257"/>
      <c r="E38" s="1361"/>
      <c r="F38" s="1258"/>
      <c r="G38" s="1258"/>
      <c r="H38" s="1258"/>
      <c r="I38" s="1258"/>
      <c r="J38" s="1258"/>
      <c r="K38" s="1256"/>
      <c r="L38" s="1360"/>
      <c r="M38" s="2852"/>
      <c r="N38" s="1362"/>
      <c r="O38" s="1362"/>
      <c r="P38" s="1362"/>
      <c r="Q38" s="1360"/>
      <c r="R38" s="1360"/>
      <c r="S38" s="1360"/>
      <c r="T38" s="1360"/>
      <c r="U38" s="1363"/>
      <c r="V38" s="1256"/>
      <c r="W38" s="1360"/>
      <c r="X38" s="1360"/>
      <c r="Y38" s="1364"/>
      <c r="Z38" s="1362"/>
      <c r="AA38" s="1362"/>
      <c r="AB38" s="1362"/>
      <c r="AC38" s="1360"/>
      <c r="AD38" s="1364"/>
      <c r="AE38" s="1362"/>
      <c r="AF38" s="1362"/>
    </row>
    <row r="39" spans="1:32">
      <c r="A39" s="1360"/>
      <c r="B39" s="1256"/>
      <c r="C39" s="1255"/>
      <c r="D39" s="1257"/>
      <c r="E39" s="1361"/>
      <c r="F39" s="1258"/>
      <c r="G39" s="1258"/>
      <c r="H39" s="1258"/>
      <c r="I39" s="1258"/>
      <c r="J39" s="1258"/>
      <c r="K39" s="1256"/>
      <c r="L39" s="1360"/>
      <c r="M39" s="2852"/>
      <c r="N39" s="1362"/>
      <c r="O39" s="1362"/>
      <c r="P39" s="1257"/>
      <c r="Q39" s="1258"/>
      <c r="R39" s="1258"/>
      <c r="S39" s="1258"/>
      <c r="T39" s="1258"/>
      <c r="U39" s="1258">
        <f>+U37-T37</f>
        <v>6982571.3899999997</v>
      </c>
      <c r="V39" s="1256"/>
      <c r="W39" s="1360"/>
      <c r="X39" s="1360"/>
      <c r="Y39" s="1364"/>
      <c r="Z39" s="1362"/>
      <c r="AA39" s="1362"/>
      <c r="AB39" s="1362"/>
      <c r="AC39" s="1360"/>
      <c r="AD39" s="1364"/>
      <c r="AE39" s="1362"/>
      <c r="AF39" s="1362"/>
    </row>
    <row r="40" spans="1:32">
      <c r="A40" s="1365"/>
      <c r="B40" s="1256"/>
      <c r="C40" s="1255"/>
      <c r="D40" s="1257"/>
      <c r="E40" s="1361"/>
      <c r="F40" s="1366"/>
      <c r="G40" s="1366"/>
      <c r="H40" s="1366"/>
      <c r="I40" s="1366"/>
      <c r="J40" s="1258"/>
      <c r="K40" s="1256"/>
      <c r="L40" s="1365"/>
      <c r="M40" s="2853">
        <f>403092.61/11085046.72</f>
        <v>3.6363636544059594E-2</v>
      </c>
      <c r="N40" s="1365"/>
      <c r="O40" s="1365"/>
      <c r="P40" s="1257"/>
      <c r="Q40" s="1366"/>
      <c r="R40" s="1366"/>
      <c r="S40" s="1366"/>
      <c r="T40" s="1366"/>
      <c r="U40" s="1366"/>
      <c r="V40" s="1256"/>
      <c r="W40" s="1365"/>
      <c r="X40" s="1365"/>
      <c r="Y40" s="1365"/>
      <c r="Z40" s="1362"/>
      <c r="AA40" s="1362"/>
      <c r="AB40" s="1362"/>
      <c r="AC40" s="1365"/>
      <c r="AD40" s="1365"/>
      <c r="AE40" s="1362"/>
      <c r="AF40" s="1362"/>
    </row>
    <row r="41" spans="1:32">
      <c r="D41" s="1257"/>
      <c r="E41" s="153">
        <v>44197</v>
      </c>
      <c r="F41" s="1366"/>
      <c r="P41" s="1257"/>
      <c r="Q41" s="1366"/>
      <c r="R41" s="1366"/>
      <c r="S41" s="1366"/>
      <c r="T41" s="1366"/>
      <c r="U41" s="1366"/>
      <c r="AA41" s="153">
        <v>44094</v>
      </c>
      <c r="AC41" s="1367"/>
    </row>
    <row r="42" spans="1:32">
      <c r="D42" s="1257"/>
      <c r="E42" s="153">
        <f>E41-45</f>
        <v>44152</v>
      </c>
      <c r="F42" s="1366"/>
      <c r="P42" s="1257"/>
      <c r="Q42" s="1366"/>
      <c r="R42" s="1366"/>
      <c r="S42" s="1366"/>
      <c r="T42" s="1366"/>
      <c r="U42" s="1366"/>
      <c r="AA42" s="153">
        <f>AA41-45</f>
        <v>44049</v>
      </c>
    </row>
    <row r="43" spans="1:32">
      <c r="D43" s="1257"/>
      <c r="F43" s="1366"/>
      <c r="H43" s="153">
        <v>43986</v>
      </c>
      <c r="R43" s="652"/>
      <c r="S43" s="652"/>
      <c r="T43" s="652"/>
      <c r="U43" s="652"/>
    </row>
    <row r="45" spans="1:32">
      <c r="AC45" t="s">
        <v>2330</v>
      </c>
    </row>
    <row r="46" spans="1:32">
      <c r="AC46" s="3018">
        <v>45222</v>
      </c>
      <c r="AD46" s="3018">
        <v>45253</v>
      </c>
      <c r="AE46" s="3018">
        <v>45283</v>
      </c>
    </row>
    <row r="47" spans="1:32">
      <c r="AC47" s="3020">
        <v>11439880.26</v>
      </c>
    </row>
  </sheetData>
  <mergeCells count="4">
    <mergeCell ref="A10:J10"/>
    <mergeCell ref="L10:U10"/>
    <mergeCell ref="W10:AF10"/>
    <mergeCell ref="A37:F37"/>
  </mergeCells>
  <printOptions horizontalCentered="1"/>
  <pageMargins left="0.23622047244094491" right="0.23622047244094491" top="0.74803149606299213" bottom="0.74803149606299213" header="0.31496062992125984" footer="0.31496062992125984"/>
  <pageSetup paperSize="8" scale="67" fitToHeight="2" orientation="landscape" r:id="rId1"/>
  <headerFooter>
    <oddHeader>&amp;C&amp;"Calibri,Bold"&amp;18MONTHLY REPORT - INVOICE &amp; PAYMENT TRACKING LOG (ARMETAL)</oddHeader>
    <oddFooter>&amp;L1TB.01.003.01 - AYC 
MARCH'26 REPORT&amp;C&amp;A&amp;RPage &amp;P of &amp;N</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0729F-8888-47C1-8C57-6B40CD8815C9}">
  <sheetPr>
    <tabColor theme="7" tint="0.39997558519241921"/>
    <pageSetUpPr fitToPage="1"/>
  </sheetPr>
  <dimension ref="A1:AG47"/>
  <sheetViews>
    <sheetView showGridLines="0" view="pageBreakPreview" zoomScale="90" zoomScaleNormal="100" zoomScaleSheetLayoutView="90" workbookViewId="0">
      <selection activeCell="C43" sqref="C43"/>
    </sheetView>
  </sheetViews>
  <sheetFormatPr defaultColWidth="9" defaultRowHeight="12.75"/>
  <cols>
    <col min="1" max="1" width="10.85546875" customWidth="1"/>
    <col min="2" max="2" width="10.42578125" customWidth="1"/>
    <col min="3" max="3" width="11.42578125" customWidth="1"/>
    <col min="4" max="4" width="10.85546875" bestFit="1" customWidth="1"/>
    <col min="5" max="5" width="9.85546875" bestFit="1" customWidth="1"/>
    <col min="6" max="6" width="12" customWidth="1"/>
    <col min="7" max="7" width="12.85546875" bestFit="1" customWidth="1"/>
    <col min="8" max="9" width="11.85546875" bestFit="1" customWidth="1"/>
    <col min="10" max="10" width="13.85546875" customWidth="1"/>
    <col min="11" max="11" width="0.85546875" customWidth="1"/>
    <col min="12" max="12" width="6" customWidth="1"/>
    <col min="13" max="13" width="17.85546875" style="2854" bestFit="1" customWidth="1"/>
    <col min="14" max="15" width="9" customWidth="1"/>
    <col min="16" max="16" width="7.85546875" customWidth="1"/>
    <col min="17" max="17" width="13.85546875" customWidth="1"/>
    <col min="18" max="18" width="15.5703125" customWidth="1"/>
    <col min="19" max="20" width="11.42578125" customWidth="1"/>
    <col min="21" max="21" width="14.5703125" customWidth="1"/>
    <col min="22" max="22" width="0.85546875" customWidth="1"/>
    <col min="23" max="23" width="14" bestFit="1" customWidth="1"/>
    <col min="24" max="24" width="9" customWidth="1"/>
    <col min="25" max="25" width="9" hidden="1" customWidth="1"/>
    <col min="26" max="26" width="9" bestFit="1" customWidth="1"/>
    <col min="27" max="27" width="10" customWidth="1"/>
    <col min="28" max="28" width="7" customWidth="1"/>
    <col min="29" max="29" width="12.42578125" customWidth="1"/>
    <col min="30" max="30" width="13.5703125" customWidth="1"/>
    <col min="31" max="32" width="14" customWidth="1"/>
    <col min="33" max="33" width="13.5703125" bestFit="1" customWidth="1"/>
  </cols>
  <sheetData>
    <row r="1" spans="1:33">
      <c r="A1" s="1255"/>
      <c r="B1" s="1256"/>
      <c r="C1" s="1255"/>
      <c r="D1" s="1257"/>
      <c r="E1" s="1257"/>
      <c r="F1" s="1258"/>
      <c r="G1" s="1258"/>
      <c r="H1" s="1258"/>
      <c r="I1" s="1258"/>
      <c r="J1" s="1258"/>
      <c r="K1" s="1257"/>
      <c r="L1" s="1255"/>
      <c r="M1" s="2848"/>
      <c r="N1" s="1255"/>
      <c r="O1" s="1255"/>
      <c r="P1" s="1255"/>
      <c r="Q1" s="1255"/>
      <c r="R1" s="1255"/>
      <c r="S1" s="1255"/>
      <c r="T1" s="1255"/>
      <c r="U1" s="1259"/>
      <c r="V1" s="1257"/>
      <c r="W1" s="1257"/>
      <c r="X1" s="1257"/>
      <c r="Y1" s="1257"/>
      <c r="Z1" s="1257"/>
      <c r="AA1" s="1257"/>
      <c r="AB1" s="1257"/>
      <c r="AC1" s="1257"/>
      <c r="AD1" s="1257"/>
      <c r="AE1" s="1257"/>
      <c r="AF1" s="1257"/>
    </row>
    <row r="2" spans="1:33">
      <c r="A2" s="9" t="str">
        <f>'Data Input'!A1&amp;" - "&amp;'Data Input'!B1</f>
        <v>PROGRAMME: - MARINA VILLAGE (PROGRAMME 1_TRIPLE BAY)</v>
      </c>
      <c r="B2" s="1256"/>
      <c r="C2" s="1255"/>
      <c r="D2" s="1257"/>
      <c r="E2" s="1257"/>
      <c r="F2" s="1258"/>
      <c r="G2" s="1258"/>
      <c r="H2" s="1258"/>
      <c r="I2" s="1258"/>
      <c r="J2" s="1258"/>
      <c r="K2" s="1257"/>
      <c r="L2" s="1255"/>
      <c r="M2" s="2848"/>
      <c r="N2" s="1255"/>
      <c r="O2" s="1255"/>
      <c r="P2" s="1255"/>
      <c r="Q2" s="1255"/>
      <c r="R2" s="1255"/>
      <c r="S2" s="1255"/>
      <c r="T2" s="1255"/>
      <c r="U2" s="1259"/>
      <c r="V2" s="1257"/>
      <c r="W2" s="1257"/>
      <c r="X2" s="1257"/>
      <c r="Y2" s="1257"/>
      <c r="Z2" s="1257"/>
      <c r="AA2" s="1257"/>
      <c r="AB2" s="1257"/>
      <c r="AC2" s="1257"/>
      <c r="AD2" s="1257"/>
      <c r="AE2" s="1257"/>
      <c r="AF2" s="1257"/>
    </row>
    <row r="3" spans="1:33">
      <c r="A3" s="9" t="str">
        <f>'Data Input'!A2&amp;" - "&amp;'Data Input'!B2</f>
        <v>PROGRAMME CODE: - 1TB01003</v>
      </c>
      <c r="B3" s="1260"/>
      <c r="C3" s="1261"/>
      <c r="D3" s="1262"/>
      <c r="E3" s="1262"/>
      <c r="F3" s="1263"/>
      <c r="G3" s="1263"/>
      <c r="H3" s="1263"/>
      <c r="I3" s="1263"/>
      <c r="J3" s="1264"/>
      <c r="K3" s="1265"/>
      <c r="L3" s="1265"/>
      <c r="M3" s="1262"/>
      <c r="N3" s="1265"/>
      <c r="O3" s="1266"/>
      <c r="P3" s="1265"/>
      <c r="Q3" s="1265"/>
      <c r="R3" s="1265"/>
      <c r="S3" s="1265"/>
      <c r="T3" s="1265"/>
      <c r="U3" s="1267"/>
      <c r="V3" s="1265"/>
      <c r="W3" s="1265"/>
      <c r="X3" s="1265"/>
      <c r="Y3" s="1265"/>
      <c r="Z3" s="1265"/>
      <c r="AA3" s="1265"/>
      <c r="AB3" s="1265"/>
      <c r="AC3" s="1265"/>
      <c r="AD3" s="1265"/>
      <c r="AE3" s="1265"/>
      <c r="AF3" s="1265"/>
    </row>
    <row r="4" spans="1:33">
      <c r="A4" s="9" t="str">
        <f>'Data Input'!A3&amp;" - "&amp;'Data Input'!B3</f>
        <v>ASSET NAME: - AMAALA YACHT CLUB</v>
      </c>
      <c r="B4" s="1260"/>
      <c r="C4" s="1268"/>
      <c r="D4" s="1265"/>
      <c r="E4" s="1265"/>
      <c r="F4" s="1267"/>
      <c r="G4" s="1267"/>
      <c r="H4" s="1267"/>
      <c r="I4" s="1267"/>
      <c r="J4" s="1269"/>
      <c r="K4" s="1265"/>
      <c r="L4" s="1265"/>
      <c r="M4" s="1262"/>
      <c r="N4" s="1265"/>
      <c r="O4" s="1266"/>
      <c r="P4" s="1265"/>
      <c r="Q4" s="1265"/>
      <c r="R4" s="1265"/>
      <c r="S4" s="1265"/>
      <c r="T4" s="1265"/>
      <c r="U4" s="1267"/>
      <c r="V4" s="1265"/>
      <c r="W4" s="1265"/>
      <c r="X4" s="1265"/>
      <c r="Y4" s="1265"/>
      <c r="Z4" s="1265"/>
      <c r="AA4" s="1265"/>
      <c r="AB4" s="1265"/>
      <c r="AC4" s="1265"/>
      <c r="AD4" s="1265"/>
      <c r="AE4" s="1265"/>
      <c r="AF4" s="1265"/>
    </row>
    <row r="5" spans="1:33">
      <c r="A5" s="9" t="str">
        <f>'Data Input'!A4&amp;" - "&amp;'Data Input'!B4</f>
        <v>ASSET CODE: - 1TB01003.01</v>
      </c>
      <c r="B5" s="1270"/>
      <c r="C5" s="1268"/>
      <c r="D5" s="1265"/>
      <c r="E5" s="1265"/>
      <c r="F5" s="1267"/>
      <c r="G5" s="1267"/>
      <c r="H5" s="1267"/>
      <c r="I5" s="1267"/>
      <c r="J5" s="1269"/>
      <c r="K5" s="1265"/>
      <c r="L5" s="1265"/>
      <c r="M5" s="1262"/>
      <c r="N5" s="1265"/>
      <c r="O5" s="1266"/>
      <c r="P5" s="1265"/>
      <c r="Q5" s="1265"/>
      <c r="R5" s="1271"/>
      <c r="S5" s="1265"/>
      <c r="T5" s="1265"/>
      <c r="U5" s="1267"/>
      <c r="V5" s="1265"/>
      <c r="W5" s="1265"/>
      <c r="X5" s="1265"/>
      <c r="Y5" s="1265"/>
      <c r="Z5" s="1265"/>
      <c r="AA5" s="1265"/>
      <c r="AB5" s="1265"/>
      <c r="AC5" s="1265"/>
      <c r="AD5" s="1265"/>
      <c r="AE5" s="1265"/>
      <c r="AF5" s="1265"/>
    </row>
    <row r="6" spans="1:33">
      <c r="A6" s="9" t="str">
        <f>'Data Input'!A7&amp;" - "&amp;'Data Input'!B7</f>
        <v>REPORT NO: - MONTHLY REPORT NO. 49</v>
      </c>
      <c r="B6" s="1272"/>
      <c r="C6" s="1268"/>
      <c r="D6" s="1265"/>
      <c r="E6" s="1265"/>
      <c r="F6" s="1267"/>
      <c r="G6" s="1267"/>
      <c r="H6" s="1267"/>
      <c r="I6" s="1267"/>
      <c r="J6" s="1269"/>
      <c r="K6" s="1265"/>
      <c r="L6" s="1265"/>
      <c r="M6" s="1262"/>
      <c r="N6" s="1265"/>
      <c r="O6" s="1266"/>
      <c r="P6" s="1265"/>
      <c r="Q6" s="1265"/>
      <c r="R6" s="1273"/>
      <c r="S6" s="1265"/>
      <c r="T6" s="1271"/>
      <c r="U6" s="1267"/>
      <c r="V6" s="1265"/>
      <c r="W6" s="1265"/>
      <c r="X6" s="1265"/>
      <c r="Y6" s="1265"/>
      <c r="Z6" s="1265"/>
      <c r="AA6" s="1265"/>
      <c r="AB6" s="1265"/>
      <c r="AC6" s="1265"/>
      <c r="AD6" s="1265"/>
      <c r="AE6" s="1265"/>
      <c r="AF6" s="1265"/>
    </row>
    <row r="7" spans="1:33">
      <c r="A7" s="9" t="str">
        <f>'Data Input'!A8&amp;" - "&amp;'Data Input'!B8</f>
        <v>REPORTING PERIOD: - OCTOBER 2026</v>
      </c>
      <c r="B7" s="1262"/>
      <c r="C7" s="1274"/>
      <c r="D7" s="1262"/>
      <c r="E7" s="1262"/>
      <c r="F7" s="1263"/>
      <c r="G7" s="1263"/>
      <c r="H7" s="1263"/>
      <c r="I7" s="1263"/>
      <c r="J7" s="1264"/>
      <c r="K7" s="1265"/>
      <c r="L7" s="1265"/>
      <c r="M7" s="1262"/>
      <c r="N7" s="1265"/>
      <c r="O7" s="1265"/>
      <c r="P7" s="1265"/>
      <c r="Q7" s="1267"/>
      <c r="R7" s="1263"/>
      <c r="S7" s="1263"/>
      <c r="T7" s="1263"/>
      <c r="U7" s="1267"/>
      <c r="V7" s="1265"/>
      <c r="W7" s="1265"/>
      <c r="X7" s="1265"/>
      <c r="Y7" s="1265"/>
      <c r="Z7" s="1265"/>
      <c r="AA7" s="1265"/>
      <c r="AB7" s="1265"/>
      <c r="AC7" s="1265"/>
      <c r="AD7" s="1265"/>
      <c r="AE7" s="1265"/>
      <c r="AF7" s="1265"/>
    </row>
    <row r="8" spans="1:33" ht="13.5" thickBot="1">
      <c r="A8" s="9"/>
      <c r="B8" s="1256"/>
      <c r="C8" s="1255"/>
      <c r="D8" s="1257"/>
      <c r="E8" s="1257"/>
      <c r="F8" s="1258"/>
      <c r="G8" s="1258"/>
      <c r="H8" s="1258"/>
      <c r="I8" s="1258"/>
      <c r="J8" s="1258"/>
      <c r="K8" s="1257"/>
      <c r="L8" s="1255"/>
      <c r="M8" s="2848"/>
      <c r="N8" s="1275"/>
      <c r="O8" s="1276"/>
      <c r="P8" s="1255"/>
      <c r="Q8" s="1255"/>
      <c r="R8" s="1255"/>
      <c r="S8" s="1255"/>
      <c r="T8" s="1255"/>
      <c r="U8" s="1259"/>
      <c r="V8" s="1257"/>
      <c r="W8" s="1257"/>
      <c r="X8" s="1257"/>
      <c r="Y8" s="1257"/>
      <c r="Z8" s="1257"/>
      <c r="AA8" s="1257"/>
      <c r="AB8" s="1257"/>
      <c r="AC8" s="1257"/>
      <c r="AD8" s="1257"/>
      <c r="AE8" s="1257"/>
      <c r="AF8" s="1257"/>
    </row>
    <row r="9" spans="1:33" ht="30" customHeight="1" thickBot="1">
      <c r="A9" s="1354" t="s">
        <v>4520</v>
      </c>
      <c r="B9" s="1355"/>
      <c r="C9" s="1355"/>
      <c r="D9" s="1356"/>
      <c r="E9" s="1356"/>
      <c r="F9" s="1357"/>
      <c r="G9" s="1357"/>
      <c r="H9" s="1357"/>
      <c r="I9" s="1357"/>
      <c r="J9" s="1357"/>
      <c r="K9" s="1356"/>
      <c r="L9" s="1355"/>
      <c r="M9" s="2849"/>
      <c r="N9" s="1355"/>
      <c r="O9" s="1355"/>
      <c r="P9" s="1355"/>
      <c r="Q9" s="1355"/>
      <c r="R9" s="1355"/>
      <c r="S9" s="1355"/>
      <c r="T9" s="1355"/>
      <c r="U9" s="1358"/>
      <c r="V9" s="1356"/>
      <c r="W9" s="1356"/>
      <c r="X9" s="1356"/>
      <c r="Y9" s="1356"/>
      <c r="Z9" s="1356"/>
      <c r="AA9" s="1356"/>
      <c r="AB9" s="1356"/>
      <c r="AC9" s="1356"/>
      <c r="AD9" s="1356"/>
      <c r="AE9" s="1356"/>
      <c r="AF9" s="1359"/>
    </row>
    <row r="10" spans="1:33">
      <c r="A10" s="6051" t="s">
        <v>1524</v>
      </c>
      <c r="B10" s="6052"/>
      <c r="C10" s="6052"/>
      <c r="D10" s="6052"/>
      <c r="E10" s="6052"/>
      <c r="F10" s="6052"/>
      <c r="G10" s="6053"/>
      <c r="H10" s="6053"/>
      <c r="I10" s="6053"/>
      <c r="J10" s="6054"/>
      <c r="K10" s="1256"/>
      <c r="L10" s="6055" t="s">
        <v>1525</v>
      </c>
      <c r="M10" s="6056"/>
      <c r="N10" s="6056"/>
      <c r="O10" s="6056"/>
      <c r="P10" s="6056"/>
      <c r="Q10" s="6056"/>
      <c r="R10" s="6057"/>
      <c r="S10" s="6057"/>
      <c r="T10" s="6057"/>
      <c r="U10" s="6058"/>
      <c r="V10" s="1256"/>
      <c r="W10" s="6043" t="s">
        <v>1526</v>
      </c>
      <c r="X10" s="6044"/>
      <c r="Y10" s="6044"/>
      <c r="Z10" s="6044"/>
      <c r="AA10" s="6044"/>
      <c r="AB10" s="6044"/>
      <c r="AC10" s="6044"/>
      <c r="AD10" s="6044"/>
      <c r="AE10" s="6044"/>
      <c r="AF10" s="6059"/>
    </row>
    <row r="11" spans="1:33" ht="60" customHeight="1">
      <c r="A11" s="1283" t="s">
        <v>1462</v>
      </c>
      <c r="B11" s="1284" t="s">
        <v>1527</v>
      </c>
      <c r="C11" s="1284" t="s">
        <v>1528</v>
      </c>
      <c r="D11" s="1285" t="s">
        <v>1744</v>
      </c>
      <c r="E11" s="1285" t="s">
        <v>1530</v>
      </c>
      <c r="F11" s="1286" t="s">
        <v>1531</v>
      </c>
      <c r="G11" s="1287" t="s">
        <v>1532</v>
      </c>
      <c r="H11" s="1287" t="s">
        <v>1533</v>
      </c>
      <c r="I11" s="1287" t="s">
        <v>1534</v>
      </c>
      <c r="J11" s="1288" t="s">
        <v>1535</v>
      </c>
      <c r="K11" s="1289"/>
      <c r="L11" s="763" t="s">
        <v>1536</v>
      </c>
      <c r="M11" s="1290" t="s">
        <v>1601</v>
      </c>
      <c r="N11" s="1290" t="s">
        <v>1530</v>
      </c>
      <c r="O11" s="1290" t="s">
        <v>4521</v>
      </c>
      <c r="P11" s="764" t="s">
        <v>1539</v>
      </c>
      <c r="Q11" s="1291" t="s">
        <v>1540</v>
      </c>
      <c r="R11" s="1292" t="s">
        <v>1541</v>
      </c>
      <c r="S11" s="1292" t="s">
        <v>1533</v>
      </c>
      <c r="T11" s="1292" t="s">
        <v>1534</v>
      </c>
      <c r="U11" s="1293" t="s">
        <v>1542</v>
      </c>
      <c r="V11" s="1256"/>
      <c r="W11" s="1294" t="s">
        <v>2086</v>
      </c>
      <c r="X11" s="2839" t="s">
        <v>2087</v>
      </c>
      <c r="Y11" s="1295" t="s">
        <v>1544</v>
      </c>
      <c r="Z11" s="1296" t="s">
        <v>1545</v>
      </c>
      <c r="AA11" s="1296" t="s">
        <v>4524</v>
      </c>
      <c r="AB11" s="769" t="s">
        <v>1539</v>
      </c>
      <c r="AC11" s="769" t="s">
        <v>1547</v>
      </c>
      <c r="AD11" s="769" t="s">
        <v>3478</v>
      </c>
      <c r="AE11" s="1296" t="s">
        <v>1549</v>
      </c>
      <c r="AF11" s="1297" t="s">
        <v>1550</v>
      </c>
    </row>
    <row r="12" spans="1:33" ht="17.25" customHeight="1">
      <c r="A12" s="1298"/>
      <c r="B12" s="1299"/>
      <c r="C12" s="1300"/>
      <c r="D12" s="1301"/>
      <c r="E12" s="1302" t="s">
        <v>296</v>
      </c>
      <c r="F12" s="1303" t="s">
        <v>434</v>
      </c>
      <c r="G12" s="1303" t="s">
        <v>434</v>
      </c>
      <c r="H12" s="1304">
        <v>0</v>
      </c>
      <c r="I12" s="1304">
        <v>0</v>
      </c>
      <c r="J12" s="1305" t="s">
        <v>434</v>
      </c>
      <c r="K12" s="1256"/>
      <c r="L12" s="765"/>
      <c r="M12" s="766"/>
      <c r="N12" s="1306" t="s">
        <v>296</v>
      </c>
      <c r="O12" s="766" t="s">
        <v>3574</v>
      </c>
      <c r="P12" s="1307" t="s">
        <v>1552</v>
      </c>
      <c r="Q12" s="767" t="s">
        <v>434</v>
      </c>
      <c r="R12" s="767" t="s">
        <v>434</v>
      </c>
      <c r="S12" s="1308">
        <v>0</v>
      </c>
      <c r="T12" s="1308">
        <v>0</v>
      </c>
      <c r="U12" s="768" t="s">
        <v>434</v>
      </c>
      <c r="V12" s="1256"/>
      <c r="W12" s="770"/>
      <c r="X12" s="2840"/>
      <c r="Y12" s="1309" t="s">
        <v>296</v>
      </c>
      <c r="Z12" s="1309" t="s">
        <v>296</v>
      </c>
      <c r="AA12" s="1309" t="s">
        <v>4523</v>
      </c>
      <c r="AB12" s="1310" t="s">
        <v>1552</v>
      </c>
      <c r="AC12" s="1311"/>
      <c r="AD12" s="1312">
        <v>0.15</v>
      </c>
      <c r="AE12" s="1309" t="s">
        <v>296</v>
      </c>
      <c r="AF12" s="1313" t="s">
        <v>296</v>
      </c>
    </row>
    <row r="13" spans="1:33" s="722" customFormat="1" ht="25.5" customHeight="1">
      <c r="A13" s="1314"/>
      <c r="B13" s="1314"/>
      <c r="C13" s="1314"/>
      <c r="D13" s="1314"/>
      <c r="E13" s="1314" t="s">
        <v>1481</v>
      </c>
      <c r="F13" s="1314"/>
      <c r="G13" s="1314"/>
      <c r="H13" s="1314"/>
      <c r="I13" s="1314"/>
      <c r="J13" s="1314"/>
      <c r="K13" s="1255"/>
      <c r="L13" s="1315"/>
      <c r="M13" s="1315"/>
      <c r="N13" s="1316" t="s">
        <v>1482</v>
      </c>
      <c r="O13" s="1314" t="s">
        <v>2084</v>
      </c>
      <c r="P13" s="1317" t="s">
        <v>1555</v>
      </c>
      <c r="Q13" s="1318" t="s">
        <v>1556</v>
      </c>
      <c r="R13" s="1318" t="s">
        <v>1557</v>
      </c>
      <c r="S13" s="1319" t="s">
        <v>1605</v>
      </c>
      <c r="T13" s="1319" t="s">
        <v>1559</v>
      </c>
      <c r="U13" s="1318" t="s">
        <v>1560</v>
      </c>
      <c r="V13" s="1255"/>
      <c r="W13" s="1316"/>
      <c r="X13" s="1316" t="s">
        <v>1561</v>
      </c>
      <c r="Y13" s="1316"/>
      <c r="Z13" s="1316" t="s">
        <v>2088</v>
      </c>
      <c r="AA13" s="1316" t="s">
        <v>2089</v>
      </c>
      <c r="AB13" s="1317" t="s">
        <v>2091</v>
      </c>
      <c r="AC13" s="1314" t="s">
        <v>2092</v>
      </c>
      <c r="AD13" s="1319" t="s">
        <v>3479</v>
      </c>
      <c r="AE13" s="1316" t="s">
        <v>2094</v>
      </c>
      <c r="AF13" s="1316"/>
    </row>
    <row r="14" spans="1:33" s="2837" customFormat="1" ht="50.25" customHeight="1">
      <c r="A14" s="723">
        <v>1</v>
      </c>
      <c r="B14" s="810" t="s">
        <v>1763</v>
      </c>
      <c r="C14" s="1929">
        <v>45778</v>
      </c>
      <c r="D14" s="2835" t="s">
        <v>4525</v>
      </c>
      <c r="E14" s="1440">
        <v>45848</v>
      </c>
      <c r="F14" s="2836">
        <f>+G14</f>
        <v>1425959.08</v>
      </c>
      <c r="G14" s="2836">
        <v>1425959.08</v>
      </c>
      <c r="H14" s="1444">
        <f>(G14*$H$12)*-1*0</f>
        <v>0</v>
      </c>
      <c r="I14" s="1444">
        <v>0</v>
      </c>
      <c r="J14" s="1444">
        <f>G14+H14+I14</f>
        <v>1425959.08</v>
      </c>
      <c r="K14" s="1256"/>
      <c r="L14" s="1510">
        <v>1</v>
      </c>
      <c r="M14" s="2850" t="s">
        <v>4526</v>
      </c>
      <c r="N14" s="1440">
        <v>45854</v>
      </c>
      <c r="O14" s="1323">
        <f>E14+21</f>
        <v>45869</v>
      </c>
      <c r="P14" s="1324">
        <f>O14-N14</f>
        <v>15</v>
      </c>
      <c r="Q14" s="2836">
        <f>+R14</f>
        <v>1425959.08</v>
      </c>
      <c r="R14" s="2836">
        <v>1425959.08</v>
      </c>
      <c r="S14" s="1444">
        <f>(R14*$S$12)*-1*0</f>
        <v>0</v>
      </c>
      <c r="T14" s="1444">
        <v>0</v>
      </c>
      <c r="U14" s="1444">
        <f>R14+S14+T14</f>
        <v>1425959.08</v>
      </c>
      <c r="V14" s="1256"/>
      <c r="W14" s="2838" t="s">
        <v>4889</v>
      </c>
      <c r="X14" s="1321">
        <v>45874</v>
      </c>
      <c r="Y14" s="1323"/>
      <c r="Z14" s="1321">
        <v>45900</v>
      </c>
      <c r="AA14" s="1321">
        <f>+X14+30</f>
        <v>45904</v>
      </c>
      <c r="AB14" s="1324">
        <f>+AA14-Z14</f>
        <v>4</v>
      </c>
      <c r="AC14" s="1327">
        <f>+U14</f>
        <v>1425959.08</v>
      </c>
      <c r="AD14" s="1327">
        <f>+AC14*15%</f>
        <v>213893.86199999999</v>
      </c>
      <c r="AE14" s="1327">
        <f>+AD14+AC14</f>
        <v>1639852.942</v>
      </c>
      <c r="AF14" s="1327">
        <f>+AE14</f>
        <v>1639852.942</v>
      </c>
      <c r="AG14" s="2842">
        <f>+AC14*1.15</f>
        <v>1639852.942</v>
      </c>
    </row>
    <row r="15" spans="1:33" s="2837" customFormat="1" ht="50.25" customHeight="1">
      <c r="A15" s="723">
        <v>2</v>
      </c>
      <c r="B15" s="810" t="s">
        <v>1764</v>
      </c>
      <c r="C15" s="1929">
        <v>45870</v>
      </c>
      <c r="D15" s="2835" t="s">
        <v>2115</v>
      </c>
      <c r="E15" s="1440">
        <v>45894</v>
      </c>
      <c r="F15" s="2836">
        <f>+F14+G15</f>
        <v>1774248.9200000002</v>
      </c>
      <c r="G15" s="1444">
        <v>348289.84</v>
      </c>
      <c r="H15" s="1444">
        <f>(G15*$H$12)*-1*0</f>
        <v>0</v>
      </c>
      <c r="I15" s="1444">
        <v>0</v>
      </c>
      <c r="J15" s="1444">
        <f>G15+H15+I15</f>
        <v>348289.84</v>
      </c>
      <c r="K15" s="1256"/>
      <c r="L15" s="1510">
        <v>2</v>
      </c>
      <c r="M15" s="2850" t="s">
        <v>4844</v>
      </c>
      <c r="N15" s="1440">
        <v>45935</v>
      </c>
      <c r="O15" s="1323">
        <f>E15+21</f>
        <v>45915</v>
      </c>
      <c r="P15" s="1324">
        <f>O15-N15</f>
        <v>-20</v>
      </c>
      <c r="Q15" s="2836">
        <f>+Q14+R15</f>
        <v>1774248.9200000002</v>
      </c>
      <c r="R15" s="2836">
        <v>348289.84</v>
      </c>
      <c r="S15" s="1444">
        <f>(R15*$S$12)*-1*0</f>
        <v>0</v>
      </c>
      <c r="T15" s="1444">
        <v>0</v>
      </c>
      <c r="U15" s="1444">
        <f>R15+S15+T15</f>
        <v>348289.84</v>
      </c>
      <c r="V15" s="1256"/>
      <c r="W15" s="4346" t="s">
        <v>5568</v>
      </c>
      <c r="X15" s="4347">
        <v>46011</v>
      </c>
      <c r="Y15" s="3244"/>
      <c r="Z15" s="3243"/>
      <c r="AA15" s="3243">
        <f>+X15+30</f>
        <v>46041</v>
      </c>
      <c r="AB15" s="3245"/>
      <c r="AC15" s="3250">
        <f>+U15</f>
        <v>348289.84</v>
      </c>
      <c r="AD15" s="3250">
        <f>+AC15*15%</f>
        <v>52243.476000000002</v>
      </c>
      <c r="AE15" s="3250">
        <f>+AD15+AC15</f>
        <v>400533.31600000005</v>
      </c>
      <c r="AF15" s="3250">
        <f>+AE15</f>
        <v>400533.31600000005</v>
      </c>
      <c r="AG15" s="4266"/>
    </row>
    <row r="16" spans="1:33" s="2837" customFormat="1" ht="50.25" customHeight="1">
      <c r="A16" s="723">
        <v>3</v>
      </c>
      <c r="B16" s="810" t="s">
        <v>1765</v>
      </c>
      <c r="C16" s="1929" t="s">
        <v>5565</v>
      </c>
      <c r="D16" s="2835" t="s">
        <v>5566</v>
      </c>
      <c r="E16" s="1440">
        <v>45978</v>
      </c>
      <c r="F16" s="2836">
        <f>+F15+G16</f>
        <v>3096124.9000000004</v>
      </c>
      <c r="G16" s="1444">
        <v>1321875.98</v>
      </c>
      <c r="H16" s="1444">
        <f>(G16*$H$12)*-1*0</f>
        <v>0</v>
      </c>
      <c r="I16" s="1444">
        <v>0</v>
      </c>
      <c r="J16" s="1444">
        <f>G16+H16+I16</f>
        <v>1321875.98</v>
      </c>
      <c r="K16" s="1256"/>
      <c r="L16" s="1510">
        <v>3</v>
      </c>
      <c r="M16" s="2850" t="s">
        <v>5567</v>
      </c>
      <c r="N16" s="1440">
        <v>46046</v>
      </c>
      <c r="O16" s="1323">
        <f>E16+21</f>
        <v>45999</v>
      </c>
      <c r="P16" s="1324">
        <f>O16-N16</f>
        <v>-47</v>
      </c>
      <c r="Q16" s="2836">
        <f>+Q15+R16</f>
        <v>3096124.9000000004</v>
      </c>
      <c r="R16" s="1444">
        <v>1321875.98</v>
      </c>
      <c r="S16" s="1444">
        <f>(R16*$S$12)*-1*0</f>
        <v>0</v>
      </c>
      <c r="T16" s="1444">
        <v>0</v>
      </c>
      <c r="U16" s="1444">
        <f>R16+S16+T16</f>
        <v>1321875.98</v>
      </c>
      <c r="V16" s="1256"/>
      <c r="W16" s="4346" t="s">
        <v>5568</v>
      </c>
      <c r="X16" s="4347">
        <v>46071</v>
      </c>
      <c r="Y16" s="3244"/>
      <c r="Z16" s="3243"/>
      <c r="AA16" s="3243">
        <f>+X16+30</f>
        <v>46101</v>
      </c>
      <c r="AB16" s="3245"/>
      <c r="AC16" s="3250"/>
      <c r="AD16" s="3250"/>
      <c r="AE16" s="3250"/>
      <c r="AF16" s="3250"/>
      <c r="AG16" s="2842"/>
    </row>
    <row r="17" spans="1:32">
      <c r="A17" s="723"/>
      <c r="B17" s="810"/>
      <c r="C17" s="1445"/>
      <c r="D17" s="2835"/>
      <c r="E17" s="1440"/>
      <c r="F17" s="1322"/>
      <c r="G17" s="1444"/>
      <c r="H17" s="1444"/>
      <c r="I17" s="1444"/>
      <c r="J17" s="1444"/>
      <c r="K17" s="1256"/>
      <c r="L17" s="1510"/>
      <c r="M17" s="2850"/>
      <c r="N17" s="1321"/>
      <c r="O17" s="1323"/>
      <c r="P17" s="1324"/>
      <c r="Q17" s="1322"/>
      <c r="R17" s="1444"/>
      <c r="S17" s="1444"/>
      <c r="T17" s="1444"/>
      <c r="U17" s="1444"/>
      <c r="V17" s="1256"/>
      <c r="W17" s="2838"/>
      <c r="X17" s="2841"/>
      <c r="Y17" s="1323"/>
      <c r="Z17" s="1321"/>
      <c r="AA17" s="1321"/>
      <c r="AB17" s="1324"/>
      <c r="AC17" s="1327"/>
      <c r="AD17" s="1327"/>
      <c r="AE17" s="1327"/>
      <c r="AF17" s="1327"/>
    </row>
    <row r="18" spans="1:32">
      <c r="A18" s="723"/>
      <c r="B18" s="810"/>
      <c r="C18" s="1445"/>
      <c r="D18" s="2835"/>
      <c r="E18" s="1440"/>
      <c r="F18" s="1322"/>
      <c r="G18" s="1444"/>
      <c r="H18" s="1444"/>
      <c r="I18" s="1444"/>
      <c r="J18" s="1444"/>
      <c r="K18" s="1256"/>
      <c r="L18" s="1510"/>
      <c r="M18" s="2850"/>
      <c r="N18" s="1321"/>
      <c r="O18" s="1323"/>
      <c r="P18" s="1324"/>
      <c r="Q18" s="1322"/>
      <c r="R18" s="1444"/>
      <c r="S18" s="1444"/>
      <c r="T18" s="1444"/>
      <c r="U18" s="1444"/>
      <c r="V18" s="1256"/>
      <c r="W18" s="2838"/>
      <c r="X18" s="1323"/>
      <c r="Y18" s="1323"/>
      <c r="Z18" s="1321"/>
      <c r="AA18" s="1321"/>
      <c r="AB18" s="1324"/>
      <c r="AC18" s="1327"/>
      <c r="AD18" s="1327"/>
      <c r="AE18" s="1327"/>
      <c r="AF18" s="1327"/>
    </row>
    <row r="19" spans="1:32" ht="33.950000000000003" customHeight="1">
      <c r="A19" s="723"/>
      <c r="B19" s="810"/>
      <c r="C19" s="1445"/>
      <c r="D19" s="2835"/>
      <c r="E19" s="1440"/>
      <c r="F19" s="1322"/>
      <c r="G19" s="1444"/>
      <c r="H19" s="1444"/>
      <c r="I19" s="1444"/>
      <c r="J19" s="1444"/>
      <c r="K19" s="1256"/>
      <c r="L19" s="1510"/>
      <c r="M19" s="2850"/>
      <c r="N19" s="1321"/>
      <c r="O19" s="1323"/>
      <c r="P19" s="1324"/>
      <c r="Q19" s="1322"/>
      <c r="R19" s="1444"/>
      <c r="S19" s="1444"/>
      <c r="T19" s="1444"/>
      <c r="U19" s="1444"/>
      <c r="V19" s="1256"/>
      <c r="W19" s="2838"/>
      <c r="X19" s="1323"/>
      <c r="Y19" s="1323"/>
      <c r="Z19" s="1321"/>
      <c r="AA19" s="1321"/>
      <c r="AB19" s="1324"/>
      <c r="AC19" s="1327"/>
      <c r="AD19" s="1327"/>
      <c r="AE19" s="1327"/>
      <c r="AF19" s="1327"/>
    </row>
    <row r="20" spans="1:32">
      <c r="A20" s="723"/>
      <c r="B20" s="810"/>
      <c r="C20" s="1445"/>
      <c r="D20" s="2835"/>
      <c r="E20" s="1440"/>
      <c r="F20" s="1322"/>
      <c r="G20" s="1444"/>
      <c r="H20" s="1444"/>
      <c r="I20" s="1444"/>
      <c r="J20" s="1444"/>
      <c r="K20" s="1256"/>
      <c r="L20" s="1510"/>
      <c r="M20" s="2850"/>
      <c r="N20" s="1321"/>
      <c r="O20" s="1323"/>
      <c r="P20" s="1324"/>
      <c r="Q20" s="1322"/>
      <c r="R20" s="1444"/>
      <c r="S20" s="1444"/>
      <c r="T20" s="1444"/>
      <c r="U20" s="1444"/>
      <c r="V20" s="1256"/>
      <c r="W20" s="723"/>
      <c r="X20" s="724"/>
      <c r="Y20" s="1323"/>
      <c r="Z20" s="1321"/>
      <c r="AA20" s="1321"/>
      <c r="AB20" s="1324"/>
      <c r="AC20" s="1327"/>
      <c r="AD20" s="1327"/>
      <c r="AE20" s="1327"/>
      <c r="AF20" s="1327"/>
    </row>
    <row r="21" spans="1:32">
      <c r="A21" s="723"/>
      <c r="B21" s="810"/>
      <c r="C21" s="1445"/>
      <c r="D21" s="2835"/>
      <c r="E21" s="1440"/>
      <c r="F21" s="1322"/>
      <c r="G21" s="1444"/>
      <c r="H21" s="1444"/>
      <c r="I21" s="1444"/>
      <c r="J21" s="1444"/>
      <c r="K21" s="1256"/>
      <c r="L21" s="1510"/>
      <c r="M21" s="2850"/>
      <c r="N21" s="1321"/>
      <c r="O21" s="1323"/>
      <c r="P21" s="1324"/>
      <c r="Q21" s="1322"/>
      <c r="R21" s="1444"/>
      <c r="S21" s="1444"/>
      <c r="T21" s="1444"/>
      <c r="U21" s="1444"/>
      <c r="V21" s="1256"/>
      <c r="W21" s="723"/>
      <c r="X21" s="724"/>
      <c r="Y21" s="1323"/>
      <c r="Z21" s="1321"/>
      <c r="AA21" s="1321"/>
      <c r="AB21" s="1324"/>
      <c r="AC21" s="1327"/>
      <c r="AD21" s="1327"/>
      <c r="AE21" s="1327"/>
      <c r="AF21" s="1327"/>
    </row>
    <row r="22" spans="1:32">
      <c r="A22" s="723"/>
      <c r="B22" s="810"/>
      <c r="C22" s="1445"/>
      <c r="D22" s="2835"/>
      <c r="E22" s="1440"/>
      <c r="F22" s="1322"/>
      <c r="G22" s="1444"/>
      <c r="H22" s="1444"/>
      <c r="I22" s="1444"/>
      <c r="J22" s="1444"/>
      <c r="K22" s="1256"/>
      <c r="L22" s="1510"/>
      <c r="M22" s="2850"/>
      <c r="N22" s="1321"/>
      <c r="O22" s="1323"/>
      <c r="P22" s="1324"/>
      <c r="Q22" s="1322"/>
      <c r="R22" s="1444"/>
      <c r="S22" s="1444"/>
      <c r="T22" s="1444"/>
      <c r="U22" s="1444"/>
      <c r="V22" s="1256"/>
      <c r="W22" s="723"/>
      <c r="X22" s="724"/>
      <c r="Y22" s="1323"/>
      <c r="Z22" s="1321"/>
      <c r="AA22" s="1321"/>
      <c r="AB22" s="1324"/>
      <c r="AC22" s="1327"/>
      <c r="AD22" s="1327"/>
      <c r="AE22" s="1327"/>
      <c r="AF22" s="1327"/>
    </row>
    <row r="23" spans="1:32">
      <c r="A23" s="723"/>
      <c r="B23" s="810"/>
      <c r="C23" s="1445"/>
      <c r="D23" s="2835"/>
      <c r="E23" s="1440"/>
      <c r="F23" s="1322"/>
      <c r="G23" s="1444"/>
      <c r="H23" s="1444"/>
      <c r="I23" s="1444"/>
      <c r="J23" s="1444"/>
      <c r="K23" s="1256"/>
      <c r="L23" s="1510"/>
      <c r="M23" s="2850"/>
      <c r="N23" s="1321"/>
      <c r="O23" s="1323"/>
      <c r="P23" s="1324"/>
      <c r="Q23" s="1322"/>
      <c r="R23" s="1444"/>
      <c r="S23" s="1444"/>
      <c r="T23" s="1444"/>
      <c r="U23" s="1444"/>
      <c r="V23" s="1256"/>
      <c r="W23" s="723"/>
      <c r="X23" s="724"/>
      <c r="Y23" s="1323"/>
      <c r="Z23" s="1321"/>
      <c r="AA23" s="1321"/>
      <c r="AB23" s="1324"/>
      <c r="AC23" s="1327"/>
      <c r="AD23" s="1327"/>
      <c r="AE23" s="1327"/>
      <c r="AF23" s="1327"/>
    </row>
    <row r="24" spans="1:32">
      <c r="A24" s="723"/>
      <c r="B24" s="810"/>
      <c r="C24" s="1445"/>
      <c r="D24" s="2835"/>
      <c r="E24" s="1440"/>
      <c r="F24" s="1322"/>
      <c r="G24" s="1444"/>
      <c r="H24" s="1444"/>
      <c r="I24" s="1444"/>
      <c r="J24" s="1444"/>
      <c r="K24" s="1256"/>
      <c r="L24" s="1510"/>
      <c r="M24" s="2850"/>
      <c r="N24" s="1321"/>
      <c r="O24" s="1323"/>
      <c r="P24" s="1324"/>
      <c r="Q24" s="1322"/>
      <c r="R24" s="1444"/>
      <c r="S24" s="1444"/>
      <c r="T24" s="1444"/>
      <c r="U24" s="1444"/>
      <c r="V24" s="1256"/>
      <c r="W24" s="723"/>
      <c r="X24" s="724"/>
      <c r="Y24" s="1323"/>
      <c r="Z24" s="1321"/>
      <c r="AA24" s="1321"/>
      <c r="AB24" s="1324"/>
      <c r="AC24" s="1327"/>
      <c r="AD24" s="1327"/>
      <c r="AE24" s="1327"/>
      <c r="AF24" s="1327"/>
    </row>
    <row r="25" spans="1:32">
      <c r="A25" s="723"/>
      <c r="B25" s="810"/>
      <c r="C25" s="1445"/>
      <c r="D25" s="2835"/>
      <c r="E25" s="1440"/>
      <c r="F25" s="1322"/>
      <c r="G25" s="1322"/>
      <c r="H25" s="1322"/>
      <c r="I25" s="1322"/>
      <c r="J25" s="1322"/>
      <c r="K25" s="1256"/>
      <c r="L25" s="1443"/>
      <c r="M25" s="2850"/>
      <c r="N25" s="1321"/>
      <c r="O25" s="1323"/>
      <c r="P25" s="1324"/>
      <c r="Q25" s="1322"/>
      <c r="R25" s="1444"/>
      <c r="S25" s="1444"/>
      <c r="T25" s="1444"/>
      <c r="U25" s="1328"/>
      <c r="V25" s="1256"/>
      <c r="W25" s="723"/>
      <c r="X25" s="724"/>
      <c r="Y25" s="1323"/>
      <c r="Z25" s="1321"/>
      <c r="AA25" s="1321"/>
      <c r="AB25" s="1324"/>
      <c r="AC25" s="1327"/>
      <c r="AD25" s="1327"/>
      <c r="AE25" s="1327"/>
      <c r="AF25" s="1327"/>
    </row>
    <row r="26" spans="1:32">
      <c r="A26" s="723"/>
      <c r="B26" s="810"/>
      <c r="C26" s="1445"/>
      <c r="D26" s="2835"/>
      <c r="E26" s="1440"/>
      <c r="F26" s="1322"/>
      <c r="G26" s="1322"/>
      <c r="H26" s="1322"/>
      <c r="I26" s="1322"/>
      <c r="J26" s="1322"/>
      <c r="K26" s="1256"/>
      <c r="L26" s="1443"/>
      <c r="M26" s="2850"/>
      <c r="N26" s="1321"/>
      <c r="O26" s="1323"/>
      <c r="P26" s="1324"/>
      <c r="Q26" s="1322"/>
      <c r="R26" s="1444"/>
      <c r="S26" s="1444"/>
      <c r="T26" s="1444"/>
      <c r="U26" s="1328"/>
      <c r="V26" s="1256"/>
      <c r="W26" s="723"/>
      <c r="X26" s="724"/>
      <c r="Y26" s="1323"/>
      <c r="Z26" s="1321"/>
      <c r="AA26" s="1321"/>
      <c r="AB26" s="1324"/>
      <c r="AC26" s="1327"/>
      <c r="AD26" s="1327"/>
      <c r="AE26" s="1327"/>
      <c r="AF26" s="1327"/>
    </row>
    <row r="27" spans="1:32">
      <c r="A27" s="723"/>
      <c r="B27" s="810"/>
      <c r="C27" s="1445"/>
      <c r="D27" s="2835"/>
      <c r="E27" s="1440"/>
      <c r="F27" s="1322"/>
      <c r="G27" s="1322"/>
      <c r="H27" s="1322"/>
      <c r="I27" s="1322"/>
      <c r="J27" s="1322"/>
      <c r="K27" s="1256"/>
      <c r="L27" s="1443"/>
      <c r="M27" s="2850"/>
      <c r="N27" s="1321"/>
      <c r="O27" s="1323"/>
      <c r="P27" s="1324"/>
      <c r="Q27" s="1322"/>
      <c r="R27" s="1444"/>
      <c r="S27" s="1444"/>
      <c r="T27" s="1444"/>
      <c r="U27" s="1328"/>
      <c r="V27" s="1256"/>
      <c r="W27" s="723"/>
      <c r="X27" s="724"/>
      <c r="Y27" s="1323"/>
      <c r="Z27" s="1321"/>
      <c r="AA27" s="1321"/>
      <c r="AB27" s="1324"/>
      <c r="AC27" s="1327"/>
      <c r="AD27" s="1327"/>
      <c r="AE27" s="1327"/>
      <c r="AF27" s="1327"/>
    </row>
    <row r="28" spans="1:32">
      <c r="A28" s="723"/>
      <c r="B28" s="810"/>
      <c r="C28" s="1445"/>
      <c r="D28" s="2835"/>
      <c r="E28" s="1440"/>
      <c r="F28" s="1322"/>
      <c r="G28" s="1322"/>
      <c r="H28" s="1322"/>
      <c r="I28" s="1322"/>
      <c r="J28" s="1322"/>
      <c r="K28" s="1256"/>
      <c r="L28" s="1443"/>
      <c r="M28" s="2850"/>
      <c r="N28" s="1321"/>
      <c r="O28" s="1323"/>
      <c r="P28" s="1324"/>
      <c r="Q28" s="1322"/>
      <c r="R28" s="1444"/>
      <c r="S28" s="1444"/>
      <c r="T28" s="1444"/>
      <c r="U28" s="1328"/>
      <c r="V28" s="1256"/>
      <c r="W28" s="723"/>
      <c r="X28" s="724"/>
      <c r="Y28" s="1323"/>
      <c r="Z28" s="1321"/>
      <c r="AA28" s="1321"/>
      <c r="AB28" s="1324"/>
      <c r="AC28" s="1327"/>
      <c r="AD28" s="1327"/>
      <c r="AE28" s="1327"/>
      <c r="AF28" s="1327"/>
    </row>
    <row r="29" spans="1:32">
      <c r="A29" s="723"/>
      <c r="B29" s="810"/>
      <c r="C29" s="1445"/>
      <c r="D29" s="2835"/>
      <c r="E29" s="1440"/>
      <c r="F29" s="1322"/>
      <c r="G29" s="1322"/>
      <c r="H29" s="1322"/>
      <c r="I29" s="1322"/>
      <c r="J29" s="1322"/>
      <c r="K29" s="1256"/>
      <c r="L29" s="1443"/>
      <c r="M29" s="2850"/>
      <c r="N29" s="1321"/>
      <c r="O29" s="1323"/>
      <c r="P29" s="1324"/>
      <c r="Q29" s="1322"/>
      <c r="R29" s="1444"/>
      <c r="S29" s="1444"/>
      <c r="T29" s="1444"/>
      <c r="U29" s="1328"/>
      <c r="V29" s="1256"/>
      <c r="W29" s="723"/>
      <c r="X29" s="724"/>
      <c r="Y29" s="1323"/>
      <c r="Z29" s="1321"/>
      <c r="AA29" s="1321"/>
      <c r="AB29" s="1324"/>
      <c r="AC29" s="1327"/>
      <c r="AD29" s="1327"/>
      <c r="AE29" s="1327"/>
      <c r="AF29" s="1327"/>
    </row>
    <row r="30" spans="1:32">
      <c r="A30" s="723"/>
      <c r="B30" s="810"/>
      <c r="C30" s="1445"/>
      <c r="D30" s="2835"/>
      <c r="E30" s="1440"/>
      <c r="F30" s="1322"/>
      <c r="G30" s="1322"/>
      <c r="H30" s="1322"/>
      <c r="I30" s="1322"/>
      <c r="J30" s="1322"/>
      <c r="K30" s="1256"/>
      <c r="L30" s="1443"/>
      <c r="M30" s="2850"/>
      <c r="N30" s="1321"/>
      <c r="O30" s="1323"/>
      <c r="P30" s="1324"/>
      <c r="Q30" s="1322"/>
      <c r="R30" s="1444"/>
      <c r="S30" s="1444"/>
      <c r="T30" s="1444"/>
      <c r="U30" s="1328"/>
      <c r="V30" s="1256"/>
      <c r="W30" s="723"/>
      <c r="X30" s="724"/>
      <c r="Y30" s="1323"/>
      <c r="Z30" s="1321"/>
      <c r="AA30" s="1321"/>
      <c r="AB30" s="1324"/>
      <c r="AC30" s="1327"/>
      <c r="AD30" s="1327"/>
      <c r="AE30" s="1327"/>
      <c r="AF30" s="1327"/>
    </row>
    <row r="31" spans="1:32">
      <c r="A31" s="723"/>
      <c r="B31" s="810"/>
      <c r="C31" s="1445"/>
      <c r="D31" s="2835"/>
      <c r="E31" s="1440"/>
      <c r="F31" s="1322"/>
      <c r="G31" s="1322"/>
      <c r="H31" s="1322"/>
      <c r="I31" s="1322"/>
      <c r="J31" s="1322"/>
      <c r="K31" s="1256"/>
      <c r="L31" s="1443"/>
      <c r="M31" s="2850"/>
      <c r="N31" s="1321"/>
      <c r="O31" s="1323"/>
      <c r="P31" s="1324"/>
      <c r="Q31" s="1322"/>
      <c r="R31" s="1444"/>
      <c r="S31" s="1444"/>
      <c r="T31" s="1444"/>
      <c r="U31" s="1328"/>
      <c r="V31" s="1256"/>
      <c r="W31" s="723"/>
      <c r="X31" s="724"/>
      <c r="Y31" s="1323"/>
      <c r="Z31" s="1321"/>
      <c r="AA31" s="1321"/>
      <c r="AB31" s="1324"/>
      <c r="AC31" s="1327"/>
      <c r="AD31" s="1327"/>
      <c r="AE31" s="1327"/>
      <c r="AF31" s="1327"/>
    </row>
    <row r="32" spans="1:32">
      <c r="A32" s="723"/>
      <c r="B32" s="810"/>
      <c r="C32" s="1445"/>
      <c r="D32" s="2835"/>
      <c r="E32" s="1440"/>
      <c r="F32" s="1322"/>
      <c r="G32" s="1322"/>
      <c r="H32" s="1322"/>
      <c r="I32" s="1322"/>
      <c r="J32" s="1322"/>
      <c r="K32" s="1256"/>
      <c r="L32" s="1443"/>
      <c r="M32" s="2850"/>
      <c r="N32" s="1321"/>
      <c r="O32" s="1323"/>
      <c r="P32" s="1324"/>
      <c r="Q32" s="1322"/>
      <c r="R32" s="1444"/>
      <c r="S32" s="1444"/>
      <c r="T32" s="1444"/>
      <c r="U32" s="1328"/>
      <c r="V32" s="1256"/>
      <c r="W32" s="723"/>
      <c r="X32" s="724"/>
      <c r="Y32" s="1323"/>
      <c r="Z32" s="1321"/>
      <c r="AA32" s="1321"/>
      <c r="AB32" s="1324"/>
      <c r="AC32" s="1327"/>
      <c r="AD32" s="1327"/>
      <c r="AE32" s="1327"/>
      <c r="AF32" s="1327"/>
    </row>
    <row r="33" spans="1:32">
      <c r="A33" s="723"/>
      <c r="B33" s="810"/>
      <c r="C33" s="1445"/>
      <c r="D33" s="1320"/>
      <c r="E33" s="1440"/>
      <c r="F33" s="1322"/>
      <c r="G33" s="1322"/>
      <c r="H33" s="1322"/>
      <c r="I33" s="1322"/>
      <c r="J33" s="1322"/>
      <c r="K33" s="1256"/>
      <c r="L33" s="1443"/>
      <c r="M33" s="2850"/>
      <c r="N33" s="1321"/>
      <c r="O33" s="1323"/>
      <c r="P33" s="1324"/>
      <c r="Q33" s="1322"/>
      <c r="R33" s="1444"/>
      <c r="S33" s="1444"/>
      <c r="T33" s="1444"/>
      <c r="U33" s="1328"/>
      <c r="V33" s="1256"/>
      <c r="W33" s="723"/>
      <c r="X33" s="724"/>
      <c r="Y33" s="1323"/>
      <c r="Z33" s="1321"/>
      <c r="AA33" s="1321"/>
      <c r="AB33" s="1324"/>
      <c r="AC33" s="1327"/>
      <c r="AD33" s="1327"/>
      <c r="AE33" s="1327"/>
      <c r="AF33" s="1327"/>
    </row>
    <row r="34" spans="1:32">
      <c r="A34" s="723"/>
      <c r="B34" s="810"/>
      <c r="C34" s="1445"/>
      <c r="D34" s="1320"/>
      <c r="E34" s="1440"/>
      <c r="F34" s="1322"/>
      <c r="G34" s="1322"/>
      <c r="H34" s="1322"/>
      <c r="I34" s="1322"/>
      <c r="J34" s="1322"/>
      <c r="K34" s="1256"/>
      <c r="L34" s="1443"/>
      <c r="M34" s="2850"/>
      <c r="N34" s="1321"/>
      <c r="O34" s="1323"/>
      <c r="P34" s="1324"/>
      <c r="Q34" s="1322"/>
      <c r="R34" s="1444"/>
      <c r="S34" s="1444"/>
      <c r="T34" s="1444"/>
      <c r="U34" s="1328"/>
      <c r="V34" s="1256"/>
      <c r="W34" s="723"/>
      <c r="X34" s="724"/>
      <c r="Y34" s="1323"/>
      <c r="Z34" s="1321"/>
      <c r="AA34" s="1321"/>
      <c r="AB34" s="1324"/>
      <c r="AC34" s="1327"/>
      <c r="AD34" s="1327"/>
      <c r="AE34" s="1327"/>
      <c r="AF34" s="1327"/>
    </row>
    <row r="35" spans="1:32">
      <c r="A35" s="723"/>
      <c r="B35" s="810"/>
      <c r="C35" s="1445"/>
      <c r="D35" s="1320"/>
      <c r="E35" s="1441"/>
      <c r="F35" s="1322"/>
      <c r="G35" s="1322"/>
      <c r="H35" s="1322"/>
      <c r="I35" s="1322"/>
      <c r="J35" s="1322"/>
      <c r="K35" s="1256"/>
      <c r="L35" s="1443"/>
      <c r="M35" s="2850"/>
      <c r="N35" s="1321"/>
      <c r="O35" s="1323"/>
      <c r="P35" s="1324"/>
      <c r="Q35" s="1322"/>
      <c r="R35" s="1444"/>
      <c r="S35" s="1444"/>
      <c r="T35" s="1444"/>
      <c r="U35" s="1328"/>
      <c r="V35" s="1256"/>
      <c r="W35" s="723"/>
      <c r="X35" s="724"/>
      <c r="Y35" s="1323"/>
      <c r="Z35" s="1321"/>
      <c r="AA35" s="1321"/>
      <c r="AB35" s="1324"/>
      <c r="AC35" s="1327"/>
      <c r="AD35" s="1327"/>
      <c r="AE35" s="1327"/>
      <c r="AF35" s="1327"/>
    </row>
    <row r="36" spans="1:32">
      <c r="A36" s="1329"/>
      <c r="B36" s="1330"/>
      <c r="C36" s="1440"/>
      <c r="D36" s="1331"/>
      <c r="E36" s="1442"/>
      <c r="F36" s="1332"/>
      <c r="G36" s="1332"/>
      <c r="H36" s="1332"/>
      <c r="I36" s="1332"/>
      <c r="J36" s="1332"/>
      <c r="K36" s="1256"/>
      <c r="L36" s="1329"/>
      <c r="M36" s="2851"/>
      <c r="N36" s="1334"/>
      <c r="O36" s="1334"/>
      <c r="P36" s="1335"/>
      <c r="Q36" s="1322"/>
      <c r="R36" s="1333"/>
      <c r="S36" s="1333"/>
      <c r="T36" s="1333"/>
      <c r="U36" s="1336"/>
      <c r="V36" s="1256"/>
      <c r="W36" s="1329"/>
      <c r="X36" s="1333"/>
      <c r="Y36" s="1337"/>
      <c r="Z36" s="1334"/>
      <c r="AA36" s="1334"/>
      <c r="AB36" s="1334"/>
      <c r="AC36" s="1329"/>
      <c r="AD36" s="1337"/>
      <c r="AE36" s="1334"/>
      <c r="AF36" s="1334"/>
    </row>
    <row r="37" spans="1:32" ht="24.75" customHeight="1" collapsed="1" thickBot="1">
      <c r="A37" s="6045" t="s">
        <v>1522</v>
      </c>
      <c r="B37" s="6046"/>
      <c r="C37" s="6046"/>
      <c r="D37" s="6046"/>
      <c r="E37" s="6046"/>
      <c r="F37" s="6047"/>
      <c r="G37" s="1338">
        <f>SUM(G14:G36)</f>
        <v>3096124.9000000004</v>
      </c>
      <c r="H37" s="1338">
        <f>SUM(H14:H36)</f>
        <v>0</v>
      </c>
      <c r="I37" s="1338">
        <f>SUM(I14:I36)</f>
        <v>0</v>
      </c>
      <c r="J37" s="1338">
        <f>SUM(J14:J36)</f>
        <v>3096124.9000000004</v>
      </c>
      <c r="K37" s="1256"/>
      <c r="L37" s="1339" t="s">
        <v>1522</v>
      </c>
      <c r="M37" s="1343"/>
      <c r="N37" s="1340"/>
      <c r="O37" s="1340"/>
      <c r="P37" s="1340"/>
      <c r="Q37" s="1340"/>
      <c r="R37" s="1341">
        <f>SUM(R14:R36)</f>
        <v>3096124.9000000004</v>
      </c>
      <c r="S37" s="1338">
        <f>SUM(S14:S36)</f>
        <v>0</v>
      </c>
      <c r="T37" s="1338">
        <f>SUM(T14:T36)</f>
        <v>0</v>
      </c>
      <c r="U37" s="1338">
        <f>SUM(U14:U36)</f>
        <v>3096124.9000000004</v>
      </c>
      <c r="V37" s="1256"/>
      <c r="W37" s="1342" t="s">
        <v>1522</v>
      </c>
      <c r="X37" s="1343"/>
      <c r="Y37" s="1343"/>
      <c r="Z37" s="1343"/>
      <c r="AA37" s="1343"/>
      <c r="AB37" s="1343"/>
      <c r="AC37" s="1341">
        <f>SUM(AC14:AC36)</f>
        <v>1774248.9200000002</v>
      </c>
      <c r="AD37" s="1338">
        <f>SUM(AD14:AD36)</f>
        <v>266137.33799999999</v>
      </c>
      <c r="AE37" s="1338">
        <f>SUM(AE14:AE36)</f>
        <v>2040386.2580000001</v>
      </c>
      <c r="AF37" s="1338">
        <f>+AF14</f>
        <v>1639852.942</v>
      </c>
    </row>
    <row r="38" spans="1:32">
      <c r="A38" s="1360"/>
      <c r="B38" s="1256"/>
      <c r="C38" s="1255"/>
      <c r="D38" s="1257"/>
      <c r="E38" s="1361"/>
      <c r="F38" s="1258"/>
      <c r="G38" s="1258"/>
      <c r="H38" s="1258"/>
      <c r="I38" s="1258"/>
      <c r="J38" s="1258"/>
      <c r="K38" s="1256"/>
      <c r="L38" s="1360"/>
      <c r="M38" s="2852"/>
      <c r="N38" s="1362"/>
      <c r="O38" s="1362"/>
      <c r="P38" s="1362"/>
      <c r="Q38" s="1360"/>
      <c r="R38" s="1360"/>
      <c r="S38" s="1360"/>
      <c r="T38" s="1360"/>
      <c r="U38" s="1363"/>
      <c r="V38" s="1256"/>
      <c r="W38" s="1360"/>
      <c r="X38" s="1360"/>
      <c r="Y38" s="1364"/>
      <c r="Z38" s="1362"/>
      <c r="AA38" s="1362"/>
      <c r="AB38" s="1362"/>
      <c r="AC38" s="1360"/>
      <c r="AD38" s="1364"/>
      <c r="AE38" s="1362"/>
      <c r="AF38" s="1362"/>
    </row>
    <row r="39" spans="1:32">
      <c r="A39" s="1360"/>
      <c r="B39" s="1256"/>
      <c r="C39" s="1255"/>
      <c r="D39" s="1257"/>
      <c r="E39" s="1361"/>
      <c r="F39" s="1258"/>
      <c r="G39" s="1258"/>
      <c r="H39" s="1258"/>
      <c r="I39" s="1258"/>
      <c r="J39" s="1258"/>
      <c r="K39" s="1256"/>
      <c r="L39" s="1360"/>
      <c r="M39" s="2852"/>
      <c r="N39" s="1362"/>
      <c r="O39" s="1362"/>
      <c r="P39" s="1257"/>
      <c r="Q39" s="1258"/>
      <c r="R39" s="1258"/>
      <c r="S39" s="1258"/>
      <c r="T39" s="1258"/>
      <c r="U39" s="1258">
        <f>+U37-T37</f>
        <v>3096124.9000000004</v>
      </c>
      <c r="V39" s="1256"/>
      <c r="W39" s="1360"/>
      <c r="X39" s="1360"/>
      <c r="Y39" s="1364"/>
      <c r="Z39" s="1362"/>
      <c r="AA39" s="1362"/>
      <c r="AB39" s="1362"/>
      <c r="AC39" s="1360"/>
      <c r="AD39" s="1364"/>
      <c r="AE39" s="1362"/>
      <c r="AF39" s="1362"/>
    </row>
    <row r="40" spans="1:32">
      <c r="A40" s="1365"/>
      <c r="B40" s="1256"/>
      <c r="C40" s="1255"/>
      <c r="D40" s="1257"/>
      <c r="E40" s="1361"/>
      <c r="F40" s="1366"/>
      <c r="G40" s="1366"/>
      <c r="H40" s="1366"/>
      <c r="I40" s="1366"/>
      <c r="J40" s="1258"/>
      <c r="K40" s="1256"/>
      <c r="L40" s="1365"/>
      <c r="M40" s="2853">
        <f>403092.61/11085046.72</f>
        <v>3.6363636544059594E-2</v>
      </c>
      <c r="N40" s="1365"/>
      <c r="O40" s="1365"/>
      <c r="P40" s="1257"/>
      <c r="Q40" s="1366"/>
      <c r="R40" s="1366"/>
      <c r="S40" s="1366"/>
      <c r="T40" s="1366"/>
      <c r="U40" s="1366"/>
      <c r="V40" s="1256"/>
      <c r="W40" s="1365"/>
      <c r="X40" s="1365"/>
      <c r="Y40" s="1365"/>
      <c r="Z40" s="1362"/>
      <c r="AA40" s="1362"/>
      <c r="AB40" s="1362"/>
      <c r="AC40" s="1365"/>
      <c r="AD40" s="1365"/>
      <c r="AE40" s="1362"/>
      <c r="AF40" s="1362"/>
    </row>
    <row r="41" spans="1:32">
      <c r="D41" s="1257"/>
      <c r="E41" s="153">
        <v>44197</v>
      </c>
      <c r="F41" s="1366"/>
      <c r="P41" s="1257"/>
      <c r="Q41" s="1366"/>
      <c r="R41" s="1366"/>
      <c r="S41" s="1366"/>
      <c r="T41" s="1366"/>
      <c r="U41" s="1366"/>
      <c r="AA41" s="153">
        <v>44094</v>
      </c>
      <c r="AC41" s="1367"/>
    </row>
    <row r="42" spans="1:32">
      <c r="D42" s="1257"/>
      <c r="E42" s="153">
        <f>E41-45</f>
        <v>44152</v>
      </c>
      <c r="F42" s="1366"/>
      <c r="P42" s="1257"/>
      <c r="Q42" s="1366"/>
      <c r="R42" s="1366"/>
      <c r="S42" s="1366"/>
      <c r="T42" s="1366"/>
      <c r="U42" s="1366"/>
      <c r="AA42" s="153">
        <f>AA41-45</f>
        <v>44049</v>
      </c>
    </row>
    <row r="43" spans="1:32">
      <c r="D43" s="1257"/>
      <c r="F43" s="1366"/>
      <c r="H43" s="153">
        <v>43986</v>
      </c>
      <c r="R43" s="652"/>
      <c r="S43" s="652"/>
      <c r="T43" s="652"/>
      <c r="U43" s="652"/>
    </row>
    <row r="45" spans="1:32">
      <c r="AC45" t="s">
        <v>2330</v>
      </c>
    </row>
    <row r="46" spans="1:32">
      <c r="AC46" s="3018">
        <v>45222</v>
      </c>
      <c r="AD46" s="3018">
        <v>45253</v>
      </c>
      <c r="AE46" s="3018">
        <v>45283</v>
      </c>
    </row>
    <row r="47" spans="1:32">
      <c r="AC47" s="3020">
        <v>11439880.26</v>
      </c>
    </row>
  </sheetData>
  <mergeCells count="4">
    <mergeCell ref="A10:J10"/>
    <mergeCell ref="L10:U10"/>
    <mergeCell ref="W10:AF10"/>
    <mergeCell ref="A37:F37"/>
  </mergeCells>
  <phoneticPr fontId="347" type="noConversion"/>
  <printOptions horizontalCentered="1"/>
  <pageMargins left="0.25" right="0.25" top="0.75" bottom="0.75" header="0.3" footer="0.3"/>
  <pageSetup paperSize="8" scale="67" fitToHeight="2" orientation="landscape" r:id="rId1"/>
  <headerFooter>
    <oddHeader>&amp;C&amp;"Calibri,Bold"&amp;18MONTHLY REPORT - INVOICE &amp; PAYMENT TRACKING LOG (HASSAN ALLAM)</oddHeader>
    <oddFooter>&amp;L1TB.01.003.01 - AYC 
MARCH'26 REPORT&amp;C&amp;A&amp;RPage &amp;P of &amp;N</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AB8CF-AFE3-4B72-88CB-3A4B81945AA6}">
  <sheetPr>
    <tabColor theme="7" tint="0.39997558519241921"/>
    <pageSetUpPr fitToPage="1"/>
  </sheetPr>
  <dimension ref="A1:AG47"/>
  <sheetViews>
    <sheetView showGridLines="0" view="pageBreakPreview" topLeftCell="A7" zoomScale="90" zoomScaleNormal="100" zoomScaleSheetLayoutView="90" workbookViewId="0">
      <selection activeCell="R17" sqref="R17"/>
    </sheetView>
  </sheetViews>
  <sheetFormatPr defaultColWidth="9" defaultRowHeight="12.75"/>
  <cols>
    <col min="1" max="1" width="10.85546875" customWidth="1"/>
    <col min="2" max="2" width="10.42578125" customWidth="1"/>
    <col min="3" max="3" width="11.42578125" customWidth="1"/>
    <col min="4" max="4" width="10.85546875" bestFit="1" customWidth="1"/>
    <col min="5" max="5" width="9.85546875" bestFit="1" customWidth="1"/>
    <col min="6" max="6" width="12" customWidth="1"/>
    <col min="7" max="7" width="12.85546875" bestFit="1" customWidth="1"/>
    <col min="8" max="9" width="11.85546875" bestFit="1" customWidth="1"/>
    <col min="10" max="10" width="13.85546875" customWidth="1"/>
    <col min="11" max="11" width="0.85546875" customWidth="1"/>
    <col min="12" max="12" width="6" customWidth="1"/>
    <col min="13" max="13" width="17.85546875" style="2854" bestFit="1" customWidth="1"/>
    <col min="14" max="15" width="9" customWidth="1"/>
    <col min="16" max="16" width="7.85546875" customWidth="1"/>
    <col min="17" max="17" width="13.85546875" customWidth="1"/>
    <col min="18" max="18" width="15.5703125" customWidth="1"/>
    <col min="19" max="20" width="11.42578125" customWidth="1"/>
    <col min="21" max="21" width="14.5703125" customWidth="1"/>
    <col min="22" max="22" width="0.85546875" customWidth="1"/>
    <col min="23" max="23" width="14" bestFit="1" customWidth="1"/>
    <col min="24" max="24" width="9" customWidth="1"/>
    <col min="25" max="25" width="9" hidden="1" customWidth="1"/>
    <col min="26" max="26" width="9" bestFit="1" customWidth="1"/>
    <col min="27" max="27" width="10" customWidth="1"/>
    <col min="28" max="28" width="7" customWidth="1"/>
    <col min="29" max="29" width="12.42578125" customWidth="1"/>
    <col min="30" max="30" width="13.5703125" customWidth="1"/>
    <col min="31" max="32" width="14" customWidth="1"/>
    <col min="33" max="33" width="13.5703125" bestFit="1" customWidth="1"/>
  </cols>
  <sheetData>
    <row r="1" spans="1:33">
      <c r="A1" s="1255"/>
      <c r="B1" s="1256"/>
      <c r="C1" s="1255"/>
      <c r="D1" s="1257"/>
      <c r="E1" s="1257"/>
      <c r="F1" s="1258"/>
      <c r="G1" s="1258"/>
      <c r="H1" s="1258"/>
      <c r="I1" s="1258"/>
      <c r="J1" s="1258"/>
      <c r="K1" s="1257"/>
      <c r="L1" s="1255"/>
      <c r="M1" s="2848"/>
      <c r="N1" s="1255"/>
      <c r="O1" s="1255"/>
      <c r="P1" s="1255"/>
      <c r="Q1" s="1255"/>
      <c r="R1" s="1255"/>
      <c r="S1" s="1255"/>
      <c r="T1" s="1255"/>
      <c r="U1" s="1259"/>
      <c r="V1" s="1257"/>
      <c r="W1" s="1257"/>
      <c r="X1" s="1257"/>
      <c r="Y1" s="1257"/>
      <c r="Z1" s="1257"/>
      <c r="AA1" s="1257"/>
      <c r="AB1" s="1257"/>
      <c r="AC1" s="1257"/>
      <c r="AD1" s="1257"/>
      <c r="AE1" s="1257"/>
      <c r="AF1" s="1257"/>
    </row>
    <row r="2" spans="1:33">
      <c r="A2" s="9" t="str">
        <f>'Data Input'!A1&amp;" - "&amp;'Data Input'!B1</f>
        <v>PROGRAMME: - MARINA VILLAGE (PROGRAMME 1_TRIPLE BAY)</v>
      </c>
      <c r="B2" s="1256"/>
      <c r="C2" s="1255"/>
      <c r="D2" s="1257"/>
      <c r="E2" s="1257"/>
      <c r="F2" s="1258"/>
      <c r="G2" s="1258"/>
      <c r="H2" s="1258"/>
      <c r="I2" s="1258"/>
      <c r="J2" s="1258"/>
      <c r="K2" s="1257"/>
      <c r="L2" s="1255"/>
      <c r="M2" s="2848"/>
      <c r="N2" s="1255"/>
      <c r="O2" s="1255"/>
      <c r="P2" s="1255"/>
      <c r="Q2" s="1255"/>
      <c r="R2" s="1255"/>
      <c r="S2" s="1255"/>
      <c r="T2" s="1255"/>
      <c r="U2" s="1259"/>
      <c r="V2" s="1257"/>
      <c r="W2" s="1257"/>
      <c r="X2" s="1257"/>
      <c r="Y2" s="1257"/>
      <c r="Z2" s="1257"/>
      <c r="AA2" s="1257"/>
      <c r="AB2" s="1257"/>
      <c r="AC2" s="1257"/>
      <c r="AD2" s="1257"/>
      <c r="AE2" s="1257"/>
      <c r="AF2" s="1257"/>
    </row>
    <row r="3" spans="1:33">
      <c r="A3" s="9" t="str">
        <f>'Data Input'!A2&amp;" - "&amp;'Data Input'!B2</f>
        <v>PROGRAMME CODE: - 1TB01003</v>
      </c>
      <c r="B3" s="1260"/>
      <c r="C3" s="1261"/>
      <c r="D3" s="1262"/>
      <c r="E3" s="1262"/>
      <c r="F3" s="1263"/>
      <c r="G3" s="1263"/>
      <c r="H3" s="1263"/>
      <c r="I3" s="1263"/>
      <c r="J3" s="1264"/>
      <c r="K3" s="1265"/>
      <c r="L3" s="1265"/>
      <c r="M3" s="1262"/>
      <c r="N3" s="1265"/>
      <c r="O3" s="1266"/>
      <c r="P3" s="1265"/>
      <c r="Q3" s="1265"/>
      <c r="R3" s="1265"/>
      <c r="S3" s="1265"/>
      <c r="T3" s="1265"/>
      <c r="U3" s="1267"/>
      <c r="V3" s="1265"/>
      <c r="W3" s="1265"/>
      <c r="X3" s="1265"/>
      <c r="Y3" s="1265"/>
      <c r="Z3" s="1265"/>
      <c r="AA3" s="1265"/>
      <c r="AB3" s="1265"/>
      <c r="AC3" s="1265"/>
      <c r="AD3" s="1265"/>
      <c r="AE3" s="1265"/>
      <c r="AF3" s="1265"/>
    </row>
    <row r="4" spans="1:33">
      <c r="A4" s="9" t="str">
        <f>'Data Input'!A3&amp;" - "&amp;'Data Input'!B3</f>
        <v>ASSET NAME: - AMAALA YACHT CLUB</v>
      </c>
      <c r="B4" s="1260"/>
      <c r="C4" s="1268"/>
      <c r="D4" s="1265"/>
      <c r="E4" s="1265"/>
      <c r="F4" s="1267"/>
      <c r="G4" s="1267"/>
      <c r="H4" s="1267"/>
      <c r="I4" s="1267"/>
      <c r="J4" s="1269"/>
      <c r="K4" s="1265"/>
      <c r="L4" s="1265"/>
      <c r="M4" s="1262"/>
      <c r="N4" s="1265"/>
      <c r="O4" s="1266"/>
      <c r="P4" s="1265"/>
      <c r="Q4" s="1265"/>
      <c r="R4" s="1265"/>
      <c r="S4" s="1265"/>
      <c r="T4" s="1265"/>
      <c r="U4" s="1267"/>
      <c r="V4" s="1265"/>
      <c r="W4" s="1265"/>
      <c r="X4" s="1265"/>
      <c r="Y4" s="1265"/>
      <c r="Z4" s="1265"/>
      <c r="AA4" s="1265"/>
      <c r="AB4" s="1265"/>
      <c r="AC4" s="1265"/>
      <c r="AD4" s="1265"/>
      <c r="AE4" s="1265"/>
      <c r="AF4" s="1265"/>
    </row>
    <row r="5" spans="1:33">
      <c r="A5" s="9" t="str">
        <f>'Data Input'!A4&amp;" - "&amp;'Data Input'!B4</f>
        <v>ASSET CODE: - 1TB01003.01</v>
      </c>
      <c r="B5" s="1270"/>
      <c r="C5" s="1268"/>
      <c r="D5" s="1265"/>
      <c r="E5" s="1265"/>
      <c r="F5" s="1267"/>
      <c r="G5" s="1267"/>
      <c r="H5" s="1267"/>
      <c r="I5" s="1267"/>
      <c r="J5" s="1269"/>
      <c r="K5" s="1265"/>
      <c r="L5" s="1265"/>
      <c r="M5" s="1262"/>
      <c r="N5" s="1265"/>
      <c r="O5" s="1266"/>
      <c r="P5" s="1265"/>
      <c r="Q5" s="1265"/>
      <c r="R5" s="1271"/>
      <c r="S5" s="1265"/>
      <c r="T5" s="1265"/>
      <c r="U5" s="1267"/>
      <c r="V5" s="1265"/>
      <c r="W5" s="1265"/>
      <c r="X5" s="1265"/>
      <c r="Y5" s="1265"/>
      <c r="Z5" s="1265"/>
      <c r="AA5" s="1265"/>
      <c r="AB5" s="1265"/>
      <c r="AC5" s="1265"/>
      <c r="AD5" s="1265"/>
      <c r="AE5" s="1265"/>
      <c r="AF5" s="1265"/>
    </row>
    <row r="6" spans="1:33">
      <c r="A6" s="9" t="str">
        <f>'Data Input'!A7&amp;" - "&amp;'Data Input'!B7</f>
        <v>REPORT NO: - MONTHLY REPORT NO. 49</v>
      </c>
      <c r="B6" s="1272"/>
      <c r="C6" s="1268"/>
      <c r="D6" s="1265"/>
      <c r="E6" s="1265"/>
      <c r="F6" s="1267"/>
      <c r="G6" s="1267"/>
      <c r="H6" s="1267"/>
      <c r="I6" s="1267"/>
      <c r="J6" s="1269"/>
      <c r="K6" s="1265"/>
      <c r="L6" s="1265"/>
      <c r="M6" s="1262"/>
      <c r="N6" s="1265"/>
      <c r="O6" s="1266"/>
      <c r="P6" s="1265"/>
      <c r="Q6" s="1265"/>
      <c r="R6" s="1273"/>
      <c r="S6" s="1265"/>
      <c r="T6" s="1271"/>
      <c r="U6" s="1267"/>
      <c r="V6" s="1265"/>
      <c r="W6" s="1265"/>
      <c r="X6" s="1265"/>
      <c r="Y6" s="1265"/>
      <c r="Z6" s="1265"/>
      <c r="AA6" s="1265"/>
      <c r="AB6" s="1265"/>
      <c r="AC6" s="1265"/>
      <c r="AD6" s="1265"/>
      <c r="AE6" s="1265"/>
      <c r="AF6" s="1265"/>
    </row>
    <row r="7" spans="1:33">
      <c r="A7" s="9" t="str">
        <f>'Data Input'!A8&amp;" - "&amp;'Data Input'!B8</f>
        <v>REPORTING PERIOD: - OCTOBER 2026</v>
      </c>
      <c r="B7" s="1262"/>
      <c r="C7" s="1274"/>
      <c r="D7" s="1262"/>
      <c r="E7" s="1262"/>
      <c r="F7" s="1263"/>
      <c r="G7" s="1263"/>
      <c r="H7" s="1263"/>
      <c r="I7" s="1263"/>
      <c r="J7" s="1264"/>
      <c r="K7" s="1265"/>
      <c r="L7" s="1265"/>
      <c r="M7" s="1262"/>
      <c r="N7" s="1265"/>
      <c r="O7" s="1265"/>
      <c r="P7" s="1265"/>
      <c r="Q7" s="1267"/>
      <c r="R7" s="1263"/>
      <c r="S7" s="1263"/>
      <c r="T7" s="1263"/>
      <c r="U7" s="1267"/>
      <c r="V7" s="1265"/>
      <c r="W7" s="1265"/>
      <c r="X7" s="1265"/>
      <c r="Y7" s="1265"/>
      <c r="Z7" s="1265"/>
      <c r="AA7" s="1265"/>
      <c r="AB7" s="1265"/>
      <c r="AC7" s="1265"/>
      <c r="AD7" s="1265"/>
      <c r="AE7" s="1265"/>
      <c r="AF7" s="1265"/>
    </row>
    <row r="8" spans="1:33" ht="13.5" thickBot="1">
      <c r="A8" s="9"/>
      <c r="B8" s="1256"/>
      <c r="C8" s="1255"/>
      <c r="D8" s="1257"/>
      <c r="E8" s="1257"/>
      <c r="F8" s="1258"/>
      <c r="G8" s="1258"/>
      <c r="H8" s="1258"/>
      <c r="I8" s="1258"/>
      <c r="J8" s="1258"/>
      <c r="K8" s="1257"/>
      <c r="L8" s="1255"/>
      <c r="M8" s="2848"/>
      <c r="N8" s="1275"/>
      <c r="O8" s="1276"/>
      <c r="P8" s="1255"/>
      <c r="Q8" s="1255"/>
      <c r="R8" s="1255"/>
      <c r="S8" s="1255"/>
      <c r="T8" s="1255"/>
      <c r="U8" s="1259"/>
      <c r="V8" s="1257"/>
      <c r="W8" s="1257"/>
      <c r="X8" s="1257"/>
      <c r="Y8" s="1257"/>
      <c r="Z8" s="1257"/>
      <c r="AA8" s="1257"/>
      <c r="AB8" s="1257"/>
      <c r="AC8" s="1257"/>
      <c r="AD8" s="1257"/>
      <c r="AE8" s="1257"/>
      <c r="AF8" s="1257"/>
    </row>
    <row r="9" spans="1:33" ht="30" customHeight="1" thickBot="1">
      <c r="A9" s="1354" t="str">
        <f>'Schedule B'!A27&amp;" - "&amp;'Schedule B'!C27</f>
        <v>PS.003F12 - GST - Sustainability Accreditation Services</v>
      </c>
      <c r="B9" s="1355"/>
      <c r="C9" s="1355"/>
      <c r="D9" s="1356"/>
      <c r="E9" s="1356"/>
      <c r="F9" s="1357"/>
      <c r="G9" s="1357"/>
      <c r="H9" s="1357"/>
      <c r="I9" s="1357"/>
      <c r="J9" s="1357"/>
      <c r="K9" s="1356"/>
      <c r="L9" s="1355"/>
      <c r="M9" s="2849"/>
      <c r="N9" s="1355"/>
      <c r="O9" s="1355"/>
      <c r="P9" s="1355"/>
      <c r="Q9" s="1355"/>
      <c r="R9" s="1355"/>
      <c r="S9" s="1355"/>
      <c r="T9" s="1355"/>
      <c r="U9" s="1358"/>
      <c r="V9" s="1356"/>
      <c r="W9" s="1356"/>
      <c r="X9" s="1356"/>
      <c r="Y9" s="1356"/>
      <c r="Z9" s="1356"/>
      <c r="AA9" s="1356"/>
      <c r="AB9" s="1356"/>
      <c r="AC9" s="1356"/>
      <c r="AD9" s="1356"/>
      <c r="AE9" s="1356"/>
      <c r="AF9" s="1359"/>
    </row>
    <row r="10" spans="1:33">
      <c r="A10" s="6051" t="s">
        <v>1524</v>
      </c>
      <c r="B10" s="6052"/>
      <c r="C10" s="6052"/>
      <c r="D10" s="6052"/>
      <c r="E10" s="6052"/>
      <c r="F10" s="6052"/>
      <c r="G10" s="6053"/>
      <c r="H10" s="6053"/>
      <c r="I10" s="6053"/>
      <c r="J10" s="6054"/>
      <c r="K10" s="1256"/>
      <c r="L10" s="6055" t="s">
        <v>1525</v>
      </c>
      <c r="M10" s="6056"/>
      <c r="N10" s="6056"/>
      <c r="O10" s="6056"/>
      <c r="P10" s="6056"/>
      <c r="Q10" s="6056"/>
      <c r="R10" s="6057"/>
      <c r="S10" s="6057"/>
      <c r="T10" s="6057"/>
      <c r="U10" s="6058"/>
      <c r="V10" s="1256"/>
      <c r="W10" s="6043" t="s">
        <v>1526</v>
      </c>
      <c r="X10" s="6044"/>
      <c r="Y10" s="6044"/>
      <c r="Z10" s="6044"/>
      <c r="AA10" s="6044"/>
      <c r="AB10" s="6044"/>
      <c r="AC10" s="6044"/>
      <c r="AD10" s="6044"/>
      <c r="AE10" s="6044"/>
      <c r="AF10" s="6059"/>
    </row>
    <row r="11" spans="1:33" ht="60" customHeight="1">
      <c r="A11" s="1283" t="s">
        <v>1462</v>
      </c>
      <c r="B11" s="1284" t="s">
        <v>1527</v>
      </c>
      <c r="C11" s="1284" t="s">
        <v>1528</v>
      </c>
      <c r="D11" s="1285" t="s">
        <v>1744</v>
      </c>
      <c r="E11" s="1285" t="s">
        <v>1530</v>
      </c>
      <c r="F11" s="1286" t="s">
        <v>1531</v>
      </c>
      <c r="G11" s="1287" t="s">
        <v>1532</v>
      </c>
      <c r="H11" s="1287" t="s">
        <v>1533</v>
      </c>
      <c r="I11" s="1287" t="s">
        <v>1534</v>
      </c>
      <c r="J11" s="1288" t="s">
        <v>1535</v>
      </c>
      <c r="K11" s="1289"/>
      <c r="L11" s="763" t="s">
        <v>1536</v>
      </c>
      <c r="M11" s="1290" t="s">
        <v>1601</v>
      </c>
      <c r="N11" s="1290" t="s">
        <v>1530</v>
      </c>
      <c r="O11" s="1290" t="s">
        <v>4521</v>
      </c>
      <c r="P11" s="764" t="s">
        <v>1539</v>
      </c>
      <c r="Q11" s="1291" t="s">
        <v>1540</v>
      </c>
      <c r="R11" s="1292" t="s">
        <v>1541</v>
      </c>
      <c r="S11" s="1292" t="s">
        <v>1533</v>
      </c>
      <c r="T11" s="1292" t="s">
        <v>1534</v>
      </c>
      <c r="U11" s="1293" t="s">
        <v>1542</v>
      </c>
      <c r="V11" s="1256"/>
      <c r="W11" s="1294" t="s">
        <v>2086</v>
      </c>
      <c r="X11" s="2839" t="s">
        <v>2087</v>
      </c>
      <c r="Y11" s="1295" t="s">
        <v>1544</v>
      </c>
      <c r="Z11" s="1296" t="s">
        <v>1545</v>
      </c>
      <c r="AA11" s="1296" t="s">
        <v>4524</v>
      </c>
      <c r="AB11" s="769" t="s">
        <v>1539</v>
      </c>
      <c r="AC11" s="769" t="s">
        <v>1547</v>
      </c>
      <c r="AD11" s="769" t="s">
        <v>2538</v>
      </c>
      <c r="AE11" s="1296" t="s">
        <v>1549</v>
      </c>
      <c r="AF11" s="1297" t="s">
        <v>1550</v>
      </c>
    </row>
    <row r="12" spans="1:33" ht="17.25" customHeight="1">
      <c r="A12" s="1298"/>
      <c r="B12" s="1299"/>
      <c r="C12" s="1300"/>
      <c r="D12" s="1301"/>
      <c r="E12" s="1302" t="s">
        <v>296</v>
      </c>
      <c r="F12" s="1303" t="s">
        <v>434</v>
      </c>
      <c r="G12" s="1303" t="s">
        <v>434</v>
      </c>
      <c r="H12" s="1304">
        <v>0</v>
      </c>
      <c r="I12" s="1304">
        <v>0</v>
      </c>
      <c r="J12" s="1305" t="s">
        <v>434</v>
      </c>
      <c r="K12" s="1256"/>
      <c r="L12" s="765"/>
      <c r="M12" s="766"/>
      <c r="N12" s="1306" t="s">
        <v>296</v>
      </c>
      <c r="O12" s="766" t="s">
        <v>3574</v>
      </c>
      <c r="P12" s="1307" t="s">
        <v>1552</v>
      </c>
      <c r="Q12" s="767" t="s">
        <v>434</v>
      </c>
      <c r="R12" s="767" t="s">
        <v>434</v>
      </c>
      <c r="S12" s="1308">
        <v>0</v>
      </c>
      <c r="T12" s="1308">
        <v>0</v>
      </c>
      <c r="U12" s="768" t="s">
        <v>434</v>
      </c>
      <c r="V12" s="1256"/>
      <c r="W12" s="770"/>
      <c r="X12" s="2840"/>
      <c r="Y12" s="1309" t="s">
        <v>296</v>
      </c>
      <c r="Z12" s="1309" t="s">
        <v>296</v>
      </c>
      <c r="AA12" s="1309" t="s">
        <v>4523</v>
      </c>
      <c r="AB12" s="1310" t="s">
        <v>1552</v>
      </c>
      <c r="AC12" s="1311"/>
      <c r="AD12" s="1312">
        <v>0.05</v>
      </c>
      <c r="AE12" s="1309" t="s">
        <v>296</v>
      </c>
      <c r="AF12" s="1313" t="s">
        <v>296</v>
      </c>
    </row>
    <row r="13" spans="1:33" s="722" customFormat="1" ht="25.5" customHeight="1">
      <c r="A13" s="1314"/>
      <c r="B13" s="1314"/>
      <c r="C13" s="1314"/>
      <c r="D13" s="1314"/>
      <c r="E13" s="1314" t="s">
        <v>1481</v>
      </c>
      <c r="F13" s="1314"/>
      <c r="G13" s="1314"/>
      <c r="H13" s="1314"/>
      <c r="I13" s="1314"/>
      <c r="J13" s="1314"/>
      <c r="K13" s="1255"/>
      <c r="L13" s="1315"/>
      <c r="M13" s="1315"/>
      <c r="N13" s="1316" t="s">
        <v>1482</v>
      </c>
      <c r="O13" s="1314" t="s">
        <v>2084</v>
      </c>
      <c r="P13" s="1317" t="s">
        <v>1555</v>
      </c>
      <c r="Q13" s="1318" t="s">
        <v>1556</v>
      </c>
      <c r="R13" s="1318" t="s">
        <v>1557</v>
      </c>
      <c r="S13" s="1319" t="s">
        <v>1605</v>
      </c>
      <c r="T13" s="1319" t="s">
        <v>1559</v>
      </c>
      <c r="U13" s="1318" t="s">
        <v>1560</v>
      </c>
      <c r="V13" s="1255"/>
      <c r="W13" s="1316"/>
      <c r="X13" s="1316" t="s">
        <v>1561</v>
      </c>
      <c r="Y13" s="1316"/>
      <c r="Z13" s="1316" t="s">
        <v>2088</v>
      </c>
      <c r="AA13" s="1316" t="s">
        <v>2089</v>
      </c>
      <c r="AB13" s="1317" t="s">
        <v>2091</v>
      </c>
      <c r="AC13" s="1314" t="s">
        <v>2092</v>
      </c>
      <c r="AD13" s="1319" t="s">
        <v>3479</v>
      </c>
      <c r="AE13" s="1316" t="s">
        <v>2094</v>
      </c>
      <c r="AF13" s="1316"/>
    </row>
    <row r="14" spans="1:33" s="2837" customFormat="1" ht="50.25" customHeight="1">
      <c r="A14" s="4688">
        <v>1</v>
      </c>
      <c r="B14" s="4689" t="s">
        <v>5582</v>
      </c>
      <c r="C14" s="4690">
        <v>45962</v>
      </c>
      <c r="D14" s="4691" t="s">
        <v>5583</v>
      </c>
      <c r="E14" s="4692">
        <v>46076</v>
      </c>
      <c r="F14" s="4693">
        <v>0</v>
      </c>
      <c r="G14" s="4693">
        <v>0</v>
      </c>
      <c r="H14" s="4694">
        <f>(G14*$H$12)*-1*0</f>
        <v>0</v>
      </c>
      <c r="I14" s="4694">
        <v>0</v>
      </c>
      <c r="J14" s="4694">
        <f>G14+H14+I14</f>
        <v>0</v>
      </c>
      <c r="K14" s="4695"/>
      <c r="L14" s="4696"/>
      <c r="M14" s="4697" t="s">
        <v>5584</v>
      </c>
      <c r="N14" s="4692"/>
      <c r="O14" s="4698"/>
      <c r="P14" s="4699"/>
      <c r="Q14" s="4693">
        <f>+R14</f>
        <v>0</v>
      </c>
      <c r="R14" s="4693"/>
      <c r="S14" s="4694">
        <f>(R14*$S$12)*-1*0</f>
        <v>0</v>
      </c>
      <c r="T14" s="4694">
        <v>0</v>
      </c>
      <c r="U14" s="4694">
        <f>R14+S14+T14</f>
        <v>0</v>
      </c>
      <c r="V14" s="4695"/>
      <c r="W14" s="4700"/>
      <c r="X14" s="4701"/>
      <c r="Y14" s="4698"/>
      <c r="Z14" s="4701"/>
      <c r="AA14" s="4701"/>
      <c r="AB14" s="4699">
        <f>+AA14-Z14</f>
        <v>0</v>
      </c>
      <c r="AC14" s="4702">
        <f>+U14</f>
        <v>0</v>
      </c>
      <c r="AD14" s="4702">
        <f>+AC14*15%</f>
        <v>0</v>
      </c>
      <c r="AE14" s="4702">
        <f>+AD14+AC14</f>
        <v>0</v>
      </c>
      <c r="AF14" s="4702">
        <f>+AE14</f>
        <v>0</v>
      </c>
      <c r="AG14" s="2842">
        <f>+AC14*1.15</f>
        <v>0</v>
      </c>
    </row>
    <row r="15" spans="1:33" s="2837" customFormat="1" ht="50.25" customHeight="1">
      <c r="A15" s="4688">
        <v>2</v>
      </c>
      <c r="B15" s="4689" t="s">
        <v>6225</v>
      </c>
      <c r="C15" s="4690">
        <v>45962</v>
      </c>
      <c r="D15" s="4691" t="s">
        <v>5578</v>
      </c>
      <c r="E15" s="4692">
        <v>45986</v>
      </c>
      <c r="F15" s="4693">
        <f>+F14+G15</f>
        <v>63250</v>
      </c>
      <c r="G15" s="4694">
        <v>63250</v>
      </c>
      <c r="H15" s="4694">
        <f>(G15*$H$12)*-1*0</f>
        <v>0</v>
      </c>
      <c r="I15" s="4694">
        <v>0</v>
      </c>
      <c r="J15" s="4694">
        <f>G15+H15+I15</f>
        <v>63250</v>
      </c>
      <c r="K15" s="4695"/>
      <c r="L15" s="4696" t="s">
        <v>5579</v>
      </c>
      <c r="M15" s="4697" t="s">
        <v>5580</v>
      </c>
      <c r="N15" s="4692">
        <v>45994</v>
      </c>
      <c r="O15" s="4698">
        <f>E15+21</f>
        <v>46007</v>
      </c>
      <c r="P15" s="4699">
        <f>O15-N15</f>
        <v>13</v>
      </c>
      <c r="Q15" s="4693">
        <f>+Q14+R15</f>
        <v>63250</v>
      </c>
      <c r="R15" s="4693">
        <v>63250</v>
      </c>
      <c r="S15" s="4694">
        <f>(R15*$S$12)*-1*0</f>
        <v>0</v>
      </c>
      <c r="T15" s="4694">
        <v>0</v>
      </c>
      <c r="U15" s="4694">
        <f>R15+S15+T15</f>
        <v>63250</v>
      </c>
      <c r="V15" s="4695"/>
      <c r="W15" s="4700" t="s">
        <v>5581</v>
      </c>
      <c r="X15" s="4703">
        <v>45995</v>
      </c>
      <c r="Y15" s="4698"/>
      <c r="Z15" s="4701"/>
      <c r="AA15" s="4701">
        <f>X15+30</f>
        <v>46025</v>
      </c>
      <c r="AB15" s="4699"/>
      <c r="AC15" s="4702">
        <f>+U15</f>
        <v>63250</v>
      </c>
      <c r="AD15" s="4702">
        <f>-AC15*$AD$12</f>
        <v>-3162.5</v>
      </c>
      <c r="AE15" s="4702">
        <f>+AD15+AC15</f>
        <v>60087.5</v>
      </c>
      <c r="AF15" s="4702">
        <f>+AE15</f>
        <v>60087.5</v>
      </c>
      <c r="AG15" s="4266"/>
    </row>
    <row r="16" spans="1:33" s="2837" customFormat="1" ht="50.25" customHeight="1">
      <c r="A16" s="4688">
        <v>3</v>
      </c>
      <c r="B16" s="4689" t="s">
        <v>5579</v>
      </c>
      <c r="C16" s="4690">
        <v>46082</v>
      </c>
      <c r="D16" s="4691" t="s">
        <v>5586</v>
      </c>
      <c r="E16" s="4692">
        <v>46118</v>
      </c>
      <c r="F16" s="4693">
        <f>+F15+G16</f>
        <v>101200</v>
      </c>
      <c r="G16" s="4694">
        <v>37950</v>
      </c>
      <c r="H16" s="4694">
        <f>(G16*$H$12)*-1*0</f>
        <v>0</v>
      </c>
      <c r="I16" s="4694">
        <v>0</v>
      </c>
      <c r="J16" s="4694">
        <f>G16+H16+I16</f>
        <v>37950</v>
      </c>
      <c r="K16" s="1256"/>
      <c r="L16" s="4696" t="s">
        <v>5585</v>
      </c>
      <c r="M16" s="4697" t="s">
        <v>6226</v>
      </c>
      <c r="N16" s="4692">
        <v>46152</v>
      </c>
      <c r="O16" s="4698">
        <f>E16+21</f>
        <v>46139</v>
      </c>
      <c r="P16" s="4699">
        <f>O16-N16</f>
        <v>-13</v>
      </c>
      <c r="Q16" s="4693">
        <f>+Q15+R16</f>
        <v>101200</v>
      </c>
      <c r="R16" s="4694">
        <v>37950</v>
      </c>
      <c r="S16" s="4694">
        <f>(R16*$S$12)*-1*0</f>
        <v>0</v>
      </c>
      <c r="T16" s="4694">
        <v>0</v>
      </c>
      <c r="U16" s="4694">
        <f>R16+S16+T16</f>
        <v>37950</v>
      </c>
      <c r="V16" s="1256"/>
      <c r="W16" s="4700" t="s">
        <v>6446</v>
      </c>
      <c r="X16" s="4703">
        <v>46198</v>
      </c>
      <c r="Y16" s="4698"/>
      <c r="Z16" s="4701"/>
      <c r="AA16" s="4701">
        <f>X16+30</f>
        <v>46228</v>
      </c>
      <c r="AB16" s="3245"/>
      <c r="AC16" s="3250"/>
      <c r="AD16" s="3250"/>
      <c r="AE16" s="3250"/>
      <c r="AF16" s="3250"/>
      <c r="AG16" s="2842"/>
    </row>
    <row r="17" spans="1:32" ht="36">
      <c r="A17" s="4688">
        <v>4</v>
      </c>
      <c r="B17" s="4689" t="s">
        <v>5585</v>
      </c>
      <c r="C17" s="4690">
        <v>46266</v>
      </c>
      <c r="D17" s="4691" t="s">
        <v>6670</v>
      </c>
      <c r="E17" s="4692">
        <v>46279</v>
      </c>
      <c r="F17" s="4693">
        <f>+F16+G17</f>
        <v>126500</v>
      </c>
      <c r="G17" s="4694">
        <v>25300</v>
      </c>
      <c r="H17" s="4694">
        <f>(G17*$H$12)*-1*0</f>
        <v>0</v>
      </c>
      <c r="I17" s="4694">
        <v>0</v>
      </c>
      <c r="J17" s="4694">
        <f>G17+H17+I17</f>
        <v>25300</v>
      </c>
      <c r="K17" s="1256"/>
      <c r="L17" s="4696" t="s">
        <v>6672</v>
      </c>
      <c r="M17" s="4697" t="s">
        <v>6671</v>
      </c>
      <c r="N17" s="4692">
        <v>46286</v>
      </c>
      <c r="O17" s="4698">
        <f>E17+21</f>
        <v>46300</v>
      </c>
      <c r="P17" s="4699">
        <f>O17-N17</f>
        <v>14</v>
      </c>
      <c r="Q17" s="4693">
        <f>+Q16+R17</f>
        <v>126500</v>
      </c>
      <c r="R17" s="4694">
        <v>25300</v>
      </c>
      <c r="S17" s="4694">
        <f>(R17*$S$12)*-1*0</f>
        <v>0</v>
      </c>
      <c r="T17" s="4694">
        <v>0</v>
      </c>
      <c r="U17" s="4694">
        <f>R17+S17+T17</f>
        <v>25300</v>
      </c>
      <c r="V17" s="1256"/>
      <c r="W17" s="2838"/>
      <c r="X17" s="2841"/>
      <c r="Y17" s="1323"/>
      <c r="Z17" s="1321"/>
      <c r="AA17" s="1321"/>
      <c r="AB17" s="1324"/>
      <c r="AC17" s="1327"/>
      <c r="AD17" s="1327"/>
      <c r="AE17" s="1327"/>
      <c r="AF17" s="1327"/>
    </row>
    <row r="18" spans="1:32">
      <c r="A18" s="723"/>
      <c r="B18" s="810"/>
      <c r="C18" s="1445"/>
      <c r="D18" s="2835"/>
      <c r="E18" s="1440"/>
      <c r="F18" s="1322"/>
      <c r="G18" s="1444"/>
      <c r="H18" s="1444"/>
      <c r="I18" s="1444"/>
      <c r="J18" s="1444"/>
      <c r="K18" s="1256"/>
      <c r="L18" s="1510"/>
      <c r="M18" s="2850"/>
      <c r="N18" s="1321"/>
      <c r="O18" s="1323"/>
      <c r="P18" s="1324"/>
      <c r="Q18" s="1322"/>
      <c r="R18" s="1444"/>
      <c r="S18" s="1444"/>
      <c r="T18" s="1444"/>
      <c r="U18" s="1444"/>
      <c r="V18" s="1256"/>
      <c r="W18" s="2838"/>
      <c r="X18" s="1323"/>
      <c r="Y18" s="1323"/>
      <c r="Z18" s="1321"/>
      <c r="AA18" s="1321"/>
      <c r="AB18" s="1324"/>
      <c r="AC18" s="1327"/>
      <c r="AD18" s="1327"/>
      <c r="AE18" s="1327"/>
      <c r="AF18" s="1327"/>
    </row>
    <row r="19" spans="1:32" ht="33.950000000000003" customHeight="1">
      <c r="A19" s="723"/>
      <c r="B19" s="810"/>
      <c r="C19" s="1445"/>
      <c r="D19" s="2835"/>
      <c r="E19" s="1440"/>
      <c r="F19" s="1322"/>
      <c r="G19" s="1444"/>
      <c r="H19" s="1444"/>
      <c r="I19" s="1444"/>
      <c r="J19" s="1444"/>
      <c r="K19" s="1256"/>
      <c r="L19" s="1510"/>
      <c r="M19" s="2850"/>
      <c r="N19" s="1321"/>
      <c r="O19" s="1323"/>
      <c r="P19" s="1324"/>
      <c r="Q19" s="1322"/>
      <c r="R19" s="1444"/>
      <c r="S19" s="1444"/>
      <c r="T19" s="1444"/>
      <c r="U19" s="1444"/>
      <c r="V19" s="1256"/>
      <c r="W19" s="2838"/>
      <c r="X19" s="1323"/>
      <c r="Y19" s="1323"/>
      <c r="Z19" s="1321"/>
      <c r="AA19" s="1321"/>
      <c r="AB19" s="1324"/>
      <c r="AC19" s="1327"/>
      <c r="AD19" s="1327"/>
      <c r="AE19" s="1327"/>
      <c r="AF19" s="1327"/>
    </row>
    <row r="20" spans="1:32">
      <c r="A20" s="723"/>
      <c r="B20" s="810"/>
      <c r="C20" s="1445"/>
      <c r="D20" s="2835"/>
      <c r="E20" s="1440"/>
      <c r="F20" s="1322"/>
      <c r="G20" s="1444"/>
      <c r="H20" s="1444"/>
      <c r="I20" s="1444"/>
      <c r="J20" s="1444"/>
      <c r="K20" s="1256"/>
      <c r="L20" s="1510"/>
      <c r="M20" s="2850"/>
      <c r="N20" s="1321"/>
      <c r="O20" s="1323"/>
      <c r="P20" s="1324"/>
      <c r="Q20" s="1322"/>
      <c r="R20" s="1444"/>
      <c r="S20" s="1444"/>
      <c r="T20" s="1444"/>
      <c r="U20" s="1444"/>
      <c r="V20" s="1256"/>
      <c r="W20" s="723"/>
      <c r="X20" s="724"/>
      <c r="Y20" s="1323"/>
      <c r="Z20" s="1321"/>
      <c r="AA20" s="1321"/>
      <c r="AB20" s="1324"/>
      <c r="AC20" s="1327"/>
      <c r="AD20" s="1327"/>
      <c r="AE20" s="1327"/>
      <c r="AF20" s="1327"/>
    </row>
    <row r="21" spans="1:32">
      <c r="A21" s="723"/>
      <c r="B21" s="810"/>
      <c r="C21" s="1445"/>
      <c r="D21" s="2835"/>
      <c r="E21" s="1440"/>
      <c r="F21" s="1322"/>
      <c r="G21" s="1444"/>
      <c r="H21" s="1444"/>
      <c r="I21" s="1444"/>
      <c r="J21" s="1444"/>
      <c r="K21" s="1256"/>
      <c r="L21" s="1510"/>
      <c r="M21" s="2850"/>
      <c r="N21" s="1321"/>
      <c r="O21" s="1323"/>
      <c r="P21" s="1324"/>
      <c r="Q21" s="1322"/>
      <c r="R21" s="1444"/>
      <c r="S21" s="1444"/>
      <c r="T21" s="1444"/>
      <c r="U21" s="1444"/>
      <c r="V21" s="1256"/>
      <c r="W21" s="723"/>
      <c r="X21" s="724"/>
      <c r="Y21" s="1323"/>
      <c r="Z21" s="1321"/>
      <c r="AA21" s="1321"/>
      <c r="AB21" s="1324"/>
      <c r="AC21" s="1327"/>
      <c r="AD21" s="1327"/>
      <c r="AE21" s="1327"/>
      <c r="AF21" s="1327"/>
    </row>
    <row r="22" spans="1:32">
      <c r="A22" s="723"/>
      <c r="B22" s="810"/>
      <c r="C22" s="1445"/>
      <c r="D22" s="2835"/>
      <c r="E22" s="1440"/>
      <c r="F22" s="1322"/>
      <c r="G22" s="1444"/>
      <c r="H22" s="1444"/>
      <c r="I22" s="1444"/>
      <c r="J22" s="1444"/>
      <c r="K22" s="1256"/>
      <c r="L22" s="1510"/>
      <c r="M22" s="2850"/>
      <c r="N22" s="1321"/>
      <c r="O22" s="1323"/>
      <c r="P22" s="1324"/>
      <c r="Q22" s="1322"/>
      <c r="R22" s="1444"/>
      <c r="S22" s="1444"/>
      <c r="T22" s="1444"/>
      <c r="U22" s="1444"/>
      <c r="V22" s="1256"/>
      <c r="W22" s="723"/>
      <c r="X22" s="724"/>
      <c r="Y22" s="1323"/>
      <c r="Z22" s="1321"/>
      <c r="AA22" s="1321"/>
      <c r="AB22" s="1324"/>
      <c r="AC22" s="1327"/>
      <c r="AD22" s="1327"/>
      <c r="AE22" s="1327"/>
      <c r="AF22" s="1327"/>
    </row>
    <row r="23" spans="1:32">
      <c r="A23" s="723"/>
      <c r="B23" s="810"/>
      <c r="C23" s="1445"/>
      <c r="D23" s="2835"/>
      <c r="E23" s="1440"/>
      <c r="F23" s="1322"/>
      <c r="G23" s="1444"/>
      <c r="H23" s="1444"/>
      <c r="I23" s="1444"/>
      <c r="J23" s="1444"/>
      <c r="K23" s="1256"/>
      <c r="L23" s="1510"/>
      <c r="M23" s="2850"/>
      <c r="N23" s="1321"/>
      <c r="O23" s="1323"/>
      <c r="P23" s="1324"/>
      <c r="Q23" s="1322"/>
      <c r="R23" s="1444"/>
      <c r="S23" s="1444"/>
      <c r="T23" s="1444"/>
      <c r="U23" s="1444"/>
      <c r="V23" s="1256"/>
      <c r="W23" s="723"/>
      <c r="X23" s="724"/>
      <c r="Y23" s="1323"/>
      <c r="Z23" s="1321"/>
      <c r="AA23" s="1321"/>
      <c r="AB23" s="1324"/>
      <c r="AC23" s="1327"/>
      <c r="AD23" s="1327"/>
      <c r="AE23" s="1327"/>
      <c r="AF23" s="1327"/>
    </row>
    <row r="24" spans="1:32">
      <c r="A24" s="723"/>
      <c r="B24" s="810"/>
      <c r="C24" s="1445"/>
      <c r="D24" s="2835"/>
      <c r="E24" s="1440"/>
      <c r="F24" s="1322"/>
      <c r="G24" s="1444"/>
      <c r="H24" s="1444"/>
      <c r="I24" s="1444"/>
      <c r="J24" s="1444"/>
      <c r="K24" s="1256"/>
      <c r="L24" s="1510"/>
      <c r="M24" s="2850"/>
      <c r="N24" s="1321"/>
      <c r="O24" s="1323"/>
      <c r="P24" s="1324"/>
      <c r="Q24" s="1322"/>
      <c r="R24" s="1444"/>
      <c r="S24" s="1444"/>
      <c r="T24" s="1444"/>
      <c r="U24" s="1444"/>
      <c r="V24" s="1256"/>
      <c r="W24" s="723"/>
      <c r="X24" s="724"/>
      <c r="Y24" s="1323"/>
      <c r="Z24" s="1321"/>
      <c r="AA24" s="1321"/>
      <c r="AB24" s="1324"/>
      <c r="AC24" s="1327"/>
      <c r="AD24" s="1327"/>
      <c r="AE24" s="1327"/>
      <c r="AF24" s="1327"/>
    </row>
    <row r="25" spans="1:32">
      <c r="A25" s="723"/>
      <c r="B25" s="810"/>
      <c r="C25" s="1445"/>
      <c r="D25" s="2835"/>
      <c r="E25" s="1440"/>
      <c r="F25" s="1322"/>
      <c r="G25" s="1322"/>
      <c r="H25" s="1322"/>
      <c r="I25" s="1322"/>
      <c r="J25" s="1322"/>
      <c r="K25" s="1256"/>
      <c r="L25" s="1443"/>
      <c r="M25" s="2850"/>
      <c r="N25" s="1321"/>
      <c r="O25" s="1323"/>
      <c r="P25" s="1324"/>
      <c r="Q25" s="1322"/>
      <c r="R25" s="1444"/>
      <c r="S25" s="1444"/>
      <c r="T25" s="1444"/>
      <c r="U25" s="1328"/>
      <c r="V25" s="1256"/>
      <c r="W25" s="723"/>
      <c r="X25" s="724"/>
      <c r="Y25" s="1323"/>
      <c r="Z25" s="1321"/>
      <c r="AA25" s="1321"/>
      <c r="AB25" s="1324"/>
      <c r="AC25" s="1327"/>
      <c r="AD25" s="1327"/>
      <c r="AE25" s="1327"/>
      <c r="AF25" s="1327"/>
    </row>
    <row r="26" spans="1:32">
      <c r="A26" s="723"/>
      <c r="B26" s="810"/>
      <c r="C26" s="1445"/>
      <c r="D26" s="2835"/>
      <c r="E26" s="1440"/>
      <c r="F26" s="1322"/>
      <c r="G26" s="1322"/>
      <c r="H26" s="1322"/>
      <c r="I26" s="1322"/>
      <c r="J26" s="1322"/>
      <c r="K26" s="1256"/>
      <c r="L26" s="1443"/>
      <c r="M26" s="2850"/>
      <c r="N26" s="1321"/>
      <c r="O26" s="1323"/>
      <c r="P26" s="1324"/>
      <c r="Q26" s="1322"/>
      <c r="R26" s="1444"/>
      <c r="S26" s="1444"/>
      <c r="T26" s="1444"/>
      <c r="U26" s="1328"/>
      <c r="V26" s="1256"/>
      <c r="W26" s="723"/>
      <c r="X26" s="724"/>
      <c r="Y26" s="1323"/>
      <c r="Z26" s="1321"/>
      <c r="AA26" s="1321"/>
      <c r="AB26" s="1324"/>
      <c r="AC26" s="1327"/>
      <c r="AD26" s="1327"/>
      <c r="AE26" s="1327"/>
      <c r="AF26" s="1327"/>
    </row>
    <row r="27" spans="1:32">
      <c r="A27" s="723"/>
      <c r="B27" s="810"/>
      <c r="C27" s="1445"/>
      <c r="D27" s="2835"/>
      <c r="E27" s="1440"/>
      <c r="F27" s="1322"/>
      <c r="G27" s="1322"/>
      <c r="H27" s="1322"/>
      <c r="I27" s="1322"/>
      <c r="J27" s="1322"/>
      <c r="K27" s="1256"/>
      <c r="L27" s="1443"/>
      <c r="M27" s="2850"/>
      <c r="N27" s="1321"/>
      <c r="O27" s="1323"/>
      <c r="P27" s="1324"/>
      <c r="Q27" s="1322"/>
      <c r="R27" s="1444"/>
      <c r="S27" s="1444"/>
      <c r="T27" s="1444"/>
      <c r="U27" s="1328"/>
      <c r="V27" s="1256"/>
      <c r="W27" s="723"/>
      <c r="X27" s="724"/>
      <c r="Y27" s="1323"/>
      <c r="Z27" s="1321"/>
      <c r="AA27" s="1321"/>
      <c r="AB27" s="1324"/>
      <c r="AC27" s="1327"/>
      <c r="AD27" s="1327"/>
      <c r="AE27" s="1327"/>
      <c r="AF27" s="1327"/>
    </row>
    <row r="28" spans="1:32">
      <c r="A28" s="723"/>
      <c r="B28" s="810"/>
      <c r="C28" s="1445"/>
      <c r="D28" s="2835"/>
      <c r="E28" s="1440"/>
      <c r="F28" s="1322"/>
      <c r="G28" s="1322"/>
      <c r="H28" s="1322"/>
      <c r="I28" s="1322"/>
      <c r="J28" s="1322"/>
      <c r="K28" s="1256"/>
      <c r="L28" s="1443"/>
      <c r="M28" s="2850"/>
      <c r="N28" s="1321"/>
      <c r="O28" s="1323"/>
      <c r="P28" s="1324"/>
      <c r="Q28" s="1322"/>
      <c r="R28" s="1444"/>
      <c r="S28" s="1444"/>
      <c r="T28" s="1444"/>
      <c r="U28" s="1328"/>
      <c r="V28" s="1256"/>
      <c r="W28" s="723"/>
      <c r="X28" s="724"/>
      <c r="Y28" s="1323"/>
      <c r="Z28" s="1321"/>
      <c r="AA28" s="1321"/>
      <c r="AB28" s="1324"/>
      <c r="AC28" s="1327"/>
      <c r="AD28" s="1327"/>
      <c r="AE28" s="1327"/>
      <c r="AF28" s="1327"/>
    </row>
    <row r="29" spans="1:32">
      <c r="A29" s="723"/>
      <c r="B29" s="810"/>
      <c r="C29" s="1445"/>
      <c r="D29" s="2835"/>
      <c r="E29" s="1440"/>
      <c r="F29" s="1322"/>
      <c r="G29" s="1322"/>
      <c r="H29" s="1322"/>
      <c r="I29" s="1322"/>
      <c r="J29" s="1322"/>
      <c r="K29" s="1256"/>
      <c r="L29" s="1443"/>
      <c r="M29" s="2850"/>
      <c r="N29" s="1321"/>
      <c r="O29" s="1323"/>
      <c r="P29" s="1324"/>
      <c r="Q29" s="1322"/>
      <c r="R29" s="1444"/>
      <c r="S29" s="1444"/>
      <c r="T29" s="1444"/>
      <c r="U29" s="1328"/>
      <c r="V29" s="1256"/>
      <c r="W29" s="723"/>
      <c r="X29" s="724"/>
      <c r="Y29" s="1323"/>
      <c r="Z29" s="1321"/>
      <c r="AA29" s="1321"/>
      <c r="AB29" s="1324"/>
      <c r="AC29" s="1327"/>
      <c r="AD29" s="1327"/>
      <c r="AE29" s="1327"/>
      <c r="AF29" s="1327"/>
    </row>
    <row r="30" spans="1:32">
      <c r="A30" s="723"/>
      <c r="B30" s="810"/>
      <c r="C30" s="1445"/>
      <c r="D30" s="2835"/>
      <c r="E30" s="1440"/>
      <c r="F30" s="1322"/>
      <c r="G30" s="1322"/>
      <c r="H30" s="1322"/>
      <c r="I30" s="1322"/>
      <c r="J30" s="1322"/>
      <c r="K30" s="1256"/>
      <c r="L30" s="1443"/>
      <c r="M30" s="2850"/>
      <c r="N30" s="1321"/>
      <c r="O30" s="1323"/>
      <c r="P30" s="1324"/>
      <c r="Q30" s="1322"/>
      <c r="R30" s="1444"/>
      <c r="S30" s="1444"/>
      <c r="T30" s="1444"/>
      <c r="U30" s="1328"/>
      <c r="V30" s="1256"/>
      <c r="W30" s="723"/>
      <c r="X30" s="724"/>
      <c r="Y30" s="1323"/>
      <c r="Z30" s="1321"/>
      <c r="AA30" s="1321"/>
      <c r="AB30" s="1324"/>
      <c r="AC30" s="1327"/>
      <c r="AD30" s="1327"/>
      <c r="AE30" s="1327"/>
      <c r="AF30" s="1327"/>
    </row>
    <row r="31" spans="1:32">
      <c r="A31" s="723"/>
      <c r="B31" s="810"/>
      <c r="C31" s="1445"/>
      <c r="D31" s="2835"/>
      <c r="E31" s="1440"/>
      <c r="F31" s="1322"/>
      <c r="G31" s="1322"/>
      <c r="H31" s="1322"/>
      <c r="I31" s="1322"/>
      <c r="J31" s="1322"/>
      <c r="K31" s="1256"/>
      <c r="L31" s="1443"/>
      <c r="M31" s="2850"/>
      <c r="N31" s="1321"/>
      <c r="O31" s="1323"/>
      <c r="P31" s="1324"/>
      <c r="Q31" s="1322"/>
      <c r="R31" s="1444"/>
      <c r="S31" s="1444"/>
      <c r="T31" s="1444"/>
      <c r="U31" s="1328"/>
      <c r="V31" s="1256"/>
      <c r="W31" s="723"/>
      <c r="X31" s="724"/>
      <c r="Y31" s="1323"/>
      <c r="Z31" s="1321"/>
      <c r="AA31" s="1321"/>
      <c r="AB31" s="1324"/>
      <c r="AC31" s="1327"/>
      <c r="AD31" s="1327"/>
      <c r="AE31" s="1327"/>
      <c r="AF31" s="1327"/>
    </row>
    <row r="32" spans="1:32">
      <c r="A32" s="723"/>
      <c r="B32" s="810"/>
      <c r="C32" s="1445"/>
      <c r="D32" s="2835"/>
      <c r="E32" s="1440"/>
      <c r="F32" s="1322"/>
      <c r="G32" s="1322"/>
      <c r="H32" s="1322"/>
      <c r="I32" s="1322"/>
      <c r="J32" s="1322"/>
      <c r="K32" s="1256"/>
      <c r="L32" s="1443"/>
      <c r="M32" s="2850"/>
      <c r="N32" s="1321"/>
      <c r="O32" s="1323"/>
      <c r="P32" s="1324"/>
      <c r="Q32" s="1322"/>
      <c r="R32" s="1444"/>
      <c r="S32" s="1444"/>
      <c r="T32" s="1444"/>
      <c r="U32" s="1328"/>
      <c r="V32" s="1256"/>
      <c r="W32" s="723"/>
      <c r="X32" s="724"/>
      <c r="Y32" s="1323"/>
      <c r="Z32" s="1321"/>
      <c r="AA32" s="1321"/>
      <c r="AB32" s="1324"/>
      <c r="AC32" s="1327"/>
      <c r="AD32" s="1327"/>
      <c r="AE32" s="1327"/>
      <c r="AF32" s="1327"/>
    </row>
    <row r="33" spans="1:32">
      <c r="A33" s="723"/>
      <c r="B33" s="810"/>
      <c r="C33" s="1445"/>
      <c r="D33" s="1320"/>
      <c r="E33" s="1440"/>
      <c r="F33" s="1322"/>
      <c r="G33" s="1322"/>
      <c r="H33" s="1322"/>
      <c r="I33" s="1322"/>
      <c r="J33" s="1322"/>
      <c r="K33" s="1256"/>
      <c r="L33" s="1443"/>
      <c r="M33" s="2850"/>
      <c r="N33" s="1321"/>
      <c r="O33" s="1323"/>
      <c r="P33" s="1324"/>
      <c r="Q33" s="1322"/>
      <c r="R33" s="1444"/>
      <c r="S33" s="1444"/>
      <c r="T33" s="1444"/>
      <c r="U33" s="1328"/>
      <c r="V33" s="1256"/>
      <c r="W33" s="723"/>
      <c r="X33" s="724"/>
      <c r="Y33" s="1323"/>
      <c r="Z33" s="1321"/>
      <c r="AA33" s="1321"/>
      <c r="AB33" s="1324"/>
      <c r="AC33" s="1327"/>
      <c r="AD33" s="1327"/>
      <c r="AE33" s="1327"/>
      <c r="AF33" s="1327"/>
    </row>
    <row r="34" spans="1:32">
      <c r="A34" s="723"/>
      <c r="B34" s="810"/>
      <c r="C34" s="1445"/>
      <c r="D34" s="1320"/>
      <c r="E34" s="1440"/>
      <c r="F34" s="1322"/>
      <c r="G34" s="1322"/>
      <c r="H34" s="1322"/>
      <c r="I34" s="1322"/>
      <c r="J34" s="1322"/>
      <c r="K34" s="1256"/>
      <c r="L34" s="1443"/>
      <c r="M34" s="2850"/>
      <c r="N34" s="1321"/>
      <c r="O34" s="1323"/>
      <c r="P34" s="1324"/>
      <c r="Q34" s="1322"/>
      <c r="R34" s="1444"/>
      <c r="S34" s="1444"/>
      <c r="T34" s="1444"/>
      <c r="U34" s="1328"/>
      <c r="V34" s="1256"/>
      <c r="W34" s="723"/>
      <c r="X34" s="724"/>
      <c r="Y34" s="1323"/>
      <c r="Z34" s="1321"/>
      <c r="AA34" s="1321"/>
      <c r="AB34" s="1324"/>
      <c r="AC34" s="1327"/>
      <c r="AD34" s="1327"/>
      <c r="AE34" s="1327"/>
      <c r="AF34" s="1327"/>
    </row>
    <row r="35" spans="1:32">
      <c r="A35" s="723"/>
      <c r="B35" s="810"/>
      <c r="C35" s="1445"/>
      <c r="D35" s="1320"/>
      <c r="E35" s="1441"/>
      <c r="F35" s="1322"/>
      <c r="G35" s="1322"/>
      <c r="H35" s="1322"/>
      <c r="I35" s="1322"/>
      <c r="J35" s="1322"/>
      <c r="K35" s="1256"/>
      <c r="L35" s="1443"/>
      <c r="M35" s="2850"/>
      <c r="N35" s="1321"/>
      <c r="O35" s="1323"/>
      <c r="P35" s="1324"/>
      <c r="Q35" s="1322"/>
      <c r="R35" s="1444"/>
      <c r="S35" s="1444"/>
      <c r="T35" s="1444"/>
      <c r="U35" s="1328"/>
      <c r="V35" s="1256"/>
      <c r="W35" s="723"/>
      <c r="X35" s="724"/>
      <c r="Y35" s="1323"/>
      <c r="Z35" s="1321"/>
      <c r="AA35" s="1321"/>
      <c r="AB35" s="1324"/>
      <c r="AC35" s="1327"/>
      <c r="AD35" s="1327"/>
      <c r="AE35" s="1327"/>
      <c r="AF35" s="1327"/>
    </row>
    <row r="36" spans="1:32">
      <c r="A36" s="1329"/>
      <c r="B36" s="1330"/>
      <c r="C36" s="1440"/>
      <c r="D36" s="1331"/>
      <c r="E36" s="1442"/>
      <c r="F36" s="1332"/>
      <c r="G36" s="1332"/>
      <c r="H36" s="1332"/>
      <c r="I36" s="1332"/>
      <c r="J36" s="1332"/>
      <c r="K36" s="1256"/>
      <c r="L36" s="1329"/>
      <c r="M36" s="2851"/>
      <c r="N36" s="1334"/>
      <c r="O36" s="1334"/>
      <c r="P36" s="1335"/>
      <c r="Q36" s="1322"/>
      <c r="R36" s="1333"/>
      <c r="S36" s="1333"/>
      <c r="T36" s="1333"/>
      <c r="U36" s="1336"/>
      <c r="V36" s="1256"/>
      <c r="W36" s="1329"/>
      <c r="X36" s="1333"/>
      <c r="Y36" s="1337"/>
      <c r="Z36" s="1334"/>
      <c r="AA36" s="1334"/>
      <c r="AB36" s="1334"/>
      <c r="AC36" s="1329"/>
      <c r="AD36" s="1337"/>
      <c r="AE36" s="1334"/>
      <c r="AF36" s="1334"/>
    </row>
    <row r="37" spans="1:32" ht="24.75" customHeight="1" collapsed="1" thickBot="1">
      <c r="A37" s="6045" t="s">
        <v>1522</v>
      </c>
      <c r="B37" s="6046"/>
      <c r="C37" s="6046"/>
      <c r="D37" s="6046"/>
      <c r="E37" s="6046"/>
      <c r="F37" s="6047"/>
      <c r="G37" s="1338">
        <f>SUM(G14:G36)</f>
        <v>126500</v>
      </c>
      <c r="H37" s="1338">
        <f>SUM(H14:H36)</f>
        <v>0</v>
      </c>
      <c r="I37" s="1338">
        <f>SUM(I14:I36)</f>
        <v>0</v>
      </c>
      <c r="J37" s="1338">
        <f>SUM(J14:J36)</f>
        <v>126500</v>
      </c>
      <c r="K37" s="1256"/>
      <c r="L37" s="1339" t="s">
        <v>1522</v>
      </c>
      <c r="M37" s="1343"/>
      <c r="N37" s="1340"/>
      <c r="O37" s="1340"/>
      <c r="P37" s="1340"/>
      <c r="Q37" s="1340"/>
      <c r="R37" s="1341">
        <f>SUM(R14:R36)</f>
        <v>126500</v>
      </c>
      <c r="S37" s="1338">
        <f>SUM(S14:S36)</f>
        <v>0</v>
      </c>
      <c r="T37" s="1338">
        <f>SUM(T14:T36)</f>
        <v>0</v>
      </c>
      <c r="U37" s="1338">
        <f>SUM(U14:U36)</f>
        <v>126500</v>
      </c>
      <c r="V37" s="1256"/>
      <c r="W37" s="1342" t="s">
        <v>1522</v>
      </c>
      <c r="X37" s="1343"/>
      <c r="Y37" s="1343"/>
      <c r="Z37" s="1343"/>
      <c r="AA37" s="1343"/>
      <c r="AB37" s="1343"/>
      <c r="AC37" s="1341">
        <f>SUM(AC14:AC36)</f>
        <v>63250</v>
      </c>
      <c r="AD37" s="1338">
        <f>SUM(AD14:AD36)</f>
        <v>-3162.5</v>
      </c>
      <c r="AE37" s="1338">
        <f>SUM(AE14:AE36)</f>
        <v>60087.5</v>
      </c>
      <c r="AF37" s="1338">
        <f>+AF14</f>
        <v>0</v>
      </c>
    </row>
    <row r="38" spans="1:32">
      <c r="A38" s="1360"/>
      <c r="B38" s="1256"/>
      <c r="C38" s="1255"/>
      <c r="D38" s="1257"/>
      <c r="E38" s="1361"/>
      <c r="F38" s="1258"/>
      <c r="G38" s="1258"/>
      <c r="H38" s="1258"/>
      <c r="I38" s="1258"/>
      <c r="J38" s="1258"/>
      <c r="K38" s="1256"/>
      <c r="L38" s="1360"/>
      <c r="M38" s="2852"/>
      <c r="N38" s="1362"/>
      <c r="O38" s="1362"/>
      <c r="P38" s="1362"/>
      <c r="Q38" s="1360"/>
      <c r="R38" s="1360"/>
      <c r="S38" s="1360"/>
      <c r="T38" s="1360"/>
      <c r="U38" s="1363"/>
      <c r="V38" s="1256"/>
      <c r="W38" s="1360"/>
      <c r="X38" s="1360"/>
      <c r="Y38" s="1364"/>
      <c r="Z38" s="1362"/>
      <c r="AA38" s="1362"/>
      <c r="AB38" s="1362"/>
      <c r="AC38" s="1360"/>
      <c r="AD38" s="1364"/>
      <c r="AE38" s="1362"/>
      <c r="AF38" s="1362"/>
    </row>
    <row r="39" spans="1:32">
      <c r="A39" s="1360"/>
      <c r="B39" s="1256"/>
      <c r="C39" s="1255"/>
      <c r="D39" s="1257"/>
      <c r="E39" s="1361"/>
      <c r="F39" s="1258"/>
      <c r="G39" s="1258"/>
      <c r="H39" s="1258"/>
      <c r="I39" s="1258"/>
      <c r="J39" s="1258"/>
      <c r="K39" s="1256"/>
      <c r="L39" s="1360"/>
      <c r="M39" s="2852"/>
      <c r="N39" s="1362"/>
      <c r="O39" s="1362"/>
      <c r="P39" s="1257"/>
      <c r="Q39" s="1258"/>
      <c r="R39" s="1258"/>
      <c r="S39" s="1258"/>
      <c r="T39" s="1258"/>
      <c r="U39" s="1258">
        <f>+U37-T37</f>
        <v>126500</v>
      </c>
      <c r="V39" s="1256"/>
      <c r="W39" s="1360"/>
      <c r="X39" s="1360"/>
      <c r="Y39" s="1364"/>
      <c r="Z39" s="1362"/>
      <c r="AA39" s="1362"/>
      <c r="AB39" s="1362"/>
      <c r="AC39" s="1360"/>
      <c r="AD39" s="1364"/>
      <c r="AE39" s="1362"/>
      <c r="AF39" s="1362"/>
    </row>
    <row r="40" spans="1:32">
      <c r="A40" s="1365"/>
      <c r="B40" s="1256"/>
      <c r="C40" s="1255"/>
      <c r="D40" s="1257"/>
      <c r="E40" s="1361"/>
      <c r="F40" s="1366"/>
      <c r="G40" s="1366"/>
      <c r="H40" s="1366"/>
      <c r="I40" s="1366"/>
      <c r="J40" s="1258"/>
      <c r="K40" s="1256"/>
      <c r="L40" s="1365"/>
      <c r="M40" s="2853">
        <f>403092.61/11085046.72</f>
        <v>3.6363636544059594E-2</v>
      </c>
      <c r="N40" s="1365"/>
      <c r="O40" s="1365"/>
      <c r="P40" s="1257"/>
      <c r="Q40" s="1366"/>
      <c r="R40" s="1366"/>
      <c r="S40" s="1366"/>
      <c r="T40" s="1366"/>
      <c r="U40" s="1366"/>
      <c r="V40" s="1256"/>
      <c r="W40" s="1365"/>
      <c r="X40" s="1365"/>
      <c r="Y40" s="1365"/>
      <c r="Z40" s="1362"/>
      <c r="AA40" s="1362"/>
      <c r="AB40" s="1362"/>
      <c r="AC40" s="1365"/>
      <c r="AD40" s="1365"/>
      <c r="AE40" s="1362"/>
      <c r="AF40" s="1362"/>
    </row>
    <row r="41" spans="1:32">
      <c r="D41" s="1257"/>
      <c r="E41" s="153">
        <v>44197</v>
      </c>
      <c r="F41" s="1366"/>
      <c r="P41" s="1257"/>
      <c r="Q41" s="1366"/>
      <c r="R41" s="1366"/>
      <c r="S41" s="1366"/>
      <c r="T41" s="1366"/>
      <c r="U41" s="1366"/>
      <c r="AA41" s="153">
        <v>44094</v>
      </c>
      <c r="AC41" s="1367"/>
    </row>
    <row r="42" spans="1:32">
      <c r="D42" s="1257"/>
      <c r="E42" s="153">
        <f>E41-45</f>
        <v>44152</v>
      </c>
      <c r="F42" s="1366"/>
      <c r="P42" s="1257"/>
      <c r="Q42" s="1366"/>
      <c r="R42" s="1366"/>
      <c r="S42" s="1366"/>
      <c r="T42" s="1366"/>
      <c r="U42" s="1366"/>
      <c r="AA42" s="153">
        <f>AA41-45</f>
        <v>44049</v>
      </c>
    </row>
    <row r="43" spans="1:32">
      <c r="D43" s="1257"/>
      <c r="F43" s="1366"/>
      <c r="H43" s="153">
        <v>43986</v>
      </c>
      <c r="R43" s="652"/>
      <c r="S43" s="652"/>
      <c r="T43" s="652"/>
      <c r="U43" s="652"/>
    </row>
    <row r="45" spans="1:32">
      <c r="AC45" t="s">
        <v>2330</v>
      </c>
    </row>
    <row r="46" spans="1:32">
      <c r="AC46" s="3018">
        <v>45222</v>
      </c>
      <c r="AD46" s="3018">
        <v>45253</v>
      </c>
      <c r="AE46" s="3018">
        <v>45283</v>
      </c>
    </row>
    <row r="47" spans="1:32">
      <c r="AC47" s="3020">
        <v>11439880.26</v>
      </c>
    </row>
  </sheetData>
  <mergeCells count="4">
    <mergeCell ref="A10:J10"/>
    <mergeCell ref="L10:U10"/>
    <mergeCell ref="W10:AF10"/>
    <mergeCell ref="A37:F37"/>
  </mergeCells>
  <printOptions horizontalCentered="1"/>
  <pageMargins left="0.23622047244094491" right="0.23622047244094491" top="0.74803149606299213" bottom="0.74803149606299213" header="0.31496062992125984" footer="0.31496062992125984"/>
  <pageSetup paperSize="8" scale="67" fitToHeight="2" orientation="landscape" r:id="rId1"/>
  <headerFooter>
    <oddHeader>&amp;C&amp;"Calibri,Bold"&amp;18MONTHLY REPORT - INVOICE &amp; PAYMENT TRACKING LOG (GST SUST ACCRED SERVICE)</oddHeader>
    <oddFooter>&amp;L1TB.01.003.01 - AYC 
MARCH'26 REPORT&amp;C&amp;A&amp;RPage &amp;P of &amp;N</oddFooter>
  </headerFooter>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6113B-26A0-44E8-917E-464D2C3D83F1}">
  <sheetPr>
    <tabColor theme="7" tint="0.39997558519241921"/>
    <pageSetUpPr fitToPage="1"/>
  </sheetPr>
  <dimension ref="A1:AG47"/>
  <sheetViews>
    <sheetView showGridLines="0" view="pageBreakPreview" topLeftCell="B1" zoomScale="90" zoomScaleNormal="100" zoomScaleSheetLayoutView="90" workbookViewId="0">
      <selection activeCell="C43" sqref="C43"/>
    </sheetView>
  </sheetViews>
  <sheetFormatPr defaultColWidth="9" defaultRowHeight="12.75"/>
  <cols>
    <col min="1" max="1" width="10.85546875" customWidth="1"/>
    <col min="2" max="2" width="10.42578125" customWidth="1"/>
    <col min="3" max="3" width="11.42578125" customWidth="1"/>
    <col min="4" max="4" width="10.85546875" bestFit="1" customWidth="1"/>
    <col min="5" max="5" width="9.85546875" bestFit="1" customWidth="1"/>
    <col min="6" max="6" width="12" customWidth="1"/>
    <col min="7" max="7" width="12.85546875" bestFit="1" customWidth="1"/>
    <col min="8" max="9" width="11.85546875" bestFit="1" customWidth="1"/>
    <col min="10" max="10" width="13.85546875" customWidth="1"/>
    <col min="11" max="11" width="0.85546875" customWidth="1"/>
    <col min="12" max="12" width="6" customWidth="1"/>
    <col min="13" max="13" width="17.85546875" style="2854" bestFit="1" customWidth="1"/>
    <col min="14" max="15" width="9" customWidth="1"/>
    <col min="16" max="16" width="7.85546875" customWidth="1"/>
    <col min="17" max="17" width="13.85546875" customWidth="1"/>
    <col min="18" max="18" width="15.5703125" customWidth="1"/>
    <col min="19" max="20" width="11.42578125" customWidth="1"/>
    <col min="21" max="21" width="14.5703125" customWidth="1"/>
    <col min="22" max="22" width="0.85546875" customWidth="1"/>
    <col min="23" max="23" width="14" bestFit="1" customWidth="1"/>
    <col min="24" max="24" width="9" customWidth="1"/>
    <col min="25" max="25" width="9" hidden="1" customWidth="1"/>
    <col min="26" max="26" width="9" bestFit="1" customWidth="1"/>
    <col min="27" max="27" width="10" customWidth="1"/>
    <col min="28" max="28" width="7" customWidth="1"/>
    <col min="29" max="29" width="12.42578125" customWidth="1"/>
    <col min="30" max="30" width="13.5703125" customWidth="1"/>
    <col min="31" max="32" width="14" customWidth="1"/>
    <col min="33" max="33" width="13.5703125" bestFit="1" customWidth="1"/>
  </cols>
  <sheetData>
    <row r="1" spans="1:33">
      <c r="A1" s="1255"/>
      <c r="B1" s="1256"/>
      <c r="C1" s="1255"/>
      <c r="D1" s="1257"/>
      <c r="E1" s="1257"/>
      <c r="F1" s="1258"/>
      <c r="G1" s="1258"/>
      <c r="H1" s="1258"/>
      <c r="I1" s="1258"/>
      <c r="J1" s="1258"/>
      <c r="K1" s="1257"/>
      <c r="L1" s="1255"/>
      <c r="M1" s="2848"/>
      <c r="N1" s="1255"/>
      <c r="O1" s="1255"/>
      <c r="P1" s="1255"/>
      <c r="Q1" s="1255"/>
      <c r="R1" s="1255"/>
      <c r="S1" s="1255"/>
      <c r="T1" s="1255"/>
      <c r="U1" s="1259"/>
      <c r="V1" s="1257"/>
      <c r="W1" s="1257"/>
      <c r="X1" s="1257"/>
      <c r="Y1" s="1257"/>
      <c r="Z1" s="1257"/>
      <c r="AA1" s="1257"/>
      <c r="AB1" s="1257"/>
      <c r="AC1" s="1257"/>
      <c r="AD1" s="1257"/>
      <c r="AE1" s="1257"/>
      <c r="AF1" s="1257"/>
    </row>
    <row r="2" spans="1:33">
      <c r="A2" s="9" t="str">
        <f>'Data Input'!A1&amp;" - "&amp;'Data Input'!B1</f>
        <v>PROGRAMME: - MARINA VILLAGE (PROGRAMME 1_TRIPLE BAY)</v>
      </c>
      <c r="B2" s="1256"/>
      <c r="C2" s="1255"/>
      <c r="D2" s="1257"/>
      <c r="E2" s="1257"/>
      <c r="F2" s="1258"/>
      <c r="G2" s="1258"/>
      <c r="H2" s="1258"/>
      <c r="I2" s="1258"/>
      <c r="J2" s="1258"/>
      <c r="K2" s="1257"/>
      <c r="L2" s="1255"/>
      <c r="M2" s="2848"/>
      <c r="N2" s="1255"/>
      <c r="O2" s="1255"/>
      <c r="P2" s="1255"/>
      <c r="Q2" s="1255"/>
      <c r="R2" s="1255"/>
      <c r="S2" s="1255"/>
      <c r="T2" s="1255"/>
      <c r="U2" s="1259"/>
      <c r="V2" s="1257"/>
      <c r="W2" s="1257"/>
      <c r="X2" s="1257"/>
      <c r="Y2" s="1257"/>
      <c r="Z2" s="1257"/>
      <c r="AA2" s="1257"/>
      <c r="AB2" s="1257"/>
      <c r="AC2" s="1257"/>
      <c r="AD2" s="1257"/>
      <c r="AE2" s="1257"/>
      <c r="AF2" s="1257"/>
    </row>
    <row r="3" spans="1:33">
      <c r="A3" s="9" t="str">
        <f>'Data Input'!A2&amp;" - "&amp;'Data Input'!B2</f>
        <v>PROGRAMME CODE: - 1TB01003</v>
      </c>
      <c r="B3" s="1260"/>
      <c r="C3" s="1261"/>
      <c r="D3" s="1262"/>
      <c r="E3" s="1262"/>
      <c r="F3" s="1263"/>
      <c r="G3" s="1263"/>
      <c r="H3" s="1263"/>
      <c r="I3" s="1263"/>
      <c r="J3" s="1264"/>
      <c r="K3" s="1265"/>
      <c r="L3" s="1265"/>
      <c r="M3" s="1262"/>
      <c r="N3" s="1265"/>
      <c r="O3" s="1266"/>
      <c r="P3" s="1265"/>
      <c r="Q3" s="1265"/>
      <c r="R3" s="1265"/>
      <c r="S3" s="1265"/>
      <c r="T3" s="1265"/>
      <c r="U3" s="1267"/>
      <c r="V3" s="1265"/>
      <c r="W3" s="1265"/>
      <c r="X3" s="1265"/>
      <c r="Y3" s="1265"/>
      <c r="Z3" s="1265"/>
      <c r="AA3" s="1265"/>
      <c r="AB3" s="1265"/>
      <c r="AC3" s="1265"/>
      <c r="AD3" s="1265"/>
      <c r="AE3" s="1265"/>
      <c r="AF3" s="1265"/>
    </row>
    <row r="4" spans="1:33">
      <c r="A4" s="9" t="str">
        <f>'Data Input'!A3&amp;" - "&amp;'Data Input'!B3</f>
        <v>ASSET NAME: - AMAALA YACHT CLUB</v>
      </c>
      <c r="B4" s="1260"/>
      <c r="C4" s="1268"/>
      <c r="D4" s="1265"/>
      <c r="E4" s="1265"/>
      <c r="F4" s="1267"/>
      <c r="G4" s="1267"/>
      <c r="H4" s="1267"/>
      <c r="I4" s="1267"/>
      <c r="J4" s="1269"/>
      <c r="K4" s="1265"/>
      <c r="L4" s="1265"/>
      <c r="M4" s="1262"/>
      <c r="N4" s="1265"/>
      <c r="O4" s="1266"/>
      <c r="P4" s="1265"/>
      <c r="Q4" s="1265"/>
      <c r="R4" s="1265"/>
      <c r="S4" s="1265"/>
      <c r="T4" s="1265"/>
      <c r="U4" s="1267"/>
      <c r="V4" s="1265"/>
      <c r="W4" s="1265"/>
      <c r="X4" s="1265"/>
      <c r="Y4" s="1265"/>
      <c r="Z4" s="1265"/>
      <c r="AA4" s="1265"/>
      <c r="AB4" s="1265"/>
      <c r="AC4" s="1265"/>
      <c r="AD4" s="1265"/>
      <c r="AE4" s="1265"/>
      <c r="AF4" s="1265"/>
    </row>
    <row r="5" spans="1:33">
      <c r="A5" s="9" t="str">
        <f>'Data Input'!A4&amp;" - "&amp;'Data Input'!B4</f>
        <v>ASSET CODE: - 1TB01003.01</v>
      </c>
      <c r="B5" s="1270"/>
      <c r="C5" s="1268"/>
      <c r="D5" s="1265"/>
      <c r="E5" s="1265"/>
      <c r="F5" s="1267"/>
      <c r="G5" s="1267"/>
      <c r="H5" s="1267"/>
      <c r="I5" s="1267"/>
      <c r="J5" s="1269"/>
      <c r="K5" s="1265"/>
      <c r="L5" s="1265"/>
      <c r="M5" s="1262"/>
      <c r="N5" s="1265"/>
      <c r="O5" s="1266"/>
      <c r="P5" s="1265"/>
      <c r="Q5" s="1265"/>
      <c r="R5" s="1271"/>
      <c r="S5" s="1265"/>
      <c r="T5" s="1265"/>
      <c r="U5" s="1267"/>
      <c r="V5" s="1265"/>
      <c r="W5" s="1265"/>
      <c r="X5" s="1265"/>
      <c r="Y5" s="1265"/>
      <c r="Z5" s="1265"/>
      <c r="AA5" s="1265"/>
      <c r="AB5" s="1265"/>
      <c r="AC5" s="1265"/>
      <c r="AD5" s="1265"/>
      <c r="AE5" s="1265"/>
      <c r="AF5" s="1265"/>
    </row>
    <row r="6" spans="1:33">
      <c r="A6" s="9" t="str">
        <f>'Data Input'!A7&amp;" - "&amp;'Data Input'!B7</f>
        <v>REPORT NO: - MONTHLY REPORT NO. 49</v>
      </c>
      <c r="B6" s="1272"/>
      <c r="C6" s="1268"/>
      <c r="D6" s="1265"/>
      <c r="E6" s="1265"/>
      <c r="F6" s="1267"/>
      <c r="G6" s="1267"/>
      <c r="H6" s="1267"/>
      <c r="I6" s="1267"/>
      <c r="J6" s="1269"/>
      <c r="K6" s="1265"/>
      <c r="L6" s="1265"/>
      <c r="M6" s="1262"/>
      <c r="N6" s="1265"/>
      <c r="O6" s="1266"/>
      <c r="P6" s="1265"/>
      <c r="Q6" s="1265"/>
      <c r="R6" s="1273"/>
      <c r="S6" s="1265"/>
      <c r="T6" s="1271"/>
      <c r="U6" s="1267"/>
      <c r="V6" s="1265"/>
      <c r="W6" s="1265"/>
      <c r="X6" s="1265"/>
      <c r="Y6" s="1265"/>
      <c r="Z6" s="1265"/>
      <c r="AA6" s="1265"/>
      <c r="AB6" s="1265"/>
      <c r="AC6" s="1265"/>
      <c r="AD6" s="1265"/>
      <c r="AE6" s="1265"/>
      <c r="AF6" s="1265"/>
    </row>
    <row r="7" spans="1:33">
      <c r="A7" s="9" t="str">
        <f>'Data Input'!A8&amp;" - "&amp;'Data Input'!B8</f>
        <v>REPORTING PERIOD: - OCTOBER 2026</v>
      </c>
      <c r="B7" s="1262"/>
      <c r="C7" s="1274"/>
      <c r="D7" s="1262"/>
      <c r="E7" s="1262"/>
      <c r="F7" s="1263"/>
      <c r="G7" s="1263"/>
      <c r="H7" s="1263"/>
      <c r="I7" s="1263"/>
      <c r="J7" s="1264"/>
      <c r="K7" s="1265"/>
      <c r="L7" s="1265"/>
      <c r="M7" s="1262"/>
      <c r="N7" s="1265"/>
      <c r="O7" s="1265"/>
      <c r="P7" s="1265"/>
      <c r="Q7" s="1267"/>
      <c r="R7" s="1263"/>
      <c r="S7" s="1263"/>
      <c r="T7" s="1263"/>
      <c r="U7" s="1267"/>
      <c r="V7" s="1265"/>
      <c r="W7" s="1265"/>
      <c r="X7" s="1265"/>
      <c r="Y7" s="1265"/>
      <c r="Z7" s="1265"/>
      <c r="AA7" s="1265"/>
      <c r="AB7" s="1265"/>
      <c r="AC7" s="1265"/>
      <c r="AD7" s="1265"/>
      <c r="AE7" s="1265"/>
      <c r="AF7" s="1265"/>
    </row>
    <row r="8" spans="1:33" ht="13.5" thickBot="1">
      <c r="A8" s="9"/>
      <c r="B8" s="1256"/>
      <c r="C8" s="1255"/>
      <c r="D8" s="1257"/>
      <c r="E8" s="1257"/>
      <c r="F8" s="1258"/>
      <c r="G8" s="1258"/>
      <c r="H8" s="1258"/>
      <c r="I8" s="1258"/>
      <c r="J8" s="1258"/>
      <c r="K8" s="1257"/>
      <c r="L8" s="1255"/>
      <c r="M8" s="2848"/>
      <c r="N8" s="1275"/>
      <c r="O8" s="1276"/>
      <c r="P8" s="1255"/>
      <c r="Q8" s="1255"/>
      <c r="R8" s="1255"/>
      <c r="S8" s="1255"/>
      <c r="T8" s="1255"/>
      <c r="U8" s="1259"/>
      <c r="V8" s="1257"/>
      <c r="W8" s="1257"/>
      <c r="X8" s="1257"/>
      <c r="Y8" s="1257"/>
      <c r="Z8" s="1257"/>
      <c r="AA8" s="1257"/>
      <c r="AB8" s="1257"/>
      <c r="AC8" s="1257"/>
      <c r="AD8" s="1257"/>
      <c r="AE8" s="1257"/>
      <c r="AF8" s="1257"/>
    </row>
    <row r="9" spans="1:33" ht="30" customHeight="1" thickBot="1">
      <c r="A9" s="1354" t="str">
        <f>'Schedule B'!A214&amp;" - "&amp;'Schedule B'!C214</f>
        <v xml:space="preserve">FFEOSE.003D07 - Birch Street </v>
      </c>
      <c r="B9" s="1355"/>
      <c r="C9" s="1355"/>
      <c r="D9" s="1356"/>
      <c r="E9" s="1356"/>
      <c r="F9" s="1357"/>
      <c r="G9" s="1357"/>
      <c r="H9" s="1357"/>
      <c r="I9" s="1357"/>
      <c r="J9" s="1357"/>
      <c r="K9" s="1356"/>
      <c r="L9" s="1355"/>
      <c r="M9" s="2849"/>
      <c r="N9" s="1355"/>
      <c r="O9" s="1355"/>
      <c r="P9" s="1355"/>
      <c r="Q9" s="1355"/>
      <c r="R9" s="1355"/>
      <c r="S9" s="1355"/>
      <c r="T9" s="1355"/>
      <c r="U9" s="1358"/>
      <c r="V9" s="1356"/>
      <c r="W9" s="1356"/>
      <c r="X9" s="1356"/>
      <c r="Y9" s="1356"/>
      <c r="Z9" s="1356"/>
      <c r="AA9" s="1356"/>
      <c r="AB9" s="1356"/>
      <c r="AC9" s="1356"/>
      <c r="AD9" s="1356"/>
      <c r="AE9" s="1356"/>
      <c r="AF9" s="1359"/>
    </row>
    <row r="10" spans="1:33">
      <c r="A10" s="6051" t="s">
        <v>1524</v>
      </c>
      <c r="B10" s="6052"/>
      <c r="C10" s="6052"/>
      <c r="D10" s="6052"/>
      <c r="E10" s="6052"/>
      <c r="F10" s="6052"/>
      <c r="G10" s="6053"/>
      <c r="H10" s="6053"/>
      <c r="I10" s="6053"/>
      <c r="J10" s="6054"/>
      <c r="K10" s="1256"/>
      <c r="L10" s="6055" t="s">
        <v>1525</v>
      </c>
      <c r="M10" s="6056"/>
      <c r="N10" s="6056"/>
      <c r="O10" s="6056"/>
      <c r="P10" s="6056"/>
      <c r="Q10" s="6056"/>
      <c r="R10" s="6057"/>
      <c r="S10" s="6057"/>
      <c r="T10" s="6057"/>
      <c r="U10" s="6058"/>
      <c r="V10" s="1256"/>
      <c r="W10" s="6043" t="s">
        <v>1526</v>
      </c>
      <c r="X10" s="6044"/>
      <c r="Y10" s="6044"/>
      <c r="Z10" s="6044"/>
      <c r="AA10" s="6044"/>
      <c r="AB10" s="6044"/>
      <c r="AC10" s="6044"/>
      <c r="AD10" s="6044"/>
      <c r="AE10" s="6044"/>
      <c r="AF10" s="6059"/>
    </row>
    <row r="11" spans="1:33" ht="60" customHeight="1">
      <c r="A11" s="1283" t="s">
        <v>1462</v>
      </c>
      <c r="B11" s="1284" t="s">
        <v>1527</v>
      </c>
      <c r="C11" s="1284" t="s">
        <v>1528</v>
      </c>
      <c r="D11" s="1285" t="s">
        <v>1744</v>
      </c>
      <c r="E11" s="1285" t="s">
        <v>1530</v>
      </c>
      <c r="F11" s="1286" t="s">
        <v>1531</v>
      </c>
      <c r="G11" s="1287" t="s">
        <v>1532</v>
      </c>
      <c r="H11" s="1287" t="s">
        <v>1533</v>
      </c>
      <c r="I11" s="1287" t="s">
        <v>1534</v>
      </c>
      <c r="J11" s="1288" t="s">
        <v>1535</v>
      </c>
      <c r="K11" s="1289"/>
      <c r="L11" s="763" t="s">
        <v>1536</v>
      </c>
      <c r="M11" s="1290" t="s">
        <v>1601</v>
      </c>
      <c r="N11" s="1290" t="s">
        <v>1530</v>
      </c>
      <c r="O11" s="1290" t="s">
        <v>4521</v>
      </c>
      <c r="P11" s="764" t="s">
        <v>1539</v>
      </c>
      <c r="Q11" s="1291" t="s">
        <v>1540</v>
      </c>
      <c r="R11" s="1292" t="s">
        <v>1541</v>
      </c>
      <c r="S11" s="1292" t="s">
        <v>1533</v>
      </c>
      <c r="T11" s="1292" t="s">
        <v>1534</v>
      </c>
      <c r="U11" s="1293" t="s">
        <v>1542</v>
      </c>
      <c r="V11" s="1256"/>
      <c r="W11" s="1294" t="s">
        <v>2086</v>
      </c>
      <c r="X11" s="2839" t="s">
        <v>2087</v>
      </c>
      <c r="Y11" s="1295" t="s">
        <v>1544</v>
      </c>
      <c r="Z11" s="1296" t="s">
        <v>1545</v>
      </c>
      <c r="AA11" s="1296" t="s">
        <v>4524</v>
      </c>
      <c r="AB11" s="769" t="s">
        <v>1539</v>
      </c>
      <c r="AC11" s="769" t="s">
        <v>1547</v>
      </c>
      <c r="AD11" s="769" t="s">
        <v>2538</v>
      </c>
      <c r="AE11" s="1296" t="s">
        <v>1549</v>
      </c>
      <c r="AF11" s="1297" t="s">
        <v>1550</v>
      </c>
    </row>
    <row r="12" spans="1:33" ht="17.25" customHeight="1">
      <c r="A12" s="1298"/>
      <c r="B12" s="1299"/>
      <c r="C12" s="1300"/>
      <c r="D12" s="1301"/>
      <c r="E12" s="1302" t="s">
        <v>296</v>
      </c>
      <c r="F12" s="1303" t="s">
        <v>434</v>
      </c>
      <c r="G12" s="1303" t="s">
        <v>434</v>
      </c>
      <c r="H12" s="1304">
        <v>0</v>
      </c>
      <c r="I12" s="1304">
        <v>0</v>
      </c>
      <c r="J12" s="1305" t="s">
        <v>434</v>
      </c>
      <c r="K12" s="1256"/>
      <c r="L12" s="765"/>
      <c r="M12" s="766"/>
      <c r="N12" s="1306" t="s">
        <v>296</v>
      </c>
      <c r="O12" s="766" t="s">
        <v>3574</v>
      </c>
      <c r="P12" s="1307" t="s">
        <v>1552</v>
      </c>
      <c r="Q12" s="767" t="s">
        <v>434</v>
      </c>
      <c r="R12" s="767" t="s">
        <v>434</v>
      </c>
      <c r="S12" s="1308">
        <v>0</v>
      </c>
      <c r="T12" s="1308">
        <v>0</v>
      </c>
      <c r="U12" s="768" t="s">
        <v>434</v>
      </c>
      <c r="V12" s="1256"/>
      <c r="W12" s="770"/>
      <c r="X12" s="2840"/>
      <c r="Y12" s="1309" t="s">
        <v>296</v>
      </c>
      <c r="Z12" s="1309" t="s">
        <v>296</v>
      </c>
      <c r="AA12" s="1309" t="s">
        <v>4523</v>
      </c>
      <c r="AB12" s="1310" t="s">
        <v>1552</v>
      </c>
      <c r="AC12" s="1311"/>
      <c r="AD12" s="1312">
        <v>0.05</v>
      </c>
      <c r="AE12" s="1309" t="s">
        <v>296</v>
      </c>
      <c r="AF12" s="1313" t="s">
        <v>296</v>
      </c>
    </row>
    <row r="13" spans="1:33" s="722" customFormat="1" ht="25.5" customHeight="1">
      <c r="A13" s="1314"/>
      <c r="B13" s="1314"/>
      <c r="C13" s="1314"/>
      <c r="D13" s="1314"/>
      <c r="E13" s="1314" t="s">
        <v>1481</v>
      </c>
      <c r="F13" s="1314"/>
      <c r="G13" s="1314"/>
      <c r="H13" s="1314"/>
      <c r="I13" s="1314"/>
      <c r="J13" s="1314"/>
      <c r="K13" s="1255"/>
      <c r="L13" s="1315"/>
      <c r="M13" s="1315"/>
      <c r="N13" s="1316" t="s">
        <v>1482</v>
      </c>
      <c r="O13" s="1314" t="s">
        <v>2084</v>
      </c>
      <c r="P13" s="1317" t="s">
        <v>1555</v>
      </c>
      <c r="Q13" s="1318" t="s">
        <v>1556</v>
      </c>
      <c r="R13" s="1318" t="s">
        <v>1557</v>
      </c>
      <c r="S13" s="1319" t="s">
        <v>1605</v>
      </c>
      <c r="T13" s="1319" t="s">
        <v>1559</v>
      </c>
      <c r="U13" s="1318" t="s">
        <v>1560</v>
      </c>
      <c r="V13" s="1255"/>
      <c r="W13" s="1316"/>
      <c r="X13" s="1316" t="s">
        <v>1561</v>
      </c>
      <c r="Y13" s="1316"/>
      <c r="Z13" s="1316" t="s">
        <v>2088</v>
      </c>
      <c r="AA13" s="1316" t="s">
        <v>2089</v>
      </c>
      <c r="AB13" s="1317" t="s">
        <v>2091</v>
      </c>
      <c r="AC13" s="1314" t="s">
        <v>2092</v>
      </c>
      <c r="AD13" s="1319" t="s">
        <v>3479</v>
      </c>
      <c r="AE13" s="1316" t="s">
        <v>2094</v>
      </c>
      <c r="AF13" s="1316"/>
    </row>
    <row r="14" spans="1:33" s="2837" customFormat="1" ht="50.25" customHeight="1">
      <c r="A14" s="4688">
        <v>1</v>
      </c>
      <c r="B14" s="4689" t="s">
        <v>6140</v>
      </c>
      <c r="C14" s="4690">
        <v>46113</v>
      </c>
      <c r="D14" s="4691" t="s">
        <v>6135</v>
      </c>
      <c r="E14" s="4692">
        <v>46121</v>
      </c>
      <c r="F14" s="4693">
        <v>0</v>
      </c>
      <c r="G14" s="4693">
        <f>30933.06*3.75</f>
        <v>115998.97500000001</v>
      </c>
      <c r="H14" s="4694">
        <f>(G14*$H$12)*-1*0</f>
        <v>0</v>
      </c>
      <c r="I14" s="4694">
        <v>0</v>
      </c>
      <c r="J14" s="4694">
        <f>(G14+H14+I14)</f>
        <v>115998.97500000001</v>
      </c>
      <c r="K14" s="4695"/>
      <c r="L14" s="4696" t="s">
        <v>6136</v>
      </c>
      <c r="M14" s="4697" t="s">
        <v>6137</v>
      </c>
      <c r="N14" s="4692">
        <v>46135</v>
      </c>
      <c r="O14" s="4698">
        <f>E14+21</f>
        <v>46142</v>
      </c>
      <c r="P14" s="4699">
        <f>O14-N14</f>
        <v>7</v>
      </c>
      <c r="Q14" s="4693">
        <f>+R14</f>
        <v>115998.97500000001</v>
      </c>
      <c r="R14" s="4693">
        <f>G14</f>
        <v>115998.97500000001</v>
      </c>
      <c r="S14" s="4694">
        <f>(R14*$S$12)*-1*0</f>
        <v>0</v>
      </c>
      <c r="T14" s="4694">
        <v>0</v>
      </c>
      <c r="U14" s="4694">
        <f>(R14+S14+T14)</f>
        <v>115998.97500000001</v>
      </c>
      <c r="V14" s="4695"/>
      <c r="W14" s="2838" t="s">
        <v>6445</v>
      </c>
      <c r="X14" s="1321">
        <v>46198</v>
      </c>
      <c r="Y14" s="1323"/>
      <c r="Z14" s="1321"/>
      <c r="AA14" s="1321">
        <f>X14+30</f>
        <v>46228</v>
      </c>
      <c r="AB14" s="1324"/>
      <c r="AC14" s="1327"/>
      <c r="AD14" s="1327"/>
      <c r="AE14" s="1327"/>
      <c r="AF14" s="1327"/>
      <c r="AG14" s="2842">
        <f>+AC14*1.15</f>
        <v>0</v>
      </c>
    </row>
    <row r="15" spans="1:33" s="2837" customFormat="1" ht="50.25" customHeight="1">
      <c r="A15" s="723"/>
      <c r="B15" s="810"/>
      <c r="C15" s="1929"/>
      <c r="D15" s="2835"/>
      <c r="E15" s="1440"/>
      <c r="F15" s="2836"/>
      <c r="G15" s="1444"/>
      <c r="H15" s="1444"/>
      <c r="I15" s="1444"/>
      <c r="J15" s="1444"/>
      <c r="K15" s="1256"/>
      <c r="L15" s="1510"/>
      <c r="M15" s="2850"/>
      <c r="N15" s="1440"/>
      <c r="O15" s="1323"/>
      <c r="P15" s="1324"/>
      <c r="Q15" s="2836"/>
      <c r="R15" s="2836"/>
      <c r="S15" s="1444"/>
      <c r="T15" s="1444"/>
      <c r="U15" s="1444"/>
      <c r="V15" s="1256"/>
      <c r="W15" s="2838"/>
      <c r="X15" s="2841"/>
      <c r="Y15" s="1323"/>
      <c r="Z15" s="1321"/>
      <c r="AA15" s="1321"/>
      <c r="AB15" s="1324"/>
      <c r="AC15" s="1327"/>
      <c r="AD15" s="1327"/>
      <c r="AE15" s="1327"/>
      <c r="AF15" s="1327"/>
      <c r="AG15" s="4266"/>
    </row>
    <row r="16" spans="1:33" s="2837" customFormat="1" ht="50.25" customHeight="1">
      <c r="A16" s="723"/>
      <c r="B16" s="810"/>
      <c r="C16" s="1929"/>
      <c r="D16" s="2835"/>
      <c r="E16" s="1440"/>
      <c r="F16" s="2836"/>
      <c r="G16" s="1444"/>
      <c r="H16" s="1444"/>
      <c r="I16" s="1444"/>
      <c r="J16" s="1444"/>
      <c r="K16" s="1256"/>
      <c r="L16" s="1510"/>
      <c r="M16" s="2850"/>
      <c r="N16" s="1440"/>
      <c r="O16" s="1323"/>
      <c r="P16" s="1324"/>
      <c r="Q16" s="2836"/>
      <c r="R16" s="1444"/>
      <c r="S16" s="1444"/>
      <c r="T16" s="1444"/>
      <c r="U16" s="1444"/>
      <c r="V16" s="1256"/>
      <c r="W16" s="2838"/>
      <c r="X16" s="2841"/>
      <c r="Y16" s="1323"/>
      <c r="Z16" s="1321"/>
      <c r="AA16" s="1321"/>
      <c r="AB16" s="1324"/>
      <c r="AC16" s="1327"/>
      <c r="AD16" s="1327"/>
      <c r="AE16" s="1327"/>
      <c r="AF16" s="1327"/>
      <c r="AG16" s="2842"/>
    </row>
    <row r="17" spans="1:32">
      <c r="A17" s="723"/>
      <c r="B17" s="810"/>
      <c r="C17" s="1445"/>
      <c r="D17" s="2835"/>
      <c r="E17" s="1440"/>
      <c r="F17" s="1322"/>
      <c r="G17" s="1444"/>
      <c r="H17" s="1444"/>
      <c r="I17" s="1444"/>
      <c r="J17" s="1444"/>
      <c r="K17" s="1256"/>
      <c r="L17" s="1510"/>
      <c r="M17" s="2850"/>
      <c r="N17" s="1321"/>
      <c r="O17" s="1323"/>
      <c r="P17" s="1324"/>
      <c r="Q17" s="1322"/>
      <c r="R17" s="1444"/>
      <c r="S17" s="1444"/>
      <c r="T17" s="1444"/>
      <c r="U17" s="1444"/>
      <c r="V17" s="1256"/>
      <c r="W17" s="2838"/>
      <c r="X17" s="2841"/>
      <c r="Y17" s="1323"/>
      <c r="Z17" s="1321"/>
      <c r="AA17" s="1321"/>
      <c r="AB17" s="1324"/>
      <c r="AC17" s="1327"/>
      <c r="AD17" s="1327"/>
      <c r="AE17" s="1327"/>
      <c r="AF17" s="1327"/>
    </row>
    <row r="18" spans="1:32">
      <c r="A18" s="723"/>
      <c r="B18" s="810"/>
      <c r="C18" s="1445"/>
      <c r="D18" s="2835"/>
      <c r="E18" s="1440"/>
      <c r="F18" s="1322"/>
      <c r="G18" s="1444"/>
      <c r="H18" s="1444"/>
      <c r="I18" s="1444"/>
      <c r="J18" s="1444"/>
      <c r="K18" s="1256"/>
      <c r="L18" s="1510"/>
      <c r="M18" s="2850"/>
      <c r="N18" s="1321"/>
      <c r="O18" s="1323"/>
      <c r="P18" s="1324"/>
      <c r="Q18" s="1322"/>
      <c r="R18" s="1444"/>
      <c r="S18" s="1444"/>
      <c r="T18" s="1444"/>
      <c r="U18" s="1444"/>
      <c r="V18" s="1256"/>
      <c r="W18" s="2838"/>
      <c r="X18" s="1323"/>
      <c r="Y18" s="1323"/>
      <c r="Z18" s="1321"/>
      <c r="AA18" s="1321"/>
      <c r="AB18" s="1324"/>
      <c r="AC18" s="1327"/>
      <c r="AD18" s="1327"/>
      <c r="AE18" s="1327"/>
      <c r="AF18" s="1327"/>
    </row>
    <row r="19" spans="1:32" ht="33.950000000000003" customHeight="1">
      <c r="A19" s="723"/>
      <c r="B19" s="810"/>
      <c r="C19" s="1445"/>
      <c r="D19" s="2835"/>
      <c r="E19" s="1440"/>
      <c r="F19" s="1322"/>
      <c r="G19" s="1444"/>
      <c r="H19" s="1444"/>
      <c r="I19" s="1444"/>
      <c r="J19" s="1444"/>
      <c r="K19" s="1256"/>
      <c r="L19" s="1510"/>
      <c r="M19" s="2850"/>
      <c r="N19" s="1321"/>
      <c r="O19" s="1323"/>
      <c r="P19" s="1324"/>
      <c r="Q19" s="1322"/>
      <c r="R19" s="1444"/>
      <c r="S19" s="1444"/>
      <c r="T19" s="1444"/>
      <c r="U19" s="1444"/>
      <c r="V19" s="1256"/>
      <c r="W19" s="2838"/>
      <c r="X19" s="1323"/>
      <c r="Y19" s="1323"/>
      <c r="Z19" s="1321"/>
      <c r="AA19" s="1321"/>
      <c r="AB19" s="1324"/>
      <c r="AC19" s="1327"/>
      <c r="AD19" s="1327"/>
      <c r="AE19" s="1327"/>
      <c r="AF19" s="1327"/>
    </row>
    <row r="20" spans="1:32">
      <c r="A20" s="723"/>
      <c r="B20" s="810"/>
      <c r="C20" s="1445"/>
      <c r="D20" s="2835"/>
      <c r="E20" s="1440"/>
      <c r="F20" s="1322"/>
      <c r="G20" s="1444"/>
      <c r="H20" s="1444"/>
      <c r="I20" s="1444"/>
      <c r="J20" s="1444"/>
      <c r="K20" s="1256"/>
      <c r="L20" s="1510"/>
      <c r="M20" s="2850"/>
      <c r="N20" s="1321"/>
      <c r="O20" s="1323"/>
      <c r="P20" s="1324"/>
      <c r="Q20" s="1322"/>
      <c r="R20" s="1444"/>
      <c r="S20" s="1444"/>
      <c r="T20" s="1444"/>
      <c r="U20" s="1444"/>
      <c r="V20" s="1256"/>
      <c r="W20" s="723"/>
      <c r="X20" s="724"/>
      <c r="Y20" s="1323"/>
      <c r="Z20" s="1321"/>
      <c r="AA20" s="1321"/>
      <c r="AB20" s="1324"/>
      <c r="AC20" s="1327"/>
      <c r="AD20" s="1327"/>
      <c r="AE20" s="1327"/>
      <c r="AF20" s="1327"/>
    </row>
    <row r="21" spans="1:32">
      <c r="A21" s="723"/>
      <c r="B21" s="810"/>
      <c r="C21" s="1445"/>
      <c r="D21" s="2835"/>
      <c r="E21" s="1440"/>
      <c r="F21" s="1322"/>
      <c r="G21" s="1444"/>
      <c r="H21" s="1444"/>
      <c r="I21" s="1444"/>
      <c r="J21" s="1444"/>
      <c r="K21" s="1256"/>
      <c r="L21" s="1510"/>
      <c r="M21" s="2850"/>
      <c r="N21" s="1321"/>
      <c r="O21" s="1323"/>
      <c r="P21" s="1324"/>
      <c r="Q21" s="1322"/>
      <c r="R21" s="1444"/>
      <c r="S21" s="1444"/>
      <c r="T21" s="1444"/>
      <c r="U21" s="1444"/>
      <c r="V21" s="1256"/>
      <c r="W21" s="723"/>
      <c r="X21" s="724"/>
      <c r="Y21" s="1323"/>
      <c r="Z21" s="1321"/>
      <c r="AA21" s="1321"/>
      <c r="AB21" s="1324"/>
      <c r="AC21" s="1327"/>
      <c r="AD21" s="1327"/>
      <c r="AE21" s="1327"/>
      <c r="AF21" s="1327"/>
    </row>
    <row r="22" spans="1:32">
      <c r="A22" s="723"/>
      <c r="B22" s="810"/>
      <c r="C22" s="1445"/>
      <c r="D22" s="2835"/>
      <c r="E22" s="1440"/>
      <c r="F22" s="1322"/>
      <c r="G22" s="1444"/>
      <c r="H22" s="1444"/>
      <c r="I22" s="1444"/>
      <c r="J22" s="1444"/>
      <c r="K22" s="1256"/>
      <c r="L22" s="1510"/>
      <c r="M22" s="2850"/>
      <c r="N22" s="1321"/>
      <c r="O22" s="1323"/>
      <c r="P22" s="1324"/>
      <c r="Q22" s="1322"/>
      <c r="R22" s="1444"/>
      <c r="S22" s="1444"/>
      <c r="T22" s="1444"/>
      <c r="U22" s="1444"/>
      <c r="V22" s="1256"/>
      <c r="W22" s="723"/>
      <c r="X22" s="724"/>
      <c r="Y22" s="1323"/>
      <c r="Z22" s="1321"/>
      <c r="AA22" s="1321"/>
      <c r="AB22" s="1324"/>
      <c r="AC22" s="1327"/>
      <c r="AD22" s="1327"/>
      <c r="AE22" s="1327"/>
      <c r="AF22" s="1327"/>
    </row>
    <row r="23" spans="1:32">
      <c r="A23" s="723"/>
      <c r="B23" s="810"/>
      <c r="C23" s="1445"/>
      <c r="D23" s="2835"/>
      <c r="E23" s="1440"/>
      <c r="F23" s="1322"/>
      <c r="G23" s="1444"/>
      <c r="H23" s="1444"/>
      <c r="I23" s="1444"/>
      <c r="J23" s="1444"/>
      <c r="K23" s="1256"/>
      <c r="L23" s="1510"/>
      <c r="M23" s="2850"/>
      <c r="N23" s="1321"/>
      <c r="O23" s="1323"/>
      <c r="P23" s="1324"/>
      <c r="Q23" s="1322"/>
      <c r="R23" s="1444"/>
      <c r="S23" s="1444"/>
      <c r="T23" s="1444"/>
      <c r="U23" s="1444"/>
      <c r="V23" s="1256"/>
      <c r="W23" s="723"/>
      <c r="X23" s="724"/>
      <c r="Y23" s="1323"/>
      <c r="Z23" s="1321"/>
      <c r="AA23" s="1321"/>
      <c r="AB23" s="1324"/>
      <c r="AC23" s="1327"/>
      <c r="AD23" s="1327"/>
      <c r="AE23" s="1327"/>
      <c r="AF23" s="1327"/>
    </row>
    <row r="24" spans="1:32">
      <c r="A24" s="723"/>
      <c r="B24" s="810"/>
      <c r="C24" s="1445"/>
      <c r="D24" s="2835"/>
      <c r="E24" s="1440"/>
      <c r="F24" s="1322"/>
      <c r="G24" s="1444"/>
      <c r="H24" s="1444"/>
      <c r="I24" s="1444"/>
      <c r="J24" s="1444"/>
      <c r="K24" s="1256"/>
      <c r="L24" s="1510"/>
      <c r="M24" s="2850"/>
      <c r="N24" s="1321"/>
      <c r="O24" s="1323"/>
      <c r="P24" s="1324"/>
      <c r="Q24" s="1322"/>
      <c r="R24" s="1444"/>
      <c r="S24" s="1444"/>
      <c r="T24" s="1444"/>
      <c r="U24" s="1444"/>
      <c r="V24" s="1256"/>
      <c r="W24" s="723"/>
      <c r="X24" s="724"/>
      <c r="Y24" s="1323"/>
      <c r="Z24" s="1321"/>
      <c r="AA24" s="1321"/>
      <c r="AB24" s="1324"/>
      <c r="AC24" s="1327"/>
      <c r="AD24" s="1327"/>
      <c r="AE24" s="1327"/>
      <c r="AF24" s="1327"/>
    </row>
    <row r="25" spans="1:32">
      <c r="A25" s="723"/>
      <c r="B25" s="810"/>
      <c r="C25" s="1445"/>
      <c r="D25" s="2835"/>
      <c r="E25" s="1440"/>
      <c r="F25" s="1322"/>
      <c r="G25" s="1322"/>
      <c r="H25" s="1322"/>
      <c r="I25" s="1322"/>
      <c r="J25" s="1322"/>
      <c r="K25" s="1256"/>
      <c r="L25" s="1443"/>
      <c r="M25" s="2850"/>
      <c r="N25" s="1321"/>
      <c r="O25" s="1323"/>
      <c r="P25" s="1324"/>
      <c r="Q25" s="1322"/>
      <c r="R25" s="1444"/>
      <c r="S25" s="1444"/>
      <c r="T25" s="1444"/>
      <c r="U25" s="1328"/>
      <c r="V25" s="1256"/>
      <c r="W25" s="723"/>
      <c r="X25" s="724"/>
      <c r="Y25" s="1323"/>
      <c r="Z25" s="1321"/>
      <c r="AA25" s="1321"/>
      <c r="AB25" s="1324"/>
      <c r="AC25" s="1327"/>
      <c r="AD25" s="1327"/>
      <c r="AE25" s="1327"/>
      <c r="AF25" s="1327"/>
    </row>
    <row r="26" spans="1:32">
      <c r="A26" s="723"/>
      <c r="B26" s="810"/>
      <c r="C26" s="1445"/>
      <c r="D26" s="2835"/>
      <c r="E26" s="1440"/>
      <c r="F26" s="1322"/>
      <c r="G26" s="1322"/>
      <c r="H26" s="1322"/>
      <c r="I26" s="1322"/>
      <c r="J26" s="1322"/>
      <c r="K26" s="1256"/>
      <c r="L26" s="1443"/>
      <c r="M26" s="2850"/>
      <c r="N26" s="1321"/>
      <c r="O26" s="1323"/>
      <c r="P26" s="1324"/>
      <c r="Q26" s="1322"/>
      <c r="R26" s="1444"/>
      <c r="S26" s="1444"/>
      <c r="T26" s="1444"/>
      <c r="U26" s="1328"/>
      <c r="V26" s="1256"/>
      <c r="W26" s="723"/>
      <c r="X26" s="724"/>
      <c r="Y26" s="1323"/>
      <c r="Z26" s="1321"/>
      <c r="AA26" s="1321"/>
      <c r="AB26" s="1324"/>
      <c r="AC26" s="1327"/>
      <c r="AD26" s="1327"/>
      <c r="AE26" s="1327"/>
      <c r="AF26" s="1327"/>
    </row>
    <row r="27" spans="1:32">
      <c r="A27" s="723"/>
      <c r="B27" s="810"/>
      <c r="C27" s="1445"/>
      <c r="D27" s="2835"/>
      <c r="E27" s="1440"/>
      <c r="F27" s="1322"/>
      <c r="G27" s="1322"/>
      <c r="H27" s="1322"/>
      <c r="I27" s="1322"/>
      <c r="J27" s="1322"/>
      <c r="K27" s="1256"/>
      <c r="L27" s="1443"/>
      <c r="M27" s="2850"/>
      <c r="N27" s="1321"/>
      <c r="O27" s="1323"/>
      <c r="P27" s="1324"/>
      <c r="Q27" s="1322"/>
      <c r="R27" s="1444"/>
      <c r="S27" s="1444"/>
      <c r="T27" s="1444"/>
      <c r="U27" s="1328"/>
      <c r="V27" s="1256"/>
      <c r="W27" s="723"/>
      <c r="X27" s="724"/>
      <c r="Y27" s="1323"/>
      <c r="Z27" s="1321"/>
      <c r="AA27" s="1321"/>
      <c r="AB27" s="1324"/>
      <c r="AC27" s="1327"/>
      <c r="AD27" s="1327"/>
      <c r="AE27" s="1327"/>
      <c r="AF27" s="1327"/>
    </row>
    <row r="28" spans="1:32">
      <c r="A28" s="723"/>
      <c r="B28" s="810"/>
      <c r="C28" s="1445"/>
      <c r="D28" s="2835"/>
      <c r="E28" s="1440"/>
      <c r="F28" s="1322"/>
      <c r="G28" s="1322"/>
      <c r="H28" s="1322"/>
      <c r="I28" s="1322"/>
      <c r="J28" s="1322"/>
      <c r="K28" s="1256"/>
      <c r="L28" s="1443"/>
      <c r="M28" s="2850"/>
      <c r="N28" s="1321"/>
      <c r="O28" s="1323"/>
      <c r="P28" s="1324"/>
      <c r="Q28" s="1322"/>
      <c r="R28" s="1444"/>
      <c r="S28" s="1444"/>
      <c r="T28" s="1444"/>
      <c r="U28" s="1328"/>
      <c r="V28" s="1256"/>
      <c r="W28" s="723"/>
      <c r="X28" s="724"/>
      <c r="Y28" s="1323"/>
      <c r="Z28" s="1321"/>
      <c r="AA28" s="1321"/>
      <c r="AB28" s="1324"/>
      <c r="AC28" s="1327"/>
      <c r="AD28" s="1327"/>
      <c r="AE28" s="1327"/>
      <c r="AF28" s="1327"/>
    </row>
    <row r="29" spans="1:32">
      <c r="A29" s="723"/>
      <c r="B29" s="810"/>
      <c r="C29" s="1445"/>
      <c r="D29" s="2835"/>
      <c r="E29" s="1440"/>
      <c r="F29" s="1322"/>
      <c r="G29" s="1322"/>
      <c r="H29" s="1322"/>
      <c r="I29" s="1322"/>
      <c r="J29" s="1322"/>
      <c r="K29" s="1256"/>
      <c r="L29" s="1443"/>
      <c r="M29" s="2850"/>
      <c r="N29" s="1321"/>
      <c r="O29" s="1323"/>
      <c r="P29" s="1324"/>
      <c r="Q29" s="1322"/>
      <c r="R29" s="1444"/>
      <c r="S29" s="1444"/>
      <c r="T29" s="1444"/>
      <c r="U29" s="1328"/>
      <c r="V29" s="1256"/>
      <c r="W29" s="723"/>
      <c r="X29" s="724"/>
      <c r="Y29" s="1323"/>
      <c r="Z29" s="1321"/>
      <c r="AA29" s="1321"/>
      <c r="AB29" s="1324"/>
      <c r="AC29" s="1327"/>
      <c r="AD29" s="1327"/>
      <c r="AE29" s="1327"/>
      <c r="AF29" s="1327"/>
    </row>
    <row r="30" spans="1:32">
      <c r="A30" s="723"/>
      <c r="B30" s="810"/>
      <c r="C30" s="1445"/>
      <c r="D30" s="2835"/>
      <c r="E30" s="1440"/>
      <c r="F30" s="1322"/>
      <c r="G30" s="1322"/>
      <c r="H30" s="1322"/>
      <c r="I30" s="1322"/>
      <c r="J30" s="1322"/>
      <c r="K30" s="1256"/>
      <c r="L30" s="1443"/>
      <c r="M30" s="2850"/>
      <c r="N30" s="1321"/>
      <c r="O30" s="1323"/>
      <c r="P30" s="1324"/>
      <c r="Q30" s="1322"/>
      <c r="R30" s="1444"/>
      <c r="S30" s="1444"/>
      <c r="T30" s="1444"/>
      <c r="U30" s="1328"/>
      <c r="V30" s="1256"/>
      <c r="W30" s="723"/>
      <c r="X30" s="724"/>
      <c r="Y30" s="1323"/>
      <c r="Z30" s="1321"/>
      <c r="AA30" s="1321"/>
      <c r="AB30" s="1324"/>
      <c r="AC30" s="1327"/>
      <c r="AD30" s="1327"/>
      <c r="AE30" s="1327"/>
      <c r="AF30" s="1327"/>
    </row>
    <row r="31" spans="1:32">
      <c r="A31" s="723"/>
      <c r="B31" s="810"/>
      <c r="C31" s="1445"/>
      <c r="D31" s="2835"/>
      <c r="E31" s="1440"/>
      <c r="F31" s="1322"/>
      <c r="G31" s="1322"/>
      <c r="H31" s="1322"/>
      <c r="I31" s="1322"/>
      <c r="J31" s="1322"/>
      <c r="K31" s="1256"/>
      <c r="L31" s="1443"/>
      <c r="M31" s="2850"/>
      <c r="N31" s="1321"/>
      <c r="O31" s="1323"/>
      <c r="P31" s="1324"/>
      <c r="Q31" s="1322"/>
      <c r="R31" s="1444"/>
      <c r="S31" s="1444"/>
      <c r="T31" s="1444"/>
      <c r="U31" s="1328"/>
      <c r="V31" s="1256"/>
      <c r="W31" s="723"/>
      <c r="X31" s="724"/>
      <c r="Y31" s="1323"/>
      <c r="Z31" s="1321"/>
      <c r="AA31" s="1321"/>
      <c r="AB31" s="1324"/>
      <c r="AC31" s="1327"/>
      <c r="AD31" s="1327"/>
      <c r="AE31" s="1327"/>
      <c r="AF31" s="1327"/>
    </row>
    <row r="32" spans="1:32">
      <c r="A32" s="723"/>
      <c r="B32" s="810"/>
      <c r="C32" s="1445"/>
      <c r="D32" s="2835"/>
      <c r="E32" s="1440"/>
      <c r="F32" s="1322"/>
      <c r="G32" s="1322"/>
      <c r="H32" s="1322"/>
      <c r="I32" s="1322"/>
      <c r="J32" s="1322"/>
      <c r="K32" s="1256"/>
      <c r="L32" s="1443"/>
      <c r="M32" s="2850"/>
      <c r="N32" s="1321"/>
      <c r="O32" s="1323"/>
      <c r="P32" s="1324"/>
      <c r="Q32" s="1322"/>
      <c r="R32" s="1444"/>
      <c r="S32" s="1444"/>
      <c r="T32" s="1444"/>
      <c r="U32" s="1328"/>
      <c r="V32" s="1256"/>
      <c r="W32" s="723"/>
      <c r="X32" s="724"/>
      <c r="Y32" s="1323"/>
      <c r="Z32" s="1321"/>
      <c r="AA32" s="1321"/>
      <c r="AB32" s="1324"/>
      <c r="AC32" s="1327"/>
      <c r="AD32" s="1327"/>
      <c r="AE32" s="1327"/>
      <c r="AF32" s="1327"/>
    </row>
    <row r="33" spans="1:32">
      <c r="A33" s="723"/>
      <c r="B33" s="810"/>
      <c r="C33" s="1445"/>
      <c r="D33" s="1320"/>
      <c r="E33" s="1440"/>
      <c r="F33" s="1322"/>
      <c r="G33" s="1322"/>
      <c r="H33" s="1322"/>
      <c r="I33" s="1322"/>
      <c r="J33" s="1322"/>
      <c r="K33" s="1256"/>
      <c r="L33" s="1443"/>
      <c r="M33" s="2850"/>
      <c r="N33" s="1321"/>
      <c r="O33" s="1323"/>
      <c r="P33" s="1324"/>
      <c r="Q33" s="1322"/>
      <c r="R33" s="1444"/>
      <c r="S33" s="1444"/>
      <c r="T33" s="1444"/>
      <c r="U33" s="1328"/>
      <c r="V33" s="1256"/>
      <c r="W33" s="723"/>
      <c r="X33" s="724"/>
      <c r="Y33" s="1323"/>
      <c r="Z33" s="1321"/>
      <c r="AA33" s="1321"/>
      <c r="AB33" s="1324"/>
      <c r="AC33" s="1327"/>
      <c r="AD33" s="1327"/>
      <c r="AE33" s="1327"/>
      <c r="AF33" s="1327"/>
    </row>
    <row r="34" spans="1:32">
      <c r="A34" s="723"/>
      <c r="B34" s="810"/>
      <c r="C34" s="1445"/>
      <c r="D34" s="1320"/>
      <c r="E34" s="1440"/>
      <c r="F34" s="1322"/>
      <c r="G34" s="1322"/>
      <c r="H34" s="1322"/>
      <c r="I34" s="1322"/>
      <c r="J34" s="1322"/>
      <c r="K34" s="1256"/>
      <c r="L34" s="1443"/>
      <c r="M34" s="2850"/>
      <c r="N34" s="1321"/>
      <c r="O34" s="1323"/>
      <c r="P34" s="1324"/>
      <c r="Q34" s="1322"/>
      <c r="R34" s="1444"/>
      <c r="S34" s="1444"/>
      <c r="T34" s="1444"/>
      <c r="U34" s="1328"/>
      <c r="V34" s="1256"/>
      <c r="W34" s="723"/>
      <c r="X34" s="724"/>
      <c r="Y34" s="1323"/>
      <c r="Z34" s="1321"/>
      <c r="AA34" s="1321"/>
      <c r="AB34" s="1324"/>
      <c r="AC34" s="1327"/>
      <c r="AD34" s="1327"/>
      <c r="AE34" s="1327"/>
      <c r="AF34" s="1327"/>
    </row>
    <row r="35" spans="1:32">
      <c r="A35" s="723"/>
      <c r="B35" s="810"/>
      <c r="C35" s="1445"/>
      <c r="D35" s="1320"/>
      <c r="E35" s="1441"/>
      <c r="F35" s="1322"/>
      <c r="G35" s="1322"/>
      <c r="H35" s="1322"/>
      <c r="I35" s="1322"/>
      <c r="J35" s="1322"/>
      <c r="K35" s="1256"/>
      <c r="L35" s="1443"/>
      <c r="M35" s="2850"/>
      <c r="N35" s="1321"/>
      <c r="O35" s="1323"/>
      <c r="P35" s="1324"/>
      <c r="Q35" s="1322"/>
      <c r="R35" s="1444"/>
      <c r="S35" s="1444"/>
      <c r="T35" s="1444"/>
      <c r="U35" s="1328"/>
      <c r="V35" s="1256"/>
      <c r="W35" s="723"/>
      <c r="X35" s="724"/>
      <c r="Y35" s="1323"/>
      <c r="Z35" s="1321"/>
      <c r="AA35" s="1321"/>
      <c r="AB35" s="1324"/>
      <c r="AC35" s="1327"/>
      <c r="AD35" s="1327"/>
      <c r="AE35" s="1327"/>
      <c r="AF35" s="1327"/>
    </row>
    <row r="36" spans="1:32">
      <c r="A36" s="1329"/>
      <c r="B36" s="1330"/>
      <c r="C36" s="1440"/>
      <c r="D36" s="1331"/>
      <c r="E36" s="1442"/>
      <c r="F36" s="1332"/>
      <c r="G36" s="1332"/>
      <c r="H36" s="1332"/>
      <c r="I36" s="1332"/>
      <c r="J36" s="1332"/>
      <c r="K36" s="1256"/>
      <c r="L36" s="1329"/>
      <c r="M36" s="2851"/>
      <c r="N36" s="1334"/>
      <c r="O36" s="1334"/>
      <c r="P36" s="1335"/>
      <c r="Q36" s="1322"/>
      <c r="R36" s="1333"/>
      <c r="S36" s="1333"/>
      <c r="T36" s="1333"/>
      <c r="U36" s="1336"/>
      <c r="V36" s="1256"/>
      <c r="W36" s="1329"/>
      <c r="X36" s="1333"/>
      <c r="Y36" s="1337"/>
      <c r="Z36" s="1334"/>
      <c r="AA36" s="1334"/>
      <c r="AB36" s="1334"/>
      <c r="AC36" s="1329"/>
      <c r="AD36" s="1337"/>
      <c r="AE36" s="1334"/>
      <c r="AF36" s="1334"/>
    </row>
    <row r="37" spans="1:32" ht="24.75" customHeight="1" collapsed="1" thickBot="1">
      <c r="A37" s="6045" t="s">
        <v>1522</v>
      </c>
      <c r="B37" s="6046"/>
      <c r="C37" s="6046"/>
      <c r="D37" s="6046"/>
      <c r="E37" s="6046"/>
      <c r="F37" s="6047"/>
      <c r="G37" s="1338">
        <f>SUM(G14:G36)</f>
        <v>115998.97500000001</v>
      </c>
      <c r="H37" s="1338">
        <f>SUM(H14:H36)</f>
        <v>0</v>
      </c>
      <c r="I37" s="1338">
        <f>SUM(I14:I36)</f>
        <v>0</v>
      </c>
      <c r="J37" s="1338">
        <f>SUM(J14:J36)</f>
        <v>115998.97500000001</v>
      </c>
      <c r="K37" s="1256"/>
      <c r="L37" s="1339" t="s">
        <v>1522</v>
      </c>
      <c r="M37" s="1343"/>
      <c r="N37" s="1340"/>
      <c r="O37" s="1340"/>
      <c r="P37" s="1340"/>
      <c r="Q37" s="1340"/>
      <c r="R37" s="1341">
        <f>SUM(R14:R36)</f>
        <v>115998.97500000001</v>
      </c>
      <c r="S37" s="1338">
        <f>SUM(S14:S36)</f>
        <v>0</v>
      </c>
      <c r="T37" s="1338">
        <f>SUM(T14:T36)</f>
        <v>0</v>
      </c>
      <c r="U37" s="1338">
        <f>SUM(U14:U36)</f>
        <v>115998.97500000001</v>
      </c>
      <c r="V37" s="1256"/>
      <c r="W37" s="1342" t="s">
        <v>1522</v>
      </c>
      <c r="X37" s="1343"/>
      <c r="Y37" s="1343"/>
      <c r="Z37" s="1343"/>
      <c r="AA37" s="1343"/>
      <c r="AB37" s="1343"/>
      <c r="AC37" s="1341">
        <f>SUM(AC14:AC36)</f>
        <v>0</v>
      </c>
      <c r="AD37" s="1338">
        <f>SUM(AD14:AD36)</f>
        <v>0</v>
      </c>
      <c r="AE37" s="1338">
        <f>SUM(AE14:AE36)</f>
        <v>0</v>
      </c>
      <c r="AF37" s="1338">
        <f>+AF14</f>
        <v>0</v>
      </c>
    </row>
    <row r="38" spans="1:32">
      <c r="A38" s="1360"/>
      <c r="B38" s="1256"/>
      <c r="C38" s="1255"/>
      <c r="D38" s="1257"/>
      <c r="E38" s="1361"/>
      <c r="F38" s="1258"/>
      <c r="G38" s="1258"/>
      <c r="H38" s="1258"/>
      <c r="I38" s="1258"/>
      <c r="J38" s="1258"/>
      <c r="K38" s="1256"/>
      <c r="L38" s="1360"/>
      <c r="M38" s="2852"/>
      <c r="N38" s="1362"/>
      <c r="O38" s="1362"/>
      <c r="P38" s="1362"/>
      <c r="Q38" s="1360"/>
      <c r="R38" s="1360"/>
      <c r="S38" s="1360"/>
      <c r="T38" s="1360"/>
      <c r="U38" s="1363"/>
      <c r="V38" s="1256"/>
      <c r="W38" s="1360"/>
      <c r="X38" s="1360"/>
      <c r="Y38" s="1364"/>
      <c r="Z38" s="1362"/>
      <c r="AA38" s="1362"/>
      <c r="AB38" s="1362"/>
      <c r="AC38" s="1360"/>
      <c r="AD38" s="1364"/>
      <c r="AE38" s="1362"/>
      <c r="AF38" s="1362"/>
    </row>
    <row r="39" spans="1:32">
      <c r="A39" s="1360"/>
      <c r="B39" s="1256"/>
      <c r="C39" s="1255"/>
      <c r="D39" s="1257"/>
      <c r="E39" s="1361"/>
      <c r="F39" s="1258"/>
      <c r="G39" s="1258"/>
      <c r="H39" s="1258"/>
      <c r="I39" s="1258"/>
      <c r="J39" s="1258"/>
      <c r="K39" s="1256"/>
      <c r="L39" s="1360"/>
      <c r="M39" s="2852"/>
      <c r="N39" s="1362"/>
      <c r="O39" s="1362"/>
      <c r="P39" s="1257"/>
      <c r="Q39" s="1258"/>
      <c r="R39" s="1258"/>
      <c r="S39" s="1258"/>
      <c r="T39" s="1258"/>
      <c r="U39" s="1258">
        <f>+U37-T37</f>
        <v>115998.97500000001</v>
      </c>
      <c r="V39" s="1256"/>
      <c r="W39" s="1360"/>
      <c r="X39" s="1360"/>
      <c r="Y39" s="1364"/>
      <c r="Z39" s="1362"/>
      <c r="AA39" s="1362"/>
      <c r="AB39" s="1362"/>
      <c r="AC39" s="1360"/>
      <c r="AD39" s="1364"/>
      <c r="AE39" s="1362"/>
      <c r="AF39" s="1362"/>
    </row>
    <row r="40" spans="1:32">
      <c r="A40" s="1365"/>
      <c r="B40" s="1256"/>
      <c r="C40" s="1255"/>
      <c r="D40" s="1257"/>
      <c r="E40" s="1361"/>
      <c r="F40" s="1366"/>
      <c r="G40" s="1366"/>
      <c r="H40" s="1366"/>
      <c r="I40" s="1366"/>
      <c r="J40" s="1258"/>
      <c r="K40" s="1256"/>
      <c r="L40" s="1365"/>
      <c r="M40" s="2853">
        <f>403092.61/11085046.72</f>
        <v>3.6363636544059594E-2</v>
      </c>
      <c r="N40" s="1365"/>
      <c r="O40" s="1365"/>
      <c r="P40" s="1257"/>
      <c r="Q40" s="1366"/>
      <c r="R40" s="1366"/>
      <c r="S40" s="1366"/>
      <c r="T40" s="1366"/>
      <c r="U40" s="1366"/>
      <c r="V40" s="1256"/>
      <c r="W40" s="1365"/>
      <c r="X40" s="1365"/>
      <c r="Y40" s="1365"/>
      <c r="Z40" s="1362"/>
      <c r="AA40" s="1362"/>
      <c r="AB40" s="1362"/>
      <c r="AC40" s="1365"/>
      <c r="AD40" s="1365"/>
      <c r="AE40" s="1362"/>
      <c r="AF40" s="1362"/>
    </row>
    <row r="41" spans="1:32">
      <c r="D41" s="1257"/>
      <c r="E41" s="153">
        <v>44197</v>
      </c>
      <c r="F41" s="1366"/>
      <c r="P41" s="1257"/>
      <c r="Q41" s="1366"/>
      <c r="R41" s="1366"/>
      <c r="S41" s="1366"/>
      <c r="T41" s="1366"/>
      <c r="U41" s="1366"/>
      <c r="AA41" s="153">
        <v>44094</v>
      </c>
      <c r="AC41" s="1367"/>
    </row>
    <row r="42" spans="1:32">
      <c r="D42" s="1257"/>
      <c r="E42" s="153">
        <f>E41-45</f>
        <v>44152</v>
      </c>
      <c r="F42" s="1366"/>
      <c r="P42" s="1257"/>
      <c r="Q42" s="1366"/>
      <c r="R42" s="1366"/>
      <c r="S42" s="1366"/>
      <c r="T42" s="1366"/>
      <c r="U42" s="1366"/>
      <c r="AA42" s="153">
        <f>AA41-45</f>
        <v>44049</v>
      </c>
    </row>
    <row r="43" spans="1:32">
      <c r="D43" s="1257"/>
      <c r="F43" s="1366"/>
      <c r="H43" s="153">
        <v>43986</v>
      </c>
      <c r="R43" s="652"/>
      <c r="S43" s="652"/>
      <c r="T43" s="652"/>
      <c r="U43" s="652"/>
    </row>
    <row r="45" spans="1:32">
      <c r="G45">
        <v>30933.06</v>
      </c>
      <c r="AC45" t="s">
        <v>2330</v>
      </c>
    </row>
    <row r="46" spans="1:32">
      <c r="G46">
        <f>G45*15%</f>
        <v>4639.9589999999998</v>
      </c>
      <c r="AC46" s="3018">
        <v>45222</v>
      </c>
      <c r="AD46" s="3018">
        <v>45253</v>
      </c>
      <c r="AE46" s="3018">
        <v>45283</v>
      </c>
    </row>
    <row r="47" spans="1:32">
      <c r="G47">
        <f>G45-G46</f>
        <v>26293.101000000002</v>
      </c>
      <c r="AC47" s="3020">
        <v>11439880.26</v>
      </c>
    </row>
  </sheetData>
  <mergeCells count="4">
    <mergeCell ref="A10:J10"/>
    <mergeCell ref="L10:U10"/>
    <mergeCell ref="W10:AF10"/>
    <mergeCell ref="A37:F37"/>
  </mergeCells>
  <printOptions horizontalCentered="1"/>
  <pageMargins left="0.23622047244094491" right="0.23622047244094491" top="0.74803149606299213" bottom="0.74803149606299213" header="0.31496062992125984" footer="0.31496062992125984"/>
  <pageSetup paperSize="8" scale="67" fitToHeight="2" orientation="landscape" r:id="rId1"/>
  <headerFooter>
    <oddHeader>&amp;C&amp;"Calibri,Bold"&amp;18MONTHLY REPORT - INVOICE &amp; PAYMENT TRACKING LOG (BIRCH STREET)</oddHeader>
    <oddFooter>&amp;L1TB.01.003.01 - AYC 
MARCH'26 REPORT&amp;C&amp;A&amp;RPage &amp;P of &amp;N</oddFooter>
  </headerFooter>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13B05-6405-4048-B459-A65757A07FDA}">
  <sheetPr>
    <tabColor theme="7" tint="0.39997558519241921"/>
    <pageSetUpPr fitToPage="1"/>
  </sheetPr>
  <dimension ref="A1:AG47"/>
  <sheetViews>
    <sheetView showGridLines="0" view="pageBreakPreview" zoomScale="90" zoomScaleNormal="100" zoomScaleSheetLayoutView="90" workbookViewId="0">
      <selection activeCell="C43" sqref="C43"/>
    </sheetView>
  </sheetViews>
  <sheetFormatPr defaultColWidth="9" defaultRowHeight="12.75"/>
  <cols>
    <col min="1" max="1" width="10.85546875" customWidth="1"/>
    <col min="2" max="2" width="10.42578125" customWidth="1"/>
    <col min="3" max="3" width="11.42578125" customWidth="1"/>
    <col min="4" max="4" width="10.85546875" bestFit="1" customWidth="1"/>
    <col min="5" max="5" width="9.85546875" bestFit="1" customWidth="1"/>
    <col min="6" max="6" width="12" customWidth="1"/>
    <col min="7" max="7" width="12.85546875" bestFit="1" customWidth="1"/>
    <col min="8" max="9" width="11.85546875" bestFit="1" customWidth="1"/>
    <col min="10" max="10" width="13.85546875" customWidth="1"/>
    <col min="11" max="11" width="0.85546875" customWidth="1"/>
    <col min="12" max="12" width="6" customWidth="1"/>
    <col min="13" max="13" width="17.85546875" style="2854" bestFit="1" customWidth="1"/>
    <col min="14" max="15" width="9" customWidth="1"/>
    <col min="16" max="16" width="7.85546875" customWidth="1"/>
    <col min="17" max="17" width="13.85546875" customWidth="1"/>
    <col min="18" max="18" width="15.5703125" customWidth="1"/>
    <col min="19" max="20" width="11.42578125" customWidth="1"/>
    <col min="21" max="21" width="14.5703125" customWidth="1"/>
    <col min="22" max="22" width="0.85546875" customWidth="1"/>
    <col min="23" max="23" width="14" bestFit="1" customWidth="1"/>
    <col min="24" max="24" width="9" customWidth="1"/>
    <col min="25" max="25" width="9" hidden="1" customWidth="1"/>
    <col min="26" max="26" width="9" bestFit="1" customWidth="1"/>
    <col min="27" max="27" width="10" customWidth="1"/>
    <col min="28" max="28" width="7" customWidth="1"/>
    <col min="29" max="29" width="12.42578125" customWidth="1"/>
    <col min="30" max="30" width="13.5703125" customWidth="1"/>
    <col min="31" max="32" width="14" customWidth="1"/>
    <col min="33" max="33" width="13.5703125" bestFit="1" customWidth="1"/>
  </cols>
  <sheetData>
    <row r="1" spans="1:33">
      <c r="A1" s="1255"/>
      <c r="B1" s="1256"/>
      <c r="C1" s="1255"/>
      <c r="D1" s="1257"/>
      <c r="E1" s="1257"/>
      <c r="F1" s="1258"/>
      <c r="G1" s="1258"/>
      <c r="H1" s="1258"/>
      <c r="I1" s="1258"/>
      <c r="J1" s="1258"/>
      <c r="K1" s="1257"/>
      <c r="L1" s="1255"/>
      <c r="M1" s="2848"/>
      <c r="N1" s="1255"/>
      <c r="O1" s="1255"/>
      <c r="P1" s="1255"/>
      <c r="Q1" s="1255"/>
      <c r="R1" s="1255"/>
      <c r="S1" s="1255"/>
      <c r="T1" s="1255"/>
      <c r="U1" s="1259"/>
      <c r="V1" s="1257"/>
      <c r="W1" s="1257"/>
      <c r="X1" s="1257"/>
      <c r="Y1" s="1257"/>
      <c r="Z1" s="1257"/>
      <c r="AA1" s="1257"/>
      <c r="AB1" s="1257"/>
      <c r="AC1" s="1257"/>
      <c r="AD1" s="1257"/>
      <c r="AE1" s="1257"/>
      <c r="AF1" s="1257"/>
    </row>
    <row r="2" spans="1:33">
      <c r="A2" s="9" t="str">
        <f>'Data Input'!A1&amp;" - "&amp;'Data Input'!B1</f>
        <v>PROGRAMME: - MARINA VILLAGE (PROGRAMME 1_TRIPLE BAY)</v>
      </c>
      <c r="B2" s="1256"/>
      <c r="C2" s="1255"/>
      <c r="D2" s="1257"/>
      <c r="E2" s="1257"/>
      <c r="F2" s="1258"/>
      <c r="G2" s="1258"/>
      <c r="H2" s="1258"/>
      <c r="I2" s="1258"/>
      <c r="J2" s="1258"/>
      <c r="K2" s="1257"/>
      <c r="L2" s="1255"/>
      <c r="M2" s="2848"/>
      <c r="N2" s="1255"/>
      <c r="O2" s="1255"/>
      <c r="P2" s="1255"/>
      <c r="Q2" s="1255"/>
      <c r="R2" s="1255"/>
      <c r="S2" s="1255"/>
      <c r="T2" s="1255"/>
      <c r="U2" s="1259"/>
      <c r="V2" s="1257"/>
      <c r="W2" s="1257"/>
      <c r="X2" s="1257"/>
      <c r="Y2" s="1257"/>
      <c r="Z2" s="1257"/>
      <c r="AA2" s="1257"/>
      <c r="AB2" s="1257"/>
      <c r="AC2" s="1257"/>
      <c r="AD2" s="1257"/>
      <c r="AE2" s="1257"/>
      <c r="AF2" s="1257"/>
    </row>
    <row r="3" spans="1:33">
      <c r="A3" s="9" t="str">
        <f>'Data Input'!A2&amp;" - "&amp;'Data Input'!B2</f>
        <v>PROGRAMME CODE: - 1TB01003</v>
      </c>
      <c r="B3" s="1260"/>
      <c r="C3" s="1261"/>
      <c r="D3" s="1262"/>
      <c r="E3" s="1262"/>
      <c r="F3" s="1263"/>
      <c r="G3" s="1263"/>
      <c r="H3" s="1263"/>
      <c r="I3" s="1263"/>
      <c r="J3" s="1264"/>
      <c r="K3" s="1265"/>
      <c r="L3" s="1265"/>
      <c r="M3" s="1262"/>
      <c r="N3" s="1265"/>
      <c r="O3" s="1266"/>
      <c r="P3" s="1265"/>
      <c r="Q3" s="1265"/>
      <c r="R3" s="1265"/>
      <c r="S3" s="1265"/>
      <c r="T3" s="1265"/>
      <c r="U3" s="1267"/>
      <c r="V3" s="1265"/>
      <c r="W3" s="1265"/>
      <c r="X3" s="1265"/>
      <c r="Y3" s="1265"/>
      <c r="Z3" s="1265"/>
      <c r="AA3" s="1265"/>
      <c r="AB3" s="1265"/>
      <c r="AC3" s="1265"/>
      <c r="AD3" s="1265"/>
      <c r="AE3" s="1265"/>
      <c r="AF3" s="1265"/>
    </row>
    <row r="4" spans="1:33">
      <c r="A4" s="9" t="str">
        <f>'Data Input'!A3&amp;" - "&amp;'Data Input'!B3</f>
        <v>ASSET NAME: - AMAALA YACHT CLUB</v>
      </c>
      <c r="B4" s="1260"/>
      <c r="C4" s="1268"/>
      <c r="D4" s="1265"/>
      <c r="E4" s="1265"/>
      <c r="F4" s="1267"/>
      <c r="G4" s="1267"/>
      <c r="H4" s="1267"/>
      <c r="I4" s="1267"/>
      <c r="J4" s="1269"/>
      <c r="K4" s="1265"/>
      <c r="L4" s="1265"/>
      <c r="M4" s="1262"/>
      <c r="N4" s="1265"/>
      <c r="O4" s="1266"/>
      <c r="P4" s="1265"/>
      <c r="Q4" s="1265"/>
      <c r="R4" s="1265"/>
      <c r="S4" s="1265"/>
      <c r="T4" s="1265"/>
      <c r="U4" s="1267"/>
      <c r="V4" s="1265"/>
      <c r="W4" s="1265"/>
      <c r="X4" s="1265"/>
      <c r="Y4" s="1265"/>
      <c r="Z4" s="1265"/>
      <c r="AA4" s="1265"/>
      <c r="AB4" s="1265"/>
      <c r="AC4" s="1265"/>
      <c r="AD4" s="1265"/>
      <c r="AE4" s="1265"/>
      <c r="AF4" s="1265"/>
    </row>
    <row r="5" spans="1:33">
      <c r="A5" s="9" t="str">
        <f>'Data Input'!A4&amp;" - "&amp;'Data Input'!B4</f>
        <v>ASSET CODE: - 1TB01003.01</v>
      </c>
      <c r="B5" s="1270"/>
      <c r="C5" s="1268"/>
      <c r="D5" s="1265"/>
      <c r="E5" s="1265"/>
      <c r="F5" s="1267"/>
      <c r="G5" s="1267"/>
      <c r="H5" s="1267"/>
      <c r="I5" s="1267"/>
      <c r="J5" s="1269"/>
      <c r="K5" s="1265"/>
      <c r="L5" s="1265"/>
      <c r="M5" s="1262"/>
      <c r="N5" s="1265"/>
      <c r="O5" s="1266"/>
      <c r="P5" s="1265"/>
      <c r="Q5" s="1265"/>
      <c r="R5" s="1271"/>
      <c r="S5" s="1265"/>
      <c r="T5" s="1265"/>
      <c r="U5" s="1267"/>
      <c r="V5" s="1265"/>
      <c r="W5" s="1265"/>
      <c r="X5" s="1265"/>
      <c r="Y5" s="1265"/>
      <c r="Z5" s="1265"/>
      <c r="AA5" s="1265"/>
      <c r="AB5" s="1265"/>
      <c r="AC5" s="1265"/>
      <c r="AD5" s="1265"/>
      <c r="AE5" s="1265"/>
      <c r="AF5" s="1265"/>
    </row>
    <row r="6" spans="1:33">
      <c r="A6" s="9" t="str">
        <f>'Data Input'!A7&amp;" - "&amp;'Data Input'!B7</f>
        <v>REPORT NO: - MONTHLY REPORT NO. 49</v>
      </c>
      <c r="B6" s="1272"/>
      <c r="C6" s="1268"/>
      <c r="D6" s="1265"/>
      <c r="E6" s="1265"/>
      <c r="F6" s="1267"/>
      <c r="G6" s="1267"/>
      <c r="H6" s="1267"/>
      <c r="I6" s="1267"/>
      <c r="J6" s="1269"/>
      <c r="K6" s="1265"/>
      <c r="L6" s="1265"/>
      <c r="M6" s="1262"/>
      <c r="N6" s="1265"/>
      <c r="O6" s="1266"/>
      <c r="P6" s="1265"/>
      <c r="Q6" s="1265"/>
      <c r="R6" s="1273"/>
      <c r="S6" s="1265"/>
      <c r="T6" s="1271"/>
      <c r="U6" s="1267"/>
      <c r="V6" s="1265"/>
      <c r="W6" s="1265"/>
      <c r="X6" s="1265"/>
      <c r="Y6" s="1265"/>
      <c r="Z6" s="1265"/>
      <c r="AA6" s="1265"/>
      <c r="AB6" s="1265"/>
      <c r="AC6" s="1265"/>
      <c r="AD6" s="1265"/>
      <c r="AE6" s="1265"/>
      <c r="AF6" s="1265"/>
    </row>
    <row r="7" spans="1:33">
      <c r="A7" s="9" t="str">
        <f>'Data Input'!A8&amp;" - "&amp;'Data Input'!B8</f>
        <v>REPORTING PERIOD: - OCTOBER 2026</v>
      </c>
      <c r="B7" s="1262"/>
      <c r="C7" s="1274"/>
      <c r="D7" s="1262"/>
      <c r="E7" s="1262"/>
      <c r="F7" s="1263"/>
      <c r="G7" s="1263"/>
      <c r="H7" s="1263"/>
      <c r="I7" s="1263"/>
      <c r="J7" s="1264"/>
      <c r="K7" s="1265"/>
      <c r="L7" s="1265"/>
      <c r="M7" s="1262"/>
      <c r="N7" s="1265"/>
      <c r="O7" s="1265"/>
      <c r="P7" s="1265"/>
      <c r="Q7" s="1267"/>
      <c r="R7" s="1263"/>
      <c r="S7" s="1263"/>
      <c r="T7" s="1263"/>
      <c r="U7" s="1267"/>
      <c r="V7" s="1265"/>
      <c r="W7" s="1265"/>
      <c r="X7" s="1265"/>
      <c r="Y7" s="1265"/>
      <c r="Z7" s="1265"/>
      <c r="AA7" s="1265"/>
      <c r="AB7" s="1265"/>
      <c r="AC7" s="1265"/>
      <c r="AD7" s="1265"/>
      <c r="AE7" s="1265"/>
      <c r="AF7" s="1265"/>
    </row>
    <row r="8" spans="1:33" ht="13.5" thickBot="1">
      <c r="A8" s="9"/>
      <c r="B8" s="1256"/>
      <c r="C8" s="1255"/>
      <c r="D8" s="1257"/>
      <c r="E8" s="1257"/>
      <c r="F8" s="1258"/>
      <c r="G8" s="1258"/>
      <c r="H8" s="1258"/>
      <c r="I8" s="1258"/>
      <c r="J8" s="1258"/>
      <c r="K8" s="1257"/>
      <c r="L8" s="1255"/>
      <c r="M8" s="2848"/>
      <c r="N8" s="1275"/>
      <c r="O8" s="1276"/>
      <c r="P8" s="1255"/>
      <c r="Q8" s="1255"/>
      <c r="R8" s="1255"/>
      <c r="S8" s="1255"/>
      <c r="T8" s="1255"/>
      <c r="U8" s="1259"/>
      <c r="V8" s="1257"/>
      <c r="W8" s="1257"/>
      <c r="X8" s="1257"/>
      <c r="Y8" s="1257"/>
      <c r="Z8" s="1257"/>
      <c r="AA8" s="1257"/>
      <c r="AB8" s="1257"/>
      <c r="AC8" s="1257"/>
      <c r="AD8" s="1257"/>
      <c r="AE8" s="1257"/>
      <c r="AF8" s="1257"/>
    </row>
    <row r="9" spans="1:33" ht="30" customHeight="1" thickBot="1">
      <c r="A9" s="1354" t="str">
        <f>'Schedule B'!A216&amp;" - "&amp;'Schedule B'!B216</f>
        <v>FFEOSE.003D15 - Saudico Electronic Systems</v>
      </c>
      <c r="B9" s="1355"/>
      <c r="C9" s="1355"/>
      <c r="D9" s="1356"/>
      <c r="E9" s="1356"/>
      <c r="F9" s="1357"/>
      <c r="G9" s="1357"/>
      <c r="H9" s="1357"/>
      <c r="I9" s="1357"/>
      <c r="J9" s="1357"/>
      <c r="K9" s="1356"/>
      <c r="L9" s="1355"/>
      <c r="M9" s="2849"/>
      <c r="N9" s="1355"/>
      <c r="O9" s="1355"/>
      <c r="P9" s="1355"/>
      <c r="Q9" s="1355"/>
      <c r="R9" s="1355"/>
      <c r="S9" s="1355"/>
      <c r="T9" s="1355"/>
      <c r="U9" s="1358"/>
      <c r="V9" s="1356"/>
      <c r="W9" s="1356"/>
      <c r="X9" s="1356"/>
      <c r="Y9" s="1356"/>
      <c r="Z9" s="1356"/>
      <c r="AA9" s="1356"/>
      <c r="AB9" s="1356"/>
      <c r="AC9" s="1356"/>
      <c r="AD9" s="1356"/>
      <c r="AE9" s="1356"/>
      <c r="AF9" s="1359"/>
    </row>
    <row r="10" spans="1:33">
      <c r="A10" s="6051" t="s">
        <v>1524</v>
      </c>
      <c r="B10" s="6052"/>
      <c r="C10" s="6052"/>
      <c r="D10" s="6052"/>
      <c r="E10" s="6052"/>
      <c r="F10" s="6052"/>
      <c r="G10" s="6053"/>
      <c r="H10" s="6053"/>
      <c r="I10" s="6053"/>
      <c r="J10" s="6054"/>
      <c r="K10" s="1256"/>
      <c r="L10" s="6055" t="s">
        <v>1525</v>
      </c>
      <c r="M10" s="6056"/>
      <c r="N10" s="6056"/>
      <c r="O10" s="6056"/>
      <c r="P10" s="6056"/>
      <c r="Q10" s="6056"/>
      <c r="R10" s="6057"/>
      <c r="S10" s="6057"/>
      <c r="T10" s="6057"/>
      <c r="U10" s="6058"/>
      <c r="V10" s="1256"/>
      <c r="W10" s="6043" t="s">
        <v>1526</v>
      </c>
      <c r="X10" s="6044"/>
      <c r="Y10" s="6044"/>
      <c r="Z10" s="6044"/>
      <c r="AA10" s="6044"/>
      <c r="AB10" s="6044"/>
      <c r="AC10" s="6044"/>
      <c r="AD10" s="6044"/>
      <c r="AE10" s="6044"/>
      <c r="AF10" s="6059"/>
    </row>
    <row r="11" spans="1:33" ht="60" customHeight="1">
      <c r="A11" s="1283" t="s">
        <v>1462</v>
      </c>
      <c r="B11" s="1284" t="s">
        <v>1527</v>
      </c>
      <c r="C11" s="1284" t="s">
        <v>1528</v>
      </c>
      <c r="D11" s="1285" t="s">
        <v>1744</v>
      </c>
      <c r="E11" s="1285" t="s">
        <v>1530</v>
      </c>
      <c r="F11" s="1286" t="s">
        <v>1531</v>
      </c>
      <c r="G11" s="1287" t="s">
        <v>1532</v>
      </c>
      <c r="H11" s="1287" t="s">
        <v>1533</v>
      </c>
      <c r="I11" s="1287" t="s">
        <v>1534</v>
      </c>
      <c r="J11" s="1288" t="s">
        <v>1535</v>
      </c>
      <c r="K11" s="1289"/>
      <c r="L11" s="763" t="s">
        <v>1536</v>
      </c>
      <c r="M11" s="1290" t="s">
        <v>1601</v>
      </c>
      <c r="N11" s="1290" t="s">
        <v>1530</v>
      </c>
      <c r="O11" s="1290" t="s">
        <v>4521</v>
      </c>
      <c r="P11" s="764" t="s">
        <v>1539</v>
      </c>
      <c r="Q11" s="1291" t="s">
        <v>1540</v>
      </c>
      <c r="R11" s="1292" t="s">
        <v>1541</v>
      </c>
      <c r="S11" s="1292" t="s">
        <v>1533</v>
      </c>
      <c r="T11" s="1292" t="s">
        <v>1534</v>
      </c>
      <c r="U11" s="1293" t="s">
        <v>1542</v>
      </c>
      <c r="V11" s="1256"/>
      <c r="W11" s="1294" t="s">
        <v>2086</v>
      </c>
      <c r="X11" s="2839" t="s">
        <v>2087</v>
      </c>
      <c r="Y11" s="1295" t="s">
        <v>1544</v>
      </c>
      <c r="Z11" s="1296" t="s">
        <v>1545</v>
      </c>
      <c r="AA11" s="1296" t="s">
        <v>4524</v>
      </c>
      <c r="AB11" s="769" t="s">
        <v>1539</v>
      </c>
      <c r="AC11" s="769" t="s">
        <v>1547</v>
      </c>
      <c r="AD11" s="769" t="s">
        <v>2538</v>
      </c>
      <c r="AE11" s="1296" t="s">
        <v>1549</v>
      </c>
      <c r="AF11" s="1297" t="s">
        <v>1550</v>
      </c>
    </row>
    <row r="12" spans="1:33" ht="17.25" customHeight="1">
      <c r="A12" s="1298"/>
      <c r="B12" s="1299"/>
      <c r="C12" s="1300"/>
      <c r="D12" s="1301"/>
      <c r="E12" s="1302" t="s">
        <v>296</v>
      </c>
      <c r="F12" s="1303" t="s">
        <v>434</v>
      </c>
      <c r="G12" s="1303" t="s">
        <v>434</v>
      </c>
      <c r="H12" s="1304">
        <v>0</v>
      </c>
      <c r="I12" s="1304">
        <v>0</v>
      </c>
      <c r="J12" s="1305" t="s">
        <v>434</v>
      </c>
      <c r="K12" s="1256"/>
      <c r="L12" s="765"/>
      <c r="M12" s="766"/>
      <c r="N12" s="1306" t="s">
        <v>296</v>
      </c>
      <c r="O12" s="766" t="s">
        <v>3574</v>
      </c>
      <c r="P12" s="1307" t="s">
        <v>1552</v>
      </c>
      <c r="Q12" s="767" t="s">
        <v>434</v>
      </c>
      <c r="R12" s="767" t="s">
        <v>434</v>
      </c>
      <c r="S12" s="1308">
        <v>0</v>
      </c>
      <c r="T12" s="1308">
        <v>0</v>
      </c>
      <c r="U12" s="768" t="s">
        <v>434</v>
      </c>
      <c r="V12" s="1256"/>
      <c r="W12" s="770"/>
      <c r="X12" s="2840"/>
      <c r="Y12" s="1309" t="s">
        <v>296</v>
      </c>
      <c r="Z12" s="1309" t="s">
        <v>296</v>
      </c>
      <c r="AA12" s="1309" t="s">
        <v>4523</v>
      </c>
      <c r="AB12" s="1310" t="s">
        <v>1552</v>
      </c>
      <c r="AC12" s="1311"/>
      <c r="AD12" s="1312">
        <v>0.05</v>
      </c>
      <c r="AE12" s="1309" t="s">
        <v>296</v>
      </c>
      <c r="AF12" s="1313" t="s">
        <v>296</v>
      </c>
    </row>
    <row r="13" spans="1:33" s="722" customFormat="1" ht="25.5" customHeight="1">
      <c r="A13" s="1314"/>
      <c r="B13" s="1314"/>
      <c r="C13" s="1314"/>
      <c r="D13" s="1314"/>
      <c r="E13" s="1314" t="s">
        <v>1481</v>
      </c>
      <c r="F13" s="1314"/>
      <c r="G13" s="1314"/>
      <c r="H13" s="1314"/>
      <c r="I13" s="1314"/>
      <c r="J13" s="1314"/>
      <c r="K13" s="1255"/>
      <c r="L13" s="1315"/>
      <c r="M13" s="1315"/>
      <c r="N13" s="1316" t="s">
        <v>1482</v>
      </c>
      <c r="O13" s="1314" t="s">
        <v>2084</v>
      </c>
      <c r="P13" s="1317" t="s">
        <v>1555</v>
      </c>
      <c r="Q13" s="1318" t="s">
        <v>1556</v>
      </c>
      <c r="R13" s="1318" t="s">
        <v>1557</v>
      </c>
      <c r="S13" s="1319" t="s">
        <v>1605</v>
      </c>
      <c r="T13" s="1319" t="s">
        <v>1559</v>
      </c>
      <c r="U13" s="1318" t="s">
        <v>1560</v>
      </c>
      <c r="V13" s="1255"/>
      <c r="W13" s="1316"/>
      <c r="X13" s="1316" t="s">
        <v>1561</v>
      </c>
      <c r="Y13" s="1316"/>
      <c r="Z13" s="1316" t="s">
        <v>2088</v>
      </c>
      <c r="AA13" s="1316" t="s">
        <v>2089</v>
      </c>
      <c r="AB13" s="1317" t="s">
        <v>2091</v>
      </c>
      <c r="AC13" s="1314" t="s">
        <v>2092</v>
      </c>
      <c r="AD13" s="1319" t="s">
        <v>3479</v>
      </c>
      <c r="AE13" s="1316" t="s">
        <v>2094</v>
      </c>
      <c r="AF13" s="1316"/>
    </row>
    <row r="14" spans="1:33" s="2837" customFormat="1" ht="50.25" customHeight="1">
      <c r="A14" s="4688">
        <v>1</v>
      </c>
      <c r="B14" s="4689" t="s">
        <v>6140</v>
      </c>
      <c r="C14" s="4690">
        <v>46113</v>
      </c>
      <c r="D14" s="4691" t="s">
        <v>6198</v>
      </c>
      <c r="E14" s="4692">
        <v>46063</v>
      </c>
      <c r="F14" s="4693">
        <v>0</v>
      </c>
      <c r="G14" s="4693">
        <v>34719</v>
      </c>
      <c r="H14" s="4694">
        <f>(G14*$H$12)*-1*0</f>
        <v>0</v>
      </c>
      <c r="I14" s="4694">
        <v>0</v>
      </c>
      <c r="J14" s="4694">
        <f>(G14+H14+I14)</f>
        <v>34719</v>
      </c>
      <c r="K14" s="4695"/>
      <c r="L14" s="4696" t="s">
        <v>6136</v>
      </c>
      <c r="M14" s="4697" t="s">
        <v>6197</v>
      </c>
      <c r="N14" s="4692">
        <v>46063</v>
      </c>
      <c r="O14" s="4698">
        <f>E14+21</f>
        <v>46084</v>
      </c>
      <c r="P14" s="4699">
        <f>O14-N14</f>
        <v>21</v>
      </c>
      <c r="Q14" s="4693">
        <f>+R14</f>
        <v>34719</v>
      </c>
      <c r="R14" s="4693">
        <f>G14</f>
        <v>34719</v>
      </c>
      <c r="S14" s="4694">
        <f>(R14*$S$12)*-1*0</f>
        <v>0</v>
      </c>
      <c r="T14" s="4694">
        <v>0</v>
      </c>
      <c r="U14" s="4694">
        <f>(R14+S14+T14)</f>
        <v>34719</v>
      </c>
      <c r="V14" s="4695"/>
      <c r="W14" s="2838" t="s">
        <v>6199</v>
      </c>
      <c r="X14" s="1321">
        <v>46133</v>
      </c>
      <c r="Y14" s="1323"/>
      <c r="Z14" s="1321"/>
      <c r="AA14" s="1321">
        <f>X14+30</f>
        <v>46163</v>
      </c>
      <c r="AB14" s="1324"/>
      <c r="AC14" s="1327"/>
      <c r="AD14" s="1327"/>
      <c r="AE14" s="1327"/>
      <c r="AF14" s="1327"/>
      <c r="AG14" s="2842">
        <f>+AC14*1.15</f>
        <v>0</v>
      </c>
    </row>
    <row r="15" spans="1:33" s="2837" customFormat="1" ht="50.25" customHeight="1">
      <c r="A15" s="723"/>
      <c r="B15" s="810"/>
      <c r="C15" s="1929"/>
      <c r="D15" s="2835"/>
      <c r="E15" s="1440"/>
      <c r="F15" s="2836"/>
      <c r="G15" s="1444"/>
      <c r="H15" s="1444"/>
      <c r="I15" s="1444"/>
      <c r="J15" s="1444"/>
      <c r="K15" s="1256"/>
      <c r="L15" s="1510"/>
      <c r="M15" s="2850"/>
      <c r="N15" s="1440"/>
      <c r="O15" s="1323"/>
      <c r="P15" s="1324"/>
      <c r="Q15" s="2836"/>
      <c r="R15" s="2836"/>
      <c r="S15" s="1444"/>
      <c r="T15" s="1444"/>
      <c r="U15" s="1444"/>
      <c r="V15" s="1256"/>
      <c r="W15" s="2838"/>
      <c r="X15" s="2841"/>
      <c r="Y15" s="1323"/>
      <c r="Z15" s="1321"/>
      <c r="AA15" s="1321"/>
      <c r="AB15" s="1324"/>
      <c r="AC15" s="1327"/>
      <c r="AD15" s="1327"/>
      <c r="AE15" s="1327"/>
      <c r="AF15" s="1327"/>
      <c r="AG15" s="4266"/>
    </row>
    <row r="16" spans="1:33" s="2837" customFormat="1" ht="50.25" customHeight="1">
      <c r="A16" s="723"/>
      <c r="B16" s="810"/>
      <c r="C16" s="1929"/>
      <c r="D16" s="2835"/>
      <c r="E16" s="1440"/>
      <c r="F16" s="2836"/>
      <c r="G16" s="1444"/>
      <c r="H16" s="1444"/>
      <c r="I16" s="1444"/>
      <c r="J16" s="1444"/>
      <c r="K16" s="1256"/>
      <c r="L16" s="1510"/>
      <c r="M16" s="2850"/>
      <c r="N16" s="1440"/>
      <c r="O16" s="1323"/>
      <c r="P16" s="1324"/>
      <c r="Q16" s="2836"/>
      <c r="R16" s="1444"/>
      <c r="S16" s="1444"/>
      <c r="T16" s="1444"/>
      <c r="U16" s="1444"/>
      <c r="V16" s="1256"/>
      <c r="W16" s="2838"/>
      <c r="X16" s="2841"/>
      <c r="Y16" s="1323"/>
      <c r="Z16" s="1321"/>
      <c r="AA16" s="1321"/>
      <c r="AB16" s="1324"/>
      <c r="AC16" s="1327"/>
      <c r="AD16" s="1327"/>
      <c r="AE16" s="1327"/>
      <c r="AF16" s="1327"/>
      <c r="AG16" s="2842"/>
    </row>
    <row r="17" spans="1:32">
      <c r="A17" s="723"/>
      <c r="B17" s="810"/>
      <c r="C17" s="1445"/>
      <c r="D17" s="2835"/>
      <c r="E17" s="1440"/>
      <c r="F17" s="1322"/>
      <c r="G17" s="1444"/>
      <c r="H17" s="1444"/>
      <c r="I17" s="1444"/>
      <c r="J17" s="1444"/>
      <c r="K17" s="1256"/>
      <c r="L17" s="1510"/>
      <c r="M17" s="2850"/>
      <c r="N17" s="1321"/>
      <c r="O17" s="1323"/>
      <c r="P17" s="1324"/>
      <c r="Q17" s="1322"/>
      <c r="R17" s="1444"/>
      <c r="S17" s="1444"/>
      <c r="T17" s="1444"/>
      <c r="U17" s="1444"/>
      <c r="V17" s="1256"/>
      <c r="W17" s="2838"/>
      <c r="X17" s="2841"/>
      <c r="Y17" s="1323"/>
      <c r="Z17" s="1321"/>
      <c r="AA17" s="1321"/>
      <c r="AB17" s="1324"/>
      <c r="AC17" s="1327"/>
      <c r="AD17" s="1327"/>
      <c r="AE17" s="1327"/>
      <c r="AF17" s="1327"/>
    </row>
    <row r="18" spans="1:32">
      <c r="A18" s="723"/>
      <c r="B18" s="810"/>
      <c r="C18" s="1445"/>
      <c r="D18" s="2835"/>
      <c r="E18" s="1440"/>
      <c r="F18" s="1322"/>
      <c r="G18" s="1444"/>
      <c r="H18" s="1444"/>
      <c r="I18" s="1444"/>
      <c r="J18" s="1444"/>
      <c r="K18" s="1256"/>
      <c r="L18" s="1510"/>
      <c r="M18" s="2850"/>
      <c r="N18" s="1321"/>
      <c r="O18" s="1323"/>
      <c r="P18" s="1324"/>
      <c r="Q18" s="1322"/>
      <c r="R18" s="1444"/>
      <c r="S18" s="1444"/>
      <c r="T18" s="1444"/>
      <c r="U18" s="1444"/>
      <c r="V18" s="1256"/>
      <c r="W18" s="2838"/>
      <c r="X18" s="1323"/>
      <c r="Y18" s="1323"/>
      <c r="Z18" s="1321"/>
      <c r="AA18" s="1321"/>
      <c r="AB18" s="1324"/>
      <c r="AC18" s="1327"/>
      <c r="AD18" s="1327"/>
      <c r="AE18" s="1327"/>
      <c r="AF18" s="1327"/>
    </row>
    <row r="19" spans="1:32" ht="33.950000000000003" customHeight="1">
      <c r="A19" s="723"/>
      <c r="B19" s="810"/>
      <c r="C19" s="1445"/>
      <c r="D19" s="2835"/>
      <c r="E19" s="1440"/>
      <c r="F19" s="1322"/>
      <c r="G19" s="1444"/>
      <c r="H19" s="1444"/>
      <c r="I19" s="1444"/>
      <c r="J19" s="1444"/>
      <c r="K19" s="1256"/>
      <c r="L19" s="1510"/>
      <c r="M19" s="2850"/>
      <c r="N19" s="1321"/>
      <c r="O19" s="1323"/>
      <c r="P19" s="1324"/>
      <c r="Q19" s="1322"/>
      <c r="R19" s="1444"/>
      <c r="S19" s="1444"/>
      <c r="T19" s="1444"/>
      <c r="U19" s="1444"/>
      <c r="V19" s="1256"/>
      <c r="W19" s="2838"/>
      <c r="X19" s="1323"/>
      <c r="Y19" s="1323"/>
      <c r="Z19" s="1321"/>
      <c r="AA19" s="1321"/>
      <c r="AB19" s="1324"/>
      <c r="AC19" s="1327"/>
      <c r="AD19" s="1327"/>
      <c r="AE19" s="1327"/>
      <c r="AF19" s="1327"/>
    </row>
    <row r="20" spans="1:32">
      <c r="A20" s="723"/>
      <c r="B20" s="810"/>
      <c r="C20" s="1445"/>
      <c r="D20" s="2835"/>
      <c r="E20" s="1440"/>
      <c r="F20" s="1322"/>
      <c r="G20" s="1444"/>
      <c r="H20" s="1444"/>
      <c r="I20" s="1444"/>
      <c r="J20" s="1444"/>
      <c r="K20" s="1256"/>
      <c r="L20" s="1510"/>
      <c r="M20" s="2850"/>
      <c r="N20" s="1321"/>
      <c r="O20" s="1323"/>
      <c r="P20" s="1324"/>
      <c r="Q20" s="1322"/>
      <c r="R20" s="1444"/>
      <c r="S20" s="1444"/>
      <c r="T20" s="1444"/>
      <c r="U20" s="1444"/>
      <c r="V20" s="1256"/>
      <c r="W20" s="723"/>
      <c r="X20" s="724"/>
      <c r="Y20" s="1323"/>
      <c r="Z20" s="1321"/>
      <c r="AA20" s="1321"/>
      <c r="AB20" s="1324"/>
      <c r="AC20" s="1327"/>
      <c r="AD20" s="1327"/>
      <c r="AE20" s="1327"/>
      <c r="AF20" s="1327"/>
    </row>
    <row r="21" spans="1:32">
      <c r="A21" s="723"/>
      <c r="B21" s="810"/>
      <c r="C21" s="1445"/>
      <c r="D21" s="2835"/>
      <c r="E21" s="1440"/>
      <c r="F21" s="1322"/>
      <c r="G21" s="1444"/>
      <c r="H21" s="1444"/>
      <c r="I21" s="1444"/>
      <c r="J21" s="1444"/>
      <c r="K21" s="1256"/>
      <c r="L21" s="1510"/>
      <c r="M21" s="2850"/>
      <c r="N21" s="1321"/>
      <c r="O21" s="1323"/>
      <c r="P21" s="1324"/>
      <c r="Q21" s="1322"/>
      <c r="R21" s="1444"/>
      <c r="S21" s="1444"/>
      <c r="T21" s="1444"/>
      <c r="U21" s="1444"/>
      <c r="V21" s="1256"/>
      <c r="W21" s="723"/>
      <c r="X21" s="724"/>
      <c r="Y21" s="1323"/>
      <c r="Z21" s="1321"/>
      <c r="AA21" s="1321"/>
      <c r="AB21" s="1324"/>
      <c r="AC21" s="1327"/>
      <c r="AD21" s="1327"/>
      <c r="AE21" s="1327"/>
      <c r="AF21" s="1327"/>
    </row>
    <row r="22" spans="1:32">
      <c r="A22" s="723"/>
      <c r="B22" s="810"/>
      <c r="C22" s="1445"/>
      <c r="D22" s="2835"/>
      <c r="E22" s="1440"/>
      <c r="F22" s="1322"/>
      <c r="G22" s="1444"/>
      <c r="H22" s="1444"/>
      <c r="I22" s="1444"/>
      <c r="J22" s="1444"/>
      <c r="K22" s="1256"/>
      <c r="L22" s="1510"/>
      <c r="M22" s="2850"/>
      <c r="N22" s="1321"/>
      <c r="O22" s="1323"/>
      <c r="P22" s="1324"/>
      <c r="Q22" s="1322"/>
      <c r="R22" s="1444"/>
      <c r="S22" s="1444"/>
      <c r="T22" s="1444"/>
      <c r="U22" s="1444"/>
      <c r="V22" s="1256"/>
      <c r="W22" s="723"/>
      <c r="X22" s="724"/>
      <c r="Y22" s="1323"/>
      <c r="Z22" s="1321"/>
      <c r="AA22" s="1321"/>
      <c r="AB22" s="1324"/>
      <c r="AC22" s="1327"/>
      <c r="AD22" s="1327"/>
      <c r="AE22" s="1327"/>
      <c r="AF22" s="1327"/>
    </row>
    <row r="23" spans="1:32">
      <c r="A23" s="723"/>
      <c r="B23" s="810"/>
      <c r="C23" s="1445"/>
      <c r="D23" s="2835"/>
      <c r="E23" s="1440"/>
      <c r="F23" s="1322"/>
      <c r="G23" s="1444"/>
      <c r="H23" s="1444"/>
      <c r="I23" s="1444"/>
      <c r="J23" s="1444"/>
      <c r="K23" s="1256"/>
      <c r="L23" s="1510"/>
      <c r="M23" s="2850"/>
      <c r="N23" s="1321"/>
      <c r="O23" s="1323"/>
      <c r="P23" s="1324"/>
      <c r="Q23" s="1322"/>
      <c r="R23" s="1444"/>
      <c r="S23" s="1444"/>
      <c r="T23" s="1444"/>
      <c r="U23" s="1444"/>
      <c r="V23" s="1256"/>
      <c r="W23" s="723"/>
      <c r="X23" s="724"/>
      <c r="Y23" s="1323"/>
      <c r="Z23" s="1321"/>
      <c r="AA23" s="1321"/>
      <c r="AB23" s="1324"/>
      <c r="AC23" s="1327"/>
      <c r="AD23" s="1327"/>
      <c r="AE23" s="1327"/>
      <c r="AF23" s="1327"/>
    </row>
    <row r="24" spans="1:32">
      <c r="A24" s="723"/>
      <c r="B24" s="810"/>
      <c r="C24" s="1445"/>
      <c r="D24" s="2835"/>
      <c r="E24" s="1440"/>
      <c r="F24" s="1322"/>
      <c r="G24" s="1444"/>
      <c r="H24" s="1444"/>
      <c r="I24" s="1444"/>
      <c r="J24" s="1444"/>
      <c r="K24" s="1256"/>
      <c r="L24" s="1510"/>
      <c r="M24" s="2850"/>
      <c r="N24" s="1321"/>
      <c r="O24" s="1323"/>
      <c r="P24" s="1324"/>
      <c r="Q24" s="1322"/>
      <c r="R24" s="1444"/>
      <c r="S24" s="1444"/>
      <c r="T24" s="1444"/>
      <c r="U24" s="1444"/>
      <c r="V24" s="1256"/>
      <c r="W24" s="723"/>
      <c r="X24" s="724"/>
      <c r="Y24" s="1323"/>
      <c r="Z24" s="1321"/>
      <c r="AA24" s="1321"/>
      <c r="AB24" s="1324"/>
      <c r="AC24" s="1327"/>
      <c r="AD24" s="1327"/>
      <c r="AE24" s="1327"/>
      <c r="AF24" s="1327"/>
    </row>
    <row r="25" spans="1:32">
      <c r="A25" s="723"/>
      <c r="B25" s="810"/>
      <c r="C25" s="1445"/>
      <c r="D25" s="2835"/>
      <c r="E25" s="1440"/>
      <c r="F25" s="1322"/>
      <c r="G25" s="1322"/>
      <c r="H25" s="1322"/>
      <c r="I25" s="1322"/>
      <c r="J25" s="1322"/>
      <c r="K25" s="1256"/>
      <c r="L25" s="1443"/>
      <c r="M25" s="2850"/>
      <c r="N25" s="1321"/>
      <c r="O25" s="1323"/>
      <c r="P25" s="1324"/>
      <c r="Q25" s="1322"/>
      <c r="R25" s="1444"/>
      <c r="S25" s="1444"/>
      <c r="T25" s="1444"/>
      <c r="U25" s="1328"/>
      <c r="V25" s="1256"/>
      <c r="W25" s="723"/>
      <c r="X25" s="724"/>
      <c r="Y25" s="1323"/>
      <c r="Z25" s="1321"/>
      <c r="AA25" s="1321"/>
      <c r="AB25" s="1324"/>
      <c r="AC25" s="1327"/>
      <c r="AD25" s="1327"/>
      <c r="AE25" s="1327"/>
      <c r="AF25" s="1327"/>
    </row>
    <row r="26" spans="1:32">
      <c r="A26" s="723"/>
      <c r="B26" s="810"/>
      <c r="C26" s="1445"/>
      <c r="D26" s="2835"/>
      <c r="E26" s="1440"/>
      <c r="F26" s="1322"/>
      <c r="G26" s="1322"/>
      <c r="H26" s="1322"/>
      <c r="I26" s="1322"/>
      <c r="J26" s="1322"/>
      <c r="K26" s="1256"/>
      <c r="L26" s="1443"/>
      <c r="M26" s="2850"/>
      <c r="N26" s="1321"/>
      <c r="O26" s="1323"/>
      <c r="P26" s="1324"/>
      <c r="Q26" s="1322"/>
      <c r="R26" s="1444"/>
      <c r="S26" s="1444"/>
      <c r="T26" s="1444"/>
      <c r="U26" s="1328"/>
      <c r="V26" s="1256"/>
      <c r="W26" s="723"/>
      <c r="X26" s="724"/>
      <c r="Y26" s="1323"/>
      <c r="Z26" s="1321"/>
      <c r="AA26" s="1321"/>
      <c r="AB26" s="1324"/>
      <c r="AC26" s="1327"/>
      <c r="AD26" s="1327"/>
      <c r="AE26" s="1327"/>
      <c r="AF26" s="1327"/>
    </row>
    <row r="27" spans="1:32">
      <c r="A27" s="723"/>
      <c r="B27" s="810"/>
      <c r="C27" s="1445"/>
      <c r="D27" s="2835"/>
      <c r="E27" s="1440"/>
      <c r="F27" s="1322"/>
      <c r="G27" s="1322"/>
      <c r="H27" s="1322"/>
      <c r="I27" s="1322"/>
      <c r="J27" s="1322"/>
      <c r="K27" s="1256"/>
      <c r="L27" s="1443"/>
      <c r="M27" s="2850"/>
      <c r="N27" s="1321"/>
      <c r="O27" s="1323"/>
      <c r="P27" s="1324"/>
      <c r="Q27" s="1322"/>
      <c r="R27" s="1444"/>
      <c r="S27" s="1444"/>
      <c r="T27" s="1444"/>
      <c r="U27" s="1328"/>
      <c r="V27" s="1256"/>
      <c r="W27" s="723"/>
      <c r="X27" s="724"/>
      <c r="Y27" s="1323"/>
      <c r="Z27" s="1321"/>
      <c r="AA27" s="1321"/>
      <c r="AB27" s="1324"/>
      <c r="AC27" s="1327"/>
      <c r="AD27" s="1327"/>
      <c r="AE27" s="1327"/>
      <c r="AF27" s="1327"/>
    </row>
    <row r="28" spans="1:32">
      <c r="A28" s="723"/>
      <c r="B28" s="810"/>
      <c r="C28" s="1445"/>
      <c r="D28" s="2835"/>
      <c r="E28" s="1440"/>
      <c r="F28" s="1322"/>
      <c r="G28" s="1322"/>
      <c r="H28" s="1322"/>
      <c r="I28" s="1322"/>
      <c r="J28" s="1322"/>
      <c r="K28" s="1256"/>
      <c r="L28" s="1443"/>
      <c r="M28" s="2850"/>
      <c r="N28" s="1321"/>
      <c r="O28" s="1323"/>
      <c r="P28" s="1324"/>
      <c r="Q28" s="1322"/>
      <c r="R28" s="1444"/>
      <c r="S28" s="1444"/>
      <c r="T28" s="1444"/>
      <c r="U28" s="1328"/>
      <c r="V28" s="1256"/>
      <c r="W28" s="723"/>
      <c r="X28" s="724"/>
      <c r="Y28" s="1323"/>
      <c r="Z28" s="1321"/>
      <c r="AA28" s="1321"/>
      <c r="AB28" s="1324"/>
      <c r="AC28" s="1327"/>
      <c r="AD28" s="1327"/>
      <c r="AE28" s="1327"/>
      <c r="AF28" s="1327"/>
    </row>
    <row r="29" spans="1:32">
      <c r="A29" s="723"/>
      <c r="B29" s="810"/>
      <c r="C29" s="1445"/>
      <c r="D29" s="2835"/>
      <c r="E29" s="1440"/>
      <c r="F29" s="1322"/>
      <c r="G29" s="1322"/>
      <c r="H29" s="1322"/>
      <c r="I29" s="1322"/>
      <c r="J29" s="1322"/>
      <c r="K29" s="1256"/>
      <c r="L29" s="1443"/>
      <c r="M29" s="2850"/>
      <c r="N29" s="1321"/>
      <c r="O29" s="1323"/>
      <c r="P29" s="1324"/>
      <c r="Q29" s="1322"/>
      <c r="R29" s="1444"/>
      <c r="S29" s="1444"/>
      <c r="T29" s="1444"/>
      <c r="U29" s="1328"/>
      <c r="V29" s="1256"/>
      <c r="W29" s="723"/>
      <c r="X29" s="724"/>
      <c r="Y29" s="1323"/>
      <c r="Z29" s="1321"/>
      <c r="AA29" s="1321"/>
      <c r="AB29" s="1324"/>
      <c r="AC29" s="1327"/>
      <c r="AD29" s="1327"/>
      <c r="AE29" s="1327"/>
      <c r="AF29" s="1327"/>
    </row>
    <row r="30" spans="1:32">
      <c r="A30" s="723"/>
      <c r="B30" s="810"/>
      <c r="C30" s="1445"/>
      <c r="D30" s="2835"/>
      <c r="E30" s="1440"/>
      <c r="F30" s="1322"/>
      <c r="G30" s="1322"/>
      <c r="H30" s="1322"/>
      <c r="I30" s="1322"/>
      <c r="J30" s="1322"/>
      <c r="K30" s="1256"/>
      <c r="L30" s="1443"/>
      <c r="M30" s="2850"/>
      <c r="N30" s="1321"/>
      <c r="O30" s="1323"/>
      <c r="P30" s="1324"/>
      <c r="Q30" s="1322"/>
      <c r="R30" s="1444"/>
      <c r="S30" s="1444"/>
      <c r="T30" s="1444"/>
      <c r="U30" s="1328"/>
      <c r="V30" s="1256"/>
      <c r="W30" s="723"/>
      <c r="X30" s="724"/>
      <c r="Y30" s="1323"/>
      <c r="Z30" s="1321"/>
      <c r="AA30" s="1321"/>
      <c r="AB30" s="1324"/>
      <c r="AC30" s="1327"/>
      <c r="AD30" s="1327"/>
      <c r="AE30" s="1327"/>
      <c r="AF30" s="1327"/>
    </row>
    <row r="31" spans="1:32">
      <c r="A31" s="723"/>
      <c r="B31" s="810"/>
      <c r="C31" s="1445"/>
      <c r="D31" s="2835"/>
      <c r="E31" s="1440"/>
      <c r="F31" s="1322"/>
      <c r="G31" s="1322"/>
      <c r="H31" s="1322"/>
      <c r="I31" s="1322"/>
      <c r="J31" s="1322"/>
      <c r="K31" s="1256"/>
      <c r="L31" s="1443"/>
      <c r="M31" s="2850"/>
      <c r="N31" s="1321"/>
      <c r="O31" s="1323"/>
      <c r="P31" s="1324"/>
      <c r="Q31" s="1322"/>
      <c r="R31" s="1444"/>
      <c r="S31" s="1444"/>
      <c r="T31" s="1444"/>
      <c r="U31" s="1328"/>
      <c r="V31" s="1256"/>
      <c r="W31" s="723"/>
      <c r="X31" s="724"/>
      <c r="Y31" s="1323"/>
      <c r="Z31" s="1321"/>
      <c r="AA31" s="1321"/>
      <c r="AB31" s="1324"/>
      <c r="AC31" s="1327"/>
      <c r="AD31" s="1327"/>
      <c r="AE31" s="1327"/>
      <c r="AF31" s="1327"/>
    </row>
    <row r="32" spans="1:32">
      <c r="A32" s="723"/>
      <c r="B32" s="810"/>
      <c r="C32" s="1445"/>
      <c r="D32" s="2835"/>
      <c r="E32" s="1440"/>
      <c r="F32" s="1322"/>
      <c r="G32" s="1322"/>
      <c r="H32" s="1322"/>
      <c r="I32" s="1322"/>
      <c r="J32" s="1322"/>
      <c r="K32" s="1256"/>
      <c r="L32" s="1443"/>
      <c r="M32" s="2850"/>
      <c r="N32" s="1321"/>
      <c r="O32" s="1323"/>
      <c r="P32" s="1324"/>
      <c r="Q32" s="1322"/>
      <c r="R32" s="1444"/>
      <c r="S32" s="1444"/>
      <c r="T32" s="1444"/>
      <c r="U32" s="1328"/>
      <c r="V32" s="1256"/>
      <c r="W32" s="723"/>
      <c r="X32" s="724"/>
      <c r="Y32" s="1323"/>
      <c r="Z32" s="1321"/>
      <c r="AA32" s="1321"/>
      <c r="AB32" s="1324"/>
      <c r="AC32" s="1327"/>
      <c r="AD32" s="1327"/>
      <c r="AE32" s="1327"/>
      <c r="AF32" s="1327"/>
    </row>
    <row r="33" spans="1:32">
      <c r="A33" s="723"/>
      <c r="B33" s="810"/>
      <c r="C33" s="1445"/>
      <c r="D33" s="1320"/>
      <c r="E33" s="1440"/>
      <c r="F33" s="1322"/>
      <c r="G33" s="1322"/>
      <c r="H33" s="1322"/>
      <c r="I33" s="1322"/>
      <c r="J33" s="1322"/>
      <c r="K33" s="1256"/>
      <c r="L33" s="1443"/>
      <c r="M33" s="2850"/>
      <c r="N33" s="1321"/>
      <c r="O33" s="1323"/>
      <c r="P33" s="1324"/>
      <c r="Q33" s="1322"/>
      <c r="R33" s="1444"/>
      <c r="S33" s="1444"/>
      <c r="T33" s="1444"/>
      <c r="U33" s="1328"/>
      <c r="V33" s="1256"/>
      <c r="W33" s="723"/>
      <c r="X33" s="724"/>
      <c r="Y33" s="1323"/>
      <c r="Z33" s="1321"/>
      <c r="AA33" s="1321"/>
      <c r="AB33" s="1324"/>
      <c r="AC33" s="1327"/>
      <c r="AD33" s="1327"/>
      <c r="AE33" s="1327"/>
      <c r="AF33" s="1327"/>
    </row>
    <row r="34" spans="1:32">
      <c r="A34" s="723"/>
      <c r="B34" s="810"/>
      <c r="C34" s="1445"/>
      <c r="D34" s="1320"/>
      <c r="E34" s="1440"/>
      <c r="F34" s="1322"/>
      <c r="G34" s="1322"/>
      <c r="H34" s="1322"/>
      <c r="I34" s="1322"/>
      <c r="J34" s="1322"/>
      <c r="K34" s="1256"/>
      <c r="L34" s="1443"/>
      <c r="M34" s="2850"/>
      <c r="N34" s="1321"/>
      <c r="O34" s="1323"/>
      <c r="P34" s="1324"/>
      <c r="Q34" s="1322"/>
      <c r="R34" s="1444"/>
      <c r="S34" s="1444"/>
      <c r="T34" s="1444"/>
      <c r="U34" s="1328"/>
      <c r="V34" s="1256"/>
      <c r="W34" s="723"/>
      <c r="X34" s="724"/>
      <c r="Y34" s="1323"/>
      <c r="Z34" s="1321"/>
      <c r="AA34" s="1321"/>
      <c r="AB34" s="1324"/>
      <c r="AC34" s="1327"/>
      <c r="AD34" s="1327"/>
      <c r="AE34" s="1327"/>
      <c r="AF34" s="1327"/>
    </row>
    <row r="35" spans="1:32">
      <c r="A35" s="723"/>
      <c r="B35" s="810"/>
      <c r="C35" s="1445"/>
      <c r="D35" s="1320"/>
      <c r="E35" s="1441"/>
      <c r="F35" s="1322"/>
      <c r="G35" s="1322"/>
      <c r="H35" s="1322"/>
      <c r="I35" s="1322"/>
      <c r="J35" s="1322"/>
      <c r="K35" s="1256"/>
      <c r="L35" s="1443"/>
      <c r="M35" s="2850"/>
      <c r="N35" s="1321"/>
      <c r="O35" s="1323"/>
      <c r="P35" s="1324"/>
      <c r="Q35" s="1322"/>
      <c r="R35" s="1444"/>
      <c r="S35" s="1444"/>
      <c r="T35" s="1444"/>
      <c r="U35" s="1328"/>
      <c r="V35" s="1256"/>
      <c r="W35" s="723"/>
      <c r="X35" s="724"/>
      <c r="Y35" s="1323"/>
      <c r="Z35" s="1321"/>
      <c r="AA35" s="1321"/>
      <c r="AB35" s="1324"/>
      <c r="AC35" s="1327"/>
      <c r="AD35" s="1327"/>
      <c r="AE35" s="1327"/>
      <c r="AF35" s="1327"/>
    </row>
    <row r="36" spans="1:32">
      <c r="A36" s="1329"/>
      <c r="B36" s="1330"/>
      <c r="C36" s="1440"/>
      <c r="D36" s="1331"/>
      <c r="E36" s="1442"/>
      <c r="F36" s="1332"/>
      <c r="G36" s="1332"/>
      <c r="H36" s="1332"/>
      <c r="I36" s="1332"/>
      <c r="J36" s="1332"/>
      <c r="K36" s="1256"/>
      <c r="L36" s="1329"/>
      <c r="M36" s="2851"/>
      <c r="N36" s="1334"/>
      <c r="O36" s="1334"/>
      <c r="P36" s="1335"/>
      <c r="Q36" s="1322"/>
      <c r="R36" s="1333"/>
      <c r="S36" s="1333"/>
      <c r="T36" s="1333"/>
      <c r="U36" s="1336"/>
      <c r="V36" s="1256"/>
      <c r="W36" s="1329"/>
      <c r="X36" s="1333"/>
      <c r="Y36" s="1337"/>
      <c r="Z36" s="1334"/>
      <c r="AA36" s="1334"/>
      <c r="AB36" s="1334"/>
      <c r="AC36" s="1329"/>
      <c r="AD36" s="1337"/>
      <c r="AE36" s="1334"/>
      <c r="AF36" s="1334"/>
    </row>
    <row r="37" spans="1:32" ht="24.75" customHeight="1" collapsed="1" thickBot="1">
      <c r="A37" s="6045" t="s">
        <v>1522</v>
      </c>
      <c r="B37" s="6046"/>
      <c r="C37" s="6046"/>
      <c r="D37" s="6046"/>
      <c r="E37" s="6046"/>
      <c r="F37" s="6047"/>
      <c r="G37" s="1338">
        <f>SUM(G14:G36)</f>
        <v>34719</v>
      </c>
      <c r="H37" s="1338">
        <f>SUM(H14:H36)</f>
        <v>0</v>
      </c>
      <c r="I37" s="1338">
        <f>SUM(I14:I36)</f>
        <v>0</v>
      </c>
      <c r="J37" s="1338">
        <f>SUM(J14:J36)</f>
        <v>34719</v>
      </c>
      <c r="K37" s="1256"/>
      <c r="L37" s="1339" t="s">
        <v>1522</v>
      </c>
      <c r="M37" s="1343"/>
      <c r="N37" s="1340"/>
      <c r="O37" s="1340"/>
      <c r="P37" s="1340"/>
      <c r="Q37" s="1340"/>
      <c r="R37" s="1341">
        <f>SUM(R14:R36)</f>
        <v>34719</v>
      </c>
      <c r="S37" s="1338">
        <f>SUM(S14:S36)</f>
        <v>0</v>
      </c>
      <c r="T37" s="1338">
        <f>SUM(T14:T36)</f>
        <v>0</v>
      </c>
      <c r="U37" s="1338">
        <f>SUM(U14:U36)</f>
        <v>34719</v>
      </c>
      <c r="V37" s="1256"/>
      <c r="W37" s="1342" t="s">
        <v>1522</v>
      </c>
      <c r="X37" s="1343"/>
      <c r="Y37" s="1343"/>
      <c r="Z37" s="1343"/>
      <c r="AA37" s="1343"/>
      <c r="AB37" s="1343"/>
      <c r="AC37" s="1341">
        <f>SUM(AC14:AC36)</f>
        <v>0</v>
      </c>
      <c r="AD37" s="1338">
        <f>SUM(AD14:AD36)</f>
        <v>0</v>
      </c>
      <c r="AE37" s="1338">
        <f>SUM(AE14:AE36)</f>
        <v>0</v>
      </c>
      <c r="AF37" s="1338">
        <f>+AF14</f>
        <v>0</v>
      </c>
    </row>
    <row r="38" spans="1:32">
      <c r="A38" s="1360"/>
      <c r="B38" s="1256"/>
      <c r="C38" s="1255"/>
      <c r="D38" s="1257"/>
      <c r="E38" s="1361"/>
      <c r="F38" s="1258"/>
      <c r="G38" s="1258"/>
      <c r="H38" s="1258"/>
      <c r="I38" s="1258"/>
      <c r="J38" s="1258"/>
      <c r="K38" s="1256"/>
      <c r="L38" s="1360"/>
      <c r="M38" s="2852"/>
      <c r="N38" s="1362"/>
      <c r="O38" s="1362"/>
      <c r="P38" s="1362"/>
      <c r="Q38" s="1360"/>
      <c r="R38" s="1360"/>
      <c r="S38" s="1360"/>
      <c r="T38" s="1360"/>
      <c r="U38" s="1363"/>
      <c r="V38" s="1256"/>
      <c r="W38" s="1360"/>
      <c r="X38" s="1360"/>
      <c r="Y38" s="1364"/>
      <c r="Z38" s="1362"/>
      <c r="AA38" s="1362"/>
      <c r="AB38" s="1362"/>
      <c r="AC38" s="1360"/>
      <c r="AD38" s="1364"/>
      <c r="AE38" s="1362"/>
      <c r="AF38" s="1362"/>
    </row>
    <row r="39" spans="1:32">
      <c r="A39" s="1360"/>
      <c r="B39" s="1256"/>
      <c r="C39" s="1255"/>
      <c r="D39" s="1257"/>
      <c r="E39" s="1361"/>
      <c r="F39" s="1258"/>
      <c r="G39" s="1258"/>
      <c r="H39" s="1258"/>
      <c r="I39" s="1258"/>
      <c r="J39" s="1258"/>
      <c r="K39" s="1256"/>
      <c r="L39" s="1360"/>
      <c r="M39" s="2852"/>
      <c r="N39" s="1362"/>
      <c r="O39" s="1362"/>
      <c r="P39" s="1257"/>
      <c r="Q39" s="1258"/>
      <c r="R39" s="1258"/>
      <c r="S39" s="1258"/>
      <c r="T39" s="1258"/>
      <c r="U39" s="1258">
        <f>+U37-T37</f>
        <v>34719</v>
      </c>
      <c r="V39" s="1256"/>
      <c r="W39" s="1360"/>
      <c r="X39" s="1360"/>
      <c r="Y39" s="1364"/>
      <c r="Z39" s="1362"/>
      <c r="AA39" s="1362"/>
      <c r="AB39" s="1362"/>
      <c r="AC39" s="1360"/>
      <c r="AD39" s="1364"/>
      <c r="AE39" s="1362"/>
      <c r="AF39" s="1362"/>
    </row>
    <row r="40" spans="1:32">
      <c r="A40" s="1365"/>
      <c r="B40" s="1256"/>
      <c r="C40" s="1255"/>
      <c r="D40" s="1257"/>
      <c r="E40" s="1361"/>
      <c r="F40" s="1366"/>
      <c r="G40" s="1366"/>
      <c r="H40" s="1366"/>
      <c r="I40" s="1366"/>
      <c r="J40" s="1258"/>
      <c r="K40" s="1256"/>
      <c r="L40" s="1365"/>
      <c r="M40" s="2853">
        <f>403092.61/11085046.72</f>
        <v>3.6363636544059594E-2</v>
      </c>
      <c r="N40" s="1365"/>
      <c r="O40" s="1365"/>
      <c r="P40" s="1257"/>
      <c r="Q40" s="1366"/>
      <c r="R40" s="1366"/>
      <c r="S40" s="1366"/>
      <c r="T40" s="1366"/>
      <c r="U40" s="1366"/>
      <c r="V40" s="1256"/>
      <c r="W40" s="1365"/>
      <c r="X40" s="1365"/>
      <c r="Y40" s="1365"/>
      <c r="Z40" s="1362"/>
      <c r="AA40" s="1362"/>
      <c r="AB40" s="1362"/>
      <c r="AC40" s="1365"/>
      <c r="AD40" s="1365"/>
      <c r="AE40" s="1362"/>
      <c r="AF40" s="1362"/>
    </row>
    <row r="41" spans="1:32">
      <c r="D41" s="1257"/>
      <c r="E41" s="153">
        <v>44197</v>
      </c>
      <c r="F41" s="1366"/>
      <c r="P41" s="1257"/>
      <c r="Q41" s="1366"/>
      <c r="R41" s="1366"/>
      <c r="S41" s="1366"/>
      <c r="T41" s="1366"/>
      <c r="U41" s="1366"/>
      <c r="AA41" s="153">
        <v>44094</v>
      </c>
      <c r="AC41" s="1367"/>
    </row>
    <row r="42" spans="1:32">
      <c r="D42" s="1257"/>
      <c r="E42" s="153">
        <f>E41-45</f>
        <v>44152</v>
      </c>
      <c r="F42" s="1366"/>
      <c r="P42" s="1257"/>
      <c r="Q42" s="1366"/>
      <c r="R42" s="1366"/>
      <c r="S42" s="1366"/>
      <c r="T42" s="1366"/>
      <c r="U42" s="1366"/>
      <c r="AA42" s="153">
        <f>AA41-45</f>
        <v>44049</v>
      </c>
    </row>
    <row r="43" spans="1:32">
      <c r="D43" s="1257"/>
      <c r="F43" s="1366"/>
      <c r="H43" s="153">
        <v>43986</v>
      </c>
      <c r="R43" s="652"/>
      <c r="S43" s="652"/>
      <c r="T43" s="652"/>
      <c r="U43" s="652"/>
    </row>
    <row r="45" spans="1:32">
      <c r="AC45" t="s">
        <v>2330</v>
      </c>
    </row>
    <row r="46" spans="1:32">
      <c r="AC46" s="3018">
        <v>45222</v>
      </c>
      <c r="AD46" s="3018">
        <v>45253</v>
      </c>
      <c r="AE46" s="3018">
        <v>45283</v>
      </c>
    </row>
    <row r="47" spans="1:32">
      <c r="AC47" s="3020">
        <v>11439880.26</v>
      </c>
    </row>
  </sheetData>
  <mergeCells count="4">
    <mergeCell ref="A10:J10"/>
    <mergeCell ref="L10:U10"/>
    <mergeCell ref="W10:AF10"/>
    <mergeCell ref="A37:F37"/>
  </mergeCells>
  <printOptions horizontalCentered="1"/>
  <pageMargins left="0.23622047244094491" right="0.23622047244094491" top="0.74803149606299213" bottom="0.74803149606299213" header="0.31496062992125984" footer="0.31496062992125984"/>
  <pageSetup paperSize="8" scale="67" fitToHeight="2" orientation="landscape" r:id="rId1"/>
  <headerFooter>
    <oddHeader>&amp;C&amp;"Calibri,Bold"&amp;18MONTHLY REPORT - INVOICE &amp; PAYMENT TRACKING LOG (SAUDICO D15)</oddHeader>
    <oddFooter>&amp;L1TB.01.003.01 - AYC 
MARCH'26 REPORT&amp;C&amp;A&amp;RPage &amp;P of &amp;N</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3A4AF-C13B-4167-AFE5-FB8A7A511059}">
  <sheetPr>
    <tabColor theme="7" tint="0.39997558519241921"/>
    <pageSetUpPr fitToPage="1"/>
  </sheetPr>
  <dimension ref="A1:AG47"/>
  <sheetViews>
    <sheetView showGridLines="0" view="pageBreakPreview" topLeftCell="C1" zoomScale="90" zoomScaleNormal="100" zoomScaleSheetLayoutView="90" workbookViewId="0">
      <selection activeCell="C43" sqref="C43"/>
    </sheetView>
  </sheetViews>
  <sheetFormatPr defaultColWidth="9" defaultRowHeight="12.75"/>
  <cols>
    <col min="1" max="1" width="10.85546875" customWidth="1"/>
    <col min="2" max="2" width="10.42578125" customWidth="1"/>
    <col min="3" max="3" width="11.42578125" customWidth="1"/>
    <col min="4" max="4" width="10.85546875" bestFit="1" customWidth="1"/>
    <col min="5" max="5" width="9.85546875" bestFit="1" customWidth="1"/>
    <col min="6" max="6" width="12" customWidth="1"/>
    <col min="7" max="7" width="12.85546875" bestFit="1" customWidth="1"/>
    <col min="8" max="9" width="11.85546875" bestFit="1" customWidth="1"/>
    <col min="10" max="10" width="13.85546875" customWidth="1"/>
    <col min="11" max="11" width="0.85546875" customWidth="1"/>
    <col min="12" max="12" width="6" customWidth="1"/>
    <col min="13" max="13" width="17.85546875" style="2854" bestFit="1" customWidth="1"/>
    <col min="14" max="15" width="9" customWidth="1"/>
    <col min="16" max="16" width="7.85546875" customWidth="1"/>
    <col min="17" max="17" width="13.85546875" customWidth="1"/>
    <col min="18" max="18" width="15.5703125" customWidth="1"/>
    <col min="19" max="20" width="11.42578125" customWidth="1"/>
    <col min="21" max="21" width="14.5703125" customWidth="1"/>
    <col min="22" max="22" width="0.85546875" customWidth="1"/>
    <col min="23" max="23" width="14" bestFit="1" customWidth="1"/>
    <col min="24" max="24" width="9" customWidth="1"/>
    <col min="25" max="25" width="9" hidden="1" customWidth="1"/>
    <col min="26" max="26" width="9" bestFit="1" customWidth="1"/>
    <col min="27" max="27" width="10" customWidth="1"/>
    <col min="28" max="28" width="7" customWidth="1"/>
    <col min="29" max="29" width="12.42578125" customWidth="1"/>
    <col min="30" max="30" width="13.5703125" customWidth="1"/>
    <col min="31" max="32" width="14" customWidth="1"/>
    <col min="33" max="33" width="13.5703125" bestFit="1" customWidth="1"/>
  </cols>
  <sheetData>
    <row r="1" spans="1:33">
      <c r="A1" s="1255"/>
      <c r="B1" s="1256"/>
      <c r="C1" s="1255"/>
      <c r="D1" s="1257"/>
      <c r="E1" s="1257"/>
      <c r="F1" s="1258"/>
      <c r="G1" s="1258"/>
      <c r="H1" s="1258"/>
      <c r="I1" s="1258"/>
      <c r="J1" s="1258"/>
      <c r="K1" s="1257"/>
      <c r="L1" s="1255"/>
      <c r="M1" s="2848"/>
      <c r="N1" s="1255"/>
      <c r="O1" s="1255"/>
      <c r="P1" s="1255"/>
      <c r="Q1" s="1255"/>
      <c r="R1" s="1255"/>
      <c r="S1" s="1255"/>
      <c r="T1" s="1255"/>
      <c r="U1" s="1259"/>
      <c r="V1" s="1257"/>
      <c r="W1" s="1257"/>
      <c r="X1" s="1257"/>
      <c r="Y1" s="1257"/>
      <c r="Z1" s="1257"/>
      <c r="AA1" s="1257"/>
      <c r="AB1" s="1257"/>
      <c r="AC1" s="1257"/>
      <c r="AD1" s="1257"/>
      <c r="AE1" s="1257"/>
      <c r="AF1" s="1257"/>
    </row>
    <row r="2" spans="1:33">
      <c r="A2" s="9" t="str">
        <f>'Data Input'!A1&amp;" - "&amp;'Data Input'!B1</f>
        <v>PROGRAMME: - MARINA VILLAGE (PROGRAMME 1_TRIPLE BAY)</v>
      </c>
      <c r="B2" s="1256"/>
      <c r="C2" s="1255"/>
      <c r="D2" s="1257"/>
      <c r="E2" s="1257"/>
      <c r="F2" s="1258"/>
      <c r="G2" s="1258"/>
      <c r="H2" s="1258"/>
      <c r="I2" s="1258"/>
      <c r="J2" s="1258"/>
      <c r="K2" s="1257"/>
      <c r="L2" s="1255"/>
      <c r="M2" s="2848"/>
      <c r="N2" s="1255"/>
      <c r="O2" s="1255"/>
      <c r="P2" s="1255"/>
      <c r="Q2" s="1255"/>
      <c r="R2" s="1255"/>
      <c r="S2" s="1255"/>
      <c r="T2" s="1255"/>
      <c r="U2" s="1259"/>
      <c r="V2" s="1257"/>
      <c r="W2" s="1257"/>
      <c r="X2" s="1257"/>
      <c r="Y2" s="1257"/>
      <c r="Z2" s="1257"/>
      <c r="AA2" s="1257"/>
      <c r="AB2" s="1257"/>
      <c r="AC2" s="1257"/>
      <c r="AD2" s="1257"/>
      <c r="AE2" s="1257"/>
      <c r="AF2" s="1257"/>
    </row>
    <row r="3" spans="1:33">
      <c r="A3" s="9" t="str">
        <f>'Data Input'!A2&amp;" - "&amp;'Data Input'!B2</f>
        <v>PROGRAMME CODE: - 1TB01003</v>
      </c>
      <c r="B3" s="1260"/>
      <c r="C3" s="1261"/>
      <c r="D3" s="1262"/>
      <c r="E3" s="1262"/>
      <c r="F3" s="1263"/>
      <c r="G3" s="1263"/>
      <c r="H3" s="1263"/>
      <c r="I3" s="1263"/>
      <c r="J3" s="1264"/>
      <c r="K3" s="1265"/>
      <c r="L3" s="1265"/>
      <c r="M3" s="1262"/>
      <c r="N3" s="1265"/>
      <c r="O3" s="1266"/>
      <c r="P3" s="1265"/>
      <c r="Q3" s="1265"/>
      <c r="R3" s="1265"/>
      <c r="S3" s="1265"/>
      <c r="T3" s="1265"/>
      <c r="U3" s="1267"/>
      <c r="V3" s="1265"/>
      <c r="W3" s="1265"/>
      <c r="X3" s="1265"/>
      <c r="Y3" s="1265"/>
      <c r="Z3" s="1265"/>
      <c r="AA3" s="1265"/>
      <c r="AB3" s="1265"/>
      <c r="AC3" s="1265"/>
      <c r="AD3" s="1265"/>
      <c r="AE3" s="1265"/>
      <c r="AF3" s="1265"/>
    </row>
    <row r="4" spans="1:33">
      <c r="A4" s="9" t="str">
        <f>'Data Input'!A3&amp;" - "&amp;'Data Input'!B3</f>
        <v>ASSET NAME: - AMAALA YACHT CLUB</v>
      </c>
      <c r="B4" s="1260"/>
      <c r="C4" s="1268"/>
      <c r="D4" s="1265"/>
      <c r="E4" s="1265"/>
      <c r="F4" s="1267"/>
      <c r="G4" s="1267"/>
      <c r="H4" s="1267"/>
      <c r="I4" s="1267"/>
      <c r="J4" s="1269"/>
      <c r="K4" s="1265"/>
      <c r="L4" s="1265"/>
      <c r="M4" s="1262"/>
      <c r="N4" s="1265"/>
      <c r="O4" s="1266"/>
      <c r="P4" s="1265"/>
      <c r="Q4" s="1265"/>
      <c r="R4" s="1265"/>
      <c r="S4" s="1265"/>
      <c r="T4" s="1265"/>
      <c r="U4" s="1267"/>
      <c r="V4" s="1265"/>
      <c r="W4" s="1265"/>
      <c r="X4" s="1265"/>
      <c r="Y4" s="1265"/>
      <c r="Z4" s="1265"/>
      <c r="AA4" s="1265"/>
      <c r="AB4" s="1265"/>
      <c r="AC4" s="1265"/>
      <c r="AD4" s="1265"/>
      <c r="AE4" s="1265"/>
      <c r="AF4" s="1265"/>
    </row>
    <row r="5" spans="1:33">
      <c r="A5" s="9" t="str">
        <f>'Data Input'!A4&amp;" - "&amp;'Data Input'!B4</f>
        <v>ASSET CODE: - 1TB01003.01</v>
      </c>
      <c r="B5" s="1270"/>
      <c r="C5" s="1268"/>
      <c r="D5" s="1265"/>
      <c r="E5" s="1265"/>
      <c r="F5" s="1267"/>
      <c r="G5" s="1267"/>
      <c r="H5" s="1267"/>
      <c r="I5" s="1267"/>
      <c r="J5" s="1269"/>
      <c r="K5" s="1265"/>
      <c r="L5" s="1265"/>
      <c r="M5" s="1262"/>
      <c r="N5" s="1265"/>
      <c r="O5" s="1266"/>
      <c r="P5" s="1265"/>
      <c r="Q5" s="1265"/>
      <c r="R5" s="1271"/>
      <c r="S5" s="1265"/>
      <c r="T5" s="1265"/>
      <c r="U5" s="1267"/>
      <c r="V5" s="1265"/>
      <c r="W5" s="1265"/>
      <c r="X5" s="1265"/>
      <c r="Y5" s="1265"/>
      <c r="Z5" s="1265"/>
      <c r="AA5" s="1265"/>
      <c r="AB5" s="1265"/>
      <c r="AC5" s="1265"/>
      <c r="AD5" s="1265"/>
      <c r="AE5" s="1265"/>
      <c r="AF5" s="1265"/>
    </row>
    <row r="6" spans="1:33">
      <c r="A6" s="9" t="str">
        <f>'Data Input'!A7&amp;" - "&amp;'Data Input'!B7</f>
        <v>REPORT NO: - MONTHLY REPORT NO. 49</v>
      </c>
      <c r="B6" s="1272"/>
      <c r="C6" s="1268"/>
      <c r="D6" s="1265"/>
      <c r="E6" s="1265"/>
      <c r="F6" s="1267"/>
      <c r="G6" s="1267"/>
      <c r="H6" s="1267"/>
      <c r="I6" s="1267"/>
      <c r="J6" s="1269"/>
      <c r="K6" s="1265"/>
      <c r="L6" s="1265"/>
      <c r="M6" s="1262"/>
      <c r="N6" s="1265"/>
      <c r="O6" s="1266"/>
      <c r="P6" s="1265"/>
      <c r="Q6" s="1265"/>
      <c r="R6" s="1273"/>
      <c r="S6" s="1265"/>
      <c r="T6" s="1271"/>
      <c r="U6" s="1267"/>
      <c r="V6" s="1265"/>
      <c r="W6" s="1265"/>
      <c r="X6" s="1265"/>
      <c r="Y6" s="1265"/>
      <c r="Z6" s="1265"/>
      <c r="AA6" s="1265"/>
      <c r="AB6" s="1265"/>
      <c r="AC6" s="1265"/>
      <c r="AD6" s="1265"/>
      <c r="AE6" s="1265"/>
      <c r="AF6" s="1265"/>
    </row>
    <row r="7" spans="1:33">
      <c r="A7" s="9" t="str">
        <f>'Data Input'!A8&amp;" - "&amp;'Data Input'!B8</f>
        <v>REPORTING PERIOD: - OCTOBER 2026</v>
      </c>
      <c r="B7" s="1262"/>
      <c r="C7" s="1274"/>
      <c r="D7" s="1262"/>
      <c r="E7" s="1262"/>
      <c r="F7" s="1263"/>
      <c r="G7" s="1263"/>
      <c r="H7" s="1263"/>
      <c r="I7" s="1263"/>
      <c r="J7" s="1264"/>
      <c r="K7" s="1265"/>
      <c r="L7" s="1265"/>
      <c r="M7" s="1262"/>
      <c r="N7" s="1265"/>
      <c r="O7" s="1265"/>
      <c r="P7" s="1265"/>
      <c r="Q7" s="1267"/>
      <c r="R7" s="1263"/>
      <c r="S7" s="1263"/>
      <c r="T7" s="1263"/>
      <c r="U7" s="1267"/>
      <c r="V7" s="1265"/>
      <c r="W7" s="1265"/>
      <c r="X7" s="1265"/>
      <c r="Y7" s="1265"/>
      <c r="Z7" s="1265"/>
      <c r="AA7" s="1265"/>
      <c r="AB7" s="1265"/>
      <c r="AC7" s="1265"/>
      <c r="AD7" s="1265"/>
      <c r="AE7" s="1265"/>
      <c r="AF7" s="1265"/>
    </row>
    <row r="8" spans="1:33" ht="13.5" thickBot="1">
      <c r="A8" s="9"/>
      <c r="B8" s="1256"/>
      <c r="C8" s="1255"/>
      <c r="D8" s="1257"/>
      <c r="E8" s="1257"/>
      <c r="F8" s="1258"/>
      <c r="G8" s="1258"/>
      <c r="H8" s="1258"/>
      <c r="I8" s="1258"/>
      <c r="J8" s="1258"/>
      <c r="K8" s="1257"/>
      <c r="L8" s="1255"/>
      <c r="M8" s="2848"/>
      <c r="N8" s="1275"/>
      <c r="O8" s="1276"/>
      <c r="P8" s="1255"/>
      <c r="Q8" s="1255"/>
      <c r="R8" s="1255"/>
      <c r="S8" s="1255"/>
      <c r="T8" s="1255"/>
      <c r="U8" s="1259"/>
      <c r="V8" s="1257"/>
      <c r="W8" s="1257"/>
      <c r="X8" s="1257"/>
      <c r="Y8" s="1257"/>
      <c r="Z8" s="1257"/>
      <c r="AA8" s="1257"/>
      <c r="AB8" s="1257"/>
      <c r="AC8" s="1257"/>
      <c r="AD8" s="1257"/>
      <c r="AE8" s="1257"/>
      <c r="AF8" s="1257"/>
    </row>
    <row r="9" spans="1:33" ht="30" customHeight="1" thickBot="1">
      <c r="A9" s="1354" t="str">
        <f>'Schedule B'!A213&amp;" - "&amp;'Schedule B'!B213</f>
        <v>FFEOSE.003D09 - Saudico Electronic Systems</v>
      </c>
      <c r="B9" s="1355"/>
      <c r="C9" s="1355"/>
      <c r="D9" s="1356"/>
      <c r="E9" s="1356"/>
      <c r="F9" s="1357"/>
      <c r="G9" s="1357"/>
      <c r="H9" s="1357"/>
      <c r="I9" s="1357"/>
      <c r="J9" s="1357"/>
      <c r="K9" s="1356"/>
      <c r="L9" s="1355"/>
      <c r="M9" s="2849"/>
      <c r="N9" s="1355"/>
      <c r="O9" s="1355"/>
      <c r="P9" s="1355"/>
      <c r="Q9" s="1355"/>
      <c r="R9" s="1355"/>
      <c r="S9" s="1355"/>
      <c r="T9" s="1355"/>
      <c r="U9" s="1358"/>
      <c r="V9" s="1356"/>
      <c r="W9" s="1356"/>
      <c r="X9" s="1356"/>
      <c r="Y9" s="1356"/>
      <c r="Z9" s="1356"/>
      <c r="AA9" s="1356"/>
      <c r="AB9" s="1356"/>
      <c r="AC9" s="1356"/>
      <c r="AD9" s="1356"/>
      <c r="AE9" s="1356"/>
      <c r="AF9" s="1359"/>
    </row>
    <row r="10" spans="1:33">
      <c r="A10" s="6051" t="s">
        <v>1524</v>
      </c>
      <c r="B10" s="6052"/>
      <c r="C10" s="6052"/>
      <c r="D10" s="6052"/>
      <c r="E10" s="6052"/>
      <c r="F10" s="6052"/>
      <c r="G10" s="6053"/>
      <c r="H10" s="6053"/>
      <c r="I10" s="6053"/>
      <c r="J10" s="6054"/>
      <c r="K10" s="1256"/>
      <c r="L10" s="6055" t="s">
        <v>1525</v>
      </c>
      <c r="M10" s="6056"/>
      <c r="N10" s="6056"/>
      <c r="O10" s="6056"/>
      <c r="P10" s="6056"/>
      <c r="Q10" s="6056"/>
      <c r="R10" s="6057"/>
      <c r="S10" s="6057"/>
      <c r="T10" s="6057"/>
      <c r="U10" s="6058"/>
      <c r="V10" s="1256"/>
      <c r="W10" s="6043" t="s">
        <v>1526</v>
      </c>
      <c r="X10" s="6044"/>
      <c r="Y10" s="6044"/>
      <c r="Z10" s="6044"/>
      <c r="AA10" s="6044"/>
      <c r="AB10" s="6044"/>
      <c r="AC10" s="6044"/>
      <c r="AD10" s="6044"/>
      <c r="AE10" s="6044"/>
      <c r="AF10" s="6059"/>
    </row>
    <row r="11" spans="1:33" ht="60" customHeight="1">
      <c r="A11" s="1283" t="s">
        <v>1462</v>
      </c>
      <c r="B11" s="1284" t="s">
        <v>1527</v>
      </c>
      <c r="C11" s="1284" t="s">
        <v>1528</v>
      </c>
      <c r="D11" s="1285" t="s">
        <v>1744</v>
      </c>
      <c r="E11" s="1285" t="s">
        <v>1530</v>
      </c>
      <c r="F11" s="1286" t="s">
        <v>1531</v>
      </c>
      <c r="G11" s="1287" t="s">
        <v>1532</v>
      </c>
      <c r="H11" s="1287" t="s">
        <v>1533</v>
      </c>
      <c r="I11" s="1287" t="s">
        <v>1534</v>
      </c>
      <c r="J11" s="1288" t="s">
        <v>1535</v>
      </c>
      <c r="K11" s="1289"/>
      <c r="L11" s="763" t="s">
        <v>1536</v>
      </c>
      <c r="M11" s="1290" t="s">
        <v>1601</v>
      </c>
      <c r="N11" s="1290" t="s">
        <v>1530</v>
      </c>
      <c r="O11" s="1290" t="s">
        <v>4521</v>
      </c>
      <c r="P11" s="764" t="s">
        <v>1539</v>
      </c>
      <c r="Q11" s="1291" t="s">
        <v>1540</v>
      </c>
      <c r="R11" s="1292" t="s">
        <v>1541</v>
      </c>
      <c r="S11" s="1292" t="s">
        <v>1533</v>
      </c>
      <c r="T11" s="1292" t="s">
        <v>1534</v>
      </c>
      <c r="U11" s="1293" t="s">
        <v>1542</v>
      </c>
      <c r="V11" s="1256"/>
      <c r="W11" s="1294" t="s">
        <v>2086</v>
      </c>
      <c r="X11" s="2839" t="s">
        <v>2087</v>
      </c>
      <c r="Y11" s="1295" t="s">
        <v>1544</v>
      </c>
      <c r="Z11" s="1296" t="s">
        <v>1545</v>
      </c>
      <c r="AA11" s="1296" t="s">
        <v>4524</v>
      </c>
      <c r="AB11" s="769" t="s">
        <v>1539</v>
      </c>
      <c r="AC11" s="769" t="s">
        <v>1547</v>
      </c>
      <c r="AD11" s="769" t="s">
        <v>2538</v>
      </c>
      <c r="AE11" s="1296" t="s">
        <v>1549</v>
      </c>
      <c r="AF11" s="1297" t="s">
        <v>1550</v>
      </c>
    </row>
    <row r="12" spans="1:33" ht="17.25" customHeight="1">
      <c r="A12" s="1298"/>
      <c r="B12" s="1299"/>
      <c r="C12" s="1300"/>
      <c r="D12" s="1301"/>
      <c r="E12" s="1302" t="s">
        <v>296</v>
      </c>
      <c r="F12" s="1303" t="s">
        <v>434</v>
      </c>
      <c r="G12" s="1303" t="s">
        <v>434</v>
      </c>
      <c r="H12" s="1304">
        <v>0</v>
      </c>
      <c r="I12" s="1304">
        <v>0</v>
      </c>
      <c r="J12" s="1305" t="s">
        <v>434</v>
      </c>
      <c r="K12" s="1256"/>
      <c r="L12" s="765"/>
      <c r="M12" s="766"/>
      <c r="N12" s="1306" t="s">
        <v>296</v>
      </c>
      <c r="O12" s="766" t="s">
        <v>3574</v>
      </c>
      <c r="P12" s="1307" t="s">
        <v>1552</v>
      </c>
      <c r="Q12" s="767" t="s">
        <v>434</v>
      </c>
      <c r="R12" s="767" t="s">
        <v>434</v>
      </c>
      <c r="S12" s="1308">
        <v>0</v>
      </c>
      <c r="T12" s="1308">
        <v>0</v>
      </c>
      <c r="U12" s="768" t="s">
        <v>434</v>
      </c>
      <c r="V12" s="1256"/>
      <c r="W12" s="770"/>
      <c r="X12" s="2840"/>
      <c r="Y12" s="1309" t="s">
        <v>296</v>
      </c>
      <c r="Z12" s="1309" t="s">
        <v>296</v>
      </c>
      <c r="AA12" s="1309" t="s">
        <v>4523</v>
      </c>
      <c r="AB12" s="1310" t="s">
        <v>1552</v>
      </c>
      <c r="AC12" s="1311"/>
      <c r="AD12" s="1312">
        <v>0.05</v>
      </c>
      <c r="AE12" s="1309" t="s">
        <v>296</v>
      </c>
      <c r="AF12" s="1313" t="s">
        <v>296</v>
      </c>
    </row>
    <row r="13" spans="1:33" s="722" customFormat="1" ht="25.5" customHeight="1">
      <c r="A13" s="1314"/>
      <c r="B13" s="1314"/>
      <c r="C13" s="1314"/>
      <c r="D13" s="1314"/>
      <c r="E13" s="1314" t="s">
        <v>1481</v>
      </c>
      <c r="F13" s="1314"/>
      <c r="G13" s="1314"/>
      <c r="H13" s="1314"/>
      <c r="I13" s="1314"/>
      <c r="J13" s="1314"/>
      <c r="K13" s="1255"/>
      <c r="L13" s="1315"/>
      <c r="M13" s="1315"/>
      <c r="N13" s="1316" t="s">
        <v>1482</v>
      </c>
      <c r="O13" s="1314" t="s">
        <v>2084</v>
      </c>
      <c r="P13" s="1317" t="s">
        <v>1555</v>
      </c>
      <c r="Q13" s="1318" t="s">
        <v>1556</v>
      </c>
      <c r="R13" s="1318" t="s">
        <v>1557</v>
      </c>
      <c r="S13" s="1319" t="s">
        <v>1605</v>
      </c>
      <c r="T13" s="1319" t="s">
        <v>1559</v>
      </c>
      <c r="U13" s="1318" t="s">
        <v>1560</v>
      </c>
      <c r="V13" s="1255"/>
      <c r="W13" s="1316"/>
      <c r="X13" s="1316" t="s">
        <v>1561</v>
      </c>
      <c r="Y13" s="1316"/>
      <c r="Z13" s="1316" t="s">
        <v>2088</v>
      </c>
      <c r="AA13" s="1316" t="s">
        <v>2089</v>
      </c>
      <c r="AB13" s="1317" t="s">
        <v>2091</v>
      </c>
      <c r="AC13" s="1314" t="s">
        <v>2092</v>
      </c>
      <c r="AD13" s="1319" t="s">
        <v>3479</v>
      </c>
      <c r="AE13" s="1316" t="s">
        <v>2094</v>
      </c>
      <c r="AF13" s="1316"/>
    </row>
    <row r="14" spans="1:33" s="2837" customFormat="1" ht="50.25" customHeight="1">
      <c r="A14" s="4688">
        <v>1</v>
      </c>
      <c r="B14" s="4689" t="s">
        <v>6140</v>
      </c>
      <c r="C14" s="4690">
        <v>46113</v>
      </c>
      <c r="D14" s="4691" t="s">
        <v>6218</v>
      </c>
      <c r="E14" s="4692">
        <v>46063</v>
      </c>
      <c r="F14" s="4693">
        <v>0</v>
      </c>
      <c r="G14" s="4693">
        <v>353487.06</v>
      </c>
      <c r="H14" s="4694">
        <f>(G14*$H$12)*-1*0</f>
        <v>0</v>
      </c>
      <c r="I14" s="4694">
        <v>0</v>
      </c>
      <c r="J14" s="4694">
        <f>(G14+H14+I14)</f>
        <v>353487.06</v>
      </c>
      <c r="K14" s="4695"/>
      <c r="L14" s="4696" t="s">
        <v>6136</v>
      </c>
      <c r="M14" s="4697" t="s">
        <v>6219</v>
      </c>
      <c r="N14" s="4692">
        <v>46063</v>
      </c>
      <c r="O14" s="4698">
        <f>E14+21</f>
        <v>46084</v>
      </c>
      <c r="P14" s="4699">
        <f>O14-N14</f>
        <v>21</v>
      </c>
      <c r="Q14" s="4693">
        <f>+R14</f>
        <v>353487.06</v>
      </c>
      <c r="R14" s="4693">
        <f>G14</f>
        <v>353487.06</v>
      </c>
      <c r="S14" s="4694">
        <f>(R14*$S$12)*-1*0</f>
        <v>0</v>
      </c>
      <c r="T14" s="4694">
        <v>0</v>
      </c>
      <c r="U14" s="4694">
        <f>(R14+S14+T14)</f>
        <v>353487.06</v>
      </c>
      <c r="V14" s="4695"/>
      <c r="W14" s="2838" t="s">
        <v>6220</v>
      </c>
      <c r="X14" s="1321">
        <v>46147</v>
      </c>
      <c r="Y14" s="1323"/>
      <c r="Z14" s="1321"/>
      <c r="AA14" s="1321">
        <f>X14+30</f>
        <v>46177</v>
      </c>
      <c r="AB14" s="1324"/>
      <c r="AC14" s="1327"/>
      <c r="AD14" s="1327"/>
      <c r="AE14" s="1327"/>
      <c r="AF14" s="1327"/>
      <c r="AG14" s="2842">
        <f>+AC14*1.15</f>
        <v>0</v>
      </c>
    </row>
    <row r="15" spans="1:33" s="2837" customFormat="1" ht="50.25" customHeight="1">
      <c r="A15" s="723"/>
      <c r="B15" s="810"/>
      <c r="C15" s="1929"/>
      <c r="D15" s="2835"/>
      <c r="E15" s="1440"/>
      <c r="F15" s="2836"/>
      <c r="G15" s="1444"/>
      <c r="H15" s="1444"/>
      <c r="I15" s="1444"/>
      <c r="J15" s="1444"/>
      <c r="K15" s="1256"/>
      <c r="L15" s="1510"/>
      <c r="M15" s="2850"/>
      <c r="N15" s="1440"/>
      <c r="O15" s="1323"/>
      <c r="P15" s="1324"/>
      <c r="Q15" s="2836"/>
      <c r="R15" s="2836"/>
      <c r="S15" s="1444"/>
      <c r="T15" s="1444"/>
      <c r="U15" s="1444"/>
      <c r="V15" s="1256"/>
      <c r="W15" s="2838"/>
      <c r="X15" s="2841"/>
      <c r="Y15" s="1323"/>
      <c r="Z15" s="1321"/>
      <c r="AA15" s="1321"/>
      <c r="AB15" s="1324"/>
      <c r="AC15" s="1327"/>
      <c r="AD15" s="1327"/>
      <c r="AE15" s="1327"/>
      <c r="AF15" s="1327"/>
      <c r="AG15" s="4266"/>
    </row>
    <row r="16" spans="1:33" s="2837" customFormat="1" ht="50.25" customHeight="1">
      <c r="A16" s="723"/>
      <c r="B16" s="810"/>
      <c r="C16" s="1929"/>
      <c r="D16" s="2835"/>
      <c r="E16" s="1440"/>
      <c r="F16" s="2836"/>
      <c r="G16" s="1444"/>
      <c r="H16" s="1444"/>
      <c r="I16" s="1444"/>
      <c r="J16" s="1444"/>
      <c r="K16" s="1256"/>
      <c r="L16" s="1510"/>
      <c r="M16" s="2850"/>
      <c r="N16" s="1440"/>
      <c r="O16" s="1323"/>
      <c r="P16" s="1324"/>
      <c r="Q16" s="2836"/>
      <c r="R16" s="1444"/>
      <c r="S16" s="1444"/>
      <c r="T16" s="1444"/>
      <c r="U16" s="1444"/>
      <c r="V16" s="1256"/>
      <c r="W16" s="2838"/>
      <c r="X16" s="2841"/>
      <c r="Y16" s="1323"/>
      <c r="Z16" s="1321"/>
      <c r="AA16" s="1321"/>
      <c r="AB16" s="1324"/>
      <c r="AC16" s="1327"/>
      <c r="AD16" s="1327"/>
      <c r="AE16" s="1327"/>
      <c r="AF16" s="1327"/>
      <c r="AG16" s="2842"/>
    </row>
    <row r="17" spans="1:32">
      <c r="A17" s="723"/>
      <c r="B17" s="810"/>
      <c r="C17" s="1445"/>
      <c r="D17" s="2835"/>
      <c r="E17" s="1440"/>
      <c r="F17" s="1322"/>
      <c r="G17" s="1444"/>
      <c r="H17" s="1444"/>
      <c r="I17" s="1444"/>
      <c r="J17" s="1444"/>
      <c r="K17" s="1256"/>
      <c r="L17" s="1510"/>
      <c r="M17" s="2850"/>
      <c r="N17" s="1321"/>
      <c r="O17" s="1323"/>
      <c r="P17" s="1324"/>
      <c r="Q17" s="1322"/>
      <c r="R17" s="1444"/>
      <c r="S17" s="1444"/>
      <c r="T17" s="1444"/>
      <c r="U17" s="1444"/>
      <c r="V17" s="1256"/>
      <c r="W17" s="2838"/>
      <c r="X17" s="2841"/>
      <c r="Y17" s="1323"/>
      <c r="Z17" s="1321"/>
      <c r="AA17" s="1321"/>
      <c r="AB17" s="1324"/>
      <c r="AC17" s="1327"/>
      <c r="AD17" s="1327"/>
      <c r="AE17" s="1327"/>
      <c r="AF17" s="1327"/>
    </row>
    <row r="18" spans="1:32">
      <c r="A18" s="723"/>
      <c r="B18" s="810"/>
      <c r="C18" s="1445"/>
      <c r="D18" s="2835"/>
      <c r="E18" s="1440"/>
      <c r="F18" s="1322"/>
      <c r="G18" s="1444"/>
      <c r="H18" s="1444"/>
      <c r="I18" s="1444"/>
      <c r="J18" s="1444"/>
      <c r="K18" s="1256"/>
      <c r="L18" s="1510"/>
      <c r="M18" s="2850"/>
      <c r="N18" s="1321"/>
      <c r="O18" s="1323"/>
      <c r="P18" s="1324"/>
      <c r="Q18" s="1322"/>
      <c r="R18" s="1444"/>
      <c r="S18" s="1444"/>
      <c r="T18" s="1444"/>
      <c r="U18" s="1444"/>
      <c r="V18" s="1256"/>
      <c r="W18" s="2838"/>
      <c r="X18" s="1323"/>
      <c r="Y18" s="1323"/>
      <c r="Z18" s="1321"/>
      <c r="AA18" s="1321"/>
      <c r="AB18" s="1324"/>
      <c r="AC18" s="1327"/>
      <c r="AD18" s="1327"/>
      <c r="AE18" s="1327"/>
      <c r="AF18" s="1327"/>
    </row>
    <row r="19" spans="1:32" ht="33.950000000000003" customHeight="1">
      <c r="A19" s="723"/>
      <c r="B19" s="810"/>
      <c r="C19" s="1445"/>
      <c r="D19" s="2835"/>
      <c r="E19" s="1440"/>
      <c r="F19" s="1322"/>
      <c r="G19" s="1444"/>
      <c r="H19" s="1444"/>
      <c r="I19" s="1444"/>
      <c r="J19" s="1444"/>
      <c r="K19" s="1256"/>
      <c r="L19" s="1510"/>
      <c r="M19" s="2850"/>
      <c r="N19" s="1321"/>
      <c r="O19" s="1323"/>
      <c r="P19" s="1324"/>
      <c r="Q19" s="1322"/>
      <c r="R19" s="1444"/>
      <c r="S19" s="1444"/>
      <c r="T19" s="1444"/>
      <c r="U19" s="1444"/>
      <c r="V19" s="1256"/>
      <c r="W19" s="2838"/>
      <c r="X19" s="1323"/>
      <c r="Y19" s="1323"/>
      <c r="Z19" s="1321"/>
      <c r="AA19" s="1321"/>
      <c r="AB19" s="1324"/>
      <c r="AC19" s="1327"/>
      <c r="AD19" s="1327"/>
      <c r="AE19" s="1327"/>
      <c r="AF19" s="1327"/>
    </row>
    <row r="20" spans="1:32">
      <c r="A20" s="723"/>
      <c r="B20" s="810"/>
      <c r="C20" s="1445"/>
      <c r="D20" s="2835"/>
      <c r="E20" s="1440"/>
      <c r="F20" s="1322"/>
      <c r="G20" s="1444"/>
      <c r="H20" s="1444"/>
      <c r="I20" s="1444"/>
      <c r="J20" s="1444"/>
      <c r="K20" s="1256"/>
      <c r="L20" s="1510"/>
      <c r="M20" s="2850"/>
      <c r="N20" s="1321"/>
      <c r="O20" s="1323"/>
      <c r="P20" s="1324"/>
      <c r="Q20" s="1322"/>
      <c r="R20" s="1444"/>
      <c r="S20" s="1444"/>
      <c r="T20" s="1444"/>
      <c r="U20" s="1444"/>
      <c r="V20" s="1256"/>
      <c r="W20" s="723"/>
      <c r="X20" s="724"/>
      <c r="Y20" s="1323"/>
      <c r="Z20" s="1321"/>
      <c r="AA20" s="1321"/>
      <c r="AB20" s="1324"/>
      <c r="AC20" s="1327"/>
      <c r="AD20" s="1327"/>
      <c r="AE20" s="1327"/>
      <c r="AF20" s="1327"/>
    </row>
    <row r="21" spans="1:32">
      <c r="A21" s="723"/>
      <c r="B21" s="810"/>
      <c r="C21" s="1445"/>
      <c r="D21" s="2835"/>
      <c r="E21" s="1440"/>
      <c r="F21" s="1322"/>
      <c r="G21" s="1444"/>
      <c r="H21" s="1444"/>
      <c r="I21" s="1444"/>
      <c r="J21" s="1444"/>
      <c r="K21" s="1256"/>
      <c r="L21" s="1510"/>
      <c r="M21" s="2850"/>
      <c r="N21" s="1321"/>
      <c r="O21" s="1323"/>
      <c r="P21" s="1324"/>
      <c r="Q21" s="1322"/>
      <c r="R21" s="1444"/>
      <c r="S21" s="1444"/>
      <c r="T21" s="1444"/>
      <c r="U21" s="1444"/>
      <c r="V21" s="1256"/>
      <c r="W21" s="723"/>
      <c r="X21" s="724"/>
      <c r="Y21" s="1323"/>
      <c r="Z21" s="1321"/>
      <c r="AA21" s="1321"/>
      <c r="AB21" s="1324"/>
      <c r="AC21" s="1327"/>
      <c r="AD21" s="1327"/>
      <c r="AE21" s="1327"/>
      <c r="AF21" s="1327"/>
    </row>
    <row r="22" spans="1:32">
      <c r="A22" s="723"/>
      <c r="B22" s="810"/>
      <c r="C22" s="1445"/>
      <c r="D22" s="2835"/>
      <c r="E22" s="1440"/>
      <c r="F22" s="1322"/>
      <c r="G22" s="1444"/>
      <c r="H22" s="1444"/>
      <c r="I22" s="1444"/>
      <c r="J22" s="1444"/>
      <c r="K22" s="1256"/>
      <c r="L22" s="1510"/>
      <c r="M22" s="2850"/>
      <c r="N22" s="1321"/>
      <c r="O22" s="1323"/>
      <c r="P22" s="1324"/>
      <c r="Q22" s="1322"/>
      <c r="R22" s="1444"/>
      <c r="S22" s="1444"/>
      <c r="T22" s="1444"/>
      <c r="U22" s="1444"/>
      <c r="V22" s="1256"/>
      <c r="W22" s="723"/>
      <c r="X22" s="724"/>
      <c r="Y22" s="1323"/>
      <c r="Z22" s="1321"/>
      <c r="AA22" s="1321"/>
      <c r="AB22" s="1324"/>
      <c r="AC22" s="1327"/>
      <c r="AD22" s="1327"/>
      <c r="AE22" s="1327"/>
      <c r="AF22" s="1327"/>
    </row>
    <row r="23" spans="1:32">
      <c r="A23" s="723"/>
      <c r="B23" s="810"/>
      <c r="C23" s="1445"/>
      <c r="D23" s="2835"/>
      <c r="E23" s="1440"/>
      <c r="F23" s="1322"/>
      <c r="G23" s="1444"/>
      <c r="H23" s="1444"/>
      <c r="I23" s="1444"/>
      <c r="J23" s="1444"/>
      <c r="K23" s="1256"/>
      <c r="L23" s="1510"/>
      <c r="M23" s="2850"/>
      <c r="N23" s="1321"/>
      <c r="O23" s="1323"/>
      <c r="P23" s="1324"/>
      <c r="Q23" s="1322"/>
      <c r="R23" s="1444"/>
      <c r="S23" s="1444"/>
      <c r="T23" s="1444"/>
      <c r="U23" s="1444"/>
      <c r="V23" s="1256"/>
      <c r="W23" s="723"/>
      <c r="X23" s="724"/>
      <c r="Y23" s="1323"/>
      <c r="Z23" s="1321"/>
      <c r="AA23" s="1321"/>
      <c r="AB23" s="1324"/>
      <c r="AC23" s="1327"/>
      <c r="AD23" s="1327"/>
      <c r="AE23" s="1327"/>
      <c r="AF23" s="1327"/>
    </row>
    <row r="24" spans="1:32">
      <c r="A24" s="723"/>
      <c r="B24" s="810"/>
      <c r="C24" s="1445"/>
      <c r="D24" s="2835"/>
      <c r="E24" s="1440"/>
      <c r="F24" s="1322"/>
      <c r="G24" s="1444"/>
      <c r="H24" s="1444"/>
      <c r="I24" s="1444"/>
      <c r="J24" s="1444"/>
      <c r="K24" s="1256"/>
      <c r="L24" s="1510"/>
      <c r="M24" s="2850"/>
      <c r="N24" s="1321"/>
      <c r="O24" s="1323"/>
      <c r="P24" s="1324"/>
      <c r="Q24" s="1322"/>
      <c r="R24" s="1444"/>
      <c r="S24" s="1444"/>
      <c r="T24" s="1444"/>
      <c r="U24" s="1444"/>
      <c r="V24" s="1256"/>
      <c r="W24" s="723"/>
      <c r="X24" s="724"/>
      <c r="Y24" s="1323"/>
      <c r="Z24" s="1321"/>
      <c r="AA24" s="1321"/>
      <c r="AB24" s="1324"/>
      <c r="AC24" s="1327"/>
      <c r="AD24" s="1327"/>
      <c r="AE24" s="1327"/>
      <c r="AF24" s="1327"/>
    </row>
    <row r="25" spans="1:32">
      <c r="A25" s="723"/>
      <c r="B25" s="810"/>
      <c r="C25" s="1445"/>
      <c r="D25" s="2835"/>
      <c r="E25" s="1440"/>
      <c r="F25" s="1322"/>
      <c r="G25" s="1322"/>
      <c r="H25" s="1322"/>
      <c r="I25" s="1322"/>
      <c r="J25" s="1322"/>
      <c r="K25" s="1256"/>
      <c r="L25" s="1443"/>
      <c r="M25" s="2850"/>
      <c r="N25" s="1321"/>
      <c r="O25" s="1323"/>
      <c r="P25" s="1324"/>
      <c r="Q25" s="1322"/>
      <c r="R25" s="1444"/>
      <c r="S25" s="1444"/>
      <c r="T25" s="1444"/>
      <c r="U25" s="1328"/>
      <c r="V25" s="1256"/>
      <c r="W25" s="723"/>
      <c r="X25" s="724"/>
      <c r="Y25" s="1323"/>
      <c r="Z25" s="1321"/>
      <c r="AA25" s="1321"/>
      <c r="AB25" s="1324"/>
      <c r="AC25" s="1327"/>
      <c r="AD25" s="1327"/>
      <c r="AE25" s="1327"/>
      <c r="AF25" s="1327"/>
    </row>
    <row r="26" spans="1:32">
      <c r="A26" s="723"/>
      <c r="B26" s="810"/>
      <c r="C26" s="1445"/>
      <c r="D26" s="2835"/>
      <c r="E26" s="1440"/>
      <c r="F26" s="1322"/>
      <c r="G26" s="1322"/>
      <c r="H26" s="1322"/>
      <c r="I26" s="1322"/>
      <c r="J26" s="1322"/>
      <c r="K26" s="1256"/>
      <c r="L26" s="1443"/>
      <c r="M26" s="2850"/>
      <c r="N26" s="1321"/>
      <c r="O26" s="1323"/>
      <c r="P26" s="1324"/>
      <c r="Q26" s="1322"/>
      <c r="R26" s="1444"/>
      <c r="S26" s="1444"/>
      <c r="T26" s="1444"/>
      <c r="U26" s="1328"/>
      <c r="V26" s="1256"/>
      <c r="W26" s="723"/>
      <c r="X26" s="724"/>
      <c r="Y26" s="1323"/>
      <c r="Z26" s="1321"/>
      <c r="AA26" s="1321"/>
      <c r="AB26" s="1324"/>
      <c r="AC26" s="1327"/>
      <c r="AD26" s="1327"/>
      <c r="AE26" s="1327"/>
      <c r="AF26" s="1327"/>
    </row>
    <row r="27" spans="1:32">
      <c r="A27" s="723"/>
      <c r="B27" s="810"/>
      <c r="C27" s="1445"/>
      <c r="D27" s="2835"/>
      <c r="E27" s="1440"/>
      <c r="F27" s="1322"/>
      <c r="G27" s="1322"/>
      <c r="H27" s="1322"/>
      <c r="I27" s="1322"/>
      <c r="J27" s="1322"/>
      <c r="K27" s="1256"/>
      <c r="L27" s="1443"/>
      <c r="M27" s="2850"/>
      <c r="N27" s="1321"/>
      <c r="O27" s="1323"/>
      <c r="P27" s="1324"/>
      <c r="Q27" s="1322"/>
      <c r="R27" s="1444"/>
      <c r="S27" s="1444"/>
      <c r="T27" s="1444"/>
      <c r="U27" s="1328"/>
      <c r="V27" s="1256"/>
      <c r="W27" s="723"/>
      <c r="X27" s="724"/>
      <c r="Y27" s="1323"/>
      <c r="Z27" s="1321"/>
      <c r="AA27" s="1321"/>
      <c r="AB27" s="1324"/>
      <c r="AC27" s="1327"/>
      <c r="AD27" s="1327"/>
      <c r="AE27" s="1327"/>
      <c r="AF27" s="1327"/>
    </row>
    <row r="28" spans="1:32">
      <c r="A28" s="723"/>
      <c r="B28" s="810"/>
      <c r="C28" s="1445"/>
      <c r="D28" s="2835"/>
      <c r="E28" s="1440"/>
      <c r="F28" s="1322"/>
      <c r="G28" s="1322"/>
      <c r="H28" s="1322"/>
      <c r="I28" s="1322"/>
      <c r="J28" s="1322"/>
      <c r="K28" s="1256"/>
      <c r="L28" s="1443"/>
      <c r="M28" s="2850"/>
      <c r="N28" s="1321"/>
      <c r="O28" s="1323"/>
      <c r="P28" s="1324"/>
      <c r="Q28" s="1322"/>
      <c r="R28" s="1444"/>
      <c r="S28" s="1444"/>
      <c r="T28" s="1444"/>
      <c r="U28" s="1328"/>
      <c r="V28" s="1256"/>
      <c r="W28" s="723"/>
      <c r="X28" s="724"/>
      <c r="Y28" s="1323"/>
      <c r="Z28" s="1321"/>
      <c r="AA28" s="1321"/>
      <c r="AB28" s="1324"/>
      <c r="AC28" s="1327"/>
      <c r="AD28" s="1327"/>
      <c r="AE28" s="1327"/>
      <c r="AF28" s="1327"/>
    </row>
    <row r="29" spans="1:32">
      <c r="A29" s="723"/>
      <c r="B29" s="810"/>
      <c r="C29" s="1445"/>
      <c r="D29" s="2835"/>
      <c r="E29" s="1440"/>
      <c r="F29" s="1322"/>
      <c r="G29" s="1322"/>
      <c r="H29" s="1322"/>
      <c r="I29" s="1322"/>
      <c r="J29" s="1322"/>
      <c r="K29" s="1256"/>
      <c r="L29" s="1443"/>
      <c r="M29" s="2850"/>
      <c r="N29" s="1321"/>
      <c r="O29" s="1323"/>
      <c r="P29" s="1324"/>
      <c r="Q29" s="1322"/>
      <c r="R29" s="1444"/>
      <c r="S29" s="1444"/>
      <c r="T29" s="1444"/>
      <c r="U29" s="1328"/>
      <c r="V29" s="1256"/>
      <c r="W29" s="723"/>
      <c r="X29" s="724"/>
      <c r="Y29" s="1323"/>
      <c r="Z29" s="1321"/>
      <c r="AA29" s="1321"/>
      <c r="AB29" s="1324"/>
      <c r="AC29" s="1327"/>
      <c r="AD29" s="1327"/>
      <c r="AE29" s="1327"/>
      <c r="AF29" s="1327"/>
    </row>
    <row r="30" spans="1:32">
      <c r="A30" s="723"/>
      <c r="B30" s="810"/>
      <c r="C30" s="1445"/>
      <c r="D30" s="2835"/>
      <c r="E30" s="1440"/>
      <c r="F30" s="1322"/>
      <c r="G30" s="1322"/>
      <c r="H30" s="1322"/>
      <c r="I30" s="1322"/>
      <c r="J30" s="1322"/>
      <c r="K30" s="1256"/>
      <c r="L30" s="1443"/>
      <c r="M30" s="2850"/>
      <c r="N30" s="1321"/>
      <c r="O30" s="1323"/>
      <c r="P30" s="1324"/>
      <c r="Q30" s="1322"/>
      <c r="R30" s="1444"/>
      <c r="S30" s="1444"/>
      <c r="T30" s="1444"/>
      <c r="U30" s="1328"/>
      <c r="V30" s="1256"/>
      <c r="W30" s="723"/>
      <c r="X30" s="724"/>
      <c r="Y30" s="1323"/>
      <c r="Z30" s="1321"/>
      <c r="AA30" s="1321"/>
      <c r="AB30" s="1324"/>
      <c r="AC30" s="1327"/>
      <c r="AD30" s="1327"/>
      <c r="AE30" s="1327"/>
      <c r="AF30" s="1327"/>
    </row>
    <row r="31" spans="1:32">
      <c r="A31" s="723"/>
      <c r="B31" s="810"/>
      <c r="C31" s="1445"/>
      <c r="D31" s="2835"/>
      <c r="E31" s="1440"/>
      <c r="F31" s="1322"/>
      <c r="G31" s="1322"/>
      <c r="H31" s="1322"/>
      <c r="I31" s="1322"/>
      <c r="J31" s="1322"/>
      <c r="K31" s="1256"/>
      <c r="L31" s="1443"/>
      <c r="M31" s="2850"/>
      <c r="N31" s="1321"/>
      <c r="O31" s="1323"/>
      <c r="P31" s="1324"/>
      <c r="Q31" s="1322"/>
      <c r="R31" s="1444"/>
      <c r="S31" s="1444"/>
      <c r="T31" s="1444"/>
      <c r="U31" s="1328"/>
      <c r="V31" s="1256"/>
      <c r="W31" s="723"/>
      <c r="X31" s="724"/>
      <c r="Y31" s="1323"/>
      <c r="Z31" s="1321"/>
      <c r="AA31" s="1321"/>
      <c r="AB31" s="1324"/>
      <c r="AC31" s="1327"/>
      <c r="AD31" s="1327"/>
      <c r="AE31" s="1327"/>
      <c r="AF31" s="1327"/>
    </row>
    <row r="32" spans="1:32">
      <c r="A32" s="723"/>
      <c r="B32" s="810"/>
      <c r="C32" s="1445"/>
      <c r="D32" s="2835"/>
      <c r="E32" s="1440"/>
      <c r="F32" s="1322"/>
      <c r="G32" s="1322"/>
      <c r="H32" s="1322"/>
      <c r="I32" s="1322"/>
      <c r="J32" s="1322"/>
      <c r="K32" s="1256"/>
      <c r="L32" s="1443"/>
      <c r="M32" s="2850"/>
      <c r="N32" s="1321"/>
      <c r="O32" s="1323"/>
      <c r="P32" s="1324"/>
      <c r="Q32" s="1322"/>
      <c r="R32" s="1444"/>
      <c r="S32" s="1444"/>
      <c r="T32" s="1444"/>
      <c r="U32" s="1328"/>
      <c r="V32" s="1256"/>
      <c r="W32" s="723"/>
      <c r="X32" s="724"/>
      <c r="Y32" s="1323"/>
      <c r="Z32" s="1321"/>
      <c r="AA32" s="1321"/>
      <c r="AB32" s="1324"/>
      <c r="AC32" s="1327"/>
      <c r="AD32" s="1327"/>
      <c r="AE32" s="1327"/>
      <c r="AF32" s="1327"/>
    </row>
    <row r="33" spans="1:32">
      <c r="A33" s="723"/>
      <c r="B33" s="810"/>
      <c r="C33" s="1445"/>
      <c r="D33" s="1320"/>
      <c r="E33" s="1440"/>
      <c r="F33" s="1322"/>
      <c r="G33" s="1322"/>
      <c r="H33" s="1322"/>
      <c r="I33" s="1322"/>
      <c r="J33" s="1322"/>
      <c r="K33" s="1256"/>
      <c r="L33" s="1443"/>
      <c r="M33" s="2850"/>
      <c r="N33" s="1321"/>
      <c r="O33" s="1323"/>
      <c r="P33" s="1324"/>
      <c r="Q33" s="1322"/>
      <c r="R33" s="1444"/>
      <c r="S33" s="1444"/>
      <c r="T33" s="1444"/>
      <c r="U33" s="1328"/>
      <c r="V33" s="1256"/>
      <c r="W33" s="723"/>
      <c r="X33" s="724"/>
      <c r="Y33" s="1323"/>
      <c r="Z33" s="1321"/>
      <c r="AA33" s="1321"/>
      <c r="AB33" s="1324"/>
      <c r="AC33" s="1327"/>
      <c r="AD33" s="1327"/>
      <c r="AE33" s="1327"/>
      <c r="AF33" s="1327"/>
    </row>
    <row r="34" spans="1:32">
      <c r="A34" s="723"/>
      <c r="B34" s="810"/>
      <c r="C34" s="1445"/>
      <c r="D34" s="1320"/>
      <c r="E34" s="1440"/>
      <c r="F34" s="1322"/>
      <c r="G34" s="1322"/>
      <c r="H34" s="1322"/>
      <c r="I34" s="1322"/>
      <c r="J34" s="1322"/>
      <c r="K34" s="1256"/>
      <c r="L34" s="1443"/>
      <c r="M34" s="2850"/>
      <c r="N34" s="1321"/>
      <c r="O34" s="1323"/>
      <c r="P34" s="1324"/>
      <c r="Q34" s="1322"/>
      <c r="R34" s="1444"/>
      <c r="S34" s="1444"/>
      <c r="T34" s="1444"/>
      <c r="U34" s="1328"/>
      <c r="V34" s="1256"/>
      <c r="W34" s="723"/>
      <c r="X34" s="724"/>
      <c r="Y34" s="1323"/>
      <c r="Z34" s="1321"/>
      <c r="AA34" s="1321"/>
      <c r="AB34" s="1324"/>
      <c r="AC34" s="1327"/>
      <c r="AD34" s="1327"/>
      <c r="AE34" s="1327"/>
      <c r="AF34" s="1327"/>
    </row>
    <row r="35" spans="1:32">
      <c r="A35" s="723"/>
      <c r="B35" s="810"/>
      <c r="C35" s="1445"/>
      <c r="D35" s="1320"/>
      <c r="E35" s="1441"/>
      <c r="F35" s="1322"/>
      <c r="G35" s="1322"/>
      <c r="H35" s="1322"/>
      <c r="I35" s="1322"/>
      <c r="J35" s="1322"/>
      <c r="K35" s="1256"/>
      <c r="L35" s="1443"/>
      <c r="M35" s="2850"/>
      <c r="N35" s="1321"/>
      <c r="O35" s="1323"/>
      <c r="P35" s="1324"/>
      <c r="Q35" s="1322"/>
      <c r="R35" s="1444"/>
      <c r="S35" s="1444"/>
      <c r="T35" s="1444"/>
      <c r="U35" s="1328"/>
      <c r="V35" s="1256"/>
      <c r="W35" s="723"/>
      <c r="X35" s="724"/>
      <c r="Y35" s="1323"/>
      <c r="Z35" s="1321"/>
      <c r="AA35" s="1321"/>
      <c r="AB35" s="1324"/>
      <c r="AC35" s="1327"/>
      <c r="AD35" s="1327"/>
      <c r="AE35" s="1327"/>
      <c r="AF35" s="1327"/>
    </row>
    <row r="36" spans="1:32">
      <c r="A36" s="1329"/>
      <c r="B36" s="1330"/>
      <c r="C36" s="1440"/>
      <c r="D36" s="1331"/>
      <c r="E36" s="1442"/>
      <c r="F36" s="1332"/>
      <c r="G36" s="1332"/>
      <c r="H36" s="1332"/>
      <c r="I36" s="1332"/>
      <c r="J36" s="1332"/>
      <c r="K36" s="1256"/>
      <c r="L36" s="1329"/>
      <c r="M36" s="2851"/>
      <c r="N36" s="1334"/>
      <c r="O36" s="1334"/>
      <c r="P36" s="1335"/>
      <c r="Q36" s="1322"/>
      <c r="R36" s="1333"/>
      <c r="S36" s="1333"/>
      <c r="T36" s="1333"/>
      <c r="U36" s="1336"/>
      <c r="V36" s="1256"/>
      <c r="W36" s="1329"/>
      <c r="X36" s="1333"/>
      <c r="Y36" s="1337"/>
      <c r="Z36" s="1334"/>
      <c r="AA36" s="1334"/>
      <c r="AB36" s="1334"/>
      <c r="AC36" s="1329"/>
      <c r="AD36" s="1337"/>
      <c r="AE36" s="1334"/>
      <c r="AF36" s="1334"/>
    </row>
    <row r="37" spans="1:32" ht="24.75" customHeight="1" collapsed="1" thickBot="1">
      <c r="A37" s="6045" t="s">
        <v>1522</v>
      </c>
      <c r="B37" s="6046"/>
      <c r="C37" s="6046"/>
      <c r="D37" s="6046"/>
      <c r="E37" s="6046"/>
      <c r="F37" s="6047"/>
      <c r="G37" s="1338">
        <f>SUM(G14:G36)</f>
        <v>353487.06</v>
      </c>
      <c r="H37" s="1338">
        <f>SUM(H14:H36)</f>
        <v>0</v>
      </c>
      <c r="I37" s="1338">
        <f>SUM(I14:I36)</f>
        <v>0</v>
      </c>
      <c r="J37" s="1338">
        <f>SUM(J14:J36)</f>
        <v>353487.06</v>
      </c>
      <c r="K37" s="1256"/>
      <c r="L37" s="1339" t="s">
        <v>1522</v>
      </c>
      <c r="M37" s="1343"/>
      <c r="N37" s="1340"/>
      <c r="O37" s="1340"/>
      <c r="P37" s="1340"/>
      <c r="Q37" s="1340"/>
      <c r="R37" s="1341">
        <f>SUM(R14:R36)</f>
        <v>353487.06</v>
      </c>
      <c r="S37" s="1338">
        <f>SUM(S14:S36)</f>
        <v>0</v>
      </c>
      <c r="T37" s="1338">
        <f>SUM(T14:T36)</f>
        <v>0</v>
      </c>
      <c r="U37" s="1338">
        <f>SUM(U14:U36)</f>
        <v>353487.06</v>
      </c>
      <c r="V37" s="1256"/>
      <c r="W37" s="1342" t="s">
        <v>1522</v>
      </c>
      <c r="X37" s="1343"/>
      <c r="Y37" s="1343"/>
      <c r="Z37" s="1343"/>
      <c r="AA37" s="1343"/>
      <c r="AB37" s="1343"/>
      <c r="AC37" s="1341">
        <f>SUM(AC14:AC36)</f>
        <v>0</v>
      </c>
      <c r="AD37" s="1338">
        <f>SUM(AD14:AD36)</f>
        <v>0</v>
      </c>
      <c r="AE37" s="1338">
        <f>SUM(AE14:AE36)</f>
        <v>0</v>
      </c>
      <c r="AF37" s="1338">
        <f>+AF14</f>
        <v>0</v>
      </c>
    </row>
    <row r="38" spans="1:32">
      <c r="A38" s="1360"/>
      <c r="B38" s="1256"/>
      <c r="C38" s="1255"/>
      <c r="D38" s="1257"/>
      <c r="E38" s="1361"/>
      <c r="F38" s="1258"/>
      <c r="G38" s="1258"/>
      <c r="H38" s="1258"/>
      <c r="I38" s="1258"/>
      <c r="J38" s="1258"/>
      <c r="K38" s="1256"/>
      <c r="L38" s="1360"/>
      <c r="M38" s="2852"/>
      <c r="N38" s="1362"/>
      <c r="O38" s="1362"/>
      <c r="P38" s="1362"/>
      <c r="Q38" s="1360"/>
      <c r="R38" s="1360"/>
      <c r="S38" s="1360"/>
      <c r="T38" s="1360"/>
      <c r="U38" s="1363"/>
      <c r="V38" s="1256"/>
      <c r="W38" s="1360"/>
      <c r="X38" s="1360"/>
      <c r="Y38" s="1364"/>
      <c r="Z38" s="1362"/>
      <c r="AA38" s="1362"/>
      <c r="AB38" s="1362"/>
      <c r="AC38" s="1360"/>
      <c r="AD38" s="1364"/>
      <c r="AE38" s="1362"/>
      <c r="AF38" s="1362"/>
    </row>
    <row r="39" spans="1:32">
      <c r="A39" s="1360"/>
      <c r="B39" s="1256"/>
      <c r="C39" s="1255"/>
      <c r="D39" s="1257"/>
      <c r="E39" s="1361"/>
      <c r="F39" s="1258"/>
      <c r="G39" s="1258"/>
      <c r="H39" s="1258"/>
      <c r="I39" s="1258"/>
      <c r="J39" s="1258"/>
      <c r="K39" s="1256"/>
      <c r="L39" s="1360"/>
      <c r="M39" s="2852"/>
      <c r="N39" s="1362"/>
      <c r="O39" s="1362"/>
      <c r="P39" s="1257"/>
      <c r="Q39" s="1258"/>
      <c r="R39" s="1258"/>
      <c r="S39" s="1258"/>
      <c r="T39" s="1258"/>
      <c r="U39" s="1258">
        <f>+U37-T37</f>
        <v>353487.06</v>
      </c>
      <c r="V39" s="1256"/>
      <c r="W39" s="1360"/>
      <c r="X39" s="1360"/>
      <c r="Y39" s="1364"/>
      <c r="Z39" s="1362"/>
      <c r="AA39" s="1362"/>
      <c r="AB39" s="1362"/>
      <c r="AC39" s="1360"/>
      <c r="AD39" s="1364"/>
      <c r="AE39" s="1362"/>
      <c r="AF39" s="1362"/>
    </row>
    <row r="40" spans="1:32">
      <c r="A40" s="1365"/>
      <c r="B40" s="1256"/>
      <c r="C40" s="1255"/>
      <c r="D40" s="1257"/>
      <c r="E40" s="1361"/>
      <c r="F40" s="1366"/>
      <c r="G40" s="1366"/>
      <c r="H40" s="1366"/>
      <c r="I40" s="1366"/>
      <c r="J40" s="1258"/>
      <c r="K40" s="1256"/>
      <c r="L40" s="1365"/>
      <c r="M40" s="2853">
        <f>403092.61/11085046.72</f>
        <v>3.6363636544059594E-2</v>
      </c>
      <c r="N40" s="1365"/>
      <c r="O40" s="1365"/>
      <c r="P40" s="1257"/>
      <c r="Q40" s="1366"/>
      <c r="R40" s="1366"/>
      <c r="S40" s="1366"/>
      <c r="T40" s="1366"/>
      <c r="U40" s="1366"/>
      <c r="V40" s="1256"/>
      <c r="W40" s="1365"/>
      <c r="X40" s="1365"/>
      <c r="Y40" s="1365"/>
      <c r="Z40" s="1362"/>
      <c r="AA40" s="1362"/>
      <c r="AB40" s="1362"/>
      <c r="AC40" s="1365"/>
      <c r="AD40" s="1365"/>
      <c r="AE40" s="1362"/>
      <c r="AF40" s="1362"/>
    </row>
    <row r="41" spans="1:32">
      <c r="D41" s="1257"/>
      <c r="E41" s="153">
        <v>44197</v>
      </c>
      <c r="F41" s="1366"/>
      <c r="P41" s="1257"/>
      <c r="Q41" s="1366"/>
      <c r="R41" s="1366"/>
      <c r="S41" s="1366"/>
      <c r="T41" s="1366"/>
      <c r="U41" s="1366"/>
      <c r="AA41" s="153">
        <v>44094</v>
      </c>
      <c r="AC41" s="1367"/>
    </row>
    <row r="42" spans="1:32">
      <c r="D42" s="1257"/>
      <c r="E42" s="153">
        <f>E41-45</f>
        <v>44152</v>
      </c>
      <c r="F42" s="1366"/>
      <c r="P42" s="1257"/>
      <c r="Q42" s="1366"/>
      <c r="R42" s="1366"/>
      <c r="S42" s="1366"/>
      <c r="T42" s="1366"/>
      <c r="U42" s="1366"/>
      <c r="AA42" s="153">
        <f>AA41-45</f>
        <v>44049</v>
      </c>
    </row>
    <row r="43" spans="1:32">
      <c r="D43" s="1257"/>
      <c r="F43" s="1366"/>
      <c r="H43" s="153">
        <v>43986</v>
      </c>
      <c r="R43" s="652"/>
      <c r="S43" s="652"/>
      <c r="T43" s="652"/>
      <c r="U43" s="652"/>
    </row>
    <row r="45" spans="1:32">
      <c r="AC45" t="s">
        <v>2330</v>
      </c>
    </row>
    <row r="46" spans="1:32">
      <c r="AC46" s="3018">
        <v>45222</v>
      </c>
      <c r="AD46" s="3018">
        <v>45253</v>
      </c>
      <c r="AE46" s="3018">
        <v>45283</v>
      </c>
    </row>
    <row r="47" spans="1:32">
      <c r="AC47" s="3020">
        <v>11439880.26</v>
      </c>
    </row>
  </sheetData>
  <mergeCells count="4">
    <mergeCell ref="A10:J10"/>
    <mergeCell ref="L10:U10"/>
    <mergeCell ref="W10:AF10"/>
    <mergeCell ref="A37:F37"/>
  </mergeCells>
  <printOptions horizontalCentered="1"/>
  <pageMargins left="0.23622047244094491" right="0.23622047244094491" top="0.74803149606299213" bottom="0.74803149606299213" header="0.31496062992125984" footer="0.31496062992125984"/>
  <pageSetup paperSize="8" scale="67" fitToHeight="2" orientation="landscape" r:id="rId1"/>
  <headerFooter>
    <oddHeader>&amp;C&amp;"Calibri,Bold"&amp;18MONTHLY REPORT - INVOICE &amp; PAYMENT TRACKING LOG (SAUDICO 003D09)</oddHeader>
    <oddFooter>&amp;L1TB.01.003.01 - AYC 
MARCH'26 REPORT&amp;C&amp;A&amp;RPage &amp;P of &amp;N</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AF0CB-BBE9-4E7A-9D63-D392DA8216F6}">
  <sheetPr>
    <tabColor theme="7" tint="0.39997558519241921"/>
    <pageSetUpPr fitToPage="1"/>
  </sheetPr>
  <dimension ref="A1:AG47"/>
  <sheetViews>
    <sheetView showGridLines="0" view="pageBreakPreview" topLeftCell="D1" zoomScale="90" zoomScaleNormal="100" zoomScaleSheetLayoutView="90" workbookViewId="0">
      <selection activeCell="C43" sqref="C43"/>
    </sheetView>
  </sheetViews>
  <sheetFormatPr defaultColWidth="9" defaultRowHeight="12.75"/>
  <cols>
    <col min="1" max="1" width="10.85546875" customWidth="1"/>
    <col min="2" max="2" width="10.42578125" customWidth="1"/>
    <col min="3" max="3" width="11.42578125" customWidth="1"/>
    <col min="4" max="4" width="10.85546875" bestFit="1" customWidth="1"/>
    <col min="5" max="5" width="9.85546875" bestFit="1" customWidth="1"/>
    <col min="6" max="6" width="12" customWidth="1"/>
    <col min="7" max="7" width="12.85546875" bestFit="1" customWidth="1"/>
    <col min="8" max="9" width="11.85546875" bestFit="1" customWidth="1"/>
    <col min="10" max="10" width="13.85546875" customWidth="1"/>
    <col min="11" max="11" width="0.85546875" customWidth="1"/>
    <col min="12" max="12" width="6" customWidth="1"/>
    <col min="13" max="13" width="17.85546875" style="2854" bestFit="1" customWidth="1"/>
    <col min="14" max="15" width="9" customWidth="1"/>
    <col min="16" max="16" width="7.85546875" customWidth="1"/>
    <col min="17" max="17" width="13.85546875" customWidth="1"/>
    <col min="18" max="18" width="15.5703125" customWidth="1"/>
    <col min="19" max="20" width="11.42578125" customWidth="1"/>
    <col min="21" max="21" width="14.5703125" customWidth="1"/>
    <col min="22" max="22" width="0.85546875" customWidth="1"/>
    <col min="23" max="23" width="14" bestFit="1" customWidth="1"/>
    <col min="24" max="24" width="9" customWidth="1"/>
    <col min="25" max="25" width="9" hidden="1" customWidth="1"/>
    <col min="26" max="26" width="9" bestFit="1" customWidth="1"/>
    <col min="27" max="27" width="10" customWidth="1"/>
    <col min="28" max="28" width="7" customWidth="1"/>
    <col min="29" max="29" width="12.42578125" customWidth="1"/>
    <col min="30" max="30" width="13.5703125" customWidth="1"/>
    <col min="31" max="32" width="14" customWidth="1"/>
    <col min="33" max="33" width="13.5703125" bestFit="1" customWidth="1"/>
  </cols>
  <sheetData>
    <row r="1" spans="1:33">
      <c r="A1" s="1255"/>
      <c r="B1" s="1256"/>
      <c r="C1" s="1255"/>
      <c r="D1" s="1257"/>
      <c r="E1" s="1257"/>
      <c r="F1" s="1258"/>
      <c r="G1" s="1258"/>
      <c r="H1" s="1258"/>
      <c r="I1" s="1258"/>
      <c r="J1" s="1258"/>
      <c r="K1" s="1257"/>
      <c r="L1" s="1255"/>
      <c r="M1" s="2848"/>
      <c r="N1" s="1255"/>
      <c r="O1" s="1255"/>
      <c r="P1" s="1255"/>
      <c r="Q1" s="1255"/>
      <c r="R1" s="1255"/>
      <c r="S1" s="1255"/>
      <c r="T1" s="1255"/>
      <c r="U1" s="1259"/>
      <c r="V1" s="1257"/>
      <c r="W1" s="1257"/>
      <c r="X1" s="1257"/>
      <c r="Y1" s="1257"/>
      <c r="Z1" s="1257"/>
      <c r="AA1" s="1257"/>
      <c r="AB1" s="1257"/>
      <c r="AC1" s="1257"/>
      <c r="AD1" s="1257"/>
      <c r="AE1" s="1257"/>
      <c r="AF1" s="1257"/>
    </row>
    <row r="2" spans="1:33">
      <c r="A2" s="9" t="str">
        <f>'Data Input'!A1&amp;" - "&amp;'Data Input'!B1</f>
        <v>PROGRAMME: - MARINA VILLAGE (PROGRAMME 1_TRIPLE BAY)</v>
      </c>
      <c r="B2" s="1256"/>
      <c r="C2" s="1255"/>
      <c r="D2" s="1257"/>
      <c r="E2" s="1257"/>
      <c r="F2" s="1258"/>
      <c r="G2" s="1258"/>
      <c r="H2" s="1258"/>
      <c r="I2" s="1258"/>
      <c r="J2" s="1258"/>
      <c r="K2" s="1257"/>
      <c r="L2" s="1255"/>
      <c r="M2" s="2848"/>
      <c r="N2" s="1255"/>
      <c r="O2" s="1255"/>
      <c r="P2" s="1255"/>
      <c r="Q2" s="1255"/>
      <c r="R2" s="1255"/>
      <c r="S2" s="1255"/>
      <c r="T2" s="1255"/>
      <c r="U2" s="1259"/>
      <c r="V2" s="1257"/>
      <c r="W2" s="1257"/>
      <c r="X2" s="1257"/>
      <c r="Y2" s="1257"/>
      <c r="Z2" s="1257"/>
      <c r="AA2" s="1257"/>
      <c r="AB2" s="1257"/>
      <c r="AC2" s="1257"/>
      <c r="AD2" s="1257"/>
      <c r="AE2" s="1257"/>
      <c r="AF2" s="1257"/>
    </row>
    <row r="3" spans="1:33">
      <c r="A3" s="9" t="str">
        <f>'Data Input'!A2&amp;" - "&amp;'Data Input'!B2</f>
        <v>PROGRAMME CODE: - 1TB01003</v>
      </c>
      <c r="B3" s="1260"/>
      <c r="C3" s="1261"/>
      <c r="D3" s="1262"/>
      <c r="E3" s="1262"/>
      <c r="F3" s="1263"/>
      <c r="G3" s="1263"/>
      <c r="H3" s="1263"/>
      <c r="I3" s="1263"/>
      <c r="J3" s="1264"/>
      <c r="K3" s="1265"/>
      <c r="L3" s="1265"/>
      <c r="M3" s="1262"/>
      <c r="N3" s="1265"/>
      <c r="O3" s="1266"/>
      <c r="P3" s="1265"/>
      <c r="Q3" s="1265"/>
      <c r="R3" s="1265"/>
      <c r="S3" s="1265"/>
      <c r="T3" s="1265"/>
      <c r="U3" s="1267"/>
      <c r="V3" s="1265"/>
      <c r="W3" s="1265"/>
      <c r="X3" s="1265"/>
      <c r="Y3" s="1265"/>
      <c r="Z3" s="1265"/>
      <c r="AA3" s="1265"/>
      <c r="AB3" s="1265"/>
      <c r="AC3" s="1265"/>
      <c r="AD3" s="1265"/>
      <c r="AE3" s="1265"/>
      <c r="AF3" s="1265"/>
    </row>
    <row r="4" spans="1:33">
      <c r="A4" s="9" t="str">
        <f>'Data Input'!A3&amp;" - "&amp;'Data Input'!B3</f>
        <v>ASSET NAME: - AMAALA YACHT CLUB</v>
      </c>
      <c r="B4" s="1260"/>
      <c r="C4" s="1268"/>
      <c r="D4" s="1265"/>
      <c r="E4" s="1265"/>
      <c r="F4" s="1267"/>
      <c r="G4" s="1267"/>
      <c r="H4" s="1267"/>
      <c r="I4" s="1267"/>
      <c r="J4" s="1269"/>
      <c r="K4" s="1265"/>
      <c r="L4" s="1265"/>
      <c r="M4" s="1262"/>
      <c r="N4" s="1265"/>
      <c r="O4" s="1266"/>
      <c r="P4" s="1265"/>
      <c r="Q4" s="1265"/>
      <c r="R4" s="1265"/>
      <c r="S4" s="1265"/>
      <c r="T4" s="1265"/>
      <c r="U4" s="1267"/>
      <c r="V4" s="1265"/>
      <c r="W4" s="1265"/>
      <c r="X4" s="1265"/>
      <c r="Y4" s="1265"/>
      <c r="Z4" s="1265"/>
      <c r="AA4" s="1265"/>
      <c r="AB4" s="1265"/>
      <c r="AC4" s="1265"/>
      <c r="AD4" s="1265"/>
      <c r="AE4" s="1265"/>
      <c r="AF4" s="1265"/>
    </row>
    <row r="5" spans="1:33">
      <c r="A5" s="9" t="str">
        <f>'Data Input'!A4&amp;" - "&amp;'Data Input'!B4</f>
        <v>ASSET CODE: - 1TB01003.01</v>
      </c>
      <c r="B5" s="1270"/>
      <c r="C5" s="1268"/>
      <c r="D5" s="1265"/>
      <c r="E5" s="1265"/>
      <c r="F5" s="1267"/>
      <c r="G5" s="1267"/>
      <c r="H5" s="1267"/>
      <c r="I5" s="1267"/>
      <c r="J5" s="1269"/>
      <c r="K5" s="1265"/>
      <c r="L5" s="1265"/>
      <c r="M5" s="1262"/>
      <c r="N5" s="1265"/>
      <c r="O5" s="1266"/>
      <c r="P5" s="1265"/>
      <c r="Q5" s="1265"/>
      <c r="R5" s="1271"/>
      <c r="S5" s="1265"/>
      <c r="T5" s="1265"/>
      <c r="U5" s="1267"/>
      <c r="V5" s="1265"/>
      <c r="W5" s="1265"/>
      <c r="X5" s="1265"/>
      <c r="Y5" s="1265"/>
      <c r="Z5" s="1265"/>
      <c r="AA5" s="1265"/>
      <c r="AB5" s="1265"/>
      <c r="AC5" s="1265"/>
      <c r="AD5" s="1265"/>
      <c r="AE5" s="1265"/>
      <c r="AF5" s="1265"/>
    </row>
    <row r="6" spans="1:33">
      <c r="A6" s="9" t="str">
        <f>'Data Input'!A7&amp;" - "&amp;'Data Input'!B7</f>
        <v>REPORT NO: - MONTHLY REPORT NO. 49</v>
      </c>
      <c r="B6" s="1272"/>
      <c r="C6" s="1268"/>
      <c r="D6" s="1265"/>
      <c r="E6" s="1265"/>
      <c r="F6" s="1267"/>
      <c r="G6" s="1267"/>
      <c r="H6" s="1267"/>
      <c r="I6" s="1267"/>
      <c r="J6" s="1269"/>
      <c r="K6" s="1265"/>
      <c r="L6" s="1265"/>
      <c r="M6" s="1262"/>
      <c r="N6" s="1265"/>
      <c r="O6" s="1266"/>
      <c r="P6" s="1265"/>
      <c r="Q6" s="1265"/>
      <c r="R6" s="1273"/>
      <c r="S6" s="1265"/>
      <c r="T6" s="1271"/>
      <c r="U6" s="1267"/>
      <c r="V6" s="1265"/>
      <c r="W6" s="1265"/>
      <c r="X6" s="1265"/>
      <c r="Y6" s="1265"/>
      <c r="Z6" s="1265"/>
      <c r="AA6" s="1265"/>
      <c r="AB6" s="1265"/>
      <c r="AC6" s="1265"/>
      <c r="AD6" s="1265"/>
      <c r="AE6" s="1265"/>
      <c r="AF6" s="1265"/>
    </row>
    <row r="7" spans="1:33">
      <c r="A7" s="9" t="str">
        <f>'Data Input'!A8&amp;" - "&amp;'Data Input'!B8</f>
        <v>REPORTING PERIOD: - OCTOBER 2026</v>
      </c>
      <c r="B7" s="1262"/>
      <c r="C7" s="1274"/>
      <c r="D7" s="1262"/>
      <c r="E7" s="1262"/>
      <c r="F7" s="1263"/>
      <c r="G7" s="1263"/>
      <c r="H7" s="1263"/>
      <c r="I7" s="1263"/>
      <c r="J7" s="1264"/>
      <c r="K7" s="1265"/>
      <c r="L7" s="1265"/>
      <c r="M7" s="1262"/>
      <c r="N7" s="1265"/>
      <c r="O7" s="1265"/>
      <c r="P7" s="1265"/>
      <c r="Q7" s="1267"/>
      <c r="R7" s="1263"/>
      <c r="S7" s="1263"/>
      <c r="T7" s="1263"/>
      <c r="U7" s="1267"/>
      <c r="V7" s="1265"/>
      <c r="W7" s="1265"/>
      <c r="X7" s="1265"/>
      <c r="Y7" s="1265"/>
      <c r="Z7" s="1265"/>
      <c r="AA7" s="1265"/>
      <c r="AB7" s="1265"/>
      <c r="AC7" s="1265"/>
      <c r="AD7" s="1265"/>
      <c r="AE7" s="1265"/>
      <c r="AF7" s="1265"/>
    </row>
    <row r="8" spans="1:33" ht="13.5" thickBot="1">
      <c r="A8" s="9"/>
      <c r="B8" s="1256"/>
      <c r="C8" s="1255"/>
      <c r="D8" s="1257"/>
      <c r="E8" s="1257"/>
      <c r="F8" s="1258"/>
      <c r="G8" s="1258"/>
      <c r="H8" s="1258"/>
      <c r="I8" s="1258"/>
      <c r="J8" s="1258"/>
      <c r="K8" s="1257"/>
      <c r="L8" s="1255"/>
      <c r="M8" s="2848"/>
      <c r="N8" s="1275"/>
      <c r="O8" s="1276"/>
      <c r="P8" s="1255"/>
      <c r="Q8" s="1255"/>
      <c r="R8" s="1255"/>
      <c r="S8" s="1255"/>
      <c r="T8" s="1255"/>
      <c r="U8" s="1259"/>
      <c r="V8" s="1257"/>
      <c r="W8" s="1257"/>
      <c r="X8" s="1257"/>
      <c r="Y8" s="1257"/>
      <c r="Z8" s="1257"/>
      <c r="AA8" s="1257"/>
      <c r="AB8" s="1257"/>
      <c r="AC8" s="1257"/>
      <c r="AD8" s="1257"/>
      <c r="AE8" s="1257"/>
      <c r="AF8" s="1257"/>
    </row>
    <row r="9" spans="1:33" ht="30" customHeight="1" thickBot="1">
      <c r="A9" s="1354" t="str">
        <f>'Schedule B'!A220&amp;" - "&amp;'Schedule B'!C220</f>
        <v>FFEOSE.003D16 - PeopleVine Implementation</v>
      </c>
      <c r="B9" s="1355"/>
      <c r="C9" s="1355"/>
      <c r="D9" s="1356"/>
      <c r="E9" s="1356"/>
      <c r="F9" s="1357"/>
      <c r="G9" s="1357"/>
      <c r="H9" s="1357"/>
      <c r="I9" s="1357"/>
      <c r="J9" s="1357"/>
      <c r="K9" s="1356"/>
      <c r="L9" s="1355"/>
      <c r="M9" s="2849"/>
      <c r="N9" s="1355"/>
      <c r="O9" s="1355"/>
      <c r="P9" s="1355"/>
      <c r="Q9" s="1355"/>
      <c r="R9" s="1355"/>
      <c r="S9" s="1355"/>
      <c r="T9" s="1355"/>
      <c r="U9" s="1358"/>
      <c r="V9" s="1356"/>
      <c r="W9" s="1356"/>
      <c r="X9" s="1356"/>
      <c r="Y9" s="1356"/>
      <c r="Z9" s="1356"/>
      <c r="AA9" s="1356"/>
      <c r="AB9" s="1356"/>
      <c r="AC9" s="1356"/>
      <c r="AD9" s="1356"/>
      <c r="AE9" s="1356"/>
      <c r="AF9" s="1359"/>
    </row>
    <row r="10" spans="1:33">
      <c r="A10" s="6051" t="s">
        <v>1524</v>
      </c>
      <c r="B10" s="6052"/>
      <c r="C10" s="6052"/>
      <c r="D10" s="6052"/>
      <c r="E10" s="6052"/>
      <c r="F10" s="6052"/>
      <c r="G10" s="6053"/>
      <c r="H10" s="6053"/>
      <c r="I10" s="6053"/>
      <c r="J10" s="6054"/>
      <c r="K10" s="1256"/>
      <c r="L10" s="6055" t="s">
        <v>1525</v>
      </c>
      <c r="M10" s="6056"/>
      <c r="N10" s="6056"/>
      <c r="O10" s="6056"/>
      <c r="P10" s="6056"/>
      <c r="Q10" s="6056"/>
      <c r="R10" s="6057"/>
      <c r="S10" s="6057"/>
      <c r="T10" s="6057"/>
      <c r="U10" s="6058"/>
      <c r="V10" s="1256"/>
      <c r="W10" s="6043" t="s">
        <v>1526</v>
      </c>
      <c r="X10" s="6044"/>
      <c r="Y10" s="6044"/>
      <c r="Z10" s="6044"/>
      <c r="AA10" s="6044"/>
      <c r="AB10" s="6044"/>
      <c r="AC10" s="6044"/>
      <c r="AD10" s="6044"/>
      <c r="AE10" s="6044"/>
      <c r="AF10" s="6059"/>
    </row>
    <row r="11" spans="1:33" ht="60" customHeight="1">
      <c r="A11" s="1283" t="s">
        <v>1462</v>
      </c>
      <c r="B11" s="1284" t="s">
        <v>1527</v>
      </c>
      <c r="C11" s="1284" t="s">
        <v>1528</v>
      </c>
      <c r="D11" s="1285" t="s">
        <v>1744</v>
      </c>
      <c r="E11" s="1285" t="s">
        <v>1530</v>
      </c>
      <c r="F11" s="1286" t="s">
        <v>1531</v>
      </c>
      <c r="G11" s="1287" t="s">
        <v>1532</v>
      </c>
      <c r="H11" s="1287" t="s">
        <v>1533</v>
      </c>
      <c r="I11" s="1287" t="s">
        <v>1534</v>
      </c>
      <c r="J11" s="1288" t="s">
        <v>1535</v>
      </c>
      <c r="K11" s="1289"/>
      <c r="L11" s="763" t="s">
        <v>1536</v>
      </c>
      <c r="M11" s="1290" t="s">
        <v>1601</v>
      </c>
      <c r="N11" s="1290" t="s">
        <v>1530</v>
      </c>
      <c r="O11" s="1290" t="s">
        <v>4521</v>
      </c>
      <c r="P11" s="764" t="s">
        <v>1539</v>
      </c>
      <c r="Q11" s="1291" t="s">
        <v>1540</v>
      </c>
      <c r="R11" s="1292" t="s">
        <v>1541</v>
      </c>
      <c r="S11" s="1292" t="s">
        <v>1533</v>
      </c>
      <c r="T11" s="1292" t="s">
        <v>1534</v>
      </c>
      <c r="U11" s="1293" t="s">
        <v>1542</v>
      </c>
      <c r="V11" s="1256"/>
      <c r="W11" s="1294" t="s">
        <v>2086</v>
      </c>
      <c r="X11" s="2839" t="s">
        <v>2087</v>
      </c>
      <c r="Y11" s="1295" t="s">
        <v>1544</v>
      </c>
      <c r="Z11" s="1296" t="s">
        <v>1545</v>
      </c>
      <c r="AA11" s="1296" t="s">
        <v>4524</v>
      </c>
      <c r="AB11" s="769" t="s">
        <v>1539</v>
      </c>
      <c r="AC11" s="769" t="s">
        <v>1547</v>
      </c>
      <c r="AD11" s="769" t="s">
        <v>2538</v>
      </c>
      <c r="AE11" s="1296" t="s">
        <v>1549</v>
      </c>
      <c r="AF11" s="1297" t="s">
        <v>1550</v>
      </c>
    </row>
    <row r="12" spans="1:33" ht="17.25" customHeight="1">
      <c r="A12" s="1298"/>
      <c r="B12" s="1299"/>
      <c r="C12" s="1300"/>
      <c r="D12" s="1301"/>
      <c r="E12" s="1302" t="s">
        <v>296</v>
      </c>
      <c r="F12" s="1303" t="s">
        <v>434</v>
      </c>
      <c r="G12" s="1303" t="s">
        <v>434</v>
      </c>
      <c r="H12" s="1304">
        <v>0</v>
      </c>
      <c r="I12" s="1304">
        <v>0</v>
      </c>
      <c r="J12" s="1305" t="s">
        <v>434</v>
      </c>
      <c r="K12" s="1256"/>
      <c r="L12" s="765"/>
      <c r="M12" s="766"/>
      <c r="N12" s="1306" t="s">
        <v>296</v>
      </c>
      <c r="O12" s="766" t="s">
        <v>3574</v>
      </c>
      <c r="P12" s="1307" t="s">
        <v>1552</v>
      </c>
      <c r="Q12" s="767" t="s">
        <v>434</v>
      </c>
      <c r="R12" s="767" t="s">
        <v>434</v>
      </c>
      <c r="S12" s="1308">
        <v>0</v>
      </c>
      <c r="T12" s="1308">
        <v>0</v>
      </c>
      <c r="U12" s="768" t="s">
        <v>434</v>
      </c>
      <c r="V12" s="1256"/>
      <c r="W12" s="770"/>
      <c r="X12" s="2840"/>
      <c r="Y12" s="1309" t="s">
        <v>296</v>
      </c>
      <c r="Z12" s="1309" t="s">
        <v>296</v>
      </c>
      <c r="AA12" s="1309" t="s">
        <v>4523</v>
      </c>
      <c r="AB12" s="1310" t="s">
        <v>1552</v>
      </c>
      <c r="AC12" s="1311"/>
      <c r="AD12" s="1312">
        <v>0.05</v>
      </c>
      <c r="AE12" s="1309" t="s">
        <v>296</v>
      </c>
      <c r="AF12" s="1313" t="s">
        <v>296</v>
      </c>
    </row>
    <row r="13" spans="1:33" s="722" customFormat="1" ht="25.5" customHeight="1">
      <c r="A13" s="1314"/>
      <c r="B13" s="1314"/>
      <c r="C13" s="1314"/>
      <c r="D13" s="1314"/>
      <c r="E13" s="1314" t="s">
        <v>1481</v>
      </c>
      <c r="F13" s="1314"/>
      <c r="G13" s="1314"/>
      <c r="H13" s="1314"/>
      <c r="I13" s="1314"/>
      <c r="J13" s="1314"/>
      <c r="K13" s="1255"/>
      <c r="L13" s="1315"/>
      <c r="M13" s="1315"/>
      <c r="N13" s="1316" t="s">
        <v>1482</v>
      </c>
      <c r="O13" s="1314" t="s">
        <v>2084</v>
      </c>
      <c r="P13" s="1317" t="s">
        <v>1555</v>
      </c>
      <c r="Q13" s="1318" t="s">
        <v>1556</v>
      </c>
      <c r="R13" s="1318" t="s">
        <v>1557</v>
      </c>
      <c r="S13" s="1319" t="s">
        <v>1605</v>
      </c>
      <c r="T13" s="1319" t="s">
        <v>1559</v>
      </c>
      <c r="U13" s="1318" t="s">
        <v>1560</v>
      </c>
      <c r="V13" s="1255"/>
      <c r="W13" s="1316"/>
      <c r="X13" s="1316" t="s">
        <v>1561</v>
      </c>
      <c r="Y13" s="1316"/>
      <c r="Z13" s="1316" t="s">
        <v>2088</v>
      </c>
      <c r="AA13" s="1316" t="s">
        <v>2089</v>
      </c>
      <c r="AB13" s="1317" t="s">
        <v>2091</v>
      </c>
      <c r="AC13" s="1314" t="s">
        <v>2092</v>
      </c>
      <c r="AD13" s="1319" t="s">
        <v>3479</v>
      </c>
      <c r="AE13" s="1316" t="s">
        <v>2094</v>
      </c>
      <c r="AF13" s="1316"/>
    </row>
    <row r="14" spans="1:33" s="2837" customFormat="1" ht="50.25" customHeight="1">
      <c r="A14" s="4688">
        <v>1</v>
      </c>
      <c r="B14" s="4689" t="s">
        <v>1579</v>
      </c>
      <c r="C14" s="4690">
        <v>46113</v>
      </c>
      <c r="D14" s="4691" t="s">
        <v>6313</v>
      </c>
      <c r="E14" s="4692">
        <v>46179</v>
      </c>
      <c r="F14" s="4693">
        <v>0</v>
      </c>
      <c r="G14" s="4693">
        <f>39015*3.75</f>
        <v>146306.25</v>
      </c>
      <c r="H14" s="4694">
        <f>(G14*$H$12)*-1*0</f>
        <v>0</v>
      </c>
      <c r="I14" s="4694">
        <v>0</v>
      </c>
      <c r="J14" s="4694">
        <f>(G14+H14+I14)</f>
        <v>146306.25</v>
      </c>
      <c r="K14" s="4695"/>
      <c r="L14" s="4696" t="s">
        <v>6136</v>
      </c>
      <c r="M14" s="4697" t="s">
        <v>6314</v>
      </c>
      <c r="N14" s="4692">
        <v>46182</v>
      </c>
      <c r="O14" s="4698">
        <f>E14+21</f>
        <v>46200</v>
      </c>
      <c r="P14" s="4699">
        <f>O14-N14</f>
        <v>18</v>
      </c>
      <c r="Q14" s="4693">
        <f>+R14</f>
        <v>146306.25</v>
      </c>
      <c r="R14" s="4693">
        <f>G14</f>
        <v>146306.25</v>
      </c>
      <c r="S14" s="4694">
        <f>(R14*$S$12)*-1*0</f>
        <v>0</v>
      </c>
      <c r="T14" s="4694">
        <v>0</v>
      </c>
      <c r="U14" s="4694">
        <f>(R14+S14+T14)</f>
        <v>146306.25</v>
      </c>
      <c r="V14" s="4695"/>
      <c r="W14" s="2838" t="s">
        <v>6323</v>
      </c>
      <c r="X14" s="1321">
        <v>46187</v>
      </c>
      <c r="Y14" s="1323"/>
      <c r="Z14" s="1321"/>
      <c r="AA14" s="1321">
        <f>X14+30</f>
        <v>46217</v>
      </c>
      <c r="AB14" s="1324"/>
      <c r="AC14" s="1327"/>
      <c r="AD14" s="1327"/>
      <c r="AE14" s="1327"/>
      <c r="AF14" s="1327"/>
      <c r="AG14" s="2842">
        <f>+AC14*1.15</f>
        <v>0</v>
      </c>
    </row>
    <row r="15" spans="1:33" s="2837" customFormat="1" ht="50.25" customHeight="1">
      <c r="A15" s="723"/>
      <c r="B15" s="810"/>
      <c r="C15" s="1929"/>
      <c r="D15" s="2835"/>
      <c r="E15" s="1440"/>
      <c r="F15" s="2836"/>
      <c r="G15" s="1444"/>
      <c r="H15" s="1444"/>
      <c r="I15" s="1444"/>
      <c r="J15" s="1444"/>
      <c r="K15" s="1256"/>
      <c r="L15" s="1510"/>
      <c r="M15" s="2850"/>
      <c r="N15" s="1440"/>
      <c r="O15" s="1323"/>
      <c r="P15" s="1324"/>
      <c r="Q15" s="2836"/>
      <c r="R15" s="2836"/>
      <c r="S15" s="1444"/>
      <c r="T15" s="1444"/>
      <c r="U15" s="1444"/>
      <c r="V15" s="1256"/>
      <c r="W15" s="2838"/>
      <c r="X15" s="2841"/>
      <c r="Y15" s="1323"/>
      <c r="Z15" s="1321"/>
      <c r="AA15" s="1321"/>
      <c r="AB15" s="1324"/>
      <c r="AC15" s="1327"/>
      <c r="AD15" s="1327"/>
      <c r="AE15" s="1327"/>
      <c r="AF15" s="1327"/>
      <c r="AG15" s="4266"/>
    </row>
    <row r="16" spans="1:33" s="2837" customFormat="1" ht="50.25" customHeight="1">
      <c r="A16" s="723"/>
      <c r="B16" s="810"/>
      <c r="C16" s="1929"/>
      <c r="D16" s="2835"/>
      <c r="E16" s="1440"/>
      <c r="F16" s="2836"/>
      <c r="G16" s="1444"/>
      <c r="H16" s="1444"/>
      <c r="I16" s="1444"/>
      <c r="J16" s="1444"/>
      <c r="K16" s="1256"/>
      <c r="L16" s="1510"/>
      <c r="M16" s="2850"/>
      <c r="N16" s="1440"/>
      <c r="O16" s="1323"/>
      <c r="P16" s="1324"/>
      <c r="Q16" s="2836"/>
      <c r="R16" s="1444"/>
      <c r="S16" s="1444"/>
      <c r="T16" s="1444"/>
      <c r="U16" s="1444"/>
      <c r="V16" s="1256"/>
      <c r="W16" s="2838"/>
      <c r="X16" s="2841"/>
      <c r="Y16" s="1323"/>
      <c r="Z16" s="1321"/>
      <c r="AA16" s="1321"/>
      <c r="AB16" s="1324"/>
      <c r="AC16" s="1327"/>
      <c r="AD16" s="1327"/>
      <c r="AE16" s="1327"/>
      <c r="AF16" s="1327"/>
      <c r="AG16" s="2842"/>
    </row>
    <row r="17" spans="1:32">
      <c r="A17" s="723"/>
      <c r="B17" s="810"/>
      <c r="C17" s="1445"/>
      <c r="D17" s="2835"/>
      <c r="E17" s="1440"/>
      <c r="F17" s="1322"/>
      <c r="G17" s="1444"/>
      <c r="H17" s="1444"/>
      <c r="I17" s="1444"/>
      <c r="J17" s="1444"/>
      <c r="K17" s="1256"/>
      <c r="L17" s="1510"/>
      <c r="M17" s="2850"/>
      <c r="N17" s="1321"/>
      <c r="O17" s="1323"/>
      <c r="P17" s="1324"/>
      <c r="Q17" s="1322"/>
      <c r="R17" s="1444"/>
      <c r="S17" s="1444"/>
      <c r="T17" s="1444"/>
      <c r="U17" s="1444"/>
      <c r="V17" s="1256"/>
      <c r="W17" s="2838"/>
      <c r="X17" s="2841"/>
      <c r="Y17" s="1323"/>
      <c r="Z17" s="1321"/>
      <c r="AA17" s="1321"/>
      <c r="AB17" s="1324"/>
      <c r="AC17" s="1327"/>
      <c r="AD17" s="1327"/>
      <c r="AE17" s="1327"/>
      <c r="AF17" s="1327"/>
    </row>
    <row r="18" spans="1:32">
      <c r="A18" s="723"/>
      <c r="B18" s="810"/>
      <c r="C18" s="1445"/>
      <c r="D18" s="2835"/>
      <c r="E18" s="1440"/>
      <c r="F18" s="1322"/>
      <c r="G18" s="1444"/>
      <c r="H18" s="1444"/>
      <c r="I18" s="1444"/>
      <c r="J18" s="1444"/>
      <c r="K18" s="1256"/>
      <c r="L18" s="1510"/>
      <c r="M18" s="2850"/>
      <c r="N18" s="1321"/>
      <c r="O18" s="1323"/>
      <c r="P18" s="1324"/>
      <c r="Q18" s="1322"/>
      <c r="R18" s="1444"/>
      <c r="S18" s="1444"/>
      <c r="T18" s="1444"/>
      <c r="U18" s="1444"/>
      <c r="V18" s="1256"/>
      <c r="W18" s="2838"/>
      <c r="X18" s="1323"/>
      <c r="Y18" s="1323"/>
      <c r="Z18" s="1321"/>
      <c r="AA18" s="1321"/>
      <c r="AB18" s="1324"/>
      <c r="AC18" s="1327"/>
      <c r="AD18" s="1327"/>
      <c r="AE18" s="1327"/>
      <c r="AF18" s="1327"/>
    </row>
    <row r="19" spans="1:32" ht="33.950000000000003" customHeight="1">
      <c r="A19" s="723"/>
      <c r="B19" s="810"/>
      <c r="C19" s="1445"/>
      <c r="D19" s="2835"/>
      <c r="E19" s="1440"/>
      <c r="F19" s="1322"/>
      <c r="G19" s="1444"/>
      <c r="H19" s="1444"/>
      <c r="I19" s="1444"/>
      <c r="J19" s="1444"/>
      <c r="K19" s="1256"/>
      <c r="L19" s="1510"/>
      <c r="M19" s="2850"/>
      <c r="N19" s="1321"/>
      <c r="O19" s="1323"/>
      <c r="P19" s="1324"/>
      <c r="Q19" s="1322"/>
      <c r="R19" s="1444"/>
      <c r="S19" s="1444"/>
      <c r="T19" s="1444"/>
      <c r="U19" s="1444"/>
      <c r="V19" s="1256"/>
      <c r="W19" s="2838"/>
      <c r="X19" s="1323"/>
      <c r="Y19" s="1323"/>
      <c r="Z19" s="1321"/>
      <c r="AA19" s="1321"/>
      <c r="AB19" s="1324"/>
      <c r="AC19" s="1327"/>
      <c r="AD19" s="1327"/>
      <c r="AE19" s="1327"/>
      <c r="AF19" s="1327"/>
    </row>
    <row r="20" spans="1:32">
      <c r="A20" s="723"/>
      <c r="B20" s="810"/>
      <c r="C20" s="1445"/>
      <c r="D20" s="2835"/>
      <c r="E20" s="1440"/>
      <c r="F20" s="1322"/>
      <c r="G20" s="1444"/>
      <c r="H20" s="1444"/>
      <c r="I20" s="1444"/>
      <c r="J20" s="1444"/>
      <c r="K20" s="1256"/>
      <c r="L20" s="1510"/>
      <c r="M20" s="2850"/>
      <c r="N20" s="1321"/>
      <c r="O20" s="1323"/>
      <c r="P20" s="1324"/>
      <c r="Q20" s="1322"/>
      <c r="R20" s="1444"/>
      <c r="S20" s="1444"/>
      <c r="T20" s="1444"/>
      <c r="U20" s="1444"/>
      <c r="V20" s="1256"/>
      <c r="W20" s="723"/>
      <c r="X20" s="724"/>
      <c r="Y20" s="1323"/>
      <c r="Z20" s="1321"/>
      <c r="AA20" s="1321"/>
      <c r="AB20" s="1324"/>
      <c r="AC20" s="1327"/>
      <c r="AD20" s="1327"/>
      <c r="AE20" s="1327"/>
      <c r="AF20" s="1327"/>
    </row>
    <row r="21" spans="1:32">
      <c r="A21" s="723"/>
      <c r="B21" s="810"/>
      <c r="C21" s="1445"/>
      <c r="D21" s="2835"/>
      <c r="E21" s="1440"/>
      <c r="F21" s="1322"/>
      <c r="G21" s="1444"/>
      <c r="H21" s="1444"/>
      <c r="I21" s="1444"/>
      <c r="J21" s="1444"/>
      <c r="K21" s="1256"/>
      <c r="L21" s="1510"/>
      <c r="M21" s="2850"/>
      <c r="N21" s="1321"/>
      <c r="O21" s="1323"/>
      <c r="P21" s="1324"/>
      <c r="Q21" s="1322"/>
      <c r="R21" s="1444"/>
      <c r="S21" s="1444"/>
      <c r="T21" s="1444"/>
      <c r="U21" s="1444"/>
      <c r="V21" s="1256"/>
      <c r="W21" s="723"/>
      <c r="X21" s="724"/>
      <c r="Y21" s="1323"/>
      <c r="Z21" s="1321"/>
      <c r="AA21" s="1321"/>
      <c r="AB21" s="1324"/>
      <c r="AC21" s="1327"/>
      <c r="AD21" s="1327"/>
      <c r="AE21" s="1327"/>
      <c r="AF21" s="1327"/>
    </row>
    <row r="22" spans="1:32">
      <c r="A22" s="723"/>
      <c r="B22" s="810"/>
      <c r="C22" s="1445"/>
      <c r="D22" s="2835"/>
      <c r="E22" s="1440"/>
      <c r="F22" s="1322"/>
      <c r="G22" s="1444"/>
      <c r="H22" s="1444"/>
      <c r="I22" s="1444"/>
      <c r="J22" s="1444"/>
      <c r="K22" s="1256"/>
      <c r="L22" s="1510"/>
      <c r="M22" s="2850"/>
      <c r="N22" s="1321"/>
      <c r="O22" s="1323"/>
      <c r="P22" s="1324"/>
      <c r="Q22" s="1322"/>
      <c r="R22" s="1444"/>
      <c r="S22" s="1444"/>
      <c r="T22" s="1444"/>
      <c r="U22" s="1444"/>
      <c r="V22" s="1256"/>
      <c r="W22" s="723"/>
      <c r="X22" s="724"/>
      <c r="Y22" s="1323"/>
      <c r="Z22" s="1321"/>
      <c r="AA22" s="1321"/>
      <c r="AB22" s="1324"/>
      <c r="AC22" s="1327"/>
      <c r="AD22" s="1327"/>
      <c r="AE22" s="1327"/>
      <c r="AF22" s="1327"/>
    </row>
    <row r="23" spans="1:32">
      <c r="A23" s="723"/>
      <c r="B23" s="810"/>
      <c r="C23" s="1445"/>
      <c r="D23" s="2835"/>
      <c r="E23" s="1440"/>
      <c r="F23" s="1322"/>
      <c r="G23" s="1444"/>
      <c r="H23" s="1444"/>
      <c r="I23" s="1444"/>
      <c r="J23" s="1444"/>
      <c r="K23" s="1256"/>
      <c r="L23" s="1510"/>
      <c r="M23" s="2850"/>
      <c r="N23" s="1321"/>
      <c r="O23" s="1323"/>
      <c r="P23" s="1324"/>
      <c r="Q23" s="1322"/>
      <c r="R23" s="1444"/>
      <c r="S23" s="1444"/>
      <c r="T23" s="1444"/>
      <c r="U23" s="1444"/>
      <c r="V23" s="1256"/>
      <c r="W23" s="723"/>
      <c r="X23" s="724"/>
      <c r="Y23" s="1323"/>
      <c r="Z23" s="1321"/>
      <c r="AA23" s="1321"/>
      <c r="AB23" s="1324"/>
      <c r="AC23" s="1327"/>
      <c r="AD23" s="1327"/>
      <c r="AE23" s="1327"/>
      <c r="AF23" s="1327"/>
    </row>
    <row r="24" spans="1:32">
      <c r="A24" s="723"/>
      <c r="B24" s="810"/>
      <c r="C24" s="1445"/>
      <c r="D24" s="2835"/>
      <c r="E24" s="1440"/>
      <c r="F24" s="1322"/>
      <c r="G24" s="1444"/>
      <c r="H24" s="1444"/>
      <c r="I24" s="1444"/>
      <c r="J24" s="1444"/>
      <c r="K24" s="1256"/>
      <c r="L24" s="1510"/>
      <c r="M24" s="2850"/>
      <c r="N24" s="1321"/>
      <c r="O24" s="1323"/>
      <c r="P24" s="1324"/>
      <c r="Q24" s="1322"/>
      <c r="R24" s="1444"/>
      <c r="S24" s="1444"/>
      <c r="T24" s="1444"/>
      <c r="U24" s="1444"/>
      <c r="V24" s="1256"/>
      <c r="W24" s="723"/>
      <c r="X24" s="724"/>
      <c r="Y24" s="1323"/>
      <c r="Z24" s="1321"/>
      <c r="AA24" s="1321"/>
      <c r="AB24" s="1324"/>
      <c r="AC24" s="1327"/>
      <c r="AD24" s="1327"/>
      <c r="AE24" s="1327"/>
      <c r="AF24" s="1327"/>
    </row>
    <row r="25" spans="1:32">
      <c r="A25" s="723"/>
      <c r="B25" s="810"/>
      <c r="C25" s="1445"/>
      <c r="D25" s="2835"/>
      <c r="E25" s="1440"/>
      <c r="F25" s="1322"/>
      <c r="G25" s="1322"/>
      <c r="H25" s="1322"/>
      <c r="I25" s="1322"/>
      <c r="J25" s="1322"/>
      <c r="K25" s="1256"/>
      <c r="L25" s="1443"/>
      <c r="M25" s="2850"/>
      <c r="N25" s="1321"/>
      <c r="O25" s="1323"/>
      <c r="P25" s="1324"/>
      <c r="Q25" s="1322"/>
      <c r="R25" s="1444"/>
      <c r="S25" s="1444"/>
      <c r="T25" s="1444"/>
      <c r="U25" s="1328"/>
      <c r="V25" s="1256"/>
      <c r="W25" s="723"/>
      <c r="X25" s="724"/>
      <c r="Y25" s="1323"/>
      <c r="Z25" s="1321"/>
      <c r="AA25" s="1321"/>
      <c r="AB25" s="1324"/>
      <c r="AC25" s="1327"/>
      <c r="AD25" s="1327"/>
      <c r="AE25" s="1327"/>
      <c r="AF25" s="1327"/>
    </row>
    <row r="26" spans="1:32">
      <c r="A26" s="723"/>
      <c r="B26" s="810"/>
      <c r="C26" s="1445"/>
      <c r="D26" s="2835"/>
      <c r="E26" s="1440"/>
      <c r="F26" s="1322"/>
      <c r="G26" s="1322"/>
      <c r="H26" s="1322"/>
      <c r="I26" s="1322"/>
      <c r="J26" s="1322"/>
      <c r="K26" s="1256"/>
      <c r="L26" s="1443"/>
      <c r="M26" s="2850"/>
      <c r="N26" s="1321"/>
      <c r="O26" s="1323"/>
      <c r="P26" s="1324"/>
      <c r="Q26" s="1322"/>
      <c r="R26" s="1444"/>
      <c r="S26" s="1444"/>
      <c r="T26" s="1444"/>
      <c r="U26" s="1328"/>
      <c r="V26" s="1256"/>
      <c r="W26" s="723"/>
      <c r="X26" s="724"/>
      <c r="Y26" s="1323"/>
      <c r="Z26" s="1321"/>
      <c r="AA26" s="1321"/>
      <c r="AB26" s="1324"/>
      <c r="AC26" s="1327"/>
      <c r="AD26" s="1327"/>
      <c r="AE26" s="1327"/>
      <c r="AF26" s="1327"/>
    </row>
    <row r="27" spans="1:32">
      <c r="A27" s="723"/>
      <c r="B27" s="810"/>
      <c r="C27" s="1445"/>
      <c r="D27" s="2835"/>
      <c r="E27" s="1440"/>
      <c r="F27" s="1322"/>
      <c r="G27" s="1322"/>
      <c r="H27" s="1322"/>
      <c r="I27" s="1322"/>
      <c r="J27" s="1322"/>
      <c r="K27" s="1256"/>
      <c r="L27" s="1443"/>
      <c r="M27" s="2850"/>
      <c r="N27" s="1321"/>
      <c r="O27" s="1323"/>
      <c r="P27" s="1324"/>
      <c r="Q27" s="1322"/>
      <c r="R27" s="1444"/>
      <c r="S27" s="1444"/>
      <c r="T27" s="1444"/>
      <c r="U27" s="1328"/>
      <c r="V27" s="1256"/>
      <c r="W27" s="723"/>
      <c r="X27" s="724"/>
      <c r="Y27" s="1323"/>
      <c r="Z27" s="1321"/>
      <c r="AA27" s="1321"/>
      <c r="AB27" s="1324"/>
      <c r="AC27" s="1327"/>
      <c r="AD27" s="1327"/>
      <c r="AE27" s="1327"/>
      <c r="AF27" s="1327"/>
    </row>
    <row r="28" spans="1:32">
      <c r="A28" s="723"/>
      <c r="B28" s="810"/>
      <c r="C28" s="1445"/>
      <c r="D28" s="2835"/>
      <c r="E28" s="1440"/>
      <c r="F28" s="1322"/>
      <c r="G28" s="1322"/>
      <c r="H28" s="1322"/>
      <c r="I28" s="1322"/>
      <c r="J28" s="1322"/>
      <c r="K28" s="1256"/>
      <c r="L28" s="1443"/>
      <c r="M28" s="2850"/>
      <c r="N28" s="1321"/>
      <c r="O28" s="1323"/>
      <c r="P28" s="1324"/>
      <c r="Q28" s="1322"/>
      <c r="R28" s="1444"/>
      <c r="S28" s="1444"/>
      <c r="T28" s="1444"/>
      <c r="U28" s="1328"/>
      <c r="V28" s="1256"/>
      <c r="W28" s="723"/>
      <c r="X28" s="724"/>
      <c r="Y28" s="1323"/>
      <c r="Z28" s="1321"/>
      <c r="AA28" s="1321"/>
      <c r="AB28" s="1324"/>
      <c r="AC28" s="1327"/>
      <c r="AD28" s="1327"/>
      <c r="AE28" s="1327"/>
      <c r="AF28" s="1327"/>
    </row>
    <row r="29" spans="1:32">
      <c r="A29" s="723"/>
      <c r="B29" s="810"/>
      <c r="C29" s="1445"/>
      <c r="D29" s="2835"/>
      <c r="E29" s="1440"/>
      <c r="F29" s="1322"/>
      <c r="G29" s="1322"/>
      <c r="H29" s="1322"/>
      <c r="I29" s="1322"/>
      <c r="J29" s="1322"/>
      <c r="K29" s="1256"/>
      <c r="L29" s="1443"/>
      <c r="M29" s="2850"/>
      <c r="N29" s="1321"/>
      <c r="O29" s="1323"/>
      <c r="P29" s="1324"/>
      <c r="Q29" s="1322"/>
      <c r="R29" s="1444"/>
      <c r="S29" s="1444"/>
      <c r="T29" s="1444"/>
      <c r="U29" s="1328"/>
      <c r="V29" s="1256"/>
      <c r="W29" s="723"/>
      <c r="X29" s="724"/>
      <c r="Y29" s="1323"/>
      <c r="Z29" s="1321"/>
      <c r="AA29" s="1321"/>
      <c r="AB29" s="1324"/>
      <c r="AC29" s="1327"/>
      <c r="AD29" s="1327"/>
      <c r="AE29" s="1327"/>
      <c r="AF29" s="1327"/>
    </row>
    <row r="30" spans="1:32">
      <c r="A30" s="723"/>
      <c r="B30" s="810"/>
      <c r="C30" s="1445"/>
      <c r="D30" s="2835"/>
      <c r="E30" s="1440"/>
      <c r="F30" s="1322"/>
      <c r="G30" s="1322"/>
      <c r="H30" s="1322"/>
      <c r="I30" s="1322"/>
      <c r="J30" s="1322"/>
      <c r="K30" s="1256"/>
      <c r="L30" s="1443"/>
      <c r="M30" s="2850"/>
      <c r="N30" s="1321"/>
      <c r="O30" s="1323"/>
      <c r="P30" s="1324"/>
      <c r="Q30" s="1322"/>
      <c r="R30" s="1444"/>
      <c r="S30" s="1444"/>
      <c r="T30" s="1444"/>
      <c r="U30" s="1328"/>
      <c r="V30" s="1256"/>
      <c r="W30" s="723"/>
      <c r="X30" s="724"/>
      <c r="Y30" s="1323"/>
      <c r="Z30" s="1321"/>
      <c r="AA30" s="1321"/>
      <c r="AB30" s="1324"/>
      <c r="AC30" s="1327"/>
      <c r="AD30" s="1327"/>
      <c r="AE30" s="1327"/>
      <c r="AF30" s="1327"/>
    </row>
    <row r="31" spans="1:32">
      <c r="A31" s="723"/>
      <c r="B31" s="810"/>
      <c r="C31" s="1445"/>
      <c r="D31" s="2835"/>
      <c r="E31" s="1440"/>
      <c r="F31" s="1322"/>
      <c r="G31" s="1322"/>
      <c r="H31" s="1322"/>
      <c r="I31" s="1322"/>
      <c r="J31" s="1322"/>
      <c r="K31" s="1256"/>
      <c r="L31" s="1443"/>
      <c r="M31" s="2850"/>
      <c r="N31" s="1321"/>
      <c r="O31" s="1323"/>
      <c r="P31" s="1324"/>
      <c r="Q31" s="1322"/>
      <c r="R31" s="1444"/>
      <c r="S31" s="1444"/>
      <c r="T31" s="1444"/>
      <c r="U31" s="1328"/>
      <c r="V31" s="1256"/>
      <c r="W31" s="723"/>
      <c r="X31" s="724"/>
      <c r="Y31" s="1323"/>
      <c r="Z31" s="1321"/>
      <c r="AA31" s="1321"/>
      <c r="AB31" s="1324"/>
      <c r="AC31" s="1327"/>
      <c r="AD31" s="1327"/>
      <c r="AE31" s="1327"/>
      <c r="AF31" s="1327"/>
    </row>
    <row r="32" spans="1:32">
      <c r="A32" s="723"/>
      <c r="B32" s="810"/>
      <c r="C32" s="1445"/>
      <c r="D32" s="2835"/>
      <c r="E32" s="1440"/>
      <c r="F32" s="1322"/>
      <c r="G32" s="1322"/>
      <c r="H32" s="1322"/>
      <c r="I32" s="1322"/>
      <c r="J32" s="1322"/>
      <c r="K32" s="1256"/>
      <c r="L32" s="1443"/>
      <c r="M32" s="2850"/>
      <c r="N32" s="1321"/>
      <c r="O32" s="1323"/>
      <c r="P32" s="1324"/>
      <c r="Q32" s="1322"/>
      <c r="R32" s="1444"/>
      <c r="S32" s="1444"/>
      <c r="T32" s="1444"/>
      <c r="U32" s="1328"/>
      <c r="V32" s="1256"/>
      <c r="W32" s="723"/>
      <c r="X32" s="724"/>
      <c r="Y32" s="1323"/>
      <c r="Z32" s="1321"/>
      <c r="AA32" s="1321"/>
      <c r="AB32" s="1324"/>
      <c r="AC32" s="1327"/>
      <c r="AD32" s="1327"/>
      <c r="AE32" s="1327"/>
      <c r="AF32" s="1327"/>
    </row>
    <row r="33" spans="1:32">
      <c r="A33" s="723"/>
      <c r="B33" s="810"/>
      <c r="C33" s="1445"/>
      <c r="D33" s="1320"/>
      <c r="E33" s="1440"/>
      <c r="F33" s="1322"/>
      <c r="G33" s="1322"/>
      <c r="H33" s="1322"/>
      <c r="I33" s="1322"/>
      <c r="J33" s="1322"/>
      <c r="K33" s="1256"/>
      <c r="L33" s="1443"/>
      <c r="M33" s="2850"/>
      <c r="N33" s="1321"/>
      <c r="O33" s="1323"/>
      <c r="P33" s="1324"/>
      <c r="Q33" s="1322"/>
      <c r="R33" s="1444"/>
      <c r="S33" s="1444"/>
      <c r="T33" s="1444"/>
      <c r="U33" s="1328"/>
      <c r="V33" s="1256"/>
      <c r="W33" s="723"/>
      <c r="X33" s="724"/>
      <c r="Y33" s="1323"/>
      <c r="Z33" s="1321"/>
      <c r="AA33" s="1321"/>
      <c r="AB33" s="1324"/>
      <c r="AC33" s="1327"/>
      <c r="AD33" s="1327"/>
      <c r="AE33" s="1327"/>
      <c r="AF33" s="1327"/>
    </row>
    <row r="34" spans="1:32">
      <c r="A34" s="723"/>
      <c r="B34" s="810"/>
      <c r="C34" s="1445"/>
      <c r="D34" s="1320"/>
      <c r="E34" s="1440"/>
      <c r="F34" s="1322"/>
      <c r="G34" s="1322"/>
      <c r="H34" s="1322"/>
      <c r="I34" s="1322"/>
      <c r="J34" s="1322"/>
      <c r="K34" s="1256"/>
      <c r="L34" s="1443"/>
      <c r="M34" s="2850"/>
      <c r="N34" s="1321"/>
      <c r="O34" s="1323"/>
      <c r="P34" s="1324"/>
      <c r="Q34" s="1322"/>
      <c r="R34" s="1444"/>
      <c r="S34" s="1444"/>
      <c r="T34" s="1444"/>
      <c r="U34" s="1328"/>
      <c r="V34" s="1256"/>
      <c r="W34" s="723"/>
      <c r="X34" s="724"/>
      <c r="Y34" s="1323"/>
      <c r="Z34" s="1321"/>
      <c r="AA34" s="1321"/>
      <c r="AB34" s="1324"/>
      <c r="AC34" s="1327"/>
      <c r="AD34" s="1327"/>
      <c r="AE34" s="1327"/>
      <c r="AF34" s="1327"/>
    </row>
    <row r="35" spans="1:32">
      <c r="A35" s="723"/>
      <c r="B35" s="810"/>
      <c r="C35" s="1445"/>
      <c r="D35" s="1320"/>
      <c r="E35" s="1441"/>
      <c r="F35" s="1322"/>
      <c r="G35" s="1322"/>
      <c r="H35" s="1322"/>
      <c r="I35" s="1322"/>
      <c r="J35" s="1322"/>
      <c r="K35" s="1256"/>
      <c r="L35" s="1443"/>
      <c r="M35" s="2850"/>
      <c r="N35" s="1321"/>
      <c r="O35" s="1323"/>
      <c r="P35" s="1324"/>
      <c r="Q35" s="1322"/>
      <c r="R35" s="1444"/>
      <c r="S35" s="1444"/>
      <c r="T35" s="1444"/>
      <c r="U35" s="1328"/>
      <c r="V35" s="1256"/>
      <c r="W35" s="723"/>
      <c r="X35" s="724"/>
      <c r="Y35" s="1323"/>
      <c r="Z35" s="1321"/>
      <c r="AA35" s="1321"/>
      <c r="AB35" s="1324"/>
      <c r="AC35" s="1327"/>
      <c r="AD35" s="1327"/>
      <c r="AE35" s="1327"/>
      <c r="AF35" s="1327"/>
    </row>
    <row r="36" spans="1:32">
      <c r="A36" s="1329"/>
      <c r="B36" s="1330"/>
      <c r="C36" s="1440"/>
      <c r="D36" s="1331"/>
      <c r="E36" s="1442"/>
      <c r="F36" s="1332"/>
      <c r="G36" s="1332"/>
      <c r="H36" s="1332"/>
      <c r="I36" s="1332"/>
      <c r="J36" s="1332"/>
      <c r="K36" s="1256"/>
      <c r="L36" s="1329"/>
      <c r="M36" s="2851"/>
      <c r="N36" s="1334"/>
      <c r="O36" s="1334"/>
      <c r="P36" s="1335"/>
      <c r="Q36" s="1322"/>
      <c r="R36" s="1333"/>
      <c r="S36" s="1333"/>
      <c r="T36" s="1333"/>
      <c r="U36" s="1336"/>
      <c r="V36" s="1256"/>
      <c r="W36" s="1329"/>
      <c r="X36" s="1333"/>
      <c r="Y36" s="1337"/>
      <c r="Z36" s="1334"/>
      <c r="AA36" s="1334"/>
      <c r="AB36" s="1334"/>
      <c r="AC36" s="1329"/>
      <c r="AD36" s="1337"/>
      <c r="AE36" s="1334"/>
      <c r="AF36" s="1334"/>
    </row>
    <row r="37" spans="1:32" ht="24.75" customHeight="1" collapsed="1" thickBot="1">
      <c r="A37" s="6045" t="s">
        <v>1522</v>
      </c>
      <c r="B37" s="6046"/>
      <c r="C37" s="6046"/>
      <c r="D37" s="6046"/>
      <c r="E37" s="6046"/>
      <c r="F37" s="6047"/>
      <c r="G37" s="1338">
        <f>SUM(G14:G36)</f>
        <v>146306.25</v>
      </c>
      <c r="H37" s="1338">
        <f>SUM(H14:H36)</f>
        <v>0</v>
      </c>
      <c r="I37" s="1338">
        <f>SUM(I14:I36)</f>
        <v>0</v>
      </c>
      <c r="J37" s="1338">
        <f>SUM(J14:J36)</f>
        <v>146306.25</v>
      </c>
      <c r="K37" s="1256"/>
      <c r="L37" s="1339" t="s">
        <v>1522</v>
      </c>
      <c r="M37" s="1343"/>
      <c r="N37" s="1340"/>
      <c r="O37" s="1340"/>
      <c r="P37" s="1340"/>
      <c r="Q37" s="1340"/>
      <c r="R37" s="1341">
        <f>SUM(R14:R36)</f>
        <v>146306.25</v>
      </c>
      <c r="S37" s="1338">
        <f>SUM(S14:S36)</f>
        <v>0</v>
      </c>
      <c r="T37" s="1338">
        <f>SUM(T14:T36)</f>
        <v>0</v>
      </c>
      <c r="U37" s="1338">
        <f>SUM(U14:U36)</f>
        <v>146306.25</v>
      </c>
      <c r="V37" s="1256"/>
      <c r="W37" s="1342" t="s">
        <v>1522</v>
      </c>
      <c r="X37" s="1343"/>
      <c r="Y37" s="1343"/>
      <c r="Z37" s="1343"/>
      <c r="AA37" s="1343"/>
      <c r="AB37" s="1343"/>
      <c r="AC37" s="1341">
        <f>SUM(AC14:AC36)</f>
        <v>0</v>
      </c>
      <c r="AD37" s="1338">
        <f>SUM(AD14:AD36)</f>
        <v>0</v>
      </c>
      <c r="AE37" s="1338">
        <f>SUM(AE14:AE36)</f>
        <v>0</v>
      </c>
      <c r="AF37" s="1338">
        <f>+AF14</f>
        <v>0</v>
      </c>
    </row>
    <row r="38" spans="1:32">
      <c r="A38" s="1360"/>
      <c r="B38" s="1256"/>
      <c r="C38" s="1255"/>
      <c r="D38" s="1257"/>
      <c r="E38" s="1361"/>
      <c r="F38" s="1258"/>
      <c r="G38" s="1258"/>
      <c r="H38" s="1258"/>
      <c r="I38" s="1258"/>
      <c r="J38" s="1258"/>
      <c r="K38" s="1256"/>
      <c r="L38" s="1360"/>
      <c r="M38" s="2852"/>
      <c r="N38" s="1362"/>
      <c r="O38" s="1362"/>
      <c r="P38" s="1362"/>
      <c r="Q38" s="1360"/>
      <c r="R38" s="1360"/>
      <c r="S38" s="1360"/>
      <c r="T38" s="1360"/>
      <c r="U38" s="1363"/>
      <c r="V38" s="1256"/>
      <c r="W38" s="1360"/>
      <c r="X38" s="1360"/>
      <c r="Y38" s="1364"/>
      <c r="Z38" s="1362"/>
      <c r="AA38" s="1362"/>
      <c r="AB38" s="1362"/>
      <c r="AC38" s="1360"/>
      <c r="AD38" s="1364"/>
      <c r="AE38" s="1362"/>
      <c r="AF38" s="1362"/>
    </row>
    <row r="39" spans="1:32">
      <c r="A39" s="1360"/>
      <c r="B39" s="1256"/>
      <c r="C39" s="1255"/>
      <c r="D39" s="1257"/>
      <c r="E39" s="1361"/>
      <c r="F39" s="1258"/>
      <c r="G39" s="1258"/>
      <c r="H39" s="1258"/>
      <c r="I39" s="1258"/>
      <c r="J39" s="1258"/>
      <c r="K39" s="1256"/>
      <c r="L39" s="1360"/>
      <c r="M39" s="2852"/>
      <c r="N39" s="1362"/>
      <c r="O39" s="1362"/>
      <c r="P39" s="1257"/>
      <c r="Q39" s="1258"/>
      <c r="R39" s="1258"/>
      <c r="S39" s="1258"/>
      <c r="T39" s="1258"/>
      <c r="U39" s="1258">
        <f>+U37-T37</f>
        <v>146306.25</v>
      </c>
      <c r="V39" s="1256"/>
      <c r="W39" s="1360"/>
      <c r="X39" s="1360"/>
      <c r="Y39" s="1364"/>
      <c r="Z39" s="1362"/>
      <c r="AA39" s="1362"/>
      <c r="AB39" s="1362"/>
      <c r="AC39" s="1360"/>
      <c r="AD39" s="1364"/>
      <c r="AE39" s="1362"/>
      <c r="AF39" s="1362"/>
    </row>
    <row r="40" spans="1:32">
      <c r="A40" s="1365"/>
      <c r="B40" s="1256"/>
      <c r="C40" s="1255"/>
      <c r="D40" s="1257"/>
      <c r="E40" s="1361"/>
      <c r="F40" s="1366"/>
      <c r="G40" s="1366"/>
      <c r="H40" s="1366"/>
      <c r="I40" s="1366"/>
      <c r="J40" s="1258"/>
      <c r="K40" s="1256"/>
      <c r="L40" s="1365"/>
      <c r="M40" s="2853">
        <f>403092.61/11085046.72</f>
        <v>3.6363636544059594E-2</v>
      </c>
      <c r="N40" s="1365"/>
      <c r="O40" s="1365"/>
      <c r="P40" s="1257"/>
      <c r="Q40" s="1366"/>
      <c r="R40" s="1366"/>
      <c r="S40" s="1366"/>
      <c r="T40" s="1366"/>
      <c r="U40" s="1366"/>
      <c r="V40" s="1256"/>
      <c r="W40" s="1365"/>
      <c r="X40" s="1365"/>
      <c r="Y40" s="1365"/>
      <c r="Z40" s="1362"/>
      <c r="AA40" s="1362"/>
      <c r="AB40" s="1362"/>
      <c r="AC40" s="1365"/>
      <c r="AD40" s="1365"/>
      <c r="AE40" s="1362"/>
      <c r="AF40" s="1362"/>
    </row>
    <row r="41" spans="1:32">
      <c r="D41" s="1257"/>
      <c r="E41" s="153">
        <v>44197</v>
      </c>
      <c r="F41" s="1366"/>
      <c r="P41" s="1257"/>
      <c r="Q41" s="1366"/>
      <c r="R41" s="1366"/>
      <c r="S41" s="1366"/>
      <c r="T41" s="1366"/>
      <c r="U41" s="1366"/>
      <c r="AA41" s="153">
        <v>44094</v>
      </c>
      <c r="AC41" s="1367"/>
    </row>
    <row r="42" spans="1:32">
      <c r="D42" s="1257"/>
      <c r="E42" s="153">
        <f>E41-45</f>
        <v>44152</v>
      </c>
      <c r="F42" s="1366"/>
      <c r="P42" s="1257"/>
      <c r="Q42" s="1366"/>
      <c r="R42" s="1366"/>
      <c r="S42" s="1366"/>
      <c r="T42" s="1366"/>
      <c r="U42" s="1366"/>
      <c r="AA42" s="153">
        <f>AA41-45</f>
        <v>44049</v>
      </c>
    </row>
    <row r="43" spans="1:32">
      <c r="D43" s="1257"/>
      <c r="F43" s="1366"/>
      <c r="H43" s="153">
        <v>43986</v>
      </c>
      <c r="R43" s="652"/>
      <c r="S43" s="652"/>
      <c r="T43" s="652"/>
      <c r="U43" s="652"/>
    </row>
    <row r="45" spans="1:32">
      <c r="AC45" t="s">
        <v>2330</v>
      </c>
    </row>
    <row r="46" spans="1:32">
      <c r="AC46" s="3018">
        <v>45222</v>
      </c>
      <c r="AD46" s="3018">
        <v>45253</v>
      </c>
      <c r="AE46" s="3018">
        <v>45283</v>
      </c>
    </row>
    <row r="47" spans="1:32">
      <c r="AC47" s="3020">
        <v>11439880.26</v>
      </c>
    </row>
  </sheetData>
  <mergeCells count="4">
    <mergeCell ref="A10:J10"/>
    <mergeCell ref="L10:U10"/>
    <mergeCell ref="W10:AF10"/>
    <mergeCell ref="A37:F37"/>
  </mergeCells>
  <printOptions horizontalCentered="1"/>
  <pageMargins left="0.23622047244094491" right="0.23622047244094491" top="0.74803149606299213" bottom="0.74803149606299213" header="0.31496062992125984" footer="0.31496062992125984"/>
  <pageSetup paperSize="8" scale="67" fitToHeight="2" orientation="landscape" r:id="rId1"/>
  <headerFooter>
    <oddHeader>&amp;C&amp;"Calibri,Bold"&amp;18MONTHLY REPORT - INVOICE &amp; PAYMENT TRACKING LOG (PEOPLEVINE)</oddHeader>
    <oddFooter>&amp;L1TB.01.003.01 - AYC 
MARCH'26 REPORT&amp;C&amp;A&amp;RPage &amp;P of &amp;N</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5AC59-7873-4FB6-9867-D4E21DA90283}">
  <sheetPr>
    <tabColor theme="7" tint="0.39997558519241921"/>
    <pageSetUpPr fitToPage="1"/>
  </sheetPr>
  <dimension ref="A1:AG47"/>
  <sheetViews>
    <sheetView showGridLines="0" view="pageBreakPreview" topLeftCell="J1" zoomScale="90" zoomScaleNormal="100" zoomScaleSheetLayoutView="90" workbookViewId="0">
      <selection activeCell="C43" sqref="C43"/>
    </sheetView>
  </sheetViews>
  <sheetFormatPr defaultColWidth="9" defaultRowHeight="12.75"/>
  <cols>
    <col min="1" max="1" width="10.85546875" customWidth="1"/>
    <col min="2" max="2" width="10.42578125" customWidth="1"/>
    <col min="3" max="3" width="11.42578125" customWidth="1"/>
    <col min="4" max="4" width="10.85546875" bestFit="1" customWidth="1"/>
    <col min="5" max="5" width="9.85546875" bestFit="1" customWidth="1"/>
    <col min="6" max="6" width="12" customWidth="1"/>
    <col min="7" max="7" width="12.85546875" bestFit="1" customWidth="1"/>
    <col min="8" max="9" width="11.85546875" bestFit="1" customWidth="1"/>
    <col min="10" max="10" width="13.85546875" customWidth="1"/>
    <col min="11" max="11" width="0.85546875" customWidth="1"/>
    <col min="12" max="12" width="6" customWidth="1"/>
    <col min="13" max="13" width="17.85546875" style="2854" bestFit="1" customWidth="1"/>
    <col min="14" max="15" width="9" customWidth="1"/>
    <col min="16" max="16" width="7.85546875" customWidth="1"/>
    <col min="17" max="17" width="13.85546875" customWidth="1"/>
    <col min="18" max="18" width="15.5703125" customWidth="1"/>
    <col min="19" max="20" width="11.42578125" customWidth="1"/>
    <col min="21" max="21" width="14.5703125" customWidth="1"/>
    <col min="22" max="22" width="0.85546875" customWidth="1"/>
    <col min="23" max="23" width="14" bestFit="1" customWidth="1"/>
    <col min="24" max="24" width="9" customWidth="1"/>
    <col min="25" max="25" width="9" hidden="1" customWidth="1"/>
    <col min="26" max="26" width="9" bestFit="1" customWidth="1"/>
    <col min="27" max="27" width="10" customWidth="1"/>
    <col min="28" max="28" width="7" customWidth="1"/>
    <col min="29" max="29" width="12.42578125" customWidth="1"/>
    <col min="30" max="30" width="13.5703125" customWidth="1"/>
    <col min="31" max="32" width="14" customWidth="1"/>
    <col min="33" max="33" width="13.5703125" bestFit="1" customWidth="1"/>
  </cols>
  <sheetData>
    <row r="1" spans="1:33">
      <c r="A1" s="1255"/>
      <c r="B1" s="1256"/>
      <c r="C1" s="1255"/>
      <c r="D1" s="1257"/>
      <c r="E1" s="1257"/>
      <c r="F1" s="1258"/>
      <c r="G1" s="1258"/>
      <c r="H1" s="1258"/>
      <c r="I1" s="1258"/>
      <c r="J1" s="1258"/>
      <c r="K1" s="1257"/>
      <c r="L1" s="1255"/>
      <c r="M1" s="2848"/>
      <c r="N1" s="1255"/>
      <c r="O1" s="1255"/>
      <c r="P1" s="1255"/>
      <c r="Q1" s="1255"/>
      <c r="R1" s="1255"/>
      <c r="S1" s="1255"/>
      <c r="T1" s="1255"/>
      <c r="U1" s="1259"/>
      <c r="V1" s="1257"/>
      <c r="W1" s="1257"/>
      <c r="X1" s="1257"/>
      <c r="Y1" s="1257"/>
      <c r="Z1" s="1257"/>
      <c r="AA1" s="1257"/>
      <c r="AB1" s="1257"/>
      <c r="AC1" s="1257"/>
      <c r="AD1" s="1257"/>
      <c r="AE1" s="1257"/>
      <c r="AF1" s="1257"/>
    </row>
    <row r="2" spans="1:33">
      <c r="A2" s="9" t="str">
        <f>'Data Input'!A1&amp;" - "&amp;'Data Input'!B1</f>
        <v>PROGRAMME: - MARINA VILLAGE (PROGRAMME 1_TRIPLE BAY)</v>
      </c>
      <c r="B2" s="1256"/>
      <c r="C2" s="1255"/>
      <c r="D2" s="1257"/>
      <c r="E2" s="1257"/>
      <c r="F2" s="1258"/>
      <c r="G2" s="1258"/>
      <c r="H2" s="1258"/>
      <c r="I2" s="1258"/>
      <c r="J2" s="1258"/>
      <c r="K2" s="1257"/>
      <c r="L2" s="1255"/>
      <c r="M2" s="2848"/>
      <c r="N2" s="1255"/>
      <c r="O2" s="1255"/>
      <c r="P2" s="1255"/>
      <c r="Q2" s="1255"/>
      <c r="R2" s="1255"/>
      <c r="S2" s="1255"/>
      <c r="T2" s="1255"/>
      <c r="U2" s="1259"/>
      <c r="V2" s="1257"/>
      <c r="W2" s="1257"/>
      <c r="X2" s="1257"/>
      <c r="Y2" s="1257"/>
      <c r="Z2" s="1257"/>
      <c r="AA2" s="1257"/>
      <c r="AB2" s="1257"/>
      <c r="AC2" s="1257"/>
      <c r="AD2" s="1257"/>
      <c r="AE2" s="1257"/>
      <c r="AF2" s="1257"/>
    </row>
    <row r="3" spans="1:33">
      <c r="A3" s="9" t="str">
        <f>'Data Input'!A2&amp;" - "&amp;'Data Input'!B2</f>
        <v>PROGRAMME CODE: - 1TB01003</v>
      </c>
      <c r="B3" s="1260"/>
      <c r="C3" s="1261"/>
      <c r="D3" s="1262"/>
      <c r="E3" s="1262"/>
      <c r="F3" s="1263"/>
      <c r="G3" s="1263"/>
      <c r="H3" s="1263"/>
      <c r="I3" s="1263"/>
      <c r="J3" s="1264"/>
      <c r="K3" s="1265"/>
      <c r="L3" s="1265"/>
      <c r="M3" s="1262"/>
      <c r="N3" s="1265"/>
      <c r="O3" s="1266"/>
      <c r="P3" s="1265"/>
      <c r="Q3" s="1265"/>
      <c r="R3" s="1265"/>
      <c r="S3" s="1265"/>
      <c r="T3" s="1265"/>
      <c r="U3" s="1267"/>
      <c r="V3" s="1265"/>
      <c r="W3" s="1265"/>
      <c r="X3" s="1265"/>
      <c r="Y3" s="1265"/>
      <c r="Z3" s="1265"/>
      <c r="AA3" s="1265"/>
      <c r="AB3" s="1265"/>
      <c r="AC3" s="1265"/>
      <c r="AD3" s="1265"/>
      <c r="AE3" s="1265"/>
      <c r="AF3" s="1265"/>
    </row>
    <row r="4" spans="1:33">
      <c r="A4" s="9" t="str">
        <f>'Data Input'!A3&amp;" - "&amp;'Data Input'!B3</f>
        <v>ASSET NAME: - AMAALA YACHT CLUB</v>
      </c>
      <c r="B4" s="1260"/>
      <c r="C4" s="1268"/>
      <c r="D4" s="1265"/>
      <c r="E4" s="1265"/>
      <c r="F4" s="1267"/>
      <c r="G4" s="1267"/>
      <c r="H4" s="1267"/>
      <c r="I4" s="1267"/>
      <c r="J4" s="1269"/>
      <c r="K4" s="1265"/>
      <c r="L4" s="1265"/>
      <c r="M4" s="1262"/>
      <c r="N4" s="1265"/>
      <c r="O4" s="1266"/>
      <c r="P4" s="1265"/>
      <c r="Q4" s="1265"/>
      <c r="R4" s="1265"/>
      <c r="S4" s="1265"/>
      <c r="T4" s="1265"/>
      <c r="U4" s="1267"/>
      <c r="V4" s="1265"/>
      <c r="W4" s="1265"/>
      <c r="X4" s="1265"/>
      <c r="Y4" s="1265"/>
      <c r="Z4" s="1265"/>
      <c r="AA4" s="1265"/>
      <c r="AB4" s="1265"/>
      <c r="AC4" s="1265"/>
      <c r="AD4" s="1265"/>
      <c r="AE4" s="1265"/>
      <c r="AF4" s="1265"/>
    </row>
    <row r="5" spans="1:33">
      <c r="A5" s="9" t="str">
        <f>'Data Input'!A4&amp;" - "&amp;'Data Input'!B4</f>
        <v>ASSET CODE: - 1TB01003.01</v>
      </c>
      <c r="B5" s="1270"/>
      <c r="C5" s="1268"/>
      <c r="D5" s="1265"/>
      <c r="E5" s="1265"/>
      <c r="F5" s="1267"/>
      <c r="G5" s="1267"/>
      <c r="H5" s="1267"/>
      <c r="I5" s="1267"/>
      <c r="J5" s="1269"/>
      <c r="K5" s="1265"/>
      <c r="L5" s="1265"/>
      <c r="M5" s="1262"/>
      <c r="N5" s="1265"/>
      <c r="O5" s="1266"/>
      <c r="P5" s="1265"/>
      <c r="Q5" s="1265"/>
      <c r="R5" s="1271"/>
      <c r="S5" s="1265"/>
      <c r="T5" s="1265"/>
      <c r="U5" s="1267"/>
      <c r="V5" s="1265"/>
      <c r="W5" s="1265"/>
      <c r="X5" s="1265"/>
      <c r="Y5" s="1265"/>
      <c r="Z5" s="1265"/>
      <c r="AA5" s="1265"/>
      <c r="AB5" s="1265"/>
      <c r="AC5" s="1265"/>
      <c r="AD5" s="1265"/>
      <c r="AE5" s="1265"/>
      <c r="AF5" s="1265"/>
    </row>
    <row r="6" spans="1:33">
      <c r="A6" s="9" t="str">
        <f>'Data Input'!A7&amp;" - "&amp;'Data Input'!B7</f>
        <v>REPORT NO: - MONTHLY REPORT NO. 49</v>
      </c>
      <c r="B6" s="1272"/>
      <c r="C6" s="1268"/>
      <c r="D6" s="1265"/>
      <c r="E6" s="1265"/>
      <c r="F6" s="1267"/>
      <c r="G6" s="1267"/>
      <c r="H6" s="1267"/>
      <c r="I6" s="1267"/>
      <c r="J6" s="1269"/>
      <c r="K6" s="1265"/>
      <c r="L6" s="1265"/>
      <c r="M6" s="1262"/>
      <c r="N6" s="1265"/>
      <c r="O6" s="1266"/>
      <c r="P6" s="1265"/>
      <c r="Q6" s="1265"/>
      <c r="R6" s="1273"/>
      <c r="S6" s="1265"/>
      <c r="T6" s="1271"/>
      <c r="U6" s="1267"/>
      <c r="V6" s="1265"/>
      <c r="W6" s="1265"/>
      <c r="X6" s="1265"/>
      <c r="Y6" s="1265"/>
      <c r="Z6" s="1265"/>
      <c r="AA6" s="1265"/>
      <c r="AB6" s="1265"/>
      <c r="AC6" s="1265"/>
      <c r="AD6" s="1265"/>
      <c r="AE6" s="1265"/>
      <c r="AF6" s="1265"/>
    </row>
    <row r="7" spans="1:33">
      <c r="A7" s="9" t="str">
        <f>'Data Input'!A8&amp;" - "&amp;'Data Input'!B8</f>
        <v>REPORTING PERIOD: - OCTOBER 2026</v>
      </c>
      <c r="B7" s="1262"/>
      <c r="C7" s="1274"/>
      <c r="D7" s="1262"/>
      <c r="E7" s="1262"/>
      <c r="F7" s="1263"/>
      <c r="G7" s="1263"/>
      <c r="H7" s="1263"/>
      <c r="I7" s="1263"/>
      <c r="J7" s="1264"/>
      <c r="K7" s="1265"/>
      <c r="L7" s="1265"/>
      <c r="M7" s="1262"/>
      <c r="N7" s="1265"/>
      <c r="O7" s="1265"/>
      <c r="P7" s="1265"/>
      <c r="Q7" s="1267"/>
      <c r="R7" s="1263"/>
      <c r="S7" s="1263"/>
      <c r="T7" s="1263"/>
      <c r="U7" s="1267"/>
      <c r="V7" s="1265"/>
      <c r="W7" s="1265"/>
      <c r="X7" s="1265"/>
      <c r="Y7" s="1265"/>
      <c r="Z7" s="1265"/>
      <c r="AA7" s="1265"/>
      <c r="AB7" s="1265"/>
      <c r="AC7" s="1265"/>
      <c r="AD7" s="1265"/>
      <c r="AE7" s="1265"/>
      <c r="AF7" s="1265"/>
    </row>
    <row r="8" spans="1:33" ht="13.5" thickBot="1">
      <c r="A8" s="9"/>
      <c r="B8" s="1256"/>
      <c r="C8" s="1255"/>
      <c r="D8" s="1257"/>
      <c r="E8" s="1257"/>
      <c r="F8" s="1258"/>
      <c r="G8" s="1258"/>
      <c r="H8" s="1258"/>
      <c r="I8" s="1258"/>
      <c r="J8" s="1258"/>
      <c r="K8" s="1257"/>
      <c r="L8" s="1255"/>
      <c r="M8" s="2848"/>
      <c r="N8" s="1275"/>
      <c r="O8" s="1276"/>
      <c r="P8" s="1255"/>
      <c r="Q8" s="1255"/>
      <c r="R8" s="1255"/>
      <c r="S8" s="1255"/>
      <c r="T8" s="1255"/>
      <c r="U8" s="1259"/>
      <c r="V8" s="1257"/>
      <c r="W8" s="1257"/>
      <c r="X8" s="1257"/>
      <c r="Y8" s="1257"/>
      <c r="Z8" s="1257"/>
      <c r="AA8" s="1257"/>
      <c r="AB8" s="1257"/>
      <c r="AC8" s="1257"/>
      <c r="AD8" s="1257"/>
      <c r="AE8" s="1257"/>
      <c r="AF8" s="1257"/>
    </row>
    <row r="9" spans="1:33" ht="30" customHeight="1" thickBot="1">
      <c r="A9" s="1354" t="str">
        <f>'Schedule B'!A219&amp;" - "&amp;'Schedule B'!C219</f>
        <v>FFEOSE.003D14 - TRA - Zatca Integration with Reachware</v>
      </c>
      <c r="B9" s="1355"/>
      <c r="C9" s="1355"/>
      <c r="D9" s="1356"/>
      <c r="E9" s="1356"/>
      <c r="F9" s="1357"/>
      <c r="G9" s="1357"/>
      <c r="H9" s="1357"/>
      <c r="I9" s="1357"/>
      <c r="J9" s="1357"/>
      <c r="K9" s="1356"/>
      <c r="L9" s="1355"/>
      <c r="M9" s="2849"/>
      <c r="N9" s="1355"/>
      <c r="O9" s="1355"/>
      <c r="P9" s="1355"/>
      <c r="Q9" s="1355"/>
      <c r="R9" s="1355"/>
      <c r="S9" s="1355"/>
      <c r="T9" s="1355"/>
      <c r="U9" s="1358"/>
      <c r="V9" s="1356"/>
      <c r="W9" s="1356"/>
      <c r="X9" s="1356"/>
      <c r="Y9" s="1356"/>
      <c r="Z9" s="1356"/>
      <c r="AA9" s="1356"/>
      <c r="AB9" s="1356"/>
      <c r="AC9" s="1356"/>
      <c r="AD9" s="1356"/>
      <c r="AE9" s="1356"/>
      <c r="AF9" s="1359"/>
    </row>
    <row r="10" spans="1:33">
      <c r="A10" s="6051" t="s">
        <v>1524</v>
      </c>
      <c r="B10" s="6052"/>
      <c r="C10" s="6052"/>
      <c r="D10" s="6052"/>
      <c r="E10" s="6052"/>
      <c r="F10" s="6052"/>
      <c r="G10" s="6053"/>
      <c r="H10" s="6053"/>
      <c r="I10" s="6053"/>
      <c r="J10" s="6054"/>
      <c r="K10" s="1256"/>
      <c r="L10" s="6055" t="s">
        <v>1525</v>
      </c>
      <c r="M10" s="6056"/>
      <c r="N10" s="6056"/>
      <c r="O10" s="6056"/>
      <c r="P10" s="6056"/>
      <c r="Q10" s="6056"/>
      <c r="R10" s="6057"/>
      <c r="S10" s="6057"/>
      <c r="T10" s="6057"/>
      <c r="U10" s="6058"/>
      <c r="V10" s="1256"/>
      <c r="W10" s="6043" t="s">
        <v>1526</v>
      </c>
      <c r="X10" s="6044"/>
      <c r="Y10" s="6044"/>
      <c r="Z10" s="6044"/>
      <c r="AA10" s="6044"/>
      <c r="AB10" s="6044"/>
      <c r="AC10" s="6044"/>
      <c r="AD10" s="6044"/>
      <c r="AE10" s="6044"/>
      <c r="AF10" s="6059"/>
    </row>
    <row r="11" spans="1:33" ht="60" customHeight="1">
      <c r="A11" s="1283" t="s">
        <v>1462</v>
      </c>
      <c r="B11" s="1284" t="s">
        <v>1527</v>
      </c>
      <c r="C11" s="1284" t="s">
        <v>1528</v>
      </c>
      <c r="D11" s="1285" t="s">
        <v>1744</v>
      </c>
      <c r="E11" s="1285" t="s">
        <v>1530</v>
      </c>
      <c r="F11" s="1286" t="s">
        <v>1531</v>
      </c>
      <c r="G11" s="1287" t="s">
        <v>1532</v>
      </c>
      <c r="H11" s="1287" t="s">
        <v>1533</v>
      </c>
      <c r="I11" s="1287" t="s">
        <v>1534</v>
      </c>
      <c r="J11" s="1288" t="s">
        <v>1535</v>
      </c>
      <c r="K11" s="1289"/>
      <c r="L11" s="763" t="s">
        <v>1536</v>
      </c>
      <c r="M11" s="1290" t="s">
        <v>1601</v>
      </c>
      <c r="N11" s="1290" t="s">
        <v>1530</v>
      </c>
      <c r="O11" s="1290" t="s">
        <v>4521</v>
      </c>
      <c r="P11" s="764" t="s">
        <v>1539</v>
      </c>
      <c r="Q11" s="1291" t="s">
        <v>1540</v>
      </c>
      <c r="R11" s="1292" t="s">
        <v>1541</v>
      </c>
      <c r="S11" s="1292" t="s">
        <v>1533</v>
      </c>
      <c r="T11" s="1292" t="s">
        <v>1534</v>
      </c>
      <c r="U11" s="1293" t="s">
        <v>1542</v>
      </c>
      <c r="V11" s="1256"/>
      <c r="W11" s="1294" t="s">
        <v>2086</v>
      </c>
      <c r="X11" s="2839" t="s">
        <v>2087</v>
      </c>
      <c r="Y11" s="1295" t="s">
        <v>1544</v>
      </c>
      <c r="Z11" s="1296" t="s">
        <v>1545</v>
      </c>
      <c r="AA11" s="1296" t="s">
        <v>4524</v>
      </c>
      <c r="AB11" s="769" t="s">
        <v>1539</v>
      </c>
      <c r="AC11" s="769" t="s">
        <v>1547</v>
      </c>
      <c r="AD11" s="769" t="s">
        <v>2538</v>
      </c>
      <c r="AE11" s="1296" t="s">
        <v>1549</v>
      </c>
      <c r="AF11" s="1297" t="s">
        <v>1550</v>
      </c>
    </row>
    <row r="12" spans="1:33" ht="17.25" customHeight="1">
      <c r="A12" s="1298"/>
      <c r="B12" s="1299"/>
      <c r="C12" s="1300"/>
      <c r="D12" s="1301"/>
      <c r="E12" s="1302" t="s">
        <v>296</v>
      </c>
      <c r="F12" s="1303" t="s">
        <v>434</v>
      </c>
      <c r="G12" s="1303" t="s">
        <v>434</v>
      </c>
      <c r="H12" s="1304">
        <v>0</v>
      </c>
      <c r="I12" s="1304">
        <v>0</v>
      </c>
      <c r="J12" s="1305" t="s">
        <v>434</v>
      </c>
      <c r="K12" s="1256"/>
      <c r="L12" s="765"/>
      <c r="M12" s="766"/>
      <c r="N12" s="1306" t="s">
        <v>296</v>
      </c>
      <c r="O12" s="766" t="s">
        <v>3574</v>
      </c>
      <c r="P12" s="1307" t="s">
        <v>1552</v>
      </c>
      <c r="Q12" s="767" t="s">
        <v>434</v>
      </c>
      <c r="R12" s="767" t="s">
        <v>434</v>
      </c>
      <c r="S12" s="1308">
        <v>0</v>
      </c>
      <c r="T12" s="1308">
        <v>0</v>
      </c>
      <c r="U12" s="768" t="s">
        <v>434</v>
      </c>
      <c r="V12" s="1256"/>
      <c r="W12" s="770"/>
      <c r="X12" s="2840"/>
      <c r="Y12" s="1309" t="s">
        <v>296</v>
      </c>
      <c r="Z12" s="1309" t="s">
        <v>296</v>
      </c>
      <c r="AA12" s="1309" t="s">
        <v>4523</v>
      </c>
      <c r="AB12" s="1310" t="s">
        <v>1552</v>
      </c>
      <c r="AC12" s="1311"/>
      <c r="AD12" s="1312">
        <v>0.05</v>
      </c>
      <c r="AE12" s="1309" t="s">
        <v>296</v>
      </c>
      <c r="AF12" s="1313" t="s">
        <v>296</v>
      </c>
    </row>
    <row r="13" spans="1:33" s="722" customFormat="1" ht="25.5" customHeight="1">
      <c r="A13" s="1314"/>
      <c r="B13" s="1314"/>
      <c r="C13" s="1314"/>
      <c r="D13" s="1314"/>
      <c r="E13" s="1314" t="s">
        <v>1481</v>
      </c>
      <c r="F13" s="1314"/>
      <c r="G13" s="1314"/>
      <c r="H13" s="1314"/>
      <c r="I13" s="1314"/>
      <c r="J13" s="1314"/>
      <c r="K13" s="1255"/>
      <c r="L13" s="1315"/>
      <c r="M13" s="1315"/>
      <c r="N13" s="1316" t="s">
        <v>1482</v>
      </c>
      <c r="O13" s="1314" t="s">
        <v>2084</v>
      </c>
      <c r="P13" s="1317" t="s">
        <v>1555</v>
      </c>
      <c r="Q13" s="1318" t="s">
        <v>1556</v>
      </c>
      <c r="R13" s="1318" t="s">
        <v>1557</v>
      </c>
      <c r="S13" s="1319" t="s">
        <v>1605</v>
      </c>
      <c r="T13" s="1319" t="s">
        <v>1559</v>
      </c>
      <c r="U13" s="1318" t="s">
        <v>1560</v>
      </c>
      <c r="V13" s="1255"/>
      <c r="W13" s="1316"/>
      <c r="X13" s="1316" t="s">
        <v>1561</v>
      </c>
      <c r="Y13" s="1316"/>
      <c r="Z13" s="1316" t="s">
        <v>2088</v>
      </c>
      <c r="AA13" s="1316" t="s">
        <v>2089</v>
      </c>
      <c r="AB13" s="1317" t="s">
        <v>2091</v>
      </c>
      <c r="AC13" s="1314" t="s">
        <v>2092</v>
      </c>
      <c r="AD13" s="1319" t="s">
        <v>3479</v>
      </c>
      <c r="AE13" s="1316" t="s">
        <v>2094</v>
      </c>
      <c r="AF13" s="1316"/>
    </row>
    <row r="14" spans="1:33" s="2837" customFormat="1" ht="50.25" customHeight="1">
      <c r="A14" s="4688">
        <v>1</v>
      </c>
      <c r="B14" s="4689" t="s">
        <v>6460</v>
      </c>
      <c r="C14" s="4690">
        <v>46174</v>
      </c>
      <c r="D14" s="4691" t="s">
        <v>6461</v>
      </c>
      <c r="E14" s="4692">
        <v>46210</v>
      </c>
      <c r="F14" s="4693">
        <v>0</v>
      </c>
      <c r="G14" s="4693">
        <v>37477.5</v>
      </c>
      <c r="H14" s="4694">
        <f>(G14*$H$12)*-1*0</f>
        <v>0</v>
      </c>
      <c r="I14" s="4694">
        <v>0</v>
      </c>
      <c r="J14" s="4694">
        <f>(G14+H14+I14)</f>
        <v>37477.5</v>
      </c>
      <c r="K14" s="4695"/>
      <c r="L14" s="4696" t="s">
        <v>6136</v>
      </c>
      <c r="M14" s="4697" t="s">
        <v>6462</v>
      </c>
      <c r="N14" s="4692">
        <v>46214</v>
      </c>
      <c r="O14" s="4698">
        <f>E14+21</f>
        <v>46231</v>
      </c>
      <c r="P14" s="4699">
        <f>O14-N14</f>
        <v>17</v>
      </c>
      <c r="Q14" s="4693">
        <f>+R14</f>
        <v>37477.5</v>
      </c>
      <c r="R14" s="4693">
        <f>G14</f>
        <v>37477.5</v>
      </c>
      <c r="S14" s="4694">
        <f>(R14*$S$12)*-1*0</f>
        <v>0</v>
      </c>
      <c r="T14" s="4694">
        <v>0</v>
      </c>
      <c r="U14" s="4694">
        <f>(R14+S14+T14)</f>
        <v>37477.5</v>
      </c>
      <c r="V14" s="4695"/>
      <c r="W14" s="2838" t="s">
        <v>6607</v>
      </c>
      <c r="X14" s="1321">
        <v>46250</v>
      </c>
      <c r="Y14" s="1323"/>
      <c r="Z14" s="1321"/>
      <c r="AA14" s="1321">
        <f>X14+30</f>
        <v>46280</v>
      </c>
      <c r="AB14" s="1324"/>
      <c r="AC14" s="1327"/>
      <c r="AD14" s="1327"/>
      <c r="AE14" s="1327"/>
      <c r="AF14" s="1327"/>
      <c r="AG14" s="2842">
        <f>+AC14*1.15</f>
        <v>0</v>
      </c>
    </row>
    <row r="15" spans="1:33" s="2837" customFormat="1" ht="50.25" customHeight="1">
      <c r="A15" s="723"/>
      <c r="B15" s="810"/>
      <c r="C15" s="1929"/>
      <c r="D15" s="2835"/>
      <c r="E15" s="1440"/>
      <c r="F15" s="2836"/>
      <c r="G15" s="1444"/>
      <c r="H15" s="1444"/>
      <c r="I15" s="1444"/>
      <c r="J15" s="1444"/>
      <c r="K15" s="1256"/>
      <c r="L15" s="1510"/>
      <c r="M15" s="2850"/>
      <c r="N15" s="1440"/>
      <c r="O15" s="1323"/>
      <c r="P15" s="1324"/>
      <c r="Q15" s="2836"/>
      <c r="R15" s="2836"/>
      <c r="S15" s="1444"/>
      <c r="T15" s="1444"/>
      <c r="U15" s="1444"/>
      <c r="V15" s="1256"/>
      <c r="W15" s="2838"/>
      <c r="X15" s="2841"/>
      <c r="Y15" s="1323"/>
      <c r="Z15" s="1321"/>
      <c r="AA15" s="1321"/>
      <c r="AB15" s="1324"/>
      <c r="AC15" s="1327"/>
      <c r="AD15" s="1327"/>
      <c r="AE15" s="1327"/>
      <c r="AF15" s="1327"/>
      <c r="AG15" s="4266"/>
    </row>
    <row r="16" spans="1:33" s="2837" customFormat="1" ht="50.25" customHeight="1">
      <c r="A16" s="723"/>
      <c r="B16" s="810"/>
      <c r="C16" s="1929"/>
      <c r="D16" s="2835"/>
      <c r="E16" s="1440"/>
      <c r="F16" s="2836"/>
      <c r="G16" s="1444"/>
      <c r="H16" s="1444"/>
      <c r="I16" s="1444"/>
      <c r="J16" s="1444"/>
      <c r="K16" s="1256"/>
      <c r="L16" s="1510"/>
      <c r="M16" s="2850"/>
      <c r="N16" s="1440"/>
      <c r="O16" s="1323"/>
      <c r="P16" s="1324"/>
      <c r="Q16" s="2836"/>
      <c r="R16" s="1444"/>
      <c r="S16" s="1444"/>
      <c r="T16" s="1444"/>
      <c r="U16" s="1444"/>
      <c r="V16" s="1256"/>
      <c r="W16" s="2838"/>
      <c r="X16" s="2841"/>
      <c r="Y16" s="1323"/>
      <c r="Z16" s="1321"/>
      <c r="AA16" s="1321"/>
      <c r="AB16" s="1324"/>
      <c r="AC16" s="1327"/>
      <c r="AD16" s="1327"/>
      <c r="AE16" s="1327"/>
      <c r="AF16" s="1327"/>
      <c r="AG16" s="2842"/>
    </row>
    <row r="17" spans="1:32">
      <c r="A17" s="723"/>
      <c r="B17" s="810"/>
      <c r="C17" s="1445"/>
      <c r="D17" s="2835"/>
      <c r="E17" s="1440"/>
      <c r="F17" s="1322"/>
      <c r="G17" s="1444"/>
      <c r="H17" s="1444"/>
      <c r="I17" s="1444"/>
      <c r="J17" s="1444"/>
      <c r="K17" s="1256"/>
      <c r="L17" s="1510"/>
      <c r="M17" s="2850"/>
      <c r="N17" s="1321"/>
      <c r="O17" s="1323"/>
      <c r="P17" s="1324"/>
      <c r="Q17" s="1322"/>
      <c r="R17" s="1444"/>
      <c r="S17" s="1444"/>
      <c r="T17" s="1444"/>
      <c r="U17" s="1444"/>
      <c r="V17" s="1256"/>
      <c r="W17" s="2838"/>
      <c r="X17" s="2841"/>
      <c r="Y17" s="1323"/>
      <c r="Z17" s="1321"/>
      <c r="AA17" s="1321"/>
      <c r="AB17" s="1324"/>
      <c r="AC17" s="1327"/>
      <c r="AD17" s="1327"/>
      <c r="AE17" s="1327"/>
      <c r="AF17" s="1327"/>
    </row>
    <row r="18" spans="1:32">
      <c r="A18" s="723"/>
      <c r="B18" s="810"/>
      <c r="C18" s="1445"/>
      <c r="D18" s="2835"/>
      <c r="E18" s="1440"/>
      <c r="F18" s="1322"/>
      <c r="G18" s="1444"/>
      <c r="H18" s="1444"/>
      <c r="I18" s="1444"/>
      <c r="J18" s="1444"/>
      <c r="K18" s="1256"/>
      <c r="L18" s="1510"/>
      <c r="M18" s="2850"/>
      <c r="N18" s="1321"/>
      <c r="O18" s="1323"/>
      <c r="P18" s="1324"/>
      <c r="Q18" s="1322"/>
      <c r="R18" s="1444"/>
      <c r="S18" s="1444"/>
      <c r="T18" s="1444"/>
      <c r="U18" s="1444"/>
      <c r="V18" s="1256"/>
      <c r="W18" s="2838"/>
      <c r="X18" s="1323"/>
      <c r="Y18" s="1323"/>
      <c r="Z18" s="1321"/>
      <c r="AA18" s="1321"/>
      <c r="AB18" s="1324"/>
      <c r="AC18" s="1327"/>
      <c r="AD18" s="1327"/>
      <c r="AE18" s="1327"/>
      <c r="AF18" s="1327"/>
    </row>
    <row r="19" spans="1:32" ht="33.950000000000003" customHeight="1">
      <c r="A19" s="723"/>
      <c r="B19" s="810"/>
      <c r="C19" s="1445"/>
      <c r="D19" s="2835"/>
      <c r="E19" s="1440"/>
      <c r="F19" s="1322"/>
      <c r="G19" s="1444"/>
      <c r="H19" s="1444"/>
      <c r="I19" s="1444"/>
      <c r="J19" s="1444"/>
      <c r="K19" s="1256"/>
      <c r="L19" s="1510"/>
      <c r="M19" s="2850"/>
      <c r="N19" s="1321"/>
      <c r="O19" s="1323"/>
      <c r="P19" s="1324"/>
      <c r="Q19" s="1322"/>
      <c r="R19" s="1444"/>
      <c r="S19" s="1444"/>
      <c r="T19" s="1444"/>
      <c r="U19" s="1444"/>
      <c r="V19" s="1256"/>
      <c r="W19" s="2838"/>
      <c r="X19" s="1323"/>
      <c r="Y19" s="1323"/>
      <c r="Z19" s="1321"/>
      <c r="AA19" s="1321"/>
      <c r="AB19" s="1324"/>
      <c r="AC19" s="1327"/>
      <c r="AD19" s="1327"/>
      <c r="AE19" s="1327"/>
      <c r="AF19" s="1327"/>
    </row>
    <row r="20" spans="1:32">
      <c r="A20" s="723"/>
      <c r="B20" s="810"/>
      <c r="C20" s="1445"/>
      <c r="D20" s="2835"/>
      <c r="E20" s="1440"/>
      <c r="F20" s="1322"/>
      <c r="G20" s="1444"/>
      <c r="H20" s="1444"/>
      <c r="I20" s="1444"/>
      <c r="J20" s="1444"/>
      <c r="K20" s="1256"/>
      <c r="L20" s="1510"/>
      <c r="M20" s="2850"/>
      <c r="N20" s="1321"/>
      <c r="O20" s="1323"/>
      <c r="P20" s="1324"/>
      <c r="Q20" s="1322"/>
      <c r="R20" s="1444"/>
      <c r="S20" s="1444"/>
      <c r="T20" s="1444"/>
      <c r="U20" s="1444"/>
      <c r="V20" s="1256"/>
      <c r="W20" s="723"/>
      <c r="X20" s="724"/>
      <c r="Y20" s="1323"/>
      <c r="Z20" s="1321"/>
      <c r="AA20" s="1321"/>
      <c r="AB20" s="1324"/>
      <c r="AC20" s="1327"/>
      <c r="AD20" s="1327"/>
      <c r="AE20" s="1327"/>
      <c r="AF20" s="1327"/>
    </row>
    <row r="21" spans="1:32">
      <c r="A21" s="723"/>
      <c r="B21" s="810"/>
      <c r="C21" s="1445"/>
      <c r="D21" s="2835"/>
      <c r="E21" s="1440"/>
      <c r="F21" s="1322"/>
      <c r="G21" s="1444"/>
      <c r="H21" s="1444"/>
      <c r="I21" s="1444"/>
      <c r="J21" s="1444"/>
      <c r="K21" s="1256"/>
      <c r="L21" s="1510"/>
      <c r="M21" s="2850"/>
      <c r="N21" s="1321"/>
      <c r="O21" s="1323"/>
      <c r="P21" s="1324"/>
      <c r="Q21" s="1322"/>
      <c r="R21" s="1444"/>
      <c r="S21" s="1444"/>
      <c r="T21" s="1444"/>
      <c r="U21" s="1444"/>
      <c r="V21" s="1256"/>
      <c r="W21" s="723"/>
      <c r="X21" s="724"/>
      <c r="Y21" s="1323"/>
      <c r="Z21" s="1321"/>
      <c r="AA21" s="1321"/>
      <c r="AB21" s="1324"/>
      <c r="AC21" s="1327"/>
      <c r="AD21" s="1327"/>
      <c r="AE21" s="1327"/>
      <c r="AF21" s="1327"/>
    </row>
    <row r="22" spans="1:32">
      <c r="A22" s="723"/>
      <c r="B22" s="810"/>
      <c r="C22" s="1445"/>
      <c r="D22" s="2835"/>
      <c r="E22" s="1440"/>
      <c r="F22" s="1322"/>
      <c r="G22" s="1444"/>
      <c r="H22" s="1444"/>
      <c r="I22" s="1444"/>
      <c r="J22" s="1444"/>
      <c r="K22" s="1256"/>
      <c r="L22" s="1510"/>
      <c r="M22" s="2850"/>
      <c r="N22" s="1321"/>
      <c r="O22" s="1323"/>
      <c r="P22" s="1324"/>
      <c r="Q22" s="1322"/>
      <c r="R22" s="1444"/>
      <c r="S22" s="1444"/>
      <c r="T22" s="1444"/>
      <c r="U22" s="1444"/>
      <c r="V22" s="1256"/>
      <c r="W22" s="723"/>
      <c r="X22" s="724"/>
      <c r="Y22" s="1323"/>
      <c r="Z22" s="1321"/>
      <c r="AA22" s="1321"/>
      <c r="AB22" s="1324"/>
      <c r="AC22" s="1327"/>
      <c r="AD22" s="1327"/>
      <c r="AE22" s="1327"/>
      <c r="AF22" s="1327"/>
    </row>
    <row r="23" spans="1:32">
      <c r="A23" s="723"/>
      <c r="B23" s="810"/>
      <c r="C23" s="1445"/>
      <c r="D23" s="2835"/>
      <c r="E23" s="1440"/>
      <c r="F23" s="1322"/>
      <c r="G23" s="1444"/>
      <c r="H23" s="1444"/>
      <c r="I23" s="1444"/>
      <c r="J23" s="1444"/>
      <c r="K23" s="1256"/>
      <c r="L23" s="1510"/>
      <c r="M23" s="2850"/>
      <c r="N23" s="1321"/>
      <c r="O23" s="1323"/>
      <c r="P23" s="1324"/>
      <c r="Q23" s="1322"/>
      <c r="R23" s="1444"/>
      <c r="S23" s="1444"/>
      <c r="T23" s="1444"/>
      <c r="U23" s="1444"/>
      <c r="V23" s="1256"/>
      <c r="W23" s="723"/>
      <c r="X23" s="724"/>
      <c r="Y23" s="1323"/>
      <c r="Z23" s="1321"/>
      <c r="AA23" s="1321"/>
      <c r="AB23" s="1324"/>
      <c r="AC23" s="1327"/>
      <c r="AD23" s="1327"/>
      <c r="AE23" s="1327"/>
      <c r="AF23" s="1327"/>
    </row>
    <row r="24" spans="1:32">
      <c r="A24" s="723"/>
      <c r="B24" s="810"/>
      <c r="C24" s="1445"/>
      <c r="D24" s="2835"/>
      <c r="E24" s="1440"/>
      <c r="F24" s="1322"/>
      <c r="G24" s="1444"/>
      <c r="H24" s="1444"/>
      <c r="I24" s="1444"/>
      <c r="J24" s="1444"/>
      <c r="K24" s="1256"/>
      <c r="L24" s="1510"/>
      <c r="M24" s="2850"/>
      <c r="N24" s="1321"/>
      <c r="O24" s="1323"/>
      <c r="P24" s="1324"/>
      <c r="Q24" s="1322"/>
      <c r="R24" s="1444"/>
      <c r="S24" s="1444"/>
      <c r="T24" s="1444"/>
      <c r="U24" s="1444"/>
      <c r="V24" s="1256"/>
      <c r="W24" s="723"/>
      <c r="X24" s="724"/>
      <c r="Y24" s="1323"/>
      <c r="Z24" s="1321"/>
      <c r="AA24" s="1321"/>
      <c r="AB24" s="1324"/>
      <c r="AC24" s="1327"/>
      <c r="AD24" s="1327"/>
      <c r="AE24" s="1327"/>
      <c r="AF24" s="1327"/>
    </row>
    <row r="25" spans="1:32">
      <c r="A25" s="723"/>
      <c r="B25" s="810"/>
      <c r="C25" s="1445"/>
      <c r="D25" s="2835"/>
      <c r="E25" s="1440"/>
      <c r="F25" s="1322"/>
      <c r="G25" s="1322"/>
      <c r="H25" s="1322"/>
      <c r="I25" s="1322"/>
      <c r="J25" s="1322"/>
      <c r="K25" s="1256"/>
      <c r="L25" s="1443"/>
      <c r="M25" s="2850"/>
      <c r="N25" s="1321"/>
      <c r="O25" s="1323"/>
      <c r="P25" s="1324"/>
      <c r="Q25" s="1322"/>
      <c r="R25" s="1444"/>
      <c r="S25" s="1444"/>
      <c r="T25" s="1444"/>
      <c r="U25" s="1328"/>
      <c r="V25" s="1256"/>
      <c r="W25" s="723"/>
      <c r="X25" s="724"/>
      <c r="Y25" s="1323"/>
      <c r="Z25" s="1321"/>
      <c r="AA25" s="1321"/>
      <c r="AB25" s="1324"/>
      <c r="AC25" s="1327"/>
      <c r="AD25" s="1327"/>
      <c r="AE25" s="1327"/>
      <c r="AF25" s="1327"/>
    </row>
    <row r="26" spans="1:32">
      <c r="A26" s="723"/>
      <c r="B26" s="810"/>
      <c r="C26" s="1445"/>
      <c r="D26" s="2835"/>
      <c r="E26" s="1440"/>
      <c r="F26" s="1322"/>
      <c r="G26" s="1322"/>
      <c r="H26" s="1322"/>
      <c r="I26" s="1322"/>
      <c r="J26" s="1322"/>
      <c r="K26" s="1256"/>
      <c r="L26" s="1443"/>
      <c r="M26" s="2850"/>
      <c r="N26" s="1321"/>
      <c r="O26" s="1323"/>
      <c r="P26" s="1324"/>
      <c r="Q26" s="1322"/>
      <c r="R26" s="1444"/>
      <c r="S26" s="1444"/>
      <c r="T26" s="1444"/>
      <c r="U26" s="1328"/>
      <c r="V26" s="1256"/>
      <c r="W26" s="723"/>
      <c r="X26" s="724"/>
      <c r="Y26" s="1323"/>
      <c r="Z26" s="1321"/>
      <c r="AA26" s="1321"/>
      <c r="AB26" s="1324"/>
      <c r="AC26" s="1327"/>
      <c r="AD26" s="1327"/>
      <c r="AE26" s="1327"/>
      <c r="AF26" s="1327"/>
    </row>
    <row r="27" spans="1:32">
      <c r="A27" s="723"/>
      <c r="B27" s="810"/>
      <c r="C27" s="1445"/>
      <c r="D27" s="2835"/>
      <c r="E27" s="1440"/>
      <c r="F27" s="1322"/>
      <c r="G27" s="1322"/>
      <c r="H27" s="1322"/>
      <c r="I27" s="1322"/>
      <c r="J27" s="1322"/>
      <c r="K27" s="1256"/>
      <c r="L27" s="1443"/>
      <c r="M27" s="2850"/>
      <c r="N27" s="1321"/>
      <c r="O27" s="1323"/>
      <c r="P27" s="1324"/>
      <c r="Q27" s="1322"/>
      <c r="R27" s="1444"/>
      <c r="S27" s="1444"/>
      <c r="T27" s="1444"/>
      <c r="U27" s="1328"/>
      <c r="V27" s="1256"/>
      <c r="W27" s="723"/>
      <c r="X27" s="724"/>
      <c r="Y27" s="1323"/>
      <c r="Z27" s="1321"/>
      <c r="AA27" s="1321"/>
      <c r="AB27" s="1324"/>
      <c r="AC27" s="1327"/>
      <c r="AD27" s="1327"/>
      <c r="AE27" s="1327"/>
      <c r="AF27" s="1327"/>
    </row>
    <row r="28" spans="1:32">
      <c r="A28" s="723"/>
      <c r="B28" s="810"/>
      <c r="C28" s="1445"/>
      <c r="D28" s="2835"/>
      <c r="E28" s="1440"/>
      <c r="F28" s="1322"/>
      <c r="G28" s="1322"/>
      <c r="H28" s="1322"/>
      <c r="I28" s="1322"/>
      <c r="J28" s="1322"/>
      <c r="K28" s="1256"/>
      <c r="L28" s="1443"/>
      <c r="M28" s="2850"/>
      <c r="N28" s="1321"/>
      <c r="O28" s="1323"/>
      <c r="P28" s="1324"/>
      <c r="Q28" s="1322"/>
      <c r="R28" s="1444"/>
      <c r="S28" s="1444"/>
      <c r="T28" s="1444"/>
      <c r="U28" s="1328"/>
      <c r="V28" s="1256"/>
      <c r="W28" s="723"/>
      <c r="X28" s="724"/>
      <c r="Y28" s="1323"/>
      <c r="Z28" s="1321"/>
      <c r="AA28" s="1321"/>
      <c r="AB28" s="1324"/>
      <c r="AC28" s="1327"/>
      <c r="AD28" s="1327"/>
      <c r="AE28" s="1327"/>
      <c r="AF28" s="1327"/>
    </row>
    <row r="29" spans="1:32">
      <c r="A29" s="723"/>
      <c r="B29" s="810"/>
      <c r="C29" s="1445"/>
      <c r="D29" s="2835"/>
      <c r="E29" s="1440"/>
      <c r="F29" s="1322"/>
      <c r="G29" s="1322"/>
      <c r="H29" s="1322"/>
      <c r="I29" s="1322"/>
      <c r="J29" s="1322"/>
      <c r="K29" s="1256"/>
      <c r="L29" s="1443"/>
      <c r="M29" s="2850"/>
      <c r="N29" s="1321"/>
      <c r="O29" s="1323"/>
      <c r="P29" s="1324"/>
      <c r="Q29" s="1322"/>
      <c r="R29" s="1444"/>
      <c r="S29" s="1444"/>
      <c r="T29" s="1444"/>
      <c r="U29" s="1328"/>
      <c r="V29" s="1256"/>
      <c r="W29" s="723"/>
      <c r="X29" s="724"/>
      <c r="Y29" s="1323"/>
      <c r="Z29" s="1321"/>
      <c r="AA29" s="1321"/>
      <c r="AB29" s="1324"/>
      <c r="AC29" s="1327"/>
      <c r="AD29" s="1327"/>
      <c r="AE29" s="1327"/>
      <c r="AF29" s="1327"/>
    </row>
    <row r="30" spans="1:32">
      <c r="A30" s="723"/>
      <c r="B30" s="810"/>
      <c r="C30" s="1445"/>
      <c r="D30" s="2835"/>
      <c r="E30" s="1440"/>
      <c r="F30" s="1322"/>
      <c r="G30" s="1322"/>
      <c r="H30" s="1322"/>
      <c r="I30" s="1322"/>
      <c r="J30" s="1322"/>
      <c r="K30" s="1256"/>
      <c r="L30" s="1443"/>
      <c r="M30" s="2850"/>
      <c r="N30" s="1321"/>
      <c r="O30" s="1323"/>
      <c r="P30" s="1324"/>
      <c r="Q30" s="1322"/>
      <c r="R30" s="1444"/>
      <c r="S30" s="1444"/>
      <c r="T30" s="1444"/>
      <c r="U30" s="1328"/>
      <c r="V30" s="1256"/>
      <c r="W30" s="723"/>
      <c r="X30" s="724"/>
      <c r="Y30" s="1323"/>
      <c r="Z30" s="1321"/>
      <c r="AA30" s="1321"/>
      <c r="AB30" s="1324"/>
      <c r="AC30" s="1327"/>
      <c r="AD30" s="1327"/>
      <c r="AE30" s="1327"/>
      <c r="AF30" s="1327"/>
    </row>
    <row r="31" spans="1:32">
      <c r="A31" s="723"/>
      <c r="B31" s="810"/>
      <c r="C31" s="1445"/>
      <c r="D31" s="2835"/>
      <c r="E31" s="1440"/>
      <c r="F31" s="1322"/>
      <c r="G31" s="1322"/>
      <c r="H31" s="1322"/>
      <c r="I31" s="1322"/>
      <c r="J31" s="1322"/>
      <c r="K31" s="1256"/>
      <c r="L31" s="1443"/>
      <c r="M31" s="2850"/>
      <c r="N31" s="1321"/>
      <c r="O31" s="1323"/>
      <c r="P31" s="1324"/>
      <c r="Q31" s="1322"/>
      <c r="R31" s="1444"/>
      <c r="S31" s="1444"/>
      <c r="T31" s="1444"/>
      <c r="U31" s="1328"/>
      <c r="V31" s="1256"/>
      <c r="W31" s="723"/>
      <c r="X31" s="724"/>
      <c r="Y31" s="1323"/>
      <c r="Z31" s="1321"/>
      <c r="AA31" s="1321"/>
      <c r="AB31" s="1324"/>
      <c r="AC31" s="1327"/>
      <c r="AD31" s="1327"/>
      <c r="AE31" s="1327"/>
      <c r="AF31" s="1327"/>
    </row>
    <row r="32" spans="1:32">
      <c r="A32" s="723"/>
      <c r="B32" s="810"/>
      <c r="C32" s="1445"/>
      <c r="D32" s="2835"/>
      <c r="E32" s="1440"/>
      <c r="F32" s="1322"/>
      <c r="G32" s="1322"/>
      <c r="H32" s="1322"/>
      <c r="I32" s="1322"/>
      <c r="J32" s="1322"/>
      <c r="K32" s="1256"/>
      <c r="L32" s="1443"/>
      <c r="M32" s="2850"/>
      <c r="N32" s="1321"/>
      <c r="O32" s="1323"/>
      <c r="P32" s="1324"/>
      <c r="Q32" s="1322"/>
      <c r="R32" s="1444"/>
      <c r="S32" s="1444"/>
      <c r="T32" s="1444"/>
      <c r="U32" s="1328"/>
      <c r="V32" s="1256"/>
      <c r="W32" s="723"/>
      <c r="X32" s="724"/>
      <c r="Y32" s="1323"/>
      <c r="Z32" s="1321"/>
      <c r="AA32" s="1321"/>
      <c r="AB32" s="1324"/>
      <c r="AC32" s="1327"/>
      <c r="AD32" s="1327"/>
      <c r="AE32" s="1327"/>
      <c r="AF32" s="1327"/>
    </row>
    <row r="33" spans="1:32">
      <c r="A33" s="723"/>
      <c r="B33" s="810"/>
      <c r="C33" s="1445"/>
      <c r="D33" s="1320"/>
      <c r="E33" s="1440"/>
      <c r="F33" s="1322"/>
      <c r="G33" s="1322"/>
      <c r="H33" s="1322"/>
      <c r="I33" s="1322"/>
      <c r="J33" s="1322"/>
      <c r="K33" s="1256"/>
      <c r="L33" s="1443"/>
      <c r="M33" s="2850"/>
      <c r="N33" s="1321"/>
      <c r="O33" s="1323"/>
      <c r="P33" s="1324"/>
      <c r="Q33" s="1322"/>
      <c r="R33" s="1444"/>
      <c r="S33" s="1444"/>
      <c r="T33" s="1444"/>
      <c r="U33" s="1328"/>
      <c r="V33" s="1256"/>
      <c r="W33" s="723"/>
      <c r="X33" s="724"/>
      <c r="Y33" s="1323"/>
      <c r="Z33" s="1321"/>
      <c r="AA33" s="1321"/>
      <c r="AB33" s="1324"/>
      <c r="AC33" s="1327"/>
      <c r="AD33" s="1327"/>
      <c r="AE33" s="1327"/>
      <c r="AF33" s="1327"/>
    </row>
    <row r="34" spans="1:32">
      <c r="A34" s="723"/>
      <c r="B34" s="810"/>
      <c r="C34" s="1445"/>
      <c r="D34" s="1320"/>
      <c r="E34" s="1440"/>
      <c r="F34" s="1322"/>
      <c r="G34" s="1322"/>
      <c r="H34" s="1322"/>
      <c r="I34" s="1322"/>
      <c r="J34" s="1322"/>
      <c r="K34" s="1256"/>
      <c r="L34" s="1443"/>
      <c r="M34" s="2850"/>
      <c r="N34" s="1321"/>
      <c r="O34" s="1323"/>
      <c r="P34" s="1324"/>
      <c r="Q34" s="1322"/>
      <c r="R34" s="1444"/>
      <c r="S34" s="1444"/>
      <c r="T34" s="1444"/>
      <c r="U34" s="1328"/>
      <c r="V34" s="1256"/>
      <c r="W34" s="723"/>
      <c r="X34" s="724"/>
      <c r="Y34" s="1323"/>
      <c r="Z34" s="1321"/>
      <c r="AA34" s="1321"/>
      <c r="AB34" s="1324"/>
      <c r="AC34" s="1327"/>
      <c r="AD34" s="1327"/>
      <c r="AE34" s="1327"/>
      <c r="AF34" s="1327"/>
    </row>
    <row r="35" spans="1:32">
      <c r="A35" s="723"/>
      <c r="B35" s="810"/>
      <c r="C35" s="1445"/>
      <c r="D35" s="1320"/>
      <c r="E35" s="1441"/>
      <c r="F35" s="1322"/>
      <c r="G35" s="1322"/>
      <c r="H35" s="1322"/>
      <c r="I35" s="1322"/>
      <c r="J35" s="1322"/>
      <c r="K35" s="1256"/>
      <c r="L35" s="1443"/>
      <c r="M35" s="2850"/>
      <c r="N35" s="1321"/>
      <c r="O35" s="1323"/>
      <c r="P35" s="1324"/>
      <c r="Q35" s="1322"/>
      <c r="R35" s="1444"/>
      <c r="S35" s="1444"/>
      <c r="T35" s="1444"/>
      <c r="U35" s="1328"/>
      <c r="V35" s="1256"/>
      <c r="W35" s="723"/>
      <c r="X35" s="724"/>
      <c r="Y35" s="1323"/>
      <c r="Z35" s="1321"/>
      <c r="AA35" s="1321"/>
      <c r="AB35" s="1324"/>
      <c r="AC35" s="1327"/>
      <c r="AD35" s="1327"/>
      <c r="AE35" s="1327"/>
      <c r="AF35" s="1327"/>
    </row>
    <row r="36" spans="1:32">
      <c r="A36" s="1329"/>
      <c r="B36" s="1330"/>
      <c r="C36" s="1440"/>
      <c r="D36" s="1331"/>
      <c r="E36" s="1442"/>
      <c r="F36" s="1332"/>
      <c r="G36" s="1332"/>
      <c r="H36" s="1332"/>
      <c r="I36" s="1332"/>
      <c r="J36" s="1332"/>
      <c r="K36" s="1256"/>
      <c r="L36" s="1329"/>
      <c r="M36" s="2851"/>
      <c r="N36" s="1334"/>
      <c r="O36" s="1334"/>
      <c r="P36" s="1335"/>
      <c r="Q36" s="1322"/>
      <c r="R36" s="1333"/>
      <c r="S36" s="1333"/>
      <c r="T36" s="1333"/>
      <c r="U36" s="1336"/>
      <c r="V36" s="1256"/>
      <c r="W36" s="1329"/>
      <c r="X36" s="1333"/>
      <c r="Y36" s="1337"/>
      <c r="Z36" s="1334"/>
      <c r="AA36" s="1334"/>
      <c r="AB36" s="1334"/>
      <c r="AC36" s="1329"/>
      <c r="AD36" s="1337"/>
      <c r="AE36" s="1334"/>
      <c r="AF36" s="1334"/>
    </row>
    <row r="37" spans="1:32" ht="24.75" customHeight="1" collapsed="1" thickBot="1">
      <c r="A37" s="6045" t="s">
        <v>1522</v>
      </c>
      <c r="B37" s="6046"/>
      <c r="C37" s="6046"/>
      <c r="D37" s="6046"/>
      <c r="E37" s="6046"/>
      <c r="F37" s="6047"/>
      <c r="G37" s="1338">
        <f>SUM(G14:G36)</f>
        <v>37477.5</v>
      </c>
      <c r="H37" s="1338">
        <f>SUM(H14:H36)</f>
        <v>0</v>
      </c>
      <c r="I37" s="1338">
        <f>SUM(I14:I36)</f>
        <v>0</v>
      </c>
      <c r="J37" s="1338">
        <f>SUM(J14:J36)</f>
        <v>37477.5</v>
      </c>
      <c r="K37" s="1256"/>
      <c r="L37" s="1339" t="s">
        <v>1522</v>
      </c>
      <c r="M37" s="1343"/>
      <c r="N37" s="1340"/>
      <c r="O37" s="1340"/>
      <c r="P37" s="1340"/>
      <c r="Q37" s="1340"/>
      <c r="R37" s="1341">
        <f>SUM(R14:R36)</f>
        <v>37477.5</v>
      </c>
      <c r="S37" s="1338">
        <f>SUM(S14:S36)</f>
        <v>0</v>
      </c>
      <c r="T37" s="1338">
        <f>SUM(T14:T36)</f>
        <v>0</v>
      </c>
      <c r="U37" s="1338">
        <f>SUM(U14:U36)</f>
        <v>37477.5</v>
      </c>
      <c r="V37" s="1256"/>
      <c r="W37" s="1342" t="s">
        <v>1522</v>
      </c>
      <c r="X37" s="1343"/>
      <c r="Y37" s="1343"/>
      <c r="Z37" s="1343"/>
      <c r="AA37" s="1343"/>
      <c r="AB37" s="1343"/>
      <c r="AC37" s="1341">
        <f>SUM(AC14:AC36)</f>
        <v>0</v>
      </c>
      <c r="AD37" s="1338">
        <f>SUM(AD14:AD36)</f>
        <v>0</v>
      </c>
      <c r="AE37" s="1338">
        <f>SUM(AE14:AE36)</f>
        <v>0</v>
      </c>
      <c r="AF37" s="1338">
        <f>+AF14</f>
        <v>0</v>
      </c>
    </row>
    <row r="38" spans="1:32">
      <c r="A38" s="1360"/>
      <c r="B38" s="1256"/>
      <c r="C38" s="1255"/>
      <c r="D38" s="1257"/>
      <c r="E38" s="1361"/>
      <c r="F38" s="1258"/>
      <c r="G38" s="1258"/>
      <c r="H38" s="1258"/>
      <c r="I38" s="1258"/>
      <c r="J38" s="1258"/>
      <c r="K38" s="1256"/>
      <c r="L38" s="1360"/>
      <c r="M38" s="2852"/>
      <c r="N38" s="1362"/>
      <c r="O38" s="1362"/>
      <c r="P38" s="1362"/>
      <c r="Q38" s="1360"/>
      <c r="R38" s="1360"/>
      <c r="S38" s="1360"/>
      <c r="T38" s="1360"/>
      <c r="U38" s="1363"/>
      <c r="V38" s="1256"/>
      <c r="W38" s="1360"/>
      <c r="X38" s="1360"/>
      <c r="Y38" s="1364"/>
      <c r="Z38" s="1362"/>
      <c r="AA38" s="1362"/>
      <c r="AB38" s="1362"/>
      <c r="AC38" s="1360"/>
      <c r="AD38" s="1364"/>
      <c r="AE38" s="1362"/>
      <c r="AF38" s="1362"/>
    </row>
    <row r="39" spans="1:32">
      <c r="A39" s="1360"/>
      <c r="B39" s="1256"/>
      <c r="C39" s="1255"/>
      <c r="D39" s="1257"/>
      <c r="E39" s="1361"/>
      <c r="F39" s="1258"/>
      <c r="G39" s="1258"/>
      <c r="H39" s="1258"/>
      <c r="I39" s="1258"/>
      <c r="J39" s="1258"/>
      <c r="K39" s="1256"/>
      <c r="L39" s="1360"/>
      <c r="M39" s="2852"/>
      <c r="N39" s="1362"/>
      <c r="O39" s="1362"/>
      <c r="P39" s="1257"/>
      <c r="Q39" s="1258"/>
      <c r="R39" s="1258"/>
      <c r="S39" s="1258"/>
      <c r="T39" s="1258"/>
      <c r="U39" s="1258">
        <f>+U37-T37</f>
        <v>37477.5</v>
      </c>
      <c r="V39" s="1256"/>
      <c r="W39" s="1360"/>
      <c r="X39" s="1360"/>
      <c r="Y39" s="1364"/>
      <c r="Z39" s="1362"/>
      <c r="AA39" s="1362"/>
      <c r="AB39" s="1362"/>
      <c r="AC39" s="1360"/>
      <c r="AD39" s="1364"/>
      <c r="AE39" s="1362"/>
      <c r="AF39" s="1362"/>
    </row>
    <row r="40" spans="1:32">
      <c r="A40" s="1365"/>
      <c r="B40" s="1256"/>
      <c r="C40" s="1255"/>
      <c r="D40" s="1257"/>
      <c r="E40" s="1361"/>
      <c r="F40" s="1366"/>
      <c r="G40" s="1366"/>
      <c r="H40" s="1366"/>
      <c r="I40" s="1366"/>
      <c r="J40" s="1258"/>
      <c r="K40" s="1256"/>
      <c r="L40" s="1365"/>
      <c r="M40" s="2853">
        <f>403092.61/11085046.72</f>
        <v>3.6363636544059594E-2</v>
      </c>
      <c r="N40" s="1365"/>
      <c r="O40" s="1365"/>
      <c r="P40" s="1257"/>
      <c r="Q40" s="1366"/>
      <c r="R40" s="1366"/>
      <c r="S40" s="1366"/>
      <c r="T40" s="1366"/>
      <c r="U40" s="1366"/>
      <c r="V40" s="1256"/>
      <c r="W40" s="1365"/>
      <c r="X40" s="1365"/>
      <c r="Y40" s="1365"/>
      <c r="Z40" s="1362"/>
      <c r="AA40" s="1362"/>
      <c r="AB40" s="1362"/>
      <c r="AC40" s="1365"/>
      <c r="AD40" s="1365"/>
      <c r="AE40" s="1362"/>
      <c r="AF40" s="1362"/>
    </row>
    <row r="41" spans="1:32">
      <c r="D41" s="1257"/>
      <c r="E41" s="153">
        <v>44197</v>
      </c>
      <c r="F41" s="1366"/>
      <c r="P41" s="1257"/>
      <c r="Q41" s="1366"/>
      <c r="R41" s="1366"/>
      <c r="S41" s="1366"/>
      <c r="T41" s="1366"/>
      <c r="U41" s="1366"/>
      <c r="AA41" s="153">
        <v>44094</v>
      </c>
      <c r="AC41" s="1367"/>
    </row>
    <row r="42" spans="1:32">
      <c r="D42" s="1257"/>
      <c r="E42" s="153">
        <f>E41-45</f>
        <v>44152</v>
      </c>
      <c r="F42" s="1366"/>
      <c r="P42" s="1257"/>
      <c r="Q42" s="1366"/>
      <c r="R42" s="1366"/>
      <c r="S42" s="1366"/>
      <c r="T42" s="1366"/>
      <c r="U42" s="1366"/>
      <c r="AA42" s="153">
        <f>AA41-45</f>
        <v>44049</v>
      </c>
    </row>
    <row r="43" spans="1:32">
      <c r="D43" s="1257"/>
      <c r="F43" s="1366"/>
      <c r="H43" s="153">
        <v>43986</v>
      </c>
      <c r="R43" s="652"/>
      <c r="S43" s="652"/>
      <c r="T43" s="652"/>
      <c r="U43" s="652"/>
    </row>
    <row r="45" spans="1:32">
      <c r="AC45" t="s">
        <v>2330</v>
      </c>
    </row>
    <row r="46" spans="1:32">
      <c r="AC46" s="3018">
        <v>45222</v>
      </c>
      <c r="AD46" s="3018">
        <v>45253</v>
      </c>
      <c r="AE46" s="3018">
        <v>45283</v>
      </c>
    </row>
    <row r="47" spans="1:32">
      <c r="AC47" s="3020">
        <v>11439880.26</v>
      </c>
    </row>
  </sheetData>
  <mergeCells count="4">
    <mergeCell ref="A10:J10"/>
    <mergeCell ref="L10:U10"/>
    <mergeCell ref="W10:AF10"/>
    <mergeCell ref="A37:F37"/>
  </mergeCells>
  <printOptions horizontalCentered="1"/>
  <pageMargins left="0.23622047244094491" right="0.23622047244094491" top="0.74803149606299213" bottom="0.74803149606299213" header="0.31496062992125984" footer="0.31496062992125984"/>
  <pageSetup paperSize="8" scale="67" fitToHeight="2" orientation="landscape" r:id="rId1"/>
  <headerFooter>
    <oddHeader>&amp;C&amp;"Calibri,Bold"&amp;18MONTHLY REPORT - INVOICE &amp; PAYMENT TRACKING LOG (REACHWARE)</oddHeader>
    <oddFooter>&amp;L1TB.01.003.01 - AYC 
MARCH'26 REPORT&amp;C&amp;A&amp;RPage &amp;P of &amp;N</oddFooter>
  </headerFooter>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9D00E-2232-4E2E-AF15-69A7EAEAEB5C}">
  <sheetPr>
    <tabColor theme="7" tint="0.39997558519241921"/>
    <pageSetUpPr fitToPage="1"/>
  </sheetPr>
  <dimension ref="A1:AG47"/>
  <sheetViews>
    <sheetView showGridLines="0" view="pageBreakPreview" zoomScale="90" zoomScaleNormal="100" zoomScaleSheetLayoutView="90" workbookViewId="0">
      <selection activeCell="C43" sqref="C43"/>
    </sheetView>
  </sheetViews>
  <sheetFormatPr defaultColWidth="9" defaultRowHeight="12.75"/>
  <cols>
    <col min="1" max="1" width="10.85546875" customWidth="1"/>
    <col min="2" max="2" width="10.42578125" customWidth="1"/>
    <col min="3" max="3" width="11.42578125" customWidth="1"/>
    <col min="4" max="4" width="10.85546875" bestFit="1" customWidth="1"/>
    <col min="5" max="5" width="9.85546875" bestFit="1" customWidth="1"/>
    <col min="6" max="6" width="12" customWidth="1"/>
    <col min="7" max="7" width="12.85546875" bestFit="1" customWidth="1"/>
    <col min="8" max="9" width="11.85546875" bestFit="1" customWidth="1"/>
    <col min="10" max="10" width="13.85546875" customWidth="1"/>
    <col min="11" max="11" width="0.85546875" customWidth="1"/>
    <col min="12" max="12" width="6" customWidth="1"/>
    <col min="13" max="13" width="17.85546875" style="2854" bestFit="1" customWidth="1"/>
    <col min="14" max="15" width="9" customWidth="1"/>
    <col min="16" max="16" width="7.85546875" customWidth="1"/>
    <col min="17" max="17" width="13.85546875" customWidth="1"/>
    <col min="18" max="18" width="15.5703125" customWidth="1"/>
    <col min="19" max="20" width="11.42578125" customWidth="1"/>
    <col min="21" max="21" width="14.5703125" customWidth="1"/>
    <col min="22" max="22" width="0.85546875" customWidth="1"/>
    <col min="23" max="23" width="14" bestFit="1" customWidth="1"/>
    <col min="24" max="24" width="9" customWidth="1"/>
    <col min="25" max="25" width="9" hidden="1" customWidth="1"/>
    <col min="26" max="26" width="9" bestFit="1" customWidth="1"/>
    <col min="27" max="27" width="10" customWidth="1"/>
    <col min="28" max="28" width="7" customWidth="1"/>
    <col min="29" max="29" width="12.42578125" customWidth="1"/>
    <col min="30" max="30" width="13.5703125" customWidth="1"/>
    <col min="31" max="32" width="14" customWidth="1"/>
    <col min="33" max="33" width="13.5703125" bestFit="1" customWidth="1"/>
  </cols>
  <sheetData>
    <row r="1" spans="1:33">
      <c r="A1" s="1255"/>
      <c r="B1" s="1256"/>
      <c r="C1" s="1255"/>
      <c r="D1" s="1257"/>
      <c r="E1" s="1257"/>
      <c r="F1" s="1258"/>
      <c r="G1" s="1258"/>
      <c r="H1" s="1258"/>
      <c r="I1" s="1258"/>
      <c r="J1" s="1258"/>
      <c r="K1" s="1257"/>
      <c r="L1" s="1255"/>
      <c r="M1" s="2848"/>
      <c r="N1" s="1255"/>
      <c r="O1" s="1255"/>
      <c r="P1" s="1255"/>
      <c r="Q1" s="1255"/>
      <c r="R1" s="1255"/>
      <c r="S1" s="1255"/>
      <c r="T1" s="1255"/>
      <c r="U1" s="1259"/>
      <c r="V1" s="1257"/>
      <c r="W1" s="1257"/>
      <c r="X1" s="1257"/>
      <c r="Y1" s="1257"/>
      <c r="Z1" s="1257"/>
      <c r="AA1" s="1257"/>
      <c r="AB1" s="1257"/>
      <c r="AC1" s="1257"/>
      <c r="AD1" s="1257"/>
      <c r="AE1" s="1257"/>
      <c r="AF1" s="1257"/>
    </row>
    <row r="2" spans="1:33">
      <c r="A2" s="9" t="str">
        <f>'Data Input'!A1&amp;" - "&amp;'Data Input'!B1</f>
        <v>PROGRAMME: - MARINA VILLAGE (PROGRAMME 1_TRIPLE BAY)</v>
      </c>
      <c r="B2" s="1256"/>
      <c r="C2" s="1255"/>
      <c r="D2" s="1257"/>
      <c r="E2" s="1257"/>
      <c r="F2" s="1258"/>
      <c r="G2" s="1258"/>
      <c r="H2" s="1258"/>
      <c r="I2" s="1258"/>
      <c r="J2" s="1258"/>
      <c r="K2" s="1257"/>
      <c r="L2" s="1255"/>
      <c r="M2" s="2848"/>
      <c r="N2" s="1255"/>
      <c r="O2" s="1255"/>
      <c r="P2" s="1255"/>
      <c r="Q2" s="1255"/>
      <c r="R2" s="1255"/>
      <c r="S2" s="1255"/>
      <c r="T2" s="1255"/>
      <c r="U2" s="1259"/>
      <c r="V2" s="1257"/>
      <c r="W2" s="1257"/>
      <c r="X2" s="1257"/>
      <c r="Y2" s="1257"/>
      <c r="Z2" s="1257"/>
      <c r="AA2" s="1257"/>
      <c r="AB2" s="1257"/>
      <c r="AC2" s="1257"/>
      <c r="AD2" s="1257"/>
      <c r="AE2" s="1257"/>
      <c r="AF2" s="1257"/>
    </row>
    <row r="3" spans="1:33">
      <c r="A3" s="9" t="str">
        <f>'Data Input'!A2&amp;" - "&amp;'Data Input'!B2</f>
        <v>PROGRAMME CODE: - 1TB01003</v>
      </c>
      <c r="B3" s="1260"/>
      <c r="C3" s="1261"/>
      <c r="D3" s="1262"/>
      <c r="E3" s="1262"/>
      <c r="F3" s="1263"/>
      <c r="G3" s="1263"/>
      <c r="H3" s="1263"/>
      <c r="I3" s="1263"/>
      <c r="J3" s="1264"/>
      <c r="K3" s="1265"/>
      <c r="L3" s="1265"/>
      <c r="M3" s="1262"/>
      <c r="N3" s="1265"/>
      <c r="O3" s="1266"/>
      <c r="P3" s="1265"/>
      <c r="Q3" s="1265"/>
      <c r="R3" s="1265"/>
      <c r="S3" s="1265"/>
      <c r="T3" s="1265"/>
      <c r="U3" s="1267"/>
      <c r="V3" s="1265"/>
      <c r="W3" s="1265"/>
      <c r="X3" s="1265"/>
      <c r="Y3" s="1265"/>
      <c r="Z3" s="1265"/>
      <c r="AA3" s="1265"/>
      <c r="AB3" s="1265"/>
      <c r="AC3" s="1265"/>
      <c r="AD3" s="1265"/>
      <c r="AE3" s="1265"/>
      <c r="AF3" s="1265"/>
    </row>
    <row r="4" spans="1:33">
      <c r="A4" s="9" t="str">
        <f>'Data Input'!A3&amp;" - "&amp;'Data Input'!B3</f>
        <v>ASSET NAME: - AMAALA YACHT CLUB</v>
      </c>
      <c r="B4" s="1260"/>
      <c r="C4" s="1268"/>
      <c r="D4" s="1265"/>
      <c r="E4" s="1265"/>
      <c r="F4" s="1267"/>
      <c r="G4" s="1267"/>
      <c r="H4" s="1267"/>
      <c r="I4" s="1267"/>
      <c r="J4" s="1269"/>
      <c r="K4" s="1265"/>
      <c r="L4" s="1265"/>
      <c r="M4" s="1262"/>
      <c r="N4" s="1265"/>
      <c r="O4" s="1266"/>
      <c r="P4" s="1265"/>
      <c r="Q4" s="1265"/>
      <c r="R4" s="1265"/>
      <c r="S4" s="1265"/>
      <c r="T4" s="1265"/>
      <c r="U4" s="1267"/>
      <c r="V4" s="1265"/>
      <c r="W4" s="1265"/>
      <c r="X4" s="1265"/>
      <c r="Y4" s="1265"/>
      <c r="Z4" s="1265"/>
      <c r="AA4" s="1265"/>
      <c r="AB4" s="1265"/>
      <c r="AC4" s="1265"/>
      <c r="AD4" s="1265"/>
      <c r="AE4" s="1265"/>
      <c r="AF4" s="1265"/>
    </row>
    <row r="5" spans="1:33">
      <c r="A5" s="9" t="str">
        <f>'Data Input'!A4&amp;" - "&amp;'Data Input'!B4</f>
        <v>ASSET CODE: - 1TB01003.01</v>
      </c>
      <c r="B5" s="1270"/>
      <c r="C5" s="1268"/>
      <c r="D5" s="1265"/>
      <c r="E5" s="1265"/>
      <c r="F5" s="1267"/>
      <c r="G5" s="1267"/>
      <c r="H5" s="1267"/>
      <c r="I5" s="1267"/>
      <c r="J5" s="1269"/>
      <c r="K5" s="1265"/>
      <c r="L5" s="1265"/>
      <c r="M5" s="1262"/>
      <c r="N5" s="1265"/>
      <c r="O5" s="1266"/>
      <c r="P5" s="1265"/>
      <c r="Q5" s="1265"/>
      <c r="R5" s="1271"/>
      <c r="S5" s="1265"/>
      <c r="T5" s="1265"/>
      <c r="U5" s="1267"/>
      <c r="V5" s="1265"/>
      <c r="W5" s="1265"/>
      <c r="X5" s="1265"/>
      <c r="Y5" s="1265"/>
      <c r="Z5" s="1265"/>
      <c r="AA5" s="1265"/>
      <c r="AB5" s="1265"/>
      <c r="AC5" s="1265"/>
      <c r="AD5" s="1265"/>
      <c r="AE5" s="1265"/>
      <c r="AF5" s="1265"/>
    </row>
    <row r="6" spans="1:33">
      <c r="A6" s="9" t="str">
        <f>'Data Input'!A7&amp;" - "&amp;'Data Input'!B7</f>
        <v>REPORT NO: - MONTHLY REPORT NO. 49</v>
      </c>
      <c r="B6" s="1272"/>
      <c r="C6" s="1268"/>
      <c r="D6" s="1265"/>
      <c r="E6" s="1265"/>
      <c r="F6" s="1267"/>
      <c r="G6" s="1267"/>
      <c r="H6" s="1267"/>
      <c r="I6" s="1267"/>
      <c r="J6" s="1269"/>
      <c r="K6" s="1265"/>
      <c r="L6" s="1265"/>
      <c r="M6" s="1262"/>
      <c r="N6" s="1265"/>
      <c r="O6" s="1266"/>
      <c r="P6" s="1265"/>
      <c r="Q6" s="1265"/>
      <c r="R6" s="1273"/>
      <c r="S6" s="1265"/>
      <c r="T6" s="1271"/>
      <c r="U6" s="1267"/>
      <c r="V6" s="1265"/>
      <c r="W6" s="1265"/>
      <c r="X6" s="1265"/>
      <c r="Y6" s="1265"/>
      <c r="Z6" s="1265"/>
      <c r="AA6" s="1265"/>
      <c r="AB6" s="1265"/>
      <c r="AC6" s="1265"/>
      <c r="AD6" s="1265"/>
      <c r="AE6" s="1265"/>
      <c r="AF6" s="1265"/>
    </row>
    <row r="7" spans="1:33">
      <c r="A7" s="9" t="str">
        <f>'Data Input'!A8&amp;" - "&amp;'Data Input'!B8</f>
        <v>REPORTING PERIOD: - OCTOBER 2026</v>
      </c>
      <c r="B7" s="1262"/>
      <c r="C7" s="1274"/>
      <c r="D7" s="1262"/>
      <c r="E7" s="1262"/>
      <c r="F7" s="1263"/>
      <c r="G7" s="1263"/>
      <c r="H7" s="1263"/>
      <c r="I7" s="1263"/>
      <c r="J7" s="1264"/>
      <c r="K7" s="1265"/>
      <c r="L7" s="1265"/>
      <c r="M7" s="1262"/>
      <c r="N7" s="1265"/>
      <c r="O7" s="1265"/>
      <c r="P7" s="1265"/>
      <c r="Q7" s="1267"/>
      <c r="R7" s="1263"/>
      <c r="S7" s="1263"/>
      <c r="T7" s="1263"/>
      <c r="U7" s="1267"/>
      <c r="V7" s="1265"/>
      <c r="W7" s="1265"/>
      <c r="X7" s="1265"/>
      <c r="Y7" s="1265"/>
      <c r="Z7" s="1265"/>
      <c r="AA7" s="1265"/>
      <c r="AB7" s="1265"/>
      <c r="AC7" s="1265"/>
      <c r="AD7" s="1265"/>
      <c r="AE7" s="1265"/>
      <c r="AF7" s="1265"/>
    </row>
    <row r="8" spans="1:33" ht="13.5" thickBot="1">
      <c r="A8" s="9"/>
      <c r="B8" s="1256"/>
      <c r="C8" s="1255"/>
      <c r="D8" s="1257"/>
      <c r="E8" s="1257"/>
      <c r="F8" s="1258"/>
      <c r="G8" s="1258"/>
      <c r="H8" s="1258"/>
      <c r="I8" s="1258"/>
      <c r="J8" s="1258"/>
      <c r="K8" s="1257"/>
      <c r="L8" s="1255"/>
      <c r="M8" s="2848"/>
      <c r="N8" s="1275"/>
      <c r="O8" s="1276"/>
      <c r="P8" s="1255"/>
      <c r="Q8" s="1255"/>
      <c r="R8" s="1255"/>
      <c r="S8" s="1255"/>
      <c r="T8" s="1255"/>
      <c r="U8" s="1259"/>
      <c r="V8" s="1257"/>
      <c r="W8" s="1257"/>
      <c r="X8" s="1257"/>
      <c r="Y8" s="1257"/>
      <c r="Z8" s="1257"/>
      <c r="AA8" s="1257"/>
      <c r="AB8" s="1257"/>
      <c r="AC8" s="1257"/>
      <c r="AD8" s="1257"/>
      <c r="AE8" s="1257"/>
      <c r="AF8" s="1257"/>
    </row>
    <row r="9" spans="1:33" ht="30" customHeight="1" thickBot="1">
      <c r="A9" s="1354" t="str">
        <f>'Schedule B'!A161&amp;" - "&amp;'Schedule B'!C161</f>
        <v>CN.003F13 - Enviro - Deep Cleaning</v>
      </c>
      <c r="B9" s="1355"/>
      <c r="C9" s="1355"/>
      <c r="D9" s="1356"/>
      <c r="E9" s="1356"/>
      <c r="F9" s="1357"/>
      <c r="G9" s="1357"/>
      <c r="H9" s="1357"/>
      <c r="I9" s="1357"/>
      <c r="J9" s="1357"/>
      <c r="K9" s="1356"/>
      <c r="L9" s="1355"/>
      <c r="M9" s="2849"/>
      <c r="N9" s="1355"/>
      <c r="O9" s="1355"/>
      <c r="P9" s="1355"/>
      <c r="Q9" s="1355"/>
      <c r="R9" s="1355"/>
      <c r="S9" s="1355"/>
      <c r="T9" s="1355"/>
      <c r="U9" s="1358"/>
      <c r="V9" s="1356"/>
      <c r="W9" s="1356"/>
      <c r="X9" s="1356"/>
      <c r="Y9" s="1356"/>
      <c r="Z9" s="1356"/>
      <c r="AA9" s="1356"/>
      <c r="AB9" s="1356"/>
      <c r="AC9" s="1356"/>
      <c r="AD9" s="1356"/>
      <c r="AE9" s="1356"/>
      <c r="AF9" s="1359"/>
    </row>
    <row r="10" spans="1:33">
      <c r="A10" s="6051" t="s">
        <v>1524</v>
      </c>
      <c r="B10" s="6052"/>
      <c r="C10" s="6052"/>
      <c r="D10" s="6052"/>
      <c r="E10" s="6052"/>
      <c r="F10" s="6052"/>
      <c r="G10" s="6053"/>
      <c r="H10" s="6053"/>
      <c r="I10" s="6053"/>
      <c r="J10" s="6054"/>
      <c r="K10" s="1256"/>
      <c r="L10" s="6055" t="s">
        <v>1525</v>
      </c>
      <c r="M10" s="6056"/>
      <c r="N10" s="6056"/>
      <c r="O10" s="6056"/>
      <c r="P10" s="6056"/>
      <c r="Q10" s="6056"/>
      <c r="R10" s="6057"/>
      <c r="S10" s="6057"/>
      <c r="T10" s="6057"/>
      <c r="U10" s="6058"/>
      <c r="V10" s="1256"/>
      <c r="W10" s="6043" t="s">
        <v>1526</v>
      </c>
      <c r="X10" s="6044"/>
      <c r="Y10" s="6044"/>
      <c r="Z10" s="6044"/>
      <c r="AA10" s="6044"/>
      <c r="AB10" s="6044"/>
      <c r="AC10" s="6044"/>
      <c r="AD10" s="6044"/>
      <c r="AE10" s="6044"/>
      <c r="AF10" s="6059"/>
    </row>
    <row r="11" spans="1:33" ht="60" customHeight="1">
      <c r="A11" s="1283" t="s">
        <v>1462</v>
      </c>
      <c r="B11" s="1284" t="s">
        <v>1527</v>
      </c>
      <c r="C11" s="1284" t="s">
        <v>1528</v>
      </c>
      <c r="D11" s="1285" t="s">
        <v>1744</v>
      </c>
      <c r="E11" s="1285" t="s">
        <v>1530</v>
      </c>
      <c r="F11" s="1286" t="s">
        <v>1531</v>
      </c>
      <c r="G11" s="1287" t="s">
        <v>1532</v>
      </c>
      <c r="H11" s="1287" t="s">
        <v>1533</v>
      </c>
      <c r="I11" s="1287" t="s">
        <v>1534</v>
      </c>
      <c r="J11" s="1288" t="s">
        <v>1535</v>
      </c>
      <c r="K11" s="1289"/>
      <c r="L11" s="763" t="s">
        <v>1536</v>
      </c>
      <c r="M11" s="1290" t="s">
        <v>1601</v>
      </c>
      <c r="N11" s="1290" t="s">
        <v>1530</v>
      </c>
      <c r="O11" s="1290" t="s">
        <v>4521</v>
      </c>
      <c r="P11" s="764" t="s">
        <v>1539</v>
      </c>
      <c r="Q11" s="1291" t="s">
        <v>1540</v>
      </c>
      <c r="R11" s="1292" t="s">
        <v>1541</v>
      </c>
      <c r="S11" s="1292" t="s">
        <v>1533</v>
      </c>
      <c r="T11" s="1292" t="s">
        <v>1534</v>
      </c>
      <c r="U11" s="1293" t="s">
        <v>1542</v>
      </c>
      <c r="V11" s="1256"/>
      <c r="W11" s="1294" t="s">
        <v>2086</v>
      </c>
      <c r="X11" s="2839" t="s">
        <v>2087</v>
      </c>
      <c r="Y11" s="1295" t="s">
        <v>1544</v>
      </c>
      <c r="Z11" s="1296" t="s">
        <v>1545</v>
      </c>
      <c r="AA11" s="1296" t="s">
        <v>4524</v>
      </c>
      <c r="AB11" s="769" t="s">
        <v>1539</v>
      </c>
      <c r="AC11" s="769" t="s">
        <v>1547</v>
      </c>
      <c r="AD11" s="769" t="s">
        <v>2538</v>
      </c>
      <c r="AE11" s="1296" t="s">
        <v>1549</v>
      </c>
      <c r="AF11" s="1297" t="s">
        <v>1550</v>
      </c>
    </row>
    <row r="12" spans="1:33" ht="17.25" customHeight="1">
      <c r="A12" s="1298"/>
      <c r="B12" s="1299"/>
      <c r="C12" s="1300"/>
      <c r="D12" s="1301"/>
      <c r="E12" s="1302" t="s">
        <v>296</v>
      </c>
      <c r="F12" s="1303" t="s">
        <v>434</v>
      </c>
      <c r="G12" s="1303" t="s">
        <v>434</v>
      </c>
      <c r="H12" s="1304">
        <v>0</v>
      </c>
      <c r="I12" s="1304">
        <v>0</v>
      </c>
      <c r="J12" s="1305" t="s">
        <v>434</v>
      </c>
      <c r="K12" s="1256"/>
      <c r="L12" s="765"/>
      <c r="M12" s="766"/>
      <c r="N12" s="1306" t="s">
        <v>296</v>
      </c>
      <c r="O12" s="766" t="s">
        <v>3574</v>
      </c>
      <c r="P12" s="1307" t="s">
        <v>1552</v>
      </c>
      <c r="Q12" s="767" t="s">
        <v>434</v>
      </c>
      <c r="R12" s="767" t="s">
        <v>434</v>
      </c>
      <c r="S12" s="1308">
        <v>0</v>
      </c>
      <c r="T12" s="1308">
        <v>0</v>
      </c>
      <c r="U12" s="768" t="s">
        <v>434</v>
      </c>
      <c r="V12" s="1256"/>
      <c r="W12" s="770"/>
      <c r="X12" s="2840"/>
      <c r="Y12" s="1309" t="s">
        <v>296</v>
      </c>
      <c r="Z12" s="1309" t="s">
        <v>296</v>
      </c>
      <c r="AA12" s="1309" t="s">
        <v>4523</v>
      </c>
      <c r="AB12" s="1310" t="s">
        <v>1552</v>
      </c>
      <c r="AC12" s="1311"/>
      <c r="AD12" s="1312">
        <v>0.05</v>
      </c>
      <c r="AE12" s="1309" t="s">
        <v>296</v>
      </c>
      <c r="AF12" s="1313" t="s">
        <v>296</v>
      </c>
    </row>
    <row r="13" spans="1:33" s="722" customFormat="1" ht="25.5" customHeight="1">
      <c r="A13" s="1314"/>
      <c r="B13" s="1314"/>
      <c r="C13" s="1314"/>
      <c r="D13" s="1314"/>
      <c r="E13" s="1314" t="s">
        <v>1481</v>
      </c>
      <c r="F13" s="1314"/>
      <c r="G13" s="1314"/>
      <c r="H13" s="1314"/>
      <c r="I13" s="1314"/>
      <c r="J13" s="1314"/>
      <c r="K13" s="1255"/>
      <c r="L13" s="1315"/>
      <c r="M13" s="1315"/>
      <c r="N13" s="1316" t="s">
        <v>1482</v>
      </c>
      <c r="O13" s="1314" t="s">
        <v>2084</v>
      </c>
      <c r="P13" s="1317" t="s">
        <v>1555</v>
      </c>
      <c r="Q13" s="1318" t="s">
        <v>1556</v>
      </c>
      <c r="R13" s="1318" t="s">
        <v>1557</v>
      </c>
      <c r="S13" s="1319" t="s">
        <v>1605</v>
      </c>
      <c r="T13" s="1319" t="s">
        <v>1559</v>
      </c>
      <c r="U13" s="1318" t="s">
        <v>1560</v>
      </c>
      <c r="V13" s="1255"/>
      <c r="W13" s="1316"/>
      <c r="X13" s="1316" t="s">
        <v>1561</v>
      </c>
      <c r="Y13" s="1316"/>
      <c r="Z13" s="1316" t="s">
        <v>2088</v>
      </c>
      <c r="AA13" s="1316" t="s">
        <v>2089</v>
      </c>
      <c r="AB13" s="1317" t="s">
        <v>2091</v>
      </c>
      <c r="AC13" s="1314" t="s">
        <v>2092</v>
      </c>
      <c r="AD13" s="1319" t="s">
        <v>3479</v>
      </c>
      <c r="AE13" s="1316" t="s">
        <v>2094</v>
      </c>
      <c r="AF13" s="1316"/>
    </row>
    <row r="14" spans="1:33" s="2837" customFormat="1" ht="50.25" customHeight="1">
      <c r="A14" s="4688">
        <v>1</v>
      </c>
      <c r="B14" s="4689" t="s">
        <v>6460</v>
      </c>
      <c r="C14" s="4690">
        <v>46174</v>
      </c>
      <c r="D14" s="4691" t="s">
        <v>6463</v>
      </c>
      <c r="E14" s="4692">
        <v>46198</v>
      </c>
      <c r="F14" s="4693">
        <v>0</v>
      </c>
      <c r="G14" s="4693">
        <v>792132.29</v>
      </c>
      <c r="H14" s="4694">
        <f>(G14*$H$12)*-1*0</f>
        <v>0</v>
      </c>
      <c r="I14" s="4694">
        <v>0</v>
      </c>
      <c r="J14" s="4694">
        <f>(G14+H14+I14)</f>
        <v>792132.29</v>
      </c>
      <c r="K14" s="4695"/>
      <c r="L14" s="4696" t="s">
        <v>6136</v>
      </c>
      <c r="M14" s="4697" t="s">
        <v>6464</v>
      </c>
      <c r="N14" s="4692">
        <v>46214</v>
      </c>
      <c r="O14" s="4698">
        <f>E14+21</f>
        <v>46219</v>
      </c>
      <c r="P14" s="4699">
        <f>O14-N14</f>
        <v>5</v>
      </c>
      <c r="Q14" s="4693">
        <f>+R14</f>
        <v>792132.29</v>
      </c>
      <c r="R14" s="4693">
        <f>G14</f>
        <v>792132.29</v>
      </c>
      <c r="S14" s="4694">
        <f>(R14*$S$12)*-1*0</f>
        <v>0</v>
      </c>
      <c r="T14" s="4694">
        <v>0</v>
      </c>
      <c r="U14" s="4694">
        <f>(R14+S14+T14)</f>
        <v>792132.29</v>
      </c>
      <c r="V14" s="4695"/>
      <c r="W14" s="2838"/>
      <c r="X14" s="1321"/>
      <c r="Y14" s="1323"/>
      <c r="Z14" s="1321"/>
      <c r="AA14" s="1321">
        <f>X14+30</f>
        <v>30</v>
      </c>
      <c r="AB14" s="1324"/>
      <c r="AC14" s="1327"/>
      <c r="AD14" s="1327"/>
      <c r="AE14" s="1327"/>
      <c r="AF14" s="1327"/>
      <c r="AG14" s="2842">
        <f>+AC14*1.15</f>
        <v>0</v>
      </c>
    </row>
    <row r="15" spans="1:33" s="2837" customFormat="1" ht="50.25" customHeight="1">
      <c r="A15" s="723"/>
      <c r="B15" s="810"/>
      <c r="C15" s="1929"/>
      <c r="D15" s="2835"/>
      <c r="E15" s="1440"/>
      <c r="F15" s="2836"/>
      <c r="G15" s="1444"/>
      <c r="H15" s="1444"/>
      <c r="I15" s="1444"/>
      <c r="J15" s="1444"/>
      <c r="K15" s="1256"/>
      <c r="L15" s="1510"/>
      <c r="M15" s="2850"/>
      <c r="N15" s="1440"/>
      <c r="O15" s="1323"/>
      <c r="P15" s="1324"/>
      <c r="Q15" s="2836"/>
      <c r="R15" s="2836"/>
      <c r="S15" s="1444"/>
      <c r="T15" s="1444"/>
      <c r="U15" s="1444"/>
      <c r="V15" s="1256"/>
      <c r="W15" s="2838"/>
      <c r="X15" s="2841"/>
      <c r="Y15" s="1323"/>
      <c r="Z15" s="1321"/>
      <c r="AA15" s="1321"/>
      <c r="AB15" s="1324"/>
      <c r="AC15" s="1327"/>
      <c r="AD15" s="1327"/>
      <c r="AE15" s="1327"/>
      <c r="AF15" s="1327"/>
      <c r="AG15" s="4266"/>
    </row>
    <row r="16" spans="1:33" s="2837" customFormat="1" ht="50.25" customHeight="1">
      <c r="A16" s="723"/>
      <c r="B16" s="810"/>
      <c r="C16" s="1929"/>
      <c r="D16" s="2835"/>
      <c r="E16" s="1440"/>
      <c r="F16" s="2836"/>
      <c r="G16" s="1444"/>
      <c r="H16" s="1444"/>
      <c r="I16" s="1444"/>
      <c r="J16" s="1444"/>
      <c r="K16" s="1256"/>
      <c r="L16" s="1510"/>
      <c r="M16" s="2850"/>
      <c r="N16" s="1440"/>
      <c r="O16" s="1323"/>
      <c r="P16" s="1324"/>
      <c r="Q16" s="2836"/>
      <c r="R16" s="1444"/>
      <c r="S16" s="1444"/>
      <c r="T16" s="1444"/>
      <c r="U16" s="1444"/>
      <c r="V16" s="1256"/>
      <c r="W16" s="2838"/>
      <c r="X16" s="2841"/>
      <c r="Y16" s="1323"/>
      <c r="Z16" s="1321"/>
      <c r="AA16" s="1321"/>
      <c r="AB16" s="1324"/>
      <c r="AC16" s="1327"/>
      <c r="AD16" s="1327"/>
      <c r="AE16" s="1327"/>
      <c r="AF16" s="1327"/>
      <c r="AG16" s="2842"/>
    </row>
    <row r="17" spans="1:32">
      <c r="A17" s="723"/>
      <c r="B17" s="810"/>
      <c r="C17" s="1445"/>
      <c r="D17" s="2835"/>
      <c r="E17" s="1440"/>
      <c r="F17" s="1322"/>
      <c r="G17" s="1444"/>
      <c r="H17" s="1444"/>
      <c r="I17" s="1444"/>
      <c r="J17" s="1444"/>
      <c r="K17" s="1256"/>
      <c r="L17" s="1510"/>
      <c r="M17" s="2850"/>
      <c r="N17" s="1321"/>
      <c r="O17" s="1323"/>
      <c r="P17" s="1324"/>
      <c r="Q17" s="1322"/>
      <c r="R17" s="1444"/>
      <c r="S17" s="1444"/>
      <c r="T17" s="1444"/>
      <c r="U17" s="1444"/>
      <c r="V17" s="1256"/>
      <c r="W17" s="2838"/>
      <c r="X17" s="2841"/>
      <c r="Y17" s="1323"/>
      <c r="Z17" s="1321"/>
      <c r="AA17" s="1321"/>
      <c r="AB17" s="1324"/>
      <c r="AC17" s="1327"/>
      <c r="AD17" s="1327"/>
      <c r="AE17" s="1327"/>
      <c r="AF17" s="1327"/>
    </row>
    <row r="18" spans="1:32">
      <c r="A18" s="723"/>
      <c r="B18" s="810"/>
      <c r="C18" s="1445"/>
      <c r="D18" s="2835"/>
      <c r="E18" s="1440"/>
      <c r="F18" s="1322"/>
      <c r="G18" s="1444"/>
      <c r="H18" s="1444"/>
      <c r="I18" s="1444"/>
      <c r="J18" s="1444"/>
      <c r="K18" s="1256"/>
      <c r="L18" s="1510"/>
      <c r="M18" s="2850"/>
      <c r="N18" s="1321"/>
      <c r="O18" s="1323"/>
      <c r="P18" s="1324"/>
      <c r="Q18" s="1322"/>
      <c r="R18" s="1444"/>
      <c r="S18" s="1444"/>
      <c r="T18" s="1444"/>
      <c r="U18" s="1444"/>
      <c r="V18" s="1256"/>
      <c r="W18" s="2838"/>
      <c r="X18" s="1323"/>
      <c r="Y18" s="1323"/>
      <c r="Z18" s="1321"/>
      <c r="AA18" s="1321"/>
      <c r="AB18" s="1324"/>
      <c r="AC18" s="1327"/>
      <c r="AD18" s="1327"/>
      <c r="AE18" s="1327"/>
      <c r="AF18" s="1327"/>
    </row>
    <row r="19" spans="1:32" ht="33.950000000000003" customHeight="1">
      <c r="A19" s="723"/>
      <c r="B19" s="810"/>
      <c r="C19" s="1445"/>
      <c r="D19" s="2835"/>
      <c r="E19" s="1440"/>
      <c r="F19" s="1322"/>
      <c r="G19" s="1444"/>
      <c r="H19" s="1444"/>
      <c r="I19" s="1444"/>
      <c r="J19" s="1444"/>
      <c r="K19" s="1256"/>
      <c r="L19" s="1510"/>
      <c r="M19" s="2850"/>
      <c r="N19" s="1321"/>
      <c r="O19" s="1323"/>
      <c r="P19" s="1324"/>
      <c r="Q19" s="1322"/>
      <c r="R19" s="1444"/>
      <c r="S19" s="1444"/>
      <c r="T19" s="1444"/>
      <c r="U19" s="1444"/>
      <c r="V19" s="1256"/>
      <c r="W19" s="2838"/>
      <c r="X19" s="1323"/>
      <c r="Y19" s="1323"/>
      <c r="Z19" s="1321"/>
      <c r="AA19" s="1321"/>
      <c r="AB19" s="1324"/>
      <c r="AC19" s="1327"/>
      <c r="AD19" s="1327"/>
      <c r="AE19" s="1327"/>
      <c r="AF19" s="1327"/>
    </row>
    <row r="20" spans="1:32">
      <c r="A20" s="723"/>
      <c r="B20" s="810"/>
      <c r="C20" s="1445"/>
      <c r="D20" s="2835"/>
      <c r="E20" s="1440"/>
      <c r="F20" s="1322"/>
      <c r="G20" s="1444"/>
      <c r="H20" s="1444"/>
      <c r="I20" s="1444"/>
      <c r="J20" s="1444"/>
      <c r="K20" s="1256"/>
      <c r="L20" s="1510"/>
      <c r="M20" s="2850"/>
      <c r="N20" s="1321"/>
      <c r="O20" s="1323"/>
      <c r="P20" s="1324"/>
      <c r="Q20" s="1322"/>
      <c r="R20" s="1444"/>
      <c r="S20" s="1444"/>
      <c r="T20" s="1444"/>
      <c r="U20" s="1444"/>
      <c r="V20" s="1256"/>
      <c r="W20" s="723"/>
      <c r="X20" s="724"/>
      <c r="Y20" s="1323"/>
      <c r="Z20" s="1321"/>
      <c r="AA20" s="1321"/>
      <c r="AB20" s="1324"/>
      <c r="AC20" s="1327"/>
      <c r="AD20" s="1327"/>
      <c r="AE20" s="1327"/>
      <c r="AF20" s="1327"/>
    </row>
    <row r="21" spans="1:32">
      <c r="A21" s="723"/>
      <c r="B21" s="810"/>
      <c r="C21" s="1445"/>
      <c r="D21" s="2835"/>
      <c r="E21" s="1440"/>
      <c r="F21" s="1322"/>
      <c r="G21" s="1444"/>
      <c r="H21" s="1444"/>
      <c r="I21" s="1444"/>
      <c r="J21" s="1444"/>
      <c r="K21" s="1256"/>
      <c r="L21" s="1510"/>
      <c r="M21" s="2850"/>
      <c r="N21" s="1321"/>
      <c r="O21" s="1323"/>
      <c r="P21" s="1324"/>
      <c r="Q21" s="1322"/>
      <c r="R21" s="1444"/>
      <c r="S21" s="1444"/>
      <c r="T21" s="1444"/>
      <c r="U21" s="1444"/>
      <c r="V21" s="1256"/>
      <c r="W21" s="723"/>
      <c r="X21" s="724"/>
      <c r="Y21" s="1323"/>
      <c r="Z21" s="1321"/>
      <c r="AA21" s="1321"/>
      <c r="AB21" s="1324"/>
      <c r="AC21" s="1327"/>
      <c r="AD21" s="1327"/>
      <c r="AE21" s="1327"/>
      <c r="AF21" s="1327"/>
    </row>
    <row r="22" spans="1:32">
      <c r="A22" s="723"/>
      <c r="B22" s="810"/>
      <c r="C22" s="1445"/>
      <c r="D22" s="2835"/>
      <c r="E22" s="1440"/>
      <c r="F22" s="1322"/>
      <c r="G22" s="1444"/>
      <c r="H22" s="1444"/>
      <c r="I22" s="1444"/>
      <c r="J22" s="1444"/>
      <c r="K22" s="1256"/>
      <c r="L22" s="1510"/>
      <c r="M22" s="2850"/>
      <c r="N22" s="1321"/>
      <c r="O22" s="1323"/>
      <c r="P22" s="1324"/>
      <c r="Q22" s="1322"/>
      <c r="R22" s="1444"/>
      <c r="S22" s="1444"/>
      <c r="T22" s="1444"/>
      <c r="U22" s="1444"/>
      <c r="V22" s="1256"/>
      <c r="W22" s="723"/>
      <c r="X22" s="724"/>
      <c r="Y22" s="1323"/>
      <c r="Z22" s="1321"/>
      <c r="AA22" s="1321"/>
      <c r="AB22" s="1324"/>
      <c r="AC22" s="1327"/>
      <c r="AD22" s="1327"/>
      <c r="AE22" s="1327"/>
      <c r="AF22" s="1327"/>
    </row>
    <row r="23" spans="1:32">
      <c r="A23" s="723"/>
      <c r="B23" s="810"/>
      <c r="C23" s="1445"/>
      <c r="D23" s="2835"/>
      <c r="E23" s="1440"/>
      <c r="F23" s="1322"/>
      <c r="G23" s="1444"/>
      <c r="H23" s="1444"/>
      <c r="I23" s="1444"/>
      <c r="J23" s="1444"/>
      <c r="K23" s="1256"/>
      <c r="L23" s="1510"/>
      <c r="M23" s="2850"/>
      <c r="N23" s="1321"/>
      <c r="O23" s="1323"/>
      <c r="P23" s="1324"/>
      <c r="Q23" s="1322"/>
      <c r="R23" s="1444"/>
      <c r="S23" s="1444"/>
      <c r="T23" s="1444"/>
      <c r="U23" s="1444"/>
      <c r="V23" s="1256"/>
      <c r="W23" s="723"/>
      <c r="X23" s="724"/>
      <c r="Y23" s="1323"/>
      <c r="Z23" s="1321"/>
      <c r="AA23" s="1321"/>
      <c r="AB23" s="1324"/>
      <c r="AC23" s="1327"/>
      <c r="AD23" s="1327"/>
      <c r="AE23" s="1327"/>
      <c r="AF23" s="1327"/>
    </row>
    <row r="24" spans="1:32">
      <c r="A24" s="723"/>
      <c r="B24" s="810"/>
      <c r="C24" s="1445"/>
      <c r="D24" s="2835"/>
      <c r="E24" s="1440"/>
      <c r="F24" s="1322"/>
      <c r="G24" s="1444"/>
      <c r="H24" s="1444"/>
      <c r="I24" s="1444"/>
      <c r="J24" s="1444"/>
      <c r="K24" s="1256"/>
      <c r="L24" s="1510"/>
      <c r="M24" s="2850"/>
      <c r="N24" s="1321"/>
      <c r="O24" s="1323"/>
      <c r="P24" s="1324"/>
      <c r="Q24" s="1322"/>
      <c r="R24" s="1444"/>
      <c r="S24" s="1444"/>
      <c r="T24" s="1444"/>
      <c r="U24" s="1444"/>
      <c r="V24" s="1256"/>
      <c r="W24" s="723"/>
      <c r="X24" s="724"/>
      <c r="Y24" s="1323"/>
      <c r="Z24" s="1321"/>
      <c r="AA24" s="1321"/>
      <c r="AB24" s="1324"/>
      <c r="AC24" s="1327"/>
      <c r="AD24" s="1327"/>
      <c r="AE24" s="1327"/>
      <c r="AF24" s="1327"/>
    </row>
    <row r="25" spans="1:32">
      <c r="A25" s="723"/>
      <c r="B25" s="810"/>
      <c r="C25" s="1445"/>
      <c r="D25" s="2835"/>
      <c r="E25" s="1440"/>
      <c r="F25" s="1322"/>
      <c r="G25" s="1322"/>
      <c r="H25" s="1322"/>
      <c r="I25" s="1322"/>
      <c r="J25" s="1322"/>
      <c r="K25" s="1256"/>
      <c r="L25" s="1443"/>
      <c r="M25" s="2850"/>
      <c r="N25" s="1321"/>
      <c r="O25" s="1323"/>
      <c r="P25" s="1324"/>
      <c r="Q25" s="1322"/>
      <c r="R25" s="1444"/>
      <c r="S25" s="1444"/>
      <c r="T25" s="1444"/>
      <c r="U25" s="1328"/>
      <c r="V25" s="1256"/>
      <c r="W25" s="723"/>
      <c r="X25" s="724"/>
      <c r="Y25" s="1323"/>
      <c r="Z25" s="1321"/>
      <c r="AA25" s="1321"/>
      <c r="AB25" s="1324"/>
      <c r="AC25" s="1327"/>
      <c r="AD25" s="1327"/>
      <c r="AE25" s="1327"/>
      <c r="AF25" s="1327"/>
    </row>
    <row r="26" spans="1:32">
      <c r="A26" s="723"/>
      <c r="B26" s="810"/>
      <c r="C26" s="1445"/>
      <c r="D26" s="2835"/>
      <c r="E26" s="1440"/>
      <c r="F26" s="1322"/>
      <c r="G26" s="1322"/>
      <c r="H26" s="1322"/>
      <c r="I26" s="1322"/>
      <c r="J26" s="1322"/>
      <c r="K26" s="1256"/>
      <c r="L26" s="1443"/>
      <c r="M26" s="2850"/>
      <c r="N26" s="1321"/>
      <c r="O26" s="1323"/>
      <c r="P26" s="1324"/>
      <c r="Q26" s="1322"/>
      <c r="R26" s="1444"/>
      <c r="S26" s="1444"/>
      <c r="T26" s="1444"/>
      <c r="U26" s="1328"/>
      <c r="V26" s="1256"/>
      <c r="W26" s="723"/>
      <c r="X26" s="724"/>
      <c r="Y26" s="1323"/>
      <c r="Z26" s="1321"/>
      <c r="AA26" s="1321"/>
      <c r="AB26" s="1324"/>
      <c r="AC26" s="1327"/>
      <c r="AD26" s="1327"/>
      <c r="AE26" s="1327"/>
      <c r="AF26" s="1327"/>
    </row>
    <row r="27" spans="1:32">
      <c r="A27" s="723"/>
      <c r="B27" s="810"/>
      <c r="C27" s="1445"/>
      <c r="D27" s="2835"/>
      <c r="E27" s="1440"/>
      <c r="F27" s="1322"/>
      <c r="G27" s="1322"/>
      <c r="H27" s="1322"/>
      <c r="I27" s="1322"/>
      <c r="J27" s="1322"/>
      <c r="K27" s="1256"/>
      <c r="L27" s="1443"/>
      <c r="M27" s="2850"/>
      <c r="N27" s="1321"/>
      <c r="O27" s="1323"/>
      <c r="P27" s="1324"/>
      <c r="Q27" s="1322"/>
      <c r="R27" s="1444"/>
      <c r="S27" s="1444"/>
      <c r="T27" s="1444"/>
      <c r="U27" s="1328"/>
      <c r="V27" s="1256"/>
      <c r="W27" s="723"/>
      <c r="X27" s="724"/>
      <c r="Y27" s="1323"/>
      <c r="Z27" s="1321"/>
      <c r="AA27" s="1321"/>
      <c r="AB27" s="1324"/>
      <c r="AC27" s="1327"/>
      <c r="AD27" s="1327"/>
      <c r="AE27" s="1327"/>
      <c r="AF27" s="1327"/>
    </row>
    <row r="28" spans="1:32">
      <c r="A28" s="723"/>
      <c r="B28" s="810"/>
      <c r="C28" s="1445"/>
      <c r="D28" s="2835"/>
      <c r="E28" s="1440"/>
      <c r="F28" s="1322"/>
      <c r="G28" s="1322"/>
      <c r="H28" s="1322"/>
      <c r="I28" s="1322"/>
      <c r="J28" s="1322"/>
      <c r="K28" s="1256"/>
      <c r="L28" s="1443"/>
      <c r="M28" s="2850"/>
      <c r="N28" s="1321"/>
      <c r="O28" s="1323"/>
      <c r="P28" s="1324"/>
      <c r="Q28" s="1322"/>
      <c r="R28" s="1444"/>
      <c r="S28" s="1444"/>
      <c r="T28" s="1444"/>
      <c r="U28" s="1328"/>
      <c r="V28" s="1256"/>
      <c r="W28" s="723"/>
      <c r="X28" s="724"/>
      <c r="Y28" s="1323"/>
      <c r="Z28" s="1321"/>
      <c r="AA28" s="1321"/>
      <c r="AB28" s="1324"/>
      <c r="AC28" s="1327"/>
      <c r="AD28" s="1327"/>
      <c r="AE28" s="1327"/>
      <c r="AF28" s="1327"/>
    </row>
    <row r="29" spans="1:32">
      <c r="A29" s="723"/>
      <c r="B29" s="810"/>
      <c r="C29" s="1445"/>
      <c r="D29" s="2835"/>
      <c r="E29" s="1440"/>
      <c r="F29" s="1322"/>
      <c r="G29" s="1322"/>
      <c r="H29" s="1322"/>
      <c r="I29" s="1322"/>
      <c r="J29" s="1322"/>
      <c r="K29" s="1256"/>
      <c r="L29" s="1443"/>
      <c r="M29" s="2850"/>
      <c r="N29" s="1321"/>
      <c r="O29" s="1323"/>
      <c r="P29" s="1324"/>
      <c r="Q29" s="1322"/>
      <c r="R29" s="1444"/>
      <c r="S29" s="1444"/>
      <c r="T29" s="1444"/>
      <c r="U29" s="1328"/>
      <c r="V29" s="1256"/>
      <c r="W29" s="723"/>
      <c r="X29" s="724"/>
      <c r="Y29" s="1323"/>
      <c r="Z29" s="1321"/>
      <c r="AA29" s="1321"/>
      <c r="AB29" s="1324"/>
      <c r="AC29" s="1327"/>
      <c r="AD29" s="1327"/>
      <c r="AE29" s="1327"/>
      <c r="AF29" s="1327"/>
    </row>
    <row r="30" spans="1:32">
      <c r="A30" s="723"/>
      <c r="B30" s="810"/>
      <c r="C30" s="1445"/>
      <c r="D30" s="2835"/>
      <c r="E30" s="1440"/>
      <c r="F30" s="1322"/>
      <c r="G30" s="1322"/>
      <c r="H30" s="1322"/>
      <c r="I30" s="1322"/>
      <c r="J30" s="1322"/>
      <c r="K30" s="1256"/>
      <c r="L30" s="1443"/>
      <c r="M30" s="2850"/>
      <c r="N30" s="1321"/>
      <c r="O30" s="1323"/>
      <c r="P30" s="1324"/>
      <c r="Q30" s="1322"/>
      <c r="R30" s="1444"/>
      <c r="S30" s="1444"/>
      <c r="T30" s="1444"/>
      <c r="U30" s="1328"/>
      <c r="V30" s="1256"/>
      <c r="W30" s="723"/>
      <c r="X30" s="724"/>
      <c r="Y30" s="1323"/>
      <c r="Z30" s="1321"/>
      <c r="AA30" s="1321"/>
      <c r="AB30" s="1324"/>
      <c r="AC30" s="1327"/>
      <c r="AD30" s="1327"/>
      <c r="AE30" s="1327"/>
      <c r="AF30" s="1327"/>
    </row>
    <row r="31" spans="1:32">
      <c r="A31" s="723"/>
      <c r="B31" s="810"/>
      <c r="C31" s="1445"/>
      <c r="D31" s="2835"/>
      <c r="E31" s="1440"/>
      <c r="F31" s="1322"/>
      <c r="G31" s="1322"/>
      <c r="H31" s="1322"/>
      <c r="I31" s="1322"/>
      <c r="J31" s="1322"/>
      <c r="K31" s="1256"/>
      <c r="L31" s="1443"/>
      <c r="M31" s="2850"/>
      <c r="N31" s="1321"/>
      <c r="O31" s="1323"/>
      <c r="P31" s="1324"/>
      <c r="Q31" s="1322"/>
      <c r="R31" s="1444"/>
      <c r="S31" s="1444"/>
      <c r="T31" s="1444"/>
      <c r="U31" s="1328"/>
      <c r="V31" s="1256"/>
      <c r="W31" s="723"/>
      <c r="X31" s="724"/>
      <c r="Y31" s="1323"/>
      <c r="Z31" s="1321"/>
      <c r="AA31" s="1321"/>
      <c r="AB31" s="1324"/>
      <c r="AC31" s="1327"/>
      <c r="AD31" s="1327"/>
      <c r="AE31" s="1327"/>
      <c r="AF31" s="1327"/>
    </row>
    <row r="32" spans="1:32">
      <c r="A32" s="723"/>
      <c r="B32" s="810"/>
      <c r="C32" s="1445"/>
      <c r="D32" s="2835"/>
      <c r="E32" s="1440"/>
      <c r="F32" s="1322"/>
      <c r="G32" s="1322"/>
      <c r="H32" s="1322"/>
      <c r="I32" s="1322"/>
      <c r="J32" s="1322"/>
      <c r="K32" s="1256"/>
      <c r="L32" s="1443"/>
      <c r="M32" s="2850"/>
      <c r="N32" s="1321"/>
      <c r="O32" s="1323"/>
      <c r="P32" s="1324"/>
      <c r="Q32" s="1322"/>
      <c r="R32" s="1444"/>
      <c r="S32" s="1444"/>
      <c r="T32" s="1444"/>
      <c r="U32" s="1328"/>
      <c r="V32" s="1256"/>
      <c r="W32" s="723"/>
      <c r="X32" s="724"/>
      <c r="Y32" s="1323"/>
      <c r="Z32" s="1321"/>
      <c r="AA32" s="1321"/>
      <c r="AB32" s="1324"/>
      <c r="AC32" s="1327"/>
      <c r="AD32" s="1327"/>
      <c r="AE32" s="1327"/>
      <c r="AF32" s="1327"/>
    </row>
    <row r="33" spans="1:32">
      <c r="A33" s="723"/>
      <c r="B33" s="810"/>
      <c r="C33" s="1445"/>
      <c r="D33" s="1320"/>
      <c r="E33" s="1440"/>
      <c r="F33" s="1322"/>
      <c r="G33" s="1322"/>
      <c r="H33" s="1322"/>
      <c r="I33" s="1322"/>
      <c r="J33" s="1322"/>
      <c r="K33" s="1256"/>
      <c r="L33" s="1443"/>
      <c r="M33" s="2850"/>
      <c r="N33" s="1321"/>
      <c r="O33" s="1323"/>
      <c r="P33" s="1324"/>
      <c r="Q33" s="1322"/>
      <c r="R33" s="1444"/>
      <c r="S33" s="1444"/>
      <c r="T33" s="1444"/>
      <c r="U33" s="1328"/>
      <c r="V33" s="1256"/>
      <c r="W33" s="723"/>
      <c r="X33" s="724"/>
      <c r="Y33" s="1323"/>
      <c r="Z33" s="1321"/>
      <c r="AA33" s="1321"/>
      <c r="AB33" s="1324"/>
      <c r="AC33" s="1327"/>
      <c r="AD33" s="1327"/>
      <c r="AE33" s="1327"/>
      <c r="AF33" s="1327"/>
    </row>
    <row r="34" spans="1:32">
      <c r="A34" s="723"/>
      <c r="B34" s="810"/>
      <c r="C34" s="1445"/>
      <c r="D34" s="1320"/>
      <c r="E34" s="1440"/>
      <c r="F34" s="1322"/>
      <c r="G34" s="1322"/>
      <c r="H34" s="1322"/>
      <c r="I34" s="1322"/>
      <c r="J34" s="1322"/>
      <c r="K34" s="1256"/>
      <c r="L34" s="1443"/>
      <c r="M34" s="2850"/>
      <c r="N34" s="1321"/>
      <c r="O34" s="1323"/>
      <c r="P34" s="1324"/>
      <c r="Q34" s="1322"/>
      <c r="R34" s="1444"/>
      <c r="S34" s="1444"/>
      <c r="T34" s="1444"/>
      <c r="U34" s="1328"/>
      <c r="V34" s="1256"/>
      <c r="W34" s="723"/>
      <c r="X34" s="724"/>
      <c r="Y34" s="1323"/>
      <c r="Z34" s="1321"/>
      <c r="AA34" s="1321"/>
      <c r="AB34" s="1324"/>
      <c r="AC34" s="1327"/>
      <c r="AD34" s="1327"/>
      <c r="AE34" s="1327"/>
      <c r="AF34" s="1327"/>
    </row>
    <row r="35" spans="1:32">
      <c r="A35" s="723"/>
      <c r="B35" s="810"/>
      <c r="C35" s="1445"/>
      <c r="D35" s="1320"/>
      <c r="E35" s="1441"/>
      <c r="F35" s="1322"/>
      <c r="G35" s="1322"/>
      <c r="H35" s="1322"/>
      <c r="I35" s="1322"/>
      <c r="J35" s="1322"/>
      <c r="K35" s="1256"/>
      <c r="L35" s="1443"/>
      <c r="M35" s="2850"/>
      <c r="N35" s="1321"/>
      <c r="O35" s="1323"/>
      <c r="P35" s="1324"/>
      <c r="Q35" s="1322"/>
      <c r="R35" s="1444"/>
      <c r="S35" s="1444"/>
      <c r="T35" s="1444"/>
      <c r="U35" s="1328"/>
      <c r="V35" s="1256"/>
      <c r="W35" s="723"/>
      <c r="X35" s="724"/>
      <c r="Y35" s="1323"/>
      <c r="Z35" s="1321"/>
      <c r="AA35" s="1321"/>
      <c r="AB35" s="1324"/>
      <c r="AC35" s="1327"/>
      <c r="AD35" s="1327"/>
      <c r="AE35" s="1327"/>
      <c r="AF35" s="1327"/>
    </row>
    <row r="36" spans="1:32">
      <c r="A36" s="1329"/>
      <c r="B36" s="1330"/>
      <c r="C36" s="1440"/>
      <c r="D36" s="1331"/>
      <c r="E36" s="1442"/>
      <c r="F36" s="1332"/>
      <c r="G36" s="1332"/>
      <c r="H36" s="1332"/>
      <c r="I36" s="1332"/>
      <c r="J36" s="1332"/>
      <c r="K36" s="1256"/>
      <c r="L36" s="1329"/>
      <c r="M36" s="2851"/>
      <c r="N36" s="1334"/>
      <c r="O36" s="1334"/>
      <c r="P36" s="1335"/>
      <c r="Q36" s="1322"/>
      <c r="R36" s="1333"/>
      <c r="S36" s="1333"/>
      <c r="T36" s="1333"/>
      <c r="U36" s="1336"/>
      <c r="V36" s="1256"/>
      <c r="W36" s="1329"/>
      <c r="X36" s="1333"/>
      <c r="Y36" s="1337"/>
      <c r="Z36" s="1334"/>
      <c r="AA36" s="1334"/>
      <c r="AB36" s="1334"/>
      <c r="AC36" s="1329"/>
      <c r="AD36" s="1337"/>
      <c r="AE36" s="1334"/>
      <c r="AF36" s="1334"/>
    </row>
    <row r="37" spans="1:32" ht="24.75" customHeight="1" collapsed="1" thickBot="1">
      <c r="A37" s="6045" t="s">
        <v>1522</v>
      </c>
      <c r="B37" s="6046"/>
      <c r="C37" s="6046"/>
      <c r="D37" s="6046"/>
      <c r="E37" s="6046"/>
      <c r="F37" s="6047"/>
      <c r="G37" s="1338">
        <f>SUM(G14:G36)</f>
        <v>792132.29</v>
      </c>
      <c r="H37" s="1338">
        <f>SUM(H14:H36)</f>
        <v>0</v>
      </c>
      <c r="I37" s="1338">
        <f>SUM(I14:I36)</f>
        <v>0</v>
      </c>
      <c r="J37" s="1338">
        <f>SUM(J14:J36)</f>
        <v>792132.29</v>
      </c>
      <c r="K37" s="1256"/>
      <c r="L37" s="1339" t="s">
        <v>1522</v>
      </c>
      <c r="M37" s="1343"/>
      <c r="N37" s="1340"/>
      <c r="O37" s="1340"/>
      <c r="P37" s="1340"/>
      <c r="Q37" s="1340"/>
      <c r="R37" s="1341">
        <f>SUM(R14:R36)</f>
        <v>792132.29</v>
      </c>
      <c r="S37" s="1338">
        <f>SUM(S14:S36)</f>
        <v>0</v>
      </c>
      <c r="T37" s="1338">
        <f>SUM(T14:T36)</f>
        <v>0</v>
      </c>
      <c r="U37" s="1338">
        <f>SUM(U14:U36)</f>
        <v>792132.29</v>
      </c>
      <c r="V37" s="1256"/>
      <c r="W37" s="1342" t="s">
        <v>1522</v>
      </c>
      <c r="X37" s="1343"/>
      <c r="Y37" s="1343"/>
      <c r="Z37" s="1343"/>
      <c r="AA37" s="1343"/>
      <c r="AB37" s="1343"/>
      <c r="AC37" s="1341">
        <f>SUM(AC14:AC36)</f>
        <v>0</v>
      </c>
      <c r="AD37" s="1338">
        <f>SUM(AD14:AD36)</f>
        <v>0</v>
      </c>
      <c r="AE37" s="1338">
        <f>SUM(AE14:AE36)</f>
        <v>0</v>
      </c>
      <c r="AF37" s="1338">
        <f>+AF14</f>
        <v>0</v>
      </c>
    </row>
    <row r="38" spans="1:32">
      <c r="A38" s="1360"/>
      <c r="B38" s="1256"/>
      <c r="C38" s="1255"/>
      <c r="D38" s="1257"/>
      <c r="E38" s="1361"/>
      <c r="F38" s="1258"/>
      <c r="G38" s="1258"/>
      <c r="H38" s="1258"/>
      <c r="I38" s="1258"/>
      <c r="J38" s="1258"/>
      <c r="K38" s="1256"/>
      <c r="L38" s="1360"/>
      <c r="M38" s="2852"/>
      <c r="N38" s="1362"/>
      <c r="O38" s="1362"/>
      <c r="P38" s="1362"/>
      <c r="Q38" s="1360"/>
      <c r="R38" s="1360"/>
      <c r="S38" s="1360"/>
      <c r="T38" s="1360"/>
      <c r="U38" s="1363"/>
      <c r="V38" s="1256"/>
      <c r="W38" s="1360"/>
      <c r="X38" s="1360"/>
      <c r="Y38" s="1364"/>
      <c r="Z38" s="1362"/>
      <c r="AA38" s="1362"/>
      <c r="AB38" s="1362"/>
      <c r="AC38" s="1360"/>
      <c r="AD38" s="1364"/>
      <c r="AE38" s="1362"/>
      <c r="AF38" s="1362"/>
    </row>
    <row r="39" spans="1:32">
      <c r="A39" s="1360"/>
      <c r="B39" s="1256"/>
      <c r="C39" s="1255"/>
      <c r="D39" s="1257"/>
      <c r="E39" s="1361"/>
      <c r="F39" s="1258"/>
      <c r="G39" s="1258"/>
      <c r="H39" s="1258"/>
      <c r="I39" s="1258"/>
      <c r="J39" s="1258"/>
      <c r="K39" s="1256"/>
      <c r="L39" s="1360"/>
      <c r="M39" s="2852"/>
      <c r="N39" s="1362"/>
      <c r="O39" s="1362"/>
      <c r="P39" s="1257"/>
      <c r="Q39" s="1258"/>
      <c r="R39" s="1258"/>
      <c r="S39" s="1258"/>
      <c r="T39" s="1258"/>
      <c r="U39" s="1258">
        <f>+U37-T37</f>
        <v>792132.29</v>
      </c>
      <c r="V39" s="1256"/>
      <c r="W39" s="1360"/>
      <c r="X39" s="1360"/>
      <c r="Y39" s="1364"/>
      <c r="Z39" s="1362"/>
      <c r="AA39" s="1362"/>
      <c r="AB39" s="1362"/>
      <c r="AC39" s="1360"/>
      <c r="AD39" s="1364"/>
      <c r="AE39" s="1362"/>
      <c r="AF39" s="1362"/>
    </row>
    <row r="40" spans="1:32">
      <c r="A40" s="1365"/>
      <c r="B40" s="1256"/>
      <c r="C40" s="1255"/>
      <c r="D40" s="1257"/>
      <c r="E40" s="1361"/>
      <c r="F40" s="1366"/>
      <c r="G40" s="1366"/>
      <c r="H40" s="1366"/>
      <c r="I40" s="1366"/>
      <c r="J40" s="1258"/>
      <c r="K40" s="1256"/>
      <c r="L40" s="1365"/>
      <c r="M40" s="2853">
        <f>403092.61/11085046.72</f>
        <v>3.6363636544059594E-2</v>
      </c>
      <c r="N40" s="1365"/>
      <c r="O40" s="1365"/>
      <c r="P40" s="1257"/>
      <c r="Q40" s="1366"/>
      <c r="R40" s="1366"/>
      <c r="S40" s="1366"/>
      <c r="T40" s="1366"/>
      <c r="U40" s="1366"/>
      <c r="V40" s="1256"/>
      <c r="W40" s="1365"/>
      <c r="X40" s="1365"/>
      <c r="Y40" s="1365"/>
      <c r="Z40" s="1362"/>
      <c r="AA40" s="1362"/>
      <c r="AB40" s="1362"/>
      <c r="AC40" s="1365"/>
      <c r="AD40" s="1365"/>
      <c r="AE40" s="1362"/>
      <c r="AF40" s="1362"/>
    </row>
    <row r="41" spans="1:32">
      <c r="D41" s="1257"/>
      <c r="E41" s="153">
        <v>44197</v>
      </c>
      <c r="F41" s="1366"/>
      <c r="P41" s="1257"/>
      <c r="Q41" s="1366"/>
      <c r="R41" s="1366"/>
      <c r="S41" s="1366"/>
      <c r="T41" s="1366"/>
      <c r="U41" s="1366"/>
      <c r="AA41" s="153">
        <v>44094</v>
      </c>
      <c r="AC41" s="1367"/>
    </row>
    <row r="42" spans="1:32">
      <c r="D42" s="1257"/>
      <c r="E42" s="153">
        <f>E41-45</f>
        <v>44152</v>
      </c>
      <c r="F42" s="1366"/>
      <c r="P42" s="1257"/>
      <c r="Q42" s="1366"/>
      <c r="R42" s="1366"/>
      <c r="S42" s="1366"/>
      <c r="T42" s="1366"/>
      <c r="U42" s="1366"/>
      <c r="AA42" s="153">
        <f>AA41-45</f>
        <v>44049</v>
      </c>
    </row>
    <row r="43" spans="1:32">
      <c r="D43" s="1257"/>
      <c r="F43" s="1366"/>
      <c r="H43" s="153">
        <v>43986</v>
      </c>
      <c r="R43" s="652"/>
      <c r="S43" s="652"/>
      <c r="T43" s="652"/>
      <c r="U43" s="652"/>
    </row>
    <row r="45" spans="1:32">
      <c r="AC45" t="s">
        <v>2330</v>
      </c>
    </row>
    <row r="46" spans="1:32">
      <c r="AC46" s="3018">
        <v>45222</v>
      </c>
      <c r="AD46" s="3018">
        <v>45253</v>
      </c>
      <c r="AE46" s="3018">
        <v>45283</v>
      </c>
    </row>
    <row r="47" spans="1:32">
      <c r="AC47" s="3020">
        <v>11439880.26</v>
      </c>
    </row>
  </sheetData>
  <mergeCells count="4">
    <mergeCell ref="A10:J10"/>
    <mergeCell ref="L10:U10"/>
    <mergeCell ref="W10:AF10"/>
    <mergeCell ref="A37:F37"/>
  </mergeCells>
  <printOptions horizontalCentered="1"/>
  <pageMargins left="0.23622047244094491" right="0.23622047244094491" top="0.74803149606299213" bottom="0.74803149606299213" header="0.31496062992125984" footer="0.31496062992125984"/>
  <pageSetup paperSize="8" scale="67" fitToHeight="2" orientation="landscape" r:id="rId1"/>
  <headerFooter>
    <oddHeader>&amp;C&amp;"Calibri,Bold"&amp;18MONTHLY REPORT - INVOICE &amp; PAYMENT TRACKING LOG (DEEP 
CLEANING)</oddHeader>
    <oddFooter>&amp;L1TB.01.003.01 - AYC 
MARCH'26 REPORT&amp;C&amp;A&amp;RPage &amp;P of &amp;N</oddFooter>
  </headerFooter>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F00CB-5288-4BE8-BEED-D71EF495C609}">
  <sheetPr>
    <tabColor theme="7" tint="0.39997558519241921"/>
    <pageSetUpPr fitToPage="1"/>
  </sheetPr>
  <dimension ref="A1:AG47"/>
  <sheetViews>
    <sheetView showGridLines="0" view="pageBreakPreview" topLeftCell="M1" zoomScale="90" zoomScaleNormal="100" zoomScaleSheetLayoutView="90" workbookViewId="0">
      <selection activeCell="C43" sqref="C43"/>
    </sheetView>
  </sheetViews>
  <sheetFormatPr defaultColWidth="9" defaultRowHeight="12.75"/>
  <cols>
    <col min="1" max="1" width="10.85546875" customWidth="1"/>
    <col min="2" max="2" width="10.42578125" customWidth="1"/>
    <col min="3" max="3" width="11.42578125" customWidth="1"/>
    <col min="4" max="4" width="10.85546875" bestFit="1" customWidth="1"/>
    <col min="5" max="5" width="9.85546875" bestFit="1" customWidth="1"/>
    <col min="6" max="6" width="12" customWidth="1"/>
    <col min="7" max="7" width="12.85546875" bestFit="1" customWidth="1"/>
    <col min="8" max="9" width="11.85546875" bestFit="1" customWidth="1"/>
    <col min="10" max="10" width="13.85546875" customWidth="1"/>
    <col min="11" max="11" width="0.85546875" customWidth="1"/>
    <col min="12" max="12" width="6" customWidth="1"/>
    <col min="13" max="13" width="17.85546875" style="2854" bestFit="1" customWidth="1"/>
    <col min="14" max="15" width="9" customWidth="1"/>
    <col min="16" max="16" width="7.85546875" customWidth="1"/>
    <col min="17" max="17" width="13.85546875" customWidth="1"/>
    <col min="18" max="18" width="15.5703125" customWidth="1"/>
    <col min="19" max="20" width="11.42578125" customWidth="1"/>
    <col min="21" max="21" width="14.5703125" customWidth="1"/>
    <col min="22" max="22" width="0.85546875" customWidth="1"/>
    <col min="23" max="23" width="14" bestFit="1" customWidth="1"/>
    <col min="24" max="24" width="9" customWidth="1"/>
    <col min="25" max="25" width="9" hidden="1" customWidth="1"/>
    <col min="26" max="26" width="9" bestFit="1" customWidth="1"/>
    <col min="27" max="27" width="10" customWidth="1"/>
    <col min="28" max="28" width="7" customWidth="1"/>
    <col min="29" max="29" width="12.42578125" customWidth="1"/>
    <col min="30" max="30" width="13.5703125" customWidth="1"/>
    <col min="31" max="32" width="14" customWidth="1"/>
    <col min="33" max="33" width="13.5703125" bestFit="1" customWidth="1"/>
  </cols>
  <sheetData>
    <row r="1" spans="1:33">
      <c r="A1" s="1255"/>
      <c r="B1" s="1256"/>
      <c r="C1" s="1255"/>
      <c r="D1" s="1257"/>
      <c r="E1" s="1257"/>
      <c r="F1" s="1258"/>
      <c r="G1" s="1258"/>
      <c r="H1" s="1258"/>
      <c r="I1" s="1258"/>
      <c r="J1" s="1258"/>
      <c r="K1" s="1257"/>
      <c r="L1" s="1255"/>
      <c r="M1" s="2848"/>
      <c r="N1" s="1255"/>
      <c r="O1" s="1255"/>
      <c r="P1" s="1255"/>
      <c r="Q1" s="1255"/>
      <c r="R1" s="1255"/>
      <c r="S1" s="1255"/>
      <c r="T1" s="1255"/>
      <c r="U1" s="1259"/>
      <c r="V1" s="1257"/>
      <c r="W1" s="1257"/>
      <c r="X1" s="1257"/>
      <c r="Y1" s="1257"/>
      <c r="Z1" s="1257"/>
      <c r="AA1" s="1257"/>
      <c r="AB1" s="1257"/>
      <c r="AC1" s="1257"/>
      <c r="AD1" s="1257"/>
      <c r="AE1" s="1257"/>
      <c r="AF1" s="1257"/>
    </row>
    <row r="2" spans="1:33">
      <c r="A2" s="9" t="str">
        <f>'Data Input'!A1&amp;" - "&amp;'Data Input'!B1</f>
        <v>PROGRAMME: - MARINA VILLAGE (PROGRAMME 1_TRIPLE BAY)</v>
      </c>
      <c r="B2" s="1256"/>
      <c r="C2" s="1255"/>
      <c r="D2" s="1257"/>
      <c r="E2" s="1257"/>
      <c r="F2" s="1258"/>
      <c r="G2" s="1258"/>
      <c r="H2" s="1258"/>
      <c r="I2" s="1258"/>
      <c r="J2" s="1258"/>
      <c r="K2" s="1257"/>
      <c r="L2" s="1255"/>
      <c r="M2" s="2848"/>
      <c r="N2" s="1255"/>
      <c r="O2" s="1255"/>
      <c r="P2" s="1255"/>
      <c r="Q2" s="1255"/>
      <c r="R2" s="1255"/>
      <c r="S2" s="1255"/>
      <c r="T2" s="1255"/>
      <c r="U2" s="1259"/>
      <c r="V2" s="1257"/>
      <c r="W2" s="1257"/>
      <c r="X2" s="1257"/>
      <c r="Y2" s="1257"/>
      <c r="Z2" s="1257"/>
      <c r="AA2" s="1257"/>
      <c r="AB2" s="1257"/>
      <c r="AC2" s="1257"/>
      <c r="AD2" s="1257"/>
      <c r="AE2" s="1257"/>
      <c r="AF2" s="1257"/>
    </row>
    <row r="3" spans="1:33">
      <c r="A3" s="9" t="str">
        <f>'Data Input'!A2&amp;" - "&amp;'Data Input'!B2</f>
        <v>PROGRAMME CODE: - 1TB01003</v>
      </c>
      <c r="B3" s="1260"/>
      <c r="C3" s="1261"/>
      <c r="D3" s="1262"/>
      <c r="E3" s="1262"/>
      <c r="F3" s="1263"/>
      <c r="G3" s="1263"/>
      <c r="H3" s="1263"/>
      <c r="I3" s="1263"/>
      <c r="J3" s="1264"/>
      <c r="K3" s="1265"/>
      <c r="L3" s="1265"/>
      <c r="M3" s="1262"/>
      <c r="N3" s="1265"/>
      <c r="O3" s="1266"/>
      <c r="P3" s="1265"/>
      <c r="Q3" s="1265"/>
      <c r="R3" s="1265"/>
      <c r="S3" s="1265"/>
      <c r="T3" s="1265"/>
      <c r="U3" s="1267"/>
      <c r="V3" s="1265"/>
      <c r="W3" s="1265"/>
      <c r="X3" s="1265"/>
      <c r="Y3" s="1265"/>
      <c r="Z3" s="1265"/>
      <c r="AA3" s="1265"/>
      <c r="AB3" s="1265"/>
      <c r="AC3" s="1265"/>
      <c r="AD3" s="1265"/>
      <c r="AE3" s="1265"/>
      <c r="AF3" s="1265"/>
    </row>
    <row r="4" spans="1:33">
      <c r="A4" s="9" t="str">
        <f>'Data Input'!A3&amp;" - "&amp;'Data Input'!B3</f>
        <v>ASSET NAME: - AMAALA YACHT CLUB</v>
      </c>
      <c r="B4" s="1260"/>
      <c r="C4" s="1268"/>
      <c r="D4" s="1265"/>
      <c r="E4" s="1265"/>
      <c r="F4" s="1267"/>
      <c r="G4" s="1267"/>
      <c r="H4" s="1267"/>
      <c r="I4" s="1267"/>
      <c r="J4" s="1269"/>
      <c r="K4" s="1265"/>
      <c r="L4" s="1265"/>
      <c r="M4" s="1262"/>
      <c r="N4" s="1265"/>
      <c r="O4" s="1266"/>
      <c r="P4" s="1265"/>
      <c r="Q4" s="1265"/>
      <c r="R4" s="1265"/>
      <c r="S4" s="1265"/>
      <c r="T4" s="1265"/>
      <c r="U4" s="1267"/>
      <c r="V4" s="1265"/>
      <c r="W4" s="1265"/>
      <c r="X4" s="1265"/>
      <c r="Y4" s="1265"/>
      <c r="Z4" s="1265"/>
      <c r="AA4" s="1265"/>
      <c r="AB4" s="1265"/>
      <c r="AC4" s="1265"/>
      <c r="AD4" s="1265"/>
      <c r="AE4" s="1265"/>
      <c r="AF4" s="1265"/>
    </row>
    <row r="5" spans="1:33">
      <c r="A5" s="9" t="str">
        <f>'Data Input'!A4&amp;" - "&amp;'Data Input'!B4</f>
        <v>ASSET CODE: - 1TB01003.01</v>
      </c>
      <c r="B5" s="1270"/>
      <c r="C5" s="1268"/>
      <c r="D5" s="1265"/>
      <c r="E5" s="1265"/>
      <c r="F5" s="1267"/>
      <c r="G5" s="1267"/>
      <c r="H5" s="1267"/>
      <c r="I5" s="1267"/>
      <c r="J5" s="1269"/>
      <c r="K5" s="1265"/>
      <c r="L5" s="1265"/>
      <c r="M5" s="1262"/>
      <c r="N5" s="1265"/>
      <c r="O5" s="1266"/>
      <c r="P5" s="1265"/>
      <c r="Q5" s="1265"/>
      <c r="R5" s="1271"/>
      <c r="S5" s="1265"/>
      <c r="T5" s="1265"/>
      <c r="U5" s="1267"/>
      <c r="V5" s="1265"/>
      <c r="W5" s="1265"/>
      <c r="X5" s="1265"/>
      <c r="Y5" s="1265"/>
      <c r="Z5" s="1265"/>
      <c r="AA5" s="1265"/>
      <c r="AB5" s="1265"/>
      <c r="AC5" s="1265"/>
      <c r="AD5" s="1265"/>
      <c r="AE5" s="1265"/>
      <c r="AF5" s="1265"/>
    </row>
    <row r="6" spans="1:33">
      <c r="A6" s="9" t="str">
        <f>'Data Input'!A7&amp;" - "&amp;'Data Input'!B7</f>
        <v>REPORT NO: - MONTHLY REPORT NO. 49</v>
      </c>
      <c r="B6" s="1272"/>
      <c r="C6" s="1268"/>
      <c r="D6" s="1265"/>
      <c r="E6" s="1265"/>
      <c r="F6" s="1267"/>
      <c r="G6" s="1267"/>
      <c r="H6" s="1267"/>
      <c r="I6" s="1267"/>
      <c r="J6" s="1269"/>
      <c r="K6" s="1265"/>
      <c r="L6" s="1265"/>
      <c r="M6" s="1262"/>
      <c r="N6" s="1265"/>
      <c r="O6" s="1266"/>
      <c r="P6" s="1265"/>
      <c r="Q6" s="1265"/>
      <c r="R6" s="1273"/>
      <c r="S6" s="1265"/>
      <c r="T6" s="1271"/>
      <c r="U6" s="1267"/>
      <c r="V6" s="1265"/>
      <c r="W6" s="1265"/>
      <c r="X6" s="1265"/>
      <c r="Y6" s="1265"/>
      <c r="Z6" s="1265"/>
      <c r="AA6" s="1265"/>
      <c r="AB6" s="1265"/>
      <c r="AC6" s="1265"/>
      <c r="AD6" s="1265"/>
      <c r="AE6" s="1265"/>
      <c r="AF6" s="1265"/>
    </row>
    <row r="7" spans="1:33">
      <c r="A7" s="9" t="str">
        <f>'Data Input'!A8&amp;" - "&amp;'Data Input'!B8</f>
        <v>REPORTING PERIOD: - OCTOBER 2026</v>
      </c>
      <c r="B7" s="1262"/>
      <c r="C7" s="1274"/>
      <c r="D7" s="1262"/>
      <c r="E7" s="1262"/>
      <c r="F7" s="1263"/>
      <c r="G7" s="1263"/>
      <c r="H7" s="1263"/>
      <c r="I7" s="1263"/>
      <c r="J7" s="1264"/>
      <c r="K7" s="1265"/>
      <c r="L7" s="1265"/>
      <c r="M7" s="1262"/>
      <c r="N7" s="1265"/>
      <c r="O7" s="1265"/>
      <c r="P7" s="1265"/>
      <c r="Q7" s="1267"/>
      <c r="R7" s="1263"/>
      <c r="S7" s="1263"/>
      <c r="T7" s="1263"/>
      <c r="U7" s="1267"/>
      <c r="V7" s="1265"/>
      <c r="W7" s="1265"/>
      <c r="X7" s="1265"/>
      <c r="Y7" s="1265"/>
      <c r="Z7" s="1265"/>
      <c r="AA7" s="1265"/>
      <c r="AB7" s="1265"/>
      <c r="AC7" s="1265"/>
      <c r="AD7" s="1265"/>
      <c r="AE7" s="1265"/>
      <c r="AF7" s="1265"/>
    </row>
    <row r="8" spans="1:33" ht="13.5" thickBot="1">
      <c r="A8" s="9"/>
      <c r="B8" s="1256"/>
      <c r="C8" s="1255"/>
      <c r="D8" s="1257"/>
      <c r="E8" s="1257"/>
      <c r="F8" s="1258"/>
      <c r="G8" s="1258"/>
      <c r="H8" s="1258"/>
      <c r="I8" s="1258"/>
      <c r="J8" s="1258"/>
      <c r="K8" s="1257"/>
      <c r="L8" s="1255"/>
      <c r="M8" s="2848"/>
      <c r="N8" s="1275"/>
      <c r="O8" s="1276"/>
      <c r="P8" s="1255"/>
      <c r="Q8" s="1255"/>
      <c r="R8" s="1255"/>
      <c r="S8" s="1255"/>
      <c r="T8" s="1255"/>
      <c r="U8" s="1259"/>
      <c r="V8" s="1257"/>
      <c r="W8" s="1257"/>
      <c r="X8" s="1257"/>
      <c r="Y8" s="1257"/>
      <c r="Z8" s="1257"/>
      <c r="AA8" s="1257"/>
      <c r="AB8" s="1257"/>
      <c r="AC8" s="1257"/>
      <c r="AD8" s="1257"/>
      <c r="AE8" s="1257"/>
      <c r="AF8" s="1257"/>
    </row>
    <row r="9" spans="1:33" ht="30" customHeight="1" thickBot="1">
      <c r="A9" s="1354" t="str">
        <f>'Schedule B'!A161&amp;" - "&amp;'Schedule B'!C218</f>
        <v>CN.003F13 - Infor Saudi Arabia Limited</v>
      </c>
      <c r="B9" s="1355"/>
      <c r="C9" s="1355"/>
      <c r="D9" s="1356"/>
      <c r="E9" s="1356"/>
      <c r="F9" s="1357"/>
      <c r="G9" s="1357"/>
      <c r="H9" s="1357"/>
      <c r="I9" s="1357"/>
      <c r="J9" s="1357"/>
      <c r="K9" s="1356"/>
      <c r="L9" s="1355"/>
      <c r="M9" s="2849"/>
      <c r="N9" s="1355"/>
      <c r="O9" s="1355"/>
      <c r="P9" s="1355"/>
      <c r="Q9" s="1355"/>
      <c r="R9" s="1355"/>
      <c r="S9" s="1355"/>
      <c r="T9" s="1355"/>
      <c r="U9" s="1358"/>
      <c r="V9" s="1356"/>
      <c r="W9" s="1356"/>
      <c r="X9" s="1356"/>
      <c r="Y9" s="1356"/>
      <c r="Z9" s="1356"/>
      <c r="AA9" s="1356"/>
      <c r="AB9" s="1356"/>
      <c r="AC9" s="1356"/>
      <c r="AD9" s="1356"/>
      <c r="AE9" s="1356"/>
      <c r="AF9" s="1359"/>
    </row>
    <row r="10" spans="1:33">
      <c r="A10" s="6051" t="s">
        <v>1524</v>
      </c>
      <c r="B10" s="6052"/>
      <c r="C10" s="6052"/>
      <c r="D10" s="6052"/>
      <c r="E10" s="6052"/>
      <c r="F10" s="6052"/>
      <c r="G10" s="6053"/>
      <c r="H10" s="6053"/>
      <c r="I10" s="6053"/>
      <c r="J10" s="6054"/>
      <c r="K10" s="1256"/>
      <c r="L10" s="6055" t="s">
        <v>1525</v>
      </c>
      <c r="M10" s="6056"/>
      <c r="N10" s="6056"/>
      <c r="O10" s="6056"/>
      <c r="P10" s="6056"/>
      <c r="Q10" s="6056"/>
      <c r="R10" s="6057"/>
      <c r="S10" s="6057"/>
      <c r="T10" s="6057"/>
      <c r="U10" s="6058"/>
      <c r="V10" s="1256"/>
      <c r="W10" s="6043" t="s">
        <v>1526</v>
      </c>
      <c r="X10" s="6044"/>
      <c r="Y10" s="6044"/>
      <c r="Z10" s="6044"/>
      <c r="AA10" s="6044"/>
      <c r="AB10" s="6044"/>
      <c r="AC10" s="6044"/>
      <c r="AD10" s="6044"/>
      <c r="AE10" s="6044"/>
      <c r="AF10" s="6059"/>
    </row>
    <row r="11" spans="1:33" ht="60" customHeight="1">
      <c r="A11" s="1283" t="s">
        <v>1462</v>
      </c>
      <c r="B11" s="1284" t="s">
        <v>1527</v>
      </c>
      <c r="C11" s="1284" t="s">
        <v>1528</v>
      </c>
      <c r="D11" s="1285" t="s">
        <v>1744</v>
      </c>
      <c r="E11" s="1285" t="s">
        <v>1530</v>
      </c>
      <c r="F11" s="1286" t="s">
        <v>1531</v>
      </c>
      <c r="G11" s="1287" t="s">
        <v>1532</v>
      </c>
      <c r="H11" s="1287" t="s">
        <v>1533</v>
      </c>
      <c r="I11" s="1287" t="s">
        <v>1534</v>
      </c>
      <c r="J11" s="1288" t="s">
        <v>1535</v>
      </c>
      <c r="K11" s="1289"/>
      <c r="L11" s="763" t="s">
        <v>1536</v>
      </c>
      <c r="M11" s="1290" t="s">
        <v>1601</v>
      </c>
      <c r="N11" s="1290" t="s">
        <v>1530</v>
      </c>
      <c r="O11" s="1290" t="s">
        <v>4521</v>
      </c>
      <c r="P11" s="764" t="s">
        <v>1539</v>
      </c>
      <c r="Q11" s="1291" t="s">
        <v>1540</v>
      </c>
      <c r="R11" s="1292" t="s">
        <v>1541</v>
      </c>
      <c r="S11" s="1292" t="s">
        <v>1533</v>
      </c>
      <c r="T11" s="1292" t="s">
        <v>1534</v>
      </c>
      <c r="U11" s="1293" t="s">
        <v>1542</v>
      </c>
      <c r="V11" s="1256"/>
      <c r="W11" s="1294" t="s">
        <v>2086</v>
      </c>
      <c r="X11" s="2839" t="s">
        <v>2087</v>
      </c>
      <c r="Y11" s="1295" t="s">
        <v>1544</v>
      </c>
      <c r="Z11" s="1296" t="s">
        <v>1545</v>
      </c>
      <c r="AA11" s="1296" t="s">
        <v>4524</v>
      </c>
      <c r="AB11" s="769" t="s">
        <v>1539</v>
      </c>
      <c r="AC11" s="769" t="s">
        <v>1547</v>
      </c>
      <c r="AD11" s="769" t="s">
        <v>2538</v>
      </c>
      <c r="AE11" s="1296" t="s">
        <v>1549</v>
      </c>
      <c r="AF11" s="1297" t="s">
        <v>1550</v>
      </c>
    </row>
    <row r="12" spans="1:33" ht="17.25" customHeight="1">
      <c r="A12" s="1298"/>
      <c r="B12" s="1299"/>
      <c r="C12" s="1300"/>
      <c r="D12" s="1301"/>
      <c r="E12" s="1302" t="s">
        <v>296</v>
      </c>
      <c r="F12" s="1303" t="s">
        <v>434</v>
      </c>
      <c r="G12" s="1303" t="s">
        <v>434</v>
      </c>
      <c r="H12" s="1304">
        <v>0</v>
      </c>
      <c r="I12" s="1304">
        <v>0</v>
      </c>
      <c r="J12" s="1305" t="s">
        <v>434</v>
      </c>
      <c r="K12" s="1256"/>
      <c r="L12" s="765"/>
      <c r="M12" s="766"/>
      <c r="N12" s="1306" t="s">
        <v>296</v>
      </c>
      <c r="O12" s="766" t="s">
        <v>3574</v>
      </c>
      <c r="P12" s="1307" t="s">
        <v>1552</v>
      </c>
      <c r="Q12" s="767" t="s">
        <v>434</v>
      </c>
      <c r="R12" s="767" t="s">
        <v>434</v>
      </c>
      <c r="S12" s="1308">
        <v>0</v>
      </c>
      <c r="T12" s="1308">
        <v>0</v>
      </c>
      <c r="U12" s="768" t="s">
        <v>434</v>
      </c>
      <c r="V12" s="1256"/>
      <c r="W12" s="770"/>
      <c r="X12" s="2840"/>
      <c r="Y12" s="1309" t="s">
        <v>296</v>
      </c>
      <c r="Z12" s="1309" t="s">
        <v>296</v>
      </c>
      <c r="AA12" s="1309" t="s">
        <v>4523</v>
      </c>
      <c r="AB12" s="1310" t="s">
        <v>1552</v>
      </c>
      <c r="AC12" s="1311"/>
      <c r="AD12" s="1312">
        <v>0.05</v>
      </c>
      <c r="AE12" s="1309" t="s">
        <v>296</v>
      </c>
      <c r="AF12" s="1313" t="s">
        <v>296</v>
      </c>
    </row>
    <row r="13" spans="1:33" s="722" customFormat="1" ht="25.5" customHeight="1">
      <c r="A13" s="1314"/>
      <c r="B13" s="1314"/>
      <c r="C13" s="1314"/>
      <c r="D13" s="1314"/>
      <c r="E13" s="1314" t="s">
        <v>1481</v>
      </c>
      <c r="F13" s="1314"/>
      <c r="G13" s="1314"/>
      <c r="H13" s="1314"/>
      <c r="I13" s="1314"/>
      <c r="J13" s="1314"/>
      <c r="K13" s="1255"/>
      <c r="L13" s="1315"/>
      <c r="M13" s="1315"/>
      <c r="N13" s="1316" t="s">
        <v>1482</v>
      </c>
      <c r="O13" s="1314" t="s">
        <v>2084</v>
      </c>
      <c r="P13" s="1317" t="s">
        <v>1555</v>
      </c>
      <c r="Q13" s="1318" t="s">
        <v>1556</v>
      </c>
      <c r="R13" s="1318" t="s">
        <v>1557</v>
      </c>
      <c r="S13" s="1319" t="s">
        <v>1605</v>
      </c>
      <c r="T13" s="1319" t="s">
        <v>1559</v>
      </c>
      <c r="U13" s="1318" t="s">
        <v>1560</v>
      </c>
      <c r="V13" s="1255"/>
      <c r="W13" s="1316"/>
      <c r="X13" s="1316" t="s">
        <v>1561</v>
      </c>
      <c r="Y13" s="1316"/>
      <c r="Z13" s="1316" t="s">
        <v>2088</v>
      </c>
      <c r="AA13" s="1316" t="s">
        <v>2089</v>
      </c>
      <c r="AB13" s="1317" t="s">
        <v>2091</v>
      </c>
      <c r="AC13" s="1314" t="s">
        <v>2092</v>
      </c>
      <c r="AD13" s="1319" t="s">
        <v>3479</v>
      </c>
      <c r="AE13" s="1316" t="s">
        <v>2094</v>
      </c>
      <c r="AF13" s="1316"/>
    </row>
    <row r="14" spans="1:33" s="2837" customFormat="1" ht="50.25" customHeight="1">
      <c r="A14" s="4688">
        <v>1</v>
      </c>
      <c r="B14" s="4689" t="s">
        <v>6570</v>
      </c>
      <c r="C14" s="4690">
        <v>46204</v>
      </c>
      <c r="D14" s="4691" t="s">
        <v>2115</v>
      </c>
      <c r="E14" s="4692">
        <v>46239</v>
      </c>
      <c r="F14" s="4693">
        <v>0</v>
      </c>
      <c r="G14" s="4693">
        <v>58307.19</v>
      </c>
      <c r="H14" s="4694">
        <f>(G14*$H$12)*-1*0</f>
        <v>0</v>
      </c>
      <c r="I14" s="4694">
        <v>0</v>
      </c>
      <c r="J14" s="4694">
        <f>(G14+H14+I14)</f>
        <v>58307.19</v>
      </c>
      <c r="K14" s="4695"/>
      <c r="L14" s="4696" t="s">
        <v>6136</v>
      </c>
      <c r="M14" s="4697" t="s">
        <v>6571</v>
      </c>
      <c r="N14" s="4692">
        <v>46245</v>
      </c>
      <c r="O14" s="4698">
        <f>E14+21</f>
        <v>46260</v>
      </c>
      <c r="P14" s="4699">
        <f>O14-N14</f>
        <v>15</v>
      </c>
      <c r="Q14" s="4693">
        <f>+R14</f>
        <v>58307.19</v>
      </c>
      <c r="R14" s="4693">
        <f>G14</f>
        <v>58307.19</v>
      </c>
      <c r="S14" s="4694">
        <f>(R14*$S$12)*-1*0</f>
        <v>0</v>
      </c>
      <c r="T14" s="4694">
        <v>0</v>
      </c>
      <c r="U14" s="4694">
        <f>(R14+S14+T14)</f>
        <v>58307.19</v>
      </c>
      <c r="V14" s="4695"/>
      <c r="W14" s="2838" t="s">
        <v>6608</v>
      </c>
      <c r="X14" s="1321">
        <v>46253</v>
      </c>
      <c r="Y14" s="1323"/>
      <c r="Z14" s="1321"/>
      <c r="AA14" s="1321">
        <f>X14+30</f>
        <v>46283</v>
      </c>
      <c r="AB14" s="1324"/>
      <c r="AC14" s="1327"/>
      <c r="AD14" s="1327"/>
      <c r="AE14" s="1327"/>
      <c r="AF14" s="1327"/>
      <c r="AG14" s="2842">
        <f>+AC14*1.15</f>
        <v>0</v>
      </c>
    </row>
    <row r="15" spans="1:33" s="2837" customFormat="1" ht="50.25" customHeight="1">
      <c r="A15" s="723"/>
      <c r="B15" s="810"/>
      <c r="C15" s="1929"/>
      <c r="D15" s="2835"/>
      <c r="E15" s="1440"/>
      <c r="F15" s="2836"/>
      <c r="G15" s="1444"/>
      <c r="H15" s="1444"/>
      <c r="I15" s="1444"/>
      <c r="J15" s="1444"/>
      <c r="K15" s="1256"/>
      <c r="L15" s="1510"/>
      <c r="M15" s="2850"/>
      <c r="N15" s="1440"/>
      <c r="O15" s="1323"/>
      <c r="P15" s="1324"/>
      <c r="Q15" s="2836"/>
      <c r="R15" s="2836"/>
      <c r="S15" s="1444"/>
      <c r="T15" s="1444"/>
      <c r="U15" s="1444"/>
      <c r="V15" s="1256"/>
      <c r="W15" s="2838"/>
      <c r="X15" s="2841"/>
      <c r="Y15" s="1323"/>
      <c r="Z15" s="1321"/>
      <c r="AA15" s="1321"/>
      <c r="AB15" s="1324"/>
      <c r="AC15" s="1327"/>
      <c r="AD15" s="1327"/>
      <c r="AE15" s="1327"/>
      <c r="AF15" s="1327"/>
      <c r="AG15" s="4266"/>
    </row>
    <row r="16" spans="1:33" s="2837" customFormat="1" ht="50.25" customHeight="1">
      <c r="A16" s="723"/>
      <c r="B16" s="810"/>
      <c r="C16" s="1929"/>
      <c r="D16" s="2835"/>
      <c r="E16" s="1440"/>
      <c r="F16" s="2836"/>
      <c r="G16" s="1444"/>
      <c r="H16" s="1444"/>
      <c r="I16" s="1444"/>
      <c r="J16" s="1444"/>
      <c r="K16" s="1256"/>
      <c r="L16" s="1510"/>
      <c r="M16" s="2850"/>
      <c r="N16" s="1440"/>
      <c r="O16" s="1323"/>
      <c r="P16" s="1324"/>
      <c r="Q16" s="2836"/>
      <c r="R16" s="1444"/>
      <c r="S16" s="1444"/>
      <c r="T16" s="1444"/>
      <c r="U16" s="1444"/>
      <c r="V16" s="1256"/>
      <c r="W16" s="2838"/>
      <c r="X16" s="2841"/>
      <c r="Y16" s="1323"/>
      <c r="Z16" s="1321"/>
      <c r="AA16" s="1321"/>
      <c r="AB16" s="1324"/>
      <c r="AC16" s="1327"/>
      <c r="AD16" s="1327"/>
      <c r="AE16" s="1327"/>
      <c r="AF16" s="1327"/>
      <c r="AG16" s="2842"/>
    </row>
    <row r="17" spans="1:32">
      <c r="A17" s="723"/>
      <c r="B17" s="810"/>
      <c r="C17" s="1445"/>
      <c r="D17" s="2835"/>
      <c r="E17" s="1440"/>
      <c r="F17" s="1322"/>
      <c r="G17" s="1444"/>
      <c r="H17" s="1444"/>
      <c r="I17" s="1444"/>
      <c r="J17" s="1444"/>
      <c r="K17" s="1256"/>
      <c r="L17" s="1510"/>
      <c r="M17" s="2850"/>
      <c r="N17" s="1321"/>
      <c r="O17" s="1323"/>
      <c r="P17" s="1324"/>
      <c r="Q17" s="1322"/>
      <c r="R17" s="1444"/>
      <c r="S17" s="1444"/>
      <c r="T17" s="1444"/>
      <c r="U17" s="1444"/>
      <c r="V17" s="1256"/>
      <c r="W17" s="2838"/>
      <c r="X17" s="2841"/>
      <c r="Y17" s="1323"/>
      <c r="Z17" s="1321"/>
      <c r="AA17" s="1321"/>
      <c r="AB17" s="1324"/>
      <c r="AC17" s="1327"/>
      <c r="AD17" s="1327"/>
      <c r="AE17" s="1327"/>
      <c r="AF17" s="1327"/>
    </row>
    <row r="18" spans="1:32">
      <c r="A18" s="723"/>
      <c r="B18" s="810"/>
      <c r="C18" s="1445"/>
      <c r="D18" s="2835"/>
      <c r="E18" s="1440"/>
      <c r="F18" s="1322"/>
      <c r="G18" s="1444"/>
      <c r="H18" s="1444"/>
      <c r="I18" s="1444"/>
      <c r="J18" s="1444"/>
      <c r="K18" s="1256"/>
      <c r="L18" s="1510"/>
      <c r="M18" s="2850"/>
      <c r="N18" s="1321"/>
      <c r="O18" s="1323"/>
      <c r="P18" s="1324"/>
      <c r="Q18" s="1322"/>
      <c r="R18" s="1444"/>
      <c r="S18" s="1444"/>
      <c r="T18" s="1444"/>
      <c r="U18" s="1444"/>
      <c r="V18" s="1256"/>
      <c r="W18" s="2838"/>
      <c r="X18" s="1323"/>
      <c r="Y18" s="1323"/>
      <c r="Z18" s="1321"/>
      <c r="AA18" s="1321"/>
      <c r="AB18" s="1324"/>
      <c r="AC18" s="1327"/>
      <c r="AD18" s="1327"/>
      <c r="AE18" s="1327"/>
      <c r="AF18" s="1327"/>
    </row>
    <row r="19" spans="1:32" ht="33.950000000000003" customHeight="1">
      <c r="A19" s="723"/>
      <c r="B19" s="810"/>
      <c r="C19" s="1445"/>
      <c r="D19" s="2835"/>
      <c r="E19" s="1440"/>
      <c r="F19" s="1322"/>
      <c r="G19" s="1444"/>
      <c r="H19" s="1444"/>
      <c r="I19" s="1444"/>
      <c r="J19" s="1444"/>
      <c r="K19" s="1256"/>
      <c r="L19" s="1510"/>
      <c r="M19" s="2850"/>
      <c r="N19" s="1321"/>
      <c r="O19" s="1323"/>
      <c r="P19" s="1324"/>
      <c r="Q19" s="1322"/>
      <c r="R19" s="1444"/>
      <c r="S19" s="1444"/>
      <c r="T19" s="1444"/>
      <c r="U19" s="1444"/>
      <c r="V19" s="1256"/>
      <c r="W19" s="2838"/>
      <c r="X19" s="1323"/>
      <c r="Y19" s="1323"/>
      <c r="Z19" s="1321"/>
      <c r="AA19" s="1321"/>
      <c r="AB19" s="1324"/>
      <c r="AC19" s="1327"/>
      <c r="AD19" s="1327"/>
      <c r="AE19" s="1327"/>
      <c r="AF19" s="1327"/>
    </row>
    <row r="20" spans="1:32">
      <c r="A20" s="723"/>
      <c r="B20" s="810"/>
      <c r="C20" s="1445"/>
      <c r="D20" s="2835"/>
      <c r="E20" s="1440"/>
      <c r="F20" s="1322"/>
      <c r="G20" s="1444"/>
      <c r="H20" s="1444"/>
      <c r="I20" s="1444"/>
      <c r="J20" s="1444"/>
      <c r="K20" s="1256"/>
      <c r="L20" s="1510"/>
      <c r="M20" s="2850"/>
      <c r="N20" s="1321"/>
      <c r="O20" s="1323"/>
      <c r="P20" s="1324"/>
      <c r="Q20" s="1322"/>
      <c r="R20" s="1444"/>
      <c r="S20" s="1444"/>
      <c r="T20" s="1444"/>
      <c r="U20" s="1444"/>
      <c r="V20" s="1256"/>
      <c r="W20" s="723"/>
      <c r="X20" s="724"/>
      <c r="Y20" s="1323"/>
      <c r="Z20" s="1321"/>
      <c r="AA20" s="1321"/>
      <c r="AB20" s="1324"/>
      <c r="AC20" s="1327"/>
      <c r="AD20" s="1327"/>
      <c r="AE20" s="1327"/>
      <c r="AF20" s="1327"/>
    </row>
    <row r="21" spans="1:32">
      <c r="A21" s="723"/>
      <c r="B21" s="810"/>
      <c r="C21" s="1445"/>
      <c r="D21" s="2835"/>
      <c r="E21" s="1440"/>
      <c r="F21" s="1322"/>
      <c r="G21" s="1444"/>
      <c r="H21" s="1444"/>
      <c r="I21" s="1444"/>
      <c r="J21" s="1444"/>
      <c r="K21" s="1256"/>
      <c r="L21" s="1510"/>
      <c r="M21" s="2850"/>
      <c r="N21" s="1321"/>
      <c r="O21" s="1323"/>
      <c r="P21" s="1324"/>
      <c r="Q21" s="1322"/>
      <c r="R21" s="1444"/>
      <c r="S21" s="1444"/>
      <c r="T21" s="1444"/>
      <c r="U21" s="1444"/>
      <c r="V21" s="1256"/>
      <c r="W21" s="723"/>
      <c r="X21" s="724"/>
      <c r="Y21" s="1323"/>
      <c r="Z21" s="1321"/>
      <c r="AA21" s="1321"/>
      <c r="AB21" s="1324"/>
      <c r="AC21" s="1327"/>
      <c r="AD21" s="1327"/>
      <c r="AE21" s="1327"/>
      <c r="AF21" s="1327"/>
    </row>
    <row r="22" spans="1:32">
      <c r="A22" s="723"/>
      <c r="B22" s="810"/>
      <c r="C22" s="1445"/>
      <c r="D22" s="2835"/>
      <c r="E22" s="1440"/>
      <c r="F22" s="1322"/>
      <c r="G22" s="1444"/>
      <c r="H22" s="1444"/>
      <c r="I22" s="1444"/>
      <c r="J22" s="1444"/>
      <c r="K22" s="1256"/>
      <c r="L22" s="1510"/>
      <c r="M22" s="2850"/>
      <c r="N22" s="1321"/>
      <c r="O22" s="1323"/>
      <c r="P22" s="1324"/>
      <c r="Q22" s="1322"/>
      <c r="R22" s="1444"/>
      <c r="S22" s="1444"/>
      <c r="T22" s="1444"/>
      <c r="U22" s="1444"/>
      <c r="V22" s="1256"/>
      <c r="W22" s="723"/>
      <c r="X22" s="724"/>
      <c r="Y22" s="1323"/>
      <c r="Z22" s="1321"/>
      <c r="AA22" s="1321"/>
      <c r="AB22" s="1324"/>
      <c r="AC22" s="1327"/>
      <c r="AD22" s="1327"/>
      <c r="AE22" s="1327"/>
      <c r="AF22" s="1327"/>
    </row>
    <row r="23" spans="1:32">
      <c r="A23" s="723"/>
      <c r="B23" s="810"/>
      <c r="C23" s="1445"/>
      <c r="D23" s="2835"/>
      <c r="E23" s="1440"/>
      <c r="F23" s="1322"/>
      <c r="G23" s="1444"/>
      <c r="H23" s="1444"/>
      <c r="I23" s="1444"/>
      <c r="J23" s="1444"/>
      <c r="K23" s="1256"/>
      <c r="L23" s="1510"/>
      <c r="M23" s="2850"/>
      <c r="N23" s="1321"/>
      <c r="O23" s="1323"/>
      <c r="P23" s="1324"/>
      <c r="Q23" s="1322"/>
      <c r="R23" s="1444"/>
      <c r="S23" s="1444"/>
      <c r="T23" s="1444"/>
      <c r="U23" s="1444"/>
      <c r="V23" s="1256"/>
      <c r="W23" s="723"/>
      <c r="X23" s="724"/>
      <c r="Y23" s="1323"/>
      <c r="Z23" s="1321"/>
      <c r="AA23" s="1321"/>
      <c r="AB23" s="1324"/>
      <c r="AC23" s="1327"/>
      <c r="AD23" s="1327"/>
      <c r="AE23" s="1327"/>
      <c r="AF23" s="1327"/>
    </row>
    <row r="24" spans="1:32">
      <c r="A24" s="723"/>
      <c r="B24" s="810"/>
      <c r="C24" s="1445"/>
      <c r="D24" s="2835"/>
      <c r="E24" s="1440"/>
      <c r="F24" s="1322"/>
      <c r="G24" s="1444"/>
      <c r="H24" s="1444"/>
      <c r="I24" s="1444"/>
      <c r="J24" s="1444"/>
      <c r="K24" s="1256"/>
      <c r="L24" s="1510"/>
      <c r="M24" s="2850"/>
      <c r="N24" s="1321"/>
      <c r="O24" s="1323"/>
      <c r="P24" s="1324"/>
      <c r="Q24" s="1322"/>
      <c r="R24" s="1444"/>
      <c r="S24" s="1444"/>
      <c r="T24" s="1444"/>
      <c r="U24" s="1444"/>
      <c r="V24" s="1256"/>
      <c r="W24" s="723"/>
      <c r="X24" s="724"/>
      <c r="Y24" s="1323"/>
      <c r="Z24" s="1321"/>
      <c r="AA24" s="1321"/>
      <c r="AB24" s="1324"/>
      <c r="AC24" s="1327"/>
      <c r="AD24" s="1327"/>
      <c r="AE24" s="1327"/>
      <c r="AF24" s="1327"/>
    </row>
    <row r="25" spans="1:32">
      <c r="A25" s="723"/>
      <c r="B25" s="810"/>
      <c r="C25" s="1445"/>
      <c r="D25" s="2835"/>
      <c r="E25" s="1440"/>
      <c r="F25" s="1322"/>
      <c r="G25" s="1322"/>
      <c r="H25" s="1322"/>
      <c r="I25" s="1322"/>
      <c r="J25" s="1322"/>
      <c r="K25" s="1256"/>
      <c r="L25" s="1443"/>
      <c r="M25" s="2850"/>
      <c r="N25" s="1321"/>
      <c r="O25" s="1323"/>
      <c r="P25" s="1324"/>
      <c r="Q25" s="1322"/>
      <c r="R25" s="1444"/>
      <c r="S25" s="1444"/>
      <c r="T25" s="1444"/>
      <c r="U25" s="1328"/>
      <c r="V25" s="1256"/>
      <c r="W25" s="723"/>
      <c r="X25" s="724"/>
      <c r="Y25" s="1323"/>
      <c r="Z25" s="1321"/>
      <c r="AA25" s="1321"/>
      <c r="AB25" s="1324"/>
      <c r="AC25" s="1327"/>
      <c r="AD25" s="1327"/>
      <c r="AE25" s="1327"/>
      <c r="AF25" s="1327"/>
    </row>
    <row r="26" spans="1:32">
      <c r="A26" s="723"/>
      <c r="B26" s="810"/>
      <c r="C26" s="1445"/>
      <c r="D26" s="2835"/>
      <c r="E26" s="1440"/>
      <c r="F26" s="1322"/>
      <c r="G26" s="1322"/>
      <c r="H26" s="1322"/>
      <c r="I26" s="1322"/>
      <c r="J26" s="1322"/>
      <c r="K26" s="1256"/>
      <c r="L26" s="1443"/>
      <c r="M26" s="2850"/>
      <c r="N26" s="1321"/>
      <c r="O26" s="1323"/>
      <c r="P26" s="1324"/>
      <c r="Q26" s="1322"/>
      <c r="R26" s="1444"/>
      <c r="S26" s="1444"/>
      <c r="T26" s="1444"/>
      <c r="U26" s="1328"/>
      <c r="V26" s="1256"/>
      <c r="W26" s="723"/>
      <c r="X26" s="724"/>
      <c r="Y26" s="1323"/>
      <c r="Z26" s="1321"/>
      <c r="AA26" s="1321"/>
      <c r="AB26" s="1324"/>
      <c r="AC26" s="1327"/>
      <c r="AD26" s="1327"/>
      <c r="AE26" s="1327"/>
      <c r="AF26" s="1327"/>
    </row>
    <row r="27" spans="1:32">
      <c r="A27" s="723"/>
      <c r="B27" s="810"/>
      <c r="C27" s="1445"/>
      <c r="D27" s="2835"/>
      <c r="E27" s="1440"/>
      <c r="F27" s="1322"/>
      <c r="G27" s="1322"/>
      <c r="H27" s="1322"/>
      <c r="I27" s="1322"/>
      <c r="J27" s="1322"/>
      <c r="K27" s="1256"/>
      <c r="L27" s="1443"/>
      <c r="M27" s="2850"/>
      <c r="N27" s="1321"/>
      <c r="O27" s="1323"/>
      <c r="P27" s="1324"/>
      <c r="Q27" s="1322"/>
      <c r="R27" s="1444"/>
      <c r="S27" s="1444"/>
      <c r="T27" s="1444"/>
      <c r="U27" s="1328"/>
      <c r="V27" s="1256"/>
      <c r="W27" s="723"/>
      <c r="X27" s="724"/>
      <c r="Y27" s="1323"/>
      <c r="Z27" s="1321"/>
      <c r="AA27" s="1321"/>
      <c r="AB27" s="1324"/>
      <c r="AC27" s="1327"/>
      <c r="AD27" s="1327"/>
      <c r="AE27" s="1327"/>
      <c r="AF27" s="1327"/>
    </row>
    <row r="28" spans="1:32">
      <c r="A28" s="723"/>
      <c r="B28" s="810"/>
      <c r="C28" s="1445"/>
      <c r="D28" s="2835"/>
      <c r="E28" s="1440"/>
      <c r="F28" s="1322"/>
      <c r="G28" s="1322"/>
      <c r="H28" s="1322"/>
      <c r="I28" s="1322"/>
      <c r="J28" s="1322"/>
      <c r="K28" s="1256"/>
      <c r="L28" s="1443"/>
      <c r="M28" s="2850"/>
      <c r="N28" s="1321"/>
      <c r="O28" s="1323"/>
      <c r="P28" s="1324"/>
      <c r="Q28" s="1322"/>
      <c r="R28" s="1444"/>
      <c r="S28" s="1444"/>
      <c r="T28" s="1444"/>
      <c r="U28" s="1328"/>
      <c r="V28" s="1256"/>
      <c r="W28" s="723"/>
      <c r="X28" s="724"/>
      <c r="Y28" s="1323"/>
      <c r="Z28" s="1321"/>
      <c r="AA28" s="1321"/>
      <c r="AB28" s="1324"/>
      <c r="AC28" s="1327"/>
      <c r="AD28" s="1327"/>
      <c r="AE28" s="1327"/>
      <c r="AF28" s="1327"/>
    </row>
    <row r="29" spans="1:32">
      <c r="A29" s="723"/>
      <c r="B29" s="810"/>
      <c r="C29" s="1445"/>
      <c r="D29" s="2835"/>
      <c r="E29" s="1440"/>
      <c r="F29" s="1322"/>
      <c r="G29" s="1322"/>
      <c r="H29" s="1322"/>
      <c r="I29" s="1322"/>
      <c r="J29" s="1322"/>
      <c r="K29" s="1256"/>
      <c r="L29" s="1443"/>
      <c r="M29" s="2850"/>
      <c r="N29" s="1321"/>
      <c r="O29" s="1323"/>
      <c r="P29" s="1324"/>
      <c r="Q29" s="1322"/>
      <c r="R29" s="1444"/>
      <c r="S29" s="1444"/>
      <c r="T29" s="1444"/>
      <c r="U29" s="1328"/>
      <c r="V29" s="1256"/>
      <c r="W29" s="723"/>
      <c r="X29" s="724"/>
      <c r="Y29" s="1323"/>
      <c r="Z29" s="1321"/>
      <c r="AA29" s="1321"/>
      <c r="AB29" s="1324"/>
      <c r="AC29" s="1327"/>
      <c r="AD29" s="1327"/>
      <c r="AE29" s="1327"/>
      <c r="AF29" s="1327"/>
    </row>
    <row r="30" spans="1:32">
      <c r="A30" s="723"/>
      <c r="B30" s="810"/>
      <c r="C30" s="1445"/>
      <c r="D30" s="2835"/>
      <c r="E30" s="1440"/>
      <c r="F30" s="1322"/>
      <c r="G30" s="1322"/>
      <c r="H30" s="1322"/>
      <c r="I30" s="1322"/>
      <c r="J30" s="1322"/>
      <c r="K30" s="1256"/>
      <c r="L30" s="1443"/>
      <c r="M30" s="2850"/>
      <c r="N30" s="1321"/>
      <c r="O30" s="1323"/>
      <c r="P30" s="1324"/>
      <c r="Q30" s="1322"/>
      <c r="R30" s="1444"/>
      <c r="S30" s="1444"/>
      <c r="T30" s="1444"/>
      <c r="U30" s="1328"/>
      <c r="V30" s="1256"/>
      <c r="W30" s="723"/>
      <c r="X30" s="724"/>
      <c r="Y30" s="1323"/>
      <c r="Z30" s="1321"/>
      <c r="AA30" s="1321"/>
      <c r="AB30" s="1324"/>
      <c r="AC30" s="1327"/>
      <c r="AD30" s="1327"/>
      <c r="AE30" s="1327"/>
      <c r="AF30" s="1327"/>
    </row>
    <row r="31" spans="1:32">
      <c r="A31" s="723"/>
      <c r="B31" s="810"/>
      <c r="C31" s="1445"/>
      <c r="D31" s="2835"/>
      <c r="E31" s="1440"/>
      <c r="F31" s="1322"/>
      <c r="G31" s="1322"/>
      <c r="H31" s="1322"/>
      <c r="I31" s="1322"/>
      <c r="J31" s="1322"/>
      <c r="K31" s="1256"/>
      <c r="L31" s="1443"/>
      <c r="M31" s="2850"/>
      <c r="N31" s="1321"/>
      <c r="O31" s="1323"/>
      <c r="P31" s="1324"/>
      <c r="Q31" s="1322"/>
      <c r="R31" s="1444"/>
      <c r="S31" s="1444"/>
      <c r="T31" s="1444"/>
      <c r="U31" s="1328"/>
      <c r="V31" s="1256"/>
      <c r="W31" s="723"/>
      <c r="X31" s="724"/>
      <c r="Y31" s="1323"/>
      <c r="Z31" s="1321"/>
      <c r="AA31" s="1321"/>
      <c r="AB31" s="1324"/>
      <c r="AC31" s="1327"/>
      <c r="AD31" s="1327"/>
      <c r="AE31" s="1327"/>
      <c r="AF31" s="1327"/>
    </row>
    <row r="32" spans="1:32">
      <c r="A32" s="723"/>
      <c r="B32" s="810"/>
      <c r="C32" s="1445"/>
      <c r="D32" s="2835"/>
      <c r="E32" s="1440"/>
      <c r="F32" s="1322"/>
      <c r="G32" s="1322"/>
      <c r="H32" s="1322"/>
      <c r="I32" s="1322"/>
      <c r="J32" s="1322"/>
      <c r="K32" s="1256"/>
      <c r="L32" s="1443"/>
      <c r="M32" s="2850"/>
      <c r="N32" s="1321"/>
      <c r="O32" s="1323"/>
      <c r="P32" s="1324"/>
      <c r="Q32" s="1322"/>
      <c r="R32" s="1444"/>
      <c r="S32" s="1444"/>
      <c r="T32" s="1444"/>
      <c r="U32" s="1328"/>
      <c r="V32" s="1256"/>
      <c r="W32" s="723"/>
      <c r="X32" s="724"/>
      <c r="Y32" s="1323"/>
      <c r="Z32" s="1321"/>
      <c r="AA32" s="1321"/>
      <c r="AB32" s="1324"/>
      <c r="AC32" s="1327"/>
      <c r="AD32" s="1327"/>
      <c r="AE32" s="1327"/>
      <c r="AF32" s="1327"/>
    </row>
    <row r="33" spans="1:32">
      <c r="A33" s="723"/>
      <c r="B33" s="810"/>
      <c r="C33" s="1445"/>
      <c r="D33" s="1320"/>
      <c r="E33" s="1440"/>
      <c r="F33" s="1322"/>
      <c r="G33" s="1322"/>
      <c r="H33" s="1322"/>
      <c r="I33" s="1322"/>
      <c r="J33" s="1322"/>
      <c r="K33" s="1256"/>
      <c r="L33" s="1443"/>
      <c r="M33" s="2850"/>
      <c r="N33" s="1321"/>
      <c r="O33" s="1323"/>
      <c r="P33" s="1324"/>
      <c r="Q33" s="1322"/>
      <c r="R33" s="1444"/>
      <c r="S33" s="1444"/>
      <c r="T33" s="1444"/>
      <c r="U33" s="1328"/>
      <c r="V33" s="1256"/>
      <c r="W33" s="723"/>
      <c r="X33" s="724"/>
      <c r="Y33" s="1323"/>
      <c r="Z33" s="1321"/>
      <c r="AA33" s="1321"/>
      <c r="AB33" s="1324"/>
      <c r="AC33" s="1327"/>
      <c r="AD33" s="1327"/>
      <c r="AE33" s="1327"/>
      <c r="AF33" s="1327"/>
    </row>
    <row r="34" spans="1:32">
      <c r="A34" s="723"/>
      <c r="B34" s="810"/>
      <c r="C34" s="1445"/>
      <c r="D34" s="1320"/>
      <c r="E34" s="1440"/>
      <c r="F34" s="1322"/>
      <c r="G34" s="1322"/>
      <c r="H34" s="1322"/>
      <c r="I34" s="1322"/>
      <c r="J34" s="1322"/>
      <c r="K34" s="1256"/>
      <c r="L34" s="1443"/>
      <c r="M34" s="2850"/>
      <c r="N34" s="1321"/>
      <c r="O34" s="1323"/>
      <c r="P34" s="1324"/>
      <c r="Q34" s="1322"/>
      <c r="R34" s="1444"/>
      <c r="S34" s="1444"/>
      <c r="T34" s="1444"/>
      <c r="U34" s="1328"/>
      <c r="V34" s="1256"/>
      <c r="W34" s="723"/>
      <c r="X34" s="724"/>
      <c r="Y34" s="1323"/>
      <c r="Z34" s="1321"/>
      <c r="AA34" s="1321"/>
      <c r="AB34" s="1324"/>
      <c r="AC34" s="1327"/>
      <c r="AD34" s="1327"/>
      <c r="AE34" s="1327"/>
      <c r="AF34" s="1327"/>
    </row>
    <row r="35" spans="1:32">
      <c r="A35" s="723"/>
      <c r="B35" s="810"/>
      <c r="C35" s="1445"/>
      <c r="D35" s="1320"/>
      <c r="E35" s="1441"/>
      <c r="F35" s="1322"/>
      <c r="G35" s="1322"/>
      <c r="H35" s="1322"/>
      <c r="I35" s="1322"/>
      <c r="J35" s="1322"/>
      <c r="K35" s="1256"/>
      <c r="L35" s="1443"/>
      <c r="M35" s="2850"/>
      <c r="N35" s="1321"/>
      <c r="O35" s="1323"/>
      <c r="P35" s="1324"/>
      <c r="Q35" s="1322"/>
      <c r="R35" s="1444"/>
      <c r="S35" s="1444"/>
      <c r="T35" s="1444"/>
      <c r="U35" s="1328"/>
      <c r="V35" s="1256"/>
      <c r="W35" s="723"/>
      <c r="X35" s="724"/>
      <c r="Y35" s="1323"/>
      <c r="Z35" s="1321"/>
      <c r="AA35" s="1321"/>
      <c r="AB35" s="1324"/>
      <c r="AC35" s="1327"/>
      <c r="AD35" s="1327"/>
      <c r="AE35" s="1327"/>
      <c r="AF35" s="1327"/>
    </row>
    <row r="36" spans="1:32">
      <c r="A36" s="1329"/>
      <c r="B36" s="1330"/>
      <c r="C36" s="1440"/>
      <c r="D36" s="1331"/>
      <c r="E36" s="1442"/>
      <c r="F36" s="1332"/>
      <c r="G36" s="1332"/>
      <c r="H36" s="1332"/>
      <c r="I36" s="1332"/>
      <c r="J36" s="1332"/>
      <c r="K36" s="1256"/>
      <c r="L36" s="1329"/>
      <c r="M36" s="2851"/>
      <c r="N36" s="1334"/>
      <c r="O36" s="1334"/>
      <c r="P36" s="1335"/>
      <c r="Q36" s="1322"/>
      <c r="R36" s="1333"/>
      <c r="S36" s="1333"/>
      <c r="T36" s="1333"/>
      <c r="U36" s="1336"/>
      <c r="V36" s="1256"/>
      <c r="W36" s="1329"/>
      <c r="X36" s="1333"/>
      <c r="Y36" s="1337"/>
      <c r="Z36" s="1334"/>
      <c r="AA36" s="1334"/>
      <c r="AB36" s="1334"/>
      <c r="AC36" s="1329"/>
      <c r="AD36" s="1337"/>
      <c r="AE36" s="1334"/>
      <c r="AF36" s="1334"/>
    </row>
    <row r="37" spans="1:32" ht="24.75" customHeight="1" collapsed="1" thickBot="1">
      <c r="A37" s="6045" t="s">
        <v>1522</v>
      </c>
      <c r="B37" s="6046"/>
      <c r="C37" s="6046"/>
      <c r="D37" s="6046"/>
      <c r="E37" s="6046"/>
      <c r="F37" s="6047"/>
      <c r="G37" s="1338">
        <f>SUM(G14:G36)</f>
        <v>58307.19</v>
      </c>
      <c r="H37" s="1338">
        <f>SUM(H14:H36)</f>
        <v>0</v>
      </c>
      <c r="I37" s="1338">
        <f>SUM(I14:I36)</f>
        <v>0</v>
      </c>
      <c r="J37" s="1338">
        <f>SUM(J14:J36)</f>
        <v>58307.19</v>
      </c>
      <c r="K37" s="1256"/>
      <c r="L37" s="1339" t="s">
        <v>1522</v>
      </c>
      <c r="M37" s="1343"/>
      <c r="N37" s="1340"/>
      <c r="O37" s="1340"/>
      <c r="P37" s="1340"/>
      <c r="Q37" s="1340"/>
      <c r="R37" s="1341">
        <f>SUM(R14:R36)</f>
        <v>58307.19</v>
      </c>
      <c r="S37" s="1338">
        <f>SUM(S14:S36)</f>
        <v>0</v>
      </c>
      <c r="T37" s="1338">
        <f>SUM(T14:T36)</f>
        <v>0</v>
      </c>
      <c r="U37" s="1338">
        <f>SUM(U14:U36)</f>
        <v>58307.19</v>
      </c>
      <c r="V37" s="1256"/>
      <c r="W37" s="1342" t="s">
        <v>1522</v>
      </c>
      <c r="X37" s="1343"/>
      <c r="Y37" s="1343"/>
      <c r="Z37" s="1343"/>
      <c r="AA37" s="1343"/>
      <c r="AB37" s="1343"/>
      <c r="AC37" s="1341">
        <f>SUM(AC14:AC36)</f>
        <v>0</v>
      </c>
      <c r="AD37" s="1338">
        <f>SUM(AD14:AD36)</f>
        <v>0</v>
      </c>
      <c r="AE37" s="1338">
        <f>SUM(AE14:AE36)</f>
        <v>0</v>
      </c>
      <c r="AF37" s="1338">
        <f>+AF14</f>
        <v>0</v>
      </c>
    </row>
    <row r="38" spans="1:32">
      <c r="A38" s="1360"/>
      <c r="B38" s="1256"/>
      <c r="C38" s="1255"/>
      <c r="D38" s="1257"/>
      <c r="E38" s="1361"/>
      <c r="F38" s="1258"/>
      <c r="G38" s="1258"/>
      <c r="H38" s="1258"/>
      <c r="I38" s="1258"/>
      <c r="J38" s="1258"/>
      <c r="K38" s="1256"/>
      <c r="L38" s="1360"/>
      <c r="M38" s="2852"/>
      <c r="N38" s="1362"/>
      <c r="O38" s="1362"/>
      <c r="P38" s="1362"/>
      <c r="Q38" s="1360"/>
      <c r="R38" s="1360"/>
      <c r="S38" s="1360"/>
      <c r="T38" s="1360"/>
      <c r="U38" s="1363"/>
      <c r="V38" s="1256"/>
      <c r="W38" s="1360"/>
      <c r="X38" s="1360"/>
      <c r="Y38" s="1364"/>
      <c r="Z38" s="1362"/>
      <c r="AA38" s="1362"/>
      <c r="AB38" s="1362"/>
      <c r="AC38" s="1360"/>
      <c r="AD38" s="1364"/>
      <c r="AE38" s="1362"/>
      <c r="AF38" s="1362"/>
    </row>
    <row r="39" spans="1:32">
      <c r="A39" s="1360"/>
      <c r="B39" s="1256"/>
      <c r="C39" s="1255"/>
      <c r="D39" s="1257"/>
      <c r="E39" s="1361"/>
      <c r="F39" s="1258"/>
      <c r="G39" s="1258"/>
      <c r="H39" s="1258"/>
      <c r="I39" s="1258"/>
      <c r="J39" s="1258"/>
      <c r="K39" s="1256"/>
      <c r="L39" s="1360"/>
      <c r="M39" s="2852"/>
      <c r="N39" s="1362"/>
      <c r="O39" s="1362"/>
      <c r="P39" s="1257"/>
      <c r="Q39" s="1258"/>
      <c r="R39" s="1258"/>
      <c r="S39" s="1258"/>
      <c r="T39" s="1258"/>
      <c r="U39" s="1258">
        <f>+U37-T37</f>
        <v>58307.19</v>
      </c>
      <c r="V39" s="1256"/>
      <c r="W39" s="1360"/>
      <c r="X39" s="1360"/>
      <c r="Y39" s="1364"/>
      <c r="Z39" s="1362"/>
      <c r="AA39" s="1362"/>
      <c r="AB39" s="1362"/>
      <c r="AC39" s="1360"/>
      <c r="AD39" s="1364"/>
      <c r="AE39" s="1362"/>
      <c r="AF39" s="1362"/>
    </row>
    <row r="40" spans="1:32">
      <c r="A40" s="1365"/>
      <c r="B40" s="1256"/>
      <c r="C40" s="1255"/>
      <c r="D40" s="1257"/>
      <c r="E40" s="1361"/>
      <c r="F40" s="1366"/>
      <c r="G40" s="1366"/>
      <c r="H40" s="1366"/>
      <c r="I40" s="1366"/>
      <c r="J40" s="1258"/>
      <c r="K40" s="1256"/>
      <c r="L40" s="1365"/>
      <c r="M40" s="2853">
        <f>403092.61/11085046.72</f>
        <v>3.6363636544059594E-2</v>
      </c>
      <c r="N40" s="1365"/>
      <c r="O40" s="1365"/>
      <c r="P40" s="1257"/>
      <c r="Q40" s="1366"/>
      <c r="R40" s="1366"/>
      <c r="S40" s="1366"/>
      <c r="T40" s="1366"/>
      <c r="U40" s="1366"/>
      <c r="V40" s="1256"/>
      <c r="W40" s="1365"/>
      <c r="X40" s="1365"/>
      <c r="Y40" s="1365"/>
      <c r="Z40" s="1362"/>
      <c r="AA40" s="1362"/>
      <c r="AB40" s="1362"/>
      <c r="AC40" s="1365"/>
      <c r="AD40" s="1365"/>
      <c r="AE40" s="1362"/>
      <c r="AF40" s="1362"/>
    </row>
    <row r="41" spans="1:32">
      <c r="D41" s="1257"/>
      <c r="E41" s="153">
        <v>44197</v>
      </c>
      <c r="F41" s="1366"/>
      <c r="P41" s="1257"/>
      <c r="Q41" s="1366"/>
      <c r="R41" s="1366"/>
      <c r="S41" s="1366"/>
      <c r="T41" s="1366"/>
      <c r="U41" s="1366"/>
      <c r="AA41" s="153">
        <v>44094</v>
      </c>
      <c r="AC41" s="1367"/>
    </row>
    <row r="42" spans="1:32">
      <c r="D42" s="1257"/>
      <c r="E42" s="153">
        <f>E41-45</f>
        <v>44152</v>
      </c>
      <c r="F42" s="1366"/>
      <c r="P42" s="1257"/>
      <c r="Q42" s="1366"/>
      <c r="R42" s="1366"/>
      <c r="S42" s="1366"/>
      <c r="T42" s="1366"/>
      <c r="U42" s="1366"/>
      <c r="AA42" s="153">
        <f>AA41-45</f>
        <v>44049</v>
      </c>
    </row>
    <row r="43" spans="1:32">
      <c r="D43" s="1257"/>
      <c r="F43" s="1366"/>
      <c r="H43" s="153">
        <v>43986</v>
      </c>
      <c r="R43" s="652"/>
      <c r="S43" s="652"/>
      <c r="T43" s="652"/>
      <c r="U43" s="652"/>
    </row>
    <row r="45" spans="1:32">
      <c r="AC45" t="s">
        <v>2330</v>
      </c>
    </row>
    <row r="46" spans="1:32">
      <c r="AC46" s="3018">
        <v>45222</v>
      </c>
      <c r="AD46" s="3018">
        <v>45253</v>
      </c>
      <c r="AE46" s="3018">
        <v>45283</v>
      </c>
    </row>
    <row r="47" spans="1:32">
      <c r="AC47" s="3020">
        <v>11439880.26</v>
      </c>
    </row>
  </sheetData>
  <mergeCells count="4">
    <mergeCell ref="A10:J10"/>
    <mergeCell ref="L10:U10"/>
    <mergeCell ref="W10:AF10"/>
    <mergeCell ref="A37:F37"/>
  </mergeCells>
  <printOptions horizontalCentered="1"/>
  <pageMargins left="0.23622047244094491" right="0.23622047244094491" top="0.74803149606299213" bottom="0.74803149606299213" header="0.31496062992125984" footer="0.31496062992125984"/>
  <pageSetup paperSize="8" scale="67" fitToHeight="2" orientation="landscape" r:id="rId1"/>
  <headerFooter>
    <oddHeader>&amp;C&amp;"Calibri,Bold"&amp;18MONTHLY REPORT - INVOICE &amp; PAYMENT TRACKING LOG (Infor Saudi Arabia Limited)</oddHeader>
    <oddFooter>&amp;L1TB.01.003.01 - AYC 
MARCH'26 REPORT&amp;C&amp;A&amp;RPage &amp;P of &amp;N</oddFooter>
  </headerFooter>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85CDC-A594-4F87-AAD9-FD98FB7EC0F0}">
  <sheetPr>
    <tabColor theme="7" tint="0.39997558519241921"/>
    <pageSetUpPr fitToPage="1"/>
  </sheetPr>
  <dimension ref="A1:AG47"/>
  <sheetViews>
    <sheetView showGridLines="0" view="pageBreakPreview" zoomScale="70" zoomScaleNormal="100" zoomScaleSheetLayoutView="70" workbookViewId="0">
      <selection activeCell="L16" sqref="L16"/>
    </sheetView>
  </sheetViews>
  <sheetFormatPr defaultColWidth="9" defaultRowHeight="12.75"/>
  <cols>
    <col min="1" max="1" width="10.85546875" customWidth="1"/>
    <col min="2" max="2" width="10.42578125" customWidth="1"/>
    <col min="3" max="3" width="11.42578125" customWidth="1"/>
    <col min="4" max="4" width="10.85546875" bestFit="1" customWidth="1"/>
    <col min="5" max="5" width="9.85546875" bestFit="1" customWidth="1"/>
    <col min="6" max="6" width="12" customWidth="1"/>
    <col min="7" max="7" width="12.85546875" bestFit="1" customWidth="1"/>
    <col min="8" max="9" width="11.85546875" bestFit="1" customWidth="1"/>
    <col min="10" max="10" width="13.85546875" customWidth="1"/>
    <col min="11" max="11" width="0.85546875" customWidth="1"/>
    <col min="12" max="12" width="6" customWidth="1"/>
    <col min="13" max="13" width="17.85546875" style="2854" bestFit="1" customWidth="1"/>
    <col min="14" max="15" width="9" customWidth="1"/>
    <col min="16" max="16" width="7.85546875" customWidth="1"/>
    <col min="17" max="17" width="13.85546875" customWidth="1"/>
    <col min="18" max="18" width="15.5703125" customWidth="1"/>
    <col min="19" max="20" width="11.42578125" customWidth="1"/>
    <col min="21" max="21" width="14.5703125" customWidth="1"/>
    <col min="22" max="22" width="0.85546875" customWidth="1"/>
    <col min="23" max="23" width="14" bestFit="1" customWidth="1"/>
    <col min="24" max="24" width="9" customWidth="1"/>
    <col min="25" max="25" width="9" hidden="1" customWidth="1"/>
    <col min="26" max="26" width="9" bestFit="1" customWidth="1"/>
    <col min="27" max="27" width="10" customWidth="1"/>
    <col min="28" max="28" width="7" customWidth="1"/>
    <col min="29" max="29" width="12.42578125" customWidth="1"/>
    <col min="30" max="30" width="13.5703125" customWidth="1"/>
    <col min="31" max="32" width="14" customWidth="1"/>
    <col min="33" max="33" width="13.5703125" bestFit="1" customWidth="1"/>
  </cols>
  <sheetData>
    <row r="1" spans="1:33">
      <c r="A1" s="1255"/>
      <c r="B1" s="1256"/>
      <c r="C1" s="1255"/>
      <c r="D1" s="1257"/>
      <c r="E1" s="1257"/>
      <c r="F1" s="1258"/>
      <c r="G1" s="1258"/>
      <c r="H1" s="1258"/>
      <c r="I1" s="1258"/>
      <c r="J1" s="1258"/>
      <c r="K1" s="1257"/>
      <c r="L1" s="1255"/>
      <c r="M1" s="2848"/>
      <c r="N1" s="1255"/>
      <c r="O1" s="1255"/>
      <c r="P1" s="1255"/>
      <c r="Q1" s="1255"/>
      <c r="R1" s="1255"/>
      <c r="S1" s="1255"/>
      <c r="T1" s="1255"/>
      <c r="U1" s="1259"/>
      <c r="V1" s="1257"/>
      <c r="W1" s="1257"/>
      <c r="X1" s="1257"/>
      <c r="Y1" s="1257"/>
      <c r="Z1" s="1257"/>
      <c r="AA1" s="1257"/>
      <c r="AB1" s="1257"/>
      <c r="AC1" s="1257"/>
      <c r="AD1" s="1257"/>
      <c r="AE1" s="1257"/>
      <c r="AF1" s="1257"/>
    </row>
    <row r="2" spans="1:33">
      <c r="A2" s="9" t="str">
        <f>'Data Input'!A1&amp;" - "&amp;'Data Input'!B1</f>
        <v>PROGRAMME: - MARINA VILLAGE (PROGRAMME 1_TRIPLE BAY)</v>
      </c>
      <c r="B2" s="1256"/>
      <c r="C2" s="1255"/>
      <c r="D2" s="1257"/>
      <c r="E2" s="1257"/>
      <c r="F2" s="1258"/>
      <c r="G2" s="1258"/>
      <c r="H2" s="1258"/>
      <c r="I2" s="1258"/>
      <c r="J2" s="1258"/>
      <c r="K2" s="1257"/>
      <c r="L2" s="1255"/>
      <c r="M2" s="2848"/>
      <c r="N2" s="1255"/>
      <c r="O2" s="1255"/>
      <c r="P2" s="1255"/>
      <c r="Q2" s="1255"/>
      <c r="R2" s="1255"/>
      <c r="S2" s="1255"/>
      <c r="T2" s="1255"/>
      <c r="U2" s="1259"/>
      <c r="V2" s="1257"/>
      <c r="W2" s="1257"/>
      <c r="X2" s="1257"/>
      <c r="Y2" s="1257"/>
      <c r="Z2" s="1257"/>
      <c r="AA2" s="1257"/>
      <c r="AB2" s="1257"/>
      <c r="AC2" s="1257"/>
      <c r="AD2" s="1257"/>
      <c r="AE2" s="1257"/>
      <c r="AF2" s="1257"/>
    </row>
    <row r="3" spans="1:33">
      <c r="A3" s="9" t="str">
        <f>'Data Input'!A2&amp;" - "&amp;'Data Input'!B2</f>
        <v>PROGRAMME CODE: - 1TB01003</v>
      </c>
      <c r="B3" s="1260"/>
      <c r="C3" s="1261"/>
      <c r="D3" s="1262"/>
      <c r="E3" s="1262"/>
      <c r="F3" s="1263"/>
      <c r="G3" s="1263"/>
      <c r="H3" s="1263"/>
      <c r="I3" s="1263"/>
      <c r="J3" s="1264"/>
      <c r="K3" s="1265"/>
      <c r="L3" s="1265"/>
      <c r="M3" s="1262"/>
      <c r="N3" s="1265"/>
      <c r="O3" s="1266"/>
      <c r="P3" s="1265"/>
      <c r="Q3" s="1265"/>
      <c r="R3" s="1265"/>
      <c r="S3" s="1265"/>
      <c r="T3" s="1265"/>
      <c r="U3" s="1267"/>
      <c r="V3" s="1265"/>
      <c r="W3" s="1265"/>
      <c r="X3" s="1265"/>
      <c r="Y3" s="1265"/>
      <c r="Z3" s="1265"/>
      <c r="AA3" s="1265"/>
      <c r="AB3" s="1265"/>
      <c r="AC3" s="1265"/>
      <c r="AD3" s="1265"/>
      <c r="AE3" s="1265"/>
      <c r="AF3" s="1265"/>
    </row>
    <row r="4" spans="1:33">
      <c r="A4" s="9" t="str">
        <f>'Data Input'!A3&amp;" - "&amp;'Data Input'!B3</f>
        <v>ASSET NAME: - AMAALA YACHT CLUB</v>
      </c>
      <c r="B4" s="1260"/>
      <c r="C4" s="1268"/>
      <c r="D4" s="1265"/>
      <c r="E4" s="1265"/>
      <c r="F4" s="1267"/>
      <c r="G4" s="1267"/>
      <c r="H4" s="1267"/>
      <c r="I4" s="1267"/>
      <c r="J4" s="1269"/>
      <c r="K4" s="1265"/>
      <c r="L4" s="1265"/>
      <c r="M4" s="1262"/>
      <c r="N4" s="1265"/>
      <c r="O4" s="1266"/>
      <c r="P4" s="1265"/>
      <c r="Q4" s="1265"/>
      <c r="R4" s="1265"/>
      <c r="S4" s="1265"/>
      <c r="T4" s="1265"/>
      <c r="U4" s="1267"/>
      <c r="V4" s="1265"/>
      <c r="W4" s="1265"/>
      <c r="X4" s="1265"/>
      <c r="Y4" s="1265"/>
      <c r="Z4" s="1265"/>
      <c r="AA4" s="1265"/>
      <c r="AB4" s="1265"/>
      <c r="AC4" s="1265"/>
      <c r="AD4" s="1265"/>
      <c r="AE4" s="1265"/>
      <c r="AF4" s="1265"/>
    </row>
    <row r="5" spans="1:33">
      <c r="A5" s="9" t="str">
        <f>'Data Input'!A4&amp;" - "&amp;'Data Input'!B4</f>
        <v>ASSET CODE: - 1TB01003.01</v>
      </c>
      <c r="B5" s="1270"/>
      <c r="C5" s="1268"/>
      <c r="D5" s="1265"/>
      <c r="E5" s="1265"/>
      <c r="F5" s="1267"/>
      <c r="G5" s="1267"/>
      <c r="H5" s="1267"/>
      <c r="I5" s="1267"/>
      <c r="J5" s="1269"/>
      <c r="K5" s="1265"/>
      <c r="L5" s="1265"/>
      <c r="M5" s="1262"/>
      <c r="N5" s="1265"/>
      <c r="O5" s="1266"/>
      <c r="P5" s="1265"/>
      <c r="Q5" s="1265"/>
      <c r="R5" s="1271"/>
      <c r="S5" s="1265"/>
      <c r="T5" s="1265"/>
      <c r="U5" s="1267"/>
      <c r="V5" s="1265"/>
      <c r="W5" s="1265"/>
      <c r="X5" s="1265"/>
      <c r="Y5" s="1265"/>
      <c r="Z5" s="1265"/>
      <c r="AA5" s="1265"/>
      <c r="AB5" s="1265"/>
      <c r="AC5" s="1265"/>
      <c r="AD5" s="1265"/>
      <c r="AE5" s="1265"/>
      <c r="AF5" s="1265"/>
    </row>
    <row r="6" spans="1:33">
      <c r="A6" s="9" t="str">
        <f>'Data Input'!A7&amp;" - "&amp;'Data Input'!B7</f>
        <v>REPORT NO: - MONTHLY REPORT NO. 49</v>
      </c>
      <c r="B6" s="1272"/>
      <c r="C6" s="1268"/>
      <c r="D6" s="1265"/>
      <c r="E6" s="1265"/>
      <c r="F6" s="1267"/>
      <c r="G6" s="1267"/>
      <c r="H6" s="1267"/>
      <c r="I6" s="1267"/>
      <c r="J6" s="1269"/>
      <c r="K6" s="1265"/>
      <c r="L6" s="1265"/>
      <c r="M6" s="1262"/>
      <c r="N6" s="1265"/>
      <c r="O6" s="1266"/>
      <c r="P6" s="1265"/>
      <c r="Q6" s="1265"/>
      <c r="R6" s="1273"/>
      <c r="S6" s="1265"/>
      <c r="T6" s="1271"/>
      <c r="U6" s="1267"/>
      <c r="V6" s="1265"/>
      <c r="W6" s="1265"/>
      <c r="X6" s="1265"/>
      <c r="Y6" s="1265"/>
      <c r="Z6" s="1265"/>
      <c r="AA6" s="1265"/>
      <c r="AB6" s="1265"/>
      <c r="AC6" s="1265"/>
      <c r="AD6" s="1265"/>
      <c r="AE6" s="1265"/>
      <c r="AF6" s="1265"/>
    </row>
    <row r="7" spans="1:33">
      <c r="A7" s="9" t="str">
        <f>'Data Input'!A8&amp;" - "&amp;'Data Input'!B8</f>
        <v>REPORTING PERIOD: - OCTOBER 2026</v>
      </c>
      <c r="B7" s="1262"/>
      <c r="C7" s="1274"/>
      <c r="D7" s="1262"/>
      <c r="E7" s="1262"/>
      <c r="F7" s="1263"/>
      <c r="G7" s="1263"/>
      <c r="H7" s="1263"/>
      <c r="I7" s="1263"/>
      <c r="J7" s="1264"/>
      <c r="K7" s="1265"/>
      <c r="L7" s="1265"/>
      <c r="M7" s="1262"/>
      <c r="N7" s="1265"/>
      <c r="O7" s="1265"/>
      <c r="P7" s="1265"/>
      <c r="Q7" s="1267"/>
      <c r="R7" s="1263"/>
      <c r="S7" s="1263"/>
      <c r="T7" s="1263"/>
      <c r="U7" s="1267"/>
      <c r="V7" s="1265"/>
      <c r="W7" s="1265"/>
      <c r="X7" s="1265"/>
      <c r="Y7" s="1265"/>
      <c r="Z7" s="1265"/>
      <c r="AA7" s="1265"/>
      <c r="AB7" s="1265"/>
      <c r="AC7" s="1265"/>
      <c r="AD7" s="1265"/>
      <c r="AE7" s="1265"/>
      <c r="AF7" s="1265"/>
    </row>
    <row r="8" spans="1:33" ht="13.5" thickBot="1">
      <c r="A8" s="9"/>
      <c r="B8" s="1256"/>
      <c r="C8" s="1255"/>
      <c r="D8" s="1257"/>
      <c r="E8" s="1257"/>
      <c r="F8" s="1258"/>
      <c r="G8" s="1258"/>
      <c r="H8" s="1258"/>
      <c r="I8" s="1258"/>
      <c r="J8" s="1258"/>
      <c r="K8" s="1257"/>
      <c r="L8" s="1255"/>
      <c r="M8" s="2848"/>
      <c r="N8" s="1275"/>
      <c r="O8" s="1276"/>
      <c r="P8" s="1255"/>
      <c r="Q8" s="1255"/>
      <c r="R8" s="1255"/>
      <c r="S8" s="1255"/>
      <c r="T8" s="1255"/>
      <c r="U8" s="1259"/>
      <c r="V8" s="1257"/>
      <c r="W8" s="1257"/>
      <c r="X8" s="1257"/>
      <c r="Y8" s="1257"/>
      <c r="Z8" s="1257"/>
      <c r="AA8" s="1257"/>
      <c r="AB8" s="1257"/>
      <c r="AC8" s="1257"/>
      <c r="AD8" s="1257"/>
      <c r="AE8" s="1257"/>
      <c r="AF8" s="1257"/>
    </row>
    <row r="9" spans="1:33" ht="30" customHeight="1" thickBot="1">
      <c r="A9" s="1354" t="str">
        <f>'Schedule B'!A161&amp;" - "&amp;'Schedule B'!C164</f>
        <v>CN.003F13 - Al Futtaim Pioneer Elevators - Al Futtaim Pioneer</v>
      </c>
      <c r="B9" s="1355"/>
      <c r="C9" s="1355"/>
      <c r="D9" s="1356"/>
      <c r="E9" s="1356"/>
      <c r="F9" s="1357"/>
      <c r="G9" s="1357"/>
      <c r="H9" s="1357"/>
      <c r="I9" s="1357"/>
      <c r="J9" s="1357"/>
      <c r="K9" s="1356"/>
      <c r="L9" s="1355"/>
      <c r="M9" s="2849"/>
      <c r="N9" s="1355"/>
      <c r="O9" s="1355"/>
      <c r="P9" s="1355"/>
      <c r="Q9" s="1355"/>
      <c r="R9" s="1355"/>
      <c r="S9" s="1355"/>
      <c r="T9" s="1355"/>
      <c r="U9" s="1358"/>
      <c r="V9" s="1356"/>
      <c r="W9" s="1356"/>
      <c r="X9" s="1356"/>
      <c r="Y9" s="1356"/>
      <c r="Z9" s="1356"/>
      <c r="AA9" s="1356"/>
      <c r="AB9" s="1356"/>
      <c r="AC9" s="1356"/>
      <c r="AD9" s="1356"/>
      <c r="AE9" s="1356"/>
      <c r="AF9" s="1359"/>
    </row>
    <row r="10" spans="1:33">
      <c r="A10" s="6051" t="s">
        <v>1524</v>
      </c>
      <c r="B10" s="6052"/>
      <c r="C10" s="6052"/>
      <c r="D10" s="6052"/>
      <c r="E10" s="6052"/>
      <c r="F10" s="6052"/>
      <c r="G10" s="6053"/>
      <c r="H10" s="6053"/>
      <c r="I10" s="6053"/>
      <c r="J10" s="6054"/>
      <c r="K10" s="1256"/>
      <c r="L10" s="6055" t="s">
        <v>1525</v>
      </c>
      <c r="M10" s="6056"/>
      <c r="N10" s="6056"/>
      <c r="O10" s="6056"/>
      <c r="P10" s="6056"/>
      <c r="Q10" s="6056"/>
      <c r="R10" s="6057"/>
      <c r="S10" s="6057"/>
      <c r="T10" s="6057"/>
      <c r="U10" s="6058"/>
      <c r="V10" s="1256"/>
      <c r="W10" s="6043" t="s">
        <v>1526</v>
      </c>
      <c r="X10" s="6044"/>
      <c r="Y10" s="6044"/>
      <c r="Z10" s="6044"/>
      <c r="AA10" s="6044"/>
      <c r="AB10" s="6044"/>
      <c r="AC10" s="6044"/>
      <c r="AD10" s="6044"/>
      <c r="AE10" s="6044"/>
      <c r="AF10" s="6059"/>
    </row>
    <row r="11" spans="1:33" ht="60" customHeight="1">
      <c r="A11" s="1283" t="s">
        <v>1462</v>
      </c>
      <c r="B11" s="1284" t="s">
        <v>1527</v>
      </c>
      <c r="C11" s="1284" t="s">
        <v>1528</v>
      </c>
      <c r="D11" s="1285" t="s">
        <v>1744</v>
      </c>
      <c r="E11" s="1285" t="s">
        <v>1530</v>
      </c>
      <c r="F11" s="1286" t="s">
        <v>1531</v>
      </c>
      <c r="G11" s="1287" t="s">
        <v>1532</v>
      </c>
      <c r="H11" s="1287" t="s">
        <v>1533</v>
      </c>
      <c r="I11" s="1287" t="s">
        <v>1534</v>
      </c>
      <c r="J11" s="1288" t="s">
        <v>1535</v>
      </c>
      <c r="K11" s="1289"/>
      <c r="L11" s="763" t="s">
        <v>1536</v>
      </c>
      <c r="M11" s="1290" t="s">
        <v>1601</v>
      </c>
      <c r="N11" s="1290" t="s">
        <v>1530</v>
      </c>
      <c r="O11" s="1290" t="s">
        <v>4521</v>
      </c>
      <c r="P11" s="764" t="s">
        <v>1539</v>
      </c>
      <c r="Q11" s="1291" t="s">
        <v>1540</v>
      </c>
      <c r="R11" s="1292" t="s">
        <v>1541</v>
      </c>
      <c r="S11" s="1292" t="s">
        <v>1533</v>
      </c>
      <c r="T11" s="1292" t="s">
        <v>1534</v>
      </c>
      <c r="U11" s="1293" t="s">
        <v>1542</v>
      </c>
      <c r="V11" s="1256"/>
      <c r="W11" s="1294" t="s">
        <v>2086</v>
      </c>
      <c r="X11" s="2839" t="s">
        <v>2087</v>
      </c>
      <c r="Y11" s="1295" t="s">
        <v>1544</v>
      </c>
      <c r="Z11" s="1296" t="s">
        <v>1545</v>
      </c>
      <c r="AA11" s="1296" t="s">
        <v>4524</v>
      </c>
      <c r="AB11" s="769" t="s">
        <v>1539</v>
      </c>
      <c r="AC11" s="769" t="s">
        <v>1547</v>
      </c>
      <c r="AD11" s="769" t="s">
        <v>2538</v>
      </c>
      <c r="AE11" s="1296" t="s">
        <v>1549</v>
      </c>
      <c r="AF11" s="1297" t="s">
        <v>1550</v>
      </c>
    </row>
    <row r="12" spans="1:33" ht="17.25" customHeight="1">
      <c r="A12" s="1298"/>
      <c r="B12" s="1299"/>
      <c r="C12" s="1300"/>
      <c r="D12" s="1301"/>
      <c r="E12" s="1302" t="s">
        <v>296</v>
      </c>
      <c r="F12" s="1303" t="s">
        <v>434</v>
      </c>
      <c r="G12" s="1303" t="s">
        <v>434</v>
      </c>
      <c r="H12" s="1304">
        <v>0</v>
      </c>
      <c r="I12" s="1304">
        <v>0</v>
      </c>
      <c r="J12" s="1305" t="s">
        <v>434</v>
      </c>
      <c r="K12" s="1256"/>
      <c r="L12" s="765"/>
      <c r="M12" s="766"/>
      <c r="N12" s="1306" t="s">
        <v>296</v>
      </c>
      <c r="O12" s="766" t="s">
        <v>3574</v>
      </c>
      <c r="P12" s="1307" t="s">
        <v>1552</v>
      </c>
      <c r="Q12" s="767" t="s">
        <v>434</v>
      </c>
      <c r="R12" s="767" t="s">
        <v>434</v>
      </c>
      <c r="S12" s="1308">
        <v>0</v>
      </c>
      <c r="T12" s="1308">
        <v>0</v>
      </c>
      <c r="U12" s="768" t="s">
        <v>434</v>
      </c>
      <c r="V12" s="1256"/>
      <c r="W12" s="770"/>
      <c r="X12" s="2840"/>
      <c r="Y12" s="1309" t="s">
        <v>296</v>
      </c>
      <c r="Z12" s="1309" t="s">
        <v>296</v>
      </c>
      <c r="AA12" s="1309" t="s">
        <v>4523</v>
      </c>
      <c r="AB12" s="1310" t="s">
        <v>1552</v>
      </c>
      <c r="AC12" s="1311"/>
      <c r="AD12" s="1312">
        <v>0.05</v>
      </c>
      <c r="AE12" s="1309" t="s">
        <v>296</v>
      </c>
      <c r="AF12" s="1313" t="s">
        <v>296</v>
      </c>
    </row>
    <row r="13" spans="1:33" s="722" customFormat="1" ht="25.5" customHeight="1">
      <c r="A13" s="1314"/>
      <c r="B13" s="1314"/>
      <c r="C13" s="1314"/>
      <c r="D13" s="1314"/>
      <c r="E13" s="1314" t="s">
        <v>1481</v>
      </c>
      <c r="F13" s="1314"/>
      <c r="G13" s="1314"/>
      <c r="H13" s="1314"/>
      <c r="I13" s="1314"/>
      <c r="J13" s="1314"/>
      <c r="K13" s="1255"/>
      <c r="L13" s="1315"/>
      <c r="M13" s="1315"/>
      <c r="N13" s="1316" t="s">
        <v>1482</v>
      </c>
      <c r="O13" s="1314" t="s">
        <v>2084</v>
      </c>
      <c r="P13" s="1317" t="s">
        <v>1555</v>
      </c>
      <c r="Q13" s="1318" t="s">
        <v>1556</v>
      </c>
      <c r="R13" s="1318" t="s">
        <v>1557</v>
      </c>
      <c r="S13" s="1319" t="s">
        <v>1605</v>
      </c>
      <c r="T13" s="1319" t="s">
        <v>1559</v>
      </c>
      <c r="U13" s="1318" t="s">
        <v>1560</v>
      </c>
      <c r="V13" s="1255"/>
      <c r="W13" s="1316"/>
      <c r="X13" s="1316" t="s">
        <v>1561</v>
      </c>
      <c r="Y13" s="1316"/>
      <c r="Z13" s="1316" t="s">
        <v>2088</v>
      </c>
      <c r="AA13" s="1316" t="s">
        <v>2089</v>
      </c>
      <c r="AB13" s="1317" t="s">
        <v>2091</v>
      </c>
      <c r="AC13" s="1314" t="s">
        <v>2092</v>
      </c>
      <c r="AD13" s="1319" t="s">
        <v>3479</v>
      </c>
      <c r="AE13" s="1316" t="s">
        <v>2094</v>
      </c>
      <c r="AF13" s="1316"/>
    </row>
    <row r="14" spans="1:33" s="2837" customFormat="1" ht="50.25" customHeight="1">
      <c r="A14" s="4688">
        <v>1</v>
      </c>
      <c r="B14" s="4689" t="s">
        <v>6600</v>
      </c>
      <c r="C14" s="4690">
        <v>46235</v>
      </c>
      <c r="D14" s="4691" t="s">
        <v>6601</v>
      </c>
      <c r="E14" s="4692">
        <v>46239</v>
      </c>
      <c r="F14" s="4693">
        <v>0</v>
      </c>
      <c r="G14" s="4693">
        <v>103793.25</v>
      </c>
      <c r="H14" s="4694">
        <f>(G14*$H$12)*-1*0</f>
        <v>0</v>
      </c>
      <c r="I14" s="4694">
        <v>0</v>
      </c>
      <c r="J14" s="4694">
        <f>(G14+H14+I14)</f>
        <v>103793.25</v>
      </c>
      <c r="K14" s="4695"/>
      <c r="L14" s="4696" t="s">
        <v>6136</v>
      </c>
      <c r="M14" s="4697" t="s">
        <v>6602</v>
      </c>
      <c r="N14" s="4692">
        <v>46247</v>
      </c>
      <c r="O14" s="4698">
        <f>E14+21</f>
        <v>46260</v>
      </c>
      <c r="P14" s="4699">
        <f>O14-N14</f>
        <v>13</v>
      </c>
      <c r="Q14" s="4693">
        <f>+R14</f>
        <v>103793.25</v>
      </c>
      <c r="R14" s="4693">
        <f>G14</f>
        <v>103793.25</v>
      </c>
      <c r="S14" s="4694">
        <f>(R14*$S$12)*-1*0</f>
        <v>0</v>
      </c>
      <c r="T14" s="4694">
        <v>0</v>
      </c>
      <c r="U14" s="4694">
        <f>(R14+S14+T14)</f>
        <v>103793.25</v>
      </c>
      <c r="V14" s="4695"/>
      <c r="W14" s="2838"/>
      <c r="X14" s="1321"/>
      <c r="Y14" s="1323"/>
      <c r="Z14" s="1321"/>
      <c r="AA14" s="1321">
        <f>X14+30</f>
        <v>30</v>
      </c>
      <c r="AB14" s="1324"/>
      <c r="AC14" s="1327"/>
      <c r="AD14" s="1327"/>
      <c r="AE14" s="1327"/>
      <c r="AF14" s="1327"/>
      <c r="AG14" s="2842">
        <f>+AC14*1.15</f>
        <v>0</v>
      </c>
    </row>
    <row r="15" spans="1:33" s="2837" customFormat="1" ht="50.25" customHeight="1">
      <c r="A15" s="4688">
        <v>2</v>
      </c>
      <c r="B15" s="4689" t="s">
        <v>6647</v>
      </c>
      <c r="C15" s="4690">
        <v>46235</v>
      </c>
      <c r="D15" s="4691" t="s">
        <v>6648</v>
      </c>
      <c r="E15" s="4692">
        <v>46264</v>
      </c>
      <c r="F15" s="4693">
        <f>G14+G15</f>
        <v>311379.75</v>
      </c>
      <c r="G15" s="4693">
        <v>207586.5</v>
      </c>
      <c r="H15" s="4694">
        <f>(G15*$H$12)*-1*0</f>
        <v>0</v>
      </c>
      <c r="I15" s="4694">
        <v>0</v>
      </c>
      <c r="J15" s="4694">
        <f>(G15+H15+I15)</f>
        <v>207586.5</v>
      </c>
      <c r="K15" s="4695"/>
      <c r="L15" s="4696" t="s">
        <v>6649</v>
      </c>
      <c r="M15" s="4697" t="s">
        <v>6602</v>
      </c>
      <c r="N15" s="4692">
        <v>46247</v>
      </c>
      <c r="O15" s="4698">
        <f>E15+21</f>
        <v>46285</v>
      </c>
      <c r="P15" s="4699">
        <f>O15-N15</f>
        <v>38</v>
      </c>
      <c r="Q15" s="4693">
        <f>R14+Q16</f>
        <v>103793.25</v>
      </c>
      <c r="R15" s="4693">
        <f>G15</f>
        <v>207586.5</v>
      </c>
      <c r="S15" s="4694">
        <f>(R15*$S$12)*-1*0</f>
        <v>0</v>
      </c>
      <c r="T15" s="4694">
        <v>0</v>
      </c>
      <c r="U15" s="4694">
        <f>(R15+S15+T15)</f>
        <v>207586.5</v>
      </c>
      <c r="V15" s="1256"/>
      <c r="W15" s="2838"/>
      <c r="X15" s="2841"/>
      <c r="Y15" s="1323"/>
      <c r="Z15" s="1321"/>
      <c r="AA15" s="1321"/>
      <c r="AB15" s="1324"/>
      <c r="AC15" s="1327"/>
      <c r="AD15" s="1327"/>
      <c r="AE15" s="1327"/>
      <c r="AF15" s="1327"/>
      <c r="AG15" s="4266"/>
    </row>
    <row r="16" spans="1:33" s="2837" customFormat="1" ht="50.25" customHeight="1">
      <c r="A16" s="723"/>
      <c r="B16" s="810"/>
      <c r="C16" s="1929"/>
      <c r="D16" s="2835"/>
      <c r="E16" s="1440"/>
      <c r="F16" s="2836"/>
      <c r="G16" s="1444"/>
      <c r="H16" s="1444"/>
      <c r="I16" s="1444"/>
      <c r="J16" s="1444"/>
      <c r="K16" s="1256"/>
      <c r="L16" s="1510"/>
      <c r="M16" s="2850"/>
      <c r="N16" s="1440"/>
      <c r="O16" s="1323"/>
      <c r="P16" s="1324"/>
      <c r="Q16" s="2836"/>
      <c r="R16" s="1444"/>
      <c r="S16" s="1444"/>
      <c r="T16" s="1444"/>
      <c r="U16" s="1444"/>
      <c r="V16" s="1256"/>
      <c r="W16" s="2838"/>
      <c r="X16" s="2841"/>
      <c r="Y16" s="1323"/>
      <c r="Z16" s="1321"/>
      <c r="AA16" s="1321"/>
      <c r="AB16" s="1324"/>
      <c r="AC16" s="1327"/>
      <c r="AD16" s="1327"/>
      <c r="AE16" s="1327"/>
      <c r="AF16" s="1327"/>
      <c r="AG16" s="2842"/>
    </row>
    <row r="17" spans="1:32">
      <c r="A17" s="723"/>
      <c r="B17" s="810"/>
      <c r="C17" s="1445"/>
      <c r="D17" s="2835"/>
      <c r="E17" s="1440"/>
      <c r="F17" s="1322"/>
      <c r="G17" s="1444"/>
      <c r="H17" s="1444"/>
      <c r="I17" s="1444"/>
      <c r="J17" s="1444"/>
      <c r="K17" s="1256"/>
      <c r="L17" s="1510"/>
      <c r="M17" s="2850"/>
      <c r="N17" s="1321"/>
      <c r="O17" s="1323"/>
      <c r="P17" s="1324"/>
      <c r="Q17" s="1322"/>
      <c r="R17" s="1444"/>
      <c r="S17" s="1444"/>
      <c r="T17" s="1444"/>
      <c r="U17" s="1444"/>
      <c r="V17" s="1256"/>
      <c r="W17" s="2838"/>
      <c r="X17" s="2841"/>
      <c r="Y17" s="1323"/>
      <c r="Z17" s="1321"/>
      <c r="AA17" s="1321"/>
      <c r="AB17" s="1324"/>
      <c r="AC17" s="1327"/>
      <c r="AD17" s="1327"/>
      <c r="AE17" s="1327"/>
      <c r="AF17" s="1327"/>
    </row>
    <row r="18" spans="1:32">
      <c r="A18" s="723"/>
      <c r="B18" s="810"/>
      <c r="C18" s="1445"/>
      <c r="D18" s="2835"/>
      <c r="E18" s="1440"/>
      <c r="F18" s="1322"/>
      <c r="G18" s="1444"/>
      <c r="H18" s="1444"/>
      <c r="I18" s="1444"/>
      <c r="J18" s="1444"/>
      <c r="K18" s="1256"/>
      <c r="L18" s="1510"/>
      <c r="M18" s="2850"/>
      <c r="N18" s="1321"/>
      <c r="O18" s="1323"/>
      <c r="P18" s="1324"/>
      <c r="Q18" s="1322"/>
      <c r="R18" s="1444"/>
      <c r="S18" s="1444"/>
      <c r="T18" s="1444"/>
      <c r="U18" s="1444"/>
      <c r="V18" s="1256"/>
      <c r="W18" s="2838"/>
      <c r="X18" s="1323"/>
      <c r="Y18" s="1323"/>
      <c r="Z18" s="1321"/>
      <c r="AA18" s="1321"/>
      <c r="AB18" s="1324"/>
      <c r="AC18" s="1327"/>
      <c r="AD18" s="1327"/>
      <c r="AE18" s="1327"/>
      <c r="AF18" s="1327"/>
    </row>
    <row r="19" spans="1:32" ht="33.950000000000003" customHeight="1">
      <c r="A19" s="723"/>
      <c r="B19" s="810"/>
      <c r="C19" s="1445"/>
      <c r="D19" s="2835"/>
      <c r="E19" s="1440"/>
      <c r="F19" s="1322"/>
      <c r="G19" s="1444"/>
      <c r="H19" s="1444"/>
      <c r="I19" s="1444"/>
      <c r="J19" s="1444"/>
      <c r="K19" s="1256"/>
      <c r="L19" s="1510"/>
      <c r="M19" s="2850"/>
      <c r="N19" s="1321"/>
      <c r="O19" s="1323"/>
      <c r="P19" s="1324"/>
      <c r="Q19" s="1322"/>
      <c r="R19" s="1444"/>
      <c r="S19" s="1444"/>
      <c r="T19" s="1444"/>
      <c r="U19" s="1444"/>
      <c r="V19" s="1256"/>
      <c r="W19" s="2838"/>
      <c r="X19" s="1323"/>
      <c r="Y19" s="1323"/>
      <c r="Z19" s="1321"/>
      <c r="AA19" s="1321"/>
      <c r="AB19" s="1324"/>
      <c r="AC19" s="1327"/>
      <c r="AD19" s="1327"/>
      <c r="AE19" s="1327"/>
      <c r="AF19" s="1327"/>
    </row>
    <row r="20" spans="1:32">
      <c r="A20" s="723"/>
      <c r="B20" s="810"/>
      <c r="C20" s="1445"/>
      <c r="D20" s="2835"/>
      <c r="E20" s="1440"/>
      <c r="F20" s="1322"/>
      <c r="G20" s="1444"/>
      <c r="H20" s="1444"/>
      <c r="I20" s="1444"/>
      <c r="J20" s="1444"/>
      <c r="K20" s="1256"/>
      <c r="L20" s="1510"/>
      <c r="M20" s="2850"/>
      <c r="N20" s="1321"/>
      <c r="O20" s="1323"/>
      <c r="P20" s="1324"/>
      <c r="Q20" s="1322"/>
      <c r="R20" s="1444"/>
      <c r="S20" s="1444"/>
      <c r="T20" s="1444"/>
      <c r="U20" s="1444"/>
      <c r="V20" s="1256"/>
      <c r="W20" s="723"/>
      <c r="X20" s="724"/>
      <c r="Y20" s="1323"/>
      <c r="Z20" s="1321"/>
      <c r="AA20" s="1321"/>
      <c r="AB20" s="1324"/>
      <c r="AC20" s="1327"/>
      <c r="AD20" s="1327"/>
      <c r="AE20" s="1327"/>
      <c r="AF20" s="1327"/>
    </row>
    <row r="21" spans="1:32">
      <c r="A21" s="723"/>
      <c r="B21" s="810"/>
      <c r="C21" s="1445"/>
      <c r="D21" s="2835"/>
      <c r="E21" s="1440"/>
      <c r="F21" s="1322"/>
      <c r="G21" s="1444"/>
      <c r="H21" s="1444"/>
      <c r="I21" s="1444"/>
      <c r="J21" s="1444"/>
      <c r="K21" s="1256"/>
      <c r="L21" s="1510"/>
      <c r="M21" s="2850"/>
      <c r="N21" s="1321"/>
      <c r="O21" s="1323"/>
      <c r="P21" s="1324"/>
      <c r="Q21" s="1322"/>
      <c r="R21" s="1444"/>
      <c r="S21" s="1444"/>
      <c r="T21" s="1444"/>
      <c r="U21" s="1444"/>
      <c r="V21" s="1256"/>
      <c r="W21" s="723"/>
      <c r="X21" s="724"/>
      <c r="Y21" s="1323"/>
      <c r="Z21" s="1321"/>
      <c r="AA21" s="1321"/>
      <c r="AB21" s="1324"/>
      <c r="AC21" s="1327"/>
      <c r="AD21" s="1327"/>
      <c r="AE21" s="1327"/>
      <c r="AF21" s="1327"/>
    </row>
    <row r="22" spans="1:32">
      <c r="A22" s="723"/>
      <c r="B22" s="810"/>
      <c r="C22" s="1445"/>
      <c r="D22" s="2835"/>
      <c r="E22" s="1440"/>
      <c r="F22" s="1322"/>
      <c r="G22" s="1444"/>
      <c r="H22" s="1444"/>
      <c r="I22" s="1444"/>
      <c r="J22" s="1444"/>
      <c r="K22" s="1256"/>
      <c r="L22" s="1510"/>
      <c r="M22" s="2850"/>
      <c r="N22" s="1321"/>
      <c r="O22" s="1323"/>
      <c r="P22" s="1324"/>
      <c r="Q22" s="1322"/>
      <c r="R22" s="1444"/>
      <c r="S22" s="1444"/>
      <c r="T22" s="1444"/>
      <c r="U22" s="1444"/>
      <c r="V22" s="1256"/>
      <c r="W22" s="723"/>
      <c r="X22" s="724"/>
      <c r="Y22" s="1323"/>
      <c r="Z22" s="1321"/>
      <c r="AA22" s="1321"/>
      <c r="AB22" s="1324"/>
      <c r="AC22" s="1327"/>
      <c r="AD22" s="1327"/>
      <c r="AE22" s="1327"/>
      <c r="AF22" s="1327"/>
    </row>
    <row r="23" spans="1:32">
      <c r="A23" s="723"/>
      <c r="B23" s="810"/>
      <c r="C23" s="1445"/>
      <c r="D23" s="2835"/>
      <c r="E23" s="1440"/>
      <c r="F23" s="1322"/>
      <c r="G23" s="1444"/>
      <c r="H23" s="1444"/>
      <c r="I23" s="1444"/>
      <c r="J23" s="1444"/>
      <c r="K23" s="1256"/>
      <c r="L23" s="1510"/>
      <c r="M23" s="2850"/>
      <c r="N23" s="1321"/>
      <c r="O23" s="1323"/>
      <c r="P23" s="1324"/>
      <c r="Q23" s="1322"/>
      <c r="R23" s="1444"/>
      <c r="S23" s="1444"/>
      <c r="T23" s="1444"/>
      <c r="U23" s="1444"/>
      <c r="V23" s="1256"/>
      <c r="W23" s="723"/>
      <c r="X23" s="724"/>
      <c r="Y23" s="1323"/>
      <c r="Z23" s="1321"/>
      <c r="AA23" s="1321"/>
      <c r="AB23" s="1324"/>
      <c r="AC23" s="1327"/>
      <c r="AD23" s="1327"/>
      <c r="AE23" s="1327"/>
      <c r="AF23" s="1327"/>
    </row>
    <row r="24" spans="1:32">
      <c r="A24" s="723"/>
      <c r="B24" s="810"/>
      <c r="C24" s="1445"/>
      <c r="D24" s="2835"/>
      <c r="E24" s="1440"/>
      <c r="F24" s="1322"/>
      <c r="G24" s="1444"/>
      <c r="H24" s="1444"/>
      <c r="I24" s="1444"/>
      <c r="J24" s="1444"/>
      <c r="K24" s="1256"/>
      <c r="L24" s="1510"/>
      <c r="M24" s="2850"/>
      <c r="N24" s="1321"/>
      <c r="O24" s="1323"/>
      <c r="P24" s="1324"/>
      <c r="Q24" s="1322"/>
      <c r="R24" s="1444"/>
      <c r="S24" s="1444"/>
      <c r="T24" s="1444"/>
      <c r="U24" s="1444"/>
      <c r="V24" s="1256"/>
      <c r="W24" s="723"/>
      <c r="X24" s="724"/>
      <c r="Y24" s="1323"/>
      <c r="Z24" s="1321"/>
      <c r="AA24" s="1321"/>
      <c r="AB24" s="1324"/>
      <c r="AC24" s="1327"/>
      <c r="AD24" s="1327"/>
      <c r="AE24" s="1327"/>
      <c r="AF24" s="1327"/>
    </row>
    <row r="25" spans="1:32">
      <c r="A25" s="723"/>
      <c r="B25" s="810"/>
      <c r="C25" s="1445"/>
      <c r="D25" s="2835"/>
      <c r="E25" s="1440"/>
      <c r="F25" s="1322"/>
      <c r="G25" s="1322"/>
      <c r="H25" s="1322"/>
      <c r="I25" s="1322"/>
      <c r="J25" s="1322"/>
      <c r="K25" s="1256"/>
      <c r="L25" s="1443"/>
      <c r="M25" s="2850"/>
      <c r="N25" s="1321"/>
      <c r="O25" s="1323"/>
      <c r="P25" s="1324"/>
      <c r="Q25" s="1322"/>
      <c r="R25" s="1444"/>
      <c r="S25" s="1444"/>
      <c r="T25" s="1444"/>
      <c r="U25" s="1328"/>
      <c r="V25" s="1256"/>
      <c r="W25" s="723"/>
      <c r="X25" s="724"/>
      <c r="Y25" s="1323"/>
      <c r="Z25" s="1321"/>
      <c r="AA25" s="1321"/>
      <c r="AB25" s="1324"/>
      <c r="AC25" s="1327"/>
      <c r="AD25" s="1327"/>
      <c r="AE25" s="1327"/>
      <c r="AF25" s="1327"/>
    </row>
    <row r="26" spans="1:32">
      <c r="A26" s="723"/>
      <c r="B26" s="810"/>
      <c r="C26" s="1445"/>
      <c r="D26" s="2835"/>
      <c r="E26" s="1440"/>
      <c r="F26" s="1322"/>
      <c r="G26" s="1322"/>
      <c r="H26" s="1322"/>
      <c r="I26" s="1322"/>
      <c r="J26" s="1322"/>
      <c r="K26" s="1256"/>
      <c r="L26" s="1443"/>
      <c r="M26" s="2850"/>
      <c r="N26" s="1321"/>
      <c r="O26" s="1323"/>
      <c r="P26" s="1324"/>
      <c r="Q26" s="1322"/>
      <c r="R26" s="1444"/>
      <c r="S26" s="1444"/>
      <c r="T26" s="1444"/>
      <c r="U26" s="1328"/>
      <c r="V26" s="1256"/>
      <c r="W26" s="723"/>
      <c r="X26" s="724"/>
      <c r="Y26" s="1323"/>
      <c r="Z26" s="1321"/>
      <c r="AA26" s="1321"/>
      <c r="AB26" s="1324"/>
      <c r="AC26" s="1327"/>
      <c r="AD26" s="1327"/>
      <c r="AE26" s="1327"/>
      <c r="AF26" s="1327"/>
    </row>
    <row r="27" spans="1:32">
      <c r="A27" s="723"/>
      <c r="B27" s="810"/>
      <c r="C27" s="1445"/>
      <c r="D27" s="2835"/>
      <c r="E27" s="1440"/>
      <c r="F27" s="1322"/>
      <c r="G27" s="1322"/>
      <c r="H27" s="1322"/>
      <c r="I27" s="1322"/>
      <c r="J27" s="1322"/>
      <c r="K27" s="1256"/>
      <c r="L27" s="1443"/>
      <c r="M27" s="2850"/>
      <c r="N27" s="1321"/>
      <c r="O27" s="1323"/>
      <c r="P27" s="1324"/>
      <c r="Q27" s="1322"/>
      <c r="R27" s="1444"/>
      <c r="S27" s="1444"/>
      <c r="T27" s="1444"/>
      <c r="U27" s="1328"/>
      <c r="V27" s="1256"/>
      <c r="W27" s="723"/>
      <c r="X27" s="724"/>
      <c r="Y27" s="1323"/>
      <c r="Z27" s="1321"/>
      <c r="AA27" s="1321"/>
      <c r="AB27" s="1324"/>
      <c r="AC27" s="1327"/>
      <c r="AD27" s="1327"/>
      <c r="AE27" s="1327"/>
      <c r="AF27" s="1327"/>
    </row>
    <row r="28" spans="1:32">
      <c r="A28" s="723"/>
      <c r="B28" s="810"/>
      <c r="C28" s="1445"/>
      <c r="D28" s="2835"/>
      <c r="E28" s="1440"/>
      <c r="F28" s="1322"/>
      <c r="G28" s="1322"/>
      <c r="H28" s="1322"/>
      <c r="I28" s="1322"/>
      <c r="J28" s="1322"/>
      <c r="K28" s="1256"/>
      <c r="L28" s="1443"/>
      <c r="M28" s="2850"/>
      <c r="N28" s="1321"/>
      <c r="O28" s="1323"/>
      <c r="P28" s="1324"/>
      <c r="Q28" s="1322"/>
      <c r="R28" s="1444"/>
      <c r="S28" s="1444"/>
      <c r="T28" s="1444"/>
      <c r="U28" s="1328"/>
      <c r="V28" s="1256"/>
      <c r="W28" s="723"/>
      <c r="X28" s="724"/>
      <c r="Y28" s="1323"/>
      <c r="Z28" s="1321"/>
      <c r="AA28" s="1321"/>
      <c r="AB28" s="1324"/>
      <c r="AC28" s="1327"/>
      <c r="AD28" s="1327"/>
      <c r="AE28" s="1327"/>
      <c r="AF28" s="1327"/>
    </row>
    <row r="29" spans="1:32">
      <c r="A29" s="723"/>
      <c r="B29" s="810"/>
      <c r="C29" s="1445"/>
      <c r="D29" s="2835"/>
      <c r="E29" s="1440"/>
      <c r="F29" s="1322"/>
      <c r="G29" s="1322"/>
      <c r="H29" s="1322"/>
      <c r="I29" s="1322"/>
      <c r="J29" s="1322"/>
      <c r="K29" s="1256"/>
      <c r="L29" s="1443"/>
      <c r="M29" s="2850"/>
      <c r="N29" s="1321"/>
      <c r="O29" s="1323"/>
      <c r="P29" s="1324"/>
      <c r="Q29" s="1322"/>
      <c r="R29" s="1444"/>
      <c r="S29" s="1444"/>
      <c r="T29" s="1444"/>
      <c r="U29" s="1328"/>
      <c r="V29" s="1256"/>
      <c r="W29" s="723"/>
      <c r="X29" s="724"/>
      <c r="Y29" s="1323"/>
      <c r="Z29" s="1321"/>
      <c r="AA29" s="1321"/>
      <c r="AB29" s="1324"/>
      <c r="AC29" s="1327"/>
      <c r="AD29" s="1327"/>
      <c r="AE29" s="1327"/>
      <c r="AF29" s="1327"/>
    </row>
    <row r="30" spans="1:32">
      <c r="A30" s="723"/>
      <c r="B30" s="810"/>
      <c r="C30" s="1445"/>
      <c r="D30" s="2835"/>
      <c r="E30" s="1440"/>
      <c r="F30" s="1322"/>
      <c r="G30" s="1322"/>
      <c r="H30" s="1322"/>
      <c r="I30" s="1322"/>
      <c r="J30" s="1322"/>
      <c r="K30" s="1256"/>
      <c r="L30" s="1443"/>
      <c r="M30" s="2850"/>
      <c r="N30" s="1321"/>
      <c r="O30" s="1323"/>
      <c r="P30" s="1324"/>
      <c r="Q30" s="1322"/>
      <c r="R30" s="1444"/>
      <c r="S30" s="1444"/>
      <c r="T30" s="1444"/>
      <c r="U30" s="1328"/>
      <c r="V30" s="1256"/>
      <c r="W30" s="723"/>
      <c r="X30" s="724"/>
      <c r="Y30" s="1323"/>
      <c r="Z30" s="1321"/>
      <c r="AA30" s="1321"/>
      <c r="AB30" s="1324"/>
      <c r="AC30" s="1327"/>
      <c r="AD30" s="1327"/>
      <c r="AE30" s="1327"/>
      <c r="AF30" s="1327"/>
    </row>
    <row r="31" spans="1:32">
      <c r="A31" s="723"/>
      <c r="B31" s="810"/>
      <c r="C31" s="1445"/>
      <c r="D31" s="2835"/>
      <c r="E31" s="1440"/>
      <c r="F31" s="1322"/>
      <c r="G31" s="1322"/>
      <c r="H31" s="1322"/>
      <c r="I31" s="1322"/>
      <c r="J31" s="1322"/>
      <c r="K31" s="1256"/>
      <c r="L31" s="1443"/>
      <c r="M31" s="2850"/>
      <c r="N31" s="1321"/>
      <c r="O31" s="1323"/>
      <c r="P31" s="1324"/>
      <c r="Q31" s="1322"/>
      <c r="R31" s="1444"/>
      <c r="S31" s="1444"/>
      <c r="T31" s="1444"/>
      <c r="U31" s="1328"/>
      <c r="V31" s="1256"/>
      <c r="W31" s="723"/>
      <c r="X31" s="724"/>
      <c r="Y31" s="1323"/>
      <c r="Z31" s="1321"/>
      <c r="AA31" s="1321"/>
      <c r="AB31" s="1324"/>
      <c r="AC31" s="1327"/>
      <c r="AD31" s="1327"/>
      <c r="AE31" s="1327"/>
      <c r="AF31" s="1327"/>
    </row>
    <row r="32" spans="1:32">
      <c r="A32" s="723"/>
      <c r="B32" s="810"/>
      <c r="C32" s="1445"/>
      <c r="D32" s="2835"/>
      <c r="E32" s="1440"/>
      <c r="F32" s="1322"/>
      <c r="G32" s="1322"/>
      <c r="H32" s="1322"/>
      <c r="I32" s="1322"/>
      <c r="J32" s="1322"/>
      <c r="K32" s="1256"/>
      <c r="L32" s="1443"/>
      <c r="M32" s="2850"/>
      <c r="N32" s="1321"/>
      <c r="O32" s="1323"/>
      <c r="P32" s="1324"/>
      <c r="Q32" s="1322"/>
      <c r="R32" s="1444"/>
      <c r="S32" s="1444"/>
      <c r="T32" s="1444"/>
      <c r="U32" s="1328"/>
      <c r="V32" s="1256"/>
      <c r="W32" s="723"/>
      <c r="X32" s="724"/>
      <c r="Y32" s="1323"/>
      <c r="Z32" s="1321"/>
      <c r="AA32" s="1321"/>
      <c r="AB32" s="1324"/>
      <c r="AC32" s="1327"/>
      <c r="AD32" s="1327"/>
      <c r="AE32" s="1327"/>
      <c r="AF32" s="1327"/>
    </row>
    <row r="33" spans="1:32">
      <c r="A33" s="723"/>
      <c r="B33" s="810"/>
      <c r="C33" s="1445"/>
      <c r="D33" s="1320"/>
      <c r="E33" s="1440"/>
      <c r="F33" s="1322"/>
      <c r="G33" s="1322"/>
      <c r="H33" s="1322"/>
      <c r="I33" s="1322"/>
      <c r="J33" s="1322"/>
      <c r="K33" s="1256"/>
      <c r="L33" s="1443"/>
      <c r="M33" s="2850"/>
      <c r="N33" s="1321"/>
      <c r="O33" s="1323"/>
      <c r="P33" s="1324"/>
      <c r="Q33" s="1322"/>
      <c r="R33" s="1444"/>
      <c r="S33" s="1444"/>
      <c r="T33" s="1444"/>
      <c r="U33" s="1328"/>
      <c r="V33" s="1256"/>
      <c r="W33" s="723"/>
      <c r="X33" s="724"/>
      <c r="Y33" s="1323"/>
      <c r="Z33" s="1321"/>
      <c r="AA33" s="1321"/>
      <c r="AB33" s="1324"/>
      <c r="AC33" s="1327"/>
      <c r="AD33" s="1327"/>
      <c r="AE33" s="1327"/>
      <c r="AF33" s="1327"/>
    </row>
    <row r="34" spans="1:32">
      <c r="A34" s="723"/>
      <c r="B34" s="810"/>
      <c r="C34" s="1445"/>
      <c r="D34" s="1320"/>
      <c r="E34" s="1440"/>
      <c r="F34" s="1322"/>
      <c r="G34" s="1322"/>
      <c r="H34" s="1322"/>
      <c r="I34" s="1322"/>
      <c r="J34" s="1322"/>
      <c r="K34" s="1256"/>
      <c r="L34" s="1443"/>
      <c r="M34" s="2850"/>
      <c r="N34" s="1321"/>
      <c r="O34" s="1323"/>
      <c r="P34" s="1324"/>
      <c r="Q34" s="1322"/>
      <c r="R34" s="1444"/>
      <c r="S34" s="1444"/>
      <c r="T34" s="1444"/>
      <c r="U34" s="1328"/>
      <c r="V34" s="1256"/>
      <c r="W34" s="723"/>
      <c r="X34" s="724"/>
      <c r="Y34" s="1323"/>
      <c r="Z34" s="1321"/>
      <c r="AA34" s="1321"/>
      <c r="AB34" s="1324"/>
      <c r="AC34" s="1327"/>
      <c r="AD34" s="1327"/>
      <c r="AE34" s="1327"/>
      <c r="AF34" s="1327"/>
    </row>
    <row r="35" spans="1:32">
      <c r="A35" s="723"/>
      <c r="B35" s="810"/>
      <c r="C35" s="1445"/>
      <c r="D35" s="1320"/>
      <c r="E35" s="1441"/>
      <c r="F35" s="1322"/>
      <c r="G35" s="1322"/>
      <c r="H35" s="1322"/>
      <c r="I35" s="1322"/>
      <c r="J35" s="1322"/>
      <c r="K35" s="1256"/>
      <c r="L35" s="1443"/>
      <c r="M35" s="2850"/>
      <c r="N35" s="1321"/>
      <c r="O35" s="1323"/>
      <c r="P35" s="1324"/>
      <c r="Q35" s="1322"/>
      <c r="R35" s="1444"/>
      <c r="S35" s="1444"/>
      <c r="T35" s="1444"/>
      <c r="U35" s="1328"/>
      <c r="V35" s="1256"/>
      <c r="W35" s="723"/>
      <c r="X35" s="724"/>
      <c r="Y35" s="1323"/>
      <c r="Z35" s="1321"/>
      <c r="AA35" s="1321"/>
      <c r="AB35" s="1324"/>
      <c r="AC35" s="1327"/>
      <c r="AD35" s="1327"/>
      <c r="AE35" s="1327"/>
      <c r="AF35" s="1327"/>
    </row>
    <row r="36" spans="1:32">
      <c r="A36" s="1329"/>
      <c r="B36" s="1330"/>
      <c r="C36" s="1440"/>
      <c r="D36" s="1331"/>
      <c r="E36" s="1442"/>
      <c r="F36" s="1332"/>
      <c r="G36" s="1332"/>
      <c r="H36" s="1332"/>
      <c r="I36" s="1332"/>
      <c r="J36" s="1332"/>
      <c r="K36" s="1256"/>
      <c r="L36" s="1329"/>
      <c r="M36" s="2851"/>
      <c r="N36" s="1334"/>
      <c r="O36" s="1334"/>
      <c r="P36" s="1335"/>
      <c r="Q36" s="1322"/>
      <c r="R36" s="1333"/>
      <c r="S36" s="1333"/>
      <c r="T36" s="1333"/>
      <c r="U36" s="1336"/>
      <c r="V36" s="1256"/>
      <c r="W36" s="1329"/>
      <c r="X36" s="1333"/>
      <c r="Y36" s="1337"/>
      <c r="Z36" s="1334"/>
      <c r="AA36" s="1334"/>
      <c r="AB36" s="1334"/>
      <c r="AC36" s="1329"/>
      <c r="AD36" s="1337"/>
      <c r="AE36" s="1334"/>
      <c r="AF36" s="1334"/>
    </row>
    <row r="37" spans="1:32" ht="24.75" customHeight="1" collapsed="1" thickBot="1">
      <c r="A37" s="6045" t="s">
        <v>1522</v>
      </c>
      <c r="B37" s="6046"/>
      <c r="C37" s="6046"/>
      <c r="D37" s="6046"/>
      <c r="E37" s="6046"/>
      <c r="F37" s="6047"/>
      <c r="G37" s="1338">
        <f>SUM(G14:G36)</f>
        <v>311379.75</v>
      </c>
      <c r="H37" s="1338">
        <f>SUM(H14:H36)</f>
        <v>0</v>
      </c>
      <c r="I37" s="1338">
        <f>SUM(I14:I36)</f>
        <v>0</v>
      </c>
      <c r="J37" s="1338">
        <f>SUM(J14:J36)</f>
        <v>311379.75</v>
      </c>
      <c r="K37" s="1256"/>
      <c r="L37" s="1339" t="s">
        <v>1522</v>
      </c>
      <c r="M37" s="1343"/>
      <c r="N37" s="1340"/>
      <c r="O37" s="1340"/>
      <c r="P37" s="1340"/>
      <c r="Q37" s="1340"/>
      <c r="R37" s="1341">
        <f>SUM(R14:R36)</f>
        <v>311379.75</v>
      </c>
      <c r="S37" s="1338">
        <f>SUM(S14:S36)</f>
        <v>0</v>
      </c>
      <c r="T37" s="1338">
        <f>SUM(T14:T36)</f>
        <v>0</v>
      </c>
      <c r="U37" s="1338">
        <f>SUM(U14:U36)</f>
        <v>311379.75</v>
      </c>
      <c r="V37" s="1256"/>
      <c r="W37" s="1342" t="s">
        <v>1522</v>
      </c>
      <c r="X37" s="1343"/>
      <c r="Y37" s="1343"/>
      <c r="Z37" s="1343"/>
      <c r="AA37" s="1343"/>
      <c r="AB37" s="1343"/>
      <c r="AC37" s="1341">
        <f>SUM(AC14:AC36)</f>
        <v>0</v>
      </c>
      <c r="AD37" s="1338">
        <f>SUM(AD14:AD36)</f>
        <v>0</v>
      </c>
      <c r="AE37" s="1338">
        <f>SUM(AE14:AE36)</f>
        <v>0</v>
      </c>
      <c r="AF37" s="1338">
        <f>+AF14</f>
        <v>0</v>
      </c>
    </row>
    <row r="38" spans="1:32">
      <c r="A38" s="1360"/>
      <c r="B38" s="1256"/>
      <c r="C38" s="1255"/>
      <c r="D38" s="1257"/>
      <c r="E38" s="1361"/>
      <c r="F38" s="1258"/>
      <c r="G38" s="1258"/>
      <c r="H38" s="1258"/>
      <c r="I38" s="1258"/>
      <c r="J38" s="1258"/>
      <c r="K38" s="1256"/>
      <c r="L38" s="1360"/>
      <c r="M38" s="2852"/>
      <c r="N38" s="1362"/>
      <c r="O38" s="1362"/>
      <c r="P38" s="1362"/>
      <c r="Q38" s="1360"/>
      <c r="R38" s="1360"/>
      <c r="S38" s="1360"/>
      <c r="T38" s="1360"/>
      <c r="U38" s="1363"/>
      <c r="V38" s="1256"/>
      <c r="W38" s="1360"/>
      <c r="X38" s="1360"/>
      <c r="Y38" s="1364"/>
      <c r="Z38" s="1362"/>
      <c r="AA38" s="1362"/>
      <c r="AB38" s="1362"/>
      <c r="AC38" s="1360"/>
      <c r="AD38" s="1364"/>
      <c r="AE38" s="1362"/>
      <c r="AF38" s="1362"/>
    </row>
    <row r="39" spans="1:32">
      <c r="A39" s="1360"/>
      <c r="B39" s="1256"/>
      <c r="C39" s="1255"/>
      <c r="D39" s="1257"/>
      <c r="E39" s="1361"/>
      <c r="F39" s="1258"/>
      <c r="G39" s="1258"/>
      <c r="H39" s="1258"/>
      <c r="I39" s="1258"/>
      <c r="J39" s="1258"/>
      <c r="K39" s="1256"/>
      <c r="L39" s="1360"/>
      <c r="M39" s="2852"/>
      <c r="N39" s="1362"/>
      <c r="O39" s="1362"/>
      <c r="P39" s="1257"/>
      <c r="Q39" s="1258"/>
      <c r="R39" s="1258"/>
      <c r="S39" s="1258"/>
      <c r="T39" s="1258"/>
      <c r="U39" s="1258">
        <f>+U37-T37</f>
        <v>311379.75</v>
      </c>
      <c r="V39" s="1256"/>
      <c r="W39" s="1360"/>
      <c r="X39" s="1360"/>
      <c r="Y39" s="1364"/>
      <c r="Z39" s="1362"/>
      <c r="AA39" s="1362"/>
      <c r="AB39" s="1362"/>
      <c r="AC39" s="1360"/>
      <c r="AD39" s="1364"/>
      <c r="AE39" s="1362"/>
      <c r="AF39" s="1362"/>
    </row>
    <row r="40" spans="1:32">
      <c r="A40" s="1365"/>
      <c r="B40" s="1256"/>
      <c r="C40" s="1255"/>
      <c r="D40" s="1257"/>
      <c r="E40" s="1361"/>
      <c r="F40" s="1366"/>
      <c r="G40" s="1366"/>
      <c r="H40" s="1366"/>
      <c r="I40" s="1366"/>
      <c r="J40" s="1258"/>
      <c r="K40" s="1256"/>
      <c r="L40" s="1365"/>
      <c r="M40" s="2853">
        <f>403092.61/11085046.72</f>
        <v>3.6363636544059594E-2</v>
      </c>
      <c r="N40" s="1365"/>
      <c r="O40" s="1365"/>
      <c r="P40" s="1257"/>
      <c r="Q40" s="1366"/>
      <c r="R40" s="1366"/>
      <c r="S40" s="1366"/>
      <c r="T40" s="1366"/>
      <c r="U40" s="1366"/>
      <c r="V40" s="1256"/>
      <c r="W40" s="1365"/>
      <c r="X40" s="1365"/>
      <c r="Y40" s="1365"/>
      <c r="Z40" s="1362"/>
      <c r="AA40" s="1362"/>
      <c r="AB40" s="1362"/>
      <c r="AC40" s="1365"/>
      <c r="AD40" s="1365"/>
      <c r="AE40" s="1362"/>
      <c r="AF40" s="1362"/>
    </row>
    <row r="41" spans="1:32">
      <c r="D41" s="1257"/>
      <c r="E41" s="153">
        <v>44197</v>
      </c>
      <c r="F41" s="1366"/>
      <c r="P41" s="1257"/>
      <c r="Q41" s="1366"/>
      <c r="R41" s="1366"/>
      <c r="S41" s="1366"/>
      <c r="T41" s="1366"/>
      <c r="U41" s="1366"/>
      <c r="AA41" s="153">
        <v>44094</v>
      </c>
      <c r="AC41" s="1367"/>
    </row>
    <row r="42" spans="1:32">
      <c r="D42" s="1257"/>
      <c r="E42" s="153">
        <f>E41-45</f>
        <v>44152</v>
      </c>
      <c r="F42" s="1366"/>
      <c r="P42" s="1257"/>
      <c r="Q42" s="1366"/>
      <c r="R42" s="1366"/>
      <c r="S42" s="1366"/>
      <c r="T42" s="1366"/>
      <c r="U42" s="1366"/>
      <c r="AA42" s="153">
        <f>AA41-45</f>
        <v>44049</v>
      </c>
    </row>
    <row r="43" spans="1:32">
      <c r="D43" s="1257"/>
      <c r="F43" s="1366"/>
      <c r="H43" s="153">
        <v>43986</v>
      </c>
      <c r="R43" s="652"/>
      <c r="S43" s="652"/>
      <c r="T43" s="652"/>
      <c r="U43" s="652"/>
    </row>
    <row r="45" spans="1:32">
      <c r="AC45" t="s">
        <v>2330</v>
      </c>
    </row>
    <row r="46" spans="1:32">
      <c r="AC46" s="3018">
        <v>45222</v>
      </c>
      <c r="AD46" s="3018">
        <v>45253</v>
      </c>
      <c r="AE46" s="3018">
        <v>45283</v>
      </c>
    </row>
    <row r="47" spans="1:32">
      <c r="AC47" s="3020">
        <v>11439880.26</v>
      </c>
    </row>
  </sheetData>
  <mergeCells count="4">
    <mergeCell ref="A10:J10"/>
    <mergeCell ref="L10:U10"/>
    <mergeCell ref="W10:AF10"/>
    <mergeCell ref="A37:F37"/>
  </mergeCells>
  <printOptions horizontalCentered="1"/>
  <pageMargins left="0.23622047244094491" right="0.23622047244094491" top="0.74803149606299213" bottom="0.74803149606299213" header="0.31496062992125984" footer="0.31496062992125984"/>
  <pageSetup paperSize="8" scale="67" fitToHeight="2" orientation="landscape" r:id="rId1"/>
  <headerFooter>
    <oddHeader>&amp;C&amp;"Calibri,Bold"&amp;18MONTHLY REPORT - INVOICE &amp; PAYMENT TRACKING LOG (AL FUTTAIM)</oddHeader>
    <oddFooter>&amp;L1TB.01.003.01 - AYC 
MARCH'26 REPORT&amp;C&amp;A&amp;RPage &amp;P of &amp;N</oddFooter>
  </headerFooter>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D1E1A-E101-4900-B7A2-2F009D4A49AB}">
  <sheetPr codeName="Sheet23">
    <tabColor theme="7" tint="0.39997558519241921"/>
    <pageSetUpPr fitToPage="1"/>
  </sheetPr>
  <dimension ref="A1:EV44"/>
  <sheetViews>
    <sheetView showGridLines="0" view="pageBreakPreview" zoomScale="80" zoomScaleNormal="90" zoomScaleSheetLayoutView="80" workbookViewId="0">
      <pane xSplit="2" ySplit="10" topLeftCell="EK11" activePane="bottomRight" state="frozen"/>
      <selection activeCell="F37" sqref="F37"/>
      <selection pane="topRight" activeCell="F37" sqref="F37"/>
      <selection pane="bottomLeft" activeCell="F37" sqref="F37"/>
      <selection pane="bottomRight" activeCell="F37" sqref="F37"/>
    </sheetView>
  </sheetViews>
  <sheetFormatPr defaultColWidth="9" defaultRowHeight="14.25" outlineLevelCol="1"/>
  <cols>
    <col min="1" max="1" width="18.85546875" style="1004" customWidth="1"/>
    <col min="2" max="2" width="33" style="1003" customWidth="1"/>
    <col min="3" max="3" width="31.42578125" style="1003" hidden="1" customWidth="1" outlineLevel="1"/>
    <col min="4" max="4" width="17" style="1004" hidden="1" customWidth="1" outlineLevel="1"/>
    <col min="5" max="5" width="10" style="1004" bestFit="1" customWidth="1" collapsed="1"/>
    <col min="6" max="6" width="14.85546875" style="1004" customWidth="1"/>
    <col min="7" max="7" width="9.5703125" style="1004" customWidth="1"/>
    <col min="8" max="39" width="18" style="1003" hidden="1" customWidth="1" outlineLevel="1"/>
    <col min="40" max="43" width="19.42578125" style="1003" hidden="1" customWidth="1" outlineLevel="1"/>
    <col min="44" max="45" width="18" style="1003" hidden="1" customWidth="1" outlineLevel="1"/>
    <col min="46" max="52" width="19.85546875" style="1003" hidden="1" customWidth="1" outlineLevel="1"/>
    <col min="53" max="54" width="18" style="1003" hidden="1" customWidth="1" outlineLevel="1"/>
    <col min="55" max="55" width="20.85546875" style="1003" hidden="1" customWidth="1" outlineLevel="1"/>
    <col min="56" max="60" width="18" style="1003" hidden="1" customWidth="1" outlineLevel="1"/>
    <col min="61" max="61" width="19.85546875" style="1003" hidden="1" customWidth="1" outlineLevel="1"/>
    <col min="62" max="63" width="18" style="1003" hidden="1" customWidth="1" outlineLevel="1"/>
    <col min="64" max="64" width="20.85546875" style="1003" hidden="1" customWidth="1" outlineLevel="1"/>
    <col min="65" max="72" width="18" style="1003" hidden="1" customWidth="1" outlineLevel="1"/>
    <col min="73" max="73" width="20.85546875" style="1003" hidden="1" customWidth="1" outlineLevel="1"/>
    <col min="74" max="81" width="18" style="1003" hidden="1" customWidth="1" outlineLevel="1"/>
    <col min="82" max="82" width="18.85546875" style="1003" hidden="1" customWidth="1" outlineLevel="1"/>
    <col min="83" max="87" width="18" style="1003" hidden="1" customWidth="1" outlineLevel="1"/>
    <col min="88" max="88" width="20.85546875" style="1003" hidden="1" customWidth="1" outlineLevel="1"/>
    <col min="89" max="93" width="18" style="1003" hidden="1" customWidth="1" outlineLevel="1"/>
    <col min="94" max="94" width="20.85546875" style="1003" hidden="1" customWidth="1" outlineLevel="1"/>
    <col min="95" max="96" width="18" style="1003" hidden="1" customWidth="1" outlineLevel="1"/>
    <col min="97" max="100" width="20.85546875" style="1003" hidden="1" customWidth="1" outlineLevel="1"/>
    <col min="101" max="102" width="18" style="1003" hidden="1" customWidth="1" outlineLevel="1"/>
    <col min="103" max="103" width="20.85546875" style="1003" hidden="1" customWidth="1" outlineLevel="1"/>
    <col min="104" max="105" width="18" style="1003" hidden="1" customWidth="1" outlineLevel="1"/>
    <col min="106" max="114" width="20.85546875" style="1003" hidden="1" customWidth="1" outlineLevel="1"/>
    <col min="115" max="115" width="22.42578125" style="1003" hidden="1" customWidth="1" outlineLevel="1"/>
    <col min="116" max="121" width="20.85546875" style="1003" hidden="1" customWidth="1" outlineLevel="1"/>
    <col min="122" max="122" width="20.85546875" style="1003" hidden="1" customWidth="1" outlineLevel="1" collapsed="1"/>
    <col min="123" max="136" width="20.85546875" style="1003" hidden="1" customWidth="1" outlineLevel="1"/>
    <col min="137" max="137" width="20.85546875" style="1003" customWidth="1" collapsed="1"/>
    <col min="138" max="139" width="20.85546875" style="1003" customWidth="1"/>
    <col min="140" max="140" width="20.85546875" style="1003" customWidth="1" collapsed="1"/>
    <col min="141" max="145" width="20.85546875" style="1003" customWidth="1"/>
    <col min="146" max="149" width="18" style="1003" customWidth="1"/>
    <col min="150" max="150" width="24" style="1005" customWidth="1"/>
    <col min="151" max="151" width="18.5703125" style="1003" customWidth="1"/>
    <col min="152" max="16384" width="9" style="1003"/>
  </cols>
  <sheetData>
    <row r="1" spans="1:152" ht="24.75">
      <c r="A1" s="1002"/>
    </row>
    <row r="2" spans="1:152" ht="17.25" customHeight="1">
      <c r="A2" s="1006" t="str">
        <f>'Data Input'!A1&amp;" - "&amp;'Data Input'!B1</f>
        <v>PROGRAMME: - MARINA VILLAGE (PROGRAMME 1_TRIPLE BAY)</v>
      </c>
    </row>
    <row r="3" spans="1:152" ht="17.25" customHeight="1">
      <c r="A3" s="1006" t="str">
        <f>'Data Input'!A2&amp;" - "&amp;'Data Input'!B2</f>
        <v>PROGRAMME CODE: - 1TB01003</v>
      </c>
    </row>
    <row r="4" spans="1:152" ht="17.25" customHeight="1">
      <c r="A4" s="1006" t="str">
        <f>'Data Input'!A3&amp;" - "&amp;'Data Input'!B3</f>
        <v>ASSET NAME: - AMAALA YACHT CLUB</v>
      </c>
    </row>
    <row r="5" spans="1:152" ht="17.25" customHeight="1">
      <c r="A5" s="1006" t="str">
        <f>'Data Input'!A4&amp;" - "&amp;'Data Input'!B4</f>
        <v>ASSET CODE: - 1TB01003.01</v>
      </c>
    </row>
    <row r="6" spans="1:152" ht="17.25" customHeight="1">
      <c r="A6" s="1006" t="str">
        <f>'Data Input'!A7&amp;" - "&amp;'Data Input'!B7</f>
        <v>REPORT NO: - MONTHLY REPORT NO. 49</v>
      </c>
    </row>
    <row r="7" spans="1:152" ht="17.25" customHeight="1">
      <c r="A7" s="1006" t="str">
        <f>'Data Input'!A8&amp;" - "&amp;'Data Input'!B8</f>
        <v>REPORTING PERIOD: - OCTOBER 2026</v>
      </c>
      <c r="AL7" s="2002"/>
      <c r="AM7" s="2002"/>
      <c r="AN7" s="2002"/>
      <c r="AO7" s="2002"/>
      <c r="AP7" s="2002"/>
      <c r="AQ7" s="2002"/>
    </row>
    <row r="8" spans="1:152" ht="18" customHeight="1">
      <c r="A8" s="1007"/>
      <c r="B8" s="1008"/>
      <c r="C8" s="1008"/>
      <c r="D8" s="1007"/>
      <c r="E8" s="1007"/>
      <c r="F8" s="1007"/>
      <c r="G8" s="1007"/>
      <c r="H8" s="1008"/>
      <c r="I8" s="1008"/>
      <c r="J8" s="1008"/>
      <c r="K8" s="1008"/>
      <c r="L8" s="1008"/>
      <c r="M8" s="1008"/>
      <c r="N8" s="1008"/>
      <c r="O8" s="1008"/>
      <c r="P8" s="1008"/>
      <c r="Q8" s="1008"/>
      <c r="R8" s="1008"/>
      <c r="S8" s="1008"/>
      <c r="T8" s="1008"/>
      <c r="U8" s="1008"/>
      <c r="V8" s="1008"/>
      <c r="W8" s="1008"/>
      <c r="X8" s="1008"/>
      <c r="Y8" s="1008"/>
      <c r="Z8" s="1008"/>
      <c r="AA8" s="1008"/>
      <c r="AB8" s="1008"/>
      <c r="AC8" s="1008"/>
      <c r="AD8" s="1008"/>
      <c r="AE8" s="1008"/>
      <c r="AF8" s="1008"/>
      <c r="AG8" s="1008"/>
      <c r="AH8" s="1008"/>
      <c r="AI8" s="1008"/>
      <c r="AJ8" s="1008"/>
      <c r="AK8" s="1008"/>
      <c r="AL8" s="2087"/>
      <c r="AM8" s="2087"/>
      <c r="AN8" s="2087"/>
      <c r="AO8" s="2087"/>
      <c r="AP8" s="2087"/>
      <c r="AQ8" s="2087"/>
      <c r="AR8" s="1008"/>
      <c r="AS8" s="1008"/>
      <c r="AT8" s="1008"/>
      <c r="AU8" s="1008"/>
      <c r="AV8" s="1008"/>
      <c r="AW8" s="1008"/>
      <c r="AX8" s="1008"/>
      <c r="AY8" s="1008"/>
      <c r="AZ8" s="1008"/>
      <c r="BA8" s="1008"/>
      <c r="BB8" s="1008"/>
      <c r="BC8" s="1008"/>
      <c r="BD8" s="1008"/>
      <c r="BE8" s="1008"/>
      <c r="BF8" s="1008"/>
      <c r="BG8" s="1008"/>
      <c r="BH8" s="1008"/>
      <c r="BI8" s="1008"/>
      <c r="BJ8" s="1008"/>
      <c r="BK8" s="1008"/>
      <c r="BL8" s="1008"/>
      <c r="BM8" s="1008"/>
      <c r="BN8" s="1008"/>
      <c r="BO8" s="1008"/>
      <c r="BP8" s="1008"/>
      <c r="BQ8" s="1008"/>
      <c r="BR8" s="1008"/>
      <c r="BS8" s="1008"/>
      <c r="BT8" s="1008"/>
      <c r="BU8" s="1008"/>
      <c r="BV8" s="1008"/>
      <c r="BW8" s="1008"/>
      <c r="BX8" s="1008"/>
      <c r="BY8" s="1008"/>
      <c r="BZ8" s="1008"/>
      <c r="CA8" s="1008"/>
      <c r="CB8" s="1008"/>
      <c r="CC8" s="1008"/>
      <c r="CD8" s="1008"/>
      <c r="CE8" s="1008"/>
      <c r="CF8" s="1008"/>
      <c r="CG8" s="1008"/>
      <c r="CH8" s="1008"/>
      <c r="CI8" s="1008"/>
      <c r="CJ8" s="1008"/>
      <c r="CK8" s="1008"/>
      <c r="CL8" s="1008"/>
      <c r="CM8" s="1008"/>
      <c r="CN8" s="1008"/>
      <c r="CO8" s="1008"/>
      <c r="CP8" s="1008"/>
      <c r="CQ8" s="1008"/>
      <c r="CR8" s="1008"/>
      <c r="CS8" s="1008"/>
      <c r="CT8" s="1008"/>
      <c r="CU8" s="1008"/>
      <c r="CV8" s="1008"/>
      <c r="CW8" s="1008"/>
      <c r="CX8" s="1008"/>
      <c r="CY8" s="1008"/>
      <c r="CZ8" s="1008"/>
      <c r="DA8" s="1008"/>
      <c r="DB8" s="1008"/>
      <c r="DC8" s="1008"/>
      <c r="DD8" s="1008"/>
      <c r="DE8" s="1008"/>
      <c r="DF8" s="1008"/>
      <c r="DG8" s="1008"/>
      <c r="DH8" s="1008"/>
      <c r="DI8" s="1008"/>
      <c r="DJ8" s="1008"/>
      <c r="DK8" s="1008"/>
      <c r="DL8" s="1008"/>
      <c r="DM8" s="1008"/>
      <c r="DN8" s="1008"/>
      <c r="DO8" s="1008"/>
      <c r="DP8" s="1008"/>
      <c r="DQ8" s="1008"/>
      <c r="DR8" s="1008"/>
      <c r="DS8" s="1008"/>
      <c r="DT8" s="1008"/>
      <c r="DU8" s="1008"/>
      <c r="DV8" s="1008"/>
      <c r="DW8" s="1008"/>
      <c r="DX8" s="1008"/>
      <c r="DY8" s="1008"/>
      <c r="DZ8" s="1008"/>
      <c r="EA8" s="1008"/>
      <c r="EB8" s="1008"/>
      <c r="EC8" s="1008"/>
      <c r="ED8" s="1008"/>
      <c r="EE8" s="1008"/>
      <c r="EF8" s="1008"/>
      <c r="EG8" s="1008"/>
      <c r="EH8" s="1008"/>
      <c r="EI8" s="1008"/>
      <c r="EJ8" s="1008"/>
      <c r="EK8" s="1008"/>
      <c r="EL8" s="1008"/>
      <c r="EM8" s="1008"/>
      <c r="EN8" s="1008"/>
      <c r="EO8" s="1008"/>
      <c r="EP8" s="1008"/>
      <c r="EQ8" s="1008"/>
      <c r="ER8" s="1008"/>
      <c r="ES8" s="1008"/>
    </row>
    <row r="9" spans="1:152" s="1015" customFormat="1" ht="30" customHeight="1">
      <c r="A9" s="1009"/>
      <c r="B9" s="1010"/>
      <c r="C9" s="1010"/>
      <c r="D9" s="1009"/>
      <c r="E9" s="1011"/>
      <c r="F9" s="1012"/>
      <c r="G9" s="1009"/>
      <c r="H9" s="1013"/>
      <c r="I9" s="1013"/>
      <c r="J9" s="1013"/>
      <c r="K9" s="1013"/>
      <c r="L9" s="1013"/>
      <c r="M9" s="1013"/>
      <c r="N9" s="1013"/>
      <c r="O9" s="1013"/>
      <c r="P9" s="1013"/>
      <c r="Q9" s="1013"/>
      <c r="R9" s="1013"/>
      <c r="S9" s="1013"/>
      <c r="T9" s="1013"/>
      <c r="U9" s="1013"/>
      <c r="V9" s="1013"/>
      <c r="W9" s="1013"/>
      <c r="X9" s="1013"/>
      <c r="Y9" s="1013"/>
      <c r="Z9" s="1013"/>
      <c r="AA9" s="1013"/>
      <c r="AB9" s="1013"/>
      <c r="AC9" s="1013"/>
      <c r="AD9" s="1013"/>
      <c r="AE9" s="1013"/>
      <c r="AF9" s="1013"/>
      <c r="AG9" s="1013"/>
      <c r="AH9" s="1013"/>
      <c r="AI9" s="1013"/>
      <c r="AJ9" s="1013"/>
      <c r="AK9" s="1013"/>
      <c r="AL9" s="1013"/>
      <c r="AM9" s="1013"/>
      <c r="AN9" s="1013"/>
      <c r="AO9" s="1013"/>
      <c r="AP9" s="1013"/>
      <c r="AQ9" s="1013"/>
      <c r="AR9" s="1013"/>
      <c r="AS9" s="1013"/>
      <c r="AT9" s="1013"/>
      <c r="AU9" s="1013"/>
      <c r="AV9" s="1013"/>
      <c r="AW9" s="1013"/>
      <c r="AX9" s="1013"/>
      <c r="AY9" s="1013"/>
      <c r="AZ9" s="1013"/>
      <c r="BA9" s="1013"/>
      <c r="BB9" s="1013"/>
      <c r="BC9" s="1013"/>
      <c r="BD9" s="1013"/>
      <c r="BE9" s="1013"/>
      <c r="BF9" s="1013"/>
      <c r="BG9" s="1013"/>
      <c r="BH9" s="1013"/>
      <c r="BI9" s="1013"/>
      <c r="BJ9" s="1013"/>
      <c r="BK9" s="1013"/>
      <c r="BL9" s="1013"/>
      <c r="BM9" s="1013"/>
      <c r="BN9" s="1013"/>
      <c r="BO9" s="1013"/>
      <c r="BP9" s="1013"/>
      <c r="BQ9" s="1013"/>
      <c r="BR9" s="1013"/>
      <c r="BS9" s="1013"/>
      <c r="BT9" s="1013"/>
      <c r="BU9" s="1013"/>
      <c r="BV9" s="1013"/>
      <c r="BW9" s="1013"/>
      <c r="BX9" s="1013"/>
      <c r="BY9" s="1013"/>
      <c r="BZ9" s="1013"/>
      <c r="CA9" s="1013"/>
      <c r="CB9" s="1013"/>
      <c r="CC9" s="1013"/>
      <c r="CD9" s="1013"/>
      <c r="CE9" s="1013"/>
      <c r="CF9" s="1013"/>
      <c r="CG9" s="1013"/>
      <c r="CH9" s="1013"/>
      <c r="CI9" s="1013"/>
      <c r="CJ9" s="1013"/>
      <c r="CK9" s="1013"/>
      <c r="CL9" s="1013"/>
      <c r="CM9" s="1013"/>
      <c r="CN9" s="1013"/>
      <c r="CO9" s="1013"/>
      <c r="CP9" s="1013"/>
      <c r="CQ9" s="1013"/>
      <c r="CR9" s="1013"/>
      <c r="CS9" s="1013"/>
      <c r="CT9" s="1013"/>
      <c r="CU9" s="1013"/>
      <c r="CV9" s="1013"/>
      <c r="CW9" s="1013"/>
      <c r="CX9" s="1013"/>
      <c r="CY9" s="1013"/>
      <c r="CZ9" s="1013"/>
      <c r="DA9" s="1013"/>
      <c r="DB9" s="1013"/>
      <c r="DC9" s="1013"/>
      <c r="DD9" s="1013"/>
      <c r="DE9" s="1013"/>
      <c r="DF9" s="1013"/>
      <c r="DG9" s="1013"/>
      <c r="DH9" s="1013"/>
      <c r="DI9" s="1013"/>
      <c r="DJ9" s="1013"/>
      <c r="DK9" s="1013"/>
      <c r="DL9" s="1013"/>
      <c r="DM9" s="1013"/>
      <c r="DN9" s="1013"/>
      <c r="DO9" s="1013"/>
      <c r="DP9" s="1013"/>
      <c r="DQ9" s="1013"/>
      <c r="DR9" s="1013"/>
      <c r="DS9" s="1013"/>
      <c r="DT9" s="1013"/>
      <c r="DU9" s="1013"/>
      <c r="DV9" s="1013"/>
      <c r="DW9" s="1013"/>
      <c r="DX9" s="1013"/>
      <c r="DY9" s="1013"/>
      <c r="DZ9" s="1013"/>
      <c r="EA9" s="1013"/>
      <c r="EB9" s="1013"/>
      <c r="EC9" s="1013"/>
      <c r="ED9" s="1013"/>
      <c r="EE9" s="1013"/>
      <c r="EF9" s="1013"/>
      <c r="EG9" s="1013"/>
      <c r="EH9" s="1013"/>
      <c r="EI9" s="1013"/>
      <c r="EJ9" s="1013"/>
      <c r="EK9" s="1013"/>
      <c r="EL9" s="1013"/>
      <c r="EM9" s="1013"/>
      <c r="EN9" s="1013"/>
      <c r="EO9" s="1013"/>
      <c r="EP9" s="1013"/>
      <c r="EQ9" s="1013"/>
      <c r="ER9" s="1013"/>
      <c r="ES9" s="1013"/>
      <c r="ET9" s="1014" t="e">
        <f>ES9=AF9+AI9+#REF!</f>
        <v>#REF!</v>
      </c>
    </row>
    <row r="10" spans="1:152" s="1004" customFormat="1" ht="44.25" customHeight="1">
      <c r="A10" s="1016" t="s">
        <v>1773</v>
      </c>
      <c r="B10" s="1016" t="s">
        <v>1774</v>
      </c>
      <c r="C10" s="1016" t="s">
        <v>1775</v>
      </c>
      <c r="D10" s="1016" t="s">
        <v>1776</v>
      </c>
      <c r="E10" s="1016" t="s">
        <v>1777</v>
      </c>
      <c r="F10" s="1016" t="s">
        <v>1778</v>
      </c>
      <c r="G10" s="1016" t="s">
        <v>1779</v>
      </c>
      <c r="H10" s="1017" t="s">
        <v>1780</v>
      </c>
      <c r="I10" s="1017" t="s">
        <v>1781</v>
      </c>
      <c r="J10" s="1017" t="s">
        <v>1782</v>
      </c>
      <c r="K10" s="1018" t="s">
        <v>1783</v>
      </c>
      <c r="L10" s="1018" t="s">
        <v>1784</v>
      </c>
      <c r="M10" s="1018" t="s">
        <v>1782</v>
      </c>
      <c r="N10" s="1024" t="s">
        <v>1785</v>
      </c>
      <c r="O10" s="1024" t="s">
        <v>1786</v>
      </c>
      <c r="P10" s="1024" t="s">
        <v>1782</v>
      </c>
      <c r="Q10" s="1017" t="s">
        <v>1787</v>
      </c>
      <c r="R10" s="1017" t="s">
        <v>1788</v>
      </c>
      <c r="S10" s="1017" t="s">
        <v>1782</v>
      </c>
      <c r="T10" s="1018" t="s">
        <v>1789</v>
      </c>
      <c r="U10" s="1018" t="s">
        <v>1790</v>
      </c>
      <c r="V10" s="1018" t="s">
        <v>1782</v>
      </c>
      <c r="W10" s="1024" t="s">
        <v>1791</v>
      </c>
      <c r="X10" s="1024" t="s">
        <v>1792</v>
      </c>
      <c r="Y10" s="1024" t="s">
        <v>1782</v>
      </c>
      <c r="Z10" s="1017" t="s">
        <v>1793</v>
      </c>
      <c r="AA10" s="1017" t="s">
        <v>1794</v>
      </c>
      <c r="AB10" s="1017" t="s">
        <v>1782</v>
      </c>
      <c r="AC10" s="1018" t="s">
        <v>1795</v>
      </c>
      <c r="AD10" s="1018" t="s">
        <v>1796</v>
      </c>
      <c r="AE10" s="1018" t="s">
        <v>1782</v>
      </c>
      <c r="AF10" s="1024" t="s">
        <v>1797</v>
      </c>
      <c r="AG10" s="1024" t="s">
        <v>1798</v>
      </c>
      <c r="AH10" s="1024" t="s">
        <v>1782</v>
      </c>
      <c r="AI10" s="1017" t="s">
        <v>1799</v>
      </c>
      <c r="AJ10" s="1017" t="s">
        <v>1800</v>
      </c>
      <c r="AK10" s="1017" t="s">
        <v>1782</v>
      </c>
      <c r="AL10" s="1018" t="s">
        <v>1801</v>
      </c>
      <c r="AM10" s="1018" t="s">
        <v>1802</v>
      </c>
      <c r="AN10" s="1018" t="s">
        <v>1782</v>
      </c>
      <c r="AO10" s="1024" t="s">
        <v>1803</v>
      </c>
      <c r="AP10" s="1024" t="s">
        <v>2013</v>
      </c>
      <c r="AQ10" s="1024" t="s">
        <v>1782</v>
      </c>
      <c r="AR10" s="1017" t="s">
        <v>1804</v>
      </c>
      <c r="AS10" s="1017" t="s">
        <v>2097</v>
      </c>
      <c r="AT10" s="1017" t="s">
        <v>1782</v>
      </c>
      <c r="AU10" s="1018" t="s">
        <v>1805</v>
      </c>
      <c r="AV10" s="1018" t="s">
        <v>2181</v>
      </c>
      <c r="AW10" s="1018" t="s">
        <v>1782</v>
      </c>
      <c r="AX10" s="1024" t="s">
        <v>2014</v>
      </c>
      <c r="AY10" s="1024" t="s">
        <v>2328</v>
      </c>
      <c r="AZ10" s="1024" t="s">
        <v>1782</v>
      </c>
      <c r="BA10" s="1017" t="s">
        <v>2098</v>
      </c>
      <c r="BB10" s="1017" t="s">
        <v>2345</v>
      </c>
      <c r="BC10" s="1017" t="s">
        <v>1782</v>
      </c>
      <c r="BD10" s="3174" t="s">
        <v>2182</v>
      </c>
      <c r="BE10" s="3174" t="s">
        <v>2510</v>
      </c>
      <c r="BF10" s="3174" t="s">
        <v>1782</v>
      </c>
      <c r="BG10" s="1024" t="s">
        <v>2329</v>
      </c>
      <c r="BH10" s="1024" t="s">
        <v>2547</v>
      </c>
      <c r="BI10" s="1024" t="s">
        <v>1782</v>
      </c>
      <c r="BJ10" s="1017" t="s">
        <v>2614</v>
      </c>
      <c r="BK10" s="1017" t="s">
        <v>2615</v>
      </c>
      <c r="BL10" s="1017" t="s">
        <v>1782</v>
      </c>
      <c r="BM10" s="3174" t="s">
        <v>2511</v>
      </c>
      <c r="BN10" s="3174" t="s">
        <v>2616</v>
      </c>
      <c r="BO10" s="3174" t="s">
        <v>1782</v>
      </c>
      <c r="BP10" s="1024" t="s">
        <v>2548</v>
      </c>
      <c r="BQ10" s="1024" t="s">
        <v>2665</v>
      </c>
      <c r="BR10" s="1024" t="s">
        <v>1782</v>
      </c>
      <c r="BS10" s="1017" t="s">
        <v>2784</v>
      </c>
      <c r="BT10" s="1017" t="s">
        <v>2785</v>
      </c>
      <c r="BU10" s="1017" t="s">
        <v>1782</v>
      </c>
      <c r="BV10" s="3174" t="s">
        <v>2617</v>
      </c>
      <c r="BW10" s="3174" t="s">
        <v>2744</v>
      </c>
      <c r="BX10" s="3174" t="s">
        <v>1782</v>
      </c>
      <c r="BY10" s="1024" t="s">
        <v>2763</v>
      </c>
      <c r="BZ10" s="1024" t="s">
        <v>2764</v>
      </c>
      <c r="CA10" s="1024" t="s">
        <v>1782</v>
      </c>
      <c r="CB10" s="1017" t="s">
        <v>2706</v>
      </c>
      <c r="CC10" s="1017" t="s">
        <v>2786</v>
      </c>
      <c r="CD10" s="1017" t="s">
        <v>1782</v>
      </c>
      <c r="CE10" s="3174" t="s">
        <v>2745</v>
      </c>
      <c r="CF10" s="3174" t="s">
        <v>2829</v>
      </c>
      <c r="CG10" s="3174" t="s">
        <v>1782</v>
      </c>
      <c r="CH10" s="1024" t="s">
        <v>2858</v>
      </c>
      <c r="CI10" s="1024" t="s">
        <v>2859</v>
      </c>
      <c r="CJ10" s="1024" t="s">
        <v>1782</v>
      </c>
      <c r="CK10" s="1017" t="s">
        <v>2831</v>
      </c>
      <c r="CL10" s="1017" t="s">
        <v>2979</v>
      </c>
      <c r="CM10" s="1017" t="s">
        <v>1782</v>
      </c>
      <c r="CN10" s="3174" t="s">
        <v>2830</v>
      </c>
      <c r="CO10" s="3174" t="s">
        <v>3050</v>
      </c>
      <c r="CP10" s="3174" t="s">
        <v>1782</v>
      </c>
      <c r="CQ10" s="1024" t="s">
        <v>2861</v>
      </c>
      <c r="CR10" s="1024" t="s">
        <v>3161</v>
      </c>
      <c r="CS10" s="1024" t="s">
        <v>1782</v>
      </c>
      <c r="CT10" s="1017" t="s">
        <v>2980</v>
      </c>
      <c r="CU10" s="1017" t="s">
        <v>3373</v>
      </c>
      <c r="CV10" s="1017" t="s">
        <v>1782</v>
      </c>
      <c r="CW10" s="3174" t="s">
        <v>3051</v>
      </c>
      <c r="CX10" s="3174" t="s">
        <v>3483</v>
      </c>
      <c r="CY10" s="3174" t="s">
        <v>1782</v>
      </c>
      <c r="CZ10" s="1024" t="s">
        <v>3162</v>
      </c>
      <c r="DA10" s="1024" t="s">
        <v>3615</v>
      </c>
      <c r="DB10" s="1024" t="s">
        <v>1782</v>
      </c>
      <c r="DC10" s="1017" t="s">
        <v>3374</v>
      </c>
      <c r="DD10" s="1017" t="s">
        <v>3712</v>
      </c>
      <c r="DE10" s="1017" t="s">
        <v>1782</v>
      </c>
      <c r="DF10" s="3174" t="s">
        <v>3484</v>
      </c>
      <c r="DG10" s="3174" t="s">
        <v>3953</v>
      </c>
      <c r="DH10" s="3174" t="s">
        <v>1782</v>
      </c>
      <c r="DI10" s="1024" t="s">
        <v>4244</v>
      </c>
      <c r="DJ10" s="1024" t="s">
        <v>4245</v>
      </c>
      <c r="DK10" s="1024" t="s">
        <v>1782</v>
      </c>
      <c r="DL10" s="1017" t="s">
        <v>3713</v>
      </c>
      <c r="DM10" s="1017" t="s">
        <v>4351</v>
      </c>
      <c r="DN10" s="1017" t="s">
        <v>1782</v>
      </c>
      <c r="DO10" s="3174" t="s">
        <v>3954</v>
      </c>
      <c r="DP10" s="3174" t="s">
        <v>4497</v>
      </c>
      <c r="DQ10" s="3174" t="s">
        <v>1782</v>
      </c>
      <c r="DR10" s="1024" t="s">
        <v>4246</v>
      </c>
      <c r="DS10" s="1024" t="s">
        <v>4672</v>
      </c>
      <c r="DT10" s="1024" t="s">
        <v>1782</v>
      </c>
      <c r="DU10" s="1017" t="s">
        <v>4363</v>
      </c>
      <c r="DV10" s="1017" t="s">
        <v>4747</v>
      </c>
      <c r="DW10" s="1017" t="s">
        <v>1782</v>
      </c>
      <c r="DX10" s="3174" t="s">
        <v>4498</v>
      </c>
      <c r="DY10" s="3174" t="s">
        <v>4950</v>
      </c>
      <c r="DZ10" s="3174" t="s">
        <v>1782</v>
      </c>
      <c r="EA10" s="1024" t="s">
        <v>4673</v>
      </c>
      <c r="EB10" s="1024" t="s">
        <v>5190</v>
      </c>
      <c r="EC10" s="1024" t="s">
        <v>1782</v>
      </c>
      <c r="ED10" s="1017" t="s">
        <v>4748</v>
      </c>
      <c r="EE10" s="1017" t="s">
        <v>5232</v>
      </c>
      <c r="EF10" s="1017" t="s">
        <v>1782</v>
      </c>
      <c r="EG10" s="3174" t="s">
        <v>4951</v>
      </c>
      <c r="EH10" s="3174" t="s">
        <v>5355</v>
      </c>
      <c r="EI10" s="3174" t="s">
        <v>1782</v>
      </c>
      <c r="EJ10" s="1024" t="s">
        <v>5423</v>
      </c>
      <c r="EK10" s="1024" t="s">
        <v>5424</v>
      </c>
      <c r="EL10" s="1024" t="s">
        <v>1782</v>
      </c>
      <c r="EM10" s="1017" t="s">
        <v>5233</v>
      </c>
      <c r="EN10" s="1017" t="s">
        <v>5572</v>
      </c>
      <c r="EO10" s="1017" t="s">
        <v>1782</v>
      </c>
      <c r="EP10" s="1025" t="s">
        <v>5356</v>
      </c>
      <c r="EQ10" s="1025" t="s">
        <v>5425</v>
      </c>
      <c r="ER10" s="1025" t="s">
        <v>5573</v>
      </c>
      <c r="ES10" s="1016" t="s">
        <v>1806</v>
      </c>
      <c r="ET10" s="1019">
        <v>0</v>
      </c>
      <c r="EU10" s="1025">
        <v>218748.65</v>
      </c>
      <c r="EV10" s="1004">
        <v>481423.41100000002</v>
      </c>
    </row>
    <row r="11" spans="1:152">
      <c r="A11" s="1020">
        <v>2220032</v>
      </c>
      <c r="B11" s="1023" t="s">
        <v>1807</v>
      </c>
      <c r="C11" s="1023" t="s">
        <v>1808</v>
      </c>
      <c r="D11" s="1022" t="s">
        <v>1809</v>
      </c>
      <c r="E11" s="1022" t="s">
        <v>494</v>
      </c>
      <c r="F11" s="1022" t="s">
        <v>1811</v>
      </c>
      <c r="G11" s="1022">
        <v>1</v>
      </c>
      <c r="H11" s="1040"/>
      <c r="I11" s="1040"/>
      <c r="J11" s="1040"/>
      <c r="K11" s="1038"/>
      <c r="L11" s="1038"/>
      <c r="M11" s="1038"/>
      <c r="N11" s="1039">
        <v>0</v>
      </c>
      <c r="O11" s="1039">
        <v>0</v>
      </c>
      <c r="P11" s="1039">
        <f t="shared" ref="P11:P23" si="0">N11-O11</f>
        <v>0</v>
      </c>
      <c r="Q11" s="1037">
        <v>0</v>
      </c>
      <c r="R11" s="1037">
        <v>0</v>
      </c>
      <c r="S11" s="1037">
        <f t="shared" ref="S11:S17" si="1">Q11-R11</f>
        <v>0</v>
      </c>
      <c r="T11" s="1038">
        <v>556920.41300000029</v>
      </c>
      <c r="U11" s="1038">
        <v>556920.41300000029</v>
      </c>
      <c r="V11" s="1038">
        <f t="shared" ref="V11:V16" si="2">T11-U11</f>
        <v>0</v>
      </c>
      <c r="W11" s="1039">
        <v>0</v>
      </c>
      <c r="X11" s="1039">
        <v>0</v>
      </c>
      <c r="Y11" s="1039">
        <f t="shared" ref="Y11:Y23" si="3">W11-X11</f>
        <v>0</v>
      </c>
      <c r="Z11" s="1037">
        <v>613807.09899999993</v>
      </c>
      <c r="AA11" s="1037">
        <v>0</v>
      </c>
      <c r="AB11" s="1037">
        <f t="shared" ref="AB11:AB23" si="4">Z11-AA11</f>
        <v>613807.09899999993</v>
      </c>
      <c r="AC11" s="1038">
        <v>319906.58699999948</v>
      </c>
      <c r="AD11" s="1038">
        <v>319906.58699999948</v>
      </c>
      <c r="AE11" s="1038">
        <f t="shared" ref="AE11:AE23" si="5">AC11-AD11</f>
        <v>0</v>
      </c>
      <c r="AF11" s="1039">
        <v>45414.85</v>
      </c>
      <c r="AG11" s="1039">
        <v>12989.690000000131</v>
      </c>
      <c r="AH11" s="1039">
        <f t="shared" ref="AH11:AH23" si="6">AF11-AG11</f>
        <v>32425.159999999865</v>
      </c>
      <c r="AI11" s="1037">
        <f>24728.42*0</f>
        <v>0</v>
      </c>
      <c r="AJ11" s="1037">
        <v>0</v>
      </c>
      <c r="AK11" s="1037">
        <f>AI11-AJ11</f>
        <v>0</v>
      </c>
      <c r="AL11" s="1038">
        <v>24782.42</v>
      </c>
      <c r="AM11" s="1038">
        <f>24782.42+2777232.77</f>
        <v>2802015.19</v>
      </c>
      <c r="AN11" s="1038">
        <f>+AL11-AM11</f>
        <v>-2777232.77</v>
      </c>
      <c r="AO11" s="1039">
        <v>5385552.6600000001</v>
      </c>
      <c r="AP11" s="1039">
        <f>+'Schedule H NSCC'!AB103</f>
        <v>5385552.6550000003</v>
      </c>
      <c r="AQ11" s="1039">
        <f>+AO11-AP11</f>
        <v>4.999999888241291E-3</v>
      </c>
      <c r="AR11" s="1037">
        <v>0</v>
      </c>
      <c r="AS11" s="1037">
        <f>+'Schedule H NSCC'!AB104</f>
        <v>218748.649</v>
      </c>
      <c r="AT11" s="1037">
        <f>AR11-AS11</f>
        <v>-218748.649</v>
      </c>
      <c r="AU11" s="1038">
        <v>0</v>
      </c>
      <c r="AV11" s="1038">
        <v>0</v>
      </c>
      <c r="AW11" s="1038">
        <f>+AU11-AV11</f>
        <v>0</v>
      </c>
      <c r="AX11" s="1039">
        <v>0</v>
      </c>
      <c r="AY11" s="1039">
        <v>481423.41100000002</v>
      </c>
      <c r="AZ11" s="1039">
        <f>+AX11-AY11</f>
        <v>-481423.41100000002</v>
      </c>
      <c r="BA11" s="3171"/>
      <c r="BB11" s="1037">
        <f>+'Schedule H NSCC'!AK104</f>
        <v>0</v>
      </c>
      <c r="BC11" s="1037">
        <f>BA11-BB11</f>
        <v>0</v>
      </c>
      <c r="BD11" s="3173">
        <v>0</v>
      </c>
      <c r="BE11" s="3173">
        <v>0</v>
      </c>
      <c r="BF11" s="3173"/>
      <c r="BG11" s="1039"/>
      <c r="BH11" s="1039"/>
      <c r="BI11" s="1039"/>
      <c r="BJ11" s="3171"/>
      <c r="BK11" s="1037"/>
      <c r="BL11" s="1037"/>
      <c r="BM11" s="3173">
        <v>0</v>
      </c>
      <c r="BN11" s="3173">
        <v>726213.23</v>
      </c>
      <c r="BO11" s="3173">
        <f>+BM11-BN11</f>
        <v>-726213.23</v>
      </c>
      <c r="BP11" s="1039"/>
      <c r="BQ11" s="1039"/>
      <c r="BR11" s="1039"/>
      <c r="BS11" s="3171"/>
      <c r="BT11" s="1037"/>
      <c r="BU11" s="1037"/>
      <c r="BV11" s="3173"/>
      <c r="BW11" s="3173"/>
      <c r="BX11" s="3173"/>
      <c r="BY11" s="1039"/>
      <c r="BZ11" s="1039"/>
      <c r="CA11" s="1039"/>
      <c r="CB11" s="3171"/>
      <c r="CC11" s="1037"/>
      <c r="CD11" s="1037"/>
      <c r="CE11" s="3173"/>
      <c r="CF11" s="3173"/>
      <c r="CG11" s="3173"/>
      <c r="CH11" s="1039"/>
      <c r="CI11" s="1039"/>
      <c r="CJ11" s="1039"/>
      <c r="CK11" s="3171"/>
      <c r="CL11" s="1037"/>
      <c r="CM11" s="1037"/>
      <c r="CN11" s="3173"/>
      <c r="CO11" s="3173">
        <v>364230</v>
      </c>
      <c r="CP11" s="3173">
        <f>+CN11-CO11</f>
        <v>-364230</v>
      </c>
      <c r="CQ11" s="1039"/>
      <c r="CR11" s="1039"/>
      <c r="CS11" s="1039"/>
      <c r="CT11" s="3171"/>
      <c r="CU11" s="1037"/>
      <c r="CV11" s="1037"/>
      <c r="CW11" s="3173"/>
      <c r="CX11" s="3173">
        <f>+'Schedule H NSCC'!AB113</f>
        <v>2296100.2800000003</v>
      </c>
      <c r="CY11" s="3173">
        <f>+CW11-CX11</f>
        <v>-2296100.2800000003</v>
      </c>
      <c r="CZ11" s="1039"/>
      <c r="DA11" s="1039"/>
      <c r="DB11" s="1039"/>
      <c r="DC11" s="3171"/>
      <c r="DD11" s="1037"/>
      <c r="DE11" s="1037"/>
      <c r="DF11" s="3173"/>
      <c r="DG11" s="3173">
        <f>+'Schedule H NSCC'!AK113</f>
        <v>0</v>
      </c>
      <c r="DH11" s="3173">
        <f>+DF11-DG11</f>
        <v>0</v>
      </c>
      <c r="DI11" s="1039"/>
      <c r="DJ11" s="1039"/>
      <c r="DK11" s="1039"/>
      <c r="DL11" s="3171"/>
      <c r="DM11" s="1037"/>
      <c r="DN11" s="1037"/>
      <c r="DO11" s="3173"/>
      <c r="DP11" s="3173">
        <f>+'Schedule H NSCC'!AT113</f>
        <v>0</v>
      </c>
      <c r="DQ11" s="3173">
        <f>+DO11-DP11</f>
        <v>0</v>
      </c>
      <c r="DR11" s="1039"/>
      <c r="DS11" s="1039"/>
      <c r="DT11" s="1039"/>
      <c r="DU11" s="3171"/>
      <c r="DV11" s="1037"/>
      <c r="DW11" s="1037"/>
      <c r="DX11" s="3173"/>
      <c r="DY11" s="3173">
        <f>+'Schedule H NSCC'!BC113</f>
        <v>0</v>
      </c>
      <c r="DZ11" s="3173">
        <f>+DX11-DY11</f>
        <v>0</v>
      </c>
      <c r="EA11" s="1039"/>
      <c r="EB11" s="1039"/>
      <c r="EC11" s="1039"/>
      <c r="ED11" s="3171"/>
      <c r="EE11" s="1037"/>
      <c r="EF11" s="1037"/>
      <c r="EG11" s="3173"/>
      <c r="EH11" s="3173">
        <f>+'Schedule H NSCC'!BL113</f>
        <v>0</v>
      </c>
      <c r="EI11" s="3173">
        <f>+EG11-EH11</f>
        <v>0</v>
      </c>
      <c r="EJ11" s="1039"/>
      <c r="EK11" s="1039"/>
      <c r="EL11" s="1039"/>
      <c r="EM11" s="3171"/>
      <c r="EN11" s="1037"/>
      <c r="EO11" s="1037"/>
      <c r="EP11" s="1027"/>
      <c r="EQ11" s="1027"/>
      <c r="ER11" s="1027"/>
      <c r="ES11" s="1028">
        <f>SUM(EP11:ER11)</f>
        <v>0</v>
      </c>
      <c r="ET11" s="1021">
        <v>481423.41100000002</v>
      </c>
      <c r="EU11" s="1003">
        <v>218748.65</v>
      </c>
      <c r="EV11" s="1003">
        <v>481423.41100000002</v>
      </c>
    </row>
    <row r="12" spans="1:152" ht="21">
      <c r="A12" s="1020">
        <v>2200445</v>
      </c>
      <c r="B12" s="1023" t="s">
        <v>1438</v>
      </c>
      <c r="C12" s="1026" t="s">
        <v>1810</v>
      </c>
      <c r="D12" s="1022" t="s">
        <v>1809</v>
      </c>
      <c r="E12" s="1022" t="s">
        <v>494</v>
      </c>
      <c r="F12" s="1022" t="s">
        <v>1811</v>
      </c>
      <c r="G12" s="1022">
        <v>1</v>
      </c>
      <c r="H12" s="1037">
        <v>0</v>
      </c>
      <c r="I12" s="1037">
        <v>0</v>
      </c>
      <c r="J12" s="1037">
        <f t="shared" ref="J12:J17" si="7">H12-I12</f>
        <v>0</v>
      </c>
      <c r="K12" s="1038">
        <v>0</v>
      </c>
      <c r="L12" s="1038">
        <v>0</v>
      </c>
      <c r="M12" s="1038">
        <f t="shared" ref="M12:M17" si="8">K12-L12</f>
        <v>0</v>
      </c>
      <c r="N12" s="1039">
        <v>0</v>
      </c>
      <c r="O12" s="1039">
        <v>0</v>
      </c>
      <c r="P12" s="1039">
        <f t="shared" si="0"/>
        <v>0</v>
      </c>
      <c r="Q12" s="1037">
        <v>0</v>
      </c>
      <c r="R12" s="1037">
        <v>0</v>
      </c>
      <c r="S12" s="1037">
        <f t="shared" si="1"/>
        <v>0</v>
      </c>
      <c r="T12" s="1038">
        <v>1135879.4580000001</v>
      </c>
      <c r="U12" s="1038">
        <v>1135879.4580000001</v>
      </c>
      <c r="V12" s="1038">
        <f t="shared" si="2"/>
        <v>0</v>
      </c>
      <c r="W12" s="1039">
        <v>0</v>
      </c>
      <c r="X12" s="1039">
        <v>0</v>
      </c>
      <c r="Y12" s="1039">
        <f t="shared" si="3"/>
        <v>0</v>
      </c>
      <c r="Z12" s="1037">
        <v>45604.900000000373</v>
      </c>
      <c r="AA12" s="1037">
        <v>0</v>
      </c>
      <c r="AB12" s="1037">
        <f t="shared" si="4"/>
        <v>45604.900000000373</v>
      </c>
      <c r="AC12" s="1038">
        <v>66000</v>
      </c>
      <c r="AD12" s="1038">
        <v>65999.999999999069</v>
      </c>
      <c r="AE12" s="1038">
        <f t="shared" si="5"/>
        <v>9.3132257461547852E-10</v>
      </c>
      <c r="AF12" s="1039">
        <f>238952.4+49500</f>
        <v>288452.40000000002</v>
      </c>
      <c r="AG12" s="1039">
        <v>238952.40000000037</v>
      </c>
      <c r="AH12" s="1039">
        <f t="shared" si="6"/>
        <v>49499.999999999651</v>
      </c>
      <c r="AI12" s="1037">
        <f>(139388.9+66000+206250+30250)*0</f>
        <v>0</v>
      </c>
      <c r="AJ12" s="1037">
        <v>0</v>
      </c>
      <c r="AK12" s="1037">
        <f t="shared" ref="AK12:AK23" si="9">AI12-AJ12</f>
        <v>0</v>
      </c>
      <c r="AL12" s="1038">
        <f>139388.9+66000+206250+30250+139388.9+70950+55000+18150-7673</f>
        <v>717704.8</v>
      </c>
      <c r="AM12" s="1038">
        <f>+AL12</f>
        <v>717704.8</v>
      </c>
      <c r="AN12" s="1038">
        <f>+AL12-AM12</f>
        <v>0</v>
      </c>
      <c r="AO12" s="1039">
        <v>337720</v>
      </c>
      <c r="AP12" s="1039">
        <f>+'Schedule H DAE'!AB40+'Schedule H DAE'!AB42+'Schedule H DAE'!AB43</f>
        <v>169552</v>
      </c>
      <c r="AQ12" s="1039">
        <f>+AO12-AP12</f>
        <v>168168</v>
      </c>
      <c r="AR12" s="1037">
        <v>200868</v>
      </c>
      <c r="AS12" s="1037">
        <f>+'Schedule H DAE'!AB41+'Schedule H DAE'!AB45+'Schedule H DAE'!AB46+'Schedule H DAE'!AB47+'Schedule H DAE'!AB48+'Schedule H DAE'!AB49+'Schedule H DAE'!AB50</f>
        <v>274405.14999999997</v>
      </c>
      <c r="AT12" s="1037">
        <f>AR12-AS12</f>
        <v>-73537.149999999965</v>
      </c>
      <c r="AU12" s="1038">
        <v>0</v>
      </c>
      <c r="AV12" s="1038">
        <f>+'Schedule H DAE'!AB45+'Schedule H DAE'!AB46+'Schedule H DAE'!AB47+'Schedule H DAE'!AB48+'Schedule H DAE'!AB49+'Schedule H DAE'!AB50</f>
        <v>249405.14999999997</v>
      </c>
      <c r="AW12" s="1038">
        <f t="shared" ref="AW12:AW23" si="10">+AU12-AV12</f>
        <v>-249405.14999999997</v>
      </c>
      <c r="AX12" s="1039">
        <v>12800</v>
      </c>
      <c r="AY12" s="1039">
        <v>0</v>
      </c>
      <c r="AZ12" s="1039">
        <f t="shared" ref="AZ12:AZ23" si="11">+AX12-AY12</f>
        <v>12800</v>
      </c>
      <c r="BA12" s="3171">
        <v>103400</v>
      </c>
      <c r="BB12" s="1037">
        <v>45250</v>
      </c>
      <c r="BC12" s="1037">
        <f t="shared" ref="BC12:BC23" si="12">BA12-BB12</f>
        <v>58150</v>
      </c>
      <c r="BD12" s="3173">
        <v>21450</v>
      </c>
      <c r="BE12" s="3173">
        <v>0</v>
      </c>
      <c r="BF12" s="3173">
        <f>+BD12-BE12</f>
        <v>21450</v>
      </c>
      <c r="BG12" s="1039">
        <v>181592</v>
      </c>
      <c r="BH12" s="1039">
        <v>0</v>
      </c>
      <c r="BI12" s="1039">
        <f>+BG12-BH12</f>
        <v>181592</v>
      </c>
      <c r="BJ12" s="3171">
        <v>140000</v>
      </c>
      <c r="BK12" s="1037">
        <v>165273.60000000001</v>
      </c>
      <c r="BL12" s="1037">
        <f>+BJ12-BK12</f>
        <v>-25273.600000000006</v>
      </c>
      <c r="BM12" s="3173">
        <v>453000</v>
      </c>
      <c r="BN12" s="3173"/>
      <c r="BO12" s="3173">
        <f>+BM12-BN12</f>
        <v>453000</v>
      </c>
      <c r="BP12" s="1039">
        <v>305584.34999999998</v>
      </c>
      <c r="BQ12" s="1039">
        <v>77920</v>
      </c>
      <c r="BR12" s="1039">
        <f>+BP12-BQ12</f>
        <v>227664.34999999998</v>
      </c>
      <c r="BS12" s="3171">
        <v>16500</v>
      </c>
      <c r="BT12" s="1037">
        <v>0</v>
      </c>
      <c r="BU12" s="1037">
        <f>+BS12-BT12</f>
        <v>16500</v>
      </c>
      <c r="BV12" s="3173">
        <v>145792.79999999999</v>
      </c>
      <c r="BW12" s="3173">
        <v>0</v>
      </c>
      <c r="BX12" s="3173">
        <f>+BV12-BW12</f>
        <v>145792.79999999999</v>
      </c>
      <c r="BY12" s="1039"/>
      <c r="BZ12" s="1039"/>
      <c r="CA12" s="1039"/>
      <c r="CB12" s="3171"/>
      <c r="CC12" s="1037">
        <v>0</v>
      </c>
      <c r="CD12" s="1037">
        <f>+CB12-CC12</f>
        <v>0</v>
      </c>
      <c r="CE12" s="3173"/>
      <c r="CF12" s="3173"/>
      <c r="CG12" s="3173"/>
      <c r="CH12" s="1039"/>
      <c r="CI12" s="1039">
        <f>+'Schedule H DAE'!AB59+'Schedule H DAE'!AB60</f>
        <v>184752.8</v>
      </c>
      <c r="CJ12" s="1039">
        <f>+CH12-CI12</f>
        <v>-184752.8</v>
      </c>
      <c r="CK12" s="3171">
        <v>107789.05</v>
      </c>
      <c r="CL12" s="1037">
        <f>+'Schedule H DAE'!AB61</f>
        <v>77920</v>
      </c>
      <c r="CM12" s="1037">
        <f>+CK12-CL12</f>
        <v>29869.050000000003</v>
      </c>
      <c r="CN12" s="3173">
        <v>44301.9</v>
      </c>
      <c r="CO12" s="3173">
        <v>0</v>
      </c>
      <c r="CP12" s="3173">
        <f>+CN12-CO12</f>
        <v>44301.9</v>
      </c>
      <c r="CQ12" s="1039"/>
      <c r="CR12" s="1039"/>
      <c r="CS12" s="1039"/>
      <c r="CT12" s="3171"/>
      <c r="CU12" s="1037">
        <f>+'Schedule H DAE'!AK61</f>
        <v>0</v>
      </c>
      <c r="CV12" s="1037">
        <f>+CT12-CU12</f>
        <v>0</v>
      </c>
      <c r="CW12" s="3173">
        <v>74170.950000000012</v>
      </c>
      <c r="CX12" s="3173">
        <f>+'Schedule H DAE'!AB62</f>
        <v>29869.05</v>
      </c>
      <c r="CY12" s="3173">
        <f>+CW12-CX12</f>
        <v>44301.900000000009</v>
      </c>
      <c r="CZ12" s="1039">
        <v>466536</v>
      </c>
      <c r="DA12" s="1039">
        <v>0</v>
      </c>
      <c r="DB12" s="1039">
        <f>+CZ12-DA12</f>
        <v>466536</v>
      </c>
      <c r="DC12" s="3171">
        <v>38500</v>
      </c>
      <c r="DD12" s="1037">
        <v>0</v>
      </c>
      <c r="DE12" s="1037">
        <f>+DC12-DD12</f>
        <v>38500</v>
      </c>
      <c r="DF12" s="3173">
        <v>60500</v>
      </c>
      <c r="DG12" s="3173">
        <f>+'Schedule H DAE'!AK62</f>
        <v>0</v>
      </c>
      <c r="DH12" s="3173">
        <f>+DF12-DG12</f>
        <v>60500</v>
      </c>
      <c r="DI12" s="1039"/>
      <c r="DJ12" s="1039">
        <f>+'Schedule H DAE'!AB63+'Schedule H DAE'!AB64+'Schedule H DAE'!AB65</f>
        <v>816870.6</v>
      </c>
      <c r="DK12" s="1039">
        <f>+DI12-DJ12</f>
        <v>-816870.6</v>
      </c>
      <c r="DL12" s="3171"/>
      <c r="DM12" s="1037">
        <v>0</v>
      </c>
      <c r="DN12" s="1037">
        <f>+DL12-DM12</f>
        <v>0</v>
      </c>
      <c r="DO12" s="3173"/>
      <c r="DP12" s="3173">
        <f>+'Schedule H DAE'!AT62</f>
        <v>0</v>
      </c>
      <c r="DQ12" s="3173">
        <f>+DO12-DP12</f>
        <v>0</v>
      </c>
      <c r="DR12" s="1039"/>
      <c r="DS12" s="1039">
        <f>+'Schedule H DAE'!AK63+'Schedule H DAE'!AK64+'Schedule H DAE'!AK65</f>
        <v>0</v>
      </c>
      <c r="DT12" s="1039">
        <f>+DR12-DS12</f>
        <v>0</v>
      </c>
      <c r="DU12" s="3171"/>
      <c r="DV12" s="1037">
        <v>0</v>
      </c>
      <c r="DW12" s="1037">
        <f>+DU12-DV12</f>
        <v>0</v>
      </c>
      <c r="DX12" s="3173"/>
      <c r="DY12" s="3173">
        <f>+'Schedule H DAE'!BC62</f>
        <v>0</v>
      </c>
      <c r="DZ12" s="3173">
        <f>+DX12-DY12</f>
        <v>0</v>
      </c>
      <c r="EA12" s="1039"/>
      <c r="EB12" s="1039">
        <f>+'Schedule H DAE'!AT63+'Schedule H DAE'!AT64+'Schedule H DAE'!AT65</f>
        <v>0</v>
      </c>
      <c r="EC12" s="1039">
        <f>+EA12-EB12</f>
        <v>0</v>
      </c>
      <c r="ED12" s="3171"/>
      <c r="EE12" s="1037">
        <v>0</v>
      </c>
      <c r="EF12" s="1037">
        <f>+ED12-EE12</f>
        <v>0</v>
      </c>
      <c r="EG12" s="3173"/>
      <c r="EH12" s="3173">
        <f>+'Schedule H DAE'!BL62</f>
        <v>0</v>
      </c>
      <c r="EI12" s="3173">
        <f>+EG12-EH12</f>
        <v>0</v>
      </c>
      <c r="EJ12" s="1039"/>
      <c r="EK12" s="1039">
        <f>+'Schedule H DAE'!BC63+'Schedule H DAE'!BC64+'Schedule H DAE'!BC65</f>
        <v>0</v>
      </c>
      <c r="EL12" s="1039">
        <f>+EJ12-EK12</f>
        <v>0</v>
      </c>
      <c r="EM12" s="3171"/>
      <c r="EN12" s="1037">
        <v>0</v>
      </c>
      <c r="EO12" s="1037">
        <f>+EM12-EN12</f>
        <v>0</v>
      </c>
      <c r="EP12" s="1027"/>
      <c r="EQ12" s="1027"/>
      <c r="ER12" s="1027"/>
      <c r="ES12" s="1028">
        <f t="shared" ref="ES12:ES34" si="13">SUM(EP12:ER12)</f>
        <v>0</v>
      </c>
      <c r="ET12" s="1021">
        <v>42669.05</v>
      </c>
      <c r="EU12" s="1003">
        <v>194386.2</v>
      </c>
      <c r="EV12" s="1003">
        <v>48019.05</v>
      </c>
    </row>
    <row r="13" spans="1:152">
      <c r="A13" s="1020">
        <v>2210224</v>
      </c>
      <c r="B13" s="1023" t="s">
        <v>1812</v>
      </c>
      <c r="C13" s="1023" t="s">
        <v>1813</v>
      </c>
      <c r="D13" s="1022" t="s">
        <v>1809</v>
      </c>
      <c r="E13" s="1022" t="s">
        <v>494</v>
      </c>
      <c r="F13" s="1022" t="s">
        <v>1811</v>
      </c>
      <c r="G13" s="1022">
        <v>1</v>
      </c>
      <c r="H13" s="1040"/>
      <c r="I13" s="1040"/>
      <c r="J13" s="1040"/>
      <c r="K13" s="1038"/>
      <c r="L13" s="1038"/>
      <c r="M13" s="1038"/>
      <c r="N13" s="1039">
        <v>0</v>
      </c>
      <c r="O13" s="1039">
        <v>0</v>
      </c>
      <c r="P13" s="1039">
        <f t="shared" si="0"/>
        <v>0</v>
      </c>
      <c r="Q13" s="1037">
        <v>0</v>
      </c>
      <c r="R13" s="1037">
        <v>0</v>
      </c>
      <c r="S13" s="1037">
        <f t="shared" si="1"/>
        <v>0</v>
      </c>
      <c r="T13" s="1038">
        <v>0</v>
      </c>
      <c r="U13" s="1038">
        <v>0</v>
      </c>
      <c r="V13" s="1038">
        <f t="shared" si="2"/>
        <v>0</v>
      </c>
      <c r="W13" s="1039">
        <v>0</v>
      </c>
      <c r="X13" s="1039">
        <v>0</v>
      </c>
      <c r="Y13" s="1039">
        <f t="shared" si="3"/>
        <v>0</v>
      </c>
      <c r="Z13" s="1037">
        <v>0</v>
      </c>
      <c r="AA13" s="1037">
        <v>0</v>
      </c>
      <c r="AB13" s="1037">
        <f t="shared" si="4"/>
        <v>0</v>
      </c>
      <c r="AC13" s="1038">
        <v>0</v>
      </c>
      <c r="AD13" s="1038">
        <f>+'Schedule H SIC'!AB23</f>
        <v>17100</v>
      </c>
      <c r="AE13" s="1038">
        <f t="shared" si="5"/>
        <v>-17100</v>
      </c>
      <c r="AF13" s="1039">
        <v>75600</v>
      </c>
      <c r="AG13" s="1039">
        <f>+'Schedule H SIC'!AB24</f>
        <v>59850</v>
      </c>
      <c r="AH13" s="1039">
        <f t="shared" si="6"/>
        <v>15750</v>
      </c>
      <c r="AI13" s="1037">
        <v>0</v>
      </c>
      <c r="AJ13" s="1037"/>
      <c r="AK13" s="1037">
        <f>AI13-AJ13</f>
        <v>0</v>
      </c>
      <c r="AL13" s="1038">
        <v>0</v>
      </c>
      <c r="AM13" s="1038"/>
      <c r="AN13" s="1038"/>
      <c r="AO13" s="1039">
        <v>0</v>
      </c>
      <c r="AP13" s="1039"/>
      <c r="AQ13" s="1039"/>
      <c r="AR13" s="1037"/>
      <c r="AS13" s="1037">
        <f>+'Schedule H SIC'!AB28</f>
        <v>23666.400000000001</v>
      </c>
      <c r="AT13" s="1037">
        <f>AR13-AS13</f>
        <v>-23666.400000000001</v>
      </c>
      <c r="AU13" s="1038">
        <v>0</v>
      </c>
      <c r="AV13" s="1038">
        <v>0</v>
      </c>
      <c r="AW13" s="1038">
        <f t="shared" si="10"/>
        <v>0</v>
      </c>
      <c r="AX13" s="1039">
        <v>6000</v>
      </c>
      <c r="AY13" s="1039">
        <v>0</v>
      </c>
      <c r="AZ13" s="1039">
        <f t="shared" si="11"/>
        <v>6000</v>
      </c>
      <c r="BA13" s="3171">
        <v>6000</v>
      </c>
      <c r="BB13" s="1037">
        <f>+'Schedule H SIC'!AK28</f>
        <v>0</v>
      </c>
      <c r="BC13" s="1037">
        <f>BA13-BB13</f>
        <v>6000</v>
      </c>
      <c r="BD13" s="3173">
        <v>6000</v>
      </c>
      <c r="BE13" s="3173">
        <v>3522.6000000000004</v>
      </c>
      <c r="BF13" s="3173">
        <f>+BD13-BE13</f>
        <v>2477.3999999999996</v>
      </c>
      <c r="BG13" s="1039"/>
      <c r="BH13" s="1039"/>
      <c r="BI13" s="1039"/>
      <c r="BJ13" s="3171"/>
      <c r="BK13" s="1037"/>
      <c r="BL13" s="1037"/>
      <c r="BM13" s="3173"/>
      <c r="BN13" s="3173">
        <v>6104.7</v>
      </c>
      <c r="BO13" s="3173">
        <f>+BM13-BN13</f>
        <v>-6104.7</v>
      </c>
      <c r="BP13" s="1039"/>
      <c r="BQ13" s="1039"/>
      <c r="BR13" s="1039"/>
      <c r="BS13" s="3171"/>
      <c r="BT13" s="1037">
        <f>'Schedule H SIC'!AB33</f>
        <v>8221.5</v>
      </c>
      <c r="BU13" s="1037">
        <f>+BS13-BT13</f>
        <v>-8221.5</v>
      </c>
      <c r="BV13" s="3173"/>
      <c r="BW13" s="3173"/>
      <c r="BX13" s="3173">
        <f>+BV13-BW13</f>
        <v>0</v>
      </c>
      <c r="BY13" s="1039"/>
      <c r="BZ13" s="1039"/>
      <c r="CA13" s="1039"/>
      <c r="CB13" s="3171"/>
      <c r="CC13" s="1037">
        <v>4212</v>
      </c>
      <c r="CD13" s="1037">
        <f>+CB13-CC13</f>
        <v>-4212</v>
      </c>
      <c r="CE13" s="3173"/>
      <c r="CF13" s="3173"/>
      <c r="CG13" s="3173"/>
      <c r="CH13" s="1039"/>
      <c r="CI13" s="1039"/>
      <c r="CJ13" s="1039"/>
      <c r="CK13" s="3171"/>
      <c r="CL13" s="1037"/>
      <c r="CM13" s="1037"/>
      <c r="CN13" s="3173"/>
      <c r="CO13" s="3173"/>
      <c r="CP13" s="3173"/>
      <c r="CQ13" s="1039"/>
      <c r="CR13" s="1039"/>
      <c r="CS13" s="1039"/>
      <c r="CT13" s="3171">
        <v>0</v>
      </c>
      <c r="CU13" s="1037">
        <f>'Schedule H SIC'!AB38</f>
        <v>8221.5</v>
      </c>
      <c r="CV13" s="1037">
        <f>+CT13-CU13</f>
        <v>-8221.5</v>
      </c>
      <c r="CW13" s="3173"/>
      <c r="CX13" s="3173"/>
      <c r="CY13" s="3173"/>
      <c r="CZ13" s="1039"/>
      <c r="DA13" s="1039"/>
      <c r="DB13" s="1039"/>
      <c r="DC13" s="3171"/>
      <c r="DD13" s="1037"/>
      <c r="DE13" s="1037"/>
      <c r="DF13" s="3173"/>
      <c r="DG13" s="3173"/>
      <c r="DH13" s="3173"/>
      <c r="DI13" s="1039"/>
      <c r="DJ13" s="1039"/>
      <c r="DK13" s="1039"/>
      <c r="DL13" s="3171"/>
      <c r="DM13" s="1037"/>
      <c r="DN13" s="1037"/>
      <c r="DO13" s="3173"/>
      <c r="DP13" s="3173"/>
      <c r="DQ13" s="3173"/>
      <c r="DR13" s="1039"/>
      <c r="DS13" s="1039"/>
      <c r="DT13" s="1039"/>
      <c r="DU13" s="3171"/>
      <c r="DV13" s="1037"/>
      <c r="DW13" s="1037"/>
      <c r="DX13" s="3173"/>
      <c r="DY13" s="3173"/>
      <c r="DZ13" s="3173"/>
      <c r="EA13" s="1039"/>
      <c r="EB13" s="1039"/>
      <c r="EC13" s="1039"/>
      <c r="ED13" s="3171"/>
      <c r="EE13" s="1037"/>
      <c r="EF13" s="1037"/>
      <c r="EG13" s="3173"/>
      <c r="EH13" s="3173"/>
      <c r="EI13" s="3173"/>
      <c r="EJ13" s="1039"/>
      <c r="EK13" s="1039"/>
      <c r="EL13" s="1039"/>
      <c r="EM13" s="3171"/>
      <c r="EN13" s="1037"/>
      <c r="EO13" s="1037"/>
      <c r="EP13" s="1027"/>
      <c r="EQ13" s="1027"/>
      <c r="ER13" s="1027"/>
      <c r="ES13" s="1028">
        <f t="shared" si="13"/>
        <v>0</v>
      </c>
      <c r="ET13" s="1021">
        <v>6000</v>
      </c>
    </row>
    <row r="14" spans="1:152" ht="42">
      <c r="A14" s="1020">
        <v>2220038</v>
      </c>
      <c r="B14" s="1023" t="s">
        <v>1814</v>
      </c>
      <c r="C14" s="1023" t="s">
        <v>1815</v>
      </c>
      <c r="D14" s="1022" t="s">
        <v>1809</v>
      </c>
      <c r="E14" s="1022" t="s">
        <v>494</v>
      </c>
      <c r="F14" s="1022" t="s">
        <v>1811</v>
      </c>
      <c r="G14" s="1022">
        <v>1</v>
      </c>
      <c r="H14" s="1040"/>
      <c r="I14" s="1040"/>
      <c r="J14" s="1040"/>
      <c r="K14" s="1038"/>
      <c r="L14" s="1038"/>
      <c r="M14" s="1038"/>
      <c r="N14" s="1039">
        <v>0</v>
      </c>
      <c r="O14" s="1039">
        <v>0</v>
      </c>
      <c r="P14" s="1039">
        <f t="shared" si="0"/>
        <v>0</v>
      </c>
      <c r="Q14" s="1037">
        <v>0</v>
      </c>
      <c r="R14" s="1037">
        <v>0</v>
      </c>
      <c r="S14" s="1037">
        <f t="shared" si="1"/>
        <v>0</v>
      </c>
      <c r="T14" s="1038">
        <v>0</v>
      </c>
      <c r="U14" s="1038">
        <v>0</v>
      </c>
      <c r="V14" s="1038">
        <f>T14-U14</f>
        <v>0</v>
      </c>
      <c r="W14" s="1039">
        <v>0</v>
      </c>
      <c r="X14" s="1039">
        <v>0</v>
      </c>
      <c r="Y14" s="1039">
        <f t="shared" si="3"/>
        <v>0</v>
      </c>
      <c r="Z14" s="1037">
        <v>0</v>
      </c>
      <c r="AA14" s="1037">
        <v>0</v>
      </c>
      <c r="AB14" s="1037">
        <f t="shared" si="4"/>
        <v>0</v>
      </c>
      <c r="AC14" s="1038">
        <v>0</v>
      </c>
      <c r="AD14" s="1038">
        <v>0</v>
      </c>
      <c r="AE14" s="1038">
        <f t="shared" si="5"/>
        <v>0</v>
      </c>
      <c r="AF14" s="1039">
        <v>0</v>
      </c>
      <c r="AG14" s="1039">
        <v>0</v>
      </c>
      <c r="AH14" s="1039">
        <f t="shared" si="6"/>
        <v>0</v>
      </c>
      <c r="AI14" s="1037">
        <v>0</v>
      </c>
      <c r="AJ14" s="1037"/>
      <c r="AK14" s="1037">
        <f t="shared" si="9"/>
        <v>0</v>
      </c>
      <c r="AL14" s="1038">
        <v>0</v>
      </c>
      <c r="AM14" s="1038"/>
      <c r="AN14" s="1038"/>
      <c r="AO14" s="1039">
        <v>0</v>
      </c>
      <c r="AP14" s="1039"/>
      <c r="AQ14" s="1039"/>
      <c r="AR14" s="1037"/>
      <c r="AS14" s="1037"/>
      <c r="AT14" s="1037">
        <f t="shared" ref="AT14:AT23" si="14">AR14-AS14</f>
        <v>0</v>
      </c>
      <c r="AU14" s="1038">
        <v>0</v>
      </c>
      <c r="AV14" s="1038">
        <v>0</v>
      </c>
      <c r="AW14" s="1038">
        <f t="shared" si="10"/>
        <v>0</v>
      </c>
      <c r="AX14" s="1039"/>
      <c r="AY14" s="1039"/>
      <c r="AZ14" s="1039">
        <f t="shared" si="11"/>
        <v>0</v>
      </c>
      <c r="BA14" s="3171"/>
      <c r="BB14" s="1037"/>
      <c r="BC14" s="1037">
        <f t="shared" si="12"/>
        <v>0</v>
      </c>
      <c r="BD14" s="3173">
        <v>0</v>
      </c>
      <c r="BE14" s="3173">
        <v>13500.112500000001</v>
      </c>
      <c r="BF14" s="3173">
        <f t="shared" ref="BF14:BF23" si="15">+BD14-BE14</f>
        <v>-13500.112500000001</v>
      </c>
      <c r="BG14" s="1039"/>
      <c r="BH14" s="1039"/>
      <c r="BI14" s="1039"/>
      <c r="BJ14" s="3171"/>
      <c r="BK14" s="1037"/>
      <c r="BL14" s="1037"/>
      <c r="BM14" s="3173"/>
      <c r="BN14" s="3173"/>
      <c r="BO14" s="3173">
        <f t="shared" ref="BO14:BO23" si="16">+BM14-BN14</f>
        <v>0</v>
      </c>
      <c r="BP14" s="1039"/>
      <c r="BQ14" s="1039"/>
      <c r="BR14" s="1039"/>
      <c r="BS14" s="3171"/>
      <c r="BT14" s="1037"/>
      <c r="BU14" s="1037"/>
      <c r="BV14" s="3173"/>
      <c r="BW14" s="3173"/>
      <c r="BX14" s="3173"/>
      <c r="BY14" s="1039"/>
      <c r="BZ14" s="1039"/>
      <c r="CA14" s="1039"/>
      <c r="CB14" s="3171"/>
      <c r="CC14" s="1037"/>
      <c r="CD14" s="1037"/>
      <c r="CE14" s="3173"/>
      <c r="CF14" s="3173"/>
      <c r="CG14" s="3173"/>
      <c r="CH14" s="1039"/>
      <c r="CI14" s="1039"/>
      <c r="CJ14" s="1039"/>
      <c r="CK14" s="3171"/>
      <c r="CL14" s="1037"/>
      <c r="CM14" s="1037"/>
      <c r="CN14" s="3173"/>
      <c r="CO14" s="3173"/>
      <c r="CP14" s="3173"/>
      <c r="CQ14" s="1039"/>
      <c r="CR14" s="1039"/>
      <c r="CS14" s="1039"/>
      <c r="CT14" s="3171"/>
      <c r="CU14" s="1037"/>
      <c r="CV14" s="1037"/>
      <c r="CW14" s="3173"/>
      <c r="CX14" s="3173"/>
      <c r="CY14" s="3173"/>
      <c r="CZ14" s="1039"/>
      <c r="DA14" s="1039"/>
      <c r="DB14" s="1039"/>
      <c r="DC14" s="3171"/>
      <c r="DD14" s="1037"/>
      <c r="DE14" s="1037"/>
      <c r="DF14" s="3173"/>
      <c r="DG14" s="3173"/>
      <c r="DH14" s="3173"/>
      <c r="DI14" s="1039"/>
      <c r="DJ14" s="1039"/>
      <c r="DK14" s="1039"/>
      <c r="DL14" s="3171"/>
      <c r="DM14" s="1037"/>
      <c r="DN14" s="1037"/>
      <c r="DO14" s="3173"/>
      <c r="DP14" s="3173"/>
      <c r="DQ14" s="3173"/>
      <c r="DR14" s="1039"/>
      <c r="DS14" s="1039"/>
      <c r="DT14" s="1039"/>
      <c r="DU14" s="3171"/>
      <c r="DV14" s="1037"/>
      <c r="DW14" s="1037"/>
      <c r="DX14" s="3173"/>
      <c r="DY14" s="3173"/>
      <c r="DZ14" s="3173"/>
      <c r="EA14" s="1039"/>
      <c r="EB14" s="1039"/>
      <c r="EC14" s="1039"/>
      <c r="ED14" s="3171"/>
      <c r="EE14" s="1037"/>
      <c r="EF14" s="1037"/>
      <c r="EG14" s="3173"/>
      <c r="EH14" s="3173"/>
      <c r="EI14" s="3173"/>
      <c r="EJ14" s="1039"/>
      <c r="EK14" s="1039"/>
      <c r="EL14" s="1039"/>
      <c r="EM14" s="3171"/>
      <c r="EN14" s="1037"/>
      <c r="EO14" s="1037"/>
      <c r="EP14" s="1027"/>
      <c r="EQ14" s="1027"/>
      <c r="ER14" s="1027"/>
      <c r="ES14" s="1028">
        <f t="shared" si="13"/>
        <v>0</v>
      </c>
      <c r="ET14" s="1021">
        <v>0</v>
      </c>
    </row>
    <row r="15" spans="1:152" ht="21">
      <c r="A15" s="1020">
        <v>220010</v>
      </c>
      <c r="B15" s="1023" t="s">
        <v>1816</v>
      </c>
      <c r="C15" s="1023" t="s">
        <v>1818</v>
      </c>
      <c r="D15" s="1022" t="s">
        <v>1809</v>
      </c>
      <c r="E15" s="1022" t="s">
        <v>472</v>
      </c>
      <c r="F15" s="1022" t="s">
        <v>1811</v>
      </c>
      <c r="G15" s="1022">
        <v>1</v>
      </c>
      <c r="H15" s="1037">
        <v>0</v>
      </c>
      <c r="I15" s="1037">
        <v>0</v>
      </c>
      <c r="J15" s="1037">
        <f>H15-I15</f>
        <v>0</v>
      </c>
      <c r="K15" s="1038">
        <v>2180000</v>
      </c>
      <c r="L15" s="1038">
        <v>2180000</v>
      </c>
      <c r="M15" s="1038">
        <f>K15-L15</f>
        <v>0</v>
      </c>
      <c r="N15" s="1039">
        <v>545000</v>
      </c>
      <c r="O15" s="1039">
        <v>545000</v>
      </c>
      <c r="P15" s="1039">
        <f t="shared" si="0"/>
        <v>0</v>
      </c>
      <c r="Q15" s="1037">
        <v>0</v>
      </c>
      <c r="R15" s="1037">
        <v>0</v>
      </c>
      <c r="S15" s="1037">
        <f t="shared" si="1"/>
        <v>0</v>
      </c>
      <c r="T15" s="1038">
        <v>0</v>
      </c>
      <c r="U15" s="1038">
        <v>0</v>
      </c>
      <c r="V15" s="1038">
        <f>T15-U15</f>
        <v>0</v>
      </c>
      <c r="W15" s="1039">
        <v>0</v>
      </c>
      <c r="X15" s="1039">
        <v>0</v>
      </c>
      <c r="Y15" s="1039">
        <f t="shared" si="3"/>
        <v>0</v>
      </c>
      <c r="Z15" s="1037">
        <v>0</v>
      </c>
      <c r="AA15" s="1037">
        <v>0</v>
      </c>
      <c r="AB15" s="1037">
        <f t="shared" si="4"/>
        <v>0</v>
      </c>
      <c r="AC15" s="1038">
        <v>0</v>
      </c>
      <c r="AD15" s="1038">
        <v>0</v>
      </c>
      <c r="AE15" s="1038">
        <f t="shared" si="5"/>
        <v>0</v>
      </c>
      <c r="AF15" s="1039">
        <v>0</v>
      </c>
      <c r="AG15" s="1039">
        <v>0</v>
      </c>
      <c r="AH15" s="1039">
        <f t="shared" si="6"/>
        <v>0</v>
      </c>
      <c r="AI15" s="1037">
        <v>0</v>
      </c>
      <c r="AJ15" s="1037"/>
      <c r="AK15" s="1037">
        <f t="shared" si="9"/>
        <v>0</v>
      </c>
      <c r="AL15" s="1038">
        <v>0</v>
      </c>
      <c r="AM15" s="1038"/>
      <c r="AN15" s="1038"/>
      <c r="AO15" s="1039">
        <v>0</v>
      </c>
      <c r="AP15" s="1039"/>
      <c r="AQ15" s="1039"/>
      <c r="AR15" s="1037"/>
      <c r="AS15" s="1037"/>
      <c r="AT15" s="1037">
        <f t="shared" si="14"/>
        <v>0</v>
      </c>
      <c r="AU15" s="1038">
        <v>0</v>
      </c>
      <c r="AV15" s="1038">
        <v>0</v>
      </c>
      <c r="AW15" s="1038">
        <f t="shared" si="10"/>
        <v>0</v>
      </c>
      <c r="AX15" s="1039"/>
      <c r="AY15" s="1039"/>
      <c r="AZ15" s="1039">
        <f t="shared" si="11"/>
        <v>0</v>
      </c>
      <c r="BA15" s="3171"/>
      <c r="BB15" s="1037"/>
      <c r="BC15" s="1037">
        <f t="shared" si="12"/>
        <v>0</v>
      </c>
      <c r="BD15" s="3173"/>
      <c r="BE15" s="3173"/>
      <c r="BF15" s="3173">
        <f t="shared" si="15"/>
        <v>0</v>
      </c>
      <c r="BG15" s="1039"/>
      <c r="BH15" s="1039"/>
      <c r="BI15" s="1039"/>
      <c r="BJ15" s="3171"/>
      <c r="BK15" s="1037"/>
      <c r="BL15" s="1037"/>
      <c r="BM15" s="3173"/>
      <c r="BN15" s="3173"/>
      <c r="BO15" s="3173">
        <f t="shared" si="16"/>
        <v>0</v>
      </c>
      <c r="BP15" s="1039"/>
      <c r="BQ15" s="1039"/>
      <c r="BR15" s="1039"/>
      <c r="BS15" s="3171"/>
      <c r="BT15" s="1037"/>
      <c r="BU15" s="1037"/>
      <c r="BV15" s="3173"/>
      <c r="BW15" s="3173"/>
      <c r="BX15" s="3173"/>
      <c r="BY15" s="1039"/>
      <c r="BZ15" s="1039"/>
      <c r="CA15" s="1039"/>
      <c r="CB15" s="3171"/>
      <c r="CC15" s="1037"/>
      <c r="CD15" s="1037"/>
      <c r="CE15" s="3173"/>
      <c r="CF15" s="3173"/>
      <c r="CG15" s="3173"/>
      <c r="CH15" s="1039"/>
      <c r="CI15" s="1039"/>
      <c r="CJ15" s="1039"/>
      <c r="CK15" s="3171"/>
      <c r="CL15" s="1037"/>
      <c r="CM15" s="1037"/>
      <c r="CN15" s="3173"/>
      <c r="CO15" s="3173"/>
      <c r="CP15" s="3173"/>
      <c r="CQ15" s="1039"/>
      <c r="CR15" s="1039"/>
      <c r="CS15" s="1039"/>
      <c r="CT15" s="3171"/>
      <c r="CU15" s="1037"/>
      <c r="CV15" s="1037"/>
      <c r="CW15" s="3173"/>
      <c r="CX15" s="3173"/>
      <c r="CY15" s="3173"/>
      <c r="CZ15" s="1039"/>
      <c r="DA15" s="1039"/>
      <c r="DB15" s="1039"/>
      <c r="DC15" s="3171"/>
      <c r="DD15" s="1037"/>
      <c r="DE15" s="1037"/>
      <c r="DF15" s="3173"/>
      <c r="DG15" s="3173"/>
      <c r="DH15" s="3173"/>
      <c r="DI15" s="1039"/>
      <c r="DJ15" s="1039"/>
      <c r="DK15" s="1039"/>
      <c r="DL15" s="3171"/>
      <c r="DM15" s="1037"/>
      <c r="DN15" s="1037"/>
      <c r="DO15" s="3173"/>
      <c r="DP15" s="3173"/>
      <c r="DQ15" s="3173"/>
      <c r="DR15" s="1039"/>
      <c r="DS15" s="1039"/>
      <c r="DT15" s="1039"/>
      <c r="DU15" s="3171"/>
      <c r="DV15" s="1037"/>
      <c r="DW15" s="1037"/>
      <c r="DX15" s="3173"/>
      <c r="DY15" s="3173"/>
      <c r="DZ15" s="3173"/>
      <c r="EA15" s="1039"/>
      <c r="EB15" s="1039"/>
      <c r="EC15" s="1039"/>
      <c r="ED15" s="3171"/>
      <c r="EE15" s="1037"/>
      <c r="EF15" s="1037"/>
      <c r="EG15" s="3173"/>
      <c r="EH15" s="3173"/>
      <c r="EI15" s="3173"/>
      <c r="EJ15" s="1039"/>
      <c r="EK15" s="1039"/>
      <c r="EL15" s="1039"/>
      <c r="EM15" s="3171"/>
      <c r="EN15" s="1037"/>
      <c r="EO15" s="1037"/>
      <c r="EP15" s="1027"/>
      <c r="EQ15" s="1027"/>
      <c r="ER15" s="1027"/>
      <c r="ES15" s="1028">
        <f t="shared" si="13"/>
        <v>0</v>
      </c>
      <c r="ET15" s="1021">
        <v>0</v>
      </c>
    </row>
    <row r="16" spans="1:152" ht="21">
      <c r="A16" s="1020">
        <v>2200375</v>
      </c>
      <c r="B16" s="1023" t="s">
        <v>1817</v>
      </c>
      <c r="C16" s="1023" t="s">
        <v>1818</v>
      </c>
      <c r="D16" s="1022" t="s">
        <v>1809</v>
      </c>
      <c r="E16" s="1022" t="s">
        <v>472</v>
      </c>
      <c r="F16" s="1022" t="s">
        <v>1811</v>
      </c>
      <c r="G16" s="1022">
        <v>1</v>
      </c>
      <c r="H16" s="1037">
        <v>513480</v>
      </c>
      <c r="I16" s="1037">
        <v>513480</v>
      </c>
      <c r="J16" s="1037">
        <f t="shared" si="7"/>
        <v>0</v>
      </c>
      <c r="K16" s="1038">
        <v>0</v>
      </c>
      <c r="L16" s="1038">
        <v>0</v>
      </c>
      <c r="M16" s="1038">
        <f t="shared" si="8"/>
        <v>0</v>
      </c>
      <c r="N16" s="1039">
        <v>2542470.48</v>
      </c>
      <c r="O16" s="1039">
        <v>2542470.48</v>
      </c>
      <c r="P16" s="1039">
        <f t="shared" si="0"/>
        <v>0</v>
      </c>
      <c r="Q16" s="1037">
        <v>0</v>
      </c>
      <c r="R16" s="1037">
        <v>0</v>
      </c>
      <c r="S16" s="1037">
        <f t="shared" si="1"/>
        <v>0</v>
      </c>
      <c r="T16" s="1038">
        <v>0</v>
      </c>
      <c r="U16" s="1038">
        <v>0</v>
      </c>
      <c r="V16" s="1038">
        <f t="shared" si="2"/>
        <v>0</v>
      </c>
      <c r="W16" s="1039">
        <v>0</v>
      </c>
      <c r="X16" s="1039">
        <v>0</v>
      </c>
      <c r="Y16" s="1039">
        <f t="shared" si="3"/>
        <v>0</v>
      </c>
      <c r="Z16" s="1037">
        <v>0</v>
      </c>
      <c r="AA16" s="1037">
        <v>0</v>
      </c>
      <c r="AB16" s="1037">
        <f t="shared" si="4"/>
        <v>0</v>
      </c>
      <c r="AC16" s="1038">
        <v>350947.87200000003</v>
      </c>
      <c r="AD16" s="1038">
        <v>350947.87200000003</v>
      </c>
      <c r="AE16" s="1038">
        <f t="shared" si="5"/>
        <v>0</v>
      </c>
      <c r="AF16" s="1039">
        <v>0</v>
      </c>
      <c r="AG16" s="1039">
        <v>0</v>
      </c>
      <c r="AH16" s="1039">
        <f t="shared" si="6"/>
        <v>0</v>
      </c>
      <c r="AI16" s="1037"/>
      <c r="AJ16" s="1037"/>
      <c r="AK16" s="1037">
        <f t="shared" si="9"/>
        <v>0</v>
      </c>
      <c r="AL16" s="1038">
        <v>177511.93</v>
      </c>
      <c r="AM16" s="1038"/>
      <c r="AN16" s="1038">
        <f>+AL16-AM16</f>
        <v>177511.93</v>
      </c>
      <c r="AO16" s="1039">
        <v>177511.93</v>
      </c>
      <c r="AP16" s="1039">
        <v>0</v>
      </c>
      <c r="AQ16" s="1039">
        <f>+AO16-AP16</f>
        <v>177511.93</v>
      </c>
      <c r="AR16" s="1037">
        <v>177511.93</v>
      </c>
      <c r="AS16" s="1037">
        <v>0</v>
      </c>
      <c r="AT16" s="1037">
        <f t="shared" si="14"/>
        <v>177511.93</v>
      </c>
      <c r="AU16" s="1038">
        <v>0</v>
      </c>
      <c r="AV16" s="1038">
        <v>0</v>
      </c>
      <c r="AW16" s="1038">
        <f t="shared" si="10"/>
        <v>0</v>
      </c>
      <c r="AX16" s="1039"/>
      <c r="AY16" s="1039">
        <v>0</v>
      </c>
      <c r="AZ16" s="1039">
        <f t="shared" si="11"/>
        <v>0</v>
      </c>
      <c r="BA16" s="3171"/>
      <c r="BB16" s="1037">
        <v>0</v>
      </c>
      <c r="BC16" s="1037">
        <f t="shared" si="12"/>
        <v>0</v>
      </c>
      <c r="BD16" s="3173"/>
      <c r="BE16" s="3173"/>
      <c r="BF16" s="3173">
        <f t="shared" si="15"/>
        <v>0</v>
      </c>
      <c r="BG16" s="1039"/>
      <c r="BH16" s="1039"/>
      <c r="BI16" s="1039"/>
      <c r="BJ16" s="3171"/>
      <c r="BK16" s="1037">
        <v>87736.39</v>
      </c>
      <c r="BL16" s="1037">
        <f>+BJ16-BK16</f>
        <v>-87736.39</v>
      </c>
      <c r="BM16" s="3173"/>
      <c r="BN16" s="3173"/>
      <c r="BO16" s="3173">
        <f t="shared" si="16"/>
        <v>0</v>
      </c>
      <c r="BP16" s="1039"/>
      <c r="BQ16" s="1039"/>
      <c r="BR16" s="1039"/>
      <c r="BS16" s="3171"/>
      <c r="BT16" s="1037"/>
      <c r="BU16" s="1037"/>
      <c r="BV16" s="3173"/>
      <c r="BW16" s="3173"/>
      <c r="BX16" s="3173"/>
      <c r="BY16" s="1039"/>
      <c r="BZ16" s="1039"/>
      <c r="CA16" s="1039"/>
      <c r="CB16" s="3171"/>
      <c r="CC16" s="1037"/>
      <c r="CD16" s="1037"/>
      <c r="CE16" s="3173"/>
      <c r="CF16" s="3173"/>
      <c r="CG16" s="3173"/>
      <c r="CH16" s="1039"/>
      <c r="CI16" s="1039"/>
      <c r="CJ16" s="1039"/>
      <c r="CK16" s="3171"/>
      <c r="CL16" s="1037"/>
      <c r="CM16" s="1037"/>
      <c r="CN16" s="3173"/>
      <c r="CO16" s="3173"/>
      <c r="CP16" s="3173"/>
      <c r="CQ16" s="1039"/>
      <c r="CR16" s="1039"/>
      <c r="CS16" s="1039"/>
      <c r="CT16" s="3171"/>
      <c r="CU16" s="1037"/>
      <c r="CV16" s="1037"/>
      <c r="CW16" s="3173"/>
      <c r="CX16" s="3173"/>
      <c r="CY16" s="3173"/>
      <c r="CZ16" s="1039"/>
      <c r="DA16" s="1039"/>
      <c r="DB16" s="1039"/>
      <c r="DC16" s="3171"/>
      <c r="DD16" s="1037"/>
      <c r="DE16" s="1037"/>
      <c r="DF16" s="3173"/>
      <c r="DG16" s="3173"/>
      <c r="DH16" s="3173"/>
      <c r="DI16" s="1039"/>
      <c r="DJ16" s="1039"/>
      <c r="DK16" s="1039"/>
      <c r="DL16" s="3171"/>
      <c r="DM16" s="1037"/>
      <c r="DN16" s="1037"/>
      <c r="DO16" s="3173"/>
      <c r="DP16" s="3173"/>
      <c r="DQ16" s="3173"/>
      <c r="DR16" s="1039"/>
      <c r="DS16" s="1039"/>
      <c r="DT16" s="1039"/>
      <c r="DU16" s="3171"/>
      <c r="DV16" s="1037"/>
      <c r="DW16" s="1037"/>
      <c r="DX16" s="3173"/>
      <c r="DY16" s="3173"/>
      <c r="DZ16" s="3173"/>
      <c r="EA16" s="1039"/>
      <c r="EB16" s="1039"/>
      <c r="EC16" s="1039"/>
      <c r="ED16" s="3171"/>
      <c r="EE16" s="1037"/>
      <c r="EF16" s="1037"/>
      <c r="EG16" s="3173"/>
      <c r="EH16" s="3173"/>
      <c r="EI16" s="3173"/>
      <c r="EJ16" s="1039"/>
      <c r="EK16" s="1039"/>
      <c r="EL16" s="1039"/>
      <c r="EM16" s="3171"/>
      <c r="EN16" s="1037"/>
      <c r="EO16" s="1037"/>
      <c r="EP16" s="1027"/>
      <c r="EQ16" s="1027"/>
      <c r="ER16" s="1027"/>
      <c r="ES16" s="1028">
        <f t="shared" si="13"/>
        <v>0</v>
      </c>
      <c r="ET16" s="1021" t="e">
        <f>#REF!</f>
        <v>#REF!</v>
      </c>
      <c r="EU16" s="1003">
        <v>0</v>
      </c>
      <c r="EV16" s="1003">
        <v>0</v>
      </c>
    </row>
    <row r="17" spans="1:152" ht="31.5">
      <c r="A17" s="1020">
        <v>2210167</v>
      </c>
      <c r="B17" s="1023" t="s">
        <v>1819</v>
      </c>
      <c r="C17" s="1023" t="s">
        <v>1820</v>
      </c>
      <c r="D17" s="1022" t="s">
        <v>1809</v>
      </c>
      <c r="E17" s="1022" t="s">
        <v>494</v>
      </c>
      <c r="F17" s="1022" t="s">
        <v>1811</v>
      </c>
      <c r="G17" s="1022">
        <v>1</v>
      </c>
      <c r="H17" s="1040">
        <v>0</v>
      </c>
      <c r="I17" s="1040">
        <v>0</v>
      </c>
      <c r="J17" s="1040">
        <f t="shared" si="7"/>
        <v>0</v>
      </c>
      <c r="K17" s="1038">
        <v>0</v>
      </c>
      <c r="L17" s="1038">
        <v>4500</v>
      </c>
      <c r="M17" s="1038">
        <f t="shared" si="8"/>
        <v>-4500</v>
      </c>
      <c r="N17" s="1039">
        <v>0</v>
      </c>
      <c r="O17" s="1039">
        <v>0</v>
      </c>
      <c r="P17" s="1039">
        <f t="shared" si="0"/>
        <v>0</v>
      </c>
      <c r="Q17" s="1040">
        <v>0</v>
      </c>
      <c r="R17" s="1040">
        <v>0</v>
      </c>
      <c r="S17" s="1040">
        <f t="shared" si="1"/>
        <v>0</v>
      </c>
      <c r="T17" s="1038">
        <v>0</v>
      </c>
      <c r="U17" s="1038">
        <v>0</v>
      </c>
      <c r="V17" s="1038">
        <f>T17-U17</f>
        <v>0</v>
      </c>
      <c r="W17" s="1039">
        <v>0</v>
      </c>
      <c r="X17" s="1039">
        <v>0</v>
      </c>
      <c r="Y17" s="1039">
        <f t="shared" si="3"/>
        <v>0</v>
      </c>
      <c r="Z17" s="1040">
        <v>0</v>
      </c>
      <c r="AA17" s="1040">
        <v>0</v>
      </c>
      <c r="AB17" s="1040">
        <f t="shared" si="4"/>
        <v>0</v>
      </c>
      <c r="AC17" s="1038">
        <v>0</v>
      </c>
      <c r="AD17" s="1038">
        <v>0</v>
      </c>
      <c r="AE17" s="1038">
        <f t="shared" si="5"/>
        <v>0</v>
      </c>
      <c r="AF17" s="1039">
        <v>0</v>
      </c>
      <c r="AG17" s="1039">
        <v>0</v>
      </c>
      <c r="AH17" s="1039">
        <f t="shared" si="6"/>
        <v>0</v>
      </c>
      <c r="AI17" s="1040">
        <v>0</v>
      </c>
      <c r="AJ17" s="1040"/>
      <c r="AK17" s="1040">
        <f t="shared" si="9"/>
        <v>0</v>
      </c>
      <c r="AL17" s="1038">
        <v>0</v>
      </c>
      <c r="AM17" s="1038"/>
      <c r="AN17" s="1038"/>
      <c r="AO17" s="1039">
        <v>0</v>
      </c>
      <c r="AP17" s="1039"/>
      <c r="AQ17" s="1039"/>
      <c r="AR17" s="1040"/>
      <c r="AS17" s="1040"/>
      <c r="AT17" s="1037">
        <f t="shared" si="14"/>
        <v>0</v>
      </c>
      <c r="AU17" s="1038">
        <v>0</v>
      </c>
      <c r="AV17" s="1038">
        <v>0</v>
      </c>
      <c r="AW17" s="1038">
        <f t="shared" si="10"/>
        <v>0</v>
      </c>
      <c r="AX17" s="1039"/>
      <c r="AY17" s="1039"/>
      <c r="AZ17" s="1039">
        <f t="shared" si="11"/>
        <v>0</v>
      </c>
      <c r="BA17" s="3172"/>
      <c r="BB17" s="1040"/>
      <c r="BC17" s="1037">
        <f t="shared" si="12"/>
        <v>0</v>
      </c>
      <c r="BD17" s="3173"/>
      <c r="BE17" s="3173"/>
      <c r="BF17" s="3173">
        <f t="shared" si="15"/>
        <v>0</v>
      </c>
      <c r="BG17" s="1039"/>
      <c r="BH17" s="1039"/>
      <c r="BI17" s="1039"/>
      <c r="BJ17" s="3172"/>
      <c r="BK17" s="1040"/>
      <c r="BL17" s="1037"/>
      <c r="BM17" s="3173"/>
      <c r="BN17" s="3173"/>
      <c r="BO17" s="3173">
        <f t="shared" si="16"/>
        <v>0</v>
      </c>
      <c r="BP17" s="1039"/>
      <c r="BQ17" s="1039"/>
      <c r="BR17" s="1039"/>
      <c r="BS17" s="3172"/>
      <c r="BT17" s="1040"/>
      <c r="BU17" s="1037"/>
      <c r="BV17" s="3173"/>
      <c r="BW17" s="3173"/>
      <c r="BX17" s="3173"/>
      <c r="BY17" s="1039"/>
      <c r="BZ17" s="1039"/>
      <c r="CA17" s="1039"/>
      <c r="CB17" s="3172"/>
      <c r="CC17" s="1040"/>
      <c r="CD17" s="1037"/>
      <c r="CE17" s="3173"/>
      <c r="CF17" s="3173"/>
      <c r="CG17" s="3173"/>
      <c r="CH17" s="1039"/>
      <c r="CI17" s="1039"/>
      <c r="CJ17" s="1039"/>
      <c r="CK17" s="3172"/>
      <c r="CL17" s="1040"/>
      <c r="CM17" s="1037"/>
      <c r="CN17" s="3173"/>
      <c r="CO17" s="3173"/>
      <c r="CP17" s="3173"/>
      <c r="CQ17" s="1039"/>
      <c r="CR17" s="1039"/>
      <c r="CS17" s="1039"/>
      <c r="CT17" s="3172"/>
      <c r="CU17" s="1040"/>
      <c r="CV17" s="1037"/>
      <c r="CW17" s="3173"/>
      <c r="CX17" s="3173"/>
      <c r="CY17" s="3173"/>
      <c r="CZ17" s="1039"/>
      <c r="DA17" s="1039"/>
      <c r="DB17" s="1039"/>
      <c r="DC17" s="3172"/>
      <c r="DD17" s="1040"/>
      <c r="DE17" s="1037"/>
      <c r="DF17" s="3173"/>
      <c r="DG17" s="3173"/>
      <c r="DH17" s="3173"/>
      <c r="DI17" s="1039"/>
      <c r="DJ17" s="1039"/>
      <c r="DK17" s="1039"/>
      <c r="DL17" s="3172"/>
      <c r="DM17" s="1040"/>
      <c r="DN17" s="1037"/>
      <c r="DO17" s="3173"/>
      <c r="DP17" s="3173"/>
      <c r="DQ17" s="3173"/>
      <c r="DR17" s="1039"/>
      <c r="DS17" s="1039"/>
      <c r="DT17" s="1039"/>
      <c r="DU17" s="3172"/>
      <c r="DV17" s="1040"/>
      <c r="DW17" s="1037"/>
      <c r="DX17" s="3173"/>
      <c r="DY17" s="3173"/>
      <c r="DZ17" s="3173"/>
      <c r="EA17" s="1039"/>
      <c r="EB17" s="1039"/>
      <c r="EC17" s="1039"/>
      <c r="ED17" s="3172"/>
      <c r="EE17" s="1040"/>
      <c r="EF17" s="1037"/>
      <c r="EG17" s="3173"/>
      <c r="EH17" s="3173"/>
      <c r="EI17" s="3173"/>
      <c r="EJ17" s="1039"/>
      <c r="EK17" s="1039"/>
      <c r="EL17" s="1039"/>
      <c r="EM17" s="3172"/>
      <c r="EN17" s="1040"/>
      <c r="EO17" s="1037"/>
      <c r="EP17" s="1027"/>
      <c r="EQ17" s="1027"/>
      <c r="ER17" s="1027"/>
      <c r="ES17" s="1028">
        <f t="shared" si="13"/>
        <v>0</v>
      </c>
      <c r="ET17" s="1021">
        <v>0</v>
      </c>
    </row>
    <row r="18" spans="1:152" ht="45" customHeight="1">
      <c r="A18" s="1020">
        <v>2230023</v>
      </c>
      <c r="B18" s="1023" t="s">
        <v>376</v>
      </c>
      <c r="C18" s="1023" t="s">
        <v>2504</v>
      </c>
      <c r="D18" s="1022" t="s">
        <v>1809</v>
      </c>
      <c r="E18" s="1022" t="s">
        <v>494</v>
      </c>
      <c r="F18" s="1022" t="s">
        <v>1811</v>
      </c>
      <c r="G18" s="1022">
        <v>1</v>
      </c>
      <c r="H18" s="1040"/>
      <c r="I18" s="1040"/>
      <c r="J18" s="1040"/>
      <c r="K18" s="1038"/>
      <c r="L18" s="1038"/>
      <c r="M18" s="1038"/>
      <c r="N18" s="1039"/>
      <c r="O18" s="1039"/>
      <c r="P18" s="1039"/>
      <c r="Q18" s="1040"/>
      <c r="R18" s="1040"/>
      <c r="S18" s="1040"/>
      <c r="T18" s="1038"/>
      <c r="U18" s="1038"/>
      <c r="V18" s="1038"/>
      <c r="W18" s="1039"/>
      <c r="X18" s="1039"/>
      <c r="Y18" s="1039"/>
      <c r="Z18" s="1040"/>
      <c r="AA18" s="1040"/>
      <c r="AB18" s="1040"/>
      <c r="AC18" s="1038"/>
      <c r="AD18" s="1038"/>
      <c r="AE18" s="1038"/>
      <c r="AF18" s="1039"/>
      <c r="AG18" s="1039"/>
      <c r="AH18" s="1039"/>
      <c r="AI18" s="1040"/>
      <c r="AJ18" s="1040"/>
      <c r="AK18" s="1040"/>
      <c r="AL18" s="1038">
        <f>260955414.4*0.1</f>
        <v>26095541.440000001</v>
      </c>
      <c r="AM18" s="1038">
        <v>0</v>
      </c>
      <c r="AN18" s="1038">
        <f>+AL18-AM18</f>
        <v>26095541.440000001</v>
      </c>
      <c r="AO18" s="1039">
        <v>26095541.440000001</v>
      </c>
      <c r="AP18" s="1039">
        <v>0</v>
      </c>
      <c r="AQ18" s="1039">
        <f>+AO18-AP18</f>
        <v>26095541.440000001</v>
      </c>
      <c r="AR18" s="1040"/>
      <c r="AS18" s="1040"/>
      <c r="AT18" s="1037">
        <f t="shared" si="14"/>
        <v>0</v>
      </c>
      <c r="AU18" s="1038">
        <v>26095541.440000001</v>
      </c>
      <c r="AV18" s="1038">
        <f>+'Schedule H SAB'!AD14</f>
        <v>26095541.440000001</v>
      </c>
      <c r="AW18" s="1038">
        <f t="shared" si="10"/>
        <v>0</v>
      </c>
      <c r="AX18" s="1039">
        <v>5979424</v>
      </c>
      <c r="AY18" s="1039">
        <v>0</v>
      </c>
      <c r="AZ18" s="1039">
        <f t="shared" si="11"/>
        <v>5979424</v>
      </c>
      <c r="BA18" s="3172"/>
      <c r="BB18" s="1040">
        <v>12971542.489999998</v>
      </c>
      <c r="BC18" s="1037">
        <f t="shared" si="12"/>
        <v>-12971542.489999998</v>
      </c>
      <c r="BD18" s="3173">
        <v>5055385.55</v>
      </c>
      <c r="BE18" s="3173">
        <v>0</v>
      </c>
      <c r="BF18" s="3173">
        <f t="shared" si="15"/>
        <v>5055385.55</v>
      </c>
      <c r="BG18" s="1039">
        <v>12243673.52</v>
      </c>
      <c r="BH18" s="1039">
        <v>5680375.7600000007</v>
      </c>
      <c r="BI18" s="1039">
        <f>+BG18-BH18</f>
        <v>6563297.7599999988</v>
      </c>
      <c r="BJ18" s="3172">
        <v>6080555.8247583201</v>
      </c>
      <c r="BK18" s="1037">
        <v>48171310.414000005</v>
      </c>
      <c r="BL18" s="1037">
        <f>+BJ18-BK18</f>
        <v>-42090754.589241683</v>
      </c>
      <c r="BM18" s="3173">
        <v>10214407.897957118</v>
      </c>
      <c r="BN18" s="3173">
        <v>3077391.3840000001</v>
      </c>
      <c r="BO18" s="3173">
        <f t="shared" si="16"/>
        <v>7137016.5139571186</v>
      </c>
      <c r="BP18" s="1039">
        <v>3596701</v>
      </c>
      <c r="BQ18" s="1039">
        <v>0</v>
      </c>
      <c r="BR18" s="1039">
        <f>+BP18-BQ18</f>
        <v>3596701</v>
      </c>
      <c r="BS18" s="3172">
        <v>5231600</v>
      </c>
      <c r="BT18" s="1037">
        <v>2484352.4899999998</v>
      </c>
      <c r="BU18" s="1037">
        <f>+BS18-BT18</f>
        <v>2747247.5100000002</v>
      </c>
      <c r="BV18" s="3173">
        <v>5075060.9000000004</v>
      </c>
      <c r="BW18" s="3173">
        <v>4978201.8499999996</v>
      </c>
      <c r="BX18" s="3173">
        <f>+BV18-BW18</f>
        <v>96859.050000000745</v>
      </c>
      <c r="BY18" s="1039">
        <v>3750000</v>
      </c>
      <c r="BZ18" s="1039">
        <v>0</v>
      </c>
      <c r="CA18" s="1039">
        <f>+BY18-BZ18</f>
        <v>3750000</v>
      </c>
      <c r="CB18" s="3172">
        <v>0</v>
      </c>
      <c r="CC18" s="1037">
        <v>0</v>
      </c>
      <c r="CD18" s="1037"/>
      <c r="CE18" s="3173"/>
      <c r="CF18" s="3173"/>
      <c r="CG18" s="3173"/>
      <c r="CH18" s="1039">
        <v>0</v>
      </c>
      <c r="CI18" s="1039">
        <f>+'Schedule H SAB'!AD26+'Schedule H SAB'!AD27</f>
        <v>33692364.719999999</v>
      </c>
      <c r="CJ18" s="1039">
        <f>+CH18-CI18</f>
        <v>-33692364.719999999</v>
      </c>
      <c r="CK18" s="3172">
        <v>0</v>
      </c>
      <c r="CL18" s="1037"/>
      <c r="CM18" s="1037"/>
      <c r="CN18" s="3173"/>
      <c r="CO18" s="3173">
        <v>37508046.030000001</v>
      </c>
      <c r="CP18" s="3173">
        <f>+CN18-CO18</f>
        <v>-37508046.030000001</v>
      </c>
      <c r="CQ18" s="1039">
        <v>0</v>
      </c>
      <c r="CR18" s="1039">
        <f>+'Schedule H SAB'!AM26+'Schedule H SAB'!AM27</f>
        <v>0</v>
      </c>
      <c r="CS18" s="1039">
        <f>+CQ18-CR18</f>
        <v>0</v>
      </c>
      <c r="CT18" s="3172"/>
      <c r="CU18" s="1037"/>
      <c r="CV18" s="1037"/>
      <c r="CW18" s="3173"/>
      <c r="CX18" s="3173"/>
      <c r="CY18" s="3173"/>
      <c r="CZ18" s="1039">
        <v>14629962.725496801</v>
      </c>
      <c r="DA18" s="1039">
        <f>+'Schedule H SAB'!V29+'Schedule H SAB'!V30</f>
        <v>17663126.709999997</v>
      </c>
      <c r="DB18" s="1039">
        <f>+CZ18-DA18</f>
        <v>-3033163.9845031966</v>
      </c>
      <c r="DC18" s="3172">
        <v>9526208.6799999997</v>
      </c>
      <c r="DD18" s="1037">
        <v>0</v>
      </c>
      <c r="DE18" s="1037">
        <f>+DC18-DD18</f>
        <v>9526208.6799999997</v>
      </c>
      <c r="DF18" s="3173">
        <v>8691997.0700000003</v>
      </c>
      <c r="DG18" s="3173">
        <v>0</v>
      </c>
      <c r="DH18" s="3173">
        <f>+DF18-DG18</f>
        <v>8691997.0700000003</v>
      </c>
      <c r="DI18" s="1039">
        <v>7151294</v>
      </c>
      <c r="DJ18" s="1039">
        <v>7775637.5478260871</v>
      </c>
      <c r="DK18" s="1039">
        <f>+DI18-DJ18</f>
        <v>-624343.5478260871</v>
      </c>
      <c r="DL18" s="3172">
        <v>3498261.74</v>
      </c>
      <c r="DM18" s="1037">
        <v>5114250.0869565224</v>
      </c>
      <c r="DN18" s="1037">
        <f>+DL18-DM18</f>
        <v>-1615988.3469565222</v>
      </c>
      <c r="DO18" s="3173">
        <v>4197914.09</v>
      </c>
      <c r="DP18" s="3173">
        <v>3862121.507029566</v>
      </c>
      <c r="DQ18" s="3173">
        <f>+DO18-DP18</f>
        <v>335792.58297043387</v>
      </c>
      <c r="DR18" s="1039">
        <v>4081475.02</v>
      </c>
      <c r="DS18" s="1039">
        <v>1873214.39</v>
      </c>
      <c r="DT18" s="1039">
        <f>+DR18-DS18</f>
        <v>2208260.63</v>
      </c>
      <c r="DU18" s="3172">
        <v>3899538.47</v>
      </c>
      <c r="DV18" s="1037">
        <v>2241917.6782608693</v>
      </c>
      <c r="DW18" s="1037">
        <f>+DU18-DV18</f>
        <v>1657620.7917391309</v>
      </c>
      <c r="DX18" s="3173">
        <v>5755976.9000000004</v>
      </c>
      <c r="DY18" s="3173">
        <v>4666401.51304348</v>
      </c>
      <c r="DZ18" s="3173">
        <f>+DX18-DY18</f>
        <v>1089575.3869565204</v>
      </c>
      <c r="EA18" s="1039">
        <v>5755976.9000000004</v>
      </c>
      <c r="EB18" s="1039">
        <v>10309315.076000001</v>
      </c>
      <c r="EC18" s="1039">
        <f>+EA18-EB18</f>
        <v>-4553338.1760000009</v>
      </c>
      <c r="ED18" s="3172">
        <v>5755976.9000000004</v>
      </c>
      <c r="EE18" s="1037">
        <v>4213176.8347826097</v>
      </c>
      <c r="EF18" s="1037">
        <f>+ED18-EE18</f>
        <v>1542800.0652173907</v>
      </c>
      <c r="EG18" s="3173">
        <v>5755976.9000000004</v>
      </c>
      <c r="EH18" s="3173">
        <v>0</v>
      </c>
      <c r="EI18" s="3173">
        <f>+EG18-EH18</f>
        <v>5755976.9000000004</v>
      </c>
      <c r="EJ18" s="1039"/>
      <c r="EK18" s="1039">
        <f>3284447.3/1.15</f>
        <v>2856041.1304347827</v>
      </c>
      <c r="EL18" s="1039">
        <f>+EJ18-EK18</f>
        <v>-2856041.1304347827</v>
      </c>
      <c r="EM18" s="3172"/>
      <c r="EN18" s="1037">
        <v>3483605.7739130445</v>
      </c>
      <c r="EO18" s="1037">
        <f>+EM18-EN18</f>
        <v>-3483605.7739130445</v>
      </c>
      <c r="EP18" s="1027"/>
      <c r="EQ18" s="1027">
        <v>1787346</v>
      </c>
      <c r="ER18" s="1027">
        <v>1787346</v>
      </c>
      <c r="ES18" s="1028">
        <f t="shared" si="13"/>
        <v>3574692</v>
      </c>
      <c r="ET18" s="1021">
        <v>5979424.5800000001</v>
      </c>
      <c r="EU18" s="1003">
        <v>26095541.440000001</v>
      </c>
      <c r="EV18" s="1003">
        <v>6624822.5999999996</v>
      </c>
    </row>
    <row r="19" spans="1:152" ht="30.75" customHeight="1">
      <c r="A19" s="1020">
        <v>2230042</v>
      </c>
      <c r="B19" s="1023" t="s">
        <v>2025</v>
      </c>
      <c r="C19" s="1023" t="s">
        <v>2509</v>
      </c>
      <c r="D19" s="1022" t="s">
        <v>1809</v>
      </c>
      <c r="E19" s="1022" t="s">
        <v>472</v>
      </c>
      <c r="F19" s="1022" t="s">
        <v>1811</v>
      </c>
      <c r="G19" s="1022">
        <v>1</v>
      </c>
      <c r="H19" s="1040"/>
      <c r="I19" s="1040"/>
      <c r="J19" s="1040"/>
      <c r="K19" s="1038"/>
      <c r="L19" s="1038"/>
      <c r="M19" s="1038"/>
      <c r="N19" s="1039"/>
      <c r="O19" s="1039"/>
      <c r="P19" s="1039"/>
      <c r="Q19" s="1040"/>
      <c r="R19" s="1040"/>
      <c r="S19" s="1040"/>
      <c r="T19" s="1038"/>
      <c r="U19" s="1038"/>
      <c r="V19" s="1038"/>
      <c r="W19" s="1039"/>
      <c r="X19" s="1039"/>
      <c r="Y19" s="1039"/>
      <c r="Z19" s="1040"/>
      <c r="AA19" s="1040"/>
      <c r="AB19" s="1040"/>
      <c r="AC19" s="1038"/>
      <c r="AD19" s="1038"/>
      <c r="AE19" s="1038"/>
      <c r="AF19" s="1039"/>
      <c r="AG19" s="1039"/>
      <c r="AH19" s="1039"/>
      <c r="AI19" s="1040"/>
      <c r="AJ19" s="1040"/>
      <c r="AK19" s="1040"/>
      <c r="AL19" s="1038"/>
      <c r="AM19" s="1038"/>
      <c r="AN19" s="1038"/>
      <c r="AO19" s="1039"/>
      <c r="AP19" s="1039"/>
      <c r="AQ19" s="1039"/>
      <c r="AR19" s="1040">
        <v>160000</v>
      </c>
      <c r="AS19" s="1040">
        <v>0</v>
      </c>
      <c r="AT19" s="1037">
        <f t="shared" si="14"/>
        <v>160000</v>
      </c>
      <c r="AU19" s="1038">
        <v>0</v>
      </c>
      <c r="AV19" s="1038"/>
      <c r="AW19" s="1038">
        <f t="shared" si="10"/>
        <v>0</v>
      </c>
      <c r="AX19" s="1039"/>
      <c r="AY19" s="1039"/>
      <c r="AZ19" s="1039">
        <f t="shared" si="11"/>
        <v>0</v>
      </c>
      <c r="BA19" s="3172"/>
      <c r="BB19" s="1040">
        <v>168421.05</v>
      </c>
      <c r="BC19" s="1037">
        <f t="shared" si="12"/>
        <v>-168421.05</v>
      </c>
      <c r="BD19" s="3173"/>
      <c r="BE19" s="3173"/>
      <c r="BF19" s="3173">
        <f t="shared" si="15"/>
        <v>0</v>
      </c>
      <c r="BG19" s="1039"/>
      <c r="BH19" s="1039"/>
      <c r="BI19" s="1039"/>
      <c r="BJ19" s="3172"/>
      <c r="BK19" s="1040"/>
      <c r="BL19" s="1037"/>
      <c r="BM19" s="3173"/>
      <c r="BN19" s="3173"/>
      <c r="BO19" s="3173">
        <f t="shared" si="16"/>
        <v>0</v>
      </c>
      <c r="BP19" s="1039"/>
      <c r="BQ19" s="1039"/>
      <c r="BR19" s="1039"/>
      <c r="BS19" s="3172"/>
      <c r="BT19" s="1040"/>
      <c r="BU19" s="1037"/>
      <c r="BV19" s="3173"/>
      <c r="BW19" s="3173"/>
      <c r="BX19" s="3173"/>
      <c r="BY19" s="1039"/>
      <c r="BZ19" s="1039"/>
      <c r="CA19" s="1039"/>
      <c r="CB19" s="3172"/>
      <c r="CC19" s="1040"/>
      <c r="CD19" s="1037"/>
      <c r="CE19" s="3173"/>
      <c r="CF19" s="3173"/>
      <c r="CG19" s="3173"/>
      <c r="CH19" s="1039"/>
      <c r="CI19" s="1039"/>
      <c r="CJ19" s="1039"/>
      <c r="CK19" s="3172"/>
      <c r="CL19" s="1040"/>
      <c r="CM19" s="1037"/>
      <c r="CN19" s="3173"/>
      <c r="CO19" s="3173"/>
      <c r="CP19" s="3173"/>
      <c r="CQ19" s="1039"/>
      <c r="CR19" s="1039"/>
      <c r="CS19" s="1039"/>
      <c r="CT19" s="3172"/>
      <c r="CU19" s="1040"/>
      <c r="CV19" s="1037"/>
      <c r="CW19" s="3173"/>
      <c r="CX19" s="3173"/>
      <c r="CY19" s="3173"/>
      <c r="CZ19" s="1039"/>
      <c r="DA19" s="1039"/>
      <c r="DB19" s="1039"/>
      <c r="DC19" s="3172"/>
      <c r="DD19" s="1040"/>
      <c r="DE19" s="1037"/>
      <c r="DF19" s="3173"/>
      <c r="DG19" s="3173"/>
      <c r="DH19" s="3173"/>
      <c r="DI19" s="1039"/>
      <c r="DJ19" s="1039"/>
      <c r="DK19" s="1039"/>
      <c r="DL19" s="3172"/>
      <c r="DM19" s="1040"/>
      <c r="DN19" s="1037"/>
      <c r="DO19" s="3173"/>
      <c r="DP19" s="3173"/>
      <c r="DQ19" s="3173"/>
      <c r="DR19" s="1039"/>
      <c r="DS19" s="1039"/>
      <c r="DT19" s="1039"/>
      <c r="DU19" s="3172"/>
      <c r="DV19" s="1040"/>
      <c r="DW19" s="1037"/>
      <c r="DX19" s="3173"/>
      <c r="DY19" s="3173"/>
      <c r="DZ19" s="3173"/>
      <c r="EA19" s="1039"/>
      <c r="EB19" s="1039"/>
      <c r="EC19" s="1039"/>
      <c r="ED19" s="3172"/>
      <c r="EE19" s="1040"/>
      <c r="EF19" s="1037"/>
      <c r="EG19" s="3173"/>
      <c r="EH19" s="3173"/>
      <c r="EI19" s="3173"/>
      <c r="EJ19" s="1039"/>
      <c r="EK19" s="1039"/>
      <c r="EL19" s="1039"/>
      <c r="EM19" s="3172"/>
      <c r="EN19" s="1040"/>
      <c r="EO19" s="1037"/>
      <c r="EP19" s="1027"/>
      <c r="EQ19" s="1027"/>
      <c r="ER19" s="1027"/>
      <c r="ES19" s="1028">
        <f t="shared" si="13"/>
        <v>0</v>
      </c>
      <c r="ET19" s="1021">
        <v>0</v>
      </c>
    </row>
    <row r="20" spans="1:152" ht="30.75" customHeight="1">
      <c r="A20" s="1020">
        <v>2230075</v>
      </c>
      <c r="B20" s="1023" t="s">
        <v>2026</v>
      </c>
      <c r="C20" s="1023" t="s">
        <v>2505</v>
      </c>
      <c r="D20" s="1022" t="s">
        <v>1809</v>
      </c>
      <c r="E20" s="1022" t="s">
        <v>494</v>
      </c>
      <c r="F20" s="1022" t="s">
        <v>1811</v>
      </c>
      <c r="G20" s="1022">
        <v>1</v>
      </c>
      <c r="H20" s="1040"/>
      <c r="I20" s="1040"/>
      <c r="J20" s="1040"/>
      <c r="K20" s="1038"/>
      <c r="L20" s="1038"/>
      <c r="M20" s="1038"/>
      <c r="N20" s="1039"/>
      <c r="O20" s="1039"/>
      <c r="P20" s="1039"/>
      <c r="Q20" s="1040"/>
      <c r="R20" s="1040"/>
      <c r="S20" s="1040"/>
      <c r="T20" s="1038"/>
      <c r="U20" s="1038"/>
      <c r="V20" s="1038"/>
      <c r="W20" s="1039"/>
      <c r="X20" s="1039"/>
      <c r="Y20" s="1039"/>
      <c r="Z20" s="1040"/>
      <c r="AA20" s="1040"/>
      <c r="AB20" s="1040"/>
      <c r="AC20" s="1038"/>
      <c r="AD20" s="1038"/>
      <c r="AE20" s="1038"/>
      <c r="AF20" s="1039"/>
      <c r="AG20" s="1039"/>
      <c r="AH20" s="1039"/>
      <c r="AI20" s="1040"/>
      <c r="AJ20" s="1040"/>
      <c r="AK20" s="1040"/>
      <c r="AL20" s="1038"/>
      <c r="AM20" s="1038"/>
      <c r="AN20" s="1038"/>
      <c r="AO20" s="1039"/>
      <c r="AP20" s="1039"/>
      <c r="AQ20" s="1039"/>
      <c r="AR20" s="1040">
        <v>166859.71000000002</v>
      </c>
      <c r="AS20" s="1040">
        <v>0</v>
      </c>
      <c r="AT20" s="1037">
        <f t="shared" si="14"/>
        <v>166859.71000000002</v>
      </c>
      <c r="AU20" s="1038">
        <v>0</v>
      </c>
      <c r="AV20" s="1038"/>
      <c r="AW20" s="1038">
        <f t="shared" si="10"/>
        <v>0</v>
      </c>
      <c r="AX20" s="1039"/>
      <c r="AY20" s="1039"/>
      <c r="AZ20" s="1039">
        <f t="shared" si="11"/>
        <v>0</v>
      </c>
      <c r="BA20" s="3172">
        <v>834298.55</v>
      </c>
      <c r="BB20" s="1040">
        <v>0</v>
      </c>
      <c r="BC20" s="1037">
        <f t="shared" si="12"/>
        <v>834298.55</v>
      </c>
      <c r="BD20" s="3173"/>
      <c r="BE20" s="3173">
        <v>0</v>
      </c>
      <c r="BF20" s="3173">
        <f t="shared" si="15"/>
        <v>0</v>
      </c>
      <c r="BG20" s="1039">
        <v>819298.55</v>
      </c>
      <c r="BH20" s="1039">
        <v>0</v>
      </c>
      <c r="BI20" s="1039">
        <f>+BG20-BH20</f>
        <v>819298.55</v>
      </c>
      <c r="BJ20" s="3172"/>
      <c r="BK20" s="1040">
        <v>819298.55</v>
      </c>
      <c r="BL20" s="1037">
        <f>+BJ20-BK20</f>
        <v>-819298.55</v>
      </c>
      <c r="BM20" s="3173"/>
      <c r="BN20" s="3173"/>
      <c r="BO20" s="3173">
        <f t="shared" si="16"/>
        <v>0</v>
      </c>
      <c r="BP20" s="1039"/>
      <c r="BQ20" s="1039"/>
      <c r="BR20" s="1039"/>
      <c r="BS20" s="3172"/>
      <c r="BT20" s="1040"/>
      <c r="BU20" s="1037"/>
      <c r="BV20" s="3173"/>
      <c r="BW20" s="3173"/>
      <c r="BX20" s="3173"/>
      <c r="BY20" s="1039"/>
      <c r="BZ20" s="1039"/>
      <c r="CA20" s="1039"/>
      <c r="CB20" s="3172"/>
      <c r="CC20" s="1040"/>
      <c r="CD20" s="1037"/>
      <c r="CE20" s="3173"/>
      <c r="CF20" s="3173"/>
      <c r="CG20" s="3173"/>
      <c r="CH20" s="1039"/>
      <c r="CI20" s="1039"/>
      <c r="CJ20" s="1039"/>
      <c r="CK20" s="3172"/>
      <c r="CL20" s="1040"/>
      <c r="CM20" s="1037"/>
      <c r="CN20" s="3173"/>
      <c r="CO20" s="3173"/>
      <c r="CP20" s="3173"/>
      <c r="CQ20" s="1039"/>
      <c r="CR20" s="1039"/>
      <c r="CS20" s="1039"/>
      <c r="CT20" s="3172"/>
      <c r="CU20" s="1040"/>
      <c r="CV20" s="1037"/>
      <c r="CW20" s="3173"/>
      <c r="CX20" s="3173"/>
      <c r="CY20" s="3173"/>
      <c r="CZ20" s="1039"/>
      <c r="DA20" s="1039"/>
      <c r="DB20" s="1039"/>
      <c r="DC20" s="3172"/>
      <c r="DD20" s="1040"/>
      <c r="DE20" s="1037"/>
      <c r="DF20" s="3173"/>
      <c r="DG20" s="3173"/>
      <c r="DH20" s="3173"/>
      <c r="DI20" s="1039"/>
      <c r="DJ20" s="1039"/>
      <c r="DK20" s="1039"/>
      <c r="DL20" s="3172"/>
      <c r="DM20" s="1040"/>
      <c r="DN20" s="1037"/>
      <c r="DO20" s="3173"/>
      <c r="DP20" s="3173"/>
      <c r="DQ20" s="3173"/>
      <c r="DR20" s="1039"/>
      <c r="DS20" s="1039"/>
      <c r="DT20" s="1039"/>
      <c r="DU20" s="3172"/>
      <c r="DV20" s="1040"/>
      <c r="DW20" s="1037"/>
      <c r="DX20" s="3173"/>
      <c r="DY20" s="3173"/>
      <c r="DZ20" s="3173"/>
      <c r="EA20" s="1039"/>
      <c r="EB20" s="1039"/>
      <c r="EC20" s="1039"/>
      <c r="ED20" s="3172"/>
      <c r="EE20" s="1040"/>
      <c r="EF20" s="1037"/>
      <c r="EG20" s="3173"/>
      <c r="EH20" s="3173"/>
      <c r="EI20" s="3173"/>
      <c r="EJ20" s="1039"/>
      <c r="EK20" s="1039"/>
      <c r="EL20" s="1039"/>
      <c r="EM20" s="3172"/>
      <c r="EN20" s="1040"/>
      <c r="EO20" s="1037"/>
      <c r="EP20" s="1027"/>
      <c r="EQ20" s="1027"/>
      <c r="ER20" s="1027"/>
      <c r="ES20" s="1028">
        <f t="shared" si="13"/>
        <v>0</v>
      </c>
      <c r="ET20" s="1021"/>
      <c r="EU20" s="1003">
        <v>667438.84000000008</v>
      </c>
    </row>
    <row r="21" spans="1:152" ht="30.75" customHeight="1">
      <c r="A21" s="1020">
        <v>2230205</v>
      </c>
      <c r="B21" s="1023" t="s">
        <v>2099</v>
      </c>
      <c r="C21" s="1023" t="s">
        <v>2506</v>
      </c>
      <c r="D21" s="1022" t="s">
        <v>1809</v>
      </c>
      <c r="E21" s="1022" t="s">
        <v>494</v>
      </c>
      <c r="F21" s="1022" t="s">
        <v>1811</v>
      </c>
      <c r="G21" s="1022">
        <v>1</v>
      </c>
      <c r="H21" s="1040"/>
      <c r="I21" s="1040"/>
      <c r="J21" s="1040"/>
      <c r="K21" s="1038"/>
      <c r="L21" s="1038"/>
      <c r="M21" s="1038"/>
      <c r="N21" s="1039"/>
      <c r="O21" s="1039"/>
      <c r="P21" s="1039"/>
      <c r="Q21" s="1040"/>
      <c r="R21" s="1040"/>
      <c r="S21" s="1040"/>
      <c r="T21" s="1038"/>
      <c r="U21" s="1038"/>
      <c r="V21" s="1038"/>
      <c r="W21" s="1039"/>
      <c r="X21" s="1039"/>
      <c r="Y21" s="1039"/>
      <c r="Z21" s="1040"/>
      <c r="AA21" s="1040"/>
      <c r="AB21" s="1040"/>
      <c r="AC21" s="1038"/>
      <c r="AD21" s="1038"/>
      <c r="AE21" s="1038"/>
      <c r="AF21" s="1039"/>
      <c r="AG21" s="1039"/>
      <c r="AH21" s="1039"/>
      <c r="AI21" s="1040"/>
      <c r="AJ21" s="1040"/>
      <c r="AK21" s="1040"/>
      <c r="AL21" s="1038"/>
      <c r="AM21" s="1038"/>
      <c r="AN21" s="1038"/>
      <c r="AO21" s="1039"/>
      <c r="AP21" s="1039"/>
      <c r="AQ21" s="1039"/>
      <c r="AR21" s="1040"/>
      <c r="AS21" s="1040"/>
      <c r="AT21" s="1037"/>
      <c r="AU21" s="1038">
        <v>0</v>
      </c>
      <c r="AV21" s="1038"/>
      <c r="AW21" s="1038">
        <f t="shared" si="10"/>
        <v>0</v>
      </c>
      <c r="AX21" s="1039"/>
      <c r="AY21" s="1039">
        <v>0</v>
      </c>
      <c r="AZ21" s="1039">
        <f t="shared" si="11"/>
        <v>0</v>
      </c>
      <c r="BA21" s="3172">
        <v>1643323.15</v>
      </c>
      <c r="BB21" s="1040"/>
      <c r="BC21" s="1037">
        <f t="shared" si="12"/>
        <v>1643323.15</v>
      </c>
      <c r="BD21" s="3173"/>
      <c r="BE21" s="3173">
        <v>0</v>
      </c>
      <c r="BF21" s="3173">
        <f t="shared" si="15"/>
        <v>0</v>
      </c>
      <c r="BG21" s="1039">
        <v>1643323.15</v>
      </c>
      <c r="BH21" s="1039">
        <v>0</v>
      </c>
      <c r="BI21" s="1039">
        <f>+BG21-BH21</f>
        <v>1643323.15</v>
      </c>
      <c r="BJ21" s="3172"/>
      <c r="BK21" s="1040"/>
      <c r="BL21" s="1037"/>
      <c r="BM21" s="3173"/>
      <c r="BN21" s="3173"/>
      <c r="BO21" s="3173">
        <f t="shared" si="16"/>
        <v>0</v>
      </c>
      <c r="BP21" s="1039"/>
      <c r="BQ21" s="1039"/>
      <c r="BR21" s="1039"/>
      <c r="BS21" s="3172"/>
      <c r="BT21" s="1040"/>
      <c r="BU21" s="1037"/>
      <c r="BV21" s="3173"/>
      <c r="BW21" s="3173"/>
      <c r="BX21" s="3173"/>
      <c r="BY21" s="1039"/>
      <c r="BZ21" s="1039"/>
      <c r="CA21" s="1039"/>
      <c r="CB21" s="3172"/>
      <c r="CC21" s="1040"/>
      <c r="CD21" s="1037"/>
      <c r="CE21" s="3173"/>
      <c r="CF21" s="3173"/>
      <c r="CG21" s="3173"/>
      <c r="CH21" s="1039">
        <v>375685.2</v>
      </c>
      <c r="CI21" s="1039">
        <f>+'Schedule H RAQTAN'!AD15</f>
        <v>375685.19999999995</v>
      </c>
      <c r="CJ21" s="1039">
        <f>+CH21-CI21</f>
        <v>0</v>
      </c>
      <c r="CK21" s="3172">
        <v>250000</v>
      </c>
      <c r="CL21" s="1037">
        <f>+'Schedule H RAQTAN'!AD16</f>
        <v>511389.89000000013</v>
      </c>
      <c r="CM21" s="1037">
        <f>+CK21-CL21</f>
        <v>-261389.89000000013</v>
      </c>
      <c r="CN21" s="3173">
        <v>250000</v>
      </c>
      <c r="CO21" s="3173">
        <v>0</v>
      </c>
      <c r="CP21" s="3173">
        <f>+CN21-CO21</f>
        <v>250000</v>
      </c>
      <c r="CQ21" s="1039"/>
      <c r="CR21" s="1039"/>
      <c r="CS21" s="1039"/>
      <c r="CT21" s="3172">
        <v>35415.599999999999</v>
      </c>
      <c r="CU21" s="1037">
        <f>'Schedule H RAQTAN'!AD17</f>
        <v>35415.599999999948</v>
      </c>
      <c r="CV21" s="1037">
        <f t="shared" ref="CV21:CV26" si="17">+CT21-CU21</f>
        <v>0</v>
      </c>
      <c r="CW21" s="3173"/>
      <c r="CX21" s="3173"/>
      <c r="CY21" s="3173"/>
      <c r="CZ21" s="1039">
        <v>737236.97600000002</v>
      </c>
      <c r="DA21" s="1039">
        <f>+'Schedule H RAQTAN'!V18</f>
        <v>200882.87999999998</v>
      </c>
      <c r="DB21" s="1039">
        <f>+CZ21-DA21</f>
        <v>536354.09600000002</v>
      </c>
      <c r="DC21" s="3172">
        <v>737236.97600000002</v>
      </c>
      <c r="DD21" s="1037">
        <v>0</v>
      </c>
      <c r="DE21" s="1037">
        <f>+DC21-DD21</f>
        <v>737236.97600000002</v>
      </c>
      <c r="DF21" s="3173">
        <v>368618.48800000001</v>
      </c>
      <c r="DG21" s="3173">
        <v>0</v>
      </c>
      <c r="DH21" s="3173">
        <f t="shared" ref="DH21:DH27" si="18">+DF21-DG21</f>
        <v>368618.48800000001</v>
      </c>
      <c r="DI21" s="1039">
        <v>358485.62</v>
      </c>
      <c r="DJ21" s="1039">
        <v>0</v>
      </c>
      <c r="DK21" s="1039">
        <f t="shared" ref="DK21:DK33" si="19">+DI21-DJ21</f>
        <v>358485.62</v>
      </c>
      <c r="DL21" s="3172">
        <v>348091.74</v>
      </c>
      <c r="DM21" s="1037">
        <v>0</v>
      </c>
      <c r="DN21" s="1037">
        <f t="shared" ref="DN21:DN26" si="20">+DL21-DM21</f>
        <v>348091.74</v>
      </c>
      <c r="DO21" s="3173">
        <v>460910.09</v>
      </c>
      <c r="DP21" s="3173">
        <v>0</v>
      </c>
      <c r="DQ21" s="3173">
        <f t="shared" ref="DQ21:DQ26" si="21">+DO21-DP21</f>
        <v>460910.09</v>
      </c>
      <c r="DR21" s="1039">
        <v>482718.71399999992</v>
      </c>
      <c r="DS21" s="1039">
        <f>+'Schedule H RAQTAN'!AD19</f>
        <v>195307.53</v>
      </c>
      <c r="DT21" s="1039">
        <f t="shared" ref="DT21:DT31" si="22">+DR21-DS21</f>
        <v>287411.18399999989</v>
      </c>
      <c r="DU21" s="3172">
        <v>514899.96159999998</v>
      </c>
      <c r="DV21" s="1037">
        <v>0</v>
      </c>
      <c r="DW21" s="1037">
        <f t="shared" ref="DW21:DW34" si="23">+DU21-DV21</f>
        <v>514899.96159999998</v>
      </c>
      <c r="DX21" s="3173">
        <v>611443.70439999993</v>
      </c>
      <c r="DY21" s="3173">
        <v>0</v>
      </c>
      <c r="DZ21" s="3173">
        <f t="shared" ref="DZ21:DZ27" si="24">+DX21-DY21</f>
        <v>611443.70439999993</v>
      </c>
      <c r="EA21" s="1039">
        <v>611443.70439999993</v>
      </c>
      <c r="EB21" s="1039" t="s">
        <v>5192</v>
      </c>
      <c r="EC21" s="1039">
        <v>0</v>
      </c>
      <c r="ED21" s="3172">
        <v>611443.70439999993</v>
      </c>
      <c r="EE21" s="1037" t="s">
        <v>5192</v>
      </c>
      <c r="EF21" s="1037">
        <v>0</v>
      </c>
      <c r="EG21" s="3173">
        <v>153337</v>
      </c>
      <c r="EH21" s="3173" t="s">
        <v>5192</v>
      </c>
      <c r="EI21" s="3173"/>
      <c r="EJ21" s="1039">
        <v>159337</v>
      </c>
      <c r="EK21" s="1039" t="s">
        <v>5192</v>
      </c>
      <c r="EL21" s="1039">
        <v>0</v>
      </c>
      <c r="EM21" s="3172">
        <v>159337</v>
      </c>
      <c r="EN21" s="1037" t="s">
        <v>5192</v>
      </c>
      <c r="EO21" s="1037">
        <v>0</v>
      </c>
      <c r="EP21" s="1027">
        <v>159337</v>
      </c>
      <c r="EQ21" s="1027"/>
      <c r="ER21" s="1027"/>
      <c r="ES21" s="1028">
        <f t="shared" si="13"/>
        <v>159337</v>
      </c>
      <c r="ET21" s="1021">
        <v>1643323.15</v>
      </c>
      <c r="EU21" s="1003">
        <v>380000</v>
      </c>
      <c r="EV21" s="1003">
        <v>449935</v>
      </c>
    </row>
    <row r="22" spans="1:152" ht="30.75" customHeight="1">
      <c r="A22" s="1020">
        <v>2230178</v>
      </c>
      <c r="B22" s="1023" t="s">
        <v>2183</v>
      </c>
      <c r="C22" s="1023" t="s">
        <v>2507</v>
      </c>
      <c r="D22" s="1022" t="s">
        <v>1809</v>
      </c>
      <c r="E22" s="1022" t="s">
        <v>494</v>
      </c>
      <c r="F22" s="1022" t="s">
        <v>1811</v>
      </c>
      <c r="G22" s="1022">
        <v>1</v>
      </c>
      <c r="H22" s="1040"/>
      <c r="I22" s="1040"/>
      <c r="J22" s="1040"/>
      <c r="K22" s="1038"/>
      <c r="L22" s="1038"/>
      <c r="M22" s="1038"/>
      <c r="N22" s="1039"/>
      <c r="O22" s="1039"/>
      <c r="P22" s="1039"/>
      <c r="Q22" s="1040"/>
      <c r="R22" s="1040"/>
      <c r="S22" s="1040"/>
      <c r="T22" s="1038"/>
      <c r="U22" s="1038"/>
      <c r="V22" s="1038"/>
      <c r="W22" s="1039"/>
      <c r="X22" s="1039"/>
      <c r="Y22" s="1039"/>
      <c r="Z22" s="1040"/>
      <c r="AA22" s="1040"/>
      <c r="AB22" s="1040"/>
      <c r="AC22" s="1038"/>
      <c r="AD22" s="1038"/>
      <c r="AE22" s="1038"/>
      <c r="AF22" s="1039"/>
      <c r="AG22" s="1039"/>
      <c r="AH22" s="1039"/>
      <c r="AI22" s="1040"/>
      <c r="AJ22" s="1040"/>
      <c r="AK22" s="1040"/>
      <c r="AL22" s="1038"/>
      <c r="AM22" s="1038"/>
      <c r="AN22" s="1038"/>
      <c r="AO22" s="1039"/>
      <c r="AP22" s="1039"/>
      <c r="AQ22" s="1039"/>
      <c r="AR22" s="1040"/>
      <c r="AS22" s="1040"/>
      <c r="AT22" s="1037"/>
      <c r="AU22" s="1038"/>
      <c r="AV22" s="1038"/>
      <c r="AW22" s="1038"/>
      <c r="AX22" s="1039"/>
      <c r="AY22" s="1039"/>
      <c r="AZ22" s="1039">
        <f t="shared" si="11"/>
        <v>0</v>
      </c>
      <c r="BA22" s="3172"/>
      <c r="BB22" s="1040"/>
      <c r="BC22" s="1037">
        <f t="shared" si="12"/>
        <v>0</v>
      </c>
      <c r="BD22" s="3173"/>
      <c r="BE22" s="3173">
        <v>0</v>
      </c>
      <c r="BF22" s="3173">
        <f t="shared" si="15"/>
        <v>0</v>
      </c>
      <c r="BG22" s="1039">
        <v>685941</v>
      </c>
      <c r="BH22" s="1039">
        <v>0</v>
      </c>
      <c r="BI22" s="1039">
        <f>+BG22-BH22</f>
        <v>685941</v>
      </c>
      <c r="BJ22" s="3172"/>
      <c r="BK22" s="1040"/>
      <c r="BL22" s="1037"/>
      <c r="BM22" s="3173"/>
      <c r="BN22" s="3173">
        <v>685941.9</v>
      </c>
      <c r="BO22" s="3173">
        <f t="shared" si="16"/>
        <v>-685941.9</v>
      </c>
      <c r="BP22" s="1039"/>
      <c r="BQ22" s="1039"/>
      <c r="BR22" s="1039"/>
      <c r="BS22" s="3172"/>
      <c r="BT22" s="1040"/>
      <c r="BU22" s="1037"/>
      <c r="BV22" s="3173"/>
      <c r="BW22" s="3173"/>
      <c r="BX22" s="3173"/>
      <c r="BY22" s="1039"/>
      <c r="BZ22" s="1039"/>
      <c r="CA22" s="1039"/>
      <c r="CB22" s="3172"/>
      <c r="CC22" s="1040"/>
      <c r="CD22" s="1037"/>
      <c r="CE22" s="3173"/>
      <c r="CF22" s="3173"/>
      <c r="CG22" s="3173"/>
      <c r="CH22" s="1039"/>
      <c r="CI22" s="1039"/>
      <c r="CJ22" s="1039"/>
      <c r="CK22" s="3172">
        <v>94659.982199999999</v>
      </c>
      <c r="CL22" s="1037">
        <v>0</v>
      </c>
      <c r="CM22" s="1037">
        <f>+CK22-CL22</f>
        <v>94659.982199999999</v>
      </c>
      <c r="CN22" s="3173">
        <v>94659.982199999999</v>
      </c>
      <c r="CO22" s="3173">
        <v>0</v>
      </c>
      <c r="CP22" s="3173">
        <f>+CN22-CO22</f>
        <v>94659.982199999999</v>
      </c>
      <c r="CQ22" s="1039"/>
      <c r="CR22" s="1039">
        <f>+'Schedule H ESCCO'!AD15</f>
        <v>294772.74000000005</v>
      </c>
      <c r="CS22" s="1039">
        <f>+CQ22-CR22</f>
        <v>-294772.74000000005</v>
      </c>
      <c r="CT22" s="3172">
        <v>298772</v>
      </c>
      <c r="CU22" s="1037">
        <v>0</v>
      </c>
      <c r="CV22" s="1037">
        <f t="shared" si="17"/>
        <v>298772</v>
      </c>
      <c r="CW22" s="3173">
        <v>384713.02800000005</v>
      </c>
      <c r="CX22" s="3173">
        <f>+'Schedule H ESCCO'!AD16</f>
        <v>480378.23000000004</v>
      </c>
      <c r="CY22" s="3173">
        <f>+CW22-CX22</f>
        <v>-95665.20199999999</v>
      </c>
      <c r="CZ22" s="1039">
        <v>305554.09219999996</v>
      </c>
      <c r="DA22" s="1039">
        <v>0</v>
      </c>
      <c r="DB22" s="1039">
        <f>+CZ22-DA22</f>
        <v>305554.09219999996</v>
      </c>
      <c r="DC22" s="3172">
        <v>446662.14019999997</v>
      </c>
      <c r="DD22" s="1037">
        <v>0</v>
      </c>
      <c r="DE22" s="1037">
        <f>+DC22-DD22</f>
        <v>446662.14019999997</v>
      </c>
      <c r="DF22" s="3173">
        <v>178556.84899999999</v>
      </c>
      <c r="DG22" s="3173">
        <v>0</v>
      </c>
      <c r="DH22" s="3173">
        <f t="shared" si="18"/>
        <v>178556.84899999999</v>
      </c>
      <c r="DI22" s="1039"/>
      <c r="DJ22" s="1039">
        <v>0</v>
      </c>
      <c r="DK22" s="1039">
        <f t="shared" si="19"/>
        <v>0</v>
      </c>
      <c r="DL22" s="3172">
        <v>573941.46</v>
      </c>
      <c r="DM22" s="1037">
        <v>0</v>
      </c>
      <c r="DN22" s="1037">
        <f t="shared" si="20"/>
        <v>573941.46</v>
      </c>
      <c r="DO22" s="3173">
        <v>491574.6</v>
      </c>
      <c r="DP22" s="3173">
        <f>+'Schedule H ESCCO'!AD17</f>
        <v>110783.17</v>
      </c>
      <c r="DQ22" s="3173">
        <f t="shared" si="21"/>
        <v>380791.43</v>
      </c>
      <c r="DR22" s="1039">
        <v>393234</v>
      </c>
      <c r="DS22" s="1039">
        <f>+'Schedule H MAS (Amphitheatre)'!AL9</f>
        <v>0</v>
      </c>
      <c r="DT22" s="1039">
        <f t="shared" si="22"/>
        <v>393234</v>
      </c>
      <c r="DU22" s="3172">
        <v>393234</v>
      </c>
      <c r="DV22" s="1037">
        <v>0</v>
      </c>
      <c r="DW22" s="1037">
        <f t="shared" si="23"/>
        <v>393234</v>
      </c>
      <c r="DX22" s="3173">
        <v>393234</v>
      </c>
      <c r="DY22" s="3173">
        <v>0</v>
      </c>
      <c r="DZ22" s="3173">
        <f t="shared" si="24"/>
        <v>393234</v>
      </c>
      <c r="EA22" s="1039">
        <v>393234</v>
      </c>
      <c r="EB22" s="1039" t="s">
        <v>5192</v>
      </c>
      <c r="EC22" s="1039">
        <v>0</v>
      </c>
      <c r="ED22" s="3172">
        <v>393234</v>
      </c>
      <c r="EE22" s="1037" t="s">
        <v>5192</v>
      </c>
      <c r="EF22" s="1037">
        <v>0</v>
      </c>
      <c r="EG22" s="3173">
        <v>393234</v>
      </c>
      <c r="EH22" s="3173" t="s">
        <v>5192</v>
      </c>
      <c r="EI22" s="3173"/>
      <c r="EJ22" s="1039"/>
      <c r="EK22" s="1039" t="s">
        <v>5192</v>
      </c>
      <c r="EL22" s="1039">
        <v>0</v>
      </c>
      <c r="EM22" s="3172">
        <v>249802.7</v>
      </c>
      <c r="EN22" s="1037" t="s">
        <v>5192</v>
      </c>
      <c r="EO22" s="1037">
        <v>0</v>
      </c>
      <c r="EP22" s="1027">
        <v>334075.28000000003</v>
      </c>
      <c r="EQ22" s="1027">
        <v>52335.24</v>
      </c>
      <c r="ER22" s="1027">
        <v>125557.9</v>
      </c>
      <c r="ES22" s="1028">
        <f t="shared" si="13"/>
        <v>511968.42000000004</v>
      </c>
      <c r="ET22" s="1021"/>
    </row>
    <row r="23" spans="1:152" ht="22.5" customHeight="1">
      <c r="A23" s="1020">
        <v>2230031</v>
      </c>
      <c r="B23" s="1023" t="s">
        <v>488</v>
      </c>
      <c r="C23" s="1023" t="s">
        <v>2508</v>
      </c>
      <c r="D23" s="1022" t="s">
        <v>1809</v>
      </c>
      <c r="E23" s="1022" t="s">
        <v>485</v>
      </c>
      <c r="F23" s="1022" t="s">
        <v>1811</v>
      </c>
      <c r="G23" s="1022">
        <v>1</v>
      </c>
      <c r="H23" s="1040">
        <v>0</v>
      </c>
      <c r="I23" s="1040">
        <v>0</v>
      </c>
      <c r="J23" s="1040">
        <f>H23-I23</f>
        <v>0</v>
      </c>
      <c r="K23" s="3193">
        <v>0</v>
      </c>
      <c r="L23" s="3193">
        <v>48862</v>
      </c>
      <c r="M23" s="3193">
        <f>K23-L23</f>
        <v>-48862</v>
      </c>
      <c r="N23" s="3194">
        <v>0</v>
      </c>
      <c r="O23" s="3194">
        <v>0</v>
      </c>
      <c r="P23" s="3194">
        <f t="shared" si="0"/>
        <v>0</v>
      </c>
      <c r="Q23" s="1040">
        <v>0</v>
      </c>
      <c r="R23" s="1040">
        <v>0</v>
      </c>
      <c r="S23" s="1040">
        <f>Q23-R23</f>
        <v>0</v>
      </c>
      <c r="T23" s="3193">
        <v>0</v>
      </c>
      <c r="U23" s="3193">
        <v>0</v>
      </c>
      <c r="V23" s="3193">
        <f>T23-U23</f>
        <v>0</v>
      </c>
      <c r="W23" s="3194">
        <v>0</v>
      </c>
      <c r="X23" s="3194">
        <v>0</v>
      </c>
      <c r="Y23" s="3194">
        <f t="shared" si="3"/>
        <v>0</v>
      </c>
      <c r="Z23" s="1040">
        <v>0</v>
      </c>
      <c r="AA23" s="1040">
        <v>0</v>
      </c>
      <c r="AB23" s="1040">
        <f t="shared" si="4"/>
        <v>0</v>
      </c>
      <c r="AC23" s="3193">
        <v>0</v>
      </c>
      <c r="AD23" s="3193">
        <v>0</v>
      </c>
      <c r="AE23" s="3193">
        <f t="shared" si="5"/>
        <v>0</v>
      </c>
      <c r="AF23" s="3194">
        <v>0</v>
      </c>
      <c r="AG23" s="3194">
        <v>0</v>
      </c>
      <c r="AH23" s="3194">
        <f t="shared" si="6"/>
        <v>0</v>
      </c>
      <c r="AI23" s="1040">
        <v>0</v>
      </c>
      <c r="AJ23" s="1040"/>
      <c r="AK23" s="1040">
        <f t="shared" si="9"/>
        <v>0</v>
      </c>
      <c r="AL23" s="3193">
        <v>0</v>
      </c>
      <c r="AM23" s="3193"/>
      <c r="AN23" s="3193"/>
      <c r="AO23" s="3194"/>
      <c r="AP23" s="3194"/>
      <c r="AQ23" s="3194"/>
      <c r="AR23" s="1040">
        <v>1182400</v>
      </c>
      <c r="AS23" s="1040">
        <v>0</v>
      </c>
      <c r="AT23" s="1040">
        <f t="shared" si="14"/>
        <v>1182400</v>
      </c>
      <c r="AU23" s="3193">
        <v>0</v>
      </c>
      <c r="AV23" s="3193"/>
      <c r="AW23" s="3193">
        <f t="shared" si="10"/>
        <v>0</v>
      </c>
      <c r="AX23" s="3194"/>
      <c r="AY23" s="3194">
        <v>0</v>
      </c>
      <c r="AZ23" s="3194">
        <f t="shared" si="11"/>
        <v>0</v>
      </c>
      <c r="BA23" s="3172">
        <v>2012335</v>
      </c>
      <c r="BB23" s="1040">
        <v>0</v>
      </c>
      <c r="BC23" s="1040">
        <f t="shared" si="12"/>
        <v>2012335</v>
      </c>
      <c r="BD23" s="3195">
        <v>613667</v>
      </c>
      <c r="BE23" s="3195">
        <v>0</v>
      </c>
      <c r="BF23" s="3195">
        <f t="shared" si="15"/>
        <v>613667</v>
      </c>
      <c r="BG23" s="3194">
        <v>495000</v>
      </c>
      <c r="BH23" s="3194">
        <v>0</v>
      </c>
      <c r="BI23" s="1039">
        <f>+BG23-BH23</f>
        <v>495000</v>
      </c>
      <c r="BJ23" s="3172">
        <v>495000</v>
      </c>
      <c r="BK23" s="1037">
        <v>0</v>
      </c>
      <c r="BL23" s="1037">
        <f>+BJ23-BK23</f>
        <v>495000</v>
      </c>
      <c r="BM23" s="3195">
        <v>495000</v>
      </c>
      <c r="BN23" s="3173">
        <v>3716548</v>
      </c>
      <c r="BO23" s="3173">
        <f t="shared" si="16"/>
        <v>-3221548</v>
      </c>
      <c r="BP23" s="3194">
        <v>408115</v>
      </c>
      <c r="BQ23" s="1039">
        <v>455307</v>
      </c>
      <c r="BR23" s="1039">
        <f>+BP23-BQ23</f>
        <v>-47192</v>
      </c>
      <c r="BS23" s="3172">
        <v>396575</v>
      </c>
      <c r="BT23" s="1037">
        <v>0</v>
      </c>
      <c r="BU23" s="1037">
        <f>+BS23-BT23</f>
        <v>396575</v>
      </c>
      <c r="BV23" s="3195">
        <v>368812</v>
      </c>
      <c r="BW23" s="3173">
        <v>0</v>
      </c>
      <c r="BX23" s="3173">
        <f>+BV23-BW23</f>
        <v>368812</v>
      </c>
      <c r="BY23" s="3194">
        <v>395420</v>
      </c>
      <c r="BZ23" s="1039">
        <v>0</v>
      </c>
      <c r="CA23" s="1039">
        <f>+BY23-BZ23</f>
        <v>395420</v>
      </c>
      <c r="CB23" s="3172">
        <v>395000</v>
      </c>
      <c r="CC23" s="1037">
        <v>0</v>
      </c>
      <c r="CD23" s="1037">
        <f>+CB23-CC23</f>
        <v>395000</v>
      </c>
      <c r="CE23" s="3195"/>
      <c r="CF23" s="3173"/>
      <c r="CG23" s="3173"/>
      <c r="CH23" s="3194"/>
      <c r="CI23" s="1039"/>
      <c r="CJ23" s="1039"/>
      <c r="CK23" s="3172">
        <v>2797323</v>
      </c>
      <c r="CL23" s="1037">
        <f>+'Schedule H KAA'!AC16</f>
        <v>2613481</v>
      </c>
      <c r="CM23" s="1037">
        <f>+CK23-CL23</f>
        <v>183842</v>
      </c>
      <c r="CN23" s="3195">
        <v>508000</v>
      </c>
      <c r="CO23" s="3173">
        <v>0</v>
      </c>
      <c r="CP23" s="3173">
        <f>+CN23-CO23</f>
        <v>508000</v>
      </c>
      <c r="CQ23" s="3194">
        <v>451900</v>
      </c>
      <c r="CR23" s="1039">
        <v>0</v>
      </c>
      <c r="CS23" s="1039">
        <f>+CQ23-CR23</f>
        <v>451900</v>
      </c>
      <c r="CT23" s="3172">
        <v>451900</v>
      </c>
      <c r="CU23" s="1037">
        <v>0</v>
      </c>
      <c r="CV23" s="1037">
        <f t="shared" si="17"/>
        <v>451900</v>
      </c>
      <c r="CW23" s="3195">
        <v>444900</v>
      </c>
      <c r="CX23" s="3173">
        <f>+'Schedule H KAA'!AC19</f>
        <v>389586</v>
      </c>
      <c r="CY23" s="3173">
        <f>+CW23-CX23</f>
        <v>55314</v>
      </c>
      <c r="CZ23" s="3194">
        <v>431000</v>
      </c>
      <c r="DA23" s="1039">
        <v>0</v>
      </c>
      <c r="DB23" s="1039">
        <f>+CZ23-DA23</f>
        <v>431000</v>
      </c>
      <c r="DC23" s="3172">
        <v>294000</v>
      </c>
      <c r="DD23" s="1037">
        <v>0</v>
      </c>
      <c r="DE23" s="1037">
        <f>+DC23-DD23</f>
        <v>294000</v>
      </c>
      <c r="DF23" s="3195">
        <v>294000</v>
      </c>
      <c r="DG23" s="3173">
        <v>0</v>
      </c>
      <c r="DH23" s="3173">
        <f t="shared" si="18"/>
        <v>294000</v>
      </c>
      <c r="DI23" s="3194">
        <v>423000</v>
      </c>
      <c r="DJ23" s="1039">
        <f>+'Schedule H KAA'!AC20</f>
        <v>474949</v>
      </c>
      <c r="DK23" s="1039">
        <f t="shared" si="19"/>
        <v>-51949</v>
      </c>
      <c r="DL23" s="3172">
        <v>433000</v>
      </c>
      <c r="DM23" s="1037">
        <v>0</v>
      </c>
      <c r="DN23" s="1037">
        <f t="shared" si="20"/>
        <v>433000</v>
      </c>
      <c r="DO23" s="3195">
        <v>422000</v>
      </c>
      <c r="DP23" s="3173">
        <f>+'Schedule H KAA'!AC21+'Schedule H KAA'!AC22</f>
        <v>2315115</v>
      </c>
      <c r="DQ23" s="3173">
        <f t="shared" si="21"/>
        <v>-1893115</v>
      </c>
      <c r="DR23" s="3194">
        <v>435000</v>
      </c>
      <c r="DS23" s="1039">
        <f>+'Schedule H KAA'!AC23</f>
        <v>426581</v>
      </c>
      <c r="DT23" s="1039">
        <f t="shared" si="22"/>
        <v>8419</v>
      </c>
      <c r="DU23" s="3172">
        <v>435000</v>
      </c>
      <c r="DV23" s="1037">
        <f>'Schedule H KAA'!J24</f>
        <v>278956</v>
      </c>
      <c r="DW23" s="1037">
        <f t="shared" si="23"/>
        <v>156044</v>
      </c>
      <c r="DX23" s="3195">
        <v>418250</v>
      </c>
      <c r="DY23" s="3173">
        <v>0</v>
      </c>
      <c r="DZ23" s="3173">
        <f t="shared" si="24"/>
        <v>418250</v>
      </c>
      <c r="EA23" s="3194">
        <v>418250</v>
      </c>
      <c r="EB23" s="1039" t="s">
        <v>5192</v>
      </c>
      <c r="EC23" s="1039">
        <v>0</v>
      </c>
      <c r="ED23" s="3172">
        <v>418250</v>
      </c>
      <c r="EE23" s="1037" t="s">
        <v>5192</v>
      </c>
      <c r="EF23" s="1037">
        <v>0</v>
      </c>
      <c r="EG23" s="3195">
        <v>418250</v>
      </c>
      <c r="EH23" s="3173" t="s">
        <v>5192</v>
      </c>
      <c r="EI23" s="3173"/>
      <c r="EJ23" s="3194">
        <v>226185</v>
      </c>
      <c r="EK23" s="1039" t="s">
        <v>5192</v>
      </c>
      <c r="EL23" s="1039">
        <v>0</v>
      </c>
      <c r="EM23" s="3172">
        <v>70000</v>
      </c>
      <c r="EN23" s="1037" t="s">
        <v>5192</v>
      </c>
      <c r="EO23" s="1037">
        <v>0</v>
      </c>
      <c r="EP23" s="1027"/>
      <c r="EQ23" s="1027">
        <v>78720</v>
      </c>
      <c r="ER23" s="1027">
        <v>72977</v>
      </c>
      <c r="ES23" s="1028">
        <f t="shared" si="13"/>
        <v>151697</v>
      </c>
      <c r="ET23" s="1021">
        <v>2012335</v>
      </c>
    </row>
    <row r="24" spans="1:152" ht="22.5" customHeight="1">
      <c r="A24" s="1020">
        <v>2230416</v>
      </c>
      <c r="B24" s="1023" t="s">
        <v>2551</v>
      </c>
      <c r="C24" s="1023" t="s">
        <v>2508</v>
      </c>
      <c r="D24" s="1022" t="s">
        <v>1809</v>
      </c>
      <c r="E24" s="1022" t="s">
        <v>494</v>
      </c>
      <c r="F24" s="1022" t="s">
        <v>1811</v>
      </c>
      <c r="G24" s="1022">
        <v>1</v>
      </c>
      <c r="H24" s="1040"/>
      <c r="I24" s="1040"/>
      <c r="J24" s="1040"/>
      <c r="K24" s="3193"/>
      <c r="L24" s="3193"/>
      <c r="M24" s="3193"/>
      <c r="N24" s="3194"/>
      <c r="O24" s="3194"/>
      <c r="P24" s="3194"/>
      <c r="Q24" s="1040"/>
      <c r="R24" s="1040"/>
      <c r="S24" s="1040"/>
      <c r="T24" s="3193"/>
      <c r="U24" s="3193"/>
      <c r="V24" s="3193"/>
      <c r="W24" s="3194"/>
      <c r="X24" s="3194"/>
      <c r="Y24" s="3194"/>
      <c r="Z24" s="1040"/>
      <c r="AA24" s="1040"/>
      <c r="AB24" s="1040"/>
      <c r="AC24" s="3193"/>
      <c r="AD24" s="3193"/>
      <c r="AE24" s="3193"/>
      <c r="AF24" s="3194"/>
      <c r="AG24" s="3194"/>
      <c r="AH24" s="3194"/>
      <c r="AI24" s="1040"/>
      <c r="AJ24" s="1040"/>
      <c r="AK24" s="1040"/>
      <c r="AL24" s="3193"/>
      <c r="AM24" s="3193"/>
      <c r="AN24" s="3193"/>
      <c r="AO24" s="3194"/>
      <c r="AP24" s="3194"/>
      <c r="AQ24" s="3194"/>
      <c r="AR24" s="1040"/>
      <c r="AS24" s="1040"/>
      <c r="AT24" s="1040"/>
      <c r="AU24" s="3193"/>
      <c r="AV24" s="3193"/>
      <c r="AW24" s="3193"/>
      <c r="AX24" s="3194"/>
      <c r="AY24" s="3194"/>
      <c r="AZ24" s="3194"/>
      <c r="BA24" s="3172"/>
      <c r="BB24" s="1040"/>
      <c r="BC24" s="1040"/>
      <c r="BD24" s="3195"/>
      <c r="BE24" s="3195"/>
      <c r="BF24" s="3195"/>
      <c r="BG24" s="3194"/>
      <c r="BH24" s="3194"/>
      <c r="BI24" s="3194"/>
      <c r="BJ24" s="3172"/>
      <c r="BK24" s="1040"/>
      <c r="BL24" s="1040"/>
      <c r="BM24" s="3195"/>
      <c r="BN24" s="3195"/>
      <c r="BO24" s="3195"/>
      <c r="BP24" s="3194">
        <v>3798460</v>
      </c>
      <c r="BQ24" s="3194">
        <v>0</v>
      </c>
      <c r="BR24" s="1039">
        <f>+BP24-BQ24</f>
        <v>3798460</v>
      </c>
      <c r="BS24" s="3172">
        <v>2225032</v>
      </c>
      <c r="BT24" s="1037">
        <v>0</v>
      </c>
      <c r="BU24" s="1037">
        <f>+BS24-BT24</f>
        <v>2225032</v>
      </c>
      <c r="BV24" s="3195">
        <v>3998460</v>
      </c>
      <c r="BW24" s="3195">
        <v>0</v>
      </c>
      <c r="BX24" s="3173">
        <f>+BV24-BW24</f>
        <v>3998460</v>
      </c>
      <c r="BY24" s="3194">
        <v>2579791.7999999998</v>
      </c>
      <c r="BZ24" s="1039">
        <v>0</v>
      </c>
      <c r="CA24" s="1039">
        <f>+BY24-BZ24</f>
        <v>2579791.7999999998</v>
      </c>
      <c r="CB24" s="3172">
        <v>7098257.6699999999</v>
      </c>
      <c r="CC24" s="1037">
        <v>8915763.3049999997</v>
      </c>
      <c r="CD24" s="1037">
        <f>+CB24-CC24</f>
        <v>-1817505.6349999998</v>
      </c>
      <c r="CE24" s="3195">
        <v>3281340.034</v>
      </c>
      <c r="CF24" s="3173">
        <v>2226933.4959999998</v>
      </c>
      <c r="CG24" s="3173">
        <f>+CE24-CF24</f>
        <v>1054406.5380000002</v>
      </c>
      <c r="CH24" s="3194">
        <v>2226933.4900000002</v>
      </c>
      <c r="CI24" s="1039">
        <f>+'Schedule H DEPA'!AC16</f>
        <v>2226933.4959999998</v>
      </c>
      <c r="CJ24" s="1039">
        <f>+CH24-CI24</f>
        <v>-5.9999995864927769E-3</v>
      </c>
      <c r="CK24" s="3172">
        <v>1500000</v>
      </c>
      <c r="CL24" s="1037">
        <v>0</v>
      </c>
      <c r="CM24" s="1037">
        <f>+CK24-CL24</f>
        <v>1500000</v>
      </c>
      <c r="CN24" s="3195">
        <v>1500000</v>
      </c>
      <c r="CO24" s="3173">
        <v>767164.44850000006</v>
      </c>
      <c r="CP24" s="3173">
        <f>+CN24-CO24</f>
        <v>732835.55149999994</v>
      </c>
      <c r="CQ24" s="3194">
        <v>957739.08</v>
      </c>
      <c r="CR24" s="1039">
        <f>+'Schedule H DEPA'!AC18+'Schedule H DEPA'!AC19</f>
        <v>1650167.7910000002</v>
      </c>
      <c r="CS24" s="1039">
        <f>+CQ24-CR24</f>
        <v>-692428.71100000024</v>
      </c>
      <c r="CT24" s="3172">
        <v>536353.42000000004</v>
      </c>
      <c r="CU24" s="1037">
        <v>0</v>
      </c>
      <c r="CV24" s="1037">
        <f t="shared" si="17"/>
        <v>536353.42000000004</v>
      </c>
      <c r="CW24" s="3195">
        <v>2049307.1</v>
      </c>
      <c r="CX24" s="3173">
        <f>+'Schedule H DEPA'!AC21</f>
        <v>1616077.37</v>
      </c>
      <c r="CY24" s="3173">
        <f>+CW24-CX24</f>
        <v>433229.73</v>
      </c>
      <c r="CZ24" s="3194">
        <v>6568002.4000000004</v>
      </c>
      <c r="DA24" s="1039">
        <f>+'Schedule H DEPA'!U22</f>
        <v>2884295.2299999995</v>
      </c>
      <c r="DB24" s="1039">
        <f>+CZ24-DA24</f>
        <v>3683707.1700000009</v>
      </c>
      <c r="DC24" s="3172">
        <v>9194227.8399999999</v>
      </c>
      <c r="DD24" s="1037">
        <v>0</v>
      </c>
      <c r="DE24" s="1037">
        <f>+DC24-DD24</f>
        <v>9194227.8399999999</v>
      </c>
      <c r="DF24" s="3195">
        <v>13878229.99</v>
      </c>
      <c r="DG24" s="3173">
        <f>+'Schedule H DEPA'!AC23</f>
        <v>3694684.7399999998</v>
      </c>
      <c r="DH24" s="3173">
        <f t="shared" si="18"/>
        <v>10183545.25</v>
      </c>
      <c r="DI24" s="3194">
        <v>5793001.5999999996</v>
      </c>
      <c r="DJ24" s="1039">
        <v>0</v>
      </c>
      <c r="DK24" s="1039">
        <f t="shared" si="19"/>
        <v>5793001.5999999996</v>
      </c>
      <c r="DL24" s="3172">
        <v>7187938.9900000002</v>
      </c>
      <c r="DM24" s="1037">
        <f>+'Schedule H DEPA'!AC24+'Schedule H DEPA'!AC25</f>
        <v>6728226.6799999997</v>
      </c>
      <c r="DN24" s="1037">
        <f t="shared" si="20"/>
        <v>459712.31000000052</v>
      </c>
      <c r="DO24" s="3195">
        <v>7681675.0199999996</v>
      </c>
      <c r="DP24" s="3173">
        <f>+'Schedule H DEPA'!AL23</f>
        <v>0</v>
      </c>
      <c r="DQ24" s="3173">
        <f t="shared" si="21"/>
        <v>7681675.0199999996</v>
      </c>
      <c r="DR24" s="3194">
        <v>6011684.0499999998</v>
      </c>
      <c r="DS24" s="1039">
        <f>+'Schedule H DEPA'!AC26+'Schedule H DEPA'!AC27+'Schedule H DEPA'!AC28</f>
        <v>7915649.5800000001</v>
      </c>
      <c r="DT24" s="1039">
        <f t="shared" si="22"/>
        <v>-1903965.5300000003</v>
      </c>
      <c r="DU24" s="3172">
        <v>7776985.9800000004</v>
      </c>
      <c r="DV24" s="1037">
        <f>'Schedule H DEPA'!J30</f>
        <v>4141139.4600000004</v>
      </c>
      <c r="DW24" s="1037">
        <f t="shared" si="23"/>
        <v>3635846.52</v>
      </c>
      <c r="DX24" s="3195">
        <v>5206588.88</v>
      </c>
      <c r="DY24" s="3173">
        <f>+'Schedule H DEPA'!AC30</f>
        <v>2678976.6</v>
      </c>
      <c r="DZ24" s="3173">
        <f t="shared" si="24"/>
        <v>2527612.2799999998</v>
      </c>
      <c r="EA24" s="3194">
        <v>5206588.88</v>
      </c>
      <c r="EB24" s="1039" t="s">
        <v>5192</v>
      </c>
      <c r="EC24" s="1039">
        <v>0</v>
      </c>
      <c r="ED24" s="3172">
        <v>5206588.88</v>
      </c>
      <c r="EE24" s="1037" t="s">
        <v>5192</v>
      </c>
      <c r="EF24" s="1037">
        <v>0</v>
      </c>
      <c r="EG24" s="3195">
        <v>5206588.88</v>
      </c>
      <c r="EH24" s="3173" t="s">
        <v>5192</v>
      </c>
      <c r="EI24" s="3173"/>
      <c r="EJ24" s="3194">
        <v>4553702.8</v>
      </c>
      <c r="EK24" s="1039" t="s">
        <v>5192</v>
      </c>
      <c r="EL24" s="1039">
        <v>0</v>
      </c>
      <c r="EM24" s="3172">
        <v>4347525</v>
      </c>
      <c r="EN24" s="1037" t="s">
        <v>5192</v>
      </c>
      <c r="EO24" s="1037">
        <v>0</v>
      </c>
      <c r="EP24" s="1027">
        <v>1737945</v>
      </c>
      <c r="EQ24" s="1027">
        <v>3226545.62</v>
      </c>
      <c r="ER24" s="1027">
        <v>2252014.44</v>
      </c>
      <c r="ES24" s="1028">
        <f t="shared" si="13"/>
        <v>7216505.0600000005</v>
      </c>
      <c r="ET24" s="1021"/>
    </row>
    <row r="25" spans="1:152" ht="22.5" customHeight="1">
      <c r="A25" s="1020">
        <v>2240110</v>
      </c>
      <c r="B25" s="1023" t="s">
        <v>2742</v>
      </c>
      <c r="C25" s="1023"/>
      <c r="D25" s="1022"/>
      <c r="E25" s="1022" t="s">
        <v>494</v>
      </c>
      <c r="F25" s="1022" t="s">
        <v>1811</v>
      </c>
      <c r="G25" s="1022">
        <v>1</v>
      </c>
      <c r="H25" s="1040"/>
      <c r="I25" s="1040"/>
      <c r="J25" s="1040"/>
      <c r="K25" s="3193"/>
      <c r="L25" s="3193"/>
      <c r="M25" s="3193"/>
      <c r="N25" s="3194"/>
      <c r="O25" s="3194"/>
      <c r="P25" s="3194"/>
      <c r="Q25" s="1040"/>
      <c r="R25" s="1040"/>
      <c r="S25" s="1040"/>
      <c r="T25" s="3193"/>
      <c r="U25" s="3193"/>
      <c r="V25" s="3193"/>
      <c r="W25" s="3194"/>
      <c r="X25" s="3194"/>
      <c r="Y25" s="3194"/>
      <c r="Z25" s="1040"/>
      <c r="AA25" s="1040"/>
      <c r="AB25" s="1040"/>
      <c r="AC25" s="3193"/>
      <c r="AD25" s="3193"/>
      <c r="AE25" s="3193"/>
      <c r="AF25" s="3194"/>
      <c r="AG25" s="3194"/>
      <c r="AH25" s="3194"/>
      <c r="AI25" s="1040"/>
      <c r="AJ25" s="1040"/>
      <c r="AK25" s="1040"/>
      <c r="AL25" s="3193"/>
      <c r="AM25" s="3193"/>
      <c r="AN25" s="3193"/>
      <c r="AO25" s="3194"/>
      <c r="AP25" s="3194"/>
      <c r="AQ25" s="3194"/>
      <c r="AR25" s="1040"/>
      <c r="AS25" s="1040"/>
      <c r="AT25" s="1040"/>
      <c r="AU25" s="3193"/>
      <c r="AV25" s="3193"/>
      <c r="AW25" s="3193"/>
      <c r="AX25" s="3194"/>
      <c r="AY25" s="3194"/>
      <c r="AZ25" s="3194"/>
      <c r="BA25" s="3172"/>
      <c r="BB25" s="1040"/>
      <c r="BC25" s="1040"/>
      <c r="BD25" s="3195"/>
      <c r="BE25" s="3195"/>
      <c r="BF25" s="3195"/>
      <c r="BG25" s="3194"/>
      <c r="BH25" s="3194"/>
      <c r="BI25" s="3194"/>
      <c r="BJ25" s="3172"/>
      <c r="BK25" s="1040"/>
      <c r="BL25" s="1040"/>
      <c r="BM25" s="3195"/>
      <c r="BN25" s="3195"/>
      <c r="BO25" s="3195"/>
      <c r="BP25" s="3194"/>
      <c r="BQ25" s="3194"/>
      <c r="BR25" s="1039"/>
      <c r="BS25" s="3172"/>
      <c r="BT25" s="1037"/>
      <c r="BU25" s="1037"/>
      <c r="BV25" s="3195"/>
      <c r="BW25" s="3195"/>
      <c r="BX25" s="3173"/>
      <c r="BY25" s="3194"/>
      <c r="BZ25" s="1039"/>
      <c r="CA25" s="1039"/>
      <c r="CB25" s="3172"/>
      <c r="CC25" s="1037"/>
      <c r="CD25" s="1037"/>
      <c r="CE25" s="3195"/>
      <c r="CF25" s="3173"/>
      <c r="CG25" s="3173"/>
      <c r="CH25" s="3194"/>
      <c r="CI25" s="1039"/>
      <c r="CJ25" s="1039"/>
      <c r="CK25" s="3172"/>
      <c r="CL25" s="1037"/>
      <c r="CM25" s="1037"/>
      <c r="CN25" s="3195"/>
      <c r="CO25" s="3173"/>
      <c r="CP25" s="3173"/>
      <c r="CQ25" s="3194"/>
      <c r="CR25" s="1039">
        <v>7474917.6399999997</v>
      </c>
      <c r="CS25" s="1039">
        <f>+CQ25-CR25</f>
        <v>-7474917.6399999997</v>
      </c>
      <c r="CT25" s="3172">
        <v>7474917.6399999997</v>
      </c>
      <c r="CU25" s="1037">
        <f>'Schedule H ALUTEC'!AG16</f>
        <v>253576.09000000003</v>
      </c>
      <c r="CV25" s="1037">
        <f t="shared" si="17"/>
        <v>7221341.5499999998</v>
      </c>
      <c r="CW25" s="3195"/>
      <c r="CX25" s="3173"/>
      <c r="CY25" s="3173"/>
      <c r="CZ25" s="3194">
        <v>9593398.8000000007</v>
      </c>
      <c r="DA25" s="1039">
        <f>+'Schedule H ALUTEC'!U15+'Schedule H ALUTEC'!U16</f>
        <v>831689.35000000009</v>
      </c>
      <c r="DB25" s="1039">
        <f>+CZ25-DA25</f>
        <v>8761709.4500000011</v>
      </c>
      <c r="DC25" s="3172">
        <v>8792725.3000000007</v>
      </c>
      <c r="DD25" s="1037">
        <v>0</v>
      </c>
      <c r="DE25" s="1037">
        <f>+DC25-DD25</f>
        <v>8792725.3000000007</v>
      </c>
      <c r="DF25" s="3195">
        <v>8880940.5999999996</v>
      </c>
      <c r="DG25" s="3173">
        <f>+'Schedule H ALUTEC'!AC17</f>
        <v>53123.860000000008</v>
      </c>
      <c r="DH25" s="3173">
        <f t="shared" si="18"/>
        <v>8827816.7400000002</v>
      </c>
      <c r="DI25" s="3194">
        <v>571505.86</v>
      </c>
      <c r="DJ25" s="1039">
        <v>0</v>
      </c>
      <c r="DK25" s="1039">
        <f t="shared" si="19"/>
        <v>571505.86</v>
      </c>
      <c r="DL25" s="3172">
        <v>671881.5199999999</v>
      </c>
      <c r="DM25" s="1037">
        <v>0</v>
      </c>
      <c r="DN25" s="1037">
        <f t="shared" si="20"/>
        <v>671881.5199999999</v>
      </c>
      <c r="DO25" s="3195"/>
      <c r="DP25" s="3173">
        <f>+'Schedule H ALUTEC'!AC18+'Schedule H ALUTEC'!AC19+'Schedule H ALUTEC'!AC20</f>
        <v>1342624.42</v>
      </c>
      <c r="DQ25" s="3173">
        <f t="shared" si="21"/>
        <v>-1342624.42</v>
      </c>
      <c r="DR25" s="3194">
        <v>2007730.4872684036</v>
      </c>
      <c r="DS25" s="1039">
        <f>+'Schedule H ALUTEC'!AC21</f>
        <v>6908209.1300000008</v>
      </c>
      <c r="DT25" s="1039">
        <f t="shared" si="22"/>
        <v>-4900478.6427315976</v>
      </c>
      <c r="DU25" s="3172">
        <v>2308890.060358664</v>
      </c>
      <c r="DV25" s="4359">
        <f>'Schedule H ALUTEC'!J24</f>
        <v>3683263.49</v>
      </c>
      <c r="DW25" s="1037">
        <f t="shared" si="23"/>
        <v>-1374373.4296413362</v>
      </c>
      <c r="DX25" s="3195">
        <v>1706570.9141781437</v>
      </c>
      <c r="DY25" s="3173">
        <f>+'Schedule H ALUTEC'!U24</f>
        <v>1335971.23</v>
      </c>
      <c r="DZ25" s="3173">
        <f t="shared" si="24"/>
        <v>370599.68417814374</v>
      </c>
      <c r="EA25" s="3194">
        <v>1706570.9141781437</v>
      </c>
      <c r="EB25" s="1039" t="s">
        <v>5192</v>
      </c>
      <c r="EC25" s="1039">
        <v>0</v>
      </c>
      <c r="ED25" s="3172">
        <v>1706570.9141781437</v>
      </c>
      <c r="EE25" s="4359" t="s">
        <v>5192</v>
      </c>
      <c r="EF25" s="1037">
        <v>0</v>
      </c>
      <c r="EG25" s="3195">
        <v>1706570.9141781437</v>
      </c>
      <c r="EH25" s="3173" t="s">
        <v>5192</v>
      </c>
      <c r="EI25" s="3173"/>
      <c r="EJ25" s="3194">
        <v>938908</v>
      </c>
      <c r="EK25" s="1039" t="s">
        <v>5192</v>
      </c>
      <c r="EL25" s="1039">
        <v>0</v>
      </c>
      <c r="EM25" s="3172">
        <v>80010</v>
      </c>
      <c r="EN25" s="4359" t="s">
        <v>5192</v>
      </c>
      <c r="EO25" s="1037">
        <v>0</v>
      </c>
      <c r="EP25" s="1027"/>
      <c r="EQ25" s="1027">
        <v>49611.16</v>
      </c>
      <c r="ER25" s="1027">
        <v>584517.12</v>
      </c>
      <c r="ES25" s="1028">
        <f t="shared" si="13"/>
        <v>634128.28</v>
      </c>
      <c r="ET25" s="1021"/>
    </row>
    <row r="26" spans="1:152" ht="22.5" customHeight="1">
      <c r="A26" s="1020">
        <v>2240202</v>
      </c>
      <c r="B26" s="1023" t="s">
        <v>3160</v>
      </c>
      <c r="C26" s="1023" t="s">
        <v>2508</v>
      </c>
      <c r="D26" s="1022" t="s">
        <v>1809</v>
      </c>
      <c r="E26" s="1022" t="s">
        <v>2889</v>
      </c>
      <c r="F26" s="1022" t="s">
        <v>1811</v>
      </c>
      <c r="G26" s="1022">
        <v>1</v>
      </c>
      <c r="H26" s="1040"/>
      <c r="I26" s="1040"/>
      <c r="J26" s="1040"/>
      <c r="K26" s="3193"/>
      <c r="L26" s="3193"/>
      <c r="M26" s="3193"/>
      <c r="N26" s="3194"/>
      <c r="O26" s="3194"/>
      <c r="P26" s="3194"/>
      <c r="Q26" s="1040"/>
      <c r="R26" s="1040"/>
      <c r="S26" s="1040"/>
      <c r="T26" s="3193"/>
      <c r="U26" s="3193"/>
      <c r="V26" s="3193"/>
      <c r="W26" s="3194"/>
      <c r="X26" s="3194"/>
      <c r="Y26" s="3194"/>
      <c r="Z26" s="1040"/>
      <c r="AA26" s="1040"/>
      <c r="AB26" s="1040"/>
      <c r="AC26" s="3193"/>
      <c r="AD26" s="3193"/>
      <c r="AE26" s="3193"/>
      <c r="AF26" s="3194"/>
      <c r="AG26" s="3194"/>
      <c r="AH26" s="3194"/>
      <c r="AI26" s="1040"/>
      <c r="AJ26" s="1040"/>
      <c r="AK26" s="1040"/>
      <c r="AL26" s="3193"/>
      <c r="AM26" s="3193"/>
      <c r="AN26" s="3193"/>
      <c r="AO26" s="3194"/>
      <c r="AP26" s="3194"/>
      <c r="AQ26" s="3194"/>
      <c r="AR26" s="1040"/>
      <c r="AS26" s="1040"/>
      <c r="AT26" s="1040"/>
      <c r="AU26" s="3193"/>
      <c r="AV26" s="3193"/>
      <c r="AW26" s="3193"/>
      <c r="AX26" s="3194"/>
      <c r="AY26" s="3194"/>
      <c r="AZ26" s="3194"/>
      <c r="BA26" s="3172"/>
      <c r="BB26" s="1040"/>
      <c r="BC26" s="1040"/>
      <c r="BD26" s="3195"/>
      <c r="BE26" s="3195"/>
      <c r="BF26" s="3195"/>
      <c r="BG26" s="3194"/>
      <c r="BH26" s="3194"/>
      <c r="BI26" s="3194"/>
      <c r="BJ26" s="3172"/>
      <c r="BK26" s="1040"/>
      <c r="BL26" s="1040"/>
      <c r="BM26" s="3195"/>
      <c r="BN26" s="3195"/>
      <c r="BO26" s="3195"/>
      <c r="BP26" s="3194">
        <v>3798460</v>
      </c>
      <c r="BQ26" s="3194">
        <v>0</v>
      </c>
      <c r="BR26" s="1039">
        <f>+BP26-BQ26</f>
        <v>3798460</v>
      </c>
      <c r="BS26" s="3172">
        <v>2225032</v>
      </c>
      <c r="BT26" s="1037">
        <v>0</v>
      </c>
      <c r="BU26" s="1037">
        <f>+BS26-BT26</f>
        <v>2225032</v>
      </c>
      <c r="BV26" s="3195">
        <v>3998460</v>
      </c>
      <c r="BW26" s="3195">
        <v>0</v>
      </c>
      <c r="BX26" s="3173">
        <f>+BV26-BW26</f>
        <v>3998460</v>
      </c>
      <c r="BY26" s="3194">
        <v>2579791.7999999998</v>
      </c>
      <c r="BZ26" s="1039">
        <v>0</v>
      </c>
      <c r="CA26" s="1039">
        <f>+BY26-BZ26</f>
        <v>2579791.7999999998</v>
      </c>
      <c r="CB26" s="3172">
        <v>7098257.6699999999</v>
      </c>
      <c r="CC26" s="1037">
        <v>8915763.3049999997</v>
      </c>
      <c r="CD26" s="1037">
        <f>+CB26-CC26</f>
        <v>-1817505.6349999998</v>
      </c>
      <c r="CE26" s="3195">
        <v>3281340.034</v>
      </c>
      <c r="CF26" s="3173">
        <v>2226933.4959999998</v>
      </c>
      <c r="CG26" s="3173">
        <f>+CE26-CF26</f>
        <v>1054406.5380000002</v>
      </c>
      <c r="CH26" s="3194"/>
      <c r="CI26" s="1039"/>
      <c r="CJ26" s="1039"/>
      <c r="CK26" s="3172"/>
      <c r="CL26" s="1037"/>
      <c r="CM26" s="1037"/>
      <c r="CN26" s="3195"/>
      <c r="CO26" s="3173">
        <v>8437500</v>
      </c>
      <c r="CP26" s="3173">
        <f>+CN26-CO26</f>
        <v>-8437500</v>
      </c>
      <c r="CQ26" s="3194"/>
      <c r="CR26" s="1039">
        <v>498400</v>
      </c>
      <c r="CS26" s="1039">
        <f>+CQ26-CR26</f>
        <v>-498400</v>
      </c>
      <c r="CT26" s="3172">
        <v>498400</v>
      </c>
      <c r="CU26" s="1037">
        <v>0</v>
      </c>
      <c r="CV26" s="1037">
        <f t="shared" si="17"/>
        <v>498400</v>
      </c>
      <c r="CW26" s="3195"/>
      <c r="CX26" s="3173"/>
      <c r="CY26" s="3173"/>
      <c r="CZ26" s="3194"/>
      <c r="DA26" s="1039"/>
      <c r="DB26" s="1039"/>
      <c r="DC26" s="3172"/>
      <c r="DD26" s="1037"/>
      <c r="DE26" s="1037"/>
      <c r="DF26" s="3195"/>
      <c r="DG26" s="3173"/>
      <c r="DH26" s="3173"/>
      <c r="DI26" s="3194"/>
      <c r="DJ26" s="1039">
        <f>+'Schedule H AREEN'!AC18</f>
        <v>2283465</v>
      </c>
      <c r="DK26" s="1039">
        <f t="shared" si="19"/>
        <v>-2283465</v>
      </c>
      <c r="DL26" s="3172"/>
      <c r="DM26" s="1037">
        <f>+'Schedule H AREEN'!AC16+'Schedule H AREEN'!AC17</f>
        <v>305222.58999999997</v>
      </c>
      <c r="DN26" s="1037">
        <f t="shared" si="20"/>
        <v>-305222.58999999997</v>
      </c>
      <c r="DO26" s="3195"/>
      <c r="DP26" s="3173">
        <f>+'Schedule H AREEN'!AC19</f>
        <v>90650.94</v>
      </c>
      <c r="DQ26" s="3173">
        <f t="shared" si="21"/>
        <v>-90650.94</v>
      </c>
      <c r="DR26" s="3194"/>
      <c r="DS26" s="1039">
        <f>+'Schedule H AREEN'!AC20</f>
        <v>8519133.75</v>
      </c>
      <c r="DT26" s="1039">
        <f t="shared" si="22"/>
        <v>-8519133.75</v>
      </c>
      <c r="DU26" s="3172">
        <v>328353.75</v>
      </c>
      <c r="DV26" s="1037">
        <v>0</v>
      </c>
      <c r="DW26" s="1037">
        <f t="shared" si="23"/>
        <v>328353.75</v>
      </c>
      <c r="DX26" s="3195">
        <v>60081.75</v>
      </c>
      <c r="DY26" s="3173">
        <v>0</v>
      </c>
      <c r="DZ26" s="3173">
        <f t="shared" si="24"/>
        <v>60081.75</v>
      </c>
      <c r="EA26" s="3194">
        <v>60081.75</v>
      </c>
      <c r="EB26" s="1039" t="s">
        <v>5192</v>
      </c>
      <c r="EC26" s="1039">
        <v>0</v>
      </c>
      <c r="ED26" s="3172">
        <v>60081.75</v>
      </c>
      <c r="EE26" s="1037" t="s">
        <v>5192</v>
      </c>
      <c r="EF26" s="1037">
        <v>0</v>
      </c>
      <c r="EG26" s="3195">
        <v>60081.75</v>
      </c>
      <c r="EH26" s="3173" t="s">
        <v>5192</v>
      </c>
      <c r="EI26" s="3173"/>
      <c r="EJ26" s="3194"/>
      <c r="EK26" s="1039" t="s">
        <v>5192</v>
      </c>
      <c r="EL26" s="1039">
        <v>0</v>
      </c>
      <c r="EM26" s="3172"/>
      <c r="EN26" s="1037" t="s">
        <v>5192</v>
      </c>
      <c r="EO26" s="1037">
        <v>0</v>
      </c>
      <c r="EP26" s="1027"/>
      <c r="EQ26" s="1027">
        <v>4331572.5</v>
      </c>
      <c r="ER26" s="1027">
        <v>226108.24</v>
      </c>
      <c r="ES26" s="1028">
        <f t="shared" si="13"/>
        <v>4557680.74</v>
      </c>
      <c r="ET26" s="1021"/>
    </row>
    <row r="27" spans="1:152" ht="22.5" customHeight="1">
      <c r="A27" s="4005">
        <f>+'Schedule H'!C36</f>
        <v>2240427</v>
      </c>
      <c r="B27" s="1023" t="s">
        <v>3611</v>
      </c>
      <c r="C27" s="1023"/>
      <c r="D27" s="1022"/>
      <c r="E27" s="1022" t="s">
        <v>494</v>
      </c>
      <c r="F27" s="1022" t="s">
        <v>1811</v>
      </c>
      <c r="G27" s="1022">
        <v>1</v>
      </c>
      <c r="H27" s="1040"/>
      <c r="I27" s="1040"/>
      <c r="J27" s="1040"/>
      <c r="K27" s="3193"/>
      <c r="L27" s="3193"/>
      <c r="M27" s="3193"/>
      <c r="N27" s="3194"/>
      <c r="O27" s="3194"/>
      <c r="P27" s="3194"/>
      <c r="Q27" s="1040"/>
      <c r="R27" s="1040"/>
      <c r="S27" s="1040"/>
      <c r="T27" s="3193"/>
      <c r="U27" s="3193"/>
      <c r="V27" s="3193"/>
      <c r="W27" s="3194"/>
      <c r="X27" s="3194"/>
      <c r="Y27" s="3194"/>
      <c r="Z27" s="1040"/>
      <c r="AA27" s="1040"/>
      <c r="AB27" s="1040"/>
      <c r="AC27" s="3193"/>
      <c r="AD27" s="3193"/>
      <c r="AE27" s="3193"/>
      <c r="AF27" s="3194"/>
      <c r="AG27" s="3194"/>
      <c r="AH27" s="3194"/>
      <c r="AI27" s="1040"/>
      <c r="AJ27" s="1040"/>
      <c r="AK27" s="1040"/>
      <c r="AL27" s="3193"/>
      <c r="AM27" s="3193"/>
      <c r="AN27" s="3193"/>
      <c r="AO27" s="3194"/>
      <c r="AP27" s="3194"/>
      <c r="AQ27" s="3194"/>
      <c r="AR27" s="1040"/>
      <c r="AS27" s="1040"/>
      <c r="AT27" s="1040"/>
      <c r="AU27" s="3193"/>
      <c r="AV27" s="3193"/>
      <c r="AW27" s="3193"/>
      <c r="AX27" s="3194"/>
      <c r="AY27" s="3194"/>
      <c r="AZ27" s="3194"/>
      <c r="BA27" s="3172"/>
      <c r="BB27" s="1040"/>
      <c r="BC27" s="1040"/>
      <c r="BD27" s="3195"/>
      <c r="BE27" s="3195"/>
      <c r="BF27" s="3195"/>
      <c r="BG27" s="3194"/>
      <c r="BH27" s="3194"/>
      <c r="BI27" s="3194"/>
      <c r="BJ27" s="3172"/>
      <c r="BK27" s="1040"/>
      <c r="BL27" s="1040"/>
      <c r="BM27" s="3195"/>
      <c r="BN27" s="3195"/>
      <c r="BO27" s="3195"/>
      <c r="BP27" s="3194"/>
      <c r="BQ27" s="3194"/>
      <c r="BR27" s="1039"/>
      <c r="BS27" s="3172"/>
      <c r="BT27" s="1037"/>
      <c r="BU27" s="1037"/>
      <c r="BV27" s="3195"/>
      <c r="BW27" s="3195"/>
      <c r="BX27" s="3173"/>
      <c r="BY27" s="3194"/>
      <c r="BZ27" s="1039"/>
      <c r="CA27" s="1039"/>
      <c r="CB27" s="3172"/>
      <c r="CC27" s="1037"/>
      <c r="CD27" s="1037"/>
      <c r="CE27" s="3195"/>
      <c r="CF27" s="3173"/>
      <c r="CG27" s="3173"/>
      <c r="CH27" s="3194"/>
      <c r="CI27" s="1039"/>
      <c r="CJ27" s="1039"/>
      <c r="CK27" s="3172"/>
      <c r="CL27" s="1037"/>
      <c r="CM27" s="1037"/>
      <c r="CN27" s="3195"/>
      <c r="CO27" s="3173"/>
      <c r="CP27" s="3173"/>
      <c r="CQ27" s="3194"/>
      <c r="CR27" s="1039"/>
      <c r="CS27" s="1039"/>
      <c r="CT27" s="3172"/>
      <c r="CU27" s="1037"/>
      <c r="CV27" s="1037"/>
      <c r="CW27" s="3195"/>
      <c r="CX27" s="3173">
        <f>+'Schedule H MAS (Wet Works)'!AC14</f>
        <v>969150</v>
      </c>
      <c r="CY27" s="3173">
        <f>+CW27-CX27</f>
        <v>-969150</v>
      </c>
      <c r="CZ27" s="3194">
        <v>517650</v>
      </c>
      <c r="DA27" s="1039">
        <v>0</v>
      </c>
      <c r="DB27" s="1039">
        <f>+CZ27-DA27</f>
        <v>517650</v>
      </c>
      <c r="DC27" s="3172">
        <v>1449700</v>
      </c>
      <c r="DD27" s="1037">
        <v>0</v>
      </c>
      <c r="DE27" s="1037">
        <f>+DC27-DD27</f>
        <v>1449700</v>
      </c>
      <c r="DF27" s="3195">
        <v>1006635</v>
      </c>
      <c r="DG27" s="3173">
        <f>+'Schedule H MAS (Wet Works)'!AC15</f>
        <v>517650</v>
      </c>
      <c r="DH27" s="3173">
        <f t="shared" si="18"/>
        <v>488985</v>
      </c>
      <c r="DI27" s="3194">
        <v>893025</v>
      </c>
      <c r="DJ27" s="1039">
        <f>+'Schedule H MAS (Wet Works)'!AC17</f>
        <v>790545</v>
      </c>
      <c r="DK27" s="1039">
        <f t="shared" si="19"/>
        <v>102480</v>
      </c>
      <c r="DL27" s="3172">
        <v>1105650</v>
      </c>
      <c r="DM27" s="1037">
        <v>0</v>
      </c>
      <c r="DN27" s="1037">
        <f>+DL27-DM27</f>
        <v>1105650</v>
      </c>
      <c r="DO27" s="3195">
        <v>1020600</v>
      </c>
      <c r="DP27" s="3173">
        <f>+'Schedule H MAS (Wet Works)'!AC18</f>
        <v>1159620</v>
      </c>
      <c r="DQ27" s="3173">
        <f>+DO27-DP27</f>
        <v>-139020</v>
      </c>
      <c r="DR27" s="3194">
        <v>1138590</v>
      </c>
      <c r="DS27" s="1039">
        <f>+'Schedule H MAS (Wet Works)'!AC21</f>
        <v>2107131</v>
      </c>
      <c r="DT27" s="1039">
        <f t="shared" si="22"/>
        <v>-968541</v>
      </c>
      <c r="DU27" s="3172">
        <v>838760</v>
      </c>
      <c r="DV27" s="1037">
        <v>0</v>
      </c>
      <c r="DW27" s="1037">
        <f t="shared" si="23"/>
        <v>838760</v>
      </c>
      <c r="DX27" s="3195">
        <v>719680</v>
      </c>
      <c r="DY27" s="3173">
        <v>0</v>
      </c>
      <c r="DZ27" s="3173">
        <f t="shared" si="24"/>
        <v>719680</v>
      </c>
      <c r="EA27" s="3194">
        <v>719680</v>
      </c>
      <c r="EB27" s="1039" t="s">
        <v>5192</v>
      </c>
      <c r="EC27" s="1039">
        <v>0</v>
      </c>
      <c r="ED27" s="3172">
        <v>719680</v>
      </c>
      <c r="EE27" s="1037" t="s">
        <v>5192</v>
      </c>
      <c r="EF27" s="1037">
        <v>0</v>
      </c>
      <c r="EG27" s="3195">
        <v>719680</v>
      </c>
      <c r="EH27" s="3173" t="s">
        <v>5192</v>
      </c>
      <c r="EI27" s="3173"/>
      <c r="EJ27" s="3194">
        <v>1072642</v>
      </c>
      <c r="EK27" s="1039" t="s">
        <v>5192</v>
      </c>
      <c r="EL27" s="1039">
        <v>0</v>
      </c>
      <c r="EM27" s="3172"/>
      <c r="EN27" s="1037" t="s">
        <v>5192</v>
      </c>
      <c r="EO27" s="1037">
        <v>0</v>
      </c>
      <c r="EP27" s="1027"/>
      <c r="EQ27" s="1027">
        <v>1016402.21</v>
      </c>
      <c r="ER27" s="1027"/>
      <c r="ES27" s="1028">
        <f t="shared" si="13"/>
        <v>1016402.21</v>
      </c>
      <c r="ET27" s="1021"/>
    </row>
    <row r="28" spans="1:152" ht="22.5" customHeight="1">
      <c r="A28" s="4005">
        <f>+'Schedule H'!C37</f>
        <v>2240461</v>
      </c>
      <c r="B28" s="1023" t="s">
        <v>3612</v>
      </c>
      <c r="C28" s="1023"/>
      <c r="D28" s="1022"/>
      <c r="E28" s="1022" t="s">
        <v>494</v>
      </c>
      <c r="F28" s="1022" t="s">
        <v>1811</v>
      </c>
      <c r="G28" s="1022">
        <v>1</v>
      </c>
      <c r="H28" s="1040"/>
      <c r="I28" s="1040"/>
      <c r="J28" s="1040"/>
      <c r="K28" s="3193"/>
      <c r="L28" s="3193"/>
      <c r="M28" s="3193"/>
      <c r="N28" s="3194"/>
      <c r="O28" s="3194"/>
      <c r="P28" s="3194"/>
      <c r="Q28" s="1040"/>
      <c r="R28" s="1040"/>
      <c r="S28" s="1040"/>
      <c r="T28" s="3193"/>
      <c r="U28" s="3193"/>
      <c r="V28" s="3193"/>
      <c r="W28" s="3194"/>
      <c r="X28" s="3194"/>
      <c r="Y28" s="3194"/>
      <c r="Z28" s="1040"/>
      <c r="AA28" s="1040"/>
      <c r="AB28" s="1040"/>
      <c r="AC28" s="3193"/>
      <c r="AD28" s="3193"/>
      <c r="AE28" s="3193"/>
      <c r="AF28" s="3194"/>
      <c r="AG28" s="3194"/>
      <c r="AH28" s="3194"/>
      <c r="AI28" s="1040"/>
      <c r="AJ28" s="1040"/>
      <c r="AK28" s="1040"/>
      <c r="AL28" s="3193"/>
      <c r="AM28" s="3193"/>
      <c r="AN28" s="3193"/>
      <c r="AO28" s="3194"/>
      <c r="AP28" s="3194"/>
      <c r="AQ28" s="3194"/>
      <c r="AR28" s="1040"/>
      <c r="AS28" s="1040"/>
      <c r="AT28" s="1040"/>
      <c r="AU28" s="3193"/>
      <c r="AV28" s="3193"/>
      <c r="AW28" s="3193"/>
      <c r="AX28" s="3194"/>
      <c r="AY28" s="3194"/>
      <c r="AZ28" s="3194"/>
      <c r="BA28" s="3172"/>
      <c r="BB28" s="1040"/>
      <c r="BC28" s="1040"/>
      <c r="BD28" s="3195"/>
      <c r="BE28" s="3195"/>
      <c r="BF28" s="3195"/>
      <c r="BG28" s="3194"/>
      <c r="BH28" s="3194"/>
      <c r="BI28" s="3194"/>
      <c r="BJ28" s="3172"/>
      <c r="BK28" s="1040"/>
      <c r="BL28" s="1040"/>
      <c r="BM28" s="3195"/>
      <c r="BN28" s="3195"/>
      <c r="BO28" s="3195"/>
      <c r="BP28" s="3194"/>
      <c r="BQ28" s="3194"/>
      <c r="BR28" s="1039"/>
      <c r="BS28" s="3172"/>
      <c r="BT28" s="1037"/>
      <c r="BU28" s="1037"/>
      <c r="BV28" s="3195"/>
      <c r="BW28" s="3195"/>
      <c r="BX28" s="3173"/>
      <c r="BY28" s="3194"/>
      <c r="BZ28" s="1039"/>
      <c r="CA28" s="1039"/>
      <c r="CB28" s="3172"/>
      <c r="CC28" s="1037"/>
      <c r="CD28" s="1037"/>
      <c r="CE28" s="3195"/>
      <c r="CF28" s="3173"/>
      <c r="CG28" s="3173"/>
      <c r="CH28" s="3194"/>
      <c r="CI28" s="1039"/>
      <c r="CJ28" s="1039"/>
      <c r="CK28" s="3172"/>
      <c r="CL28" s="1037"/>
      <c r="CM28" s="1037"/>
      <c r="CN28" s="3195"/>
      <c r="CO28" s="3173"/>
      <c r="CP28" s="3173"/>
      <c r="CQ28" s="3194"/>
      <c r="CR28" s="1039"/>
      <c r="CS28" s="1039"/>
      <c r="CT28" s="3172"/>
      <c r="CU28" s="1037"/>
      <c r="CV28" s="1037"/>
      <c r="CW28" s="3195"/>
      <c r="CX28" s="3173"/>
      <c r="CY28" s="3173"/>
      <c r="CZ28" s="3194">
        <v>753014.11</v>
      </c>
      <c r="DA28" s="1039">
        <v>0</v>
      </c>
      <c r="DB28" s="1039">
        <f>+CZ28-DA28</f>
        <v>753014.11</v>
      </c>
      <c r="DC28" s="3172">
        <v>165500.93</v>
      </c>
      <c r="DD28" s="1037">
        <v>0</v>
      </c>
      <c r="DE28" s="1037">
        <f>+DC28-DD28</f>
        <v>165500.93</v>
      </c>
      <c r="DF28" s="3195">
        <v>160377.23000000004</v>
      </c>
      <c r="DG28" s="3173"/>
      <c r="DH28" s="3173"/>
      <c r="DI28" s="3194"/>
      <c r="DJ28" s="1039">
        <f>+'Schedule H MAS (Amphitheatre)'!AC15</f>
        <v>165500.92800000001</v>
      </c>
      <c r="DK28" s="1039">
        <f t="shared" si="19"/>
        <v>-165500.92800000001</v>
      </c>
      <c r="DL28" s="3172"/>
      <c r="DM28" s="1037">
        <v>0</v>
      </c>
      <c r="DN28" s="1037">
        <f>+DL28-DM28</f>
        <v>0</v>
      </c>
      <c r="DO28" s="3195"/>
      <c r="DP28" s="3173"/>
      <c r="DQ28" s="3173"/>
      <c r="DR28" s="3194"/>
      <c r="DS28" s="1039">
        <f>+'Schedule H MAS (Amphitheatre)'!AL15</f>
        <v>0</v>
      </c>
      <c r="DT28" s="1039">
        <f t="shared" si="22"/>
        <v>0</v>
      </c>
      <c r="DU28" s="3172"/>
      <c r="DV28" s="1037"/>
      <c r="DW28" s="1037">
        <f t="shared" si="23"/>
        <v>0</v>
      </c>
      <c r="DX28" s="3195"/>
      <c r="DY28" s="3173"/>
      <c r="DZ28" s="3173"/>
      <c r="EA28" s="3194"/>
      <c r="EB28" s="1039">
        <f>+'Schedule H MAS (Amphitheatre)'!AU15</f>
        <v>0</v>
      </c>
      <c r="EC28" s="1039">
        <f>+EA28-EB28</f>
        <v>0</v>
      </c>
      <c r="ED28" s="3172"/>
      <c r="EE28" s="1037"/>
      <c r="EF28" s="1037"/>
      <c r="EG28" s="3195"/>
      <c r="EH28" s="3173"/>
      <c r="EI28" s="3173"/>
      <c r="EJ28" s="3194"/>
      <c r="EK28" s="1039"/>
      <c r="EL28" s="1039">
        <f>+EJ28-EK28</f>
        <v>0</v>
      </c>
      <c r="EM28" s="3172"/>
      <c r="EN28" s="1037"/>
      <c r="EO28" s="1037"/>
      <c r="EP28" s="1027"/>
      <c r="EQ28" s="1027"/>
      <c r="ER28" s="1027"/>
      <c r="ES28" s="1028">
        <f t="shared" si="13"/>
        <v>0</v>
      </c>
      <c r="ET28" s="1021"/>
    </row>
    <row r="29" spans="1:152" ht="22.5" customHeight="1">
      <c r="A29" s="4005">
        <v>2250012</v>
      </c>
      <c r="B29" s="1023" t="s">
        <v>3613</v>
      </c>
      <c r="C29" s="1023"/>
      <c r="D29" s="1022"/>
      <c r="E29" s="1022" t="s">
        <v>494</v>
      </c>
      <c r="F29" s="1022" t="s">
        <v>1811</v>
      </c>
      <c r="G29" s="1022">
        <v>1</v>
      </c>
      <c r="H29" s="1040"/>
      <c r="I29" s="1040"/>
      <c r="J29" s="1040"/>
      <c r="K29" s="3193"/>
      <c r="L29" s="3193"/>
      <c r="M29" s="3193"/>
      <c r="N29" s="3194"/>
      <c r="O29" s="3194"/>
      <c r="P29" s="3194"/>
      <c r="Q29" s="1040"/>
      <c r="R29" s="1040"/>
      <c r="S29" s="1040"/>
      <c r="T29" s="3193"/>
      <c r="U29" s="3193"/>
      <c r="V29" s="3193"/>
      <c r="W29" s="3194"/>
      <c r="X29" s="3194"/>
      <c r="Y29" s="3194"/>
      <c r="Z29" s="1040"/>
      <c r="AA29" s="1040"/>
      <c r="AB29" s="1040"/>
      <c r="AC29" s="3193"/>
      <c r="AD29" s="3193"/>
      <c r="AE29" s="3193"/>
      <c r="AF29" s="3194"/>
      <c r="AG29" s="3194"/>
      <c r="AH29" s="3194"/>
      <c r="AI29" s="1040"/>
      <c r="AJ29" s="1040"/>
      <c r="AK29" s="1040"/>
      <c r="AL29" s="3193"/>
      <c r="AM29" s="3193"/>
      <c r="AN29" s="3193"/>
      <c r="AO29" s="3194"/>
      <c r="AP29" s="3194"/>
      <c r="AQ29" s="3194"/>
      <c r="AR29" s="1040"/>
      <c r="AS29" s="1040"/>
      <c r="AT29" s="1040"/>
      <c r="AU29" s="3193"/>
      <c r="AV29" s="3193"/>
      <c r="AW29" s="3193"/>
      <c r="AX29" s="3194"/>
      <c r="AY29" s="3194"/>
      <c r="AZ29" s="3194"/>
      <c r="BA29" s="3172"/>
      <c r="BB29" s="1040"/>
      <c r="BC29" s="1040"/>
      <c r="BD29" s="3195"/>
      <c r="BE29" s="3195"/>
      <c r="BF29" s="3195"/>
      <c r="BG29" s="3194"/>
      <c r="BH29" s="3194"/>
      <c r="BI29" s="3194"/>
      <c r="BJ29" s="3172"/>
      <c r="BK29" s="1040"/>
      <c r="BL29" s="1040"/>
      <c r="BM29" s="3195"/>
      <c r="BN29" s="3195"/>
      <c r="BO29" s="3195"/>
      <c r="BP29" s="3194"/>
      <c r="BQ29" s="3194"/>
      <c r="BR29" s="1039"/>
      <c r="BS29" s="3172"/>
      <c r="BT29" s="1037"/>
      <c r="BU29" s="1037"/>
      <c r="BV29" s="3195"/>
      <c r="BW29" s="3195"/>
      <c r="BX29" s="3173"/>
      <c r="BY29" s="3194"/>
      <c r="BZ29" s="1039"/>
      <c r="CA29" s="1039"/>
      <c r="CB29" s="3172"/>
      <c r="CC29" s="1037"/>
      <c r="CD29" s="1037"/>
      <c r="CE29" s="3195"/>
      <c r="CF29" s="3173"/>
      <c r="CG29" s="3173"/>
      <c r="CH29" s="3194"/>
      <c r="CI29" s="1039"/>
      <c r="CJ29" s="1039"/>
      <c r="CK29" s="3172"/>
      <c r="CL29" s="1037"/>
      <c r="CM29" s="1037"/>
      <c r="CN29" s="3195"/>
      <c r="CO29" s="3173"/>
      <c r="CP29" s="3173"/>
      <c r="CQ29" s="3194"/>
      <c r="CR29" s="1039"/>
      <c r="CS29" s="1039"/>
      <c r="CT29" s="3172"/>
      <c r="CU29" s="1037"/>
      <c r="CV29" s="1037"/>
      <c r="CW29" s="3195"/>
      <c r="CX29" s="3173"/>
      <c r="CY29" s="3173"/>
      <c r="CZ29" s="3194">
        <v>6667520</v>
      </c>
      <c r="DA29" s="1039">
        <v>0</v>
      </c>
      <c r="DB29" s="1039">
        <f>+CZ29-DA29</f>
        <v>6667520</v>
      </c>
      <c r="DC29" s="3172">
        <v>5262630</v>
      </c>
      <c r="DD29" s="1037">
        <v>0</v>
      </c>
      <c r="DE29" s="1037">
        <f>+DC29-DD29</f>
        <v>5262630</v>
      </c>
      <c r="DF29" s="3195">
        <v>6667520</v>
      </c>
      <c r="DG29" s="3173">
        <f>+'Schedule H AL FANAR'!AC14</f>
        <v>18765256.300000001</v>
      </c>
      <c r="DH29" s="3173">
        <f>+DF29-DG29</f>
        <v>-12097736.300000001</v>
      </c>
      <c r="DI29" s="3194">
        <v>3056191.62</v>
      </c>
      <c r="DJ29" s="1039">
        <f>+'Schedule H AL FANAR'!AC15</f>
        <v>21754889.699999999</v>
      </c>
      <c r="DK29" s="1039">
        <f t="shared" si="19"/>
        <v>-18698698.079999998</v>
      </c>
      <c r="DL29" s="3172">
        <v>2926717.86</v>
      </c>
      <c r="DM29" s="1037">
        <f>+'Schedule H AL FANAR'!AC16</f>
        <v>2394771</v>
      </c>
      <c r="DN29" s="1037">
        <f>+DL29-DM29</f>
        <v>531946.85999999987</v>
      </c>
      <c r="DO29" s="3195">
        <v>1668861.87</v>
      </c>
      <c r="DP29" s="3173">
        <f>+'Schedule H AL FANAR'!AC17+'Schedule H AL FANAR'!AC18</f>
        <v>7155049.5</v>
      </c>
      <c r="DQ29" s="3173">
        <f>+DO29-DP29</f>
        <v>-5486187.6299999999</v>
      </c>
      <c r="DR29" s="3194">
        <v>4691360.7700000033</v>
      </c>
      <c r="DS29" s="1039">
        <f>+'Schedule H MAS (Amphitheatre)'!AL16</f>
        <v>0</v>
      </c>
      <c r="DT29" s="1039">
        <f t="shared" si="22"/>
        <v>4691360.7700000033</v>
      </c>
      <c r="DU29" s="3172">
        <v>7386180</v>
      </c>
      <c r="DV29" s="1037">
        <v>0</v>
      </c>
      <c r="DW29" s="1037">
        <f t="shared" si="23"/>
        <v>7386180</v>
      </c>
      <c r="DX29" s="3195">
        <v>4713050</v>
      </c>
      <c r="DY29" s="3173">
        <f>+'Schedule H AL FANAR'!AC20</f>
        <v>5758803.2800000003</v>
      </c>
      <c r="DZ29" s="3173">
        <f>+DX29-DY29</f>
        <v>-1045753.2800000003</v>
      </c>
      <c r="EA29" s="3194">
        <v>4713050</v>
      </c>
      <c r="EB29" s="1039">
        <f>+'Schedule H AL FANAR'!AC21</f>
        <v>12164789.029999999</v>
      </c>
      <c r="EC29" s="1039">
        <f>+EA29-EB29</f>
        <v>-7451739.0299999993</v>
      </c>
      <c r="ED29" s="3172">
        <v>4713050</v>
      </c>
      <c r="EE29" s="1037" t="s">
        <v>5192</v>
      </c>
      <c r="EF29" s="1037">
        <v>0</v>
      </c>
      <c r="EG29" s="3195">
        <v>4713050</v>
      </c>
      <c r="EH29" s="3173" t="s">
        <v>5192</v>
      </c>
      <c r="EI29" s="3173"/>
      <c r="EJ29" s="3194">
        <v>3357959.53</v>
      </c>
      <c r="EK29" s="1039" t="s">
        <v>5192</v>
      </c>
      <c r="EL29" s="1039"/>
      <c r="EM29" s="3172">
        <v>1972028</v>
      </c>
      <c r="EN29" s="1037" t="s">
        <v>5192</v>
      </c>
      <c r="EO29" s="1037">
        <v>0</v>
      </c>
      <c r="EP29" s="1027">
        <v>1972028</v>
      </c>
      <c r="EQ29" s="1027"/>
      <c r="ER29" s="1027"/>
      <c r="ES29" s="1028">
        <f t="shared" si="13"/>
        <v>1972028</v>
      </c>
      <c r="ET29" s="1021"/>
    </row>
    <row r="30" spans="1:152" ht="22.5" customHeight="1">
      <c r="A30" s="4005">
        <f>+'Schedule H'!C39</f>
        <v>2240377</v>
      </c>
      <c r="B30" s="1023" t="s">
        <v>2965</v>
      </c>
      <c r="C30" s="1023"/>
      <c r="D30" s="1022"/>
      <c r="E30" s="1022" t="s">
        <v>472</v>
      </c>
      <c r="F30" s="1022" t="s">
        <v>1811</v>
      </c>
      <c r="G30" s="1022">
        <v>1</v>
      </c>
      <c r="H30" s="1040"/>
      <c r="I30" s="1040"/>
      <c r="J30" s="1040"/>
      <c r="K30" s="3193"/>
      <c r="L30" s="3193"/>
      <c r="M30" s="3193"/>
      <c r="N30" s="3194"/>
      <c r="O30" s="3194"/>
      <c r="P30" s="3194"/>
      <c r="Q30" s="1040"/>
      <c r="R30" s="1040"/>
      <c r="S30" s="1040"/>
      <c r="T30" s="3193"/>
      <c r="U30" s="3193"/>
      <c r="V30" s="3193"/>
      <c r="W30" s="3194"/>
      <c r="X30" s="3194"/>
      <c r="Y30" s="3194"/>
      <c r="Z30" s="1040"/>
      <c r="AA30" s="1040"/>
      <c r="AB30" s="1040"/>
      <c r="AC30" s="3193"/>
      <c r="AD30" s="3193"/>
      <c r="AE30" s="3193"/>
      <c r="AF30" s="3194"/>
      <c r="AG30" s="3194"/>
      <c r="AH30" s="3194"/>
      <c r="AI30" s="1040"/>
      <c r="AJ30" s="1040"/>
      <c r="AK30" s="1040"/>
      <c r="AL30" s="3193"/>
      <c r="AM30" s="3193"/>
      <c r="AN30" s="3193"/>
      <c r="AO30" s="3194"/>
      <c r="AP30" s="3194"/>
      <c r="AQ30" s="3194"/>
      <c r="AR30" s="1040"/>
      <c r="AS30" s="1040"/>
      <c r="AT30" s="1040"/>
      <c r="AU30" s="3193"/>
      <c r="AV30" s="3193"/>
      <c r="AW30" s="3193"/>
      <c r="AX30" s="3194"/>
      <c r="AY30" s="3194"/>
      <c r="AZ30" s="3194"/>
      <c r="BA30" s="3172"/>
      <c r="BB30" s="1040"/>
      <c r="BC30" s="1040"/>
      <c r="BD30" s="3195"/>
      <c r="BE30" s="3195"/>
      <c r="BF30" s="3195"/>
      <c r="BG30" s="3194"/>
      <c r="BH30" s="3194"/>
      <c r="BI30" s="3194"/>
      <c r="BJ30" s="3172"/>
      <c r="BK30" s="1040"/>
      <c r="BL30" s="1040"/>
      <c r="BM30" s="3195"/>
      <c r="BN30" s="3195"/>
      <c r="BO30" s="3195"/>
      <c r="BP30" s="3194"/>
      <c r="BQ30" s="3194"/>
      <c r="BR30" s="1039"/>
      <c r="BS30" s="3172"/>
      <c r="BT30" s="1037"/>
      <c r="BU30" s="1037"/>
      <c r="BV30" s="3195"/>
      <c r="BW30" s="3195"/>
      <c r="BX30" s="3173"/>
      <c r="BY30" s="3194"/>
      <c r="BZ30" s="1039"/>
      <c r="CA30" s="1039"/>
      <c r="CB30" s="3172"/>
      <c r="CC30" s="1037"/>
      <c r="CD30" s="1037"/>
      <c r="CE30" s="3195"/>
      <c r="CF30" s="3173"/>
      <c r="CG30" s="3173"/>
      <c r="CH30" s="3194"/>
      <c r="CI30" s="1039"/>
      <c r="CJ30" s="1039"/>
      <c r="CK30" s="3172"/>
      <c r="CL30" s="1037"/>
      <c r="CM30" s="1037"/>
      <c r="CN30" s="3195"/>
      <c r="CO30" s="3173"/>
      <c r="CP30" s="3173"/>
      <c r="CQ30" s="3194"/>
      <c r="CR30" s="1039"/>
      <c r="CS30" s="1039"/>
      <c r="CT30" s="3172"/>
      <c r="CU30" s="1037"/>
      <c r="CV30" s="1037"/>
      <c r="CW30" s="3195"/>
      <c r="CX30" s="3173"/>
      <c r="CY30" s="3173"/>
      <c r="CZ30" s="3194">
        <v>165000</v>
      </c>
      <c r="DA30" s="1039">
        <v>0</v>
      </c>
      <c r="DB30" s="1039">
        <f>+CZ30-DA30</f>
        <v>165000</v>
      </c>
      <c r="DC30" s="3172">
        <v>198125</v>
      </c>
      <c r="DD30" s="1037">
        <v>0</v>
      </c>
      <c r="DE30" s="1037">
        <f>+DC30-DD30</f>
        <v>198125</v>
      </c>
      <c r="DF30" s="3195">
        <v>211875</v>
      </c>
      <c r="DG30" s="3173"/>
      <c r="DH30" s="3173"/>
      <c r="DI30" s="3194">
        <v>243500</v>
      </c>
      <c r="DJ30" s="1039">
        <f>+'Schedule H CML'!AC15+'Schedule H CML'!AC14</f>
        <v>310545</v>
      </c>
      <c r="DK30" s="1039">
        <f t="shared" si="19"/>
        <v>-67045</v>
      </c>
      <c r="DL30" s="3172">
        <v>244700</v>
      </c>
      <c r="DM30" s="1037">
        <f>+'Schedule H CML'!AC17+'Schedule H CML'!AC16</f>
        <v>376119.79000000004</v>
      </c>
      <c r="DN30" s="1037">
        <f>+DL30-DM30</f>
        <v>-131419.79000000004</v>
      </c>
      <c r="DO30" s="3195">
        <v>243500</v>
      </c>
      <c r="DP30" s="3173">
        <f>+'Schedule H CML'!AC18+'Schedule H CML'!AC19</f>
        <v>476057.5</v>
      </c>
      <c r="DQ30" s="3173">
        <f>+DO30-DP30</f>
        <v>-232557.5</v>
      </c>
      <c r="DR30" s="3194">
        <v>241021.25</v>
      </c>
      <c r="DS30" s="1039">
        <f>+'Schedule H CML'!AC20</f>
        <v>232745</v>
      </c>
      <c r="DT30" s="1039">
        <f t="shared" si="22"/>
        <v>8276.25</v>
      </c>
      <c r="DU30" s="3172">
        <v>229311.5</v>
      </c>
      <c r="DV30" s="1037">
        <v>0</v>
      </c>
      <c r="DW30" s="1037">
        <f t="shared" si="23"/>
        <v>229311.5</v>
      </c>
      <c r="DX30" s="3195">
        <v>243500</v>
      </c>
      <c r="DY30" s="3173">
        <v>0</v>
      </c>
      <c r="DZ30" s="3173">
        <f>+DX30-DY30</f>
        <v>243500</v>
      </c>
      <c r="EA30" s="3194">
        <v>243500</v>
      </c>
      <c r="EB30" s="1039" t="s">
        <v>5192</v>
      </c>
      <c r="EC30" s="1039">
        <v>0</v>
      </c>
      <c r="ED30" s="3172">
        <v>243500</v>
      </c>
      <c r="EE30" s="1037" t="s">
        <v>5192</v>
      </c>
      <c r="EF30" s="1037">
        <v>0</v>
      </c>
      <c r="EG30" s="3195">
        <v>243500</v>
      </c>
      <c r="EH30" s="3173" t="s">
        <v>5192</v>
      </c>
      <c r="EI30" s="3173"/>
      <c r="EJ30" s="3194">
        <v>239333.33</v>
      </c>
      <c r="EK30" s="1039" t="s">
        <v>5192</v>
      </c>
      <c r="EL30" s="1039">
        <v>0</v>
      </c>
      <c r="EM30" s="3172">
        <v>244700</v>
      </c>
      <c r="EN30" s="1037" t="s">
        <v>5192</v>
      </c>
      <c r="EO30" s="1037">
        <v>0</v>
      </c>
      <c r="EP30" s="1027">
        <v>241100</v>
      </c>
      <c r="EQ30" s="1027">
        <v>164253.85</v>
      </c>
      <c r="ER30" s="1027">
        <v>143225</v>
      </c>
      <c r="ES30" s="1028">
        <f t="shared" si="13"/>
        <v>548578.85</v>
      </c>
      <c r="ET30" s="1021"/>
    </row>
    <row r="31" spans="1:152" ht="22.5" customHeight="1">
      <c r="A31" s="4005">
        <v>2240357</v>
      </c>
      <c r="B31" s="1023" t="s">
        <v>3614</v>
      </c>
      <c r="C31" s="1023"/>
      <c r="D31" s="1022"/>
      <c r="E31" s="1022" t="s">
        <v>472</v>
      </c>
      <c r="F31" s="1022" t="s">
        <v>1811</v>
      </c>
      <c r="G31" s="1022">
        <v>1</v>
      </c>
      <c r="H31" s="1040"/>
      <c r="I31" s="1040"/>
      <c r="J31" s="1040"/>
      <c r="K31" s="3193"/>
      <c r="L31" s="3193"/>
      <c r="M31" s="3193"/>
      <c r="N31" s="3194"/>
      <c r="O31" s="3194"/>
      <c r="P31" s="3194"/>
      <c r="Q31" s="1040"/>
      <c r="R31" s="1040"/>
      <c r="S31" s="1040"/>
      <c r="T31" s="3193"/>
      <c r="U31" s="3193"/>
      <c r="V31" s="3193"/>
      <c r="W31" s="3194"/>
      <c r="X31" s="3194"/>
      <c r="Y31" s="3194"/>
      <c r="Z31" s="1040"/>
      <c r="AA31" s="1040"/>
      <c r="AB31" s="1040"/>
      <c r="AC31" s="3193"/>
      <c r="AD31" s="3193"/>
      <c r="AE31" s="3193"/>
      <c r="AF31" s="3194"/>
      <c r="AG31" s="3194"/>
      <c r="AH31" s="3194"/>
      <c r="AI31" s="1040"/>
      <c r="AJ31" s="1040"/>
      <c r="AK31" s="1040"/>
      <c r="AL31" s="3193"/>
      <c r="AM31" s="3193"/>
      <c r="AN31" s="3193"/>
      <c r="AO31" s="3194"/>
      <c r="AP31" s="3194"/>
      <c r="AQ31" s="3194"/>
      <c r="AR31" s="1040"/>
      <c r="AS31" s="1040"/>
      <c r="AT31" s="1040"/>
      <c r="AU31" s="3193"/>
      <c r="AV31" s="3193"/>
      <c r="AW31" s="3193"/>
      <c r="AX31" s="3194"/>
      <c r="AY31" s="3194"/>
      <c r="AZ31" s="3194"/>
      <c r="BA31" s="3172"/>
      <c r="BB31" s="1040"/>
      <c r="BC31" s="1040"/>
      <c r="BD31" s="3195"/>
      <c r="BE31" s="3195"/>
      <c r="BF31" s="3195"/>
      <c r="BG31" s="3194"/>
      <c r="BH31" s="3194"/>
      <c r="BI31" s="3194"/>
      <c r="BJ31" s="3172"/>
      <c r="BK31" s="1040"/>
      <c r="BL31" s="1040"/>
      <c r="BM31" s="3195"/>
      <c r="BN31" s="3195"/>
      <c r="BO31" s="3195"/>
      <c r="BP31" s="3194"/>
      <c r="BQ31" s="3194"/>
      <c r="BR31" s="1039"/>
      <c r="BS31" s="3172"/>
      <c r="BT31" s="1037"/>
      <c r="BU31" s="1037"/>
      <c r="BV31" s="3195"/>
      <c r="BW31" s="3195"/>
      <c r="BX31" s="3173"/>
      <c r="BY31" s="3194"/>
      <c r="BZ31" s="1039"/>
      <c r="CA31" s="1039"/>
      <c r="CB31" s="3172"/>
      <c r="CC31" s="1037"/>
      <c r="CD31" s="1037"/>
      <c r="CE31" s="3195"/>
      <c r="CF31" s="3173"/>
      <c r="CG31" s="3173"/>
      <c r="CH31" s="3194"/>
      <c r="CI31" s="1039"/>
      <c r="CJ31" s="1039"/>
      <c r="CK31" s="3172"/>
      <c r="CL31" s="1037"/>
      <c r="CM31" s="1037"/>
      <c r="CN31" s="3195"/>
      <c r="CO31" s="3173"/>
      <c r="CP31" s="3173"/>
      <c r="CQ31" s="3194"/>
      <c r="CR31" s="1039"/>
      <c r="CS31" s="1039"/>
      <c r="CT31" s="3172"/>
      <c r="CU31" s="1037"/>
      <c r="CV31" s="1037"/>
      <c r="CW31" s="3195"/>
      <c r="CX31" s="3173"/>
      <c r="CY31" s="3173"/>
      <c r="CZ31" s="3194">
        <v>14950.1</v>
      </c>
      <c r="DA31" s="1039">
        <v>0</v>
      </c>
      <c r="DB31" s="1039">
        <f>+CZ31-DA31</f>
        <v>14950.1</v>
      </c>
      <c r="DC31" s="3172">
        <v>14950.1</v>
      </c>
      <c r="DD31" s="1037">
        <v>0</v>
      </c>
      <c r="DE31" s="1037">
        <f>+DC31-DD31</f>
        <v>14950.1</v>
      </c>
      <c r="DF31" s="3195">
        <v>14950.1</v>
      </c>
      <c r="DG31" s="3173"/>
      <c r="DH31" s="3173"/>
      <c r="DI31" s="3194">
        <v>14950.1</v>
      </c>
      <c r="DJ31" s="1039">
        <f>+'Schedule H EURO'!AC14+'Schedule H EURO'!AC15</f>
        <v>54739.360000000001</v>
      </c>
      <c r="DK31" s="1039">
        <f t="shared" si="19"/>
        <v>-39789.26</v>
      </c>
      <c r="DL31" s="3172">
        <v>14950.1</v>
      </c>
      <c r="DM31" s="1037">
        <v>0</v>
      </c>
      <c r="DN31" s="1037">
        <f>+DL31-DM31</f>
        <v>14950.1</v>
      </c>
      <c r="DO31" s="3195">
        <v>29900.2</v>
      </c>
      <c r="DP31" s="3173">
        <f>+'Schedule H EURO'!AC16</f>
        <v>9261.06</v>
      </c>
      <c r="DQ31" s="3173">
        <f>+DO31-DP31</f>
        <v>20639.14</v>
      </c>
      <c r="DR31" s="3194">
        <v>14950.1</v>
      </c>
      <c r="DS31" s="1039">
        <v>0</v>
      </c>
      <c r="DT31" s="1039">
        <f t="shared" si="22"/>
        <v>14950.1</v>
      </c>
      <c r="DU31" s="3172">
        <v>14950.1</v>
      </c>
      <c r="DV31" s="1037">
        <v>0</v>
      </c>
      <c r="DW31" s="1037">
        <f t="shared" si="23"/>
        <v>14950.1</v>
      </c>
      <c r="DX31" s="3195">
        <v>14950.1</v>
      </c>
      <c r="DY31" s="3173">
        <f>+'Schedule H EURO'!U17</f>
        <v>20413.580000000002</v>
      </c>
      <c r="DZ31" s="3173">
        <f>+DX31-DY31</f>
        <v>-5463.4800000000014</v>
      </c>
      <c r="EA31" s="3194">
        <v>14950.1</v>
      </c>
      <c r="EB31" s="1039" t="s">
        <v>5192</v>
      </c>
      <c r="EC31" s="1039">
        <v>0</v>
      </c>
      <c r="ED31" s="3172">
        <v>14950.1</v>
      </c>
      <c r="EE31" s="1037" t="s">
        <v>5192</v>
      </c>
      <c r="EF31" s="1037">
        <v>0</v>
      </c>
      <c r="EG31" s="3195">
        <v>14950.1</v>
      </c>
      <c r="EH31" s="3173" t="s">
        <v>5192</v>
      </c>
      <c r="EI31" s="3173"/>
      <c r="EJ31" s="3194">
        <v>15762.54</v>
      </c>
      <c r="EK31" s="1039" t="s">
        <v>5192</v>
      </c>
      <c r="EL31" s="1039">
        <v>0</v>
      </c>
      <c r="EM31" s="3172">
        <v>15762.54</v>
      </c>
      <c r="EN31" s="1037" t="s">
        <v>5192</v>
      </c>
      <c r="EO31" s="1037">
        <v>0</v>
      </c>
      <c r="EP31" s="1027">
        <v>15762.54</v>
      </c>
      <c r="EQ31" s="1027">
        <v>0</v>
      </c>
      <c r="ER31" s="1027"/>
      <c r="ES31" s="1028">
        <f t="shared" si="13"/>
        <v>15762.54</v>
      </c>
      <c r="ET31" s="1021"/>
    </row>
    <row r="32" spans="1:152" ht="22.5" customHeight="1">
      <c r="A32" s="4005">
        <v>2250063</v>
      </c>
      <c r="B32" s="1023" t="s">
        <v>4499</v>
      </c>
      <c r="C32" s="4264"/>
      <c r="D32" s="4265"/>
      <c r="E32" s="1022" t="s">
        <v>472</v>
      </c>
      <c r="F32" s="1022" t="s">
        <v>1811</v>
      </c>
      <c r="G32" s="1022">
        <v>1</v>
      </c>
      <c r="H32" s="1040"/>
      <c r="I32" s="1040"/>
      <c r="J32" s="1040"/>
      <c r="K32" s="3193"/>
      <c r="L32" s="3193"/>
      <c r="M32" s="3193"/>
      <c r="N32" s="3194"/>
      <c r="O32" s="3194"/>
      <c r="P32" s="3194"/>
      <c r="Q32" s="1040"/>
      <c r="R32" s="1040"/>
      <c r="S32" s="1040"/>
      <c r="T32" s="3193"/>
      <c r="U32" s="3193"/>
      <c r="V32" s="3193"/>
      <c r="W32" s="3194"/>
      <c r="X32" s="3194"/>
      <c r="Y32" s="3194"/>
      <c r="Z32" s="1040"/>
      <c r="AA32" s="1040"/>
      <c r="AB32" s="1040"/>
      <c r="AC32" s="3193"/>
      <c r="AD32" s="3193"/>
      <c r="AE32" s="3193"/>
      <c r="AF32" s="3194"/>
      <c r="AG32" s="3194"/>
      <c r="AH32" s="3194"/>
      <c r="AI32" s="1040"/>
      <c r="AJ32" s="1040"/>
      <c r="AK32" s="1040"/>
      <c r="AL32" s="3193"/>
      <c r="AM32" s="3193"/>
      <c r="AN32" s="3193"/>
      <c r="AO32" s="3194"/>
      <c r="AP32" s="3194"/>
      <c r="AQ32" s="3194"/>
      <c r="AR32" s="1040"/>
      <c r="AS32" s="1040"/>
      <c r="AT32" s="1040"/>
      <c r="AU32" s="3193"/>
      <c r="AV32" s="3193"/>
      <c r="AW32" s="3193"/>
      <c r="AX32" s="3194"/>
      <c r="AY32" s="3194"/>
      <c r="AZ32" s="3194"/>
      <c r="BA32" s="3172"/>
      <c r="BB32" s="1040"/>
      <c r="BC32" s="1040"/>
      <c r="BD32" s="3195"/>
      <c r="BE32" s="3195"/>
      <c r="BF32" s="3195"/>
      <c r="BG32" s="3194"/>
      <c r="BH32" s="3194"/>
      <c r="BI32" s="3194"/>
      <c r="BJ32" s="3172"/>
      <c r="BK32" s="1040"/>
      <c r="BL32" s="1040"/>
      <c r="BM32" s="3195"/>
      <c r="BN32" s="3195"/>
      <c r="BO32" s="3195"/>
      <c r="BP32" s="3194"/>
      <c r="BQ32" s="3194"/>
      <c r="BR32" s="1039"/>
      <c r="BS32" s="3172"/>
      <c r="BT32" s="1037"/>
      <c r="BU32" s="1037"/>
      <c r="BV32" s="3195"/>
      <c r="BW32" s="3195"/>
      <c r="BX32" s="3173"/>
      <c r="BY32" s="3194"/>
      <c r="BZ32" s="1039"/>
      <c r="CA32" s="1039"/>
      <c r="CB32" s="3172"/>
      <c r="CC32" s="1037"/>
      <c r="CD32" s="1037"/>
      <c r="CE32" s="3195"/>
      <c r="CF32" s="3173"/>
      <c r="CG32" s="3173"/>
      <c r="CH32" s="3194"/>
      <c r="CI32" s="1039"/>
      <c r="CJ32" s="1039"/>
      <c r="CK32" s="3172"/>
      <c r="CL32" s="1037"/>
      <c r="CM32" s="1037"/>
      <c r="CN32" s="3195"/>
      <c r="CO32" s="3173"/>
      <c r="CP32" s="3173"/>
      <c r="CQ32" s="3194"/>
      <c r="CR32" s="1039"/>
      <c r="CS32" s="1039"/>
      <c r="CT32" s="3172"/>
      <c r="CU32" s="1037"/>
      <c r="CV32" s="1037"/>
      <c r="CW32" s="3195"/>
      <c r="CX32" s="3173"/>
      <c r="CY32" s="3173"/>
      <c r="CZ32" s="3194"/>
      <c r="DA32" s="1039"/>
      <c r="DB32" s="1039"/>
      <c r="DC32" s="3172"/>
      <c r="DD32" s="1037"/>
      <c r="DE32" s="1037"/>
      <c r="DF32" s="3195"/>
      <c r="DG32" s="3173"/>
      <c r="DH32" s="3173"/>
      <c r="DI32" s="3194"/>
      <c r="DJ32" s="1039"/>
      <c r="DK32" s="1039"/>
      <c r="DL32" s="3172"/>
      <c r="DM32" s="1037"/>
      <c r="DN32" s="1037"/>
      <c r="DO32" s="3195"/>
      <c r="DP32" s="3173"/>
      <c r="DQ32" s="3173"/>
      <c r="DR32" s="3194">
        <v>3000</v>
      </c>
      <c r="DS32" s="1039">
        <v>0</v>
      </c>
      <c r="DT32" s="1039"/>
      <c r="DU32" s="3172">
        <v>3000</v>
      </c>
      <c r="DV32" s="1037">
        <f>'Schedule H EURO CO027'!U15</f>
        <v>12000</v>
      </c>
      <c r="DW32" s="1037">
        <f t="shared" si="23"/>
        <v>-9000</v>
      </c>
      <c r="DX32" s="3195">
        <v>3000</v>
      </c>
      <c r="DY32" s="3173">
        <v>0</v>
      </c>
      <c r="DZ32" s="3173">
        <f>+DX32-DY32</f>
        <v>3000</v>
      </c>
      <c r="EA32" s="3194">
        <v>3000</v>
      </c>
      <c r="EB32" s="1039" t="s">
        <v>5192</v>
      </c>
      <c r="EC32" s="1039">
        <v>0</v>
      </c>
      <c r="ED32" s="3172">
        <v>3000</v>
      </c>
      <c r="EE32" s="1037" t="s">
        <v>5192</v>
      </c>
      <c r="EF32" s="1037">
        <v>0</v>
      </c>
      <c r="EG32" s="3195">
        <v>3000</v>
      </c>
      <c r="EH32" s="3173" t="s">
        <v>5192</v>
      </c>
      <c r="EI32" s="3173"/>
      <c r="EJ32" s="3194"/>
      <c r="EK32" s="1039" t="s">
        <v>5192</v>
      </c>
      <c r="EL32" s="1039">
        <v>0</v>
      </c>
      <c r="EM32" s="3172"/>
      <c r="EN32" s="1037" t="s">
        <v>5192</v>
      </c>
      <c r="EO32" s="1037">
        <v>0</v>
      </c>
      <c r="EP32" s="1027"/>
      <c r="EQ32" s="1027"/>
      <c r="ER32" s="1027"/>
      <c r="ES32" s="1028">
        <f t="shared" si="13"/>
        <v>0</v>
      </c>
      <c r="ET32" s="1021"/>
    </row>
    <row r="33" spans="1:150" ht="22.5" customHeight="1">
      <c r="A33" s="4005">
        <v>2250145</v>
      </c>
      <c r="B33" s="1023" t="s">
        <v>4500</v>
      </c>
      <c r="C33" s="4264"/>
      <c r="D33" s="4265"/>
      <c r="E33" s="1022" t="s">
        <v>494</v>
      </c>
      <c r="F33" s="1022" t="s">
        <v>1811</v>
      </c>
      <c r="G33" s="1022">
        <v>1</v>
      </c>
      <c r="H33" s="1040"/>
      <c r="I33" s="1040"/>
      <c r="J33" s="1040"/>
      <c r="K33" s="3193"/>
      <c r="L33" s="3193"/>
      <c r="M33" s="3193"/>
      <c r="N33" s="3194"/>
      <c r="O33" s="3194"/>
      <c r="P33" s="3194"/>
      <c r="Q33" s="1040"/>
      <c r="R33" s="1040"/>
      <c r="S33" s="1040"/>
      <c r="T33" s="3193"/>
      <c r="U33" s="3193"/>
      <c r="V33" s="3193"/>
      <c r="W33" s="3194"/>
      <c r="X33" s="3194"/>
      <c r="Y33" s="3194"/>
      <c r="Z33" s="1040"/>
      <c r="AA33" s="1040"/>
      <c r="AB33" s="1040"/>
      <c r="AC33" s="3193"/>
      <c r="AD33" s="3193"/>
      <c r="AE33" s="3193"/>
      <c r="AF33" s="3194"/>
      <c r="AG33" s="3194"/>
      <c r="AH33" s="3194"/>
      <c r="AI33" s="1040"/>
      <c r="AJ33" s="1040"/>
      <c r="AK33" s="1040"/>
      <c r="AL33" s="3193"/>
      <c r="AM33" s="3193"/>
      <c r="AN33" s="3193"/>
      <c r="AO33" s="3194"/>
      <c r="AP33" s="3194"/>
      <c r="AQ33" s="3194"/>
      <c r="AR33" s="1040"/>
      <c r="AS33" s="1040"/>
      <c r="AT33" s="1040"/>
      <c r="AU33" s="3193"/>
      <c r="AV33" s="3193"/>
      <c r="AW33" s="3193"/>
      <c r="AX33" s="3194"/>
      <c r="AY33" s="3194"/>
      <c r="AZ33" s="3194"/>
      <c r="BA33" s="3172"/>
      <c r="BB33" s="1040"/>
      <c r="BC33" s="1040"/>
      <c r="BD33" s="3195"/>
      <c r="BE33" s="3195"/>
      <c r="BF33" s="3195"/>
      <c r="BG33" s="3194"/>
      <c r="BH33" s="3194"/>
      <c r="BI33" s="3194"/>
      <c r="BJ33" s="3172"/>
      <c r="BK33" s="1040"/>
      <c r="BL33" s="1040"/>
      <c r="BM33" s="3195"/>
      <c r="BN33" s="3195"/>
      <c r="BO33" s="3195"/>
      <c r="BP33" s="3194"/>
      <c r="BQ33" s="3194"/>
      <c r="BR33" s="1039"/>
      <c r="BS33" s="3172"/>
      <c r="BT33" s="1037"/>
      <c r="BU33" s="1037"/>
      <c r="BV33" s="3195"/>
      <c r="BW33" s="3195"/>
      <c r="BX33" s="3173"/>
      <c r="BY33" s="3194"/>
      <c r="BZ33" s="1039"/>
      <c r="CA33" s="1039"/>
      <c r="CB33" s="3172"/>
      <c r="CC33" s="1037"/>
      <c r="CD33" s="1037"/>
      <c r="CE33" s="3195"/>
      <c r="CF33" s="3173"/>
      <c r="CG33" s="3173"/>
      <c r="CH33" s="3194"/>
      <c r="CI33" s="1039"/>
      <c r="CJ33" s="1039"/>
      <c r="CK33" s="3172"/>
      <c r="CL33" s="1037"/>
      <c r="CM33" s="1037"/>
      <c r="CN33" s="3195"/>
      <c r="CO33" s="3173"/>
      <c r="CP33" s="3173"/>
      <c r="CQ33" s="3194"/>
      <c r="CR33" s="1039"/>
      <c r="CS33" s="1039"/>
      <c r="CT33" s="3172"/>
      <c r="CU33" s="1037"/>
      <c r="CV33" s="1037"/>
      <c r="CW33" s="3195"/>
      <c r="CX33" s="3173"/>
      <c r="CY33" s="3173"/>
      <c r="CZ33" s="3194"/>
      <c r="DA33" s="1039"/>
      <c r="DB33" s="1039"/>
      <c r="DC33" s="3172"/>
      <c r="DD33" s="1037"/>
      <c r="DE33" s="1037"/>
      <c r="DF33" s="3195"/>
      <c r="DG33" s="3173"/>
      <c r="DH33" s="3173"/>
      <c r="DI33" s="3194">
        <v>0</v>
      </c>
      <c r="DJ33" s="1039">
        <v>2370708.37</v>
      </c>
      <c r="DK33" s="1039">
        <f t="shared" si="19"/>
        <v>-2370708.37</v>
      </c>
      <c r="DL33" s="3172"/>
      <c r="DM33" s="1037"/>
      <c r="DN33" s="1037"/>
      <c r="DO33" s="3195"/>
      <c r="DP33" s="3173"/>
      <c r="DQ33" s="3173"/>
      <c r="DR33" s="3194">
        <v>1639852.9427796607</v>
      </c>
      <c r="DS33" s="1039">
        <f>+'Schedule H HAM'!AC14</f>
        <v>1425959.08</v>
      </c>
      <c r="DT33" s="1039">
        <f>+DR33-DS33</f>
        <v>213893.86277966062</v>
      </c>
      <c r="DU33" s="3172">
        <v>200266.65722033897</v>
      </c>
      <c r="DV33" s="1037">
        <v>0</v>
      </c>
      <c r="DW33" s="1037">
        <f t="shared" si="23"/>
        <v>200266.65722033897</v>
      </c>
      <c r="DX33" s="3195">
        <v>200266.65722033897</v>
      </c>
      <c r="DY33" s="3173">
        <f>+'Schedule H HAM'!U14</f>
        <v>1425959.08</v>
      </c>
      <c r="DZ33" s="3173">
        <f>+DX33-DY33</f>
        <v>-1225692.4227796611</v>
      </c>
      <c r="EA33" s="3194">
        <v>200266.65722033897</v>
      </c>
      <c r="EB33" s="1039" t="s">
        <v>5192</v>
      </c>
      <c r="EC33" s="1039">
        <v>0</v>
      </c>
      <c r="ED33" s="3172">
        <v>200266.65722033897</v>
      </c>
      <c r="EE33" s="1037" t="s">
        <v>5192</v>
      </c>
      <c r="EF33" s="1037">
        <v>0</v>
      </c>
      <c r="EG33" s="3195">
        <v>200266.65722033897</v>
      </c>
      <c r="EH33" s="3173" t="s">
        <v>5192</v>
      </c>
      <c r="EI33" s="3173"/>
      <c r="EJ33" s="3194"/>
      <c r="EK33" s="1039" t="s">
        <v>5192</v>
      </c>
      <c r="EL33" s="1039">
        <v>0</v>
      </c>
      <c r="EM33" s="3172">
        <v>1321875.98</v>
      </c>
      <c r="EN33" s="1037" t="s">
        <v>5192</v>
      </c>
      <c r="EO33" s="1037">
        <v>0</v>
      </c>
      <c r="EP33" s="1027"/>
      <c r="EQ33" s="1027"/>
      <c r="ER33" s="1027"/>
      <c r="ES33" s="1028">
        <f t="shared" si="13"/>
        <v>0</v>
      </c>
      <c r="ET33" s="1021"/>
    </row>
    <row r="34" spans="1:150" ht="22.5" customHeight="1">
      <c r="A34" s="4005">
        <v>2250084</v>
      </c>
      <c r="B34" s="1023" t="s">
        <v>4501</v>
      </c>
      <c r="C34" s="4264"/>
      <c r="D34" s="4265"/>
      <c r="E34" s="1022" t="s">
        <v>494</v>
      </c>
      <c r="F34" s="1022" t="s">
        <v>1811</v>
      </c>
      <c r="G34" s="1022">
        <v>1</v>
      </c>
      <c r="H34" s="1040"/>
      <c r="I34" s="1040"/>
      <c r="J34" s="1040"/>
      <c r="K34" s="3193"/>
      <c r="L34" s="3193"/>
      <c r="M34" s="3193"/>
      <c r="N34" s="3194"/>
      <c r="O34" s="3194"/>
      <c r="P34" s="3194"/>
      <c r="Q34" s="1040"/>
      <c r="R34" s="1040"/>
      <c r="S34" s="1040"/>
      <c r="T34" s="3193"/>
      <c r="U34" s="3193"/>
      <c r="V34" s="3193"/>
      <c r="W34" s="3194"/>
      <c r="X34" s="3194"/>
      <c r="Y34" s="3194"/>
      <c r="Z34" s="1040"/>
      <c r="AA34" s="1040"/>
      <c r="AB34" s="1040"/>
      <c r="AC34" s="3193"/>
      <c r="AD34" s="3193"/>
      <c r="AE34" s="3193"/>
      <c r="AF34" s="3194"/>
      <c r="AG34" s="3194"/>
      <c r="AH34" s="3194"/>
      <c r="AI34" s="1040"/>
      <c r="AJ34" s="1040"/>
      <c r="AK34" s="1040"/>
      <c r="AL34" s="3193"/>
      <c r="AM34" s="3193"/>
      <c r="AN34" s="3193"/>
      <c r="AO34" s="3194"/>
      <c r="AP34" s="3194"/>
      <c r="AQ34" s="3194"/>
      <c r="AR34" s="1040"/>
      <c r="AS34" s="1040"/>
      <c r="AT34" s="1040"/>
      <c r="AU34" s="3193"/>
      <c r="AV34" s="3193"/>
      <c r="AW34" s="3193"/>
      <c r="AX34" s="3194"/>
      <c r="AY34" s="3194"/>
      <c r="AZ34" s="3194"/>
      <c r="BA34" s="3172"/>
      <c r="BB34" s="1040"/>
      <c r="BC34" s="1040"/>
      <c r="BD34" s="3195"/>
      <c r="BE34" s="3195"/>
      <c r="BF34" s="3195"/>
      <c r="BG34" s="3194"/>
      <c r="BH34" s="3194"/>
      <c r="BI34" s="3194"/>
      <c r="BJ34" s="3172"/>
      <c r="BK34" s="1040"/>
      <c r="BL34" s="1040"/>
      <c r="BM34" s="3195"/>
      <c r="BN34" s="3195"/>
      <c r="BO34" s="3195"/>
      <c r="BP34" s="3194"/>
      <c r="BQ34" s="3194"/>
      <c r="BR34" s="1039"/>
      <c r="BS34" s="3172"/>
      <c r="BT34" s="1037"/>
      <c r="BU34" s="1037"/>
      <c r="BV34" s="3195"/>
      <c r="BW34" s="3195"/>
      <c r="BX34" s="3173"/>
      <c r="BY34" s="3194"/>
      <c r="BZ34" s="1039"/>
      <c r="CA34" s="1039"/>
      <c r="CB34" s="3172"/>
      <c r="CC34" s="1037"/>
      <c r="CD34" s="1037"/>
      <c r="CE34" s="3195"/>
      <c r="CF34" s="3173"/>
      <c r="CG34" s="3173"/>
      <c r="CH34" s="3194"/>
      <c r="CI34" s="1039"/>
      <c r="CJ34" s="1039"/>
      <c r="CK34" s="3172"/>
      <c r="CL34" s="1037"/>
      <c r="CM34" s="1037"/>
      <c r="CN34" s="3195"/>
      <c r="CO34" s="3173"/>
      <c r="CP34" s="3173"/>
      <c r="CQ34" s="3194"/>
      <c r="CR34" s="1039"/>
      <c r="CS34" s="1039"/>
      <c r="CT34" s="3172"/>
      <c r="CU34" s="1037"/>
      <c r="CV34" s="1037"/>
      <c r="CW34" s="3195"/>
      <c r="CX34" s="3173"/>
      <c r="CY34" s="3173"/>
      <c r="CZ34" s="3194"/>
      <c r="DA34" s="1039"/>
      <c r="DB34" s="1039"/>
      <c r="DC34" s="3172"/>
      <c r="DD34" s="1037"/>
      <c r="DE34" s="1037"/>
      <c r="DF34" s="3195"/>
      <c r="DG34" s="3173"/>
      <c r="DH34" s="3173"/>
      <c r="DI34" s="3194"/>
      <c r="DJ34" s="1039"/>
      <c r="DK34" s="1039"/>
      <c r="DL34" s="3172"/>
      <c r="DM34" s="1037"/>
      <c r="DN34" s="1037"/>
      <c r="DO34" s="3195"/>
      <c r="DP34" s="3173"/>
      <c r="DQ34" s="3173"/>
      <c r="DR34" s="3194">
        <v>712995</v>
      </c>
      <c r="DS34" s="1039">
        <f>+'Schedule H ARMETAL'!AC15</f>
        <v>1693363.13</v>
      </c>
      <c r="DT34" s="1039">
        <f>+DR34-DS34</f>
        <v>-980368.12999999989</v>
      </c>
      <c r="DU34" s="3172">
        <v>712995</v>
      </c>
      <c r="DV34" s="1037">
        <v>0</v>
      </c>
      <c r="DW34" s="1037">
        <f t="shared" si="23"/>
        <v>712995</v>
      </c>
      <c r="DX34" s="3195">
        <v>1425990</v>
      </c>
      <c r="DY34" s="3173">
        <v>0</v>
      </c>
      <c r="DZ34" s="3173"/>
      <c r="EA34" s="3194">
        <v>1425990</v>
      </c>
      <c r="EB34" s="1039" t="s">
        <v>5192</v>
      </c>
      <c r="EC34" s="1039">
        <v>0</v>
      </c>
      <c r="ED34" s="3172">
        <v>1425990</v>
      </c>
      <c r="EE34" s="1037" t="s">
        <v>5192</v>
      </c>
      <c r="EF34" s="1037">
        <v>0</v>
      </c>
      <c r="EG34" s="3195">
        <v>1425990</v>
      </c>
      <c r="EH34" s="3173" t="s">
        <v>5192</v>
      </c>
      <c r="EI34" s="3173"/>
      <c r="EJ34" s="3194"/>
      <c r="EK34" s="1039" t="s">
        <v>5192</v>
      </c>
      <c r="EL34" s="1039">
        <v>0</v>
      </c>
      <c r="EM34" s="3172">
        <v>213117.15</v>
      </c>
      <c r="EN34" s="1037" t="s">
        <v>5192</v>
      </c>
      <c r="EO34" s="1037">
        <v>0</v>
      </c>
      <c r="EP34" s="1027"/>
      <c r="EQ34" s="1027"/>
      <c r="ER34" s="1027"/>
      <c r="ES34" s="1028">
        <f t="shared" si="13"/>
        <v>0</v>
      </c>
      <c r="ET34" s="1021"/>
    </row>
    <row r="35" spans="1:150" ht="31.5" customHeight="1">
      <c r="H35" s="6074" t="s">
        <v>1821</v>
      </c>
      <c r="I35" s="6074"/>
      <c r="J35" s="1041">
        <f>SUM(J12:J23)</f>
        <v>0</v>
      </c>
      <c r="K35" s="6074" t="s">
        <v>1821</v>
      </c>
      <c r="L35" s="6074"/>
      <c r="M35" s="1041">
        <f>SUM(M12:M23)</f>
        <v>-53362</v>
      </c>
      <c r="N35" s="6074" t="s">
        <v>1821</v>
      </c>
      <c r="O35" s="6074"/>
      <c r="P35" s="1041">
        <f>SUM(P12:P23)</f>
        <v>0</v>
      </c>
      <c r="Q35" s="6074" t="s">
        <v>1821</v>
      </c>
      <c r="R35" s="6074"/>
      <c r="S35" s="1041">
        <f>SUM(S12:S23)</f>
        <v>0</v>
      </c>
      <c r="T35" s="6074" t="s">
        <v>1821</v>
      </c>
      <c r="U35" s="6074"/>
      <c r="V35" s="1041">
        <f>SUM(V12:V23)</f>
        <v>0</v>
      </c>
      <c r="W35" s="6074" t="s">
        <v>1821</v>
      </c>
      <c r="X35" s="6074"/>
      <c r="Y35" s="1041">
        <f>SUM(Y12:Y23)</f>
        <v>0</v>
      </c>
      <c r="Z35" s="6074" t="s">
        <v>1821</v>
      </c>
      <c r="AA35" s="6074"/>
      <c r="AB35" s="1041">
        <f>SUM(AB11:AB23)</f>
        <v>659411.9990000003</v>
      </c>
      <c r="AC35" s="6074" t="s">
        <v>1821</v>
      </c>
      <c r="AD35" s="6074"/>
      <c r="AE35" s="1041">
        <f>SUM(AE11:AE23)</f>
        <v>-17099.999999999069</v>
      </c>
      <c r="AF35" s="6074" t="s">
        <v>1821</v>
      </c>
      <c r="AG35" s="6074"/>
      <c r="AH35" s="1041">
        <f>SUM(AH11:AH23)</f>
        <v>97675.159999999509</v>
      </c>
      <c r="AI35" s="6074" t="s">
        <v>1821</v>
      </c>
      <c r="AJ35" s="6074"/>
      <c r="AK35" s="1041">
        <f>SUM(AK11:AK23)</f>
        <v>0</v>
      </c>
      <c r="AL35" s="6074" t="s">
        <v>1821</v>
      </c>
      <c r="AM35" s="6074"/>
      <c r="AN35" s="1041">
        <f>SUM(AN11:AN23)</f>
        <v>23495820.600000001</v>
      </c>
      <c r="AO35" s="6074" t="s">
        <v>1821</v>
      </c>
      <c r="AP35" s="6074"/>
      <c r="AQ35" s="1041">
        <f>SUM(AQ11:AQ23)</f>
        <v>26441221.375</v>
      </c>
      <c r="AR35" s="6074" t="s">
        <v>1821</v>
      </c>
      <c r="AS35" s="6074"/>
      <c r="AT35" s="1041">
        <f>SUM(AT11:AT23)</f>
        <v>1370819.4410000001</v>
      </c>
      <c r="AU35" s="6074" t="s">
        <v>1821</v>
      </c>
      <c r="AV35" s="6074"/>
      <c r="AW35" s="1041">
        <f>SUM(AW11:AW23)</f>
        <v>-249405.14999999997</v>
      </c>
      <c r="AX35" s="6074" t="s">
        <v>1821</v>
      </c>
      <c r="AY35" s="6074"/>
      <c r="AZ35" s="1041">
        <f>SUM(AZ11:AZ23)</f>
        <v>5516800.5889999997</v>
      </c>
      <c r="BA35" s="6074" t="s">
        <v>1821</v>
      </c>
      <c r="BB35" s="6074"/>
      <c r="BC35" s="1041">
        <f>SUM(BC11:BC23)</f>
        <v>-8585856.839999998</v>
      </c>
      <c r="BD35" s="6074" t="s">
        <v>1821</v>
      </c>
      <c r="BE35" s="6074"/>
      <c r="BF35" s="1041">
        <f>SUM(BF11:BF23)</f>
        <v>5679479.8374999994</v>
      </c>
      <c r="BG35" s="6074" t="s">
        <v>1821</v>
      </c>
      <c r="BH35" s="6074"/>
      <c r="BI35" s="1041">
        <f>SUM(BI11:BI23)</f>
        <v>10388452.459999999</v>
      </c>
      <c r="BJ35" s="6074" t="s">
        <v>1821</v>
      </c>
      <c r="BK35" s="6074"/>
      <c r="BL35" s="1041">
        <f>SUM(BL11:BL23)</f>
        <v>-42528063.129241683</v>
      </c>
      <c r="BM35" s="6074" t="s">
        <v>1821</v>
      </c>
      <c r="BN35" s="6074"/>
      <c r="BO35" s="1041">
        <f>SUM(BO11:BO23)</f>
        <v>2950208.6839571185</v>
      </c>
      <c r="BP35" s="6074" t="s">
        <v>1821</v>
      </c>
      <c r="BQ35" s="6074"/>
      <c r="BR35" s="1041">
        <f>SUM(BR11:BR24)</f>
        <v>7575633.3499999996</v>
      </c>
      <c r="BS35" s="6074" t="s">
        <v>1821</v>
      </c>
      <c r="BT35" s="6074"/>
      <c r="BU35" s="1041">
        <f>SUM(BU11:BU24)</f>
        <v>5377133.0099999998</v>
      </c>
      <c r="BV35" s="6074" t="s">
        <v>1821</v>
      </c>
      <c r="BW35" s="6074"/>
      <c r="BX35" s="1041">
        <f>SUM(BX11:BX24)</f>
        <v>4609923.8500000006</v>
      </c>
      <c r="BY35" s="6074" t="s">
        <v>1821</v>
      </c>
      <c r="BZ35" s="6074"/>
      <c r="CA35" s="1041">
        <f>SUM(CA11:CA24)</f>
        <v>6725211.7999999998</v>
      </c>
      <c r="CB35" s="6074" t="s">
        <v>1821</v>
      </c>
      <c r="CC35" s="6074"/>
      <c r="CD35" s="1041">
        <f>SUM(CD11:CD24)</f>
        <v>-1426717.6349999998</v>
      </c>
      <c r="CE35" s="6074" t="s">
        <v>1821</v>
      </c>
      <c r="CF35" s="6074"/>
      <c r="CG35" s="1041">
        <f>SUM(CG11:CG24)</f>
        <v>1054406.5380000002</v>
      </c>
      <c r="CH35" s="6074" t="s">
        <v>1821</v>
      </c>
      <c r="CI35" s="6074"/>
      <c r="CJ35" s="1041">
        <f>SUM(CJ11:CJ24)</f>
        <v>-33877117.525999993</v>
      </c>
      <c r="CK35" s="6074" t="s">
        <v>1821</v>
      </c>
      <c r="CL35" s="6074"/>
      <c r="CM35" s="1041">
        <f>SUM(CM11:CM26)</f>
        <v>1546981.1421999999</v>
      </c>
      <c r="CN35" s="6074" t="s">
        <v>1821</v>
      </c>
      <c r="CO35" s="6074"/>
      <c r="CP35" s="1041">
        <f>SUM(CP11:CP26)</f>
        <v>-44679978.596300006</v>
      </c>
      <c r="CQ35" s="6074" t="s">
        <v>1821</v>
      </c>
      <c r="CR35" s="6074"/>
      <c r="CS35" s="1041">
        <f>SUM(CS11:CS26)</f>
        <v>-8508619.091</v>
      </c>
      <c r="CT35" s="6074" t="s">
        <v>1821</v>
      </c>
      <c r="CU35" s="6074"/>
      <c r="CV35" s="1041">
        <f>SUM(CV11:CV31)</f>
        <v>8998545.4699999988</v>
      </c>
      <c r="CW35" s="6074" t="s">
        <v>1821</v>
      </c>
      <c r="CX35" s="6074"/>
      <c r="CY35" s="1041">
        <f>SUM(CY11:CY31)</f>
        <v>-2828069.8520000004</v>
      </c>
      <c r="CZ35" s="6074" t="s">
        <v>1821</v>
      </c>
      <c r="DA35" s="6074"/>
      <c r="DB35" s="1041">
        <f>SUM(DB11:DB31)</f>
        <v>19269831.033696808</v>
      </c>
      <c r="DC35" s="6074" t="s">
        <v>1821</v>
      </c>
      <c r="DD35" s="6074"/>
      <c r="DE35" s="1041">
        <f>SUM(DE11:DE31)</f>
        <v>36120466.966200002</v>
      </c>
      <c r="DF35" s="6074" t="s">
        <v>1821</v>
      </c>
      <c r="DG35" s="6074"/>
      <c r="DH35" s="1041">
        <f>SUM(DH11:DH31)</f>
        <v>16996283.096999999</v>
      </c>
      <c r="DI35" s="6074" t="s">
        <v>1821</v>
      </c>
      <c r="DJ35" s="6074"/>
      <c r="DK35" s="1041">
        <f>SUM(DK11:DK34)</f>
        <v>-18292896.705826085</v>
      </c>
      <c r="DL35" s="6074" t="s">
        <v>1821</v>
      </c>
      <c r="DM35" s="6074"/>
      <c r="DN35" s="1041">
        <f>SUM(DN11:DN34)</f>
        <v>2086543.2630434781</v>
      </c>
      <c r="DO35" s="6074" t="s">
        <v>1821</v>
      </c>
      <c r="DP35" s="6074"/>
      <c r="DQ35" s="1041">
        <f>SUM(DQ11:DQ34)</f>
        <v>-304347.2270295663</v>
      </c>
      <c r="DR35" s="6074" t="s">
        <v>1821</v>
      </c>
      <c r="DS35" s="6074"/>
      <c r="DT35" s="1041">
        <f>SUM(DT11:DT34)</f>
        <v>-9446681.2559519336</v>
      </c>
      <c r="DU35" s="6074" t="s">
        <v>1821</v>
      </c>
      <c r="DV35" s="6074"/>
      <c r="DW35" s="1041">
        <f>SUM(DW11:DW34)</f>
        <v>14685088.850918133</v>
      </c>
      <c r="DX35" s="6074" t="s">
        <v>1821</v>
      </c>
      <c r="DY35" s="6074"/>
      <c r="DZ35" s="1041">
        <f>SUM(DZ11:DZ34)</f>
        <v>4160067.6227550027</v>
      </c>
      <c r="EA35" s="6074" t="s">
        <v>1821</v>
      </c>
      <c r="EB35" s="6074"/>
      <c r="EC35" s="1041">
        <f>SUM(EC11:EC34)</f>
        <v>-12005077.206</v>
      </c>
      <c r="ED35" s="6074" t="s">
        <v>1821</v>
      </c>
      <c r="EE35" s="6074"/>
      <c r="EF35" s="1041">
        <f>SUM(EF11:EF34)</f>
        <v>1542800.0652173907</v>
      </c>
      <c r="EG35" s="6074" t="s">
        <v>1821</v>
      </c>
      <c r="EH35" s="6074"/>
      <c r="EI35" s="1041">
        <f>SUM(EI11:EI34)</f>
        <v>5755976.9000000004</v>
      </c>
      <c r="EJ35" s="6074" t="s">
        <v>1821</v>
      </c>
      <c r="EK35" s="6074"/>
      <c r="EL35" s="1041">
        <f>SUM(EL11:EL34)</f>
        <v>-2856041.1304347827</v>
      </c>
      <c r="EM35" s="6074" t="s">
        <v>1821</v>
      </c>
      <c r="EN35" s="6074"/>
      <c r="EO35" s="1041">
        <f>SUM(EO11:EO34)</f>
        <v>-3483605.7739130445</v>
      </c>
    </row>
    <row r="36" spans="1:150">
      <c r="CE36" s="3288"/>
      <c r="CF36" s="3288"/>
      <c r="CG36" s="3288"/>
      <c r="CH36" s="3288"/>
      <c r="CI36" s="3288"/>
      <c r="CJ36" s="3288"/>
      <c r="CK36" s="3288"/>
      <c r="CL36" s="3288"/>
      <c r="CM36" s="3288"/>
      <c r="CN36" s="3288"/>
      <c r="CO36" s="3288"/>
      <c r="CP36" s="3288"/>
      <c r="CQ36" s="3288"/>
      <c r="CR36" s="3288"/>
      <c r="CS36" s="3288"/>
      <c r="CT36" s="3288"/>
      <c r="CU36" s="3288"/>
      <c r="CV36" s="3288"/>
      <c r="CW36" s="3288"/>
      <c r="CX36" s="3288"/>
      <c r="CY36" s="3288"/>
      <c r="CZ36" s="3288"/>
      <c r="DA36" s="3288"/>
      <c r="DB36" s="3288"/>
      <c r="DC36" s="3288"/>
      <c r="DD36" s="3288"/>
      <c r="DE36" s="3288"/>
      <c r="DF36" s="3288"/>
      <c r="DG36" s="3288"/>
      <c r="DH36" s="3288"/>
      <c r="DI36" s="3288"/>
      <c r="DJ36" s="3288"/>
      <c r="DK36" s="3288"/>
      <c r="DL36" s="3288"/>
      <c r="DM36" s="3288"/>
      <c r="DN36" s="3288"/>
      <c r="DO36" s="3288"/>
      <c r="DP36" s="3288"/>
      <c r="DQ36" s="3288"/>
      <c r="DR36" s="3288"/>
      <c r="DS36" s="3288"/>
      <c r="DT36" s="3288"/>
      <c r="DU36" s="3288"/>
      <c r="DV36" s="3288"/>
      <c r="DW36" s="3288"/>
      <c r="DX36" s="3288"/>
      <c r="DY36" s="3288"/>
      <c r="DZ36" s="3288"/>
      <c r="EA36" s="3288"/>
      <c r="EB36" s="3288"/>
      <c r="EC36" s="3288"/>
      <c r="ED36" s="3288"/>
      <c r="EE36" s="3288"/>
      <c r="EF36" s="3288"/>
      <c r="EG36" s="3288"/>
      <c r="EH36" s="3288"/>
      <c r="EI36" s="3288"/>
      <c r="EJ36" s="3288"/>
      <c r="EK36" s="3288"/>
      <c r="EL36" s="3288"/>
      <c r="EM36" s="3288"/>
      <c r="EN36" s="3288"/>
      <c r="EO36" s="3288"/>
      <c r="EP36" s="3288"/>
      <c r="EQ36" s="3288"/>
      <c r="ER36" s="3288"/>
    </row>
    <row r="37" spans="1:150">
      <c r="AR37" s="2002">
        <f>SUM(AR11:AR23)</f>
        <v>1887639.64</v>
      </c>
      <c r="BA37" s="2002">
        <f>SUM(BA11:BA23)</f>
        <v>4599356.7</v>
      </c>
      <c r="BJ37" s="2002">
        <f>SUM(BJ11:BJ23)</f>
        <v>6715555.8247583201</v>
      </c>
      <c r="BM37" s="3230">
        <f>SUM(BM12:BM24)</f>
        <v>11162407.897957118</v>
      </c>
      <c r="BP37" s="3230"/>
      <c r="BQ37" s="3230"/>
      <c r="BR37" s="3230"/>
      <c r="BS37" s="2002">
        <f>SUM(BS11:BS23)</f>
        <v>5644675</v>
      </c>
      <c r="BV37" s="3230">
        <f>SUM(BV12:BV24)</f>
        <v>9588125.6999999993</v>
      </c>
      <c r="BY37" s="3230"/>
      <c r="BZ37" s="3230"/>
      <c r="CA37" s="3230"/>
      <c r="CB37" s="3230"/>
      <c r="CC37" s="3230"/>
      <c r="CD37" s="3230"/>
      <c r="CH37" s="2002">
        <f>SUM(CH11:CH24)</f>
        <v>2602618.6900000004</v>
      </c>
      <c r="CQ37" s="2002">
        <f>SUM(CQ11:CQ24)</f>
        <v>1409639.08</v>
      </c>
      <c r="CZ37" s="2002">
        <f>SUM(CZ11:CZ24)</f>
        <v>23138292.193696801</v>
      </c>
    </row>
    <row r="38" spans="1:150">
      <c r="AF38" s="2002">
        <f>SUM(AF11:AF37)</f>
        <v>409467.25</v>
      </c>
      <c r="AG38" s="2002">
        <f>SUM(AG11:AG37)</f>
        <v>311792.09000000049</v>
      </c>
      <c r="AI38" s="2002">
        <f>SUM(AI11:AI37)</f>
        <v>0</v>
      </c>
      <c r="AJ38" s="2002"/>
      <c r="AK38" s="2002"/>
      <c r="AR38" s="2002">
        <f>SUM(AR11:AR37)</f>
        <v>3775279.28</v>
      </c>
      <c r="AS38" s="2002"/>
      <c r="AT38" s="2002"/>
      <c r="AU38" s="2002"/>
      <c r="AV38" s="2002"/>
      <c r="AW38" s="2002"/>
      <c r="AX38" s="2002"/>
      <c r="AY38" s="2002"/>
      <c r="AZ38" s="2002"/>
      <c r="BA38" s="2002">
        <f>SUM(BA11:BA37)</f>
        <v>9198713.4000000004</v>
      </c>
      <c r="BB38" s="2002"/>
      <c r="BC38" s="2002"/>
      <c r="BJ38" s="2002">
        <f>SUM(BJ11:BJ37)</f>
        <v>13431111.64951664</v>
      </c>
      <c r="BK38" s="2002"/>
      <c r="BL38" s="2002"/>
      <c r="BS38" s="2002">
        <f>SUM(BS11:BS37)</f>
        <v>15739414</v>
      </c>
      <c r="BT38" s="2002"/>
      <c r="BU38" s="2002"/>
    </row>
    <row r="39" spans="1:150" ht="15">
      <c r="ET39" s="2846" t="e">
        <f>SUM(ET11:ET23)</f>
        <v>#REF!</v>
      </c>
    </row>
    <row r="40" spans="1:150">
      <c r="BD40" s="2860">
        <f>SUM(BD11:BD23)</f>
        <v>5696502.5499999998</v>
      </c>
      <c r="BE40" s="2860"/>
      <c r="BF40" s="2860"/>
      <c r="BG40" s="2860">
        <f>SUM(BG11:BG23)</f>
        <v>16068828.220000001</v>
      </c>
      <c r="BH40" s="2860"/>
      <c r="BI40" s="2860"/>
      <c r="BM40" s="2860">
        <f>SUM(BM11:BM23)</f>
        <v>11162407.897957118</v>
      </c>
      <c r="BN40" s="2860"/>
      <c r="BO40" s="2860"/>
      <c r="BP40" s="2860"/>
      <c r="BQ40" s="2860"/>
      <c r="BR40" s="2860"/>
      <c r="BV40" s="2860">
        <f>SUM(BV11:BV23)</f>
        <v>5589665.7000000002</v>
      </c>
      <c r="BW40" s="2860"/>
      <c r="BX40" s="2860"/>
      <c r="BY40" s="2860"/>
      <c r="BZ40" s="2860"/>
      <c r="CA40" s="2860"/>
      <c r="CB40" s="2860"/>
      <c r="CC40" s="2860"/>
      <c r="CD40" s="2860"/>
      <c r="CE40" s="2860"/>
      <c r="CF40" s="2860"/>
      <c r="CG40" s="2860"/>
      <c r="CH40" s="2860"/>
      <c r="CI40" s="2860"/>
      <c r="CJ40" s="2860"/>
      <c r="CK40" s="2860"/>
      <c r="CL40" s="2860"/>
      <c r="CM40" s="2860"/>
      <c r="CN40" s="2860"/>
      <c r="CO40" s="2860"/>
      <c r="CP40" s="2860"/>
      <c r="CQ40" s="2860"/>
      <c r="CR40" s="2860"/>
      <c r="CS40" s="2860"/>
      <c r="CT40" s="2860"/>
      <c r="CU40" s="2860"/>
      <c r="CV40" s="2860"/>
      <c r="CW40" s="2860"/>
      <c r="CX40" s="2860"/>
      <c r="CY40" s="2860"/>
      <c r="CZ40" s="2860"/>
      <c r="DA40" s="2860"/>
      <c r="DB40" s="2860"/>
      <c r="DC40" s="2860"/>
      <c r="DD40" s="2860"/>
      <c r="DE40" s="2860"/>
      <c r="DF40" s="2860"/>
      <c r="DG40" s="2860"/>
      <c r="DH40" s="2860"/>
      <c r="DI40" s="2860"/>
      <c r="DJ40" s="2860"/>
      <c r="DK40" s="2860"/>
      <c r="DL40" s="2860"/>
      <c r="DM40" s="2860"/>
      <c r="DN40" s="2860"/>
      <c r="DO40" s="2860"/>
      <c r="DP40" s="2860"/>
      <c r="DQ40" s="2860"/>
      <c r="DR40" s="2860"/>
      <c r="DS40" s="2860"/>
      <c r="DT40" s="2860"/>
      <c r="DU40" s="2860"/>
      <c r="DV40" s="2860"/>
      <c r="DW40" s="2860"/>
      <c r="DX40" s="2860"/>
      <c r="DY40" s="2860"/>
      <c r="DZ40" s="2860"/>
      <c r="EA40" s="2860"/>
      <c r="EB40" s="2860"/>
      <c r="EC40" s="2860"/>
      <c r="ED40" s="2860"/>
      <c r="EE40" s="2860"/>
      <c r="EF40" s="2860"/>
      <c r="EG40" s="2860"/>
      <c r="EH40" s="2860"/>
      <c r="EI40" s="2860"/>
      <c r="EJ40" s="2860"/>
      <c r="EK40" s="2860"/>
      <c r="EL40" s="2860"/>
      <c r="EM40" s="2860"/>
      <c r="EN40" s="2860"/>
      <c r="EO40" s="2860"/>
      <c r="EP40" s="2860"/>
      <c r="EQ40" s="2860"/>
      <c r="ER40" s="2860"/>
      <c r="ET40" s="1021" t="e">
        <f>ET39-#REF!</f>
        <v>#REF!</v>
      </c>
    </row>
    <row r="44" spans="1:150">
      <c r="AD44" s="1003">
        <v>659411.9990000003</v>
      </c>
      <c r="AE44" s="1003">
        <v>-17100</v>
      </c>
      <c r="AF44" s="1003">
        <v>311792.09000000049</v>
      </c>
      <c r="AG44" s="1003">
        <v>838512.55200000003</v>
      </c>
    </row>
  </sheetData>
  <autoFilter ref="A10:ES17" xr:uid="{0D03FF9E-D43D-440D-BB3D-514E3DECCF04}"/>
  <mergeCells count="46">
    <mergeCell ref="EM35:EN35"/>
    <mergeCell ref="DR35:DS35"/>
    <mergeCell ref="DO35:DP35"/>
    <mergeCell ref="CT35:CU35"/>
    <mergeCell ref="CN35:CO35"/>
    <mergeCell ref="DI35:DJ35"/>
    <mergeCell ref="DX35:DY35"/>
    <mergeCell ref="DU35:DV35"/>
    <mergeCell ref="DF35:DG35"/>
    <mergeCell ref="CK35:CL35"/>
    <mergeCell ref="CW35:CX35"/>
    <mergeCell ref="DC35:DD35"/>
    <mergeCell ref="W35:X35"/>
    <mergeCell ref="AL35:AM35"/>
    <mergeCell ref="AI35:AJ35"/>
    <mergeCell ref="AF35:AG35"/>
    <mergeCell ref="AC35:AD35"/>
    <mergeCell ref="Z35:AA35"/>
    <mergeCell ref="AO35:AP35"/>
    <mergeCell ref="AX35:AY35"/>
    <mergeCell ref="AU35:AV35"/>
    <mergeCell ref="BD35:BE35"/>
    <mergeCell ref="BA35:BB35"/>
    <mergeCell ref="AR35:AS35"/>
    <mergeCell ref="BS35:BT35"/>
    <mergeCell ref="H35:I35"/>
    <mergeCell ref="K35:L35"/>
    <mergeCell ref="N35:O35"/>
    <mergeCell ref="Q35:R35"/>
    <mergeCell ref="T35:U35"/>
    <mergeCell ref="BM35:BN35"/>
    <mergeCell ref="BJ35:BK35"/>
    <mergeCell ref="BG35:BH35"/>
    <mergeCell ref="BP35:BQ35"/>
    <mergeCell ref="EJ35:EK35"/>
    <mergeCell ref="EG35:EH35"/>
    <mergeCell ref="ED35:EE35"/>
    <mergeCell ref="BV35:BW35"/>
    <mergeCell ref="BY35:BZ35"/>
    <mergeCell ref="CQ35:CR35"/>
    <mergeCell ref="CZ35:DA35"/>
    <mergeCell ref="CB35:CC35"/>
    <mergeCell ref="EA35:EB35"/>
    <mergeCell ref="CH35:CI35"/>
    <mergeCell ref="CE35:CF35"/>
    <mergeCell ref="DL35:DM35"/>
  </mergeCells>
  <phoneticPr fontId="347" type="noConversion"/>
  <conditionalFormatting sqref="A11">
    <cfRule type="duplicateValues" dxfId="10" priority="4"/>
  </conditionalFormatting>
  <conditionalFormatting sqref="A12">
    <cfRule type="duplicateValues" dxfId="9" priority="1247"/>
  </conditionalFormatting>
  <conditionalFormatting sqref="A13">
    <cfRule type="duplicateValues" dxfId="8" priority="3"/>
  </conditionalFormatting>
  <conditionalFormatting sqref="A14">
    <cfRule type="duplicateValues" dxfId="7" priority="1"/>
  </conditionalFormatting>
  <conditionalFormatting sqref="A15">
    <cfRule type="duplicateValues" dxfId="6" priority="2"/>
  </conditionalFormatting>
  <conditionalFormatting sqref="A16">
    <cfRule type="duplicateValues" dxfId="5" priority="9"/>
  </conditionalFormatting>
  <conditionalFormatting sqref="A17:A22">
    <cfRule type="duplicateValues" dxfId="4" priority="5"/>
  </conditionalFormatting>
  <conditionalFormatting sqref="A23:A34">
    <cfRule type="duplicateValues" dxfId="3" priority="1451"/>
  </conditionalFormatting>
  <printOptions horizontalCentered="1"/>
  <pageMargins left="0.25" right="0.25" top="0.75" bottom="0.75" header="0.3" footer="0.3"/>
  <pageSetup paperSize="8" scale="65" fitToHeight="2" orientation="landscape" r:id="rId1"/>
  <headerFooter>
    <oddHeader>&amp;C&amp;"Calibri,Bold"&amp;18MONTHLY REPORT - CASH FLOW FORECAST TRACKER</oddHeader>
    <oddFooter>&amp;L1TB.01.003.01 - AYC 
MARCH'26 REPORT&amp;C&amp;A&amp;RPage &amp;P of &amp;N</oddFooter>
  </headerFooter>
  <colBreaks count="1" manualBreakCount="1">
    <brk id="7" max="14" man="1"/>
  </colBreaks>
  <legacy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08F66-6266-48BC-B9DB-FCF77A073FEA}">
  <sheetPr codeName="Sheet25">
    <tabColor theme="7" tint="0.39997558519241921"/>
  </sheetPr>
  <dimension ref="A1:N38"/>
  <sheetViews>
    <sheetView view="pageBreakPreview" zoomScale="80" zoomScaleSheetLayoutView="80" workbookViewId="0">
      <selection activeCell="F37" sqref="F37"/>
    </sheetView>
  </sheetViews>
  <sheetFormatPr defaultColWidth="8.85546875" defaultRowHeight="12.75"/>
  <cols>
    <col min="1" max="1" width="9.5703125" style="7" customWidth="1"/>
    <col min="2" max="2" width="47" style="6" customWidth="1"/>
    <col min="3" max="7" width="26.85546875" style="6" customWidth="1"/>
    <col min="8" max="8" width="43.85546875" style="6" customWidth="1"/>
    <col min="9" max="9" width="69" style="7" customWidth="1"/>
    <col min="10" max="10" width="27" style="7" customWidth="1"/>
    <col min="11" max="11" width="21.5703125" style="7" customWidth="1"/>
    <col min="12" max="12" width="24.85546875" style="7" bestFit="1" customWidth="1"/>
    <col min="13" max="13" width="8.85546875" style="7"/>
    <col min="14" max="14" width="30.85546875" style="7" customWidth="1"/>
    <col min="15" max="16384" width="8.85546875" style="7"/>
  </cols>
  <sheetData>
    <row r="1" spans="1:12" ht="9.75" customHeight="1"/>
    <row r="2" spans="1:12">
      <c r="A2" s="9" t="str">
        <f>'Data Input'!A1&amp;" - "&amp;'Data Input'!B1</f>
        <v>PROGRAMME: - MARINA VILLAGE (PROGRAMME 1_TRIPLE BAY)</v>
      </c>
    </row>
    <row r="3" spans="1:12">
      <c r="A3" s="9" t="str">
        <f>'Data Input'!A2&amp;" - "&amp;'Data Input'!B2</f>
        <v>PROGRAMME CODE: - 1TB01003</v>
      </c>
    </row>
    <row r="4" spans="1:12">
      <c r="A4" s="9" t="str">
        <f>'Data Input'!A3&amp;" - "&amp;'Data Input'!B3</f>
        <v>ASSET NAME: - AMAALA YACHT CLUB</v>
      </c>
    </row>
    <row r="5" spans="1:12" s="1042" customFormat="1" ht="15">
      <c r="A5" s="9" t="str">
        <f>'Data Input'!A4&amp;" - "&amp;'Data Input'!B4</f>
        <v>ASSET CODE: - 1TB01003.01</v>
      </c>
      <c r="B5" s="2193"/>
      <c r="C5" s="1043"/>
      <c r="D5" s="1043"/>
      <c r="E5" s="2200"/>
      <c r="F5" s="6075" t="s">
        <v>1865</v>
      </c>
      <c r="G5" s="2200"/>
      <c r="H5" s="1044"/>
      <c r="I5" s="2193"/>
      <c r="J5" s="2193"/>
    </row>
    <row r="6" spans="1:12" s="1042" customFormat="1" ht="15">
      <c r="A6" s="9" t="str">
        <f>'Data Input'!A7&amp;" - "&amp;'Data Input'!B7</f>
        <v>REPORT NO: - MONTHLY REPORT NO. 49</v>
      </c>
      <c r="B6" s="2193"/>
      <c r="C6" s="1045"/>
      <c r="D6" s="1045"/>
      <c r="E6" s="2200"/>
      <c r="F6" s="6075"/>
      <c r="G6" s="2200"/>
      <c r="H6" s="548"/>
      <c r="I6" s="2193"/>
      <c r="J6" s="2193"/>
    </row>
    <row r="7" spans="1:12" s="1042" customFormat="1" ht="15">
      <c r="A7" s="9" t="str">
        <f>'Data Input'!A8&amp;" - "&amp;'Data Input'!B8</f>
        <v>REPORTING PERIOD: - OCTOBER 2026</v>
      </c>
      <c r="B7" s="2193"/>
      <c r="C7" s="544"/>
      <c r="D7" s="544"/>
      <c r="E7" s="2200"/>
      <c r="F7" s="6075"/>
      <c r="G7" s="1370"/>
      <c r="H7" s="1370"/>
      <c r="I7" s="2193"/>
      <c r="J7" s="2193"/>
    </row>
    <row r="8" spans="1:12" s="1042" customFormat="1" ht="8.25" customHeight="1">
      <c r="A8" s="2193"/>
      <c r="B8" s="2200"/>
      <c r="C8" s="2200"/>
      <c r="D8" s="2200"/>
      <c r="E8" s="2200"/>
      <c r="F8" s="6075"/>
      <c r="G8" s="2200"/>
      <c r="H8" s="2200"/>
      <c r="I8" s="2193"/>
      <c r="J8" s="2193"/>
    </row>
    <row r="9" spans="1:12" s="1042" customFormat="1" ht="9.75" customHeight="1">
      <c r="A9" s="2193"/>
      <c r="B9" s="14"/>
      <c r="C9" s="2200"/>
      <c r="D9" s="2200"/>
      <c r="E9" s="2200"/>
      <c r="F9" s="6075"/>
      <c r="G9" s="2200"/>
      <c r="H9" s="2200"/>
      <c r="I9" s="2193"/>
      <c r="J9" s="2784">
        <v>1</v>
      </c>
    </row>
    <row r="10" spans="1:12" s="9" customFormat="1" ht="10.5" customHeight="1" thickBot="1">
      <c r="B10" s="8"/>
      <c r="C10" s="8"/>
      <c r="D10" s="8"/>
      <c r="E10" s="8"/>
      <c r="F10" s="6076"/>
      <c r="G10" s="8"/>
      <c r="H10" s="8"/>
    </row>
    <row r="11" spans="1:12" s="2961" customFormat="1" ht="33" customHeight="1" thickTop="1" thickBot="1">
      <c r="A11" s="2938" t="s">
        <v>1406</v>
      </c>
      <c r="B11" s="2956" t="s">
        <v>580</v>
      </c>
      <c r="C11" s="2957" t="s">
        <v>1866</v>
      </c>
      <c r="D11" s="2958" t="s">
        <v>458</v>
      </c>
      <c r="E11" s="2959" t="s">
        <v>1867</v>
      </c>
      <c r="F11" s="2960" t="s">
        <v>1868</v>
      </c>
      <c r="G11" s="2939" t="s">
        <v>364</v>
      </c>
      <c r="H11" s="2939" t="s">
        <v>1412</v>
      </c>
    </row>
    <row r="12" spans="1:12" s="10" customFormat="1" ht="30.75" customHeight="1">
      <c r="A12" s="1190"/>
      <c r="B12" s="2936" t="s">
        <v>1869</v>
      </c>
      <c r="C12" s="1200"/>
      <c r="D12" s="1205"/>
      <c r="E12" s="1208"/>
      <c r="F12" s="1211"/>
      <c r="G12" s="1194"/>
      <c r="H12" s="1194"/>
    </row>
    <row r="13" spans="1:12" s="10" customFormat="1" ht="36" customHeight="1">
      <c r="A13" s="1905">
        <v>1</v>
      </c>
      <c r="B13" s="1906" t="s">
        <v>1870</v>
      </c>
      <c r="C13" s="1907">
        <f>'Schedule B'!E77</f>
        <v>18698534</v>
      </c>
      <c r="D13" s="1908">
        <f>'Schedule B'!F77</f>
        <v>0</v>
      </c>
      <c r="E13" s="1909">
        <v>18698533.999999974</v>
      </c>
      <c r="F13" s="1910">
        <v>18698534</v>
      </c>
      <c r="G13" s="1911">
        <f>(F13-E13)*$J$9</f>
        <v>2.6077032089233398E-8</v>
      </c>
      <c r="H13" s="1912" t="s">
        <v>1871</v>
      </c>
      <c r="J13" s="1214">
        <f>6199291.02/(SUM(C13:C19))</f>
        <v>2.5816127854616493E-2</v>
      </c>
    </row>
    <row r="14" spans="1:12" s="10" customFormat="1" ht="80.25" customHeight="1">
      <c r="A14" s="1905">
        <v>2</v>
      </c>
      <c r="B14" s="1906" t="s">
        <v>2264</v>
      </c>
      <c r="C14" s="1907">
        <v>174247542.30000001</v>
      </c>
      <c r="D14" s="1908">
        <f>+F14-C14</f>
        <v>86707872.400000036</v>
      </c>
      <c r="E14" s="1909">
        <f>+D14+C14</f>
        <v>260955414.70000005</v>
      </c>
      <c r="F14" s="1910">
        <v>260955414.70000005</v>
      </c>
      <c r="G14" s="1911">
        <f>(F14-E14)*$J$9</f>
        <v>0</v>
      </c>
      <c r="H14" s="1913" t="s">
        <v>1871</v>
      </c>
      <c r="J14" s="1215">
        <v>2.5794721776630662E-2</v>
      </c>
    </row>
    <row r="15" spans="1:12" s="10" customFormat="1" ht="33.75" customHeight="1">
      <c r="A15" s="1905" t="s">
        <v>1872</v>
      </c>
      <c r="B15" s="1906" t="s">
        <v>1873</v>
      </c>
      <c r="C15" s="1907">
        <f>'Schedule B'!E71</f>
        <v>4500</v>
      </c>
      <c r="D15" s="1908">
        <v>0</v>
      </c>
      <c r="E15" s="1909">
        <f>+D15+C15</f>
        <v>4500</v>
      </c>
      <c r="F15" s="1910" t="s">
        <v>1874</v>
      </c>
      <c r="G15" s="1911" t="s">
        <v>805</v>
      </c>
      <c r="H15" s="1913"/>
      <c r="J15" s="1215">
        <v>7458065.0683500171</v>
      </c>
      <c r="K15" s="10">
        <f>+J15*0.35</f>
        <v>2610322.7739225058</v>
      </c>
      <c r="L15" s="10" t="s">
        <v>2196</v>
      </c>
    </row>
    <row r="16" spans="1:12" s="10" customFormat="1" ht="33.75" customHeight="1">
      <c r="A16" s="1905" t="s">
        <v>1875</v>
      </c>
      <c r="B16" s="1906" t="s">
        <v>1876</v>
      </c>
      <c r="C16" s="1907">
        <f>'Schedule B'!E69+'Schedule B'!E70</f>
        <v>3082689</v>
      </c>
      <c r="D16" s="1908">
        <v>0</v>
      </c>
      <c r="E16" s="1909">
        <f>+D16+C16</f>
        <v>3082689</v>
      </c>
      <c r="F16" s="1910" t="s">
        <v>1874</v>
      </c>
      <c r="G16" s="1911" t="s">
        <v>805</v>
      </c>
      <c r="H16" s="1913"/>
      <c r="J16" s="1215">
        <v>3729032.53</v>
      </c>
      <c r="K16" s="10" t="s">
        <v>2197</v>
      </c>
    </row>
    <row r="17" spans="1:14" s="10" customFormat="1" ht="33.75" customHeight="1">
      <c r="A17" s="1905">
        <v>3</v>
      </c>
      <c r="B17" s="2147" t="s">
        <v>1877</v>
      </c>
      <c r="C17" s="1907">
        <v>2210880</v>
      </c>
      <c r="D17" s="1908">
        <f>+F17-C17</f>
        <v>464592.99551848276</v>
      </c>
      <c r="E17" s="1909">
        <f>+D17+C17</f>
        <v>2675472.9955184828</v>
      </c>
      <c r="F17" s="1910">
        <v>2675472.9955184828</v>
      </c>
      <c r="G17" s="1911">
        <f>(F17-E17)*$J$9</f>
        <v>0</v>
      </c>
      <c r="H17" s="1913" t="s">
        <v>1871</v>
      </c>
      <c r="I17" s="2096">
        <v>2675473</v>
      </c>
      <c r="J17" s="10">
        <v>4473000</v>
      </c>
    </row>
    <row r="18" spans="1:14" ht="49.5" customHeight="1">
      <c r="A18" s="1905">
        <v>4</v>
      </c>
      <c r="B18" s="2147" t="s">
        <v>1878</v>
      </c>
      <c r="C18" s="1907">
        <v>13682040</v>
      </c>
      <c r="D18" s="1908">
        <f>+F18-C18</f>
        <v>6064220.6400000006</v>
      </c>
      <c r="E18" s="1909">
        <f>(+D18+C18-7622348.77680852)*0+19746260.64</f>
        <v>19746260.640000001</v>
      </c>
      <c r="F18" s="1910">
        <f>(26167158-310140)*0+19746260.64</f>
        <v>19746260.640000001</v>
      </c>
      <c r="G18" s="1911">
        <f>(F18-E18)</f>
        <v>0</v>
      </c>
      <c r="H18" s="1912" t="s">
        <v>2554</v>
      </c>
      <c r="I18" s="7" t="s">
        <v>2265</v>
      </c>
      <c r="J18" s="2097">
        <f>J17-E17</f>
        <v>1797527.0044815172</v>
      </c>
      <c r="K18" s="2146">
        <v>7622348.7768085189</v>
      </c>
      <c r="L18" s="9" t="s">
        <v>2714</v>
      </c>
    </row>
    <row r="19" spans="1:14" ht="60.95" customHeight="1">
      <c r="A19" s="1905">
        <v>5</v>
      </c>
      <c r="B19" s="2806" t="s">
        <v>1879</v>
      </c>
      <c r="C19" s="1907">
        <v>28206303</v>
      </c>
      <c r="D19" s="1908">
        <f>+F19-C19</f>
        <v>47762924</v>
      </c>
      <c r="E19" s="1909">
        <v>75969227</v>
      </c>
      <c r="F19" s="1910">
        <v>75969227</v>
      </c>
      <c r="G19" s="1911">
        <f>(F19-E19)*$J$9</f>
        <v>0</v>
      </c>
      <c r="H19" s="1912" t="s">
        <v>2541</v>
      </c>
      <c r="I19" s="2805">
        <v>75969227</v>
      </c>
      <c r="J19" s="7">
        <v>62092796</v>
      </c>
      <c r="K19" s="2040">
        <v>68345239.60319148</v>
      </c>
      <c r="L19" s="2040">
        <v>-7623987.39680852</v>
      </c>
      <c r="N19" s="7">
        <v>-7622348.7768085198</v>
      </c>
    </row>
    <row r="20" spans="1:14" ht="30" customHeight="1">
      <c r="A20" s="1198"/>
      <c r="B20" s="2937" t="s">
        <v>1880</v>
      </c>
      <c r="C20" s="1202"/>
      <c r="D20" s="1207"/>
      <c r="E20" s="1210"/>
      <c r="F20" s="1213"/>
      <c r="G20" s="1204"/>
      <c r="H20" s="867"/>
    </row>
    <row r="21" spans="1:14" ht="30.75" customHeight="1">
      <c r="A21" s="1905">
        <v>6</v>
      </c>
      <c r="B21" s="2806" t="s">
        <v>1999</v>
      </c>
      <c r="C21" s="1907">
        <v>5907720</v>
      </c>
      <c r="D21" s="1908">
        <f>+F21-C21</f>
        <v>-1212511</v>
      </c>
      <c r="E21" s="1909">
        <f>+D21+C21</f>
        <v>4695209</v>
      </c>
      <c r="F21" s="1910">
        <v>4695209</v>
      </c>
      <c r="G21" s="1911">
        <f>(F21-E21)*$J$9</f>
        <v>0</v>
      </c>
      <c r="H21" s="1913" t="s">
        <v>1871</v>
      </c>
      <c r="I21" s="2040">
        <v>-522340</v>
      </c>
      <c r="J21" s="2805">
        <v>4695209</v>
      </c>
      <c r="K21" s="2097">
        <f>+J21-C21</f>
        <v>-1212511</v>
      </c>
    </row>
    <row r="22" spans="1:14" ht="32.25" customHeight="1">
      <c r="A22" s="801">
        <v>7</v>
      </c>
      <c r="B22" s="1199" t="s">
        <v>1881</v>
      </c>
      <c r="C22" s="1201">
        <v>12800000</v>
      </c>
      <c r="D22" s="1206">
        <f>+F22-C22</f>
        <v>12758750</v>
      </c>
      <c r="E22" s="1209">
        <f>+D22+C22</f>
        <v>25558750</v>
      </c>
      <c r="F22" s="1212">
        <f>25558750</f>
        <v>25558750</v>
      </c>
      <c r="G22" s="1203">
        <f>(F22-E22)*$J$9</f>
        <v>0</v>
      </c>
      <c r="H22" s="867" t="s">
        <v>2266</v>
      </c>
      <c r="I22" s="2040"/>
      <c r="J22" s="7">
        <v>2319040</v>
      </c>
    </row>
    <row r="23" spans="1:14" ht="32.25" customHeight="1">
      <c r="A23" s="1496">
        <v>8</v>
      </c>
      <c r="B23" s="1199" t="s">
        <v>1882</v>
      </c>
      <c r="C23" s="1201">
        <v>340000</v>
      </c>
      <c r="D23" s="1206">
        <f>+F23-C23</f>
        <v>130000</v>
      </c>
      <c r="E23" s="1209">
        <f>+D23+C23</f>
        <v>470000</v>
      </c>
      <c r="F23" s="1212">
        <v>470000</v>
      </c>
      <c r="G23" s="1203">
        <f>(F23-E23)*$J$9</f>
        <v>0</v>
      </c>
      <c r="H23" s="2003" t="s">
        <v>2267</v>
      </c>
      <c r="I23" s="2040">
        <v>130000</v>
      </c>
      <c r="J23" s="7">
        <v>5139025.07</v>
      </c>
    </row>
    <row r="24" spans="1:14" ht="32.25" customHeight="1">
      <c r="A24" s="1496">
        <v>9</v>
      </c>
      <c r="B24" s="1199" t="s">
        <v>1883</v>
      </c>
      <c r="C24" s="1201">
        <v>3543829</v>
      </c>
      <c r="D24" s="1206">
        <f>+F24-C24</f>
        <v>5137345.5599999987</v>
      </c>
      <c r="E24" s="1209">
        <f>+D24+C24</f>
        <v>8681174.5599999987</v>
      </c>
      <c r="F24" s="1212">
        <f>3543829+5137345.56</f>
        <v>8681174.5599999987</v>
      </c>
      <c r="G24" s="1203">
        <f>(F24-E24)*$J$9</f>
        <v>0</v>
      </c>
      <c r="H24" s="867"/>
    </row>
    <row r="25" spans="1:14" ht="32.25" customHeight="1">
      <c r="A25" s="1496">
        <v>10</v>
      </c>
      <c r="B25" s="1199" t="s">
        <v>1884</v>
      </c>
      <c r="C25" s="1201">
        <v>2400000</v>
      </c>
      <c r="D25" s="1206">
        <f>+F25-C25</f>
        <v>474723</v>
      </c>
      <c r="E25" s="1209">
        <f>+D25+C25</f>
        <v>2874723</v>
      </c>
      <c r="F25" s="1212">
        <v>2874723</v>
      </c>
      <c r="G25" s="1203">
        <f>(F25-E25)*$J$9</f>
        <v>0</v>
      </c>
      <c r="H25" s="867" t="s">
        <v>2266</v>
      </c>
    </row>
    <row r="26" spans="1:14" ht="18.75" customHeight="1" thickBot="1">
      <c r="A26" s="1496"/>
      <c r="B26" s="2962"/>
      <c r="C26" s="2963"/>
      <c r="D26" s="2964"/>
      <c r="E26" s="2965"/>
      <c r="F26" s="2966"/>
      <c r="G26" s="2967"/>
      <c r="H26" s="2968"/>
    </row>
    <row r="27" spans="1:14" s="9" customFormat="1" ht="28.5" customHeight="1" thickBot="1">
      <c r="A27" s="802"/>
      <c r="B27" s="2969" t="s">
        <v>1414</v>
      </c>
      <c r="C27" s="2970">
        <f>SUM(C13:C26)</f>
        <v>265124037.30000001</v>
      </c>
      <c r="D27" s="2971">
        <f>SUM(D13:D26)</f>
        <v>158287917.59551853</v>
      </c>
      <c r="E27" s="2972">
        <f>SUM(E13:E26)</f>
        <v>423411954.89551854</v>
      </c>
      <c r="F27" s="2973">
        <f>SUM(F13:F26)</f>
        <v>420324765.89551854</v>
      </c>
      <c r="G27" s="2974">
        <f>ROUND(SUM(G13:G26),0)</f>
        <v>0</v>
      </c>
      <c r="H27" s="2940"/>
    </row>
    <row r="29" spans="1:14">
      <c r="F29" s="2820">
        <v>407731886.40551853</v>
      </c>
    </row>
    <row r="30" spans="1:14">
      <c r="C30" s="1446"/>
      <c r="F30" s="2820">
        <f>+F29-F27</f>
        <v>-12592879.49000001</v>
      </c>
    </row>
    <row r="31" spans="1:14">
      <c r="F31" s="2820">
        <v>7458065.0699999928</v>
      </c>
    </row>
    <row r="32" spans="1:14">
      <c r="D32" s="2820">
        <v>37584647.560000002</v>
      </c>
      <c r="E32" s="2820">
        <v>22998647.559999999</v>
      </c>
      <c r="F32" s="2820">
        <f>+F31*0.5</f>
        <v>3729032.5349999964</v>
      </c>
    </row>
    <row r="33" spans="3:7">
      <c r="E33" s="540">
        <f>SUM(F22:F25)</f>
        <v>37584647.560000002</v>
      </c>
      <c r="F33" s="1471">
        <f>(857071038-F13)-F27</f>
        <v>418047738.10448146</v>
      </c>
      <c r="G33" s="1446">
        <f>207473655.83-G27+G13</f>
        <v>207473655.83000004</v>
      </c>
    </row>
    <row r="34" spans="3:7">
      <c r="E34" s="3582">
        <v>5137345.5599999996</v>
      </c>
    </row>
    <row r="38" spans="3:7">
      <c r="C38" s="6" t="s">
        <v>1885</v>
      </c>
    </row>
  </sheetData>
  <dataConsolidate link="1"/>
  <mergeCells count="1">
    <mergeCell ref="F5:F10"/>
  </mergeCells>
  <dataValidations count="1">
    <dataValidation showInputMessage="1" showErrorMessage="1" sqref="E20:E21" xr:uid="{99B3A3D9-5C02-4167-A238-4E48C0F67799}"/>
  </dataValidations>
  <hyperlinks>
    <hyperlink ref="I17" r:id="rId1" location="OLE_LINK1_x0009_1,163152,163164,0,,2,675,473.00" display="2,675,473.00" xr:uid="{72DA6B9E-29AF-4D48-A9E2-053740816985}"/>
  </hyperlinks>
  <printOptions horizontalCentered="1"/>
  <pageMargins left="0.25" right="0.25" top="0.75" bottom="0.75" header="0.3" footer="0.3"/>
  <pageSetup paperSize="8" scale="95" fitToHeight="2" orientation="landscape" r:id="rId2"/>
  <headerFooter>
    <oddHeader>&amp;C&amp;"Calibri,Bold"&amp;18MONTHLY REPORT - PROCUREMENT STATUS</oddHeader>
    <oddFooter>&amp;L1TB.01.003.01 - AYC 
MARCH'26 REPORT&amp;C&amp;A&amp;RPage &amp;P of &amp;N</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AD7F58FE-8F5F-4B7C-8261-D20DF6B01976}">
          <x14:formula1>
            <xm:f>dropdowns!$I$3:$I$157</xm:f>
          </x14:formula1>
          <xm:sqref>C20:D20</xm:sqref>
        </x14:dataValidation>
      </x14:dataValidations>
    </ext>
  </extLs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41A99-D9AC-4430-B6A5-719597F1604D}">
  <sheetPr codeName="Sheet51">
    <tabColor rgb="FF00B0F0"/>
    <pageSetUpPr fitToPage="1"/>
  </sheetPr>
  <dimension ref="B1:AT235"/>
  <sheetViews>
    <sheetView showGridLines="0" view="pageBreakPreview" zoomScale="70" zoomScaleNormal="70" zoomScaleSheetLayoutView="70" workbookViewId="0">
      <selection activeCell="C10" sqref="C10"/>
    </sheetView>
  </sheetViews>
  <sheetFormatPr defaultColWidth="9" defaultRowHeight="14.25" customHeight="1"/>
  <cols>
    <col min="1" max="1" width="5.5703125" style="3616" customWidth="1"/>
    <col min="2" max="2" width="85" style="3611" customWidth="1"/>
    <col min="3" max="3" width="35.85546875" style="3612" customWidth="1"/>
    <col min="4" max="4" width="15.85546875" style="3613" customWidth="1"/>
    <col min="5" max="5" width="28" style="3614" hidden="1" customWidth="1"/>
    <col min="6" max="6" width="12.85546875" style="3613" hidden="1" customWidth="1"/>
    <col min="7" max="7" width="35.85546875" style="3614" customWidth="1"/>
    <col min="8" max="8" width="15.85546875" style="3613" customWidth="1"/>
    <col min="9" max="9" width="35.85546875" style="3611" customWidth="1"/>
    <col min="10" max="10" width="15.85546875" style="3615" customWidth="1"/>
    <col min="11" max="11" width="51.85546875" style="3616" hidden="1" customWidth="1"/>
    <col min="12" max="12" width="9" style="3616"/>
    <col min="13" max="13" width="25" style="3616" bestFit="1" customWidth="1"/>
    <col min="14" max="14" width="19" style="3616" bestFit="1" customWidth="1"/>
    <col min="15" max="15" width="23.42578125" style="3616" bestFit="1" customWidth="1"/>
    <col min="16" max="16" width="22" style="3616" bestFit="1" customWidth="1"/>
    <col min="17" max="17" width="21.85546875" style="3616" bestFit="1" customWidth="1"/>
    <col min="18" max="18" width="19" style="3616" bestFit="1" customWidth="1"/>
    <col min="19" max="16384" width="9" style="3616"/>
  </cols>
  <sheetData>
    <row r="1" spans="2:46" ht="14.25" customHeight="1" thickBot="1"/>
    <row r="2" spans="2:46" s="3619" customFormat="1" ht="91.5" customHeight="1" thickBot="1">
      <c r="B2" s="3617" t="s">
        <v>3265</v>
      </c>
      <c r="C2" s="6077" t="s">
        <v>3266</v>
      </c>
      <c r="D2" s="6078"/>
      <c r="E2" s="6079" t="s">
        <v>3267</v>
      </c>
      <c r="F2" s="6078"/>
      <c r="G2" s="6079" t="s">
        <v>3268</v>
      </c>
      <c r="H2" s="6078"/>
      <c r="I2" s="6079" t="s">
        <v>3269</v>
      </c>
      <c r="J2" s="6080"/>
      <c r="K2" s="3911" t="s">
        <v>2368</v>
      </c>
      <c r="L2" s="3616"/>
      <c r="M2" s="3618"/>
      <c r="N2" s="3616"/>
      <c r="O2" s="3616"/>
      <c r="P2" s="3616"/>
      <c r="Q2" s="3616"/>
      <c r="R2" s="3616"/>
      <c r="S2" s="3616"/>
      <c r="T2" s="3616"/>
      <c r="U2" s="3616"/>
      <c r="V2" s="3616"/>
      <c r="W2" s="3616"/>
      <c r="X2" s="3616"/>
      <c r="Y2" s="3616"/>
      <c r="Z2" s="3616"/>
      <c r="AA2" s="3616"/>
      <c r="AB2" s="3616"/>
      <c r="AC2" s="3616"/>
      <c r="AD2" s="3616"/>
      <c r="AE2" s="3616"/>
      <c r="AF2" s="3616"/>
      <c r="AG2" s="3616"/>
      <c r="AH2" s="3616"/>
      <c r="AI2" s="3616"/>
      <c r="AJ2" s="3616"/>
      <c r="AK2" s="3616"/>
      <c r="AL2" s="3616"/>
      <c r="AM2" s="3616"/>
      <c r="AN2" s="3616"/>
      <c r="AO2" s="3616"/>
      <c r="AP2" s="3616"/>
      <c r="AQ2" s="3616"/>
      <c r="AR2" s="3616"/>
      <c r="AS2" s="3616"/>
      <c r="AT2" s="3616"/>
    </row>
    <row r="3" spans="2:46" ht="30" customHeight="1" thickBot="1">
      <c r="B3" s="3620" t="s">
        <v>3270</v>
      </c>
      <c r="C3" s="3621">
        <v>7869</v>
      </c>
      <c r="D3" s="3622" t="s">
        <v>3271</v>
      </c>
      <c r="E3" s="3623"/>
      <c r="F3" s="3624" t="s">
        <v>3271</v>
      </c>
      <c r="G3" s="3621">
        <v>7932</v>
      </c>
      <c r="H3" s="3624" t="s">
        <v>3271</v>
      </c>
      <c r="I3" s="3625">
        <f>IFERROR(G3-C3,0)</f>
        <v>63</v>
      </c>
      <c r="J3" s="3626" t="s">
        <v>3271</v>
      </c>
      <c r="K3" s="3627"/>
      <c r="L3" s="3628"/>
      <c r="M3" s="3628"/>
      <c r="N3" s="3628"/>
      <c r="O3" s="3628"/>
      <c r="P3" s="3628"/>
      <c r="Q3" s="3628"/>
      <c r="R3" s="3628"/>
      <c r="S3" s="3628"/>
      <c r="T3" s="3628"/>
      <c r="U3" s="3628"/>
      <c r="V3" s="3628"/>
      <c r="W3" s="3628"/>
      <c r="X3" s="3628"/>
      <c r="Y3" s="3628"/>
      <c r="Z3" s="3628"/>
      <c r="AA3" s="3628"/>
      <c r="AB3" s="3628"/>
      <c r="AC3" s="3628"/>
      <c r="AD3" s="3628"/>
      <c r="AE3" s="3628"/>
      <c r="AF3" s="3628"/>
      <c r="AG3" s="3628"/>
      <c r="AH3" s="3628"/>
      <c r="AI3" s="3628"/>
      <c r="AJ3" s="3628"/>
      <c r="AK3" s="3628"/>
      <c r="AL3" s="3628"/>
      <c r="AM3" s="3628"/>
      <c r="AN3" s="3628"/>
      <c r="AO3" s="3628"/>
      <c r="AP3" s="3628"/>
      <c r="AQ3" s="3628"/>
      <c r="AR3" s="3628"/>
      <c r="AS3" s="3628"/>
    </row>
    <row r="4" spans="2:46" ht="30" customHeight="1" thickBot="1">
      <c r="B4" s="3620" t="s">
        <v>3272</v>
      </c>
      <c r="C4" s="3621">
        <v>1644</v>
      </c>
      <c r="D4" s="3622" t="s">
        <v>3271</v>
      </c>
      <c r="E4" s="3623"/>
      <c r="F4" s="3624" t="s">
        <v>3271</v>
      </c>
      <c r="G4" s="3621">
        <v>1470</v>
      </c>
      <c r="H4" s="3624" t="s">
        <v>3271</v>
      </c>
      <c r="I4" s="3625">
        <f>IFERROR(G4-C4,0)</f>
        <v>-174</v>
      </c>
      <c r="J4" s="3626" t="s">
        <v>3271</v>
      </c>
      <c r="K4" s="3627"/>
      <c r="L4" s="3628"/>
      <c r="M4" s="3628"/>
      <c r="N4" s="3628"/>
      <c r="O4" s="3628"/>
      <c r="P4" s="3628"/>
      <c r="Q4" s="3628"/>
      <c r="R4" s="3628"/>
      <c r="S4" s="3628"/>
      <c r="T4" s="3628"/>
      <c r="U4" s="3628"/>
      <c r="V4" s="3628"/>
      <c r="W4" s="3628"/>
      <c r="X4" s="3628"/>
      <c r="Y4" s="3628"/>
      <c r="Z4" s="3628"/>
      <c r="AA4" s="3628"/>
      <c r="AB4" s="3628"/>
      <c r="AC4" s="3628"/>
      <c r="AD4" s="3628"/>
      <c r="AE4" s="3628"/>
      <c r="AF4" s="3628"/>
      <c r="AG4" s="3628"/>
      <c r="AH4" s="3628"/>
      <c r="AI4" s="3628"/>
      <c r="AJ4" s="3628"/>
      <c r="AK4" s="3628"/>
      <c r="AL4" s="3628"/>
      <c r="AM4" s="3628"/>
      <c r="AN4" s="3628"/>
      <c r="AO4" s="3628"/>
      <c r="AP4" s="3628"/>
      <c r="AQ4" s="3628"/>
      <c r="AR4" s="3628"/>
      <c r="AS4" s="3628"/>
    </row>
    <row r="5" spans="2:46" ht="30" customHeight="1">
      <c r="B5" s="3629" t="s">
        <v>3273</v>
      </c>
      <c r="C5" s="3630" t="s">
        <v>434</v>
      </c>
      <c r="D5" s="3631" t="s">
        <v>1480</v>
      </c>
      <c r="E5" s="3632" t="s">
        <v>434</v>
      </c>
      <c r="F5" s="3631" t="s">
        <v>1480</v>
      </c>
      <c r="G5" s="3633" t="s">
        <v>434</v>
      </c>
      <c r="H5" s="3631" t="s">
        <v>1480</v>
      </c>
      <c r="I5" s="3633" t="s">
        <v>434</v>
      </c>
      <c r="J5" s="3631" t="s">
        <v>1480</v>
      </c>
      <c r="K5" s="3634"/>
      <c r="L5" s="3628"/>
      <c r="M5" s="3628"/>
      <c r="N5" s="3628"/>
      <c r="O5" s="3628"/>
      <c r="P5" s="3628"/>
      <c r="Q5" s="3628"/>
      <c r="R5" s="3628"/>
      <c r="S5" s="3628"/>
      <c r="T5" s="3628"/>
      <c r="U5" s="3628"/>
      <c r="V5" s="3628"/>
      <c r="W5" s="3628"/>
      <c r="X5" s="3628"/>
      <c r="Y5" s="3628"/>
      <c r="Z5" s="3628"/>
      <c r="AA5" s="3628"/>
      <c r="AB5" s="3628"/>
      <c r="AC5" s="3628"/>
      <c r="AD5" s="3628"/>
      <c r="AE5" s="3628"/>
      <c r="AF5" s="3628"/>
      <c r="AG5" s="3628"/>
      <c r="AH5" s="3628"/>
      <c r="AI5" s="3628"/>
      <c r="AJ5" s="3628"/>
      <c r="AK5" s="3628"/>
      <c r="AL5" s="3628"/>
      <c r="AM5" s="3628"/>
      <c r="AN5" s="3628"/>
      <c r="AO5" s="3628"/>
      <c r="AP5" s="3628"/>
      <c r="AQ5" s="3628"/>
      <c r="AR5" s="3628"/>
      <c r="AS5" s="3628"/>
    </row>
    <row r="6" spans="2:46" s="3619" customFormat="1" ht="30" customHeight="1">
      <c r="B6" s="3635" t="s">
        <v>3274</v>
      </c>
      <c r="C6" s="3636">
        <f>'Schedule B'!K69+'Schedule B'!K70</f>
        <v>3082689</v>
      </c>
      <c r="D6" s="3910">
        <f>C6/$C$21</f>
        <v>8.8414606983159786E-3</v>
      </c>
      <c r="E6" s="3636"/>
      <c r="F6" s="3637"/>
      <c r="G6" s="3636">
        <f>'Schedule B'!Q69+'Schedule B'!Q70</f>
        <v>2299717</v>
      </c>
      <c r="H6" s="3910">
        <f>G6/$G$21</f>
        <v>5.1162554610149433E-3</v>
      </c>
      <c r="I6" s="3638">
        <f t="shared" ref="I6:I18" si="0">G6-C6</f>
        <v>-782972</v>
      </c>
      <c r="J6" s="3822">
        <f>I6/$I$21</f>
        <v>-7.7653181719856846E-3</v>
      </c>
      <c r="K6" s="3639"/>
      <c r="L6" s="3640"/>
      <c r="M6" s="3640"/>
      <c r="N6" s="3640"/>
      <c r="O6" s="3640"/>
      <c r="P6" s="3640"/>
      <c r="Q6" s="3640"/>
      <c r="R6" s="3640"/>
      <c r="S6" s="3640"/>
      <c r="T6" s="3640"/>
      <c r="U6" s="3640"/>
      <c r="V6" s="3640"/>
      <c r="W6" s="3640"/>
      <c r="X6" s="3640"/>
      <c r="Y6" s="3640"/>
      <c r="Z6" s="3640"/>
      <c r="AA6" s="3640"/>
      <c r="AB6" s="3640"/>
      <c r="AC6" s="3640"/>
      <c r="AD6" s="3640"/>
      <c r="AE6" s="3640"/>
      <c r="AF6" s="3640"/>
      <c r="AG6" s="3640"/>
      <c r="AH6" s="3640"/>
      <c r="AI6" s="3640"/>
      <c r="AJ6" s="3640"/>
      <c r="AK6" s="3640"/>
      <c r="AL6" s="3640"/>
      <c r="AM6" s="3640"/>
      <c r="AN6" s="3640"/>
      <c r="AO6" s="3640"/>
      <c r="AP6" s="3640"/>
      <c r="AQ6" s="3640"/>
      <c r="AR6" s="3640"/>
      <c r="AS6" s="3640"/>
    </row>
    <row r="7" spans="2:46" s="3619" customFormat="1" ht="30" customHeight="1">
      <c r="B7" s="3635" t="s">
        <v>3275</v>
      </c>
      <c r="C7" s="3636">
        <f>'Schedule B'!K77</f>
        <v>16458381.51</v>
      </c>
      <c r="D7" s="3910">
        <f t="shared" ref="D7:D19" si="1">C7/$C$21</f>
        <v>4.7204286023843273E-2</v>
      </c>
      <c r="E7" s="3636"/>
      <c r="F7" s="3637"/>
      <c r="G7" s="3636">
        <f>'Schedule B'!Q77</f>
        <v>16458381.51</v>
      </c>
      <c r="H7" s="3910">
        <f t="shared" ref="H7:H18" si="2">G7/$G$21</f>
        <v>3.6615498463508714E-2</v>
      </c>
      <c r="I7" s="3638">
        <f t="shared" si="0"/>
        <v>0</v>
      </c>
      <c r="J7" s="3822">
        <f t="shared" ref="J7:J18" si="3">I7/$I$21</f>
        <v>0</v>
      </c>
      <c r="K7" s="3639"/>
      <c r="L7" s="3640"/>
      <c r="M7" s="3640"/>
      <c r="N7" s="3640"/>
      <c r="O7" s="3640"/>
      <c r="P7" s="3640"/>
      <c r="Q7" s="3640"/>
      <c r="R7" s="3640"/>
      <c r="S7" s="3640"/>
      <c r="T7" s="3640"/>
      <c r="U7" s="3640"/>
      <c r="V7" s="3640"/>
      <c r="W7" s="3640"/>
      <c r="X7" s="3640"/>
      <c r="Y7" s="3640"/>
      <c r="Z7" s="3640"/>
      <c r="AA7" s="3640"/>
      <c r="AB7" s="3640"/>
      <c r="AC7" s="3640"/>
      <c r="AD7" s="3640"/>
      <c r="AE7" s="3640"/>
      <c r="AF7" s="3640"/>
      <c r="AG7" s="3640"/>
      <c r="AH7" s="3640"/>
      <c r="AI7" s="3640"/>
      <c r="AJ7" s="3640"/>
      <c r="AK7" s="3640"/>
      <c r="AL7" s="3640"/>
      <c r="AM7" s="3640"/>
      <c r="AN7" s="3640"/>
      <c r="AO7" s="3640"/>
      <c r="AP7" s="3640"/>
      <c r="AQ7" s="3640"/>
      <c r="AR7" s="3640"/>
      <c r="AS7" s="3640"/>
    </row>
    <row r="8" spans="2:46" s="3619" customFormat="1" ht="30" customHeight="1">
      <c r="B8" s="3635" t="s">
        <v>3276</v>
      </c>
      <c r="C8" s="3636">
        <f>'Schedule B'!K71</f>
        <v>22585.010000000002</v>
      </c>
      <c r="D8" s="3910">
        <f t="shared" si="1"/>
        <v>6.4776069946100105E-5</v>
      </c>
      <c r="E8" s="6081"/>
      <c r="F8" s="6082"/>
      <c r="G8" s="3636">
        <f>'Schedule B'!Q71</f>
        <v>22585.010000000002</v>
      </c>
      <c r="H8" s="3910">
        <f t="shared" si="2"/>
        <v>5.0245608807334608E-5</v>
      </c>
      <c r="I8" s="3638">
        <f t="shared" si="0"/>
        <v>0</v>
      </c>
      <c r="J8" s="3822">
        <f t="shared" si="3"/>
        <v>0</v>
      </c>
      <c r="K8" s="3639"/>
      <c r="L8" s="3640"/>
      <c r="M8" s="3640">
        <v>22585.01</v>
      </c>
      <c r="N8" s="3930">
        <f>+M8-C8</f>
        <v>0</v>
      </c>
      <c r="O8" s="3640"/>
      <c r="P8" s="3640"/>
      <c r="Q8" s="3640"/>
      <c r="R8" s="3640"/>
      <c r="S8" s="3640"/>
      <c r="T8" s="3640"/>
      <c r="U8" s="3640"/>
      <c r="V8" s="3640"/>
      <c r="W8" s="3640"/>
      <c r="X8" s="3640"/>
      <c r="Y8" s="3640"/>
      <c r="Z8" s="3640"/>
      <c r="AA8" s="3640"/>
      <c r="AB8" s="3640"/>
      <c r="AC8" s="3640"/>
      <c r="AD8" s="3640"/>
      <c r="AE8" s="3640"/>
      <c r="AF8" s="3640"/>
      <c r="AG8" s="3640"/>
      <c r="AH8" s="3640"/>
      <c r="AI8" s="3640"/>
      <c r="AJ8" s="3640"/>
      <c r="AK8" s="3640"/>
      <c r="AL8" s="3640"/>
      <c r="AM8" s="3640"/>
      <c r="AN8" s="3640"/>
      <c r="AO8" s="3640"/>
      <c r="AP8" s="3640"/>
      <c r="AQ8" s="3640"/>
      <c r="AR8" s="3640"/>
      <c r="AS8" s="3640"/>
    </row>
    <row r="9" spans="2:46" s="3619" customFormat="1" ht="102" customHeight="1">
      <c r="B9" s="3635" t="s">
        <v>3277</v>
      </c>
      <c r="C9" s="3636">
        <f>'Schedule B'!K79+'Schedule C'!AG89+'Schedule C'!AG97+'Schedule C'!AG130+'Schedule C'!AG132</f>
        <v>158892731.19</v>
      </c>
      <c r="D9" s="3910">
        <f t="shared" si="1"/>
        <v>0.45572026177939795</v>
      </c>
      <c r="E9" s="6081"/>
      <c r="F9" s="6082"/>
      <c r="G9" s="3636">
        <f>'Schedule B'!Q79</f>
        <v>170989417.8230435</v>
      </c>
      <c r="H9" s="3910">
        <f t="shared" si="2"/>
        <v>0.38040573805947087</v>
      </c>
      <c r="I9" s="3638">
        <f t="shared" si="0"/>
        <v>12096686.633043498</v>
      </c>
      <c r="J9" s="3822">
        <f t="shared" si="3"/>
        <v>0.11997187706889774</v>
      </c>
      <c r="K9" s="3639"/>
      <c r="L9" s="3640"/>
      <c r="M9" s="3872">
        <v>216006606.71000001</v>
      </c>
      <c r="N9" s="3821">
        <v>21884331.199999999</v>
      </c>
      <c r="O9" s="3821">
        <f>+'Additional Budget - Det (19Dec)'!D9+'Additional Budget - Det (19Dec)'!D10+'Additional Budget - Det (19Dec)'!D11+'Additional Budget - Det (19Dec)'!D13+'Additional Budget - Det (19Dec)'!D14+'Additional Budget - Det (19Dec)'!D15+'Additional Budget - Det (19Dec)'!D16+'Additional Budget - Det (19Dec)'!D17+'Additional Budget - Det (19Dec)'!D18+'Additional Budget - Det (19Dec)'!D19+'Additional Budget - Det (19Dec)'!D20+'Additional Budget - Det (19Dec)'!D33+'Additional Budget - Det (19Dec)'!D35+'Additional Budget - Det (19Dec)'!D38+'Additional Budget - Det (19Dec)'!D39+'Additional Budget - Det (19Dec)'!D40+'Additional Budget - Det (19Dec)'!D41</f>
        <v>7080175.9030434787</v>
      </c>
      <c r="P9" s="3872">
        <f>+O9-I9</f>
        <v>-5016510.7300000191</v>
      </c>
      <c r="Q9" s="3640"/>
      <c r="R9" s="3640"/>
      <c r="S9" s="3640"/>
      <c r="T9" s="3640"/>
      <c r="U9" s="3640"/>
      <c r="V9" s="3640"/>
      <c r="W9" s="3640"/>
      <c r="X9" s="3640"/>
      <c r="Y9" s="3640"/>
      <c r="Z9" s="3640"/>
      <c r="AA9" s="3640"/>
      <c r="AB9" s="3640"/>
      <c r="AC9" s="3640"/>
      <c r="AD9" s="3640"/>
      <c r="AE9" s="3640"/>
      <c r="AF9" s="3640"/>
      <c r="AG9" s="3640"/>
      <c r="AH9" s="3640"/>
      <c r="AI9" s="3640"/>
      <c r="AJ9" s="3640"/>
      <c r="AK9" s="3640"/>
      <c r="AL9" s="3640"/>
      <c r="AM9" s="3640"/>
      <c r="AN9" s="3640"/>
      <c r="AO9" s="3640"/>
      <c r="AP9" s="3640"/>
      <c r="AQ9" s="3640"/>
      <c r="AR9" s="3640"/>
      <c r="AS9" s="3640"/>
    </row>
    <row r="10" spans="2:46" s="3619" customFormat="1" ht="30" customHeight="1">
      <c r="B10" s="3635" t="s">
        <v>3278</v>
      </c>
      <c r="C10" s="3636">
        <f>'Schedule B'!K148</f>
        <v>819298.55</v>
      </c>
      <c r="D10" s="3910">
        <f t="shared" si="1"/>
        <v>2.3498302715623501E-3</v>
      </c>
      <c r="E10" s="6081"/>
      <c r="F10" s="6082"/>
      <c r="G10" s="3636">
        <f>'Schedule B'!Q148</f>
        <v>819298.55</v>
      </c>
      <c r="H10" s="3910">
        <f t="shared" si="2"/>
        <v>1.8227202219399713E-3</v>
      </c>
      <c r="I10" s="3638">
        <f t="shared" si="0"/>
        <v>0</v>
      </c>
      <c r="J10" s="3822">
        <f t="shared" si="3"/>
        <v>0</v>
      </c>
      <c r="K10" s="3639"/>
      <c r="L10" s="3640"/>
      <c r="M10" s="3640"/>
      <c r="N10" s="3640"/>
      <c r="O10" s="3640"/>
      <c r="P10" s="3640"/>
      <c r="Q10" s="3640"/>
      <c r="R10" s="3640"/>
      <c r="S10" s="3640"/>
      <c r="T10" s="3640"/>
      <c r="U10" s="3640"/>
      <c r="V10" s="3640"/>
      <c r="W10" s="3640"/>
      <c r="X10" s="3640"/>
      <c r="Y10" s="3640"/>
      <c r="Z10" s="3640"/>
      <c r="AA10" s="3640"/>
      <c r="AB10" s="3640"/>
      <c r="AC10" s="3640"/>
      <c r="AD10" s="3640"/>
      <c r="AE10" s="3640"/>
      <c r="AF10" s="3640"/>
      <c r="AG10" s="3640"/>
      <c r="AH10" s="3640"/>
      <c r="AI10" s="3640"/>
      <c r="AJ10" s="3640"/>
      <c r="AK10" s="3640"/>
      <c r="AL10" s="3640"/>
      <c r="AM10" s="3640"/>
      <c r="AN10" s="3640"/>
      <c r="AO10" s="3640"/>
      <c r="AP10" s="3640"/>
      <c r="AQ10" s="3640"/>
      <c r="AR10" s="3640"/>
      <c r="AS10" s="3640"/>
    </row>
    <row r="11" spans="2:46" s="3619" customFormat="1" ht="30" customHeight="1">
      <c r="B11" s="3635" t="s">
        <v>3279</v>
      </c>
      <c r="C11" s="3636">
        <f>'Schedule B'!K149</f>
        <v>2773546</v>
      </c>
      <c r="D11" s="3910">
        <f t="shared" si="1"/>
        <v>7.954807622167364E-3</v>
      </c>
      <c r="E11" s="6081"/>
      <c r="F11" s="6082"/>
      <c r="G11" s="3636">
        <f>'Schedule B'!Q149</f>
        <v>3322917.05</v>
      </c>
      <c r="H11" s="3910">
        <f t="shared" si="2"/>
        <v>7.3926020043171246E-3</v>
      </c>
      <c r="I11" s="3638">
        <f t="shared" si="0"/>
        <v>549371.04999999981</v>
      </c>
      <c r="J11" s="3822">
        <f t="shared" si="3"/>
        <v>5.4485230605026162E-3</v>
      </c>
      <c r="K11" s="3639"/>
      <c r="L11" s="3640"/>
      <c r="M11" s="3640"/>
      <c r="N11" s="3640"/>
      <c r="O11" s="3640"/>
      <c r="P11" s="3640"/>
      <c r="Q11" s="3640"/>
      <c r="R11" s="3640"/>
      <c r="S11" s="3640"/>
      <c r="T11" s="3640"/>
      <c r="U11" s="3640"/>
      <c r="V11" s="3640"/>
      <c r="W11" s="3640"/>
      <c r="X11" s="3640"/>
      <c r="Y11" s="3640"/>
      <c r="Z11" s="3640"/>
      <c r="AA11" s="3640"/>
      <c r="AB11" s="3640"/>
      <c r="AC11" s="3640"/>
      <c r="AD11" s="3640"/>
      <c r="AE11" s="3640"/>
      <c r="AF11" s="3640"/>
      <c r="AG11" s="3640"/>
      <c r="AH11" s="3640"/>
      <c r="AI11" s="3640"/>
      <c r="AJ11" s="3640"/>
      <c r="AK11" s="3640"/>
      <c r="AL11" s="3640"/>
      <c r="AM11" s="3640"/>
      <c r="AN11" s="3640"/>
      <c r="AO11" s="3640"/>
      <c r="AP11" s="3640"/>
      <c r="AQ11" s="3640"/>
      <c r="AR11" s="3640"/>
      <c r="AS11" s="3640"/>
    </row>
    <row r="12" spans="2:46" s="3619" customFormat="1" ht="30" customHeight="1">
      <c r="B12" s="3635" t="s">
        <v>3280</v>
      </c>
      <c r="C12" s="3636">
        <f>'Schedule B'!K150</f>
        <v>4705352</v>
      </c>
      <c r="D12" s="3910">
        <f t="shared" si="1"/>
        <v>1.3495420647279854E-2</v>
      </c>
      <c r="E12" s="6081"/>
      <c r="F12" s="6082"/>
      <c r="G12" s="3636">
        <f>'Schedule B'!Q150</f>
        <v>6070598.4499999993</v>
      </c>
      <c r="H12" s="3910">
        <f t="shared" si="2"/>
        <v>1.3505458485301169E-2</v>
      </c>
      <c r="I12" s="3638">
        <f t="shared" si="0"/>
        <v>1365246.4499999993</v>
      </c>
      <c r="J12" s="3822">
        <f t="shared" si="3"/>
        <v>1.3540168827779205E-2</v>
      </c>
      <c r="K12" s="3639"/>
      <c r="L12" s="3839"/>
      <c r="M12" s="3640"/>
      <c r="N12" s="3640"/>
      <c r="O12" s="3640"/>
      <c r="P12" s="3640"/>
      <c r="Q12" s="3640" t="s">
        <v>3419</v>
      </c>
      <c r="R12" s="3640"/>
      <c r="S12" s="3640"/>
      <c r="T12" s="3640"/>
      <c r="U12" s="3640"/>
      <c r="V12" s="3640"/>
      <c r="W12" s="3640"/>
      <c r="X12" s="3640"/>
      <c r="Y12" s="3640"/>
      <c r="Z12" s="3640"/>
      <c r="AA12" s="3640"/>
      <c r="AB12" s="3640"/>
      <c r="AC12" s="3640"/>
      <c r="AD12" s="3640"/>
      <c r="AE12" s="3640"/>
      <c r="AF12" s="3640"/>
      <c r="AG12" s="3640"/>
      <c r="AH12" s="3640"/>
      <c r="AI12" s="3640"/>
      <c r="AJ12" s="3640"/>
      <c r="AK12" s="3640"/>
      <c r="AL12" s="3640"/>
      <c r="AM12" s="3640"/>
      <c r="AN12" s="3640"/>
      <c r="AO12" s="3640"/>
      <c r="AP12" s="3640"/>
      <c r="AQ12" s="3640"/>
      <c r="AR12" s="3640"/>
      <c r="AS12" s="3640"/>
    </row>
    <row r="13" spans="2:46" s="3619" customFormat="1" ht="30" customHeight="1">
      <c r="B13" s="3635" t="s">
        <v>3281</v>
      </c>
      <c r="C13" s="3636">
        <f>'Schedule B'!K151+360715.12</f>
        <v>80571297.370000005</v>
      </c>
      <c r="D13" s="3910">
        <f t="shared" si="1"/>
        <v>0.23108654785130275</v>
      </c>
      <c r="E13" s="6081"/>
      <c r="F13" s="6082"/>
      <c r="G13" s="3636">
        <f>+'Schedule B'!Q151</f>
        <v>92122900.290000007</v>
      </c>
      <c r="H13" s="3910">
        <f t="shared" si="2"/>
        <v>0.2049488227000312</v>
      </c>
      <c r="I13" s="3638">
        <f t="shared" si="0"/>
        <v>11551602.920000002</v>
      </c>
      <c r="J13" s="3822">
        <f t="shared" si="3"/>
        <v>0.11456587473145771</v>
      </c>
      <c r="K13" s="3639"/>
      <c r="L13" s="3640"/>
      <c r="M13" s="3872">
        <v>75809169.370000005</v>
      </c>
      <c r="N13" s="3872">
        <v>773023.07</v>
      </c>
      <c r="O13" s="3821">
        <v>75274125</v>
      </c>
      <c r="P13" s="3821">
        <f>+O13-M13</f>
        <v>-535044.37000000477</v>
      </c>
      <c r="Q13" s="3640">
        <v>535044.11</v>
      </c>
      <c r="R13" s="3640"/>
      <c r="S13" s="3640"/>
      <c r="T13" s="3640"/>
      <c r="U13" s="3640"/>
      <c r="V13" s="3640"/>
      <c r="W13" s="3640"/>
      <c r="X13" s="3640"/>
      <c r="Y13" s="3640"/>
      <c r="Z13" s="3640"/>
      <c r="AA13" s="3640"/>
      <c r="AB13" s="3640"/>
      <c r="AC13" s="3640"/>
      <c r="AD13" s="3640"/>
      <c r="AE13" s="3640"/>
      <c r="AF13" s="3640"/>
      <c r="AG13" s="3640"/>
      <c r="AH13" s="3640"/>
      <c r="AI13" s="3640"/>
      <c r="AJ13" s="3640"/>
      <c r="AK13" s="3640"/>
      <c r="AL13" s="3640"/>
      <c r="AM13" s="3640"/>
      <c r="AN13" s="3640"/>
      <c r="AO13" s="3640"/>
      <c r="AP13" s="3640"/>
      <c r="AQ13" s="3640"/>
      <c r="AR13" s="3640"/>
      <c r="AS13" s="3640"/>
    </row>
    <row r="14" spans="2:46" s="3619" customFormat="1" ht="30" customHeight="1">
      <c r="B14" s="3635" t="s">
        <v>3282</v>
      </c>
      <c r="C14" s="3636">
        <f>'Schedule B'!K152</f>
        <v>30474501.580000002</v>
      </c>
      <c r="D14" s="3910">
        <f t="shared" si="1"/>
        <v>8.7403921712614616E-2</v>
      </c>
      <c r="E14" s="6081"/>
      <c r="F14" s="6082"/>
      <c r="G14" s="3636">
        <f>'Schedule B'!Q152</f>
        <v>30853014.580000002</v>
      </c>
      <c r="H14" s="3910">
        <f t="shared" si="2"/>
        <v>6.8639708422253129E-2</v>
      </c>
      <c r="I14" s="3638">
        <f t="shared" si="0"/>
        <v>378513</v>
      </c>
      <c r="J14" s="3822">
        <f t="shared" si="3"/>
        <v>3.7539961546936766E-3</v>
      </c>
      <c r="K14" s="3639"/>
      <c r="L14" s="3640"/>
      <c r="M14" s="3872">
        <v>75274125.260000005</v>
      </c>
      <c r="N14" s="3821">
        <f>M14-C13</f>
        <v>-5297172.1099999994</v>
      </c>
      <c r="O14" s="3640">
        <v>-360715.12</v>
      </c>
      <c r="P14" s="3640"/>
      <c r="Q14" s="3640"/>
      <c r="R14" s="3640"/>
      <c r="S14" s="3640"/>
      <c r="T14" s="3640"/>
      <c r="U14" s="3640"/>
      <c r="V14" s="3640"/>
      <c r="W14" s="3640"/>
      <c r="X14" s="3640"/>
      <c r="Y14" s="3640"/>
      <c r="Z14" s="3640"/>
      <c r="AA14" s="3640"/>
      <c r="AB14" s="3640"/>
      <c r="AC14" s="3640"/>
      <c r="AD14" s="3640"/>
      <c r="AE14" s="3640"/>
      <c r="AF14" s="3640"/>
      <c r="AG14" s="3640"/>
      <c r="AH14" s="3640"/>
      <c r="AI14" s="3640"/>
      <c r="AJ14" s="3640"/>
      <c r="AK14" s="3640"/>
      <c r="AL14" s="3640"/>
      <c r="AM14" s="3640"/>
      <c r="AN14" s="3640"/>
      <c r="AO14" s="3640"/>
      <c r="AP14" s="3640"/>
      <c r="AQ14" s="3640"/>
      <c r="AR14" s="3640"/>
      <c r="AS14" s="3640"/>
    </row>
    <row r="15" spans="2:46" s="3619" customFormat="1" ht="30" customHeight="1">
      <c r="B15" s="3635" t="s">
        <v>3283</v>
      </c>
      <c r="C15" s="3636">
        <f>'Schedule B'!K153</f>
        <v>22360118</v>
      </c>
      <c r="D15" s="3910">
        <f t="shared" si="1"/>
        <v>6.4131057173366396E-2</v>
      </c>
      <c r="E15" s="6081"/>
      <c r="F15" s="6082"/>
      <c r="G15" s="3636">
        <f>'Schedule B'!Q153</f>
        <v>22520994.210000001</v>
      </c>
      <c r="H15" s="3910">
        <f t="shared" si="2"/>
        <v>5.0103190790170456E-2</v>
      </c>
      <c r="I15" s="3638">
        <f t="shared" si="0"/>
        <v>160876.21000000089</v>
      </c>
      <c r="J15" s="3822">
        <f t="shared" si="3"/>
        <v>1.5955295425036809E-3</v>
      </c>
      <c r="K15" s="3639"/>
      <c r="L15" s="3640"/>
      <c r="M15" s="3640"/>
      <c r="N15" s="3640"/>
      <c r="O15" s="3640"/>
      <c r="P15" s="3640"/>
      <c r="Q15" s="3640"/>
      <c r="R15" s="3640"/>
      <c r="S15" s="3640"/>
      <c r="T15" s="3640"/>
      <c r="U15" s="3640"/>
      <c r="V15" s="3640"/>
      <c r="W15" s="3640"/>
      <c r="X15" s="3640"/>
      <c r="Y15" s="3640"/>
      <c r="Z15" s="3640"/>
      <c r="AA15" s="3640"/>
      <c r="AB15" s="3640"/>
      <c r="AC15" s="3640"/>
      <c r="AD15" s="3640"/>
      <c r="AE15" s="3640"/>
      <c r="AF15" s="3640"/>
      <c r="AG15" s="3640"/>
      <c r="AH15" s="3640"/>
      <c r="AI15" s="3640"/>
      <c r="AJ15" s="3640"/>
      <c r="AK15" s="3640"/>
      <c r="AL15" s="3640"/>
      <c r="AM15" s="3640"/>
      <c r="AN15" s="3640"/>
      <c r="AO15" s="3640"/>
      <c r="AP15" s="3640"/>
      <c r="AQ15" s="3640"/>
      <c r="AR15" s="3640"/>
      <c r="AS15" s="3640"/>
    </row>
    <row r="16" spans="2:46" s="3619" customFormat="1" ht="30" customHeight="1">
      <c r="B16" s="3635" t="s">
        <v>3284</v>
      </c>
      <c r="C16" s="3636">
        <f>'Schedule B'!K154</f>
        <v>1284550.3500000001</v>
      </c>
      <c r="D16" s="3910">
        <f t="shared" si="1"/>
        <v>3.6842190161034852E-3</v>
      </c>
      <c r="E16" s="3909"/>
      <c r="F16" s="3910"/>
      <c r="G16" s="3636">
        <f>'Schedule B'!Q154</f>
        <v>1275030.3500000001</v>
      </c>
      <c r="H16" s="3910">
        <f t="shared" si="2"/>
        <v>2.8366016301776677E-3</v>
      </c>
      <c r="I16" s="3638">
        <f t="shared" si="0"/>
        <v>-9520</v>
      </c>
      <c r="J16" s="3822">
        <f t="shared" si="3"/>
        <v>-9.4416951049722996E-5</v>
      </c>
      <c r="K16" s="3803"/>
      <c r="L16" s="3640"/>
      <c r="M16" s="3640"/>
      <c r="N16" s="3640"/>
      <c r="O16" s="3640"/>
      <c r="P16" s="3640"/>
      <c r="Q16" s="3640"/>
      <c r="R16" s="3640"/>
      <c r="S16" s="3640"/>
      <c r="T16" s="3640"/>
      <c r="U16" s="3640"/>
      <c r="V16" s="3640"/>
      <c r="W16" s="3640"/>
      <c r="X16" s="3640"/>
      <c r="Y16" s="3640"/>
      <c r="Z16" s="3640"/>
      <c r="AA16" s="3640"/>
      <c r="AB16" s="3640"/>
      <c r="AC16" s="3640"/>
      <c r="AD16" s="3640"/>
      <c r="AE16" s="3640"/>
      <c r="AF16" s="3640"/>
      <c r="AG16" s="3640"/>
      <c r="AH16" s="3640"/>
      <c r="AI16" s="3640"/>
      <c r="AJ16" s="3640"/>
      <c r="AK16" s="3640"/>
      <c r="AL16" s="3640"/>
      <c r="AM16" s="3640"/>
      <c r="AN16" s="3640"/>
      <c r="AO16" s="3640"/>
      <c r="AP16" s="3640"/>
      <c r="AQ16" s="3640"/>
      <c r="AR16" s="3640"/>
      <c r="AS16" s="3640"/>
    </row>
    <row r="17" spans="2:45" s="3619" customFormat="1" ht="30" customHeight="1">
      <c r="B17" s="3635" t="s">
        <v>3415</v>
      </c>
      <c r="C17" s="3636"/>
      <c r="D17" s="3910"/>
      <c r="E17" s="3909"/>
      <c r="F17" s="3910"/>
      <c r="G17" s="3636">
        <f>+'Schedule B'!Q157</f>
        <v>7197028.5499999998</v>
      </c>
      <c r="H17" s="3910">
        <f t="shared" si="2"/>
        <v>1.6011464289744329E-2</v>
      </c>
      <c r="I17" s="3638">
        <f t="shared" si="0"/>
        <v>7197028.5499999998</v>
      </c>
      <c r="J17" s="3822">
        <f t="shared" si="3"/>
        <v>7.1378308015631192E-2</v>
      </c>
      <c r="K17" s="3803"/>
      <c r="L17" s="3640"/>
      <c r="M17" s="3640"/>
      <c r="N17" s="3640"/>
      <c r="O17" s="3640"/>
      <c r="P17" s="3640"/>
      <c r="Q17" s="3640"/>
      <c r="R17" s="3640"/>
      <c r="S17" s="3640"/>
      <c r="T17" s="3640"/>
      <c r="U17" s="3640"/>
      <c r="V17" s="3640"/>
      <c r="W17" s="3640"/>
      <c r="X17" s="3640"/>
      <c r="Y17" s="3640"/>
      <c r="Z17" s="3640"/>
      <c r="AA17" s="3640"/>
      <c r="AB17" s="3640"/>
      <c r="AC17" s="3640"/>
      <c r="AD17" s="3640"/>
      <c r="AE17" s="3640"/>
      <c r="AF17" s="3640"/>
      <c r="AG17" s="3640"/>
      <c r="AH17" s="3640"/>
      <c r="AI17" s="3640"/>
      <c r="AJ17" s="3640"/>
      <c r="AK17" s="3640"/>
      <c r="AL17" s="3640"/>
      <c r="AM17" s="3640"/>
      <c r="AN17" s="3640"/>
      <c r="AO17" s="3640"/>
      <c r="AP17" s="3640"/>
      <c r="AQ17" s="3640"/>
      <c r="AR17" s="3640"/>
      <c r="AS17" s="3640"/>
    </row>
    <row r="18" spans="2:45" s="3619" customFormat="1" ht="30" customHeight="1">
      <c r="B18" s="3635" t="s">
        <v>3414</v>
      </c>
      <c r="C18" s="3636">
        <v>23125000</v>
      </c>
      <c r="D18" s="3910">
        <f>C18/$C$21</f>
        <v>6.6324815331211484E-2</v>
      </c>
      <c r="E18" s="3909"/>
      <c r="F18" s="3910"/>
      <c r="G18" s="3636">
        <f>+'Schedule B'!Q155</f>
        <v>95540331.689999983</v>
      </c>
      <c r="H18" s="3910">
        <f t="shared" si="2"/>
        <v>0.21255169386326295</v>
      </c>
      <c r="I18" s="3638">
        <f t="shared" si="0"/>
        <v>72415331.689999983</v>
      </c>
      <c r="J18" s="3822">
        <f t="shared" si="3"/>
        <v>0.71819693565380072</v>
      </c>
      <c r="K18" s="3803"/>
      <c r="L18" s="3640"/>
      <c r="M18" s="3640"/>
      <c r="N18" s="3640"/>
      <c r="O18" s="3640"/>
      <c r="P18" s="3640"/>
      <c r="Q18" s="3640"/>
      <c r="R18" s="3640"/>
      <c r="S18" s="3640"/>
      <c r="T18" s="3640"/>
      <c r="U18" s="3640"/>
      <c r="V18" s="3640"/>
      <c r="W18" s="3640"/>
      <c r="X18" s="3640"/>
      <c r="Y18" s="3640"/>
      <c r="Z18" s="3640"/>
      <c r="AA18" s="3640"/>
      <c r="AB18" s="3640"/>
      <c r="AC18" s="3640"/>
      <c r="AD18" s="3640"/>
      <c r="AE18" s="3640"/>
      <c r="AF18" s="3640"/>
      <c r="AG18" s="3640"/>
      <c r="AH18" s="3640"/>
      <c r="AI18" s="3640"/>
      <c r="AJ18" s="3640"/>
      <c r="AK18" s="3640"/>
      <c r="AL18" s="3640"/>
      <c r="AM18" s="3640"/>
      <c r="AN18" s="3640"/>
      <c r="AO18" s="3640"/>
      <c r="AP18" s="3640"/>
      <c r="AQ18" s="3640"/>
      <c r="AR18" s="3640"/>
      <c r="AS18" s="3640"/>
    </row>
    <row r="19" spans="2:45" s="3619" customFormat="1" ht="30" customHeight="1">
      <c r="B19" s="3635" t="s">
        <v>3333</v>
      </c>
      <c r="C19" s="3636">
        <f>26533574.42-C18+684238</f>
        <v>4092812.4200000018</v>
      </c>
      <c r="D19" s="3910">
        <f t="shared" si="1"/>
        <v>1.173859580288817E-2</v>
      </c>
      <c r="E19" s="3909"/>
      <c r="F19" s="3910"/>
      <c r="G19" s="3909">
        <v>0</v>
      </c>
      <c r="H19" s="3910"/>
      <c r="I19" s="3638">
        <f>G19-C19</f>
        <v>-4092812.4200000018</v>
      </c>
      <c r="J19" s="3643"/>
      <c r="K19" s="3804"/>
      <c r="L19" s="3640"/>
      <c r="M19" s="3930">
        <f>C19+C18</f>
        <v>27217812.420000002</v>
      </c>
      <c r="N19" s="3640"/>
      <c r="O19" s="3640"/>
      <c r="P19" s="3640"/>
      <c r="Q19" s="3640"/>
      <c r="R19" s="3640"/>
      <c r="S19" s="3640"/>
      <c r="T19" s="3640"/>
      <c r="U19" s="3640"/>
      <c r="V19" s="3640"/>
      <c r="W19" s="3640"/>
      <c r="X19" s="3640"/>
      <c r="Y19" s="3640"/>
      <c r="Z19" s="3640"/>
      <c r="AA19" s="3640"/>
      <c r="AB19" s="3640"/>
      <c r="AC19" s="3640"/>
      <c r="AD19" s="3640"/>
      <c r="AE19" s="3640"/>
      <c r="AF19" s="3640"/>
      <c r="AG19" s="3640"/>
      <c r="AH19" s="3640"/>
      <c r="AI19" s="3640"/>
      <c r="AJ19" s="3640"/>
      <c r="AK19" s="3640"/>
      <c r="AL19" s="3640"/>
      <c r="AM19" s="3640"/>
      <c r="AN19" s="3640"/>
      <c r="AO19" s="3640"/>
      <c r="AP19" s="3640"/>
      <c r="AQ19" s="3640"/>
      <c r="AR19" s="3640"/>
      <c r="AS19" s="3640"/>
    </row>
    <row r="20" spans="2:45" s="3619" customFormat="1" ht="30" customHeight="1">
      <c r="B20" s="3635"/>
      <c r="C20" s="3909"/>
      <c r="D20" s="3910"/>
      <c r="E20" s="3909"/>
      <c r="F20" s="3910"/>
      <c r="G20" s="3641"/>
      <c r="H20" s="3910"/>
      <c r="I20" s="3642"/>
      <c r="J20" s="3643"/>
      <c r="K20" s="3644"/>
      <c r="L20" s="3640"/>
      <c r="M20" s="3640"/>
      <c r="N20" s="3640"/>
      <c r="O20" s="3640"/>
      <c r="P20" s="3640"/>
      <c r="Q20" s="3640"/>
      <c r="R20" s="3640"/>
      <c r="S20" s="3640"/>
      <c r="T20" s="3640"/>
      <c r="U20" s="3640"/>
      <c r="V20" s="3640"/>
      <c r="W20" s="3640"/>
      <c r="X20" s="3640"/>
      <c r="Y20" s="3640"/>
      <c r="Z20" s="3640"/>
      <c r="AA20" s="3640"/>
      <c r="AB20" s="3640"/>
      <c r="AC20" s="3640"/>
      <c r="AD20" s="3640"/>
      <c r="AE20" s="3640"/>
      <c r="AF20" s="3640"/>
      <c r="AG20" s="3640"/>
      <c r="AH20" s="3640"/>
      <c r="AI20" s="3640"/>
      <c r="AJ20" s="3640"/>
      <c r="AK20" s="3640"/>
      <c r="AL20" s="3640"/>
      <c r="AM20" s="3640"/>
      <c r="AN20" s="3640"/>
      <c r="AO20" s="3640"/>
      <c r="AP20" s="3640"/>
      <c r="AQ20" s="3640"/>
      <c r="AR20" s="3640"/>
      <c r="AS20" s="3640"/>
    </row>
    <row r="21" spans="2:45" s="3647" customFormat="1" ht="46.5" customHeight="1">
      <c r="B21" s="3799" t="s">
        <v>3285</v>
      </c>
      <c r="C21" s="3800">
        <f>SUM(C6:C20)</f>
        <v>348662862.98000008</v>
      </c>
      <c r="D21" s="3801">
        <f>IFERROR(C21/$C$26,0)</f>
        <v>0.89476557390225631</v>
      </c>
      <c r="E21" s="3800">
        <f>SUM(E16:E20)</f>
        <v>0</v>
      </c>
      <c r="F21" s="3801">
        <f>IFERROR(E21/$E$26,0)</f>
        <v>0</v>
      </c>
      <c r="G21" s="3800">
        <f>SUM(G6:G20)</f>
        <v>449492215.06304353</v>
      </c>
      <c r="H21" s="3801">
        <f>IFERROR(G21/$G$26,0)</f>
        <v>0.9155969882919861</v>
      </c>
      <c r="I21" s="3802">
        <f>IFERROR(G21-C21,0)</f>
        <v>100829352.08304346</v>
      </c>
      <c r="J21" s="3824">
        <f t="shared" ref="J21:J26" si="4">IFERROR(I21/C21,0)</f>
        <v>0.28918867705399187</v>
      </c>
      <c r="K21" s="3645"/>
      <c r="L21" s="3646"/>
      <c r="M21" s="3931">
        <v>380550505.27999997</v>
      </c>
      <c r="N21" s="3836">
        <f>+M21-C21</f>
        <v>31887642.299999893</v>
      </c>
      <c r="O21" s="3935">
        <f>+'Schedule B'!Q183</f>
        <v>499601291.74304348</v>
      </c>
      <c r="P21" s="3661">
        <f>+O21-G21</f>
        <v>50109076.679999948</v>
      </c>
      <c r="Q21" s="3646"/>
      <c r="R21" s="3646"/>
      <c r="S21" s="3646"/>
      <c r="T21" s="3646"/>
      <c r="U21" s="3646"/>
      <c r="V21" s="3646"/>
      <c r="W21" s="3646"/>
      <c r="X21" s="3646"/>
      <c r="Y21" s="3646"/>
      <c r="Z21" s="3646"/>
      <c r="AA21" s="3646"/>
      <c r="AB21" s="3646"/>
      <c r="AC21" s="3646"/>
      <c r="AD21" s="3646"/>
      <c r="AE21" s="3646"/>
      <c r="AF21" s="3646"/>
      <c r="AG21" s="3646"/>
      <c r="AH21" s="3646"/>
      <c r="AI21" s="3646"/>
      <c r="AJ21" s="3646"/>
      <c r="AK21" s="3646"/>
      <c r="AL21" s="3646"/>
      <c r="AM21" s="3646"/>
      <c r="AN21" s="3646"/>
      <c r="AO21" s="3646"/>
      <c r="AP21" s="3646"/>
      <c r="AQ21" s="3646"/>
      <c r="AR21" s="3646"/>
      <c r="AS21" s="3646"/>
    </row>
    <row r="22" spans="2:45" s="3654" customFormat="1" ht="30" customHeight="1">
      <c r="B22" s="3648" t="s">
        <v>3286</v>
      </c>
      <c r="C22" s="3649">
        <f>SUM(C21:C21)</f>
        <v>348662862.98000008</v>
      </c>
      <c r="D22" s="3650"/>
      <c r="E22" s="3649">
        <f>SUM(E21:E21)</f>
        <v>0</v>
      </c>
      <c r="F22" s="3650"/>
      <c r="G22" s="3649">
        <f>SUM(G21:G21)</f>
        <v>449492215.06304353</v>
      </c>
      <c r="H22" s="3650"/>
      <c r="I22" s="3651">
        <f>IFERROR(G22-C22,0)</f>
        <v>100829352.08304346</v>
      </c>
      <c r="J22" s="3825">
        <f t="shared" si="4"/>
        <v>0.28918867705399187</v>
      </c>
      <c r="K22" s="3652"/>
      <c r="L22" s="3653"/>
      <c r="M22" s="3936">
        <f>+G21-C21</f>
        <v>100829352.08304346</v>
      </c>
      <c r="N22" s="3653"/>
      <c r="O22" s="3653"/>
      <c r="P22" s="3653"/>
      <c r="Q22" s="3653"/>
      <c r="R22" s="3653"/>
      <c r="S22" s="3653"/>
      <c r="T22" s="3653"/>
      <c r="U22" s="3653"/>
      <c r="V22" s="3653"/>
      <c r="W22" s="3653"/>
      <c r="X22" s="3653"/>
      <c r="Y22" s="3653"/>
      <c r="Z22" s="3653"/>
      <c r="AA22" s="3653"/>
      <c r="AB22" s="3653"/>
      <c r="AC22" s="3653"/>
      <c r="AD22" s="3653"/>
      <c r="AE22" s="3653"/>
      <c r="AF22" s="3653"/>
      <c r="AG22" s="3653"/>
      <c r="AH22" s="3653"/>
      <c r="AI22" s="3653"/>
      <c r="AJ22" s="3653"/>
      <c r="AK22" s="3653"/>
      <c r="AL22" s="3653"/>
      <c r="AM22" s="3653"/>
      <c r="AN22" s="3653"/>
      <c r="AO22" s="3653"/>
      <c r="AP22" s="3653"/>
      <c r="AQ22" s="3653"/>
      <c r="AR22" s="3653"/>
      <c r="AS22" s="3653"/>
    </row>
    <row r="23" spans="2:45" s="3619" customFormat="1" ht="30" customHeight="1">
      <c r="B23" s="3655" t="s">
        <v>3287</v>
      </c>
      <c r="C23" s="3656" t="s">
        <v>3288</v>
      </c>
      <c r="D23" s="3657">
        <f>IFERROR(C23/$C$26,0)</f>
        <v>0</v>
      </c>
      <c r="E23" s="3656" t="s">
        <v>3288</v>
      </c>
      <c r="F23" s="3657">
        <f>IFERROR(E23/$G$26,0)</f>
        <v>0</v>
      </c>
      <c r="G23" s="3656" t="s">
        <v>3288</v>
      </c>
      <c r="H23" s="3657">
        <f>IFERROR(G23/$G$26,0)</f>
        <v>0</v>
      </c>
      <c r="I23" s="3823" t="s">
        <v>3288</v>
      </c>
      <c r="J23" s="3658">
        <f t="shared" si="4"/>
        <v>0</v>
      </c>
      <c r="K23" s="3659"/>
      <c r="L23" s="3640"/>
      <c r="M23" s="3640"/>
      <c r="N23" s="3640"/>
      <c r="O23" s="3640"/>
      <c r="P23" s="3640"/>
      <c r="Q23" s="3640"/>
      <c r="R23" s="3640"/>
      <c r="S23" s="3640"/>
      <c r="T23" s="3640"/>
      <c r="U23" s="3640"/>
      <c r="V23" s="3640"/>
      <c r="W23" s="3640"/>
      <c r="X23" s="3640"/>
      <c r="Y23" s="3640"/>
      <c r="Z23" s="3640"/>
      <c r="AA23" s="3640"/>
      <c r="AB23" s="3640"/>
      <c r="AC23" s="3640"/>
      <c r="AD23" s="3640"/>
      <c r="AE23" s="3640"/>
      <c r="AF23" s="3640"/>
      <c r="AG23" s="3640"/>
      <c r="AH23" s="3640"/>
      <c r="AI23" s="3640"/>
      <c r="AJ23" s="3640"/>
      <c r="AK23" s="3640"/>
      <c r="AL23" s="3640"/>
      <c r="AM23" s="3640"/>
      <c r="AN23" s="3640"/>
      <c r="AO23" s="3640"/>
      <c r="AP23" s="3640"/>
      <c r="AQ23" s="3640"/>
      <c r="AR23" s="3640"/>
      <c r="AS23" s="3640"/>
    </row>
    <row r="24" spans="2:45" s="3647" customFormat="1" ht="46.5" customHeight="1">
      <c r="B24" s="3805" t="s">
        <v>3289</v>
      </c>
      <c r="C24" s="3806">
        <f>SUM(C22:C23)</f>
        <v>348662862.98000008</v>
      </c>
      <c r="D24" s="3807">
        <f>IFERROR(C24/$C$26,0)</f>
        <v>0.89476557390225631</v>
      </c>
      <c r="E24" s="3806">
        <f>SUM(E22:E23)</f>
        <v>0</v>
      </c>
      <c r="F24" s="3807">
        <f>IFERROR(E24/$E$26,0)</f>
        <v>0</v>
      </c>
      <c r="G24" s="3806">
        <f>SUM(G22:G23)</f>
        <v>449492215.06304353</v>
      </c>
      <c r="H24" s="3807">
        <f>IFERROR(G24/$G$26,0)</f>
        <v>0.9155969882919861</v>
      </c>
      <c r="I24" s="3808">
        <f>IFERROR(G24-C24,0)</f>
        <v>100829352.08304346</v>
      </c>
      <c r="J24" s="3826">
        <f t="shared" si="4"/>
        <v>0.28918867705399187</v>
      </c>
      <c r="K24" s="3660"/>
      <c r="L24" s="3646"/>
      <c r="M24" s="3646"/>
      <c r="N24" s="3661"/>
      <c r="O24" s="3646"/>
      <c r="P24" s="3646"/>
      <c r="Q24" s="3646"/>
      <c r="R24" s="3646"/>
      <c r="S24" s="3646"/>
      <c r="T24" s="3646"/>
      <c r="U24" s="3646"/>
      <c r="V24" s="3646"/>
      <c r="W24" s="3646"/>
      <c r="X24" s="3646"/>
      <c r="Y24" s="3646"/>
      <c r="Z24" s="3646"/>
      <c r="AA24" s="3646"/>
      <c r="AB24" s="3646"/>
      <c r="AC24" s="3646"/>
      <c r="AD24" s="3646"/>
      <c r="AE24" s="3646"/>
      <c r="AF24" s="3646"/>
      <c r="AG24" s="3646"/>
      <c r="AH24" s="3646"/>
      <c r="AI24" s="3646"/>
      <c r="AJ24" s="3646"/>
      <c r="AK24" s="3646"/>
      <c r="AL24" s="3646"/>
      <c r="AM24" s="3646"/>
      <c r="AN24" s="3646"/>
      <c r="AO24" s="3646"/>
      <c r="AP24" s="3646"/>
      <c r="AQ24" s="3646"/>
      <c r="AR24" s="3646"/>
      <c r="AS24" s="3646"/>
    </row>
    <row r="25" spans="2:45" s="3619" customFormat="1" ht="30" customHeight="1">
      <c r="B25" s="3662" t="s">
        <v>3290</v>
      </c>
      <c r="C25" s="3663">
        <f>'Schedule B'!K223</f>
        <v>41006647.279999994</v>
      </c>
      <c r="D25" s="3664">
        <f>IFERROR(C25/$C$26,0)</f>
        <v>0.10523442609774379</v>
      </c>
      <c r="E25" s="3663">
        <v>154949000</v>
      </c>
      <c r="F25" s="3664">
        <f>IFERROR(E25/$E$26,0)</f>
        <v>1</v>
      </c>
      <c r="G25" s="3663">
        <f>'Schedule B'!Q223</f>
        <v>41435803.279999994</v>
      </c>
      <c r="H25" s="3664">
        <f>IFERROR(G25/$G$26,0)</f>
        <v>8.4403011708013967E-2</v>
      </c>
      <c r="I25" s="3665">
        <f>G25-C25</f>
        <v>429156</v>
      </c>
      <c r="J25" s="3828">
        <f t="shared" si="4"/>
        <v>1.0465522749754538E-2</v>
      </c>
      <c r="K25" s="3666"/>
      <c r="L25" s="3640"/>
      <c r="M25" s="3640"/>
      <c r="N25" s="3640"/>
      <c r="O25" s="3640"/>
      <c r="P25" s="3640"/>
      <c r="Q25" s="3640"/>
      <c r="R25" s="3640"/>
      <c r="S25" s="3640"/>
      <c r="T25" s="3640"/>
      <c r="U25" s="3640"/>
      <c r="V25" s="3640"/>
      <c r="W25" s="3640"/>
      <c r="X25" s="3640"/>
      <c r="Y25" s="3640"/>
      <c r="Z25" s="3640"/>
      <c r="AA25" s="3640"/>
      <c r="AB25" s="3640"/>
      <c r="AC25" s="3640"/>
      <c r="AD25" s="3640"/>
      <c r="AE25" s="3640"/>
      <c r="AF25" s="3640"/>
      <c r="AG25" s="3640"/>
      <c r="AH25" s="3640"/>
      <c r="AI25" s="3640"/>
      <c r="AJ25" s="3640"/>
      <c r="AK25" s="3640"/>
      <c r="AL25" s="3640"/>
      <c r="AM25" s="3640"/>
      <c r="AN25" s="3640"/>
      <c r="AO25" s="3640"/>
      <c r="AP25" s="3640"/>
      <c r="AQ25" s="3640"/>
      <c r="AR25" s="3640"/>
      <c r="AS25" s="3640"/>
    </row>
    <row r="26" spans="2:45" s="3647" customFormat="1" ht="46.5" customHeight="1">
      <c r="B26" s="3809" t="s">
        <v>3291</v>
      </c>
      <c r="C26" s="3810">
        <f>SUM(C24:C25)</f>
        <v>389669510.26000005</v>
      </c>
      <c r="D26" s="3807">
        <f>IFERROR(C26/$C$26,0)</f>
        <v>1</v>
      </c>
      <c r="E26" s="3810">
        <f>SUM(E24:E25)</f>
        <v>154949000</v>
      </c>
      <c r="F26" s="3807">
        <f>IFERROR(E26/$E$26,0)</f>
        <v>1</v>
      </c>
      <c r="G26" s="3810">
        <f>SUM(G24:G25)</f>
        <v>490928018.34304351</v>
      </c>
      <c r="H26" s="3807">
        <f>IFERROR(G26/$G$26,0)</f>
        <v>1</v>
      </c>
      <c r="I26" s="3811">
        <f>IFERROR(G26-C26,0)</f>
        <v>101258508.08304346</v>
      </c>
      <c r="J26" s="3827">
        <f t="shared" si="4"/>
        <v>0.25985740587063255</v>
      </c>
      <c r="K26" s="3670"/>
      <c r="L26" s="3646"/>
      <c r="M26" s="3836">
        <f>+I26-'Additional Budget - Det (19Dec)'!D47</f>
        <v>96645322.459999979</v>
      </c>
      <c r="N26" s="3646"/>
      <c r="O26" s="3671">
        <f>+'Schedule B'!S268</f>
        <v>-3234573.2769563198</v>
      </c>
      <c r="P26" s="3671"/>
      <c r="Q26" s="3671"/>
      <c r="R26" s="3671"/>
      <c r="S26" s="3671"/>
      <c r="T26" s="3671"/>
      <c r="U26" s="3646"/>
      <c r="V26" s="3646"/>
      <c r="W26" s="3646"/>
      <c r="X26" s="3646"/>
      <c r="Y26" s="3646"/>
      <c r="Z26" s="3646"/>
      <c r="AA26" s="3646"/>
      <c r="AB26" s="3646"/>
      <c r="AC26" s="3646"/>
      <c r="AD26" s="3646"/>
      <c r="AE26" s="3646"/>
      <c r="AF26" s="3646"/>
      <c r="AG26" s="3646"/>
      <c r="AH26" s="3646"/>
      <c r="AI26" s="3646"/>
      <c r="AJ26" s="3646"/>
      <c r="AK26" s="3646"/>
      <c r="AL26" s="3646"/>
      <c r="AM26" s="3646"/>
      <c r="AN26" s="3646"/>
      <c r="AO26" s="3646"/>
      <c r="AP26" s="3646"/>
      <c r="AQ26" s="3646"/>
      <c r="AR26" s="3646"/>
      <c r="AS26" s="3646"/>
    </row>
    <row r="27" spans="2:45" ht="24.75" hidden="1" customHeight="1">
      <c r="B27" s="3672" t="s">
        <v>3292</v>
      </c>
      <c r="C27" s="3673"/>
      <c r="D27" s="3674">
        <f>IFERROR(C27/$C$28,0)</f>
        <v>0</v>
      </c>
      <c r="E27" s="3673"/>
      <c r="F27" s="3674">
        <f>IFERROR(E27/$G$28,0)</f>
        <v>0</v>
      </c>
      <c r="G27" s="3673"/>
      <c r="H27" s="3674">
        <f>IFERROR(G27/$G$28,0)</f>
        <v>0</v>
      </c>
      <c r="I27" s="3675"/>
      <c r="J27" s="3676"/>
      <c r="K27" s="3666"/>
      <c r="L27" s="3628"/>
      <c r="M27" s="3628"/>
      <c r="N27" s="3628"/>
      <c r="O27" s="3628"/>
      <c r="P27" s="3628"/>
      <c r="Q27" s="3628"/>
      <c r="R27" s="3628"/>
      <c r="S27" s="3628"/>
      <c r="T27" s="3628"/>
      <c r="U27" s="3628"/>
      <c r="V27" s="3628"/>
      <c r="W27" s="3628"/>
      <c r="X27" s="3628"/>
      <c r="Y27" s="3628"/>
      <c r="Z27" s="3628"/>
      <c r="AA27" s="3628"/>
      <c r="AB27" s="3628"/>
      <c r="AC27" s="3628"/>
      <c r="AD27" s="3628"/>
      <c r="AE27" s="3628"/>
      <c r="AF27" s="3628"/>
      <c r="AG27" s="3628"/>
      <c r="AH27" s="3628"/>
      <c r="AI27" s="3628"/>
      <c r="AJ27" s="3628"/>
      <c r="AK27" s="3628"/>
      <c r="AL27" s="3628"/>
      <c r="AM27" s="3628"/>
      <c r="AN27" s="3628"/>
      <c r="AO27" s="3628"/>
      <c r="AP27" s="3628"/>
      <c r="AQ27" s="3628"/>
      <c r="AR27" s="3628"/>
      <c r="AS27" s="3628"/>
    </row>
    <row r="28" spans="2:45" s="3647" customFormat="1" ht="46.5" hidden="1" customHeight="1">
      <c r="B28" s="3667" t="s">
        <v>3293</v>
      </c>
      <c r="C28" s="3668">
        <f>SUM(C26:C27)</f>
        <v>389669510.26000005</v>
      </c>
      <c r="D28" s="3677">
        <f>IFERROR(C28/$C$28,0)</f>
        <v>1</v>
      </c>
      <c r="E28" s="3668">
        <f>SUM(E26:E27)</f>
        <v>154949000</v>
      </c>
      <c r="F28" s="3677">
        <f>IFERROR(E28/$G$28,0)</f>
        <v>0.31562468266320665</v>
      </c>
      <c r="G28" s="3668">
        <f>SUM(G26:G27)</f>
        <v>490928018.34304351</v>
      </c>
      <c r="H28" s="3677">
        <f>IFERROR(G28/$G$28,0)</f>
        <v>1</v>
      </c>
      <c r="I28" s="3669">
        <f>IFERROR(G28-C28,0)</f>
        <v>101258508.08304346</v>
      </c>
      <c r="J28" s="3678">
        <f>IFERROR(I28/C28,0)</f>
        <v>0.25985740587063255</v>
      </c>
      <c r="K28" s="3670"/>
      <c r="L28" s="3646"/>
      <c r="M28" s="3646"/>
      <c r="N28" s="3646"/>
      <c r="O28" s="3646"/>
      <c r="P28" s="3646"/>
      <c r="Q28" s="3646"/>
      <c r="R28" s="3646"/>
      <c r="S28" s="3646"/>
      <c r="T28" s="3646"/>
      <c r="U28" s="3646"/>
      <c r="V28" s="3646"/>
      <c r="W28" s="3646"/>
      <c r="X28" s="3646"/>
      <c r="Y28" s="3646"/>
      <c r="Z28" s="3646"/>
      <c r="AA28" s="3646"/>
      <c r="AB28" s="3646"/>
      <c r="AC28" s="3646"/>
      <c r="AD28" s="3646"/>
      <c r="AE28" s="3646"/>
      <c r="AF28" s="3646"/>
      <c r="AG28" s="3646"/>
      <c r="AH28" s="3646"/>
      <c r="AI28" s="3646"/>
      <c r="AJ28" s="3646"/>
      <c r="AK28" s="3646"/>
      <c r="AL28" s="3646"/>
      <c r="AM28" s="3646"/>
      <c r="AN28" s="3646"/>
      <c r="AO28" s="3646"/>
      <c r="AP28" s="3646"/>
      <c r="AQ28" s="3646"/>
      <c r="AR28" s="3646"/>
      <c r="AS28" s="3646"/>
    </row>
    <row r="29" spans="2:45" ht="18" hidden="1">
      <c r="B29" s="3679"/>
      <c r="C29" s="3680"/>
      <c r="D29" s="3681"/>
      <c r="E29" s="3682"/>
      <c r="F29" s="3681"/>
      <c r="G29" s="3682"/>
      <c r="H29" s="3681"/>
      <c r="I29" s="3683"/>
      <c r="J29" s="3684"/>
      <c r="K29" s="3628"/>
      <c r="L29" s="3628"/>
      <c r="M29" s="3628"/>
      <c r="N29" s="3628"/>
      <c r="O29" s="3628"/>
      <c r="P29" s="3628"/>
      <c r="Q29" s="3628"/>
      <c r="R29" s="3628"/>
      <c r="S29" s="3628"/>
      <c r="T29" s="3628"/>
      <c r="U29" s="3628"/>
      <c r="V29" s="3628"/>
      <c r="W29" s="3628"/>
      <c r="X29" s="3628"/>
      <c r="Y29" s="3628"/>
      <c r="Z29" s="3628"/>
      <c r="AA29" s="3628"/>
      <c r="AB29" s="3628"/>
      <c r="AC29" s="3628"/>
      <c r="AD29" s="3628"/>
      <c r="AE29" s="3628"/>
      <c r="AF29" s="3628"/>
      <c r="AG29" s="3628"/>
      <c r="AH29" s="3628"/>
      <c r="AI29" s="3628"/>
      <c r="AJ29" s="3628"/>
      <c r="AK29" s="3628"/>
      <c r="AL29" s="3628"/>
      <c r="AM29" s="3628"/>
      <c r="AN29" s="3628"/>
      <c r="AO29" s="3628"/>
      <c r="AP29" s="3628"/>
      <c r="AQ29" s="3628"/>
      <c r="AR29" s="3628"/>
      <c r="AS29" s="3628"/>
    </row>
    <row r="30" spans="2:45" ht="33" hidden="1" customHeight="1">
      <c r="B30" s="3685" t="s">
        <v>3294</v>
      </c>
      <c r="C30" s="3686"/>
      <c r="D30" s="3687"/>
      <c r="E30" s="3688"/>
      <c r="F30" s="3687"/>
      <c r="G30" s="3688"/>
      <c r="H30" s="3687"/>
      <c r="I30" s="3688">
        <f>IFERROR(G30-C30,0)</f>
        <v>0</v>
      </c>
      <c r="J30" s="3689"/>
      <c r="K30" s="3690"/>
      <c r="L30" s="3628"/>
      <c r="M30" s="3628"/>
      <c r="N30" s="3628"/>
      <c r="O30" s="3628"/>
      <c r="P30" s="3628"/>
      <c r="Q30" s="3628"/>
      <c r="R30" s="3628"/>
      <c r="S30" s="3628"/>
      <c r="T30" s="3628"/>
      <c r="U30" s="3628"/>
      <c r="V30" s="3628"/>
      <c r="W30" s="3628"/>
      <c r="X30" s="3628"/>
      <c r="Y30" s="3628"/>
      <c r="Z30" s="3628"/>
      <c r="AA30" s="3628"/>
      <c r="AB30" s="3628"/>
      <c r="AC30" s="3628"/>
      <c r="AD30" s="3628"/>
      <c r="AE30" s="3628"/>
      <c r="AF30" s="3628"/>
      <c r="AG30" s="3628"/>
      <c r="AH30" s="3628"/>
      <c r="AI30" s="3628"/>
      <c r="AJ30" s="3628"/>
      <c r="AK30" s="3628"/>
      <c r="AL30" s="3628"/>
      <c r="AM30" s="3628"/>
      <c r="AN30" s="3628"/>
      <c r="AO30" s="3628"/>
      <c r="AP30" s="3628"/>
      <c r="AQ30" s="3628"/>
      <c r="AR30" s="3628"/>
      <c r="AS30" s="3628"/>
    </row>
    <row r="31" spans="2:45" ht="18" hidden="1">
      <c r="B31" s="3679"/>
      <c r="C31" s="3691"/>
      <c r="D31" s="3692"/>
      <c r="E31" s="3693"/>
      <c r="F31" s="3692"/>
      <c r="G31" s="3693"/>
      <c r="H31" s="3692"/>
      <c r="I31" s="3694"/>
      <c r="J31" s="3695"/>
      <c r="K31" s="3628"/>
      <c r="L31" s="3628"/>
      <c r="M31" s="3628"/>
      <c r="N31" s="3628"/>
      <c r="O31" s="3628"/>
      <c r="P31" s="3628"/>
      <c r="Q31" s="3628"/>
      <c r="R31" s="3628"/>
      <c r="S31" s="3628"/>
      <c r="T31" s="3628"/>
      <c r="U31" s="3628"/>
      <c r="V31" s="3628"/>
      <c r="W31" s="3628"/>
      <c r="X31" s="3628"/>
      <c r="Y31" s="3628"/>
      <c r="Z31" s="3628"/>
      <c r="AA31" s="3628"/>
      <c r="AB31" s="3628"/>
      <c r="AC31" s="3628"/>
      <c r="AD31" s="3628"/>
      <c r="AE31" s="3628"/>
      <c r="AF31" s="3628"/>
      <c r="AG31" s="3628"/>
      <c r="AH31" s="3628"/>
      <c r="AI31" s="3628"/>
      <c r="AJ31" s="3628"/>
      <c r="AK31" s="3628"/>
      <c r="AL31" s="3628"/>
      <c r="AM31" s="3628"/>
      <c r="AN31" s="3628"/>
      <c r="AO31" s="3628"/>
      <c r="AP31" s="3628"/>
      <c r="AQ31" s="3628"/>
      <c r="AR31" s="3628"/>
      <c r="AS31" s="3628"/>
    </row>
    <row r="32" spans="2:45" s="3647" customFormat="1" ht="46.5" hidden="1" customHeight="1">
      <c r="B32" s="3667" t="s">
        <v>3295</v>
      </c>
      <c r="C32" s="3668">
        <f>SUM(C26,C30)</f>
        <v>389669510.26000005</v>
      </c>
      <c r="D32" s="3677"/>
      <c r="E32" s="3668">
        <f>SUM(E26,E30)</f>
        <v>154949000</v>
      </c>
      <c r="F32" s="3677"/>
      <c r="G32" s="3668">
        <f>SUM(G26,G30)</f>
        <v>490928018.34304351</v>
      </c>
      <c r="H32" s="3677"/>
      <c r="I32" s="3669">
        <f>IFERROR(G32-C32,0)</f>
        <v>101258508.08304346</v>
      </c>
      <c r="J32" s="3678">
        <f>IFERROR(I32/C32,0)</f>
        <v>0.25985740587063255</v>
      </c>
      <c r="K32" s="3670"/>
      <c r="L32" s="3646"/>
      <c r="M32" s="3646"/>
      <c r="N32" s="3646"/>
      <c r="O32" s="3646"/>
      <c r="P32" s="3646"/>
      <c r="Q32" s="3646"/>
      <c r="R32" s="3646"/>
      <c r="S32" s="3646"/>
      <c r="T32" s="3646"/>
      <c r="U32" s="3646"/>
      <c r="V32" s="3646"/>
      <c r="W32" s="3646"/>
      <c r="X32" s="3646"/>
      <c r="Y32" s="3646"/>
      <c r="Z32" s="3646"/>
      <c r="AA32" s="3646"/>
      <c r="AB32" s="3646"/>
      <c r="AC32" s="3646"/>
      <c r="AD32" s="3646"/>
      <c r="AE32" s="3646"/>
      <c r="AF32" s="3646"/>
      <c r="AG32" s="3646"/>
      <c r="AH32" s="3646"/>
      <c r="AI32" s="3646"/>
      <c r="AJ32" s="3646"/>
      <c r="AK32" s="3646"/>
      <c r="AL32" s="3646"/>
      <c r="AM32" s="3646"/>
      <c r="AN32" s="3646"/>
      <c r="AO32" s="3646"/>
      <c r="AP32" s="3646"/>
      <c r="AQ32" s="3646"/>
      <c r="AR32" s="3646"/>
      <c r="AS32" s="3646"/>
    </row>
    <row r="33" spans="2:45" ht="18" hidden="1">
      <c r="B33" s="3679"/>
      <c r="C33" s="3680"/>
      <c r="D33" s="3681"/>
      <c r="E33" s="3682"/>
      <c r="F33" s="3681"/>
      <c r="G33" s="3682"/>
      <c r="H33" s="3681"/>
      <c r="I33" s="3683"/>
      <c r="J33" s="3684"/>
      <c r="K33" s="3628"/>
      <c r="L33" s="3628"/>
      <c r="M33" s="3628"/>
      <c r="N33" s="3628"/>
      <c r="O33" s="3628"/>
      <c r="P33" s="3628"/>
      <c r="Q33" s="3628"/>
      <c r="R33" s="3628"/>
      <c r="S33" s="3628"/>
      <c r="T33" s="3628"/>
      <c r="U33" s="3628"/>
      <c r="V33" s="3628"/>
      <c r="W33" s="3628"/>
      <c r="X33" s="3628"/>
      <c r="Y33" s="3628"/>
      <c r="Z33" s="3628"/>
      <c r="AA33" s="3628"/>
      <c r="AB33" s="3628"/>
      <c r="AC33" s="3628"/>
      <c r="AD33" s="3628"/>
      <c r="AE33" s="3628"/>
      <c r="AF33" s="3628"/>
      <c r="AG33" s="3628"/>
      <c r="AH33" s="3628"/>
      <c r="AI33" s="3628"/>
      <c r="AJ33" s="3628"/>
      <c r="AK33" s="3628"/>
      <c r="AL33" s="3628"/>
      <c r="AM33" s="3628"/>
      <c r="AN33" s="3628"/>
      <c r="AO33" s="3628"/>
      <c r="AP33" s="3628"/>
      <c r="AQ33" s="3628"/>
      <c r="AR33" s="3628"/>
      <c r="AS33" s="3628"/>
    </row>
    <row r="34" spans="2:45" ht="33" hidden="1" customHeight="1">
      <c r="B34" s="3685" t="s">
        <v>3296</v>
      </c>
      <c r="C34" s="3686"/>
      <c r="D34" s="3687"/>
      <c r="E34" s="3688"/>
      <c r="F34" s="3687"/>
      <c r="G34" s="3688"/>
      <c r="H34" s="3687"/>
      <c r="I34" s="3688">
        <f>IFERROR(G34-C34,0)</f>
        <v>0</v>
      </c>
      <c r="J34" s="3689"/>
      <c r="K34" s="3690"/>
      <c r="L34" s="3628"/>
      <c r="M34" s="3628"/>
      <c r="N34" s="3628"/>
      <c r="O34" s="3628"/>
      <c r="P34" s="3628"/>
      <c r="Q34" s="3628"/>
      <c r="R34" s="3628"/>
      <c r="S34" s="3628"/>
      <c r="T34" s="3628"/>
      <c r="U34" s="3628"/>
      <c r="V34" s="3628"/>
      <c r="W34" s="3628"/>
      <c r="X34" s="3628"/>
      <c r="Y34" s="3628"/>
      <c r="Z34" s="3628"/>
      <c r="AA34" s="3628"/>
      <c r="AB34" s="3628"/>
      <c r="AC34" s="3628"/>
      <c r="AD34" s="3628"/>
      <c r="AE34" s="3628"/>
      <c r="AF34" s="3628"/>
      <c r="AG34" s="3628"/>
      <c r="AH34" s="3628"/>
      <c r="AI34" s="3628"/>
      <c r="AJ34" s="3628"/>
      <c r="AK34" s="3628"/>
      <c r="AL34" s="3628"/>
      <c r="AM34" s="3628"/>
      <c r="AN34" s="3628"/>
      <c r="AO34" s="3628"/>
      <c r="AP34" s="3628"/>
      <c r="AQ34" s="3628"/>
      <c r="AR34" s="3628"/>
      <c r="AS34" s="3628"/>
    </row>
    <row r="35" spans="2:45" ht="18" hidden="1">
      <c r="B35" s="3679"/>
      <c r="C35" s="3691"/>
      <c r="D35" s="3692"/>
      <c r="E35" s="3693"/>
      <c r="F35" s="3692"/>
      <c r="G35" s="3693"/>
      <c r="H35" s="3692"/>
      <c r="I35" s="3694"/>
      <c r="J35" s="3695"/>
      <c r="K35" s="3628"/>
      <c r="L35" s="3628"/>
      <c r="M35" s="3628"/>
      <c r="N35" s="3628"/>
      <c r="O35" s="3628"/>
      <c r="P35" s="3628"/>
      <c r="Q35" s="3628"/>
      <c r="R35" s="3628"/>
      <c r="S35" s="3628"/>
      <c r="T35" s="3628"/>
      <c r="U35" s="3628"/>
      <c r="V35" s="3628"/>
      <c r="W35" s="3628"/>
      <c r="X35" s="3628"/>
      <c r="Y35" s="3628"/>
      <c r="Z35" s="3628"/>
      <c r="AA35" s="3628"/>
      <c r="AB35" s="3628"/>
      <c r="AC35" s="3628"/>
      <c r="AD35" s="3628"/>
      <c r="AE35" s="3628"/>
      <c r="AF35" s="3628"/>
      <c r="AG35" s="3628"/>
      <c r="AH35" s="3628"/>
      <c r="AI35" s="3628"/>
      <c r="AJ35" s="3628"/>
      <c r="AK35" s="3628"/>
      <c r="AL35" s="3628"/>
      <c r="AM35" s="3628"/>
      <c r="AN35" s="3628"/>
      <c r="AO35" s="3628"/>
      <c r="AP35" s="3628"/>
      <c r="AQ35" s="3628"/>
      <c r="AR35" s="3628"/>
      <c r="AS35" s="3628"/>
    </row>
    <row r="36" spans="2:45" s="3647" customFormat="1" ht="46.5" hidden="1" customHeight="1">
      <c r="B36" s="3667" t="s">
        <v>3297</v>
      </c>
      <c r="C36" s="3668">
        <f>SUM(C28,C34)</f>
        <v>389669510.26000005</v>
      </c>
      <c r="D36" s="3677"/>
      <c r="E36" s="3668">
        <f>SUM(E28,E34)</f>
        <v>154949000</v>
      </c>
      <c r="F36" s="3677"/>
      <c r="G36" s="3668">
        <f>SUM(G28,G34)</f>
        <v>490928018.34304351</v>
      </c>
      <c r="H36" s="3677"/>
      <c r="I36" s="3669">
        <f>IFERROR(G36-C36,0)</f>
        <v>101258508.08304346</v>
      </c>
      <c r="J36" s="3678">
        <f>IFERROR(I36/C36,0)</f>
        <v>0.25985740587063255</v>
      </c>
      <c r="K36" s="3670"/>
      <c r="L36" s="3646"/>
      <c r="M36" s="3646"/>
      <c r="N36" s="3646"/>
      <c r="O36" s="3646"/>
      <c r="P36" s="3646"/>
      <c r="Q36" s="3646"/>
      <c r="R36" s="3646"/>
      <c r="S36" s="3646"/>
      <c r="T36" s="3646"/>
      <c r="U36" s="3646"/>
      <c r="V36" s="3646"/>
      <c r="W36" s="3646"/>
      <c r="X36" s="3646"/>
      <c r="Y36" s="3646"/>
      <c r="Z36" s="3646"/>
      <c r="AA36" s="3646"/>
      <c r="AB36" s="3646"/>
      <c r="AC36" s="3646"/>
      <c r="AD36" s="3646"/>
      <c r="AE36" s="3646"/>
      <c r="AF36" s="3646"/>
      <c r="AG36" s="3646"/>
      <c r="AH36" s="3646"/>
      <c r="AI36" s="3646"/>
      <c r="AJ36" s="3646"/>
      <c r="AK36" s="3646"/>
      <c r="AL36" s="3646"/>
      <c r="AM36" s="3646"/>
      <c r="AN36" s="3646"/>
      <c r="AO36" s="3646"/>
      <c r="AP36" s="3646"/>
      <c r="AQ36" s="3646"/>
      <c r="AR36" s="3646"/>
      <c r="AS36" s="3646"/>
    </row>
    <row r="37" spans="2:45" ht="18">
      <c r="B37" s="3679"/>
      <c r="C37" s="3680"/>
      <c r="D37" s="3692"/>
      <c r="E37" s="3682"/>
      <c r="F37" s="3692"/>
      <c r="G37" s="3682"/>
      <c r="H37" s="3692"/>
      <c r="I37" s="3683"/>
      <c r="J37" s="3695"/>
      <c r="K37" s="3628"/>
      <c r="L37" s="3628"/>
      <c r="M37" s="3628"/>
      <c r="N37" s="3628"/>
      <c r="O37" s="3628">
        <f>+O26-I26</f>
        <v>-104493081.35999978</v>
      </c>
      <c r="P37" s="3628"/>
      <c r="Q37" s="3628"/>
      <c r="R37" s="3628"/>
      <c r="S37" s="3628"/>
      <c r="T37" s="3628"/>
      <c r="U37" s="3628"/>
      <c r="V37" s="3628"/>
      <c r="W37" s="3628"/>
      <c r="X37" s="3628"/>
      <c r="Y37" s="3628"/>
      <c r="Z37" s="3628"/>
      <c r="AA37" s="3628"/>
      <c r="AB37" s="3628"/>
      <c r="AC37" s="3628"/>
      <c r="AD37" s="3628"/>
      <c r="AE37" s="3628"/>
      <c r="AF37" s="3628"/>
      <c r="AG37" s="3628"/>
      <c r="AH37" s="3628"/>
      <c r="AI37" s="3628"/>
      <c r="AJ37" s="3628"/>
      <c r="AK37" s="3628"/>
      <c r="AL37" s="3628"/>
      <c r="AM37" s="3628"/>
      <c r="AN37" s="3628"/>
      <c r="AO37" s="3628"/>
      <c r="AP37" s="3628"/>
      <c r="AQ37" s="3628"/>
      <c r="AR37" s="3628"/>
      <c r="AS37" s="3628"/>
    </row>
    <row r="38" spans="2:45" s="3619" customFormat="1" ht="35.25" customHeight="1">
      <c r="B38" s="3696" t="s">
        <v>3298</v>
      </c>
      <c r="C38" s="3697">
        <f>IFERROR(C21/C3,0)</f>
        <v>44308.40805439066</v>
      </c>
      <c r="D38" s="3698"/>
      <c r="E38" s="3699">
        <f>IFERROR(E21/E3,0)</f>
        <v>0</v>
      </c>
      <c r="F38" s="3700"/>
      <c r="G38" s="3699">
        <f>IFERROR(G21/G3,0)</f>
        <v>56668.206639314616</v>
      </c>
      <c r="H38" s="3700"/>
      <c r="I38" s="3701"/>
      <c r="J38" s="3702"/>
      <c r="K38" s="3690"/>
      <c r="L38" s="3640"/>
      <c r="M38" s="3872">
        <v>26065181.950000107</v>
      </c>
      <c r="N38" s="3640"/>
      <c r="O38" s="3872">
        <v>347793.9</v>
      </c>
      <c r="P38" s="3640"/>
      <c r="Q38" s="3640"/>
      <c r="R38" s="3640"/>
      <c r="S38" s="3640"/>
      <c r="T38" s="3640"/>
      <c r="U38" s="3640"/>
      <c r="V38" s="3640"/>
      <c r="W38" s="3640"/>
      <c r="X38" s="3640"/>
      <c r="Y38" s="3640"/>
      <c r="Z38" s="3640"/>
      <c r="AA38" s="3640"/>
      <c r="AB38" s="3640"/>
      <c r="AC38" s="3640"/>
      <c r="AD38" s="3640"/>
      <c r="AE38" s="3640"/>
      <c r="AF38" s="3640"/>
      <c r="AG38" s="3640"/>
      <c r="AH38" s="3640"/>
      <c r="AI38" s="3640"/>
      <c r="AJ38" s="3640"/>
      <c r="AK38" s="3640"/>
      <c r="AL38" s="3640"/>
      <c r="AM38" s="3640"/>
      <c r="AN38" s="3640"/>
      <c r="AO38" s="3640"/>
      <c r="AP38" s="3640"/>
      <c r="AQ38" s="3640"/>
      <c r="AR38" s="3640"/>
      <c r="AS38" s="3640"/>
    </row>
    <row r="39" spans="2:45" ht="18.75">
      <c r="B39" s="3703"/>
      <c r="C39" s="3704"/>
      <c r="D39" s="3705"/>
      <c r="E39" s="3706"/>
      <c r="F39" s="3705"/>
      <c r="G39" s="3706"/>
      <c r="H39" s="3705"/>
      <c r="I39" s="3707"/>
      <c r="J39" s="3708"/>
      <c r="K39" s="3628"/>
      <c r="L39" s="3628"/>
      <c r="M39" s="3628">
        <f>+M38-I26</f>
        <v>-75193326.133043349</v>
      </c>
      <c r="N39" s="3628"/>
      <c r="O39" s="3937">
        <v>569838.42000000004</v>
      </c>
      <c r="P39" s="3628"/>
      <c r="Q39" s="3628"/>
      <c r="R39" s="3628"/>
      <c r="S39" s="3628"/>
      <c r="T39" s="3628"/>
      <c r="U39" s="3628"/>
      <c r="V39" s="3628"/>
      <c r="W39" s="3628"/>
      <c r="X39" s="3628"/>
      <c r="Y39" s="3628"/>
      <c r="Z39" s="3628"/>
      <c r="AA39" s="3628"/>
      <c r="AB39" s="3628"/>
      <c r="AC39" s="3628"/>
      <c r="AD39" s="3628"/>
      <c r="AE39" s="3628"/>
      <c r="AF39" s="3628"/>
      <c r="AG39" s="3628"/>
      <c r="AH39" s="3628"/>
      <c r="AI39" s="3628"/>
      <c r="AJ39" s="3628"/>
      <c r="AK39" s="3628"/>
      <c r="AL39" s="3628"/>
      <c r="AM39" s="3628"/>
      <c r="AN39" s="3628"/>
      <c r="AO39" s="3628"/>
      <c r="AP39" s="3628"/>
      <c r="AQ39" s="3628"/>
      <c r="AR39" s="3628"/>
      <c r="AS39" s="3628"/>
    </row>
    <row r="40" spans="2:45" s="3619" customFormat="1" ht="35.25" customHeight="1">
      <c r="B40" s="3709" t="s">
        <v>3299</v>
      </c>
      <c r="C40" s="3710">
        <f>IFERROR(C24/C3,0)</f>
        <v>44308.40805439066</v>
      </c>
      <c r="D40" s="3711"/>
      <c r="E40" s="3712">
        <f>IFERROR(E24/E3,0)</f>
        <v>0</v>
      </c>
      <c r="F40" s="3713"/>
      <c r="G40" s="3712">
        <f>IFERROR(G24/G3,0)</f>
        <v>56668.206639314616</v>
      </c>
      <c r="H40" s="3713"/>
      <c r="I40" s="3714"/>
      <c r="J40" s="3715"/>
      <c r="K40" s="3716"/>
      <c r="L40" s="3640"/>
      <c r="M40" s="3640"/>
      <c r="N40" s="3640"/>
      <c r="O40" s="3948">
        <f>SUM(O38:O39)</f>
        <v>917632.32000000007</v>
      </c>
      <c r="P40" s="3640"/>
      <c r="Q40" s="3640"/>
      <c r="R40" s="3640"/>
      <c r="S40" s="3640"/>
      <c r="T40" s="3640"/>
      <c r="U40" s="3640"/>
      <c r="V40" s="3640"/>
      <c r="W40" s="3640"/>
      <c r="X40" s="3640"/>
      <c r="Y40" s="3640"/>
      <c r="Z40" s="3640"/>
      <c r="AA40" s="3640"/>
      <c r="AB40" s="3640"/>
      <c r="AC40" s="3640"/>
      <c r="AD40" s="3640"/>
      <c r="AE40" s="3640"/>
      <c r="AF40" s="3640"/>
      <c r="AG40" s="3640"/>
      <c r="AH40" s="3640"/>
      <c r="AI40" s="3640"/>
      <c r="AJ40" s="3640"/>
      <c r="AK40" s="3640"/>
      <c r="AL40" s="3640"/>
      <c r="AM40" s="3640"/>
      <c r="AN40" s="3640"/>
      <c r="AO40" s="3640"/>
      <c r="AP40" s="3640"/>
      <c r="AQ40" s="3640"/>
      <c r="AR40" s="3640"/>
      <c r="AS40" s="3640"/>
    </row>
    <row r="41" spans="2:45" ht="18.75">
      <c r="B41" s="3703"/>
      <c r="C41" s="3704"/>
      <c r="D41" s="3705"/>
      <c r="E41" s="3706"/>
      <c r="F41" s="3705"/>
      <c r="G41" s="3706"/>
      <c r="H41" s="3705"/>
      <c r="I41" s="3707"/>
      <c r="J41" s="3708"/>
      <c r="K41" s="3628"/>
      <c r="L41" s="3628"/>
      <c r="M41" s="3628"/>
      <c r="N41" s="3628"/>
      <c r="O41" s="3937">
        <f>+O40+O37</f>
        <v>-103575449.03999978</v>
      </c>
      <c r="P41" s="3628"/>
      <c r="Q41" s="3628"/>
      <c r="R41" s="3628"/>
      <c r="S41" s="3628"/>
      <c r="T41" s="3628"/>
      <c r="U41" s="3628"/>
      <c r="V41" s="3628"/>
      <c r="W41" s="3628"/>
      <c r="X41" s="3628"/>
      <c r="Y41" s="3628"/>
      <c r="Z41" s="3628"/>
      <c r="AA41" s="3628"/>
      <c r="AB41" s="3628"/>
      <c r="AC41" s="3628"/>
      <c r="AD41" s="3628"/>
      <c r="AE41" s="3628"/>
      <c r="AF41" s="3628"/>
      <c r="AG41" s="3628"/>
      <c r="AH41" s="3628"/>
      <c r="AI41" s="3628"/>
      <c r="AJ41" s="3628"/>
      <c r="AK41" s="3628"/>
      <c r="AL41" s="3628"/>
      <c r="AM41" s="3628"/>
      <c r="AN41" s="3628"/>
      <c r="AO41" s="3628"/>
      <c r="AP41" s="3628"/>
      <c r="AQ41" s="3628"/>
      <c r="AR41" s="3628"/>
      <c r="AS41" s="3628"/>
    </row>
    <row r="42" spans="2:45" s="3619" customFormat="1" ht="35.25" customHeight="1">
      <c r="B42" s="3709" t="s">
        <v>3300</v>
      </c>
      <c r="C42" s="3710">
        <f>IFERROR(C26/C3,0)</f>
        <v>49519.57177023765</v>
      </c>
      <c r="D42" s="3711"/>
      <c r="E42" s="3710">
        <f>IFERROR(E26/E3,0)</f>
        <v>0</v>
      </c>
      <c r="F42" s="3713"/>
      <c r="G42" s="3710">
        <f>IFERROR(G26/G3,0)</f>
        <v>61892.08501551229</v>
      </c>
      <c r="H42" s="3713"/>
      <c r="I42" s="3714"/>
      <c r="J42" s="3715"/>
      <c r="K42" s="3716"/>
      <c r="L42" s="3640"/>
      <c r="M42" s="3640"/>
      <c r="N42" s="3640"/>
      <c r="O42" s="3640"/>
      <c r="P42" s="3640"/>
      <c r="Q42" s="3640"/>
      <c r="R42" s="3640"/>
      <c r="S42" s="3640"/>
      <c r="T42" s="3640"/>
      <c r="U42" s="3640"/>
      <c r="V42" s="3640"/>
      <c r="W42" s="3640"/>
      <c r="X42" s="3640"/>
      <c r="Y42" s="3640"/>
      <c r="Z42" s="3640"/>
      <c r="AA42" s="3640"/>
      <c r="AB42" s="3640"/>
      <c r="AC42" s="3640"/>
      <c r="AD42" s="3640"/>
      <c r="AE42" s="3640"/>
      <c r="AF42" s="3640"/>
      <c r="AG42" s="3640"/>
      <c r="AH42" s="3640"/>
      <c r="AI42" s="3640"/>
      <c r="AJ42" s="3640"/>
      <c r="AK42" s="3640"/>
      <c r="AL42" s="3640"/>
      <c r="AM42" s="3640"/>
      <c r="AN42" s="3640"/>
      <c r="AO42" s="3640"/>
      <c r="AP42" s="3640"/>
      <c r="AQ42" s="3640"/>
      <c r="AR42" s="3640"/>
      <c r="AS42" s="3640"/>
    </row>
    <row r="43" spans="2:45" hidden="1">
      <c r="B43" s="3717"/>
      <c r="C43" s="3718"/>
      <c r="D43" s="3719"/>
      <c r="E43" s="3720"/>
      <c r="F43" s="3719"/>
      <c r="G43" s="3720"/>
      <c r="H43" s="3719"/>
      <c r="I43" s="3721"/>
      <c r="J43" s="3722"/>
      <c r="K43" s="3628"/>
      <c r="L43" s="3628"/>
      <c r="M43" s="3628"/>
      <c r="N43" s="3628"/>
      <c r="O43" s="3628"/>
      <c r="P43" s="3628"/>
      <c r="Q43" s="3628"/>
      <c r="R43" s="3628"/>
      <c r="S43" s="3628"/>
      <c r="T43" s="3628"/>
      <c r="U43" s="3628"/>
      <c r="V43" s="3628"/>
      <c r="W43" s="3628"/>
      <c r="X43" s="3628"/>
      <c r="Y43" s="3628"/>
      <c r="Z43" s="3628"/>
      <c r="AA43" s="3628"/>
      <c r="AB43" s="3628"/>
      <c r="AC43" s="3628"/>
      <c r="AD43" s="3628"/>
      <c r="AE43" s="3628"/>
      <c r="AF43" s="3628"/>
      <c r="AG43" s="3628"/>
      <c r="AH43" s="3628"/>
      <c r="AI43" s="3628"/>
      <c r="AJ43" s="3628"/>
      <c r="AK43" s="3628"/>
      <c r="AL43" s="3628"/>
      <c r="AM43" s="3628"/>
      <c r="AN43" s="3628"/>
      <c r="AO43" s="3628"/>
      <c r="AP43" s="3628"/>
      <c r="AQ43" s="3628"/>
      <c r="AR43" s="3628"/>
      <c r="AS43" s="3628"/>
    </row>
    <row r="44" spans="2:45" s="3619" customFormat="1" ht="33" hidden="1" customHeight="1">
      <c r="B44" s="3723" t="s">
        <v>3301</v>
      </c>
      <c r="C44" s="3724">
        <f>IFERROR(C32/C5,0)</f>
        <v>0</v>
      </c>
      <c r="D44" s="3725"/>
      <c r="E44" s="3726">
        <f>IFERROR(E32/E5,0)</f>
        <v>0</v>
      </c>
      <c r="F44" s="3727"/>
      <c r="G44" s="3726">
        <f>IFERROR(G32/G5,0)</f>
        <v>0</v>
      </c>
      <c r="H44" s="3727"/>
      <c r="I44" s="3728"/>
      <c r="J44" s="3729"/>
      <c r="K44" s="3716"/>
      <c r="L44" s="3640"/>
      <c r="M44" s="3640"/>
      <c r="N44" s="3640"/>
      <c r="O44" s="3640"/>
      <c r="P44" s="3640"/>
      <c r="Q44" s="3640"/>
      <c r="R44" s="3640"/>
      <c r="S44" s="3640"/>
      <c r="T44" s="3640"/>
      <c r="U44" s="3640"/>
      <c r="V44" s="3640"/>
      <c r="W44" s="3640"/>
      <c r="X44" s="3640"/>
      <c r="Y44" s="3640"/>
      <c r="Z44" s="3640"/>
      <c r="AA44" s="3640"/>
      <c r="AB44" s="3640"/>
      <c r="AC44" s="3640"/>
      <c r="AD44" s="3640"/>
      <c r="AE44" s="3640"/>
      <c r="AF44" s="3640"/>
      <c r="AG44" s="3640"/>
      <c r="AH44" s="3640"/>
      <c r="AI44" s="3640"/>
      <c r="AJ44" s="3640"/>
      <c r="AK44" s="3640"/>
      <c r="AL44" s="3640"/>
      <c r="AM44" s="3640"/>
      <c r="AN44" s="3640"/>
      <c r="AO44" s="3640"/>
      <c r="AP44" s="3640"/>
      <c r="AQ44" s="3640"/>
      <c r="AR44" s="3640"/>
      <c r="AS44" s="3640"/>
    </row>
    <row r="45" spans="2:45" s="3619" customFormat="1" ht="33" hidden="1" customHeight="1">
      <c r="B45" s="3730"/>
      <c r="C45" s="3731"/>
      <c r="D45" s="3732"/>
      <c r="E45" s="3731"/>
      <c r="F45" s="3733"/>
      <c r="G45" s="3731"/>
      <c r="H45" s="3733"/>
      <c r="I45" s="3734"/>
      <c r="J45" s="3735"/>
      <c r="K45" s="3736"/>
      <c r="L45" s="3640"/>
      <c r="M45" s="3640"/>
      <c r="N45" s="3640"/>
      <c r="O45" s="3640"/>
      <c r="P45" s="3640"/>
      <c r="Q45" s="3640"/>
      <c r="R45" s="3640"/>
      <c r="S45" s="3640"/>
      <c r="T45" s="3640"/>
      <c r="U45" s="3640"/>
      <c r="V45" s="3640"/>
      <c r="W45" s="3640"/>
      <c r="X45" s="3640"/>
      <c r="Y45" s="3640"/>
      <c r="Z45" s="3640"/>
      <c r="AA45" s="3640"/>
      <c r="AB45" s="3640"/>
      <c r="AC45" s="3640"/>
      <c r="AD45" s="3640"/>
      <c r="AE45" s="3640"/>
      <c r="AF45" s="3640"/>
      <c r="AG45" s="3640"/>
      <c r="AH45" s="3640"/>
      <c r="AI45" s="3640"/>
      <c r="AJ45" s="3640"/>
      <c r="AK45" s="3640"/>
      <c r="AL45" s="3640"/>
      <c r="AM45" s="3640"/>
      <c r="AN45" s="3640"/>
      <c r="AO45" s="3640"/>
      <c r="AP45" s="3640"/>
      <c r="AQ45" s="3640"/>
      <c r="AR45" s="3640"/>
      <c r="AS45" s="3640"/>
    </row>
    <row r="46" spans="2:45" hidden="1">
      <c r="B46" s="3737" t="s">
        <v>3302</v>
      </c>
      <c r="C46" s="3718"/>
      <c r="D46" s="3719"/>
      <c r="E46" s="3720"/>
      <c r="F46" s="3719"/>
      <c r="G46" s="3720"/>
      <c r="H46" s="3719"/>
      <c r="I46" s="3721"/>
      <c r="J46" s="3722"/>
      <c r="K46" s="3628"/>
      <c r="L46" s="3628"/>
      <c r="M46" s="3628"/>
      <c r="N46" s="3628"/>
      <c r="O46" s="3628"/>
      <c r="P46" s="3628"/>
      <c r="Q46" s="3628"/>
      <c r="R46" s="3628"/>
      <c r="S46" s="3628"/>
      <c r="T46" s="3628"/>
      <c r="U46" s="3628"/>
      <c r="V46" s="3628"/>
      <c r="W46" s="3628"/>
      <c r="X46" s="3628"/>
      <c r="Y46" s="3628"/>
      <c r="Z46" s="3628"/>
      <c r="AA46" s="3628"/>
      <c r="AB46" s="3628"/>
      <c r="AC46" s="3628"/>
      <c r="AD46" s="3628"/>
      <c r="AE46" s="3628"/>
      <c r="AF46" s="3628"/>
      <c r="AG46" s="3628"/>
      <c r="AH46" s="3628"/>
      <c r="AI46" s="3628"/>
      <c r="AJ46" s="3628"/>
      <c r="AK46" s="3628"/>
      <c r="AL46" s="3628"/>
      <c r="AM46" s="3628"/>
      <c r="AN46" s="3628"/>
      <c r="AO46" s="3628"/>
      <c r="AP46" s="3628"/>
      <c r="AQ46" s="3628"/>
      <c r="AR46" s="3628"/>
      <c r="AS46" s="3628"/>
    </row>
    <row r="47" spans="2:45" s="3744" customFormat="1" hidden="1">
      <c r="B47" s="3738" t="s">
        <v>3303</v>
      </c>
      <c r="C47" s="3739"/>
      <c r="D47" s="3740"/>
      <c r="E47" s="3741"/>
      <c r="F47" s="3740"/>
      <c r="G47" s="3741"/>
      <c r="H47" s="3740"/>
      <c r="I47" s="3738"/>
      <c r="J47" s="3742"/>
      <c r="K47" s="3743"/>
      <c r="L47" s="3743"/>
      <c r="M47" s="3743"/>
      <c r="N47" s="3743"/>
      <c r="O47" s="3743"/>
      <c r="P47" s="3743"/>
      <c r="Q47" s="3743"/>
      <c r="R47" s="3743"/>
      <c r="S47" s="3743"/>
      <c r="T47" s="3743"/>
      <c r="U47" s="3743"/>
      <c r="V47" s="3743"/>
      <c r="W47" s="3743"/>
      <c r="X47" s="3743"/>
      <c r="Y47" s="3743"/>
      <c r="Z47" s="3743"/>
      <c r="AA47" s="3743"/>
      <c r="AB47" s="3743"/>
      <c r="AC47" s="3743"/>
      <c r="AD47" s="3743"/>
      <c r="AE47" s="3743"/>
      <c r="AF47" s="3743"/>
      <c r="AG47" s="3743"/>
      <c r="AH47" s="3743"/>
      <c r="AI47" s="3743"/>
      <c r="AJ47" s="3743"/>
      <c r="AK47" s="3743"/>
      <c r="AL47" s="3743"/>
      <c r="AM47" s="3743"/>
      <c r="AN47" s="3743"/>
      <c r="AO47" s="3743"/>
      <c r="AP47" s="3743"/>
      <c r="AQ47" s="3743"/>
      <c r="AR47" s="3743"/>
      <c r="AS47" s="3743"/>
    </row>
    <row r="48" spans="2:45" s="3751" customFormat="1" ht="18" hidden="1">
      <c r="B48" s="3745"/>
      <c r="C48" s="3746"/>
      <c r="D48" s="3747"/>
      <c r="E48" s="3748"/>
      <c r="F48" s="3749"/>
      <c r="G48" s="3748"/>
      <c r="H48" s="3749"/>
      <c r="I48" s="3745"/>
      <c r="J48" s="3750"/>
    </row>
    <row r="49" spans="2:45" s="3757" customFormat="1" hidden="1">
      <c r="B49" s="3752"/>
      <c r="C49" s="3753">
        <v>1297056685</v>
      </c>
      <c r="D49" s="3754"/>
      <c r="E49" s="3753"/>
      <c r="F49" s="3754"/>
      <c r="G49" s="3753"/>
      <c r="H49" s="3754"/>
      <c r="I49" s="3755"/>
      <c r="J49" s="3756"/>
    </row>
    <row r="50" spans="2:45" s="3757" customFormat="1" hidden="1">
      <c r="B50" s="3752"/>
      <c r="C50" s="3753">
        <f>C49-C32</f>
        <v>907387174.74000001</v>
      </c>
      <c r="D50" s="3754" t="s">
        <v>3304</v>
      </c>
      <c r="E50" s="3753">
        <v>1227357002</v>
      </c>
      <c r="F50" s="3754"/>
      <c r="G50" s="3753"/>
      <c r="H50" s="3754"/>
      <c r="I50" s="3755"/>
      <c r="J50" s="3756"/>
    </row>
    <row r="51" spans="2:45" s="3757" customFormat="1" hidden="1">
      <c r="B51" s="3752"/>
      <c r="C51" s="3753"/>
      <c r="D51" s="3754" t="s">
        <v>3305</v>
      </c>
      <c r="E51" s="3753">
        <v>159566726</v>
      </c>
      <c r="F51" s="3758">
        <f>E51/E50+1</f>
        <v>1.1300084048406318</v>
      </c>
      <c r="G51" s="3753"/>
      <c r="H51" s="3754"/>
      <c r="I51" s="3755"/>
      <c r="J51" s="3756"/>
    </row>
    <row r="52" spans="2:45" s="3757" customFormat="1" ht="15" hidden="1">
      <c r="B52" s="3752"/>
      <c r="C52" s="3753"/>
      <c r="D52" s="3754" t="s">
        <v>1886</v>
      </c>
      <c r="E52" s="3759">
        <f>SUM(E50:E51)</f>
        <v>1386923728</v>
      </c>
      <c r="F52" s="3754"/>
      <c r="G52" s="3753"/>
      <c r="H52" s="3754"/>
      <c r="I52" s="3755"/>
      <c r="J52" s="3756"/>
    </row>
    <row r="53" spans="2:45" s="3757" customFormat="1" hidden="1">
      <c r="B53" s="3752"/>
      <c r="C53" s="3753"/>
      <c r="D53" s="3754" t="s">
        <v>3306</v>
      </c>
      <c r="E53" s="3753">
        <v>154949000</v>
      </c>
      <c r="F53" s="3754"/>
      <c r="G53" s="3753"/>
      <c r="H53" s="3754"/>
      <c r="I53" s="3755"/>
      <c r="J53" s="3756"/>
    </row>
    <row r="54" spans="2:45" s="3757" customFormat="1" ht="15" hidden="1">
      <c r="B54" s="3752"/>
      <c r="C54" s="3753"/>
      <c r="D54" s="3760" t="s">
        <v>1886</v>
      </c>
      <c r="E54" s="3761" t="e">
        <f>SUM(E52:E53)+E59</f>
        <v>#REF!</v>
      </c>
      <c r="F54" s="3754"/>
      <c r="G54" s="3753"/>
      <c r="H54" s="3754"/>
      <c r="I54" s="3755"/>
      <c r="J54" s="3756"/>
    </row>
    <row r="55" spans="2:45" s="3757" customFormat="1" ht="15" hidden="1">
      <c r="B55" s="3752"/>
      <c r="C55" s="3753"/>
      <c r="D55" s="3760" t="s">
        <v>3307</v>
      </c>
      <c r="E55" s="3761" t="e">
        <f>E54-E26</f>
        <v>#REF!</v>
      </c>
      <c r="F55" s="3762" t="s">
        <v>2687</v>
      </c>
      <c r="G55" s="3753"/>
      <c r="H55" s="3754"/>
      <c r="I55" s="3755"/>
      <c r="J55" s="3756"/>
    </row>
    <row r="56" spans="2:45" s="3757" customFormat="1" hidden="1">
      <c r="B56" s="3752"/>
      <c r="C56" s="3753"/>
      <c r="D56" s="3754"/>
      <c r="E56" s="3753"/>
      <c r="F56" s="3754"/>
      <c r="G56" s="3753"/>
      <c r="H56" s="3754"/>
      <c r="I56" s="3755"/>
      <c r="J56" s="3756"/>
    </row>
    <row r="57" spans="2:45" s="3757" customFormat="1" hidden="1">
      <c r="B57" s="3752"/>
      <c r="C57" s="3746"/>
      <c r="D57" s="3763"/>
      <c r="E57" s="3764"/>
      <c r="F57" s="3763"/>
      <c r="G57" s="3764"/>
      <c r="H57" s="3763"/>
      <c r="I57" s="3752"/>
      <c r="J57" s="3756"/>
    </row>
    <row r="58" spans="2:45" s="3757" customFormat="1" ht="28.5" hidden="1">
      <c r="B58" s="3752"/>
      <c r="C58" s="3746">
        <f>E26-C26</f>
        <v>-234720510.26000005</v>
      </c>
      <c r="D58" s="3763" t="s">
        <v>3308</v>
      </c>
      <c r="E58" s="3765" t="e">
        <f>#REF!</f>
        <v>#REF!</v>
      </c>
      <c r="F58" s="3763"/>
      <c r="G58" s="3764"/>
      <c r="H58" s="3763"/>
      <c r="I58" s="3765" t="e">
        <f>SUM(C58:E58)</f>
        <v>#REF!</v>
      </c>
      <c r="J58" s="3756"/>
    </row>
    <row r="59" spans="2:45" s="3757" customFormat="1" ht="57" hidden="1">
      <c r="B59" s="3752"/>
      <c r="C59" s="3746"/>
      <c r="D59" s="3766" t="s">
        <v>3309</v>
      </c>
      <c r="E59" s="3767" t="e">
        <f>E58*F51</f>
        <v>#REF!</v>
      </c>
      <c r="F59" s="3763"/>
      <c r="G59" s="3764"/>
      <c r="H59" s="3763"/>
      <c r="I59" s="3752"/>
      <c r="J59" s="3756"/>
    </row>
    <row r="60" spans="2:45" s="3757" customFormat="1" hidden="1">
      <c r="B60" s="3752"/>
      <c r="C60" s="3746"/>
      <c r="D60" s="3763" t="s">
        <v>3310</v>
      </c>
      <c r="E60" s="3746" t="e">
        <f>#REF!</f>
        <v>#REF!</v>
      </c>
      <c r="F60" s="3763"/>
      <c r="G60" s="3764"/>
      <c r="H60" s="3763"/>
      <c r="I60" s="3752"/>
      <c r="J60" s="3756"/>
    </row>
    <row r="61" spans="2:45" s="3757" customFormat="1" hidden="1">
      <c r="B61" s="3752"/>
      <c r="C61" s="3746"/>
      <c r="D61" s="3763"/>
      <c r="E61" s="3746"/>
      <c r="F61" s="3763"/>
      <c r="G61" s="3764"/>
      <c r="H61" s="3763"/>
      <c r="I61" s="3752"/>
      <c r="J61" s="3756"/>
    </row>
    <row r="62" spans="2:45" s="3775" customFormat="1" ht="15" hidden="1">
      <c r="B62" s="3768"/>
      <c r="C62" s="3769"/>
      <c r="D62" s="3770" t="s">
        <v>1886</v>
      </c>
      <c r="E62" s="3771" t="e">
        <f>SUM(E59:E60)</f>
        <v>#REF!</v>
      </c>
      <c r="F62" s="3770"/>
      <c r="G62" s="3772"/>
      <c r="H62" s="3770"/>
      <c r="I62" s="3768"/>
      <c r="J62" s="3773"/>
      <c r="K62" s="3774"/>
      <c r="L62" s="3774"/>
      <c r="M62" s="3774"/>
      <c r="N62" s="3774"/>
      <c r="O62" s="3774"/>
      <c r="P62" s="3774"/>
      <c r="Q62" s="3774"/>
      <c r="R62" s="3774"/>
      <c r="S62" s="3774"/>
      <c r="T62" s="3774"/>
      <c r="U62" s="3774"/>
      <c r="V62" s="3774"/>
      <c r="W62" s="3774"/>
      <c r="X62" s="3774"/>
      <c r="Y62" s="3774"/>
      <c r="Z62" s="3774"/>
      <c r="AA62" s="3774"/>
      <c r="AB62" s="3774"/>
      <c r="AC62" s="3774"/>
      <c r="AD62" s="3774"/>
      <c r="AE62" s="3774"/>
      <c r="AF62" s="3774"/>
      <c r="AG62" s="3774"/>
      <c r="AH62" s="3774"/>
      <c r="AI62" s="3774"/>
      <c r="AJ62" s="3774"/>
      <c r="AK62" s="3774"/>
      <c r="AL62" s="3774"/>
      <c r="AM62" s="3774"/>
      <c r="AN62" s="3774"/>
      <c r="AO62" s="3774"/>
      <c r="AP62" s="3774"/>
      <c r="AQ62" s="3774"/>
      <c r="AR62" s="3774"/>
      <c r="AS62" s="3774"/>
    </row>
    <row r="63" spans="2:45" s="3775" customFormat="1" hidden="1">
      <c r="B63" s="3768"/>
      <c r="C63" s="3769"/>
      <c r="D63" s="3770"/>
      <c r="E63" s="3772"/>
      <c r="F63" s="3770"/>
      <c r="G63" s="3772"/>
      <c r="H63" s="3770"/>
      <c r="I63" s="3768"/>
      <c r="J63" s="3773"/>
      <c r="K63" s="3774"/>
      <c r="L63" s="3774"/>
      <c r="M63" s="3774"/>
      <c r="N63" s="3774"/>
      <c r="O63" s="3774"/>
      <c r="P63" s="3774"/>
      <c r="Q63" s="3774"/>
      <c r="R63" s="3774"/>
      <c r="S63" s="3774"/>
      <c r="T63" s="3774"/>
      <c r="U63" s="3774"/>
      <c r="V63" s="3774"/>
      <c r="W63" s="3774"/>
      <c r="X63" s="3774"/>
      <c r="Y63" s="3774"/>
      <c r="Z63" s="3774"/>
      <c r="AA63" s="3774"/>
      <c r="AB63" s="3774"/>
      <c r="AC63" s="3774"/>
      <c r="AD63" s="3774"/>
      <c r="AE63" s="3774"/>
      <c r="AF63" s="3774"/>
      <c r="AG63" s="3774"/>
      <c r="AH63" s="3774"/>
      <c r="AI63" s="3774"/>
      <c r="AJ63" s="3774"/>
      <c r="AK63" s="3774"/>
      <c r="AL63" s="3774"/>
      <c r="AM63" s="3774"/>
      <c r="AN63" s="3774"/>
      <c r="AO63" s="3774"/>
      <c r="AP63" s="3774"/>
      <c r="AQ63" s="3774"/>
      <c r="AR63" s="3774"/>
      <c r="AS63" s="3774"/>
    </row>
    <row r="64" spans="2:45" s="3775" customFormat="1" hidden="1">
      <c r="B64" s="3768"/>
      <c r="C64" s="3769">
        <v>1527651573</v>
      </c>
      <c r="D64" s="3770"/>
      <c r="E64" s="3776" t="e">
        <f>E62-E58</f>
        <v>#REF!</v>
      </c>
      <c r="F64" s="3770"/>
      <c r="G64" s="3772"/>
      <c r="H64" s="3770"/>
      <c r="I64" s="3768"/>
      <c r="J64" s="3773"/>
      <c r="K64" s="3774"/>
      <c r="L64" s="3774"/>
      <c r="M64" s="3774"/>
      <c r="N64" s="3774"/>
      <c r="O64" s="3774"/>
      <c r="P64" s="3774"/>
      <c r="Q64" s="3774"/>
      <c r="R64" s="3774"/>
      <c r="S64" s="3774"/>
      <c r="T64" s="3774"/>
      <c r="U64" s="3774"/>
      <c r="V64" s="3774"/>
      <c r="W64" s="3774"/>
      <c r="X64" s="3774"/>
      <c r="Y64" s="3774"/>
      <c r="Z64" s="3774"/>
      <c r="AA64" s="3774"/>
      <c r="AB64" s="3774"/>
      <c r="AC64" s="3774"/>
      <c r="AD64" s="3774"/>
      <c r="AE64" s="3774"/>
      <c r="AF64" s="3774"/>
      <c r="AG64" s="3774"/>
      <c r="AH64" s="3774"/>
      <c r="AI64" s="3774"/>
      <c r="AJ64" s="3774"/>
      <c r="AK64" s="3774"/>
      <c r="AL64" s="3774"/>
      <c r="AM64" s="3774"/>
      <c r="AN64" s="3774"/>
      <c r="AO64" s="3774"/>
      <c r="AP64" s="3774"/>
      <c r="AQ64" s="3774"/>
      <c r="AR64" s="3774"/>
      <c r="AS64" s="3774"/>
    </row>
    <row r="65" spans="2:45" s="3775" customFormat="1" hidden="1">
      <c r="B65" s="3768"/>
      <c r="C65" s="3769">
        <f>C64-C26</f>
        <v>1137982062.74</v>
      </c>
      <c r="D65" s="3770"/>
      <c r="E65" s="3772"/>
      <c r="F65" s="3770"/>
      <c r="G65" s="3772"/>
      <c r="H65" s="3770"/>
      <c r="I65" s="3768"/>
      <c r="J65" s="3773"/>
      <c r="K65" s="3774"/>
      <c r="L65" s="3774"/>
      <c r="M65" s="3774"/>
      <c r="N65" s="3774"/>
      <c r="O65" s="3774"/>
      <c r="P65" s="3774"/>
      <c r="Q65" s="3774"/>
      <c r="R65" s="3774"/>
      <c r="S65" s="3774"/>
      <c r="T65" s="3774"/>
      <c r="U65" s="3774"/>
      <c r="V65" s="3774"/>
      <c r="W65" s="3774"/>
      <c r="X65" s="3774"/>
      <c r="Y65" s="3774"/>
      <c r="Z65" s="3774"/>
      <c r="AA65" s="3774"/>
      <c r="AB65" s="3774"/>
      <c r="AC65" s="3774"/>
      <c r="AD65" s="3774"/>
      <c r="AE65" s="3774"/>
      <c r="AF65" s="3774"/>
      <c r="AG65" s="3774"/>
      <c r="AH65" s="3774"/>
      <c r="AI65" s="3774"/>
      <c r="AJ65" s="3774"/>
      <c r="AK65" s="3774"/>
      <c r="AL65" s="3774"/>
      <c r="AM65" s="3774"/>
      <c r="AN65" s="3774"/>
      <c r="AO65" s="3774"/>
      <c r="AP65" s="3774"/>
      <c r="AQ65" s="3774"/>
      <c r="AR65" s="3774"/>
      <c r="AS65" s="3774"/>
    </row>
    <row r="66" spans="2:45" hidden="1">
      <c r="B66" s="3721"/>
      <c r="C66" s="3718"/>
      <c r="D66" s="3719"/>
      <c r="E66" s="3720"/>
      <c r="F66" s="3719"/>
      <c r="G66" s="3720"/>
      <c r="H66" s="3719"/>
      <c r="I66" s="3721"/>
      <c r="J66" s="3722"/>
      <c r="K66" s="3628"/>
      <c r="L66" s="3628"/>
      <c r="M66" s="3628"/>
      <c r="N66" s="3628"/>
      <c r="O66" s="3628"/>
      <c r="P66" s="3628"/>
      <c r="Q66" s="3628"/>
      <c r="R66" s="3628"/>
      <c r="S66" s="3628"/>
      <c r="T66" s="3628"/>
      <c r="U66" s="3628"/>
      <c r="V66" s="3628"/>
      <c r="W66" s="3628"/>
      <c r="X66" s="3628"/>
      <c r="Y66" s="3628"/>
      <c r="Z66" s="3628"/>
      <c r="AA66" s="3628"/>
      <c r="AB66" s="3628"/>
      <c r="AC66" s="3628"/>
      <c r="AD66" s="3628"/>
      <c r="AE66" s="3628"/>
      <c r="AF66" s="3628"/>
      <c r="AG66" s="3628"/>
      <c r="AH66" s="3628"/>
      <c r="AI66" s="3628"/>
      <c r="AJ66" s="3628"/>
      <c r="AK66" s="3628"/>
      <c r="AL66" s="3628"/>
      <c r="AM66" s="3628"/>
      <c r="AN66" s="3628"/>
      <c r="AO66" s="3628"/>
      <c r="AP66" s="3628"/>
      <c r="AQ66" s="3628"/>
      <c r="AR66" s="3628"/>
      <c r="AS66" s="3628"/>
    </row>
    <row r="67" spans="2:45" hidden="1">
      <c r="B67" s="3721"/>
      <c r="C67" s="3718"/>
      <c r="D67" s="3719"/>
      <c r="E67" s="3720"/>
      <c r="F67" s="3719"/>
      <c r="G67" s="3720"/>
      <c r="H67" s="3719"/>
      <c r="I67" s="3721"/>
      <c r="J67" s="3722"/>
      <c r="K67" s="3628"/>
      <c r="L67" s="3628"/>
      <c r="M67" s="3628"/>
      <c r="N67" s="3628"/>
      <c r="O67" s="3628"/>
      <c r="P67" s="3628"/>
      <c r="Q67" s="3628"/>
      <c r="R67" s="3628"/>
      <c r="S67" s="3628"/>
      <c r="T67" s="3628"/>
      <c r="U67" s="3628"/>
      <c r="V67" s="3628"/>
      <c r="W67" s="3628"/>
      <c r="X67" s="3628"/>
      <c r="Y67" s="3628"/>
      <c r="Z67" s="3628"/>
      <c r="AA67" s="3628"/>
      <c r="AB67" s="3628"/>
      <c r="AC67" s="3628"/>
      <c r="AD67" s="3628"/>
      <c r="AE67" s="3628"/>
      <c r="AF67" s="3628"/>
      <c r="AG67" s="3628"/>
      <c r="AH67" s="3628"/>
      <c r="AI67" s="3628"/>
      <c r="AJ67" s="3628"/>
      <c r="AK67" s="3628"/>
      <c r="AL67" s="3628"/>
      <c r="AM67" s="3628"/>
      <c r="AN67" s="3628"/>
      <c r="AO67" s="3628"/>
      <c r="AP67" s="3628"/>
      <c r="AQ67" s="3628"/>
      <c r="AR67" s="3628"/>
      <c r="AS67" s="3628"/>
    </row>
    <row r="68" spans="2:45" hidden="1">
      <c r="B68" s="3721"/>
      <c r="C68" s="3718"/>
      <c r="D68" s="3719"/>
      <c r="E68" s="3720"/>
      <c r="F68" s="3719"/>
      <c r="G68" s="3720"/>
      <c r="H68" s="3719"/>
      <c r="I68" s="3721"/>
      <c r="J68" s="3722"/>
      <c r="K68" s="3628"/>
      <c r="L68" s="3628"/>
      <c r="M68" s="3628"/>
      <c r="N68" s="3628"/>
      <c r="O68" s="3628"/>
      <c r="P68" s="3628"/>
      <c r="Q68" s="3628"/>
      <c r="R68" s="3628"/>
      <c r="S68" s="3628"/>
      <c r="T68" s="3628"/>
      <c r="U68" s="3628"/>
      <c r="V68" s="3628"/>
      <c r="W68" s="3628"/>
      <c r="X68" s="3628"/>
      <c r="Y68" s="3628"/>
      <c r="Z68" s="3628"/>
      <c r="AA68" s="3628"/>
      <c r="AB68" s="3628"/>
      <c r="AC68" s="3628"/>
      <c r="AD68" s="3628"/>
      <c r="AE68" s="3628"/>
      <c r="AF68" s="3628"/>
      <c r="AG68" s="3628"/>
      <c r="AH68" s="3628"/>
      <c r="AI68" s="3628"/>
      <c r="AJ68" s="3628"/>
      <c r="AK68" s="3628"/>
      <c r="AL68" s="3628"/>
      <c r="AM68" s="3628"/>
      <c r="AN68" s="3628"/>
      <c r="AO68" s="3628"/>
      <c r="AP68" s="3628"/>
      <c r="AQ68" s="3628"/>
      <c r="AR68" s="3628"/>
      <c r="AS68" s="3628"/>
    </row>
    <row r="69" spans="2:45" hidden="1">
      <c r="B69" s="3721"/>
      <c r="C69" s="3718"/>
      <c r="D69" s="3719"/>
      <c r="E69" s="3720"/>
      <c r="F69" s="3719"/>
      <c r="G69" s="3720"/>
      <c r="H69" s="3719"/>
      <c r="I69" s="3721"/>
      <c r="J69" s="3722"/>
      <c r="K69" s="3628"/>
      <c r="L69" s="3628"/>
      <c r="M69" s="3628"/>
      <c r="N69" s="3628"/>
      <c r="O69" s="3628"/>
      <c r="P69" s="3628"/>
      <c r="Q69" s="3628"/>
      <c r="R69" s="3628"/>
      <c r="S69" s="3628"/>
      <c r="T69" s="3628"/>
      <c r="U69" s="3628"/>
      <c r="V69" s="3628"/>
      <c r="W69" s="3628"/>
      <c r="X69" s="3628"/>
      <c r="Y69" s="3628"/>
      <c r="Z69" s="3628"/>
      <c r="AA69" s="3628"/>
      <c r="AB69" s="3628"/>
      <c r="AC69" s="3628"/>
      <c r="AD69" s="3628"/>
      <c r="AE69" s="3628"/>
      <c r="AF69" s="3628"/>
      <c r="AG69" s="3628"/>
      <c r="AH69" s="3628"/>
      <c r="AI69" s="3628"/>
      <c r="AJ69" s="3628"/>
      <c r="AK69" s="3628"/>
      <c r="AL69" s="3628"/>
      <c r="AM69" s="3628"/>
      <c r="AN69" s="3628"/>
      <c r="AO69" s="3628"/>
      <c r="AP69" s="3628"/>
      <c r="AQ69" s="3628"/>
      <c r="AR69" s="3628"/>
      <c r="AS69" s="3628"/>
    </row>
    <row r="70" spans="2:45">
      <c r="B70" s="3721"/>
      <c r="C70" s="3718"/>
      <c r="D70" s="3719"/>
      <c r="E70" s="3720"/>
      <c r="F70" s="3719"/>
      <c r="G70" s="3720"/>
      <c r="H70" s="3719"/>
      <c r="I70" s="3721"/>
      <c r="J70" s="3722"/>
      <c r="K70" s="3628"/>
      <c r="L70" s="3628"/>
      <c r="M70" s="3628"/>
      <c r="N70" s="3628"/>
      <c r="O70" s="3628"/>
      <c r="P70" s="3628"/>
      <c r="Q70" s="3628"/>
      <c r="R70" s="3628"/>
      <c r="S70" s="3628"/>
      <c r="T70" s="3628"/>
      <c r="U70" s="3628"/>
      <c r="V70" s="3628"/>
      <c r="W70" s="3628"/>
      <c r="X70" s="3628"/>
      <c r="Y70" s="3628"/>
      <c r="Z70" s="3628"/>
      <c r="AA70" s="3628"/>
      <c r="AB70" s="3628"/>
      <c r="AC70" s="3628"/>
      <c r="AD70" s="3628"/>
      <c r="AE70" s="3628"/>
      <c r="AF70" s="3628"/>
      <c r="AG70" s="3628"/>
      <c r="AH70" s="3628"/>
      <c r="AI70" s="3628"/>
      <c r="AJ70" s="3628"/>
      <c r="AK70" s="3628"/>
      <c r="AL70" s="3628"/>
      <c r="AM70" s="3628"/>
      <c r="AN70" s="3628"/>
      <c r="AO70" s="3628"/>
      <c r="AP70" s="3628"/>
      <c r="AQ70" s="3628"/>
      <c r="AR70" s="3628"/>
      <c r="AS70" s="3628"/>
    </row>
    <row r="71" spans="2:45">
      <c r="B71" s="3721"/>
      <c r="C71" s="3718"/>
      <c r="D71" s="3719"/>
      <c r="E71" s="3720"/>
      <c r="F71" s="3719"/>
      <c r="G71" s="3720"/>
      <c r="H71" s="3719"/>
      <c r="I71" s="3721"/>
      <c r="J71" s="3722"/>
      <c r="K71" s="3628"/>
      <c r="L71" s="3628"/>
      <c r="M71" s="3628"/>
      <c r="N71" s="3628"/>
      <c r="O71" s="3628"/>
      <c r="P71" s="3628"/>
      <c r="Q71" s="3628"/>
      <c r="R71" s="3628"/>
      <c r="S71" s="3628"/>
      <c r="T71" s="3628"/>
      <c r="U71" s="3628"/>
      <c r="V71" s="3628"/>
      <c r="W71" s="3628"/>
      <c r="X71" s="3628"/>
      <c r="Y71" s="3628"/>
      <c r="Z71" s="3628"/>
      <c r="AA71" s="3628"/>
      <c r="AB71" s="3628"/>
      <c r="AC71" s="3628"/>
      <c r="AD71" s="3628"/>
      <c r="AE71" s="3628"/>
      <c r="AF71" s="3628"/>
      <c r="AG71" s="3628"/>
      <c r="AH71" s="3628"/>
      <c r="AI71" s="3628"/>
      <c r="AJ71" s="3628"/>
      <c r="AK71" s="3628"/>
      <c r="AL71" s="3628"/>
      <c r="AM71" s="3628"/>
      <c r="AN71" s="3628"/>
      <c r="AO71" s="3628"/>
      <c r="AP71" s="3628"/>
      <c r="AQ71" s="3628"/>
      <c r="AR71" s="3628"/>
      <c r="AS71" s="3628"/>
    </row>
    <row r="72" spans="2:45">
      <c r="B72" s="3721"/>
      <c r="C72" s="3718"/>
      <c r="D72" s="3719"/>
      <c r="E72" s="3720"/>
      <c r="F72" s="3719"/>
      <c r="G72" s="3720"/>
      <c r="H72" s="3719"/>
      <c r="I72" s="3721"/>
      <c r="J72" s="3722"/>
      <c r="K72" s="3628"/>
      <c r="L72" s="3628"/>
      <c r="M72" s="3628" t="s">
        <v>3416</v>
      </c>
      <c r="N72" s="3628">
        <v>347793.9</v>
      </c>
      <c r="O72" s="3628"/>
      <c r="P72" s="3628"/>
      <c r="Q72" s="3628"/>
      <c r="R72" s="3628"/>
      <c r="S72" s="3628"/>
      <c r="T72" s="3628"/>
      <c r="U72" s="3628"/>
      <c r="V72" s="3628"/>
      <c r="W72" s="3628"/>
      <c r="X72" s="3628"/>
      <c r="Y72" s="3628"/>
      <c r="Z72" s="3628"/>
      <c r="AA72" s="3628"/>
      <c r="AB72" s="3628"/>
      <c r="AC72" s="3628"/>
      <c r="AD72" s="3628"/>
      <c r="AE72" s="3628"/>
      <c r="AF72" s="3628"/>
      <c r="AG72" s="3628"/>
      <c r="AH72" s="3628"/>
      <c r="AI72" s="3628"/>
      <c r="AJ72" s="3628"/>
      <c r="AK72" s="3628"/>
      <c r="AL72" s="3628"/>
      <c r="AM72" s="3628"/>
      <c r="AN72" s="3628"/>
      <c r="AO72" s="3628"/>
      <c r="AP72" s="3628"/>
      <c r="AQ72" s="3628"/>
      <c r="AR72" s="3628"/>
      <c r="AS72" s="3628"/>
    </row>
    <row r="73" spans="2:45">
      <c r="B73" s="3721"/>
      <c r="C73" s="3718"/>
      <c r="D73" s="3719"/>
      <c r="E73" s="3720"/>
      <c r="F73" s="3719"/>
      <c r="G73" s="3720"/>
      <c r="H73" s="3719"/>
      <c r="I73" s="3721"/>
      <c r="J73" s="3722"/>
      <c r="K73" s="3628"/>
      <c r="L73" s="3628"/>
      <c r="M73" s="3628" t="s">
        <v>3417</v>
      </c>
      <c r="N73" s="3628">
        <v>569838.42000000004</v>
      </c>
      <c r="O73" s="3628"/>
      <c r="P73" s="3628"/>
      <c r="Q73" s="3628"/>
      <c r="R73" s="3628"/>
      <c r="S73" s="3628"/>
      <c r="T73" s="3628"/>
      <c r="U73" s="3628"/>
      <c r="V73" s="3628"/>
      <c r="W73" s="3628"/>
      <c r="X73" s="3628"/>
      <c r="Y73" s="3628"/>
      <c r="Z73" s="3628"/>
      <c r="AA73" s="3628"/>
      <c r="AB73" s="3628"/>
      <c r="AC73" s="3628"/>
      <c r="AD73" s="3628"/>
      <c r="AE73" s="3628"/>
      <c r="AF73" s="3628"/>
      <c r="AG73" s="3628"/>
      <c r="AH73" s="3628"/>
      <c r="AI73" s="3628"/>
      <c r="AJ73" s="3628"/>
      <c r="AK73" s="3628"/>
      <c r="AL73" s="3628"/>
      <c r="AM73" s="3628"/>
      <c r="AN73" s="3628"/>
      <c r="AO73" s="3628"/>
      <c r="AP73" s="3628"/>
      <c r="AQ73" s="3628"/>
      <c r="AR73" s="3628"/>
      <c r="AS73" s="3628"/>
    </row>
    <row r="74" spans="2:45">
      <c r="B74" s="3721"/>
      <c r="C74" s="3718"/>
      <c r="D74" s="3719"/>
      <c r="E74" s="3720"/>
      <c r="F74" s="3719"/>
      <c r="G74" s="3720"/>
      <c r="H74" s="3719"/>
      <c r="I74" s="3721"/>
      <c r="J74" s="3722"/>
      <c r="K74" s="3628"/>
      <c r="L74" s="3628"/>
      <c r="M74" s="3628"/>
      <c r="N74" s="3937">
        <f>SUM(N72:N73)</f>
        <v>917632.32000000007</v>
      </c>
      <c r="O74" s="3628"/>
      <c r="P74" s="3628"/>
      <c r="Q74" s="3628"/>
      <c r="R74" s="3628"/>
      <c r="S74" s="3628"/>
      <c r="T74" s="3628"/>
      <c r="U74" s="3628"/>
      <c r="V74" s="3628"/>
      <c r="W74" s="3628"/>
      <c r="X74" s="3628"/>
      <c r="Y74" s="3628"/>
      <c r="Z74" s="3628"/>
      <c r="AA74" s="3628"/>
      <c r="AB74" s="3628"/>
      <c r="AC74" s="3628"/>
      <c r="AD74" s="3628"/>
      <c r="AE74" s="3628"/>
      <c r="AF74" s="3628"/>
      <c r="AG74" s="3628"/>
      <c r="AH74" s="3628"/>
      <c r="AI74" s="3628"/>
      <c r="AJ74" s="3628"/>
      <c r="AK74" s="3628"/>
      <c r="AL74" s="3628"/>
      <c r="AM74" s="3628"/>
      <c r="AN74" s="3628"/>
      <c r="AO74" s="3628"/>
      <c r="AP74" s="3628"/>
      <c r="AQ74" s="3628"/>
      <c r="AR74" s="3628"/>
      <c r="AS74" s="3628"/>
    </row>
    <row r="75" spans="2:45">
      <c r="B75" s="3721"/>
      <c r="C75" s="3718"/>
      <c r="D75" s="3719"/>
      <c r="E75" s="3720"/>
      <c r="F75" s="3719"/>
      <c r="G75" s="3720"/>
      <c r="H75" s="3719"/>
      <c r="I75" s="3721"/>
      <c r="J75" s="3722"/>
      <c r="K75" s="3628"/>
      <c r="L75" s="3628"/>
      <c r="M75" s="3628"/>
      <c r="N75" s="3938">
        <f>+I26-N74</f>
        <v>100340875.76304346</v>
      </c>
      <c r="O75" s="3628"/>
      <c r="P75" s="3628"/>
      <c r="Q75" s="3628"/>
      <c r="R75" s="3628"/>
      <c r="S75" s="3628"/>
      <c r="T75" s="3628"/>
      <c r="U75" s="3628"/>
      <c r="V75" s="3628"/>
      <c r="W75" s="3628"/>
      <c r="X75" s="3628"/>
      <c r="Y75" s="3628"/>
      <c r="Z75" s="3628"/>
      <c r="AA75" s="3628"/>
      <c r="AB75" s="3628"/>
      <c r="AC75" s="3628"/>
      <c r="AD75" s="3628"/>
      <c r="AE75" s="3628"/>
      <c r="AF75" s="3628"/>
      <c r="AG75" s="3628"/>
      <c r="AH75" s="3628"/>
      <c r="AI75" s="3628"/>
      <c r="AJ75" s="3628"/>
      <c r="AK75" s="3628"/>
      <c r="AL75" s="3628"/>
      <c r="AM75" s="3628"/>
      <c r="AN75" s="3628"/>
      <c r="AO75" s="3628"/>
      <c r="AP75" s="3628"/>
      <c r="AQ75" s="3628"/>
      <c r="AR75" s="3628"/>
      <c r="AS75" s="3628"/>
    </row>
    <row r="76" spans="2:45">
      <c r="B76" s="3721"/>
      <c r="C76" s="3718"/>
      <c r="D76" s="3719"/>
      <c r="E76" s="3720"/>
      <c r="F76" s="3719"/>
      <c r="G76" s="3720"/>
      <c r="H76" s="3719"/>
      <c r="I76" s="3721"/>
      <c r="J76" s="3722"/>
      <c r="K76" s="3628"/>
      <c r="L76" s="3628"/>
      <c r="M76" s="3628"/>
      <c r="N76" s="3937">
        <f>+'Stakeholder Executive Review'!P151</f>
        <v>-4956647.9769563675</v>
      </c>
      <c r="O76" s="3628"/>
      <c r="P76" s="3628"/>
      <c r="Q76" s="3628"/>
      <c r="R76" s="3628"/>
      <c r="S76" s="3628"/>
      <c r="T76" s="3628"/>
      <c r="U76" s="3628"/>
      <c r="V76" s="3628"/>
      <c r="W76" s="3628"/>
      <c r="X76" s="3628"/>
      <c r="Y76" s="3628"/>
      <c r="Z76" s="3628"/>
      <c r="AA76" s="3628"/>
      <c r="AB76" s="3628"/>
      <c r="AC76" s="3628"/>
      <c r="AD76" s="3628"/>
      <c r="AE76" s="3628"/>
      <c r="AF76" s="3628"/>
      <c r="AG76" s="3628"/>
      <c r="AH76" s="3628"/>
      <c r="AI76" s="3628"/>
      <c r="AJ76" s="3628"/>
      <c r="AK76" s="3628"/>
      <c r="AL76" s="3628"/>
      <c r="AM76" s="3628"/>
      <c r="AN76" s="3628"/>
      <c r="AO76" s="3628"/>
      <c r="AP76" s="3628"/>
      <c r="AQ76" s="3628"/>
      <c r="AR76" s="3628"/>
      <c r="AS76" s="3628"/>
    </row>
    <row r="77" spans="2:45" ht="15">
      <c r="B77" s="3721"/>
      <c r="C77" s="3718"/>
      <c r="D77" s="3719"/>
      <c r="E77" s="3720"/>
      <c r="F77" s="3719"/>
      <c r="G77" s="3720"/>
      <c r="H77" s="3719"/>
      <c r="I77" s="3721"/>
      <c r="J77" s="3722"/>
      <c r="K77" s="3628"/>
      <c r="L77" s="3628"/>
      <c r="M77" s="3628"/>
      <c r="N77" s="3939">
        <f>+N76-N75</f>
        <v>-105297523.73999983</v>
      </c>
      <c r="O77" s="3628"/>
      <c r="P77" s="3628"/>
      <c r="Q77" s="3628"/>
      <c r="R77" s="3628"/>
      <c r="S77" s="3628"/>
      <c r="T77" s="3628"/>
      <c r="U77" s="3628"/>
      <c r="V77" s="3628"/>
      <c r="W77" s="3628"/>
      <c r="X77" s="3628"/>
      <c r="Y77" s="3628"/>
      <c r="Z77" s="3628"/>
      <c r="AA77" s="3628"/>
      <c r="AB77" s="3628"/>
      <c r="AC77" s="3628"/>
      <c r="AD77" s="3628"/>
      <c r="AE77" s="3628"/>
      <c r="AF77" s="3628"/>
      <c r="AG77" s="3628"/>
      <c r="AH77" s="3628"/>
      <c r="AI77" s="3628"/>
      <c r="AJ77" s="3628"/>
      <c r="AK77" s="3628"/>
      <c r="AL77" s="3628"/>
      <c r="AM77" s="3628"/>
      <c r="AN77" s="3628"/>
      <c r="AO77" s="3628"/>
      <c r="AP77" s="3628"/>
      <c r="AQ77" s="3628"/>
      <c r="AR77" s="3628"/>
      <c r="AS77" s="3628"/>
    </row>
    <row r="78" spans="2:45">
      <c r="B78" s="3721"/>
      <c r="C78" s="3718"/>
      <c r="D78" s="3719"/>
      <c r="E78" s="3720"/>
      <c r="F78" s="3719"/>
      <c r="G78" s="3720"/>
      <c r="H78" s="3719"/>
      <c r="I78" s="3721"/>
      <c r="J78" s="3722"/>
      <c r="K78" s="3628"/>
      <c r="L78" s="3628"/>
      <c r="M78" s="3628"/>
      <c r="N78" s="3628"/>
      <c r="O78" s="3628"/>
      <c r="P78" s="3628"/>
      <c r="Q78" s="3628"/>
      <c r="R78" s="3628"/>
      <c r="S78" s="3628"/>
      <c r="T78" s="3628"/>
      <c r="U78" s="3628"/>
      <c r="V78" s="3628"/>
      <c r="W78" s="3628"/>
      <c r="X78" s="3628"/>
      <c r="Y78" s="3628"/>
      <c r="Z78" s="3628"/>
      <c r="AA78" s="3628"/>
      <c r="AB78" s="3628"/>
      <c r="AC78" s="3628"/>
      <c r="AD78" s="3628"/>
      <c r="AE78" s="3628"/>
      <c r="AF78" s="3628"/>
      <c r="AG78" s="3628"/>
      <c r="AH78" s="3628"/>
      <c r="AI78" s="3628"/>
      <c r="AJ78" s="3628"/>
      <c r="AK78" s="3628"/>
      <c r="AL78" s="3628"/>
      <c r="AM78" s="3628"/>
      <c r="AN78" s="3628"/>
      <c r="AO78" s="3628"/>
      <c r="AP78" s="3628"/>
      <c r="AQ78" s="3628"/>
      <c r="AR78" s="3628"/>
      <c r="AS78" s="3628"/>
    </row>
    <row r="79" spans="2:45">
      <c r="B79" s="3721"/>
      <c r="C79" s="3718"/>
      <c r="D79" s="3719"/>
      <c r="E79" s="3720"/>
      <c r="F79" s="3719"/>
      <c r="G79" s="3720"/>
      <c r="H79" s="3719"/>
      <c r="I79" s="3721"/>
      <c r="J79" s="3722"/>
      <c r="K79" s="3628"/>
      <c r="L79" s="3628"/>
      <c r="M79" s="3628"/>
      <c r="N79" s="3628"/>
      <c r="O79" s="3628"/>
      <c r="P79" s="3628"/>
      <c r="Q79" s="3628"/>
      <c r="R79" s="3628"/>
      <c r="S79" s="3628"/>
      <c r="T79" s="3628"/>
      <c r="U79" s="3628"/>
      <c r="V79" s="3628"/>
      <c r="W79" s="3628"/>
      <c r="X79" s="3628"/>
      <c r="Y79" s="3628"/>
      <c r="Z79" s="3628"/>
      <c r="AA79" s="3628"/>
      <c r="AB79" s="3628"/>
      <c r="AC79" s="3628"/>
      <c r="AD79" s="3628"/>
      <c r="AE79" s="3628"/>
      <c r="AF79" s="3628"/>
      <c r="AG79" s="3628"/>
      <c r="AH79" s="3628"/>
      <c r="AI79" s="3628"/>
      <c r="AJ79" s="3628"/>
      <c r="AK79" s="3628"/>
      <c r="AL79" s="3628"/>
      <c r="AM79" s="3628"/>
      <c r="AN79" s="3628"/>
      <c r="AO79" s="3628"/>
      <c r="AP79" s="3628"/>
      <c r="AQ79" s="3628"/>
      <c r="AR79" s="3628"/>
      <c r="AS79" s="3628"/>
    </row>
    <row r="80" spans="2:45">
      <c r="B80" s="3721"/>
      <c r="C80" s="3718"/>
      <c r="D80" s="3719"/>
      <c r="E80" s="3720"/>
      <c r="F80" s="3719"/>
      <c r="G80" s="3720"/>
      <c r="H80" s="3719"/>
      <c r="I80" s="3721"/>
      <c r="J80" s="3722"/>
      <c r="K80" s="3628"/>
      <c r="L80" s="3628"/>
      <c r="M80" s="3628"/>
      <c r="N80" s="3628"/>
      <c r="O80" s="3628"/>
      <c r="P80" s="3628"/>
      <c r="Q80" s="3628"/>
      <c r="R80" s="3628"/>
      <c r="S80" s="3628"/>
      <c r="T80" s="3628"/>
      <c r="U80" s="3628"/>
      <c r="V80" s="3628"/>
      <c r="W80" s="3628"/>
      <c r="X80" s="3628"/>
      <c r="Y80" s="3628"/>
      <c r="Z80" s="3628"/>
      <c r="AA80" s="3628"/>
      <c r="AB80" s="3628"/>
      <c r="AC80" s="3628"/>
      <c r="AD80" s="3628"/>
      <c r="AE80" s="3628"/>
      <c r="AF80" s="3628"/>
      <c r="AG80" s="3628"/>
      <c r="AH80" s="3628"/>
      <c r="AI80" s="3628"/>
      <c r="AJ80" s="3628"/>
      <c r="AK80" s="3628"/>
      <c r="AL80" s="3628"/>
      <c r="AM80" s="3628"/>
      <c r="AN80" s="3628"/>
      <c r="AO80" s="3628"/>
      <c r="AP80" s="3628"/>
      <c r="AQ80" s="3628"/>
      <c r="AR80" s="3628"/>
      <c r="AS80" s="3628"/>
    </row>
    <row r="81" spans="2:45">
      <c r="B81" s="3721"/>
      <c r="C81" s="3718"/>
      <c r="D81" s="3719"/>
      <c r="E81" s="3720"/>
      <c r="F81" s="3719"/>
      <c r="G81" s="3720"/>
      <c r="H81" s="3719"/>
      <c r="I81" s="3721"/>
      <c r="J81" s="3722"/>
      <c r="K81" s="3628"/>
      <c r="L81" s="3628"/>
      <c r="M81" s="3628"/>
      <c r="N81" s="3628"/>
      <c r="O81" s="3628"/>
      <c r="P81" s="3628"/>
      <c r="Q81" s="3628"/>
      <c r="R81" s="3628"/>
      <c r="S81" s="3628"/>
      <c r="T81" s="3628"/>
      <c r="U81" s="3628"/>
      <c r="V81" s="3628"/>
      <c r="W81" s="3628"/>
      <c r="X81" s="3628"/>
      <c r="Y81" s="3628"/>
      <c r="Z81" s="3628"/>
      <c r="AA81" s="3628"/>
      <c r="AB81" s="3628"/>
      <c r="AC81" s="3628"/>
      <c r="AD81" s="3628"/>
      <c r="AE81" s="3628"/>
      <c r="AF81" s="3628"/>
      <c r="AG81" s="3628"/>
      <c r="AH81" s="3628"/>
      <c r="AI81" s="3628"/>
      <c r="AJ81" s="3628"/>
      <c r="AK81" s="3628"/>
      <c r="AL81" s="3628"/>
      <c r="AM81" s="3628"/>
      <c r="AN81" s="3628"/>
      <c r="AO81" s="3628"/>
      <c r="AP81" s="3628"/>
      <c r="AQ81" s="3628"/>
      <c r="AR81" s="3628"/>
      <c r="AS81" s="3628"/>
    </row>
    <row r="82" spans="2:45">
      <c r="B82" s="3721"/>
      <c r="C82" s="3718"/>
      <c r="D82" s="3719"/>
      <c r="E82" s="3720"/>
      <c r="F82" s="3719"/>
      <c r="G82" s="3720"/>
      <c r="H82" s="3719"/>
      <c r="I82" s="3721"/>
      <c r="J82" s="3722"/>
      <c r="K82" s="3628"/>
      <c r="L82" s="3628"/>
      <c r="M82" s="3628"/>
      <c r="N82" s="3628"/>
      <c r="O82" s="3628"/>
      <c r="P82" s="3628"/>
      <c r="Q82" s="3628"/>
      <c r="R82" s="3628"/>
      <c r="S82" s="3628"/>
      <c r="T82" s="3628"/>
      <c r="U82" s="3628"/>
      <c r="V82" s="3628"/>
      <c r="W82" s="3628"/>
      <c r="X82" s="3628"/>
      <c r="Y82" s="3628"/>
      <c r="Z82" s="3628"/>
      <c r="AA82" s="3628"/>
      <c r="AB82" s="3628"/>
      <c r="AC82" s="3628"/>
      <c r="AD82" s="3628"/>
      <c r="AE82" s="3628"/>
      <c r="AF82" s="3628"/>
      <c r="AG82" s="3628"/>
      <c r="AH82" s="3628"/>
      <c r="AI82" s="3628"/>
      <c r="AJ82" s="3628"/>
      <c r="AK82" s="3628"/>
      <c r="AL82" s="3628"/>
      <c r="AM82" s="3628"/>
      <c r="AN82" s="3628"/>
      <c r="AO82" s="3628"/>
      <c r="AP82" s="3628"/>
      <c r="AQ82" s="3628"/>
      <c r="AR82" s="3628"/>
      <c r="AS82" s="3628"/>
    </row>
    <row r="83" spans="2:45">
      <c r="B83" s="3721"/>
      <c r="C83" s="3718"/>
      <c r="D83" s="3719"/>
      <c r="E83" s="3720"/>
      <c r="F83" s="3719"/>
      <c r="G83" s="3720"/>
      <c r="H83" s="3719"/>
      <c r="I83" s="3721"/>
      <c r="J83" s="3722"/>
      <c r="K83" s="3628"/>
      <c r="L83" s="3628"/>
      <c r="M83" s="3628"/>
      <c r="N83" s="3628"/>
      <c r="O83" s="3628"/>
      <c r="P83" s="3628"/>
      <c r="Q83" s="3628"/>
      <c r="R83" s="3628"/>
      <c r="S83" s="3628"/>
      <c r="T83" s="3628"/>
      <c r="U83" s="3628"/>
      <c r="V83" s="3628"/>
      <c r="W83" s="3628"/>
      <c r="X83" s="3628"/>
      <c r="Y83" s="3628"/>
      <c r="Z83" s="3628"/>
      <c r="AA83" s="3628"/>
      <c r="AB83" s="3628"/>
      <c r="AC83" s="3628"/>
      <c r="AD83" s="3628"/>
      <c r="AE83" s="3628"/>
      <c r="AF83" s="3628"/>
      <c r="AG83" s="3628"/>
      <c r="AH83" s="3628"/>
      <c r="AI83" s="3628"/>
      <c r="AJ83" s="3628"/>
      <c r="AK83" s="3628"/>
      <c r="AL83" s="3628"/>
      <c r="AM83" s="3628"/>
      <c r="AN83" s="3628"/>
      <c r="AO83" s="3628"/>
      <c r="AP83" s="3628"/>
      <c r="AQ83" s="3628"/>
      <c r="AR83" s="3628"/>
      <c r="AS83" s="3628"/>
    </row>
    <row r="84" spans="2:45">
      <c r="B84" s="3721"/>
      <c r="C84" s="3718"/>
      <c r="D84" s="3719"/>
      <c r="E84" s="3720"/>
      <c r="F84" s="3719"/>
      <c r="G84" s="3720"/>
      <c r="H84" s="3719"/>
      <c r="I84" s="3721"/>
      <c r="J84" s="3722"/>
      <c r="K84" s="3628"/>
      <c r="L84" s="3628"/>
      <c r="M84" s="3628"/>
      <c r="N84" s="3628"/>
      <c r="O84" s="3628"/>
      <c r="P84" s="3628"/>
      <c r="Q84" s="3628"/>
      <c r="R84" s="3628"/>
      <c r="S84" s="3628"/>
      <c r="T84" s="3628"/>
      <c r="U84" s="3628"/>
      <c r="V84" s="3628"/>
      <c r="W84" s="3628"/>
      <c r="X84" s="3628"/>
      <c r="Y84" s="3628"/>
      <c r="Z84" s="3628"/>
      <c r="AA84" s="3628"/>
      <c r="AB84" s="3628"/>
      <c r="AC84" s="3628"/>
      <c r="AD84" s="3628"/>
      <c r="AE84" s="3628"/>
      <c r="AF84" s="3628"/>
      <c r="AG84" s="3628"/>
      <c r="AH84" s="3628"/>
      <c r="AI84" s="3628"/>
      <c r="AJ84" s="3628"/>
      <c r="AK84" s="3628"/>
      <c r="AL84" s="3628"/>
      <c r="AM84" s="3628"/>
      <c r="AN84" s="3628"/>
      <c r="AO84" s="3628"/>
      <c r="AP84" s="3628"/>
      <c r="AQ84" s="3628"/>
      <c r="AR84" s="3628"/>
      <c r="AS84" s="3628"/>
    </row>
    <row r="85" spans="2:45">
      <c r="B85" s="3721"/>
      <c r="C85" s="3718"/>
      <c r="D85" s="3719"/>
      <c r="E85" s="3720"/>
      <c r="F85" s="3719"/>
      <c r="G85" s="3720"/>
      <c r="H85" s="3719"/>
      <c r="I85" s="3721"/>
      <c r="J85" s="3722"/>
      <c r="K85" s="3628"/>
      <c r="L85" s="3628"/>
      <c r="M85" s="3628"/>
      <c r="N85" s="3628"/>
      <c r="O85" s="3628"/>
      <c r="P85" s="3628"/>
      <c r="Q85" s="3628"/>
      <c r="R85" s="3628"/>
      <c r="S85" s="3628"/>
      <c r="T85" s="3628"/>
      <c r="U85" s="3628"/>
      <c r="V85" s="3628"/>
      <c r="W85" s="3628"/>
      <c r="X85" s="3628"/>
      <c r="Y85" s="3628"/>
      <c r="Z85" s="3628"/>
      <c r="AA85" s="3628"/>
      <c r="AB85" s="3628"/>
      <c r="AC85" s="3628"/>
      <c r="AD85" s="3628"/>
      <c r="AE85" s="3628"/>
      <c r="AF85" s="3628"/>
      <c r="AG85" s="3628"/>
      <c r="AH85" s="3628"/>
      <c r="AI85" s="3628"/>
      <c r="AJ85" s="3628"/>
      <c r="AK85" s="3628"/>
      <c r="AL85" s="3628"/>
      <c r="AM85" s="3628"/>
      <c r="AN85" s="3628"/>
      <c r="AO85" s="3628"/>
      <c r="AP85" s="3628"/>
      <c r="AQ85" s="3628"/>
      <c r="AR85" s="3628"/>
      <c r="AS85" s="3628"/>
    </row>
    <row r="86" spans="2:45">
      <c r="B86" s="3721"/>
      <c r="C86" s="3718"/>
      <c r="D86" s="3719"/>
      <c r="E86" s="3720"/>
      <c r="F86" s="3719"/>
      <c r="G86" s="3720"/>
      <c r="H86" s="3719"/>
      <c r="I86" s="3721"/>
      <c r="J86" s="3722"/>
      <c r="K86" s="3628"/>
      <c r="L86" s="3628"/>
      <c r="M86" s="3628"/>
      <c r="N86" s="3628"/>
      <c r="O86" s="3628"/>
      <c r="P86" s="3628"/>
      <c r="Q86" s="3628"/>
      <c r="R86" s="3628"/>
      <c r="S86" s="3628"/>
      <c r="T86" s="3628"/>
      <c r="U86" s="3628"/>
      <c r="V86" s="3628"/>
      <c r="W86" s="3628"/>
      <c r="X86" s="3628"/>
      <c r="Y86" s="3628"/>
      <c r="Z86" s="3628"/>
      <c r="AA86" s="3628"/>
      <c r="AB86" s="3628"/>
      <c r="AC86" s="3628"/>
      <c r="AD86" s="3628"/>
      <c r="AE86" s="3628"/>
      <c r="AF86" s="3628"/>
      <c r="AG86" s="3628"/>
      <c r="AH86" s="3628"/>
      <c r="AI86" s="3628"/>
      <c r="AJ86" s="3628"/>
      <c r="AK86" s="3628"/>
      <c r="AL86" s="3628"/>
      <c r="AM86" s="3628"/>
      <c r="AN86" s="3628"/>
      <c r="AO86" s="3628"/>
      <c r="AP86" s="3628"/>
      <c r="AQ86" s="3628"/>
      <c r="AR86" s="3628"/>
      <c r="AS86" s="3628"/>
    </row>
    <row r="87" spans="2:45">
      <c r="B87" s="3721"/>
      <c r="C87" s="3718"/>
      <c r="D87" s="3719"/>
      <c r="E87" s="3720"/>
      <c r="F87" s="3719"/>
      <c r="G87" s="3720"/>
      <c r="H87" s="3719"/>
      <c r="I87" s="3721"/>
      <c r="J87" s="3722"/>
      <c r="K87" s="3628"/>
      <c r="L87" s="3628"/>
      <c r="M87" s="3628"/>
      <c r="N87" s="3628"/>
      <c r="O87" s="3628"/>
      <c r="P87" s="3628"/>
      <c r="Q87" s="3628"/>
      <c r="R87" s="3628"/>
      <c r="S87" s="3628"/>
      <c r="T87" s="3628"/>
      <c r="U87" s="3628"/>
      <c r="V87" s="3628"/>
      <c r="W87" s="3628"/>
      <c r="X87" s="3628"/>
      <c r="Y87" s="3628"/>
      <c r="Z87" s="3628"/>
      <c r="AA87" s="3628"/>
      <c r="AB87" s="3628"/>
      <c r="AC87" s="3628"/>
      <c r="AD87" s="3628"/>
      <c r="AE87" s="3628"/>
      <c r="AF87" s="3628"/>
      <c r="AG87" s="3628"/>
      <c r="AH87" s="3628"/>
      <c r="AI87" s="3628"/>
      <c r="AJ87" s="3628"/>
      <c r="AK87" s="3628"/>
      <c r="AL87" s="3628"/>
      <c r="AM87" s="3628"/>
      <c r="AN87" s="3628"/>
      <c r="AO87" s="3628"/>
      <c r="AP87" s="3628"/>
      <c r="AQ87" s="3628"/>
      <c r="AR87" s="3628"/>
      <c r="AS87" s="3628"/>
    </row>
    <row r="88" spans="2:45">
      <c r="B88" s="3721"/>
      <c r="C88" s="3718"/>
      <c r="D88" s="3719"/>
      <c r="E88" s="3720"/>
      <c r="F88" s="3719"/>
      <c r="G88" s="3720"/>
      <c r="H88" s="3719"/>
      <c r="I88" s="3721"/>
      <c r="J88" s="3722"/>
      <c r="K88" s="3628"/>
      <c r="L88" s="3628"/>
      <c r="M88" s="3628"/>
      <c r="N88" s="3628"/>
      <c r="O88" s="3628"/>
      <c r="P88" s="3628"/>
      <c r="Q88" s="3628"/>
      <c r="R88" s="3628"/>
      <c r="S88" s="3628"/>
      <c r="T88" s="3628"/>
      <c r="U88" s="3628"/>
      <c r="V88" s="3628"/>
      <c r="W88" s="3628"/>
      <c r="X88" s="3628"/>
      <c r="Y88" s="3628"/>
      <c r="Z88" s="3628"/>
      <c r="AA88" s="3628"/>
      <c r="AB88" s="3628"/>
      <c r="AC88" s="3628"/>
      <c r="AD88" s="3628"/>
      <c r="AE88" s="3628"/>
      <c r="AF88" s="3628"/>
      <c r="AG88" s="3628"/>
      <c r="AH88" s="3628"/>
      <c r="AI88" s="3628"/>
      <c r="AJ88" s="3628"/>
      <c r="AK88" s="3628"/>
      <c r="AL88" s="3628"/>
      <c r="AM88" s="3628"/>
      <c r="AN88" s="3628"/>
      <c r="AO88" s="3628"/>
      <c r="AP88" s="3628"/>
      <c r="AQ88" s="3628"/>
      <c r="AR88" s="3628"/>
      <c r="AS88" s="3628"/>
    </row>
    <row r="89" spans="2:45">
      <c r="B89" s="3721"/>
      <c r="C89" s="3718"/>
      <c r="D89" s="3719"/>
      <c r="E89" s="3720"/>
      <c r="F89" s="3719"/>
      <c r="G89" s="3720"/>
      <c r="H89" s="3719"/>
      <c r="I89" s="3721"/>
      <c r="J89" s="3722"/>
      <c r="K89" s="3628"/>
      <c r="L89" s="3628"/>
      <c r="M89" s="3628"/>
      <c r="N89" s="3628"/>
      <c r="O89" s="3628"/>
      <c r="P89" s="3628"/>
      <c r="Q89" s="3628"/>
      <c r="R89" s="3628"/>
      <c r="S89" s="3628"/>
      <c r="T89" s="3628"/>
      <c r="U89" s="3628"/>
      <c r="V89" s="3628"/>
      <c r="W89" s="3628"/>
      <c r="X89" s="3628"/>
      <c r="Y89" s="3628"/>
      <c r="Z89" s="3628"/>
      <c r="AA89" s="3628"/>
      <c r="AB89" s="3628"/>
      <c r="AC89" s="3628"/>
      <c r="AD89" s="3628"/>
      <c r="AE89" s="3628"/>
      <c r="AF89" s="3628"/>
      <c r="AG89" s="3628"/>
      <c r="AH89" s="3628"/>
      <c r="AI89" s="3628"/>
      <c r="AJ89" s="3628"/>
      <c r="AK89" s="3628"/>
      <c r="AL89" s="3628"/>
      <c r="AM89" s="3628"/>
      <c r="AN89" s="3628"/>
      <c r="AO89" s="3628"/>
      <c r="AP89" s="3628"/>
      <c r="AQ89" s="3628"/>
      <c r="AR89" s="3628"/>
      <c r="AS89" s="3628"/>
    </row>
    <row r="90" spans="2:45">
      <c r="B90" s="3721"/>
      <c r="C90" s="3718"/>
      <c r="D90" s="3719"/>
      <c r="E90" s="3720"/>
      <c r="F90" s="3719"/>
      <c r="G90" s="3720"/>
      <c r="H90" s="3719"/>
      <c r="I90" s="3721"/>
      <c r="J90" s="3722"/>
      <c r="K90" s="3628"/>
      <c r="L90" s="3628"/>
      <c r="M90" s="3628"/>
      <c r="N90" s="3628"/>
      <c r="O90" s="3628"/>
      <c r="P90" s="3628"/>
      <c r="Q90" s="3628"/>
      <c r="R90" s="3628"/>
      <c r="S90" s="3628"/>
      <c r="T90" s="3628"/>
      <c r="U90" s="3628"/>
      <c r="V90" s="3628"/>
      <c r="W90" s="3628"/>
      <c r="X90" s="3628"/>
      <c r="Y90" s="3628"/>
      <c r="Z90" s="3628"/>
      <c r="AA90" s="3628"/>
      <c r="AB90" s="3628"/>
      <c r="AC90" s="3628"/>
      <c r="AD90" s="3628"/>
      <c r="AE90" s="3628"/>
      <c r="AF90" s="3628"/>
      <c r="AG90" s="3628"/>
      <c r="AH90" s="3628"/>
      <c r="AI90" s="3628"/>
      <c r="AJ90" s="3628"/>
      <c r="AK90" s="3628"/>
      <c r="AL90" s="3628"/>
      <c r="AM90" s="3628"/>
      <c r="AN90" s="3628"/>
      <c r="AO90" s="3628"/>
      <c r="AP90" s="3628"/>
      <c r="AQ90" s="3628"/>
      <c r="AR90" s="3628"/>
      <c r="AS90" s="3628"/>
    </row>
    <row r="91" spans="2:45">
      <c r="B91" s="3721"/>
      <c r="C91" s="3718"/>
      <c r="D91" s="3719"/>
      <c r="E91" s="3720"/>
      <c r="F91" s="3719"/>
      <c r="G91" s="3720"/>
      <c r="H91" s="3719"/>
      <c r="I91" s="3721"/>
      <c r="J91" s="3722"/>
      <c r="K91" s="3628"/>
      <c r="L91" s="3628"/>
      <c r="M91" s="3628"/>
      <c r="N91" s="3628"/>
      <c r="O91" s="3628"/>
      <c r="P91" s="3628"/>
      <c r="Q91" s="3628"/>
      <c r="R91" s="3628"/>
      <c r="S91" s="3628"/>
      <c r="T91" s="3628"/>
      <c r="U91" s="3628"/>
      <c r="V91" s="3628"/>
      <c r="W91" s="3628"/>
      <c r="X91" s="3628"/>
      <c r="Y91" s="3628"/>
      <c r="Z91" s="3628"/>
      <c r="AA91" s="3628"/>
      <c r="AB91" s="3628"/>
      <c r="AC91" s="3628"/>
      <c r="AD91" s="3628"/>
      <c r="AE91" s="3628"/>
      <c r="AF91" s="3628"/>
      <c r="AG91" s="3628"/>
      <c r="AH91" s="3628"/>
      <c r="AI91" s="3628"/>
      <c r="AJ91" s="3628"/>
      <c r="AK91" s="3628"/>
      <c r="AL91" s="3628"/>
      <c r="AM91" s="3628"/>
      <c r="AN91" s="3628"/>
      <c r="AO91" s="3628"/>
      <c r="AP91" s="3628"/>
      <c r="AQ91" s="3628"/>
      <c r="AR91" s="3628"/>
      <c r="AS91" s="3628"/>
    </row>
    <row r="92" spans="2:45">
      <c r="B92" s="3721"/>
      <c r="C92" s="3718"/>
      <c r="D92" s="3719"/>
      <c r="E92" s="3720"/>
      <c r="F92" s="3719"/>
      <c r="G92" s="3720"/>
      <c r="H92" s="3719"/>
      <c r="I92" s="3721"/>
      <c r="J92" s="3722"/>
      <c r="K92" s="3628"/>
      <c r="L92" s="3628"/>
      <c r="M92" s="3628"/>
      <c r="N92" s="3628"/>
      <c r="O92" s="3628"/>
      <c r="P92" s="3628"/>
      <c r="Q92" s="3628"/>
      <c r="R92" s="3628"/>
      <c r="S92" s="3628"/>
      <c r="T92" s="3628"/>
      <c r="U92" s="3628"/>
      <c r="V92" s="3628"/>
      <c r="W92" s="3628"/>
      <c r="X92" s="3628"/>
      <c r="Y92" s="3628"/>
      <c r="Z92" s="3628"/>
      <c r="AA92" s="3628"/>
      <c r="AB92" s="3628"/>
      <c r="AC92" s="3628"/>
      <c r="AD92" s="3628"/>
      <c r="AE92" s="3628"/>
      <c r="AF92" s="3628"/>
      <c r="AG92" s="3628"/>
      <c r="AH92" s="3628"/>
      <c r="AI92" s="3628"/>
      <c r="AJ92" s="3628"/>
      <c r="AK92" s="3628"/>
      <c r="AL92" s="3628"/>
      <c r="AM92" s="3628"/>
      <c r="AN92" s="3628"/>
      <c r="AO92" s="3628"/>
      <c r="AP92" s="3628"/>
      <c r="AQ92" s="3628"/>
      <c r="AR92" s="3628"/>
      <c r="AS92" s="3628"/>
    </row>
    <row r="93" spans="2:45">
      <c r="B93" s="3721"/>
      <c r="C93" s="3718"/>
      <c r="D93" s="3719"/>
      <c r="E93" s="3720"/>
      <c r="F93" s="3719"/>
      <c r="G93" s="3720"/>
      <c r="H93" s="3719"/>
      <c r="I93" s="3721"/>
      <c r="J93" s="3722"/>
      <c r="K93" s="3628"/>
      <c r="L93" s="3628"/>
      <c r="M93" s="3628"/>
      <c r="N93" s="3628"/>
      <c r="O93" s="3628"/>
      <c r="P93" s="3628"/>
      <c r="Q93" s="3628"/>
      <c r="R93" s="3628"/>
      <c r="S93" s="3628"/>
      <c r="T93" s="3628"/>
      <c r="U93" s="3628"/>
      <c r="V93" s="3628"/>
      <c r="W93" s="3628"/>
      <c r="X93" s="3628"/>
      <c r="Y93" s="3628"/>
      <c r="Z93" s="3628"/>
      <c r="AA93" s="3628"/>
      <c r="AB93" s="3628"/>
      <c r="AC93" s="3628"/>
      <c r="AD93" s="3628"/>
      <c r="AE93" s="3628"/>
      <c r="AF93" s="3628"/>
      <c r="AG93" s="3628"/>
      <c r="AH93" s="3628"/>
      <c r="AI93" s="3628"/>
      <c r="AJ93" s="3628"/>
      <c r="AK93" s="3628"/>
      <c r="AL93" s="3628"/>
      <c r="AM93" s="3628"/>
      <c r="AN93" s="3628"/>
      <c r="AO93" s="3628"/>
      <c r="AP93" s="3628"/>
      <c r="AQ93" s="3628"/>
      <c r="AR93" s="3628"/>
      <c r="AS93" s="3628"/>
    </row>
    <row r="94" spans="2:45">
      <c r="B94" s="3721"/>
      <c r="C94" s="3718"/>
      <c r="D94" s="3719"/>
      <c r="E94" s="3720"/>
      <c r="F94" s="3719"/>
      <c r="G94" s="3720"/>
      <c r="H94" s="3719"/>
      <c r="I94" s="3721"/>
      <c r="J94" s="3722"/>
      <c r="K94" s="3628"/>
      <c r="L94" s="3628"/>
      <c r="M94" s="3628"/>
      <c r="N94" s="3628"/>
      <c r="O94" s="3628"/>
      <c r="P94" s="3628"/>
      <c r="Q94" s="3628"/>
      <c r="R94" s="3628"/>
      <c r="S94" s="3628"/>
      <c r="T94" s="3628"/>
      <c r="U94" s="3628"/>
      <c r="V94" s="3628"/>
      <c r="W94" s="3628"/>
      <c r="X94" s="3628"/>
      <c r="Y94" s="3628"/>
      <c r="Z94" s="3628"/>
      <c r="AA94" s="3628"/>
      <c r="AB94" s="3628"/>
      <c r="AC94" s="3628"/>
      <c r="AD94" s="3628"/>
      <c r="AE94" s="3628"/>
      <c r="AF94" s="3628"/>
      <c r="AG94" s="3628"/>
      <c r="AH94" s="3628"/>
      <c r="AI94" s="3628"/>
      <c r="AJ94" s="3628"/>
      <c r="AK94" s="3628"/>
      <c r="AL94" s="3628"/>
      <c r="AM94" s="3628"/>
      <c r="AN94" s="3628"/>
      <c r="AO94" s="3628"/>
      <c r="AP94" s="3628"/>
      <c r="AQ94" s="3628"/>
      <c r="AR94" s="3628"/>
      <c r="AS94" s="3628"/>
    </row>
    <row r="95" spans="2:45">
      <c r="B95" s="3721"/>
      <c r="C95" s="3718"/>
      <c r="D95" s="3719"/>
      <c r="E95" s="3720"/>
      <c r="F95" s="3719"/>
      <c r="G95" s="3720"/>
      <c r="H95" s="3719"/>
      <c r="I95" s="3721"/>
      <c r="J95" s="3722"/>
      <c r="K95" s="3628"/>
      <c r="L95" s="3628"/>
      <c r="M95" s="3628"/>
      <c r="N95" s="3628"/>
      <c r="O95" s="3628"/>
      <c r="P95" s="3628"/>
      <c r="Q95" s="3628"/>
      <c r="R95" s="3628"/>
      <c r="S95" s="3628"/>
      <c r="T95" s="3628"/>
      <c r="U95" s="3628"/>
      <c r="V95" s="3628"/>
      <c r="W95" s="3628"/>
      <c r="X95" s="3628"/>
      <c r="Y95" s="3628"/>
      <c r="Z95" s="3628"/>
      <c r="AA95" s="3628"/>
      <c r="AB95" s="3628"/>
      <c r="AC95" s="3628"/>
      <c r="AD95" s="3628"/>
      <c r="AE95" s="3628"/>
      <c r="AF95" s="3628"/>
      <c r="AG95" s="3628"/>
      <c r="AH95" s="3628"/>
      <c r="AI95" s="3628"/>
      <c r="AJ95" s="3628"/>
      <c r="AK95" s="3628"/>
      <c r="AL95" s="3628"/>
      <c r="AM95" s="3628"/>
      <c r="AN95" s="3628"/>
      <c r="AO95" s="3628"/>
      <c r="AP95" s="3628"/>
      <c r="AQ95" s="3628"/>
      <c r="AR95" s="3628"/>
      <c r="AS95" s="3628"/>
    </row>
    <row r="96" spans="2:45">
      <c r="B96" s="3721"/>
      <c r="C96" s="3718"/>
      <c r="D96" s="3719"/>
      <c r="E96" s="3720"/>
      <c r="F96" s="3719"/>
      <c r="G96" s="3720"/>
      <c r="H96" s="3719"/>
      <c r="I96" s="3721"/>
      <c r="J96" s="3722"/>
      <c r="K96" s="3628"/>
      <c r="L96" s="3628"/>
      <c r="M96" s="3628"/>
      <c r="N96" s="3628"/>
      <c r="O96" s="3628"/>
      <c r="P96" s="3628"/>
      <c r="Q96" s="3628"/>
      <c r="R96" s="3628"/>
      <c r="S96" s="3628"/>
      <c r="T96" s="3628"/>
      <c r="U96" s="3628"/>
      <c r="V96" s="3628"/>
      <c r="W96" s="3628"/>
      <c r="X96" s="3628"/>
      <c r="Y96" s="3628"/>
      <c r="Z96" s="3628"/>
      <c r="AA96" s="3628"/>
      <c r="AB96" s="3628"/>
      <c r="AC96" s="3628"/>
      <c r="AD96" s="3628"/>
      <c r="AE96" s="3628"/>
      <c r="AF96" s="3628"/>
      <c r="AG96" s="3628"/>
      <c r="AH96" s="3628"/>
      <c r="AI96" s="3628"/>
      <c r="AJ96" s="3628"/>
      <c r="AK96" s="3628"/>
      <c r="AL96" s="3628"/>
      <c r="AM96" s="3628"/>
      <c r="AN96" s="3628"/>
      <c r="AO96" s="3628"/>
      <c r="AP96" s="3628"/>
      <c r="AQ96" s="3628"/>
      <c r="AR96" s="3628"/>
      <c r="AS96" s="3628"/>
    </row>
    <row r="97" spans="2:45">
      <c r="B97" s="3721"/>
      <c r="C97" s="3718"/>
      <c r="D97" s="3719"/>
      <c r="E97" s="3720"/>
      <c r="F97" s="3719"/>
      <c r="G97" s="3720"/>
      <c r="H97" s="3719"/>
      <c r="I97" s="3721"/>
      <c r="J97" s="3722"/>
      <c r="K97" s="3628"/>
      <c r="L97" s="3628"/>
      <c r="M97" s="3628"/>
      <c r="N97" s="3628"/>
      <c r="O97" s="3628"/>
      <c r="P97" s="3628"/>
      <c r="Q97" s="3628"/>
      <c r="R97" s="3628"/>
      <c r="S97" s="3628"/>
      <c r="T97" s="3628"/>
      <c r="U97" s="3628"/>
      <c r="V97" s="3628"/>
      <c r="W97" s="3628"/>
      <c r="X97" s="3628"/>
      <c r="Y97" s="3628"/>
      <c r="Z97" s="3628"/>
      <c r="AA97" s="3628"/>
      <c r="AB97" s="3628"/>
      <c r="AC97" s="3628"/>
      <c r="AD97" s="3628"/>
      <c r="AE97" s="3628"/>
      <c r="AF97" s="3628"/>
      <c r="AG97" s="3628"/>
      <c r="AH97" s="3628"/>
      <c r="AI97" s="3628"/>
      <c r="AJ97" s="3628"/>
      <c r="AK97" s="3628"/>
      <c r="AL97" s="3628"/>
      <c r="AM97" s="3628"/>
      <c r="AN97" s="3628"/>
      <c r="AO97" s="3628"/>
      <c r="AP97" s="3628"/>
      <c r="AQ97" s="3628"/>
      <c r="AR97" s="3628"/>
      <c r="AS97" s="3628"/>
    </row>
    <row r="98" spans="2:45">
      <c r="B98" s="3721"/>
      <c r="C98" s="3718"/>
      <c r="D98" s="3719"/>
      <c r="E98" s="3720"/>
      <c r="F98" s="3719"/>
      <c r="G98" s="3720"/>
      <c r="H98" s="3719"/>
      <c r="I98" s="3721"/>
      <c r="J98" s="3722"/>
      <c r="K98" s="3628"/>
      <c r="L98" s="3628"/>
      <c r="M98" s="3628"/>
      <c r="N98" s="3628"/>
      <c r="O98" s="3628"/>
      <c r="P98" s="3628"/>
      <c r="Q98" s="3628"/>
      <c r="R98" s="3628"/>
      <c r="S98" s="3628"/>
      <c r="T98" s="3628"/>
      <c r="U98" s="3628"/>
      <c r="V98" s="3628"/>
      <c r="W98" s="3628"/>
      <c r="X98" s="3628"/>
      <c r="Y98" s="3628"/>
      <c r="Z98" s="3628"/>
      <c r="AA98" s="3628"/>
      <c r="AB98" s="3628"/>
      <c r="AC98" s="3628"/>
      <c r="AD98" s="3628"/>
      <c r="AE98" s="3628"/>
      <c r="AF98" s="3628"/>
      <c r="AG98" s="3628"/>
      <c r="AH98" s="3628"/>
      <c r="AI98" s="3628"/>
      <c r="AJ98" s="3628"/>
      <c r="AK98" s="3628"/>
      <c r="AL98" s="3628"/>
      <c r="AM98" s="3628"/>
      <c r="AN98" s="3628"/>
      <c r="AO98" s="3628"/>
      <c r="AP98" s="3628"/>
      <c r="AQ98" s="3628"/>
      <c r="AR98" s="3628"/>
      <c r="AS98" s="3628"/>
    </row>
    <row r="99" spans="2:45">
      <c r="B99" s="3721"/>
      <c r="C99" s="3718"/>
      <c r="D99" s="3719"/>
      <c r="E99" s="3720"/>
      <c r="F99" s="3719"/>
      <c r="G99" s="3720"/>
      <c r="H99" s="3719"/>
      <c r="I99" s="3721"/>
      <c r="J99" s="3722"/>
      <c r="K99" s="3628"/>
      <c r="L99" s="3628"/>
      <c r="M99" s="3628"/>
      <c r="N99" s="3628"/>
      <c r="O99" s="3628"/>
      <c r="P99" s="3628"/>
      <c r="Q99" s="3628"/>
      <c r="R99" s="3628"/>
      <c r="S99" s="3628"/>
      <c r="T99" s="3628"/>
      <c r="U99" s="3628"/>
      <c r="V99" s="3628"/>
      <c r="W99" s="3628"/>
      <c r="X99" s="3628"/>
      <c r="Y99" s="3628"/>
      <c r="Z99" s="3628"/>
      <c r="AA99" s="3628"/>
      <c r="AB99" s="3628"/>
      <c r="AC99" s="3628"/>
      <c r="AD99" s="3628"/>
      <c r="AE99" s="3628"/>
      <c r="AF99" s="3628"/>
      <c r="AG99" s="3628"/>
      <c r="AH99" s="3628"/>
      <c r="AI99" s="3628"/>
      <c r="AJ99" s="3628"/>
      <c r="AK99" s="3628"/>
      <c r="AL99" s="3628"/>
      <c r="AM99" s="3628"/>
      <c r="AN99" s="3628"/>
      <c r="AO99" s="3628"/>
      <c r="AP99" s="3628"/>
      <c r="AQ99" s="3628"/>
      <c r="AR99" s="3628"/>
      <c r="AS99" s="3628"/>
    </row>
    <row r="100" spans="2:45">
      <c r="B100" s="3721"/>
      <c r="C100" s="3718"/>
      <c r="D100" s="3719"/>
      <c r="E100" s="3720"/>
      <c r="F100" s="3719"/>
      <c r="G100" s="3720"/>
      <c r="H100" s="3719"/>
      <c r="I100" s="3721"/>
      <c r="J100" s="3722"/>
      <c r="K100" s="3628"/>
      <c r="L100" s="3628"/>
      <c r="M100" s="3628"/>
      <c r="N100" s="3628"/>
      <c r="O100" s="3628"/>
      <c r="P100" s="3628"/>
      <c r="Q100" s="3628"/>
      <c r="R100" s="3628"/>
      <c r="S100" s="3628"/>
      <c r="T100" s="3628"/>
      <c r="U100" s="3628"/>
      <c r="V100" s="3628"/>
      <c r="W100" s="3628"/>
      <c r="X100" s="3628"/>
      <c r="Y100" s="3628"/>
      <c r="Z100" s="3628"/>
      <c r="AA100" s="3628"/>
      <c r="AB100" s="3628"/>
      <c r="AC100" s="3628"/>
      <c r="AD100" s="3628"/>
      <c r="AE100" s="3628"/>
      <c r="AF100" s="3628"/>
      <c r="AG100" s="3628"/>
      <c r="AH100" s="3628"/>
      <c r="AI100" s="3628"/>
      <c r="AJ100" s="3628"/>
      <c r="AK100" s="3628"/>
      <c r="AL100" s="3628"/>
      <c r="AM100" s="3628"/>
      <c r="AN100" s="3628"/>
      <c r="AO100" s="3628"/>
      <c r="AP100" s="3628"/>
      <c r="AQ100" s="3628"/>
      <c r="AR100" s="3628"/>
      <c r="AS100" s="3628"/>
    </row>
    <row r="101" spans="2:45">
      <c r="B101" s="3721"/>
      <c r="C101" s="3718"/>
      <c r="D101" s="3719"/>
      <c r="E101" s="3720"/>
      <c r="F101" s="3719"/>
      <c r="G101" s="3720"/>
      <c r="H101" s="3719"/>
      <c r="I101" s="3721"/>
      <c r="J101" s="3722"/>
      <c r="K101" s="3628"/>
      <c r="L101" s="3628"/>
      <c r="M101" s="3628"/>
      <c r="N101" s="3628"/>
      <c r="O101" s="3628"/>
      <c r="P101" s="3628"/>
      <c r="Q101" s="3628"/>
      <c r="R101" s="3628"/>
      <c r="S101" s="3628"/>
      <c r="T101" s="3628"/>
      <c r="U101" s="3628"/>
      <c r="V101" s="3628"/>
      <c r="W101" s="3628"/>
      <c r="X101" s="3628"/>
      <c r="Y101" s="3628"/>
      <c r="Z101" s="3628"/>
      <c r="AA101" s="3628"/>
      <c r="AB101" s="3628"/>
      <c r="AC101" s="3628"/>
      <c r="AD101" s="3628"/>
      <c r="AE101" s="3628"/>
      <c r="AF101" s="3628"/>
      <c r="AG101" s="3628"/>
      <c r="AH101" s="3628"/>
      <c r="AI101" s="3628"/>
      <c r="AJ101" s="3628"/>
      <c r="AK101" s="3628"/>
      <c r="AL101" s="3628"/>
      <c r="AM101" s="3628"/>
      <c r="AN101" s="3628"/>
      <c r="AO101" s="3628"/>
      <c r="AP101" s="3628"/>
      <c r="AQ101" s="3628"/>
      <c r="AR101" s="3628"/>
      <c r="AS101" s="3628"/>
    </row>
    <row r="102" spans="2:45">
      <c r="B102" s="3721"/>
      <c r="C102" s="3718"/>
      <c r="D102" s="3719"/>
      <c r="E102" s="3720"/>
      <c r="F102" s="3719"/>
      <c r="G102" s="3720"/>
      <c r="H102" s="3719"/>
      <c r="I102" s="3721"/>
      <c r="J102" s="3722"/>
      <c r="K102" s="3628"/>
      <c r="L102" s="3628"/>
      <c r="M102" s="3628"/>
      <c r="N102" s="3628"/>
      <c r="O102" s="3628"/>
      <c r="P102" s="3628"/>
      <c r="Q102" s="3628"/>
      <c r="R102" s="3628"/>
      <c r="S102" s="3628"/>
      <c r="T102" s="3628"/>
      <c r="U102" s="3628"/>
      <c r="V102" s="3628"/>
      <c r="W102" s="3628"/>
      <c r="X102" s="3628"/>
      <c r="Y102" s="3628"/>
      <c r="Z102" s="3628"/>
      <c r="AA102" s="3628"/>
      <c r="AB102" s="3628"/>
      <c r="AC102" s="3628"/>
      <c r="AD102" s="3628"/>
      <c r="AE102" s="3628"/>
      <c r="AF102" s="3628"/>
      <c r="AG102" s="3628"/>
      <c r="AH102" s="3628"/>
      <c r="AI102" s="3628"/>
      <c r="AJ102" s="3628"/>
      <c r="AK102" s="3628"/>
      <c r="AL102" s="3628"/>
      <c r="AM102" s="3628"/>
      <c r="AN102" s="3628"/>
      <c r="AO102" s="3628"/>
      <c r="AP102" s="3628"/>
      <c r="AQ102" s="3628"/>
      <c r="AR102" s="3628"/>
      <c r="AS102" s="3628"/>
    </row>
    <row r="103" spans="2:45">
      <c r="B103" s="3721"/>
      <c r="C103" s="3718"/>
      <c r="D103" s="3719"/>
      <c r="E103" s="3720"/>
      <c r="F103" s="3719"/>
      <c r="G103" s="3720"/>
      <c r="H103" s="3719"/>
      <c r="I103" s="3721"/>
      <c r="J103" s="3722"/>
      <c r="K103" s="3628"/>
      <c r="L103" s="3628"/>
      <c r="M103" s="3628"/>
      <c r="N103" s="3628"/>
      <c r="O103" s="3628"/>
      <c r="P103" s="3628"/>
      <c r="Q103" s="3628"/>
      <c r="R103" s="3628"/>
      <c r="S103" s="3628"/>
      <c r="T103" s="3628"/>
      <c r="U103" s="3628"/>
      <c r="V103" s="3628"/>
      <c r="W103" s="3628"/>
      <c r="X103" s="3628"/>
      <c r="Y103" s="3628"/>
      <c r="Z103" s="3628"/>
      <c r="AA103" s="3628"/>
      <c r="AB103" s="3628"/>
      <c r="AC103" s="3628"/>
      <c r="AD103" s="3628"/>
      <c r="AE103" s="3628"/>
      <c r="AF103" s="3628"/>
      <c r="AG103" s="3628"/>
      <c r="AH103" s="3628"/>
      <c r="AI103" s="3628"/>
      <c r="AJ103" s="3628"/>
      <c r="AK103" s="3628"/>
      <c r="AL103" s="3628"/>
      <c r="AM103" s="3628"/>
      <c r="AN103" s="3628"/>
      <c r="AO103" s="3628"/>
      <c r="AP103" s="3628"/>
      <c r="AQ103" s="3628"/>
      <c r="AR103" s="3628"/>
      <c r="AS103" s="3628"/>
    </row>
    <row r="104" spans="2:45">
      <c r="B104" s="3721"/>
      <c r="C104" s="3718"/>
      <c r="D104" s="3719"/>
      <c r="E104" s="3720"/>
      <c r="F104" s="3719"/>
      <c r="G104" s="3720"/>
      <c r="H104" s="3719"/>
      <c r="I104" s="3721"/>
      <c r="J104" s="3722"/>
      <c r="K104" s="3628"/>
      <c r="L104" s="3628"/>
      <c r="M104" s="3628"/>
      <c r="N104" s="3628"/>
      <c r="O104" s="3628"/>
      <c r="P104" s="3628"/>
      <c r="Q104" s="3628"/>
      <c r="R104" s="3628"/>
      <c r="S104" s="3628"/>
      <c r="T104" s="3628"/>
      <c r="U104" s="3628"/>
      <c r="V104" s="3628"/>
      <c r="W104" s="3628"/>
      <c r="X104" s="3628"/>
      <c r="Y104" s="3628"/>
      <c r="Z104" s="3628"/>
      <c r="AA104" s="3628"/>
      <c r="AB104" s="3628"/>
      <c r="AC104" s="3628"/>
      <c r="AD104" s="3628"/>
      <c r="AE104" s="3628"/>
      <c r="AF104" s="3628"/>
      <c r="AG104" s="3628"/>
      <c r="AH104" s="3628"/>
      <c r="AI104" s="3628"/>
      <c r="AJ104" s="3628"/>
      <c r="AK104" s="3628"/>
      <c r="AL104" s="3628"/>
      <c r="AM104" s="3628"/>
      <c r="AN104" s="3628"/>
      <c r="AO104" s="3628"/>
      <c r="AP104" s="3628"/>
      <c r="AQ104" s="3628"/>
      <c r="AR104" s="3628"/>
      <c r="AS104" s="3628"/>
    </row>
    <row r="105" spans="2:45">
      <c r="B105" s="3721"/>
      <c r="C105" s="3718"/>
      <c r="D105" s="3719"/>
      <c r="E105" s="3720"/>
      <c r="F105" s="3719"/>
      <c r="G105" s="3720"/>
      <c r="H105" s="3719"/>
      <c r="I105" s="3721"/>
      <c r="J105" s="3722"/>
      <c r="K105" s="3628"/>
      <c r="L105" s="3628"/>
      <c r="M105" s="3628"/>
      <c r="N105" s="3628"/>
      <c r="O105" s="3628"/>
      <c r="P105" s="3628"/>
      <c r="Q105" s="3628"/>
      <c r="R105" s="3628"/>
      <c r="S105" s="3628"/>
      <c r="T105" s="3628"/>
      <c r="U105" s="3628"/>
      <c r="V105" s="3628"/>
      <c r="W105" s="3628"/>
      <c r="X105" s="3628"/>
      <c r="Y105" s="3628"/>
      <c r="Z105" s="3628"/>
      <c r="AA105" s="3628"/>
      <c r="AB105" s="3628"/>
      <c r="AC105" s="3628"/>
      <c r="AD105" s="3628"/>
      <c r="AE105" s="3628"/>
      <c r="AF105" s="3628"/>
      <c r="AG105" s="3628"/>
      <c r="AH105" s="3628"/>
      <c r="AI105" s="3628"/>
      <c r="AJ105" s="3628"/>
      <c r="AK105" s="3628"/>
      <c r="AL105" s="3628"/>
      <c r="AM105" s="3628"/>
      <c r="AN105" s="3628"/>
      <c r="AO105" s="3628"/>
      <c r="AP105" s="3628"/>
      <c r="AQ105" s="3628"/>
      <c r="AR105" s="3628"/>
      <c r="AS105" s="3628"/>
    </row>
    <row r="106" spans="2:45">
      <c r="B106" s="3721"/>
      <c r="C106" s="3718"/>
      <c r="D106" s="3719"/>
      <c r="E106" s="3720"/>
      <c r="F106" s="3719"/>
      <c r="G106" s="3720"/>
      <c r="H106" s="3719"/>
      <c r="I106" s="3721"/>
      <c r="J106" s="3722"/>
      <c r="K106" s="3628"/>
      <c r="L106" s="3628"/>
      <c r="M106" s="3628"/>
      <c r="N106" s="3628"/>
      <c r="O106" s="3628"/>
      <c r="P106" s="3628"/>
      <c r="Q106" s="3628"/>
      <c r="R106" s="3628"/>
      <c r="S106" s="3628"/>
      <c r="T106" s="3628"/>
      <c r="U106" s="3628"/>
      <c r="V106" s="3628"/>
      <c r="W106" s="3628"/>
      <c r="X106" s="3628"/>
      <c r="Y106" s="3628"/>
      <c r="Z106" s="3628"/>
      <c r="AA106" s="3628"/>
      <c r="AB106" s="3628"/>
      <c r="AC106" s="3628"/>
      <c r="AD106" s="3628"/>
      <c r="AE106" s="3628"/>
      <c r="AF106" s="3628"/>
      <c r="AG106" s="3628"/>
      <c r="AH106" s="3628"/>
      <c r="AI106" s="3628"/>
      <c r="AJ106" s="3628"/>
      <c r="AK106" s="3628"/>
      <c r="AL106" s="3628"/>
      <c r="AM106" s="3628"/>
      <c r="AN106" s="3628"/>
      <c r="AO106" s="3628"/>
      <c r="AP106" s="3628"/>
      <c r="AQ106" s="3628"/>
      <c r="AR106" s="3628"/>
      <c r="AS106" s="3628"/>
    </row>
    <row r="107" spans="2:45">
      <c r="B107" s="3721"/>
      <c r="C107" s="3718"/>
      <c r="D107" s="3719"/>
      <c r="E107" s="3720"/>
      <c r="F107" s="3719"/>
      <c r="G107" s="3720"/>
      <c r="H107" s="3719"/>
      <c r="I107" s="3721"/>
      <c r="J107" s="3722"/>
      <c r="K107" s="3628"/>
      <c r="L107" s="3628"/>
      <c r="M107" s="3628"/>
      <c r="N107" s="3628"/>
      <c r="O107" s="3628"/>
      <c r="P107" s="3628"/>
      <c r="Q107" s="3628"/>
      <c r="R107" s="3628"/>
      <c r="S107" s="3628"/>
      <c r="T107" s="3628"/>
      <c r="U107" s="3628"/>
      <c r="V107" s="3628"/>
      <c r="W107" s="3628"/>
      <c r="X107" s="3628"/>
      <c r="Y107" s="3628"/>
      <c r="Z107" s="3628"/>
      <c r="AA107" s="3628"/>
      <c r="AB107" s="3628"/>
      <c r="AC107" s="3628"/>
      <c r="AD107" s="3628"/>
      <c r="AE107" s="3628"/>
      <c r="AF107" s="3628"/>
      <c r="AG107" s="3628"/>
      <c r="AH107" s="3628"/>
      <c r="AI107" s="3628"/>
      <c r="AJ107" s="3628"/>
      <c r="AK107" s="3628"/>
      <c r="AL107" s="3628"/>
      <c r="AM107" s="3628"/>
      <c r="AN107" s="3628"/>
      <c r="AO107" s="3628"/>
      <c r="AP107" s="3628"/>
      <c r="AQ107" s="3628"/>
      <c r="AR107" s="3628"/>
      <c r="AS107" s="3628"/>
    </row>
    <row r="108" spans="2:45">
      <c r="B108" s="3721"/>
      <c r="C108" s="3718"/>
      <c r="D108" s="3719"/>
      <c r="E108" s="3720"/>
      <c r="F108" s="3719"/>
      <c r="G108" s="3720"/>
      <c r="H108" s="3719"/>
      <c r="I108" s="3721"/>
      <c r="J108" s="3722"/>
      <c r="K108" s="3628"/>
      <c r="L108" s="3628"/>
      <c r="M108" s="3628"/>
      <c r="N108" s="3628"/>
      <c r="O108" s="3628"/>
      <c r="P108" s="3628"/>
      <c r="Q108" s="3628"/>
      <c r="R108" s="3628"/>
      <c r="S108" s="3628"/>
      <c r="T108" s="3628"/>
      <c r="U108" s="3628"/>
      <c r="V108" s="3628"/>
      <c r="W108" s="3628"/>
      <c r="X108" s="3628"/>
      <c r="Y108" s="3628"/>
      <c r="Z108" s="3628"/>
      <c r="AA108" s="3628"/>
      <c r="AB108" s="3628"/>
      <c r="AC108" s="3628"/>
      <c r="AD108" s="3628"/>
      <c r="AE108" s="3628"/>
      <c r="AF108" s="3628"/>
      <c r="AG108" s="3628"/>
      <c r="AH108" s="3628"/>
      <c r="AI108" s="3628"/>
      <c r="AJ108" s="3628"/>
      <c r="AK108" s="3628"/>
      <c r="AL108" s="3628"/>
      <c r="AM108" s="3628"/>
      <c r="AN108" s="3628"/>
      <c r="AO108" s="3628"/>
      <c r="AP108" s="3628"/>
      <c r="AQ108" s="3628"/>
      <c r="AR108" s="3628"/>
      <c r="AS108" s="3628"/>
    </row>
    <row r="109" spans="2:45">
      <c r="B109" s="3721"/>
      <c r="C109" s="3718"/>
      <c r="D109" s="3719"/>
      <c r="E109" s="3720"/>
      <c r="F109" s="3719"/>
      <c r="G109" s="3720"/>
      <c r="H109" s="3719"/>
      <c r="I109" s="3721"/>
      <c r="J109" s="3722"/>
      <c r="K109" s="3628"/>
      <c r="L109" s="3628"/>
      <c r="M109" s="3628"/>
      <c r="N109" s="3628"/>
      <c r="O109" s="3628"/>
      <c r="P109" s="3628"/>
      <c r="Q109" s="3628"/>
      <c r="R109" s="3628"/>
      <c r="S109" s="3628"/>
      <c r="T109" s="3628"/>
      <c r="U109" s="3628"/>
      <c r="V109" s="3628"/>
      <c r="W109" s="3628"/>
      <c r="X109" s="3628"/>
      <c r="Y109" s="3628"/>
      <c r="Z109" s="3628"/>
      <c r="AA109" s="3628"/>
      <c r="AB109" s="3628"/>
      <c r="AC109" s="3628"/>
      <c r="AD109" s="3628"/>
      <c r="AE109" s="3628"/>
      <c r="AF109" s="3628"/>
      <c r="AG109" s="3628"/>
      <c r="AH109" s="3628"/>
      <c r="AI109" s="3628"/>
      <c r="AJ109" s="3628"/>
      <c r="AK109" s="3628"/>
      <c r="AL109" s="3628"/>
      <c r="AM109" s="3628"/>
      <c r="AN109" s="3628"/>
      <c r="AO109" s="3628"/>
      <c r="AP109" s="3628"/>
      <c r="AQ109" s="3628"/>
      <c r="AR109" s="3628"/>
      <c r="AS109" s="3628"/>
    </row>
    <row r="110" spans="2:45">
      <c r="B110" s="3721"/>
      <c r="C110" s="3718"/>
      <c r="D110" s="3719"/>
      <c r="E110" s="3720"/>
      <c r="F110" s="3719"/>
      <c r="G110" s="3720"/>
      <c r="H110" s="3719"/>
      <c r="I110" s="3721"/>
      <c r="J110" s="3722"/>
      <c r="K110" s="3628"/>
      <c r="L110" s="3628"/>
      <c r="M110" s="3628"/>
      <c r="N110" s="3628"/>
      <c r="O110" s="3628"/>
      <c r="P110" s="3628"/>
      <c r="Q110" s="3628"/>
      <c r="R110" s="3628"/>
      <c r="S110" s="3628"/>
      <c r="T110" s="3628"/>
      <c r="U110" s="3628"/>
      <c r="V110" s="3628"/>
      <c r="W110" s="3628"/>
      <c r="X110" s="3628"/>
      <c r="Y110" s="3628"/>
      <c r="Z110" s="3628"/>
      <c r="AA110" s="3628"/>
      <c r="AB110" s="3628"/>
      <c r="AC110" s="3628"/>
      <c r="AD110" s="3628"/>
      <c r="AE110" s="3628"/>
      <c r="AF110" s="3628"/>
      <c r="AG110" s="3628"/>
      <c r="AH110" s="3628"/>
      <c r="AI110" s="3628"/>
      <c r="AJ110" s="3628"/>
      <c r="AK110" s="3628"/>
      <c r="AL110" s="3628"/>
      <c r="AM110" s="3628"/>
      <c r="AN110" s="3628"/>
      <c r="AO110" s="3628"/>
      <c r="AP110" s="3628"/>
      <c r="AQ110" s="3628"/>
      <c r="AR110" s="3628"/>
      <c r="AS110" s="3628"/>
    </row>
    <row r="111" spans="2:45">
      <c r="B111" s="3721"/>
      <c r="C111" s="3718"/>
      <c r="D111" s="3719"/>
      <c r="E111" s="3720"/>
      <c r="F111" s="3719"/>
      <c r="G111" s="3720"/>
      <c r="H111" s="3719"/>
      <c r="I111" s="3721"/>
      <c r="J111" s="3722"/>
      <c r="K111" s="3628"/>
      <c r="L111" s="3628"/>
      <c r="M111" s="3628"/>
      <c r="N111" s="3628"/>
      <c r="O111" s="3628"/>
      <c r="P111" s="3628"/>
      <c r="Q111" s="3628"/>
      <c r="R111" s="3628"/>
      <c r="S111" s="3628"/>
      <c r="T111" s="3628"/>
      <c r="U111" s="3628"/>
      <c r="V111" s="3628"/>
      <c r="W111" s="3628"/>
      <c r="X111" s="3628"/>
      <c r="Y111" s="3628"/>
      <c r="Z111" s="3628"/>
      <c r="AA111" s="3628"/>
      <c r="AB111" s="3628"/>
      <c r="AC111" s="3628"/>
      <c r="AD111" s="3628"/>
      <c r="AE111" s="3628"/>
      <c r="AF111" s="3628"/>
      <c r="AG111" s="3628"/>
      <c r="AH111" s="3628"/>
      <c r="AI111" s="3628"/>
      <c r="AJ111" s="3628"/>
      <c r="AK111" s="3628"/>
      <c r="AL111" s="3628"/>
      <c r="AM111" s="3628"/>
      <c r="AN111" s="3628"/>
      <c r="AO111" s="3628"/>
      <c r="AP111" s="3628"/>
      <c r="AQ111" s="3628"/>
      <c r="AR111" s="3628"/>
      <c r="AS111" s="3628"/>
    </row>
    <row r="112" spans="2:45">
      <c r="B112" s="3721"/>
      <c r="C112" s="3718"/>
      <c r="D112" s="3719"/>
      <c r="E112" s="3720"/>
      <c r="F112" s="3719"/>
      <c r="G112" s="3720"/>
      <c r="H112" s="3719"/>
      <c r="I112" s="3721"/>
      <c r="J112" s="3722"/>
      <c r="K112" s="3628"/>
      <c r="L112" s="3628"/>
      <c r="M112" s="3628"/>
      <c r="N112" s="3628"/>
      <c r="O112" s="3628"/>
      <c r="P112" s="3628"/>
      <c r="Q112" s="3628"/>
      <c r="R112" s="3628"/>
      <c r="S112" s="3628"/>
      <c r="T112" s="3628"/>
      <c r="U112" s="3628"/>
      <c r="V112" s="3628"/>
      <c r="W112" s="3628"/>
      <c r="X112" s="3628"/>
      <c r="Y112" s="3628"/>
      <c r="Z112" s="3628"/>
      <c r="AA112" s="3628"/>
      <c r="AB112" s="3628"/>
      <c r="AC112" s="3628"/>
      <c r="AD112" s="3628"/>
      <c r="AE112" s="3628"/>
      <c r="AF112" s="3628"/>
      <c r="AG112" s="3628"/>
      <c r="AH112" s="3628"/>
      <c r="AI112" s="3628"/>
      <c r="AJ112" s="3628"/>
      <c r="AK112" s="3628"/>
      <c r="AL112" s="3628"/>
      <c r="AM112" s="3628"/>
      <c r="AN112" s="3628"/>
      <c r="AO112" s="3628"/>
      <c r="AP112" s="3628"/>
      <c r="AQ112" s="3628"/>
      <c r="AR112" s="3628"/>
      <c r="AS112" s="3628"/>
    </row>
    <row r="113" spans="2:45">
      <c r="B113" s="3721"/>
      <c r="C113" s="3718"/>
      <c r="D113" s="3719"/>
      <c r="E113" s="3720"/>
      <c r="F113" s="3719"/>
      <c r="G113" s="3720"/>
      <c r="H113" s="3719"/>
      <c r="I113" s="3721"/>
      <c r="J113" s="3722"/>
      <c r="K113" s="3628"/>
      <c r="L113" s="3628"/>
      <c r="M113" s="3628"/>
      <c r="N113" s="3628"/>
      <c r="O113" s="3628"/>
      <c r="P113" s="3628"/>
      <c r="Q113" s="3628"/>
      <c r="R113" s="3628"/>
      <c r="S113" s="3628"/>
      <c r="T113" s="3628"/>
      <c r="U113" s="3628"/>
      <c r="V113" s="3628"/>
      <c r="W113" s="3628"/>
      <c r="X113" s="3628"/>
      <c r="Y113" s="3628"/>
      <c r="Z113" s="3628"/>
      <c r="AA113" s="3628"/>
      <c r="AB113" s="3628"/>
      <c r="AC113" s="3628"/>
      <c r="AD113" s="3628"/>
      <c r="AE113" s="3628"/>
      <c r="AF113" s="3628"/>
      <c r="AG113" s="3628"/>
      <c r="AH113" s="3628"/>
      <c r="AI113" s="3628"/>
      <c r="AJ113" s="3628"/>
      <c r="AK113" s="3628"/>
      <c r="AL113" s="3628"/>
      <c r="AM113" s="3628"/>
      <c r="AN113" s="3628"/>
      <c r="AO113" s="3628"/>
      <c r="AP113" s="3628"/>
      <c r="AQ113" s="3628"/>
      <c r="AR113" s="3628"/>
      <c r="AS113" s="3628"/>
    </row>
    <row r="114" spans="2:45">
      <c r="B114" s="3721"/>
      <c r="C114" s="3718"/>
      <c r="D114" s="3719"/>
      <c r="E114" s="3720"/>
      <c r="F114" s="3719"/>
      <c r="G114" s="3720"/>
      <c r="H114" s="3719"/>
      <c r="I114" s="3721"/>
      <c r="J114" s="3722"/>
      <c r="K114" s="3628"/>
      <c r="L114" s="3628"/>
      <c r="M114" s="3628"/>
      <c r="N114" s="3628"/>
      <c r="O114" s="3628"/>
      <c r="P114" s="3628"/>
      <c r="Q114" s="3628"/>
      <c r="R114" s="3628"/>
      <c r="S114" s="3628"/>
      <c r="T114" s="3628"/>
      <c r="U114" s="3628"/>
      <c r="V114" s="3628"/>
      <c r="W114" s="3628"/>
      <c r="X114" s="3628"/>
      <c r="Y114" s="3628"/>
      <c r="Z114" s="3628"/>
      <c r="AA114" s="3628"/>
      <c r="AB114" s="3628"/>
      <c r="AC114" s="3628"/>
      <c r="AD114" s="3628"/>
      <c r="AE114" s="3628"/>
      <c r="AF114" s="3628"/>
      <c r="AG114" s="3628"/>
      <c r="AH114" s="3628"/>
      <c r="AI114" s="3628"/>
      <c r="AJ114" s="3628"/>
      <c r="AK114" s="3628"/>
      <c r="AL114" s="3628"/>
      <c r="AM114" s="3628"/>
      <c r="AN114" s="3628"/>
      <c r="AO114" s="3628"/>
      <c r="AP114" s="3628"/>
      <c r="AQ114" s="3628"/>
      <c r="AR114" s="3628"/>
      <c r="AS114" s="3628"/>
    </row>
    <row r="115" spans="2:45">
      <c r="B115" s="3721"/>
      <c r="C115" s="3718"/>
      <c r="D115" s="3719"/>
      <c r="E115" s="3720"/>
      <c r="F115" s="3719"/>
      <c r="G115" s="3720"/>
      <c r="H115" s="3719"/>
      <c r="I115" s="3721"/>
      <c r="J115" s="3722"/>
      <c r="K115" s="3628"/>
      <c r="L115" s="3628"/>
      <c r="M115" s="3628"/>
      <c r="N115" s="3628"/>
      <c r="O115" s="3628"/>
      <c r="P115" s="3628"/>
      <c r="Q115" s="3628"/>
      <c r="R115" s="3628"/>
      <c r="S115" s="3628"/>
      <c r="T115" s="3628"/>
      <c r="U115" s="3628"/>
      <c r="V115" s="3628"/>
      <c r="W115" s="3628"/>
      <c r="X115" s="3628"/>
      <c r="Y115" s="3628"/>
      <c r="Z115" s="3628"/>
      <c r="AA115" s="3628"/>
      <c r="AB115" s="3628"/>
      <c r="AC115" s="3628"/>
      <c r="AD115" s="3628"/>
      <c r="AE115" s="3628"/>
      <c r="AF115" s="3628"/>
      <c r="AG115" s="3628"/>
      <c r="AH115" s="3628"/>
      <c r="AI115" s="3628"/>
      <c r="AJ115" s="3628"/>
      <c r="AK115" s="3628"/>
      <c r="AL115" s="3628"/>
      <c r="AM115" s="3628"/>
      <c r="AN115" s="3628"/>
      <c r="AO115" s="3628"/>
      <c r="AP115" s="3628"/>
      <c r="AQ115" s="3628"/>
      <c r="AR115" s="3628"/>
      <c r="AS115" s="3628"/>
    </row>
    <row r="116" spans="2:45">
      <c r="B116" s="3721"/>
      <c r="C116" s="3718"/>
      <c r="D116" s="3719"/>
      <c r="E116" s="3720"/>
      <c r="F116" s="3719"/>
      <c r="G116" s="3720"/>
      <c r="H116" s="3719"/>
      <c r="I116" s="3721"/>
      <c r="J116" s="3722"/>
      <c r="K116" s="3628"/>
      <c r="L116" s="3628"/>
      <c r="M116" s="3628"/>
      <c r="N116" s="3628"/>
      <c r="O116" s="3628"/>
      <c r="P116" s="3628"/>
      <c r="Q116" s="3628"/>
      <c r="R116" s="3628"/>
      <c r="S116" s="3628"/>
      <c r="T116" s="3628"/>
      <c r="U116" s="3628"/>
      <c r="V116" s="3628"/>
      <c r="W116" s="3628"/>
      <c r="X116" s="3628"/>
      <c r="Y116" s="3628"/>
      <c r="Z116" s="3628"/>
      <c r="AA116" s="3628"/>
      <c r="AB116" s="3628"/>
      <c r="AC116" s="3628"/>
      <c r="AD116" s="3628"/>
      <c r="AE116" s="3628"/>
      <c r="AF116" s="3628"/>
      <c r="AG116" s="3628"/>
      <c r="AH116" s="3628"/>
      <c r="AI116" s="3628"/>
      <c r="AJ116" s="3628"/>
      <c r="AK116" s="3628"/>
      <c r="AL116" s="3628"/>
      <c r="AM116" s="3628"/>
      <c r="AN116" s="3628"/>
      <c r="AO116" s="3628"/>
      <c r="AP116" s="3628"/>
      <c r="AQ116" s="3628"/>
      <c r="AR116" s="3628"/>
      <c r="AS116" s="3628"/>
    </row>
    <row r="117" spans="2:45">
      <c r="B117" s="3721"/>
      <c r="C117" s="3718"/>
      <c r="D117" s="3719"/>
      <c r="E117" s="3720"/>
      <c r="F117" s="3719"/>
      <c r="G117" s="3720"/>
      <c r="H117" s="3719"/>
      <c r="I117" s="3721"/>
      <c r="J117" s="3722"/>
      <c r="K117" s="3628"/>
      <c r="L117" s="3628"/>
      <c r="M117" s="3628"/>
      <c r="N117" s="3628"/>
      <c r="O117" s="3628"/>
      <c r="P117" s="3628"/>
      <c r="Q117" s="3628"/>
      <c r="R117" s="3628"/>
      <c r="S117" s="3628"/>
      <c r="T117" s="3628"/>
      <c r="U117" s="3628"/>
      <c r="V117" s="3628"/>
      <c r="W117" s="3628"/>
      <c r="X117" s="3628"/>
      <c r="Y117" s="3628"/>
      <c r="Z117" s="3628"/>
      <c r="AA117" s="3628"/>
      <c r="AB117" s="3628"/>
      <c r="AC117" s="3628"/>
      <c r="AD117" s="3628"/>
      <c r="AE117" s="3628"/>
      <c r="AF117" s="3628"/>
      <c r="AG117" s="3628"/>
      <c r="AH117" s="3628"/>
      <c r="AI117" s="3628"/>
      <c r="AJ117" s="3628"/>
      <c r="AK117" s="3628"/>
      <c r="AL117" s="3628"/>
      <c r="AM117" s="3628"/>
      <c r="AN117" s="3628"/>
      <c r="AO117" s="3628"/>
      <c r="AP117" s="3628"/>
      <c r="AQ117" s="3628"/>
      <c r="AR117" s="3628"/>
      <c r="AS117" s="3628"/>
    </row>
    <row r="118" spans="2:45">
      <c r="B118" s="3721"/>
      <c r="C118" s="3718"/>
      <c r="D118" s="3719"/>
      <c r="E118" s="3720"/>
      <c r="F118" s="3719"/>
      <c r="G118" s="3720"/>
      <c r="H118" s="3719"/>
      <c r="I118" s="3721"/>
      <c r="J118" s="3722"/>
      <c r="K118" s="3628"/>
      <c r="L118" s="3628"/>
      <c r="M118" s="3628"/>
      <c r="N118" s="3628"/>
      <c r="O118" s="3628"/>
      <c r="P118" s="3628"/>
      <c r="Q118" s="3628"/>
      <c r="R118" s="3628"/>
      <c r="S118" s="3628"/>
      <c r="T118" s="3628"/>
      <c r="U118" s="3628"/>
      <c r="V118" s="3628"/>
      <c r="W118" s="3628"/>
      <c r="X118" s="3628"/>
      <c r="Y118" s="3628"/>
      <c r="Z118" s="3628"/>
      <c r="AA118" s="3628"/>
      <c r="AB118" s="3628"/>
      <c r="AC118" s="3628"/>
      <c r="AD118" s="3628"/>
      <c r="AE118" s="3628"/>
      <c r="AF118" s="3628"/>
      <c r="AG118" s="3628"/>
      <c r="AH118" s="3628"/>
      <c r="AI118" s="3628"/>
      <c r="AJ118" s="3628"/>
      <c r="AK118" s="3628"/>
      <c r="AL118" s="3628"/>
      <c r="AM118" s="3628"/>
      <c r="AN118" s="3628"/>
      <c r="AO118" s="3628"/>
      <c r="AP118" s="3628"/>
      <c r="AQ118" s="3628"/>
      <c r="AR118" s="3628"/>
      <c r="AS118" s="3628"/>
    </row>
    <row r="119" spans="2:45">
      <c r="B119" s="3721"/>
      <c r="C119" s="3718"/>
      <c r="D119" s="3719"/>
      <c r="E119" s="3720"/>
      <c r="F119" s="3719"/>
      <c r="G119" s="3720"/>
      <c r="H119" s="3719"/>
      <c r="I119" s="3721"/>
      <c r="J119" s="3722"/>
      <c r="K119" s="3628"/>
      <c r="L119" s="3628"/>
      <c r="M119" s="3628"/>
      <c r="N119" s="3628"/>
      <c r="O119" s="3628"/>
      <c r="P119" s="3628"/>
      <c r="Q119" s="3628"/>
      <c r="R119" s="3628"/>
      <c r="S119" s="3628"/>
      <c r="T119" s="3628"/>
      <c r="U119" s="3628"/>
      <c r="V119" s="3628"/>
      <c r="W119" s="3628"/>
      <c r="X119" s="3628"/>
      <c r="Y119" s="3628"/>
      <c r="Z119" s="3628"/>
      <c r="AA119" s="3628"/>
      <c r="AB119" s="3628"/>
      <c r="AC119" s="3628"/>
      <c r="AD119" s="3628"/>
      <c r="AE119" s="3628"/>
      <c r="AF119" s="3628"/>
      <c r="AG119" s="3628"/>
      <c r="AH119" s="3628"/>
      <c r="AI119" s="3628"/>
      <c r="AJ119" s="3628"/>
      <c r="AK119" s="3628"/>
      <c r="AL119" s="3628"/>
      <c r="AM119" s="3628"/>
      <c r="AN119" s="3628"/>
      <c r="AO119" s="3628"/>
      <c r="AP119" s="3628"/>
      <c r="AQ119" s="3628"/>
      <c r="AR119" s="3628"/>
      <c r="AS119" s="3628"/>
    </row>
    <row r="120" spans="2:45">
      <c r="B120" s="3721"/>
      <c r="C120" s="3718"/>
      <c r="D120" s="3719"/>
      <c r="E120" s="3720"/>
      <c r="F120" s="3719"/>
      <c r="G120" s="3720"/>
      <c r="H120" s="3719"/>
      <c r="I120" s="3721"/>
      <c r="J120" s="3722"/>
      <c r="K120" s="3628"/>
      <c r="L120" s="3628"/>
      <c r="M120" s="3628"/>
      <c r="N120" s="3628"/>
      <c r="O120" s="3628"/>
      <c r="P120" s="3628"/>
      <c r="Q120" s="3628"/>
      <c r="R120" s="3628"/>
      <c r="S120" s="3628"/>
      <c r="T120" s="3628"/>
      <c r="U120" s="3628"/>
      <c r="V120" s="3628"/>
      <c r="W120" s="3628"/>
      <c r="X120" s="3628"/>
      <c r="Y120" s="3628"/>
      <c r="Z120" s="3628"/>
      <c r="AA120" s="3628"/>
      <c r="AB120" s="3628"/>
      <c r="AC120" s="3628"/>
      <c r="AD120" s="3628"/>
      <c r="AE120" s="3628"/>
      <c r="AF120" s="3628"/>
      <c r="AG120" s="3628"/>
      <c r="AH120" s="3628"/>
      <c r="AI120" s="3628"/>
      <c r="AJ120" s="3628"/>
      <c r="AK120" s="3628"/>
      <c r="AL120" s="3628"/>
      <c r="AM120" s="3628"/>
      <c r="AN120" s="3628"/>
      <c r="AO120" s="3628"/>
      <c r="AP120" s="3628"/>
      <c r="AQ120" s="3628"/>
      <c r="AR120" s="3628"/>
      <c r="AS120" s="3628"/>
    </row>
    <row r="121" spans="2:45">
      <c r="B121" s="3721"/>
      <c r="C121" s="3718"/>
      <c r="D121" s="3719"/>
      <c r="E121" s="3720"/>
      <c r="F121" s="3719"/>
      <c r="G121" s="3720"/>
      <c r="H121" s="3719"/>
      <c r="I121" s="3721"/>
      <c r="J121" s="3722"/>
      <c r="K121" s="3628"/>
      <c r="L121" s="3628"/>
      <c r="M121" s="3628"/>
      <c r="N121" s="3628"/>
      <c r="O121" s="3628"/>
      <c r="P121" s="3628"/>
      <c r="Q121" s="3628"/>
      <c r="R121" s="3628"/>
      <c r="S121" s="3628"/>
      <c r="T121" s="3628"/>
      <c r="U121" s="3628"/>
      <c r="V121" s="3628"/>
      <c r="W121" s="3628"/>
      <c r="X121" s="3628"/>
      <c r="Y121" s="3628"/>
      <c r="Z121" s="3628"/>
      <c r="AA121" s="3628"/>
      <c r="AB121" s="3628"/>
      <c r="AC121" s="3628"/>
      <c r="AD121" s="3628"/>
      <c r="AE121" s="3628"/>
      <c r="AF121" s="3628"/>
      <c r="AG121" s="3628"/>
      <c r="AH121" s="3628"/>
      <c r="AI121" s="3628"/>
      <c r="AJ121" s="3628"/>
      <c r="AK121" s="3628"/>
      <c r="AL121" s="3628"/>
      <c r="AM121" s="3628"/>
      <c r="AN121" s="3628"/>
      <c r="AO121" s="3628"/>
      <c r="AP121" s="3628"/>
      <c r="AQ121" s="3628"/>
      <c r="AR121" s="3628"/>
      <c r="AS121" s="3628"/>
    </row>
    <row r="122" spans="2:45">
      <c r="B122" s="3721"/>
      <c r="C122" s="3718"/>
      <c r="D122" s="3719"/>
      <c r="E122" s="3720"/>
      <c r="F122" s="3719"/>
      <c r="G122" s="3720"/>
      <c r="H122" s="3719"/>
      <c r="I122" s="3721"/>
      <c r="J122" s="3722"/>
      <c r="K122" s="3628"/>
      <c r="L122" s="3628"/>
      <c r="M122" s="3628"/>
      <c r="N122" s="3628"/>
      <c r="O122" s="3628"/>
      <c r="P122" s="3628"/>
      <c r="Q122" s="3628"/>
      <c r="R122" s="3628"/>
      <c r="S122" s="3628"/>
      <c r="T122" s="3628"/>
      <c r="U122" s="3628"/>
      <c r="V122" s="3628"/>
      <c r="W122" s="3628"/>
      <c r="X122" s="3628"/>
      <c r="Y122" s="3628"/>
      <c r="Z122" s="3628"/>
      <c r="AA122" s="3628"/>
      <c r="AB122" s="3628"/>
      <c r="AC122" s="3628"/>
      <c r="AD122" s="3628"/>
      <c r="AE122" s="3628"/>
      <c r="AF122" s="3628"/>
      <c r="AG122" s="3628"/>
      <c r="AH122" s="3628"/>
      <c r="AI122" s="3628"/>
      <c r="AJ122" s="3628"/>
      <c r="AK122" s="3628"/>
      <c r="AL122" s="3628"/>
      <c r="AM122" s="3628"/>
      <c r="AN122" s="3628"/>
      <c r="AO122" s="3628"/>
      <c r="AP122" s="3628"/>
      <c r="AQ122" s="3628"/>
      <c r="AR122" s="3628"/>
      <c r="AS122" s="3628"/>
    </row>
    <row r="123" spans="2:45">
      <c r="B123" s="3721"/>
      <c r="C123" s="3718"/>
      <c r="D123" s="3719"/>
      <c r="E123" s="3720"/>
      <c r="F123" s="3719"/>
      <c r="G123" s="3720"/>
      <c r="H123" s="3719"/>
      <c r="I123" s="3721"/>
      <c r="J123" s="3722"/>
      <c r="K123" s="3628"/>
      <c r="L123" s="3628"/>
      <c r="M123" s="3628"/>
      <c r="N123" s="3628"/>
      <c r="O123" s="3628"/>
      <c r="P123" s="3628"/>
      <c r="Q123" s="3628"/>
      <c r="R123" s="3628"/>
      <c r="S123" s="3628"/>
      <c r="T123" s="3628"/>
      <c r="U123" s="3628"/>
      <c r="V123" s="3628"/>
      <c r="W123" s="3628"/>
      <c r="X123" s="3628"/>
      <c r="Y123" s="3628"/>
      <c r="Z123" s="3628"/>
      <c r="AA123" s="3628"/>
      <c r="AB123" s="3628"/>
      <c r="AC123" s="3628"/>
      <c r="AD123" s="3628"/>
      <c r="AE123" s="3628"/>
      <c r="AF123" s="3628"/>
      <c r="AG123" s="3628"/>
      <c r="AH123" s="3628"/>
      <c r="AI123" s="3628"/>
      <c r="AJ123" s="3628"/>
      <c r="AK123" s="3628"/>
      <c r="AL123" s="3628"/>
      <c r="AM123" s="3628"/>
      <c r="AN123" s="3628"/>
      <c r="AO123" s="3628"/>
      <c r="AP123" s="3628"/>
      <c r="AQ123" s="3628"/>
      <c r="AR123" s="3628"/>
      <c r="AS123" s="3628"/>
    </row>
    <row r="124" spans="2:45">
      <c r="B124" s="3721"/>
      <c r="C124" s="3718"/>
      <c r="D124" s="3719"/>
      <c r="E124" s="3720"/>
      <c r="F124" s="3719"/>
      <c r="G124" s="3720"/>
      <c r="H124" s="3719"/>
      <c r="I124" s="3721"/>
      <c r="J124" s="3722"/>
      <c r="K124" s="3628"/>
      <c r="L124" s="3628"/>
      <c r="M124" s="3628"/>
      <c r="N124" s="3628"/>
      <c r="O124" s="3628"/>
      <c r="P124" s="3628"/>
      <c r="Q124" s="3628"/>
      <c r="R124" s="3628"/>
      <c r="S124" s="3628"/>
      <c r="T124" s="3628"/>
      <c r="U124" s="3628"/>
      <c r="V124" s="3628"/>
      <c r="W124" s="3628"/>
      <c r="X124" s="3628"/>
      <c r="Y124" s="3628"/>
      <c r="Z124" s="3628"/>
      <c r="AA124" s="3628"/>
      <c r="AB124" s="3628"/>
      <c r="AC124" s="3628"/>
      <c r="AD124" s="3628"/>
      <c r="AE124" s="3628"/>
      <c r="AF124" s="3628"/>
      <c r="AG124" s="3628"/>
      <c r="AH124" s="3628"/>
      <c r="AI124" s="3628"/>
      <c r="AJ124" s="3628"/>
      <c r="AK124" s="3628"/>
      <c r="AL124" s="3628"/>
      <c r="AM124" s="3628"/>
      <c r="AN124" s="3628"/>
      <c r="AO124" s="3628"/>
      <c r="AP124" s="3628"/>
      <c r="AQ124" s="3628"/>
      <c r="AR124" s="3628"/>
      <c r="AS124" s="3628"/>
    </row>
    <row r="125" spans="2:45">
      <c r="B125" s="3721"/>
      <c r="C125" s="3718"/>
      <c r="D125" s="3719"/>
      <c r="E125" s="3720"/>
      <c r="F125" s="3719"/>
      <c r="G125" s="3720"/>
      <c r="H125" s="3719"/>
      <c r="I125" s="3721"/>
      <c r="J125" s="3722"/>
      <c r="K125" s="3628"/>
      <c r="L125" s="3628"/>
      <c r="M125" s="3628"/>
      <c r="N125" s="3628"/>
      <c r="O125" s="3628"/>
      <c r="P125" s="3628"/>
      <c r="Q125" s="3628"/>
      <c r="R125" s="3628"/>
      <c r="S125" s="3628"/>
      <c r="T125" s="3628"/>
      <c r="U125" s="3628"/>
      <c r="V125" s="3628"/>
      <c r="W125" s="3628"/>
      <c r="X125" s="3628"/>
      <c r="Y125" s="3628"/>
      <c r="Z125" s="3628"/>
      <c r="AA125" s="3628"/>
      <c r="AB125" s="3628"/>
      <c r="AC125" s="3628"/>
      <c r="AD125" s="3628"/>
      <c r="AE125" s="3628"/>
      <c r="AF125" s="3628"/>
      <c r="AG125" s="3628"/>
      <c r="AH125" s="3628"/>
      <c r="AI125" s="3628"/>
      <c r="AJ125" s="3628"/>
      <c r="AK125" s="3628"/>
      <c r="AL125" s="3628"/>
      <c r="AM125" s="3628"/>
      <c r="AN125" s="3628"/>
      <c r="AO125" s="3628"/>
      <c r="AP125" s="3628"/>
      <c r="AQ125" s="3628"/>
      <c r="AR125" s="3628"/>
      <c r="AS125" s="3628"/>
    </row>
    <row r="126" spans="2:45">
      <c r="B126" s="3721"/>
      <c r="C126" s="3718"/>
      <c r="D126" s="3719"/>
      <c r="E126" s="3720"/>
      <c r="F126" s="3719"/>
      <c r="G126" s="3720"/>
      <c r="H126" s="3719"/>
      <c r="I126" s="3721"/>
      <c r="J126" s="3722"/>
      <c r="K126" s="3628"/>
      <c r="L126" s="3628"/>
      <c r="M126" s="3628"/>
      <c r="N126" s="3628"/>
      <c r="O126" s="3628"/>
      <c r="P126" s="3628"/>
      <c r="Q126" s="3628"/>
      <c r="R126" s="3628"/>
      <c r="S126" s="3628"/>
      <c r="T126" s="3628"/>
      <c r="U126" s="3628"/>
      <c r="V126" s="3628"/>
      <c r="W126" s="3628"/>
      <c r="X126" s="3628"/>
      <c r="Y126" s="3628"/>
      <c r="Z126" s="3628"/>
      <c r="AA126" s="3628"/>
      <c r="AB126" s="3628"/>
      <c r="AC126" s="3628"/>
      <c r="AD126" s="3628"/>
      <c r="AE126" s="3628"/>
      <c r="AF126" s="3628"/>
      <c r="AG126" s="3628"/>
      <c r="AH126" s="3628"/>
      <c r="AI126" s="3628"/>
      <c r="AJ126" s="3628"/>
      <c r="AK126" s="3628"/>
      <c r="AL126" s="3628"/>
      <c r="AM126" s="3628"/>
      <c r="AN126" s="3628"/>
      <c r="AO126" s="3628"/>
      <c r="AP126" s="3628"/>
      <c r="AQ126" s="3628"/>
      <c r="AR126" s="3628"/>
      <c r="AS126" s="3628"/>
    </row>
    <row r="127" spans="2:45">
      <c r="B127" s="3721"/>
      <c r="C127" s="3718"/>
      <c r="D127" s="3719"/>
      <c r="E127" s="3720"/>
      <c r="F127" s="3719"/>
      <c r="G127" s="3720"/>
      <c r="H127" s="3719"/>
      <c r="I127" s="3721"/>
      <c r="J127" s="3722"/>
      <c r="K127" s="3628"/>
      <c r="L127" s="3628"/>
      <c r="M127" s="3628"/>
      <c r="N127" s="3628"/>
      <c r="O127" s="3628"/>
      <c r="P127" s="3628"/>
      <c r="Q127" s="3628"/>
      <c r="R127" s="3628"/>
      <c r="S127" s="3628"/>
      <c r="T127" s="3628"/>
      <c r="U127" s="3628"/>
      <c r="V127" s="3628"/>
      <c r="W127" s="3628"/>
      <c r="X127" s="3628"/>
      <c r="Y127" s="3628"/>
      <c r="Z127" s="3628"/>
      <c r="AA127" s="3628"/>
      <c r="AB127" s="3628"/>
      <c r="AC127" s="3628"/>
      <c r="AD127" s="3628"/>
      <c r="AE127" s="3628"/>
      <c r="AF127" s="3628"/>
      <c r="AG127" s="3628"/>
      <c r="AH127" s="3628"/>
      <c r="AI127" s="3628"/>
      <c r="AJ127" s="3628"/>
      <c r="AK127" s="3628"/>
      <c r="AL127" s="3628"/>
      <c r="AM127" s="3628"/>
      <c r="AN127" s="3628"/>
      <c r="AO127" s="3628"/>
      <c r="AP127" s="3628"/>
      <c r="AQ127" s="3628"/>
      <c r="AR127" s="3628"/>
      <c r="AS127" s="3628"/>
    </row>
    <row r="128" spans="2:45">
      <c r="B128" s="3721"/>
      <c r="C128" s="3718"/>
      <c r="D128" s="3719"/>
      <c r="E128" s="3720"/>
      <c r="F128" s="3719"/>
      <c r="G128" s="3720"/>
      <c r="H128" s="3719"/>
      <c r="I128" s="3721"/>
      <c r="J128" s="3722"/>
      <c r="K128" s="3628"/>
      <c r="L128" s="3628"/>
      <c r="M128" s="3628"/>
      <c r="N128" s="3628"/>
      <c r="O128" s="3628"/>
      <c r="P128" s="3628"/>
      <c r="Q128" s="3628"/>
      <c r="R128" s="3628"/>
      <c r="S128" s="3628"/>
      <c r="T128" s="3628"/>
      <c r="U128" s="3628"/>
      <c r="V128" s="3628"/>
      <c r="W128" s="3628"/>
      <c r="X128" s="3628"/>
      <c r="Y128" s="3628"/>
      <c r="Z128" s="3628"/>
      <c r="AA128" s="3628"/>
      <c r="AB128" s="3628"/>
      <c r="AC128" s="3628"/>
      <c r="AD128" s="3628"/>
      <c r="AE128" s="3628"/>
      <c r="AF128" s="3628"/>
      <c r="AG128" s="3628"/>
      <c r="AH128" s="3628"/>
      <c r="AI128" s="3628"/>
      <c r="AJ128" s="3628"/>
      <c r="AK128" s="3628"/>
      <c r="AL128" s="3628"/>
      <c r="AM128" s="3628"/>
      <c r="AN128" s="3628"/>
      <c r="AO128" s="3628"/>
      <c r="AP128" s="3628"/>
      <c r="AQ128" s="3628"/>
      <c r="AR128" s="3628"/>
      <c r="AS128" s="3628"/>
    </row>
    <row r="129" spans="2:45">
      <c r="B129" s="3721"/>
      <c r="C129" s="3718"/>
      <c r="D129" s="3719"/>
      <c r="E129" s="3720"/>
      <c r="F129" s="3719"/>
      <c r="G129" s="3720"/>
      <c r="H129" s="3719"/>
      <c r="I129" s="3721"/>
      <c r="J129" s="3722"/>
      <c r="K129" s="3628"/>
      <c r="L129" s="3628"/>
      <c r="M129" s="3628"/>
      <c r="N129" s="3628"/>
      <c r="O129" s="3628"/>
      <c r="P129" s="3628"/>
      <c r="Q129" s="3628"/>
      <c r="R129" s="3628"/>
      <c r="S129" s="3628"/>
      <c r="T129" s="3628"/>
      <c r="U129" s="3628"/>
      <c r="V129" s="3628"/>
      <c r="W129" s="3628"/>
      <c r="X129" s="3628"/>
      <c r="Y129" s="3628"/>
      <c r="Z129" s="3628"/>
      <c r="AA129" s="3628"/>
      <c r="AB129" s="3628"/>
      <c r="AC129" s="3628"/>
      <c r="AD129" s="3628"/>
      <c r="AE129" s="3628"/>
      <c r="AF129" s="3628"/>
      <c r="AG129" s="3628"/>
      <c r="AH129" s="3628"/>
      <c r="AI129" s="3628"/>
      <c r="AJ129" s="3628"/>
      <c r="AK129" s="3628"/>
      <c r="AL129" s="3628"/>
      <c r="AM129" s="3628"/>
      <c r="AN129" s="3628"/>
      <c r="AO129" s="3628"/>
      <c r="AP129" s="3628"/>
      <c r="AQ129" s="3628"/>
      <c r="AR129" s="3628"/>
      <c r="AS129" s="3628"/>
    </row>
    <row r="130" spans="2:45">
      <c r="B130" s="3721"/>
      <c r="C130" s="3718"/>
      <c r="D130" s="3719"/>
      <c r="E130" s="3720"/>
      <c r="F130" s="3719"/>
      <c r="G130" s="3720"/>
      <c r="H130" s="3719"/>
      <c r="I130" s="3721"/>
      <c r="J130" s="3722"/>
      <c r="K130" s="3628"/>
      <c r="L130" s="3628"/>
      <c r="M130" s="3628"/>
      <c r="N130" s="3628"/>
      <c r="O130" s="3628"/>
      <c r="P130" s="3628"/>
      <c r="Q130" s="3628"/>
      <c r="R130" s="3628"/>
      <c r="S130" s="3628"/>
      <c r="T130" s="3628"/>
      <c r="U130" s="3628"/>
      <c r="V130" s="3628"/>
      <c r="W130" s="3628"/>
      <c r="X130" s="3628"/>
      <c r="Y130" s="3628"/>
      <c r="Z130" s="3628"/>
      <c r="AA130" s="3628"/>
      <c r="AB130" s="3628"/>
      <c r="AC130" s="3628"/>
      <c r="AD130" s="3628"/>
      <c r="AE130" s="3628"/>
      <c r="AF130" s="3628"/>
      <c r="AG130" s="3628"/>
      <c r="AH130" s="3628"/>
      <c r="AI130" s="3628"/>
      <c r="AJ130" s="3628"/>
      <c r="AK130" s="3628"/>
      <c r="AL130" s="3628"/>
      <c r="AM130" s="3628"/>
      <c r="AN130" s="3628"/>
      <c r="AO130" s="3628"/>
      <c r="AP130" s="3628"/>
      <c r="AQ130" s="3628"/>
      <c r="AR130" s="3628"/>
      <c r="AS130" s="3628"/>
    </row>
    <row r="131" spans="2:45">
      <c r="B131" s="3721"/>
      <c r="C131" s="3718"/>
      <c r="D131" s="3719"/>
      <c r="E131" s="3720"/>
      <c r="F131" s="3719"/>
      <c r="G131" s="3720"/>
      <c r="H131" s="3719"/>
      <c r="I131" s="3721"/>
      <c r="J131" s="3722"/>
      <c r="K131" s="3628"/>
      <c r="L131" s="3628"/>
      <c r="M131" s="3628"/>
      <c r="N131" s="3628"/>
      <c r="O131" s="3628"/>
      <c r="P131" s="3628"/>
      <c r="Q131" s="3628"/>
      <c r="R131" s="3628"/>
      <c r="S131" s="3628"/>
      <c r="T131" s="3628"/>
      <c r="U131" s="3628"/>
      <c r="V131" s="3628"/>
      <c r="W131" s="3628"/>
      <c r="X131" s="3628"/>
      <c r="Y131" s="3628"/>
      <c r="Z131" s="3628"/>
      <c r="AA131" s="3628"/>
      <c r="AB131" s="3628"/>
      <c r="AC131" s="3628"/>
      <c r="AD131" s="3628"/>
      <c r="AE131" s="3628"/>
      <c r="AF131" s="3628"/>
      <c r="AG131" s="3628"/>
      <c r="AH131" s="3628"/>
      <c r="AI131" s="3628"/>
      <c r="AJ131" s="3628"/>
      <c r="AK131" s="3628"/>
      <c r="AL131" s="3628"/>
      <c r="AM131" s="3628"/>
      <c r="AN131" s="3628"/>
      <c r="AO131" s="3628"/>
      <c r="AP131" s="3628"/>
      <c r="AQ131" s="3628"/>
      <c r="AR131" s="3628"/>
      <c r="AS131" s="3628"/>
    </row>
    <row r="132" spans="2:45">
      <c r="B132" s="3721"/>
      <c r="C132" s="3718"/>
      <c r="D132" s="3719"/>
      <c r="E132" s="3720"/>
      <c r="F132" s="3719"/>
      <c r="G132" s="3720"/>
      <c r="H132" s="3719"/>
      <c r="I132" s="3721"/>
      <c r="J132" s="3722"/>
      <c r="K132" s="3628"/>
      <c r="L132" s="3628"/>
      <c r="M132" s="3628"/>
      <c r="N132" s="3628"/>
      <c r="O132" s="3628"/>
      <c r="P132" s="3628"/>
      <c r="Q132" s="3628"/>
      <c r="R132" s="3628"/>
      <c r="S132" s="3628"/>
      <c r="T132" s="3628"/>
      <c r="U132" s="3628"/>
      <c r="V132" s="3628"/>
      <c r="W132" s="3628"/>
      <c r="X132" s="3628"/>
      <c r="Y132" s="3628"/>
      <c r="Z132" s="3628"/>
      <c r="AA132" s="3628"/>
      <c r="AB132" s="3628"/>
      <c r="AC132" s="3628"/>
      <c r="AD132" s="3628"/>
      <c r="AE132" s="3628"/>
      <c r="AF132" s="3628"/>
      <c r="AG132" s="3628"/>
      <c r="AH132" s="3628"/>
      <c r="AI132" s="3628"/>
      <c r="AJ132" s="3628"/>
      <c r="AK132" s="3628"/>
      <c r="AL132" s="3628"/>
      <c r="AM132" s="3628"/>
      <c r="AN132" s="3628"/>
      <c r="AO132" s="3628"/>
      <c r="AP132" s="3628"/>
      <c r="AQ132" s="3628"/>
      <c r="AR132" s="3628"/>
      <c r="AS132" s="3628"/>
    </row>
    <row r="133" spans="2:45">
      <c r="B133" s="3721"/>
      <c r="C133" s="3718"/>
      <c r="D133" s="3719"/>
      <c r="E133" s="3720"/>
      <c r="F133" s="3719"/>
      <c r="G133" s="3720"/>
      <c r="H133" s="3719"/>
      <c r="I133" s="3721"/>
      <c r="J133" s="3722"/>
      <c r="K133" s="3628"/>
      <c r="L133" s="3628"/>
      <c r="M133" s="3628"/>
      <c r="N133" s="3628"/>
      <c r="O133" s="3628"/>
      <c r="P133" s="3628"/>
      <c r="Q133" s="3628"/>
      <c r="R133" s="3628"/>
      <c r="S133" s="3628"/>
      <c r="T133" s="3628"/>
      <c r="U133" s="3628"/>
      <c r="V133" s="3628"/>
      <c r="W133" s="3628"/>
      <c r="X133" s="3628"/>
      <c r="Y133" s="3628"/>
      <c r="Z133" s="3628"/>
      <c r="AA133" s="3628"/>
      <c r="AB133" s="3628"/>
      <c r="AC133" s="3628"/>
      <c r="AD133" s="3628"/>
      <c r="AE133" s="3628"/>
      <c r="AF133" s="3628"/>
      <c r="AG133" s="3628"/>
      <c r="AH133" s="3628"/>
      <c r="AI133" s="3628"/>
      <c r="AJ133" s="3628"/>
      <c r="AK133" s="3628"/>
      <c r="AL133" s="3628"/>
      <c r="AM133" s="3628"/>
      <c r="AN133" s="3628"/>
      <c r="AO133" s="3628"/>
      <c r="AP133" s="3628"/>
      <c r="AQ133" s="3628"/>
      <c r="AR133" s="3628"/>
      <c r="AS133" s="3628"/>
    </row>
    <row r="134" spans="2:45">
      <c r="B134" s="3721"/>
      <c r="C134" s="3718"/>
      <c r="D134" s="3719"/>
      <c r="E134" s="3720"/>
      <c r="F134" s="3719"/>
      <c r="G134" s="3720"/>
      <c r="H134" s="3719"/>
      <c r="I134" s="3721"/>
      <c r="J134" s="3722"/>
      <c r="K134" s="3628"/>
      <c r="L134" s="3628"/>
      <c r="M134" s="3628"/>
      <c r="N134" s="3628"/>
      <c r="O134" s="3628"/>
      <c r="P134" s="3628"/>
      <c r="Q134" s="3628"/>
      <c r="R134" s="3628"/>
      <c r="S134" s="3628"/>
      <c r="T134" s="3628"/>
      <c r="U134" s="3628"/>
      <c r="V134" s="3628"/>
      <c r="W134" s="3628"/>
      <c r="X134" s="3628"/>
      <c r="Y134" s="3628"/>
      <c r="Z134" s="3628"/>
      <c r="AA134" s="3628"/>
      <c r="AB134" s="3628"/>
      <c r="AC134" s="3628"/>
      <c r="AD134" s="3628"/>
      <c r="AE134" s="3628"/>
      <c r="AF134" s="3628"/>
      <c r="AG134" s="3628"/>
      <c r="AH134" s="3628"/>
      <c r="AI134" s="3628"/>
      <c r="AJ134" s="3628"/>
      <c r="AK134" s="3628"/>
      <c r="AL134" s="3628"/>
      <c r="AM134" s="3628"/>
      <c r="AN134" s="3628"/>
      <c r="AO134" s="3628"/>
      <c r="AP134" s="3628"/>
      <c r="AQ134" s="3628"/>
      <c r="AR134" s="3628"/>
      <c r="AS134" s="3628"/>
    </row>
    <row r="135" spans="2:45">
      <c r="B135" s="3721"/>
      <c r="C135" s="3718"/>
      <c r="D135" s="3719"/>
      <c r="E135" s="3720"/>
      <c r="F135" s="3719"/>
      <c r="G135" s="3720"/>
      <c r="H135" s="3719"/>
      <c r="I135" s="3721"/>
      <c r="J135" s="3722"/>
      <c r="K135" s="3628"/>
      <c r="L135" s="3628"/>
      <c r="M135" s="3628"/>
      <c r="N135" s="3628"/>
      <c r="O135" s="3628"/>
      <c r="P135" s="3628"/>
      <c r="Q135" s="3628"/>
      <c r="R135" s="3628"/>
      <c r="S135" s="3628"/>
      <c r="T135" s="3628"/>
      <c r="U135" s="3628"/>
      <c r="V135" s="3628"/>
      <c r="W135" s="3628"/>
      <c r="X135" s="3628"/>
      <c r="Y135" s="3628"/>
      <c r="Z135" s="3628"/>
      <c r="AA135" s="3628"/>
      <c r="AB135" s="3628"/>
      <c r="AC135" s="3628"/>
      <c r="AD135" s="3628"/>
      <c r="AE135" s="3628"/>
      <c r="AF135" s="3628"/>
      <c r="AG135" s="3628"/>
      <c r="AH135" s="3628"/>
      <c r="AI135" s="3628"/>
      <c r="AJ135" s="3628"/>
      <c r="AK135" s="3628"/>
      <c r="AL135" s="3628"/>
      <c r="AM135" s="3628"/>
      <c r="AN135" s="3628"/>
      <c r="AO135" s="3628"/>
      <c r="AP135" s="3628"/>
      <c r="AQ135" s="3628"/>
      <c r="AR135" s="3628"/>
      <c r="AS135" s="3628"/>
    </row>
    <row r="136" spans="2:45">
      <c r="L136" s="3628"/>
      <c r="M136" s="3628"/>
      <c r="N136" s="3628"/>
      <c r="O136" s="3628"/>
      <c r="P136" s="3628"/>
      <c r="Q136" s="3628"/>
      <c r="R136" s="3628"/>
      <c r="S136" s="3628"/>
      <c r="T136" s="3628"/>
      <c r="U136" s="3628"/>
      <c r="V136" s="3628"/>
      <c r="W136" s="3628"/>
      <c r="X136" s="3628"/>
      <c r="Y136" s="3628"/>
      <c r="Z136" s="3628"/>
      <c r="AA136" s="3628"/>
      <c r="AB136" s="3628"/>
      <c r="AC136" s="3628"/>
      <c r="AD136" s="3628"/>
      <c r="AE136" s="3628"/>
      <c r="AF136" s="3628"/>
      <c r="AG136" s="3628"/>
      <c r="AH136" s="3628"/>
      <c r="AI136" s="3628"/>
      <c r="AJ136" s="3628"/>
      <c r="AK136" s="3628"/>
      <c r="AL136" s="3628"/>
      <c r="AM136" s="3628"/>
      <c r="AN136" s="3628"/>
      <c r="AO136" s="3628"/>
      <c r="AP136" s="3628"/>
      <c r="AQ136" s="3628"/>
      <c r="AR136" s="3628"/>
      <c r="AS136" s="3628"/>
    </row>
    <row r="137" spans="2:45">
      <c r="L137" s="3628"/>
      <c r="M137" s="3628"/>
      <c r="N137" s="3628"/>
      <c r="O137" s="3628"/>
      <c r="P137" s="3628"/>
      <c r="Q137" s="3628"/>
      <c r="R137" s="3628"/>
      <c r="S137" s="3628"/>
      <c r="T137" s="3628"/>
      <c r="U137" s="3628"/>
      <c r="V137" s="3628"/>
      <c r="W137" s="3628"/>
      <c r="X137" s="3628"/>
      <c r="Y137" s="3628"/>
      <c r="Z137" s="3628"/>
      <c r="AA137" s="3628"/>
      <c r="AB137" s="3628"/>
      <c r="AC137" s="3628"/>
      <c r="AD137" s="3628"/>
      <c r="AE137" s="3628"/>
      <c r="AF137" s="3628"/>
      <c r="AG137" s="3628"/>
      <c r="AH137" s="3628"/>
      <c r="AI137" s="3628"/>
      <c r="AJ137" s="3628"/>
      <c r="AK137" s="3628"/>
      <c r="AL137" s="3628"/>
      <c r="AM137" s="3628"/>
      <c r="AN137" s="3628"/>
      <c r="AO137" s="3628"/>
      <c r="AP137" s="3628"/>
      <c r="AQ137" s="3628"/>
      <c r="AR137" s="3628"/>
      <c r="AS137" s="3628"/>
    </row>
    <row r="138" spans="2:45">
      <c r="L138" s="3628"/>
      <c r="M138" s="3628"/>
      <c r="N138" s="3628"/>
      <c r="O138" s="3628"/>
      <c r="P138" s="3628"/>
      <c r="Q138" s="3628"/>
      <c r="R138" s="3628"/>
      <c r="S138" s="3628"/>
      <c r="T138" s="3628"/>
      <c r="U138" s="3628"/>
      <c r="V138" s="3628"/>
      <c r="W138" s="3628"/>
      <c r="X138" s="3628"/>
      <c r="Y138" s="3628"/>
      <c r="Z138" s="3628"/>
      <c r="AA138" s="3628"/>
      <c r="AB138" s="3628"/>
      <c r="AC138" s="3628"/>
      <c r="AD138" s="3628"/>
      <c r="AE138" s="3628"/>
      <c r="AF138" s="3628"/>
      <c r="AG138" s="3628"/>
      <c r="AH138" s="3628"/>
      <c r="AI138" s="3628"/>
      <c r="AJ138" s="3628"/>
      <c r="AK138" s="3628"/>
      <c r="AL138" s="3628"/>
      <c r="AM138" s="3628"/>
      <c r="AN138" s="3628"/>
      <c r="AO138" s="3628"/>
      <c r="AP138" s="3628"/>
      <c r="AQ138" s="3628"/>
      <c r="AR138" s="3628"/>
      <c r="AS138" s="3628"/>
    </row>
    <row r="139" spans="2:45">
      <c r="L139" s="3628"/>
      <c r="M139" s="3628"/>
      <c r="N139" s="3628"/>
      <c r="O139" s="3628"/>
      <c r="P139" s="3628"/>
      <c r="Q139" s="3628"/>
      <c r="R139" s="3628"/>
      <c r="S139" s="3628"/>
      <c r="T139" s="3628"/>
      <c r="U139" s="3628"/>
      <c r="V139" s="3628"/>
      <c r="W139" s="3628"/>
      <c r="X139" s="3628"/>
      <c r="Y139" s="3628"/>
      <c r="Z139" s="3628"/>
      <c r="AA139" s="3628"/>
      <c r="AB139" s="3628"/>
      <c r="AC139" s="3628"/>
      <c r="AD139" s="3628"/>
      <c r="AE139" s="3628"/>
      <c r="AF139" s="3628"/>
      <c r="AG139" s="3628"/>
      <c r="AH139" s="3628"/>
      <c r="AI139" s="3628"/>
      <c r="AJ139" s="3628"/>
      <c r="AK139" s="3628"/>
      <c r="AL139" s="3628"/>
      <c r="AM139" s="3628"/>
      <c r="AN139" s="3628"/>
      <c r="AO139" s="3628"/>
      <c r="AP139" s="3628"/>
      <c r="AQ139" s="3628"/>
      <c r="AR139" s="3628"/>
      <c r="AS139" s="3628"/>
    </row>
    <row r="140" spans="2:45">
      <c r="L140" s="3628"/>
      <c r="M140" s="3628"/>
      <c r="N140" s="3628"/>
      <c r="O140" s="3628"/>
      <c r="P140" s="3628"/>
      <c r="Q140" s="3628"/>
      <c r="R140" s="3628"/>
      <c r="S140" s="3628"/>
      <c r="T140" s="3628"/>
      <c r="U140" s="3628"/>
      <c r="V140" s="3628"/>
      <c r="W140" s="3628"/>
      <c r="X140" s="3628"/>
      <c r="Y140" s="3628"/>
      <c r="Z140" s="3628"/>
      <c r="AA140" s="3628"/>
      <c r="AB140" s="3628"/>
      <c r="AC140" s="3628"/>
      <c r="AD140" s="3628"/>
      <c r="AE140" s="3628"/>
      <c r="AF140" s="3628"/>
      <c r="AG140" s="3628"/>
      <c r="AH140" s="3628"/>
      <c r="AI140" s="3628"/>
      <c r="AJ140" s="3628"/>
      <c r="AK140" s="3628"/>
      <c r="AL140" s="3628"/>
      <c r="AM140" s="3628"/>
      <c r="AN140" s="3628"/>
      <c r="AO140" s="3628"/>
      <c r="AP140" s="3628"/>
      <c r="AQ140" s="3628"/>
      <c r="AR140" s="3628"/>
      <c r="AS140" s="3628"/>
    </row>
    <row r="141" spans="2:45">
      <c r="L141" s="3628"/>
      <c r="M141" s="3628"/>
      <c r="N141" s="3628"/>
      <c r="O141" s="3628"/>
      <c r="P141" s="3628"/>
      <c r="Q141" s="3628"/>
      <c r="R141" s="3628"/>
      <c r="S141" s="3628"/>
      <c r="T141" s="3628"/>
      <c r="U141" s="3628"/>
      <c r="V141" s="3628"/>
      <c r="W141" s="3628"/>
      <c r="X141" s="3628"/>
      <c r="Y141" s="3628"/>
      <c r="Z141" s="3628"/>
      <c r="AA141" s="3628"/>
      <c r="AB141" s="3628"/>
      <c r="AC141" s="3628"/>
      <c r="AD141" s="3628"/>
      <c r="AE141" s="3628"/>
      <c r="AF141" s="3628"/>
      <c r="AG141" s="3628"/>
      <c r="AH141" s="3628"/>
      <c r="AI141" s="3628"/>
      <c r="AJ141" s="3628"/>
      <c r="AK141" s="3628"/>
      <c r="AL141" s="3628"/>
      <c r="AM141" s="3628"/>
      <c r="AN141" s="3628"/>
      <c r="AO141" s="3628"/>
      <c r="AP141" s="3628"/>
      <c r="AQ141" s="3628"/>
      <c r="AR141" s="3628"/>
      <c r="AS141" s="3628"/>
    </row>
    <row r="142" spans="2:45">
      <c r="L142" s="3628"/>
      <c r="M142" s="3628"/>
      <c r="N142" s="3628"/>
      <c r="O142" s="3628"/>
      <c r="P142" s="3628"/>
      <c r="Q142" s="3628"/>
      <c r="R142" s="3628"/>
      <c r="S142" s="3628"/>
      <c r="T142" s="3628"/>
      <c r="U142" s="3628"/>
      <c r="V142" s="3628"/>
      <c r="W142" s="3628"/>
      <c r="X142" s="3628"/>
      <c r="Y142" s="3628"/>
      <c r="Z142" s="3628"/>
      <c r="AA142" s="3628"/>
      <c r="AB142" s="3628"/>
      <c r="AC142" s="3628"/>
      <c r="AD142" s="3628"/>
      <c r="AE142" s="3628"/>
      <c r="AF142" s="3628"/>
      <c r="AG142" s="3628"/>
      <c r="AH142" s="3628"/>
      <c r="AI142" s="3628"/>
      <c r="AJ142" s="3628"/>
      <c r="AK142" s="3628"/>
      <c r="AL142" s="3628"/>
      <c r="AM142" s="3628"/>
      <c r="AN142" s="3628"/>
      <c r="AO142" s="3628"/>
      <c r="AP142" s="3628"/>
      <c r="AQ142" s="3628"/>
      <c r="AR142" s="3628"/>
      <c r="AS142" s="3628"/>
    </row>
    <row r="143" spans="2:45">
      <c r="L143" s="3628"/>
      <c r="M143" s="3628"/>
      <c r="N143" s="3628"/>
      <c r="O143" s="3628"/>
      <c r="P143" s="3628"/>
      <c r="Q143" s="3628"/>
      <c r="R143" s="3628"/>
      <c r="S143" s="3628"/>
      <c r="T143" s="3628"/>
      <c r="U143" s="3628"/>
      <c r="V143" s="3628"/>
      <c r="W143" s="3628"/>
      <c r="X143" s="3628"/>
      <c r="Y143" s="3628"/>
      <c r="Z143" s="3628"/>
      <c r="AA143" s="3628"/>
      <c r="AB143" s="3628"/>
      <c r="AC143" s="3628"/>
      <c r="AD143" s="3628"/>
      <c r="AE143" s="3628"/>
      <c r="AF143" s="3628"/>
      <c r="AG143" s="3628"/>
      <c r="AH143" s="3628"/>
      <c r="AI143" s="3628"/>
      <c r="AJ143" s="3628"/>
      <c r="AK143" s="3628"/>
      <c r="AL143" s="3628"/>
      <c r="AM143" s="3628"/>
      <c r="AN143" s="3628"/>
      <c r="AO143" s="3628"/>
      <c r="AP143" s="3628"/>
      <c r="AQ143" s="3628"/>
      <c r="AR143" s="3628"/>
      <c r="AS143" s="3628"/>
    </row>
    <row r="144" spans="2:45">
      <c r="L144" s="3628"/>
      <c r="M144" s="3628"/>
      <c r="N144" s="3628"/>
      <c r="O144" s="3628"/>
      <c r="P144" s="3628"/>
      <c r="Q144" s="3628"/>
      <c r="R144" s="3628"/>
      <c r="S144" s="3628"/>
      <c r="T144" s="3628"/>
      <c r="U144" s="3628"/>
      <c r="V144" s="3628"/>
      <c r="W144" s="3628"/>
      <c r="X144" s="3628"/>
      <c r="Y144" s="3628"/>
      <c r="Z144" s="3628"/>
      <c r="AA144" s="3628"/>
      <c r="AB144" s="3628"/>
      <c r="AC144" s="3628"/>
      <c r="AD144" s="3628"/>
      <c r="AE144" s="3628"/>
      <c r="AF144" s="3628"/>
      <c r="AG144" s="3628"/>
      <c r="AH144" s="3628"/>
      <c r="AI144" s="3628"/>
      <c r="AJ144" s="3628"/>
      <c r="AK144" s="3628"/>
      <c r="AL144" s="3628"/>
      <c r="AM144" s="3628"/>
      <c r="AN144" s="3628"/>
      <c r="AO144" s="3628"/>
      <c r="AP144" s="3628"/>
      <c r="AQ144" s="3628"/>
      <c r="AR144" s="3628"/>
      <c r="AS144" s="3628"/>
    </row>
    <row r="145" spans="12:45">
      <c r="L145" s="3628"/>
      <c r="M145" s="3628"/>
      <c r="N145" s="3628"/>
      <c r="O145" s="3628"/>
      <c r="P145" s="3628"/>
      <c r="Q145" s="3628"/>
      <c r="R145" s="3628"/>
      <c r="S145" s="3628"/>
      <c r="T145" s="3628"/>
      <c r="U145" s="3628"/>
      <c r="V145" s="3628"/>
      <c r="W145" s="3628"/>
      <c r="X145" s="3628"/>
      <c r="Y145" s="3628"/>
      <c r="Z145" s="3628"/>
      <c r="AA145" s="3628"/>
      <c r="AB145" s="3628"/>
      <c r="AC145" s="3628"/>
      <c r="AD145" s="3628"/>
      <c r="AE145" s="3628"/>
      <c r="AF145" s="3628"/>
      <c r="AG145" s="3628"/>
      <c r="AH145" s="3628"/>
      <c r="AI145" s="3628"/>
      <c r="AJ145" s="3628"/>
      <c r="AK145" s="3628"/>
      <c r="AL145" s="3628"/>
      <c r="AM145" s="3628"/>
      <c r="AN145" s="3628"/>
      <c r="AO145" s="3628"/>
      <c r="AP145" s="3628"/>
      <c r="AQ145" s="3628"/>
      <c r="AR145" s="3628"/>
      <c r="AS145" s="3628"/>
    </row>
    <row r="146" spans="12:45">
      <c r="L146" s="3628"/>
      <c r="M146" s="3628"/>
      <c r="N146" s="3628"/>
      <c r="O146" s="3628"/>
      <c r="P146" s="3628"/>
      <c r="Q146" s="3628"/>
      <c r="R146" s="3628"/>
      <c r="S146" s="3628"/>
      <c r="T146" s="3628"/>
      <c r="U146" s="3628"/>
      <c r="V146" s="3628"/>
      <c r="W146" s="3628"/>
      <c r="X146" s="3628"/>
      <c r="Y146" s="3628"/>
      <c r="Z146" s="3628"/>
      <c r="AA146" s="3628"/>
      <c r="AB146" s="3628"/>
      <c r="AC146" s="3628"/>
      <c r="AD146" s="3628"/>
      <c r="AE146" s="3628"/>
      <c r="AF146" s="3628"/>
      <c r="AG146" s="3628"/>
      <c r="AH146" s="3628"/>
      <c r="AI146" s="3628"/>
      <c r="AJ146" s="3628"/>
      <c r="AK146" s="3628"/>
      <c r="AL146" s="3628"/>
      <c r="AM146" s="3628"/>
      <c r="AN146" s="3628"/>
      <c r="AO146" s="3628"/>
      <c r="AP146" s="3628"/>
      <c r="AQ146" s="3628"/>
      <c r="AR146" s="3628"/>
      <c r="AS146" s="3628"/>
    </row>
    <row r="147" spans="12:45">
      <c r="L147" s="3628"/>
      <c r="M147" s="3628"/>
      <c r="N147" s="3628"/>
      <c r="O147" s="3628"/>
      <c r="P147" s="3628"/>
      <c r="Q147" s="3628"/>
      <c r="R147" s="3628"/>
      <c r="S147" s="3628"/>
      <c r="T147" s="3628"/>
      <c r="U147" s="3628"/>
      <c r="V147" s="3628"/>
      <c r="W147" s="3628"/>
      <c r="X147" s="3628"/>
      <c r="Y147" s="3628"/>
      <c r="Z147" s="3628"/>
      <c r="AA147" s="3628"/>
      <c r="AB147" s="3628"/>
      <c r="AC147" s="3628"/>
      <c r="AD147" s="3628"/>
      <c r="AE147" s="3628"/>
      <c r="AF147" s="3628"/>
      <c r="AG147" s="3628"/>
      <c r="AH147" s="3628"/>
      <c r="AI147" s="3628"/>
      <c r="AJ147" s="3628"/>
      <c r="AK147" s="3628"/>
      <c r="AL147" s="3628"/>
      <c r="AM147" s="3628"/>
      <c r="AN147" s="3628"/>
      <c r="AO147" s="3628"/>
      <c r="AP147" s="3628"/>
      <c r="AQ147" s="3628"/>
      <c r="AR147" s="3628"/>
      <c r="AS147" s="3628"/>
    </row>
    <row r="148" spans="12:45">
      <c r="L148" s="3628"/>
      <c r="M148" s="3628"/>
      <c r="N148" s="3628"/>
      <c r="O148" s="3628"/>
      <c r="P148" s="3628"/>
      <c r="Q148" s="3628"/>
      <c r="R148" s="3628"/>
      <c r="S148" s="3628"/>
      <c r="T148" s="3628"/>
      <c r="U148" s="3628"/>
      <c r="V148" s="3628"/>
      <c r="W148" s="3628"/>
      <c r="X148" s="3628"/>
      <c r="Y148" s="3628"/>
      <c r="Z148" s="3628"/>
      <c r="AA148" s="3628"/>
      <c r="AB148" s="3628"/>
      <c r="AC148" s="3628"/>
      <c r="AD148" s="3628"/>
      <c r="AE148" s="3628"/>
      <c r="AF148" s="3628"/>
      <c r="AG148" s="3628"/>
      <c r="AH148" s="3628"/>
      <c r="AI148" s="3628"/>
      <c r="AJ148" s="3628"/>
      <c r="AK148" s="3628"/>
      <c r="AL148" s="3628"/>
      <c r="AM148" s="3628"/>
      <c r="AN148" s="3628"/>
      <c r="AO148" s="3628"/>
      <c r="AP148" s="3628"/>
      <c r="AQ148" s="3628"/>
      <c r="AR148" s="3628"/>
      <c r="AS148" s="3628"/>
    </row>
    <row r="149" spans="12:45">
      <c r="L149" s="3628"/>
      <c r="M149" s="3628"/>
      <c r="N149" s="3628"/>
      <c r="O149" s="3628"/>
      <c r="P149" s="3628"/>
      <c r="Q149" s="3628"/>
      <c r="R149" s="3628"/>
      <c r="S149" s="3628"/>
      <c r="T149" s="3628"/>
      <c r="U149" s="3628"/>
      <c r="V149" s="3628"/>
      <c r="W149" s="3628"/>
      <c r="X149" s="3628"/>
      <c r="Y149" s="3628"/>
      <c r="Z149" s="3628"/>
      <c r="AA149" s="3628"/>
      <c r="AB149" s="3628"/>
      <c r="AC149" s="3628"/>
      <c r="AD149" s="3628"/>
      <c r="AE149" s="3628"/>
      <c r="AF149" s="3628"/>
      <c r="AG149" s="3628"/>
      <c r="AH149" s="3628"/>
      <c r="AI149" s="3628"/>
      <c r="AJ149" s="3628"/>
      <c r="AK149" s="3628"/>
      <c r="AL149" s="3628"/>
      <c r="AM149" s="3628"/>
      <c r="AN149" s="3628"/>
      <c r="AO149" s="3628"/>
      <c r="AP149" s="3628"/>
      <c r="AQ149" s="3628"/>
      <c r="AR149" s="3628"/>
      <c r="AS149" s="3628"/>
    </row>
    <row r="150" spans="12:45">
      <c r="L150" s="3628"/>
      <c r="M150" s="3628"/>
      <c r="N150" s="3628"/>
      <c r="O150" s="3628"/>
      <c r="P150" s="3628"/>
      <c r="Q150" s="3628"/>
      <c r="R150" s="3628"/>
      <c r="S150" s="3628"/>
      <c r="T150" s="3628"/>
      <c r="U150" s="3628"/>
      <c r="V150" s="3628"/>
      <c r="W150" s="3628"/>
      <c r="X150" s="3628"/>
      <c r="Y150" s="3628"/>
      <c r="Z150" s="3628"/>
      <c r="AA150" s="3628"/>
      <c r="AB150" s="3628"/>
      <c r="AC150" s="3628"/>
      <c r="AD150" s="3628"/>
      <c r="AE150" s="3628"/>
      <c r="AF150" s="3628"/>
      <c r="AG150" s="3628"/>
      <c r="AH150" s="3628"/>
      <c r="AI150" s="3628"/>
      <c r="AJ150" s="3628"/>
      <c r="AK150" s="3628"/>
      <c r="AL150" s="3628"/>
      <c r="AM150" s="3628"/>
      <c r="AN150" s="3628"/>
      <c r="AO150" s="3628"/>
      <c r="AP150" s="3628"/>
      <c r="AQ150" s="3628"/>
      <c r="AR150" s="3628"/>
      <c r="AS150" s="3628"/>
    </row>
    <row r="151" spans="12:45">
      <c r="L151" s="3628"/>
      <c r="M151" s="3628"/>
      <c r="N151" s="3628"/>
      <c r="O151" s="3628"/>
      <c r="P151" s="3628"/>
      <c r="Q151" s="3628"/>
      <c r="R151" s="3628"/>
      <c r="S151" s="3628"/>
      <c r="T151" s="3628"/>
      <c r="U151" s="3628"/>
      <c r="V151" s="3628"/>
      <c r="W151" s="3628"/>
      <c r="X151" s="3628"/>
      <c r="Y151" s="3628"/>
      <c r="Z151" s="3628"/>
      <c r="AA151" s="3628"/>
      <c r="AB151" s="3628"/>
      <c r="AC151" s="3628"/>
      <c r="AD151" s="3628"/>
      <c r="AE151" s="3628"/>
      <c r="AF151" s="3628"/>
      <c r="AG151" s="3628"/>
      <c r="AH151" s="3628"/>
      <c r="AI151" s="3628"/>
      <c r="AJ151" s="3628"/>
      <c r="AK151" s="3628"/>
      <c r="AL151" s="3628"/>
      <c r="AM151" s="3628"/>
      <c r="AN151" s="3628"/>
      <c r="AO151" s="3628"/>
      <c r="AP151" s="3628"/>
      <c r="AQ151" s="3628"/>
      <c r="AR151" s="3628"/>
      <c r="AS151" s="3628"/>
    </row>
    <row r="152" spans="12:45">
      <c r="L152" s="3628"/>
      <c r="M152" s="3628"/>
      <c r="N152" s="3628"/>
      <c r="O152" s="3628"/>
      <c r="P152" s="3628"/>
      <c r="Q152" s="3628"/>
      <c r="R152" s="3628"/>
      <c r="S152" s="3628"/>
      <c r="T152" s="3628"/>
      <c r="U152" s="3628"/>
      <c r="V152" s="3628"/>
      <c r="W152" s="3628"/>
      <c r="X152" s="3628"/>
      <c r="Y152" s="3628"/>
      <c r="Z152" s="3628"/>
      <c r="AA152" s="3628"/>
      <c r="AB152" s="3628"/>
      <c r="AC152" s="3628"/>
      <c r="AD152" s="3628"/>
      <c r="AE152" s="3628"/>
      <c r="AF152" s="3628"/>
      <c r="AG152" s="3628"/>
      <c r="AH152" s="3628"/>
      <c r="AI152" s="3628"/>
      <c r="AJ152" s="3628"/>
      <c r="AK152" s="3628"/>
      <c r="AL152" s="3628"/>
      <c r="AM152" s="3628"/>
      <c r="AN152" s="3628"/>
      <c r="AO152" s="3628"/>
      <c r="AP152" s="3628"/>
      <c r="AQ152" s="3628"/>
      <c r="AR152" s="3628"/>
      <c r="AS152" s="3628"/>
    </row>
    <row r="153" spans="12:45">
      <c r="L153" s="3628"/>
      <c r="M153" s="3628"/>
      <c r="N153" s="3628"/>
      <c r="O153" s="3628"/>
      <c r="P153" s="3628"/>
      <c r="Q153" s="3628"/>
      <c r="R153" s="3628"/>
      <c r="S153" s="3628"/>
      <c r="T153" s="3628"/>
      <c r="U153" s="3628"/>
      <c r="V153" s="3628"/>
      <c r="W153" s="3628"/>
      <c r="X153" s="3628"/>
      <c r="Y153" s="3628"/>
      <c r="Z153" s="3628"/>
      <c r="AA153" s="3628"/>
      <c r="AB153" s="3628"/>
      <c r="AC153" s="3628"/>
      <c r="AD153" s="3628"/>
      <c r="AE153" s="3628"/>
      <c r="AF153" s="3628"/>
      <c r="AG153" s="3628"/>
      <c r="AH153" s="3628"/>
      <c r="AI153" s="3628"/>
      <c r="AJ153" s="3628"/>
      <c r="AK153" s="3628"/>
      <c r="AL153" s="3628"/>
      <c r="AM153" s="3628"/>
      <c r="AN153" s="3628"/>
      <c r="AO153" s="3628"/>
      <c r="AP153" s="3628"/>
      <c r="AQ153" s="3628"/>
      <c r="AR153" s="3628"/>
      <c r="AS153" s="3628"/>
    </row>
    <row r="154" spans="12:45">
      <c r="L154" s="3628"/>
      <c r="M154" s="3628"/>
      <c r="N154" s="3628"/>
      <c r="O154" s="3628"/>
      <c r="P154" s="3628"/>
      <c r="Q154" s="3628"/>
      <c r="R154" s="3628"/>
      <c r="S154" s="3628"/>
      <c r="T154" s="3628"/>
      <c r="U154" s="3628"/>
      <c r="V154" s="3628"/>
      <c r="W154" s="3628"/>
      <c r="X154" s="3628"/>
      <c r="Y154" s="3628"/>
      <c r="Z154" s="3628"/>
      <c r="AA154" s="3628"/>
      <c r="AB154" s="3628"/>
      <c r="AC154" s="3628"/>
      <c r="AD154" s="3628"/>
      <c r="AE154" s="3628"/>
      <c r="AF154" s="3628"/>
      <c r="AG154" s="3628"/>
      <c r="AH154" s="3628"/>
      <c r="AI154" s="3628"/>
      <c r="AJ154" s="3628"/>
      <c r="AK154" s="3628"/>
      <c r="AL154" s="3628"/>
      <c r="AM154" s="3628"/>
      <c r="AN154" s="3628"/>
      <c r="AO154" s="3628"/>
      <c r="AP154" s="3628"/>
      <c r="AQ154" s="3628"/>
      <c r="AR154" s="3628"/>
      <c r="AS154" s="3628"/>
    </row>
    <row r="155" spans="12:45">
      <c r="L155" s="3628"/>
      <c r="M155" s="3628"/>
      <c r="N155" s="3628"/>
      <c r="O155" s="3628"/>
      <c r="P155" s="3628"/>
      <c r="Q155" s="3628"/>
      <c r="R155" s="3628"/>
      <c r="S155" s="3628"/>
      <c r="T155" s="3628"/>
      <c r="U155" s="3628"/>
      <c r="V155" s="3628"/>
      <c r="W155" s="3628"/>
      <c r="X155" s="3628"/>
      <c r="Y155" s="3628"/>
      <c r="Z155" s="3628"/>
      <c r="AA155" s="3628"/>
      <c r="AB155" s="3628"/>
      <c r="AC155" s="3628"/>
      <c r="AD155" s="3628"/>
      <c r="AE155" s="3628"/>
      <c r="AF155" s="3628"/>
      <c r="AG155" s="3628"/>
      <c r="AH155" s="3628"/>
      <c r="AI155" s="3628"/>
      <c r="AJ155" s="3628"/>
      <c r="AK155" s="3628"/>
      <c r="AL155" s="3628"/>
      <c r="AM155" s="3628"/>
      <c r="AN155" s="3628"/>
      <c r="AO155" s="3628"/>
      <c r="AP155" s="3628"/>
      <c r="AQ155" s="3628"/>
      <c r="AR155" s="3628"/>
      <c r="AS155" s="3628"/>
    </row>
    <row r="156" spans="12:45">
      <c r="L156" s="3628"/>
      <c r="M156" s="3628"/>
      <c r="N156" s="3628"/>
      <c r="O156" s="3628"/>
      <c r="P156" s="3628"/>
      <c r="Q156" s="3628"/>
      <c r="R156" s="3628"/>
      <c r="S156" s="3628"/>
      <c r="T156" s="3628"/>
      <c r="U156" s="3628"/>
      <c r="V156" s="3628"/>
      <c r="W156" s="3628"/>
      <c r="X156" s="3628"/>
      <c r="Y156" s="3628"/>
      <c r="Z156" s="3628"/>
      <c r="AA156" s="3628"/>
      <c r="AB156" s="3628"/>
      <c r="AC156" s="3628"/>
      <c r="AD156" s="3628"/>
      <c r="AE156" s="3628"/>
      <c r="AF156" s="3628"/>
      <c r="AG156" s="3628"/>
      <c r="AH156" s="3628"/>
      <c r="AI156" s="3628"/>
      <c r="AJ156" s="3628"/>
      <c r="AK156" s="3628"/>
      <c r="AL156" s="3628"/>
      <c r="AM156" s="3628"/>
      <c r="AN156" s="3628"/>
      <c r="AO156" s="3628"/>
      <c r="AP156" s="3628"/>
      <c r="AQ156" s="3628"/>
      <c r="AR156" s="3628"/>
      <c r="AS156" s="3628"/>
    </row>
    <row r="157" spans="12:45">
      <c r="L157" s="3628"/>
      <c r="M157" s="3628"/>
      <c r="N157" s="3628"/>
      <c r="O157" s="3628"/>
      <c r="P157" s="3628"/>
      <c r="Q157" s="3628"/>
      <c r="R157" s="3628"/>
      <c r="S157" s="3628"/>
      <c r="T157" s="3628"/>
      <c r="U157" s="3628"/>
      <c r="V157" s="3628"/>
      <c r="W157" s="3628"/>
      <c r="X157" s="3628"/>
      <c r="Y157" s="3628"/>
      <c r="Z157" s="3628"/>
      <c r="AA157" s="3628"/>
      <c r="AB157" s="3628"/>
      <c r="AC157" s="3628"/>
      <c r="AD157" s="3628"/>
      <c r="AE157" s="3628"/>
      <c r="AF157" s="3628"/>
      <c r="AG157" s="3628"/>
      <c r="AH157" s="3628"/>
      <c r="AI157" s="3628"/>
      <c r="AJ157" s="3628"/>
      <c r="AK157" s="3628"/>
      <c r="AL157" s="3628"/>
      <c r="AM157" s="3628"/>
      <c r="AN157" s="3628"/>
      <c r="AO157" s="3628"/>
      <c r="AP157" s="3628"/>
      <c r="AQ157" s="3628"/>
      <c r="AR157" s="3628"/>
      <c r="AS157" s="3628"/>
    </row>
    <row r="158" spans="12:45">
      <c r="L158" s="3628"/>
      <c r="M158" s="3628"/>
      <c r="N158" s="3628"/>
      <c r="O158" s="3628"/>
      <c r="P158" s="3628"/>
      <c r="Q158" s="3628"/>
      <c r="R158" s="3628"/>
      <c r="S158" s="3628"/>
      <c r="T158" s="3628"/>
      <c r="U158" s="3628"/>
      <c r="V158" s="3628"/>
      <c r="W158" s="3628"/>
      <c r="X158" s="3628"/>
      <c r="Y158" s="3628"/>
      <c r="Z158" s="3628"/>
      <c r="AA158" s="3628"/>
      <c r="AB158" s="3628"/>
      <c r="AC158" s="3628"/>
      <c r="AD158" s="3628"/>
      <c r="AE158" s="3628"/>
      <c r="AF158" s="3628"/>
      <c r="AG158" s="3628"/>
      <c r="AH158" s="3628"/>
      <c r="AI158" s="3628"/>
      <c r="AJ158" s="3628"/>
      <c r="AK158" s="3628"/>
      <c r="AL158" s="3628"/>
      <c r="AM158" s="3628"/>
      <c r="AN158" s="3628"/>
      <c r="AO158" s="3628"/>
      <c r="AP158" s="3628"/>
      <c r="AQ158" s="3628"/>
      <c r="AR158" s="3628"/>
      <c r="AS158" s="3628"/>
    </row>
    <row r="159" spans="12:45">
      <c r="L159" s="3628"/>
      <c r="M159" s="3628"/>
      <c r="N159" s="3628"/>
      <c r="O159" s="3628"/>
      <c r="P159" s="3628"/>
      <c r="Q159" s="3628"/>
      <c r="R159" s="3628"/>
      <c r="S159" s="3628"/>
      <c r="T159" s="3628"/>
      <c r="U159" s="3628"/>
      <c r="V159" s="3628"/>
      <c r="W159" s="3628"/>
      <c r="X159" s="3628"/>
      <c r="Y159" s="3628"/>
      <c r="Z159" s="3628"/>
      <c r="AA159" s="3628"/>
      <c r="AB159" s="3628"/>
      <c r="AC159" s="3628"/>
      <c r="AD159" s="3628"/>
      <c r="AE159" s="3628"/>
      <c r="AF159" s="3628"/>
      <c r="AG159" s="3628"/>
      <c r="AH159" s="3628"/>
      <c r="AI159" s="3628"/>
      <c r="AJ159" s="3628"/>
      <c r="AK159" s="3628"/>
      <c r="AL159" s="3628"/>
      <c r="AM159" s="3628"/>
      <c r="AN159" s="3628"/>
      <c r="AO159" s="3628"/>
      <c r="AP159" s="3628"/>
      <c r="AQ159" s="3628"/>
      <c r="AR159" s="3628"/>
      <c r="AS159" s="3628"/>
    </row>
    <row r="160" spans="12:45">
      <c r="L160" s="3628"/>
      <c r="M160" s="3628"/>
      <c r="N160" s="3628"/>
      <c r="O160" s="3628"/>
      <c r="P160" s="3628"/>
      <c r="Q160" s="3628"/>
      <c r="R160" s="3628"/>
      <c r="S160" s="3628"/>
      <c r="T160" s="3628"/>
      <c r="U160" s="3628"/>
      <c r="V160" s="3628"/>
      <c r="W160" s="3628"/>
      <c r="X160" s="3628"/>
      <c r="Y160" s="3628"/>
      <c r="Z160" s="3628"/>
      <c r="AA160" s="3628"/>
      <c r="AB160" s="3628"/>
      <c r="AC160" s="3628"/>
      <c r="AD160" s="3628"/>
      <c r="AE160" s="3628"/>
      <c r="AF160" s="3628"/>
      <c r="AG160" s="3628"/>
      <c r="AH160" s="3628"/>
      <c r="AI160" s="3628"/>
      <c r="AJ160" s="3628"/>
      <c r="AK160" s="3628"/>
      <c r="AL160" s="3628"/>
      <c r="AM160" s="3628"/>
      <c r="AN160" s="3628"/>
      <c r="AO160" s="3628"/>
      <c r="AP160" s="3628"/>
      <c r="AQ160" s="3628"/>
      <c r="AR160" s="3628"/>
      <c r="AS160" s="3628"/>
    </row>
    <row r="161" spans="12:45">
      <c r="L161" s="3628"/>
      <c r="M161" s="3628"/>
      <c r="N161" s="3628"/>
      <c r="O161" s="3628"/>
      <c r="P161" s="3628"/>
      <c r="Q161" s="3628"/>
      <c r="R161" s="3628"/>
      <c r="S161" s="3628"/>
      <c r="T161" s="3628"/>
      <c r="U161" s="3628"/>
      <c r="V161" s="3628"/>
      <c r="W161" s="3628"/>
      <c r="X161" s="3628"/>
      <c r="Y161" s="3628"/>
      <c r="Z161" s="3628"/>
      <c r="AA161" s="3628"/>
      <c r="AB161" s="3628"/>
      <c r="AC161" s="3628"/>
      <c r="AD161" s="3628"/>
      <c r="AE161" s="3628"/>
      <c r="AF161" s="3628"/>
      <c r="AG161" s="3628"/>
      <c r="AH161" s="3628"/>
      <c r="AI161" s="3628"/>
      <c r="AJ161" s="3628"/>
      <c r="AK161" s="3628"/>
      <c r="AL161" s="3628"/>
      <c r="AM161" s="3628"/>
      <c r="AN161" s="3628"/>
      <c r="AO161" s="3628"/>
      <c r="AP161" s="3628"/>
      <c r="AQ161" s="3628"/>
      <c r="AR161" s="3628"/>
      <c r="AS161" s="3628"/>
    </row>
    <row r="162" spans="12:45">
      <c r="L162" s="3628"/>
      <c r="M162" s="3628"/>
      <c r="N162" s="3628"/>
      <c r="O162" s="3628"/>
      <c r="P162" s="3628"/>
      <c r="Q162" s="3628"/>
      <c r="R162" s="3628"/>
      <c r="S162" s="3628"/>
      <c r="T162" s="3628"/>
      <c r="U162" s="3628"/>
      <c r="V162" s="3628"/>
      <c r="W162" s="3628"/>
      <c r="X162" s="3628"/>
      <c r="Y162" s="3628"/>
      <c r="Z162" s="3628"/>
      <c r="AA162" s="3628"/>
      <c r="AB162" s="3628"/>
      <c r="AC162" s="3628"/>
      <c r="AD162" s="3628"/>
      <c r="AE162" s="3628"/>
      <c r="AF162" s="3628"/>
      <c r="AG162" s="3628"/>
      <c r="AH162" s="3628"/>
      <c r="AI162" s="3628"/>
      <c r="AJ162" s="3628"/>
      <c r="AK162" s="3628"/>
      <c r="AL162" s="3628"/>
      <c r="AM162" s="3628"/>
      <c r="AN162" s="3628"/>
      <c r="AO162" s="3628"/>
      <c r="AP162" s="3628"/>
      <c r="AQ162" s="3628"/>
      <c r="AR162" s="3628"/>
      <c r="AS162" s="3628"/>
    </row>
    <row r="163" spans="12:45">
      <c r="L163" s="3628"/>
      <c r="M163" s="3628"/>
      <c r="N163" s="3628"/>
      <c r="O163" s="3628"/>
      <c r="P163" s="3628"/>
      <c r="Q163" s="3628"/>
      <c r="R163" s="3628"/>
      <c r="S163" s="3628"/>
      <c r="T163" s="3628"/>
      <c r="U163" s="3628"/>
      <c r="V163" s="3628"/>
      <c r="W163" s="3628"/>
      <c r="X163" s="3628"/>
      <c r="Y163" s="3628"/>
      <c r="Z163" s="3628"/>
      <c r="AA163" s="3628"/>
      <c r="AB163" s="3628"/>
      <c r="AC163" s="3628"/>
      <c r="AD163" s="3628"/>
      <c r="AE163" s="3628"/>
      <c r="AF163" s="3628"/>
      <c r="AG163" s="3628"/>
      <c r="AH163" s="3628"/>
      <c r="AI163" s="3628"/>
      <c r="AJ163" s="3628"/>
      <c r="AK163" s="3628"/>
      <c r="AL163" s="3628"/>
      <c r="AM163" s="3628"/>
      <c r="AN163" s="3628"/>
      <c r="AO163" s="3628"/>
      <c r="AP163" s="3628"/>
      <c r="AQ163" s="3628"/>
      <c r="AR163" s="3628"/>
      <c r="AS163" s="3628"/>
    </row>
    <row r="164" spans="12:45">
      <c r="L164" s="3628"/>
      <c r="M164" s="3628"/>
      <c r="N164" s="3628"/>
      <c r="O164" s="3628"/>
      <c r="P164" s="3628"/>
      <c r="Q164" s="3628"/>
      <c r="R164" s="3628"/>
      <c r="S164" s="3628"/>
      <c r="T164" s="3628"/>
      <c r="U164" s="3628"/>
      <c r="V164" s="3628"/>
      <c r="W164" s="3628"/>
      <c r="X164" s="3628"/>
      <c r="Y164" s="3628"/>
      <c r="Z164" s="3628"/>
      <c r="AA164" s="3628"/>
      <c r="AB164" s="3628"/>
      <c r="AC164" s="3628"/>
      <c r="AD164" s="3628"/>
      <c r="AE164" s="3628"/>
      <c r="AF164" s="3628"/>
      <c r="AG164" s="3628"/>
      <c r="AH164" s="3628"/>
      <c r="AI164" s="3628"/>
      <c r="AJ164" s="3628"/>
      <c r="AK164" s="3628"/>
      <c r="AL164" s="3628"/>
      <c r="AM164" s="3628"/>
      <c r="AN164" s="3628"/>
      <c r="AO164" s="3628"/>
      <c r="AP164" s="3628"/>
      <c r="AQ164" s="3628"/>
      <c r="AR164" s="3628"/>
      <c r="AS164" s="3628"/>
    </row>
    <row r="165" spans="12:45">
      <c r="L165" s="3628"/>
      <c r="M165" s="3628"/>
      <c r="N165" s="3628"/>
      <c r="O165" s="3628"/>
      <c r="P165" s="3628"/>
      <c r="Q165" s="3628"/>
      <c r="R165" s="3628"/>
      <c r="S165" s="3628"/>
      <c r="T165" s="3628"/>
      <c r="U165" s="3628"/>
      <c r="V165" s="3628"/>
      <c r="W165" s="3628"/>
      <c r="X165" s="3628"/>
      <c r="Y165" s="3628"/>
      <c r="Z165" s="3628"/>
      <c r="AA165" s="3628"/>
      <c r="AB165" s="3628"/>
      <c r="AC165" s="3628"/>
      <c r="AD165" s="3628"/>
      <c r="AE165" s="3628"/>
      <c r="AF165" s="3628"/>
      <c r="AG165" s="3628"/>
      <c r="AH165" s="3628"/>
      <c r="AI165" s="3628"/>
      <c r="AJ165" s="3628"/>
      <c r="AK165" s="3628"/>
      <c r="AL165" s="3628"/>
      <c r="AM165" s="3628"/>
      <c r="AN165" s="3628"/>
      <c r="AO165" s="3628"/>
      <c r="AP165" s="3628"/>
      <c r="AQ165" s="3628"/>
      <c r="AR165" s="3628"/>
      <c r="AS165" s="3628"/>
    </row>
    <row r="166" spans="12:45">
      <c r="L166" s="3628"/>
      <c r="M166" s="3628"/>
      <c r="N166" s="3628"/>
      <c r="O166" s="3628"/>
      <c r="P166" s="3628"/>
      <c r="Q166" s="3628"/>
      <c r="R166" s="3628"/>
      <c r="S166" s="3628"/>
      <c r="T166" s="3628"/>
      <c r="U166" s="3628"/>
      <c r="V166" s="3628"/>
      <c r="W166" s="3628"/>
      <c r="X166" s="3628"/>
      <c r="Y166" s="3628"/>
      <c r="Z166" s="3628"/>
      <c r="AA166" s="3628"/>
      <c r="AB166" s="3628"/>
      <c r="AC166" s="3628"/>
      <c r="AD166" s="3628"/>
      <c r="AE166" s="3628"/>
      <c r="AF166" s="3628"/>
      <c r="AG166" s="3628"/>
      <c r="AH166" s="3628"/>
      <c r="AI166" s="3628"/>
      <c r="AJ166" s="3628"/>
      <c r="AK166" s="3628"/>
      <c r="AL166" s="3628"/>
      <c r="AM166" s="3628"/>
      <c r="AN166" s="3628"/>
      <c r="AO166" s="3628"/>
      <c r="AP166" s="3628"/>
      <c r="AQ166" s="3628"/>
      <c r="AR166" s="3628"/>
      <c r="AS166" s="3628"/>
    </row>
    <row r="167" spans="12:45">
      <c r="L167" s="3628"/>
      <c r="M167" s="3628"/>
      <c r="N167" s="3628"/>
      <c r="O167" s="3628"/>
      <c r="P167" s="3628"/>
      <c r="Q167" s="3628"/>
      <c r="R167" s="3628"/>
      <c r="S167" s="3628"/>
      <c r="T167" s="3628"/>
      <c r="U167" s="3628"/>
      <c r="V167" s="3628"/>
      <c r="W167" s="3628"/>
      <c r="X167" s="3628"/>
      <c r="Y167" s="3628"/>
      <c r="Z167" s="3628"/>
      <c r="AA167" s="3628"/>
      <c r="AB167" s="3628"/>
      <c r="AC167" s="3628"/>
      <c r="AD167" s="3628"/>
      <c r="AE167" s="3628"/>
      <c r="AF167" s="3628"/>
      <c r="AG167" s="3628"/>
      <c r="AH167" s="3628"/>
      <c r="AI167" s="3628"/>
      <c r="AJ167" s="3628"/>
      <c r="AK167" s="3628"/>
      <c r="AL167" s="3628"/>
      <c r="AM167" s="3628"/>
      <c r="AN167" s="3628"/>
      <c r="AO167" s="3628"/>
      <c r="AP167" s="3628"/>
      <c r="AQ167" s="3628"/>
      <c r="AR167" s="3628"/>
      <c r="AS167" s="3628"/>
    </row>
    <row r="168" spans="12:45">
      <c r="L168" s="3628"/>
      <c r="M168" s="3628"/>
      <c r="N168" s="3628"/>
      <c r="O168" s="3628"/>
      <c r="P168" s="3628"/>
      <c r="Q168" s="3628"/>
      <c r="R168" s="3628"/>
      <c r="S168" s="3628"/>
      <c r="T168" s="3628"/>
      <c r="U168" s="3628"/>
      <c r="V168" s="3628"/>
      <c r="W168" s="3628"/>
      <c r="X168" s="3628"/>
      <c r="Y168" s="3628"/>
      <c r="Z168" s="3628"/>
      <c r="AA168" s="3628"/>
      <c r="AB168" s="3628"/>
      <c r="AC168" s="3628"/>
      <c r="AD168" s="3628"/>
      <c r="AE168" s="3628"/>
      <c r="AF168" s="3628"/>
      <c r="AG168" s="3628"/>
      <c r="AH168" s="3628"/>
      <c r="AI168" s="3628"/>
      <c r="AJ168" s="3628"/>
      <c r="AK168" s="3628"/>
      <c r="AL168" s="3628"/>
      <c r="AM168" s="3628"/>
      <c r="AN168" s="3628"/>
      <c r="AO168" s="3628"/>
      <c r="AP168" s="3628"/>
      <c r="AQ168" s="3628"/>
      <c r="AR168" s="3628"/>
      <c r="AS168" s="3628"/>
    </row>
    <row r="169" spans="12:45">
      <c r="L169" s="3628"/>
      <c r="M169" s="3628"/>
      <c r="N169" s="3628"/>
      <c r="O169" s="3628"/>
      <c r="P169" s="3628"/>
      <c r="Q169" s="3628"/>
      <c r="R169" s="3628"/>
      <c r="S169" s="3628"/>
      <c r="T169" s="3628"/>
      <c r="U169" s="3628"/>
      <c r="V169" s="3628"/>
      <c r="W169" s="3628"/>
      <c r="X169" s="3628"/>
      <c r="Y169" s="3628"/>
      <c r="Z169" s="3628"/>
      <c r="AA169" s="3628"/>
      <c r="AB169" s="3628"/>
      <c r="AC169" s="3628"/>
      <c r="AD169" s="3628"/>
      <c r="AE169" s="3628"/>
      <c r="AF169" s="3628"/>
      <c r="AG169" s="3628"/>
      <c r="AH169" s="3628"/>
      <c r="AI169" s="3628"/>
      <c r="AJ169" s="3628"/>
      <c r="AK169" s="3628"/>
      <c r="AL169" s="3628"/>
      <c r="AM169" s="3628"/>
      <c r="AN169" s="3628"/>
      <c r="AO169" s="3628"/>
      <c r="AP169" s="3628"/>
      <c r="AQ169" s="3628"/>
      <c r="AR169" s="3628"/>
      <c r="AS169" s="3628"/>
    </row>
    <row r="170" spans="12:45">
      <c r="L170" s="3628"/>
      <c r="M170" s="3628"/>
      <c r="N170" s="3628"/>
      <c r="O170" s="3628"/>
      <c r="P170" s="3628"/>
      <c r="Q170" s="3628"/>
      <c r="R170" s="3628"/>
      <c r="S170" s="3628"/>
      <c r="T170" s="3628"/>
      <c r="U170" s="3628"/>
      <c r="V170" s="3628"/>
      <c r="W170" s="3628"/>
      <c r="X170" s="3628"/>
      <c r="Y170" s="3628"/>
      <c r="Z170" s="3628"/>
      <c r="AA170" s="3628"/>
      <c r="AB170" s="3628"/>
      <c r="AC170" s="3628"/>
      <c r="AD170" s="3628"/>
      <c r="AE170" s="3628"/>
      <c r="AF170" s="3628"/>
      <c r="AG170" s="3628"/>
      <c r="AH170" s="3628"/>
      <c r="AI170" s="3628"/>
      <c r="AJ170" s="3628"/>
      <c r="AK170" s="3628"/>
      <c r="AL170" s="3628"/>
      <c r="AM170" s="3628"/>
      <c r="AN170" s="3628"/>
      <c r="AO170" s="3628"/>
      <c r="AP170" s="3628"/>
      <c r="AQ170" s="3628"/>
      <c r="AR170" s="3628"/>
      <c r="AS170" s="3628"/>
    </row>
    <row r="171" spans="12:45">
      <c r="L171" s="3628"/>
      <c r="M171" s="3628"/>
      <c r="N171" s="3628"/>
      <c r="O171" s="3628"/>
      <c r="P171" s="3628"/>
      <c r="Q171" s="3628"/>
      <c r="R171" s="3628"/>
      <c r="S171" s="3628"/>
      <c r="T171" s="3628"/>
      <c r="U171" s="3628"/>
      <c r="V171" s="3628"/>
      <c r="W171" s="3628"/>
      <c r="X171" s="3628"/>
      <c r="Y171" s="3628"/>
      <c r="Z171" s="3628"/>
      <c r="AA171" s="3628"/>
      <c r="AB171" s="3628"/>
      <c r="AC171" s="3628"/>
      <c r="AD171" s="3628"/>
      <c r="AE171" s="3628"/>
      <c r="AF171" s="3628"/>
      <c r="AG171" s="3628"/>
      <c r="AH171" s="3628"/>
      <c r="AI171" s="3628"/>
      <c r="AJ171" s="3628"/>
      <c r="AK171" s="3628"/>
      <c r="AL171" s="3628"/>
      <c r="AM171" s="3628"/>
      <c r="AN171" s="3628"/>
      <c r="AO171" s="3628"/>
      <c r="AP171" s="3628"/>
      <c r="AQ171" s="3628"/>
      <c r="AR171" s="3628"/>
      <c r="AS171" s="3628"/>
    </row>
    <row r="172" spans="12:45">
      <c r="L172" s="3628"/>
      <c r="M172" s="3628"/>
      <c r="N172" s="3628"/>
      <c r="O172" s="3628"/>
      <c r="P172" s="3628"/>
      <c r="Q172" s="3628"/>
      <c r="R172" s="3628"/>
      <c r="S172" s="3628"/>
      <c r="T172" s="3628"/>
      <c r="U172" s="3628"/>
      <c r="V172" s="3628"/>
      <c r="W172" s="3628"/>
      <c r="X172" s="3628"/>
      <c r="Y172" s="3628"/>
      <c r="Z172" s="3628"/>
      <c r="AA172" s="3628"/>
      <c r="AB172" s="3628"/>
      <c r="AC172" s="3628"/>
      <c r="AD172" s="3628"/>
      <c r="AE172" s="3628"/>
      <c r="AF172" s="3628"/>
      <c r="AG172" s="3628"/>
      <c r="AH172" s="3628"/>
      <c r="AI172" s="3628"/>
      <c r="AJ172" s="3628"/>
      <c r="AK172" s="3628"/>
      <c r="AL172" s="3628"/>
      <c r="AM172" s="3628"/>
      <c r="AN172" s="3628"/>
      <c r="AO172" s="3628"/>
      <c r="AP172" s="3628"/>
      <c r="AQ172" s="3628"/>
      <c r="AR172" s="3628"/>
      <c r="AS172" s="3628"/>
    </row>
    <row r="173" spans="12:45">
      <c r="L173" s="3628"/>
      <c r="M173" s="3628"/>
      <c r="N173" s="3628"/>
      <c r="O173" s="3628"/>
      <c r="P173" s="3628"/>
      <c r="Q173" s="3628"/>
      <c r="R173" s="3628"/>
      <c r="S173" s="3628"/>
      <c r="T173" s="3628"/>
      <c r="U173" s="3628"/>
      <c r="V173" s="3628"/>
      <c r="W173" s="3628"/>
      <c r="X173" s="3628"/>
      <c r="Y173" s="3628"/>
      <c r="Z173" s="3628"/>
      <c r="AA173" s="3628"/>
      <c r="AB173" s="3628"/>
      <c r="AC173" s="3628"/>
      <c r="AD173" s="3628"/>
      <c r="AE173" s="3628"/>
      <c r="AF173" s="3628"/>
      <c r="AG173" s="3628"/>
      <c r="AH173" s="3628"/>
      <c r="AI173" s="3628"/>
      <c r="AJ173" s="3628"/>
      <c r="AK173" s="3628"/>
      <c r="AL173" s="3628"/>
      <c r="AM173" s="3628"/>
      <c r="AN173" s="3628"/>
      <c r="AO173" s="3628"/>
      <c r="AP173" s="3628"/>
      <c r="AQ173" s="3628"/>
      <c r="AR173" s="3628"/>
      <c r="AS173" s="3628"/>
    </row>
    <row r="174" spans="12:45">
      <c r="L174" s="3628"/>
      <c r="M174" s="3628"/>
      <c r="N174" s="3628"/>
      <c r="O174" s="3628"/>
      <c r="P174" s="3628"/>
      <c r="Q174" s="3628"/>
      <c r="R174" s="3628"/>
      <c r="S174" s="3628"/>
      <c r="T174" s="3628"/>
      <c r="U174" s="3628"/>
      <c r="V174" s="3628"/>
      <c r="W174" s="3628"/>
      <c r="X174" s="3628"/>
      <c r="Y174" s="3628"/>
      <c r="Z174" s="3628"/>
      <c r="AA174" s="3628"/>
      <c r="AB174" s="3628"/>
      <c r="AC174" s="3628"/>
      <c r="AD174" s="3628"/>
      <c r="AE174" s="3628"/>
      <c r="AF174" s="3628"/>
      <c r="AG174" s="3628"/>
      <c r="AH174" s="3628"/>
      <c r="AI174" s="3628"/>
      <c r="AJ174" s="3628"/>
      <c r="AK174" s="3628"/>
      <c r="AL174" s="3628"/>
      <c r="AM174" s="3628"/>
      <c r="AN174" s="3628"/>
      <c r="AO174" s="3628"/>
      <c r="AP174" s="3628"/>
      <c r="AQ174" s="3628"/>
      <c r="AR174" s="3628"/>
      <c r="AS174" s="3628"/>
    </row>
    <row r="175" spans="12:45">
      <c r="L175" s="3628"/>
      <c r="M175" s="3628"/>
      <c r="N175" s="3628"/>
      <c r="O175" s="3628"/>
      <c r="P175" s="3628"/>
      <c r="Q175" s="3628"/>
      <c r="R175" s="3628"/>
      <c r="S175" s="3628"/>
      <c r="T175" s="3628"/>
      <c r="U175" s="3628"/>
      <c r="V175" s="3628"/>
      <c r="W175" s="3628"/>
      <c r="X175" s="3628"/>
      <c r="Y175" s="3628"/>
      <c r="Z175" s="3628"/>
      <c r="AA175" s="3628"/>
      <c r="AB175" s="3628"/>
      <c r="AC175" s="3628"/>
      <c r="AD175" s="3628"/>
      <c r="AE175" s="3628"/>
      <c r="AF175" s="3628"/>
      <c r="AG175" s="3628"/>
      <c r="AH175" s="3628"/>
      <c r="AI175" s="3628"/>
      <c r="AJ175" s="3628"/>
      <c r="AK175" s="3628"/>
      <c r="AL175" s="3628"/>
      <c r="AM175" s="3628"/>
      <c r="AN175" s="3628"/>
      <c r="AO175" s="3628"/>
      <c r="AP175" s="3628"/>
      <c r="AQ175" s="3628"/>
      <c r="AR175" s="3628"/>
      <c r="AS175" s="3628"/>
    </row>
    <row r="176" spans="12:45">
      <c r="L176" s="3628"/>
      <c r="M176" s="3628"/>
      <c r="N176" s="3628"/>
      <c r="O176" s="3628"/>
      <c r="P176" s="3628"/>
      <c r="Q176" s="3628"/>
      <c r="R176" s="3628"/>
      <c r="S176" s="3628"/>
      <c r="T176" s="3628"/>
      <c r="U176" s="3628"/>
      <c r="V176" s="3628"/>
      <c r="W176" s="3628"/>
      <c r="X176" s="3628"/>
      <c r="Y176" s="3628"/>
      <c r="Z176" s="3628"/>
      <c r="AA176" s="3628"/>
      <c r="AB176" s="3628"/>
      <c r="AC176" s="3628"/>
      <c r="AD176" s="3628"/>
      <c r="AE176" s="3628"/>
      <c r="AF176" s="3628"/>
      <c r="AG176" s="3628"/>
      <c r="AH176" s="3628"/>
      <c r="AI176" s="3628"/>
      <c r="AJ176" s="3628"/>
      <c r="AK176" s="3628"/>
      <c r="AL176" s="3628"/>
      <c r="AM176" s="3628"/>
      <c r="AN176" s="3628"/>
      <c r="AO176" s="3628"/>
      <c r="AP176" s="3628"/>
      <c r="AQ176" s="3628"/>
      <c r="AR176" s="3628"/>
      <c r="AS176" s="3628"/>
    </row>
    <row r="177" spans="12:45">
      <c r="L177" s="3628"/>
      <c r="M177" s="3628"/>
      <c r="N177" s="3628"/>
      <c r="O177" s="3628"/>
      <c r="P177" s="3628"/>
      <c r="Q177" s="3628"/>
      <c r="R177" s="3628"/>
      <c r="S177" s="3628"/>
      <c r="T177" s="3628"/>
      <c r="U177" s="3628"/>
      <c r="V177" s="3628"/>
      <c r="W177" s="3628"/>
      <c r="X177" s="3628"/>
      <c r="Y177" s="3628"/>
      <c r="Z177" s="3628"/>
      <c r="AA177" s="3628"/>
      <c r="AB177" s="3628"/>
      <c r="AC177" s="3628"/>
      <c r="AD177" s="3628"/>
      <c r="AE177" s="3628"/>
      <c r="AF177" s="3628"/>
      <c r="AG177" s="3628"/>
      <c r="AH177" s="3628"/>
      <c r="AI177" s="3628"/>
      <c r="AJ177" s="3628"/>
      <c r="AK177" s="3628"/>
      <c r="AL177" s="3628"/>
      <c r="AM177" s="3628"/>
      <c r="AN177" s="3628"/>
      <c r="AO177" s="3628"/>
      <c r="AP177" s="3628"/>
      <c r="AQ177" s="3628"/>
      <c r="AR177" s="3628"/>
      <c r="AS177" s="3628"/>
    </row>
    <row r="178" spans="12:45">
      <c r="L178" s="3628"/>
      <c r="M178" s="3628"/>
      <c r="N178" s="3628"/>
      <c r="O178" s="3628"/>
      <c r="P178" s="3628"/>
      <c r="Q178" s="3628"/>
      <c r="R178" s="3628"/>
      <c r="S178" s="3628"/>
      <c r="T178" s="3628"/>
      <c r="U178" s="3628"/>
      <c r="V178" s="3628"/>
      <c r="W178" s="3628"/>
      <c r="X178" s="3628"/>
      <c r="Y178" s="3628"/>
      <c r="Z178" s="3628"/>
      <c r="AA178" s="3628"/>
      <c r="AB178" s="3628"/>
      <c r="AC178" s="3628"/>
      <c r="AD178" s="3628"/>
      <c r="AE178" s="3628"/>
      <c r="AF178" s="3628"/>
      <c r="AG178" s="3628"/>
      <c r="AH178" s="3628"/>
      <c r="AI178" s="3628"/>
      <c r="AJ178" s="3628"/>
      <c r="AK178" s="3628"/>
      <c r="AL178" s="3628"/>
      <c r="AM178" s="3628"/>
      <c r="AN178" s="3628"/>
      <c r="AO178" s="3628"/>
      <c r="AP178" s="3628"/>
      <c r="AQ178" s="3628"/>
      <c r="AR178" s="3628"/>
      <c r="AS178" s="3628"/>
    </row>
    <row r="179" spans="12:45">
      <c r="L179" s="3628"/>
      <c r="M179" s="3628"/>
      <c r="N179" s="3628"/>
      <c r="O179" s="3628"/>
      <c r="P179" s="3628"/>
      <c r="Q179" s="3628"/>
      <c r="R179" s="3628"/>
      <c r="S179" s="3628"/>
      <c r="T179" s="3628"/>
      <c r="U179" s="3628"/>
      <c r="V179" s="3628"/>
      <c r="W179" s="3628"/>
      <c r="X179" s="3628"/>
      <c r="Y179" s="3628"/>
      <c r="Z179" s="3628"/>
      <c r="AA179" s="3628"/>
      <c r="AB179" s="3628"/>
      <c r="AC179" s="3628"/>
      <c r="AD179" s="3628"/>
      <c r="AE179" s="3628"/>
      <c r="AF179" s="3628"/>
      <c r="AG179" s="3628"/>
      <c r="AH179" s="3628"/>
      <c r="AI179" s="3628"/>
      <c r="AJ179" s="3628"/>
      <c r="AK179" s="3628"/>
      <c r="AL179" s="3628"/>
      <c r="AM179" s="3628"/>
      <c r="AN179" s="3628"/>
      <c r="AO179" s="3628"/>
      <c r="AP179" s="3628"/>
      <c r="AQ179" s="3628"/>
      <c r="AR179" s="3628"/>
      <c r="AS179" s="3628"/>
    </row>
    <row r="180" spans="12:45">
      <c r="L180" s="3628"/>
      <c r="M180" s="3628"/>
      <c r="N180" s="3628"/>
      <c r="O180" s="3628"/>
      <c r="P180" s="3628"/>
      <c r="Q180" s="3628"/>
      <c r="R180" s="3628"/>
      <c r="S180" s="3628"/>
      <c r="T180" s="3628"/>
      <c r="U180" s="3628"/>
      <c r="V180" s="3628"/>
      <c r="W180" s="3628"/>
      <c r="X180" s="3628"/>
      <c r="Y180" s="3628"/>
      <c r="Z180" s="3628"/>
      <c r="AA180" s="3628"/>
      <c r="AB180" s="3628"/>
      <c r="AC180" s="3628"/>
      <c r="AD180" s="3628"/>
      <c r="AE180" s="3628"/>
      <c r="AF180" s="3628"/>
      <c r="AG180" s="3628"/>
      <c r="AH180" s="3628"/>
      <c r="AI180" s="3628"/>
      <c r="AJ180" s="3628"/>
      <c r="AK180" s="3628"/>
      <c r="AL180" s="3628"/>
      <c r="AM180" s="3628"/>
      <c r="AN180" s="3628"/>
      <c r="AO180" s="3628"/>
      <c r="AP180" s="3628"/>
      <c r="AQ180" s="3628"/>
      <c r="AR180" s="3628"/>
      <c r="AS180" s="3628"/>
    </row>
    <row r="181" spans="12:45">
      <c r="L181" s="3628"/>
      <c r="M181" s="3628"/>
      <c r="N181" s="3628"/>
      <c r="O181" s="3628"/>
      <c r="P181" s="3628"/>
      <c r="Q181" s="3628"/>
      <c r="R181" s="3628"/>
      <c r="S181" s="3628"/>
      <c r="T181" s="3628"/>
      <c r="U181" s="3628"/>
      <c r="V181" s="3628"/>
      <c r="W181" s="3628"/>
      <c r="X181" s="3628"/>
      <c r="Y181" s="3628"/>
      <c r="Z181" s="3628"/>
      <c r="AA181" s="3628"/>
      <c r="AB181" s="3628"/>
      <c r="AC181" s="3628"/>
      <c r="AD181" s="3628"/>
      <c r="AE181" s="3628"/>
      <c r="AF181" s="3628"/>
      <c r="AG181" s="3628"/>
      <c r="AH181" s="3628"/>
      <c r="AI181" s="3628"/>
      <c r="AJ181" s="3628"/>
      <c r="AK181" s="3628"/>
      <c r="AL181" s="3628"/>
      <c r="AM181" s="3628"/>
      <c r="AN181" s="3628"/>
      <c r="AO181" s="3628"/>
      <c r="AP181" s="3628"/>
      <c r="AQ181" s="3628"/>
      <c r="AR181" s="3628"/>
      <c r="AS181" s="3628"/>
    </row>
    <row r="182" spans="12:45">
      <c r="L182" s="3628"/>
      <c r="M182" s="3628"/>
      <c r="N182" s="3628"/>
      <c r="O182" s="3628"/>
      <c r="P182" s="3628"/>
      <c r="Q182" s="3628"/>
      <c r="R182" s="3628"/>
      <c r="S182" s="3628"/>
      <c r="T182" s="3628"/>
      <c r="U182" s="3628"/>
      <c r="V182" s="3628"/>
      <c r="W182" s="3628"/>
      <c r="X182" s="3628"/>
      <c r="Y182" s="3628"/>
      <c r="Z182" s="3628"/>
      <c r="AA182" s="3628"/>
      <c r="AB182" s="3628"/>
      <c r="AC182" s="3628"/>
      <c r="AD182" s="3628"/>
      <c r="AE182" s="3628"/>
      <c r="AF182" s="3628"/>
      <c r="AG182" s="3628"/>
      <c r="AH182" s="3628"/>
      <c r="AI182" s="3628"/>
      <c r="AJ182" s="3628"/>
      <c r="AK182" s="3628"/>
      <c r="AL182" s="3628"/>
      <c r="AM182" s="3628"/>
      <c r="AN182" s="3628"/>
      <c r="AO182" s="3628"/>
      <c r="AP182" s="3628"/>
      <c r="AQ182" s="3628"/>
      <c r="AR182" s="3628"/>
      <c r="AS182" s="3628"/>
    </row>
    <row r="183" spans="12:45">
      <c r="L183" s="3628"/>
      <c r="M183" s="3628"/>
      <c r="N183" s="3628"/>
      <c r="O183" s="3628"/>
      <c r="P183" s="3628"/>
      <c r="Q183" s="3628"/>
      <c r="R183" s="3628"/>
      <c r="S183" s="3628"/>
      <c r="T183" s="3628"/>
      <c r="U183" s="3628"/>
      <c r="V183" s="3628"/>
      <c r="W183" s="3628"/>
      <c r="X183" s="3628"/>
      <c r="Y183" s="3628"/>
      <c r="Z183" s="3628"/>
      <c r="AA183" s="3628"/>
      <c r="AB183" s="3628"/>
      <c r="AC183" s="3628"/>
      <c r="AD183" s="3628"/>
      <c r="AE183" s="3628"/>
      <c r="AF183" s="3628"/>
      <c r="AG183" s="3628"/>
      <c r="AH183" s="3628"/>
      <c r="AI183" s="3628"/>
      <c r="AJ183" s="3628"/>
      <c r="AK183" s="3628"/>
      <c r="AL183" s="3628"/>
      <c r="AM183" s="3628"/>
      <c r="AN183" s="3628"/>
      <c r="AO183" s="3628"/>
      <c r="AP183" s="3628"/>
      <c r="AQ183" s="3628"/>
      <c r="AR183" s="3628"/>
      <c r="AS183" s="3628"/>
    </row>
    <row r="184" spans="12:45">
      <c r="L184" s="3628"/>
      <c r="M184" s="3628"/>
      <c r="N184" s="3628"/>
      <c r="O184" s="3628"/>
      <c r="P184" s="3628"/>
      <c r="Q184" s="3628"/>
      <c r="R184" s="3628"/>
      <c r="S184" s="3628"/>
      <c r="T184" s="3628"/>
      <c r="U184" s="3628"/>
      <c r="V184" s="3628"/>
      <c r="W184" s="3628"/>
      <c r="X184" s="3628"/>
      <c r="Y184" s="3628"/>
      <c r="Z184" s="3628"/>
      <c r="AA184" s="3628"/>
      <c r="AB184" s="3628"/>
      <c r="AC184" s="3628"/>
      <c r="AD184" s="3628"/>
      <c r="AE184" s="3628"/>
      <c r="AF184" s="3628"/>
      <c r="AG184" s="3628"/>
      <c r="AH184" s="3628"/>
      <c r="AI184" s="3628"/>
      <c r="AJ184" s="3628"/>
      <c r="AK184" s="3628"/>
      <c r="AL184" s="3628"/>
      <c r="AM184" s="3628"/>
      <c r="AN184" s="3628"/>
      <c r="AO184" s="3628"/>
      <c r="AP184" s="3628"/>
      <c r="AQ184" s="3628"/>
      <c r="AR184" s="3628"/>
      <c r="AS184" s="3628"/>
    </row>
    <row r="185" spans="12:45">
      <c r="L185" s="3628"/>
      <c r="M185" s="3628"/>
      <c r="N185" s="3628"/>
      <c r="O185" s="3628"/>
      <c r="P185" s="3628"/>
      <c r="Q185" s="3628"/>
      <c r="R185" s="3628"/>
      <c r="S185" s="3628"/>
      <c r="T185" s="3628"/>
      <c r="U185" s="3628"/>
      <c r="V185" s="3628"/>
      <c r="W185" s="3628"/>
      <c r="X185" s="3628"/>
      <c r="Y185" s="3628"/>
      <c r="Z185" s="3628"/>
      <c r="AA185" s="3628"/>
      <c r="AB185" s="3628"/>
      <c r="AC185" s="3628"/>
      <c r="AD185" s="3628"/>
      <c r="AE185" s="3628"/>
      <c r="AF185" s="3628"/>
      <c r="AG185" s="3628"/>
      <c r="AH185" s="3628"/>
      <c r="AI185" s="3628"/>
      <c r="AJ185" s="3628"/>
      <c r="AK185" s="3628"/>
      <c r="AL185" s="3628"/>
      <c r="AM185" s="3628"/>
      <c r="AN185" s="3628"/>
      <c r="AO185" s="3628"/>
      <c r="AP185" s="3628"/>
      <c r="AQ185" s="3628"/>
      <c r="AR185" s="3628"/>
      <c r="AS185" s="3628"/>
    </row>
    <row r="186" spans="12:45">
      <c r="L186" s="3628"/>
      <c r="M186" s="3628"/>
      <c r="N186" s="3628"/>
      <c r="O186" s="3628"/>
      <c r="P186" s="3628"/>
      <c r="Q186" s="3628"/>
      <c r="R186" s="3628"/>
      <c r="S186" s="3628"/>
      <c r="T186" s="3628"/>
      <c r="U186" s="3628"/>
      <c r="V186" s="3628"/>
      <c r="W186" s="3628"/>
      <c r="X186" s="3628"/>
      <c r="Y186" s="3628"/>
      <c r="Z186" s="3628"/>
      <c r="AA186" s="3628"/>
      <c r="AB186" s="3628"/>
      <c r="AC186" s="3628"/>
      <c r="AD186" s="3628"/>
      <c r="AE186" s="3628"/>
      <c r="AF186" s="3628"/>
      <c r="AG186" s="3628"/>
      <c r="AH186" s="3628"/>
      <c r="AI186" s="3628"/>
      <c r="AJ186" s="3628"/>
      <c r="AK186" s="3628"/>
      <c r="AL186" s="3628"/>
      <c r="AM186" s="3628"/>
      <c r="AN186" s="3628"/>
      <c r="AO186" s="3628"/>
      <c r="AP186" s="3628"/>
      <c r="AQ186" s="3628"/>
      <c r="AR186" s="3628"/>
      <c r="AS186" s="3628"/>
    </row>
    <row r="187" spans="12:45">
      <c r="L187" s="3628"/>
      <c r="M187" s="3628"/>
      <c r="N187" s="3628"/>
      <c r="O187" s="3628"/>
      <c r="P187" s="3628"/>
      <c r="Q187" s="3628"/>
      <c r="R187" s="3628"/>
      <c r="S187" s="3628"/>
      <c r="T187" s="3628"/>
      <c r="U187" s="3628"/>
      <c r="V187" s="3628"/>
      <c r="W187" s="3628"/>
      <c r="X187" s="3628"/>
      <c r="Y187" s="3628"/>
      <c r="Z187" s="3628"/>
      <c r="AA187" s="3628"/>
      <c r="AB187" s="3628"/>
      <c r="AC187" s="3628"/>
      <c r="AD187" s="3628"/>
      <c r="AE187" s="3628"/>
      <c r="AF187" s="3628"/>
      <c r="AG187" s="3628"/>
      <c r="AH187" s="3628"/>
      <c r="AI187" s="3628"/>
      <c r="AJ187" s="3628"/>
      <c r="AK187" s="3628"/>
      <c r="AL187" s="3628"/>
      <c r="AM187" s="3628"/>
      <c r="AN187" s="3628"/>
      <c r="AO187" s="3628"/>
      <c r="AP187" s="3628"/>
      <c r="AQ187" s="3628"/>
      <c r="AR187" s="3628"/>
      <c r="AS187" s="3628"/>
    </row>
    <row r="188" spans="12:45">
      <c r="L188" s="3628"/>
      <c r="M188" s="3628"/>
      <c r="N188" s="3628"/>
      <c r="O188" s="3628"/>
      <c r="P188" s="3628"/>
      <c r="Q188" s="3628"/>
      <c r="R188" s="3628"/>
      <c r="S188" s="3628"/>
      <c r="T188" s="3628"/>
      <c r="U188" s="3628"/>
      <c r="V188" s="3628"/>
      <c r="W188" s="3628"/>
      <c r="X188" s="3628"/>
      <c r="Y188" s="3628"/>
      <c r="Z188" s="3628"/>
      <c r="AA188" s="3628"/>
      <c r="AB188" s="3628"/>
      <c r="AC188" s="3628"/>
      <c r="AD188" s="3628"/>
      <c r="AE188" s="3628"/>
      <c r="AF188" s="3628"/>
      <c r="AG188" s="3628"/>
      <c r="AH188" s="3628"/>
      <c r="AI188" s="3628"/>
      <c r="AJ188" s="3628"/>
      <c r="AK188" s="3628"/>
      <c r="AL188" s="3628"/>
      <c r="AM188" s="3628"/>
      <c r="AN188" s="3628"/>
      <c r="AO188" s="3628"/>
      <c r="AP188" s="3628"/>
      <c r="AQ188" s="3628"/>
      <c r="AR188" s="3628"/>
      <c r="AS188" s="3628"/>
    </row>
    <row r="189" spans="12:45">
      <c r="L189" s="3628"/>
      <c r="M189" s="3628"/>
      <c r="N189" s="3628"/>
      <c r="O189" s="3628"/>
      <c r="P189" s="3628"/>
      <c r="Q189" s="3628"/>
      <c r="R189" s="3628"/>
      <c r="S189" s="3628"/>
      <c r="T189" s="3628"/>
      <c r="U189" s="3628"/>
      <c r="V189" s="3628"/>
      <c r="W189" s="3628"/>
      <c r="X189" s="3628"/>
      <c r="Y189" s="3628"/>
      <c r="Z189" s="3628"/>
      <c r="AA189" s="3628"/>
      <c r="AB189" s="3628"/>
      <c r="AC189" s="3628"/>
      <c r="AD189" s="3628"/>
      <c r="AE189" s="3628"/>
      <c r="AF189" s="3628"/>
      <c r="AG189" s="3628"/>
      <c r="AH189" s="3628"/>
      <c r="AI189" s="3628"/>
      <c r="AJ189" s="3628"/>
      <c r="AK189" s="3628"/>
      <c r="AL189" s="3628"/>
      <c r="AM189" s="3628"/>
      <c r="AN189" s="3628"/>
      <c r="AO189" s="3628"/>
      <c r="AP189" s="3628"/>
      <c r="AQ189" s="3628"/>
      <c r="AR189" s="3628"/>
      <c r="AS189" s="3628"/>
    </row>
    <row r="190" spans="12:45">
      <c r="L190" s="3628"/>
      <c r="M190" s="3628"/>
      <c r="N190" s="3628"/>
      <c r="O190" s="3628"/>
      <c r="P190" s="3628"/>
      <c r="Q190" s="3628"/>
      <c r="R190" s="3628"/>
      <c r="S190" s="3628"/>
      <c r="T190" s="3628"/>
      <c r="U190" s="3628"/>
      <c r="V190" s="3628"/>
      <c r="W190" s="3628"/>
      <c r="X190" s="3628"/>
      <c r="Y190" s="3628"/>
      <c r="Z190" s="3628"/>
      <c r="AA190" s="3628"/>
      <c r="AB190" s="3628"/>
      <c r="AC190" s="3628"/>
      <c r="AD190" s="3628"/>
      <c r="AE190" s="3628"/>
      <c r="AF190" s="3628"/>
      <c r="AG190" s="3628"/>
      <c r="AH190" s="3628"/>
      <c r="AI190" s="3628"/>
      <c r="AJ190" s="3628"/>
      <c r="AK190" s="3628"/>
      <c r="AL190" s="3628"/>
      <c r="AM190" s="3628"/>
      <c r="AN190" s="3628"/>
      <c r="AO190" s="3628"/>
      <c r="AP190" s="3628"/>
      <c r="AQ190" s="3628"/>
      <c r="AR190" s="3628"/>
      <c r="AS190" s="3628"/>
    </row>
    <row r="191" spans="12:45">
      <c r="L191" s="3628"/>
      <c r="M191" s="3628"/>
      <c r="N191" s="3628"/>
      <c r="O191" s="3628"/>
      <c r="P191" s="3628"/>
      <c r="Q191" s="3628"/>
      <c r="R191" s="3628"/>
      <c r="S191" s="3628"/>
      <c r="T191" s="3628"/>
      <c r="U191" s="3628"/>
      <c r="V191" s="3628"/>
      <c r="W191" s="3628"/>
      <c r="X191" s="3628"/>
      <c r="Y191" s="3628"/>
      <c r="Z191" s="3628"/>
      <c r="AA191" s="3628"/>
      <c r="AB191" s="3628"/>
      <c r="AC191" s="3628"/>
      <c r="AD191" s="3628"/>
      <c r="AE191" s="3628"/>
      <c r="AF191" s="3628"/>
      <c r="AG191" s="3628"/>
      <c r="AH191" s="3628"/>
      <c r="AI191" s="3628"/>
      <c r="AJ191" s="3628"/>
      <c r="AK191" s="3628"/>
      <c r="AL191" s="3628"/>
      <c r="AM191" s="3628"/>
      <c r="AN191" s="3628"/>
      <c r="AO191" s="3628"/>
      <c r="AP191" s="3628"/>
      <c r="AQ191" s="3628"/>
      <c r="AR191" s="3628"/>
      <c r="AS191" s="3628"/>
    </row>
    <row r="192" spans="12:45">
      <c r="L192" s="3628"/>
      <c r="M192" s="3628"/>
      <c r="N192" s="3628"/>
      <c r="O192" s="3628"/>
      <c r="P192" s="3628"/>
      <c r="Q192" s="3628"/>
      <c r="R192" s="3628"/>
      <c r="S192" s="3628"/>
      <c r="T192" s="3628"/>
      <c r="U192" s="3628"/>
      <c r="V192" s="3628"/>
      <c r="W192" s="3628"/>
      <c r="X192" s="3628"/>
      <c r="Y192" s="3628"/>
      <c r="Z192" s="3628"/>
      <c r="AA192" s="3628"/>
      <c r="AB192" s="3628"/>
      <c r="AC192" s="3628"/>
      <c r="AD192" s="3628"/>
      <c r="AE192" s="3628"/>
      <c r="AF192" s="3628"/>
      <c r="AG192" s="3628"/>
      <c r="AH192" s="3628"/>
      <c r="AI192" s="3628"/>
      <c r="AJ192" s="3628"/>
      <c r="AK192" s="3628"/>
      <c r="AL192" s="3628"/>
      <c r="AM192" s="3628"/>
      <c r="AN192" s="3628"/>
      <c r="AO192" s="3628"/>
      <c r="AP192" s="3628"/>
      <c r="AQ192" s="3628"/>
      <c r="AR192" s="3628"/>
      <c r="AS192" s="3628"/>
    </row>
    <row r="193" spans="12:45">
      <c r="L193" s="3628"/>
      <c r="M193" s="3628"/>
      <c r="N193" s="3628"/>
      <c r="O193" s="3628"/>
      <c r="P193" s="3628"/>
      <c r="Q193" s="3628"/>
      <c r="R193" s="3628"/>
      <c r="S193" s="3628"/>
      <c r="T193" s="3628"/>
      <c r="U193" s="3628"/>
      <c r="V193" s="3628"/>
      <c r="W193" s="3628"/>
      <c r="X193" s="3628"/>
      <c r="Y193" s="3628"/>
      <c r="Z193" s="3628"/>
      <c r="AA193" s="3628"/>
      <c r="AB193" s="3628"/>
      <c r="AC193" s="3628"/>
      <c r="AD193" s="3628"/>
      <c r="AE193" s="3628"/>
      <c r="AF193" s="3628"/>
      <c r="AG193" s="3628"/>
      <c r="AH193" s="3628"/>
      <c r="AI193" s="3628"/>
      <c r="AJ193" s="3628"/>
      <c r="AK193" s="3628"/>
      <c r="AL193" s="3628"/>
      <c r="AM193" s="3628"/>
      <c r="AN193" s="3628"/>
      <c r="AO193" s="3628"/>
      <c r="AP193" s="3628"/>
      <c r="AQ193" s="3628"/>
      <c r="AR193" s="3628"/>
      <c r="AS193" s="3628"/>
    </row>
    <row r="194" spans="12:45">
      <c r="L194" s="3628"/>
      <c r="M194" s="3628"/>
      <c r="N194" s="3628"/>
      <c r="O194" s="3628"/>
      <c r="P194" s="3628"/>
      <c r="Q194" s="3628"/>
      <c r="R194" s="3628"/>
      <c r="S194" s="3628"/>
      <c r="T194" s="3628"/>
      <c r="U194" s="3628"/>
      <c r="V194" s="3628"/>
      <c r="W194" s="3628"/>
      <c r="X194" s="3628"/>
      <c r="Y194" s="3628"/>
      <c r="Z194" s="3628"/>
      <c r="AA194" s="3628"/>
      <c r="AB194" s="3628"/>
      <c r="AC194" s="3628"/>
      <c r="AD194" s="3628"/>
      <c r="AE194" s="3628"/>
      <c r="AF194" s="3628"/>
      <c r="AG194" s="3628"/>
      <c r="AH194" s="3628"/>
      <c r="AI194" s="3628"/>
      <c r="AJ194" s="3628"/>
      <c r="AK194" s="3628"/>
      <c r="AL194" s="3628"/>
      <c r="AM194" s="3628"/>
      <c r="AN194" s="3628"/>
      <c r="AO194" s="3628"/>
      <c r="AP194" s="3628"/>
      <c r="AQ194" s="3628"/>
      <c r="AR194" s="3628"/>
      <c r="AS194" s="3628"/>
    </row>
    <row r="195" spans="12:45">
      <c r="L195" s="3628"/>
      <c r="M195" s="3628"/>
      <c r="N195" s="3628"/>
      <c r="O195" s="3628"/>
      <c r="P195" s="3628"/>
      <c r="Q195" s="3628"/>
      <c r="R195" s="3628"/>
      <c r="S195" s="3628"/>
      <c r="T195" s="3628"/>
      <c r="U195" s="3628"/>
      <c r="V195" s="3628"/>
      <c r="W195" s="3628"/>
      <c r="X195" s="3628"/>
      <c r="Y195" s="3628"/>
      <c r="Z195" s="3628"/>
      <c r="AA195" s="3628"/>
      <c r="AB195" s="3628"/>
      <c r="AC195" s="3628"/>
      <c r="AD195" s="3628"/>
      <c r="AE195" s="3628"/>
      <c r="AF195" s="3628"/>
      <c r="AG195" s="3628"/>
      <c r="AH195" s="3628"/>
      <c r="AI195" s="3628"/>
      <c r="AJ195" s="3628"/>
      <c r="AK195" s="3628"/>
      <c r="AL195" s="3628"/>
      <c r="AM195" s="3628"/>
      <c r="AN195" s="3628"/>
      <c r="AO195" s="3628"/>
      <c r="AP195" s="3628"/>
      <c r="AQ195" s="3628"/>
      <c r="AR195" s="3628"/>
      <c r="AS195" s="3628"/>
    </row>
    <row r="196" spans="12:45">
      <c r="L196" s="3628"/>
      <c r="M196" s="3628"/>
      <c r="N196" s="3628"/>
      <c r="O196" s="3628"/>
      <c r="P196" s="3628"/>
      <c r="Q196" s="3628"/>
      <c r="R196" s="3628"/>
      <c r="S196" s="3628"/>
      <c r="T196" s="3628"/>
      <c r="U196" s="3628"/>
      <c r="V196" s="3628"/>
      <c r="W196" s="3628"/>
      <c r="X196" s="3628"/>
      <c r="Y196" s="3628"/>
      <c r="Z196" s="3628"/>
      <c r="AA196" s="3628"/>
      <c r="AB196" s="3628"/>
      <c r="AC196" s="3628"/>
      <c r="AD196" s="3628"/>
      <c r="AE196" s="3628"/>
      <c r="AF196" s="3628"/>
      <c r="AG196" s="3628"/>
      <c r="AH196" s="3628"/>
      <c r="AI196" s="3628"/>
      <c r="AJ196" s="3628"/>
      <c r="AK196" s="3628"/>
      <c r="AL196" s="3628"/>
      <c r="AM196" s="3628"/>
      <c r="AN196" s="3628"/>
      <c r="AO196" s="3628"/>
      <c r="AP196" s="3628"/>
      <c r="AQ196" s="3628"/>
      <c r="AR196" s="3628"/>
      <c r="AS196" s="3628"/>
    </row>
    <row r="197" spans="12:45">
      <c r="L197" s="3628"/>
      <c r="M197" s="3628"/>
      <c r="N197" s="3628"/>
      <c r="O197" s="3628"/>
      <c r="P197" s="3628"/>
      <c r="Q197" s="3628"/>
      <c r="R197" s="3628"/>
      <c r="S197" s="3628"/>
      <c r="T197" s="3628"/>
      <c r="U197" s="3628"/>
      <c r="V197" s="3628"/>
      <c r="W197" s="3628"/>
      <c r="X197" s="3628"/>
      <c r="Y197" s="3628"/>
      <c r="Z197" s="3628"/>
      <c r="AA197" s="3628"/>
      <c r="AB197" s="3628"/>
      <c r="AC197" s="3628"/>
      <c r="AD197" s="3628"/>
      <c r="AE197" s="3628"/>
      <c r="AF197" s="3628"/>
      <c r="AG197" s="3628"/>
      <c r="AH197" s="3628"/>
      <c r="AI197" s="3628"/>
      <c r="AJ197" s="3628"/>
      <c r="AK197" s="3628"/>
      <c r="AL197" s="3628"/>
      <c r="AM197" s="3628"/>
      <c r="AN197" s="3628"/>
      <c r="AO197" s="3628"/>
      <c r="AP197" s="3628"/>
      <c r="AQ197" s="3628"/>
      <c r="AR197" s="3628"/>
      <c r="AS197" s="3628"/>
    </row>
    <row r="198" spans="12:45">
      <c r="L198" s="3628"/>
      <c r="M198" s="3628"/>
      <c r="N198" s="3628"/>
      <c r="O198" s="3628"/>
      <c r="P198" s="3628"/>
      <c r="Q198" s="3628"/>
      <c r="R198" s="3628"/>
      <c r="S198" s="3628"/>
      <c r="T198" s="3628"/>
      <c r="U198" s="3628"/>
      <c r="V198" s="3628"/>
      <c r="W198" s="3628"/>
      <c r="X198" s="3628"/>
      <c r="Y198" s="3628"/>
      <c r="Z198" s="3628"/>
      <c r="AA198" s="3628"/>
      <c r="AB198" s="3628"/>
      <c r="AC198" s="3628"/>
      <c r="AD198" s="3628"/>
      <c r="AE198" s="3628"/>
      <c r="AF198" s="3628"/>
      <c r="AG198" s="3628"/>
      <c r="AH198" s="3628"/>
      <c r="AI198" s="3628"/>
      <c r="AJ198" s="3628"/>
      <c r="AK198" s="3628"/>
      <c r="AL198" s="3628"/>
      <c r="AM198" s="3628"/>
      <c r="AN198" s="3628"/>
      <c r="AO198" s="3628"/>
      <c r="AP198" s="3628"/>
      <c r="AQ198" s="3628"/>
      <c r="AR198" s="3628"/>
      <c r="AS198" s="3628"/>
    </row>
    <row r="199" spans="12:45">
      <c r="L199" s="3628"/>
      <c r="M199" s="3628"/>
      <c r="N199" s="3628"/>
      <c r="O199" s="3628"/>
      <c r="P199" s="3628"/>
      <c r="Q199" s="3628"/>
      <c r="R199" s="3628"/>
      <c r="S199" s="3628"/>
      <c r="T199" s="3628"/>
      <c r="U199" s="3628"/>
      <c r="V199" s="3628"/>
      <c r="W199" s="3628"/>
      <c r="X199" s="3628"/>
      <c r="Y199" s="3628"/>
      <c r="Z199" s="3628"/>
      <c r="AA199" s="3628"/>
      <c r="AB199" s="3628"/>
      <c r="AC199" s="3628"/>
      <c r="AD199" s="3628"/>
      <c r="AE199" s="3628"/>
      <c r="AF199" s="3628"/>
      <c r="AG199" s="3628"/>
      <c r="AH199" s="3628"/>
      <c r="AI199" s="3628"/>
      <c r="AJ199" s="3628"/>
      <c r="AK199" s="3628"/>
      <c r="AL199" s="3628"/>
      <c r="AM199" s="3628"/>
      <c r="AN199" s="3628"/>
      <c r="AO199" s="3628"/>
      <c r="AP199" s="3628"/>
      <c r="AQ199" s="3628"/>
      <c r="AR199" s="3628"/>
      <c r="AS199" s="3628"/>
    </row>
    <row r="200" spans="12:45">
      <c r="L200" s="3628"/>
      <c r="M200" s="3628"/>
      <c r="N200" s="3628"/>
      <c r="O200" s="3628"/>
      <c r="P200" s="3628"/>
      <c r="Q200" s="3628"/>
      <c r="R200" s="3628"/>
      <c r="S200" s="3628"/>
      <c r="T200" s="3628"/>
      <c r="U200" s="3628"/>
      <c r="V200" s="3628"/>
      <c r="W200" s="3628"/>
      <c r="X200" s="3628"/>
      <c r="Y200" s="3628"/>
      <c r="Z200" s="3628"/>
      <c r="AA200" s="3628"/>
      <c r="AB200" s="3628"/>
      <c r="AC200" s="3628"/>
      <c r="AD200" s="3628"/>
      <c r="AE200" s="3628"/>
      <c r="AF200" s="3628"/>
      <c r="AG200" s="3628"/>
      <c r="AH200" s="3628"/>
      <c r="AI200" s="3628"/>
      <c r="AJ200" s="3628"/>
      <c r="AK200" s="3628"/>
      <c r="AL200" s="3628"/>
      <c r="AM200" s="3628"/>
      <c r="AN200" s="3628"/>
      <c r="AO200" s="3628"/>
      <c r="AP200" s="3628"/>
      <c r="AQ200" s="3628"/>
      <c r="AR200" s="3628"/>
      <c r="AS200" s="3628"/>
    </row>
    <row r="201" spans="12:45">
      <c r="L201" s="3628"/>
      <c r="M201" s="3628"/>
      <c r="N201" s="3628"/>
      <c r="O201" s="3628"/>
      <c r="P201" s="3628"/>
      <c r="Q201" s="3628"/>
      <c r="R201" s="3628"/>
      <c r="S201" s="3628"/>
      <c r="T201" s="3628"/>
      <c r="U201" s="3628"/>
      <c r="V201" s="3628"/>
      <c r="W201" s="3628"/>
      <c r="X201" s="3628"/>
      <c r="Y201" s="3628"/>
      <c r="Z201" s="3628"/>
      <c r="AA201" s="3628"/>
      <c r="AB201" s="3628"/>
      <c r="AC201" s="3628"/>
      <c r="AD201" s="3628"/>
      <c r="AE201" s="3628"/>
      <c r="AF201" s="3628"/>
      <c r="AG201" s="3628"/>
      <c r="AH201" s="3628"/>
      <c r="AI201" s="3628"/>
      <c r="AJ201" s="3628"/>
      <c r="AK201" s="3628"/>
      <c r="AL201" s="3628"/>
      <c r="AM201" s="3628"/>
      <c r="AN201" s="3628"/>
      <c r="AO201" s="3628"/>
      <c r="AP201" s="3628"/>
      <c r="AQ201" s="3628"/>
      <c r="AR201" s="3628"/>
      <c r="AS201" s="3628"/>
    </row>
    <row r="202" spans="12:45">
      <c r="L202" s="3628"/>
      <c r="M202" s="3628"/>
      <c r="N202" s="3628"/>
      <c r="O202" s="3628"/>
      <c r="P202" s="3628"/>
      <c r="Q202" s="3628"/>
      <c r="R202" s="3628"/>
      <c r="S202" s="3628"/>
      <c r="T202" s="3628"/>
      <c r="U202" s="3628"/>
      <c r="V202" s="3628"/>
      <c r="W202" s="3628"/>
      <c r="X202" s="3628"/>
      <c r="Y202" s="3628"/>
      <c r="Z202" s="3628"/>
      <c r="AA202" s="3628"/>
      <c r="AB202" s="3628"/>
      <c r="AC202" s="3628"/>
      <c r="AD202" s="3628"/>
      <c r="AE202" s="3628"/>
      <c r="AF202" s="3628"/>
      <c r="AG202" s="3628"/>
      <c r="AH202" s="3628"/>
      <c r="AI202" s="3628"/>
      <c r="AJ202" s="3628"/>
      <c r="AK202" s="3628"/>
      <c r="AL202" s="3628"/>
      <c r="AM202" s="3628"/>
      <c r="AN202" s="3628"/>
      <c r="AO202" s="3628"/>
      <c r="AP202" s="3628"/>
      <c r="AQ202" s="3628"/>
      <c r="AR202" s="3628"/>
      <c r="AS202" s="3628"/>
    </row>
    <row r="203" spans="12:45">
      <c r="L203" s="3628"/>
      <c r="M203" s="3628"/>
      <c r="N203" s="3628"/>
      <c r="O203" s="3628"/>
      <c r="P203" s="3628"/>
      <c r="Q203" s="3628"/>
      <c r="R203" s="3628"/>
      <c r="S203" s="3628"/>
      <c r="T203" s="3628"/>
      <c r="U203" s="3628"/>
      <c r="V203" s="3628"/>
      <c r="W203" s="3628"/>
      <c r="X203" s="3628"/>
      <c r="Y203" s="3628"/>
      <c r="Z203" s="3628"/>
      <c r="AA203" s="3628"/>
      <c r="AB203" s="3628"/>
      <c r="AC203" s="3628"/>
      <c r="AD203" s="3628"/>
      <c r="AE203" s="3628"/>
      <c r="AF203" s="3628"/>
      <c r="AG203" s="3628"/>
      <c r="AH203" s="3628"/>
      <c r="AI203" s="3628"/>
      <c r="AJ203" s="3628"/>
      <c r="AK203" s="3628"/>
      <c r="AL203" s="3628"/>
      <c r="AM203" s="3628"/>
      <c r="AN203" s="3628"/>
      <c r="AO203" s="3628"/>
      <c r="AP203" s="3628"/>
      <c r="AQ203" s="3628"/>
      <c r="AR203" s="3628"/>
      <c r="AS203" s="3628"/>
    </row>
    <row r="204" spans="12:45">
      <c r="L204" s="3628"/>
      <c r="M204" s="3628"/>
      <c r="N204" s="3628"/>
      <c r="O204" s="3628"/>
      <c r="P204" s="3628"/>
      <c r="Q204" s="3628"/>
      <c r="R204" s="3628"/>
      <c r="S204" s="3628"/>
      <c r="T204" s="3628"/>
      <c r="U204" s="3628"/>
      <c r="V204" s="3628"/>
      <c r="W204" s="3628"/>
      <c r="X204" s="3628"/>
      <c r="Y204" s="3628"/>
      <c r="Z204" s="3628"/>
      <c r="AA204" s="3628"/>
      <c r="AB204" s="3628"/>
      <c r="AC204" s="3628"/>
      <c r="AD204" s="3628"/>
      <c r="AE204" s="3628"/>
      <c r="AF204" s="3628"/>
      <c r="AG204" s="3628"/>
      <c r="AH204" s="3628"/>
      <c r="AI204" s="3628"/>
      <c r="AJ204" s="3628"/>
      <c r="AK204" s="3628"/>
      <c r="AL204" s="3628"/>
      <c r="AM204" s="3628"/>
      <c r="AN204" s="3628"/>
      <c r="AO204" s="3628"/>
      <c r="AP204" s="3628"/>
      <c r="AQ204" s="3628"/>
      <c r="AR204" s="3628"/>
      <c r="AS204" s="3628"/>
    </row>
    <row r="205" spans="12:45">
      <c r="L205" s="3628"/>
      <c r="M205" s="3628"/>
      <c r="N205" s="3628"/>
      <c r="O205" s="3628"/>
      <c r="P205" s="3628"/>
      <c r="Q205" s="3628"/>
      <c r="R205" s="3628"/>
      <c r="S205" s="3628"/>
      <c r="T205" s="3628"/>
      <c r="U205" s="3628"/>
      <c r="V205" s="3628"/>
      <c r="W205" s="3628"/>
      <c r="X205" s="3628"/>
      <c r="Y205" s="3628"/>
      <c r="Z205" s="3628"/>
      <c r="AA205" s="3628"/>
      <c r="AB205" s="3628"/>
      <c r="AC205" s="3628"/>
      <c r="AD205" s="3628"/>
      <c r="AE205" s="3628"/>
      <c r="AF205" s="3628"/>
      <c r="AG205" s="3628"/>
      <c r="AH205" s="3628"/>
      <c r="AI205" s="3628"/>
      <c r="AJ205" s="3628"/>
      <c r="AK205" s="3628"/>
      <c r="AL205" s="3628"/>
      <c r="AM205" s="3628"/>
      <c r="AN205" s="3628"/>
      <c r="AO205" s="3628"/>
      <c r="AP205" s="3628"/>
      <c r="AQ205" s="3628"/>
      <c r="AR205" s="3628"/>
      <c r="AS205" s="3628"/>
    </row>
    <row r="206" spans="12:45">
      <c r="L206" s="3628"/>
      <c r="M206" s="3628"/>
      <c r="N206" s="3628"/>
      <c r="O206" s="3628"/>
      <c r="P206" s="3628"/>
      <c r="Q206" s="3628"/>
      <c r="R206" s="3628"/>
      <c r="S206" s="3628"/>
      <c r="T206" s="3628"/>
      <c r="U206" s="3628"/>
      <c r="V206" s="3628"/>
      <c r="W206" s="3628"/>
      <c r="X206" s="3628"/>
      <c r="Y206" s="3628"/>
      <c r="Z206" s="3628"/>
      <c r="AA206" s="3628"/>
      <c r="AB206" s="3628"/>
      <c r="AC206" s="3628"/>
      <c r="AD206" s="3628"/>
      <c r="AE206" s="3628"/>
      <c r="AF206" s="3628"/>
      <c r="AG206" s="3628"/>
      <c r="AH206" s="3628"/>
      <c r="AI206" s="3628"/>
      <c r="AJ206" s="3628"/>
      <c r="AK206" s="3628"/>
      <c r="AL206" s="3628"/>
      <c r="AM206" s="3628"/>
      <c r="AN206" s="3628"/>
      <c r="AO206" s="3628"/>
      <c r="AP206" s="3628"/>
      <c r="AQ206" s="3628"/>
      <c r="AR206" s="3628"/>
      <c r="AS206" s="3628"/>
    </row>
    <row r="207" spans="12:45">
      <c r="L207" s="3628"/>
      <c r="M207" s="3628"/>
      <c r="N207" s="3628"/>
      <c r="O207" s="3628"/>
      <c r="P207" s="3628"/>
      <c r="Q207" s="3628"/>
      <c r="R207" s="3628"/>
      <c r="S207" s="3628"/>
      <c r="T207" s="3628"/>
      <c r="U207" s="3628"/>
      <c r="V207" s="3628"/>
      <c r="W207" s="3628"/>
      <c r="X207" s="3628"/>
      <c r="Y207" s="3628"/>
      <c r="Z207" s="3628"/>
      <c r="AA207" s="3628"/>
      <c r="AB207" s="3628"/>
      <c r="AC207" s="3628"/>
      <c r="AD207" s="3628"/>
      <c r="AE207" s="3628"/>
      <c r="AF207" s="3628"/>
      <c r="AG207" s="3628"/>
      <c r="AH207" s="3628"/>
      <c r="AI207" s="3628"/>
      <c r="AJ207" s="3628"/>
      <c r="AK207" s="3628"/>
      <c r="AL207" s="3628"/>
      <c r="AM207" s="3628"/>
      <c r="AN207" s="3628"/>
      <c r="AO207" s="3628"/>
      <c r="AP207" s="3628"/>
      <c r="AQ207" s="3628"/>
      <c r="AR207" s="3628"/>
      <c r="AS207" s="3628"/>
    </row>
    <row r="208" spans="12:45">
      <c r="L208" s="3628"/>
      <c r="M208" s="3628"/>
      <c r="N208" s="3628"/>
      <c r="O208" s="3628"/>
      <c r="P208" s="3628"/>
      <c r="Q208" s="3628"/>
      <c r="R208" s="3628"/>
      <c r="S208" s="3628"/>
      <c r="T208" s="3628"/>
      <c r="U208" s="3628"/>
      <c r="V208" s="3628"/>
      <c r="W208" s="3628"/>
      <c r="X208" s="3628"/>
      <c r="Y208" s="3628"/>
      <c r="Z208" s="3628"/>
      <c r="AA208" s="3628"/>
      <c r="AB208" s="3628"/>
      <c r="AC208" s="3628"/>
      <c r="AD208" s="3628"/>
      <c r="AE208" s="3628"/>
      <c r="AF208" s="3628"/>
      <c r="AG208" s="3628"/>
      <c r="AH208" s="3628"/>
      <c r="AI208" s="3628"/>
      <c r="AJ208" s="3628"/>
      <c r="AK208" s="3628"/>
      <c r="AL208" s="3628"/>
      <c r="AM208" s="3628"/>
      <c r="AN208" s="3628"/>
      <c r="AO208" s="3628"/>
      <c r="AP208" s="3628"/>
      <c r="AQ208" s="3628"/>
      <c r="AR208" s="3628"/>
      <c r="AS208" s="3628"/>
    </row>
    <row r="209" spans="12:45">
      <c r="L209" s="3628"/>
      <c r="M209" s="3628"/>
      <c r="N209" s="3628"/>
      <c r="O209" s="3628"/>
      <c r="P209" s="3628"/>
      <c r="Q209" s="3628"/>
      <c r="R209" s="3628"/>
      <c r="S209" s="3628"/>
      <c r="T209" s="3628"/>
      <c r="U209" s="3628"/>
      <c r="V209" s="3628"/>
      <c r="W209" s="3628"/>
      <c r="X209" s="3628"/>
      <c r="Y209" s="3628"/>
      <c r="Z209" s="3628"/>
      <c r="AA209" s="3628"/>
      <c r="AB209" s="3628"/>
      <c r="AC209" s="3628"/>
      <c r="AD209" s="3628"/>
      <c r="AE209" s="3628"/>
      <c r="AF209" s="3628"/>
      <c r="AG209" s="3628"/>
      <c r="AH209" s="3628"/>
      <c r="AI209" s="3628"/>
      <c r="AJ209" s="3628"/>
      <c r="AK209" s="3628"/>
      <c r="AL209" s="3628"/>
      <c r="AM209" s="3628"/>
      <c r="AN209" s="3628"/>
      <c r="AO209" s="3628"/>
      <c r="AP209" s="3628"/>
      <c r="AQ209" s="3628"/>
      <c r="AR209" s="3628"/>
      <c r="AS209" s="3628"/>
    </row>
    <row r="210" spans="12:45">
      <c r="L210" s="3628"/>
      <c r="M210" s="3628"/>
      <c r="N210" s="3628"/>
      <c r="O210" s="3628"/>
      <c r="P210" s="3628"/>
      <c r="Q210" s="3628"/>
      <c r="R210" s="3628"/>
      <c r="S210" s="3628"/>
      <c r="T210" s="3628"/>
      <c r="U210" s="3628"/>
      <c r="V210" s="3628"/>
      <c r="W210" s="3628"/>
      <c r="X210" s="3628"/>
      <c r="Y210" s="3628"/>
      <c r="Z210" s="3628"/>
      <c r="AA210" s="3628"/>
      <c r="AB210" s="3628"/>
      <c r="AC210" s="3628"/>
      <c r="AD210" s="3628"/>
      <c r="AE210" s="3628"/>
      <c r="AF210" s="3628"/>
      <c r="AG210" s="3628"/>
      <c r="AH210" s="3628"/>
      <c r="AI210" s="3628"/>
      <c r="AJ210" s="3628"/>
      <c r="AK210" s="3628"/>
      <c r="AL210" s="3628"/>
      <c r="AM210" s="3628"/>
      <c r="AN210" s="3628"/>
      <c r="AO210" s="3628"/>
      <c r="AP210" s="3628"/>
      <c r="AQ210" s="3628"/>
      <c r="AR210" s="3628"/>
      <c r="AS210" s="3628"/>
    </row>
    <row r="211" spans="12:45">
      <c r="L211" s="3628"/>
      <c r="M211" s="3628"/>
      <c r="N211" s="3628"/>
      <c r="O211" s="3628"/>
      <c r="P211" s="3628"/>
      <c r="Q211" s="3628"/>
      <c r="R211" s="3628"/>
      <c r="S211" s="3628"/>
      <c r="T211" s="3628"/>
      <c r="U211" s="3628"/>
      <c r="V211" s="3628"/>
      <c r="W211" s="3628"/>
      <c r="X211" s="3628"/>
      <c r="Y211" s="3628"/>
      <c r="Z211" s="3628"/>
      <c r="AA211" s="3628"/>
      <c r="AB211" s="3628"/>
      <c r="AC211" s="3628"/>
      <c r="AD211" s="3628"/>
      <c r="AE211" s="3628"/>
      <c r="AF211" s="3628"/>
      <c r="AG211" s="3628"/>
      <c r="AH211" s="3628"/>
      <c r="AI211" s="3628"/>
      <c r="AJ211" s="3628"/>
      <c r="AK211" s="3628"/>
      <c r="AL211" s="3628"/>
      <c r="AM211" s="3628"/>
      <c r="AN211" s="3628"/>
      <c r="AO211" s="3628"/>
      <c r="AP211" s="3628"/>
      <c r="AQ211" s="3628"/>
      <c r="AR211" s="3628"/>
      <c r="AS211" s="3628"/>
    </row>
    <row r="212" spans="12:45">
      <c r="L212" s="3628"/>
      <c r="M212" s="3628"/>
      <c r="N212" s="3628"/>
      <c r="O212" s="3628"/>
      <c r="P212" s="3628"/>
      <c r="Q212" s="3628"/>
      <c r="R212" s="3628"/>
      <c r="S212" s="3628"/>
      <c r="T212" s="3628"/>
      <c r="U212" s="3628"/>
      <c r="V212" s="3628"/>
      <c r="W212" s="3628"/>
      <c r="X212" s="3628"/>
      <c r="Y212" s="3628"/>
      <c r="Z212" s="3628"/>
      <c r="AA212" s="3628"/>
      <c r="AB212" s="3628"/>
      <c r="AC212" s="3628"/>
      <c r="AD212" s="3628"/>
      <c r="AE212" s="3628"/>
      <c r="AF212" s="3628"/>
      <c r="AG212" s="3628"/>
      <c r="AH212" s="3628"/>
      <c r="AI212" s="3628"/>
      <c r="AJ212" s="3628"/>
      <c r="AK212" s="3628"/>
      <c r="AL212" s="3628"/>
      <c r="AM212" s="3628"/>
      <c r="AN212" s="3628"/>
      <c r="AO212" s="3628"/>
      <c r="AP212" s="3628"/>
      <c r="AQ212" s="3628"/>
      <c r="AR212" s="3628"/>
      <c r="AS212" s="3628"/>
    </row>
    <row r="213" spans="12:45">
      <c r="L213" s="3628"/>
      <c r="M213" s="3628"/>
      <c r="N213" s="3628"/>
      <c r="O213" s="3628"/>
      <c r="P213" s="3628"/>
      <c r="Q213" s="3628"/>
      <c r="R213" s="3628"/>
      <c r="S213" s="3628"/>
      <c r="T213" s="3628"/>
      <c r="U213" s="3628"/>
      <c r="V213" s="3628"/>
      <c r="W213" s="3628"/>
      <c r="X213" s="3628"/>
      <c r="Y213" s="3628"/>
      <c r="Z213" s="3628"/>
      <c r="AA213" s="3628"/>
      <c r="AB213" s="3628"/>
      <c r="AC213" s="3628"/>
      <c r="AD213" s="3628"/>
      <c r="AE213" s="3628"/>
      <c r="AF213" s="3628"/>
      <c r="AG213" s="3628"/>
      <c r="AH213" s="3628"/>
      <c r="AI213" s="3628"/>
      <c r="AJ213" s="3628"/>
      <c r="AK213" s="3628"/>
      <c r="AL213" s="3628"/>
      <c r="AM213" s="3628"/>
      <c r="AN213" s="3628"/>
      <c r="AO213" s="3628"/>
      <c r="AP213" s="3628"/>
      <c r="AQ213" s="3628"/>
      <c r="AR213" s="3628"/>
      <c r="AS213" s="3628"/>
    </row>
    <row r="214" spans="12:45">
      <c r="L214" s="3628"/>
      <c r="M214" s="3628"/>
      <c r="N214" s="3628"/>
      <c r="O214" s="3628"/>
      <c r="P214" s="3628"/>
      <c r="Q214" s="3628"/>
      <c r="R214" s="3628"/>
      <c r="S214" s="3628"/>
      <c r="T214" s="3628"/>
      <c r="U214" s="3628"/>
      <c r="V214" s="3628"/>
      <c r="W214" s="3628"/>
      <c r="X214" s="3628"/>
      <c r="Y214" s="3628"/>
      <c r="Z214" s="3628"/>
      <c r="AA214" s="3628"/>
      <c r="AB214" s="3628"/>
      <c r="AC214" s="3628"/>
      <c r="AD214" s="3628"/>
      <c r="AE214" s="3628"/>
      <c r="AF214" s="3628"/>
      <c r="AG214" s="3628"/>
      <c r="AH214" s="3628"/>
      <c r="AI214" s="3628"/>
      <c r="AJ214" s="3628"/>
      <c r="AK214" s="3628"/>
      <c r="AL214" s="3628"/>
      <c r="AM214" s="3628"/>
      <c r="AN214" s="3628"/>
      <c r="AO214" s="3628"/>
      <c r="AP214" s="3628"/>
      <c r="AQ214" s="3628"/>
      <c r="AR214" s="3628"/>
      <c r="AS214" s="3628"/>
    </row>
    <row r="215" spans="12:45">
      <c r="L215" s="3628"/>
      <c r="M215" s="3628"/>
      <c r="N215" s="3628"/>
      <c r="O215" s="3628"/>
      <c r="P215" s="3628"/>
      <c r="Q215" s="3628"/>
      <c r="R215" s="3628"/>
      <c r="S215" s="3628"/>
      <c r="T215" s="3628"/>
      <c r="U215" s="3628"/>
      <c r="V215" s="3628"/>
      <c r="W215" s="3628"/>
      <c r="X215" s="3628"/>
      <c r="Y215" s="3628"/>
      <c r="Z215" s="3628"/>
      <c r="AA215" s="3628"/>
      <c r="AB215" s="3628"/>
      <c r="AC215" s="3628"/>
      <c r="AD215" s="3628"/>
      <c r="AE215" s="3628"/>
      <c r="AF215" s="3628"/>
      <c r="AG215" s="3628"/>
      <c r="AH215" s="3628"/>
      <c r="AI215" s="3628"/>
      <c r="AJ215" s="3628"/>
      <c r="AK215" s="3628"/>
      <c r="AL215" s="3628"/>
      <c r="AM215" s="3628"/>
      <c r="AN215" s="3628"/>
      <c r="AO215" s="3628"/>
      <c r="AP215" s="3628"/>
      <c r="AQ215" s="3628"/>
      <c r="AR215" s="3628"/>
      <c r="AS215" s="3628"/>
    </row>
    <row r="216" spans="12:45">
      <c r="L216" s="3628"/>
      <c r="M216" s="3628"/>
      <c r="N216" s="3628"/>
      <c r="O216" s="3628"/>
      <c r="P216" s="3628"/>
      <c r="Q216" s="3628"/>
      <c r="R216" s="3628"/>
      <c r="S216" s="3628"/>
      <c r="T216" s="3628"/>
      <c r="U216" s="3628"/>
      <c r="V216" s="3628"/>
      <c r="W216" s="3628"/>
      <c r="X216" s="3628"/>
      <c r="Y216" s="3628"/>
      <c r="Z216" s="3628"/>
      <c r="AA216" s="3628"/>
      <c r="AB216" s="3628"/>
      <c r="AC216" s="3628"/>
      <c r="AD216" s="3628"/>
      <c r="AE216" s="3628"/>
      <c r="AF216" s="3628"/>
      <c r="AG216" s="3628"/>
      <c r="AH216" s="3628"/>
      <c r="AI216" s="3628"/>
      <c r="AJ216" s="3628"/>
      <c r="AK216" s="3628"/>
      <c r="AL216" s="3628"/>
      <c r="AM216" s="3628"/>
      <c r="AN216" s="3628"/>
      <c r="AO216" s="3628"/>
      <c r="AP216" s="3628"/>
      <c r="AQ216" s="3628"/>
      <c r="AR216" s="3628"/>
      <c r="AS216" s="3628"/>
    </row>
    <row r="217" spans="12:45">
      <c r="L217" s="3628"/>
      <c r="M217" s="3628"/>
      <c r="N217" s="3628"/>
      <c r="O217" s="3628"/>
      <c r="P217" s="3628"/>
      <c r="Q217" s="3628"/>
      <c r="R217" s="3628"/>
      <c r="S217" s="3628"/>
      <c r="T217" s="3628"/>
      <c r="U217" s="3628"/>
      <c r="V217" s="3628"/>
      <c r="W217" s="3628"/>
      <c r="X217" s="3628"/>
      <c r="Y217" s="3628"/>
      <c r="Z217" s="3628"/>
      <c r="AA217" s="3628"/>
      <c r="AB217" s="3628"/>
      <c r="AC217" s="3628"/>
      <c r="AD217" s="3628"/>
      <c r="AE217" s="3628"/>
      <c r="AF217" s="3628"/>
      <c r="AG217" s="3628"/>
      <c r="AH217" s="3628"/>
      <c r="AI217" s="3628"/>
      <c r="AJ217" s="3628"/>
      <c r="AK217" s="3628"/>
      <c r="AL217" s="3628"/>
      <c r="AM217" s="3628"/>
      <c r="AN217" s="3628"/>
      <c r="AO217" s="3628"/>
      <c r="AP217" s="3628"/>
      <c r="AQ217" s="3628"/>
      <c r="AR217" s="3628"/>
      <c r="AS217" s="3628"/>
    </row>
    <row r="218" spans="12:45">
      <c r="L218" s="3628"/>
      <c r="M218" s="3628"/>
      <c r="N218" s="3628"/>
      <c r="O218" s="3628"/>
      <c r="P218" s="3628"/>
      <c r="Q218" s="3628"/>
      <c r="R218" s="3628"/>
      <c r="S218" s="3628"/>
      <c r="T218" s="3628"/>
      <c r="U218" s="3628"/>
      <c r="V218" s="3628"/>
      <c r="W218" s="3628"/>
      <c r="X218" s="3628"/>
      <c r="Y218" s="3628"/>
      <c r="Z218" s="3628"/>
      <c r="AA218" s="3628"/>
      <c r="AB218" s="3628"/>
      <c r="AC218" s="3628"/>
      <c r="AD218" s="3628"/>
      <c r="AE218" s="3628"/>
      <c r="AF218" s="3628"/>
      <c r="AG218" s="3628"/>
      <c r="AH218" s="3628"/>
      <c r="AI218" s="3628"/>
      <c r="AJ218" s="3628"/>
      <c r="AK218" s="3628"/>
      <c r="AL218" s="3628"/>
      <c r="AM218" s="3628"/>
      <c r="AN218" s="3628"/>
      <c r="AO218" s="3628"/>
      <c r="AP218" s="3628"/>
      <c r="AQ218" s="3628"/>
      <c r="AR218" s="3628"/>
      <c r="AS218" s="3628"/>
    </row>
    <row r="219" spans="12:45">
      <c r="L219" s="3628"/>
      <c r="M219" s="3628"/>
      <c r="N219" s="3628"/>
      <c r="O219" s="3628"/>
      <c r="P219" s="3628"/>
      <c r="Q219" s="3628"/>
      <c r="R219" s="3628"/>
      <c r="S219" s="3628"/>
      <c r="T219" s="3628"/>
      <c r="U219" s="3628"/>
      <c r="V219" s="3628"/>
      <c r="W219" s="3628"/>
      <c r="X219" s="3628"/>
      <c r="Y219" s="3628"/>
      <c r="Z219" s="3628"/>
      <c r="AA219" s="3628"/>
      <c r="AB219" s="3628"/>
      <c r="AC219" s="3628"/>
      <c r="AD219" s="3628"/>
      <c r="AE219" s="3628"/>
      <c r="AF219" s="3628"/>
      <c r="AG219" s="3628"/>
      <c r="AH219" s="3628"/>
      <c r="AI219" s="3628"/>
      <c r="AJ219" s="3628"/>
      <c r="AK219" s="3628"/>
      <c r="AL219" s="3628"/>
      <c r="AM219" s="3628"/>
      <c r="AN219" s="3628"/>
      <c r="AO219" s="3628"/>
      <c r="AP219" s="3628"/>
      <c r="AQ219" s="3628"/>
      <c r="AR219" s="3628"/>
      <c r="AS219" s="3628"/>
    </row>
    <row r="220" spans="12:45">
      <c r="L220" s="3628"/>
      <c r="M220" s="3628"/>
      <c r="N220" s="3628"/>
      <c r="O220" s="3628"/>
      <c r="P220" s="3628"/>
      <c r="Q220" s="3628"/>
      <c r="R220" s="3628"/>
      <c r="S220" s="3628"/>
      <c r="T220" s="3628"/>
      <c r="U220" s="3628"/>
      <c r="V220" s="3628"/>
      <c r="W220" s="3628"/>
      <c r="X220" s="3628"/>
      <c r="Y220" s="3628"/>
      <c r="Z220" s="3628"/>
      <c r="AA220" s="3628"/>
      <c r="AB220" s="3628"/>
      <c r="AC220" s="3628"/>
      <c r="AD220" s="3628"/>
      <c r="AE220" s="3628"/>
      <c r="AF220" s="3628"/>
      <c r="AG220" s="3628"/>
      <c r="AH220" s="3628"/>
      <c r="AI220" s="3628"/>
      <c r="AJ220" s="3628"/>
      <c r="AK220" s="3628"/>
      <c r="AL220" s="3628"/>
      <c r="AM220" s="3628"/>
      <c r="AN220" s="3628"/>
      <c r="AO220" s="3628"/>
      <c r="AP220" s="3628"/>
      <c r="AQ220" s="3628"/>
      <c r="AR220" s="3628"/>
      <c r="AS220" s="3628"/>
    </row>
    <row r="221" spans="12:45">
      <c r="L221" s="3628"/>
      <c r="M221" s="3628"/>
      <c r="N221" s="3628"/>
      <c r="O221" s="3628"/>
      <c r="P221" s="3628"/>
      <c r="Q221" s="3628"/>
      <c r="R221" s="3628"/>
      <c r="S221" s="3628"/>
      <c r="T221" s="3628"/>
      <c r="U221" s="3628"/>
      <c r="V221" s="3628"/>
      <c r="W221" s="3628"/>
      <c r="X221" s="3628"/>
      <c r="Y221" s="3628"/>
      <c r="Z221" s="3628"/>
      <c r="AA221" s="3628"/>
      <c r="AB221" s="3628"/>
      <c r="AC221" s="3628"/>
      <c r="AD221" s="3628"/>
      <c r="AE221" s="3628"/>
      <c r="AF221" s="3628"/>
      <c r="AG221" s="3628"/>
      <c r="AH221" s="3628"/>
      <c r="AI221" s="3628"/>
      <c r="AJ221" s="3628"/>
      <c r="AK221" s="3628"/>
      <c r="AL221" s="3628"/>
      <c r="AM221" s="3628"/>
      <c r="AN221" s="3628"/>
      <c r="AO221" s="3628"/>
      <c r="AP221" s="3628"/>
      <c r="AQ221" s="3628"/>
      <c r="AR221" s="3628"/>
      <c r="AS221" s="3628"/>
    </row>
    <row r="222" spans="12:45">
      <c r="L222" s="3628"/>
      <c r="M222" s="3628"/>
      <c r="N222" s="3628"/>
      <c r="O222" s="3628"/>
      <c r="P222" s="3628"/>
      <c r="Q222" s="3628"/>
      <c r="R222" s="3628"/>
      <c r="S222" s="3628"/>
      <c r="T222" s="3628"/>
      <c r="U222" s="3628"/>
      <c r="V222" s="3628"/>
      <c r="W222" s="3628"/>
      <c r="X222" s="3628"/>
      <c r="Y222" s="3628"/>
      <c r="Z222" s="3628"/>
      <c r="AA222" s="3628"/>
      <c r="AB222" s="3628"/>
      <c r="AC222" s="3628"/>
      <c r="AD222" s="3628"/>
      <c r="AE222" s="3628"/>
      <c r="AF222" s="3628"/>
      <c r="AG222" s="3628"/>
      <c r="AH222" s="3628"/>
      <c r="AI222" s="3628"/>
      <c r="AJ222" s="3628"/>
      <c r="AK222" s="3628"/>
      <c r="AL222" s="3628"/>
      <c r="AM222" s="3628"/>
      <c r="AN222" s="3628"/>
      <c r="AO222" s="3628"/>
      <c r="AP222" s="3628"/>
      <c r="AQ222" s="3628"/>
      <c r="AR222" s="3628"/>
      <c r="AS222" s="3628"/>
    </row>
    <row r="223" spans="12:45">
      <c r="L223" s="3628"/>
      <c r="M223" s="3628"/>
      <c r="N223" s="3628"/>
      <c r="O223" s="3628"/>
      <c r="P223" s="3628"/>
      <c r="Q223" s="3628"/>
      <c r="R223" s="3628"/>
      <c r="S223" s="3628"/>
      <c r="T223" s="3628"/>
      <c r="U223" s="3628"/>
      <c r="V223" s="3628"/>
      <c r="W223" s="3628"/>
      <c r="X223" s="3628"/>
      <c r="Y223" s="3628"/>
      <c r="Z223" s="3628"/>
      <c r="AA223" s="3628"/>
      <c r="AB223" s="3628"/>
      <c r="AC223" s="3628"/>
      <c r="AD223" s="3628"/>
      <c r="AE223" s="3628"/>
      <c r="AF223" s="3628"/>
      <c r="AG223" s="3628"/>
      <c r="AH223" s="3628"/>
      <c r="AI223" s="3628"/>
      <c r="AJ223" s="3628"/>
      <c r="AK223" s="3628"/>
      <c r="AL223" s="3628"/>
      <c r="AM223" s="3628"/>
      <c r="AN223" s="3628"/>
      <c r="AO223" s="3628"/>
      <c r="AP223" s="3628"/>
      <c r="AQ223" s="3628"/>
      <c r="AR223" s="3628"/>
      <c r="AS223" s="3628"/>
    </row>
    <row r="224" spans="12:45">
      <c r="L224" s="3628"/>
      <c r="M224" s="3628"/>
      <c r="N224" s="3628"/>
      <c r="O224" s="3628"/>
      <c r="P224" s="3628"/>
      <c r="Q224" s="3628"/>
      <c r="R224" s="3628"/>
      <c r="S224" s="3628"/>
      <c r="T224" s="3628"/>
      <c r="U224" s="3628"/>
      <c r="V224" s="3628"/>
      <c r="W224" s="3628"/>
      <c r="X224" s="3628"/>
      <c r="Y224" s="3628"/>
      <c r="Z224" s="3628"/>
      <c r="AA224" s="3628"/>
      <c r="AB224" s="3628"/>
      <c r="AC224" s="3628"/>
      <c r="AD224" s="3628"/>
      <c r="AE224" s="3628"/>
      <c r="AF224" s="3628"/>
      <c r="AG224" s="3628"/>
      <c r="AH224" s="3628"/>
      <c r="AI224" s="3628"/>
      <c r="AJ224" s="3628"/>
      <c r="AK224" s="3628"/>
      <c r="AL224" s="3628"/>
      <c r="AM224" s="3628"/>
      <c r="AN224" s="3628"/>
      <c r="AO224" s="3628"/>
      <c r="AP224" s="3628"/>
      <c r="AQ224" s="3628"/>
      <c r="AR224" s="3628"/>
      <c r="AS224" s="3628"/>
    </row>
    <row r="225" spans="12:45">
      <c r="L225" s="3628"/>
      <c r="M225" s="3628"/>
      <c r="N225" s="3628"/>
      <c r="O225" s="3628"/>
      <c r="P225" s="3628"/>
      <c r="Q225" s="3628"/>
      <c r="R225" s="3628"/>
      <c r="S225" s="3628"/>
      <c r="T225" s="3628"/>
      <c r="U225" s="3628"/>
      <c r="V225" s="3628"/>
      <c r="W225" s="3628"/>
      <c r="X225" s="3628"/>
      <c r="Y225" s="3628"/>
      <c r="Z225" s="3628"/>
      <c r="AA225" s="3628"/>
      <c r="AB225" s="3628"/>
      <c r="AC225" s="3628"/>
      <c r="AD225" s="3628"/>
      <c r="AE225" s="3628"/>
      <c r="AF225" s="3628"/>
      <c r="AG225" s="3628"/>
      <c r="AH225" s="3628"/>
      <c r="AI225" s="3628"/>
      <c r="AJ225" s="3628"/>
      <c r="AK225" s="3628"/>
      <c r="AL225" s="3628"/>
      <c r="AM225" s="3628"/>
      <c r="AN225" s="3628"/>
      <c r="AO225" s="3628"/>
      <c r="AP225" s="3628"/>
      <c r="AQ225" s="3628"/>
      <c r="AR225" s="3628"/>
      <c r="AS225" s="3628"/>
    </row>
    <row r="226" spans="12:45">
      <c r="L226" s="3628"/>
      <c r="M226" s="3628"/>
      <c r="N226" s="3628"/>
      <c r="O226" s="3628"/>
      <c r="P226" s="3628"/>
      <c r="Q226" s="3628"/>
      <c r="R226" s="3628"/>
      <c r="S226" s="3628"/>
      <c r="T226" s="3628"/>
      <c r="U226" s="3628"/>
      <c r="V226" s="3628"/>
      <c r="W226" s="3628"/>
      <c r="X226" s="3628"/>
      <c r="Y226" s="3628"/>
      <c r="Z226" s="3628"/>
      <c r="AA226" s="3628"/>
      <c r="AB226" s="3628"/>
      <c r="AC226" s="3628"/>
      <c r="AD226" s="3628"/>
      <c r="AE226" s="3628"/>
      <c r="AF226" s="3628"/>
      <c r="AG226" s="3628"/>
      <c r="AH226" s="3628"/>
      <c r="AI226" s="3628"/>
      <c r="AJ226" s="3628"/>
      <c r="AK226" s="3628"/>
      <c r="AL226" s="3628"/>
      <c r="AM226" s="3628"/>
      <c r="AN226" s="3628"/>
      <c r="AO226" s="3628"/>
      <c r="AP226" s="3628"/>
      <c r="AQ226" s="3628"/>
      <c r="AR226" s="3628"/>
      <c r="AS226" s="3628"/>
    </row>
    <row r="227" spans="12:45">
      <c r="L227" s="3628"/>
      <c r="M227" s="3628"/>
      <c r="N227" s="3628"/>
      <c r="O227" s="3628"/>
      <c r="P227" s="3628"/>
      <c r="Q227" s="3628"/>
      <c r="R227" s="3628"/>
      <c r="S227" s="3628"/>
      <c r="T227" s="3628"/>
      <c r="U227" s="3628"/>
      <c r="V227" s="3628"/>
      <c r="W227" s="3628"/>
      <c r="X227" s="3628"/>
      <c r="Y227" s="3628"/>
      <c r="Z227" s="3628"/>
      <c r="AA227" s="3628"/>
      <c r="AB227" s="3628"/>
      <c r="AC227" s="3628"/>
      <c r="AD227" s="3628"/>
      <c r="AE227" s="3628"/>
      <c r="AF227" s="3628"/>
      <c r="AG227" s="3628"/>
      <c r="AH227" s="3628"/>
      <c r="AI227" s="3628"/>
      <c r="AJ227" s="3628"/>
      <c r="AK227" s="3628"/>
      <c r="AL227" s="3628"/>
      <c r="AM227" s="3628"/>
      <c r="AN227" s="3628"/>
      <c r="AO227" s="3628"/>
      <c r="AP227" s="3628"/>
      <c r="AQ227" s="3628"/>
      <c r="AR227" s="3628"/>
      <c r="AS227" s="3628"/>
    </row>
    <row r="228" spans="12:45">
      <c r="L228" s="3628"/>
      <c r="M228" s="3628"/>
      <c r="N228" s="3628"/>
      <c r="O228" s="3628"/>
      <c r="P228" s="3628"/>
      <c r="Q228" s="3628"/>
      <c r="R228" s="3628"/>
      <c r="S228" s="3628"/>
      <c r="T228" s="3628"/>
      <c r="U228" s="3628"/>
      <c r="V228" s="3628"/>
      <c r="W228" s="3628"/>
      <c r="X228" s="3628"/>
      <c r="Y228" s="3628"/>
      <c r="Z228" s="3628"/>
      <c r="AA228" s="3628"/>
      <c r="AB228" s="3628"/>
      <c r="AC228" s="3628"/>
      <c r="AD228" s="3628"/>
      <c r="AE228" s="3628"/>
      <c r="AF228" s="3628"/>
      <c r="AG228" s="3628"/>
      <c r="AH228" s="3628"/>
      <c r="AI228" s="3628"/>
      <c r="AJ228" s="3628"/>
      <c r="AK228" s="3628"/>
      <c r="AL228" s="3628"/>
      <c r="AM228" s="3628"/>
      <c r="AN228" s="3628"/>
      <c r="AO228" s="3628"/>
      <c r="AP228" s="3628"/>
      <c r="AQ228" s="3628"/>
      <c r="AR228" s="3628"/>
      <c r="AS228" s="3628"/>
    </row>
    <row r="229" spans="12:45">
      <c r="L229" s="3628"/>
      <c r="M229" s="3628"/>
      <c r="N229" s="3628"/>
      <c r="O229" s="3628"/>
      <c r="P229" s="3628"/>
      <c r="Q229" s="3628"/>
      <c r="R229" s="3628"/>
      <c r="S229" s="3628"/>
      <c r="T229" s="3628"/>
      <c r="U229" s="3628"/>
      <c r="V229" s="3628"/>
      <c r="W229" s="3628"/>
      <c r="X229" s="3628"/>
      <c r="Y229" s="3628"/>
      <c r="Z229" s="3628"/>
      <c r="AA229" s="3628"/>
      <c r="AB229" s="3628"/>
      <c r="AC229" s="3628"/>
      <c r="AD229" s="3628"/>
      <c r="AE229" s="3628"/>
      <c r="AF229" s="3628"/>
      <c r="AG229" s="3628"/>
      <c r="AH229" s="3628"/>
      <c r="AI229" s="3628"/>
      <c r="AJ229" s="3628"/>
      <c r="AK229" s="3628"/>
      <c r="AL229" s="3628"/>
      <c r="AM229" s="3628"/>
      <c r="AN229" s="3628"/>
      <c r="AO229" s="3628"/>
      <c r="AP229" s="3628"/>
      <c r="AQ229" s="3628"/>
      <c r="AR229" s="3628"/>
      <c r="AS229" s="3628"/>
    </row>
    <row r="230" spans="12:45">
      <c r="L230" s="3628"/>
      <c r="M230" s="3628"/>
      <c r="N230" s="3628"/>
      <c r="O230" s="3628"/>
      <c r="P230" s="3628"/>
      <c r="Q230" s="3628"/>
      <c r="R230" s="3628"/>
      <c r="S230" s="3628"/>
      <c r="T230" s="3628"/>
      <c r="U230" s="3628"/>
      <c r="V230" s="3628"/>
      <c r="W230" s="3628"/>
      <c r="X230" s="3628"/>
      <c r="Y230" s="3628"/>
      <c r="Z230" s="3628"/>
      <c r="AA230" s="3628"/>
      <c r="AB230" s="3628"/>
      <c r="AC230" s="3628"/>
      <c r="AD230" s="3628"/>
      <c r="AE230" s="3628"/>
      <c r="AF230" s="3628"/>
      <c r="AG230" s="3628"/>
      <c r="AH230" s="3628"/>
      <c r="AI230" s="3628"/>
      <c r="AJ230" s="3628"/>
      <c r="AK230" s="3628"/>
      <c r="AL230" s="3628"/>
      <c r="AM230" s="3628"/>
      <c r="AN230" s="3628"/>
      <c r="AO230" s="3628"/>
      <c r="AP230" s="3628"/>
      <c r="AQ230" s="3628"/>
      <c r="AR230" s="3628"/>
      <c r="AS230" s="3628"/>
    </row>
    <row r="231" spans="12:45">
      <c r="L231" s="3628"/>
      <c r="M231" s="3628"/>
      <c r="N231" s="3628"/>
      <c r="O231" s="3628"/>
      <c r="P231" s="3628"/>
      <c r="Q231" s="3628"/>
      <c r="R231" s="3628"/>
      <c r="S231" s="3628"/>
      <c r="T231" s="3628"/>
      <c r="U231" s="3628"/>
      <c r="V231" s="3628"/>
      <c r="W231" s="3628"/>
      <c r="X231" s="3628"/>
      <c r="Y231" s="3628"/>
      <c r="Z231" s="3628"/>
      <c r="AA231" s="3628"/>
      <c r="AB231" s="3628"/>
      <c r="AC231" s="3628"/>
      <c r="AD231" s="3628"/>
      <c r="AE231" s="3628"/>
      <c r="AF231" s="3628"/>
      <c r="AG231" s="3628"/>
      <c r="AH231" s="3628"/>
      <c r="AI231" s="3628"/>
      <c r="AJ231" s="3628"/>
      <c r="AK231" s="3628"/>
      <c r="AL231" s="3628"/>
      <c r="AM231" s="3628"/>
      <c r="AN231" s="3628"/>
      <c r="AO231" s="3628"/>
      <c r="AP231" s="3628"/>
      <c r="AQ231" s="3628"/>
      <c r="AR231" s="3628"/>
      <c r="AS231" s="3628"/>
    </row>
    <row r="232" spans="12:45">
      <c r="L232" s="3628"/>
      <c r="M232" s="3628"/>
      <c r="N232" s="3628"/>
      <c r="O232" s="3628"/>
      <c r="P232" s="3628"/>
      <c r="Q232" s="3628"/>
      <c r="R232" s="3628"/>
      <c r="S232" s="3628"/>
      <c r="T232" s="3628"/>
      <c r="U232" s="3628"/>
      <c r="V232" s="3628"/>
      <c r="W232" s="3628"/>
      <c r="X232" s="3628"/>
      <c r="Y232" s="3628"/>
      <c r="Z232" s="3628"/>
      <c r="AA232" s="3628"/>
      <c r="AB232" s="3628"/>
      <c r="AC232" s="3628"/>
      <c r="AD232" s="3628"/>
      <c r="AE232" s="3628"/>
      <c r="AF232" s="3628"/>
      <c r="AG232" s="3628"/>
      <c r="AH232" s="3628"/>
      <c r="AI232" s="3628"/>
      <c r="AJ232" s="3628"/>
      <c r="AK232" s="3628"/>
      <c r="AL232" s="3628"/>
      <c r="AM232" s="3628"/>
      <c r="AN232" s="3628"/>
      <c r="AO232" s="3628"/>
      <c r="AP232" s="3628"/>
      <c r="AQ232" s="3628"/>
      <c r="AR232" s="3628"/>
      <c r="AS232" s="3628"/>
    </row>
    <row r="233" spans="12:45">
      <c r="L233" s="3628"/>
      <c r="M233" s="3628"/>
      <c r="N233" s="3628"/>
      <c r="O233" s="3628"/>
      <c r="P233" s="3628"/>
      <c r="Q233" s="3628"/>
      <c r="R233" s="3628"/>
      <c r="S233" s="3628"/>
      <c r="T233" s="3628"/>
      <c r="U233" s="3628"/>
      <c r="V233" s="3628"/>
      <c r="W233" s="3628"/>
      <c r="X233" s="3628"/>
      <c r="Y233" s="3628"/>
      <c r="Z233" s="3628"/>
      <c r="AA233" s="3628"/>
      <c r="AB233" s="3628"/>
      <c r="AC233" s="3628"/>
      <c r="AD233" s="3628"/>
      <c r="AE233" s="3628"/>
      <c r="AF233" s="3628"/>
      <c r="AG233" s="3628"/>
      <c r="AH233" s="3628"/>
      <c r="AI233" s="3628"/>
      <c r="AJ233" s="3628"/>
      <c r="AK233" s="3628"/>
      <c r="AL233" s="3628"/>
      <c r="AM233" s="3628"/>
      <c r="AN233" s="3628"/>
      <c r="AO233" s="3628"/>
      <c r="AP233" s="3628"/>
      <c r="AQ233" s="3628"/>
      <c r="AR233" s="3628"/>
      <c r="AS233" s="3628"/>
    </row>
    <row r="234" spans="12:45">
      <c r="L234" s="3628"/>
      <c r="M234" s="3628"/>
      <c r="N234" s="3628"/>
      <c r="O234" s="3628"/>
      <c r="P234" s="3628"/>
      <c r="Q234" s="3628"/>
      <c r="R234" s="3628"/>
      <c r="S234" s="3628"/>
      <c r="T234" s="3628"/>
      <c r="U234" s="3628"/>
      <c r="V234" s="3628"/>
      <c r="W234" s="3628"/>
      <c r="X234" s="3628"/>
      <c r="Y234" s="3628"/>
      <c r="Z234" s="3628"/>
      <c r="AA234" s="3628"/>
      <c r="AB234" s="3628"/>
      <c r="AC234" s="3628"/>
      <c r="AD234" s="3628"/>
      <c r="AE234" s="3628"/>
      <c r="AF234" s="3628"/>
      <c r="AG234" s="3628"/>
      <c r="AH234" s="3628"/>
      <c r="AI234" s="3628"/>
      <c r="AJ234" s="3628"/>
      <c r="AK234" s="3628"/>
      <c r="AL234" s="3628"/>
      <c r="AM234" s="3628"/>
      <c r="AN234" s="3628"/>
      <c r="AO234" s="3628"/>
      <c r="AP234" s="3628"/>
      <c r="AQ234" s="3628"/>
      <c r="AR234" s="3628"/>
      <c r="AS234" s="3628"/>
    </row>
    <row r="235" spans="12:45">
      <c r="L235" s="3628"/>
      <c r="M235" s="3628"/>
      <c r="N235" s="3628"/>
      <c r="O235" s="3628"/>
      <c r="P235" s="3628"/>
      <c r="Q235" s="3628"/>
      <c r="R235" s="3628"/>
      <c r="S235" s="3628"/>
      <c r="T235" s="3628"/>
      <c r="U235" s="3628"/>
      <c r="V235" s="3628"/>
      <c r="W235" s="3628"/>
      <c r="X235" s="3628"/>
      <c r="Y235" s="3628"/>
      <c r="Z235" s="3628"/>
      <c r="AA235" s="3628"/>
      <c r="AB235" s="3628"/>
      <c r="AC235" s="3628"/>
      <c r="AD235" s="3628"/>
      <c r="AE235" s="3628"/>
      <c r="AF235" s="3628"/>
      <c r="AG235" s="3628"/>
      <c r="AH235" s="3628"/>
      <c r="AI235" s="3628"/>
      <c r="AJ235" s="3628"/>
      <c r="AK235" s="3628"/>
      <c r="AL235" s="3628"/>
      <c r="AM235" s="3628"/>
      <c r="AN235" s="3628"/>
      <c r="AO235" s="3628"/>
      <c r="AP235" s="3628"/>
      <c r="AQ235" s="3628"/>
      <c r="AR235" s="3628"/>
      <c r="AS235" s="3628"/>
    </row>
  </sheetData>
  <sheetProtection formatCells="0" formatColumns="0" formatRows="0" insertColumns="0" insertRows="0" insertHyperlinks="0" deleteColumns="0" deleteRows="0" sort="0" autoFilter="0" pivotTables="0"/>
  <mergeCells count="12">
    <mergeCell ref="E10:E11"/>
    <mergeCell ref="F10:F11"/>
    <mergeCell ref="E12:E13"/>
    <mergeCell ref="F12:F13"/>
    <mergeCell ref="E14:E15"/>
    <mergeCell ref="F14:F15"/>
    <mergeCell ref="C2:D2"/>
    <mergeCell ref="E2:F2"/>
    <mergeCell ref="G2:H2"/>
    <mergeCell ref="I2:J2"/>
    <mergeCell ref="E8:E9"/>
    <mergeCell ref="F8:F9"/>
  </mergeCells>
  <printOptions horizontalCentered="1"/>
  <pageMargins left="0.5" right="0.5" top="0.5" bottom="0.5" header="0.31496062992126" footer="0.31496062992126"/>
  <pageSetup paperSize="9" scale="43" fitToHeight="4" orientation="portrait" r:id="rId1"/>
  <headerFooter>
    <oddFooter>&amp;C&amp;P of &amp;N&amp;R&amp;A</oddFooter>
  </headerFooter>
  <colBreaks count="1" manualBreakCount="1">
    <brk id="11" max="1048575" man="1"/>
  </colBreaks>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3B6DA-1DEB-42D0-A1D4-890763E972E5}">
  <sheetPr codeName="Sheet52">
    <tabColor rgb="FF00B0F0"/>
  </sheetPr>
  <dimension ref="A1:AT231"/>
  <sheetViews>
    <sheetView view="pageBreakPreview" topLeftCell="A10" zoomScale="80" zoomScaleNormal="86" zoomScaleSheetLayoutView="80" workbookViewId="0">
      <selection activeCell="C10" sqref="C10"/>
    </sheetView>
  </sheetViews>
  <sheetFormatPr defaultColWidth="9" defaultRowHeight="14.25" outlineLevelCol="1"/>
  <cols>
    <col min="1" max="1" width="10.5703125" style="3615" customWidth="1"/>
    <col min="2" max="2" width="133.85546875" style="3616" customWidth="1"/>
    <col min="3" max="3" width="12" style="3616" hidden="1" customWidth="1" outlineLevel="1"/>
    <col min="4" max="4" width="21.85546875" style="3798" customWidth="1" collapsed="1"/>
    <col min="5" max="5" width="19.85546875" style="3616" customWidth="1"/>
    <col min="6" max="6" width="19.5703125" style="3616" customWidth="1"/>
    <col min="7" max="7" width="26" style="3616" customWidth="1"/>
    <col min="8" max="8" width="9" style="3616"/>
    <col min="9" max="9" width="16" style="3616" customWidth="1"/>
    <col min="10" max="10" width="18.85546875" style="3616" customWidth="1"/>
    <col min="11" max="11" width="14.85546875" style="3616" customWidth="1"/>
    <col min="12" max="16384" width="9" style="3616"/>
  </cols>
  <sheetData>
    <row r="1" spans="1:46" ht="29.25" customHeight="1">
      <c r="A1" s="5662" t="s">
        <v>3311</v>
      </c>
      <c r="B1" s="5664" t="s">
        <v>3312</v>
      </c>
      <c r="C1" s="3908"/>
      <c r="D1" s="5664" t="s">
        <v>3313</v>
      </c>
      <c r="E1" s="5664"/>
      <c r="F1" s="5665" t="s">
        <v>3314</v>
      </c>
      <c r="G1" s="5657" t="s">
        <v>3315</v>
      </c>
      <c r="H1" s="3628"/>
      <c r="I1" s="3628"/>
      <c r="J1" s="3628"/>
      <c r="K1" s="3628"/>
      <c r="L1" s="3628"/>
      <c r="M1" s="3628"/>
      <c r="N1" s="3628"/>
      <c r="O1" s="3628"/>
      <c r="P1" s="3628"/>
      <c r="Q1" s="3628"/>
      <c r="R1" s="3628"/>
      <c r="S1" s="3628"/>
      <c r="T1" s="3628"/>
      <c r="U1" s="3628"/>
      <c r="V1" s="3628"/>
      <c r="W1" s="3628"/>
      <c r="X1" s="3628"/>
      <c r="Y1" s="3628"/>
      <c r="Z1" s="3628"/>
      <c r="AA1" s="3628"/>
      <c r="AB1" s="3628"/>
      <c r="AC1" s="3628"/>
      <c r="AD1" s="3628"/>
      <c r="AE1" s="3628"/>
      <c r="AF1" s="3628"/>
      <c r="AG1" s="3628"/>
      <c r="AH1" s="3628"/>
      <c r="AI1" s="3628"/>
      <c r="AJ1" s="3628"/>
      <c r="AK1" s="3628"/>
      <c r="AL1" s="3628"/>
      <c r="AM1" s="3628"/>
      <c r="AN1" s="3628"/>
      <c r="AO1" s="3628"/>
      <c r="AP1" s="3628"/>
      <c r="AQ1" s="3628"/>
      <c r="AR1" s="3628"/>
      <c r="AS1" s="3628"/>
      <c r="AT1" s="3628"/>
    </row>
    <row r="2" spans="1:46" ht="30.75" customHeight="1">
      <c r="A2" s="5663"/>
      <c r="B2" s="5659"/>
      <c r="C2" s="3906" t="s">
        <v>91</v>
      </c>
      <c r="D2" s="5659" t="s">
        <v>3316</v>
      </c>
      <c r="E2" s="5659"/>
      <c r="F2" s="5657"/>
      <c r="G2" s="5658"/>
      <c r="H2" s="3628"/>
      <c r="I2" s="3628"/>
      <c r="J2" s="3628"/>
      <c r="K2" s="3628"/>
      <c r="L2" s="3628"/>
      <c r="M2" s="3628"/>
      <c r="N2" s="3628"/>
      <c r="O2" s="3628"/>
      <c r="P2" s="3628"/>
      <c r="Q2" s="3628"/>
      <c r="R2" s="3628"/>
      <c r="S2" s="3628"/>
      <c r="T2" s="3628"/>
      <c r="U2" s="3628"/>
      <c r="V2" s="3628"/>
      <c r="W2" s="3628"/>
      <c r="X2" s="3628"/>
      <c r="Y2" s="3628"/>
      <c r="Z2" s="3628"/>
      <c r="AA2" s="3628"/>
      <c r="AB2" s="3628"/>
      <c r="AC2" s="3628"/>
      <c r="AD2" s="3628"/>
      <c r="AE2" s="3628"/>
      <c r="AF2" s="3628"/>
      <c r="AG2" s="3628"/>
      <c r="AH2" s="3628"/>
      <c r="AI2" s="3628"/>
      <c r="AJ2" s="3628"/>
      <c r="AK2" s="3628"/>
      <c r="AL2" s="3628"/>
      <c r="AM2" s="3628"/>
      <c r="AN2" s="3628"/>
      <c r="AO2" s="3628"/>
      <c r="AP2" s="3628"/>
      <c r="AQ2" s="3628"/>
      <c r="AR2" s="3628"/>
      <c r="AS2" s="3628"/>
      <c r="AT2" s="3628"/>
    </row>
    <row r="3" spans="1:46" ht="27" customHeight="1">
      <c r="A3" s="3777"/>
      <c r="B3" s="3777"/>
      <c r="C3" s="3777"/>
      <c r="D3" s="3777" t="s">
        <v>434</v>
      </c>
      <c r="E3" s="3777" t="s">
        <v>1480</v>
      </c>
      <c r="F3" s="3777" t="s">
        <v>434</v>
      </c>
      <c r="G3" s="3777"/>
      <c r="H3" s="3628"/>
      <c r="I3" s="3628"/>
      <c r="J3" s="3628"/>
      <c r="K3" s="3628"/>
      <c r="L3" s="3628"/>
      <c r="M3" s="3628"/>
      <c r="N3" s="3628"/>
      <c r="O3" s="3628"/>
      <c r="P3" s="3628"/>
      <c r="Q3" s="3628"/>
      <c r="R3" s="3628"/>
      <c r="S3" s="3628"/>
      <c r="T3" s="3628"/>
      <c r="U3" s="3628"/>
      <c r="V3" s="3628"/>
      <c r="W3" s="3628"/>
      <c r="X3" s="3628"/>
      <c r="Y3" s="3628"/>
      <c r="Z3" s="3628"/>
      <c r="AA3" s="3628"/>
      <c r="AB3" s="3628"/>
      <c r="AC3" s="3628"/>
      <c r="AD3" s="3628"/>
      <c r="AE3" s="3628"/>
      <c r="AF3" s="3628"/>
      <c r="AG3" s="3628"/>
      <c r="AH3" s="3628"/>
      <c r="AI3" s="3628"/>
      <c r="AJ3" s="3628"/>
      <c r="AK3" s="3628"/>
      <c r="AL3" s="3628"/>
      <c r="AM3" s="3628"/>
      <c r="AN3" s="3628"/>
      <c r="AO3" s="3628"/>
      <c r="AP3" s="3628"/>
      <c r="AQ3" s="3628"/>
      <c r="AR3" s="3628"/>
      <c r="AS3" s="3628"/>
      <c r="AT3" s="3628"/>
    </row>
    <row r="4" spans="1:46" ht="30" customHeight="1">
      <c r="A4" s="3778">
        <v>1</v>
      </c>
      <c r="B4" s="3779" t="s">
        <v>3317</v>
      </c>
      <c r="C4" s="3779"/>
      <c r="D4" s="3932">
        <f>SUM(D5:D7)</f>
        <v>-4092812.4200000018</v>
      </c>
      <c r="E4" s="3781">
        <f>D4/$D$47</f>
        <v>-0.88719872869538519</v>
      </c>
      <c r="F4" s="3780">
        <f>SUM(F5:F7)</f>
        <v>0</v>
      </c>
      <c r="G4" s="3782"/>
      <c r="H4" s="3628"/>
      <c r="I4" s="3628"/>
      <c r="J4" s="3628"/>
      <c r="K4" s="3628"/>
      <c r="L4" s="3628"/>
      <c r="M4" s="3628"/>
      <c r="N4" s="3628"/>
      <c r="O4" s="3628"/>
      <c r="P4" s="3628"/>
      <c r="Q4" s="3628"/>
      <c r="R4" s="3628"/>
      <c r="S4" s="3628"/>
      <c r="T4" s="3628"/>
      <c r="U4" s="3628"/>
      <c r="V4" s="3628"/>
      <c r="W4" s="3628"/>
      <c r="X4" s="3628"/>
      <c r="Y4" s="3628"/>
      <c r="Z4" s="3628"/>
      <c r="AA4" s="3628"/>
      <c r="AB4" s="3628"/>
      <c r="AC4" s="3628"/>
      <c r="AD4" s="3628"/>
      <c r="AE4" s="3628"/>
      <c r="AF4" s="3628"/>
      <c r="AG4" s="3628"/>
      <c r="AH4" s="3628"/>
      <c r="AI4" s="3628"/>
      <c r="AJ4" s="3628"/>
      <c r="AK4" s="3628"/>
      <c r="AL4" s="3628"/>
      <c r="AM4" s="3628"/>
      <c r="AN4" s="3628"/>
      <c r="AO4" s="3628"/>
      <c r="AP4" s="3628"/>
      <c r="AQ4" s="3628"/>
      <c r="AR4" s="3628"/>
      <c r="AS4" s="3628"/>
      <c r="AT4" s="3628"/>
    </row>
    <row r="5" spans="1:46">
      <c r="A5" s="3783" t="s">
        <v>3318</v>
      </c>
      <c r="B5" s="3845" t="str">
        <f>'Schedule C'!A16&amp;" - "&amp;'Schedule C'!A145&amp;" - "&amp;'Schedule C'!B145</f>
        <v>Item No. - 79 - Reflective Ceiling (Award to Armetal)</v>
      </c>
      <c r="C5" s="3940" t="s">
        <v>3216</v>
      </c>
      <c r="D5" s="3933">
        <f>'Schedule C'!Q145</f>
        <v>0</v>
      </c>
      <c r="E5" s="3786">
        <f>D5/$D$47</f>
        <v>0</v>
      </c>
      <c r="F5" s="3832"/>
      <c r="G5" s="3833">
        <v>45613</v>
      </c>
      <c r="H5" s="3628"/>
      <c r="I5" s="3628"/>
      <c r="J5" s="3628"/>
      <c r="K5" s="3628"/>
      <c r="L5" s="3628"/>
      <c r="M5" s="3628"/>
      <c r="N5" s="3628"/>
      <c r="O5" s="3628"/>
      <c r="P5" s="3628"/>
      <c r="Q5" s="3628"/>
      <c r="R5" s="3628"/>
      <c r="S5" s="3628"/>
      <c r="T5" s="3628"/>
      <c r="U5" s="3628"/>
      <c r="V5" s="3628"/>
      <c r="W5" s="3628"/>
      <c r="X5" s="3628"/>
      <c r="Y5" s="3628"/>
      <c r="Z5" s="3628"/>
      <c r="AA5" s="3628"/>
      <c r="AB5" s="3628"/>
      <c r="AC5" s="3628"/>
      <c r="AD5" s="3628"/>
      <c r="AE5" s="3628"/>
      <c r="AF5" s="3628"/>
      <c r="AG5" s="3628"/>
      <c r="AH5" s="3628"/>
      <c r="AI5" s="3628"/>
      <c r="AJ5" s="3628"/>
      <c r="AK5" s="3628"/>
      <c r="AL5" s="3628"/>
      <c r="AM5" s="3628"/>
      <c r="AN5" s="3628"/>
      <c r="AO5" s="3628"/>
      <c r="AP5" s="3628"/>
      <c r="AQ5" s="3628"/>
      <c r="AR5" s="3628"/>
      <c r="AS5" s="3628"/>
      <c r="AT5" s="3628"/>
    </row>
    <row r="6" spans="1:46" ht="15">
      <c r="A6" s="3783" t="s">
        <v>3319</v>
      </c>
      <c r="B6" s="3843" t="s">
        <v>3345</v>
      </c>
      <c r="C6" s="3941"/>
      <c r="D6" s="3933">
        <f>+'Additional Budget Sum (19Dec)'!I19</f>
        <v>-4092812.4200000018</v>
      </c>
      <c r="E6" s="3786">
        <f>D6/$D$47</f>
        <v>-0.88719872869538519</v>
      </c>
      <c r="F6" s="3832"/>
      <c r="G6" s="3833">
        <v>45613</v>
      </c>
      <c r="H6" s="3628"/>
      <c r="I6" s="3628"/>
      <c r="J6" s="3628"/>
      <c r="K6" s="3628"/>
      <c r="L6" s="3628"/>
      <c r="M6" s="3628"/>
      <c r="N6" s="3628"/>
      <c r="O6" s="3628"/>
      <c r="P6" s="3628"/>
      <c r="Q6" s="3628"/>
      <c r="R6" s="3628"/>
      <c r="S6" s="3628"/>
      <c r="T6" s="3628"/>
      <c r="U6" s="3628"/>
      <c r="V6" s="3628"/>
      <c r="W6" s="3628"/>
      <c r="X6" s="3628"/>
      <c r="Y6" s="3628"/>
      <c r="Z6" s="3628"/>
      <c r="AA6" s="3628"/>
      <c r="AB6" s="3628"/>
      <c r="AC6" s="3628"/>
      <c r="AD6" s="3628"/>
      <c r="AE6" s="3628"/>
      <c r="AF6" s="3628"/>
      <c r="AG6" s="3628"/>
      <c r="AH6" s="3628"/>
      <c r="AI6" s="3628"/>
      <c r="AJ6" s="3628"/>
      <c r="AK6" s="3628"/>
      <c r="AL6" s="3628"/>
      <c r="AM6" s="3628"/>
      <c r="AN6" s="3628"/>
      <c r="AO6" s="3628"/>
      <c r="AP6" s="3628"/>
      <c r="AQ6" s="3628"/>
      <c r="AR6" s="3628"/>
      <c r="AS6" s="3628"/>
      <c r="AT6" s="3628"/>
    </row>
    <row r="7" spans="1:46">
      <c r="A7" s="3783"/>
      <c r="B7" s="3788"/>
      <c r="C7" s="3942"/>
      <c r="D7" s="3933"/>
      <c r="E7" s="3789"/>
      <c r="F7" s="3785"/>
      <c r="G7" s="3787"/>
      <c r="H7" s="3628"/>
      <c r="I7" s="3628"/>
      <c r="J7" s="3628"/>
      <c r="K7" s="3628"/>
      <c r="L7" s="3628"/>
      <c r="M7" s="3628"/>
      <c r="N7" s="3628"/>
      <c r="O7" s="3628"/>
      <c r="P7" s="3628"/>
      <c r="Q7" s="3628"/>
      <c r="R7" s="3628"/>
      <c r="S7" s="3628"/>
      <c r="T7" s="3628"/>
      <c r="U7" s="3628"/>
      <c r="V7" s="3628"/>
      <c r="W7" s="3628"/>
      <c r="X7" s="3628"/>
      <c r="Y7" s="3628"/>
      <c r="Z7" s="3628"/>
      <c r="AA7" s="3628"/>
      <c r="AB7" s="3628"/>
      <c r="AC7" s="3628"/>
      <c r="AD7" s="3628"/>
      <c r="AE7" s="3628"/>
      <c r="AF7" s="3628"/>
      <c r="AG7" s="3628"/>
      <c r="AH7" s="3628"/>
      <c r="AI7" s="3628"/>
      <c r="AJ7" s="3628"/>
      <c r="AK7" s="3628"/>
      <c r="AL7" s="3628"/>
      <c r="AM7" s="3628"/>
      <c r="AN7" s="3628"/>
      <c r="AO7" s="3628"/>
      <c r="AP7" s="3628"/>
      <c r="AQ7" s="3628"/>
      <c r="AR7" s="3628"/>
      <c r="AS7" s="3628"/>
      <c r="AT7" s="3628"/>
    </row>
    <row r="8" spans="1:46" ht="27.75" customHeight="1">
      <c r="A8" s="3790">
        <v>2</v>
      </c>
      <c r="B8" s="3791" t="s">
        <v>3321</v>
      </c>
      <c r="C8" s="3791"/>
      <c r="D8" s="3934">
        <f>SUM(D9:D44)</f>
        <v>8705998.0430434793</v>
      </c>
      <c r="E8" s="3793">
        <f t="shared" ref="E8:E40" si="0">D8/$D$47</f>
        <v>1.8871987286953853</v>
      </c>
      <c r="F8" s="3792">
        <f>SUM(F9:F44)</f>
        <v>0</v>
      </c>
      <c r="G8" s="3794"/>
      <c r="H8" s="3628"/>
      <c r="I8" s="3628"/>
      <c r="J8" s="3628"/>
      <c r="K8" s="3628"/>
      <c r="L8" s="3628"/>
      <c r="M8" s="3628"/>
      <c r="N8" s="3628"/>
      <c r="O8" s="3628"/>
      <c r="P8" s="3628"/>
      <c r="Q8" s="3628"/>
      <c r="R8" s="3628"/>
      <c r="S8" s="3628"/>
      <c r="T8" s="3628"/>
      <c r="U8" s="3628"/>
      <c r="V8" s="3628"/>
      <c r="W8" s="3628"/>
      <c r="X8" s="3628"/>
      <c r="Y8" s="3628"/>
      <c r="Z8" s="3628"/>
      <c r="AA8" s="3628"/>
      <c r="AB8" s="3628"/>
      <c r="AC8" s="3628"/>
      <c r="AD8" s="3628"/>
      <c r="AE8" s="3628"/>
      <c r="AF8" s="3628"/>
      <c r="AG8" s="3628"/>
      <c r="AH8" s="3628"/>
      <c r="AI8" s="3628"/>
      <c r="AJ8" s="3628"/>
      <c r="AK8" s="3628"/>
      <c r="AL8" s="3628"/>
      <c r="AM8" s="3628"/>
      <c r="AN8" s="3628"/>
      <c r="AO8" s="3628"/>
      <c r="AP8" s="3628"/>
      <c r="AQ8" s="3628"/>
      <c r="AR8" s="3628"/>
      <c r="AS8" s="3628"/>
      <c r="AT8" s="3628"/>
    </row>
    <row r="9" spans="1:46">
      <c r="A9" s="3783" t="s">
        <v>3322</v>
      </c>
      <c r="B9" s="3784" t="str">
        <f>'Schedule C'!A16&amp;" - "&amp;'Schedule C'!A67&amp;" - "&amp;'Schedule C'!B67</f>
        <v>Item No. - 22 - Omission of Surveying Equipment from SAB Contract</v>
      </c>
      <c r="C9" s="3943" t="s">
        <v>1517</v>
      </c>
      <c r="D9" s="3933">
        <f>'Schedule C'!Q67</f>
        <v>-7890</v>
      </c>
      <c r="E9" s="3786">
        <f t="shared" si="0"/>
        <v>-1.7103148766848656E-3</v>
      </c>
      <c r="F9" s="3832"/>
      <c r="G9" s="3834" t="s">
        <v>3337</v>
      </c>
      <c r="H9" s="3628"/>
      <c r="I9" s="3949">
        <f>D9+D10+D11+D13+D14+D15+D16+D17+D18+D19+D20+D31+D33+D35+D38+D39+D40+D41</f>
        <v>7070995.9030434787</v>
      </c>
      <c r="J9" s="3937">
        <f>'Additional Budget Sum (19Dec)'!I9</f>
        <v>12096686.633043498</v>
      </c>
      <c r="K9" s="3937">
        <f>I9-J9</f>
        <v>-5025690.7300000191</v>
      </c>
      <c r="L9" s="3628"/>
      <c r="M9" s="3628"/>
      <c r="N9" s="3628"/>
      <c r="O9" s="3628"/>
      <c r="P9" s="3628"/>
      <c r="Q9" s="3628"/>
      <c r="R9" s="3628"/>
      <c r="S9" s="3628"/>
      <c r="T9" s="3628"/>
      <c r="U9" s="3628"/>
      <c r="V9" s="3628"/>
      <c r="W9" s="3628"/>
      <c r="X9" s="3628"/>
      <c r="Y9" s="3628"/>
      <c r="Z9" s="3628"/>
      <c r="AA9" s="3628"/>
      <c r="AB9" s="3628"/>
      <c r="AC9" s="3628"/>
      <c r="AD9" s="3628"/>
      <c r="AE9" s="3628"/>
      <c r="AF9" s="3628"/>
      <c r="AG9" s="3628"/>
      <c r="AH9" s="3628"/>
      <c r="AI9" s="3628"/>
      <c r="AJ9" s="3628"/>
      <c r="AK9" s="3628"/>
      <c r="AL9" s="3628"/>
      <c r="AM9" s="3628"/>
      <c r="AN9" s="3628"/>
      <c r="AO9" s="3628"/>
      <c r="AP9" s="3628"/>
      <c r="AQ9" s="3628"/>
      <c r="AR9" s="3628"/>
      <c r="AS9" s="3628"/>
      <c r="AT9" s="3628"/>
    </row>
    <row r="10" spans="1:46">
      <c r="A10" s="3783" t="s">
        <v>3323</v>
      </c>
      <c r="B10" s="3784" t="str">
        <f>'Schedule C'!A16&amp;" - "&amp;'Schedule C'!A69&amp;" - "&amp;'Schedule C'!B69</f>
        <v>Item No. - 24 - Omission of food and welfare provision to AMAALA Staff from SAB Contract.</v>
      </c>
      <c r="C10" s="3943" t="s">
        <v>1517</v>
      </c>
      <c r="D10" s="3933">
        <f>'Schedule C'!Q69</f>
        <v>-90000</v>
      </c>
      <c r="E10" s="3786">
        <f t="shared" si="0"/>
        <v>-1.9509295171310254E-2</v>
      </c>
      <c r="F10" s="3832"/>
      <c r="G10" s="3834" t="s">
        <v>3337</v>
      </c>
      <c r="H10" s="3628"/>
      <c r="I10" s="3949"/>
      <c r="J10" s="3628"/>
      <c r="K10" s="3628"/>
      <c r="L10" s="3628"/>
      <c r="M10" s="3628"/>
      <c r="N10" s="3628"/>
      <c r="O10" s="3628"/>
      <c r="P10" s="3628"/>
      <c r="Q10" s="3628"/>
      <c r="R10" s="3628"/>
      <c r="S10" s="3628"/>
      <c r="T10" s="3628"/>
      <c r="U10" s="3628"/>
      <c r="V10" s="3628"/>
      <c r="W10" s="3628"/>
      <c r="X10" s="3628"/>
      <c r="Y10" s="3628"/>
      <c r="Z10" s="3628"/>
      <c r="AA10" s="3628"/>
      <c r="AB10" s="3628"/>
      <c r="AC10" s="3628"/>
      <c r="AD10" s="3628"/>
      <c r="AE10" s="3628"/>
      <c r="AF10" s="3628"/>
      <c r="AG10" s="3628"/>
      <c r="AH10" s="3628"/>
      <c r="AI10" s="3628"/>
      <c r="AJ10" s="3628"/>
      <c r="AK10" s="3628"/>
      <c r="AL10" s="3628"/>
      <c r="AM10" s="3628"/>
      <c r="AN10" s="3628"/>
      <c r="AO10" s="3628"/>
      <c r="AP10" s="3628"/>
      <c r="AQ10" s="3628"/>
      <c r="AR10" s="3628"/>
      <c r="AS10" s="3628"/>
      <c r="AT10" s="3628"/>
    </row>
    <row r="11" spans="1:46">
      <c r="A11" s="3783" t="s">
        <v>3324</v>
      </c>
      <c r="B11" s="3784" t="str">
        <f>'Schedule C'!A16&amp;"-"&amp;'Schedule C'!A70&amp;" - "&amp;'Schedule C'!B70</f>
        <v xml:space="preserve">Item No.-25 - Cost saving to Site Office Monthly Running Cost due to late installation of the Office Establishment by SAB. </v>
      </c>
      <c r="C11" s="3943" t="s">
        <v>1517</v>
      </c>
      <c r="D11" s="3933">
        <f>'Schedule C'!Q70</f>
        <v>-200000</v>
      </c>
      <c r="E11" s="3786">
        <f t="shared" si="0"/>
        <v>-4.3353989269578341E-2</v>
      </c>
      <c r="F11" s="3832"/>
      <c r="G11" s="3834" t="s">
        <v>3337</v>
      </c>
      <c r="H11" s="3628"/>
      <c r="I11" s="3949"/>
      <c r="J11" s="3949"/>
      <c r="K11" s="3628"/>
      <c r="L11" s="3628"/>
      <c r="M11" s="3628"/>
      <c r="N11" s="3628"/>
      <c r="O11" s="3628"/>
      <c r="P11" s="3628"/>
      <c r="Q11" s="3628"/>
      <c r="R11" s="3628"/>
      <c r="S11" s="3628"/>
      <c r="T11" s="3628"/>
      <c r="U11" s="3628"/>
      <c r="V11" s="3628"/>
      <c r="W11" s="3628"/>
      <c r="X11" s="3628"/>
      <c r="Y11" s="3628"/>
      <c r="Z11" s="3628"/>
      <c r="AA11" s="3628"/>
      <c r="AB11" s="3628"/>
      <c r="AC11" s="3628"/>
      <c r="AD11" s="3628"/>
      <c r="AE11" s="3628"/>
      <c r="AF11" s="3628"/>
      <c r="AG11" s="3628"/>
      <c r="AH11" s="3628"/>
      <c r="AI11" s="3628"/>
      <c r="AJ11" s="3628"/>
      <c r="AK11" s="3628"/>
      <c r="AL11" s="3628"/>
      <c r="AM11" s="3628"/>
      <c r="AN11" s="3628"/>
      <c r="AO11" s="3628"/>
      <c r="AP11" s="3628"/>
      <c r="AQ11" s="3628"/>
      <c r="AR11" s="3628"/>
      <c r="AS11" s="3628"/>
      <c r="AT11" s="3628"/>
    </row>
    <row r="12" spans="1:46">
      <c r="A12" s="3783" t="s">
        <v>3325</v>
      </c>
      <c r="B12" s="3784" t="str">
        <f>'Schedule C'!A16&amp;" - "&amp;'Schedule C'!A128&amp;" - "&amp;'Schedule C'!B128</f>
        <v>Item No. - 64 - Potential Contract Cost Adjustment</v>
      </c>
      <c r="C12" s="3943" t="s">
        <v>1517</v>
      </c>
      <c r="D12" s="3933">
        <f>'Schedule C'!Q128</f>
        <v>0</v>
      </c>
      <c r="E12" s="3786">
        <f t="shared" si="0"/>
        <v>0</v>
      </c>
      <c r="F12" s="3832"/>
      <c r="G12" s="3834" t="s">
        <v>3338</v>
      </c>
      <c r="H12" s="3628"/>
      <c r="I12" s="3628"/>
      <c r="J12" s="3628"/>
      <c r="K12" s="3628"/>
      <c r="L12" s="3628"/>
      <c r="M12" s="3628"/>
      <c r="N12" s="3628"/>
      <c r="O12" s="3628"/>
      <c r="P12" s="3628"/>
      <c r="Q12" s="3628"/>
      <c r="R12" s="3628"/>
      <c r="S12" s="3628"/>
      <c r="T12" s="3628"/>
      <c r="U12" s="3628"/>
      <c r="V12" s="3628"/>
      <c r="W12" s="3628"/>
      <c r="X12" s="3628"/>
      <c r="Y12" s="3628"/>
      <c r="Z12" s="3628"/>
      <c r="AA12" s="3628"/>
      <c r="AB12" s="3628"/>
      <c r="AC12" s="3628"/>
      <c r="AD12" s="3628"/>
      <c r="AE12" s="3628"/>
      <c r="AF12" s="3628"/>
      <c r="AG12" s="3628"/>
      <c r="AH12" s="3628"/>
      <c r="AI12" s="3628"/>
      <c r="AJ12" s="3628"/>
      <c r="AK12" s="3628"/>
      <c r="AL12" s="3628"/>
      <c r="AM12" s="3628"/>
      <c r="AN12" s="3628"/>
      <c r="AO12" s="3628"/>
      <c r="AP12" s="3628"/>
      <c r="AQ12" s="3628"/>
      <c r="AR12" s="3628"/>
      <c r="AS12" s="3628"/>
      <c r="AT12" s="3628"/>
    </row>
    <row r="13" spans="1:46">
      <c r="A13" s="3783" t="s">
        <v>3326</v>
      </c>
      <c r="B13" s="3784" t="str">
        <f>'Schedule C'!A16&amp;" - "&amp;'Schedule C'!A135&amp;" - "&amp;'Schedule C'!B135</f>
        <v>Item No. - 70b - Cancellation of Amphitheatre Works issued to MAS - Process not followed</v>
      </c>
      <c r="C13" s="3943" t="s">
        <v>1517</v>
      </c>
      <c r="D13" s="3933">
        <f>'Schedule C'!Q135</f>
        <v>-1108000</v>
      </c>
      <c r="E13" s="3786">
        <f t="shared" si="0"/>
        <v>-0.24018110055346401</v>
      </c>
      <c r="F13" s="3832"/>
      <c r="G13" s="3834" t="s">
        <v>3337</v>
      </c>
      <c r="H13" s="3628"/>
      <c r="I13" s="3628"/>
      <c r="J13" s="3628"/>
      <c r="K13" s="3628"/>
      <c r="L13" s="3628"/>
      <c r="M13" s="3628"/>
      <c r="N13" s="3628"/>
      <c r="O13" s="3628"/>
      <c r="P13" s="3628"/>
      <c r="Q13" s="3628"/>
      <c r="R13" s="3628"/>
      <c r="S13" s="3628"/>
      <c r="T13" s="3628"/>
      <c r="U13" s="3628"/>
      <c r="V13" s="3628"/>
      <c r="W13" s="3628"/>
      <c r="X13" s="3628"/>
      <c r="Y13" s="3628"/>
      <c r="Z13" s="3628"/>
      <c r="AA13" s="3628"/>
      <c r="AB13" s="3628"/>
      <c r="AC13" s="3628"/>
      <c r="AD13" s="3628"/>
      <c r="AE13" s="3628"/>
      <c r="AF13" s="3628"/>
      <c r="AG13" s="3628"/>
      <c r="AH13" s="3628"/>
      <c r="AI13" s="3628"/>
      <c r="AJ13" s="3628"/>
      <c r="AK13" s="3628"/>
      <c r="AL13" s="3628"/>
      <c r="AM13" s="3628"/>
      <c r="AN13" s="3628"/>
      <c r="AO13" s="3628"/>
      <c r="AP13" s="3628"/>
      <c r="AQ13" s="3628"/>
      <c r="AR13" s="3628"/>
      <c r="AS13" s="3628"/>
      <c r="AT13" s="3628"/>
    </row>
    <row r="14" spans="1:46">
      <c r="A14" s="3783" t="s">
        <v>3327</v>
      </c>
      <c r="B14" s="3784" t="str">
        <f>'Schedule C'!A16&amp;" - "&amp;'Schedule C'!A137&amp;" - "&amp;'Schedule C'!B137</f>
        <v>Item No. - 71b - Recovery of Remaining Block work, Plaster work and Paint Work to be carried out by MAS - Process not followed</v>
      </c>
      <c r="C14" s="3943" t="s">
        <v>1517</v>
      </c>
      <c r="D14" s="3933">
        <f>'Schedule C'!Q137</f>
        <v>-4004000</v>
      </c>
      <c r="E14" s="3786">
        <f t="shared" si="0"/>
        <v>-0.8679468651769584</v>
      </c>
      <c r="F14" s="3832"/>
      <c r="G14" s="3834" t="s">
        <v>3337</v>
      </c>
      <c r="H14" s="3628"/>
      <c r="I14" s="3628"/>
      <c r="J14" s="3628"/>
      <c r="K14" s="3628"/>
      <c r="L14" s="3628"/>
      <c r="M14" s="3628"/>
      <c r="N14" s="3628"/>
      <c r="O14" s="3628"/>
      <c r="P14" s="3628"/>
      <c r="Q14" s="3628"/>
      <c r="R14" s="3628"/>
      <c r="S14" s="3628"/>
      <c r="T14" s="3628"/>
      <c r="U14" s="3628"/>
      <c r="V14" s="3628"/>
      <c r="W14" s="3628"/>
      <c r="X14" s="3628"/>
      <c r="Y14" s="3628"/>
      <c r="Z14" s="3628"/>
      <c r="AA14" s="3628"/>
      <c r="AB14" s="3628"/>
      <c r="AC14" s="3628"/>
      <c r="AD14" s="3628"/>
      <c r="AE14" s="3628"/>
      <c r="AF14" s="3628"/>
      <c r="AG14" s="3628"/>
      <c r="AH14" s="3628"/>
      <c r="AI14" s="3628"/>
      <c r="AJ14" s="3628"/>
      <c r="AK14" s="3628"/>
      <c r="AL14" s="3628"/>
      <c r="AM14" s="3628"/>
      <c r="AN14" s="3628"/>
      <c r="AO14" s="3628"/>
      <c r="AP14" s="3628"/>
      <c r="AQ14" s="3628"/>
      <c r="AR14" s="3628"/>
      <c r="AS14" s="3628"/>
      <c r="AT14" s="3628"/>
    </row>
    <row r="15" spans="1:46">
      <c r="A15" s="3783" t="s">
        <v>3328</v>
      </c>
      <c r="B15" s="3784" t="str">
        <f>'Schedule C'!A16&amp;" - "&amp;'Schedule C'!A141&amp;" - "&amp;'Schedule C'!B141</f>
        <v>Item No. - 75 - Deployment of Seven (7) Surveyors</v>
      </c>
      <c r="C15" s="3943" t="s">
        <v>1517</v>
      </c>
      <c r="D15" s="3933">
        <f>'Schedule C'!Q141</f>
        <v>201600</v>
      </c>
      <c r="E15" s="3786">
        <f t="shared" si="0"/>
        <v>4.3700821183734966E-2</v>
      </c>
      <c r="F15" s="3832"/>
      <c r="G15" s="3833">
        <v>45626</v>
      </c>
      <c r="H15" s="3628"/>
      <c r="I15" s="3628"/>
      <c r="J15" s="3628"/>
      <c r="K15" s="3628"/>
      <c r="L15" s="3628"/>
      <c r="M15" s="3628"/>
      <c r="N15" s="3628"/>
      <c r="O15" s="3628"/>
      <c r="P15" s="3628"/>
      <c r="Q15" s="3628"/>
      <c r="R15" s="3628"/>
      <c r="S15" s="3628"/>
      <c r="T15" s="3628"/>
      <c r="U15" s="3628"/>
      <c r="V15" s="3628"/>
      <c r="W15" s="3628"/>
      <c r="X15" s="3628"/>
      <c r="Y15" s="3628"/>
      <c r="Z15" s="3628"/>
      <c r="AA15" s="3628"/>
      <c r="AB15" s="3628"/>
      <c r="AC15" s="3628"/>
      <c r="AD15" s="3628"/>
      <c r="AE15" s="3628"/>
      <c r="AF15" s="3628"/>
      <c r="AG15" s="3628"/>
      <c r="AH15" s="3628"/>
      <c r="AI15" s="3628"/>
      <c r="AJ15" s="3628"/>
      <c r="AK15" s="3628"/>
      <c r="AL15" s="3628"/>
      <c r="AM15" s="3628"/>
      <c r="AN15" s="3628"/>
      <c r="AO15" s="3628"/>
      <c r="AP15" s="3628"/>
      <c r="AQ15" s="3628"/>
      <c r="AR15" s="3628"/>
      <c r="AS15" s="3628"/>
      <c r="AT15" s="3628"/>
    </row>
    <row r="16" spans="1:46">
      <c r="A16" s="3783" t="s">
        <v>3329</v>
      </c>
      <c r="B16" s="3784" t="str">
        <f>'Schedule C'!A16&amp;" - "&amp;'Schedule C'!A144&amp;" - "&amp;'Schedule C'!B144</f>
        <v>Item No. - 78 - Scaffolding works for Secondary Steel and Façade (Design)</v>
      </c>
      <c r="C16" s="3943" t="s">
        <v>1517</v>
      </c>
      <c r="D16" s="3933">
        <f>'Schedule C'!Q144</f>
        <v>75000</v>
      </c>
      <c r="E16" s="3786">
        <f t="shared" si="0"/>
        <v>1.6257745976091878E-2</v>
      </c>
      <c r="F16" s="3832"/>
      <c r="G16" s="3833">
        <v>45641</v>
      </c>
      <c r="H16" s="3628"/>
      <c r="I16" s="3628"/>
      <c r="J16" s="3628"/>
      <c r="K16" s="3628"/>
      <c r="L16" s="3628"/>
      <c r="M16" s="3628"/>
      <c r="N16" s="3628"/>
      <c r="O16" s="3628"/>
      <c r="P16" s="3628"/>
      <c r="Q16" s="3628"/>
      <c r="R16" s="3628"/>
      <c r="S16" s="3628"/>
      <c r="T16" s="3628"/>
      <c r="U16" s="3628"/>
      <c r="V16" s="3628"/>
      <c r="W16" s="3628"/>
      <c r="X16" s="3628"/>
      <c r="Y16" s="3628"/>
      <c r="Z16" s="3628"/>
      <c r="AA16" s="3628"/>
      <c r="AB16" s="3628"/>
      <c r="AC16" s="3628"/>
      <c r="AD16" s="3628"/>
      <c r="AE16" s="3628"/>
      <c r="AF16" s="3628"/>
      <c r="AG16" s="3628"/>
      <c r="AH16" s="3628"/>
      <c r="AI16" s="3628"/>
      <c r="AJ16" s="3628"/>
      <c r="AK16" s="3628"/>
      <c r="AL16" s="3628"/>
      <c r="AM16" s="3628"/>
      <c r="AN16" s="3628"/>
      <c r="AO16" s="3628"/>
      <c r="AP16" s="3628"/>
      <c r="AQ16" s="3628"/>
      <c r="AR16" s="3628"/>
      <c r="AS16" s="3628"/>
      <c r="AT16" s="3628"/>
    </row>
    <row r="17" spans="1:46">
      <c r="A17" s="3783" t="s">
        <v>3330</v>
      </c>
      <c r="B17" s="3784" t="str">
        <f>'Schedule C'!A16&amp;" - "&amp;'Schedule C'!A146&amp;" - "&amp;'Schedule C'!B146</f>
        <v>Item No. - 80 - Reflective Ceiling (Omission from SAB)</v>
      </c>
      <c r="C17" s="3943" t="s">
        <v>1517</v>
      </c>
      <c r="D17" s="3933">
        <f>'Schedule C'!Q146</f>
        <v>0</v>
      </c>
      <c r="E17" s="3786">
        <f t="shared" si="0"/>
        <v>0</v>
      </c>
      <c r="F17" s="3832"/>
      <c r="G17" s="3833">
        <v>45626</v>
      </c>
      <c r="H17" s="3628"/>
      <c r="I17" s="3628"/>
      <c r="J17" s="3628"/>
      <c r="K17" s="3628"/>
      <c r="L17" s="3628"/>
      <c r="M17" s="3628"/>
      <c r="N17" s="3628"/>
      <c r="O17" s="3628"/>
      <c r="P17" s="3628"/>
      <c r="Q17" s="3628"/>
      <c r="R17" s="3628"/>
      <c r="S17" s="3628"/>
      <c r="T17" s="3628"/>
      <c r="U17" s="3628"/>
      <c r="V17" s="3628"/>
      <c r="W17" s="3628"/>
      <c r="X17" s="3628"/>
      <c r="Y17" s="3628"/>
      <c r="Z17" s="3628"/>
      <c r="AA17" s="3628"/>
      <c r="AB17" s="3628"/>
      <c r="AC17" s="3628"/>
      <c r="AD17" s="3628"/>
      <c r="AE17" s="3628"/>
      <c r="AF17" s="3628"/>
      <c r="AG17" s="3628"/>
      <c r="AH17" s="3628"/>
      <c r="AI17" s="3628"/>
      <c r="AJ17" s="3628"/>
      <c r="AK17" s="3628"/>
      <c r="AL17" s="3628"/>
      <c r="AM17" s="3628"/>
      <c r="AN17" s="3628"/>
      <c r="AO17" s="3628"/>
      <c r="AP17" s="3628"/>
      <c r="AQ17" s="3628"/>
      <c r="AR17" s="3628"/>
      <c r="AS17" s="3628"/>
      <c r="AT17" s="3628"/>
    </row>
    <row r="18" spans="1:46">
      <c r="A18" s="3783" t="s">
        <v>3331</v>
      </c>
      <c r="B18" s="3784" t="str">
        <f>'Schedule C'!A16&amp;" - "&amp;'Schedule C'!A120&amp;" - "&amp;'Schedule C'!B120</f>
        <v>Item No. - 59 - Grand Stair Balustrade Revision to Avoid Fall Hazard (Construction)</v>
      </c>
      <c r="C18" s="3943" t="s">
        <v>1517</v>
      </c>
      <c r="D18" s="3933">
        <f>'Schedule C'!Y120</f>
        <v>180170</v>
      </c>
      <c r="E18" s="3786">
        <f t="shared" si="0"/>
        <v>3.9055441233499646E-2</v>
      </c>
      <c r="F18" s="3832"/>
      <c r="G18" s="3833">
        <v>45626</v>
      </c>
      <c r="H18" s="3628"/>
      <c r="I18" s="3628"/>
      <c r="J18" s="3628"/>
      <c r="K18" s="3628"/>
      <c r="L18" s="3628"/>
      <c r="M18" s="3628"/>
      <c r="N18" s="3628"/>
      <c r="O18" s="3628"/>
      <c r="P18" s="3628"/>
      <c r="Q18" s="3628"/>
      <c r="R18" s="3628"/>
      <c r="S18" s="3628"/>
      <c r="T18" s="3628"/>
      <c r="U18" s="3628"/>
      <c r="V18" s="3628"/>
      <c r="W18" s="3628"/>
      <c r="X18" s="3628"/>
      <c r="Y18" s="3628"/>
      <c r="Z18" s="3628"/>
      <c r="AA18" s="3628"/>
      <c r="AB18" s="3628"/>
      <c r="AC18" s="3628"/>
      <c r="AD18" s="3628"/>
      <c r="AE18" s="3628"/>
      <c r="AF18" s="3628"/>
      <c r="AG18" s="3628"/>
      <c r="AH18" s="3628"/>
      <c r="AI18" s="3628"/>
      <c r="AJ18" s="3628"/>
      <c r="AK18" s="3628"/>
      <c r="AL18" s="3628"/>
      <c r="AM18" s="3628"/>
      <c r="AN18" s="3628"/>
      <c r="AO18" s="3628"/>
      <c r="AP18" s="3628"/>
      <c r="AQ18" s="3628"/>
      <c r="AR18" s="3628"/>
      <c r="AS18" s="3628"/>
      <c r="AT18" s="3628"/>
    </row>
    <row r="19" spans="1:46" ht="28.5" customHeight="1">
      <c r="A19" s="3783" t="s">
        <v>3335</v>
      </c>
      <c r="B19" s="3784" t="str">
        <f>'Schedule C'!A16&amp;" - "&amp;'Schedule C'!A112&amp;" - "&amp;'Schedule C'!B112</f>
        <v>Item No. - 55 - Relocation Marina Offices and Regeneration Kitchen (Construction plus abortive Works)</v>
      </c>
      <c r="C19" s="3943" t="s">
        <v>1517</v>
      </c>
      <c r="D19" s="3933">
        <f>'Schedule C'!Y112</f>
        <v>2230142.9900000002</v>
      </c>
      <c r="E19" s="3786">
        <f t="shared" si="0"/>
        <v>0.48342797629042683</v>
      </c>
      <c r="F19" s="3832"/>
      <c r="G19" s="3833">
        <v>45626</v>
      </c>
      <c r="H19" s="3628" t="s">
        <v>3344</v>
      </c>
      <c r="I19" s="3628"/>
      <c r="J19" s="3628"/>
      <c r="K19" s="3628"/>
      <c r="L19" s="3628"/>
      <c r="M19" s="3628"/>
      <c r="N19" s="3628"/>
      <c r="O19" s="3628"/>
      <c r="P19" s="3628"/>
      <c r="Q19" s="3628"/>
      <c r="R19" s="3628"/>
      <c r="S19" s="3628"/>
      <c r="T19" s="3628"/>
      <c r="U19" s="3628"/>
      <c r="V19" s="3628"/>
      <c r="W19" s="3628"/>
      <c r="X19" s="3628"/>
      <c r="Y19" s="3628"/>
      <c r="Z19" s="3628"/>
      <c r="AA19" s="3628"/>
      <c r="AB19" s="3628"/>
      <c r="AC19" s="3628"/>
      <c r="AD19" s="3628"/>
      <c r="AE19" s="3628"/>
      <c r="AF19" s="3628"/>
      <c r="AG19" s="3628"/>
      <c r="AH19" s="3628"/>
      <c r="AI19" s="3628"/>
      <c r="AJ19" s="3628"/>
      <c r="AK19" s="3628"/>
      <c r="AL19" s="3628"/>
      <c r="AM19" s="3628"/>
      <c r="AN19" s="3628"/>
      <c r="AO19" s="3628"/>
      <c r="AP19" s="3628"/>
      <c r="AQ19" s="3628"/>
      <c r="AR19" s="3628"/>
      <c r="AS19" s="3628"/>
      <c r="AT19" s="3628"/>
    </row>
    <row r="20" spans="1:46">
      <c r="A20" s="3783" t="s">
        <v>3336</v>
      </c>
      <c r="B20" s="3784" t="str">
        <f>'Schedule C'!A16&amp;" - "&amp;'Schedule C'!A90&amp;" - "&amp;'Schedule C'!B90</f>
        <v>Item No. - 38 - AYC | Grand Stair Structure Backfill</v>
      </c>
      <c r="C20" s="3943" t="s">
        <v>1517</v>
      </c>
      <c r="D20" s="3933">
        <f>'Schedule C'!Y90</f>
        <v>166610</v>
      </c>
      <c r="E20" s="3786">
        <f t="shared" si="0"/>
        <v>3.611604076102224E-2</v>
      </c>
      <c r="F20" s="3832"/>
      <c r="G20" s="3833">
        <v>45626</v>
      </c>
      <c r="H20" s="3628" t="s">
        <v>3344</v>
      </c>
      <c r="I20" s="3628"/>
      <c r="J20" s="3628"/>
      <c r="K20" s="3628"/>
      <c r="L20" s="3628"/>
      <c r="M20" s="3628"/>
      <c r="N20" s="3628"/>
      <c r="O20" s="3628"/>
      <c r="P20" s="3628"/>
      <c r="Q20" s="3628"/>
      <c r="R20" s="3628"/>
      <c r="S20" s="3628"/>
      <c r="T20" s="3628"/>
      <c r="U20" s="3628"/>
      <c r="V20" s="3628"/>
      <c r="W20" s="3628"/>
      <c r="X20" s="3628"/>
      <c r="Y20" s="3628"/>
      <c r="Z20" s="3628"/>
      <c r="AA20" s="3628"/>
      <c r="AB20" s="3628"/>
      <c r="AC20" s="3628"/>
      <c r="AD20" s="3628"/>
      <c r="AE20" s="3628"/>
      <c r="AF20" s="3628"/>
      <c r="AG20" s="3628"/>
      <c r="AH20" s="3628"/>
      <c r="AI20" s="3628"/>
      <c r="AJ20" s="3628"/>
      <c r="AK20" s="3628"/>
      <c r="AL20" s="3628"/>
      <c r="AM20" s="3628"/>
      <c r="AN20" s="3628"/>
      <c r="AO20" s="3628"/>
      <c r="AP20" s="3628"/>
      <c r="AQ20" s="3628"/>
      <c r="AR20" s="3628"/>
      <c r="AS20" s="3628"/>
      <c r="AT20" s="3628"/>
    </row>
    <row r="21" spans="1:46">
      <c r="A21" s="3783" t="s">
        <v>3346</v>
      </c>
      <c r="B21" s="3784" t="str">
        <f>'Schedule C'!A16&amp;" - "&amp;'Schedule C'!A138&amp;" - "&amp;'Schedule C'!B138</f>
        <v>Item No. - 72 - Alteration to finishes due to Façade Layout Changes - Process not Followed</v>
      </c>
      <c r="C21" s="3943" t="s">
        <v>2558</v>
      </c>
      <c r="D21" s="3933">
        <f>'Schedule C'!Q138</f>
        <v>69000</v>
      </c>
      <c r="E21" s="3786">
        <f t="shared" si="0"/>
        <v>1.4957126298004528E-2</v>
      </c>
      <c r="F21" s="3832"/>
      <c r="G21" s="3833">
        <v>45626</v>
      </c>
      <c r="H21" s="3628"/>
      <c r="I21" s="3949">
        <f>D21+D22+D23+D24+D29+D30</f>
        <v>96201.540000000008</v>
      </c>
      <c r="J21" s="3937">
        <f>'Additional Budget Sum (19Dec)'!I13</f>
        <v>11551602.920000002</v>
      </c>
      <c r="K21" s="3937">
        <f>I21-J21</f>
        <v>-11455401.380000003</v>
      </c>
      <c r="L21" s="3628"/>
      <c r="M21" s="3628"/>
      <c r="N21" s="3628"/>
      <c r="O21" s="3628"/>
      <c r="P21" s="3628"/>
      <c r="Q21" s="3628"/>
      <c r="R21" s="3628"/>
      <c r="S21" s="3628"/>
      <c r="T21" s="3628"/>
      <c r="U21" s="3628"/>
      <c r="V21" s="3628"/>
      <c r="W21" s="3628"/>
      <c r="X21" s="3628"/>
      <c r="Y21" s="3628"/>
      <c r="Z21" s="3628"/>
      <c r="AA21" s="3628"/>
      <c r="AB21" s="3628"/>
      <c r="AC21" s="3628"/>
      <c r="AD21" s="3628"/>
      <c r="AE21" s="3628"/>
      <c r="AF21" s="3628"/>
      <c r="AG21" s="3628"/>
      <c r="AH21" s="3628"/>
      <c r="AI21" s="3628"/>
      <c r="AJ21" s="3628"/>
      <c r="AK21" s="3628"/>
      <c r="AL21" s="3628"/>
      <c r="AM21" s="3628"/>
      <c r="AN21" s="3628"/>
      <c r="AO21" s="3628"/>
      <c r="AP21" s="3628"/>
      <c r="AQ21" s="3628"/>
      <c r="AR21" s="3628"/>
      <c r="AS21" s="3628"/>
      <c r="AT21" s="3628"/>
    </row>
    <row r="22" spans="1:46">
      <c r="A22" s="3783" t="s">
        <v>3347</v>
      </c>
      <c r="B22" s="3784" t="str">
        <f>'Schedule C'!A16&amp;" - "&amp;'Schedule C'!A142&amp;" - "&amp;'Schedule C'!B142</f>
        <v>Item No. - 76 - Employer’s instruction for ID Finishes on Vertical Transportation Fixture Elements</v>
      </c>
      <c r="C22" s="3943" t="s">
        <v>2558</v>
      </c>
      <c r="D22" s="3933">
        <f>'Schedule C'!Q142</f>
        <v>0</v>
      </c>
      <c r="E22" s="3786">
        <f t="shared" si="0"/>
        <v>0</v>
      </c>
      <c r="F22" s="3832"/>
      <c r="G22" s="3833">
        <v>45626</v>
      </c>
      <c r="H22" s="3628"/>
      <c r="I22" s="3628"/>
      <c r="J22" s="3628"/>
      <c r="K22" s="3628"/>
      <c r="L22" s="3628"/>
      <c r="M22" s="3628"/>
      <c r="N22" s="3628"/>
      <c r="O22" s="3628"/>
      <c r="P22" s="3628"/>
      <c r="Q22" s="3628"/>
      <c r="R22" s="3628"/>
      <c r="S22" s="3628"/>
      <c r="T22" s="3628"/>
      <c r="U22" s="3628"/>
      <c r="V22" s="3628"/>
      <c r="W22" s="3628"/>
      <c r="X22" s="3628"/>
      <c r="Y22" s="3628"/>
      <c r="Z22" s="3628"/>
      <c r="AA22" s="3628"/>
      <c r="AB22" s="3628"/>
      <c r="AC22" s="3628"/>
      <c r="AD22" s="3628"/>
      <c r="AE22" s="3628"/>
      <c r="AF22" s="3628"/>
      <c r="AG22" s="3628"/>
      <c r="AH22" s="3628"/>
      <c r="AI22" s="3628"/>
      <c r="AJ22" s="3628"/>
      <c r="AK22" s="3628"/>
      <c r="AL22" s="3628"/>
      <c r="AM22" s="3628"/>
      <c r="AN22" s="3628"/>
      <c r="AO22" s="3628"/>
      <c r="AP22" s="3628"/>
      <c r="AQ22" s="3628"/>
      <c r="AR22" s="3628"/>
      <c r="AS22" s="3628"/>
      <c r="AT22" s="3628"/>
    </row>
    <row r="23" spans="1:46">
      <c r="A23" s="3783" t="s">
        <v>3348</v>
      </c>
      <c r="B23" s="3784" t="str">
        <f>'Schedule C'!A16&amp;" - "&amp;'Schedule C'!A114&amp;" - "&amp;'Schedule C'!B114</f>
        <v>Item No. - 56 - AYC Guest Lobby Staircase Geometry &amp; Finish Revisions (Construction)</v>
      </c>
      <c r="C23" s="3943" t="s">
        <v>2558</v>
      </c>
      <c r="D23" s="3933">
        <f>'Schedule C'!Y114</f>
        <v>0</v>
      </c>
      <c r="E23" s="3786">
        <f t="shared" si="0"/>
        <v>0</v>
      </c>
      <c r="F23" s="3832"/>
      <c r="G23" s="3833">
        <v>45626</v>
      </c>
      <c r="H23" s="3628"/>
      <c r="I23" s="3628"/>
      <c r="J23" s="3628"/>
      <c r="K23" s="3628"/>
      <c r="L23" s="3628"/>
      <c r="M23" s="3628"/>
      <c r="N23" s="3628"/>
      <c r="O23" s="3628"/>
      <c r="P23" s="3628"/>
      <c r="Q23" s="3628"/>
      <c r="R23" s="3628"/>
      <c r="S23" s="3628"/>
      <c r="T23" s="3628"/>
      <c r="U23" s="3628"/>
      <c r="V23" s="3628"/>
      <c r="W23" s="3628"/>
      <c r="X23" s="3628"/>
      <c r="Y23" s="3628"/>
      <c r="Z23" s="3628"/>
      <c r="AA23" s="3628"/>
      <c r="AB23" s="3628"/>
      <c r="AC23" s="3628"/>
      <c r="AD23" s="3628"/>
      <c r="AE23" s="3628"/>
      <c r="AF23" s="3628"/>
      <c r="AG23" s="3628"/>
      <c r="AH23" s="3628"/>
      <c r="AI23" s="3628"/>
      <c r="AJ23" s="3628"/>
      <c r="AK23" s="3628"/>
      <c r="AL23" s="3628"/>
      <c r="AM23" s="3628"/>
      <c r="AN23" s="3628"/>
      <c r="AO23" s="3628"/>
      <c r="AP23" s="3628"/>
      <c r="AQ23" s="3628"/>
      <c r="AR23" s="3628"/>
      <c r="AS23" s="3628"/>
      <c r="AT23" s="3628"/>
    </row>
    <row r="24" spans="1:46">
      <c r="A24" s="3783" t="s">
        <v>3349</v>
      </c>
      <c r="B24" s="3784" t="str">
        <f>'Schedule C'!A16&amp;" - "&amp;'Schedule C'!A118&amp;" - "&amp;'Schedule C'!B118</f>
        <v>Item No. - 58 - Changes to Members Lobby and Guest Lobby Staircase Ballustrades</v>
      </c>
      <c r="C24" s="3943" t="s">
        <v>2558</v>
      </c>
      <c r="D24" s="3933">
        <f>'Schedule C'!Y118</f>
        <v>27201.54</v>
      </c>
      <c r="E24" s="3786">
        <f t="shared" si="0"/>
        <v>5.8964763663800299E-3</v>
      </c>
      <c r="F24" s="3832"/>
      <c r="G24" s="3833">
        <v>45626</v>
      </c>
      <c r="H24" s="3628"/>
      <c r="I24" s="3628"/>
      <c r="J24" s="3628"/>
      <c r="K24" s="3628"/>
      <c r="L24" s="3628"/>
      <c r="M24" s="3628"/>
      <c r="N24" s="3628"/>
      <c r="O24" s="3628"/>
      <c r="P24" s="3628"/>
      <c r="Q24" s="3628"/>
      <c r="R24" s="3628"/>
      <c r="S24" s="3628"/>
      <c r="T24" s="3628"/>
      <c r="U24" s="3628"/>
      <c r="V24" s="3628"/>
      <c r="W24" s="3628"/>
      <c r="X24" s="3628"/>
      <c r="Y24" s="3628"/>
      <c r="Z24" s="3628"/>
      <c r="AA24" s="3628"/>
      <c r="AB24" s="3628"/>
      <c r="AC24" s="3628"/>
      <c r="AD24" s="3628"/>
      <c r="AE24" s="3628"/>
      <c r="AF24" s="3628"/>
      <c r="AG24" s="3628"/>
      <c r="AH24" s="3628"/>
      <c r="AI24" s="3628"/>
      <c r="AJ24" s="3628"/>
      <c r="AK24" s="3628"/>
      <c r="AL24" s="3628"/>
      <c r="AM24" s="3628"/>
      <c r="AN24" s="3628"/>
      <c r="AO24" s="3628"/>
      <c r="AP24" s="3628"/>
      <c r="AQ24" s="3628"/>
      <c r="AR24" s="3628"/>
      <c r="AS24" s="3628"/>
      <c r="AT24" s="3628"/>
    </row>
    <row r="25" spans="1:46">
      <c r="A25" s="3783" t="s">
        <v>3350</v>
      </c>
      <c r="B25" s="3784" t="str">
        <f>'Schedule C'!A16&amp;" - "&amp;'Schedule C'!A143&amp;" - "&amp;'Schedule C'!B143</f>
        <v>Item No. - 77 - AYC – Disassembly and Reassembly of electronic items from VT fixtures</v>
      </c>
      <c r="C25" s="3943" t="s">
        <v>155</v>
      </c>
      <c r="D25" s="3933">
        <f>'Schedule C'!Q143</f>
        <v>0</v>
      </c>
      <c r="E25" s="3786">
        <f t="shared" si="0"/>
        <v>0</v>
      </c>
      <c r="F25" s="3832"/>
      <c r="G25" s="3833">
        <v>45626</v>
      </c>
      <c r="H25" s="3628"/>
      <c r="I25" s="3949">
        <f>D25</f>
        <v>0</v>
      </c>
      <c r="J25" s="3628">
        <f>'Additional Budget Sum (19Dec)'!I11</f>
        <v>549371.04999999981</v>
      </c>
      <c r="K25" s="3937">
        <f>I25-J25</f>
        <v>-549371.04999999981</v>
      </c>
      <c r="L25" s="3628"/>
      <c r="M25" s="3628"/>
      <c r="N25" s="3628"/>
      <c r="O25" s="3628"/>
      <c r="P25" s="3628"/>
      <c r="Q25" s="3628"/>
      <c r="R25" s="3628"/>
      <c r="S25" s="3628"/>
      <c r="T25" s="3628"/>
      <c r="U25" s="3628"/>
      <c r="V25" s="3628"/>
      <c r="W25" s="3628"/>
      <c r="X25" s="3628"/>
      <c r="Y25" s="3628"/>
      <c r="Z25" s="3628"/>
      <c r="AA25" s="3628"/>
      <c r="AB25" s="3628"/>
      <c r="AC25" s="3628"/>
      <c r="AD25" s="3628"/>
      <c r="AE25" s="3628"/>
      <c r="AF25" s="3628"/>
      <c r="AG25" s="3628"/>
      <c r="AH25" s="3628"/>
      <c r="AI25" s="3628"/>
      <c r="AJ25" s="3628"/>
      <c r="AK25" s="3628"/>
      <c r="AL25" s="3628"/>
      <c r="AM25" s="3628"/>
      <c r="AN25" s="3628"/>
      <c r="AO25" s="3628"/>
      <c r="AP25" s="3628"/>
      <c r="AQ25" s="3628"/>
      <c r="AR25" s="3628"/>
      <c r="AS25" s="3628"/>
      <c r="AT25" s="3628"/>
    </row>
    <row r="26" spans="1:46">
      <c r="A26" s="3783" t="s">
        <v>3351</v>
      </c>
      <c r="B26" s="3784" t="str">
        <f>'Schedule C'!A16&amp;" - "&amp;'Schedule C'!A111&amp;" - "&amp;'Schedule C'!B111</f>
        <v>Item No. - 55 - Relocation Marina Offices and Regeneration Kitchen (Kitchen)</v>
      </c>
      <c r="C26" s="3943" t="s">
        <v>2043</v>
      </c>
      <c r="D26" s="3933">
        <f>'Schedule C'!Y111</f>
        <v>1109644.6000000001</v>
      </c>
      <c r="E26" s="3786">
        <f t="shared" si="0"/>
        <v>0.24053760040722777</v>
      </c>
      <c r="F26" s="3832"/>
      <c r="G26" s="3833">
        <v>45626</v>
      </c>
      <c r="H26" s="3628"/>
      <c r="I26" s="3949">
        <f>D26</f>
        <v>1109644.6000000001</v>
      </c>
      <c r="J26" s="3628">
        <f>'Additional Budget Sum (19Dec)'!I12</f>
        <v>1365246.4499999993</v>
      </c>
      <c r="K26" s="3937">
        <f>I26-J26</f>
        <v>-255601.84999999916</v>
      </c>
      <c r="L26" s="3628"/>
      <c r="M26" s="3628"/>
      <c r="N26" s="3628"/>
      <c r="O26" s="3628"/>
      <c r="P26" s="3628"/>
      <c r="Q26" s="3628"/>
      <c r="R26" s="3628"/>
      <c r="S26" s="3628"/>
      <c r="T26" s="3628"/>
      <c r="U26" s="3628"/>
      <c r="V26" s="3628"/>
      <c r="W26" s="3628"/>
      <c r="X26" s="3628"/>
      <c r="Y26" s="3628"/>
      <c r="Z26" s="3628"/>
      <c r="AA26" s="3628"/>
      <c r="AB26" s="3628"/>
      <c r="AC26" s="3628"/>
      <c r="AD26" s="3628"/>
      <c r="AE26" s="3628"/>
      <c r="AF26" s="3628"/>
      <c r="AG26" s="3628"/>
      <c r="AH26" s="3628"/>
      <c r="AI26" s="3628"/>
      <c r="AJ26" s="3628"/>
      <c r="AK26" s="3628"/>
      <c r="AL26" s="3628"/>
      <c r="AM26" s="3628"/>
      <c r="AN26" s="3628"/>
      <c r="AO26" s="3628"/>
      <c r="AP26" s="3628"/>
      <c r="AQ26" s="3628"/>
      <c r="AR26" s="3628"/>
      <c r="AS26" s="3628"/>
      <c r="AT26" s="3628"/>
    </row>
    <row r="27" spans="1:46">
      <c r="A27" s="3783" t="s">
        <v>3352</v>
      </c>
      <c r="B27" s="3784" t="str">
        <f>'Schedule C'!A16&amp;" - "&amp;'Schedule C'!A139&amp;" - "&amp;'Schedule C'!B139</f>
        <v>Item No. - 73 - Additional Porte Cochere Works to be carried out by MAS</v>
      </c>
      <c r="C27" s="3944" t="s">
        <v>3418</v>
      </c>
      <c r="D27" s="3933">
        <f>'Schedule C'!Q139</f>
        <v>0</v>
      </c>
      <c r="E27" s="3786">
        <f t="shared" si="0"/>
        <v>0</v>
      </c>
      <c r="F27" s="3832"/>
      <c r="G27" s="3833">
        <v>45626</v>
      </c>
      <c r="H27" s="3628"/>
      <c r="I27" s="3628"/>
      <c r="J27" s="3628"/>
      <c r="K27" s="3628"/>
      <c r="L27" s="3628"/>
      <c r="M27" s="3628"/>
      <c r="N27" s="3628"/>
      <c r="O27" s="3628"/>
      <c r="P27" s="3628"/>
      <c r="Q27" s="3628"/>
      <c r="R27" s="3628"/>
      <c r="S27" s="3628"/>
      <c r="T27" s="3628"/>
      <c r="U27" s="3628"/>
      <c r="V27" s="3628"/>
      <c r="W27" s="3628"/>
      <c r="X27" s="3628"/>
      <c r="Y27" s="3628"/>
      <c r="Z27" s="3628"/>
      <c r="AA27" s="3628"/>
      <c r="AB27" s="3628"/>
      <c r="AC27" s="3628"/>
      <c r="AD27" s="3628"/>
      <c r="AE27" s="3628"/>
      <c r="AF27" s="3628"/>
      <c r="AG27" s="3628"/>
      <c r="AH27" s="3628"/>
      <c r="AI27" s="3628"/>
      <c r="AJ27" s="3628"/>
      <c r="AK27" s="3628"/>
      <c r="AL27" s="3628"/>
      <c r="AM27" s="3628"/>
      <c r="AN27" s="3628"/>
      <c r="AO27" s="3628"/>
      <c r="AP27" s="3628"/>
      <c r="AQ27" s="3628"/>
      <c r="AR27" s="3628"/>
      <c r="AS27" s="3628"/>
      <c r="AT27" s="3628"/>
    </row>
    <row r="28" spans="1:46">
      <c r="A28" s="3783" t="s">
        <v>3353</v>
      </c>
      <c r="B28" s="3784" t="str">
        <f>'Schedule C'!A16&amp;" - "&amp;'Schedule C'!A125&amp;" - "&amp;'Schedule C'!B125</f>
        <v>Item No. - 61 -  Addition of Accessories to Existing Artwork Proposal - Change Decision Pack_Artwork Package</v>
      </c>
      <c r="C28" s="3943" t="s">
        <v>2966</v>
      </c>
      <c r="D28" s="3933">
        <f>'Schedule C'!Y125</f>
        <v>429156</v>
      </c>
      <c r="E28" s="3786">
        <f t="shared" si="0"/>
        <v>9.302812309487582E-2</v>
      </c>
      <c r="F28" s="3785"/>
      <c r="G28" s="3833">
        <v>45626</v>
      </c>
      <c r="H28" s="3628"/>
      <c r="I28" s="3628"/>
      <c r="J28" s="3628"/>
      <c r="K28" s="3628"/>
      <c r="L28" s="3628"/>
      <c r="M28" s="3628"/>
      <c r="N28" s="3628"/>
      <c r="O28" s="3628"/>
      <c r="P28" s="3628"/>
      <c r="Q28" s="3628"/>
      <c r="R28" s="3628"/>
      <c r="S28" s="3628"/>
      <c r="T28" s="3628"/>
      <c r="U28" s="3628"/>
      <c r="V28" s="3628"/>
      <c r="W28" s="3628"/>
      <c r="X28" s="3628"/>
      <c r="Y28" s="3628"/>
      <c r="Z28" s="3628"/>
      <c r="AA28" s="3628"/>
      <c r="AB28" s="3628"/>
      <c r="AC28" s="3628"/>
      <c r="AD28" s="3628"/>
      <c r="AE28" s="3628"/>
      <c r="AF28" s="3628"/>
      <c r="AG28" s="3628"/>
      <c r="AH28" s="3628"/>
      <c r="AI28" s="3628"/>
      <c r="AJ28" s="3628"/>
      <c r="AK28" s="3628"/>
      <c r="AL28" s="3628"/>
      <c r="AM28" s="3628"/>
      <c r="AN28" s="3628"/>
      <c r="AO28" s="3628"/>
      <c r="AP28" s="3628"/>
      <c r="AQ28" s="3628"/>
      <c r="AR28" s="3628"/>
      <c r="AS28" s="3628"/>
      <c r="AT28" s="3628"/>
    </row>
    <row r="29" spans="1:46">
      <c r="A29" s="3783" t="s">
        <v>3354</v>
      </c>
      <c r="B29" s="3784" t="str">
        <f>'Schedule C'!A16&amp;" - "&amp;'Schedule C'!A148&amp;" - "&amp;'Schedule C'!B148</f>
        <v>Item No. - 82 - Installation of MDF Platform / Ceiling</v>
      </c>
      <c r="C29" s="3943" t="s">
        <v>2558</v>
      </c>
      <c r="D29" s="3933">
        <f>'Schedule C'!Q148</f>
        <v>0</v>
      </c>
      <c r="E29" s="3786">
        <f t="shared" si="0"/>
        <v>0</v>
      </c>
      <c r="F29" s="3785"/>
      <c r="G29" s="3833">
        <v>45631</v>
      </c>
      <c r="H29" s="3628"/>
      <c r="I29" s="3628"/>
      <c r="J29" s="3628"/>
      <c r="K29" s="3628"/>
      <c r="L29" s="3628"/>
      <c r="M29" s="3628"/>
      <c r="N29" s="3628"/>
      <c r="O29" s="3628"/>
      <c r="P29" s="3628"/>
      <c r="Q29" s="3628"/>
      <c r="R29" s="3628"/>
      <c r="S29" s="3628"/>
      <c r="T29" s="3628"/>
      <c r="U29" s="3628"/>
      <c r="V29" s="3628"/>
      <c r="W29" s="3628"/>
      <c r="X29" s="3628"/>
      <c r="Y29" s="3628"/>
      <c r="Z29" s="3628"/>
      <c r="AA29" s="3628"/>
      <c r="AB29" s="3628"/>
      <c r="AC29" s="3628"/>
      <c r="AD29" s="3628"/>
      <c r="AE29" s="3628"/>
      <c r="AF29" s="3628"/>
      <c r="AG29" s="3628"/>
      <c r="AH29" s="3628"/>
      <c r="AI29" s="3628"/>
      <c r="AJ29" s="3628"/>
      <c r="AK29" s="3628"/>
      <c r="AL29" s="3628"/>
      <c r="AM29" s="3628"/>
      <c r="AN29" s="3628"/>
      <c r="AO29" s="3628"/>
      <c r="AP29" s="3628"/>
      <c r="AQ29" s="3628"/>
      <c r="AR29" s="3628"/>
      <c r="AS29" s="3628"/>
      <c r="AT29" s="3628"/>
    </row>
    <row r="30" spans="1:46">
      <c r="A30" s="3783" t="s">
        <v>3355</v>
      </c>
      <c r="B30" s="3784" t="str">
        <f>'Schedule C'!A16&amp;" - "&amp;'Schedule C'!A149&amp;" - "&amp;'Schedule C'!B149</f>
        <v>Item No. - 83 - Column Dry Wall Cladding and Partitions</v>
      </c>
      <c r="C30" s="3943" t="s">
        <v>2558</v>
      </c>
      <c r="D30" s="3933">
        <f>'Schedule C'!Q149</f>
        <v>0</v>
      </c>
      <c r="E30" s="3786">
        <f t="shared" si="0"/>
        <v>0</v>
      </c>
      <c r="F30" s="3785"/>
      <c r="G30" s="3833">
        <v>45631</v>
      </c>
      <c r="H30" s="3628"/>
      <c r="I30" s="3628"/>
      <c r="J30" s="3628"/>
      <c r="K30" s="3628"/>
      <c r="L30" s="3628"/>
      <c r="M30" s="3628"/>
      <c r="N30" s="3628"/>
      <c r="O30" s="3628"/>
      <c r="P30" s="3628"/>
      <c r="Q30" s="3628"/>
      <c r="R30" s="3628"/>
      <c r="S30" s="3628"/>
      <c r="T30" s="3628"/>
      <c r="U30" s="3628"/>
      <c r="V30" s="3628"/>
      <c r="W30" s="3628"/>
      <c r="X30" s="3628"/>
      <c r="Y30" s="3628"/>
      <c r="Z30" s="3628"/>
      <c r="AA30" s="3628"/>
      <c r="AB30" s="3628"/>
      <c r="AC30" s="3628"/>
      <c r="AD30" s="3628"/>
      <c r="AE30" s="3628"/>
      <c r="AF30" s="3628"/>
      <c r="AG30" s="3628"/>
      <c r="AH30" s="3628"/>
      <c r="AI30" s="3628"/>
      <c r="AJ30" s="3628"/>
      <c r="AK30" s="3628"/>
      <c r="AL30" s="3628"/>
      <c r="AM30" s="3628"/>
      <c r="AN30" s="3628"/>
      <c r="AO30" s="3628"/>
      <c r="AP30" s="3628"/>
      <c r="AQ30" s="3628"/>
      <c r="AR30" s="3628"/>
      <c r="AS30" s="3628"/>
      <c r="AT30" s="3628"/>
    </row>
    <row r="31" spans="1:46">
      <c r="A31" s="3783" t="s">
        <v>3356</v>
      </c>
      <c r="B31" s="3784" t="str">
        <f>'Schedule C'!A16&amp;" - "&amp;'Schedule C'!A150&amp;" - "&amp;'Schedule C'!B150</f>
        <v>Item No. - 84 - Column Dry Wall Cladding and Partitions (Blockworks Omission)</v>
      </c>
      <c r="C31" s="3943" t="s">
        <v>1517</v>
      </c>
      <c r="D31" s="3933">
        <f>'Schedule C'!Q150</f>
        <v>-9180</v>
      </c>
      <c r="E31" s="3786">
        <f t="shared" si="0"/>
        <v>-1.9899481074736459E-3</v>
      </c>
      <c r="F31" s="3785"/>
      <c r="G31" s="3833">
        <v>45631</v>
      </c>
      <c r="H31" s="3628"/>
      <c r="I31" s="3628"/>
      <c r="J31" s="3628"/>
      <c r="K31" s="3628"/>
      <c r="L31" s="3628"/>
      <c r="M31" s="3628"/>
      <c r="N31" s="3628"/>
      <c r="O31" s="3628"/>
      <c r="P31" s="3628"/>
      <c r="Q31" s="3628"/>
      <c r="R31" s="3628"/>
      <c r="S31" s="3628"/>
      <c r="T31" s="3628"/>
      <c r="U31" s="3628"/>
      <c r="V31" s="3628"/>
      <c r="W31" s="3628"/>
      <c r="X31" s="3628"/>
      <c r="Y31" s="3628"/>
      <c r="Z31" s="3628"/>
      <c r="AA31" s="3628"/>
      <c r="AB31" s="3628"/>
      <c r="AC31" s="3628"/>
      <c r="AD31" s="3628"/>
      <c r="AE31" s="3628"/>
      <c r="AF31" s="3628"/>
      <c r="AG31" s="3628"/>
      <c r="AH31" s="3628"/>
      <c r="AI31" s="3628"/>
      <c r="AJ31" s="3628"/>
      <c r="AK31" s="3628"/>
      <c r="AL31" s="3628"/>
      <c r="AM31" s="3628"/>
      <c r="AN31" s="3628"/>
      <c r="AO31" s="3628"/>
      <c r="AP31" s="3628"/>
      <c r="AQ31" s="3628"/>
      <c r="AR31" s="3628"/>
      <c r="AS31" s="3628"/>
      <c r="AT31" s="3628"/>
    </row>
    <row r="32" spans="1:46" ht="28.5">
      <c r="A32" s="3783" t="s">
        <v>3357</v>
      </c>
      <c r="B32" s="3784" t="str">
        <f>'Schedule C'!A16&amp;" - "&amp;'Schedule C'!A151&amp;" - "&amp;'Schedule C'!B151</f>
        <v xml:space="preserve">Item No. - 85 - Replace the existing FOH electrical faceplates in designated areas of the Project with upgraded units meeting specifications. </v>
      </c>
      <c r="C32" s="3943" t="s">
        <v>3207</v>
      </c>
      <c r="D32" s="3933">
        <f>'Schedule C'!Q151</f>
        <v>0</v>
      </c>
      <c r="E32" s="3786">
        <f t="shared" si="0"/>
        <v>0</v>
      </c>
      <c r="F32" s="3785"/>
      <c r="G32" s="3833">
        <v>45631</v>
      </c>
      <c r="H32" s="3628"/>
      <c r="I32" s="3949">
        <f>D32+D34+D36+D37</f>
        <v>0</v>
      </c>
      <c r="J32" s="3628">
        <f>'Additional Budget Sum (19Dec)'!I18</f>
        <v>72415331.689999983</v>
      </c>
      <c r="K32" s="3937">
        <f>I32-J32</f>
        <v>-72415331.689999983</v>
      </c>
      <c r="L32" s="3628"/>
      <c r="M32" s="3628"/>
      <c r="N32" s="3628"/>
      <c r="O32" s="3628"/>
      <c r="P32" s="3628"/>
      <c r="Q32" s="3628"/>
      <c r="R32" s="3628"/>
      <c r="S32" s="3628"/>
      <c r="T32" s="3628"/>
      <c r="U32" s="3628"/>
      <c r="V32" s="3628"/>
      <c r="W32" s="3628"/>
      <c r="X32" s="3628"/>
      <c r="Y32" s="3628"/>
      <c r="Z32" s="3628"/>
      <c r="AA32" s="3628"/>
      <c r="AB32" s="3628"/>
      <c r="AC32" s="3628"/>
      <c r="AD32" s="3628"/>
      <c r="AE32" s="3628"/>
      <c r="AF32" s="3628"/>
      <c r="AG32" s="3628"/>
      <c r="AH32" s="3628"/>
      <c r="AI32" s="3628"/>
      <c r="AJ32" s="3628"/>
      <c r="AK32" s="3628"/>
      <c r="AL32" s="3628"/>
      <c r="AM32" s="3628"/>
      <c r="AN32" s="3628"/>
      <c r="AO32" s="3628"/>
      <c r="AP32" s="3628"/>
      <c r="AQ32" s="3628"/>
      <c r="AR32" s="3628"/>
      <c r="AS32" s="3628"/>
      <c r="AT32" s="3628"/>
    </row>
    <row r="33" spans="1:46" ht="39" customHeight="1">
      <c r="A33" s="3783" t="s">
        <v>3358</v>
      </c>
      <c r="B33" s="3784" t="str">
        <f>'Schedule C'!A16&amp;" - "&amp;'Schedule C'!A152&amp;" - "&amp;'Schedule C'!B152</f>
        <v>Item No. - 86 - Replace the existing FOH electrical faceplates in designated areas of the Project with upgraded units meeting specifications. 
(Omission from SAB)</v>
      </c>
      <c r="C33" s="3943" t="s">
        <v>1517</v>
      </c>
      <c r="D33" s="3933">
        <f>'Schedule C'!Q152</f>
        <v>-68541</v>
      </c>
      <c r="E33" s="3786">
        <f t="shared" si="0"/>
        <v>-1.4857628892630845E-2</v>
      </c>
      <c r="F33" s="3785"/>
      <c r="G33" s="3833">
        <v>45631</v>
      </c>
      <c r="H33" s="3628"/>
      <c r="I33" s="3628"/>
      <c r="J33" s="3628"/>
      <c r="K33" s="3628"/>
      <c r="L33" s="3628"/>
      <c r="M33" s="3628"/>
      <c r="N33" s="3628"/>
      <c r="O33" s="3628"/>
      <c r="P33" s="3628"/>
      <c r="Q33" s="3628"/>
      <c r="R33" s="3628"/>
      <c r="S33" s="3628"/>
      <c r="T33" s="3628"/>
      <c r="U33" s="3628"/>
      <c r="V33" s="3628"/>
      <c r="W33" s="3628"/>
      <c r="X33" s="3628"/>
      <c r="Y33" s="3628"/>
      <c r="Z33" s="3628"/>
      <c r="AA33" s="3628"/>
      <c r="AB33" s="3628"/>
      <c r="AC33" s="3628"/>
      <c r="AD33" s="3628"/>
      <c r="AE33" s="3628"/>
      <c r="AF33" s="3628"/>
      <c r="AG33" s="3628"/>
      <c r="AH33" s="3628"/>
      <c r="AI33" s="3628"/>
      <c r="AJ33" s="3628"/>
      <c r="AK33" s="3628"/>
      <c r="AL33" s="3628"/>
      <c r="AM33" s="3628"/>
      <c r="AN33" s="3628"/>
      <c r="AO33" s="3628"/>
      <c r="AP33" s="3628"/>
      <c r="AQ33" s="3628"/>
      <c r="AR33" s="3628"/>
      <c r="AS33" s="3628"/>
      <c r="AT33" s="3628"/>
    </row>
    <row r="34" spans="1:46">
      <c r="A34" s="3783" t="s">
        <v>3420</v>
      </c>
      <c r="B34" s="3784" t="str">
        <f>'Schedule C'!A16&amp;" - "&amp;'Schedule C'!A153&amp;" - "&amp;'Schedule C'!B153</f>
        <v>Item No. - 87 - LPG Works (Al Fanar)</v>
      </c>
      <c r="C34" s="3943" t="s">
        <v>3207</v>
      </c>
      <c r="D34" s="3933">
        <f>'Schedule C'!Q153</f>
        <v>0</v>
      </c>
      <c r="E34" s="3786">
        <f t="shared" si="0"/>
        <v>0</v>
      </c>
      <c r="F34" s="3785"/>
      <c r="G34" s="3833">
        <v>45631</v>
      </c>
      <c r="H34" s="3628"/>
      <c r="I34" s="3628"/>
      <c r="J34" s="3628"/>
      <c r="K34" s="3628"/>
      <c r="L34" s="3628"/>
      <c r="M34" s="3628"/>
      <c r="N34" s="3628"/>
      <c r="O34" s="3628"/>
      <c r="P34" s="3628"/>
      <c r="Q34" s="3628"/>
      <c r="R34" s="3628"/>
      <c r="S34" s="3628"/>
      <c r="T34" s="3628"/>
      <c r="U34" s="3628"/>
      <c r="V34" s="3628"/>
      <c r="W34" s="3628"/>
      <c r="X34" s="3628"/>
      <c r="Y34" s="3628"/>
      <c r="Z34" s="3628"/>
      <c r="AA34" s="3628"/>
      <c r="AB34" s="3628"/>
      <c r="AC34" s="3628"/>
      <c r="AD34" s="3628"/>
      <c r="AE34" s="3628"/>
      <c r="AF34" s="3628"/>
      <c r="AG34" s="3628"/>
      <c r="AH34" s="3628"/>
      <c r="AI34" s="3628"/>
      <c r="AJ34" s="3628"/>
      <c r="AK34" s="3628"/>
      <c r="AL34" s="3628"/>
      <c r="AM34" s="3628"/>
      <c r="AN34" s="3628"/>
      <c r="AO34" s="3628"/>
      <c r="AP34" s="3628"/>
      <c r="AQ34" s="3628"/>
      <c r="AR34" s="3628"/>
      <c r="AS34" s="3628"/>
      <c r="AT34" s="3628"/>
    </row>
    <row r="35" spans="1:46">
      <c r="A35" s="3783" t="s">
        <v>3421</v>
      </c>
      <c r="B35" s="3784" t="str">
        <f>'Schedule C'!A16&amp;" - "&amp;'Schedule C'!A154&amp;" - "&amp;'Schedule C'!B154</f>
        <v>Item No. - 88 - LPG Works (Omission from SAB)</v>
      </c>
      <c r="C35" s="3943" t="s">
        <v>1517</v>
      </c>
      <c r="D35" s="3933">
        <f>'Schedule C'!Q154</f>
        <v>-582220</v>
      </c>
      <c r="E35" s="3786">
        <f t="shared" si="0"/>
        <v>-0.1262077981626695</v>
      </c>
      <c r="F35" s="3785"/>
      <c r="G35" s="3833">
        <v>45631</v>
      </c>
      <c r="H35" s="3628"/>
      <c r="I35" s="3628"/>
      <c r="J35" s="3628"/>
      <c r="K35" s="3628"/>
      <c r="L35" s="3628"/>
      <c r="M35" s="3628"/>
      <c r="N35" s="3628"/>
      <c r="O35" s="3628"/>
      <c r="P35" s="3628"/>
      <c r="Q35" s="3628"/>
      <c r="R35" s="3628"/>
      <c r="S35" s="3628"/>
      <c r="T35" s="3628"/>
      <c r="U35" s="3628"/>
      <c r="V35" s="3628"/>
      <c r="W35" s="3628"/>
      <c r="X35" s="3628"/>
      <c r="Y35" s="3628"/>
      <c r="Z35" s="3628"/>
      <c r="AA35" s="3628"/>
      <c r="AB35" s="3628"/>
      <c r="AC35" s="3628"/>
      <c r="AD35" s="3628"/>
      <c r="AE35" s="3628"/>
      <c r="AF35" s="3628"/>
      <c r="AG35" s="3628"/>
      <c r="AH35" s="3628"/>
      <c r="AI35" s="3628"/>
      <c r="AJ35" s="3628"/>
      <c r="AK35" s="3628"/>
      <c r="AL35" s="3628"/>
      <c r="AM35" s="3628"/>
      <c r="AN35" s="3628"/>
      <c r="AO35" s="3628"/>
      <c r="AP35" s="3628"/>
      <c r="AQ35" s="3628"/>
      <c r="AR35" s="3628"/>
      <c r="AS35" s="3628"/>
      <c r="AT35" s="3628"/>
    </row>
    <row r="36" spans="1:46">
      <c r="A36" s="3783" t="s">
        <v>3422</v>
      </c>
      <c r="B36" s="3784" t="str">
        <f>'Schedule C'!A16&amp;" - "&amp;'Schedule C'!A155&amp;" - "&amp;'Schedule C'!B155</f>
        <v>Item No. - 89 - Al Fanar MEP Manpower Supply to AYC Project on behalf of SAB - Adjustment</v>
      </c>
      <c r="C36" s="3943" t="s">
        <v>3207</v>
      </c>
      <c r="D36" s="3933">
        <f>'Schedule C'!Q155</f>
        <v>0</v>
      </c>
      <c r="E36" s="3786">
        <f t="shared" si="0"/>
        <v>0</v>
      </c>
      <c r="F36" s="3785"/>
      <c r="G36" s="3833">
        <v>45631</v>
      </c>
      <c r="H36" s="3628"/>
      <c r="I36" s="3628"/>
      <c r="J36" s="3628"/>
      <c r="K36" s="3628"/>
      <c r="L36" s="3628"/>
      <c r="M36" s="3628"/>
      <c r="N36" s="3628"/>
      <c r="O36" s="3628"/>
      <c r="P36" s="3628"/>
      <c r="Q36" s="3628"/>
      <c r="R36" s="3628"/>
      <c r="S36" s="3628"/>
      <c r="T36" s="3628"/>
      <c r="U36" s="3628"/>
      <c r="V36" s="3628"/>
      <c r="W36" s="3628"/>
      <c r="X36" s="3628"/>
      <c r="Y36" s="3628"/>
      <c r="Z36" s="3628"/>
      <c r="AA36" s="3628"/>
      <c r="AB36" s="3628"/>
      <c r="AC36" s="3628"/>
      <c r="AD36" s="3628"/>
      <c r="AE36" s="3628"/>
      <c r="AF36" s="3628"/>
      <c r="AG36" s="3628"/>
      <c r="AH36" s="3628"/>
      <c r="AI36" s="3628"/>
      <c r="AJ36" s="3628"/>
      <c r="AK36" s="3628"/>
      <c r="AL36" s="3628"/>
      <c r="AM36" s="3628"/>
      <c r="AN36" s="3628"/>
      <c r="AO36" s="3628"/>
      <c r="AP36" s="3628"/>
      <c r="AQ36" s="3628"/>
      <c r="AR36" s="3628"/>
      <c r="AS36" s="3628"/>
      <c r="AT36" s="3628"/>
    </row>
    <row r="37" spans="1:46">
      <c r="A37" s="3783" t="s">
        <v>3423</v>
      </c>
      <c r="B37" s="3784" t="str">
        <f>'Schedule C'!A16&amp;" - "&amp;'Schedule C'!A156&amp;" - "&amp;'Schedule C'!B156</f>
        <v>Item No. - 90 - Al Fanar Allowance for Purhcasing Materials</v>
      </c>
      <c r="C37" s="3943" t="s">
        <v>3207</v>
      </c>
      <c r="D37" s="3933">
        <f>'Schedule C'!Q156</f>
        <v>0</v>
      </c>
      <c r="E37" s="3786">
        <f t="shared" si="0"/>
        <v>0</v>
      </c>
      <c r="F37" s="3785"/>
      <c r="G37" s="3833">
        <v>45631</v>
      </c>
      <c r="H37" s="3628"/>
      <c r="I37" s="3628"/>
      <c r="J37" s="3628"/>
      <c r="K37" s="3628"/>
      <c r="L37" s="3628"/>
      <c r="M37" s="3628"/>
      <c r="N37" s="3628"/>
      <c r="O37" s="3628"/>
      <c r="P37" s="3628"/>
      <c r="Q37" s="3628"/>
      <c r="R37" s="3628"/>
      <c r="S37" s="3628"/>
      <c r="T37" s="3628"/>
      <c r="U37" s="3628"/>
      <c r="V37" s="3628"/>
      <c r="W37" s="3628"/>
      <c r="X37" s="3628"/>
      <c r="Y37" s="3628"/>
      <c r="Z37" s="3628"/>
      <c r="AA37" s="3628"/>
      <c r="AB37" s="3628"/>
      <c r="AC37" s="3628"/>
      <c r="AD37" s="3628"/>
      <c r="AE37" s="3628"/>
      <c r="AF37" s="3628"/>
      <c r="AG37" s="3628"/>
      <c r="AH37" s="3628"/>
      <c r="AI37" s="3628"/>
      <c r="AJ37" s="3628"/>
      <c r="AK37" s="3628"/>
      <c r="AL37" s="3628"/>
      <c r="AM37" s="3628"/>
      <c r="AN37" s="3628"/>
      <c r="AO37" s="3628"/>
      <c r="AP37" s="3628"/>
      <c r="AQ37" s="3628"/>
      <c r="AR37" s="3628"/>
      <c r="AS37" s="3628"/>
      <c r="AT37" s="3628"/>
    </row>
    <row r="38" spans="1:46">
      <c r="A38" s="3783" t="s">
        <v>3424</v>
      </c>
      <c r="B38" s="3784" t="str">
        <f>'Schedule C'!A16&amp;" - "&amp;'Schedule C'!A157&amp;" - "&amp;'Schedule C'!B157</f>
        <v>Item No. - 91 - Allowance for SAB (Grankraft) works on mockup (same as advance payment amount)</v>
      </c>
      <c r="C38" s="3943" t="s">
        <v>1517</v>
      </c>
      <c r="D38" s="3933">
        <f>'Schedule C'!Q157</f>
        <v>852173.91304347827</v>
      </c>
      <c r="E38" s="3786">
        <f t="shared" si="0"/>
        <v>0.18472569340950773</v>
      </c>
      <c r="F38" s="3785"/>
      <c r="G38" s="3833">
        <v>45631</v>
      </c>
      <c r="H38" s="3628"/>
      <c r="I38" s="3628"/>
      <c r="J38" s="3628"/>
      <c r="K38" s="3628"/>
      <c r="L38" s="3628"/>
      <c r="M38" s="3628"/>
      <c r="N38" s="3628"/>
      <c r="O38" s="3628"/>
      <c r="P38" s="3628"/>
      <c r="Q38" s="3628"/>
      <c r="R38" s="3628"/>
      <c r="S38" s="3628"/>
      <c r="T38" s="3628"/>
      <c r="U38" s="3628"/>
      <c r="V38" s="3628"/>
      <c r="W38" s="3628"/>
      <c r="X38" s="3628"/>
      <c r="Y38" s="3628"/>
      <c r="Z38" s="3628"/>
      <c r="AA38" s="3628"/>
      <c r="AB38" s="3628"/>
      <c r="AC38" s="3628"/>
      <c r="AD38" s="3628"/>
      <c r="AE38" s="3628"/>
      <c r="AF38" s="3628"/>
      <c r="AG38" s="3628"/>
      <c r="AH38" s="3628"/>
      <c r="AI38" s="3628"/>
      <c r="AJ38" s="3628"/>
      <c r="AK38" s="3628"/>
      <c r="AL38" s="3628"/>
      <c r="AM38" s="3628"/>
      <c r="AN38" s="3628"/>
      <c r="AO38" s="3628"/>
      <c r="AP38" s="3628"/>
      <c r="AQ38" s="3628"/>
      <c r="AR38" s="3628"/>
      <c r="AS38" s="3628"/>
      <c r="AT38" s="3628"/>
    </row>
    <row r="39" spans="1:46">
      <c r="A39" s="3783" t="s">
        <v>3425</v>
      </c>
      <c r="B39" s="3784" t="str">
        <f>'Schedule C'!A16&amp;" - "&amp;'Schedule C'!A158&amp;" - "&amp;'Schedule C'!B158</f>
        <v>Item No. - 92 - Additional Costs related to Aluminium Soffits &amp; Cladding - Alcatop</v>
      </c>
      <c r="C39" s="3943" t="s">
        <v>1517</v>
      </c>
      <c r="D39" s="3933">
        <f>'Schedule C'!Q158</f>
        <v>1026091</v>
      </c>
      <c r="E39" s="3786">
        <f t="shared" si="0"/>
        <v>0.22242569101805454</v>
      </c>
      <c r="F39" s="3785"/>
      <c r="G39" s="3833">
        <v>45631</v>
      </c>
      <c r="H39" s="3628"/>
      <c r="I39" s="3628"/>
      <c r="J39" s="3628"/>
      <c r="K39" s="3628"/>
      <c r="L39" s="3628"/>
      <c r="M39" s="3628"/>
      <c r="N39" s="3628"/>
      <c r="O39" s="3628"/>
      <c r="P39" s="3628"/>
      <c r="Q39" s="3628"/>
      <c r="R39" s="3628"/>
      <c r="S39" s="3628"/>
      <c r="T39" s="3628"/>
      <c r="U39" s="3628"/>
      <c r="V39" s="3628"/>
      <c r="W39" s="3628"/>
      <c r="X39" s="3628"/>
      <c r="Y39" s="3628"/>
      <c r="Z39" s="3628"/>
      <c r="AA39" s="3628"/>
      <c r="AB39" s="3628"/>
      <c r="AC39" s="3628"/>
      <c r="AD39" s="3628"/>
      <c r="AE39" s="3628"/>
      <c r="AF39" s="3628"/>
      <c r="AG39" s="3628"/>
      <c r="AH39" s="3628"/>
      <c r="AI39" s="3628"/>
      <c r="AJ39" s="3628"/>
      <c r="AK39" s="3628"/>
      <c r="AL39" s="3628"/>
      <c r="AM39" s="3628"/>
      <c r="AN39" s="3628"/>
      <c r="AO39" s="3628"/>
      <c r="AP39" s="3628"/>
      <c r="AQ39" s="3628"/>
      <c r="AR39" s="3628"/>
      <c r="AS39" s="3628"/>
      <c r="AT39" s="3628"/>
    </row>
    <row r="40" spans="1:46">
      <c r="A40" s="3783" t="s">
        <v>3426</v>
      </c>
      <c r="B40" s="3784" t="str">
        <f>'Schedule C'!A16&amp;" - "&amp;'Schedule C'!A159&amp;" - "&amp;'Schedule C'!B159</f>
        <v>Item No. - 93 - Additional Costs related to Abu Dhabi Precast - GRC Cladding</v>
      </c>
      <c r="C40" s="3943" t="s">
        <v>1517</v>
      </c>
      <c r="D40" s="3933">
        <f>'Schedule C'!Q159</f>
        <v>3761897</v>
      </c>
      <c r="E40" s="3786">
        <f t="shared" si="0"/>
        <v>0.81546621085629478</v>
      </c>
      <c r="F40" s="3785"/>
      <c r="G40" s="3833">
        <v>45631</v>
      </c>
      <c r="H40" s="3628"/>
      <c r="I40" s="3628"/>
      <c r="J40" s="3628"/>
      <c r="K40" s="3628"/>
      <c r="L40" s="3628"/>
      <c r="M40" s="3628"/>
      <c r="N40" s="3628"/>
      <c r="O40" s="3628"/>
      <c r="P40" s="3628"/>
      <c r="Q40" s="3628"/>
      <c r="R40" s="3628"/>
      <c r="S40" s="3628"/>
      <c r="T40" s="3628"/>
      <c r="U40" s="3628"/>
      <c r="V40" s="3628"/>
      <c r="W40" s="3628"/>
      <c r="X40" s="3628"/>
      <c r="Y40" s="3628"/>
      <c r="Z40" s="3628"/>
      <c r="AA40" s="3628"/>
      <c r="AB40" s="3628"/>
      <c r="AC40" s="3628"/>
      <c r="AD40" s="3628"/>
      <c r="AE40" s="3628"/>
      <c r="AF40" s="3628"/>
      <c r="AG40" s="3628"/>
      <c r="AH40" s="3628"/>
      <c r="AI40" s="3628"/>
      <c r="AJ40" s="3628"/>
      <c r="AK40" s="3628"/>
      <c r="AL40" s="3628"/>
      <c r="AM40" s="3628"/>
      <c r="AN40" s="3628"/>
      <c r="AO40" s="3628"/>
      <c r="AP40" s="3628"/>
      <c r="AQ40" s="3628"/>
      <c r="AR40" s="3628"/>
      <c r="AS40" s="3628"/>
      <c r="AT40" s="3628"/>
    </row>
    <row r="41" spans="1:46">
      <c r="A41" s="3783" t="s">
        <v>3427</v>
      </c>
      <c r="B41" s="3784" t="str">
        <f>'Schedule C'!A16&amp;" - "&amp;'Schedule C'!A160&amp;" - "&amp;'Schedule C'!B160</f>
        <v>Item No. - 94 - Additional Costs related to Structural Metal Work - SAMIF</v>
      </c>
      <c r="C41" s="3943" t="s">
        <v>1517</v>
      </c>
      <c r="D41" s="3933">
        <f>'Schedule C'!Q160</f>
        <v>4647142</v>
      </c>
      <c r="E41" s="3786">
        <f>D41/$D$47</f>
        <v>1.0073607220110341</v>
      </c>
      <c r="F41" s="3785"/>
      <c r="G41" s="3833">
        <v>45631</v>
      </c>
      <c r="H41" s="3628"/>
      <c r="I41" s="3628"/>
      <c r="J41" s="3628"/>
      <c r="K41" s="3628"/>
      <c r="L41" s="3628"/>
      <c r="M41" s="3628"/>
      <c r="N41" s="3628"/>
      <c r="O41" s="3628"/>
      <c r="P41" s="3628"/>
      <c r="Q41" s="3628"/>
      <c r="R41" s="3628"/>
      <c r="S41" s="3628"/>
      <c r="T41" s="3628"/>
      <c r="U41" s="3628"/>
      <c r="V41" s="3628"/>
      <c r="W41" s="3628"/>
      <c r="X41" s="3628"/>
      <c r="Y41" s="3628"/>
      <c r="Z41" s="3628"/>
      <c r="AA41" s="3628"/>
      <c r="AB41" s="3628"/>
      <c r="AC41" s="3628"/>
      <c r="AD41" s="3628"/>
      <c r="AE41" s="3628"/>
      <c r="AF41" s="3628"/>
      <c r="AG41" s="3628"/>
      <c r="AH41" s="3628"/>
      <c r="AI41" s="3628"/>
      <c r="AJ41" s="3628"/>
      <c r="AK41" s="3628"/>
      <c r="AL41" s="3628"/>
      <c r="AM41" s="3628"/>
      <c r="AN41" s="3628"/>
      <c r="AO41" s="3628"/>
      <c r="AP41" s="3628"/>
      <c r="AQ41" s="3628"/>
      <c r="AR41" s="3628"/>
      <c r="AS41" s="3628"/>
      <c r="AT41" s="3628"/>
    </row>
    <row r="42" spans="1:46" ht="18" customHeight="1">
      <c r="A42" s="3783" t="s">
        <v>3443</v>
      </c>
      <c r="B42" s="3784" t="str">
        <f>'Schedule C'!A16&amp;" - "&amp;'Schedule C'!A162&amp;" - "&amp;'Schedule C'!B162</f>
        <v>Item No. - 96 - Dismantling and Reinstatement of Cold Rooms (Chiller 1, Chiller 2, and Chiller 3) including coordination</v>
      </c>
      <c r="C42" s="3943"/>
      <c r="D42" s="3933">
        <f>'Schedule C'!Q162</f>
        <v>22250</v>
      </c>
      <c r="E42" s="3786">
        <f>D42/$D$47</f>
        <v>4.8231313062405906E-3</v>
      </c>
      <c r="F42" s="3785"/>
      <c r="G42" s="3833">
        <v>46010</v>
      </c>
      <c r="H42" s="3628"/>
      <c r="I42" s="3628"/>
      <c r="J42" s="3628"/>
      <c r="K42" s="3628"/>
      <c r="L42" s="3628"/>
      <c r="M42" s="3628"/>
      <c r="N42" s="3628"/>
      <c r="O42" s="3628"/>
      <c r="P42" s="3628"/>
      <c r="Q42" s="3628"/>
      <c r="R42" s="3628"/>
      <c r="S42" s="3628"/>
      <c r="T42" s="3628"/>
      <c r="U42" s="3628"/>
      <c r="V42" s="3628"/>
      <c r="W42" s="3628"/>
      <c r="X42" s="3628"/>
      <c r="Y42" s="3628"/>
      <c r="Z42" s="3628"/>
      <c r="AA42" s="3628"/>
      <c r="AB42" s="3628"/>
      <c r="AC42" s="3628"/>
      <c r="AD42" s="3628"/>
      <c r="AE42" s="3628"/>
      <c r="AF42" s="3628"/>
      <c r="AG42" s="3628"/>
      <c r="AH42" s="3628"/>
      <c r="AI42" s="3628"/>
      <c r="AJ42" s="3628"/>
      <c r="AK42" s="3628"/>
      <c r="AL42" s="3628"/>
      <c r="AM42" s="3628"/>
      <c r="AN42" s="3628"/>
      <c r="AO42" s="3628"/>
      <c r="AP42" s="3628"/>
      <c r="AQ42" s="3628"/>
      <c r="AR42" s="3628"/>
      <c r="AS42" s="3628"/>
      <c r="AT42" s="3628"/>
    </row>
    <row r="43" spans="1:46">
      <c r="A43" s="3783" t="s">
        <v>3444</v>
      </c>
      <c r="B43" s="3784" t="str">
        <f>'Schedule C'!A16&amp;" - "&amp;'Schedule C'!A163&amp;" - "&amp;'Schedule C'!B163</f>
        <v>Item No. - 97 - Dismantling and Reinstatement of Cold Rooms (Chiller 1, Chiller 2, and Chiller 3) including coordination - Backcharge</v>
      </c>
      <c r="C43" s="3943"/>
      <c r="D43" s="3933">
        <f>'Schedule C'!Q163</f>
        <v>-22250</v>
      </c>
      <c r="E43" s="3786">
        <f>D43/$D$47</f>
        <v>-4.8231313062405906E-3</v>
      </c>
      <c r="F43" s="3785"/>
      <c r="G43" s="3833">
        <v>46011</v>
      </c>
      <c r="H43" s="3628"/>
      <c r="I43" s="3628"/>
      <c r="J43" s="3628"/>
      <c r="K43" s="3628"/>
      <c r="L43" s="3628"/>
      <c r="M43" s="3628"/>
      <c r="N43" s="3628"/>
      <c r="O43" s="3628"/>
      <c r="P43" s="3628"/>
      <c r="Q43" s="3628"/>
      <c r="R43" s="3628"/>
      <c r="S43" s="3628"/>
      <c r="T43" s="3628"/>
      <c r="U43" s="3628"/>
      <c r="V43" s="3628"/>
      <c r="W43" s="3628"/>
      <c r="X43" s="3628"/>
      <c r="Y43" s="3628"/>
      <c r="Z43" s="3628"/>
      <c r="AA43" s="3628"/>
      <c r="AB43" s="3628"/>
      <c r="AC43" s="3628"/>
      <c r="AD43" s="3628"/>
      <c r="AE43" s="3628"/>
      <c r="AF43" s="3628"/>
      <c r="AG43" s="3628"/>
      <c r="AH43" s="3628"/>
      <c r="AI43" s="3628"/>
      <c r="AJ43" s="3628"/>
      <c r="AK43" s="3628"/>
      <c r="AL43" s="3628"/>
      <c r="AM43" s="3628"/>
      <c r="AN43" s="3628"/>
      <c r="AO43" s="3628"/>
      <c r="AP43" s="3628"/>
      <c r="AQ43" s="3628"/>
      <c r="AR43" s="3628"/>
      <c r="AS43" s="3628"/>
      <c r="AT43" s="3628"/>
    </row>
    <row r="44" spans="1:46" ht="8.25" customHeight="1">
      <c r="A44" s="3783"/>
      <c r="B44" s="3788"/>
      <c r="C44" s="3942"/>
      <c r="D44" s="3933"/>
      <c r="E44" s="3786"/>
      <c r="F44" s="3785"/>
      <c r="G44" s="3787"/>
      <c r="H44" s="3628"/>
      <c r="I44" s="3628"/>
      <c r="J44" s="3628"/>
      <c r="K44" s="3628"/>
      <c r="L44" s="3628"/>
      <c r="M44" s="3628"/>
      <c r="N44" s="3628"/>
      <c r="O44" s="3628"/>
      <c r="P44" s="3628"/>
      <c r="Q44" s="3628"/>
      <c r="R44" s="3628"/>
      <c r="S44" s="3628"/>
      <c r="T44" s="3628"/>
      <c r="U44" s="3628"/>
      <c r="V44" s="3628"/>
      <c r="W44" s="3628"/>
      <c r="X44" s="3628"/>
      <c r="Y44" s="3628"/>
      <c r="Z44" s="3628"/>
      <c r="AA44" s="3628"/>
      <c r="AB44" s="3628"/>
      <c r="AC44" s="3628"/>
      <c r="AD44" s="3628"/>
      <c r="AE44" s="3628"/>
      <c r="AF44" s="3628"/>
      <c r="AG44" s="3628"/>
      <c r="AH44" s="3628"/>
      <c r="AI44" s="3628"/>
      <c r="AJ44" s="3628"/>
      <c r="AK44" s="3628"/>
      <c r="AL44" s="3628"/>
      <c r="AM44" s="3628"/>
      <c r="AN44" s="3628"/>
      <c r="AO44" s="3628"/>
      <c r="AP44" s="3628"/>
      <c r="AQ44" s="3628"/>
      <c r="AR44" s="3628"/>
      <c r="AS44" s="3628"/>
      <c r="AT44" s="3628"/>
    </row>
    <row r="45" spans="1:46" ht="18" customHeight="1">
      <c r="A45" s="3815"/>
      <c r="B45" s="3816"/>
      <c r="C45" s="3816"/>
      <c r="D45" s="3817"/>
      <c r="E45" s="3818"/>
      <c r="F45" s="3819">
        <f>F4+F8</f>
        <v>0</v>
      </c>
      <c r="G45" s="3820"/>
      <c r="H45" s="3628"/>
      <c r="I45" s="3628"/>
      <c r="J45" s="3628"/>
      <c r="K45" s="3628"/>
      <c r="L45" s="3628"/>
      <c r="M45" s="3628"/>
      <c r="N45" s="3628"/>
      <c r="O45" s="3628"/>
      <c r="P45" s="3628"/>
      <c r="Q45" s="3628"/>
      <c r="R45" s="3628"/>
      <c r="S45" s="3628"/>
      <c r="T45" s="3628"/>
      <c r="U45" s="3628"/>
      <c r="V45" s="3628"/>
      <c r="W45" s="3628"/>
      <c r="X45" s="3628"/>
      <c r="Y45" s="3628"/>
      <c r="Z45" s="3628"/>
      <c r="AA45" s="3628"/>
      <c r="AB45" s="3628"/>
      <c r="AC45" s="3628"/>
      <c r="AD45" s="3628"/>
      <c r="AE45" s="3628"/>
      <c r="AF45" s="3628"/>
      <c r="AG45" s="3628"/>
      <c r="AH45" s="3628"/>
      <c r="AI45" s="3628"/>
      <c r="AJ45" s="3628"/>
      <c r="AK45" s="3628"/>
      <c r="AL45" s="3628"/>
      <c r="AM45" s="3628"/>
      <c r="AN45" s="3628"/>
      <c r="AO45" s="3628"/>
      <c r="AP45" s="3628"/>
      <c r="AQ45" s="3628"/>
      <c r="AR45" s="3628"/>
      <c r="AS45" s="3628"/>
      <c r="AT45" s="3628"/>
    </row>
    <row r="46" spans="1:46" ht="6" customHeight="1">
      <c r="A46" s="3783"/>
      <c r="B46" s="3788"/>
      <c r="C46" s="3942"/>
      <c r="D46" s="3785"/>
      <c r="E46" s="3789"/>
      <c r="F46" s="3795"/>
      <c r="G46" s="3795"/>
      <c r="H46" s="3628"/>
      <c r="I46" s="3628"/>
      <c r="J46" s="3628"/>
      <c r="K46" s="3628"/>
      <c r="L46" s="3628"/>
      <c r="M46" s="3628"/>
      <c r="N46" s="3628"/>
      <c r="O46" s="3628"/>
      <c r="P46" s="3628"/>
      <c r="Q46" s="3628"/>
      <c r="R46" s="3628"/>
      <c r="S46" s="3628"/>
      <c r="T46" s="3628"/>
      <c r="U46" s="3628"/>
      <c r="V46" s="3628"/>
      <c r="W46" s="3628"/>
      <c r="X46" s="3628"/>
      <c r="Y46" s="3628"/>
      <c r="Z46" s="3628"/>
      <c r="AA46" s="3628"/>
      <c r="AB46" s="3628"/>
      <c r="AC46" s="3628"/>
      <c r="AD46" s="3628"/>
      <c r="AE46" s="3628"/>
      <c r="AF46" s="3628"/>
      <c r="AG46" s="3628"/>
      <c r="AH46" s="3628"/>
      <c r="AI46" s="3628"/>
      <c r="AJ46" s="3628"/>
      <c r="AK46" s="3628"/>
      <c r="AL46" s="3628"/>
      <c r="AM46" s="3628"/>
      <c r="AN46" s="3628"/>
      <c r="AO46" s="3628"/>
      <c r="AP46" s="3628"/>
      <c r="AQ46" s="3628"/>
      <c r="AR46" s="3628"/>
      <c r="AS46" s="3628"/>
      <c r="AT46" s="3628"/>
    </row>
    <row r="47" spans="1:46" ht="29.25" customHeight="1">
      <c r="A47" s="5660" t="s">
        <v>3332</v>
      </c>
      <c r="B47" s="5661"/>
      <c r="C47" s="3907"/>
      <c r="D47" s="3812">
        <f>D8+D4</f>
        <v>4613185.6230434775</v>
      </c>
      <c r="E47" s="3813">
        <f>D47/$D$47</f>
        <v>1</v>
      </c>
      <c r="F47" s="3814">
        <v>0</v>
      </c>
      <c r="G47" s="3814"/>
      <c r="H47" s="3628"/>
      <c r="I47" s="3628"/>
      <c r="J47" s="3628"/>
      <c r="K47" s="3628"/>
      <c r="L47" s="3628"/>
      <c r="M47" s="3628"/>
      <c r="N47" s="3628"/>
      <c r="O47" s="3628"/>
      <c r="P47" s="3628"/>
      <c r="Q47" s="3628"/>
      <c r="R47" s="3628"/>
      <c r="S47" s="3628"/>
      <c r="T47" s="3628"/>
      <c r="U47" s="3628"/>
      <c r="V47" s="3628"/>
      <c r="W47" s="3628"/>
      <c r="X47" s="3628"/>
      <c r="Y47" s="3628"/>
      <c r="Z47" s="3628"/>
      <c r="AA47" s="3628"/>
      <c r="AB47" s="3628"/>
      <c r="AC47" s="3628"/>
      <c r="AD47" s="3628"/>
      <c r="AE47" s="3628"/>
      <c r="AF47" s="3628"/>
      <c r="AG47" s="3628"/>
      <c r="AH47" s="3628"/>
      <c r="AI47" s="3628"/>
      <c r="AJ47" s="3628"/>
      <c r="AK47" s="3628"/>
      <c r="AL47" s="3628"/>
      <c r="AM47" s="3628"/>
      <c r="AN47" s="3628"/>
      <c r="AO47" s="3628"/>
      <c r="AP47" s="3628"/>
      <c r="AQ47" s="3628"/>
      <c r="AR47" s="3628"/>
      <c r="AS47" s="3628"/>
      <c r="AT47" s="3628"/>
    </row>
    <row r="48" spans="1:46">
      <c r="A48" s="3722"/>
      <c r="B48" s="3628"/>
      <c r="C48" s="3628"/>
      <c r="D48" s="3796"/>
      <c r="E48" s="3628"/>
      <c r="F48" s="3628"/>
      <c r="G48" s="3628"/>
      <c r="H48" s="3628"/>
      <c r="I48" s="3628"/>
      <c r="J48" s="3628"/>
      <c r="K48" s="3628"/>
      <c r="L48" s="3628"/>
      <c r="M48" s="3628"/>
      <c r="N48" s="3628"/>
      <c r="O48" s="3628"/>
      <c r="P48" s="3628"/>
      <c r="Q48" s="3628"/>
      <c r="R48" s="3628"/>
      <c r="S48" s="3628"/>
      <c r="T48" s="3628"/>
      <c r="U48" s="3628"/>
      <c r="V48" s="3628"/>
      <c r="W48" s="3628"/>
      <c r="X48" s="3628"/>
      <c r="Y48" s="3628"/>
      <c r="Z48" s="3628"/>
      <c r="AA48" s="3628"/>
      <c r="AB48" s="3628"/>
      <c r="AC48" s="3628"/>
      <c r="AD48" s="3628"/>
      <c r="AE48" s="3628"/>
      <c r="AF48" s="3628"/>
      <c r="AG48" s="3628"/>
      <c r="AH48" s="3628"/>
      <c r="AI48" s="3628"/>
      <c r="AJ48" s="3628"/>
      <c r="AK48" s="3628"/>
      <c r="AL48" s="3628"/>
      <c r="AM48" s="3628"/>
      <c r="AN48" s="3628"/>
      <c r="AO48" s="3628"/>
      <c r="AP48" s="3628"/>
      <c r="AQ48" s="3628"/>
      <c r="AR48" s="3628"/>
      <c r="AS48" s="3628"/>
      <c r="AT48" s="3628"/>
    </row>
    <row r="49" spans="1:46">
      <c r="A49" s="3737" t="s">
        <v>3302</v>
      </c>
      <c r="B49" s="3628"/>
      <c r="C49" s="3628"/>
      <c r="D49" s="3835"/>
      <c r="E49" s="3844"/>
      <c r="F49" s="3628"/>
      <c r="G49" s="3628"/>
      <c r="H49" s="3628"/>
      <c r="I49" s="3628"/>
      <c r="J49" s="3628"/>
      <c r="K49" s="3628"/>
      <c r="L49" s="3628"/>
      <c r="M49" s="3628"/>
      <c r="N49" s="3628"/>
      <c r="O49" s="3628"/>
      <c r="P49" s="3628"/>
      <c r="Q49" s="3628"/>
      <c r="R49" s="3628"/>
      <c r="S49" s="3628"/>
      <c r="T49" s="3628"/>
      <c r="U49" s="3628"/>
      <c r="V49" s="3628"/>
      <c r="W49" s="3628"/>
      <c r="X49" s="3628"/>
      <c r="Y49" s="3628"/>
      <c r="Z49" s="3628"/>
      <c r="AA49" s="3628"/>
      <c r="AB49" s="3628"/>
      <c r="AC49" s="3628"/>
      <c r="AD49" s="3628"/>
      <c r="AE49" s="3628"/>
      <c r="AF49" s="3628"/>
      <c r="AG49" s="3628"/>
      <c r="AH49" s="3628"/>
      <c r="AI49" s="3628"/>
      <c r="AJ49" s="3628"/>
      <c r="AK49" s="3628"/>
      <c r="AL49" s="3628"/>
      <c r="AM49" s="3628"/>
      <c r="AN49" s="3628"/>
      <c r="AO49" s="3628"/>
      <c r="AP49" s="3628"/>
      <c r="AQ49" s="3628"/>
      <c r="AR49" s="3628"/>
      <c r="AS49" s="3628"/>
      <c r="AT49" s="3628"/>
    </row>
    <row r="50" spans="1:46">
      <c r="A50" s="3722"/>
      <c r="B50" s="3628"/>
      <c r="C50" s="3628"/>
      <c r="D50" s="3797">
        <f>'Additional Budget Sum (19Dec)'!I26</f>
        <v>101258508.08304346</v>
      </c>
      <c r="E50" s="3844">
        <f>D50-D47</f>
        <v>96645322.459999979</v>
      </c>
      <c r="F50" s="3628"/>
      <c r="G50" s="3628"/>
      <c r="H50" s="3628"/>
      <c r="I50" s="3628"/>
      <c r="J50" s="3628"/>
      <c r="K50" s="3628"/>
      <c r="L50" s="3628"/>
      <c r="M50" s="3628"/>
      <c r="N50" s="3628"/>
      <c r="O50" s="3628"/>
      <c r="P50" s="3628"/>
      <c r="Q50" s="3628"/>
      <c r="R50" s="3628"/>
      <c r="S50" s="3628"/>
      <c r="T50" s="3628"/>
      <c r="U50" s="3628"/>
      <c r="V50" s="3628"/>
      <c r="W50" s="3628"/>
      <c r="X50" s="3628"/>
      <c r="Y50" s="3628"/>
      <c r="Z50" s="3628"/>
      <c r="AA50" s="3628"/>
      <c r="AB50" s="3628"/>
      <c r="AC50" s="3628"/>
      <c r="AD50" s="3628"/>
      <c r="AE50" s="3628"/>
      <c r="AF50" s="3628"/>
      <c r="AG50" s="3628"/>
      <c r="AH50" s="3628"/>
      <c r="AI50" s="3628"/>
      <c r="AJ50" s="3628"/>
      <c r="AK50" s="3628"/>
      <c r="AL50" s="3628"/>
      <c r="AM50" s="3628"/>
      <c r="AN50" s="3628"/>
      <c r="AO50" s="3628"/>
      <c r="AP50" s="3628"/>
      <c r="AQ50" s="3628"/>
      <c r="AR50" s="3628"/>
      <c r="AS50" s="3628"/>
      <c r="AT50" s="3628"/>
    </row>
    <row r="51" spans="1:46">
      <c r="A51" s="3722"/>
      <c r="B51" s="3628"/>
      <c r="C51" s="3628"/>
      <c r="D51" s="3797">
        <f>D50-D47</f>
        <v>96645322.459999979</v>
      </c>
      <c r="E51" s="3628"/>
      <c r="F51" s="3628"/>
      <c r="G51" s="3628"/>
      <c r="H51" s="3628"/>
      <c r="I51" s="3628"/>
      <c r="J51" s="3628"/>
      <c r="K51" s="3628"/>
      <c r="L51" s="3628"/>
      <c r="M51" s="3628"/>
      <c r="N51" s="3628"/>
      <c r="O51" s="3628"/>
      <c r="P51" s="3628"/>
      <c r="Q51" s="3628"/>
      <c r="R51" s="3628"/>
      <c r="S51" s="3628"/>
      <c r="T51" s="3628"/>
      <c r="U51" s="3628"/>
      <c r="V51" s="3628"/>
      <c r="W51" s="3628"/>
      <c r="X51" s="3628"/>
      <c r="Y51" s="3628"/>
      <c r="Z51" s="3628"/>
      <c r="AA51" s="3628"/>
      <c r="AB51" s="3628"/>
      <c r="AC51" s="3628"/>
      <c r="AD51" s="3628"/>
      <c r="AE51" s="3628"/>
      <c r="AF51" s="3628"/>
      <c r="AG51" s="3628"/>
      <c r="AH51" s="3628"/>
      <c r="AI51" s="3628"/>
      <c r="AJ51" s="3628"/>
      <c r="AK51" s="3628"/>
      <c r="AL51" s="3628"/>
      <c r="AM51" s="3628"/>
      <c r="AN51" s="3628"/>
      <c r="AO51" s="3628"/>
      <c r="AP51" s="3628"/>
      <c r="AQ51" s="3628"/>
      <c r="AR51" s="3628"/>
      <c r="AS51" s="3628"/>
      <c r="AT51" s="3628"/>
    </row>
    <row r="52" spans="1:46">
      <c r="A52" s="3722"/>
      <c r="B52" s="3628"/>
      <c r="C52" s="3628"/>
      <c r="D52" s="3797" t="b">
        <f>'Additional Budget Sum (19Dec)'!I26='Additional Budget - Det (19Dec)'!D47</f>
        <v>0</v>
      </c>
      <c r="E52" s="3937">
        <f>'Additional Budget Sum (19Dec)'!I26</f>
        <v>101258508.08304346</v>
      </c>
      <c r="F52" s="3628"/>
      <c r="G52" s="3628"/>
      <c r="H52" s="3628"/>
      <c r="I52" s="3628"/>
      <c r="J52" s="3628"/>
      <c r="K52" s="3628"/>
      <c r="L52" s="3628"/>
      <c r="M52" s="3628"/>
      <c r="N52" s="3628"/>
      <c r="O52" s="3628"/>
      <c r="P52" s="3628"/>
      <c r="Q52" s="3628"/>
      <c r="R52" s="3628"/>
      <c r="S52" s="3628"/>
      <c r="T52" s="3628"/>
      <c r="U52" s="3628"/>
      <c r="V52" s="3628"/>
      <c r="W52" s="3628"/>
      <c r="X52" s="3628"/>
      <c r="Y52" s="3628"/>
      <c r="Z52" s="3628"/>
      <c r="AA52" s="3628"/>
      <c r="AB52" s="3628"/>
      <c r="AC52" s="3628"/>
      <c r="AD52" s="3628"/>
      <c r="AE52" s="3628"/>
      <c r="AF52" s="3628"/>
      <c r="AG52" s="3628"/>
      <c r="AH52" s="3628"/>
      <c r="AI52" s="3628"/>
      <c r="AJ52" s="3628"/>
      <c r="AK52" s="3628"/>
      <c r="AL52" s="3628"/>
      <c r="AM52" s="3628"/>
      <c r="AN52" s="3628"/>
      <c r="AO52" s="3628"/>
      <c r="AP52" s="3628"/>
      <c r="AQ52" s="3628"/>
      <c r="AR52" s="3628"/>
      <c r="AS52" s="3628"/>
      <c r="AT52" s="3628"/>
    </row>
    <row r="53" spans="1:46">
      <c r="A53" s="3722"/>
      <c r="B53" s="3628"/>
      <c r="C53" s="3628"/>
      <c r="D53" s="3796"/>
      <c r="E53" s="3938">
        <f>E52-D47</f>
        <v>96645322.459999979</v>
      </c>
      <c r="F53" s="3628"/>
      <c r="G53" s="3628"/>
      <c r="H53" s="3628"/>
      <c r="I53" s="3628"/>
      <c r="J53" s="3628"/>
      <c r="K53" s="3628"/>
      <c r="L53" s="3628"/>
      <c r="M53" s="3628"/>
      <c r="N53" s="3628"/>
      <c r="O53" s="3628"/>
      <c r="P53" s="3628"/>
      <c r="Q53" s="3628"/>
      <c r="R53" s="3628"/>
      <c r="S53" s="3628"/>
      <c r="T53" s="3628"/>
      <c r="U53" s="3628"/>
      <c r="V53" s="3628"/>
      <c r="W53" s="3628"/>
      <c r="X53" s="3628"/>
      <c r="Y53" s="3628"/>
      <c r="Z53" s="3628"/>
      <c r="AA53" s="3628"/>
      <c r="AB53" s="3628"/>
      <c r="AC53" s="3628"/>
      <c r="AD53" s="3628"/>
      <c r="AE53" s="3628"/>
      <c r="AF53" s="3628"/>
      <c r="AG53" s="3628"/>
      <c r="AH53" s="3628"/>
      <c r="AI53" s="3628"/>
      <c r="AJ53" s="3628"/>
      <c r="AK53" s="3628"/>
      <c r="AL53" s="3628"/>
      <c r="AM53" s="3628"/>
      <c r="AN53" s="3628"/>
      <c r="AO53" s="3628"/>
      <c r="AP53" s="3628"/>
      <c r="AQ53" s="3628"/>
      <c r="AR53" s="3628"/>
      <c r="AS53" s="3628"/>
      <c r="AT53" s="3628"/>
    </row>
    <row r="54" spans="1:46">
      <c r="A54" s="3722"/>
      <c r="B54" s="3628"/>
      <c r="C54" s="3628"/>
      <c r="D54" s="3796"/>
      <c r="E54" s="3628"/>
      <c r="F54" s="3628"/>
      <c r="G54" s="3628"/>
      <c r="H54" s="3628"/>
      <c r="I54" s="3628"/>
      <c r="J54" s="3628"/>
      <c r="K54" s="3628"/>
      <c r="L54" s="3628"/>
      <c r="M54" s="3628"/>
      <c r="N54" s="3628"/>
      <c r="O54" s="3628"/>
      <c r="P54" s="3628"/>
      <c r="Q54" s="3628"/>
      <c r="R54" s="3628"/>
      <c r="S54" s="3628"/>
      <c r="T54" s="3628"/>
      <c r="U54" s="3628"/>
      <c r="V54" s="3628"/>
      <c r="W54" s="3628"/>
      <c r="X54" s="3628"/>
      <c r="Y54" s="3628"/>
      <c r="Z54" s="3628"/>
      <c r="AA54" s="3628"/>
      <c r="AB54" s="3628"/>
      <c r="AC54" s="3628"/>
      <c r="AD54" s="3628"/>
      <c r="AE54" s="3628"/>
      <c r="AF54" s="3628"/>
      <c r="AG54" s="3628"/>
      <c r="AH54" s="3628"/>
      <c r="AI54" s="3628"/>
      <c r="AJ54" s="3628"/>
      <c r="AK54" s="3628"/>
      <c r="AL54" s="3628"/>
      <c r="AM54" s="3628"/>
      <c r="AN54" s="3628"/>
      <c r="AO54" s="3628"/>
      <c r="AP54" s="3628"/>
      <c r="AQ54" s="3628"/>
      <c r="AR54" s="3628"/>
      <c r="AS54" s="3628"/>
      <c r="AT54" s="3628"/>
    </row>
    <row r="55" spans="1:46">
      <c r="A55" s="3722"/>
      <c r="B55" s="3628"/>
      <c r="C55" s="3628"/>
      <c r="D55" s="3835">
        <f>D50-'Additional Budget Sum (19Dec)'!I24</f>
        <v>429156</v>
      </c>
      <c r="E55" s="3628"/>
      <c r="F55" s="3628"/>
      <c r="G55" s="3628"/>
      <c r="H55" s="3628"/>
      <c r="I55" s="3628"/>
      <c r="J55" s="3628"/>
      <c r="K55" s="3628"/>
      <c r="L55" s="3628"/>
      <c r="M55" s="3628"/>
      <c r="N55" s="3628"/>
      <c r="O55" s="3628"/>
      <c r="P55" s="3628"/>
      <c r="Q55" s="3628"/>
      <c r="R55" s="3628"/>
      <c r="S55" s="3628"/>
      <c r="T55" s="3628"/>
      <c r="U55" s="3628"/>
      <c r="V55" s="3628"/>
      <c r="W55" s="3628"/>
      <c r="X55" s="3628"/>
      <c r="Y55" s="3628"/>
      <c r="Z55" s="3628"/>
      <c r="AA55" s="3628"/>
      <c r="AB55" s="3628"/>
      <c r="AC55" s="3628"/>
      <c r="AD55" s="3628"/>
      <c r="AE55" s="3628"/>
      <c r="AF55" s="3628"/>
      <c r="AG55" s="3628"/>
      <c r="AH55" s="3628"/>
      <c r="AI55" s="3628"/>
      <c r="AJ55" s="3628"/>
      <c r="AK55" s="3628"/>
      <c r="AL55" s="3628"/>
      <c r="AM55" s="3628"/>
      <c r="AN55" s="3628"/>
      <c r="AO55" s="3628"/>
      <c r="AP55" s="3628"/>
      <c r="AQ55" s="3628"/>
      <c r="AR55" s="3628"/>
      <c r="AS55" s="3628"/>
      <c r="AT55" s="3628"/>
    </row>
    <row r="56" spans="1:46">
      <c r="A56" s="3722"/>
      <c r="B56" s="3628"/>
      <c r="C56" s="3628"/>
      <c r="D56" s="3796"/>
      <c r="E56" s="3628"/>
      <c r="F56" s="3628"/>
      <c r="G56" s="3628"/>
      <c r="H56" s="3628"/>
      <c r="I56" s="3628"/>
      <c r="J56" s="3628"/>
      <c r="K56" s="3628"/>
      <c r="L56" s="3628"/>
      <c r="M56" s="3628"/>
      <c r="N56" s="3628"/>
      <c r="O56" s="3628"/>
      <c r="P56" s="3628"/>
      <c r="Q56" s="3628"/>
      <c r="R56" s="3628"/>
      <c r="S56" s="3628"/>
      <c r="T56" s="3628"/>
      <c r="U56" s="3628"/>
      <c r="V56" s="3628"/>
      <c r="W56" s="3628"/>
      <c r="X56" s="3628"/>
      <c r="Y56" s="3628"/>
      <c r="Z56" s="3628"/>
      <c r="AA56" s="3628"/>
      <c r="AB56" s="3628"/>
      <c r="AC56" s="3628"/>
      <c r="AD56" s="3628"/>
      <c r="AE56" s="3628"/>
      <c r="AF56" s="3628"/>
      <c r="AG56" s="3628"/>
      <c r="AH56" s="3628"/>
      <c r="AI56" s="3628"/>
      <c r="AJ56" s="3628"/>
      <c r="AK56" s="3628"/>
      <c r="AL56" s="3628"/>
      <c r="AM56" s="3628"/>
      <c r="AN56" s="3628"/>
      <c r="AO56" s="3628"/>
      <c r="AP56" s="3628"/>
      <c r="AQ56" s="3628"/>
      <c r="AR56" s="3628"/>
      <c r="AS56" s="3628"/>
      <c r="AT56" s="3628"/>
    </row>
    <row r="57" spans="1:46">
      <c r="A57" s="3722"/>
      <c r="B57" s="3628"/>
      <c r="C57" s="3628"/>
      <c r="D57" s="3796"/>
      <c r="E57" s="3628"/>
      <c r="F57" s="3628"/>
      <c r="G57" s="3628"/>
      <c r="H57" s="3628"/>
      <c r="I57" s="3628"/>
      <c r="J57" s="3628"/>
      <c r="K57" s="3628"/>
      <c r="L57" s="3628"/>
      <c r="M57" s="3628"/>
      <c r="N57" s="3628"/>
      <c r="O57" s="3628"/>
      <c r="P57" s="3628"/>
      <c r="Q57" s="3628"/>
      <c r="R57" s="3628"/>
      <c r="S57" s="3628"/>
      <c r="T57" s="3628"/>
      <c r="U57" s="3628"/>
      <c r="V57" s="3628"/>
      <c r="W57" s="3628"/>
      <c r="X57" s="3628"/>
      <c r="Y57" s="3628"/>
      <c r="Z57" s="3628"/>
      <c r="AA57" s="3628"/>
      <c r="AB57" s="3628"/>
      <c r="AC57" s="3628"/>
      <c r="AD57" s="3628"/>
      <c r="AE57" s="3628"/>
      <c r="AF57" s="3628"/>
      <c r="AG57" s="3628"/>
      <c r="AH57" s="3628"/>
      <c r="AI57" s="3628"/>
      <c r="AJ57" s="3628"/>
      <c r="AK57" s="3628"/>
      <c r="AL57" s="3628"/>
      <c r="AM57" s="3628"/>
      <c r="AN57" s="3628"/>
      <c r="AO57" s="3628"/>
      <c r="AP57" s="3628"/>
      <c r="AQ57" s="3628"/>
      <c r="AR57" s="3628"/>
      <c r="AS57" s="3628"/>
      <c r="AT57" s="3628"/>
    </row>
    <row r="58" spans="1:46">
      <c r="A58" s="3722"/>
      <c r="B58" s="3628"/>
      <c r="C58" s="3628"/>
      <c r="D58" s="3796"/>
      <c r="E58" s="3628"/>
      <c r="F58" s="3628"/>
      <c r="G58" s="3628"/>
      <c r="H58" s="3628"/>
      <c r="I58" s="3628"/>
      <c r="J58" s="3628"/>
      <c r="K58" s="3628"/>
      <c r="L58" s="3628"/>
      <c r="M58" s="3628"/>
      <c r="N58" s="3628"/>
      <c r="O58" s="3628"/>
      <c r="P58" s="3628"/>
      <c r="Q58" s="3628"/>
      <c r="R58" s="3628"/>
      <c r="S58" s="3628"/>
      <c r="T58" s="3628"/>
      <c r="U58" s="3628"/>
      <c r="V58" s="3628"/>
      <c r="W58" s="3628"/>
      <c r="X58" s="3628"/>
      <c r="Y58" s="3628"/>
      <c r="Z58" s="3628"/>
      <c r="AA58" s="3628"/>
      <c r="AB58" s="3628"/>
      <c r="AC58" s="3628"/>
      <c r="AD58" s="3628"/>
      <c r="AE58" s="3628"/>
      <c r="AF58" s="3628"/>
      <c r="AG58" s="3628"/>
      <c r="AH58" s="3628"/>
      <c r="AI58" s="3628"/>
      <c r="AJ58" s="3628"/>
      <c r="AK58" s="3628"/>
      <c r="AL58" s="3628"/>
      <c r="AM58" s="3628"/>
      <c r="AN58" s="3628"/>
      <c r="AO58" s="3628"/>
      <c r="AP58" s="3628"/>
      <c r="AQ58" s="3628"/>
      <c r="AR58" s="3628"/>
      <c r="AS58" s="3628"/>
      <c r="AT58" s="3628"/>
    </row>
    <row r="59" spans="1:46">
      <c r="A59" s="3722"/>
      <c r="B59" s="3628"/>
      <c r="C59" s="3628"/>
      <c r="D59" s="3796"/>
      <c r="E59" s="3628"/>
      <c r="F59" s="3628"/>
      <c r="G59" s="3628"/>
      <c r="H59" s="3628"/>
      <c r="I59" s="3628"/>
      <c r="J59" s="3628"/>
      <c r="K59" s="3628"/>
      <c r="L59" s="3628"/>
      <c r="M59" s="3628"/>
      <c r="N59" s="3628"/>
      <c r="O59" s="3628"/>
      <c r="P59" s="3628"/>
      <c r="Q59" s="3628"/>
      <c r="R59" s="3628"/>
      <c r="S59" s="3628"/>
      <c r="T59" s="3628"/>
      <c r="U59" s="3628"/>
      <c r="V59" s="3628"/>
      <c r="W59" s="3628"/>
      <c r="X59" s="3628"/>
      <c r="Y59" s="3628"/>
      <c r="Z59" s="3628"/>
      <c r="AA59" s="3628"/>
      <c r="AB59" s="3628"/>
      <c r="AC59" s="3628"/>
      <c r="AD59" s="3628"/>
      <c r="AE59" s="3628"/>
      <c r="AF59" s="3628"/>
      <c r="AG59" s="3628"/>
      <c r="AH59" s="3628"/>
      <c r="AI59" s="3628"/>
      <c r="AJ59" s="3628"/>
      <c r="AK59" s="3628"/>
      <c r="AL59" s="3628"/>
      <c r="AM59" s="3628"/>
      <c r="AN59" s="3628"/>
      <c r="AO59" s="3628"/>
      <c r="AP59" s="3628"/>
      <c r="AQ59" s="3628"/>
      <c r="AR59" s="3628"/>
      <c r="AS59" s="3628"/>
      <c r="AT59" s="3628"/>
    </row>
    <row r="60" spans="1:46">
      <c r="A60" s="3722"/>
      <c r="B60" s="3628"/>
      <c r="C60" s="3943" t="s">
        <v>3207</v>
      </c>
      <c r="D60" s="3945">
        <f>+D32+D34+D36+D37</f>
        <v>0</v>
      </c>
      <c r="E60" s="3937">
        <f>+'Additional Budget Sum (19Dec)'!I18</f>
        <v>72415331.689999983</v>
      </c>
      <c r="F60" s="3937">
        <f>+E60-D60</f>
        <v>72415331.689999983</v>
      </c>
      <c r="G60" s="3628"/>
      <c r="H60" s="3628"/>
      <c r="I60" s="3628"/>
      <c r="J60" s="3628"/>
      <c r="K60" s="3628"/>
      <c r="L60" s="3628"/>
      <c r="M60" s="3628"/>
      <c r="N60" s="3628"/>
      <c r="O60" s="3628"/>
      <c r="P60" s="3628"/>
      <c r="Q60" s="3628"/>
      <c r="R60" s="3628"/>
      <c r="S60" s="3628"/>
      <c r="T60" s="3628"/>
      <c r="U60" s="3628"/>
      <c r="V60" s="3628"/>
      <c r="W60" s="3628"/>
      <c r="X60" s="3628"/>
      <c r="Y60" s="3628"/>
      <c r="Z60" s="3628"/>
      <c r="AA60" s="3628"/>
      <c r="AB60" s="3628"/>
      <c r="AC60" s="3628"/>
      <c r="AD60" s="3628"/>
      <c r="AE60" s="3628"/>
      <c r="AF60" s="3628"/>
      <c r="AG60" s="3628"/>
      <c r="AH60" s="3628"/>
      <c r="AI60" s="3628"/>
      <c r="AJ60" s="3628"/>
      <c r="AK60" s="3628"/>
      <c r="AL60" s="3628"/>
      <c r="AM60" s="3628"/>
      <c r="AN60" s="3628"/>
      <c r="AO60" s="3628"/>
      <c r="AP60" s="3628"/>
      <c r="AQ60" s="3628"/>
      <c r="AR60" s="3628"/>
      <c r="AS60" s="3628"/>
      <c r="AT60" s="3628"/>
    </row>
    <row r="61" spans="1:46">
      <c r="A61" s="3722"/>
      <c r="B61" s="3628"/>
      <c r="C61" s="3943" t="s">
        <v>2966</v>
      </c>
      <c r="D61" s="3945">
        <f>+D28</f>
        <v>429156</v>
      </c>
      <c r="E61" s="3937">
        <f>+'Additional Budget Sum (19Dec)'!I25</f>
        <v>429156</v>
      </c>
      <c r="F61" s="3937">
        <f t="shared" ref="F61:F67" si="1">+E61-D61</f>
        <v>0</v>
      </c>
      <c r="G61" s="3628"/>
      <c r="H61" s="3628"/>
      <c r="I61" s="3628"/>
      <c r="J61" s="3628"/>
      <c r="K61" s="3628"/>
      <c r="L61" s="3628"/>
      <c r="M61" s="3628"/>
      <c r="N61" s="3628"/>
      <c r="O61" s="3628"/>
      <c r="P61" s="3628"/>
      <c r="Q61" s="3628"/>
      <c r="R61" s="3628"/>
      <c r="S61" s="3628"/>
      <c r="T61" s="3628"/>
      <c r="U61" s="3628"/>
      <c r="V61" s="3628"/>
      <c r="W61" s="3628"/>
      <c r="X61" s="3628"/>
      <c r="Y61" s="3628"/>
      <c r="Z61" s="3628"/>
      <c r="AA61" s="3628"/>
      <c r="AB61" s="3628"/>
      <c r="AC61" s="3628"/>
      <c r="AD61" s="3628"/>
      <c r="AE61" s="3628"/>
      <c r="AF61" s="3628"/>
      <c r="AG61" s="3628"/>
      <c r="AH61" s="3628"/>
      <c r="AI61" s="3628"/>
      <c r="AJ61" s="3628"/>
      <c r="AK61" s="3628"/>
      <c r="AL61" s="3628"/>
      <c r="AM61" s="3628"/>
      <c r="AN61" s="3628"/>
      <c r="AO61" s="3628"/>
      <c r="AP61" s="3628"/>
      <c r="AQ61" s="3628"/>
      <c r="AR61" s="3628"/>
      <c r="AS61" s="3628"/>
      <c r="AT61" s="3628"/>
    </row>
    <row r="62" spans="1:46">
      <c r="A62" s="3722"/>
      <c r="B62" s="3628"/>
      <c r="C62" s="3940" t="s">
        <v>3216</v>
      </c>
      <c r="D62" s="3945">
        <f>+D5</f>
        <v>0</v>
      </c>
      <c r="E62" s="3937">
        <f>+'Additional Budget Sum (19Dec)'!I17</f>
        <v>7197028.5499999998</v>
      </c>
      <c r="F62" s="3937">
        <f t="shared" si="1"/>
        <v>7197028.5499999998</v>
      </c>
      <c r="G62" s="3628"/>
      <c r="H62" s="3628"/>
      <c r="I62" s="3628"/>
      <c r="J62" s="3628"/>
      <c r="K62" s="3628"/>
      <c r="L62" s="3628"/>
      <c r="M62" s="3628"/>
      <c r="N62" s="3628"/>
      <c r="O62" s="3628"/>
      <c r="P62" s="3628"/>
      <c r="Q62" s="3628"/>
      <c r="R62" s="3628"/>
      <c r="S62" s="3628"/>
      <c r="T62" s="3628"/>
      <c r="U62" s="3628"/>
      <c r="V62" s="3628"/>
      <c r="W62" s="3628"/>
      <c r="X62" s="3628"/>
      <c r="Y62" s="3628"/>
      <c r="Z62" s="3628"/>
      <c r="AA62" s="3628"/>
      <c r="AB62" s="3628"/>
      <c r="AC62" s="3628"/>
      <c r="AD62" s="3628"/>
      <c r="AE62" s="3628"/>
      <c r="AF62" s="3628"/>
      <c r="AG62" s="3628"/>
      <c r="AH62" s="3628"/>
      <c r="AI62" s="3628"/>
      <c r="AJ62" s="3628"/>
      <c r="AK62" s="3628"/>
      <c r="AL62" s="3628"/>
      <c r="AM62" s="3628"/>
      <c r="AN62" s="3628"/>
      <c r="AO62" s="3628"/>
      <c r="AP62" s="3628"/>
      <c r="AQ62" s="3628"/>
      <c r="AR62" s="3628"/>
      <c r="AS62" s="3628"/>
      <c r="AT62" s="3628"/>
    </row>
    <row r="63" spans="1:46">
      <c r="A63" s="3722"/>
      <c r="B63" s="3628"/>
      <c r="C63" s="3943" t="s">
        <v>2558</v>
      </c>
      <c r="D63" s="3945">
        <f>+D21+D22+D23+D24+D29+D30</f>
        <v>96201.540000000008</v>
      </c>
      <c r="E63" s="3937">
        <f>+'Additional Budget Sum (19Dec)'!I13</f>
        <v>11551602.920000002</v>
      </c>
      <c r="F63" s="3937">
        <f t="shared" si="1"/>
        <v>11455401.380000003</v>
      </c>
      <c r="G63" s="3628"/>
      <c r="H63" s="3628"/>
      <c r="I63" s="3628"/>
      <c r="J63" s="3628"/>
      <c r="K63" s="3628"/>
      <c r="L63" s="3628"/>
      <c r="M63" s="3628"/>
      <c r="N63" s="3628"/>
      <c r="O63" s="3628"/>
      <c r="P63" s="3628"/>
      <c r="Q63" s="3628"/>
      <c r="R63" s="3628"/>
      <c r="S63" s="3628"/>
      <c r="T63" s="3628"/>
      <c r="U63" s="3628"/>
      <c r="V63" s="3628"/>
      <c r="W63" s="3628"/>
      <c r="X63" s="3628"/>
      <c r="Y63" s="3628"/>
      <c r="Z63" s="3628"/>
      <c r="AA63" s="3628"/>
      <c r="AB63" s="3628"/>
      <c r="AC63" s="3628"/>
      <c r="AD63" s="3628"/>
      <c r="AE63" s="3628"/>
      <c r="AF63" s="3628"/>
      <c r="AG63" s="3628"/>
      <c r="AH63" s="3628"/>
      <c r="AI63" s="3628"/>
      <c r="AJ63" s="3628"/>
      <c r="AK63" s="3628"/>
      <c r="AL63" s="3628"/>
      <c r="AM63" s="3628"/>
      <c r="AN63" s="3628"/>
      <c r="AO63" s="3628"/>
      <c r="AP63" s="3628"/>
      <c r="AQ63" s="3628"/>
      <c r="AR63" s="3628"/>
      <c r="AS63" s="3628"/>
      <c r="AT63" s="3628"/>
    </row>
    <row r="64" spans="1:46">
      <c r="A64" s="3722"/>
      <c r="B64" s="3628"/>
      <c r="C64" s="3943" t="s">
        <v>155</v>
      </c>
      <c r="D64" s="3945">
        <f>+D25</f>
        <v>0</v>
      </c>
      <c r="E64" s="3937">
        <f>+'Additional Budget Sum (19Dec)'!I11</f>
        <v>549371.04999999981</v>
      </c>
      <c r="F64" s="3937">
        <f t="shared" si="1"/>
        <v>549371.04999999981</v>
      </c>
      <c r="G64" s="3628"/>
      <c r="H64" s="3628"/>
      <c r="I64" s="3628"/>
      <c r="J64" s="3628"/>
      <c r="K64" s="3628"/>
      <c r="L64" s="3628"/>
      <c r="M64" s="3628"/>
      <c r="N64" s="3628"/>
      <c r="O64" s="3628"/>
      <c r="P64" s="3628"/>
      <c r="Q64" s="3628"/>
      <c r="R64" s="3628"/>
      <c r="S64" s="3628"/>
      <c r="T64" s="3628"/>
      <c r="U64" s="3628"/>
      <c r="V64" s="3628"/>
      <c r="W64" s="3628"/>
      <c r="X64" s="3628"/>
      <c r="Y64" s="3628"/>
      <c r="Z64" s="3628"/>
      <c r="AA64" s="3628"/>
      <c r="AB64" s="3628"/>
      <c r="AC64" s="3628"/>
      <c r="AD64" s="3628"/>
      <c r="AE64" s="3628"/>
      <c r="AF64" s="3628"/>
      <c r="AG64" s="3628"/>
      <c r="AH64" s="3628"/>
      <c r="AI64" s="3628"/>
      <c r="AJ64" s="3628"/>
      <c r="AK64" s="3628"/>
      <c r="AL64" s="3628"/>
      <c r="AM64" s="3628"/>
      <c r="AN64" s="3628"/>
      <c r="AO64" s="3628"/>
      <c r="AP64" s="3628"/>
      <c r="AQ64" s="3628"/>
      <c r="AR64" s="3628"/>
      <c r="AS64" s="3628"/>
      <c r="AT64" s="3628"/>
    </row>
    <row r="65" spans="1:46">
      <c r="A65" s="3722"/>
      <c r="B65" s="3628"/>
      <c r="C65" s="3944" t="s">
        <v>3418</v>
      </c>
      <c r="D65" s="3945">
        <f>+D27</f>
        <v>0</v>
      </c>
      <c r="E65" s="3937">
        <f>+'Additional Budget Sum (19Dec)'!I16</f>
        <v>-9520</v>
      </c>
      <c r="F65" s="3937">
        <f t="shared" si="1"/>
        <v>-9520</v>
      </c>
      <c r="G65" s="3628"/>
      <c r="H65" s="3628"/>
      <c r="I65" s="3628"/>
      <c r="J65" s="3628"/>
      <c r="K65" s="3628"/>
      <c r="L65" s="3628"/>
      <c r="M65" s="3628"/>
      <c r="N65" s="3628"/>
      <c r="O65" s="3628"/>
      <c r="P65" s="3628"/>
      <c r="Q65" s="3628"/>
      <c r="R65" s="3628"/>
      <c r="S65" s="3628"/>
      <c r="T65" s="3628"/>
      <c r="U65" s="3628"/>
      <c r="V65" s="3628"/>
      <c r="W65" s="3628"/>
      <c r="X65" s="3628"/>
      <c r="Y65" s="3628"/>
      <c r="Z65" s="3628"/>
      <c r="AA65" s="3628"/>
      <c r="AB65" s="3628"/>
      <c r="AC65" s="3628"/>
      <c r="AD65" s="3628"/>
      <c r="AE65" s="3628"/>
      <c r="AF65" s="3628"/>
      <c r="AG65" s="3628"/>
      <c r="AH65" s="3628"/>
      <c r="AI65" s="3628"/>
      <c r="AJ65" s="3628"/>
      <c r="AK65" s="3628"/>
      <c r="AL65" s="3628"/>
      <c r="AM65" s="3628"/>
      <c r="AN65" s="3628"/>
      <c r="AO65" s="3628"/>
      <c r="AP65" s="3628"/>
      <c r="AQ65" s="3628"/>
      <c r="AR65" s="3628"/>
      <c r="AS65" s="3628"/>
      <c r="AT65" s="3628"/>
    </row>
    <row r="66" spans="1:46">
      <c r="A66" s="3722"/>
      <c r="B66" s="3628"/>
      <c r="C66" s="3943" t="s">
        <v>2043</v>
      </c>
      <c r="D66" s="3945">
        <f>+D26</f>
        <v>1109644.6000000001</v>
      </c>
      <c r="E66" s="3937">
        <f>+'Additional Budget Sum (19Dec)'!I12</f>
        <v>1365246.4499999993</v>
      </c>
      <c r="F66" s="3937">
        <f t="shared" si="1"/>
        <v>255601.84999999916</v>
      </c>
      <c r="G66" s="3628"/>
      <c r="H66" s="3628"/>
      <c r="I66" s="3628"/>
      <c r="J66" s="3628"/>
      <c r="K66" s="3628"/>
      <c r="L66" s="3628"/>
      <c r="M66" s="3628"/>
      <c r="N66" s="3628"/>
      <c r="O66" s="3628"/>
      <c r="P66" s="3628"/>
      <c r="Q66" s="3628"/>
      <c r="R66" s="3628"/>
      <c r="S66" s="3628"/>
      <c r="T66" s="3628"/>
      <c r="U66" s="3628"/>
      <c r="V66" s="3628"/>
      <c r="W66" s="3628"/>
      <c r="X66" s="3628"/>
      <c r="Y66" s="3628"/>
      <c r="Z66" s="3628"/>
      <c r="AA66" s="3628"/>
      <c r="AB66" s="3628"/>
      <c r="AC66" s="3628"/>
      <c r="AD66" s="3628"/>
      <c r="AE66" s="3628"/>
      <c r="AF66" s="3628"/>
      <c r="AG66" s="3628"/>
      <c r="AH66" s="3628"/>
      <c r="AI66" s="3628"/>
      <c r="AJ66" s="3628"/>
      <c r="AK66" s="3628"/>
      <c r="AL66" s="3628"/>
      <c r="AM66" s="3628"/>
      <c r="AN66" s="3628"/>
      <c r="AO66" s="3628"/>
      <c r="AP66" s="3628"/>
      <c r="AQ66" s="3628"/>
      <c r="AR66" s="3628"/>
      <c r="AS66" s="3628"/>
      <c r="AT66" s="3628"/>
    </row>
    <row r="67" spans="1:46">
      <c r="A67" s="3722"/>
      <c r="B67" s="3628"/>
      <c r="C67" s="3943" t="s">
        <v>1517</v>
      </c>
      <c r="D67" s="3945" t="e">
        <f>+D9+D10+D11+D12+D13+D14+D15+D16+D17+#REF!+D18+D19+D20+D31+D33+D35+D38+D39+D40+D41</f>
        <v>#REF!</v>
      </c>
      <c r="E67" s="3937">
        <f>+'Additional Budget Sum (19Dec)'!I9</f>
        <v>12096686.633043498</v>
      </c>
      <c r="F67" s="3937" t="e">
        <f t="shared" si="1"/>
        <v>#REF!</v>
      </c>
      <c r="G67" s="3628"/>
      <c r="H67" s="3628"/>
      <c r="I67" s="3628"/>
      <c r="J67" s="3628"/>
      <c r="K67" s="3628"/>
      <c r="L67" s="3628"/>
      <c r="M67" s="3628"/>
      <c r="N67" s="3628"/>
      <c r="O67" s="3628"/>
      <c r="P67" s="3628"/>
      <c r="Q67" s="3628"/>
      <c r="R67" s="3628"/>
      <c r="S67" s="3628"/>
      <c r="T67" s="3628"/>
      <c r="U67" s="3628"/>
      <c r="V67" s="3628"/>
      <c r="W67" s="3628"/>
      <c r="X67" s="3628"/>
      <c r="Y67" s="3628"/>
      <c r="Z67" s="3628"/>
      <c r="AA67" s="3628"/>
      <c r="AB67" s="3628"/>
      <c r="AC67" s="3628"/>
      <c r="AD67" s="3628"/>
      <c r="AE67" s="3628"/>
      <c r="AF67" s="3628"/>
      <c r="AG67" s="3628"/>
      <c r="AH67" s="3628"/>
      <c r="AI67" s="3628"/>
      <c r="AJ67" s="3628"/>
      <c r="AK67" s="3628"/>
      <c r="AL67" s="3628"/>
      <c r="AM67" s="3628"/>
      <c r="AN67" s="3628"/>
      <c r="AO67" s="3628"/>
      <c r="AP67" s="3628"/>
      <c r="AQ67" s="3628"/>
      <c r="AR67" s="3628"/>
      <c r="AS67" s="3628"/>
      <c r="AT67" s="3628"/>
    </row>
    <row r="68" spans="1:46">
      <c r="A68" s="3722"/>
      <c r="B68" s="3628"/>
      <c r="C68" s="3628"/>
      <c r="D68" s="3796"/>
      <c r="E68" s="3937"/>
      <c r="F68" s="3937"/>
      <c r="G68" s="3628"/>
      <c r="H68" s="3628"/>
      <c r="I68" s="3628"/>
      <c r="J68" s="3628"/>
      <c r="K68" s="3628"/>
      <c r="L68" s="3628"/>
      <c r="M68" s="3628"/>
      <c r="N68" s="3628"/>
      <c r="O68" s="3628"/>
      <c r="P68" s="3628"/>
      <c r="Q68" s="3628"/>
      <c r="R68" s="3628"/>
      <c r="S68" s="3628"/>
      <c r="T68" s="3628"/>
      <c r="U68" s="3628"/>
      <c r="V68" s="3628"/>
      <c r="W68" s="3628"/>
      <c r="X68" s="3628"/>
      <c r="Y68" s="3628"/>
      <c r="Z68" s="3628"/>
      <c r="AA68" s="3628"/>
      <c r="AB68" s="3628"/>
      <c r="AC68" s="3628"/>
      <c r="AD68" s="3628"/>
      <c r="AE68" s="3628"/>
      <c r="AF68" s="3628"/>
      <c r="AG68" s="3628"/>
      <c r="AH68" s="3628"/>
      <c r="AI68" s="3628"/>
      <c r="AJ68" s="3628"/>
      <c r="AK68" s="3628"/>
      <c r="AL68" s="3628"/>
      <c r="AM68" s="3628"/>
      <c r="AN68" s="3628"/>
      <c r="AO68" s="3628"/>
      <c r="AP68" s="3628"/>
      <c r="AQ68" s="3628"/>
      <c r="AR68" s="3628"/>
      <c r="AS68" s="3628"/>
      <c r="AT68" s="3628"/>
    </row>
    <row r="69" spans="1:46">
      <c r="A69" s="3722"/>
      <c r="B69" s="3628"/>
      <c r="C69" s="3628"/>
      <c r="D69" s="3946">
        <f>+'Schedule B'!O151+'Schedule B'!N151</f>
        <v>12754372.42</v>
      </c>
      <c r="E69" s="3628"/>
      <c r="F69" s="3628"/>
      <c r="G69" s="3628"/>
      <c r="H69" s="3628"/>
      <c r="I69" s="3628"/>
      <c r="J69" s="3628"/>
      <c r="K69" s="3628"/>
      <c r="L69" s="3628"/>
      <c r="M69" s="3628"/>
      <c r="N69" s="3628"/>
      <c r="O69" s="3628"/>
      <c r="P69" s="3628"/>
      <c r="Q69" s="3628"/>
      <c r="R69" s="3628"/>
      <c r="S69" s="3628"/>
      <c r="T69" s="3628"/>
      <c r="U69" s="3628"/>
      <c r="V69" s="3628"/>
      <c r="W69" s="3628"/>
      <c r="X69" s="3628"/>
      <c r="Y69" s="3628"/>
      <c r="Z69" s="3628"/>
      <c r="AA69" s="3628"/>
      <c r="AB69" s="3628"/>
      <c r="AC69" s="3628"/>
      <c r="AD69" s="3628"/>
      <c r="AE69" s="3628"/>
      <c r="AF69" s="3628"/>
      <c r="AG69" s="3628"/>
      <c r="AH69" s="3628"/>
      <c r="AI69" s="3628"/>
      <c r="AJ69" s="3628"/>
      <c r="AK69" s="3628"/>
      <c r="AL69" s="3628"/>
      <c r="AM69" s="3628"/>
      <c r="AN69" s="3628"/>
      <c r="AO69" s="3628"/>
      <c r="AP69" s="3628"/>
      <c r="AQ69" s="3628"/>
      <c r="AR69" s="3628"/>
      <c r="AS69" s="3628"/>
      <c r="AT69" s="3628"/>
    </row>
    <row r="70" spans="1:46">
      <c r="A70" s="3722"/>
      <c r="B70" s="3628"/>
      <c r="C70" s="3628"/>
      <c r="D70" s="3945">
        <f>+D69-D63</f>
        <v>12658170.880000001</v>
      </c>
      <c r="E70" s="3628"/>
      <c r="F70" s="3628"/>
      <c r="G70" s="3628"/>
      <c r="H70" s="3628"/>
      <c r="I70" s="3628"/>
      <c r="J70" s="3628"/>
      <c r="K70" s="3628"/>
      <c r="L70" s="3628"/>
      <c r="M70" s="3628"/>
      <c r="N70" s="3628"/>
      <c r="O70" s="3628"/>
      <c r="P70" s="3628"/>
      <c r="Q70" s="3628"/>
      <c r="R70" s="3628"/>
      <c r="S70" s="3628"/>
      <c r="T70" s="3628"/>
      <c r="U70" s="3628"/>
      <c r="V70" s="3628"/>
      <c r="W70" s="3628"/>
      <c r="X70" s="3628"/>
      <c r="Y70" s="3628"/>
      <c r="Z70" s="3628"/>
      <c r="AA70" s="3628"/>
      <c r="AB70" s="3628"/>
      <c r="AC70" s="3628"/>
      <c r="AD70" s="3628"/>
      <c r="AE70" s="3628"/>
      <c r="AF70" s="3628"/>
      <c r="AG70" s="3628"/>
      <c r="AH70" s="3628"/>
      <c r="AI70" s="3628"/>
      <c r="AJ70" s="3628"/>
      <c r="AK70" s="3628"/>
      <c r="AL70" s="3628"/>
      <c r="AM70" s="3628"/>
      <c r="AN70" s="3628"/>
      <c r="AO70" s="3628"/>
      <c r="AP70" s="3628"/>
      <c r="AQ70" s="3628"/>
      <c r="AR70" s="3628"/>
      <c r="AS70" s="3628"/>
      <c r="AT70" s="3628"/>
    </row>
    <row r="71" spans="1:46">
      <c r="A71" s="3722"/>
      <c r="B71" s="3628"/>
      <c r="C71" s="3628"/>
      <c r="D71" s="3796"/>
      <c r="E71" s="3628"/>
      <c r="F71" s="3628"/>
      <c r="G71" s="3628"/>
      <c r="H71" s="3628"/>
      <c r="I71" s="3628"/>
      <c r="J71" s="3628"/>
      <c r="K71" s="3628"/>
      <c r="L71" s="3628"/>
      <c r="M71" s="3628"/>
      <c r="N71" s="3628"/>
      <c r="O71" s="3628"/>
      <c r="P71" s="3628"/>
      <c r="Q71" s="3628"/>
      <c r="R71" s="3628"/>
      <c r="S71" s="3628"/>
      <c r="T71" s="3628"/>
      <c r="U71" s="3628"/>
      <c r="V71" s="3628"/>
      <c r="W71" s="3628"/>
      <c r="X71" s="3628"/>
      <c r="Y71" s="3628"/>
      <c r="Z71" s="3628"/>
      <c r="AA71" s="3628"/>
      <c r="AB71" s="3628"/>
      <c r="AC71" s="3628"/>
      <c r="AD71" s="3628"/>
      <c r="AE71" s="3628"/>
      <c r="AF71" s="3628"/>
      <c r="AG71" s="3628"/>
      <c r="AH71" s="3628"/>
      <c r="AI71" s="3628"/>
      <c r="AJ71" s="3628"/>
      <c r="AK71" s="3628"/>
      <c r="AL71" s="3628"/>
      <c r="AM71" s="3628"/>
      <c r="AN71" s="3628"/>
      <c r="AO71" s="3628"/>
      <c r="AP71" s="3628"/>
      <c r="AQ71" s="3628"/>
      <c r="AR71" s="3628"/>
      <c r="AS71" s="3628"/>
      <c r="AT71" s="3628"/>
    </row>
    <row r="72" spans="1:46">
      <c r="A72" s="3722"/>
      <c r="B72" s="3628"/>
      <c r="C72" s="3628"/>
      <c r="D72" s="3796"/>
      <c r="E72" s="3628"/>
      <c r="F72" s="3628"/>
      <c r="G72" s="3628"/>
      <c r="H72" s="3628"/>
      <c r="I72" s="3628"/>
      <c r="J72" s="3628"/>
      <c r="K72" s="3628"/>
      <c r="L72" s="3628"/>
      <c r="M72" s="3628"/>
      <c r="N72" s="3628"/>
      <c r="O72" s="3628"/>
      <c r="P72" s="3628"/>
      <c r="Q72" s="3628"/>
      <c r="R72" s="3628"/>
      <c r="S72" s="3628"/>
      <c r="T72" s="3628"/>
      <c r="U72" s="3628"/>
      <c r="V72" s="3628"/>
      <c r="W72" s="3628"/>
      <c r="X72" s="3628"/>
      <c r="Y72" s="3628"/>
      <c r="Z72" s="3628"/>
      <c r="AA72" s="3628"/>
      <c r="AB72" s="3628"/>
      <c r="AC72" s="3628"/>
      <c r="AD72" s="3628"/>
      <c r="AE72" s="3628"/>
      <c r="AF72" s="3628"/>
      <c r="AG72" s="3628"/>
      <c r="AH72" s="3628"/>
      <c r="AI72" s="3628"/>
      <c r="AJ72" s="3628"/>
      <c r="AK72" s="3628"/>
      <c r="AL72" s="3628"/>
      <c r="AM72" s="3628"/>
      <c r="AN72" s="3628"/>
      <c r="AO72" s="3628"/>
      <c r="AP72" s="3628"/>
      <c r="AQ72" s="3628"/>
      <c r="AR72" s="3628"/>
      <c r="AS72" s="3628"/>
      <c r="AT72" s="3628"/>
    </row>
    <row r="73" spans="1:46">
      <c r="A73" s="3722"/>
      <c r="B73" s="3628"/>
      <c r="C73" s="3628"/>
      <c r="D73" s="3796"/>
      <c r="E73" s="3628"/>
      <c r="F73" s="3628"/>
      <c r="G73" s="3628"/>
      <c r="H73" s="3628"/>
      <c r="I73" s="3628"/>
      <c r="J73" s="3628"/>
      <c r="K73" s="3628"/>
      <c r="L73" s="3628"/>
      <c r="M73" s="3628"/>
      <c r="N73" s="3628"/>
      <c r="O73" s="3628"/>
      <c r="P73" s="3628"/>
      <c r="Q73" s="3628"/>
      <c r="R73" s="3628"/>
      <c r="S73" s="3628"/>
      <c r="T73" s="3628"/>
      <c r="U73" s="3628"/>
      <c r="V73" s="3628"/>
      <c r="W73" s="3628"/>
      <c r="X73" s="3628"/>
      <c r="Y73" s="3628"/>
      <c r="Z73" s="3628"/>
      <c r="AA73" s="3628"/>
      <c r="AB73" s="3628"/>
      <c r="AC73" s="3628"/>
      <c r="AD73" s="3628"/>
      <c r="AE73" s="3628"/>
      <c r="AF73" s="3628"/>
      <c r="AG73" s="3628"/>
      <c r="AH73" s="3628"/>
      <c r="AI73" s="3628"/>
      <c r="AJ73" s="3628"/>
      <c r="AK73" s="3628"/>
      <c r="AL73" s="3628"/>
      <c r="AM73" s="3628"/>
      <c r="AN73" s="3628"/>
      <c r="AO73" s="3628"/>
      <c r="AP73" s="3628"/>
      <c r="AQ73" s="3628"/>
      <c r="AR73" s="3628"/>
      <c r="AS73" s="3628"/>
      <c r="AT73" s="3628"/>
    </row>
    <row r="74" spans="1:46">
      <c r="A74" s="3722"/>
      <c r="B74" s="3628"/>
      <c r="C74" s="3628"/>
      <c r="D74" s="3796"/>
      <c r="E74" s="3628"/>
      <c r="F74" s="3628"/>
      <c r="G74" s="3628"/>
      <c r="H74" s="3628"/>
      <c r="I74" s="3628"/>
      <c r="J74" s="3628"/>
      <c r="K74" s="3628"/>
      <c r="L74" s="3628"/>
      <c r="M74" s="3628"/>
      <c r="N74" s="3628"/>
      <c r="O74" s="3628"/>
      <c r="P74" s="3628"/>
      <c r="Q74" s="3628"/>
      <c r="R74" s="3628"/>
      <c r="S74" s="3628"/>
      <c r="T74" s="3628"/>
      <c r="U74" s="3628"/>
      <c r="V74" s="3628"/>
      <c r="W74" s="3628"/>
      <c r="X74" s="3628"/>
      <c r="Y74" s="3628"/>
      <c r="Z74" s="3628"/>
      <c r="AA74" s="3628"/>
      <c r="AB74" s="3628"/>
      <c r="AC74" s="3628"/>
      <c r="AD74" s="3628"/>
      <c r="AE74" s="3628"/>
      <c r="AF74" s="3628"/>
      <c r="AG74" s="3628"/>
      <c r="AH74" s="3628"/>
      <c r="AI74" s="3628"/>
      <c r="AJ74" s="3628"/>
      <c r="AK74" s="3628"/>
      <c r="AL74" s="3628"/>
      <c r="AM74" s="3628"/>
      <c r="AN74" s="3628"/>
      <c r="AO74" s="3628"/>
      <c r="AP74" s="3628"/>
      <c r="AQ74" s="3628"/>
      <c r="AR74" s="3628"/>
      <c r="AS74" s="3628"/>
      <c r="AT74" s="3628"/>
    </row>
    <row r="75" spans="1:46">
      <c r="A75" s="3722"/>
      <c r="B75" s="3628"/>
      <c r="C75" s="3628"/>
      <c r="D75" s="3796"/>
      <c r="E75" s="3628"/>
      <c r="F75" s="3628"/>
      <c r="G75" s="3628"/>
      <c r="H75" s="3628"/>
      <c r="I75" s="3628"/>
      <c r="J75" s="3628"/>
      <c r="K75" s="3628"/>
      <c r="L75" s="3628"/>
      <c r="M75" s="3628"/>
      <c r="N75" s="3628"/>
      <c r="O75" s="3628"/>
      <c r="P75" s="3628"/>
      <c r="Q75" s="3628"/>
      <c r="R75" s="3628"/>
      <c r="S75" s="3628"/>
      <c r="T75" s="3628"/>
      <c r="U75" s="3628"/>
      <c r="V75" s="3628"/>
      <c r="W75" s="3628"/>
      <c r="X75" s="3628"/>
      <c r="Y75" s="3628"/>
      <c r="Z75" s="3628"/>
      <c r="AA75" s="3628"/>
      <c r="AB75" s="3628"/>
      <c r="AC75" s="3628"/>
      <c r="AD75" s="3628"/>
      <c r="AE75" s="3628"/>
      <c r="AF75" s="3628"/>
      <c r="AG75" s="3628"/>
      <c r="AH75" s="3628"/>
      <c r="AI75" s="3628"/>
      <c r="AJ75" s="3628"/>
      <c r="AK75" s="3628"/>
      <c r="AL75" s="3628"/>
      <c r="AM75" s="3628"/>
      <c r="AN75" s="3628"/>
      <c r="AO75" s="3628"/>
      <c r="AP75" s="3628"/>
      <c r="AQ75" s="3628"/>
      <c r="AR75" s="3628"/>
      <c r="AS75" s="3628"/>
      <c r="AT75" s="3628"/>
    </row>
    <row r="76" spans="1:46">
      <c r="A76" s="3722"/>
      <c r="B76" s="3628"/>
      <c r="C76" s="3628"/>
      <c r="D76" s="3796"/>
      <c r="E76" s="3628"/>
      <c r="F76" s="3628"/>
      <c r="G76" s="3628"/>
      <c r="H76" s="3628"/>
      <c r="I76" s="3628"/>
      <c r="J76" s="3628"/>
      <c r="K76" s="3628"/>
      <c r="L76" s="3628"/>
      <c r="M76" s="3628"/>
      <c r="N76" s="3628"/>
      <c r="O76" s="3628"/>
      <c r="P76" s="3628"/>
      <c r="Q76" s="3628"/>
      <c r="R76" s="3628"/>
      <c r="S76" s="3628"/>
      <c r="T76" s="3628"/>
      <c r="U76" s="3628"/>
      <c r="V76" s="3628"/>
      <c r="W76" s="3628"/>
      <c r="X76" s="3628"/>
      <c r="Y76" s="3628"/>
      <c r="Z76" s="3628"/>
      <c r="AA76" s="3628"/>
      <c r="AB76" s="3628"/>
      <c r="AC76" s="3628"/>
      <c r="AD76" s="3628"/>
      <c r="AE76" s="3628"/>
      <c r="AF76" s="3628"/>
      <c r="AG76" s="3628"/>
      <c r="AH76" s="3628"/>
      <c r="AI76" s="3628"/>
      <c r="AJ76" s="3628"/>
      <c r="AK76" s="3628"/>
      <c r="AL76" s="3628"/>
      <c r="AM76" s="3628"/>
      <c r="AN76" s="3628"/>
      <c r="AO76" s="3628"/>
      <c r="AP76" s="3628"/>
      <c r="AQ76" s="3628"/>
      <c r="AR76" s="3628"/>
      <c r="AS76" s="3628"/>
      <c r="AT76" s="3628"/>
    </row>
    <row r="77" spans="1:46">
      <c r="A77" s="3722"/>
      <c r="B77" s="3628"/>
      <c r="C77" s="3628"/>
      <c r="D77" s="3796"/>
      <c r="E77" s="3628"/>
      <c r="F77" s="3628"/>
      <c r="G77" s="3628"/>
      <c r="H77" s="3628"/>
      <c r="I77" s="3628"/>
      <c r="J77" s="3628"/>
      <c r="K77" s="3628"/>
      <c r="L77" s="3628"/>
      <c r="M77" s="3628"/>
      <c r="N77" s="3628"/>
      <c r="O77" s="3628"/>
      <c r="P77" s="3628"/>
      <c r="Q77" s="3628"/>
      <c r="R77" s="3628"/>
      <c r="S77" s="3628"/>
      <c r="T77" s="3628"/>
      <c r="U77" s="3628"/>
      <c r="V77" s="3628"/>
      <c r="W77" s="3628"/>
      <c r="X77" s="3628"/>
      <c r="Y77" s="3628"/>
      <c r="Z77" s="3628"/>
      <c r="AA77" s="3628"/>
      <c r="AB77" s="3628"/>
      <c r="AC77" s="3628"/>
      <c r="AD77" s="3628"/>
      <c r="AE77" s="3628"/>
      <c r="AF77" s="3628"/>
      <c r="AG77" s="3628"/>
      <c r="AH77" s="3628"/>
      <c r="AI77" s="3628"/>
      <c r="AJ77" s="3628"/>
      <c r="AK77" s="3628"/>
      <c r="AL77" s="3628"/>
      <c r="AM77" s="3628"/>
      <c r="AN77" s="3628"/>
      <c r="AO77" s="3628"/>
      <c r="AP77" s="3628"/>
      <c r="AQ77" s="3628"/>
      <c r="AR77" s="3628"/>
      <c r="AS77" s="3628"/>
      <c r="AT77" s="3628"/>
    </row>
    <row r="78" spans="1:46">
      <c r="A78" s="3722"/>
      <c r="B78" s="3628"/>
      <c r="C78" s="3628"/>
      <c r="D78" s="3796"/>
      <c r="E78" s="3628"/>
      <c r="F78" s="3628"/>
      <c r="G78" s="3628"/>
      <c r="H78" s="3628"/>
      <c r="I78" s="3628"/>
      <c r="J78" s="3628"/>
      <c r="K78" s="3628"/>
      <c r="L78" s="3628"/>
      <c r="M78" s="3628"/>
      <c r="N78" s="3628"/>
      <c r="O78" s="3628"/>
      <c r="P78" s="3628"/>
      <c r="Q78" s="3628"/>
      <c r="R78" s="3628"/>
      <c r="S78" s="3628"/>
      <c r="T78" s="3628"/>
      <c r="U78" s="3628"/>
      <c r="V78" s="3628"/>
      <c r="W78" s="3628"/>
      <c r="X78" s="3628"/>
      <c r="Y78" s="3628"/>
      <c r="Z78" s="3628"/>
      <c r="AA78" s="3628"/>
      <c r="AB78" s="3628"/>
      <c r="AC78" s="3628"/>
      <c r="AD78" s="3628"/>
      <c r="AE78" s="3628"/>
      <c r="AF78" s="3628"/>
      <c r="AG78" s="3628"/>
      <c r="AH78" s="3628"/>
      <c r="AI78" s="3628"/>
      <c r="AJ78" s="3628"/>
      <c r="AK78" s="3628"/>
      <c r="AL78" s="3628"/>
      <c r="AM78" s="3628"/>
      <c r="AN78" s="3628"/>
      <c r="AO78" s="3628"/>
      <c r="AP78" s="3628"/>
      <c r="AQ78" s="3628"/>
      <c r="AR78" s="3628"/>
      <c r="AS78" s="3628"/>
      <c r="AT78" s="3628"/>
    </row>
    <row r="79" spans="1:46">
      <c r="A79" s="3722"/>
      <c r="B79" s="3628"/>
      <c r="C79" s="3628"/>
      <c r="D79" s="3796"/>
      <c r="E79" s="3628"/>
      <c r="F79" s="3628"/>
      <c r="G79" s="3628"/>
      <c r="H79" s="3628"/>
      <c r="I79" s="3628"/>
      <c r="J79" s="3628"/>
      <c r="K79" s="3628"/>
      <c r="L79" s="3628"/>
      <c r="M79" s="3628"/>
      <c r="N79" s="3628"/>
      <c r="O79" s="3628"/>
      <c r="P79" s="3628"/>
      <c r="Q79" s="3628"/>
      <c r="R79" s="3628"/>
      <c r="S79" s="3628"/>
      <c r="T79" s="3628"/>
      <c r="U79" s="3628"/>
      <c r="V79" s="3628"/>
      <c r="W79" s="3628"/>
      <c r="X79" s="3628"/>
      <c r="Y79" s="3628"/>
      <c r="Z79" s="3628"/>
      <c r="AA79" s="3628"/>
      <c r="AB79" s="3628"/>
      <c r="AC79" s="3628"/>
      <c r="AD79" s="3628"/>
      <c r="AE79" s="3628"/>
      <c r="AF79" s="3628"/>
      <c r="AG79" s="3628"/>
      <c r="AH79" s="3628"/>
      <c r="AI79" s="3628"/>
      <c r="AJ79" s="3628"/>
      <c r="AK79" s="3628"/>
      <c r="AL79" s="3628"/>
      <c r="AM79" s="3628"/>
      <c r="AN79" s="3628"/>
      <c r="AO79" s="3628"/>
      <c r="AP79" s="3628"/>
      <c r="AQ79" s="3628"/>
      <c r="AR79" s="3628"/>
      <c r="AS79" s="3628"/>
      <c r="AT79" s="3628"/>
    </row>
    <row r="80" spans="1:46">
      <c r="A80" s="3722"/>
      <c r="B80" s="3628"/>
      <c r="C80" s="3628"/>
      <c r="D80" s="3796"/>
      <c r="E80" s="3628"/>
      <c r="F80" s="3628"/>
      <c r="G80" s="3628"/>
      <c r="H80" s="3628"/>
      <c r="I80" s="3628"/>
      <c r="J80" s="3628"/>
      <c r="K80" s="3628"/>
      <c r="L80" s="3628"/>
      <c r="M80" s="3628"/>
      <c r="N80" s="3628"/>
      <c r="O80" s="3628"/>
      <c r="P80" s="3628"/>
      <c r="Q80" s="3628"/>
      <c r="R80" s="3628"/>
      <c r="S80" s="3628"/>
      <c r="T80" s="3628"/>
      <c r="U80" s="3628"/>
      <c r="V80" s="3628"/>
      <c r="W80" s="3628"/>
      <c r="X80" s="3628"/>
      <c r="Y80" s="3628"/>
      <c r="Z80" s="3628"/>
      <c r="AA80" s="3628"/>
      <c r="AB80" s="3628"/>
      <c r="AC80" s="3628"/>
      <c r="AD80" s="3628"/>
      <c r="AE80" s="3628"/>
      <c r="AF80" s="3628"/>
      <c r="AG80" s="3628"/>
      <c r="AH80" s="3628"/>
      <c r="AI80" s="3628"/>
      <c r="AJ80" s="3628"/>
      <c r="AK80" s="3628"/>
      <c r="AL80" s="3628"/>
      <c r="AM80" s="3628"/>
      <c r="AN80" s="3628"/>
      <c r="AO80" s="3628"/>
      <c r="AP80" s="3628"/>
      <c r="AQ80" s="3628"/>
      <c r="AR80" s="3628"/>
      <c r="AS80" s="3628"/>
      <c r="AT80" s="3628"/>
    </row>
    <row r="81" spans="1:46">
      <c r="A81" s="3722"/>
      <c r="B81" s="3628"/>
      <c r="C81" s="3628"/>
      <c r="D81" s="3796"/>
      <c r="E81" s="3628"/>
      <c r="F81" s="3628"/>
      <c r="G81" s="3628"/>
      <c r="H81" s="3628"/>
      <c r="I81" s="3628"/>
      <c r="J81" s="3628"/>
      <c r="K81" s="3628"/>
      <c r="L81" s="3628"/>
      <c r="M81" s="3628"/>
      <c r="N81" s="3628"/>
      <c r="O81" s="3628"/>
      <c r="P81" s="3628"/>
      <c r="Q81" s="3628"/>
      <c r="R81" s="3628"/>
      <c r="S81" s="3628"/>
      <c r="T81" s="3628"/>
      <c r="U81" s="3628"/>
      <c r="V81" s="3628"/>
      <c r="W81" s="3628"/>
      <c r="X81" s="3628"/>
      <c r="Y81" s="3628"/>
      <c r="Z81" s="3628"/>
      <c r="AA81" s="3628"/>
      <c r="AB81" s="3628"/>
      <c r="AC81" s="3628"/>
      <c r="AD81" s="3628"/>
      <c r="AE81" s="3628"/>
      <c r="AF81" s="3628"/>
      <c r="AG81" s="3628"/>
      <c r="AH81" s="3628"/>
      <c r="AI81" s="3628"/>
      <c r="AJ81" s="3628"/>
      <c r="AK81" s="3628"/>
      <c r="AL81" s="3628"/>
      <c r="AM81" s="3628"/>
      <c r="AN81" s="3628"/>
      <c r="AO81" s="3628"/>
      <c r="AP81" s="3628"/>
      <c r="AQ81" s="3628"/>
      <c r="AR81" s="3628"/>
      <c r="AS81" s="3628"/>
      <c r="AT81" s="3628"/>
    </row>
    <row r="82" spans="1:46">
      <c r="A82" s="3722"/>
      <c r="B82" s="3628"/>
      <c r="C82" s="3628"/>
      <c r="D82" s="3796"/>
      <c r="E82" s="3628"/>
      <c r="F82" s="3628"/>
      <c r="G82" s="3628"/>
      <c r="H82" s="3628"/>
      <c r="I82" s="3628"/>
      <c r="J82" s="3628"/>
      <c r="K82" s="3628"/>
      <c r="L82" s="3628"/>
      <c r="M82" s="3628"/>
      <c r="N82" s="3628"/>
      <c r="O82" s="3628"/>
      <c r="P82" s="3628"/>
      <c r="Q82" s="3628"/>
      <c r="R82" s="3628"/>
      <c r="S82" s="3628"/>
      <c r="T82" s="3628"/>
      <c r="U82" s="3628"/>
      <c r="V82" s="3628"/>
      <c r="W82" s="3628"/>
      <c r="X82" s="3628"/>
      <c r="Y82" s="3628"/>
      <c r="Z82" s="3628"/>
      <c r="AA82" s="3628"/>
      <c r="AB82" s="3628"/>
      <c r="AC82" s="3628"/>
      <c r="AD82" s="3628"/>
      <c r="AE82" s="3628"/>
      <c r="AF82" s="3628"/>
      <c r="AG82" s="3628"/>
      <c r="AH82" s="3628"/>
      <c r="AI82" s="3628"/>
      <c r="AJ82" s="3628"/>
      <c r="AK82" s="3628"/>
      <c r="AL82" s="3628"/>
      <c r="AM82" s="3628"/>
      <c r="AN82" s="3628"/>
      <c r="AO82" s="3628"/>
      <c r="AP82" s="3628"/>
      <c r="AQ82" s="3628"/>
      <c r="AR82" s="3628"/>
      <c r="AS82" s="3628"/>
      <c r="AT82" s="3628"/>
    </row>
    <row r="83" spans="1:46">
      <c r="A83" s="3722"/>
      <c r="B83" s="3628"/>
      <c r="C83" s="3628"/>
      <c r="D83" s="3796"/>
      <c r="E83" s="3628"/>
      <c r="F83" s="3628"/>
      <c r="G83" s="3628"/>
      <c r="H83" s="3628"/>
      <c r="I83" s="3628"/>
      <c r="J83" s="3628"/>
      <c r="K83" s="3628"/>
      <c r="L83" s="3628"/>
      <c r="M83" s="3628"/>
      <c r="N83" s="3628"/>
      <c r="O83" s="3628"/>
      <c r="P83" s="3628"/>
      <c r="Q83" s="3628"/>
      <c r="R83" s="3628"/>
      <c r="S83" s="3628"/>
      <c r="T83" s="3628"/>
      <c r="U83" s="3628"/>
      <c r="V83" s="3628"/>
      <c r="W83" s="3628"/>
      <c r="X83" s="3628"/>
      <c r="Y83" s="3628"/>
      <c r="Z83" s="3628"/>
      <c r="AA83" s="3628"/>
      <c r="AB83" s="3628"/>
      <c r="AC83" s="3628"/>
      <c r="AD83" s="3628"/>
      <c r="AE83" s="3628"/>
      <c r="AF83" s="3628"/>
      <c r="AG83" s="3628"/>
      <c r="AH83" s="3628"/>
      <c r="AI83" s="3628"/>
      <c r="AJ83" s="3628"/>
      <c r="AK83" s="3628"/>
      <c r="AL83" s="3628"/>
      <c r="AM83" s="3628"/>
      <c r="AN83" s="3628"/>
      <c r="AO83" s="3628"/>
      <c r="AP83" s="3628"/>
      <c r="AQ83" s="3628"/>
      <c r="AR83" s="3628"/>
      <c r="AS83" s="3628"/>
      <c r="AT83" s="3628"/>
    </row>
    <row r="84" spans="1:46">
      <c r="A84" s="3722"/>
      <c r="B84" s="3628"/>
      <c r="C84" s="3628"/>
      <c r="D84" s="3796"/>
      <c r="E84" s="3628"/>
      <c r="F84" s="3628"/>
      <c r="G84" s="3628"/>
      <c r="H84" s="3628"/>
      <c r="I84" s="3628"/>
      <c r="J84" s="3628"/>
      <c r="K84" s="3628"/>
      <c r="L84" s="3628"/>
      <c r="M84" s="3628"/>
      <c r="N84" s="3628"/>
      <c r="O84" s="3628"/>
      <c r="P84" s="3628"/>
      <c r="Q84" s="3628"/>
      <c r="R84" s="3628"/>
      <c r="S84" s="3628"/>
      <c r="T84" s="3628"/>
      <c r="U84" s="3628"/>
      <c r="V84" s="3628"/>
      <c r="W84" s="3628"/>
      <c r="X84" s="3628"/>
      <c r="Y84" s="3628"/>
      <c r="Z84" s="3628"/>
      <c r="AA84" s="3628"/>
      <c r="AB84" s="3628"/>
      <c r="AC84" s="3628"/>
      <c r="AD84" s="3628"/>
      <c r="AE84" s="3628"/>
      <c r="AF84" s="3628"/>
      <c r="AG84" s="3628"/>
      <c r="AH84" s="3628"/>
      <c r="AI84" s="3628"/>
      <c r="AJ84" s="3628"/>
      <c r="AK84" s="3628"/>
      <c r="AL84" s="3628"/>
      <c r="AM84" s="3628"/>
      <c r="AN84" s="3628"/>
      <c r="AO84" s="3628"/>
      <c r="AP84" s="3628"/>
      <c r="AQ84" s="3628"/>
      <c r="AR84" s="3628"/>
      <c r="AS84" s="3628"/>
      <c r="AT84" s="3628"/>
    </row>
    <row r="85" spans="1:46">
      <c r="A85" s="3722"/>
      <c r="B85" s="3628"/>
      <c r="C85" s="3628"/>
      <c r="D85" s="3796"/>
      <c r="E85" s="3628"/>
      <c r="F85" s="3628"/>
      <c r="G85" s="3628"/>
      <c r="H85" s="3628"/>
      <c r="I85" s="3628"/>
      <c r="J85" s="3628"/>
      <c r="K85" s="3628"/>
      <c r="L85" s="3628"/>
      <c r="M85" s="3628"/>
      <c r="N85" s="3628"/>
      <c r="O85" s="3628"/>
      <c r="P85" s="3628"/>
      <c r="Q85" s="3628"/>
      <c r="R85" s="3628"/>
      <c r="S85" s="3628"/>
      <c r="T85" s="3628"/>
      <c r="U85" s="3628"/>
      <c r="V85" s="3628"/>
      <c r="W85" s="3628"/>
      <c r="X85" s="3628"/>
      <c r="Y85" s="3628"/>
      <c r="Z85" s="3628"/>
      <c r="AA85" s="3628"/>
      <c r="AB85" s="3628"/>
      <c r="AC85" s="3628"/>
      <c r="AD85" s="3628"/>
      <c r="AE85" s="3628"/>
      <c r="AF85" s="3628"/>
      <c r="AG85" s="3628"/>
      <c r="AH85" s="3628"/>
      <c r="AI85" s="3628"/>
      <c r="AJ85" s="3628"/>
      <c r="AK85" s="3628"/>
      <c r="AL85" s="3628"/>
      <c r="AM85" s="3628"/>
      <c r="AN85" s="3628"/>
      <c r="AO85" s="3628"/>
      <c r="AP85" s="3628"/>
      <c r="AQ85" s="3628"/>
      <c r="AR85" s="3628"/>
      <c r="AS85" s="3628"/>
      <c r="AT85" s="3628"/>
    </row>
    <row r="86" spans="1:46">
      <c r="A86" s="3722"/>
      <c r="B86" s="3628"/>
      <c r="C86" s="3628"/>
      <c r="D86" s="3796"/>
      <c r="E86" s="3628"/>
      <c r="F86" s="3628"/>
      <c r="G86" s="3628"/>
      <c r="H86" s="3628"/>
      <c r="I86" s="3628"/>
      <c r="J86" s="3628"/>
      <c r="K86" s="3628"/>
      <c r="L86" s="3628"/>
      <c r="M86" s="3628"/>
      <c r="N86" s="3628"/>
      <c r="O86" s="3628"/>
      <c r="P86" s="3628"/>
      <c r="Q86" s="3628"/>
      <c r="R86" s="3628"/>
      <c r="S86" s="3628"/>
      <c r="T86" s="3628"/>
      <c r="U86" s="3628"/>
      <c r="V86" s="3628"/>
      <c r="W86" s="3628"/>
      <c r="X86" s="3628"/>
      <c r="Y86" s="3628"/>
      <c r="Z86" s="3628"/>
      <c r="AA86" s="3628"/>
      <c r="AB86" s="3628"/>
      <c r="AC86" s="3628"/>
      <c r="AD86" s="3628"/>
      <c r="AE86" s="3628"/>
      <c r="AF86" s="3628"/>
      <c r="AG86" s="3628"/>
      <c r="AH86" s="3628"/>
      <c r="AI86" s="3628"/>
      <c r="AJ86" s="3628"/>
      <c r="AK86" s="3628"/>
      <c r="AL86" s="3628"/>
      <c r="AM86" s="3628"/>
      <c r="AN86" s="3628"/>
      <c r="AO86" s="3628"/>
      <c r="AP86" s="3628"/>
      <c r="AQ86" s="3628"/>
      <c r="AR86" s="3628"/>
      <c r="AS86" s="3628"/>
      <c r="AT86" s="3628"/>
    </row>
    <row r="87" spans="1:46">
      <c r="A87" s="3722"/>
      <c r="B87" s="3628"/>
      <c r="C87" s="3628"/>
      <c r="D87" s="3796"/>
      <c r="E87" s="3628"/>
      <c r="F87" s="3628"/>
      <c r="G87" s="3628"/>
      <c r="H87" s="3628"/>
      <c r="I87" s="3628"/>
      <c r="J87" s="3628"/>
      <c r="K87" s="3628"/>
      <c r="L87" s="3628"/>
      <c r="M87" s="3628"/>
      <c r="N87" s="3628"/>
      <c r="O87" s="3628"/>
      <c r="P87" s="3628"/>
      <c r="Q87" s="3628"/>
      <c r="R87" s="3628"/>
      <c r="S87" s="3628"/>
      <c r="T87" s="3628"/>
      <c r="U87" s="3628"/>
      <c r="V87" s="3628"/>
      <c r="W87" s="3628"/>
      <c r="X87" s="3628"/>
      <c r="Y87" s="3628"/>
      <c r="Z87" s="3628"/>
      <c r="AA87" s="3628"/>
      <c r="AB87" s="3628"/>
      <c r="AC87" s="3628"/>
      <c r="AD87" s="3628"/>
      <c r="AE87" s="3628"/>
      <c r="AF87" s="3628"/>
      <c r="AG87" s="3628"/>
      <c r="AH87" s="3628"/>
      <c r="AI87" s="3628"/>
      <c r="AJ87" s="3628"/>
      <c r="AK87" s="3628"/>
      <c r="AL87" s="3628"/>
      <c r="AM87" s="3628"/>
      <c r="AN87" s="3628"/>
      <c r="AO87" s="3628"/>
      <c r="AP87" s="3628"/>
      <c r="AQ87" s="3628"/>
      <c r="AR87" s="3628"/>
      <c r="AS87" s="3628"/>
      <c r="AT87" s="3628"/>
    </row>
    <row r="88" spans="1:46">
      <c r="A88" s="3722"/>
      <c r="B88" s="3628"/>
      <c r="C88" s="3628"/>
      <c r="D88" s="3796"/>
      <c r="E88" s="3628"/>
      <c r="F88" s="3628"/>
      <c r="G88" s="3628"/>
      <c r="H88" s="3628"/>
      <c r="I88" s="3628"/>
      <c r="J88" s="3628"/>
      <c r="K88" s="3628"/>
      <c r="L88" s="3628"/>
      <c r="M88" s="3628"/>
      <c r="N88" s="3628"/>
      <c r="O88" s="3628"/>
      <c r="P88" s="3628"/>
      <c r="Q88" s="3628"/>
      <c r="R88" s="3628"/>
      <c r="S88" s="3628"/>
      <c r="T88" s="3628"/>
      <c r="U88" s="3628"/>
      <c r="V88" s="3628"/>
      <c r="W88" s="3628"/>
      <c r="X88" s="3628"/>
      <c r="Y88" s="3628"/>
      <c r="Z88" s="3628"/>
      <c r="AA88" s="3628"/>
      <c r="AB88" s="3628"/>
      <c r="AC88" s="3628"/>
      <c r="AD88" s="3628"/>
      <c r="AE88" s="3628"/>
      <c r="AF88" s="3628"/>
      <c r="AG88" s="3628"/>
      <c r="AH88" s="3628"/>
      <c r="AI88" s="3628"/>
      <c r="AJ88" s="3628"/>
      <c r="AK88" s="3628"/>
      <c r="AL88" s="3628"/>
      <c r="AM88" s="3628"/>
      <c r="AN88" s="3628"/>
      <c r="AO88" s="3628"/>
      <c r="AP88" s="3628"/>
      <c r="AQ88" s="3628"/>
      <c r="AR88" s="3628"/>
      <c r="AS88" s="3628"/>
      <c r="AT88" s="3628"/>
    </row>
    <row r="89" spans="1:46">
      <c r="A89" s="3722"/>
      <c r="B89" s="3628"/>
      <c r="C89" s="3628"/>
      <c r="D89" s="3796"/>
      <c r="E89" s="3628"/>
      <c r="F89" s="3628"/>
      <c r="G89" s="3628"/>
      <c r="H89" s="3628"/>
      <c r="I89" s="3628"/>
      <c r="J89" s="3628"/>
      <c r="K89" s="3628"/>
      <c r="L89" s="3628"/>
      <c r="M89" s="3628"/>
      <c r="N89" s="3628"/>
      <c r="O89" s="3628"/>
      <c r="P89" s="3628"/>
      <c r="Q89" s="3628"/>
      <c r="R89" s="3628"/>
      <c r="S89" s="3628"/>
      <c r="T89" s="3628"/>
      <c r="U89" s="3628"/>
      <c r="V89" s="3628"/>
      <c r="W89" s="3628"/>
      <c r="X89" s="3628"/>
      <c r="Y89" s="3628"/>
      <c r="Z89" s="3628"/>
      <c r="AA89" s="3628"/>
      <c r="AB89" s="3628"/>
      <c r="AC89" s="3628"/>
      <c r="AD89" s="3628"/>
      <c r="AE89" s="3628"/>
      <c r="AF89" s="3628"/>
      <c r="AG89" s="3628"/>
      <c r="AH89" s="3628"/>
      <c r="AI89" s="3628"/>
      <c r="AJ89" s="3628"/>
      <c r="AK89" s="3628"/>
      <c r="AL89" s="3628"/>
      <c r="AM89" s="3628"/>
      <c r="AN89" s="3628"/>
      <c r="AO89" s="3628"/>
      <c r="AP89" s="3628"/>
      <c r="AQ89" s="3628"/>
      <c r="AR89" s="3628"/>
      <c r="AS89" s="3628"/>
      <c r="AT89" s="3628"/>
    </row>
    <row r="90" spans="1:46">
      <c r="A90" s="3722"/>
      <c r="B90" s="3628"/>
      <c r="C90" s="3628"/>
      <c r="D90" s="3796"/>
      <c r="E90" s="3628"/>
      <c r="F90" s="3628"/>
      <c r="G90" s="3628"/>
      <c r="H90" s="3628"/>
      <c r="I90" s="3628"/>
      <c r="J90" s="3628"/>
      <c r="K90" s="3628"/>
      <c r="L90" s="3628"/>
      <c r="M90" s="3628"/>
      <c r="N90" s="3628"/>
      <c r="O90" s="3628"/>
      <c r="P90" s="3628"/>
      <c r="Q90" s="3628"/>
      <c r="R90" s="3628"/>
      <c r="S90" s="3628"/>
      <c r="T90" s="3628"/>
      <c r="U90" s="3628"/>
      <c r="V90" s="3628"/>
      <c r="W90" s="3628"/>
      <c r="X90" s="3628"/>
      <c r="Y90" s="3628"/>
      <c r="Z90" s="3628"/>
      <c r="AA90" s="3628"/>
      <c r="AB90" s="3628"/>
      <c r="AC90" s="3628"/>
      <c r="AD90" s="3628"/>
      <c r="AE90" s="3628"/>
      <c r="AF90" s="3628"/>
      <c r="AG90" s="3628"/>
      <c r="AH90" s="3628"/>
      <c r="AI90" s="3628"/>
      <c r="AJ90" s="3628"/>
      <c r="AK90" s="3628"/>
      <c r="AL90" s="3628"/>
      <c r="AM90" s="3628"/>
      <c r="AN90" s="3628"/>
      <c r="AO90" s="3628"/>
      <c r="AP90" s="3628"/>
      <c r="AQ90" s="3628"/>
      <c r="AR90" s="3628"/>
      <c r="AS90" s="3628"/>
      <c r="AT90" s="3628"/>
    </row>
    <row r="91" spans="1:46">
      <c r="A91" s="3722"/>
      <c r="B91" s="3628"/>
      <c r="C91" s="3628"/>
      <c r="D91" s="3796"/>
      <c r="E91" s="3628"/>
      <c r="F91" s="3628"/>
      <c r="G91" s="3628"/>
      <c r="H91" s="3628"/>
      <c r="I91" s="3628"/>
      <c r="J91" s="3628"/>
      <c r="K91" s="3628"/>
      <c r="L91" s="3628"/>
      <c r="M91" s="3628"/>
      <c r="N91" s="3628"/>
      <c r="O91" s="3628"/>
      <c r="P91" s="3628"/>
      <c r="Q91" s="3628"/>
      <c r="R91" s="3628"/>
      <c r="S91" s="3628"/>
      <c r="T91" s="3628"/>
      <c r="U91" s="3628"/>
      <c r="V91" s="3628"/>
      <c r="W91" s="3628"/>
      <c r="X91" s="3628"/>
      <c r="Y91" s="3628"/>
      <c r="Z91" s="3628"/>
      <c r="AA91" s="3628"/>
      <c r="AB91" s="3628"/>
      <c r="AC91" s="3628"/>
      <c r="AD91" s="3628"/>
      <c r="AE91" s="3628"/>
      <c r="AF91" s="3628"/>
      <c r="AG91" s="3628"/>
      <c r="AH91" s="3628"/>
      <c r="AI91" s="3628"/>
      <c r="AJ91" s="3628"/>
      <c r="AK91" s="3628"/>
      <c r="AL91" s="3628"/>
      <c r="AM91" s="3628"/>
      <c r="AN91" s="3628"/>
      <c r="AO91" s="3628"/>
      <c r="AP91" s="3628"/>
      <c r="AQ91" s="3628"/>
      <c r="AR91" s="3628"/>
      <c r="AS91" s="3628"/>
      <c r="AT91" s="3628"/>
    </row>
    <row r="92" spans="1:46">
      <c r="A92" s="3722"/>
      <c r="B92" s="3628"/>
      <c r="C92" s="3628"/>
      <c r="D92" s="3796"/>
      <c r="E92" s="3628"/>
      <c r="F92" s="3628"/>
      <c r="G92" s="3628"/>
      <c r="H92" s="3628"/>
      <c r="I92" s="3628"/>
      <c r="J92" s="3628"/>
      <c r="K92" s="3628"/>
      <c r="L92" s="3628"/>
      <c r="M92" s="3628"/>
      <c r="N92" s="3628"/>
      <c r="O92" s="3628"/>
      <c r="P92" s="3628"/>
      <c r="Q92" s="3628"/>
      <c r="R92" s="3628"/>
      <c r="S92" s="3628"/>
      <c r="T92" s="3628"/>
      <c r="U92" s="3628"/>
      <c r="V92" s="3628"/>
      <c r="W92" s="3628"/>
      <c r="X92" s="3628"/>
      <c r="Y92" s="3628"/>
      <c r="Z92" s="3628"/>
      <c r="AA92" s="3628"/>
      <c r="AB92" s="3628"/>
      <c r="AC92" s="3628"/>
      <c r="AD92" s="3628"/>
      <c r="AE92" s="3628"/>
      <c r="AF92" s="3628"/>
      <c r="AG92" s="3628"/>
      <c r="AH92" s="3628"/>
      <c r="AI92" s="3628"/>
      <c r="AJ92" s="3628"/>
      <c r="AK92" s="3628"/>
      <c r="AL92" s="3628"/>
      <c r="AM92" s="3628"/>
      <c r="AN92" s="3628"/>
      <c r="AO92" s="3628"/>
      <c r="AP92" s="3628"/>
      <c r="AQ92" s="3628"/>
      <c r="AR92" s="3628"/>
      <c r="AS92" s="3628"/>
      <c r="AT92" s="3628"/>
    </row>
    <row r="93" spans="1:46">
      <c r="A93" s="3722"/>
      <c r="B93" s="3628"/>
      <c r="C93" s="3628"/>
      <c r="D93" s="3796"/>
      <c r="E93" s="3628"/>
      <c r="F93" s="3628"/>
      <c r="G93" s="3628"/>
      <c r="H93" s="3628"/>
      <c r="I93" s="3628"/>
      <c r="J93" s="3628"/>
      <c r="K93" s="3628"/>
      <c r="L93" s="3628"/>
      <c r="M93" s="3628"/>
      <c r="N93" s="3628"/>
      <c r="O93" s="3628"/>
      <c r="P93" s="3628"/>
      <c r="Q93" s="3628"/>
      <c r="R93" s="3628"/>
      <c r="S93" s="3628"/>
      <c r="T93" s="3628"/>
      <c r="U93" s="3628"/>
      <c r="V93" s="3628"/>
      <c r="W93" s="3628"/>
      <c r="X93" s="3628"/>
      <c r="Y93" s="3628"/>
      <c r="Z93" s="3628"/>
      <c r="AA93" s="3628"/>
      <c r="AB93" s="3628"/>
      <c r="AC93" s="3628"/>
      <c r="AD93" s="3628"/>
      <c r="AE93" s="3628"/>
      <c r="AF93" s="3628"/>
      <c r="AG93" s="3628"/>
      <c r="AH93" s="3628"/>
      <c r="AI93" s="3628"/>
      <c r="AJ93" s="3628"/>
      <c r="AK93" s="3628"/>
      <c r="AL93" s="3628"/>
      <c r="AM93" s="3628"/>
      <c r="AN93" s="3628"/>
      <c r="AO93" s="3628"/>
      <c r="AP93" s="3628"/>
      <c r="AQ93" s="3628"/>
      <c r="AR93" s="3628"/>
      <c r="AS93" s="3628"/>
      <c r="AT93" s="3628"/>
    </row>
    <row r="94" spans="1:46">
      <c r="A94" s="3722"/>
      <c r="B94" s="3628"/>
      <c r="C94" s="3628"/>
      <c r="D94" s="3796"/>
      <c r="E94" s="3628"/>
      <c r="F94" s="3628"/>
      <c r="G94" s="3628"/>
      <c r="H94" s="3628"/>
      <c r="I94" s="3628"/>
      <c r="J94" s="3628"/>
      <c r="K94" s="3628"/>
      <c r="L94" s="3628"/>
      <c r="M94" s="3628"/>
      <c r="N94" s="3628"/>
      <c r="O94" s="3628"/>
      <c r="P94" s="3628"/>
      <c r="Q94" s="3628"/>
      <c r="R94" s="3628"/>
      <c r="S94" s="3628"/>
      <c r="T94" s="3628"/>
      <c r="U94" s="3628"/>
      <c r="V94" s="3628"/>
      <c r="W94" s="3628"/>
      <c r="X94" s="3628"/>
      <c r="Y94" s="3628"/>
      <c r="Z94" s="3628"/>
      <c r="AA94" s="3628"/>
      <c r="AB94" s="3628"/>
      <c r="AC94" s="3628"/>
      <c r="AD94" s="3628"/>
      <c r="AE94" s="3628"/>
      <c r="AF94" s="3628"/>
      <c r="AG94" s="3628"/>
      <c r="AH94" s="3628"/>
      <c r="AI94" s="3628"/>
      <c r="AJ94" s="3628"/>
      <c r="AK94" s="3628"/>
      <c r="AL94" s="3628"/>
      <c r="AM94" s="3628"/>
      <c r="AN94" s="3628"/>
      <c r="AO94" s="3628"/>
      <c r="AP94" s="3628"/>
      <c r="AQ94" s="3628"/>
      <c r="AR94" s="3628"/>
      <c r="AS94" s="3628"/>
      <c r="AT94" s="3628"/>
    </row>
    <row r="95" spans="1:46">
      <c r="A95" s="3722"/>
      <c r="B95" s="3628"/>
      <c r="C95" s="3628"/>
      <c r="D95" s="3796"/>
      <c r="E95" s="3628"/>
      <c r="F95" s="3628"/>
      <c r="G95" s="3628"/>
      <c r="H95" s="3628"/>
      <c r="I95" s="3628"/>
      <c r="J95" s="3628"/>
      <c r="K95" s="3628"/>
      <c r="L95" s="3628"/>
      <c r="M95" s="3628"/>
      <c r="N95" s="3628"/>
      <c r="O95" s="3628"/>
      <c r="P95" s="3628"/>
      <c r="Q95" s="3628"/>
      <c r="R95" s="3628"/>
      <c r="S95" s="3628"/>
      <c r="T95" s="3628"/>
      <c r="U95" s="3628"/>
      <c r="V95" s="3628"/>
      <c r="W95" s="3628"/>
      <c r="X95" s="3628"/>
      <c r="Y95" s="3628"/>
      <c r="Z95" s="3628"/>
      <c r="AA95" s="3628"/>
      <c r="AB95" s="3628"/>
      <c r="AC95" s="3628"/>
      <c r="AD95" s="3628"/>
      <c r="AE95" s="3628"/>
      <c r="AF95" s="3628"/>
      <c r="AG95" s="3628"/>
      <c r="AH95" s="3628"/>
      <c r="AI95" s="3628"/>
      <c r="AJ95" s="3628"/>
      <c r="AK95" s="3628"/>
      <c r="AL95" s="3628"/>
      <c r="AM95" s="3628"/>
      <c r="AN95" s="3628"/>
      <c r="AO95" s="3628"/>
      <c r="AP95" s="3628"/>
      <c r="AQ95" s="3628"/>
      <c r="AR95" s="3628"/>
      <c r="AS95" s="3628"/>
      <c r="AT95" s="3628"/>
    </row>
    <row r="96" spans="1:46">
      <c r="A96" s="3722"/>
      <c r="B96" s="3628"/>
      <c r="C96" s="3628"/>
      <c r="D96" s="3796"/>
      <c r="E96" s="3628"/>
      <c r="F96" s="3628"/>
      <c r="G96" s="3628"/>
      <c r="H96" s="3628"/>
      <c r="I96" s="3628"/>
      <c r="J96" s="3628"/>
      <c r="K96" s="3628"/>
      <c r="L96" s="3628"/>
      <c r="M96" s="3628"/>
      <c r="N96" s="3628"/>
      <c r="O96" s="3628"/>
      <c r="P96" s="3628"/>
      <c r="Q96" s="3628"/>
      <c r="R96" s="3628"/>
      <c r="S96" s="3628"/>
      <c r="T96" s="3628"/>
      <c r="U96" s="3628"/>
      <c r="V96" s="3628"/>
      <c r="W96" s="3628"/>
      <c r="X96" s="3628"/>
      <c r="Y96" s="3628"/>
      <c r="Z96" s="3628"/>
      <c r="AA96" s="3628"/>
      <c r="AB96" s="3628"/>
      <c r="AC96" s="3628"/>
      <c r="AD96" s="3628"/>
      <c r="AE96" s="3628"/>
      <c r="AF96" s="3628"/>
      <c r="AG96" s="3628"/>
      <c r="AH96" s="3628"/>
      <c r="AI96" s="3628"/>
      <c r="AJ96" s="3628"/>
      <c r="AK96" s="3628"/>
      <c r="AL96" s="3628"/>
      <c r="AM96" s="3628"/>
      <c r="AN96" s="3628"/>
      <c r="AO96" s="3628"/>
      <c r="AP96" s="3628"/>
      <c r="AQ96" s="3628"/>
      <c r="AR96" s="3628"/>
      <c r="AS96" s="3628"/>
      <c r="AT96" s="3628"/>
    </row>
    <row r="97" spans="1:46">
      <c r="A97" s="3722"/>
      <c r="B97" s="3628"/>
      <c r="C97" s="3628"/>
      <c r="D97" s="3796"/>
      <c r="E97" s="3628"/>
      <c r="F97" s="3628"/>
      <c r="G97" s="3628"/>
      <c r="H97" s="3628"/>
      <c r="I97" s="3628"/>
      <c r="J97" s="3628"/>
      <c r="K97" s="3628"/>
      <c r="L97" s="3628"/>
      <c r="M97" s="3628"/>
      <c r="N97" s="3628"/>
      <c r="O97" s="3628"/>
      <c r="P97" s="3628"/>
      <c r="Q97" s="3628"/>
      <c r="R97" s="3628"/>
      <c r="S97" s="3628"/>
      <c r="T97" s="3628"/>
      <c r="U97" s="3628"/>
      <c r="V97" s="3628"/>
      <c r="W97" s="3628"/>
      <c r="X97" s="3628"/>
      <c r="Y97" s="3628"/>
      <c r="Z97" s="3628"/>
      <c r="AA97" s="3628"/>
      <c r="AB97" s="3628"/>
      <c r="AC97" s="3628"/>
      <c r="AD97" s="3628"/>
      <c r="AE97" s="3628"/>
      <c r="AF97" s="3628"/>
      <c r="AG97" s="3628"/>
      <c r="AH97" s="3628"/>
      <c r="AI97" s="3628"/>
      <c r="AJ97" s="3628"/>
      <c r="AK97" s="3628"/>
      <c r="AL97" s="3628"/>
      <c r="AM97" s="3628"/>
      <c r="AN97" s="3628"/>
      <c r="AO97" s="3628"/>
      <c r="AP97" s="3628"/>
      <c r="AQ97" s="3628"/>
      <c r="AR97" s="3628"/>
      <c r="AS97" s="3628"/>
      <c r="AT97" s="3628"/>
    </row>
    <row r="98" spans="1:46">
      <c r="A98" s="3722"/>
      <c r="B98" s="3628"/>
      <c r="C98" s="3628"/>
      <c r="D98" s="3796"/>
      <c r="E98" s="3628"/>
      <c r="F98" s="3628"/>
      <c r="G98" s="3628"/>
      <c r="H98" s="3628"/>
      <c r="I98" s="3628"/>
      <c r="J98" s="3628"/>
      <c r="K98" s="3628"/>
      <c r="L98" s="3628"/>
      <c r="M98" s="3628"/>
      <c r="N98" s="3628"/>
      <c r="O98" s="3628"/>
      <c r="P98" s="3628"/>
      <c r="Q98" s="3628"/>
      <c r="R98" s="3628"/>
      <c r="S98" s="3628"/>
      <c r="T98" s="3628"/>
      <c r="U98" s="3628"/>
      <c r="V98" s="3628"/>
      <c r="W98" s="3628"/>
      <c r="X98" s="3628"/>
      <c r="Y98" s="3628"/>
      <c r="Z98" s="3628"/>
      <c r="AA98" s="3628"/>
      <c r="AB98" s="3628"/>
      <c r="AC98" s="3628"/>
      <c r="AD98" s="3628"/>
      <c r="AE98" s="3628"/>
      <c r="AF98" s="3628"/>
      <c r="AG98" s="3628"/>
      <c r="AH98" s="3628"/>
      <c r="AI98" s="3628"/>
      <c r="AJ98" s="3628"/>
      <c r="AK98" s="3628"/>
      <c r="AL98" s="3628"/>
      <c r="AM98" s="3628"/>
      <c r="AN98" s="3628"/>
      <c r="AO98" s="3628"/>
      <c r="AP98" s="3628"/>
      <c r="AQ98" s="3628"/>
      <c r="AR98" s="3628"/>
      <c r="AS98" s="3628"/>
      <c r="AT98" s="3628"/>
    </row>
    <row r="99" spans="1:46">
      <c r="A99" s="3722"/>
      <c r="B99" s="3628"/>
      <c r="C99" s="3628"/>
      <c r="D99" s="3796"/>
      <c r="E99" s="3628"/>
      <c r="F99" s="3628"/>
      <c r="G99" s="3628"/>
      <c r="H99" s="3628"/>
      <c r="I99" s="3628"/>
      <c r="J99" s="3628"/>
      <c r="K99" s="3628"/>
      <c r="L99" s="3628"/>
      <c r="M99" s="3628"/>
      <c r="N99" s="3628"/>
      <c r="O99" s="3628"/>
      <c r="P99" s="3628"/>
      <c r="Q99" s="3628"/>
      <c r="R99" s="3628"/>
      <c r="S99" s="3628"/>
      <c r="T99" s="3628"/>
      <c r="U99" s="3628"/>
      <c r="V99" s="3628"/>
      <c r="W99" s="3628"/>
      <c r="X99" s="3628"/>
      <c r="Y99" s="3628"/>
      <c r="Z99" s="3628"/>
      <c r="AA99" s="3628"/>
      <c r="AB99" s="3628"/>
      <c r="AC99" s="3628"/>
      <c r="AD99" s="3628"/>
      <c r="AE99" s="3628"/>
      <c r="AF99" s="3628"/>
      <c r="AG99" s="3628"/>
      <c r="AH99" s="3628"/>
      <c r="AI99" s="3628"/>
      <c r="AJ99" s="3628"/>
      <c r="AK99" s="3628"/>
      <c r="AL99" s="3628"/>
      <c r="AM99" s="3628"/>
      <c r="AN99" s="3628"/>
      <c r="AO99" s="3628"/>
      <c r="AP99" s="3628"/>
      <c r="AQ99" s="3628"/>
      <c r="AR99" s="3628"/>
      <c r="AS99" s="3628"/>
      <c r="AT99" s="3628"/>
    </row>
    <row r="100" spans="1:46">
      <c r="A100" s="3722"/>
      <c r="B100" s="3628"/>
      <c r="C100" s="3628"/>
      <c r="D100" s="3796"/>
      <c r="E100" s="3628"/>
      <c r="F100" s="3628"/>
      <c r="G100" s="3628"/>
      <c r="H100" s="3628"/>
      <c r="I100" s="3628"/>
      <c r="J100" s="3628"/>
      <c r="K100" s="3628"/>
      <c r="L100" s="3628"/>
      <c r="M100" s="3628"/>
      <c r="N100" s="3628"/>
      <c r="O100" s="3628"/>
      <c r="P100" s="3628"/>
      <c r="Q100" s="3628"/>
      <c r="R100" s="3628"/>
      <c r="S100" s="3628"/>
      <c r="T100" s="3628"/>
      <c r="U100" s="3628"/>
      <c r="V100" s="3628"/>
      <c r="W100" s="3628"/>
      <c r="X100" s="3628"/>
      <c r="Y100" s="3628"/>
      <c r="Z100" s="3628"/>
      <c r="AA100" s="3628"/>
      <c r="AB100" s="3628"/>
      <c r="AC100" s="3628"/>
      <c r="AD100" s="3628"/>
      <c r="AE100" s="3628"/>
      <c r="AF100" s="3628"/>
      <c r="AG100" s="3628"/>
      <c r="AH100" s="3628"/>
      <c r="AI100" s="3628"/>
      <c r="AJ100" s="3628"/>
      <c r="AK100" s="3628"/>
      <c r="AL100" s="3628"/>
      <c r="AM100" s="3628"/>
      <c r="AN100" s="3628"/>
      <c r="AO100" s="3628"/>
      <c r="AP100" s="3628"/>
      <c r="AQ100" s="3628"/>
      <c r="AR100" s="3628"/>
      <c r="AS100" s="3628"/>
      <c r="AT100" s="3628"/>
    </row>
    <row r="101" spans="1:46">
      <c r="A101" s="3722"/>
      <c r="B101" s="3628"/>
      <c r="C101" s="3628"/>
      <c r="D101" s="3796"/>
      <c r="E101" s="3628"/>
      <c r="F101" s="3628"/>
      <c r="G101" s="3628"/>
      <c r="H101" s="3628"/>
      <c r="I101" s="3628"/>
      <c r="J101" s="3628"/>
      <c r="K101" s="3628"/>
      <c r="L101" s="3628"/>
      <c r="M101" s="3628"/>
      <c r="N101" s="3628"/>
      <c r="O101" s="3628"/>
      <c r="P101" s="3628"/>
      <c r="Q101" s="3628"/>
      <c r="R101" s="3628"/>
      <c r="S101" s="3628"/>
      <c r="T101" s="3628"/>
      <c r="U101" s="3628"/>
      <c r="V101" s="3628"/>
      <c r="W101" s="3628"/>
      <c r="X101" s="3628"/>
      <c r="Y101" s="3628"/>
      <c r="Z101" s="3628"/>
      <c r="AA101" s="3628"/>
      <c r="AB101" s="3628"/>
      <c r="AC101" s="3628"/>
      <c r="AD101" s="3628"/>
      <c r="AE101" s="3628"/>
      <c r="AF101" s="3628"/>
      <c r="AG101" s="3628"/>
      <c r="AH101" s="3628"/>
      <c r="AI101" s="3628"/>
      <c r="AJ101" s="3628"/>
      <c r="AK101" s="3628"/>
      <c r="AL101" s="3628"/>
      <c r="AM101" s="3628"/>
      <c r="AN101" s="3628"/>
      <c r="AO101" s="3628"/>
      <c r="AP101" s="3628"/>
      <c r="AQ101" s="3628"/>
      <c r="AR101" s="3628"/>
      <c r="AS101" s="3628"/>
      <c r="AT101" s="3628"/>
    </row>
    <row r="102" spans="1:46">
      <c r="A102" s="3722"/>
      <c r="B102" s="3628"/>
      <c r="C102" s="3628"/>
      <c r="D102" s="3796"/>
      <c r="E102" s="3628"/>
      <c r="F102" s="3628"/>
      <c r="G102" s="3628"/>
      <c r="H102" s="3628"/>
      <c r="I102" s="3628"/>
      <c r="J102" s="3628"/>
      <c r="K102" s="3628"/>
      <c r="L102" s="3628"/>
      <c r="M102" s="3628"/>
      <c r="N102" s="3628"/>
      <c r="O102" s="3628"/>
      <c r="P102" s="3628"/>
      <c r="Q102" s="3628"/>
      <c r="R102" s="3628"/>
      <c r="S102" s="3628"/>
      <c r="T102" s="3628"/>
      <c r="U102" s="3628"/>
      <c r="V102" s="3628"/>
      <c r="W102" s="3628"/>
      <c r="X102" s="3628"/>
      <c r="Y102" s="3628"/>
      <c r="Z102" s="3628"/>
      <c r="AA102" s="3628"/>
      <c r="AB102" s="3628"/>
      <c r="AC102" s="3628"/>
      <c r="AD102" s="3628"/>
      <c r="AE102" s="3628"/>
      <c r="AF102" s="3628"/>
      <c r="AG102" s="3628"/>
      <c r="AH102" s="3628"/>
      <c r="AI102" s="3628"/>
      <c r="AJ102" s="3628"/>
      <c r="AK102" s="3628"/>
      <c r="AL102" s="3628"/>
      <c r="AM102" s="3628"/>
      <c r="AN102" s="3628"/>
      <c r="AO102" s="3628"/>
      <c r="AP102" s="3628"/>
      <c r="AQ102" s="3628"/>
      <c r="AR102" s="3628"/>
      <c r="AS102" s="3628"/>
      <c r="AT102" s="3628"/>
    </row>
    <row r="103" spans="1:46">
      <c r="A103" s="3722"/>
      <c r="B103" s="3628"/>
      <c r="C103" s="3628"/>
      <c r="D103" s="3796"/>
      <c r="E103" s="3628"/>
      <c r="F103" s="3628"/>
      <c r="G103" s="3628"/>
      <c r="H103" s="3628"/>
      <c r="I103" s="3628"/>
      <c r="J103" s="3628"/>
      <c r="K103" s="3628"/>
      <c r="L103" s="3628"/>
      <c r="M103" s="3628"/>
      <c r="N103" s="3628"/>
      <c r="O103" s="3628"/>
      <c r="P103" s="3628"/>
      <c r="Q103" s="3628"/>
      <c r="R103" s="3628"/>
      <c r="S103" s="3628"/>
      <c r="T103" s="3628"/>
      <c r="U103" s="3628"/>
      <c r="V103" s="3628"/>
      <c r="W103" s="3628"/>
      <c r="X103" s="3628"/>
      <c r="Y103" s="3628"/>
      <c r="Z103" s="3628"/>
      <c r="AA103" s="3628"/>
      <c r="AB103" s="3628"/>
      <c r="AC103" s="3628"/>
      <c r="AD103" s="3628"/>
      <c r="AE103" s="3628"/>
      <c r="AF103" s="3628"/>
      <c r="AG103" s="3628"/>
      <c r="AH103" s="3628"/>
      <c r="AI103" s="3628"/>
      <c r="AJ103" s="3628"/>
      <c r="AK103" s="3628"/>
      <c r="AL103" s="3628"/>
      <c r="AM103" s="3628"/>
      <c r="AN103" s="3628"/>
      <c r="AO103" s="3628"/>
      <c r="AP103" s="3628"/>
      <c r="AQ103" s="3628"/>
      <c r="AR103" s="3628"/>
      <c r="AS103" s="3628"/>
      <c r="AT103" s="3628"/>
    </row>
    <row r="104" spans="1:46">
      <c r="A104" s="3722"/>
      <c r="B104" s="3628"/>
      <c r="C104" s="3628"/>
      <c r="D104" s="3796"/>
      <c r="E104" s="3628"/>
      <c r="F104" s="3628"/>
      <c r="G104" s="3628"/>
      <c r="H104" s="3628"/>
      <c r="I104" s="3628"/>
      <c r="J104" s="3628"/>
      <c r="K104" s="3628"/>
      <c r="L104" s="3628"/>
      <c r="M104" s="3628"/>
      <c r="N104" s="3628"/>
      <c r="O104" s="3628"/>
      <c r="P104" s="3628"/>
      <c r="Q104" s="3628"/>
      <c r="R104" s="3628"/>
      <c r="S104" s="3628"/>
      <c r="T104" s="3628"/>
      <c r="U104" s="3628"/>
      <c r="V104" s="3628"/>
      <c r="W104" s="3628"/>
      <c r="X104" s="3628"/>
      <c r="Y104" s="3628"/>
      <c r="Z104" s="3628"/>
      <c r="AA104" s="3628"/>
      <c r="AB104" s="3628"/>
      <c r="AC104" s="3628"/>
      <c r="AD104" s="3628"/>
      <c r="AE104" s="3628"/>
      <c r="AF104" s="3628"/>
      <c r="AG104" s="3628"/>
      <c r="AH104" s="3628"/>
      <c r="AI104" s="3628"/>
      <c r="AJ104" s="3628"/>
      <c r="AK104" s="3628"/>
      <c r="AL104" s="3628"/>
      <c r="AM104" s="3628"/>
      <c r="AN104" s="3628"/>
      <c r="AO104" s="3628"/>
      <c r="AP104" s="3628"/>
      <c r="AQ104" s="3628"/>
      <c r="AR104" s="3628"/>
      <c r="AS104" s="3628"/>
      <c r="AT104" s="3628"/>
    </row>
    <row r="105" spans="1:46">
      <c r="A105" s="3722"/>
      <c r="B105" s="3628"/>
      <c r="C105" s="3628"/>
      <c r="D105" s="3796"/>
      <c r="E105" s="3628"/>
      <c r="F105" s="3628"/>
      <c r="G105" s="3628"/>
      <c r="H105" s="3628"/>
      <c r="I105" s="3628"/>
      <c r="J105" s="3628"/>
      <c r="K105" s="3628"/>
      <c r="L105" s="3628"/>
      <c r="M105" s="3628"/>
      <c r="N105" s="3628"/>
      <c r="O105" s="3628"/>
      <c r="P105" s="3628"/>
      <c r="Q105" s="3628"/>
      <c r="R105" s="3628"/>
      <c r="S105" s="3628"/>
      <c r="T105" s="3628"/>
      <c r="U105" s="3628"/>
      <c r="V105" s="3628"/>
      <c r="W105" s="3628"/>
      <c r="X105" s="3628"/>
      <c r="Y105" s="3628"/>
      <c r="Z105" s="3628"/>
      <c r="AA105" s="3628"/>
      <c r="AB105" s="3628"/>
      <c r="AC105" s="3628"/>
      <c r="AD105" s="3628"/>
      <c r="AE105" s="3628"/>
      <c r="AF105" s="3628"/>
      <c r="AG105" s="3628"/>
      <c r="AH105" s="3628"/>
      <c r="AI105" s="3628"/>
      <c r="AJ105" s="3628"/>
      <c r="AK105" s="3628"/>
      <c r="AL105" s="3628"/>
      <c r="AM105" s="3628"/>
      <c r="AN105" s="3628"/>
      <c r="AO105" s="3628"/>
      <c r="AP105" s="3628"/>
      <c r="AQ105" s="3628"/>
      <c r="AR105" s="3628"/>
      <c r="AS105" s="3628"/>
      <c r="AT105" s="3628"/>
    </row>
    <row r="106" spans="1:46">
      <c r="A106" s="3722"/>
      <c r="B106" s="3628"/>
      <c r="C106" s="3628"/>
      <c r="D106" s="3796"/>
      <c r="E106" s="3628"/>
      <c r="F106" s="3628"/>
      <c r="G106" s="3628"/>
      <c r="H106" s="3628"/>
      <c r="I106" s="3628"/>
      <c r="J106" s="3628"/>
      <c r="K106" s="3628"/>
      <c r="L106" s="3628"/>
      <c r="M106" s="3628"/>
      <c r="N106" s="3628"/>
      <c r="O106" s="3628"/>
      <c r="P106" s="3628"/>
      <c r="Q106" s="3628"/>
      <c r="R106" s="3628"/>
      <c r="S106" s="3628"/>
      <c r="T106" s="3628"/>
      <c r="U106" s="3628"/>
      <c r="V106" s="3628"/>
      <c r="W106" s="3628"/>
      <c r="X106" s="3628"/>
      <c r="Y106" s="3628"/>
      <c r="Z106" s="3628"/>
      <c r="AA106" s="3628"/>
      <c r="AB106" s="3628"/>
      <c r="AC106" s="3628"/>
      <c r="AD106" s="3628"/>
      <c r="AE106" s="3628"/>
      <c r="AF106" s="3628"/>
      <c r="AG106" s="3628"/>
      <c r="AH106" s="3628"/>
      <c r="AI106" s="3628"/>
      <c r="AJ106" s="3628"/>
      <c r="AK106" s="3628"/>
      <c r="AL106" s="3628"/>
      <c r="AM106" s="3628"/>
      <c r="AN106" s="3628"/>
      <c r="AO106" s="3628"/>
      <c r="AP106" s="3628"/>
      <c r="AQ106" s="3628"/>
      <c r="AR106" s="3628"/>
      <c r="AS106" s="3628"/>
      <c r="AT106" s="3628"/>
    </row>
    <row r="107" spans="1:46">
      <c r="A107" s="3722"/>
      <c r="B107" s="3628"/>
      <c r="C107" s="3628"/>
      <c r="D107" s="3796"/>
      <c r="E107" s="3628"/>
      <c r="F107" s="3628"/>
      <c r="G107" s="3628"/>
      <c r="H107" s="3628"/>
      <c r="I107" s="3628"/>
      <c r="J107" s="3628"/>
      <c r="K107" s="3628"/>
      <c r="L107" s="3628"/>
      <c r="M107" s="3628"/>
      <c r="N107" s="3628"/>
      <c r="O107" s="3628"/>
      <c r="P107" s="3628"/>
      <c r="Q107" s="3628"/>
      <c r="R107" s="3628"/>
      <c r="S107" s="3628"/>
      <c r="T107" s="3628"/>
      <c r="U107" s="3628"/>
      <c r="V107" s="3628"/>
      <c r="W107" s="3628"/>
      <c r="X107" s="3628"/>
      <c r="Y107" s="3628"/>
      <c r="Z107" s="3628"/>
      <c r="AA107" s="3628"/>
      <c r="AB107" s="3628"/>
      <c r="AC107" s="3628"/>
      <c r="AD107" s="3628"/>
      <c r="AE107" s="3628"/>
      <c r="AF107" s="3628"/>
      <c r="AG107" s="3628"/>
      <c r="AH107" s="3628"/>
      <c r="AI107" s="3628"/>
      <c r="AJ107" s="3628"/>
      <c r="AK107" s="3628"/>
      <c r="AL107" s="3628"/>
      <c r="AM107" s="3628"/>
      <c r="AN107" s="3628"/>
      <c r="AO107" s="3628"/>
      <c r="AP107" s="3628"/>
      <c r="AQ107" s="3628"/>
      <c r="AR107" s="3628"/>
      <c r="AS107" s="3628"/>
      <c r="AT107" s="3628"/>
    </row>
    <row r="108" spans="1:46">
      <c r="A108" s="3722"/>
      <c r="B108" s="3628"/>
      <c r="C108" s="3628"/>
      <c r="D108" s="3796"/>
      <c r="E108" s="3628"/>
      <c r="F108" s="3628"/>
      <c r="G108" s="3628"/>
      <c r="H108" s="3628"/>
      <c r="I108" s="3628"/>
      <c r="J108" s="3628"/>
      <c r="K108" s="3628"/>
      <c r="L108" s="3628"/>
      <c r="M108" s="3628"/>
      <c r="N108" s="3628"/>
      <c r="O108" s="3628"/>
      <c r="P108" s="3628"/>
      <c r="Q108" s="3628"/>
      <c r="R108" s="3628"/>
      <c r="S108" s="3628"/>
      <c r="T108" s="3628"/>
      <c r="U108" s="3628"/>
      <c r="V108" s="3628"/>
      <c r="W108" s="3628"/>
      <c r="X108" s="3628"/>
      <c r="Y108" s="3628"/>
      <c r="Z108" s="3628"/>
      <c r="AA108" s="3628"/>
      <c r="AB108" s="3628"/>
      <c r="AC108" s="3628"/>
      <c r="AD108" s="3628"/>
      <c r="AE108" s="3628"/>
      <c r="AF108" s="3628"/>
      <c r="AG108" s="3628"/>
      <c r="AH108" s="3628"/>
      <c r="AI108" s="3628"/>
      <c r="AJ108" s="3628"/>
      <c r="AK108" s="3628"/>
      <c r="AL108" s="3628"/>
      <c r="AM108" s="3628"/>
      <c r="AN108" s="3628"/>
      <c r="AO108" s="3628"/>
      <c r="AP108" s="3628"/>
      <c r="AQ108" s="3628"/>
      <c r="AR108" s="3628"/>
      <c r="AS108" s="3628"/>
      <c r="AT108" s="3628"/>
    </row>
    <row r="109" spans="1:46">
      <c r="A109" s="3722"/>
      <c r="B109" s="3628"/>
      <c r="C109" s="3628"/>
      <c r="D109" s="3796"/>
      <c r="E109" s="3628"/>
      <c r="F109" s="3628"/>
      <c r="G109" s="3628"/>
      <c r="H109" s="3628"/>
      <c r="I109" s="3628"/>
      <c r="J109" s="3628"/>
      <c r="K109" s="3628"/>
      <c r="L109" s="3628"/>
      <c r="M109" s="3628"/>
      <c r="N109" s="3628"/>
      <c r="O109" s="3628"/>
      <c r="P109" s="3628"/>
      <c r="Q109" s="3628"/>
      <c r="R109" s="3628"/>
      <c r="S109" s="3628"/>
      <c r="T109" s="3628"/>
      <c r="U109" s="3628"/>
      <c r="V109" s="3628"/>
      <c r="W109" s="3628"/>
      <c r="X109" s="3628"/>
      <c r="Y109" s="3628"/>
      <c r="Z109" s="3628"/>
      <c r="AA109" s="3628"/>
      <c r="AB109" s="3628"/>
      <c r="AC109" s="3628"/>
      <c r="AD109" s="3628"/>
      <c r="AE109" s="3628"/>
      <c r="AF109" s="3628"/>
      <c r="AG109" s="3628"/>
      <c r="AH109" s="3628"/>
      <c r="AI109" s="3628"/>
      <c r="AJ109" s="3628"/>
      <c r="AK109" s="3628"/>
      <c r="AL109" s="3628"/>
      <c r="AM109" s="3628"/>
      <c r="AN109" s="3628"/>
      <c r="AO109" s="3628"/>
      <c r="AP109" s="3628"/>
      <c r="AQ109" s="3628"/>
      <c r="AR109" s="3628"/>
      <c r="AS109" s="3628"/>
      <c r="AT109" s="3628"/>
    </row>
    <row r="110" spans="1:46">
      <c r="A110" s="3722"/>
      <c r="B110" s="3628"/>
      <c r="C110" s="3628"/>
      <c r="D110" s="3796"/>
      <c r="E110" s="3628"/>
      <c r="F110" s="3628"/>
      <c r="G110" s="3628"/>
      <c r="H110" s="3628"/>
      <c r="I110" s="3628"/>
      <c r="J110" s="3628"/>
      <c r="K110" s="3628"/>
      <c r="L110" s="3628"/>
      <c r="M110" s="3628"/>
      <c r="N110" s="3628"/>
      <c r="O110" s="3628"/>
      <c r="P110" s="3628"/>
      <c r="Q110" s="3628"/>
      <c r="R110" s="3628"/>
      <c r="S110" s="3628"/>
      <c r="T110" s="3628"/>
      <c r="U110" s="3628"/>
      <c r="V110" s="3628"/>
      <c r="W110" s="3628"/>
      <c r="X110" s="3628"/>
      <c r="Y110" s="3628"/>
      <c r="Z110" s="3628"/>
      <c r="AA110" s="3628"/>
      <c r="AB110" s="3628"/>
      <c r="AC110" s="3628"/>
      <c r="AD110" s="3628"/>
      <c r="AE110" s="3628"/>
      <c r="AF110" s="3628"/>
      <c r="AG110" s="3628"/>
      <c r="AH110" s="3628"/>
      <c r="AI110" s="3628"/>
      <c r="AJ110" s="3628"/>
      <c r="AK110" s="3628"/>
      <c r="AL110" s="3628"/>
      <c r="AM110" s="3628"/>
      <c r="AN110" s="3628"/>
      <c r="AO110" s="3628"/>
      <c r="AP110" s="3628"/>
      <c r="AQ110" s="3628"/>
      <c r="AR110" s="3628"/>
      <c r="AS110" s="3628"/>
      <c r="AT110" s="3628"/>
    </row>
    <row r="111" spans="1:46">
      <c r="B111" s="3628"/>
      <c r="C111" s="3628"/>
      <c r="D111" s="3796"/>
      <c r="E111" s="3628"/>
      <c r="F111" s="3628"/>
      <c r="G111" s="3628"/>
      <c r="H111" s="3628"/>
      <c r="I111" s="3628"/>
      <c r="J111" s="3628"/>
      <c r="K111" s="3628"/>
      <c r="L111" s="3628"/>
      <c r="M111" s="3628"/>
      <c r="N111" s="3628"/>
      <c r="O111" s="3628"/>
      <c r="P111" s="3628"/>
      <c r="Q111" s="3628"/>
      <c r="R111" s="3628"/>
      <c r="S111" s="3628"/>
      <c r="T111" s="3628"/>
      <c r="U111" s="3628"/>
      <c r="V111" s="3628"/>
      <c r="W111" s="3628"/>
      <c r="X111" s="3628"/>
      <c r="Y111" s="3628"/>
      <c r="Z111" s="3628"/>
      <c r="AA111" s="3628"/>
      <c r="AB111" s="3628"/>
      <c r="AC111" s="3628"/>
      <c r="AD111" s="3628"/>
      <c r="AE111" s="3628"/>
      <c r="AF111" s="3628"/>
      <c r="AG111" s="3628"/>
      <c r="AH111" s="3628"/>
      <c r="AI111" s="3628"/>
      <c r="AJ111" s="3628"/>
      <c r="AK111" s="3628"/>
      <c r="AL111" s="3628"/>
      <c r="AM111" s="3628"/>
      <c r="AN111" s="3628"/>
      <c r="AO111" s="3628"/>
      <c r="AP111" s="3628"/>
      <c r="AQ111" s="3628"/>
      <c r="AR111" s="3628"/>
      <c r="AS111" s="3628"/>
      <c r="AT111" s="3628"/>
    </row>
    <row r="112" spans="1:46">
      <c r="B112" s="3628"/>
      <c r="C112" s="3628"/>
      <c r="D112" s="3796"/>
      <c r="E112" s="3628"/>
      <c r="F112" s="3628"/>
      <c r="G112" s="3628"/>
      <c r="H112" s="3628"/>
      <c r="I112" s="3628"/>
      <c r="J112" s="3628"/>
      <c r="K112" s="3628"/>
      <c r="L112" s="3628"/>
      <c r="M112" s="3628"/>
      <c r="N112" s="3628"/>
      <c r="O112" s="3628"/>
      <c r="P112" s="3628"/>
      <c r="Q112" s="3628"/>
      <c r="R112" s="3628"/>
      <c r="S112" s="3628"/>
      <c r="T112" s="3628"/>
      <c r="U112" s="3628"/>
      <c r="V112" s="3628"/>
      <c r="W112" s="3628"/>
      <c r="X112" s="3628"/>
      <c r="Y112" s="3628"/>
      <c r="Z112" s="3628"/>
      <c r="AA112" s="3628"/>
      <c r="AB112" s="3628"/>
      <c r="AC112" s="3628"/>
      <c r="AD112" s="3628"/>
      <c r="AE112" s="3628"/>
      <c r="AF112" s="3628"/>
      <c r="AG112" s="3628"/>
      <c r="AH112" s="3628"/>
      <c r="AI112" s="3628"/>
      <c r="AJ112" s="3628"/>
      <c r="AK112" s="3628"/>
      <c r="AL112" s="3628"/>
      <c r="AM112" s="3628"/>
      <c r="AN112" s="3628"/>
      <c r="AO112" s="3628"/>
      <c r="AP112" s="3628"/>
      <c r="AQ112" s="3628"/>
      <c r="AR112" s="3628"/>
      <c r="AS112" s="3628"/>
      <c r="AT112" s="3628"/>
    </row>
    <row r="113" spans="2:46">
      <c r="B113" s="3628"/>
      <c r="C113" s="3628"/>
      <c r="D113" s="3796"/>
      <c r="E113" s="3628"/>
      <c r="F113" s="3628"/>
      <c r="G113" s="3628"/>
      <c r="H113" s="3628"/>
      <c r="I113" s="3628"/>
      <c r="J113" s="3628"/>
      <c r="K113" s="3628"/>
      <c r="L113" s="3628"/>
      <c r="M113" s="3628"/>
      <c r="N113" s="3628"/>
      <c r="O113" s="3628"/>
      <c r="P113" s="3628"/>
      <c r="Q113" s="3628"/>
      <c r="R113" s="3628"/>
      <c r="S113" s="3628"/>
      <c r="T113" s="3628"/>
      <c r="U113" s="3628"/>
      <c r="V113" s="3628"/>
      <c r="W113" s="3628"/>
      <c r="X113" s="3628"/>
      <c r="Y113" s="3628"/>
      <c r="Z113" s="3628"/>
      <c r="AA113" s="3628"/>
      <c r="AB113" s="3628"/>
      <c r="AC113" s="3628"/>
      <c r="AD113" s="3628"/>
      <c r="AE113" s="3628"/>
      <c r="AF113" s="3628"/>
      <c r="AG113" s="3628"/>
      <c r="AH113" s="3628"/>
      <c r="AI113" s="3628"/>
      <c r="AJ113" s="3628"/>
      <c r="AK113" s="3628"/>
      <c r="AL113" s="3628"/>
      <c r="AM113" s="3628"/>
      <c r="AN113" s="3628"/>
      <c r="AO113" s="3628"/>
      <c r="AP113" s="3628"/>
      <c r="AQ113" s="3628"/>
      <c r="AR113" s="3628"/>
      <c r="AS113" s="3628"/>
      <c r="AT113" s="3628"/>
    </row>
    <row r="114" spans="2:46">
      <c r="B114" s="3628"/>
      <c r="C114" s="3628"/>
      <c r="D114" s="3796"/>
      <c r="E114" s="3628"/>
      <c r="F114" s="3628"/>
      <c r="G114" s="3628"/>
      <c r="H114" s="3628"/>
      <c r="I114" s="3628"/>
      <c r="J114" s="3628"/>
      <c r="K114" s="3628"/>
      <c r="L114" s="3628"/>
      <c r="M114" s="3628"/>
      <c r="N114" s="3628"/>
      <c r="O114" s="3628"/>
      <c r="P114" s="3628"/>
      <c r="Q114" s="3628"/>
      <c r="R114" s="3628"/>
      <c r="S114" s="3628"/>
      <c r="T114" s="3628"/>
      <c r="U114" s="3628"/>
      <c r="V114" s="3628"/>
      <c r="W114" s="3628"/>
      <c r="X114" s="3628"/>
      <c r="Y114" s="3628"/>
      <c r="Z114" s="3628"/>
      <c r="AA114" s="3628"/>
      <c r="AB114" s="3628"/>
      <c r="AC114" s="3628"/>
      <c r="AD114" s="3628"/>
      <c r="AE114" s="3628"/>
      <c r="AF114" s="3628"/>
      <c r="AG114" s="3628"/>
      <c r="AH114" s="3628"/>
      <c r="AI114" s="3628"/>
      <c r="AJ114" s="3628"/>
      <c r="AK114" s="3628"/>
      <c r="AL114" s="3628"/>
      <c r="AM114" s="3628"/>
      <c r="AN114" s="3628"/>
      <c r="AO114" s="3628"/>
      <c r="AP114" s="3628"/>
      <c r="AQ114" s="3628"/>
      <c r="AR114" s="3628"/>
      <c r="AS114" s="3628"/>
      <c r="AT114" s="3628"/>
    </row>
    <row r="115" spans="2:46">
      <c r="B115" s="3628"/>
      <c r="C115" s="3628"/>
      <c r="D115" s="3796"/>
      <c r="E115" s="3628"/>
      <c r="F115" s="3628"/>
      <c r="G115" s="3628"/>
      <c r="H115" s="3628"/>
      <c r="I115" s="3628"/>
      <c r="J115" s="3628"/>
      <c r="K115" s="3628"/>
      <c r="L115" s="3628"/>
      <c r="M115" s="3628"/>
      <c r="N115" s="3628"/>
      <c r="O115" s="3628"/>
      <c r="P115" s="3628"/>
      <c r="Q115" s="3628"/>
      <c r="R115" s="3628"/>
      <c r="S115" s="3628"/>
      <c r="T115" s="3628"/>
      <c r="U115" s="3628"/>
      <c r="V115" s="3628"/>
      <c r="W115" s="3628"/>
      <c r="X115" s="3628"/>
      <c r="Y115" s="3628"/>
      <c r="Z115" s="3628"/>
      <c r="AA115" s="3628"/>
      <c r="AB115" s="3628"/>
      <c r="AC115" s="3628"/>
      <c r="AD115" s="3628"/>
      <c r="AE115" s="3628"/>
      <c r="AF115" s="3628"/>
      <c r="AG115" s="3628"/>
      <c r="AH115" s="3628"/>
      <c r="AI115" s="3628"/>
      <c r="AJ115" s="3628"/>
      <c r="AK115" s="3628"/>
      <c r="AL115" s="3628"/>
      <c r="AM115" s="3628"/>
      <c r="AN115" s="3628"/>
      <c r="AO115" s="3628"/>
      <c r="AP115" s="3628"/>
      <c r="AQ115" s="3628"/>
      <c r="AR115" s="3628"/>
      <c r="AS115" s="3628"/>
      <c r="AT115" s="3628"/>
    </row>
    <row r="116" spans="2:46">
      <c r="B116" s="3628"/>
      <c r="C116" s="3628"/>
      <c r="D116" s="3796"/>
      <c r="E116" s="3628"/>
      <c r="F116" s="3628"/>
      <c r="G116" s="3628"/>
      <c r="H116" s="3628"/>
      <c r="I116" s="3628"/>
      <c r="J116" s="3628"/>
      <c r="K116" s="3628"/>
      <c r="L116" s="3628"/>
      <c r="M116" s="3628"/>
      <c r="N116" s="3628"/>
      <c r="O116" s="3628"/>
      <c r="P116" s="3628"/>
      <c r="Q116" s="3628"/>
      <c r="R116" s="3628"/>
      <c r="S116" s="3628"/>
      <c r="T116" s="3628"/>
      <c r="U116" s="3628"/>
      <c r="V116" s="3628"/>
      <c r="W116" s="3628"/>
      <c r="X116" s="3628"/>
      <c r="Y116" s="3628"/>
      <c r="Z116" s="3628"/>
      <c r="AA116" s="3628"/>
      <c r="AB116" s="3628"/>
      <c r="AC116" s="3628"/>
      <c r="AD116" s="3628"/>
      <c r="AE116" s="3628"/>
      <c r="AF116" s="3628"/>
      <c r="AG116" s="3628"/>
      <c r="AH116" s="3628"/>
      <c r="AI116" s="3628"/>
      <c r="AJ116" s="3628"/>
      <c r="AK116" s="3628"/>
      <c r="AL116" s="3628"/>
      <c r="AM116" s="3628"/>
      <c r="AN116" s="3628"/>
      <c r="AO116" s="3628"/>
      <c r="AP116" s="3628"/>
      <c r="AQ116" s="3628"/>
      <c r="AR116" s="3628"/>
      <c r="AS116" s="3628"/>
      <c r="AT116" s="3628"/>
    </row>
    <row r="117" spans="2:46">
      <c r="B117" s="3628"/>
      <c r="C117" s="3628"/>
      <c r="D117" s="3796"/>
      <c r="E117" s="3628"/>
      <c r="F117" s="3628"/>
      <c r="G117" s="3628"/>
      <c r="H117" s="3628"/>
      <c r="I117" s="3628"/>
      <c r="J117" s="3628"/>
      <c r="K117" s="3628"/>
      <c r="L117" s="3628"/>
      <c r="M117" s="3628"/>
      <c r="N117" s="3628"/>
      <c r="O117" s="3628"/>
      <c r="P117" s="3628"/>
      <c r="Q117" s="3628"/>
      <c r="R117" s="3628"/>
      <c r="S117" s="3628"/>
      <c r="T117" s="3628"/>
      <c r="U117" s="3628"/>
      <c r="V117" s="3628"/>
      <c r="W117" s="3628"/>
      <c r="X117" s="3628"/>
      <c r="Y117" s="3628"/>
      <c r="Z117" s="3628"/>
      <c r="AA117" s="3628"/>
      <c r="AB117" s="3628"/>
      <c r="AC117" s="3628"/>
      <c r="AD117" s="3628"/>
      <c r="AE117" s="3628"/>
      <c r="AF117" s="3628"/>
      <c r="AG117" s="3628"/>
      <c r="AH117" s="3628"/>
      <c r="AI117" s="3628"/>
      <c r="AJ117" s="3628"/>
      <c r="AK117" s="3628"/>
      <c r="AL117" s="3628"/>
      <c r="AM117" s="3628"/>
      <c r="AN117" s="3628"/>
      <c r="AO117" s="3628"/>
      <c r="AP117" s="3628"/>
      <c r="AQ117" s="3628"/>
      <c r="AR117" s="3628"/>
      <c r="AS117" s="3628"/>
      <c r="AT117" s="3628"/>
    </row>
    <row r="118" spans="2:46">
      <c r="B118" s="3628"/>
      <c r="C118" s="3628"/>
      <c r="D118" s="3796"/>
      <c r="E118" s="3628"/>
      <c r="F118" s="3628"/>
      <c r="G118" s="3628"/>
      <c r="H118" s="3628"/>
      <c r="I118" s="3628"/>
      <c r="J118" s="3628"/>
      <c r="K118" s="3628"/>
      <c r="L118" s="3628"/>
      <c r="M118" s="3628"/>
      <c r="N118" s="3628"/>
      <c r="O118" s="3628"/>
      <c r="P118" s="3628"/>
      <c r="Q118" s="3628"/>
      <c r="R118" s="3628"/>
      <c r="S118" s="3628"/>
      <c r="T118" s="3628"/>
      <c r="U118" s="3628"/>
      <c r="V118" s="3628"/>
      <c r="W118" s="3628"/>
      <c r="X118" s="3628"/>
      <c r="Y118" s="3628"/>
      <c r="Z118" s="3628"/>
      <c r="AA118" s="3628"/>
      <c r="AB118" s="3628"/>
      <c r="AC118" s="3628"/>
      <c r="AD118" s="3628"/>
      <c r="AE118" s="3628"/>
      <c r="AF118" s="3628"/>
      <c r="AG118" s="3628"/>
      <c r="AH118" s="3628"/>
      <c r="AI118" s="3628"/>
      <c r="AJ118" s="3628"/>
      <c r="AK118" s="3628"/>
      <c r="AL118" s="3628"/>
      <c r="AM118" s="3628"/>
      <c r="AN118" s="3628"/>
      <c r="AO118" s="3628"/>
      <c r="AP118" s="3628"/>
      <c r="AQ118" s="3628"/>
      <c r="AR118" s="3628"/>
      <c r="AS118" s="3628"/>
      <c r="AT118" s="3628"/>
    </row>
    <row r="119" spans="2:46">
      <c r="B119" s="3628"/>
      <c r="C119" s="3628"/>
      <c r="D119" s="3796"/>
      <c r="E119" s="3628"/>
      <c r="F119" s="3628"/>
      <c r="G119" s="3628"/>
      <c r="H119" s="3628"/>
      <c r="I119" s="3628"/>
      <c r="J119" s="3628"/>
      <c r="K119" s="3628"/>
      <c r="L119" s="3628"/>
      <c r="M119" s="3628"/>
      <c r="N119" s="3628"/>
      <c r="O119" s="3628"/>
      <c r="P119" s="3628"/>
      <c r="Q119" s="3628"/>
      <c r="R119" s="3628"/>
      <c r="S119" s="3628"/>
      <c r="T119" s="3628"/>
      <c r="U119" s="3628"/>
      <c r="V119" s="3628"/>
      <c r="W119" s="3628"/>
      <c r="X119" s="3628"/>
      <c r="Y119" s="3628"/>
      <c r="Z119" s="3628"/>
      <c r="AA119" s="3628"/>
      <c r="AB119" s="3628"/>
      <c r="AC119" s="3628"/>
      <c r="AD119" s="3628"/>
      <c r="AE119" s="3628"/>
      <c r="AF119" s="3628"/>
      <c r="AG119" s="3628"/>
      <c r="AH119" s="3628"/>
      <c r="AI119" s="3628"/>
      <c r="AJ119" s="3628"/>
      <c r="AK119" s="3628"/>
      <c r="AL119" s="3628"/>
      <c r="AM119" s="3628"/>
      <c r="AN119" s="3628"/>
      <c r="AO119" s="3628"/>
      <c r="AP119" s="3628"/>
      <c r="AQ119" s="3628"/>
      <c r="AR119" s="3628"/>
      <c r="AS119" s="3628"/>
      <c r="AT119" s="3628"/>
    </row>
    <row r="120" spans="2:46">
      <c r="B120" s="3628"/>
      <c r="C120" s="3628"/>
      <c r="D120" s="3796"/>
      <c r="E120" s="3628"/>
      <c r="F120" s="3628"/>
      <c r="G120" s="3628"/>
      <c r="H120" s="3628"/>
      <c r="I120" s="3628"/>
      <c r="J120" s="3628"/>
      <c r="K120" s="3628"/>
      <c r="L120" s="3628"/>
      <c r="M120" s="3628"/>
      <c r="N120" s="3628"/>
      <c r="O120" s="3628"/>
      <c r="P120" s="3628"/>
      <c r="Q120" s="3628"/>
      <c r="R120" s="3628"/>
      <c r="S120" s="3628"/>
      <c r="T120" s="3628"/>
      <c r="U120" s="3628"/>
      <c r="V120" s="3628"/>
      <c r="W120" s="3628"/>
      <c r="X120" s="3628"/>
      <c r="Y120" s="3628"/>
      <c r="Z120" s="3628"/>
      <c r="AA120" s="3628"/>
      <c r="AB120" s="3628"/>
      <c r="AC120" s="3628"/>
      <c r="AD120" s="3628"/>
      <c r="AE120" s="3628"/>
      <c r="AF120" s="3628"/>
      <c r="AG120" s="3628"/>
      <c r="AH120" s="3628"/>
      <c r="AI120" s="3628"/>
      <c r="AJ120" s="3628"/>
      <c r="AK120" s="3628"/>
      <c r="AL120" s="3628"/>
      <c r="AM120" s="3628"/>
      <c r="AN120" s="3628"/>
      <c r="AO120" s="3628"/>
      <c r="AP120" s="3628"/>
      <c r="AQ120" s="3628"/>
      <c r="AR120" s="3628"/>
      <c r="AS120" s="3628"/>
      <c r="AT120" s="3628"/>
    </row>
    <row r="121" spans="2:46">
      <c r="B121" s="3628"/>
      <c r="C121" s="3628"/>
      <c r="D121" s="3796"/>
      <c r="E121" s="3628"/>
      <c r="F121" s="3628"/>
      <c r="G121" s="3628"/>
      <c r="H121" s="3628"/>
      <c r="I121" s="3628"/>
      <c r="J121" s="3628"/>
      <c r="K121" s="3628"/>
      <c r="L121" s="3628"/>
      <c r="M121" s="3628"/>
      <c r="N121" s="3628"/>
      <c r="O121" s="3628"/>
      <c r="P121" s="3628"/>
      <c r="Q121" s="3628"/>
      <c r="R121" s="3628"/>
      <c r="S121" s="3628"/>
      <c r="T121" s="3628"/>
      <c r="U121" s="3628"/>
      <c r="V121" s="3628"/>
      <c r="W121" s="3628"/>
      <c r="X121" s="3628"/>
      <c r="Y121" s="3628"/>
      <c r="Z121" s="3628"/>
      <c r="AA121" s="3628"/>
      <c r="AB121" s="3628"/>
      <c r="AC121" s="3628"/>
      <c r="AD121" s="3628"/>
      <c r="AE121" s="3628"/>
      <c r="AF121" s="3628"/>
      <c r="AG121" s="3628"/>
      <c r="AH121" s="3628"/>
      <c r="AI121" s="3628"/>
      <c r="AJ121" s="3628"/>
      <c r="AK121" s="3628"/>
      <c r="AL121" s="3628"/>
      <c r="AM121" s="3628"/>
      <c r="AN121" s="3628"/>
      <c r="AO121" s="3628"/>
      <c r="AP121" s="3628"/>
      <c r="AQ121" s="3628"/>
      <c r="AR121" s="3628"/>
      <c r="AS121" s="3628"/>
      <c r="AT121" s="3628"/>
    </row>
    <row r="122" spans="2:46">
      <c r="B122" s="3628"/>
      <c r="C122" s="3628"/>
      <c r="D122" s="3796"/>
      <c r="E122" s="3628"/>
      <c r="F122" s="3628"/>
      <c r="G122" s="3628"/>
      <c r="H122" s="3628"/>
      <c r="I122" s="3628"/>
      <c r="J122" s="3628"/>
      <c r="K122" s="3628"/>
      <c r="L122" s="3628"/>
      <c r="M122" s="3628"/>
      <c r="N122" s="3628"/>
      <c r="O122" s="3628"/>
      <c r="P122" s="3628"/>
      <c r="Q122" s="3628"/>
      <c r="R122" s="3628"/>
      <c r="S122" s="3628"/>
      <c r="T122" s="3628"/>
      <c r="U122" s="3628"/>
      <c r="V122" s="3628"/>
      <c r="W122" s="3628"/>
      <c r="X122" s="3628"/>
      <c r="Y122" s="3628"/>
      <c r="Z122" s="3628"/>
      <c r="AA122" s="3628"/>
      <c r="AB122" s="3628"/>
      <c r="AC122" s="3628"/>
      <c r="AD122" s="3628"/>
      <c r="AE122" s="3628"/>
      <c r="AF122" s="3628"/>
      <c r="AG122" s="3628"/>
      <c r="AH122" s="3628"/>
      <c r="AI122" s="3628"/>
      <c r="AJ122" s="3628"/>
      <c r="AK122" s="3628"/>
      <c r="AL122" s="3628"/>
      <c r="AM122" s="3628"/>
      <c r="AN122" s="3628"/>
      <c r="AO122" s="3628"/>
      <c r="AP122" s="3628"/>
      <c r="AQ122" s="3628"/>
      <c r="AR122" s="3628"/>
      <c r="AS122" s="3628"/>
      <c r="AT122" s="3628"/>
    </row>
    <row r="123" spans="2:46">
      <c r="B123" s="3628"/>
      <c r="C123" s="3628"/>
      <c r="D123" s="3796"/>
      <c r="E123" s="3628"/>
      <c r="F123" s="3628"/>
      <c r="G123" s="3628"/>
      <c r="H123" s="3628"/>
      <c r="I123" s="3628"/>
      <c r="J123" s="3628"/>
      <c r="K123" s="3628"/>
      <c r="L123" s="3628"/>
      <c r="M123" s="3628"/>
      <c r="N123" s="3628"/>
      <c r="O123" s="3628"/>
      <c r="P123" s="3628"/>
      <c r="Q123" s="3628"/>
      <c r="R123" s="3628"/>
      <c r="S123" s="3628"/>
      <c r="T123" s="3628"/>
      <c r="U123" s="3628"/>
      <c r="V123" s="3628"/>
      <c r="W123" s="3628"/>
      <c r="X123" s="3628"/>
      <c r="Y123" s="3628"/>
      <c r="Z123" s="3628"/>
      <c r="AA123" s="3628"/>
      <c r="AB123" s="3628"/>
      <c r="AC123" s="3628"/>
      <c r="AD123" s="3628"/>
      <c r="AE123" s="3628"/>
      <c r="AF123" s="3628"/>
      <c r="AG123" s="3628"/>
      <c r="AH123" s="3628"/>
      <c r="AI123" s="3628"/>
      <c r="AJ123" s="3628"/>
      <c r="AK123" s="3628"/>
      <c r="AL123" s="3628"/>
      <c r="AM123" s="3628"/>
      <c r="AN123" s="3628"/>
      <c r="AO123" s="3628"/>
      <c r="AP123" s="3628"/>
      <c r="AQ123" s="3628"/>
      <c r="AR123" s="3628"/>
      <c r="AS123" s="3628"/>
      <c r="AT123" s="3628"/>
    </row>
    <row r="124" spans="2:46">
      <c r="B124" s="3628"/>
      <c r="C124" s="3628"/>
      <c r="D124" s="3796"/>
      <c r="E124" s="3628"/>
      <c r="F124" s="3628"/>
      <c r="G124" s="3628"/>
      <c r="H124" s="3628"/>
      <c r="I124" s="3628"/>
      <c r="J124" s="3628"/>
      <c r="K124" s="3628"/>
      <c r="L124" s="3628"/>
      <c r="M124" s="3628"/>
      <c r="N124" s="3628"/>
      <c r="O124" s="3628"/>
      <c r="P124" s="3628"/>
      <c r="Q124" s="3628"/>
      <c r="R124" s="3628"/>
      <c r="S124" s="3628"/>
      <c r="T124" s="3628"/>
      <c r="U124" s="3628"/>
      <c r="V124" s="3628"/>
      <c r="W124" s="3628"/>
      <c r="X124" s="3628"/>
      <c r="Y124" s="3628"/>
      <c r="Z124" s="3628"/>
      <c r="AA124" s="3628"/>
      <c r="AB124" s="3628"/>
      <c r="AC124" s="3628"/>
      <c r="AD124" s="3628"/>
      <c r="AE124" s="3628"/>
      <c r="AF124" s="3628"/>
      <c r="AG124" s="3628"/>
      <c r="AH124" s="3628"/>
      <c r="AI124" s="3628"/>
      <c r="AJ124" s="3628"/>
      <c r="AK124" s="3628"/>
      <c r="AL124" s="3628"/>
      <c r="AM124" s="3628"/>
      <c r="AN124" s="3628"/>
      <c r="AO124" s="3628"/>
      <c r="AP124" s="3628"/>
      <c r="AQ124" s="3628"/>
      <c r="AR124" s="3628"/>
      <c r="AS124" s="3628"/>
      <c r="AT124" s="3628"/>
    </row>
    <row r="125" spans="2:46">
      <c r="B125" s="3628"/>
      <c r="C125" s="3628"/>
      <c r="D125" s="3796"/>
      <c r="E125" s="3628"/>
      <c r="F125" s="3628"/>
      <c r="G125" s="3628"/>
      <c r="H125" s="3628"/>
      <c r="I125" s="3628"/>
      <c r="J125" s="3628"/>
      <c r="K125" s="3628"/>
      <c r="L125" s="3628"/>
      <c r="M125" s="3628"/>
      <c r="N125" s="3628"/>
      <c r="O125" s="3628"/>
      <c r="P125" s="3628"/>
      <c r="Q125" s="3628"/>
      <c r="R125" s="3628"/>
      <c r="S125" s="3628"/>
      <c r="T125" s="3628"/>
      <c r="U125" s="3628"/>
      <c r="V125" s="3628"/>
      <c r="W125" s="3628"/>
      <c r="X125" s="3628"/>
      <c r="Y125" s="3628"/>
      <c r="Z125" s="3628"/>
      <c r="AA125" s="3628"/>
      <c r="AB125" s="3628"/>
      <c r="AC125" s="3628"/>
      <c r="AD125" s="3628"/>
      <c r="AE125" s="3628"/>
      <c r="AF125" s="3628"/>
      <c r="AG125" s="3628"/>
      <c r="AH125" s="3628"/>
      <c r="AI125" s="3628"/>
      <c r="AJ125" s="3628"/>
      <c r="AK125" s="3628"/>
      <c r="AL125" s="3628"/>
      <c r="AM125" s="3628"/>
      <c r="AN125" s="3628"/>
      <c r="AO125" s="3628"/>
      <c r="AP125" s="3628"/>
      <c r="AQ125" s="3628"/>
      <c r="AR125" s="3628"/>
      <c r="AS125" s="3628"/>
      <c r="AT125" s="3628"/>
    </row>
    <row r="126" spans="2:46">
      <c r="B126" s="3628"/>
      <c r="C126" s="3628"/>
      <c r="D126" s="3796"/>
      <c r="E126" s="3628"/>
      <c r="F126" s="3628"/>
      <c r="G126" s="3628"/>
      <c r="H126" s="3628"/>
      <c r="I126" s="3628"/>
      <c r="J126" s="3628"/>
      <c r="K126" s="3628"/>
      <c r="L126" s="3628"/>
      <c r="M126" s="3628"/>
      <c r="N126" s="3628"/>
      <c r="O126" s="3628"/>
      <c r="P126" s="3628"/>
      <c r="Q126" s="3628"/>
      <c r="R126" s="3628"/>
      <c r="S126" s="3628"/>
      <c r="T126" s="3628"/>
      <c r="U126" s="3628"/>
      <c r="V126" s="3628"/>
      <c r="W126" s="3628"/>
      <c r="X126" s="3628"/>
      <c r="Y126" s="3628"/>
      <c r="Z126" s="3628"/>
      <c r="AA126" s="3628"/>
      <c r="AB126" s="3628"/>
      <c r="AC126" s="3628"/>
      <c r="AD126" s="3628"/>
      <c r="AE126" s="3628"/>
      <c r="AF126" s="3628"/>
      <c r="AG126" s="3628"/>
      <c r="AH126" s="3628"/>
      <c r="AI126" s="3628"/>
      <c r="AJ126" s="3628"/>
      <c r="AK126" s="3628"/>
      <c r="AL126" s="3628"/>
      <c r="AM126" s="3628"/>
      <c r="AN126" s="3628"/>
      <c r="AO126" s="3628"/>
      <c r="AP126" s="3628"/>
      <c r="AQ126" s="3628"/>
      <c r="AR126" s="3628"/>
      <c r="AS126" s="3628"/>
      <c r="AT126" s="3628"/>
    </row>
    <row r="127" spans="2:46">
      <c r="B127" s="3628"/>
      <c r="C127" s="3628"/>
      <c r="D127" s="3796"/>
      <c r="E127" s="3628"/>
      <c r="F127" s="3628"/>
      <c r="G127" s="3628"/>
      <c r="H127" s="3628"/>
      <c r="I127" s="3628"/>
      <c r="J127" s="3628"/>
      <c r="K127" s="3628"/>
      <c r="L127" s="3628"/>
      <c r="M127" s="3628"/>
      <c r="N127" s="3628"/>
      <c r="O127" s="3628"/>
      <c r="P127" s="3628"/>
      <c r="Q127" s="3628"/>
      <c r="R127" s="3628"/>
      <c r="S127" s="3628"/>
      <c r="T127" s="3628"/>
      <c r="U127" s="3628"/>
      <c r="V127" s="3628"/>
      <c r="W127" s="3628"/>
      <c r="X127" s="3628"/>
      <c r="Y127" s="3628"/>
      <c r="Z127" s="3628"/>
      <c r="AA127" s="3628"/>
      <c r="AB127" s="3628"/>
      <c r="AC127" s="3628"/>
      <c r="AD127" s="3628"/>
      <c r="AE127" s="3628"/>
      <c r="AF127" s="3628"/>
      <c r="AG127" s="3628"/>
      <c r="AH127" s="3628"/>
      <c r="AI127" s="3628"/>
      <c r="AJ127" s="3628"/>
      <c r="AK127" s="3628"/>
      <c r="AL127" s="3628"/>
      <c r="AM127" s="3628"/>
      <c r="AN127" s="3628"/>
      <c r="AO127" s="3628"/>
      <c r="AP127" s="3628"/>
      <c r="AQ127" s="3628"/>
      <c r="AR127" s="3628"/>
      <c r="AS127" s="3628"/>
      <c r="AT127" s="3628"/>
    </row>
    <row r="128" spans="2:46">
      <c r="B128" s="3628"/>
      <c r="C128" s="3628"/>
      <c r="D128" s="3796"/>
      <c r="E128" s="3628"/>
      <c r="F128" s="3628"/>
      <c r="G128" s="3628"/>
      <c r="H128" s="3628"/>
      <c r="I128" s="3628"/>
      <c r="J128" s="3628"/>
      <c r="K128" s="3628"/>
      <c r="L128" s="3628"/>
      <c r="M128" s="3628"/>
      <c r="N128" s="3628"/>
      <c r="O128" s="3628"/>
      <c r="P128" s="3628"/>
      <c r="Q128" s="3628"/>
      <c r="R128" s="3628"/>
      <c r="S128" s="3628"/>
      <c r="T128" s="3628"/>
      <c r="U128" s="3628"/>
      <c r="V128" s="3628"/>
      <c r="W128" s="3628"/>
      <c r="X128" s="3628"/>
      <c r="Y128" s="3628"/>
      <c r="Z128" s="3628"/>
      <c r="AA128" s="3628"/>
      <c r="AB128" s="3628"/>
      <c r="AC128" s="3628"/>
      <c r="AD128" s="3628"/>
      <c r="AE128" s="3628"/>
      <c r="AF128" s="3628"/>
      <c r="AG128" s="3628"/>
      <c r="AH128" s="3628"/>
      <c r="AI128" s="3628"/>
      <c r="AJ128" s="3628"/>
      <c r="AK128" s="3628"/>
      <c r="AL128" s="3628"/>
      <c r="AM128" s="3628"/>
      <c r="AN128" s="3628"/>
      <c r="AO128" s="3628"/>
      <c r="AP128" s="3628"/>
      <c r="AQ128" s="3628"/>
      <c r="AR128" s="3628"/>
      <c r="AS128" s="3628"/>
      <c r="AT128" s="3628"/>
    </row>
    <row r="129" spans="2:46">
      <c r="B129" s="3628"/>
      <c r="C129" s="3628"/>
      <c r="D129" s="3796"/>
      <c r="E129" s="3628"/>
      <c r="F129" s="3628"/>
      <c r="G129" s="3628"/>
      <c r="H129" s="3628"/>
      <c r="I129" s="3628"/>
      <c r="J129" s="3628"/>
      <c r="K129" s="3628"/>
      <c r="L129" s="3628"/>
      <c r="M129" s="3628"/>
      <c r="N129" s="3628"/>
      <c r="O129" s="3628"/>
      <c r="P129" s="3628"/>
      <c r="Q129" s="3628"/>
      <c r="R129" s="3628"/>
      <c r="S129" s="3628"/>
      <c r="T129" s="3628"/>
      <c r="U129" s="3628"/>
      <c r="V129" s="3628"/>
      <c r="W129" s="3628"/>
      <c r="X129" s="3628"/>
      <c r="Y129" s="3628"/>
      <c r="Z129" s="3628"/>
      <c r="AA129" s="3628"/>
      <c r="AB129" s="3628"/>
      <c r="AC129" s="3628"/>
      <c r="AD129" s="3628"/>
      <c r="AE129" s="3628"/>
      <c r="AF129" s="3628"/>
      <c r="AG129" s="3628"/>
      <c r="AH129" s="3628"/>
      <c r="AI129" s="3628"/>
      <c r="AJ129" s="3628"/>
      <c r="AK129" s="3628"/>
      <c r="AL129" s="3628"/>
      <c r="AM129" s="3628"/>
      <c r="AN129" s="3628"/>
      <c r="AO129" s="3628"/>
      <c r="AP129" s="3628"/>
      <c r="AQ129" s="3628"/>
      <c r="AR129" s="3628"/>
      <c r="AS129" s="3628"/>
      <c r="AT129" s="3628"/>
    </row>
    <row r="130" spans="2:46">
      <c r="B130" s="3628"/>
      <c r="C130" s="3628"/>
      <c r="D130" s="3796"/>
      <c r="E130" s="3628"/>
      <c r="F130" s="3628"/>
      <c r="G130" s="3628"/>
      <c r="H130" s="3628"/>
      <c r="I130" s="3628"/>
      <c r="J130" s="3628"/>
      <c r="K130" s="3628"/>
      <c r="L130" s="3628"/>
      <c r="M130" s="3628"/>
      <c r="N130" s="3628"/>
      <c r="O130" s="3628"/>
      <c r="P130" s="3628"/>
      <c r="Q130" s="3628"/>
      <c r="R130" s="3628"/>
      <c r="S130" s="3628"/>
      <c r="T130" s="3628"/>
      <c r="U130" s="3628"/>
      <c r="V130" s="3628"/>
      <c r="W130" s="3628"/>
      <c r="X130" s="3628"/>
      <c r="Y130" s="3628"/>
      <c r="Z130" s="3628"/>
      <c r="AA130" s="3628"/>
      <c r="AB130" s="3628"/>
      <c r="AC130" s="3628"/>
      <c r="AD130" s="3628"/>
      <c r="AE130" s="3628"/>
      <c r="AF130" s="3628"/>
      <c r="AG130" s="3628"/>
      <c r="AH130" s="3628"/>
      <c r="AI130" s="3628"/>
      <c r="AJ130" s="3628"/>
      <c r="AK130" s="3628"/>
      <c r="AL130" s="3628"/>
      <c r="AM130" s="3628"/>
      <c r="AN130" s="3628"/>
      <c r="AO130" s="3628"/>
      <c r="AP130" s="3628"/>
      <c r="AQ130" s="3628"/>
      <c r="AR130" s="3628"/>
      <c r="AS130" s="3628"/>
      <c r="AT130" s="3628"/>
    </row>
    <row r="131" spans="2:46">
      <c r="B131" s="3628"/>
      <c r="C131" s="3628"/>
      <c r="D131" s="3796"/>
      <c r="E131" s="3628"/>
      <c r="F131" s="3628"/>
      <c r="G131" s="3628"/>
      <c r="H131" s="3628"/>
      <c r="I131" s="3628"/>
      <c r="J131" s="3628"/>
      <c r="K131" s="3628"/>
      <c r="L131" s="3628"/>
      <c r="M131" s="3628"/>
      <c r="N131" s="3628"/>
      <c r="O131" s="3628"/>
      <c r="P131" s="3628"/>
      <c r="Q131" s="3628"/>
      <c r="R131" s="3628"/>
      <c r="S131" s="3628"/>
      <c r="T131" s="3628"/>
      <c r="U131" s="3628"/>
      <c r="V131" s="3628"/>
      <c r="W131" s="3628"/>
      <c r="X131" s="3628"/>
      <c r="Y131" s="3628"/>
      <c r="Z131" s="3628"/>
      <c r="AA131" s="3628"/>
      <c r="AB131" s="3628"/>
      <c r="AC131" s="3628"/>
      <c r="AD131" s="3628"/>
      <c r="AE131" s="3628"/>
      <c r="AF131" s="3628"/>
      <c r="AG131" s="3628"/>
      <c r="AH131" s="3628"/>
      <c r="AI131" s="3628"/>
      <c r="AJ131" s="3628"/>
      <c r="AK131" s="3628"/>
      <c r="AL131" s="3628"/>
      <c r="AM131" s="3628"/>
      <c r="AN131" s="3628"/>
      <c r="AO131" s="3628"/>
      <c r="AP131" s="3628"/>
      <c r="AQ131" s="3628"/>
      <c r="AR131" s="3628"/>
      <c r="AS131" s="3628"/>
      <c r="AT131" s="3628"/>
    </row>
    <row r="132" spans="2:46">
      <c r="B132" s="3628"/>
      <c r="C132" s="3628"/>
      <c r="D132" s="3796"/>
      <c r="E132" s="3628"/>
      <c r="F132" s="3628"/>
      <c r="G132" s="3628"/>
      <c r="H132" s="3628"/>
      <c r="I132" s="3628"/>
      <c r="J132" s="3628"/>
      <c r="K132" s="3628"/>
      <c r="L132" s="3628"/>
      <c r="M132" s="3628"/>
      <c r="N132" s="3628"/>
      <c r="O132" s="3628"/>
      <c r="P132" s="3628"/>
      <c r="Q132" s="3628"/>
      <c r="R132" s="3628"/>
      <c r="S132" s="3628"/>
      <c r="T132" s="3628"/>
      <c r="U132" s="3628"/>
      <c r="V132" s="3628"/>
      <c r="W132" s="3628"/>
      <c r="X132" s="3628"/>
      <c r="Y132" s="3628"/>
      <c r="Z132" s="3628"/>
      <c r="AA132" s="3628"/>
      <c r="AB132" s="3628"/>
      <c r="AC132" s="3628"/>
      <c r="AD132" s="3628"/>
      <c r="AE132" s="3628"/>
      <c r="AF132" s="3628"/>
      <c r="AG132" s="3628"/>
      <c r="AH132" s="3628"/>
      <c r="AI132" s="3628"/>
      <c r="AJ132" s="3628"/>
      <c r="AK132" s="3628"/>
      <c r="AL132" s="3628"/>
      <c r="AM132" s="3628"/>
      <c r="AN132" s="3628"/>
      <c r="AO132" s="3628"/>
      <c r="AP132" s="3628"/>
      <c r="AQ132" s="3628"/>
      <c r="AR132" s="3628"/>
      <c r="AS132" s="3628"/>
      <c r="AT132" s="3628"/>
    </row>
    <row r="133" spans="2:46">
      <c r="B133" s="3628"/>
      <c r="C133" s="3628"/>
      <c r="D133" s="3796"/>
      <c r="E133" s="3628"/>
      <c r="F133" s="3628"/>
      <c r="G133" s="3628"/>
      <c r="H133" s="3628"/>
      <c r="I133" s="3628"/>
      <c r="J133" s="3628"/>
      <c r="K133" s="3628"/>
      <c r="L133" s="3628"/>
      <c r="M133" s="3628"/>
      <c r="N133" s="3628"/>
      <c r="O133" s="3628"/>
      <c r="P133" s="3628"/>
      <c r="Q133" s="3628"/>
      <c r="R133" s="3628"/>
      <c r="S133" s="3628"/>
      <c r="T133" s="3628"/>
      <c r="U133" s="3628"/>
      <c r="V133" s="3628"/>
      <c r="W133" s="3628"/>
      <c r="X133" s="3628"/>
      <c r="Y133" s="3628"/>
      <c r="Z133" s="3628"/>
      <c r="AA133" s="3628"/>
      <c r="AB133" s="3628"/>
      <c r="AC133" s="3628"/>
      <c r="AD133" s="3628"/>
      <c r="AE133" s="3628"/>
      <c r="AF133" s="3628"/>
      <c r="AG133" s="3628"/>
      <c r="AH133" s="3628"/>
      <c r="AI133" s="3628"/>
      <c r="AJ133" s="3628"/>
      <c r="AK133" s="3628"/>
      <c r="AL133" s="3628"/>
      <c r="AM133" s="3628"/>
      <c r="AN133" s="3628"/>
      <c r="AO133" s="3628"/>
      <c r="AP133" s="3628"/>
      <c r="AQ133" s="3628"/>
      <c r="AR133" s="3628"/>
      <c r="AS133" s="3628"/>
      <c r="AT133" s="3628"/>
    </row>
    <row r="134" spans="2:46">
      <c r="B134" s="3628"/>
      <c r="C134" s="3628"/>
      <c r="D134" s="3796"/>
      <c r="E134" s="3628"/>
      <c r="F134" s="3628"/>
      <c r="G134" s="3628"/>
      <c r="H134" s="3628"/>
      <c r="I134" s="3628"/>
      <c r="J134" s="3628"/>
      <c r="K134" s="3628"/>
      <c r="L134" s="3628"/>
      <c r="M134" s="3628"/>
      <c r="N134" s="3628"/>
      <c r="O134" s="3628"/>
      <c r="P134" s="3628"/>
      <c r="Q134" s="3628"/>
      <c r="R134" s="3628"/>
      <c r="S134" s="3628"/>
      <c r="T134" s="3628"/>
      <c r="U134" s="3628"/>
      <c r="V134" s="3628"/>
      <c r="W134" s="3628"/>
      <c r="X134" s="3628"/>
      <c r="Y134" s="3628"/>
      <c r="Z134" s="3628"/>
      <c r="AA134" s="3628"/>
      <c r="AB134" s="3628"/>
      <c r="AC134" s="3628"/>
      <c r="AD134" s="3628"/>
      <c r="AE134" s="3628"/>
      <c r="AF134" s="3628"/>
      <c r="AG134" s="3628"/>
      <c r="AH134" s="3628"/>
      <c r="AI134" s="3628"/>
      <c r="AJ134" s="3628"/>
      <c r="AK134" s="3628"/>
      <c r="AL134" s="3628"/>
      <c r="AM134" s="3628"/>
      <c r="AN134" s="3628"/>
      <c r="AO134" s="3628"/>
      <c r="AP134" s="3628"/>
      <c r="AQ134" s="3628"/>
      <c r="AR134" s="3628"/>
      <c r="AS134" s="3628"/>
      <c r="AT134" s="3628"/>
    </row>
    <row r="135" spans="2:46">
      <c r="B135" s="3628"/>
      <c r="C135" s="3628"/>
      <c r="D135" s="3796"/>
      <c r="E135" s="3628"/>
      <c r="F135" s="3628"/>
      <c r="G135" s="3628"/>
      <c r="H135" s="3628"/>
      <c r="I135" s="3628"/>
      <c r="J135" s="3628"/>
      <c r="K135" s="3628"/>
      <c r="L135" s="3628"/>
      <c r="M135" s="3628"/>
      <c r="N135" s="3628"/>
      <c r="O135" s="3628"/>
      <c r="P135" s="3628"/>
      <c r="Q135" s="3628"/>
      <c r="R135" s="3628"/>
      <c r="S135" s="3628"/>
      <c r="T135" s="3628"/>
      <c r="U135" s="3628"/>
      <c r="V135" s="3628"/>
      <c r="W135" s="3628"/>
      <c r="X135" s="3628"/>
      <c r="Y135" s="3628"/>
      <c r="Z135" s="3628"/>
      <c r="AA135" s="3628"/>
      <c r="AB135" s="3628"/>
      <c r="AC135" s="3628"/>
      <c r="AD135" s="3628"/>
      <c r="AE135" s="3628"/>
      <c r="AF135" s="3628"/>
      <c r="AG135" s="3628"/>
      <c r="AH135" s="3628"/>
      <c r="AI135" s="3628"/>
      <c r="AJ135" s="3628"/>
      <c r="AK135" s="3628"/>
      <c r="AL135" s="3628"/>
      <c r="AM135" s="3628"/>
      <c r="AN135" s="3628"/>
      <c r="AO135" s="3628"/>
      <c r="AP135" s="3628"/>
      <c r="AQ135" s="3628"/>
      <c r="AR135" s="3628"/>
      <c r="AS135" s="3628"/>
      <c r="AT135" s="3628"/>
    </row>
    <row r="136" spans="2:46">
      <c r="B136" s="3628"/>
      <c r="C136" s="3628"/>
      <c r="D136" s="3796"/>
      <c r="E136" s="3628"/>
      <c r="F136" s="3628"/>
      <c r="G136" s="3628"/>
      <c r="H136" s="3628"/>
      <c r="I136" s="3628"/>
      <c r="J136" s="3628"/>
      <c r="K136" s="3628"/>
      <c r="L136" s="3628"/>
      <c r="M136" s="3628"/>
      <c r="N136" s="3628"/>
      <c r="O136" s="3628"/>
      <c r="P136" s="3628"/>
      <c r="Q136" s="3628"/>
      <c r="R136" s="3628"/>
      <c r="S136" s="3628"/>
      <c r="T136" s="3628"/>
      <c r="U136" s="3628"/>
      <c r="V136" s="3628"/>
      <c r="W136" s="3628"/>
      <c r="X136" s="3628"/>
      <c r="Y136" s="3628"/>
      <c r="Z136" s="3628"/>
      <c r="AA136" s="3628"/>
      <c r="AB136" s="3628"/>
      <c r="AC136" s="3628"/>
      <c r="AD136" s="3628"/>
      <c r="AE136" s="3628"/>
      <c r="AF136" s="3628"/>
      <c r="AG136" s="3628"/>
      <c r="AH136" s="3628"/>
      <c r="AI136" s="3628"/>
      <c r="AJ136" s="3628"/>
      <c r="AK136" s="3628"/>
      <c r="AL136" s="3628"/>
      <c r="AM136" s="3628"/>
      <c r="AN136" s="3628"/>
      <c r="AO136" s="3628"/>
      <c r="AP136" s="3628"/>
      <c r="AQ136" s="3628"/>
      <c r="AR136" s="3628"/>
      <c r="AS136" s="3628"/>
      <c r="AT136" s="3628"/>
    </row>
    <row r="137" spans="2:46">
      <c r="B137" s="3628"/>
      <c r="C137" s="3628"/>
      <c r="D137" s="3796"/>
      <c r="E137" s="3628"/>
      <c r="F137" s="3628"/>
      <c r="G137" s="3628"/>
      <c r="H137" s="3628"/>
      <c r="I137" s="3628"/>
      <c r="J137" s="3628"/>
      <c r="K137" s="3628"/>
      <c r="L137" s="3628"/>
      <c r="M137" s="3628"/>
      <c r="N137" s="3628"/>
      <c r="O137" s="3628"/>
      <c r="P137" s="3628"/>
      <c r="Q137" s="3628"/>
      <c r="R137" s="3628"/>
      <c r="S137" s="3628"/>
      <c r="T137" s="3628"/>
      <c r="U137" s="3628"/>
      <c r="V137" s="3628"/>
      <c r="W137" s="3628"/>
      <c r="X137" s="3628"/>
      <c r="Y137" s="3628"/>
      <c r="Z137" s="3628"/>
      <c r="AA137" s="3628"/>
      <c r="AB137" s="3628"/>
      <c r="AC137" s="3628"/>
      <c r="AD137" s="3628"/>
      <c r="AE137" s="3628"/>
      <c r="AF137" s="3628"/>
      <c r="AG137" s="3628"/>
      <c r="AH137" s="3628"/>
      <c r="AI137" s="3628"/>
      <c r="AJ137" s="3628"/>
      <c r="AK137" s="3628"/>
      <c r="AL137" s="3628"/>
      <c r="AM137" s="3628"/>
      <c r="AN137" s="3628"/>
      <c r="AO137" s="3628"/>
      <c r="AP137" s="3628"/>
      <c r="AQ137" s="3628"/>
      <c r="AR137" s="3628"/>
      <c r="AS137" s="3628"/>
      <c r="AT137" s="3628"/>
    </row>
    <row r="138" spans="2:46">
      <c r="B138" s="3628"/>
      <c r="C138" s="3628"/>
      <c r="D138" s="3796"/>
      <c r="E138" s="3628"/>
      <c r="F138" s="3628"/>
      <c r="G138" s="3628"/>
      <c r="H138" s="3628"/>
      <c r="I138" s="3628"/>
      <c r="J138" s="3628"/>
      <c r="K138" s="3628"/>
      <c r="L138" s="3628"/>
      <c r="M138" s="3628"/>
      <c r="N138" s="3628"/>
      <c r="O138" s="3628"/>
      <c r="P138" s="3628"/>
      <c r="Q138" s="3628"/>
      <c r="R138" s="3628"/>
      <c r="S138" s="3628"/>
      <c r="T138" s="3628"/>
      <c r="U138" s="3628"/>
      <c r="V138" s="3628"/>
      <c r="W138" s="3628"/>
      <c r="X138" s="3628"/>
      <c r="Y138" s="3628"/>
      <c r="Z138" s="3628"/>
      <c r="AA138" s="3628"/>
      <c r="AB138" s="3628"/>
      <c r="AC138" s="3628"/>
      <c r="AD138" s="3628"/>
      <c r="AE138" s="3628"/>
      <c r="AF138" s="3628"/>
      <c r="AG138" s="3628"/>
      <c r="AH138" s="3628"/>
      <c r="AI138" s="3628"/>
      <c r="AJ138" s="3628"/>
      <c r="AK138" s="3628"/>
      <c r="AL138" s="3628"/>
      <c r="AM138" s="3628"/>
      <c r="AN138" s="3628"/>
      <c r="AO138" s="3628"/>
      <c r="AP138" s="3628"/>
      <c r="AQ138" s="3628"/>
      <c r="AR138" s="3628"/>
      <c r="AS138" s="3628"/>
      <c r="AT138" s="3628"/>
    </row>
    <row r="139" spans="2:46">
      <c r="B139" s="3628"/>
      <c r="C139" s="3628"/>
      <c r="D139" s="3796"/>
      <c r="E139" s="3628"/>
      <c r="F139" s="3628"/>
      <c r="G139" s="3628"/>
      <c r="H139" s="3628"/>
      <c r="I139" s="3628"/>
      <c r="J139" s="3628"/>
      <c r="K139" s="3628"/>
      <c r="L139" s="3628"/>
      <c r="M139" s="3628"/>
      <c r="N139" s="3628"/>
      <c r="O139" s="3628"/>
      <c r="P139" s="3628"/>
      <c r="Q139" s="3628"/>
      <c r="R139" s="3628"/>
      <c r="S139" s="3628"/>
      <c r="T139" s="3628"/>
      <c r="U139" s="3628"/>
      <c r="V139" s="3628"/>
      <c r="W139" s="3628"/>
      <c r="X139" s="3628"/>
      <c r="Y139" s="3628"/>
      <c r="Z139" s="3628"/>
      <c r="AA139" s="3628"/>
      <c r="AB139" s="3628"/>
      <c r="AC139" s="3628"/>
      <c r="AD139" s="3628"/>
      <c r="AE139" s="3628"/>
      <c r="AF139" s="3628"/>
      <c r="AG139" s="3628"/>
      <c r="AH139" s="3628"/>
      <c r="AI139" s="3628"/>
      <c r="AJ139" s="3628"/>
      <c r="AK139" s="3628"/>
      <c r="AL139" s="3628"/>
      <c r="AM139" s="3628"/>
      <c r="AN139" s="3628"/>
      <c r="AO139" s="3628"/>
      <c r="AP139" s="3628"/>
      <c r="AQ139" s="3628"/>
      <c r="AR139" s="3628"/>
      <c r="AS139" s="3628"/>
      <c r="AT139" s="3628"/>
    </row>
    <row r="140" spans="2:46">
      <c r="B140" s="3628"/>
      <c r="C140" s="3628"/>
      <c r="D140" s="3796"/>
      <c r="E140" s="3628"/>
      <c r="F140" s="3628"/>
      <c r="G140" s="3628"/>
      <c r="H140" s="3628"/>
      <c r="I140" s="3628"/>
      <c r="J140" s="3628"/>
      <c r="K140" s="3628"/>
      <c r="L140" s="3628"/>
      <c r="M140" s="3628"/>
      <c r="N140" s="3628"/>
      <c r="O140" s="3628"/>
      <c r="P140" s="3628"/>
      <c r="Q140" s="3628"/>
      <c r="R140" s="3628"/>
      <c r="S140" s="3628"/>
      <c r="T140" s="3628"/>
      <c r="U140" s="3628"/>
      <c r="V140" s="3628"/>
      <c r="W140" s="3628"/>
      <c r="X140" s="3628"/>
      <c r="Y140" s="3628"/>
      <c r="Z140" s="3628"/>
      <c r="AA140" s="3628"/>
      <c r="AB140" s="3628"/>
      <c r="AC140" s="3628"/>
      <c r="AD140" s="3628"/>
      <c r="AE140" s="3628"/>
      <c r="AF140" s="3628"/>
      <c r="AG140" s="3628"/>
      <c r="AH140" s="3628"/>
      <c r="AI140" s="3628"/>
      <c r="AJ140" s="3628"/>
      <c r="AK140" s="3628"/>
      <c r="AL140" s="3628"/>
      <c r="AM140" s="3628"/>
      <c r="AN140" s="3628"/>
      <c r="AO140" s="3628"/>
      <c r="AP140" s="3628"/>
      <c r="AQ140" s="3628"/>
      <c r="AR140" s="3628"/>
      <c r="AS140" s="3628"/>
      <c r="AT140" s="3628"/>
    </row>
    <row r="141" spans="2:46">
      <c r="B141" s="3628"/>
      <c r="C141" s="3628"/>
      <c r="D141" s="3796"/>
      <c r="E141" s="3628"/>
      <c r="F141" s="3628"/>
      <c r="G141" s="3628"/>
      <c r="H141" s="3628"/>
      <c r="I141" s="3628"/>
      <c r="J141" s="3628"/>
      <c r="K141" s="3628"/>
      <c r="L141" s="3628"/>
      <c r="M141" s="3628"/>
      <c r="N141" s="3628"/>
      <c r="O141" s="3628"/>
      <c r="P141" s="3628"/>
      <c r="Q141" s="3628"/>
      <c r="R141" s="3628"/>
      <c r="S141" s="3628"/>
      <c r="T141" s="3628"/>
      <c r="U141" s="3628"/>
      <c r="V141" s="3628"/>
      <c r="W141" s="3628"/>
      <c r="X141" s="3628"/>
      <c r="Y141" s="3628"/>
      <c r="Z141" s="3628"/>
      <c r="AA141" s="3628"/>
      <c r="AB141" s="3628"/>
      <c r="AC141" s="3628"/>
      <c r="AD141" s="3628"/>
      <c r="AE141" s="3628"/>
      <c r="AF141" s="3628"/>
      <c r="AG141" s="3628"/>
      <c r="AH141" s="3628"/>
      <c r="AI141" s="3628"/>
      <c r="AJ141" s="3628"/>
      <c r="AK141" s="3628"/>
      <c r="AL141" s="3628"/>
      <c r="AM141" s="3628"/>
      <c r="AN141" s="3628"/>
      <c r="AO141" s="3628"/>
      <c r="AP141" s="3628"/>
      <c r="AQ141" s="3628"/>
      <c r="AR141" s="3628"/>
      <c r="AS141" s="3628"/>
      <c r="AT141" s="3628"/>
    </row>
    <row r="142" spans="2:46">
      <c r="B142" s="3628"/>
      <c r="C142" s="3628"/>
      <c r="D142" s="3796"/>
      <c r="E142" s="3628"/>
      <c r="F142" s="3628"/>
      <c r="G142" s="3628"/>
      <c r="H142" s="3628"/>
      <c r="I142" s="3628"/>
      <c r="J142" s="3628"/>
      <c r="K142" s="3628"/>
      <c r="L142" s="3628"/>
      <c r="M142" s="3628"/>
      <c r="N142" s="3628"/>
      <c r="O142" s="3628"/>
      <c r="P142" s="3628"/>
      <c r="Q142" s="3628"/>
      <c r="R142" s="3628"/>
      <c r="S142" s="3628"/>
      <c r="T142" s="3628"/>
      <c r="U142" s="3628"/>
      <c r="V142" s="3628"/>
      <c r="W142" s="3628"/>
      <c r="X142" s="3628"/>
      <c r="Y142" s="3628"/>
      <c r="Z142" s="3628"/>
      <c r="AA142" s="3628"/>
      <c r="AB142" s="3628"/>
      <c r="AC142" s="3628"/>
      <c r="AD142" s="3628"/>
      <c r="AE142" s="3628"/>
      <c r="AF142" s="3628"/>
      <c r="AG142" s="3628"/>
      <c r="AH142" s="3628"/>
      <c r="AI142" s="3628"/>
      <c r="AJ142" s="3628"/>
      <c r="AK142" s="3628"/>
      <c r="AL142" s="3628"/>
      <c r="AM142" s="3628"/>
      <c r="AN142" s="3628"/>
      <c r="AO142" s="3628"/>
      <c r="AP142" s="3628"/>
      <c r="AQ142" s="3628"/>
      <c r="AR142" s="3628"/>
      <c r="AS142" s="3628"/>
      <c r="AT142" s="3628"/>
    </row>
    <row r="143" spans="2:46">
      <c r="B143" s="3628"/>
      <c r="C143" s="3628"/>
      <c r="D143" s="3796"/>
      <c r="E143" s="3628"/>
      <c r="F143" s="3628"/>
      <c r="G143" s="3628"/>
      <c r="H143" s="3628"/>
      <c r="I143" s="3628"/>
      <c r="J143" s="3628"/>
      <c r="K143" s="3628"/>
      <c r="L143" s="3628"/>
      <c r="M143" s="3628"/>
      <c r="N143" s="3628"/>
      <c r="O143" s="3628"/>
      <c r="P143" s="3628"/>
      <c r="Q143" s="3628"/>
      <c r="R143" s="3628"/>
      <c r="S143" s="3628"/>
      <c r="T143" s="3628"/>
      <c r="U143" s="3628"/>
      <c r="V143" s="3628"/>
      <c r="W143" s="3628"/>
      <c r="X143" s="3628"/>
      <c r="Y143" s="3628"/>
      <c r="Z143" s="3628"/>
      <c r="AA143" s="3628"/>
      <c r="AB143" s="3628"/>
      <c r="AC143" s="3628"/>
      <c r="AD143" s="3628"/>
      <c r="AE143" s="3628"/>
      <c r="AF143" s="3628"/>
      <c r="AG143" s="3628"/>
      <c r="AH143" s="3628"/>
      <c r="AI143" s="3628"/>
      <c r="AJ143" s="3628"/>
      <c r="AK143" s="3628"/>
      <c r="AL143" s="3628"/>
      <c r="AM143" s="3628"/>
      <c r="AN143" s="3628"/>
      <c r="AO143" s="3628"/>
      <c r="AP143" s="3628"/>
      <c r="AQ143" s="3628"/>
      <c r="AR143" s="3628"/>
      <c r="AS143" s="3628"/>
      <c r="AT143" s="3628"/>
    </row>
    <row r="144" spans="2:46">
      <c r="B144" s="3628"/>
      <c r="C144" s="3628"/>
      <c r="D144" s="3796"/>
      <c r="E144" s="3628"/>
      <c r="F144" s="3628"/>
      <c r="G144" s="3628"/>
      <c r="H144" s="3628"/>
      <c r="I144" s="3628"/>
      <c r="J144" s="3628"/>
      <c r="K144" s="3628"/>
      <c r="L144" s="3628"/>
      <c r="M144" s="3628"/>
      <c r="N144" s="3628"/>
      <c r="O144" s="3628"/>
      <c r="P144" s="3628"/>
      <c r="Q144" s="3628"/>
      <c r="R144" s="3628"/>
      <c r="S144" s="3628"/>
      <c r="T144" s="3628"/>
      <c r="U144" s="3628"/>
      <c r="V144" s="3628"/>
      <c r="W144" s="3628"/>
      <c r="X144" s="3628"/>
      <c r="Y144" s="3628"/>
      <c r="Z144" s="3628"/>
      <c r="AA144" s="3628"/>
      <c r="AB144" s="3628"/>
      <c r="AC144" s="3628"/>
      <c r="AD144" s="3628"/>
      <c r="AE144" s="3628"/>
      <c r="AF144" s="3628"/>
      <c r="AG144" s="3628"/>
      <c r="AH144" s="3628"/>
      <c r="AI144" s="3628"/>
      <c r="AJ144" s="3628"/>
      <c r="AK144" s="3628"/>
      <c r="AL144" s="3628"/>
      <c r="AM144" s="3628"/>
      <c r="AN144" s="3628"/>
      <c r="AO144" s="3628"/>
      <c r="AP144" s="3628"/>
      <c r="AQ144" s="3628"/>
      <c r="AR144" s="3628"/>
      <c r="AS144" s="3628"/>
      <c r="AT144" s="3628"/>
    </row>
    <row r="145" spans="2:46">
      <c r="B145" s="3628"/>
      <c r="C145" s="3628"/>
      <c r="D145" s="3796"/>
      <c r="E145" s="3628"/>
      <c r="F145" s="3628"/>
      <c r="G145" s="3628"/>
      <c r="H145" s="3628"/>
      <c r="I145" s="3628"/>
      <c r="J145" s="3628"/>
      <c r="K145" s="3628"/>
      <c r="L145" s="3628"/>
      <c r="M145" s="3628"/>
      <c r="N145" s="3628"/>
      <c r="O145" s="3628"/>
      <c r="P145" s="3628"/>
      <c r="Q145" s="3628"/>
      <c r="R145" s="3628"/>
      <c r="S145" s="3628"/>
      <c r="T145" s="3628"/>
      <c r="U145" s="3628"/>
      <c r="V145" s="3628"/>
      <c r="W145" s="3628"/>
      <c r="X145" s="3628"/>
      <c r="Y145" s="3628"/>
      <c r="Z145" s="3628"/>
      <c r="AA145" s="3628"/>
      <c r="AB145" s="3628"/>
      <c r="AC145" s="3628"/>
      <c r="AD145" s="3628"/>
      <c r="AE145" s="3628"/>
      <c r="AF145" s="3628"/>
      <c r="AG145" s="3628"/>
      <c r="AH145" s="3628"/>
      <c r="AI145" s="3628"/>
      <c r="AJ145" s="3628"/>
      <c r="AK145" s="3628"/>
      <c r="AL145" s="3628"/>
      <c r="AM145" s="3628"/>
      <c r="AN145" s="3628"/>
      <c r="AO145" s="3628"/>
      <c r="AP145" s="3628"/>
      <c r="AQ145" s="3628"/>
      <c r="AR145" s="3628"/>
      <c r="AS145" s="3628"/>
      <c r="AT145" s="3628"/>
    </row>
    <row r="146" spans="2:46">
      <c r="B146" s="3628"/>
      <c r="C146" s="3628"/>
      <c r="D146" s="3796"/>
      <c r="E146" s="3628"/>
      <c r="F146" s="3628"/>
      <c r="G146" s="3628"/>
      <c r="H146" s="3628"/>
      <c r="I146" s="3628"/>
      <c r="J146" s="3628"/>
      <c r="K146" s="3628"/>
      <c r="L146" s="3628"/>
      <c r="M146" s="3628"/>
      <c r="N146" s="3628"/>
      <c r="O146" s="3628"/>
      <c r="P146" s="3628"/>
      <c r="Q146" s="3628"/>
      <c r="R146" s="3628"/>
      <c r="S146" s="3628"/>
      <c r="T146" s="3628"/>
      <c r="U146" s="3628"/>
      <c r="V146" s="3628"/>
      <c r="W146" s="3628"/>
      <c r="X146" s="3628"/>
      <c r="Y146" s="3628"/>
      <c r="Z146" s="3628"/>
      <c r="AA146" s="3628"/>
      <c r="AB146" s="3628"/>
      <c r="AC146" s="3628"/>
      <c r="AD146" s="3628"/>
      <c r="AE146" s="3628"/>
      <c r="AF146" s="3628"/>
      <c r="AG146" s="3628"/>
      <c r="AH146" s="3628"/>
      <c r="AI146" s="3628"/>
      <c r="AJ146" s="3628"/>
      <c r="AK146" s="3628"/>
      <c r="AL146" s="3628"/>
      <c r="AM146" s="3628"/>
      <c r="AN146" s="3628"/>
      <c r="AO146" s="3628"/>
      <c r="AP146" s="3628"/>
      <c r="AQ146" s="3628"/>
      <c r="AR146" s="3628"/>
      <c r="AS146" s="3628"/>
      <c r="AT146" s="3628"/>
    </row>
    <row r="147" spans="2:46">
      <c r="B147" s="3628"/>
      <c r="C147" s="3628"/>
      <c r="D147" s="3796"/>
      <c r="E147" s="3628"/>
      <c r="F147" s="3628"/>
      <c r="G147" s="3628"/>
      <c r="H147" s="3628"/>
      <c r="I147" s="3628"/>
      <c r="J147" s="3628"/>
      <c r="K147" s="3628"/>
      <c r="L147" s="3628"/>
      <c r="M147" s="3628"/>
      <c r="N147" s="3628"/>
      <c r="O147" s="3628"/>
      <c r="P147" s="3628"/>
      <c r="Q147" s="3628"/>
      <c r="R147" s="3628"/>
      <c r="S147" s="3628"/>
      <c r="T147" s="3628"/>
      <c r="U147" s="3628"/>
      <c r="V147" s="3628"/>
      <c r="W147" s="3628"/>
      <c r="X147" s="3628"/>
      <c r="Y147" s="3628"/>
      <c r="Z147" s="3628"/>
      <c r="AA147" s="3628"/>
      <c r="AB147" s="3628"/>
      <c r="AC147" s="3628"/>
      <c r="AD147" s="3628"/>
      <c r="AE147" s="3628"/>
      <c r="AF147" s="3628"/>
      <c r="AG147" s="3628"/>
      <c r="AH147" s="3628"/>
      <c r="AI147" s="3628"/>
      <c r="AJ147" s="3628"/>
      <c r="AK147" s="3628"/>
      <c r="AL147" s="3628"/>
      <c r="AM147" s="3628"/>
      <c r="AN147" s="3628"/>
      <c r="AO147" s="3628"/>
      <c r="AP147" s="3628"/>
      <c r="AQ147" s="3628"/>
      <c r="AR147" s="3628"/>
      <c r="AS147" s="3628"/>
      <c r="AT147" s="3628"/>
    </row>
    <row r="148" spans="2:46">
      <c r="B148" s="3628"/>
      <c r="C148" s="3628"/>
      <c r="D148" s="3796"/>
      <c r="E148" s="3628"/>
      <c r="F148" s="3628"/>
      <c r="G148" s="3628"/>
      <c r="H148" s="3628"/>
      <c r="I148" s="3628"/>
      <c r="J148" s="3628"/>
      <c r="K148" s="3628"/>
      <c r="L148" s="3628"/>
      <c r="M148" s="3628"/>
      <c r="N148" s="3628"/>
      <c r="O148" s="3628"/>
      <c r="P148" s="3628"/>
      <c r="Q148" s="3628"/>
      <c r="R148" s="3628"/>
      <c r="S148" s="3628"/>
      <c r="T148" s="3628"/>
      <c r="U148" s="3628"/>
      <c r="V148" s="3628"/>
      <c r="W148" s="3628"/>
      <c r="X148" s="3628"/>
      <c r="Y148" s="3628"/>
      <c r="Z148" s="3628"/>
      <c r="AA148" s="3628"/>
      <c r="AB148" s="3628"/>
      <c r="AC148" s="3628"/>
      <c r="AD148" s="3628"/>
      <c r="AE148" s="3628"/>
      <c r="AF148" s="3628"/>
      <c r="AG148" s="3628"/>
      <c r="AH148" s="3628"/>
      <c r="AI148" s="3628"/>
      <c r="AJ148" s="3628"/>
      <c r="AK148" s="3628"/>
      <c r="AL148" s="3628"/>
      <c r="AM148" s="3628"/>
      <c r="AN148" s="3628"/>
      <c r="AO148" s="3628"/>
      <c r="AP148" s="3628"/>
      <c r="AQ148" s="3628"/>
      <c r="AR148" s="3628"/>
      <c r="AS148" s="3628"/>
      <c r="AT148" s="3628"/>
    </row>
    <row r="149" spans="2:46">
      <c r="B149" s="3628"/>
      <c r="C149" s="3628"/>
      <c r="D149" s="3796"/>
      <c r="E149" s="3628"/>
      <c r="F149" s="3628"/>
      <c r="G149" s="3628"/>
      <c r="H149" s="3628"/>
      <c r="I149" s="3628"/>
      <c r="J149" s="3628"/>
      <c r="K149" s="3628"/>
      <c r="L149" s="3628"/>
      <c r="M149" s="3628"/>
      <c r="N149" s="3628"/>
      <c r="O149" s="3628"/>
      <c r="P149" s="3628"/>
      <c r="Q149" s="3628"/>
      <c r="R149" s="3628"/>
      <c r="S149" s="3628"/>
      <c r="T149" s="3628"/>
      <c r="U149" s="3628"/>
      <c r="V149" s="3628"/>
      <c r="W149" s="3628"/>
      <c r="X149" s="3628"/>
      <c r="Y149" s="3628"/>
      <c r="Z149" s="3628"/>
      <c r="AA149" s="3628"/>
      <c r="AB149" s="3628"/>
      <c r="AC149" s="3628"/>
      <c r="AD149" s="3628"/>
      <c r="AE149" s="3628"/>
      <c r="AF149" s="3628"/>
      <c r="AG149" s="3628"/>
      <c r="AH149" s="3628"/>
      <c r="AI149" s="3628"/>
      <c r="AJ149" s="3628"/>
      <c r="AK149" s="3628"/>
      <c r="AL149" s="3628"/>
      <c r="AM149" s="3628"/>
      <c r="AN149" s="3628"/>
      <c r="AO149" s="3628"/>
      <c r="AP149" s="3628"/>
      <c r="AQ149" s="3628"/>
      <c r="AR149" s="3628"/>
      <c r="AS149" s="3628"/>
      <c r="AT149" s="3628"/>
    </row>
    <row r="150" spans="2:46">
      <c r="B150" s="3628"/>
      <c r="C150" s="3628"/>
      <c r="D150" s="3796"/>
      <c r="E150" s="3628"/>
      <c r="F150" s="3628"/>
      <c r="G150" s="3628"/>
      <c r="H150" s="3628"/>
      <c r="I150" s="3628"/>
      <c r="J150" s="3628"/>
      <c r="K150" s="3628"/>
      <c r="L150" s="3628"/>
      <c r="M150" s="3628"/>
      <c r="N150" s="3628"/>
      <c r="O150" s="3628"/>
      <c r="P150" s="3628"/>
      <c r="Q150" s="3628"/>
      <c r="R150" s="3628"/>
      <c r="S150" s="3628"/>
      <c r="T150" s="3628"/>
      <c r="U150" s="3628"/>
      <c r="V150" s="3628"/>
      <c r="W150" s="3628"/>
      <c r="X150" s="3628"/>
      <c r="Y150" s="3628"/>
      <c r="Z150" s="3628"/>
      <c r="AA150" s="3628"/>
      <c r="AB150" s="3628"/>
      <c r="AC150" s="3628"/>
      <c r="AD150" s="3628"/>
      <c r="AE150" s="3628"/>
      <c r="AF150" s="3628"/>
      <c r="AG150" s="3628"/>
      <c r="AH150" s="3628"/>
      <c r="AI150" s="3628"/>
      <c r="AJ150" s="3628"/>
      <c r="AK150" s="3628"/>
      <c r="AL150" s="3628"/>
      <c r="AM150" s="3628"/>
      <c r="AN150" s="3628"/>
      <c r="AO150" s="3628"/>
      <c r="AP150" s="3628"/>
      <c r="AQ150" s="3628"/>
      <c r="AR150" s="3628"/>
      <c r="AS150" s="3628"/>
      <c r="AT150" s="3628"/>
    </row>
    <row r="151" spans="2:46">
      <c r="B151" s="3628"/>
      <c r="C151" s="3628"/>
      <c r="D151" s="3796"/>
      <c r="E151" s="3628"/>
      <c r="F151" s="3628"/>
      <c r="G151" s="3628"/>
      <c r="H151" s="3628"/>
      <c r="I151" s="3628"/>
      <c r="J151" s="3628"/>
      <c r="K151" s="3628"/>
      <c r="L151" s="3628"/>
      <c r="M151" s="3628"/>
      <c r="N151" s="3628"/>
      <c r="O151" s="3628"/>
      <c r="P151" s="3628"/>
      <c r="Q151" s="3628"/>
      <c r="R151" s="3628"/>
      <c r="S151" s="3628"/>
      <c r="T151" s="3628"/>
      <c r="U151" s="3628"/>
      <c r="V151" s="3628"/>
      <c r="W151" s="3628"/>
      <c r="X151" s="3628"/>
      <c r="Y151" s="3628"/>
      <c r="Z151" s="3628"/>
      <c r="AA151" s="3628"/>
      <c r="AB151" s="3628"/>
      <c r="AC151" s="3628"/>
      <c r="AD151" s="3628"/>
      <c r="AE151" s="3628"/>
      <c r="AF151" s="3628"/>
      <c r="AG151" s="3628"/>
      <c r="AH151" s="3628"/>
      <c r="AI151" s="3628"/>
      <c r="AJ151" s="3628"/>
      <c r="AK151" s="3628"/>
      <c r="AL151" s="3628"/>
      <c r="AM151" s="3628"/>
      <c r="AN151" s="3628"/>
      <c r="AO151" s="3628"/>
      <c r="AP151" s="3628"/>
      <c r="AQ151" s="3628"/>
      <c r="AR151" s="3628"/>
      <c r="AS151" s="3628"/>
      <c r="AT151" s="3628"/>
    </row>
    <row r="152" spans="2:46">
      <c r="B152" s="3628"/>
      <c r="C152" s="3628"/>
      <c r="D152" s="3796"/>
      <c r="E152" s="3628"/>
      <c r="F152" s="3628"/>
      <c r="G152" s="3628"/>
      <c r="H152" s="3628"/>
      <c r="I152" s="3628"/>
      <c r="J152" s="3628"/>
      <c r="K152" s="3628"/>
      <c r="L152" s="3628"/>
      <c r="M152" s="3628"/>
      <c r="N152" s="3628"/>
      <c r="O152" s="3628"/>
      <c r="P152" s="3628"/>
      <c r="Q152" s="3628"/>
      <c r="R152" s="3628"/>
      <c r="S152" s="3628"/>
      <c r="T152" s="3628"/>
      <c r="U152" s="3628"/>
      <c r="V152" s="3628"/>
      <c r="W152" s="3628"/>
      <c r="X152" s="3628"/>
      <c r="Y152" s="3628"/>
      <c r="Z152" s="3628"/>
      <c r="AA152" s="3628"/>
      <c r="AB152" s="3628"/>
      <c r="AC152" s="3628"/>
      <c r="AD152" s="3628"/>
      <c r="AE152" s="3628"/>
      <c r="AF152" s="3628"/>
      <c r="AG152" s="3628"/>
      <c r="AH152" s="3628"/>
      <c r="AI152" s="3628"/>
      <c r="AJ152" s="3628"/>
      <c r="AK152" s="3628"/>
      <c r="AL152" s="3628"/>
      <c r="AM152" s="3628"/>
      <c r="AN152" s="3628"/>
      <c r="AO152" s="3628"/>
      <c r="AP152" s="3628"/>
      <c r="AQ152" s="3628"/>
      <c r="AR152" s="3628"/>
      <c r="AS152" s="3628"/>
      <c r="AT152" s="3628"/>
    </row>
    <row r="153" spans="2:46">
      <c r="B153" s="3628"/>
      <c r="C153" s="3628"/>
      <c r="D153" s="3796"/>
      <c r="E153" s="3628"/>
      <c r="F153" s="3628"/>
      <c r="G153" s="3628"/>
      <c r="H153" s="3628"/>
      <c r="I153" s="3628"/>
      <c r="J153" s="3628"/>
      <c r="K153" s="3628"/>
      <c r="L153" s="3628"/>
      <c r="M153" s="3628"/>
      <c r="N153" s="3628"/>
      <c r="O153" s="3628"/>
      <c r="P153" s="3628"/>
      <c r="Q153" s="3628"/>
      <c r="R153" s="3628"/>
      <c r="S153" s="3628"/>
      <c r="T153" s="3628"/>
      <c r="U153" s="3628"/>
      <c r="V153" s="3628"/>
      <c r="W153" s="3628"/>
      <c r="X153" s="3628"/>
      <c r="Y153" s="3628"/>
      <c r="Z153" s="3628"/>
      <c r="AA153" s="3628"/>
      <c r="AB153" s="3628"/>
      <c r="AC153" s="3628"/>
      <c r="AD153" s="3628"/>
      <c r="AE153" s="3628"/>
      <c r="AF153" s="3628"/>
      <c r="AG153" s="3628"/>
      <c r="AH153" s="3628"/>
      <c r="AI153" s="3628"/>
      <c r="AJ153" s="3628"/>
      <c r="AK153" s="3628"/>
      <c r="AL153" s="3628"/>
      <c r="AM153" s="3628"/>
      <c r="AN153" s="3628"/>
      <c r="AO153" s="3628"/>
      <c r="AP153" s="3628"/>
      <c r="AQ153" s="3628"/>
      <c r="AR153" s="3628"/>
      <c r="AS153" s="3628"/>
      <c r="AT153" s="3628"/>
    </row>
    <row r="154" spans="2:46">
      <c r="B154" s="3628"/>
      <c r="C154" s="3628"/>
      <c r="D154" s="3796"/>
      <c r="E154" s="3628"/>
      <c r="F154" s="3628"/>
      <c r="G154" s="3628"/>
      <c r="H154" s="3628"/>
      <c r="I154" s="3628"/>
      <c r="J154" s="3628"/>
      <c r="K154" s="3628"/>
      <c r="L154" s="3628"/>
      <c r="M154" s="3628"/>
      <c r="N154" s="3628"/>
      <c r="O154" s="3628"/>
      <c r="P154" s="3628"/>
      <c r="Q154" s="3628"/>
      <c r="R154" s="3628"/>
      <c r="S154" s="3628"/>
      <c r="T154" s="3628"/>
      <c r="U154" s="3628"/>
      <c r="V154" s="3628"/>
      <c r="W154" s="3628"/>
      <c r="X154" s="3628"/>
      <c r="Y154" s="3628"/>
      <c r="Z154" s="3628"/>
      <c r="AA154" s="3628"/>
      <c r="AB154" s="3628"/>
      <c r="AC154" s="3628"/>
      <c r="AD154" s="3628"/>
      <c r="AE154" s="3628"/>
      <c r="AF154" s="3628"/>
      <c r="AG154" s="3628"/>
      <c r="AH154" s="3628"/>
      <c r="AI154" s="3628"/>
      <c r="AJ154" s="3628"/>
      <c r="AK154" s="3628"/>
      <c r="AL154" s="3628"/>
      <c r="AM154" s="3628"/>
      <c r="AN154" s="3628"/>
      <c r="AO154" s="3628"/>
      <c r="AP154" s="3628"/>
      <c r="AQ154" s="3628"/>
      <c r="AR154" s="3628"/>
      <c r="AS154" s="3628"/>
      <c r="AT154" s="3628"/>
    </row>
    <row r="155" spans="2:46">
      <c r="B155" s="3628"/>
      <c r="C155" s="3628"/>
      <c r="D155" s="3796"/>
      <c r="E155" s="3628"/>
      <c r="F155" s="3628"/>
      <c r="G155" s="3628"/>
      <c r="H155" s="3628"/>
      <c r="I155" s="3628"/>
      <c r="J155" s="3628"/>
      <c r="K155" s="3628"/>
      <c r="L155" s="3628"/>
      <c r="M155" s="3628"/>
      <c r="N155" s="3628"/>
      <c r="O155" s="3628"/>
      <c r="P155" s="3628"/>
      <c r="Q155" s="3628"/>
      <c r="R155" s="3628"/>
      <c r="S155" s="3628"/>
      <c r="T155" s="3628"/>
      <c r="U155" s="3628"/>
      <c r="V155" s="3628"/>
      <c r="W155" s="3628"/>
      <c r="X155" s="3628"/>
      <c r="Y155" s="3628"/>
      <c r="Z155" s="3628"/>
      <c r="AA155" s="3628"/>
      <c r="AB155" s="3628"/>
      <c r="AC155" s="3628"/>
      <c r="AD155" s="3628"/>
      <c r="AE155" s="3628"/>
      <c r="AF155" s="3628"/>
      <c r="AG155" s="3628"/>
      <c r="AH155" s="3628"/>
      <c r="AI155" s="3628"/>
      <c r="AJ155" s="3628"/>
      <c r="AK155" s="3628"/>
      <c r="AL155" s="3628"/>
      <c r="AM155" s="3628"/>
      <c r="AN155" s="3628"/>
      <c r="AO155" s="3628"/>
      <c r="AP155" s="3628"/>
      <c r="AQ155" s="3628"/>
      <c r="AR155" s="3628"/>
      <c r="AS155" s="3628"/>
      <c r="AT155" s="3628"/>
    </row>
    <row r="156" spans="2:46">
      <c r="B156" s="3628"/>
      <c r="C156" s="3628"/>
      <c r="D156" s="3796"/>
      <c r="E156" s="3628"/>
      <c r="F156" s="3628"/>
      <c r="G156" s="3628"/>
      <c r="H156" s="3628"/>
      <c r="I156" s="3628"/>
      <c r="J156" s="3628"/>
      <c r="K156" s="3628"/>
      <c r="L156" s="3628"/>
      <c r="M156" s="3628"/>
      <c r="N156" s="3628"/>
      <c r="O156" s="3628"/>
      <c r="P156" s="3628"/>
      <c r="Q156" s="3628"/>
      <c r="R156" s="3628"/>
      <c r="S156" s="3628"/>
      <c r="T156" s="3628"/>
      <c r="U156" s="3628"/>
      <c r="V156" s="3628"/>
      <c r="W156" s="3628"/>
      <c r="X156" s="3628"/>
      <c r="Y156" s="3628"/>
      <c r="Z156" s="3628"/>
      <c r="AA156" s="3628"/>
      <c r="AB156" s="3628"/>
      <c r="AC156" s="3628"/>
      <c r="AD156" s="3628"/>
      <c r="AE156" s="3628"/>
      <c r="AF156" s="3628"/>
      <c r="AG156" s="3628"/>
      <c r="AH156" s="3628"/>
      <c r="AI156" s="3628"/>
      <c r="AJ156" s="3628"/>
      <c r="AK156" s="3628"/>
      <c r="AL156" s="3628"/>
      <c r="AM156" s="3628"/>
      <c r="AN156" s="3628"/>
      <c r="AO156" s="3628"/>
      <c r="AP156" s="3628"/>
      <c r="AQ156" s="3628"/>
      <c r="AR156" s="3628"/>
      <c r="AS156" s="3628"/>
      <c r="AT156" s="3628"/>
    </row>
    <row r="157" spans="2:46">
      <c r="B157" s="3628"/>
      <c r="C157" s="3628"/>
      <c r="D157" s="3796"/>
      <c r="E157" s="3628"/>
      <c r="F157" s="3628"/>
      <c r="G157" s="3628"/>
      <c r="H157" s="3628"/>
      <c r="I157" s="3628"/>
      <c r="J157" s="3628"/>
      <c r="K157" s="3628"/>
      <c r="L157" s="3628"/>
      <c r="M157" s="3628"/>
      <c r="N157" s="3628"/>
      <c r="O157" s="3628"/>
      <c r="P157" s="3628"/>
      <c r="Q157" s="3628"/>
      <c r="R157" s="3628"/>
      <c r="S157" s="3628"/>
      <c r="T157" s="3628"/>
      <c r="U157" s="3628"/>
      <c r="V157" s="3628"/>
      <c r="W157" s="3628"/>
      <c r="X157" s="3628"/>
      <c r="Y157" s="3628"/>
      <c r="Z157" s="3628"/>
      <c r="AA157" s="3628"/>
      <c r="AB157" s="3628"/>
      <c r="AC157" s="3628"/>
      <c r="AD157" s="3628"/>
      <c r="AE157" s="3628"/>
      <c r="AF157" s="3628"/>
      <c r="AG157" s="3628"/>
      <c r="AH157" s="3628"/>
      <c r="AI157" s="3628"/>
      <c r="AJ157" s="3628"/>
      <c r="AK157" s="3628"/>
      <c r="AL157" s="3628"/>
      <c r="AM157" s="3628"/>
      <c r="AN157" s="3628"/>
      <c r="AO157" s="3628"/>
      <c r="AP157" s="3628"/>
      <c r="AQ157" s="3628"/>
      <c r="AR157" s="3628"/>
      <c r="AS157" s="3628"/>
      <c r="AT157" s="3628"/>
    </row>
    <row r="158" spans="2:46">
      <c r="B158" s="3628"/>
      <c r="C158" s="3628"/>
      <c r="D158" s="3796"/>
      <c r="E158" s="3628"/>
      <c r="F158" s="3628"/>
      <c r="G158" s="3628"/>
      <c r="H158" s="3628"/>
      <c r="I158" s="3628"/>
      <c r="J158" s="3628"/>
      <c r="K158" s="3628"/>
      <c r="L158" s="3628"/>
      <c r="M158" s="3628"/>
      <c r="N158" s="3628"/>
      <c r="O158" s="3628"/>
      <c r="P158" s="3628"/>
      <c r="Q158" s="3628"/>
      <c r="R158" s="3628"/>
      <c r="S158" s="3628"/>
      <c r="T158" s="3628"/>
      <c r="U158" s="3628"/>
      <c r="V158" s="3628"/>
      <c r="W158" s="3628"/>
      <c r="X158" s="3628"/>
      <c r="Y158" s="3628"/>
      <c r="Z158" s="3628"/>
      <c r="AA158" s="3628"/>
      <c r="AB158" s="3628"/>
      <c r="AC158" s="3628"/>
      <c r="AD158" s="3628"/>
      <c r="AE158" s="3628"/>
      <c r="AF158" s="3628"/>
      <c r="AG158" s="3628"/>
      <c r="AH158" s="3628"/>
      <c r="AI158" s="3628"/>
      <c r="AJ158" s="3628"/>
      <c r="AK158" s="3628"/>
      <c r="AL158" s="3628"/>
      <c r="AM158" s="3628"/>
      <c r="AN158" s="3628"/>
      <c r="AO158" s="3628"/>
      <c r="AP158" s="3628"/>
      <c r="AQ158" s="3628"/>
      <c r="AR158" s="3628"/>
      <c r="AS158" s="3628"/>
      <c r="AT158" s="3628"/>
    </row>
    <row r="159" spans="2:46">
      <c r="B159" s="3628"/>
      <c r="C159" s="3628"/>
      <c r="D159" s="3796"/>
      <c r="E159" s="3628"/>
      <c r="F159" s="3628"/>
      <c r="G159" s="3628"/>
      <c r="H159" s="3628"/>
      <c r="I159" s="3628"/>
      <c r="J159" s="3628"/>
      <c r="K159" s="3628"/>
      <c r="L159" s="3628"/>
      <c r="M159" s="3628"/>
      <c r="N159" s="3628"/>
      <c r="O159" s="3628"/>
      <c r="P159" s="3628"/>
      <c r="Q159" s="3628"/>
      <c r="R159" s="3628"/>
      <c r="S159" s="3628"/>
      <c r="T159" s="3628"/>
      <c r="U159" s="3628"/>
      <c r="V159" s="3628"/>
      <c r="W159" s="3628"/>
      <c r="X159" s="3628"/>
      <c r="Y159" s="3628"/>
      <c r="Z159" s="3628"/>
      <c r="AA159" s="3628"/>
      <c r="AB159" s="3628"/>
      <c r="AC159" s="3628"/>
      <c r="AD159" s="3628"/>
      <c r="AE159" s="3628"/>
      <c r="AF159" s="3628"/>
      <c r="AG159" s="3628"/>
      <c r="AH159" s="3628"/>
      <c r="AI159" s="3628"/>
      <c r="AJ159" s="3628"/>
      <c r="AK159" s="3628"/>
      <c r="AL159" s="3628"/>
      <c r="AM159" s="3628"/>
      <c r="AN159" s="3628"/>
      <c r="AO159" s="3628"/>
      <c r="AP159" s="3628"/>
      <c r="AQ159" s="3628"/>
      <c r="AR159" s="3628"/>
      <c r="AS159" s="3628"/>
      <c r="AT159" s="3628"/>
    </row>
    <row r="160" spans="2:46">
      <c r="B160" s="3628"/>
      <c r="C160" s="3628"/>
      <c r="D160" s="3796"/>
      <c r="E160" s="3628"/>
      <c r="F160" s="3628"/>
      <c r="G160" s="3628"/>
      <c r="H160" s="3628"/>
      <c r="I160" s="3628"/>
      <c r="J160" s="3628"/>
      <c r="K160" s="3628"/>
      <c r="L160" s="3628"/>
      <c r="M160" s="3628"/>
      <c r="N160" s="3628"/>
      <c r="O160" s="3628"/>
      <c r="P160" s="3628"/>
      <c r="Q160" s="3628"/>
      <c r="R160" s="3628"/>
      <c r="S160" s="3628"/>
      <c r="T160" s="3628"/>
      <c r="U160" s="3628"/>
      <c r="V160" s="3628"/>
      <c r="W160" s="3628"/>
      <c r="X160" s="3628"/>
      <c r="Y160" s="3628"/>
      <c r="Z160" s="3628"/>
      <c r="AA160" s="3628"/>
      <c r="AB160" s="3628"/>
      <c r="AC160" s="3628"/>
      <c r="AD160" s="3628"/>
      <c r="AE160" s="3628"/>
      <c r="AF160" s="3628"/>
      <c r="AG160" s="3628"/>
      <c r="AH160" s="3628"/>
      <c r="AI160" s="3628"/>
      <c r="AJ160" s="3628"/>
      <c r="AK160" s="3628"/>
      <c r="AL160" s="3628"/>
      <c r="AM160" s="3628"/>
      <c r="AN160" s="3628"/>
      <c r="AO160" s="3628"/>
      <c r="AP160" s="3628"/>
      <c r="AQ160" s="3628"/>
      <c r="AR160" s="3628"/>
      <c r="AS160" s="3628"/>
      <c r="AT160" s="3628"/>
    </row>
    <row r="161" spans="2:46">
      <c r="B161" s="3628"/>
      <c r="C161" s="3628"/>
      <c r="D161" s="3796"/>
      <c r="E161" s="3628"/>
      <c r="F161" s="3628"/>
      <c r="G161" s="3628"/>
      <c r="H161" s="3628"/>
      <c r="I161" s="3628"/>
      <c r="J161" s="3628"/>
      <c r="K161" s="3628"/>
      <c r="L161" s="3628"/>
      <c r="M161" s="3628"/>
      <c r="N161" s="3628"/>
      <c r="O161" s="3628"/>
      <c r="P161" s="3628"/>
      <c r="Q161" s="3628"/>
      <c r="R161" s="3628"/>
      <c r="S161" s="3628"/>
      <c r="T161" s="3628"/>
      <c r="U161" s="3628"/>
      <c r="V161" s="3628"/>
      <c r="W161" s="3628"/>
      <c r="X161" s="3628"/>
      <c r="Y161" s="3628"/>
      <c r="Z161" s="3628"/>
      <c r="AA161" s="3628"/>
      <c r="AB161" s="3628"/>
      <c r="AC161" s="3628"/>
      <c r="AD161" s="3628"/>
      <c r="AE161" s="3628"/>
      <c r="AF161" s="3628"/>
      <c r="AG161" s="3628"/>
      <c r="AH161" s="3628"/>
      <c r="AI161" s="3628"/>
      <c r="AJ161" s="3628"/>
      <c r="AK161" s="3628"/>
      <c r="AL161" s="3628"/>
      <c r="AM161" s="3628"/>
      <c r="AN161" s="3628"/>
      <c r="AO161" s="3628"/>
      <c r="AP161" s="3628"/>
      <c r="AQ161" s="3628"/>
      <c r="AR161" s="3628"/>
      <c r="AS161" s="3628"/>
      <c r="AT161" s="3628"/>
    </row>
    <row r="162" spans="2:46">
      <c r="B162" s="3628"/>
      <c r="C162" s="3628"/>
      <c r="D162" s="3796"/>
      <c r="E162" s="3628"/>
      <c r="F162" s="3628"/>
      <c r="G162" s="3628"/>
      <c r="H162" s="3628"/>
      <c r="I162" s="3628"/>
      <c r="J162" s="3628"/>
      <c r="K162" s="3628"/>
      <c r="L162" s="3628"/>
      <c r="M162" s="3628"/>
      <c r="N162" s="3628"/>
      <c r="O162" s="3628"/>
      <c r="P162" s="3628"/>
      <c r="Q162" s="3628"/>
      <c r="R162" s="3628"/>
      <c r="S162" s="3628"/>
      <c r="T162" s="3628"/>
      <c r="U162" s="3628"/>
      <c r="V162" s="3628"/>
      <c r="W162" s="3628"/>
      <c r="X162" s="3628"/>
      <c r="Y162" s="3628"/>
      <c r="Z162" s="3628"/>
      <c r="AA162" s="3628"/>
      <c r="AB162" s="3628"/>
      <c r="AC162" s="3628"/>
      <c r="AD162" s="3628"/>
      <c r="AE162" s="3628"/>
      <c r="AF162" s="3628"/>
      <c r="AG162" s="3628"/>
      <c r="AH162" s="3628"/>
      <c r="AI162" s="3628"/>
      <c r="AJ162" s="3628"/>
      <c r="AK162" s="3628"/>
      <c r="AL162" s="3628"/>
      <c r="AM162" s="3628"/>
      <c r="AN162" s="3628"/>
      <c r="AO162" s="3628"/>
      <c r="AP162" s="3628"/>
      <c r="AQ162" s="3628"/>
      <c r="AR162" s="3628"/>
      <c r="AS162" s="3628"/>
      <c r="AT162" s="3628"/>
    </row>
    <row r="163" spans="2:46">
      <c r="B163" s="3628"/>
      <c r="C163" s="3628"/>
      <c r="D163" s="3796"/>
      <c r="E163" s="3628"/>
      <c r="F163" s="3628"/>
      <c r="G163" s="3628"/>
      <c r="H163" s="3628"/>
      <c r="I163" s="3628"/>
      <c r="J163" s="3628"/>
      <c r="K163" s="3628"/>
      <c r="L163" s="3628"/>
      <c r="M163" s="3628"/>
      <c r="N163" s="3628"/>
      <c r="O163" s="3628"/>
      <c r="P163" s="3628"/>
      <c r="Q163" s="3628"/>
      <c r="R163" s="3628"/>
      <c r="S163" s="3628"/>
      <c r="T163" s="3628"/>
      <c r="U163" s="3628"/>
      <c r="V163" s="3628"/>
      <c r="W163" s="3628"/>
      <c r="X163" s="3628"/>
      <c r="Y163" s="3628"/>
      <c r="Z163" s="3628"/>
      <c r="AA163" s="3628"/>
      <c r="AB163" s="3628"/>
      <c r="AC163" s="3628"/>
      <c r="AD163" s="3628"/>
      <c r="AE163" s="3628"/>
      <c r="AF163" s="3628"/>
      <c r="AG163" s="3628"/>
      <c r="AH163" s="3628"/>
      <c r="AI163" s="3628"/>
      <c r="AJ163" s="3628"/>
      <c r="AK163" s="3628"/>
      <c r="AL163" s="3628"/>
      <c r="AM163" s="3628"/>
      <c r="AN163" s="3628"/>
      <c r="AO163" s="3628"/>
      <c r="AP163" s="3628"/>
      <c r="AQ163" s="3628"/>
      <c r="AR163" s="3628"/>
      <c r="AS163" s="3628"/>
      <c r="AT163" s="3628"/>
    </row>
    <row r="164" spans="2:46">
      <c r="B164" s="3628"/>
      <c r="C164" s="3628"/>
      <c r="D164" s="3796"/>
      <c r="E164" s="3628"/>
      <c r="F164" s="3628"/>
      <c r="G164" s="3628"/>
      <c r="H164" s="3628"/>
      <c r="I164" s="3628"/>
      <c r="J164" s="3628"/>
      <c r="K164" s="3628"/>
      <c r="L164" s="3628"/>
      <c r="M164" s="3628"/>
      <c r="N164" s="3628"/>
      <c r="O164" s="3628"/>
      <c r="P164" s="3628"/>
      <c r="Q164" s="3628"/>
      <c r="R164" s="3628"/>
      <c r="S164" s="3628"/>
      <c r="T164" s="3628"/>
      <c r="U164" s="3628"/>
      <c r="V164" s="3628"/>
      <c r="W164" s="3628"/>
      <c r="X164" s="3628"/>
      <c r="Y164" s="3628"/>
      <c r="Z164" s="3628"/>
      <c r="AA164" s="3628"/>
      <c r="AB164" s="3628"/>
      <c r="AC164" s="3628"/>
      <c r="AD164" s="3628"/>
      <c r="AE164" s="3628"/>
      <c r="AF164" s="3628"/>
      <c r="AG164" s="3628"/>
      <c r="AH164" s="3628"/>
      <c r="AI164" s="3628"/>
      <c r="AJ164" s="3628"/>
      <c r="AK164" s="3628"/>
      <c r="AL164" s="3628"/>
      <c r="AM164" s="3628"/>
      <c r="AN164" s="3628"/>
      <c r="AO164" s="3628"/>
      <c r="AP164" s="3628"/>
      <c r="AQ164" s="3628"/>
      <c r="AR164" s="3628"/>
      <c r="AS164" s="3628"/>
      <c r="AT164" s="3628"/>
    </row>
    <row r="165" spans="2:46">
      <c r="B165" s="3628"/>
      <c r="C165" s="3628"/>
      <c r="D165" s="3796"/>
      <c r="E165" s="3628"/>
      <c r="F165" s="3628"/>
      <c r="G165" s="3628"/>
      <c r="H165" s="3628"/>
      <c r="I165" s="3628"/>
      <c r="J165" s="3628"/>
      <c r="K165" s="3628"/>
      <c r="L165" s="3628"/>
      <c r="M165" s="3628"/>
      <c r="N165" s="3628"/>
      <c r="O165" s="3628"/>
      <c r="P165" s="3628"/>
      <c r="Q165" s="3628"/>
      <c r="R165" s="3628"/>
      <c r="S165" s="3628"/>
      <c r="T165" s="3628"/>
      <c r="U165" s="3628"/>
      <c r="V165" s="3628"/>
      <c r="W165" s="3628"/>
      <c r="X165" s="3628"/>
      <c r="Y165" s="3628"/>
      <c r="Z165" s="3628"/>
      <c r="AA165" s="3628"/>
      <c r="AB165" s="3628"/>
      <c r="AC165" s="3628"/>
      <c r="AD165" s="3628"/>
      <c r="AE165" s="3628"/>
      <c r="AF165" s="3628"/>
      <c r="AG165" s="3628"/>
      <c r="AH165" s="3628"/>
      <c r="AI165" s="3628"/>
      <c r="AJ165" s="3628"/>
      <c r="AK165" s="3628"/>
      <c r="AL165" s="3628"/>
      <c r="AM165" s="3628"/>
      <c r="AN165" s="3628"/>
      <c r="AO165" s="3628"/>
      <c r="AP165" s="3628"/>
      <c r="AQ165" s="3628"/>
      <c r="AR165" s="3628"/>
      <c r="AS165" s="3628"/>
      <c r="AT165" s="3628"/>
    </row>
    <row r="166" spans="2:46">
      <c r="B166" s="3628"/>
      <c r="C166" s="3628"/>
      <c r="D166" s="3796"/>
      <c r="E166" s="3628"/>
      <c r="F166" s="3628"/>
      <c r="G166" s="3628"/>
      <c r="H166" s="3628"/>
      <c r="I166" s="3628"/>
      <c r="J166" s="3628"/>
      <c r="K166" s="3628"/>
      <c r="L166" s="3628"/>
      <c r="M166" s="3628"/>
      <c r="N166" s="3628"/>
      <c r="O166" s="3628"/>
      <c r="P166" s="3628"/>
      <c r="Q166" s="3628"/>
      <c r="R166" s="3628"/>
      <c r="S166" s="3628"/>
      <c r="T166" s="3628"/>
      <c r="U166" s="3628"/>
      <c r="V166" s="3628"/>
      <c r="W166" s="3628"/>
      <c r="X166" s="3628"/>
      <c r="Y166" s="3628"/>
      <c r="Z166" s="3628"/>
      <c r="AA166" s="3628"/>
      <c r="AB166" s="3628"/>
      <c r="AC166" s="3628"/>
      <c r="AD166" s="3628"/>
      <c r="AE166" s="3628"/>
      <c r="AF166" s="3628"/>
      <c r="AG166" s="3628"/>
      <c r="AH166" s="3628"/>
      <c r="AI166" s="3628"/>
      <c r="AJ166" s="3628"/>
      <c r="AK166" s="3628"/>
      <c r="AL166" s="3628"/>
      <c r="AM166" s="3628"/>
      <c r="AN166" s="3628"/>
      <c r="AO166" s="3628"/>
      <c r="AP166" s="3628"/>
      <c r="AQ166" s="3628"/>
      <c r="AR166" s="3628"/>
      <c r="AS166" s="3628"/>
      <c r="AT166" s="3628"/>
    </row>
    <row r="167" spans="2:46">
      <c r="B167" s="3628"/>
      <c r="C167" s="3628"/>
      <c r="D167" s="3796"/>
      <c r="E167" s="3628"/>
      <c r="F167" s="3628"/>
      <c r="G167" s="3628"/>
      <c r="H167" s="3628"/>
      <c r="I167" s="3628"/>
      <c r="J167" s="3628"/>
      <c r="K167" s="3628"/>
      <c r="L167" s="3628"/>
      <c r="M167" s="3628"/>
      <c r="N167" s="3628"/>
      <c r="O167" s="3628"/>
      <c r="P167" s="3628"/>
      <c r="Q167" s="3628"/>
      <c r="R167" s="3628"/>
      <c r="S167" s="3628"/>
      <c r="T167" s="3628"/>
      <c r="U167" s="3628"/>
      <c r="V167" s="3628"/>
      <c r="W167" s="3628"/>
      <c r="X167" s="3628"/>
      <c r="Y167" s="3628"/>
      <c r="Z167" s="3628"/>
      <c r="AA167" s="3628"/>
      <c r="AB167" s="3628"/>
      <c r="AC167" s="3628"/>
      <c r="AD167" s="3628"/>
      <c r="AE167" s="3628"/>
      <c r="AF167" s="3628"/>
      <c r="AG167" s="3628"/>
      <c r="AH167" s="3628"/>
      <c r="AI167" s="3628"/>
      <c r="AJ167" s="3628"/>
      <c r="AK167" s="3628"/>
      <c r="AL167" s="3628"/>
      <c r="AM167" s="3628"/>
      <c r="AN167" s="3628"/>
      <c r="AO167" s="3628"/>
      <c r="AP167" s="3628"/>
      <c r="AQ167" s="3628"/>
      <c r="AR167" s="3628"/>
      <c r="AS167" s="3628"/>
      <c r="AT167" s="3628"/>
    </row>
    <row r="168" spans="2:46">
      <c r="B168" s="3628"/>
      <c r="C168" s="3628"/>
      <c r="D168" s="3796"/>
      <c r="E168" s="3628"/>
      <c r="F168" s="3628"/>
      <c r="G168" s="3628"/>
      <c r="H168" s="3628"/>
      <c r="I168" s="3628"/>
      <c r="J168" s="3628"/>
      <c r="K168" s="3628"/>
      <c r="L168" s="3628"/>
      <c r="M168" s="3628"/>
      <c r="N168" s="3628"/>
      <c r="O168" s="3628"/>
      <c r="P168" s="3628"/>
      <c r="Q168" s="3628"/>
      <c r="R168" s="3628"/>
      <c r="S168" s="3628"/>
      <c r="T168" s="3628"/>
      <c r="U168" s="3628"/>
      <c r="V168" s="3628"/>
      <c r="W168" s="3628"/>
      <c r="X168" s="3628"/>
      <c r="Y168" s="3628"/>
      <c r="Z168" s="3628"/>
      <c r="AA168" s="3628"/>
      <c r="AB168" s="3628"/>
      <c r="AC168" s="3628"/>
      <c r="AD168" s="3628"/>
      <c r="AE168" s="3628"/>
      <c r="AF168" s="3628"/>
      <c r="AG168" s="3628"/>
      <c r="AH168" s="3628"/>
      <c r="AI168" s="3628"/>
      <c r="AJ168" s="3628"/>
      <c r="AK168" s="3628"/>
      <c r="AL168" s="3628"/>
      <c r="AM168" s="3628"/>
      <c r="AN168" s="3628"/>
      <c r="AO168" s="3628"/>
      <c r="AP168" s="3628"/>
      <c r="AQ168" s="3628"/>
      <c r="AR168" s="3628"/>
      <c r="AS168" s="3628"/>
      <c r="AT168" s="3628"/>
    </row>
    <row r="169" spans="2:46">
      <c r="B169" s="3628"/>
      <c r="C169" s="3628"/>
      <c r="D169" s="3796"/>
      <c r="E169" s="3628"/>
      <c r="F169" s="3628"/>
      <c r="G169" s="3628"/>
      <c r="H169" s="3628"/>
      <c r="I169" s="3628"/>
      <c r="J169" s="3628"/>
      <c r="K169" s="3628"/>
      <c r="L169" s="3628"/>
      <c r="M169" s="3628"/>
      <c r="N169" s="3628"/>
      <c r="O169" s="3628"/>
      <c r="P169" s="3628"/>
      <c r="Q169" s="3628"/>
      <c r="R169" s="3628"/>
      <c r="S169" s="3628"/>
      <c r="T169" s="3628"/>
      <c r="U169" s="3628"/>
      <c r="V169" s="3628"/>
      <c r="W169" s="3628"/>
      <c r="X169" s="3628"/>
      <c r="Y169" s="3628"/>
      <c r="Z169" s="3628"/>
      <c r="AA169" s="3628"/>
      <c r="AB169" s="3628"/>
      <c r="AC169" s="3628"/>
      <c r="AD169" s="3628"/>
      <c r="AE169" s="3628"/>
      <c r="AF169" s="3628"/>
      <c r="AG169" s="3628"/>
      <c r="AH169" s="3628"/>
      <c r="AI169" s="3628"/>
      <c r="AJ169" s="3628"/>
      <c r="AK169" s="3628"/>
      <c r="AL169" s="3628"/>
      <c r="AM169" s="3628"/>
      <c r="AN169" s="3628"/>
      <c r="AO169" s="3628"/>
      <c r="AP169" s="3628"/>
      <c r="AQ169" s="3628"/>
      <c r="AR169" s="3628"/>
      <c r="AS169" s="3628"/>
      <c r="AT169" s="3628"/>
    </row>
    <row r="170" spans="2:46">
      <c r="B170" s="3628"/>
      <c r="C170" s="3628"/>
      <c r="D170" s="3796"/>
      <c r="E170" s="3628"/>
      <c r="F170" s="3628"/>
      <c r="G170" s="3628"/>
      <c r="H170" s="3628"/>
      <c r="I170" s="3628"/>
      <c r="J170" s="3628"/>
      <c r="K170" s="3628"/>
      <c r="L170" s="3628"/>
      <c r="M170" s="3628"/>
      <c r="N170" s="3628"/>
      <c r="O170" s="3628"/>
      <c r="P170" s="3628"/>
      <c r="Q170" s="3628"/>
      <c r="R170" s="3628"/>
      <c r="S170" s="3628"/>
      <c r="T170" s="3628"/>
      <c r="U170" s="3628"/>
      <c r="V170" s="3628"/>
      <c r="W170" s="3628"/>
      <c r="X170" s="3628"/>
      <c r="Y170" s="3628"/>
      <c r="Z170" s="3628"/>
      <c r="AA170" s="3628"/>
      <c r="AB170" s="3628"/>
      <c r="AC170" s="3628"/>
      <c r="AD170" s="3628"/>
      <c r="AE170" s="3628"/>
      <c r="AF170" s="3628"/>
      <c r="AG170" s="3628"/>
      <c r="AH170" s="3628"/>
      <c r="AI170" s="3628"/>
      <c r="AJ170" s="3628"/>
      <c r="AK170" s="3628"/>
      <c r="AL170" s="3628"/>
      <c r="AM170" s="3628"/>
      <c r="AN170" s="3628"/>
      <c r="AO170" s="3628"/>
      <c r="AP170" s="3628"/>
      <c r="AQ170" s="3628"/>
      <c r="AR170" s="3628"/>
      <c r="AS170" s="3628"/>
      <c r="AT170" s="3628"/>
    </row>
    <row r="171" spans="2:46">
      <c r="B171" s="3628"/>
      <c r="C171" s="3628"/>
      <c r="D171" s="3796"/>
      <c r="E171" s="3628"/>
      <c r="F171" s="3628"/>
      <c r="G171" s="3628"/>
      <c r="H171" s="3628"/>
      <c r="I171" s="3628"/>
      <c r="J171" s="3628"/>
      <c r="K171" s="3628"/>
      <c r="L171" s="3628"/>
      <c r="M171" s="3628"/>
      <c r="N171" s="3628"/>
      <c r="O171" s="3628"/>
      <c r="P171" s="3628"/>
      <c r="Q171" s="3628"/>
      <c r="R171" s="3628"/>
      <c r="S171" s="3628"/>
      <c r="T171" s="3628"/>
      <c r="U171" s="3628"/>
      <c r="V171" s="3628"/>
      <c r="W171" s="3628"/>
      <c r="X171" s="3628"/>
      <c r="Y171" s="3628"/>
      <c r="Z171" s="3628"/>
      <c r="AA171" s="3628"/>
      <c r="AB171" s="3628"/>
      <c r="AC171" s="3628"/>
      <c r="AD171" s="3628"/>
      <c r="AE171" s="3628"/>
      <c r="AF171" s="3628"/>
      <c r="AG171" s="3628"/>
      <c r="AH171" s="3628"/>
      <c r="AI171" s="3628"/>
      <c r="AJ171" s="3628"/>
      <c r="AK171" s="3628"/>
      <c r="AL171" s="3628"/>
      <c r="AM171" s="3628"/>
      <c r="AN171" s="3628"/>
      <c r="AO171" s="3628"/>
      <c r="AP171" s="3628"/>
      <c r="AQ171" s="3628"/>
      <c r="AR171" s="3628"/>
      <c r="AS171" s="3628"/>
      <c r="AT171" s="3628"/>
    </row>
    <row r="172" spans="2:46">
      <c r="B172" s="3628"/>
      <c r="C172" s="3628"/>
      <c r="D172" s="3796"/>
      <c r="E172" s="3628"/>
      <c r="F172" s="3628"/>
      <c r="G172" s="3628"/>
      <c r="H172" s="3628"/>
      <c r="I172" s="3628"/>
      <c r="J172" s="3628"/>
      <c r="K172" s="3628"/>
      <c r="L172" s="3628"/>
      <c r="M172" s="3628"/>
      <c r="N172" s="3628"/>
      <c r="O172" s="3628"/>
      <c r="P172" s="3628"/>
      <c r="Q172" s="3628"/>
      <c r="R172" s="3628"/>
      <c r="S172" s="3628"/>
      <c r="T172" s="3628"/>
      <c r="U172" s="3628"/>
      <c r="V172" s="3628"/>
      <c r="W172" s="3628"/>
      <c r="X172" s="3628"/>
      <c r="Y172" s="3628"/>
      <c r="Z172" s="3628"/>
      <c r="AA172" s="3628"/>
      <c r="AB172" s="3628"/>
      <c r="AC172" s="3628"/>
      <c r="AD172" s="3628"/>
      <c r="AE172" s="3628"/>
      <c r="AF172" s="3628"/>
      <c r="AG172" s="3628"/>
      <c r="AH172" s="3628"/>
      <c r="AI172" s="3628"/>
      <c r="AJ172" s="3628"/>
      <c r="AK172" s="3628"/>
      <c r="AL172" s="3628"/>
      <c r="AM172" s="3628"/>
      <c r="AN172" s="3628"/>
      <c r="AO172" s="3628"/>
      <c r="AP172" s="3628"/>
      <c r="AQ172" s="3628"/>
      <c r="AR172" s="3628"/>
      <c r="AS172" s="3628"/>
      <c r="AT172" s="3628"/>
    </row>
    <row r="173" spans="2:46">
      <c r="B173" s="3628"/>
      <c r="C173" s="3628"/>
      <c r="D173" s="3796"/>
      <c r="E173" s="3628"/>
      <c r="F173" s="3628"/>
      <c r="G173" s="3628"/>
      <c r="H173" s="3628"/>
      <c r="I173" s="3628"/>
      <c r="J173" s="3628"/>
      <c r="K173" s="3628"/>
      <c r="L173" s="3628"/>
      <c r="M173" s="3628"/>
      <c r="N173" s="3628"/>
      <c r="O173" s="3628"/>
      <c r="P173" s="3628"/>
      <c r="Q173" s="3628"/>
      <c r="R173" s="3628"/>
      <c r="S173" s="3628"/>
      <c r="T173" s="3628"/>
      <c r="U173" s="3628"/>
      <c r="V173" s="3628"/>
      <c r="W173" s="3628"/>
      <c r="X173" s="3628"/>
      <c r="Y173" s="3628"/>
      <c r="Z173" s="3628"/>
      <c r="AA173" s="3628"/>
      <c r="AB173" s="3628"/>
      <c r="AC173" s="3628"/>
      <c r="AD173" s="3628"/>
      <c r="AE173" s="3628"/>
      <c r="AF173" s="3628"/>
      <c r="AG173" s="3628"/>
      <c r="AH173" s="3628"/>
      <c r="AI173" s="3628"/>
      <c r="AJ173" s="3628"/>
      <c r="AK173" s="3628"/>
      <c r="AL173" s="3628"/>
      <c r="AM173" s="3628"/>
      <c r="AN173" s="3628"/>
      <c r="AO173" s="3628"/>
      <c r="AP173" s="3628"/>
      <c r="AQ173" s="3628"/>
      <c r="AR173" s="3628"/>
      <c r="AS173" s="3628"/>
      <c r="AT173" s="3628"/>
    </row>
    <row r="174" spans="2:46">
      <c r="B174" s="3628"/>
      <c r="C174" s="3628"/>
      <c r="D174" s="3796"/>
      <c r="E174" s="3628"/>
      <c r="F174" s="3628"/>
      <c r="G174" s="3628"/>
      <c r="H174" s="3628"/>
      <c r="I174" s="3628"/>
      <c r="J174" s="3628"/>
      <c r="K174" s="3628"/>
      <c r="L174" s="3628"/>
      <c r="M174" s="3628"/>
      <c r="N174" s="3628"/>
      <c r="O174" s="3628"/>
      <c r="P174" s="3628"/>
      <c r="Q174" s="3628"/>
      <c r="R174" s="3628"/>
      <c r="S174" s="3628"/>
      <c r="T174" s="3628"/>
      <c r="U174" s="3628"/>
      <c r="V174" s="3628"/>
      <c r="W174" s="3628"/>
      <c r="X174" s="3628"/>
      <c r="Y174" s="3628"/>
      <c r="Z174" s="3628"/>
      <c r="AA174" s="3628"/>
      <c r="AB174" s="3628"/>
      <c r="AC174" s="3628"/>
      <c r="AD174" s="3628"/>
      <c r="AE174" s="3628"/>
      <c r="AF174" s="3628"/>
      <c r="AG174" s="3628"/>
      <c r="AH174" s="3628"/>
      <c r="AI174" s="3628"/>
      <c r="AJ174" s="3628"/>
      <c r="AK174" s="3628"/>
      <c r="AL174" s="3628"/>
      <c r="AM174" s="3628"/>
      <c r="AN174" s="3628"/>
      <c r="AO174" s="3628"/>
      <c r="AP174" s="3628"/>
      <c r="AQ174" s="3628"/>
      <c r="AR174" s="3628"/>
      <c r="AS174" s="3628"/>
      <c r="AT174" s="3628"/>
    </row>
    <row r="175" spans="2:46">
      <c r="B175" s="3628"/>
      <c r="C175" s="3628"/>
      <c r="D175" s="3796"/>
      <c r="E175" s="3628"/>
      <c r="F175" s="3628"/>
      <c r="G175" s="3628"/>
      <c r="H175" s="3628"/>
      <c r="I175" s="3628"/>
      <c r="J175" s="3628"/>
      <c r="K175" s="3628"/>
      <c r="L175" s="3628"/>
      <c r="M175" s="3628"/>
      <c r="N175" s="3628"/>
      <c r="O175" s="3628"/>
      <c r="P175" s="3628"/>
      <c r="Q175" s="3628"/>
      <c r="R175" s="3628"/>
      <c r="S175" s="3628"/>
      <c r="T175" s="3628"/>
      <c r="U175" s="3628"/>
      <c r="V175" s="3628"/>
      <c r="W175" s="3628"/>
      <c r="X175" s="3628"/>
      <c r="Y175" s="3628"/>
      <c r="Z175" s="3628"/>
      <c r="AA175" s="3628"/>
      <c r="AB175" s="3628"/>
      <c r="AC175" s="3628"/>
      <c r="AD175" s="3628"/>
      <c r="AE175" s="3628"/>
      <c r="AF175" s="3628"/>
      <c r="AG175" s="3628"/>
      <c r="AH175" s="3628"/>
      <c r="AI175" s="3628"/>
      <c r="AJ175" s="3628"/>
      <c r="AK175" s="3628"/>
      <c r="AL175" s="3628"/>
      <c r="AM175" s="3628"/>
      <c r="AN175" s="3628"/>
      <c r="AO175" s="3628"/>
      <c r="AP175" s="3628"/>
      <c r="AQ175" s="3628"/>
      <c r="AR175" s="3628"/>
      <c r="AS175" s="3628"/>
      <c r="AT175" s="3628"/>
    </row>
    <row r="176" spans="2:46">
      <c r="B176" s="3628"/>
      <c r="C176" s="3628"/>
      <c r="D176" s="3796"/>
      <c r="E176" s="3628"/>
      <c r="F176" s="3628"/>
      <c r="G176" s="3628"/>
      <c r="H176" s="3628"/>
      <c r="I176" s="3628"/>
      <c r="J176" s="3628"/>
      <c r="K176" s="3628"/>
      <c r="L176" s="3628"/>
      <c r="M176" s="3628"/>
      <c r="N176" s="3628"/>
      <c r="O176" s="3628"/>
      <c r="P176" s="3628"/>
      <c r="Q176" s="3628"/>
      <c r="R176" s="3628"/>
      <c r="S176" s="3628"/>
      <c r="T176" s="3628"/>
      <c r="U176" s="3628"/>
      <c r="V176" s="3628"/>
      <c r="W176" s="3628"/>
      <c r="X176" s="3628"/>
      <c r="Y176" s="3628"/>
      <c r="Z176" s="3628"/>
      <c r="AA176" s="3628"/>
      <c r="AB176" s="3628"/>
      <c r="AC176" s="3628"/>
      <c r="AD176" s="3628"/>
      <c r="AE176" s="3628"/>
      <c r="AF176" s="3628"/>
      <c r="AG176" s="3628"/>
      <c r="AH176" s="3628"/>
      <c r="AI176" s="3628"/>
      <c r="AJ176" s="3628"/>
      <c r="AK176" s="3628"/>
      <c r="AL176" s="3628"/>
      <c r="AM176" s="3628"/>
      <c r="AN176" s="3628"/>
      <c r="AO176" s="3628"/>
      <c r="AP176" s="3628"/>
      <c r="AQ176" s="3628"/>
      <c r="AR176" s="3628"/>
      <c r="AS176" s="3628"/>
      <c r="AT176" s="3628"/>
    </row>
    <row r="177" spans="2:46">
      <c r="B177" s="3628"/>
      <c r="C177" s="3628"/>
      <c r="D177" s="3796"/>
      <c r="E177" s="3628"/>
      <c r="F177" s="3628"/>
      <c r="G177" s="3628"/>
      <c r="H177" s="3628"/>
      <c r="I177" s="3628"/>
      <c r="J177" s="3628"/>
      <c r="K177" s="3628"/>
      <c r="L177" s="3628"/>
      <c r="M177" s="3628"/>
      <c r="N177" s="3628"/>
      <c r="O177" s="3628"/>
      <c r="P177" s="3628"/>
      <c r="Q177" s="3628"/>
      <c r="R177" s="3628"/>
      <c r="S177" s="3628"/>
      <c r="T177" s="3628"/>
      <c r="U177" s="3628"/>
      <c r="V177" s="3628"/>
      <c r="W177" s="3628"/>
      <c r="X177" s="3628"/>
      <c r="Y177" s="3628"/>
      <c r="Z177" s="3628"/>
      <c r="AA177" s="3628"/>
      <c r="AB177" s="3628"/>
      <c r="AC177" s="3628"/>
      <c r="AD177" s="3628"/>
      <c r="AE177" s="3628"/>
      <c r="AF177" s="3628"/>
      <c r="AG177" s="3628"/>
      <c r="AH177" s="3628"/>
      <c r="AI177" s="3628"/>
      <c r="AJ177" s="3628"/>
      <c r="AK177" s="3628"/>
      <c r="AL177" s="3628"/>
      <c r="AM177" s="3628"/>
      <c r="AN177" s="3628"/>
      <c r="AO177" s="3628"/>
      <c r="AP177" s="3628"/>
      <c r="AQ177" s="3628"/>
      <c r="AR177" s="3628"/>
      <c r="AS177" s="3628"/>
      <c r="AT177" s="3628"/>
    </row>
    <row r="178" spans="2:46">
      <c r="B178" s="3628"/>
      <c r="C178" s="3628"/>
      <c r="D178" s="3796"/>
      <c r="E178" s="3628"/>
      <c r="F178" s="3628"/>
      <c r="G178" s="3628"/>
      <c r="H178" s="3628"/>
      <c r="I178" s="3628"/>
      <c r="J178" s="3628"/>
      <c r="K178" s="3628"/>
      <c r="L178" s="3628"/>
      <c r="M178" s="3628"/>
      <c r="N178" s="3628"/>
      <c r="O178" s="3628"/>
      <c r="P178" s="3628"/>
      <c r="Q178" s="3628"/>
      <c r="R178" s="3628"/>
      <c r="S178" s="3628"/>
      <c r="T178" s="3628"/>
      <c r="U178" s="3628"/>
      <c r="V178" s="3628"/>
      <c r="W178" s="3628"/>
      <c r="X178" s="3628"/>
      <c r="Y178" s="3628"/>
      <c r="Z178" s="3628"/>
      <c r="AA178" s="3628"/>
      <c r="AB178" s="3628"/>
      <c r="AC178" s="3628"/>
      <c r="AD178" s="3628"/>
      <c r="AE178" s="3628"/>
      <c r="AF178" s="3628"/>
      <c r="AG178" s="3628"/>
      <c r="AH178" s="3628"/>
      <c r="AI178" s="3628"/>
      <c r="AJ178" s="3628"/>
      <c r="AK178" s="3628"/>
      <c r="AL178" s="3628"/>
      <c r="AM178" s="3628"/>
      <c r="AN178" s="3628"/>
      <c r="AO178" s="3628"/>
      <c r="AP178" s="3628"/>
      <c r="AQ178" s="3628"/>
      <c r="AR178" s="3628"/>
      <c r="AS178" s="3628"/>
      <c r="AT178" s="3628"/>
    </row>
    <row r="179" spans="2:46">
      <c r="B179" s="3628"/>
      <c r="C179" s="3628"/>
      <c r="D179" s="3796"/>
      <c r="E179" s="3628"/>
      <c r="F179" s="3628"/>
      <c r="G179" s="3628"/>
      <c r="H179" s="3628"/>
      <c r="I179" s="3628"/>
      <c r="J179" s="3628"/>
      <c r="K179" s="3628"/>
      <c r="L179" s="3628"/>
      <c r="M179" s="3628"/>
      <c r="N179" s="3628"/>
      <c r="O179" s="3628"/>
      <c r="P179" s="3628"/>
      <c r="Q179" s="3628"/>
      <c r="R179" s="3628"/>
      <c r="S179" s="3628"/>
      <c r="T179" s="3628"/>
      <c r="U179" s="3628"/>
      <c r="V179" s="3628"/>
      <c r="W179" s="3628"/>
      <c r="X179" s="3628"/>
      <c r="Y179" s="3628"/>
      <c r="Z179" s="3628"/>
      <c r="AA179" s="3628"/>
      <c r="AB179" s="3628"/>
      <c r="AC179" s="3628"/>
      <c r="AD179" s="3628"/>
      <c r="AE179" s="3628"/>
      <c r="AF179" s="3628"/>
      <c r="AG179" s="3628"/>
      <c r="AH179" s="3628"/>
      <c r="AI179" s="3628"/>
      <c r="AJ179" s="3628"/>
      <c r="AK179" s="3628"/>
      <c r="AL179" s="3628"/>
      <c r="AM179" s="3628"/>
      <c r="AN179" s="3628"/>
      <c r="AO179" s="3628"/>
      <c r="AP179" s="3628"/>
      <c r="AQ179" s="3628"/>
      <c r="AR179" s="3628"/>
      <c r="AS179" s="3628"/>
      <c r="AT179" s="3628"/>
    </row>
    <row r="180" spans="2:46">
      <c r="B180" s="3628"/>
      <c r="C180" s="3628"/>
      <c r="D180" s="3796"/>
      <c r="E180" s="3628"/>
      <c r="F180" s="3628"/>
      <c r="G180" s="3628"/>
      <c r="H180" s="3628"/>
      <c r="I180" s="3628"/>
      <c r="J180" s="3628"/>
      <c r="K180" s="3628"/>
      <c r="L180" s="3628"/>
      <c r="M180" s="3628"/>
      <c r="N180" s="3628"/>
      <c r="O180" s="3628"/>
      <c r="P180" s="3628"/>
      <c r="Q180" s="3628"/>
      <c r="R180" s="3628"/>
      <c r="S180" s="3628"/>
      <c r="T180" s="3628"/>
      <c r="U180" s="3628"/>
      <c r="V180" s="3628"/>
      <c r="W180" s="3628"/>
      <c r="X180" s="3628"/>
      <c r="Y180" s="3628"/>
      <c r="Z180" s="3628"/>
      <c r="AA180" s="3628"/>
      <c r="AB180" s="3628"/>
      <c r="AC180" s="3628"/>
      <c r="AD180" s="3628"/>
      <c r="AE180" s="3628"/>
      <c r="AF180" s="3628"/>
      <c r="AG180" s="3628"/>
      <c r="AH180" s="3628"/>
      <c r="AI180" s="3628"/>
      <c r="AJ180" s="3628"/>
      <c r="AK180" s="3628"/>
      <c r="AL180" s="3628"/>
      <c r="AM180" s="3628"/>
      <c r="AN180" s="3628"/>
      <c r="AO180" s="3628"/>
      <c r="AP180" s="3628"/>
      <c r="AQ180" s="3628"/>
      <c r="AR180" s="3628"/>
      <c r="AS180" s="3628"/>
      <c r="AT180" s="3628"/>
    </row>
    <row r="181" spans="2:46">
      <c r="B181" s="3628"/>
      <c r="C181" s="3628"/>
      <c r="D181" s="3796"/>
      <c r="E181" s="3628"/>
      <c r="F181" s="3628"/>
      <c r="G181" s="3628"/>
      <c r="H181" s="3628"/>
      <c r="I181" s="3628"/>
      <c r="J181" s="3628"/>
      <c r="K181" s="3628"/>
      <c r="L181" s="3628"/>
      <c r="M181" s="3628"/>
      <c r="N181" s="3628"/>
      <c r="O181" s="3628"/>
      <c r="P181" s="3628"/>
      <c r="Q181" s="3628"/>
      <c r="R181" s="3628"/>
      <c r="S181" s="3628"/>
      <c r="T181" s="3628"/>
      <c r="U181" s="3628"/>
      <c r="V181" s="3628"/>
      <c r="W181" s="3628"/>
      <c r="X181" s="3628"/>
      <c r="Y181" s="3628"/>
      <c r="Z181" s="3628"/>
      <c r="AA181" s="3628"/>
      <c r="AB181" s="3628"/>
      <c r="AC181" s="3628"/>
      <c r="AD181" s="3628"/>
      <c r="AE181" s="3628"/>
      <c r="AF181" s="3628"/>
      <c r="AG181" s="3628"/>
      <c r="AH181" s="3628"/>
      <c r="AI181" s="3628"/>
      <c r="AJ181" s="3628"/>
      <c r="AK181" s="3628"/>
      <c r="AL181" s="3628"/>
      <c r="AM181" s="3628"/>
      <c r="AN181" s="3628"/>
      <c r="AO181" s="3628"/>
      <c r="AP181" s="3628"/>
      <c r="AQ181" s="3628"/>
      <c r="AR181" s="3628"/>
      <c r="AS181" s="3628"/>
      <c r="AT181" s="3628"/>
    </row>
    <row r="182" spans="2:46">
      <c r="B182" s="3628"/>
      <c r="C182" s="3628"/>
      <c r="D182" s="3796"/>
      <c r="E182" s="3628"/>
      <c r="F182" s="3628"/>
      <c r="G182" s="3628"/>
      <c r="H182" s="3628"/>
      <c r="I182" s="3628"/>
      <c r="J182" s="3628"/>
      <c r="K182" s="3628"/>
      <c r="L182" s="3628"/>
      <c r="M182" s="3628"/>
      <c r="N182" s="3628"/>
      <c r="O182" s="3628"/>
      <c r="P182" s="3628"/>
      <c r="Q182" s="3628"/>
      <c r="R182" s="3628"/>
      <c r="S182" s="3628"/>
      <c r="T182" s="3628"/>
      <c r="U182" s="3628"/>
      <c r="V182" s="3628"/>
      <c r="W182" s="3628"/>
      <c r="X182" s="3628"/>
      <c r="Y182" s="3628"/>
      <c r="Z182" s="3628"/>
      <c r="AA182" s="3628"/>
      <c r="AB182" s="3628"/>
      <c r="AC182" s="3628"/>
      <c r="AD182" s="3628"/>
      <c r="AE182" s="3628"/>
      <c r="AF182" s="3628"/>
      <c r="AG182" s="3628"/>
      <c r="AH182" s="3628"/>
      <c r="AI182" s="3628"/>
      <c r="AJ182" s="3628"/>
      <c r="AK182" s="3628"/>
      <c r="AL182" s="3628"/>
      <c r="AM182" s="3628"/>
      <c r="AN182" s="3628"/>
      <c r="AO182" s="3628"/>
      <c r="AP182" s="3628"/>
      <c r="AQ182" s="3628"/>
      <c r="AR182" s="3628"/>
      <c r="AS182" s="3628"/>
      <c r="AT182" s="3628"/>
    </row>
    <row r="183" spans="2:46">
      <c r="B183" s="3628"/>
      <c r="C183" s="3628"/>
      <c r="D183" s="3796"/>
      <c r="E183" s="3628"/>
      <c r="F183" s="3628"/>
      <c r="G183" s="3628"/>
      <c r="H183" s="3628"/>
      <c r="I183" s="3628"/>
      <c r="J183" s="3628"/>
      <c r="K183" s="3628"/>
      <c r="L183" s="3628"/>
      <c r="M183" s="3628"/>
      <c r="N183" s="3628"/>
      <c r="O183" s="3628"/>
      <c r="P183" s="3628"/>
      <c r="Q183" s="3628"/>
      <c r="R183" s="3628"/>
      <c r="S183" s="3628"/>
      <c r="T183" s="3628"/>
      <c r="U183" s="3628"/>
      <c r="V183" s="3628"/>
      <c r="W183" s="3628"/>
      <c r="X183" s="3628"/>
      <c r="Y183" s="3628"/>
      <c r="Z183" s="3628"/>
      <c r="AA183" s="3628"/>
      <c r="AB183" s="3628"/>
      <c r="AC183" s="3628"/>
      <c r="AD183" s="3628"/>
      <c r="AE183" s="3628"/>
      <c r="AF183" s="3628"/>
      <c r="AG183" s="3628"/>
      <c r="AH183" s="3628"/>
      <c r="AI183" s="3628"/>
      <c r="AJ183" s="3628"/>
      <c r="AK183" s="3628"/>
      <c r="AL183" s="3628"/>
      <c r="AM183" s="3628"/>
      <c r="AN183" s="3628"/>
      <c r="AO183" s="3628"/>
      <c r="AP183" s="3628"/>
      <c r="AQ183" s="3628"/>
      <c r="AR183" s="3628"/>
      <c r="AS183" s="3628"/>
      <c r="AT183" s="3628"/>
    </row>
    <row r="184" spans="2:46">
      <c r="B184" s="3628"/>
      <c r="C184" s="3628"/>
      <c r="D184" s="3796"/>
      <c r="E184" s="3628"/>
      <c r="F184" s="3628"/>
      <c r="G184" s="3628"/>
      <c r="H184" s="3628"/>
      <c r="I184" s="3628"/>
      <c r="J184" s="3628"/>
      <c r="K184" s="3628"/>
      <c r="L184" s="3628"/>
      <c r="M184" s="3628"/>
      <c r="N184" s="3628"/>
      <c r="O184" s="3628"/>
      <c r="P184" s="3628"/>
      <c r="Q184" s="3628"/>
      <c r="R184" s="3628"/>
      <c r="S184" s="3628"/>
      <c r="T184" s="3628"/>
      <c r="U184" s="3628"/>
      <c r="V184" s="3628"/>
      <c r="W184" s="3628"/>
      <c r="X184" s="3628"/>
      <c r="Y184" s="3628"/>
      <c r="Z184" s="3628"/>
      <c r="AA184" s="3628"/>
      <c r="AB184" s="3628"/>
      <c r="AC184" s="3628"/>
      <c r="AD184" s="3628"/>
      <c r="AE184" s="3628"/>
      <c r="AF184" s="3628"/>
      <c r="AG184" s="3628"/>
      <c r="AH184" s="3628"/>
      <c r="AI184" s="3628"/>
      <c r="AJ184" s="3628"/>
      <c r="AK184" s="3628"/>
      <c r="AL184" s="3628"/>
      <c r="AM184" s="3628"/>
      <c r="AN184" s="3628"/>
      <c r="AO184" s="3628"/>
      <c r="AP184" s="3628"/>
      <c r="AQ184" s="3628"/>
      <c r="AR184" s="3628"/>
      <c r="AS184" s="3628"/>
      <c r="AT184" s="3628"/>
    </row>
    <row r="185" spans="2:46">
      <c r="B185" s="3628"/>
      <c r="C185" s="3628"/>
      <c r="D185" s="3796"/>
      <c r="E185" s="3628"/>
      <c r="F185" s="3628"/>
      <c r="G185" s="3628"/>
      <c r="H185" s="3628"/>
      <c r="I185" s="3628"/>
      <c r="J185" s="3628"/>
      <c r="K185" s="3628"/>
      <c r="L185" s="3628"/>
      <c r="M185" s="3628"/>
      <c r="N185" s="3628"/>
      <c r="O185" s="3628"/>
      <c r="P185" s="3628"/>
      <c r="Q185" s="3628"/>
      <c r="R185" s="3628"/>
      <c r="S185" s="3628"/>
      <c r="T185" s="3628"/>
      <c r="U185" s="3628"/>
      <c r="V185" s="3628"/>
      <c r="W185" s="3628"/>
      <c r="X185" s="3628"/>
      <c r="Y185" s="3628"/>
      <c r="Z185" s="3628"/>
      <c r="AA185" s="3628"/>
      <c r="AB185" s="3628"/>
      <c r="AC185" s="3628"/>
      <c r="AD185" s="3628"/>
      <c r="AE185" s="3628"/>
      <c r="AF185" s="3628"/>
      <c r="AG185" s="3628"/>
      <c r="AH185" s="3628"/>
      <c r="AI185" s="3628"/>
      <c r="AJ185" s="3628"/>
      <c r="AK185" s="3628"/>
      <c r="AL185" s="3628"/>
      <c r="AM185" s="3628"/>
      <c r="AN185" s="3628"/>
      <c r="AO185" s="3628"/>
      <c r="AP185" s="3628"/>
      <c r="AQ185" s="3628"/>
      <c r="AR185" s="3628"/>
      <c r="AS185" s="3628"/>
      <c r="AT185" s="3628"/>
    </row>
    <row r="186" spans="2:46">
      <c r="B186" s="3628"/>
      <c r="C186" s="3628"/>
      <c r="D186" s="3796"/>
      <c r="E186" s="3628"/>
      <c r="F186" s="3628"/>
      <c r="G186" s="3628"/>
      <c r="H186" s="3628"/>
      <c r="I186" s="3628"/>
      <c r="J186" s="3628"/>
      <c r="K186" s="3628"/>
      <c r="L186" s="3628"/>
      <c r="M186" s="3628"/>
      <c r="N186" s="3628"/>
      <c r="O186" s="3628"/>
      <c r="P186" s="3628"/>
      <c r="Q186" s="3628"/>
      <c r="R186" s="3628"/>
      <c r="S186" s="3628"/>
      <c r="T186" s="3628"/>
      <c r="U186" s="3628"/>
      <c r="V186" s="3628"/>
      <c r="W186" s="3628"/>
      <c r="X186" s="3628"/>
      <c r="Y186" s="3628"/>
      <c r="Z186" s="3628"/>
      <c r="AA186" s="3628"/>
      <c r="AB186" s="3628"/>
      <c r="AC186" s="3628"/>
      <c r="AD186" s="3628"/>
      <c r="AE186" s="3628"/>
      <c r="AF186" s="3628"/>
      <c r="AG186" s="3628"/>
      <c r="AH186" s="3628"/>
      <c r="AI186" s="3628"/>
      <c r="AJ186" s="3628"/>
      <c r="AK186" s="3628"/>
      <c r="AL186" s="3628"/>
      <c r="AM186" s="3628"/>
      <c r="AN186" s="3628"/>
      <c r="AO186" s="3628"/>
      <c r="AP186" s="3628"/>
      <c r="AQ186" s="3628"/>
      <c r="AR186" s="3628"/>
      <c r="AS186" s="3628"/>
      <c r="AT186" s="3628"/>
    </row>
    <row r="187" spans="2:46">
      <c r="B187" s="3628"/>
      <c r="C187" s="3628"/>
      <c r="D187" s="3796"/>
      <c r="E187" s="3628"/>
      <c r="F187" s="3628"/>
      <c r="G187" s="3628"/>
      <c r="H187" s="3628"/>
      <c r="I187" s="3628"/>
      <c r="J187" s="3628"/>
      <c r="K187" s="3628"/>
      <c r="L187" s="3628"/>
      <c r="M187" s="3628"/>
      <c r="N187" s="3628"/>
      <c r="O187" s="3628"/>
      <c r="P187" s="3628"/>
      <c r="Q187" s="3628"/>
      <c r="R187" s="3628"/>
      <c r="S187" s="3628"/>
      <c r="T187" s="3628"/>
      <c r="U187" s="3628"/>
      <c r="V187" s="3628"/>
      <c r="W187" s="3628"/>
      <c r="X187" s="3628"/>
      <c r="Y187" s="3628"/>
      <c r="Z187" s="3628"/>
      <c r="AA187" s="3628"/>
      <c r="AB187" s="3628"/>
      <c r="AC187" s="3628"/>
      <c r="AD187" s="3628"/>
      <c r="AE187" s="3628"/>
      <c r="AF187" s="3628"/>
      <c r="AG187" s="3628"/>
      <c r="AH187" s="3628"/>
      <c r="AI187" s="3628"/>
      <c r="AJ187" s="3628"/>
      <c r="AK187" s="3628"/>
      <c r="AL187" s="3628"/>
      <c r="AM187" s="3628"/>
      <c r="AN187" s="3628"/>
      <c r="AO187" s="3628"/>
      <c r="AP187" s="3628"/>
      <c r="AQ187" s="3628"/>
      <c r="AR187" s="3628"/>
      <c r="AS187" s="3628"/>
      <c r="AT187" s="3628"/>
    </row>
    <row r="188" spans="2:46">
      <c r="B188" s="3628"/>
      <c r="C188" s="3628"/>
      <c r="D188" s="3796"/>
      <c r="E188" s="3628"/>
      <c r="F188" s="3628"/>
      <c r="G188" s="3628"/>
      <c r="H188" s="3628"/>
      <c r="I188" s="3628"/>
      <c r="J188" s="3628"/>
      <c r="K188" s="3628"/>
      <c r="L188" s="3628"/>
      <c r="M188" s="3628"/>
      <c r="N188" s="3628"/>
      <c r="O188" s="3628"/>
      <c r="P188" s="3628"/>
      <c r="Q188" s="3628"/>
      <c r="R188" s="3628"/>
      <c r="S188" s="3628"/>
      <c r="T188" s="3628"/>
      <c r="U188" s="3628"/>
      <c r="V188" s="3628"/>
      <c r="W188" s="3628"/>
      <c r="X188" s="3628"/>
      <c r="Y188" s="3628"/>
      <c r="Z188" s="3628"/>
      <c r="AA188" s="3628"/>
      <c r="AB188" s="3628"/>
      <c r="AC188" s="3628"/>
      <c r="AD188" s="3628"/>
      <c r="AE188" s="3628"/>
      <c r="AF188" s="3628"/>
      <c r="AG188" s="3628"/>
      <c r="AH188" s="3628"/>
      <c r="AI188" s="3628"/>
      <c r="AJ188" s="3628"/>
      <c r="AK188" s="3628"/>
      <c r="AL188" s="3628"/>
      <c r="AM188" s="3628"/>
      <c r="AN188" s="3628"/>
      <c r="AO188" s="3628"/>
      <c r="AP188" s="3628"/>
      <c r="AQ188" s="3628"/>
      <c r="AR188" s="3628"/>
      <c r="AS188" s="3628"/>
      <c r="AT188" s="3628"/>
    </row>
    <row r="189" spans="2:46">
      <c r="B189" s="3628"/>
      <c r="C189" s="3628"/>
      <c r="D189" s="3796"/>
      <c r="E189" s="3628"/>
      <c r="F189" s="3628"/>
      <c r="G189" s="3628"/>
      <c r="H189" s="3628"/>
      <c r="I189" s="3628"/>
      <c r="J189" s="3628"/>
      <c r="K189" s="3628"/>
      <c r="L189" s="3628"/>
      <c r="M189" s="3628"/>
      <c r="N189" s="3628"/>
      <c r="O189" s="3628"/>
      <c r="P189" s="3628"/>
      <c r="Q189" s="3628"/>
      <c r="R189" s="3628"/>
      <c r="S189" s="3628"/>
      <c r="T189" s="3628"/>
      <c r="U189" s="3628"/>
      <c r="V189" s="3628"/>
      <c r="W189" s="3628"/>
      <c r="X189" s="3628"/>
      <c r="Y189" s="3628"/>
      <c r="Z189" s="3628"/>
      <c r="AA189" s="3628"/>
      <c r="AB189" s="3628"/>
      <c r="AC189" s="3628"/>
      <c r="AD189" s="3628"/>
      <c r="AE189" s="3628"/>
      <c r="AF189" s="3628"/>
      <c r="AG189" s="3628"/>
      <c r="AH189" s="3628"/>
      <c r="AI189" s="3628"/>
      <c r="AJ189" s="3628"/>
      <c r="AK189" s="3628"/>
      <c r="AL189" s="3628"/>
      <c r="AM189" s="3628"/>
      <c r="AN189" s="3628"/>
      <c r="AO189" s="3628"/>
      <c r="AP189" s="3628"/>
      <c r="AQ189" s="3628"/>
      <c r="AR189" s="3628"/>
      <c r="AS189" s="3628"/>
      <c r="AT189" s="3628"/>
    </row>
    <row r="190" spans="2:46">
      <c r="B190" s="3628"/>
      <c r="C190" s="3628"/>
      <c r="D190" s="3796"/>
      <c r="E190" s="3628"/>
      <c r="F190" s="3628"/>
      <c r="G190" s="3628"/>
      <c r="H190" s="3628"/>
      <c r="I190" s="3628"/>
      <c r="J190" s="3628"/>
      <c r="K190" s="3628"/>
      <c r="L190" s="3628"/>
      <c r="M190" s="3628"/>
      <c r="N190" s="3628"/>
      <c r="O190" s="3628"/>
      <c r="P190" s="3628"/>
      <c r="Q190" s="3628"/>
      <c r="R190" s="3628"/>
      <c r="S190" s="3628"/>
      <c r="T190" s="3628"/>
      <c r="U190" s="3628"/>
      <c r="V190" s="3628"/>
      <c r="W190" s="3628"/>
      <c r="X190" s="3628"/>
      <c r="Y190" s="3628"/>
      <c r="Z190" s="3628"/>
      <c r="AA190" s="3628"/>
      <c r="AB190" s="3628"/>
      <c r="AC190" s="3628"/>
      <c r="AD190" s="3628"/>
      <c r="AE190" s="3628"/>
      <c r="AF190" s="3628"/>
      <c r="AG190" s="3628"/>
      <c r="AH190" s="3628"/>
      <c r="AI190" s="3628"/>
      <c r="AJ190" s="3628"/>
      <c r="AK190" s="3628"/>
      <c r="AL190" s="3628"/>
      <c r="AM190" s="3628"/>
      <c r="AN190" s="3628"/>
      <c r="AO190" s="3628"/>
      <c r="AP190" s="3628"/>
      <c r="AQ190" s="3628"/>
      <c r="AR190" s="3628"/>
      <c r="AS190" s="3628"/>
      <c r="AT190" s="3628"/>
    </row>
    <row r="191" spans="2:46">
      <c r="B191" s="3628"/>
      <c r="C191" s="3628"/>
      <c r="D191" s="3796"/>
      <c r="E191" s="3628"/>
      <c r="F191" s="3628"/>
      <c r="G191" s="3628"/>
      <c r="H191" s="3628"/>
      <c r="I191" s="3628"/>
      <c r="J191" s="3628"/>
      <c r="K191" s="3628"/>
      <c r="L191" s="3628"/>
      <c r="M191" s="3628"/>
      <c r="N191" s="3628"/>
      <c r="O191" s="3628"/>
      <c r="P191" s="3628"/>
      <c r="Q191" s="3628"/>
      <c r="R191" s="3628"/>
      <c r="S191" s="3628"/>
      <c r="T191" s="3628"/>
      <c r="U191" s="3628"/>
      <c r="V191" s="3628"/>
      <c r="W191" s="3628"/>
      <c r="X191" s="3628"/>
      <c r="Y191" s="3628"/>
      <c r="Z191" s="3628"/>
      <c r="AA191" s="3628"/>
      <c r="AB191" s="3628"/>
      <c r="AC191" s="3628"/>
      <c r="AD191" s="3628"/>
      <c r="AE191" s="3628"/>
      <c r="AF191" s="3628"/>
      <c r="AG191" s="3628"/>
      <c r="AH191" s="3628"/>
      <c r="AI191" s="3628"/>
      <c r="AJ191" s="3628"/>
      <c r="AK191" s="3628"/>
      <c r="AL191" s="3628"/>
      <c r="AM191" s="3628"/>
      <c r="AN191" s="3628"/>
      <c r="AO191" s="3628"/>
      <c r="AP191" s="3628"/>
      <c r="AQ191" s="3628"/>
      <c r="AR191" s="3628"/>
      <c r="AS191" s="3628"/>
      <c r="AT191" s="3628"/>
    </row>
    <row r="192" spans="2:46">
      <c r="B192" s="3628"/>
      <c r="C192" s="3628"/>
      <c r="D192" s="3796"/>
      <c r="E192" s="3628"/>
      <c r="F192" s="3628"/>
      <c r="G192" s="3628"/>
      <c r="H192" s="3628"/>
      <c r="I192" s="3628"/>
      <c r="J192" s="3628"/>
      <c r="K192" s="3628"/>
      <c r="L192" s="3628"/>
      <c r="M192" s="3628"/>
      <c r="N192" s="3628"/>
      <c r="O192" s="3628"/>
      <c r="P192" s="3628"/>
      <c r="Q192" s="3628"/>
      <c r="R192" s="3628"/>
      <c r="S192" s="3628"/>
      <c r="T192" s="3628"/>
      <c r="U192" s="3628"/>
      <c r="V192" s="3628"/>
      <c r="W192" s="3628"/>
      <c r="X192" s="3628"/>
      <c r="Y192" s="3628"/>
      <c r="Z192" s="3628"/>
      <c r="AA192" s="3628"/>
      <c r="AB192" s="3628"/>
      <c r="AC192" s="3628"/>
      <c r="AD192" s="3628"/>
      <c r="AE192" s="3628"/>
      <c r="AF192" s="3628"/>
      <c r="AG192" s="3628"/>
      <c r="AH192" s="3628"/>
      <c r="AI192" s="3628"/>
      <c r="AJ192" s="3628"/>
      <c r="AK192" s="3628"/>
      <c r="AL192" s="3628"/>
      <c r="AM192" s="3628"/>
      <c r="AN192" s="3628"/>
      <c r="AO192" s="3628"/>
      <c r="AP192" s="3628"/>
      <c r="AQ192" s="3628"/>
      <c r="AR192" s="3628"/>
      <c r="AS192" s="3628"/>
      <c r="AT192" s="3628"/>
    </row>
    <row r="193" spans="2:46">
      <c r="B193" s="3628"/>
      <c r="C193" s="3628"/>
      <c r="D193" s="3796"/>
      <c r="E193" s="3628"/>
      <c r="F193" s="3628"/>
      <c r="G193" s="3628"/>
      <c r="H193" s="3628"/>
      <c r="I193" s="3628"/>
      <c r="J193" s="3628"/>
      <c r="K193" s="3628"/>
      <c r="L193" s="3628"/>
      <c r="M193" s="3628"/>
      <c r="N193" s="3628"/>
      <c r="O193" s="3628"/>
      <c r="P193" s="3628"/>
      <c r="Q193" s="3628"/>
      <c r="R193" s="3628"/>
      <c r="S193" s="3628"/>
      <c r="T193" s="3628"/>
      <c r="U193" s="3628"/>
      <c r="V193" s="3628"/>
      <c r="W193" s="3628"/>
      <c r="X193" s="3628"/>
      <c r="Y193" s="3628"/>
      <c r="Z193" s="3628"/>
      <c r="AA193" s="3628"/>
      <c r="AB193" s="3628"/>
      <c r="AC193" s="3628"/>
      <c r="AD193" s="3628"/>
      <c r="AE193" s="3628"/>
      <c r="AF193" s="3628"/>
      <c r="AG193" s="3628"/>
      <c r="AH193" s="3628"/>
      <c r="AI193" s="3628"/>
      <c r="AJ193" s="3628"/>
      <c r="AK193" s="3628"/>
      <c r="AL193" s="3628"/>
      <c r="AM193" s="3628"/>
      <c r="AN193" s="3628"/>
      <c r="AO193" s="3628"/>
      <c r="AP193" s="3628"/>
      <c r="AQ193" s="3628"/>
      <c r="AR193" s="3628"/>
      <c r="AS193" s="3628"/>
      <c r="AT193" s="3628"/>
    </row>
    <row r="194" spans="2:46">
      <c r="B194" s="3628"/>
      <c r="C194" s="3628"/>
      <c r="D194" s="3796"/>
      <c r="E194" s="3628"/>
      <c r="F194" s="3628"/>
      <c r="G194" s="3628"/>
      <c r="H194" s="3628"/>
      <c r="I194" s="3628"/>
      <c r="J194" s="3628"/>
      <c r="K194" s="3628"/>
      <c r="L194" s="3628"/>
      <c r="M194" s="3628"/>
      <c r="N194" s="3628"/>
      <c r="O194" s="3628"/>
      <c r="P194" s="3628"/>
      <c r="Q194" s="3628"/>
      <c r="R194" s="3628"/>
      <c r="S194" s="3628"/>
      <c r="T194" s="3628"/>
      <c r="U194" s="3628"/>
      <c r="V194" s="3628"/>
      <c r="W194" s="3628"/>
      <c r="X194" s="3628"/>
      <c r="Y194" s="3628"/>
      <c r="Z194" s="3628"/>
      <c r="AA194" s="3628"/>
      <c r="AB194" s="3628"/>
      <c r="AC194" s="3628"/>
      <c r="AD194" s="3628"/>
      <c r="AE194" s="3628"/>
      <c r="AF194" s="3628"/>
      <c r="AG194" s="3628"/>
      <c r="AH194" s="3628"/>
      <c r="AI194" s="3628"/>
      <c r="AJ194" s="3628"/>
      <c r="AK194" s="3628"/>
      <c r="AL194" s="3628"/>
      <c r="AM194" s="3628"/>
      <c r="AN194" s="3628"/>
      <c r="AO194" s="3628"/>
      <c r="AP194" s="3628"/>
      <c r="AQ194" s="3628"/>
      <c r="AR194" s="3628"/>
      <c r="AS194" s="3628"/>
      <c r="AT194" s="3628"/>
    </row>
    <row r="195" spans="2:46">
      <c r="B195" s="3628"/>
      <c r="C195" s="3628"/>
      <c r="D195" s="3796"/>
      <c r="E195" s="3628"/>
      <c r="F195" s="3628"/>
      <c r="G195" s="3628"/>
      <c r="H195" s="3628"/>
      <c r="I195" s="3628"/>
      <c r="J195" s="3628"/>
      <c r="K195" s="3628"/>
      <c r="L195" s="3628"/>
      <c r="M195" s="3628"/>
      <c r="N195" s="3628"/>
      <c r="O195" s="3628"/>
      <c r="P195" s="3628"/>
      <c r="Q195" s="3628"/>
      <c r="R195" s="3628"/>
      <c r="S195" s="3628"/>
      <c r="T195" s="3628"/>
      <c r="U195" s="3628"/>
      <c r="V195" s="3628"/>
      <c r="W195" s="3628"/>
      <c r="X195" s="3628"/>
      <c r="Y195" s="3628"/>
      <c r="Z195" s="3628"/>
      <c r="AA195" s="3628"/>
      <c r="AB195" s="3628"/>
      <c r="AC195" s="3628"/>
      <c r="AD195" s="3628"/>
      <c r="AE195" s="3628"/>
      <c r="AF195" s="3628"/>
      <c r="AG195" s="3628"/>
      <c r="AH195" s="3628"/>
      <c r="AI195" s="3628"/>
      <c r="AJ195" s="3628"/>
      <c r="AK195" s="3628"/>
      <c r="AL195" s="3628"/>
      <c r="AM195" s="3628"/>
      <c r="AN195" s="3628"/>
      <c r="AO195" s="3628"/>
      <c r="AP195" s="3628"/>
      <c r="AQ195" s="3628"/>
      <c r="AR195" s="3628"/>
      <c r="AS195" s="3628"/>
      <c r="AT195" s="3628"/>
    </row>
    <row r="196" spans="2:46">
      <c r="B196" s="3628"/>
      <c r="C196" s="3628"/>
      <c r="D196" s="3796"/>
      <c r="E196" s="3628"/>
      <c r="F196" s="3628"/>
      <c r="G196" s="3628"/>
      <c r="H196" s="3628"/>
      <c r="I196" s="3628"/>
      <c r="J196" s="3628"/>
      <c r="K196" s="3628"/>
      <c r="L196" s="3628"/>
      <c r="M196" s="3628"/>
      <c r="N196" s="3628"/>
      <c r="O196" s="3628"/>
      <c r="P196" s="3628"/>
      <c r="Q196" s="3628"/>
      <c r="R196" s="3628"/>
      <c r="S196" s="3628"/>
      <c r="T196" s="3628"/>
      <c r="U196" s="3628"/>
      <c r="V196" s="3628"/>
      <c r="W196" s="3628"/>
      <c r="X196" s="3628"/>
      <c r="Y196" s="3628"/>
      <c r="Z196" s="3628"/>
      <c r="AA196" s="3628"/>
      <c r="AB196" s="3628"/>
      <c r="AC196" s="3628"/>
      <c r="AD196" s="3628"/>
      <c r="AE196" s="3628"/>
      <c r="AF196" s="3628"/>
      <c r="AG196" s="3628"/>
      <c r="AH196" s="3628"/>
      <c r="AI196" s="3628"/>
      <c r="AJ196" s="3628"/>
      <c r="AK196" s="3628"/>
      <c r="AL196" s="3628"/>
      <c r="AM196" s="3628"/>
      <c r="AN196" s="3628"/>
      <c r="AO196" s="3628"/>
      <c r="AP196" s="3628"/>
      <c r="AQ196" s="3628"/>
      <c r="AR196" s="3628"/>
      <c r="AS196" s="3628"/>
      <c r="AT196" s="3628"/>
    </row>
    <row r="197" spans="2:46">
      <c r="B197" s="3628"/>
      <c r="C197" s="3628"/>
      <c r="D197" s="3796"/>
      <c r="E197" s="3628"/>
      <c r="F197" s="3628"/>
      <c r="G197" s="3628"/>
      <c r="H197" s="3628"/>
      <c r="I197" s="3628"/>
      <c r="J197" s="3628"/>
      <c r="K197" s="3628"/>
      <c r="L197" s="3628"/>
      <c r="M197" s="3628"/>
      <c r="N197" s="3628"/>
      <c r="O197" s="3628"/>
      <c r="P197" s="3628"/>
      <c r="Q197" s="3628"/>
      <c r="R197" s="3628"/>
      <c r="S197" s="3628"/>
      <c r="T197" s="3628"/>
      <c r="U197" s="3628"/>
      <c r="V197" s="3628"/>
      <c r="W197" s="3628"/>
      <c r="X197" s="3628"/>
      <c r="Y197" s="3628"/>
      <c r="Z197" s="3628"/>
      <c r="AA197" s="3628"/>
      <c r="AB197" s="3628"/>
      <c r="AC197" s="3628"/>
      <c r="AD197" s="3628"/>
      <c r="AE197" s="3628"/>
      <c r="AF197" s="3628"/>
      <c r="AG197" s="3628"/>
      <c r="AH197" s="3628"/>
      <c r="AI197" s="3628"/>
      <c r="AJ197" s="3628"/>
      <c r="AK197" s="3628"/>
      <c r="AL197" s="3628"/>
      <c r="AM197" s="3628"/>
      <c r="AN197" s="3628"/>
      <c r="AO197" s="3628"/>
      <c r="AP197" s="3628"/>
      <c r="AQ197" s="3628"/>
      <c r="AR197" s="3628"/>
      <c r="AS197" s="3628"/>
      <c r="AT197" s="3628"/>
    </row>
    <row r="198" spans="2:46">
      <c r="B198" s="3628"/>
      <c r="C198" s="3628"/>
      <c r="D198" s="3796"/>
      <c r="E198" s="3628"/>
      <c r="F198" s="3628"/>
      <c r="G198" s="3628"/>
      <c r="H198" s="3628"/>
      <c r="I198" s="3628"/>
      <c r="J198" s="3628"/>
      <c r="K198" s="3628"/>
      <c r="L198" s="3628"/>
      <c r="M198" s="3628"/>
      <c r="N198" s="3628"/>
      <c r="O198" s="3628"/>
      <c r="P198" s="3628"/>
      <c r="Q198" s="3628"/>
      <c r="R198" s="3628"/>
      <c r="S198" s="3628"/>
      <c r="T198" s="3628"/>
      <c r="U198" s="3628"/>
      <c r="V198" s="3628"/>
      <c r="W198" s="3628"/>
      <c r="X198" s="3628"/>
      <c r="Y198" s="3628"/>
      <c r="Z198" s="3628"/>
      <c r="AA198" s="3628"/>
      <c r="AB198" s="3628"/>
      <c r="AC198" s="3628"/>
      <c r="AD198" s="3628"/>
      <c r="AE198" s="3628"/>
      <c r="AF198" s="3628"/>
      <c r="AG198" s="3628"/>
      <c r="AH198" s="3628"/>
      <c r="AI198" s="3628"/>
      <c r="AJ198" s="3628"/>
      <c r="AK198" s="3628"/>
      <c r="AL198" s="3628"/>
      <c r="AM198" s="3628"/>
      <c r="AN198" s="3628"/>
      <c r="AO198" s="3628"/>
      <c r="AP198" s="3628"/>
      <c r="AQ198" s="3628"/>
      <c r="AR198" s="3628"/>
      <c r="AS198" s="3628"/>
      <c r="AT198" s="3628"/>
    </row>
    <row r="199" spans="2:46">
      <c r="B199" s="3628"/>
      <c r="C199" s="3628"/>
      <c r="D199" s="3796"/>
      <c r="E199" s="3628"/>
      <c r="F199" s="3628"/>
      <c r="G199" s="3628"/>
      <c r="H199" s="3628"/>
      <c r="I199" s="3628"/>
      <c r="J199" s="3628"/>
      <c r="K199" s="3628"/>
      <c r="L199" s="3628"/>
      <c r="M199" s="3628"/>
      <c r="N199" s="3628"/>
      <c r="O199" s="3628"/>
      <c r="P199" s="3628"/>
      <c r="Q199" s="3628"/>
      <c r="R199" s="3628"/>
      <c r="S199" s="3628"/>
      <c r="T199" s="3628"/>
      <c r="U199" s="3628"/>
      <c r="V199" s="3628"/>
      <c r="W199" s="3628"/>
      <c r="X199" s="3628"/>
      <c r="Y199" s="3628"/>
      <c r="Z199" s="3628"/>
      <c r="AA199" s="3628"/>
      <c r="AB199" s="3628"/>
      <c r="AC199" s="3628"/>
      <c r="AD199" s="3628"/>
      <c r="AE199" s="3628"/>
      <c r="AF199" s="3628"/>
      <c r="AG199" s="3628"/>
      <c r="AH199" s="3628"/>
      <c r="AI199" s="3628"/>
      <c r="AJ199" s="3628"/>
      <c r="AK199" s="3628"/>
      <c r="AL199" s="3628"/>
      <c r="AM199" s="3628"/>
      <c r="AN199" s="3628"/>
      <c r="AO199" s="3628"/>
      <c r="AP199" s="3628"/>
      <c r="AQ199" s="3628"/>
      <c r="AR199" s="3628"/>
      <c r="AS199" s="3628"/>
      <c r="AT199" s="3628"/>
    </row>
    <row r="200" spans="2:46">
      <c r="B200" s="3628"/>
      <c r="C200" s="3628"/>
      <c r="D200" s="3796"/>
      <c r="E200" s="3628"/>
      <c r="F200" s="3628"/>
      <c r="G200" s="3628"/>
      <c r="H200" s="3628"/>
      <c r="I200" s="3628"/>
      <c r="J200" s="3628"/>
      <c r="K200" s="3628"/>
      <c r="L200" s="3628"/>
      <c r="M200" s="3628"/>
      <c r="N200" s="3628"/>
      <c r="O200" s="3628"/>
      <c r="P200" s="3628"/>
      <c r="Q200" s="3628"/>
      <c r="R200" s="3628"/>
      <c r="S200" s="3628"/>
      <c r="T200" s="3628"/>
      <c r="U200" s="3628"/>
      <c r="V200" s="3628"/>
      <c r="W200" s="3628"/>
      <c r="X200" s="3628"/>
      <c r="Y200" s="3628"/>
      <c r="Z200" s="3628"/>
      <c r="AA200" s="3628"/>
      <c r="AB200" s="3628"/>
      <c r="AC200" s="3628"/>
      <c r="AD200" s="3628"/>
      <c r="AE200" s="3628"/>
      <c r="AF200" s="3628"/>
      <c r="AG200" s="3628"/>
      <c r="AH200" s="3628"/>
      <c r="AI200" s="3628"/>
      <c r="AJ200" s="3628"/>
      <c r="AK200" s="3628"/>
      <c r="AL200" s="3628"/>
      <c r="AM200" s="3628"/>
      <c r="AN200" s="3628"/>
      <c r="AO200" s="3628"/>
      <c r="AP200" s="3628"/>
      <c r="AQ200" s="3628"/>
      <c r="AR200" s="3628"/>
      <c r="AS200" s="3628"/>
      <c r="AT200" s="3628"/>
    </row>
    <row r="201" spans="2:46">
      <c r="B201" s="3628"/>
      <c r="C201" s="3628"/>
      <c r="D201" s="3796"/>
      <c r="E201" s="3628"/>
      <c r="F201" s="3628"/>
      <c r="G201" s="3628"/>
      <c r="H201" s="3628"/>
      <c r="I201" s="3628"/>
      <c r="J201" s="3628"/>
      <c r="K201" s="3628"/>
      <c r="L201" s="3628"/>
      <c r="M201" s="3628"/>
      <c r="N201" s="3628"/>
      <c r="O201" s="3628"/>
      <c r="P201" s="3628"/>
      <c r="Q201" s="3628"/>
      <c r="R201" s="3628"/>
      <c r="S201" s="3628"/>
      <c r="T201" s="3628"/>
      <c r="U201" s="3628"/>
      <c r="V201" s="3628"/>
      <c r="W201" s="3628"/>
      <c r="X201" s="3628"/>
      <c r="Y201" s="3628"/>
      <c r="Z201" s="3628"/>
      <c r="AA201" s="3628"/>
      <c r="AB201" s="3628"/>
      <c r="AC201" s="3628"/>
      <c r="AD201" s="3628"/>
      <c r="AE201" s="3628"/>
      <c r="AF201" s="3628"/>
      <c r="AG201" s="3628"/>
      <c r="AH201" s="3628"/>
      <c r="AI201" s="3628"/>
      <c r="AJ201" s="3628"/>
      <c r="AK201" s="3628"/>
      <c r="AL201" s="3628"/>
      <c r="AM201" s="3628"/>
      <c r="AN201" s="3628"/>
      <c r="AO201" s="3628"/>
      <c r="AP201" s="3628"/>
      <c r="AQ201" s="3628"/>
      <c r="AR201" s="3628"/>
      <c r="AS201" s="3628"/>
      <c r="AT201" s="3628"/>
    </row>
    <row r="202" spans="2:46">
      <c r="B202" s="3628"/>
      <c r="C202" s="3628"/>
      <c r="D202" s="3796"/>
      <c r="E202" s="3628"/>
      <c r="F202" s="3628"/>
      <c r="G202" s="3628"/>
      <c r="H202" s="3628"/>
      <c r="I202" s="3628"/>
      <c r="J202" s="3628"/>
      <c r="K202" s="3628"/>
      <c r="L202" s="3628"/>
      <c r="M202" s="3628"/>
      <c r="N202" s="3628"/>
      <c r="O202" s="3628"/>
      <c r="P202" s="3628"/>
      <c r="Q202" s="3628"/>
      <c r="R202" s="3628"/>
      <c r="S202" s="3628"/>
      <c r="T202" s="3628"/>
      <c r="U202" s="3628"/>
      <c r="V202" s="3628"/>
      <c r="W202" s="3628"/>
      <c r="X202" s="3628"/>
      <c r="Y202" s="3628"/>
      <c r="Z202" s="3628"/>
      <c r="AA202" s="3628"/>
      <c r="AB202" s="3628"/>
      <c r="AC202" s="3628"/>
      <c r="AD202" s="3628"/>
      <c r="AE202" s="3628"/>
      <c r="AF202" s="3628"/>
      <c r="AG202" s="3628"/>
      <c r="AH202" s="3628"/>
      <c r="AI202" s="3628"/>
      <c r="AJ202" s="3628"/>
      <c r="AK202" s="3628"/>
      <c r="AL202" s="3628"/>
      <c r="AM202" s="3628"/>
      <c r="AN202" s="3628"/>
      <c r="AO202" s="3628"/>
      <c r="AP202" s="3628"/>
      <c r="AQ202" s="3628"/>
      <c r="AR202" s="3628"/>
      <c r="AS202" s="3628"/>
      <c r="AT202" s="3628"/>
    </row>
    <row r="203" spans="2:46">
      <c r="B203" s="3628"/>
      <c r="C203" s="3628"/>
      <c r="D203" s="3796"/>
      <c r="E203" s="3628"/>
      <c r="F203" s="3628"/>
      <c r="G203" s="3628"/>
      <c r="H203" s="3628"/>
      <c r="I203" s="3628"/>
      <c r="J203" s="3628"/>
      <c r="K203" s="3628"/>
      <c r="L203" s="3628"/>
      <c r="M203" s="3628"/>
      <c r="N203" s="3628"/>
      <c r="O203" s="3628"/>
      <c r="P203" s="3628"/>
      <c r="Q203" s="3628"/>
      <c r="R203" s="3628"/>
      <c r="S203" s="3628"/>
      <c r="T203" s="3628"/>
      <c r="U203" s="3628"/>
      <c r="V203" s="3628"/>
      <c r="W203" s="3628"/>
      <c r="X203" s="3628"/>
      <c r="Y203" s="3628"/>
      <c r="Z203" s="3628"/>
      <c r="AA203" s="3628"/>
      <c r="AB203" s="3628"/>
      <c r="AC203" s="3628"/>
      <c r="AD203" s="3628"/>
      <c r="AE203" s="3628"/>
      <c r="AF203" s="3628"/>
      <c r="AG203" s="3628"/>
      <c r="AH203" s="3628"/>
      <c r="AI203" s="3628"/>
      <c r="AJ203" s="3628"/>
      <c r="AK203" s="3628"/>
      <c r="AL203" s="3628"/>
      <c r="AM203" s="3628"/>
      <c r="AN203" s="3628"/>
      <c r="AO203" s="3628"/>
      <c r="AP203" s="3628"/>
      <c r="AQ203" s="3628"/>
      <c r="AR203" s="3628"/>
      <c r="AS203" s="3628"/>
      <c r="AT203" s="3628"/>
    </row>
    <row r="204" spans="2:46">
      <c r="B204" s="3628"/>
      <c r="C204" s="3628"/>
      <c r="D204" s="3796"/>
      <c r="E204" s="3628"/>
      <c r="F204" s="3628"/>
      <c r="G204" s="3628"/>
      <c r="H204" s="3628"/>
      <c r="I204" s="3628"/>
      <c r="J204" s="3628"/>
      <c r="K204" s="3628"/>
      <c r="L204" s="3628"/>
      <c r="M204" s="3628"/>
      <c r="N204" s="3628"/>
      <c r="O204" s="3628"/>
      <c r="P204" s="3628"/>
      <c r="Q204" s="3628"/>
      <c r="R204" s="3628"/>
      <c r="S204" s="3628"/>
      <c r="T204" s="3628"/>
      <c r="U204" s="3628"/>
      <c r="V204" s="3628"/>
      <c r="W204" s="3628"/>
      <c r="X204" s="3628"/>
      <c r="Y204" s="3628"/>
      <c r="Z204" s="3628"/>
      <c r="AA204" s="3628"/>
      <c r="AB204" s="3628"/>
      <c r="AC204" s="3628"/>
      <c r="AD204" s="3628"/>
      <c r="AE204" s="3628"/>
      <c r="AF204" s="3628"/>
      <c r="AG204" s="3628"/>
      <c r="AH204" s="3628"/>
      <c r="AI204" s="3628"/>
      <c r="AJ204" s="3628"/>
      <c r="AK204" s="3628"/>
      <c r="AL204" s="3628"/>
      <c r="AM204" s="3628"/>
      <c r="AN204" s="3628"/>
      <c r="AO204" s="3628"/>
      <c r="AP204" s="3628"/>
      <c r="AQ204" s="3628"/>
      <c r="AR204" s="3628"/>
      <c r="AS204" s="3628"/>
      <c r="AT204" s="3628"/>
    </row>
    <row r="205" spans="2:46">
      <c r="B205" s="3628"/>
      <c r="C205" s="3628"/>
      <c r="D205" s="3796"/>
      <c r="E205" s="3628"/>
      <c r="F205" s="3628"/>
      <c r="G205" s="3628"/>
      <c r="H205" s="3628"/>
      <c r="I205" s="3628"/>
      <c r="J205" s="3628"/>
      <c r="K205" s="3628"/>
      <c r="L205" s="3628"/>
      <c r="M205" s="3628"/>
      <c r="N205" s="3628"/>
      <c r="O205" s="3628"/>
      <c r="P205" s="3628"/>
      <c r="Q205" s="3628"/>
      <c r="R205" s="3628"/>
      <c r="S205" s="3628"/>
      <c r="T205" s="3628"/>
      <c r="U205" s="3628"/>
      <c r="V205" s="3628"/>
      <c r="W205" s="3628"/>
      <c r="X205" s="3628"/>
      <c r="Y205" s="3628"/>
      <c r="Z205" s="3628"/>
      <c r="AA205" s="3628"/>
      <c r="AB205" s="3628"/>
      <c r="AC205" s="3628"/>
      <c r="AD205" s="3628"/>
      <c r="AE205" s="3628"/>
      <c r="AF205" s="3628"/>
      <c r="AG205" s="3628"/>
      <c r="AH205" s="3628"/>
      <c r="AI205" s="3628"/>
      <c r="AJ205" s="3628"/>
      <c r="AK205" s="3628"/>
      <c r="AL205" s="3628"/>
      <c r="AM205" s="3628"/>
      <c r="AN205" s="3628"/>
      <c r="AO205" s="3628"/>
      <c r="AP205" s="3628"/>
      <c r="AQ205" s="3628"/>
      <c r="AR205" s="3628"/>
      <c r="AS205" s="3628"/>
      <c r="AT205" s="3628"/>
    </row>
    <row r="206" spans="2:46">
      <c r="B206" s="3628"/>
      <c r="C206" s="3628"/>
      <c r="D206" s="3796"/>
      <c r="E206" s="3628"/>
      <c r="F206" s="3628"/>
      <c r="G206" s="3628"/>
      <c r="H206" s="3628"/>
      <c r="I206" s="3628"/>
      <c r="J206" s="3628"/>
      <c r="K206" s="3628"/>
      <c r="L206" s="3628"/>
      <c r="M206" s="3628"/>
      <c r="N206" s="3628"/>
      <c r="O206" s="3628"/>
      <c r="P206" s="3628"/>
      <c r="Q206" s="3628"/>
      <c r="R206" s="3628"/>
      <c r="S206" s="3628"/>
      <c r="T206" s="3628"/>
      <c r="U206" s="3628"/>
      <c r="V206" s="3628"/>
      <c r="W206" s="3628"/>
      <c r="X206" s="3628"/>
      <c r="Y206" s="3628"/>
      <c r="Z206" s="3628"/>
      <c r="AA206" s="3628"/>
      <c r="AB206" s="3628"/>
      <c r="AC206" s="3628"/>
      <c r="AD206" s="3628"/>
      <c r="AE206" s="3628"/>
      <c r="AF206" s="3628"/>
      <c r="AG206" s="3628"/>
      <c r="AH206" s="3628"/>
      <c r="AI206" s="3628"/>
      <c r="AJ206" s="3628"/>
      <c r="AK206" s="3628"/>
      <c r="AL206" s="3628"/>
      <c r="AM206" s="3628"/>
      <c r="AN206" s="3628"/>
      <c r="AO206" s="3628"/>
      <c r="AP206" s="3628"/>
      <c r="AQ206" s="3628"/>
      <c r="AR206" s="3628"/>
      <c r="AS206" s="3628"/>
      <c r="AT206" s="3628"/>
    </row>
    <row r="207" spans="2:46">
      <c r="B207" s="3628"/>
      <c r="C207" s="3628"/>
      <c r="D207" s="3796"/>
      <c r="E207" s="3628"/>
      <c r="F207" s="3628"/>
      <c r="G207" s="3628"/>
      <c r="H207" s="3628"/>
      <c r="I207" s="3628"/>
      <c r="J207" s="3628"/>
      <c r="K207" s="3628"/>
      <c r="L207" s="3628"/>
      <c r="M207" s="3628"/>
      <c r="N207" s="3628"/>
      <c r="O207" s="3628"/>
      <c r="P207" s="3628"/>
      <c r="Q207" s="3628"/>
      <c r="R207" s="3628"/>
      <c r="S207" s="3628"/>
      <c r="T207" s="3628"/>
      <c r="U207" s="3628"/>
      <c r="V207" s="3628"/>
      <c r="W207" s="3628"/>
      <c r="X207" s="3628"/>
      <c r="Y207" s="3628"/>
      <c r="Z207" s="3628"/>
      <c r="AA207" s="3628"/>
      <c r="AB207" s="3628"/>
      <c r="AC207" s="3628"/>
      <c r="AD207" s="3628"/>
      <c r="AE207" s="3628"/>
      <c r="AF207" s="3628"/>
      <c r="AG207" s="3628"/>
      <c r="AH207" s="3628"/>
      <c r="AI207" s="3628"/>
      <c r="AJ207" s="3628"/>
      <c r="AK207" s="3628"/>
      <c r="AL207" s="3628"/>
      <c r="AM207" s="3628"/>
      <c r="AN207" s="3628"/>
      <c r="AO207" s="3628"/>
      <c r="AP207" s="3628"/>
      <c r="AQ207" s="3628"/>
      <c r="AR207" s="3628"/>
      <c r="AS207" s="3628"/>
      <c r="AT207" s="3628"/>
    </row>
    <row r="208" spans="2:46">
      <c r="B208" s="3628"/>
      <c r="C208" s="3628"/>
      <c r="D208" s="3796"/>
      <c r="E208" s="3628"/>
      <c r="F208" s="3628"/>
      <c r="G208" s="3628"/>
      <c r="H208" s="3628"/>
      <c r="I208" s="3628"/>
      <c r="J208" s="3628"/>
      <c r="K208" s="3628"/>
      <c r="L208" s="3628"/>
      <c r="M208" s="3628"/>
      <c r="N208" s="3628"/>
      <c r="O208" s="3628"/>
      <c r="P208" s="3628"/>
      <c r="Q208" s="3628"/>
      <c r="R208" s="3628"/>
      <c r="S208" s="3628"/>
      <c r="T208" s="3628"/>
      <c r="U208" s="3628"/>
      <c r="V208" s="3628"/>
      <c r="W208" s="3628"/>
      <c r="X208" s="3628"/>
      <c r="Y208" s="3628"/>
      <c r="Z208" s="3628"/>
      <c r="AA208" s="3628"/>
      <c r="AB208" s="3628"/>
      <c r="AC208" s="3628"/>
      <c r="AD208" s="3628"/>
      <c r="AE208" s="3628"/>
      <c r="AF208" s="3628"/>
      <c r="AG208" s="3628"/>
      <c r="AH208" s="3628"/>
      <c r="AI208" s="3628"/>
      <c r="AJ208" s="3628"/>
      <c r="AK208" s="3628"/>
      <c r="AL208" s="3628"/>
      <c r="AM208" s="3628"/>
      <c r="AN208" s="3628"/>
      <c r="AO208" s="3628"/>
      <c r="AP208" s="3628"/>
      <c r="AQ208" s="3628"/>
      <c r="AR208" s="3628"/>
      <c r="AS208" s="3628"/>
      <c r="AT208" s="3628"/>
    </row>
    <row r="209" spans="2:46">
      <c r="B209" s="3628"/>
      <c r="C209" s="3628"/>
      <c r="D209" s="3796"/>
      <c r="E209" s="3628"/>
      <c r="F209" s="3628"/>
      <c r="G209" s="3628"/>
      <c r="H209" s="3628"/>
      <c r="I209" s="3628"/>
      <c r="J209" s="3628"/>
      <c r="K209" s="3628"/>
      <c r="L209" s="3628"/>
      <c r="M209" s="3628"/>
      <c r="N209" s="3628"/>
      <c r="O209" s="3628"/>
      <c r="P209" s="3628"/>
      <c r="Q209" s="3628"/>
      <c r="R209" s="3628"/>
      <c r="S209" s="3628"/>
      <c r="T209" s="3628"/>
      <c r="U209" s="3628"/>
      <c r="V209" s="3628"/>
      <c r="W209" s="3628"/>
      <c r="X209" s="3628"/>
      <c r="Y209" s="3628"/>
      <c r="Z209" s="3628"/>
      <c r="AA209" s="3628"/>
      <c r="AB209" s="3628"/>
      <c r="AC209" s="3628"/>
      <c r="AD209" s="3628"/>
      <c r="AE209" s="3628"/>
      <c r="AF209" s="3628"/>
      <c r="AG209" s="3628"/>
      <c r="AH209" s="3628"/>
      <c r="AI209" s="3628"/>
      <c r="AJ209" s="3628"/>
      <c r="AK209" s="3628"/>
      <c r="AL209" s="3628"/>
      <c r="AM209" s="3628"/>
      <c r="AN209" s="3628"/>
      <c r="AO209" s="3628"/>
      <c r="AP209" s="3628"/>
      <c r="AQ209" s="3628"/>
      <c r="AR209" s="3628"/>
      <c r="AS209" s="3628"/>
      <c r="AT209" s="3628"/>
    </row>
    <row r="210" spans="2:46">
      <c r="B210" s="3628"/>
      <c r="C210" s="3628"/>
      <c r="D210" s="3796"/>
      <c r="E210" s="3628"/>
      <c r="F210" s="3628"/>
      <c r="G210" s="3628"/>
      <c r="H210" s="3628"/>
      <c r="I210" s="3628"/>
      <c r="J210" s="3628"/>
      <c r="K210" s="3628"/>
      <c r="L210" s="3628"/>
      <c r="M210" s="3628"/>
      <c r="N210" s="3628"/>
      <c r="O210" s="3628"/>
      <c r="P210" s="3628"/>
      <c r="Q210" s="3628"/>
      <c r="R210" s="3628"/>
      <c r="S210" s="3628"/>
      <c r="T210" s="3628"/>
      <c r="U210" s="3628"/>
      <c r="V210" s="3628"/>
      <c r="W210" s="3628"/>
      <c r="X210" s="3628"/>
      <c r="Y210" s="3628"/>
      <c r="Z210" s="3628"/>
      <c r="AA210" s="3628"/>
      <c r="AB210" s="3628"/>
      <c r="AC210" s="3628"/>
      <c r="AD210" s="3628"/>
      <c r="AE210" s="3628"/>
      <c r="AF210" s="3628"/>
      <c r="AG210" s="3628"/>
      <c r="AH210" s="3628"/>
      <c r="AI210" s="3628"/>
      <c r="AJ210" s="3628"/>
      <c r="AK210" s="3628"/>
      <c r="AL210" s="3628"/>
      <c r="AM210" s="3628"/>
      <c r="AN210" s="3628"/>
      <c r="AO210" s="3628"/>
      <c r="AP210" s="3628"/>
      <c r="AQ210" s="3628"/>
      <c r="AR210" s="3628"/>
      <c r="AS210" s="3628"/>
      <c r="AT210" s="3628"/>
    </row>
    <row r="211" spans="2:46">
      <c r="B211" s="3628"/>
      <c r="C211" s="3628"/>
      <c r="D211" s="3796"/>
      <c r="E211" s="3628"/>
      <c r="F211" s="3628"/>
      <c r="G211" s="3628"/>
      <c r="H211" s="3628"/>
      <c r="I211" s="3628"/>
      <c r="J211" s="3628"/>
      <c r="K211" s="3628"/>
      <c r="L211" s="3628"/>
      <c r="M211" s="3628"/>
      <c r="N211" s="3628"/>
      <c r="O211" s="3628"/>
      <c r="P211" s="3628"/>
      <c r="Q211" s="3628"/>
      <c r="R211" s="3628"/>
      <c r="S211" s="3628"/>
      <c r="T211" s="3628"/>
      <c r="U211" s="3628"/>
      <c r="V211" s="3628"/>
      <c r="W211" s="3628"/>
      <c r="X211" s="3628"/>
      <c r="Y211" s="3628"/>
      <c r="Z211" s="3628"/>
      <c r="AA211" s="3628"/>
      <c r="AB211" s="3628"/>
      <c r="AC211" s="3628"/>
      <c r="AD211" s="3628"/>
      <c r="AE211" s="3628"/>
      <c r="AF211" s="3628"/>
      <c r="AG211" s="3628"/>
      <c r="AH211" s="3628"/>
      <c r="AI211" s="3628"/>
      <c r="AJ211" s="3628"/>
      <c r="AK211" s="3628"/>
      <c r="AL211" s="3628"/>
      <c r="AM211" s="3628"/>
      <c r="AN211" s="3628"/>
      <c r="AO211" s="3628"/>
      <c r="AP211" s="3628"/>
      <c r="AQ211" s="3628"/>
      <c r="AR211" s="3628"/>
      <c r="AS211" s="3628"/>
      <c r="AT211" s="3628"/>
    </row>
    <row r="212" spans="2:46">
      <c r="B212" s="3628"/>
      <c r="C212" s="3628"/>
      <c r="D212" s="3796"/>
      <c r="E212" s="3628"/>
      <c r="F212" s="3628"/>
      <c r="G212" s="3628"/>
      <c r="H212" s="3628"/>
      <c r="I212" s="3628"/>
      <c r="J212" s="3628"/>
      <c r="K212" s="3628"/>
      <c r="L212" s="3628"/>
      <c r="M212" s="3628"/>
      <c r="N212" s="3628"/>
      <c r="O212" s="3628"/>
      <c r="P212" s="3628"/>
      <c r="Q212" s="3628"/>
      <c r="R212" s="3628"/>
      <c r="S212" s="3628"/>
      <c r="T212" s="3628"/>
      <c r="U212" s="3628"/>
      <c r="V212" s="3628"/>
      <c r="W212" s="3628"/>
      <c r="X212" s="3628"/>
      <c r="Y212" s="3628"/>
      <c r="Z212" s="3628"/>
      <c r="AA212" s="3628"/>
      <c r="AB212" s="3628"/>
      <c r="AC212" s="3628"/>
      <c r="AD212" s="3628"/>
      <c r="AE212" s="3628"/>
      <c r="AF212" s="3628"/>
      <c r="AG212" s="3628"/>
      <c r="AH212" s="3628"/>
      <c r="AI212" s="3628"/>
      <c r="AJ212" s="3628"/>
      <c r="AK212" s="3628"/>
      <c r="AL212" s="3628"/>
      <c r="AM212" s="3628"/>
      <c r="AN212" s="3628"/>
      <c r="AO212" s="3628"/>
      <c r="AP212" s="3628"/>
      <c r="AQ212" s="3628"/>
      <c r="AR212" s="3628"/>
      <c r="AS212" s="3628"/>
      <c r="AT212" s="3628"/>
    </row>
    <row r="213" spans="2:46">
      <c r="B213" s="3628"/>
      <c r="C213" s="3628"/>
      <c r="D213" s="3796"/>
      <c r="E213" s="3628"/>
      <c r="F213" s="3628"/>
      <c r="G213" s="3628"/>
      <c r="H213" s="3628"/>
      <c r="I213" s="3628"/>
      <c r="J213" s="3628"/>
      <c r="K213" s="3628"/>
      <c r="L213" s="3628"/>
      <c r="M213" s="3628"/>
      <c r="N213" s="3628"/>
      <c r="O213" s="3628"/>
      <c r="P213" s="3628"/>
      <c r="Q213" s="3628"/>
      <c r="R213" s="3628"/>
      <c r="S213" s="3628"/>
      <c r="T213" s="3628"/>
      <c r="U213" s="3628"/>
      <c r="V213" s="3628"/>
      <c r="W213" s="3628"/>
      <c r="X213" s="3628"/>
      <c r="Y213" s="3628"/>
      <c r="Z213" s="3628"/>
      <c r="AA213" s="3628"/>
      <c r="AB213" s="3628"/>
      <c r="AC213" s="3628"/>
      <c r="AD213" s="3628"/>
      <c r="AE213" s="3628"/>
      <c r="AF213" s="3628"/>
      <c r="AG213" s="3628"/>
      <c r="AH213" s="3628"/>
      <c r="AI213" s="3628"/>
      <c r="AJ213" s="3628"/>
      <c r="AK213" s="3628"/>
      <c r="AL213" s="3628"/>
      <c r="AM213" s="3628"/>
      <c r="AN213" s="3628"/>
      <c r="AO213" s="3628"/>
      <c r="AP213" s="3628"/>
      <c r="AQ213" s="3628"/>
      <c r="AR213" s="3628"/>
      <c r="AS213" s="3628"/>
      <c r="AT213" s="3628"/>
    </row>
    <row r="214" spans="2:46">
      <c r="B214" s="3628"/>
      <c r="C214" s="3628"/>
      <c r="D214" s="3796"/>
      <c r="E214" s="3628"/>
      <c r="F214" s="3628"/>
      <c r="G214" s="3628"/>
      <c r="H214" s="3628"/>
      <c r="I214" s="3628"/>
      <c r="J214" s="3628"/>
      <c r="K214" s="3628"/>
      <c r="L214" s="3628"/>
      <c r="M214" s="3628"/>
      <c r="N214" s="3628"/>
      <c r="O214" s="3628"/>
      <c r="P214" s="3628"/>
      <c r="Q214" s="3628"/>
      <c r="R214" s="3628"/>
      <c r="S214" s="3628"/>
      <c r="T214" s="3628"/>
      <c r="U214" s="3628"/>
      <c r="V214" s="3628"/>
      <c r="W214" s="3628"/>
      <c r="X214" s="3628"/>
      <c r="Y214" s="3628"/>
      <c r="Z214" s="3628"/>
      <c r="AA214" s="3628"/>
      <c r="AB214" s="3628"/>
      <c r="AC214" s="3628"/>
      <c r="AD214" s="3628"/>
      <c r="AE214" s="3628"/>
      <c r="AF214" s="3628"/>
      <c r="AG214" s="3628"/>
      <c r="AH214" s="3628"/>
      <c r="AI214" s="3628"/>
      <c r="AJ214" s="3628"/>
      <c r="AK214" s="3628"/>
      <c r="AL214" s="3628"/>
      <c r="AM214" s="3628"/>
      <c r="AN214" s="3628"/>
      <c r="AO214" s="3628"/>
      <c r="AP214" s="3628"/>
      <c r="AQ214" s="3628"/>
      <c r="AR214" s="3628"/>
      <c r="AS214" s="3628"/>
      <c r="AT214" s="3628"/>
    </row>
    <row r="215" spans="2:46">
      <c r="B215" s="3628"/>
      <c r="C215" s="3628"/>
      <c r="D215" s="3796"/>
      <c r="E215" s="3628"/>
      <c r="F215" s="3628"/>
      <c r="G215" s="3628"/>
      <c r="H215" s="3628"/>
      <c r="I215" s="3628"/>
      <c r="J215" s="3628"/>
      <c r="K215" s="3628"/>
      <c r="L215" s="3628"/>
      <c r="M215" s="3628"/>
      <c r="N215" s="3628"/>
      <c r="O215" s="3628"/>
      <c r="P215" s="3628"/>
      <c r="Q215" s="3628"/>
      <c r="R215" s="3628"/>
      <c r="S215" s="3628"/>
      <c r="T215" s="3628"/>
      <c r="U215" s="3628"/>
      <c r="V215" s="3628"/>
      <c r="W215" s="3628"/>
      <c r="X215" s="3628"/>
      <c r="Y215" s="3628"/>
      <c r="Z215" s="3628"/>
      <c r="AA215" s="3628"/>
      <c r="AB215" s="3628"/>
      <c r="AC215" s="3628"/>
      <c r="AD215" s="3628"/>
      <c r="AE215" s="3628"/>
      <c r="AF215" s="3628"/>
      <c r="AG215" s="3628"/>
      <c r="AH215" s="3628"/>
      <c r="AI215" s="3628"/>
      <c r="AJ215" s="3628"/>
      <c r="AK215" s="3628"/>
      <c r="AL215" s="3628"/>
      <c r="AM215" s="3628"/>
      <c r="AN215" s="3628"/>
      <c r="AO215" s="3628"/>
      <c r="AP215" s="3628"/>
      <c r="AQ215" s="3628"/>
      <c r="AR215" s="3628"/>
      <c r="AS215" s="3628"/>
      <c r="AT215" s="3628"/>
    </row>
    <row r="216" spans="2:46">
      <c r="B216" s="3628"/>
      <c r="C216" s="3628"/>
      <c r="D216" s="3796"/>
      <c r="E216" s="3628"/>
      <c r="F216" s="3628"/>
      <c r="G216" s="3628"/>
      <c r="H216" s="3628"/>
      <c r="I216" s="3628"/>
      <c r="J216" s="3628"/>
      <c r="K216" s="3628"/>
      <c r="L216" s="3628"/>
      <c r="M216" s="3628"/>
      <c r="N216" s="3628"/>
      <c r="O216" s="3628"/>
      <c r="P216" s="3628"/>
      <c r="Q216" s="3628"/>
      <c r="R216" s="3628"/>
      <c r="S216" s="3628"/>
      <c r="T216" s="3628"/>
      <c r="U216" s="3628"/>
      <c r="V216" s="3628"/>
      <c r="W216" s="3628"/>
      <c r="X216" s="3628"/>
      <c r="Y216" s="3628"/>
      <c r="Z216" s="3628"/>
      <c r="AA216" s="3628"/>
      <c r="AB216" s="3628"/>
      <c r="AC216" s="3628"/>
      <c r="AD216" s="3628"/>
      <c r="AE216" s="3628"/>
      <c r="AF216" s="3628"/>
      <c r="AG216" s="3628"/>
      <c r="AH216" s="3628"/>
      <c r="AI216" s="3628"/>
      <c r="AJ216" s="3628"/>
      <c r="AK216" s="3628"/>
      <c r="AL216" s="3628"/>
      <c r="AM216" s="3628"/>
      <c r="AN216" s="3628"/>
      <c r="AO216" s="3628"/>
      <c r="AP216" s="3628"/>
      <c r="AQ216" s="3628"/>
      <c r="AR216" s="3628"/>
      <c r="AS216" s="3628"/>
      <c r="AT216" s="3628"/>
    </row>
    <row r="217" spans="2:46">
      <c r="B217" s="3628"/>
      <c r="C217" s="3628"/>
      <c r="D217" s="3796"/>
      <c r="E217" s="3628"/>
      <c r="F217" s="3628"/>
      <c r="G217" s="3628"/>
      <c r="H217" s="3628"/>
      <c r="I217" s="3628"/>
      <c r="J217" s="3628"/>
      <c r="K217" s="3628"/>
      <c r="L217" s="3628"/>
      <c r="M217" s="3628"/>
      <c r="N217" s="3628"/>
      <c r="O217" s="3628"/>
      <c r="P217" s="3628"/>
      <c r="Q217" s="3628"/>
      <c r="R217" s="3628"/>
      <c r="S217" s="3628"/>
      <c r="T217" s="3628"/>
      <c r="U217" s="3628"/>
      <c r="V217" s="3628"/>
      <c r="W217" s="3628"/>
      <c r="X217" s="3628"/>
      <c r="Y217" s="3628"/>
      <c r="Z217" s="3628"/>
      <c r="AA217" s="3628"/>
      <c r="AB217" s="3628"/>
      <c r="AC217" s="3628"/>
      <c r="AD217" s="3628"/>
      <c r="AE217" s="3628"/>
      <c r="AF217" s="3628"/>
      <c r="AG217" s="3628"/>
      <c r="AH217" s="3628"/>
      <c r="AI217" s="3628"/>
      <c r="AJ217" s="3628"/>
      <c r="AK217" s="3628"/>
      <c r="AL217" s="3628"/>
      <c r="AM217" s="3628"/>
      <c r="AN217" s="3628"/>
      <c r="AO217" s="3628"/>
      <c r="AP217" s="3628"/>
      <c r="AQ217" s="3628"/>
      <c r="AR217" s="3628"/>
      <c r="AS217" s="3628"/>
      <c r="AT217" s="3628"/>
    </row>
    <row r="218" spans="2:46">
      <c r="B218" s="3628"/>
      <c r="C218" s="3628"/>
      <c r="D218" s="3796"/>
      <c r="E218" s="3628"/>
      <c r="F218" s="3628"/>
      <c r="G218" s="3628"/>
      <c r="H218" s="3628"/>
      <c r="I218" s="3628"/>
      <c r="J218" s="3628"/>
      <c r="K218" s="3628"/>
      <c r="L218" s="3628"/>
      <c r="M218" s="3628"/>
      <c r="N218" s="3628"/>
      <c r="O218" s="3628"/>
      <c r="P218" s="3628"/>
      <c r="Q218" s="3628"/>
      <c r="R218" s="3628"/>
      <c r="S218" s="3628"/>
      <c r="T218" s="3628"/>
      <c r="U218" s="3628"/>
      <c r="V218" s="3628"/>
      <c r="W218" s="3628"/>
      <c r="X218" s="3628"/>
      <c r="Y218" s="3628"/>
      <c r="Z218" s="3628"/>
      <c r="AA218" s="3628"/>
      <c r="AB218" s="3628"/>
      <c r="AC218" s="3628"/>
      <c r="AD218" s="3628"/>
      <c r="AE218" s="3628"/>
      <c r="AF218" s="3628"/>
      <c r="AG218" s="3628"/>
      <c r="AH218" s="3628"/>
      <c r="AI218" s="3628"/>
      <c r="AJ218" s="3628"/>
      <c r="AK218" s="3628"/>
      <c r="AL218" s="3628"/>
      <c r="AM218" s="3628"/>
      <c r="AN218" s="3628"/>
      <c r="AO218" s="3628"/>
      <c r="AP218" s="3628"/>
      <c r="AQ218" s="3628"/>
      <c r="AR218" s="3628"/>
      <c r="AS218" s="3628"/>
      <c r="AT218" s="3628"/>
    </row>
    <row r="219" spans="2:46">
      <c r="B219" s="3628"/>
      <c r="C219" s="3628"/>
      <c r="D219" s="3796"/>
      <c r="E219" s="3628"/>
      <c r="F219" s="3628"/>
      <c r="G219" s="3628"/>
      <c r="H219" s="3628"/>
      <c r="I219" s="3628"/>
      <c r="J219" s="3628"/>
      <c r="K219" s="3628"/>
      <c r="L219" s="3628"/>
      <c r="M219" s="3628"/>
      <c r="N219" s="3628"/>
      <c r="O219" s="3628"/>
      <c r="P219" s="3628"/>
      <c r="Q219" s="3628"/>
      <c r="R219" s="3628"/>
      <c r="S219" s="3628"/>
      <c r="T219" s="3628"/>
      <c r="U219" s="3628"/>
      <c r="V219" s="3628"/>
      <c r="W219" s="3628"/>
      <c r="X219" s="3628"/>
      <c r="Y219" s="3628"/>
      <c r="Z219" s="3628"/>
      <c r="AA219" s="3628"/>
      <c r="AB219" s="3628"/>
      <c r="AC219" s="3628"/>
      <c r="AD219" s="3628"/>
      <c r="AE219" s="3628"/>
      <c r="AF219" s="3628"/>
      <c r="AG219" s="3628"/>
      <c r="AH219" s="3628"/>
      <c r="AI219" s="3628"/>
      <c r="AJ219" s="3628"/>
      <c r="AK219" s="3628"/>
      <c r="AL219" s="3628"/>
      <c r="AM219" s="3628"/>
      <c r="AN219" s="3628"/>
      <c r="AO219" s="3628"/>
      <c r="AP219" s="3628"/>
      <c r="AQ219" s="3628"/>
      <c r="AR219" s="3628"/>
      <c r="AS219" s="3628"/>
      <c r="AT219" s="3628"/>
    </row>
    <row r="220" spans="2:46">
      <c r="B220" s="3628"/>
      <c r="C220" s="3628"/>
      <c r="D220" s="3796"/>
      <c r="E220" s="3628"/>
      <c r="F220" s="3628"/>
      <c r="G220" s="3628"/>
      <c r="H220" s="3628"/>
      <c r="I220" s="3628"/>
      <c r="J220" s="3628"/>
      <c r="K220" s="3628"/>
      <c r="L220" s="3628"/>
      <c r="M220" s="3628"/>
      <c r="N220" s="3628"/>
      <c r="O220" s="3628"/>
      <c r="P220" s="3628"/>
      <c r="Q220" s="3628"/>
      <c r="R220" s="3628"/>
      <c r="S220" s="3628"/>
      <c r="T220" s="3628"/>
      <c r="U220" s="3628"/>
      <c r="V220" s="3628"/>
      <c r="W220" s="3628"/>
      <c r="X220" s="3628"/>
      <c r="Y220" s="3628"/>
      <c r="Z220" s="3628"/>
      <c r="AA220" s="3628"/>
      <c r="AB220" s="3628"/>
      <c r="AC220" s="3628"/>
      <c r="AD220" s="3628"/>
      <c r="AE220" s="3628"/>
      <c r="AF220" s="3628"/>
      <c r="AG220" s="3628"/>
      <c r="AH220" s="3628"/>
      <c r="AI220" s="3628"/>
      <c r="AJ220" s="3628"/>
      <c r="AK220" s="3628"/>
      <c r="AL220" s="3628"/>
      <c r="AM220" s="3628"/>
      <c r="AN220" s="3628"/>
      <c r="AO220" s="3628"/>
      <c r="AP220" s="3628"/>
      <c r="AQ220" s="3628"/>
      <c r="AR220" s="3628"/>
      <c r="AS220" s="3628"/>
      <c r="AT220" s="3628"/>
    </row>
    <row r="221" spans="2:46">
      <c r="B221" s="3628"/>
      <c r="C221" s="3628"/>
      <c r="D221" s="3796"/>
      <c r="E221" s="3628"/>
      <c r="F221" s="3628"/>
      <c r="G221" s="3628"/>
      <c r="H221" s="3628"/>
      <c r="I221" s="3628"/>
      <c r="J221" s="3628"/>
      <c r="K221" s="3628"/>
      <c r="L221" s="3628"/>
      <c r="M221" s="3628"/>
      <c r="N221" s="3628"/>
      <c r="O221" s="3628"/>
      <c r="P221" s="3628"/>
      <c r="Q221" s="3628"/>
      <c r="R221" s="3628"/>
      <c r="S221" s="3628"/>
      <c r="T221" s="3628"/>
      <c r="U221" s="3628"/>
      <c r="V221" s="3628"/>
      <c r="W221" s="3628"/>
      <c r="X221" s="3628"/>
      <c r="Y221" s="3628"/>
      <c r="Z221" s="3628"/>
      <c r="AA221" s="3628"/>
      <c r="AB221" s="3628"/>
      <c r="AC221" s="3628"/>
      <c r="AD221" s="3628"/>
      <c r="AE221" s="3628"/>
      <c r="AF221" s="3628"/>
      <c r="AG221" s="3628"/>
      <c r="AH221" s="3628"/>
      <c r="AI221" s="3628"/>
      <c r="AJ221" s="3628"/>
      <c r="AK221" s="3628"/>
      <c r="AL221" s="3628"/>
      <c r="AM221" s="3628"/>
      <c r="AN221" s="3628"/>
      <c r="AO221" s="3628"/>
      <c r="AP221" s="3628"/>
      <c r="AQ221" s="3628"/>
      <c r="AR221" s="3628"/>
      <c r="AS221" s="3628"/>
      <c r="AT221" s="3628"/>
    </row>
    <row r="222" spans="2:46">
      <c r="F222" s="3628"/>
      <c r="G222" s="3628"/>
      <c r="H222" s="3628"/>
      <c r="I222" s="3628"/>
      <c r="J222" s="3628"/>
      <c r="K222" s="3628"/>
      <c r="L222" s="3628"/>
      <c r="M222" s="3628"/>
      <c r="N222" s="3628"/>
      <c r="O222" s="3628"/>
      <c r="P222" s="3628"/>
      <c r="Q222" s="3628"/>
      <c r="R222" s="3628"/>
      <c r="S222" s="3628"/>
      <c r="T222" s="3628"/>
      <c r="U222" s="3628"/>
      <c r="V222" s="3628"/>
      <c r="W222" s="3628"/>
      <c r="X222" s="3628"/>
      <c r="Y222" s="3628"/>
      <c r="Z222" s="3628"/>
      <c r="AA222" s="3628"/>
      <c r="AB222" s="3628"/>
      <c r="AC222" s="3628"/>
      <c r="AD222" s="3628"/>
      <c r="AE222" s="3628"/>
      <c r="AF222" s="3628"/>
      <c r="AG222" s="3628"/>
      <c r="AH222" s="3628"/>
      <c r="AI222" s="3628"/>
      <c r="AJ222" s="3628"/>
      <c r="AK222" s="3628"/>
      <c r="AL222" s="3628"/>
      <c r="AM222" s="3628"/>
      <c r="AN222" s="3628"/>
      <c r="AO222" s="3628"/>
      <c r="AP222" s="3628"/>
      <c r="AQ222" s="3628"/>
      <c r="AR222" s="3628"/>
      <c r="AS222" s="3628"/>
      <c r="AT222" s="3628"/>
    </row>
    <row r="223" spans="2:46">
      <c r="F223" s="3628"/>
      <c r="G223" s="3628"/>
      <c r="H223" s="3628"/>
      <c r="I223" s="3628"/>
      <c r="J223" s="3628"/>
      <c r="K223" s="3628"/>
      <c r="L223" s="3628"/>
      <c r="M223" s="3628"/>
      <c r="N223" s="3628"/>
      <c r="O223" s="3628"/>
      <c r="P223" s="3628"/>
      <c r="Q223" s="3628"/>
      <c r="R223" s="3628"/>
      <c r="S223" s="3628"/>
      <c r="T223" s="3628"/>
      <c r="U223" s="3628"/>
      <c r="V223" s="3628"/>
      <c r="W223" s="3628"/>
      <c r="X223" s="3628"/>
      <c r="Y223" s="3628"/>
      <c r="Z223" s="3628"/>
      <c r="AA223" s="3628"/>
      <c r="AB223" s="3628"/>
      <c r="AC223" s="3628"/>
      <c r="AD223" s="3628"/>
      <c r="AE223" s="3628"/>
      <c r="AF223" s="3628"/>
      <c r="AG223" s="3628"/>
      <c r="AH223" s="3628"/>
      <c r="AI223" s="3628"/>
      <c r="AJ223" s="3628"/>
      <c r="AK223" s="3628"/>
      <c r="AL223" s="3628"/>
      <c r="AM223" s="3628"/>
      <c r="AN223" s="3628"/>
      <c r="AO223" s="3628"/>
      <c r="AP223" s="3628"/>
      <c r="AQ223" s="3628"/>
      <c r="AR223" s="3628"/>
      <c r="AS223" s="3628"/>
      <c r="AT223" s="3628"/>
    </row>
    <row r="224" spans="2:46">
      <c r="F224" s="3628"/>
      <c r="G224" s="3628"/>
      <c r="H224" s="3628"/>
      <c r="I224" s="3628"/>
      <c r="J224" s="3628"/>
      <c r="K224" s="3628"/>
      <c r="L224" s="3628"/>
      <c r="M224" s="3628"/>
      <c r="N224" s="3628"/>
      <c r="O224" s="3628"/>
      <c r="P224" s="3628"/>
      <c r="Q224" s="3628"/>
      <c r="R224" s="3628"/>
      <c r="S224" s="3628"/>
      <c r="T224" s="3628"/>
      <c r="U224" s="3628"/>
      <c r="V224" s="3628"/>
      <c r="W224" s="3628"/>
      <c r="X224" s="3628"/>
      <c r="Y224" s="3628"/>
      <c r="Z224" s="3628"/>
      <c r="AA224" s="3628"/>
      <c r="AB224" s="3628"/>
      <c r="AC224" s="3628"/>
      <c r="AD224" s="3628"/>
      <c r="AE224" s="3628"/>
      <c r="AF224" s="3628"/>
      <c r="AG224" s="3628"/>
      <c r="AH224" s="3628"/>
      <c r="AI224" s="3628"/>
      <c r="AJ224" s="3628"/>
      <c r="AK224" s="3628"/>
      <c r="AL224" s="3628"/>
      <c r="AM224" s="3628"/>
      <c r="AN224" s="3628"/>
      <c r="AO224" s="3628"/>
      <c r="AP224" s="3628"/>
      <c r="AQ224" s="3628"/>
      <c r="AR224" s="3628"/>
      <c r="AS224" s="3628"/>
      <c r="AT224" s="3628"/>
    </row>
    <row r="225" spans="6:46">
      <c r="F225" s="3628"/>
      <c r="G225" s="3628"/>
      <c r="H225" s="3628"/>
      <c r="I225" s="3628"/>
      <c r="J225" s="3628"/>
      <c r="K225" s="3628"/>
      <c r="L225" s="3628"/>
      <c r="M225" s="3628"/>
      <c r="N225" s="3628"/>
      <c r="O225" s="3628"/>
      <c r="P225" s="3628"/>
      <c r="Q225" s="3628"/>
      <c r="R225" s="3628"/>
      <c r="S225" s="3628"/>
      <c r="T225" s="3628"/>
      <c r="U225" s="3628"/>
      <c r="V225" s="3628"/>
      <c r="W225" s="3628"/>
      <c r="X225" s="3628"/>
      <c r="Y225" s="3628"/>
      <c r="Z225" s="3628"/>
      <c r="AA225" s="3628"/>
      <c r="AB225" s="3628"/>
      <c r="AC225" s="3628"/>
      <c r="AD225" s="3628"/>
      <c r="AE225" s="3628"/>
      <c r="AF225" s="3628"/>
      <c r="AG225" s="3628"/>
      <c r="AH225" s="3628"/>
      <c r="AI225" s="3628"/>
      <c r="AJ225" s="3628"/>
      <c r="AK225" s="3628"/>
      <c r="AL225" s="3628"/>
      <c r="AM225" s="3628"/>
      <c r="AN225" s="3628"/>
      <c r="AO225" s="3628"/>
      <c r="AP225" s="3628"/>
      <c r="AQ225" s="3628"/>
      <c r="AR225" s="3628"/>
      <c r="AS225" s="3628"/>
      <c r="AT225" s="3628"/>
    </row>
    <row r="226" spans="6:46">
      <c r="F226" s="3628"/>
      <c r="G226" s="3628"/>
      <c r="H226" s="3628"/>
      <c r="I226" s="3628"/>
      <c r="J226" s="3628"/>
      <c r="K226" s="3628"/>
      <c r="L226" s="3628"/>
      <c r="M226" s="3628"/>
      <c r="N226" s="3628"/>
      <c r="O226" s="3628"/>
      <c r="P226" s="3628"/>
      <c r="Q226" s="3628"/>
      <c r="R226" s="3628"/>
      <c r="S226" s="3628"/>
      <c r="T226" s="3628"/>
      <c r="U226" s="3628"/>
      <c r="V226" s="3628"/>
      <c r="W226" s="3628"/>
      <c r="X226" s="3628"/>
      <c r="Y226" s="3628"/>
      <c r="Z226" s="3628"/>
      <c r="AA226" s="3628"/>
      <c r="AB226" s="3628"/>
      <c r="AC226" s="3628"/>
      <c r="AD226" s="3628"/>
      <c r="AE226" s="3628"/>
      <c r="AF226" s="3628"/>
      <c r="AG226" s="3628"/>
      <c r="AH226" s="3628"/>
      <c r="AI226" s="3628"/>
      <c r="AJ226" s="3628"/>
      <c r="AK226" s="3628"/>
      <c r="AL226" s="3628"/>
      <c r="AM226" s="3628"/>
      <c r="AN226" s="3628"/>
      <c r="AO226" s="3628"/>
      <c r="AP226" s="3628"/>
      <c r="AQ226" s="3628"/>
      <c r="AR226" s="3628"/>
      <c r="AS226" s="3628"/>
      <c r="AT226" s="3628"/>
    </row>
    <row r="227" spans="6:46">
      <c r="F227" s="3628"/>
      <c r="G227" s="3628"/>
      <c r="H227" s="3628"/>
      <c r="I227" s="3628"/>
      <c r="J227" s="3628"/>
      <c r="K227" s="3628"/>
      <c r="L227" s="3628"/>
      <c r="M227" s="3628"/>
      <c r="N227" s="3628"/>
      <c r="O227" s="3628"/>
      <c r="P227" s="3628"/>
      <c r="Q227" s="3628"/>
      <c r="R227" s="3628"/>
      <c r="S227" s="3628"/>
      <c r="T227" s="3628"/>
      <c r="U227" s="3628"/>
      <c r="V227" s="3628"/>
      <c r="W227" s="3628"/>
      <c r="X227" s="3628"/>
      <c r="Y227" s="3628"/>
      <c r="Z227" s="3628"/>
      <c r="AA227" s="3628"/>
      <c r="AB227" s="3628"/>
      <c r="AC227" s="3628"/>
      <c r="AD227" s="3628"/>
      <c r="AE227" s="3628"/>
      <c r="AF227" s="3628"/>
      <c r="AG227" s="3628"/>
      <c r="AH227" s="3628"/>
      <c r="AI227" s="3628"/>
      <c r="AJ227" s="3628"/>
      <c r="AK227" s="3628"/>
      <c r="AL227" s="3628"/>
      <c r="AM227" s="3628"/>
      <c r="AN227" s="3628"/>
      <c r="AO227" s="3628"/>
      <c r="AP227" s="3628"/>
      <c r="AQ227" s="3628"/>
      <c r="AR227" s="3628"/>
      <c r="AS227" s="3628"/>
      <c r="AT227" s="3628"/>
    </row>
    <row r="228" spans="6:46">
      <c r="F228" s="3628"/>
      <c r="G228" s="3628"/>
      <c r="H228" s="3628"/>
      <c r="I228" s="3628"/>
      <c r="J228" s="3628"/>
      <c r="K228" s="3628"/>
      <c r="L228" s="3628"/>
      <c r="M228" s="3628"/>
      <c r="N228" s="3628"/>
      <c r="O228" s="3628"/>
      <c r="P228" s="3628"/>
      <c r="Q228" s="3628"/>
      <c r="R228" s="3628"/>
      <c r="S228" s="3628"/>
      <c r="T228" s="3628"/>
      <c r="U228" s="3628"/>
      <c r="V228" s="3628"/>
      <c r="W228" s="3628"/>
      <c r="X228" s="3628"/>
      <c r="Y228" s="3628"/>
      <c r="Z228" s="3628"/>
      <c r="AA228" s="3628"/>
      <c r="AB228" s="3628"/>
      <c r="AC228" s="3628"/>
      <c r="AD228" s="3628"/>
      <c r="AE228" s="3628"/>
      <c r="AF228" s="3628"/>
      <c r="AG228" s="3628"/>
      <c r="AH228" s="3628"/>
      <c r="AI228" s="3628"/>
      <c r="AJ228" s="3628"/>
      <c r="AK228" s="3628"/>
      <c r="AL228" s="3628"/>
      <c r="AM228" s="3628"/>
      <c r="AN228" s="3628"/>
      <c r="AO228" s="3628"/>
      <c r="AP228" s="3628"/>
      <c r="AQ228" s="3628"/>
      <c r="AR228" s="3628"/>
      <c r="AS228" s="3628"/>
      <c r="AT228" s="3628"/>
    </row>
    <row r="229" spans="6:46">
      <c r="F229" s="3628"/>
      <c r="G229" s="3628"/>
      <c r="H229" s="3628"/>
      <c r="I229" s="3628"/>
      <c r="J229" s="3628"/>
      <c r="K229" s="3628"/>
      <c r="L229" s="3628"/>
      <c r="M229" s="3628"/>
      <c r="N229" s="3628"/>
      <c r="O229" s="3628"/>
      <c r="P229" s="3628"/>
      <c r="Q229" s="3628"/>
      <c r="R229" s="3628"/>
      <c r="S229" s="3628"/>
      <c r="T229" s="3628"/>
      <c r="U229" s="3628"/>
      <c r="V229" s="3628"/>
      <c r="W229" s="3628"/>
      <c r="X229" s="3628"/>
      <c r="Y229" s="3628"/>
      <c r="Z229" s="3628"/>
      <c r="AA229" s="3628"/>
      <c r="AB229" s="3628"/>
      <c r="AC229" s="3628"/>
      <c r="AD229" s="3628"/>
      <c r="AE229" s="3628"/>
      <c r="AF229" s="3628"/>
      <c r="AG229" s="3628"/>
      <c r="AH229" s="3628"/>
      <c r="AI229" s="3628"/>
      <c r="AJ229" s="3628"/>
      <c r="AK229" s="3628"/>
      <c r="AL229" s="3628"/>
      <c r="AM229" s="3628"/>
      <c r="AN229" s="3628"/>
      <c r="AO229" s="3628"/>
      <c r="AP229" s="3628"/>
      <c r="AQ229" s="3628"/>
      <c r="AR229" s="3628"/>
      <c r="AS229" s="3628"/>
      <c r="AT229" s="3628"/>
    </row>
    <row r="230" spans="6:46">
      <c r="F230" s="3628"/>
      <c r="G230" s="3628"/>
      <c r="H230" s="3628"/>
      <c r="I230" s="3628"/>
      <c r="J230" s="3628"/>
      <c r="K230" s="3628"/>
      <c r="L230" s="3628"/>
      <c r="M230" s="3628"/>
      <c r="N230" s="3628"/>
      <c r="O230" s="3628"/>
      <c r="P230" s="3628"/>
      <c r="Q230" s="3628"/>
      <c r="R230" s="3628"/>
      <c r="S230" s="3628"/>
      <c r="T230" s="3628"/>
      <c r="U230" s="3628"/>
      <c r="V230" s="3628"/>
      <c r="W230" s="3628"/>
      <c r="X230" s="3628"/>
      <c r="Y230" s="3628"/>
      <c r="Z230" s="3628"/>
      <c r="AA230" s="3628"/>
      <c r="AB230" s="3628"/>
      <c r="AC230" s="3628"/>
      <c r="AD230" s="3628"/>
      <c r="AE230" s="3628"/>
      <c r="AF230" s="3628"/>
      <c r="AG230" s="3628"/>
      <c r="AH230" s="3628"/>
      <c r="AI230" s="3628"/>
      <c r="AJ230" s="3628"/>
      <c r="AK230" s="3628"/>
      <c r="AL230" s="3628"/>
      <c r="AM230" s="3628"/>
      <c r="AN230" s="3628"/>
      <c r="AO230" s="3628"/>
      <c r="AP230" s="3628"/>
      <c r="AQ230" s="3628"/>
      <c r="AR230" s="3628"/>
      <c r="AS230" s="3628"/>
      <c r="AT230" s="3628"/>
    </row>
    <row r="231" spans="6:46">
      <c r="F231" s="3628"/>
      <c r="G231" s="3628"/>
      <c r="H231" s="3628"/>
      <c r="I231" s="3628"/>
      <c r="J231" s="3628"/>
      <c r="K231" s="3628"/>
      <c r="L231" s="3628"/>
      <c r="M231" s="3628"/>
      <c r="N231" s="3628"/>
      <c r="O231" s="3628"/>
      <c r="P231" s="3628"/>
      <c r="Q231" s="3628"/>
      <c r="R231" s="3628"/>
      <c r="S231" s="3628"/>
      <c r="T231" s="3628"/>
      <c r="U231" s="3628"/>
      <c r="V231" s="3628"/>
      <c r="W231" s="3628"/>
      <c r="X231" s="3628"/>
      <c r="Y231" s="3628"/>
      <c r="Z231" s="3628"/>
      <c r="AA231" s="3628"/>
      <c r="AB231" s="3628"/>
      <c r="AC231" s="3628"/>
      <c r="AD231" s="3628"/>
      <c r="AE231" s="3628"/>
      <c r="AF231" s="3628"/>
      <c r="AG231" s="3628"/>
      <c r="AH231" s="3628"/>
      <c r="AI231" s="3628"/>
      <c r="AJ231" s="3628"/>
      <c r="AK231" s="3628"/>
      <c r="AL231" s="3628"/>
      <c r="AM231" s="3628"/>
      <c r="AN231" s="3628"/>
      <c r="AO231" s="3628"/>
      <c r="AP231" s="3628"/>
      <c r="AQ231" s="3628"/>
      <c r="AR231" s="3628"/>
      <c r="AS231" s="3628"/>
      <c r="AT231" s="3628"/>
    </row>
  </sheetData>
  <sheetProtection formatCells="0" formatColumns="0" formatRows="0" insertColumns="0" insertRows="0" insertHyperlinks="0" deleteColumns="0" deleteRows="0"/>
  <autoFilter ref="C2:C47" xr:uid="{4F83B6DA-1DEB-42D0-A1D4-890763E972E5}"/>
  <mergeCells count="7">
    <mergeCell ref="G1:G2"/>
    <mergeCell ref="D2:E2"/>
    <mergeCell ref="A47:B47"/>
    <mergeCell ref="A1:A2"/>
    <mergeCell ref="B1:B2"/>
    <mergeCell ref="D1:E1"/>
    <mergeCell ref="F1:F2"/>
  </mergeCells>
  <pageMargins left="0.70866141732283505" right="0.70866141732283505" top="0.74803149606299202" bottom="0.74803149606299202" header="0.31496062992126" footer="0.31496062992126"/>
  <pageSetup paperSize="9" scale="60" fitToHeight="6" orientation="landscape" r:id="rId1"/>
  <headerFooter>
    <oddFooter>&amp;C&amp;P of &amp;N&amp;R&amp;A</oddFooter>
  </headerFooter>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CDCC9-D07E-44A7-A415-6EE4121B4FD6}">
  <sheetPr codeName="Sheet26">
    <tabColor rgb="FF7030A0"/>
  </sheetPr>
  <dimension ref="A1:R215"/>
  <sheetViews>
    <sheetView zoomScale="60" zoomScaleNormal="60" workbookViewId="0">
      <pane ySplit="7" topLeftCell="A8" activePane="bottomLeft" state="frozen"/>
      <selection activeCell="C41" sqref="C41"/>
      <selection pane="bottomLeft" activeCell="C41" sqref="C41"/>
    </sheetView>
  </sheetViews>
  <sheetFormatPr defaultColWidth="9" defaultRowHeight="12"/>
  <cols>
    <col min="1" max="1" width="5" style="1118" customWidth="1"/>
    <col min="2" max="2" width="8.85546875" style="1118" customWidth="1"/>
    <col min="3" max="3" width="9" style="1118"/>
    <col min="4" max="4" width="26.85546875" style="1118" bestFit="1" customWidth="1"/>
    <col min="5" max="5" width="9" style="1118"/>
    <col min="6" max="6" width="49" style="1118" customWidth="1"/>
    <col min="7" max="7" width="10" style="1118" customWidth="1"/>
    <col min="8" max="8" width="9.85546875" style="1118" customWidth="1"/>
    <col min="9" max="9" width="9" style="1118"/>
    <col min="10" max="10" width="13.85546875" style="1118" bestFit="1" customWidth="1"/>
    <col min="11" max="11" width="13" style="1118" bestFit="1" customWidth="1"/>
    <col min="12" max="16" width="9" style="1118"/>
    <col min="17" max="17" width="12.85546875" style="1118" customWidth="1"/>
    <col min="18" max="16384" width="9" style="1118"/>
  </cols>
  <sheetData>
    <row r="1" spans="1:18" ht="12.75" thickBot="1"/>
    <row r="2" spans="1:18" ht="12.75" thickBot="1">
      <c r="J2" s="1119" t="s">
        <v>1946</v>
      </c>
      <c r="K2" s="1119" t="s">
        <v>1947</v>
      </c>
    </row>
    <row r="3" spans="1:18" ht="12.75" thickBot="1">
      <c r="J3" s="1459">
        <f>DATE(YEAR(EOMONTH(DATEVALUE(G5&amp;H5),-1)+1),MONTH(EOMONTH(DATEVALUE(G5&amp;H5),-1)+1)-1,DAY(EOMONTH(DATEVALUE(G5&amp;H5),-1)+1)+28)</f>
        <v>45472</v>
      </c>
      <c r="K3" s="1459">
        <f>DATE(YEAR(EOMONTH(DATEVALUE(G5&amp;H5),-1)+1),MONTH(EOMONTH(DATEVALUE(G5&amp;H5),-1)+1),DAY(EOMONTH(DATEVALUE(G5&amp;H5),-1)+1)+27)</f>
        <v>45501</v>
      </c>
      <c r="L3" s="1120"/>
    </row>
    <row r="4" spans="1:18" ht="12.75" thickBot="1">
      <c r="L4" s="1120"/>
    </row>
    <row r="5" spans="1:18" ht="12.75" thickBot="1">
      <c r="G5" s="1458" t="s">
        <v>4545</v>
      </c>
      <c r="H5" s="1458">
        <v>2024</v>
      </c>
      <c r="K5" s="1120"/>
    </row>
    <row r="6" spans="1:18" ht="12.75" thickBot="1">
      <c r="R6" s="1450">
        <f>COUNTIF(R8:R215,"&lt;&gt;0")</f>
        <v>1</v>
      </c>
    </row>
    <row r="7" spans="1:18" ht="71.25">
      <c r="A7" s="1121" t="s">
        <v>1948</v>
      </c>
      <c r="B7" s="1121" t="s">
        <v>1949</v>
      </c>
      <c r="C7" s="1121" t="s">
        <v>1950</v>
      </c>
      <c r="D7" s="1121" t="s">
        <v>1951</v>
      </c>
      <c r="E7" s="1121" t="s">
        <v>1952</v>
      </c>
      <c r="F7" s="1121" t="s">
        <v>292</v>
      </c>
      <c r="G7" s="1121" t="s">
        <v>1953</v>
      </c>
      <c r="H7" s="1121" t="s">
        <v>1954</v>
      </c>
      <c r="I7" s="1121" t="s">
        <v>1955</v>
      </c>
      <c r="J7" s="1121" t="s">
        <v>1956</v>
      </c>
      <c r="K7" s="1122" t="s">
        <v>343</v>
      </c>
      <c r="L7" s="1122" t="s">
        <v>1957</v>
      </c>
      <c r="M7" s="1123" t="s">
        <v>1958</v>
      </c>
      <c r="N7" s="1123" t="s">
        <v>1959</v>
      </c>
      <c r="O7" s="1123" t="s">
        <v>159</v>
      </c>
      <c r="P7" s="1124" t="s">
        <v>1960</v>
      </c>
      <c r="Q7" s="1124" t="s">
        <v>1961</v>
      </c>
      <c r="R7" s="1128" t="s">
        <v>574</v>
      </c>
    </row>
    <row r="8" spans="1:18" ht="15">
      <c r="A8" s="1125">
        <f>ROW()-7</f>
        <v>1</v>
      </c>
      <c r="B8" s="1126">
        <v>1</v>
      </c>
      <c r="C8" s="1126" t="str">
        <f>IFERROR(VLOOKUP($D8,dropdowns!$J$3:$Q$16,7,0)," ")</f>
        <v xml:space="preserve"> </v>
      </c>
      <c r="D8" s="1126" t="str">
        <f>IFERROR(INDEX('Schedule C'!$A$34:$BA$313,MATCH('EI - (F1 - F2)'!$R8,'Schedule C'!$A$34:$A$313,0),14)," ")</f>
        <v xml:space="preserve"> </v>
      </c>
      <c r="E8" s="1126" t="str">
        <f>IFERROR(VLOOKUP($D8,dropdowns!$J$3:$Q$16,8,0)," ")</f>
        <v xml:space="preserve"> </v>
      </c>
      <c r="F8" s="1126" t="str">
        <f>IFERROR(INDEX('Schedule C'!$A$34:$BA$313,MATCH('EI - (F1 - F2)'!$R8,'Schedule C'!$A$34:$A$313,0),2)," ")</f>
        <v xml:space="preserve"> </v>
      </c>
      <c r="G8" s="1126" t="str">
        <f>IFERROR(INDEX('Schedule C'!$A$34:$BA$313,MATCH('EI - (F1 - F2)'!$R8,'Schedule C'!$A$34:$A$313,0),38)," ")</f>
        <v xml:space="preserve"> </v>
      </c>
      <c r="H8" s="1127" t="str">
        <f>IFERROR(INDEX('Schedule C'!$A$34:$BA$313,MATCH('EI - (F1 - F2)'!$R8,'Schedule C'!$A$34:$A$313,0),39)," ")</f>
        <v xml:space="preserve"> </v>
      </c>
      <c r="I8" s="1129" t="str">
        <f t="shared" ref="I8:N23" si="0">IF($R8=0," ","NA")</f>
        <v xml:space="preserve"> </v>
      </c>
      <c r="J8" s="1129" t="str">
        <f t="shared" si="0"/>
        <v xml:space="preserve"> </v>
      </c>
      <c r="K8" s="1129" t="str">
        <f t="shared" si="0"/>
        <v xml:space="preserve"> </v>
      </c>
      <c r="L8" s="1129" t="str">
        <f t="shared" si="0"/>
        <v xml:space="preserve"> </v>
      </c>
      <c r="M8" s="1129" t="str">
        <f t="shared" si="0"/>
        <v xml:space="preserve"> </v>
      </c>
      <c r="N8" s="1129" t="str">
        <f t="shared" si="0"/>
        <v xml:space="preserve"> </v>
      </c>
      <c r="O8" s="1129" t="str">
        <f>IF($R8=0," ","OPEN")</f>
        <v xml:space="preserve"> </v>
      </c>
      <c r="P8" s="1130" t="str">
        <f>IF($R8=0," ",H8+90)</f>
        <v xml:space="preserve"> </v>
      </c>
      <c r="Q8" s="1131" t="str">
        <f>IF(R8=0," ",(H8+90)-$K$3)</f>
        <v xml:space="preserve"> </v>
      </c>
      <c r="R8" s="1118">
        <f>IF('Schedule C'!AM34&gt;='EI - (F1 - F2)'!J$3,IF('Schedule C'!AM34&lt;='EI - (F1 - F2)'!K$3,'Schedule C'!A34,0),0)</f>
        <v>0</v>
      </c>
    </row>
    <row r="9" spans="1:18" ht="15">
      <c r="A9" s="1125">
        <f t="shared" ref="A9:A97" si="1">ROW()-7</f>
        <v>2</v>
      </c>
      <c r="B9" s="1126">
        <v>1</v>
      </c>
      <c r="C9" s="1126" t="str">
        <f>IFERROR(VLOOKUP(D9,dropdowns!$J$3:$Q$16,7,0)," ")</f>
        <v xml:space="preserve"> </v>
      </c>
      <c r="D9" s="1126" t="str">
        <f>IFERROR(INDEX('Schedule C'!$A$34:$BA$313,MATCH('EI - (F1 - F2)'!$R9,'Schedule C'!$A$34:$A$313,0),14)," ")</f>
        <v xml:space="preserve"> </v>
      </c>
      <c r="E9" s="1126" t="str">
        <f>IFERROR(VLOOKUP($D9,dropdowns!$J$3:$Q$16,8,0)," ")</f>
        <v xml:space="preserve"> </v>
      </c>
      <c r="F9" s="1126" t="str">
        <f>IFERROR(INDEX('Schedule C'!$A$34:$BA$313,MATCH('EI - (F1 - F2)'!$R9,'Schedule C'!$A$34:$A$313,0),2)," ")</f>
        <v xml:space="preserve"> </v>
      </c>
      <c r="G9" s="1126" t="str">
        <f>IFERROR(INDEX('Schedule C'!$A$34:$BA$313,MATCH('EI - (F1 - F2)'!$R9,'Schedule C'!$A$34:$A$313,0),38)," ")</f>
        <v xml:space="preserve"> </v>
      </c>
      <c r="H9" s="1127" t="str">
        <f>IFERROR(INDEX('Schedule C'!$A$34:$BA$313,MATCH('EI - (F1 - F2)'!$R9,'Schedule C'!$A$34:$A$313,0),39)," ")</f>
        <v xml:space="preserve"> </v>
      </c>
      <c r="I9" s="1129" t="str">
        <f t="shared" si="0"/>
        <v xml:space="preserve"> </v>
      </c>
      <c r="J9" s="1129" t="str">
        <f t="shared" si="0"/>
        <v xml:space="preserve"> </v>
      </c>
      <c r="K9" s="1129" t="str">
        <f t="shared" si="0"/>
        <v xml:space="preserve"> </v>
      </c>
      <c r="L9" s="1129" t="str">
        <f t="shared" si="0"/>
        <v xml:space="preserve"> </v>
      </c>
      <c r="M9" s="1129" t="str">
        <f t="shared" si="0"/>
        <v xml:space="preserve"> </v>
      </c>
      <c r="N9" s="1129" t="str">
        <f t="shared" si="0"/>
        <v xml:space="preserve"> </v>
      </c>
      <c r="O9" s="1129" t="str">
        <f t="shared" ref="O9:O72" si="2">IF($R9=0," ","OPEN")</f>
        <v xml:space="preserve"> </v>
      </c>
      <c r="P9" s="1130" t="str">
        <f t="shared" ref="P9:P72" si="3">IF($R9=0," ",H9+90)</f>
        <v xml:space="preserve"> </v>
      </c>
      <c r="Q9" s="1131" t="str">
        <f t="shared" ref="Q9:Q72" si="4">IF(R9=0," ",(H9+90)-$K$3)</f>
        <v xml:space="preserve"> </v>
      </c>
      <c r="R9" s="1118">
        <f>IF('Schedule C'!AM35&gt;='EI - (F1 - F2)'!J$3,IF('Schedule C'!AM35&lt;='EI - (F1 - F2)'!K$3,'Schedule C'!A35,0),0)</f>
        <v>0</v>
      </c>
    </row>
    <row r="10" spans="1:18" ht="15">
      <c r="A10" s="1125">
        <f t="shared" si="1"/>
        <v>3</v>
      </c>
      <c r="B10" s="1126">
        <v>1</v>
      </c>
      <c r="C10" s="1126" t="str">
        <f>IFERROR(VLOOKUP(D10,dropdowns!$J$3:$Q$16,7,0)," ")</f>
        <v xml:space="preserve"> </v>
      </c>
      <c r="D10" s="1126" t="str">
        <f>IFERROR(INDEX('Schedule C'!$A$34:$BA$313,MATCH('EI - (F1 - F2)'!$R10,'Schedule C'!$A$34:$A$313,0),14)," ")</f>
        <v xml:space="preserve"> </v>
      </c>
      <c r="E10" s="1126" t="str">
        <f>IFERROR(VLOOKUP($D10,dropdowns!$J$3:$Q$16,8,0)," ")</f>
        <v xml:space="preserve"> </v>
      </c>
      <c r="F10" s="1126" t="str">
        <f>IFERROR(INDEX('Schedule C'!$A$34:$BA$313,MATCH('EI - (F1 - F2)'!$R10,'Schedule C'!$A$34:$A$313,0),2)," ")</f>
        <v xml:space="preserve"> </v>
      </c>
      <c r="G10" s="1126" t="str">
        <f>IFERROR(INDEX('Schedule C'!$A$34:$BA$313,MATCH('EI - (F1 - F2)'!$R10,'Schedule C'!$A$34:$A$313,0),38)," ")</f>
        <v xml:space="preserve"> </v>
      </c>
      <c r="H10" s="1127" t="str">
        <f>IFERROR(INDEX('Schedule C'!$A$34:$BA$313,MATCH('EI - (F1 - F2)'!$R10,'Schedule C'!$A$34:$A$313,0),39)," ")</f>
        <v xml:space="preserve"> </v>
      </c>
      <c r="I10" s="1129" t="str">
        <f t="shared" si="0"/>
        <v xml:space="preserve"> </v>
      </c>
      <c r="J10" s="1129" t="str">
        <f t="shared" si="0"/>
        <v xml:space="preserve"> </v>
      </c>
      <c r="K10" s="1129" t="str">
        <f t="shared" si="0"/>
        <v xml:space="preserve"> </v>
      </c>
      <c r="L10" s="1129" t="str">
        <f t="shared" si="0"/>
        <v xml:space="preserve"> </v>
      </c>
      <c r="M10" s="1129" t="str">
        <f t="shared" si="0"/>
        <v xml:space="preserve"> </v>
      </c>
      <c r="N10" s="1129" t="str">
        <f t="shared" si="0"/>
        <v xml:space="preserve"> </v>
      </c>
      <c r="O10" s="1129" t="str">
        <f t="shared" si="2"/>
        <v xml:space="preserve"> </v>
      </c>
      <c r="P10" s="1130" t="str">
        <f t="shared" si="3"/>
        <v xml:space="preserve"> </v>
      </c>
      <c r="Q10" s="1131" t="str">
        <f t="shared" si="4"/>
        <v xml:space="preserve"> </v>
      </c>
      <c r="R10" s="1118">
        <f>IF('Schedule C'!AM36&gt;='EI - (F1 - F2)'!J$3,IF('Schedule C'!AM36&lt;='EI - (F1 - F2)'!K$3,'Schedule C'!A36,0),0)</f>
        <v>0</v>
      </c>
    </row>
    <row r="11" spans="1:18" ht="15">
      <c r="A11" s="1125">
        <f t="shared" si="1"/>
        <v>4</v>
      </c>
      <c r="B11" s="1126">
        <v>1</v>
      </c>
      <c r="C11" s="1126" t="str">
        <f>IFERROR(VLOOKUP(D11,dropdowns!$J$3:$Q$16,7,0)," ")</f>
        <v xml:space="preserve"> </v>
      </c>
      <c r="D11" s="1126" t="str">
        <f>IFERROR(INDEX('Schedule C'!$A$34:$BA$313,MATCH('EI - (F1 - F2)'!$R11,'Schedule C'!$A$34:$A$313,0),14)," ")</f>
        <v xml:space="preserve"> </v>
      </c>
      <c r="E11" s="1126" t="str">
        <f>IFERROR(VLOOKUP($D11,dropdowns!$J$3:$Q$16,8,0)," ")</f>
        <v xml:space="preserve"> </v>
      </c>
      <c r="F11" s="1126" t="str">
        <f>IFERROR(INDEX('Schedule C'!$A$34:$BA$313,MATCH('EI - (F1 - F2)'!$R11,'Schedule C'!$A$34:$A$313,0),2)," ")</f>
        <v xml:space="preserve"> </v>
      </c>
      <c r="G11" s="1126" t="str">
        <f>IFERROR(INDEX('Schedule C'!$A$34:$BA$313,MATCH('EI - (F1 - F2)'!$R11,'Schedule C'!$A$34:$A$313,0),38)," ")</f>
        <v xml:space="preserve"> </v>
      </c>
      <c r="H11" s="1127" t="str">
        <f>IFERROR(INDEX('Schedule C'!$A$34:$BA$313,MATCH('EI - (F1 - F2)'!$R11,'Schedule C'!$A$34:$A$313,0),39)," ")</f>
        <v xml:space="preserve"> </v>
      </c>
      <c r="I11" s="1129" t="str">
        <f t="shared" si="0"/>
        <v xml:space="preserve"> </v>
      </c>
      <c r="J11" s="1129" t="str">
        <f t="shared" si="0"/>
        <v xml:space="preserve"> </v>
      </c>
      <c r="K11" s="1129" t="str">
        <f t="shared" si="0"/>
        <v xml:space="preserve"> </v>
      </c>
      <c r="L11" s="1129" t="str">
        <f t="shared" si="0"/>
        <v xml:space="preserve"> </v>
      </c>
      <c r="M11" s="1129" t="str">
        <f t="shared" si="0"/>
        <v xml:space="preserve"> </v>
      </c>
      <c r="N11" s="1129" t="str">
        <f t="shared" si="0"/>
        <v xml:space="preserve"> </v>
      </c>
      <c r="O11" s="1129" t="str">
        <f t="shared" si="2"/>
        <v xml:space="preserve"> </v>
      </c>
      <c r="P11" s="1130" t="str">
        <f t="shared" si="3"/>
        <v xml:space="preserve"> </v>
      </c>
      <c r="Q11" s="1131" t="str">
        <f t="shared" si="4"/>
        <v xml:space="preserve"> </v>
      </c>
      <c r="R11" s="1118">
        <f>IF('Schedule C'!AM37&gt;='EI - (F1 - F2)'!J$3,IF('Schedule C'!AM37&lt;='EI - (F1 - F2)'!K$3,'Schedule C'!A37,0),0)</f>
        <v>0</v>
      </c>
    </row>
    <row r="12" spans="1:18" ht="15">
      <c r="A12" s="1125">
        <f t="shared" si="1"/>
        <v>5</v>
      </c>
      <c r="B12" s="1126">
        <v>1</v>
      </c>
      <c r="C12" s="1126" t="str">
        <f>IFERROR(VLOOKUP(D12,dropdowns!$J$3:$Q$16,7,0)," ")</f>
        <v xml:space="preserve"> </v>
      </c>
      <c r="D12" s="1126" t="str">
        <f>IFERROR(INDEX('Schedule C'!$A$34:$BA$313,MATCH('EI - (F1 - F2)'!$R12,'Schedule C'!$A$34:$A$313,0),14)," ")</f>
        <v xml:space="preserve"> </v>
      </c>
      <c r="E12" s="1126" t="str">
        <f>IFERROR(VLOOKUP($D12,dropdowns!$J$3:$Q$16,8,0)," ")</f>
        <v xml:space="preserve"> </v>
      </c>
      <c r="F12" s="1126" t="str">
        <f>IFERROR(INDEX('Schedule C'!$A$34:$BA$313,MATCH('EI - (F1 - F2)'!$R12,'Schedule C'!$A$34:$A$313,0),2)," ")</f>
        <v xml:space="preserve"> </v>
      </c>
      <c r="G12" s="1126" t="str">
        <f>IFERROR(INDEX('Schedule C'!$A$34:$BA$313,MATCH('EI - (F1 - F2)'!$R12,'Schedule C'!$A$34:$A$313,0),38)," ")</f>
        <v xml:space="preserve"> </v>
      </c>
      <c r="H12" s="1127" t="str">
        <f>IFERROR(INDEX('Schedule C'!$A$34:$BA$313,MATCH('EI - (F1 - F2)'!$R12,'Schedule C'!$A$34:$A$313,0),39)," ")</f>
        <v xml:space="preserve"> </v>
      </c>
      <c r="I12" s="1129" t="str">
        <f t="shared" si="0"/>
        <v xml:space="preserve"> </v>
      </c>
      <c r="J12" s="1129" t="str">
        <f t="shared" si="0"/>
        <v xml:space="preserve"> </v>
      </c>
      <c r="K12" s="1129" t="str">
        <f t="shared" si="0"/>
        <v xml:space="preserve"> </v>
      </c>
      <c r="L12" s="1129" t="str">
        <f t="shared" si="0"/>
        <v xml:space="preserve"> </v>
      </c>
      <c r="M12" s="1129" t="str">
        <f t="shared" si="0"/>
        <v xml:space="preserve"> </v>
      </c>
      <c r="N12" s="1129" t="str">
        <f t="shared" si="0"/>
        <v xml:space="preserve"> </v>
      </c>
      <c r="O12" s="1129" t="str">
        <f t="shared" si="2"/>
        <v xml:space="preserve"> </v>
      </c>
      <c r="P12" s="1130" t="str">
        <f t="shared" si="3"/>
        <v xml:space="preserve"> </v>
      </c>
      <c r="Q12" s="1131" t="str">
        <f t="shared" si="4"/>
        <v xml:space="preserve"> </v>
      </c>
      <c r="R12" s="1118">
        <f>IF('Schedule C'!AM38&gt;='EI - (F1 - F2)'!J$3,IF('Schedule C'!AM38&lt;='EI - (F1 - F2)'!K$3,'Schedule C'!A38,0),0)</f>
        <v>0</v>
      </c>
    </row>
    <row r="13" spans="1:18" ht="15">
      <c r="A13" s="1125">
        <f t="shared" si="1"/>
        <v>6</v>
      </c>
      <c r="B13" s="1126">
        <v>1</v>
      </c>
      <c r="C13" s="1126" t="str">
        <f>IFERROR(VLOOKUP(D13,dropdowns!$J$3:$Q$16,7,0)," ")</f>
        <v xml:space="preserve"> </v>
      </c>
      <c r="D13" s="1126" t="str">
        <f>IFERROR(INDEX('Schedule C'!$A$34:$BA$313,MATCH('EI - (F1 - F2)'!$R13,'Schedule C'!$A$34:$A$313,0),14)," ")</f>
        <v xml:space="preserve"> </v>
      </c>
      <c r="E13" s="1126" t="str">
        <f>IFERROR(VLOOKUP($D13,dropdowns!$J$3:$Q$16,8,0)," ")</f>
        <v xml:space="preserve"> </v>
      </c>
      <c r="F13" s="1126" t="str">
        <f>IFERROR(INDEX('Schedule C'!$A$34:$BA$313,MATCH('EI - (F1 - F2)'!$R13,'Schedule C'!$A$34:$A$313,0),2)," ")</f>
        <v xml:space="preserve"> </v>
      </c>
      <c r="G13" s="1126" t="str">
        <f>IFERROR(INDEX('Schedule C'!$A$34:$BA$313,MATCH('EI - (F1 - F2)'!$R13,'Schedule C'!$A$34:$A$313,0),38)," ")</f>
        <v xml:space="preserve"> </v>
      </c>
      <c r="H13" s="1127" t="str">
        <f>IFERROR(INDEX('Schedule C'!$A$34:$BA$313,MATCH('EI - (F1 - F2)'!$R13,'Schedule C'!$A$34:$A$313,0),39)," ")</f>
        <v xml:space="preserve"> </v>
      </c>
      <c r="I13" s="1129" t="str">
        <f t="shared" si="0"/>
        <v xml:space="preserve"> </v>
      </c>
      <c r="J13" s="1129" t="str">
        <f t="shared" si="0"/>
        <v xml:space="preserve"> </v>
      </c>
      <c r="K13" s="1129" t="str">
        <f t="shared" si="0"/>
        <v xml:space="preserve"> </v>
      </c>
      <c r="L13" s="1129" t="str">
        <f t="shared" si="0"/>
        <v xml:space="preserve"> </v>
      </c>
      <c r="M13" s="1129" t="str">
        <f t="shared" si="0"/>
        <v xml:space="preserve"> </v>
      </c>
      <c r="N13" s="1129" t="str">
        <f t="shared" si="0"/>
        <v xml:space="preserve"> </v>
      </c>
      <c r="O13" s="1129" t="str">
        <f t="shared" si="2"/>
        <v xml:space="preserve"> </v>
      </c>
      <c r="P13" s="1130" t="str">
        <f t="shared" si="3"/>
        <v xml:space="preserve"> </v>
      </c>
      <c r="Q13" s="1131" t="str">
        <f t="shared" si="4"/>
        <v xml:space="preserve"> </v>
      </c>
      <c r="R13" s="1118">
        <f>IF('Schedule C'!AM39&gt;='EI - (F1 - F2)'!J$3,IF('Schedule C'!AM39&lt;='EI - (F1 - F2)'!K$3,'Schedule C'!A39,0),0)</f>
        <v>0</v>
      </c>
    </row>
    <row r="14" spans="1:18" ht="15">
      <c r="A14" s="1125">
        <f t="shared" si="1"/>
        <v>7</v>
      </c>
      <c r="B14" s="1126">
        <v>1</v>
      </c>
      <c r="C14" s="1126" t="str">
        <f>IFERROR(VLOOKUP(D14,dropdowns!$J$3:$Q$16,7,0)," ")</f>
        <v xml:space="preserve"> </v>
      </c>
      <c r="D14" s="1126" t="str">
        <f>IFERROR(INDEX('Schedule C'!$A$34:$BA$313,MATCH('EI - (F1 - F2)'!$R14,'Schedule C'!$A$34:$A$313,0),14)," ")</f>
        <v xml:space="preserve"> </v>
      </c>
      <c r="E14" s="1126" t="str">
        <f>IFERROR(VLOOKUP($D14,dropdowns!$J$3:$Q$16,8,0)," ")</f>
        <v xml:space="preserve"> </v>
      </c>
      <c r="F14" s="1126" t="str">
        <f>IFERROR(INDEX('Schedule C'!$A$34:$BA$313,MATCH('EI - (F1 - F2)'!$R14,'Schedule C'!$A$34:$A$313,0),2)," ")</f>
        <v xml:space="preserve"> </v>
      </c>
      <c r="G14" s="1126" t="str">
        <f>IFERROR(INDEX('Schedule C'!$A$34:$BA$313,MATCH('EI - (F1 - F2)'!$R14,'Schedule C'!$A$34:$A$313,0),38)," ")</f>
        <v xml:space="preserve"> </v>
      </c>
      <c r="H14" s="1127" t="str">
        <f>IFERROR(INDEX('Schedule C'!$A$34:$BA$313,MATCH('EI - (F1 - F2)'!$R14,'Schedule C'!$A$34:$A$313,0),39)," ")</f>
        <v xml:space="preserve"> </v>
      </c>
      <c r="I14" s="1129" t="str">
        <f t="shared" si="0"/>
        <v xml:space="preserve"> </v>
      </c>
      <c r="J14" s="1129" t="str">
        <f t="shared" si="0"/>
        <v xml:space="preserve"> </v>
      </c>
      <c r="K14" s="1129" t="str">
        <f t="shared" si="0"/>
        <v xml:space="preserve"> </v>
      </c>
      <c r="L14" s="1129" t="str">
        <f t="shared" si="0"/>
        <v xml:space="preserve"> </v>
      </c>
      <c r="M14" s="1129" t="str">
        <f t="shared" si="0"/>
        <v xml:space="preserve"> </v>
      </c>
      <c r="N14" s="1129" t="str">
        <f t="shared" si="0"/>
        <v xml:space="preserve"> </v>
      </c>
      <c r="O14" s="1129" t="str">
        <f t="shared" si="2"/>
        <v xml:space="preserve"> </v>
      </c>
      <c r="P14" s="1130" t="str">
        <f t="shared" si="3"/>
        <v xml:space="preserve"> </v>
      </c>
      <c r="Q14" s="1131" t="str">
        <f t="shared" si="4"/>
        <v xml:space="preserve"> </v>
      </c>
      <c r="R14" s="1118">
        <f>IF('Schedule C'!AM40&gt;='EI - (F1 - F2)'!J$3,IF('Schedule C'!AM40&lt;='EI - (F1 - F2)'!K$3,'Schedule C'!A40,0),0)</f>
        <v>0</v>
      </c>
    </row>
    <row r="15" spans="1:18" ht="15">
      <c r="A15" s="1125">
        <f t="shared" si="1"/>
        <v>8</v>
      </c>
      <c r="B15" s="1126">
        <v>1</v>
      </c>
      <c r="C15" s="1126" t="str">
        <f>IFERROR(VLOOKUP(D15,dropdowns!$J$3:$Q$16,7,0)," ")</f>
        <v xml:space="preserve"> </v>
      </c>
      <c r="D15" s="1126" t="str">
        <f>IFERROR(INDEX('Schedule C'!$A$34:$BA$313,MATCH('EI - (F1 - F2)'!$R15,'Schedule C'!$A$34:$A$313,0),14)," ")</f>
        <v xml:space="preserve"> </v>
      </c>
      <c r="E15" s="1126" t="str">
        <f>IFERROR(VLOOKUP($D15,dropdowns!$J$3:$Q$16,8,0)," ")</f>
        <v xml:space="preserve"> </v>
      </c>
      <c r="F15" s="1126" t="str">
        <f>IFERROR(INDEX('Schedule C'!$A$34:$BA$313,MATCH('EI - (F1 - F2)'!$R15,'Schedule C'!$A$34:$A$313,0),2)," ")</f>
        <v xml:space="preserve"> </v>
      </c>
      <c r="G15" s="1126" t="str">
        <f>IFERROR(INDEX('Schedule C'!$A$34:$BA$313,MATCH('EI - (F1 - F2)'!$R15,'Schedule C'!$A$34:$A$313,0),38)," ")</f>
        <v xml:space="preserve"> </v>
      </c>
      <c r="H15" s="1127" t="str">
        <f>IFERROR(INDEX('Schedule C'!$A$34:$BA$313,MATCH('EI - (F1 - F2)'!$R15,'Schedule C'!$A$34:$A$313,0),39)," ")</f>
        <v xml:space="preserve"> </v>
      </c>
      <c r="I15" s="1129" t="str">
        <f t="shared" si="0"/>
        <v xml:space="preserve"> </v>
      </c>
      <c r="J15" s="1129" t="str">
        <f t="shared" si="0"/>
        <v xml:space="preserve"> </v>
      </c>
      <c r="K15" s="1129" t="str">
        <f t="shared" si="0"/>
        <v xml:space="preserve"> </v>
      </c>
      <c r="L15" s="1129" t="str">
        <f t="shared" si="0"/>
        <v xml:space="preserve"> </v>
      </c>
      <c r="M15" s="1129" t="str">
        <f t="shared" si="0"/>
        <v xml:space="preserve"> </v>
      </c>
      <c r="N15" s="1129" t="str">
        <f t="shared" si="0"/>
        <v xml:space="preserve"> </v>
      </c>
      <c r="O15" s="1129" t="str">
        <f t="shared" si="2"/>
        <v xml:space="preserve"> </v>
      </c>
      <c r="P15" s="1130" t="str">
        <f t="shared" si="3"/>
        <v xml:space="preserve"> </v>
      </c>
      <c r="Q15" s="1131" t="str">
        <f t="shared" si="4"/>
        <v xml:space="preserve"> </v>
      </c>
      <c r="R15" s="1118">
        <f>IF('Schedule C'!AM41&gt;='EI - (F1 - F2)'!J$3,IF('Schedule C'!AM41&lt;='EI - (F1 - F2)'!K$3,'Schedule C'!A41,0),0)</f>
        <v>0</v>
      </c>
    </row>
    <row r="16" spans="1:18" ht="15">
      <c r="A16" s="1125">
        <f t="shared" si="1"/>
        <v>9</v>
      </c>
      <c r="B16" s="1126">
        <v>1</v>
      </c>
      <c r="C16" s="1126" t="str">
        <f>IFERROR(VLOOKUP(D16,dropdowns!$J$3:$Q$16,7,0)," ")</f>
        <v xml:space="preserve"> </v>
      </c>
      <c r="D16" s="1126" t="str">
        <f>IFERROR(INDEX('Schedule C'!$A$34:$BA$313,MATCH('EI - (F1 - F2)'!$R16,'Schedule C'!$A$34:$A$313,0),14)," ")</f>
        <v xml:space="preserve"> </v>
      </c>
      <c r="E16" s="1126" t="str">
        <f>IFERROR(VLOOKUP($D16,dropdowns!$J$3:$Q$16,8,0)," ")</f>
        <v xml:space="preserve"> </v>
      </c>
      <c r="F16" s="1126" t="str">
        <f>IFERROR(INDEX('Schedule C'!$A$34:$BA$313,MATCH('EI - (F1 - F2)'!$R16,'Schedule C'!$A$34:$A$313,0),2)," ")</f>
        <v xml:space="preserve"> </v>
      </c>
      <c r="G16" s="1126" t="str">
        <f>IFERROR(INDEX('Schedule C'!$A$34:$BA$313,MATCH('EI - (F1 - F2)'!$R16,'Schedule C'!$A$34:$A$313,0),38)," ")</f>
        <v xml:space="preserve"> </v>
      </c>
      <c r="H16" s="1127" t="str">
        <f>IFERROR(INDEX('Schedule C'!$A$34:$BA$313,MATCH('EI - (F1 - F2)'!$R16,'Schedule C'!$A$34:$A$313,0),39)," ")</f>
        <v xml:space="preserve"> </v>
      </c>
      <c r="I16" s="1129" t="str">
        <f t="shared" si="0"/>
        <v xml:space="preserve"> </v>
      </c>
      <c r="J16" s="1129" t="str">
        <f t="shared" si="0"/>
        <v xml:space="preserve"> </v>
      </c>
      <c r="K16" s="1129" t="str">
        <f t="shared" si="0"/>
        <v xml:space="preserve"> </v>
      </c>
      <c r="L16" s="1129" t="str">
        <f t="shared" si="0"/>
        <v xml:space="preserve"> </v>
      </c>
      <c r="M16" s="1129" t="str">
        <f t="shared" si="0"/>
        <v xml:space="preserve"> </v>
      </c>
      <c r="N16" s="1129" t="str">
        <f t="shared" si="0"/>
        <v xml:space="preserve"> </v>
      </c>
      <c r="O16" s="1129" t="str">
        <f t="shared" si="2"/>
        <v xml:space="preserve"> </v>
      </c>
      <c r="P16" s="1130" t="str">
        <f t="shared" si="3"/>
        <v xml:space="preserve"> </v>
      </c>
      <c r="Q16" s="1131" t="str">
        <f t="shared" si="4"/>
        <v xml:space="preserve"> </v>
      </c>
      <c r="R16" s="1118">
        <f>IF('Schedule C'!AM42&gt;='EI - (F1 - F2)'!J$3,IF('Schedule C'!AM42&lt;='EI - (F1 - F2)'!K$3,'Schedule C'!A42,0),0)</f>
        <v>0</v>
      </c>
    </row>
    <row r="17" spans="1:18" ht="15">
      <c r="A17" s="1125">
        <f t="shared" si="1"/>
        <v>10</v>
      </c>
      <c r="B17" s="1126">
        <v>1</v>
      </c>
      <c r="C17" s="1126" t="str">
        <f>IFERROR(VLOOKUP(D17,dropdowns!$J$3:$Q$16,7,0)," ")</f>
        <v xml:space="preserve"> </v>
      </c>
      <c r="D17" s="1126" t="str">
        <f>IFERROR(INDEX('Schedule C'!$A$34:$BA$313,MATCH('EI - (F1 - F2)'!$R17,'Schedule C'!$A$34:$A$313,0),14)," ")</f>
        <v xml:space="preserve"> </v>
      </c>
      <c r="E17" s="1126" t="str">
        <f>IFERROR(VLOOKUP($D17,dropdowns!$J$3:$Q$16,8,0)," ")</f>
        <v xml:space="preserve"> </v>
      </c>
      <c r="F17" s="1126" t="str">
        <f>IFERROR(INDEX('Schedule C'!$A$34:$BA$313,MATCH('EI - (F1 - F2)'!$R17,'Schedule C'!$A$34:$A$313,0),2)," ")</f>
        <v xml:space="preserve"> </v>
      </c>
      <c r="G17" s="1126" t="str">
        <f>IFERROR(INDEX('Schedule C'!$A$34:$BA$313,MATCH('EI - (F1 - F2)'!$R17,'Schedule C'!$A$34:$A$313,0),38)," ")</f>
        <v xml:space="preserve"> </v>
      </c>
      <c r="H17" s="1127" t="str">
        <f>IFERROR(INDEX('Schedule C'!$A$34:$BA$313,MATCH('EI - (F1 - F2)'!$R17,'Schedule C'!$A$34:$A$313,0),39)," ")</f>
        <v xml:space="preserve"> </v>
      </c>
      <c r="I17" s="1129" t="str">
        <f t="shared" si="0"/>
        <v xml:space="preserve"> </v>
      </c>
      <c r="J17" s="1129" t="str">
        <f t="shared" si="0"/>
        <v xml:space="preserve"> </v>
      </c>
      <c r="K17" s="1129" t="str">
        <f t="shared" si="0"/>
        <v xml:space="preserve"> </v>
      </c>
      <c r="L17" s="1129" t="str">
        <f t="shared" si="0"/>
        <v xml:space="preserve"> </v>
      </c>
      <c r="M17" s="1129" t="str">
        <f t="shared" si="0"/>
        <v xml:space="preserve"> </v>
      </c>
      <c r="N17" s="1129" t="str">
        <f t="shared" si="0"/>
        <v xml:space="preserve"> </v>
      </c>
      <c r="O17" s="1129" t="str">
        <f t="shared" si="2"/>
        <v xml:space="preserve"> </v>
      </c>
      <c r="P17" s="1130" t="str">
        <f t="shared" si="3"/>
        <v xml:space="preserve"> </v>
      </c>
      <c r="Q17" s="1131" t="str">
        <f t="shared" si="4"/>
        <v xml:space="preserve"> </v>
      </c>
      <c r="R17" s="1118">
        <f>IF('Schedule C'!AM43&gt;='EI - (F1 - F2)'!J$3,IF('Schedule C'!AM43&lt;='EI - (F1 - F2)'!K$3,'Schedule C'!A43,0),0)</f>
        <v>0</v>
      </c>
    </row>
    <row r="18" spans="1:18" ht="15">
      <c r="A18" s="1125">
        <f t="shared" si="1"/>
        <v>11</v>
      </c>
      <c r="B18" s="1126">
        <v>1</v>
      </c>
      <c r="C18" s="1126" t="str">
        <f>IFERROR(VLOOKUP(D18,dropdowns!$J$3:$Q$16,7,0)," ")</f>
        <v xml:space="preserve"> </v>
      </c>
      <c r="D18" s="1126" t="str">
        <f>IFERROR(INDEX('Schedule C'!$A$34:$BA$313,MATCH('EI - (F1 - F2)'!$R18,'Schedule C'!$A$34:$A$313,0),14)," ")</f>
        <v xml:space="preserve"> </v>
      </c>
      <c r="E18" s="1126" t="str">
        <f>IFERROR(VLOOKUP($D18,dropdowns!$J$3:$Q$16,8,0)," ")</f>
        <v xml:space="preserve"> </v>
      </c>
      <c r="F18" s="1126" t="str">
        <f>IFERROR(INDEX('Schedule C'!$A$34:$BA$313,MATCH('EI - (F1 - F2)'!$R18,'Schedule C'!$A$34:$A$313,0),2)," ")</f>
        <v xml:space="preserve"> </v>
      </c>
      <c r="G18" s="1126" t="str">
        <f>IFERROR(INDEX('Schedule C'!$A$34:$BA$313,MATCH('EI - (F1 - F2)'!$R18,'Schedule C'!$A$34:$A$313,0),38)," ")</f>
        <v xml:space="preserve"> </v>
      </c>
      <c r="H18" s="1127" t="str">
        <f>IFERROR(INDEX('Schedule C'!$A$34:$BA$313,MATCH('EI - (F1 - F2)'!$R18,'Schedule C'!$A$34:$A$313,0),39)," ")</f>
        <v xml:space="preserve"> </v>
      </c>
      <c r="I18" s="1129" t="str">
        <f t="shared" si="0"/>
        <v xml:space="preserve"> </v>
      </c>
      <c r="J18" s="1129" t="str">
        <f t="shared" si="0"/>
        <v xml:space="preserve"> </v>
      </c>
      <c r="K18" s="1129" t="str">
        <f t="shared" si="0"/>
        <v xml:space="preserve"> </v>
      </c>
      <c r="L18" s="1129" t="str">
        <f t="shared" si="0"/>
        <v xml:space="preserve"> </v>
      </c>
      <c r="M18" s="1129" t="str">
        <f t="shared" si="0"/>
        <v xml:space="preserve"> </v>
      </c>
      <c r="N18" s="1129" t="str">
        <f t="shared" si="0"/>
        <v xml:space="preserve"> </v>
      </c>
      <c r="O18" s="1129" t="str">
        <f t="shared" si="2"/>
        <v xml:space="preserve"> </v>
      </c>
      <c r="P18" s="1130" t="str">
        <f t="shared" si="3"/>
        <v xml:space="preserve"> </v>
      </c>
      <c r="Q18" s="1131" t="str">
        <f t="shared" si="4"/>
        <v xml:space="preserve"> </v>
      </c>
      <c r="R18" s="1118">
        <f>IF('Schedule C'!AM44&gt;='EI - (F1 - F2)'!J$3,IF('Schedule C'!AM44&lt;='EI - (F1 - F2)'!K$3,'Schedule C'!A44,0),0)</f>
        <v>0</v>
      </c>
    </row>
    <row r="19" spans="1:18" ht="15">
      <c r="A19" s="1125">
        <f t="shared" si="1"/>
        <v>12</v>
      </c>
      <c r="B19" s="1126">
        <v>1</v>
      </c>
      <c r="C19" s="1126" t="str">
        <f>IFERROR(VLOOKUP(D19,dropdowns!$J$3:$Q$16,7,0)," ")</f>
        <v xml:space="preserve"> </v>
      </c>
      <c r="D19" s="1126" t="str">
        <f>IFERROR(INDEX('Schedule C'!$A$34:$BA$313,MATCH('EI - (F1 - F2)'!$R19,'Schedule C'!$A$34:$A$313,0),14)," ")</f>
        <v xml:space="preserve"> </v>
      </c>
      <c r="E19" s="1126" t="str">
        <f>IFERROR(VLOOKUP($D19,dropdowns!$J$3:$Q$16,8,0)," ")</f>
        <v xml:space="preserve"> </v>
      </c>
      <c r="F19" s="1126" t="str">
        <f>IFERROR(INDEX('Schedule C'!$A$34:$BA$313,MATCH('EI - (F1 - F2)'!$R19,'Schedule C'!$A$34:$A$313,0),2)," ")</f>
        <v xml:space="preserve"> </v>
      </c>
      <c r="G19" s="1126" t="str">
        <f>IFERROR(INDEX('Schedule C'!$A$34:$BA$313,MATCH('EI - (F1 - F2)'!$R19,'Schedule C'!$A$34:$A$313,0),38)," ")</f>
        <v xml:space="preserve"> </v>
      </c>
      <c r="H19" s="1127" t="str">
        <f>IFERROR(INDEX('Schedule C'!$A$34:$BA$313,MATCH('EI - (F1 - F2)'!$R19,'Schedule C'!$A$34:$A$313,0),39)," ")</f>
        <v xml:space="preserve"> </v>
      </c>
      <c r="I19" s="1129" t="str">
        <f t="shared" si="0"/>
        <v xml:space="preserve"> </v>
      </c>
      <c r="J19" s="1129" t="str">
        <f t="shared" si="0"/>
        <v xml:space="preserve"> </v>
      </c>
      <c r="K19" s="1129" t="str">
        <f t="shared" si="0"/>
        <v xml:space="preserve"> </v>
      </c>
      <c r="L19" s="1129" t="str">
        <f t="shared" si="0"/>
        <v xml:space="preserve"> </v>
      </c>
      <c r="M19" s="1129" t="str">
        <f t="shared" si="0"/>
        <v xml:space="preserve"> </v>
      </c>
      <c r="N19" s="1129" t="str">
        <f t="shared" si="0"/>
        <v xml:space="preserve"> </v>
      </c>
      <c r="O19" s="1129" t="str">
        <f t="shared" si="2"/>
        <v xml:space="preserve"> </v>
      </c>
      <c r="P19" s="1130" t="str">
        <f t="shared" si="3"/>
        <v xml:space="preserve"> </v>
      </c>
      <c r="Q19" s="1131" t="str">
        <f t="shared" si="4"/>
        <v xml:space="preserve"> </v>
      </c>
      <c r="R19" s="1118">
        <f>IF('Schedule C'!AM45&gt;='EI - (F1 - F2)'!J$3,IF('Schedule C'!AM45&lt;='EI - (F1 - F2)'!K$3,'Schedule C'!A45,0),0)</f>
        <v>0</v>
      </c>
    </row>
    <row r="20" spans="1:18" ht="15">
      <c r="A20" s="1125">
        <f t="shared" si="1"/>
        <v>13</v>
      </c>
      <c r="B20" s="1126">
        <v>1</v>
      </c>
      <c r="C20" s="1126" t="str">
        <f>IFERROR(VLOOKUP(D20,dropdowns!$J$3:$Q$16,7,0)," ")</f>
        <v xml:space="preserve"> </v>
      </c>
      <c r="D20" s="1126" t="str">
        <f>IFERROR(INDEX('Schedule C'!$A$34:$BA$313,MATCH('EI - (F1 - F2)'!$R20,'Schedule C'!$A$34:$A$313,0),14)," ")</f>
        <v xml:space="preserve"> </v>
      </c>
      <c r="E20" s="1126" t="str">
        <f>IFERROR(VLOOKUP($D20,dropdowns!$J$3:$Q$16,8,0)," ")</f>
        <v xml:space="preserve"> </v>
      </c>
      <c r="F20" s="1126" t="str">
        <f>IFERROR(INDEX('Schedule C'!$A$34:$BA$313,MATCH('EI - (F1 - F2)'!$R20,'Schedule C'!$A$34:$A$313,0),2)," ")</f>
        <v xml:space="preserve"> </v>
      </c>
      <c r="G20" s="1126" t="str">
        <f>IFERROR(INDEX('Schedule C'!$A$34:$BA$313,MATCH('EI - (F1 - F2)'!$R20,'Schedule C'!$A$34:$A$313,0),38)," ")</f>
        <v xml:space="preserve"> </v>
      </c>
      <c r="H20" s="1127" t="str">
        <f>IFERROR(INDEX('Schedule C'!$A$34:$BA$313,MATCH('EI - (F1 - F2)'!$R20,'Schedule C'!$A$34:$A$313,0),39)," ")</f>
        <v xml:space="preserve"> </v>
      </c>
      <c r="I20" s="1129" t="str">
        <f t="shared" si="0"/>
        <v xml:space="preserve"> </v>
      </c>
      <c r="J20" s="1129" t="str">
        <f t="shared" si="0"/>
        <v xml:space="preserve"> </v>
      </c>
      <c r="K20" s="1129" t="str">
        <f t="shared" si="0"/>
        <v xml:space="preserve"> </v>
      </c>
      <c r="L20" s="1129" t="str">
        <f t="shared" si="0"/>
        <v xml:space="preserve"> </v>
      </c>
      <c r="M20" s="1129" t="str">
        <f t="shared" si="0"/>
        <v xml:space="preserve"> </v>
      </c>
      <c r="N20" s="1129" t="str">
        <f t="shared" si="0"/>
        <v xml:space="preserve"> </v>
      </c>
      <c r="O20" s="1129" t="str">
        <f t="shared" si="2"/>
        <v xml:space="preserve"> </v>
      </c>
      <c r="P20" s="1130" t="str">
        <f t="shared" si="3"/>
        <v xml:space="preserve"> </v>
      </c>
      <c r="Q20" s="1131" t="str">
        <f t="shared" si="4"/>
        <v xml:space="preserve"> </v>
      </c>
      <c r="R20" s="1118">
        <f>IF('Schedule C'!AM46&gt;='EI - (F1 - F2)'!J$3,IF('Schedule C'!AM46&lt;='EI - (F1 - F2)'!K$3,'Schedule C'!A46,0),0)</f>
        <v>0</v>
      </c>
    </row>
    <row r="21" spans="1:18" ht="15">
      <c r="A21" s="1125">
        <f t="shared" si="1"/>
        <v>14</v>
      </c>
      <c r="B21" s="1126">
        <v>1</v>
      </c>
      <c r="C21" s="1126" t="str">
        <f>IFERROR(VLOOKUP(D21,dropdowns!$J$3:$Q$16,7,0)," ")</f>
        <v xml:space="preserve"> </v>
      </c>
      <c r="D21" s="1126" t="str">
        <f>IFERROR(INDEX('Schedule C'!$A$34:$BA$313,MATCH('EI - (F1 - F2)'!$R21,'Schedule C'!$A$34:$A$313,0),14)," ")</f>
        <v xml:space="preserve"> </v>
      </c>
      <c r="E21" s="1126" t="str">
        <f>IFERROR(VLOOKUP($D21,dropdowns!$J$3:$Q$16,8,0)," ")</f>
        <v xml:space="preserve"> </v>
      </c>
      <c r="F21" s="1126" t="str">
        <f>IFERROR(INDEX('Schedule C'!$A$34:$BA$313,MATCH('EI - (F1 - F2)'!$R21,'Schedule C'!$A$34:$A$313,0),2)," ")</f>
        <v xml:space="preserve"> </v>
      </c>
      <c r="G21" s="1126" t="str">
        <f>IFERROR(INDEX('Schedule C'!$A$34:$BA$313,MATCH('EI - (F1 - F2)'!$R21,'Schedule C'!$A$34:$A$313,0),38)," ")</f>
        <v xml:space="preserve"> </v>
      </c>
      <c r="H21" s="1127" t="str">
        <f>IFERROR(INDEX('Schedule C'!$A$34:$BA$313,MATCH('EI - (F1 - F2)'!$R21,'Schedule C'!$A$34:$A$313,0),39)," ")</f>
        <v xml:space="preserve"> </v>
      </c>
      <c r="I21" s="1129" t="str">
        <f t="shared" si="0"/>
        <v xml:space="preserve"> </v>
      </c>
      <c r="J21" s="1129" t="str">
        <f t="shared" si="0"/>
        <v xml:space="preserve"> </v>
      </c>
      <c r="K21" s="1129" t="str">
        <f t="shared" si="0"/>
        <v xml:space="preserve"> </v>
      </c>
      <c r="L21" s="1129" t="str">
        <f t="shared" si="0"/>
        <v xml:space="preserve"> </v>
      </c>
      <c r="M21" s="1129" t="str">
        <f t="shared" si="0"/>
        <v xml:space="preserve"> </v>
      </c>
      <c r="N21" s="1129" t="str">
        <f t="shared" si="0"/>
        <v xml:space="preserve"> </v>
      </c>
      <c r="O21" s="1129" t="str">
        <f t="shared" si="2"/>
        <v xml:space="preserve"> </v>
      </c>
      <c r="P21" s="1130" t="str">
        <f t="shared" si="3"/>
        <v xml:space="preserve"> </v>
      </c>
      <c r="Q21" s="1131" t="str">
        <f t="shared" si="4"/>
        <v xml:space="preserve"> </v>
      </c>
      <c r="R21" s="1118">
        <f>IF('Schedule C'!AM47&gt;='EI - (F1 - F2)'!J$3,IF('Schedule C'!AM47&lt;='EI - (F1 - F2)'!K$3,'Schedule C'!A47,0),0)</f>
        <v>0</v>
      </c>
    </row>
    <row r="22" spans="1:18" ht="15">
      <c r="A22" s="1125">
        <f t="shared" si="1"/>
        <v>15</v>
      </c>
      <c r="B22" s="1126">
        <v>1</v>
      </c>
      <c r="C22" s="1126" t="str">
        <f>IFERROR(VLOOKUP(D22,dropdowns!$J$3:$Q$16,7,0)," ")</f>
        <v xml:space="preserve"> </v>
      </c>
      <c r="D22" s="1126" t="str">
        <f>IFERROR(INDEX('Schedule C'!$A$34:$BA$313,MATCH('EI - (F1 - F2)'!$R22,'Schedule C'!$A$34:$A$313,0),14)," ")</f>
        <v xml:space="preserve"> </v>
      </c>
      <c r="E22" s="1126" t="str">
        <f>IFERROR(VLOOKUP($D22,dropdowns!$J$3:$Q$16,8,0)," ")</f>
        <v xml:space="preserve"> </v>
      </c>
      <c r="F22" s="1126" t="str">
        <f>IFERROR(INDEX('Schedule C'!$A$34:$BA$313,MATCH('EI - (F1 - F2)'!$R22,'Schedule C'!$A$34:$A$313,0),2)," ")</f>
        <v xml:space="preserve"> </v>
      </c>
      <c r="G22" s="1126" t="str">
        <f>IFERROR(INDEX('Schedule C'!$A$34:$BA$313,MATCH('EI - (F1 - F2)'!$R22,'Schedule C'!$A$34:$A$313,0),38)," ")</f>
        <v xml:space="preserve"> </v>
      </c>
      <c r="H22" s="1127" t="str">
        <f>IFERROR(INDEX('Schedule C'!$A$34:$BA$313,MATCH('EI - (F1 - F2)'!$R22,'Schedule C'!$A$34:$A$313,0),39)," ")</f>
        <v xml:space="preserve"> </v>
      </c>
      <c r="I22" s="1129" t="str">
        <f t="shared" si="0"/>
        <v xml:space="preserve"> </v>
      </c>
      <c r="J22" s="1129" t="str">
        <f t="shared" si="0"/>
        <v xml:space="preserve"> </v>
      </c>
      <c r="K22" s="1129" t="str">
        <f t="shared" si="0"/>
        <v xml:space="preserve"> </v>
      </c>
      <c r="L22" s="1129" t="str">
        <f t="shared" si="0"/>
        <v xml:space="preserve"> </v>
      </c>
      <c r="M22" s="1129" t="str">
        <f t="shared" si="0"/>
        <v xml:space="preserve"> </v>
      </c>
      <c r="N22" s="1129" t="str">
        <f t="shared" si="0"/>
        <v xml:space="preserve"> </v>
      </c>
      <c r="O22" s="1129" t="str">
        <f t="shared" si="2"/>
        <v xml:space="preserve"> </v>
      </c>
      <c r="P22" s="1130" t="str">
        <f t="shared" si="3"/>
        <v xml:space="preserve"> </v>
      </c>
      <c r="Q22" s="1131" t="str">
        <f t="shared" si="4"/>
        <v xml:space="preserve"> </v>
      </c>
      <c r="R22" s="1118">
        <f>IF('Schedule C'!AM48&gt;='EI - (F1 - F2)'!J$3,IF('Schedule C'!AM48&lt;='EI - (F1 - F2)'!K$3,'Schedule C'!A48,0),0)</f>
        <v>0</v>
      </c>
    </row>
    <row r="23" spans="1:18" ht="15">
      <c r="A23" s="1125">
        <f t="shared" si="1"/>
        <v>16</v>
      </c>
      <c r="B23" s="1126">
        <v>1</v>
      </c>
      <c r="C23" s="1126" t="str">
        <f>IFERROR(VLOOKUP(D23,dropdowns!$J$3:$Q$16,7,0)," ")</f>
        <v xml:space="preserve"> </v>
      </c>
      <c r="D23" s="1126" t="str">
        <f>IFERROR(INDEX('Schedule C'!$A$34:$BA$313,MATCH('EI - (F1 - F2)'!$R23,'Schedule C'!$A$34:$A$313,0),14)," ")</f>
        <v xml:space="preserve"> </v>
      </c>
      <c r="E23" s="1126" t="str">
        <f>IFERROR(VLOOKUP($D23,dropdowns!$J$3:$Q$16,8,0)," ")</f>
        <v xml:space="preserve"> </v>
      </c>
      <c r="F23" s="1126" t="str">
        <f>IFERROR(INDEX('Schedule C'!$A$34:$BA$313,MATCH('EI - (F1 - F2)'!$R23,'Schedule C'!$A$34:$A$313,0),2)," ")</f>
        <v xml:space="preserve"> </v>
      </c>
      <c r="G23" s="1126" t="str">
        <f>IFERROR(INDEX('Schedule C'!$A$34:$BA$313,MATCH('EI - (F1 - F2)'!$R23,'Schedule C'!$A$34:$A$313,0),38)," ")</f>
        <v xml:space="preserve"> </v>
      </c>
      <c r="H23" s="1127" t="str">
        <f>IFERROR(INDEX('Schedule C'!$A$34:$BA$313,MATCH('EI - (F1 - F2)'!$R23,'Schedule C'!$A$34:$A$313,0),39)," ")</f>
        <v xml:space="preserve"> </v>
      </c>
      <c r="I23" s="1129" t="str">
        <f t="shared" si="0"/>
        <v xml:space="preserve"> </v>
      </c>
      <c r="J23" s="1129" t="str">
        <f t="shared" si="0"/>
        <v xml:space="preserve"> </v>
      </c>
      <c r="K23" s="1129" t="str">
        <f t="shared" si="0"/>
        <v xml:space="preserve"> </v>
      </c>
      <c r="L23" s="1129" t="str">
        <f t="shared" si="0"/>
        <v xml:space="preserve"> </v>
      </c>
      <c r="M23" s="1129" t="str">
        <f t="shared" si="0"/>
        <v xml:space="preserve"> </v>
      </c>
      <c r="N23" s="1129" t="str">
        <f t="shared" si="0"/>
        <v xml:space="preserve"> </v>
      </c>
      <c r="O23" s="1129" t="str">
        <f t="shared" si="2"/>
        <v xml:space="preserve"> </v>
      </c>
      <c r="P23" s="1130" t="str">
        <f t="shared" si="3"/>
        <v xml:space="preserve"> </v>
      </c>
      <c r="Q23" s="1131" t="str">
        <f t="shared" si="4"/>
        <v xml:space="preserve"> </v>
      </c>
      <c r="R23" s="1118">
        <f>IF('Schedule C'!AM49&gt;='EI - (F1 - F2)'!J$3,IF('Schedule C'!AM49&lt;='EI - (F1 - F2)'!K$3,'Schedule C'!A49,0),0)</f>
        <v>0</v>
      </c>
    </row>
    <row r="24" spans="1:18" ht="15">
      <c r="A24" s="1125">
        <f t="shared" si="1"/>
        <v>17</v>
      </c>
      <c r="B24" s="1126">
        <v>1</v>
      </c>
      <c r="C24" s="1126" t="str">
        <f>IFERROR(VLOOKUP(D24,dropdowns!$J$3:$Q$16,7,0)," ")</f>
        <v xml:space="preserve"> </v>
      </c>
      <c r="D24" s="1126" t="str">
        <f>IFERROR(INDEX('Schedule C'!$A$34:$BA$313,MATCH('EI - (F1 - F2)'!$R24,'Schedule C'!$A$34:$A$313,0),14)," ")</f>
        <v xml:space="preserve"> </v>
      </c>
      <c r="E24" s="1126" t="str">
        <f>IFERROR(VLOOKUP($D24,dropdowns!$J$3:$Q$16,8,0)," ")</f>
        <v xml:space="preserve"> </v>
      </c>
      <c r="F24" s="1126" t="str">
        <f>IFERROR(INDEX('Schedule C'!$A$34:$BA$313,MATCH('EI - (F1 - F2)'!$R24,'Schedule C'!$A$34:$A$313,0),2)," ")</f>
        <v xml:space="preserve"> </v>
      </c>
      <c r="G24" s="1126" t="str">
        <f>IFERROR(INDEX('Schedule C'!$A$34:$BA$313,MATCH('EI - (F1 - F2)'!$R24,'Schedule C'!$A$34:$A$313,0),38)," ")</f>
        <v xml:space="preserve"> </v>
      </c>
      <c r="H24" s="1127" t="str">
        <f>IFERROR(INDEX('Schedule C'!$A$34:$BA$313,MATCH('EI - (F1 - F2)'!$R24,'Schedule C'!$A$34:$A$313,0),39)," ")</f>
        <v xml:space="preserve"> </v>
      </c>
      <c r="I24" s="1129" t="str">
        <f t="shared" ref="I24:N66" si="5">IF($R24=0," ","NA")</f>
        <v xml:space="preserve"> </v>
      </c>
      <c r="J24" s="1129" t="str">
        <f t="shared" si="5"/>
        <v xml:space="preserve"> </v>
      </c>
      <c r="K24" s="1129" t="str">
        <f t="shared" si="5"/>
        <v xml:space="preserve"> </v>
      </c>
      <c r="L24" s="1129" t="str">
        <f t="shared" si="5"/>
        <v xml:space="preserve"> </v>
      </c>
      <c r="M24" s="1129" t="str">
        <f t="shared" si="5"/>
        <v xml:space="preserve"> </v>
      </c>
      <c r="N24" s="1129" t="str">
        <f t="shared" si="5"/>
        <v xml:space="preserve"> </v>
      </c>
      <c r="O24" s="1129" t="str">
        <f t="shared" si="2"/>
        <v xml:space="preserve"> </v>
      </c>
      <c r="P24" s="1130" t="str">
        <f t="shared" si="3"/>
        <v xml:space="preserve"> </v>
      </c>
      <c r="Q24" s="1131" t="str">
        <f t="shared" si="4"/>
        <v xml:space="preserve"> </v>
      </c>
      <c r="R24" s="1118">
        <f>IF('Schedule C'!AM50&gt;='EI - (F1 - F2)'!J$3,IF('Schedule C'!AM50&lt;='EI - (F1 - F2)'!K$3,'Schedule C'!A50,0),0)</f>
        <v>0</v>
      </c>
    </row>
    <row r="25" spans="1:18" ht="15">
      <c r="A25" s="1125">
        <f t="shared" si="1"/>
        <v>18</v>
      </c>
      <c r="B25" s="1126">
        <v>1</v>
      </c>
      <c r="C25" s="1126" t="str">
        <f>IFERROR(VLOOKUP(D25,dropdowns!$J$3:$Q$16,7,0)," ")</f>
        <v xml:space="preserve"> </v>
      </c>
      <c r="D25" s="1126" t="str">
        <f>IFERROR(INDEX('Schedule C'!$A$34:$BA$313,MATCH('EI - (F1 - F2)'!$R25,'Schedule C'!$A$34:$A$313,0),14)," ")</f>
        <v xml:space="preserve"> </v>
      </c>
      <c r="E25" s="1126" t="str">
        <f>IFERROR(VLOOKUP($D25,dropdowns!$J$3:$Q$16,8,0)," ")</f>
        <v xml:space="preserve"> </v>
      </c>
      <c r="F25" s="1126" t="str">
        <f>IFERROR(INDEX('Schedule C'!$A$34:$BA$313,MATCH('EI - (F1 - F2)'!$R25,'Schedule C'!$A$34:$A$313,0),2)," ")</f>
        <v xml:space="preserve"> </v>
      </c>
      <c r="G25" s="1126" t="str">
        <f>IFERROR(INDEX('Schedule C'!$A$34:$BA$313,MATCH('EI - (F1 - F2)'!$R25,'Schedule C'!$A$34:$A$313,0),38)," ")</f>
        <v xml:space="preserve"> </v>
      </c>
      <c r="H25" s="1127" t="str">
        <f>IFERROR(INDEX('Schedule C'!$A$34:$BA$313,MATCH('EI - (F1 - F2)'!$R25,'Schedule C'!$A$34:$A$313,0),39)," ")</f>
        <v xml:space="preserve"> </v>
      </c>
      <c r="I25" s="1129" t="str">
        <f t="shared" si="5"/>
        <v xml:space="preserve"> </v>
      </c>
      <c r="J25" s="1129" t="str">
        <f t="shared" si="5"/>
        <v xml:space="preserve"> </v>
      </c>
      <c r="K25" s="1129" t="str">
        <f t="shared" si="5"/>
        <v xml:space="preserve"> </v>
      </c>
      <c r="L25" s="1129" t="str">
        <f t="shared" si="5"/>
        <v xml:space="preserve"> </v>
      </c>
      <c r="M25" s="1129" t="str">
        <f t="shared" si="5"/>
        <v xml:space="preserve"> </v>
      </c>
      <c r="N25" s="1129" t="str">
        <f t="shared" si="5"/>
        <v xml:space="preserve"> </v>
      </c>
      <c r="O25" s="1129" t="str">
        <f t="shared" si="2"/>
        <v xml:space="preserve"> </v>
      </c>
      <c r="P25" s="1130" t="str">
        <f t="shared" si="3"/>
        <v xml:space="preserve"> </v>
      </c>
      <c r="Q25" s="1131" t="str">
        <f t="shared" si="4"/>
        <v xml:space="preserve"> </v>
      </c>
      <c r="R25" s="1118">
        <f>IF('Schedule C'!AM51&gt;='EI - (F1 - F2)'!J$3,IF('Schedule C'!AM51&lt;='EI - (F1 - F2)'!K$3,'Schedule C'!A51,0),0)</f>
        <v>0</v>
      </c>
    </row>
    <row r="26" spans="1:18" ht="15">
      <c r="A26" s="1125">
        <f t="shared" si="1"/>
        <v>19</v>
      </c>
      <c r="B26" s="1126">
        <v>1</v>
      </c>
      <c r="C26" s="1126" t="str">
        <f>IFERROR(VLOOKUP(D26,dropdowns!$J$3:$Q$16,7,0)," ")</f>
        <v xml:space="preserve"> </v>
      </c>
      <c r="D26" s="1126" t="str">
        <f>IFERROR(INDEX('Schedule C'!$A$34:$BA$313,MATCH('EI - (F1 - F2)'!$R26,'Schedule C'!$A$34:$A$313,0),14)," ")</f>
        <v xml:space="preserve"> </v>
      </c>
      <c r="E26" s="1126" t="str">
        <f>IFERROR(VLOOKUP($D26,dropdowns!$J$3:$Q$16,8,0)," ")</f>
        <v xml:space="preserve"> </v>
      </c>
      <c r="F26" s="1126" t="str">
        <f>IFERROR(INDEX('Schedule C'!$A$34:$BA$313,MATCH('EI - (F1 - F2)'!$R26,'Schedule C'!$A$34:$A$313,0),2)," ")</f>
        <v xml:space="preserve"> </v>
      </c>
      <c r="G26" s="1126" t="str">
        <f>IFERROR(INDEX('Schedule C'!$A$34:$BA$313,MATCH('EI - (F1 - F2)'!$R26,'Schedule C'!$A$34:$A$313,0),38)," ")</f>
        <v xml:space="preserve"> </v>
      </c>
      <c r="H26" s="1127" t="str">
        <f>IFERROR(INDEX('Schedule C'!$A$34:$BA$313,MATCH('EI - (F1 - F2)'!$R26,'Schedule C'!$A$34:$A$313,0),39)," ")</f>
        <v xml:space="preserve"> </v>
      </c>
      <c r="I26" s="1129" t="str">
        <f t="shared" si="5"/>
        <v xml:space="preserve"> </v>
      </c>
      <c r="J26" s="1129" t="str">
        <f t="shared" si="5"/>
        <v xml:space="preserve"> </v>
      </c>
      <c r="K26" s="1129" t="str">
        <f t="shared" si="5"/>
        <v xml:space="preserve"> </v>
      </c>
      <c r="L26" s="1129" t="str">
        <f t="shared" si="5"/>
        <v xml:space="preserve"> </v>
      </c>
      <c r="M26" s="1129" t="str">
        <f t="shared" si="5"/>
        <v xml:space="preserve"> </v>
      </c>
      <c r="N26" s="1129" t="str">
        <f t="shared" si="5"/>
        <v xml:space="preserve"> </v>
      </c>
      <c r="O26" s="1129" t="str">
        <f t="shared" si="2"/>
        <v xml:space="preserve"> </v>
      </c>
      <c r="P26" s="1130" t="str">
        <f t="shared" si="3"/>
        <v xml:space="preserve"> </v>
      </c>
      <c r="Q26" s="1131" t="str">
        <f t="shared" si="4"/>
        <v xml:space="preserve"> </v>
      </c>
      <c r="R26" s="1118">
        <f>IF('Schedule C'!AM52&gt;='EI - (F1 - F2)'!J$3,IF('Schedule C'!AM52&lt;='EI - (F1 - F2)'!K$3,'Schedule C'!A52,0),0)</f>
        <v>0</v>
      </c>
    </row>
    <row r="27" spans="1:18" ht="15">
      <c r="A27" s="1125">
        <f t="shared" si="1"/>
        <v>20</v>
      </c>
      <c r="B27" s="1126">
        <v>1</v>
      </c>
      <c r="C27" s="1126" t="str">
        <f>IFERROR(VLOOKUP(D27,dropdowns!$J$3:$Q$16,7,0)," ")</f>
        <v xml:space="preserve"> </v>
      </c>
      <c r="D27" s="1126" t="str">
        <f>IFERROR(INDEX('Schedule C'!$A$34:$BA$313,MATCH('EI - (F1 - F2)'!$R27,'Schedule C'!$A$34:$A$313,0),14)," ")</f>
        <v xml:space="preserve"> </v>
      </c>
      <c r="E27" s="1126" t="str">
        <f>IFERROR(VLOOKUP($D27,dropdowns!$J$3:$Q$16,8,0)," ")</f>
        <v xml:space="preserve"> </v>
      </c>
      <c r="F27" s="1126" t="str">
        <f>IFERROR(INDEX('Schedule C'!$A$34:$BA$313,MATCH('EI - (F1 - F2)'!$R27,'Schedule C'!$A$34:$A$313,0),2)," ")</f>
        <v xml:space="preserve"> </v>
      </c>
      <c r="G27" s="1126" t="str">
        <f>IFERROR(INDEX('Schedule C'!$A$34:$BA$313,MATCH('EI - (F1 - F2)'!$R27,'Schedule C'!$A$34:$A$313,0),38)," ")</f>
        <v xml:space="preserve"> </v>
      </c>
      <c r="H27" s="1127" t="str">
        <f>IFERROR(INDEX('Schedule C'!$A$34:$BA$313,MATCH('EI - (F1 - F2)'!$R27,'Schedule C'!$A$34:$A$313,0),39)," ")</f>
        <v xml:space="preserve"> </v>
      </c>
      <c r="I27" s="1129" t="str">
        <f t="shared" si="5"/>
        <v xml:space="preserve"> </v>
      </c>
      <c r="J27" s="1129" t="str">
        <f t="shared" si="5"/>
        <v xml:space="preserve"> </v>
      </c>
      <c r="K27" s="1129" t="str">
        <f t="shared" si="5"/>
        <v xml:space="preserve"> </v>
      </c>
      <c r="L27" s="1129" t="str">
        <f t="shared" si="5"/>
        <v xml:space="preserve"> </v>
      </c>
      <c r="M27" s="1129" t="str">
        <f t="shared" si="5"/>
        <v xml:space="preserve"> </v>
      </c>
      <c r="N27" s="1129" t="str">
        <f t="shared" si="5"/>
        <v xml:space="preserve"> </v>
      </c>
      <c r="O27" s="1129" t="str">
        <f t="shared" si="2"/>
        <v xml:space="preserve"> </v>
      </c>
      <c r="P27" s="1130" t="str">
        <f t="shared" si="3"/>
        <v xml:space="preserve"> </v>
      </c>
      <c r="Q27" s="1131" t="str">
        <f t="shared" si="4"/>
        <v xml:space="preserve"> </v>
      </c>
      <c r="R27" s="1118">
        <f>IF('Schedule C'!AM53&gt;='EI - (F1 - F2)'!J$3,IF('Schedule C'!AM53&lt;='EI - (F1 - F2)'!K$3,'Schedule C'!A53,0),0)</f>
        <v>0</v>
      </c>
    </row>
    <row r="28" spans="1:18" ht="15">
      <c r="A28" s="1125">
        <f t="shared" si="1"/>
        <v>21</v>
      </c>
      <c r="B28" s="1126">
        <v>1</v>
      </c>
      <c r="C28" s="1126" t="str">
        <f>IFERROR(VLOOKUP(D28,dropdowns!$J$3:$Q$16,7,0)," ")</f>
        <v xml:space="preserve"> </v>
      </c>
      <c r="D28" s="1126" t="str">
        <f>IFERROR(INDEX('Schedule C'!$A$34:$BA$313,MATCH('EI - (F1 - F2)'!$R28,'Schedule C'!$A$34:$A$313,0),14)," ")</f>
        <v xml:space="preserve"> </v>
      </c>
      <c r="E28" s="1126" t="str">
        <f>IFERROR(VLOOKUP($D28,dropdowns!$J$3:$Q$16,8,0)," ")</f>
        <v xml:space="preserve"> </v>
      </c>
      <c r="F28" s="1126" t="str">
        <f>IFERROR(INDEX('Schedule C'!$A$34:$BA$313,MATCH('EI - (F1 - F2)'!$R28,'Schedule C'!$A$34:$A$313,0),2)," ")</f>
        <v xml:space="preserve"> </v>
      </c>
      <c r="G28" s="1126" t="str">
        <f>IFERROR(INDEX('Schedule C'!$A$34:$BA$313,MATCH('EI - (F1 - F2)'!$R28,'Schedule C'!$A$34:$A$313,0),38)," ")</f>
        <v xml:space="preserve"> </v>
      </c>
      <c r="H28" s="1127" t="str">
        <f>IFERROR(INDEX('Schedule C'!$A$34:$BA$313,MATCH('EI - (F1 - F2)'!$R28,'Schedule C'!$A$34:$A$313,0),39)," ")</f>
        <v xml:space="preserve"> </v>
      </c>
      <c r="I28" s="1129" t="str">
        <f t="shared" si="5"/>
        <v xml:space="preserve"> </v>
      </c>
      <c r="J28" s="1129" t="str">
        <f t="shared" si="5"/>
        <v xml:space="preserve"> </v>
      </c>
      <c r="K28" s="1129" t="str">
        <f t="shared" si="5"/>
        <v xml:space="preserve"> </v>
      </c>
      <c r="L28" s="1129" t="str">
        <f t="shared" si="5"/>
        <v xml:space="preserve"> </v>
      </c>
      <c r="M28" s="1129" t="str">
        <f t="shared" si="5"/>
        <v xml:space="preserve"> </v>
      </c>
      <c r="N28" s="1129" t="str">
        <f t="shared" si="5"/>
        <v xml:space="preserve"> </v>
      </c>
      <c r="O28" s="1129" t="str">
        <f t="shared" si="2"/>
        <v xml:space="preserve"> </v>
      </c>
      <c r="P28" s="1130" t="str">
        <f t="shared" si="3"/>
        <v xml:space="preserve"> </v>
      </c>
      <c r="Q28" s="1131" t="str">
        <f t="shared" si="4"/>
        <v xml:space="preserve"> </v>
      </c>
      <c r="R28" s="1118">
        <f>IF('Schedule C'!AM54&gt;='EI - (F1 - F2)'!J$3,IF('Schedule C'!AM54&lt;='EI - (F1 - F2)'!K$3,'Schedule C'!A54,0),0)</f>
        <v>0</v>
      </c>
    </row>
    <row r="29" spans="1:18" ht="15">
      <c r="A29" s="1125">
        <f t="shared" si="1"/>
        <v>22</v>
      </c>
      <c r="B29" s="1126">
        <v>1</v>
      </c>
      <c r="C29" s="1126" t="str">
        <f>IFERROR(VLOOKUP(D29,dropdowns!$J$3:$Q$16,7,0)," ")</f>
        <v xml:space="preserve"> </v>
      </c>
      <c r="D29" s="1126" t="str">
        <f>IFERROR(INDEX('Schedule C'!$A$34:$BA$313,MATCH('EI - (F1 - F2)'!$R29,'Schedule C'!$A$34:$A$313,0),14)," ")</f>
        <v xml:space="preserve"> </v>
      </c>
      <c r="E29" s="1126" t="str">
        <f>IFERROR(VLOOKUP($D29,dropdowns!$J$3:$Q$16,8,0)," ")</f>
        <v xml:space="preserve"> </v>
      </c>
      <c r="F29" s="1126" t="str">
        <f>IFERROR(INDEX('Schedule C'!$A$34:$BA$313,MATCH('EI - (F1 - F2)'!$R29,'Schedule C'!$A$34:$A$313,0),2)," ")</f>
        <v xml:space="preserve"> </v>
      </c>
      <c r="G29" s="1126" t="str">
        <f>IFERROR(INDEX('Schedule C'!$A$34:$BA$313,MATCH('EI - (F1 - F2)'!$R29,'Schedule C'!$A$34:$A$313,0),38)," ")</f>
        <v xml:space="preserve"> </v>
      </c>
      <c r="H29" s="1127" t="str">
        <f>IFERROR(INDEX('Schedule C'!$A$34:$BA$313,MATCH('EI - (F1 - F2)'!$R29,'Schedule C'!$A$34:$A$313,0),39)," ")</f>
        <v xml:space="preserve"> </v>
      </c>
      <c r="I29" s="1129" t="str">
        <f t="shared" si="5"/>
        <v xml:space="preserve"> </v>
      </c>
      <c r="J29" s="1129" t="str">
        <f t="shared" si="5"/>
        <v xml:space="preserve"> </v>
      </c>
      <c r="K29" s="1129" t="str">
        <f t="shared" si="5"/>
        <v xml:space="preserve"> </v>
      </c>
      <c r="L29" s="1129" t="str">
        <f t="shared" si="5"/>
        <v xml:space="preserve"> </v>
      </c>
      <c r="M29" s="1129" t="str">
        <f t="shared" si="5"/>
        <v xml:space="preserve"> </v>
      </c>
      <c r="N29" s="1129" t="str">
        <f t="shared" si="5"/>
        <v xml:space="preserve"> </v>
      </c>
      <c r="O29" s="1129" t="str">
        <f t="shared" si="2"/>
        <v xml:space="preserve"> </v>
      </c>
      <c r="P29" s="1130" t="str">
        <f t="shared" si="3"/>
        <v xml:space="preserve"> </v>
      </c>
      <c r="Q29" s="1131" t="str">
        <f t="shared" si="4"/>
        <v xml:space="preserve"> </v>
      </c>
      <c r="R29" s="1118">
        <f>IF('Schedule C'!AM55&gt;='EI - (F1 - F2)'!J$3,IF('Schedule C'!AM55&lt;='EI - (F1 - F2)'!K$3,'Schedule C'!A55,0),0)</f>
        <v>0</v>
      </c>
    </row>
    <row r="30" spans="1:18" ht="15">
      <c r="A30" s="1125">
        <f t="shared" si="1"/>
        <v>23</v>
      </c>
      <c r="B30" s="1126">
        <v>1</v>
      </c>
      <c r="C30" s="1126" t="str">
        <f>IFERROR(VLOOKUP(D30,dropdowns!$J$3:$Q$16,7,0)," ")</f>
        <v xml:space="preserve"> </v>
      </c>
      <c r="D30" s="1126" t="str">
        <f>IFERROR(INDEX('Schedule C'!$A$34:$BA$313,MATCH('EI - (F1 - F2)'!$R30,'Schedule C'!$A$34:$A$313,0),14)," ")</f>
        <v xml:space="preserve"> </v>
      </c>
      <c r="E30" s="1126" t="str">
        <f>IFERROR(VLOOKUP($D30,dropdowns!$J$3:$Q$16,8,0)," ")</f>
        <v xml:space="preserve"> </v>
      </c>
      <c r="F30" s="1126" t="str">
        <f>IFERROR(INDEX('Schedule C'!$A$34:$BA$313,MATCH('EI - (F1 - F2)'!$R30,'Schedule C'!$A$34:$A$313,0),2)," ")</f>
        <v xml:space="preserve"> </v>
      </c>
      <c r="G30" s="1126" t="str">
        <f>IFERROR(INDEX('Schedule C'!$A$34:$BA$313,MATCH('EI - (F1 - F2)'!$R30,'Schedule C'!$A$34:$A$313,0),38)," ")</f>
        <v xml:space="preserve"> </v>
      </c>
      <c r="H30" s="1127" t="str">
        <f>IFERROR(INDEX('Schedule C'!$A$34:$BA$313,MATCH('EI - (F1 - F2)'!$R30,'Schedule C'!$A$34:$A$313,0),39)," ")</f>
        <v xml:space="preserve"> </v>
      </c>
      <c r="I30" s="1129" t="str">
        <f t="shared" si="5"/>
        <v xml:space="preserve"> </v>
      </c>
      <c r="J30" s="1129" t="str">
        <f t="shared" si="5"/>
        <v xml:space="preserve"> </v>
      </c>
      <c r="K30" s="1129" t="str">
        <f t="shared" si="5"/>
        <v xml:space="preserve"> </v>
      </c>
      <c r="L30" s="1129" t="str">
        <f t="shared" si="5"/>
        <v xml:space="preserve"> </v>
      </c>
      <c r="M30" s="1129" t="str">
        <f t="shared" si="5"/>
        <v xml:space="preserve"> </v>
      </c>
      <c r="N30" s="1129" t="str">
        <f t="shared" si="5"/>
        <v xml:space="preserve"> </v>
      </c>
      <c r="O30" s="1129" t="str">
        <f t="shared" si="2"/>
        <v xml:space="preserve"> </v>
      </c>
      <c r="P30" s="1130" t="str">
        <f t="shared" si="3"/>
        <v xml:space="preserve"> </v>
      </c>
      <c r="Q30" s="1131" t="str">
        <f t="shared" si="4"/>
        <v xml:space="preserve"> </v>
      </c>
      <c r="R30" s="1118">
        <f>IF('Schedule C'!AM56&gt;='EI - (F1 - F2)'!J$3,IF('Schedule C'!AM56&lt;='EI - (F1 - F2)'!K$3,'Schedule C'!A56,0),0)</f>
        <v>0</v>
      </c>
    </row>
    <row r="31" spans="1:18" ht="15">
      <c r="A31" s="1125">
        <f t="shared" si="1"/>
        <v>24</v>
      </c>
      <c r="B31" s="1126">
        <v>1</v>
      </c>
      <c r="C31" s="1126" t="str">
        <f>IFERROR(VLOOKUP(D31,dropdowns!$J$3:$Q$16,7,0)," ")</f>
        <v xml:space="preserve"> </v>
      </c>
      <c r="D31" s="1126" t="str">
        <f>IFERROR(INDEX('Schedule C'!$A$34:$BA$313,MATCH('EI - (F1 - F2)'!$R31,'Schedule C'!$A$34:$A$313,0),14)," ")</f>
        <v xml:space="preserve"> </v>
      </c>
      <c r="E31" s="1126" t="str">
        <f>IFERROR(VLOOKUP($D31,dropdowns!$J$3:$Q$16,8,0)," ")</f>
        <v xml:space="preserve"> </v>
      </c>
      <c r="F31" s="1126" t="str">
        <f>IFERROR(INDEX('Schedule C'!$A$34:$BA$313,MATCH('EI - (F1 - F2)'!$R31,'Schedule C'!$A$34:$A$313,0),2)," ")</f>
        <v xml:space="preserve"> </v>
      </c>
      <c r="G31" s="1126" t="str">
        <f>IFERROR(INDEX('Schedule C'!$A$34:$BA$313,MATCH('EI - (F1 - F2)'!$R31,'Schedule C'!$A$34:$A$313,0),38)," ")</f>
        <v xml:space="preserve"> </v>
      </c>
      <c r="H31" s="1127" t="str">
        <f>IFERROR(INDEX('Schedule C'!$A$34:$BA$313,MATCH('EI - (F1 - F2)'!$R31,'Schedule C'!$A$34:$A$313,0),39)," ")</f>
        <v xml:space="preserve"> </v>
      </c>
      <c r="I31" s="1129" t="str">
        <f t="shared" si="5"/>
        <v xml:space="preserve"> </v>
      </c>
      <c r="J31" s="1129" t="str">
        <f t="shared" si="5"/>
        <v xml:space="preserve"> </v>
      </c>
      <c r="K31" s="1129" t="str">
        <f t="shared" si="5"/>
        <v xml:space="preserve"> </v>
      </c>
      <c r="L31" s="1129" t="str">
        <f t="shared" si="5"/>
        <v xml:space="preserve"> </v>
      </c>
      <c r="M31" s="1129" t="str">
        <f t="shared" si="5"/>
        <v xml:space="preserve"> </v>
      </c>
      <c r="N31" s="1129" t="str">
        <f t="shared" si="5"/>
        <v xml:space="preserve"> </v>
      </c>
      <c r="O31" s="1129" t="str">
        <f t="shared" si="2"/>
        <v xml:space="preserve"> </v>
      </c>
      <c r="P31" s="1130" t="str">
        <f t="shared" si="3"/>
        <v xml:space="preserve"> </v>
      </c>
      <c r="Q31" s="1131" t="str">
        <f t="shared" si="4"/>
        <v xml:space="preserve"> </v>
      </c>
      <c r="R31" s="1118">
        <f>IF('Schedule C'!AM57&gt;='EI - (F1 - F2)'!J$3,IF('Schedule C'!AM57&lt;='EI - (F1 - F2)'!K$3,'Schedule C'!A57,0),0)</f>
        <v>0</v>
      </c>
    </row>
    <row r="32" spans="1:18" ht="15">
      <c r="A32" s="1125">
        <f t="shared" si="1"/>
        <v>25</v>
      </c>
      <c r="B32" s="1126">
        <v>1</v>
      </c>
      <c r="C32" s="1126" t="str">
        <f>IFERROR(VLOOKUP(D32,dropdowns!$J$3:$Q$16,7,0)," ")</f>
        <v xml:space="preserve"> </v>
      </c>
      <c r="D32" s="1126" t="str">
        <f>IFERROR(INDEX('Schedule C'!$A$34:$BA$313,MATCH('EI - (F1 - F2)'!$R32,'Schedule C'!$A$34:$A$313,0),14)," ")</f>
        <v xml:space="preserve"> </v>
      </c>
      <c r="E32" s="1126" t="str">
        <f>IFERROR(VLOOKUP($D32,dropdowns!$J$3:$Q$16,8,0)," ")</f>
        <v xml:space="preserve"> </v>
      </c>
      <c r="F32" s="1126" t="str">
        <f>IFERROR(INDEX('Schedule C'!$A$34:$BA$313,MATCH('EI - (F1 - F2)'!$R32,'Schedule C'!$A$34:$A$313,0),2)," ")</f>
        <v xml:space="preserve"> </v>
      </c>
      <c r="G32" s="1126" t="str">
        <f>IFERROR(INDEX('Schedule C'!$A$34:$BA$313,MATCH('EI - (F1 - F2)'!$R32,'Schedule C'!$A$34:$A$313,0),38)," ")</f>
        <v xml:space="preserve"> </v>
      </c>
      <c r="H32" s="1127" t="str">
        <f>IFERROR(INDEX('Schedule C'!$A$34:$BA$313,MATCH('EI - (F1 - F2)'!$R32,'Schedule C'!$A$34:$A$313,0),39)," ")</f>
        <v xml:space="preserve"> </v>
      </c>
      <c r="I32" s="1129" t="str">
        <f t="shared" si="5"/>
        <v xml:space="preserve"> </v>
      </c>
      <c r="J32" s="1129" t="str">
        <f t="shared" si="5"/>
        <v xml:space="preserve"> </v>
      </c>
      <c r="K32" s="1129" t="str">
        <f t="shared" si="5"/>
        <v xml:space="preserve"> </v>
      </c>
      <c r="L32" s="1129" t="str">
        <f t="shared" si="5"/>
        <v xml:space="preserve"> </v>
      </c>
      <c r="M32" s="1129" t="str">
        <f t="shared" si="5"/>
        <v xml:space="preserve"> </v>
      </c>
      <c r="N32" s="1129" t="str">
        <f t="shared" si="5"/>
        <v xml:space="preserve"> </v>
      </c>
      <c r="O32" s="1129" t="str">
        <f t="shared" si="2"/>
        <v xml:space="preserve"> </v>
      </c>
      <c r="P32" s="1130" t="str">
        <f t="shared" si="3"/>
        <v xml:space="preserve"> </v>
      </c>
      <c r="Q32" s="1131" t="str">
        <f t="shared" si="4"/>
        <v xml:space="preserve"> </v>
      </c>
      <c r="R32" s="1118">
        <f>IF('Schedule C'!AM58&gt;='EI - (F1 - F2)'!J$3,IF('Schedule C'!AM58&lt;='EI - (F1 - F2)'!K$3,'Schedule C'!A58,0),0)</f>
        <v>0</v>
      </c>
    </row>
    <row r="33" spans="1:18" ht="15">
      <c r="A33" s="1125">
        <f t="shared" si="1"/>
        <v>26</v>
      </c>
      <c r="B33" s="1126">
        <v>1</v>
      </c>
      <c r="C33" s="1126" t="str">
        <f>IFERROR(VLOOKUP(D33,dropdowns!$J$3:$Q$16,7,0)," ")</f>
        <v xml:space="preserve"> </v>
      </c>
      <c r="D33" s="1126" t="str">
        <f>IFERROR(INDEX('Schedule C'!$A$34:$BA$313,MATCH('EI - (F1 - F2)'!$R33,'Schedule C'!$A$34:$A$313,0),14)," ")</f>
        <v xml:space="preserve"> </v>
      </c>
      <c r="E33" s="1126" t="str">
        <f>IFERROR(VLOOKUP($D33,dropdowns!$J$3:$Q$16,8,0)," ")</f>
        <v xml:space="preserve"> </v>
      </c>
      <c r="F33" s="1126" t="str">
        <f>IFERROR(INDEX('Schedule C'!$A$34:$BA$313,MATCH('EI - (F1 - F2)'!$R33,'Schedule C'!$A$34:$A$313,0),2)," ")</f>
        <v xml:space="preserve"> </v>
      </c>
      <c r="G33" s="1126" t="str">
        <f>IFERROR(INDEX('Schedule C'!$A$34:$BA$313,MATCH('EI - (F1 - F2)'!$R33,'Schedule C'!$A$34:$A$313,0),38)," ")</f>
        <v xml:space="preserve"> </v>
      </c>
      <c r="H33" s="1127" t="str">
        <f>IFERROR(INDEX('Schedule C'!$A$34:$BA$313,MATCH('EI - (F1 - F2)'!$R33,'Schedule C'!$A$34:$A$313,0),39)," ")</f>
        <v xml:space="preserve"> </v>
      </c>
      <c r="I33" s="1129" t="str">
        <f t="shared" si="5"/>
        <v xml:space="preserve"> </v>
      </c>
      <c r="J33" s="1129" t="str">
        <f t="shared" si="5"/>
        <v xml:space="preserve"> </v>
      </c>
      <c r="K33" s="1129" t="str">
        <f t="shared" si="5"/>
        <v xml:space="preserve"> </v>
      </c>
      <c r="L33" s="1129" t="str">
        <f t="shared" si="5"/>
        <v xml:space="preserve"> </v>
      </c>
      <c r="M33" s="1129" t="str">
        <f t="shared" si="5"/>
        <v xml:space="preserve"> </v>
      </c>
      <c r="N33" s="1129" t="str">
        <f t="shared" si="5"/>
        <v xml:space="preserve"> </v>
      </c>
      <c r="O33" s="1129" t="str">
        <f t="shared" si="2"/>
        <v xml:space="preserve"> </v>
      </c>
      <c r="P33" s="1130" t="str">
        <f t="shared" si="3"/>
        <v xml:space="preserve"> </v>
      </c>
      <c r="Q33" s="1131" t="str">
        <f t="shared" si="4"/>
        <v xml:space="preserve"> </v>
      </c>
      <c r="R33" s="1118">
        <f>IF('Schedule C'!AM59&gt;='EI - (F1 - F2)'!J$3,IF('Schedule C'!AM59&lt;='EI - (F1 - F2)'!K$3,'Schedule C'!A59,0),0)</f>
        <v>0</v>
      </c>
    </row>
    <row r="34" spans="1:18" ht="15">
      <c r="A34" s="1125">
        <f t="shared" si="1"/>
        <v>27</v>
      </c>
      <c r="B34" s="1126">
        <v>1</v>
      </c>
      <c r="C34" s="1126" t="str">
        <f>IFERROR(VLOOKUP(D34,dropdowns!$J$3:$Q$16,7,0)," ")</f>
        <v xml:space="preserve"> </v>
      </c>
      <c r="D34" s="1126" t="str">
        <f>IFERROR(INDEX('Schedule C'!$A$34:$BA$313,MATCH('EI - (F1 - F2)'!$R34,'Schedule C'!$A$34:$A$313,0),14)," ")</f>
        <v xml:space="preserve"> </v>
      </c>
      <c r="E34" s="1126" t="str">
        <f>IFERROR(VLOOKUP($D34,dropdowns!$J$3:$Q$16,8,0)," ")</f>
        <v xml:space="preserve"> </v>
      </c>
      <c r="F34" s="1126" t="str">
        <f>IFERROR(INDEX('Schedule C'!$A$34:$BA$313,MATCH('EI - (F1 - F2)'!$R34,'Schedule C'!$A$34:$A$313,0),2)," ")</f>
        <v xml:space="preserve"> </v>
      </c>
      <c r="G34" s="1126" t="str">
        <f>IFERROR(INDEX('Schedule C'!$A$34:$BA$313,MATCH('EI - (F1 - F2)'!$R34,'Schedule C'!$A$34:$A$313,0),38)," ")</f>
        <v xml:space="preserve"> </v>
      </c>
      <c r="H34" s="1127" t="str">
        <f>IFERROR(INDEX('Schedule C'!$A$34:$BA$313,MATCH('EI - (F1 - F2)'!$R34,'Schedule C'!$A$34:$A$313,0),39)," ")</f>
        <v xml:space="preserve"> </v>
      </c>
      <c r="I34" s="1129" t="str">
        <f t="shared" si="5"/>
        <v xml:space="preserve"> </v>
      </c>
      <c r="J34" s="1129" t="str">
        <f t="shared" si="5"/>
        <v xml:space="preserve"> </v>
      </c>
      <c r="K34" s="1129" t="str">
        <f t="shared" si="5"/>
        <v xml:space="preserve"> </v>
      </c>
      <c r="L34" s="1129" t="str">
        <f t="shared" si="5"/>
        <v xml:space="preserve"> </v>
      </c>
      <c r="M34" s="1129" t="str">
        <f t="shared" si="5"/>
        <v xml:space="preserve"> </v>
      </c>
      <c r="N34" s="1129" t="str">
        <f t="shared" si="5"/>
        <v xml:space="preserve"> </v>
      </c>
      <c r="O34" s="1129" t="str">
        <f t="shared" si="2"/>
        <v xml:space="preserve"> </v>
      </c>
      <c r="P34" s="1130" t="str">
        <f t="shared" si="3"/>
        <v xml:space="preserve"> </v>
      </c>
      <c r="Q34" s="1131" t="str">
        <f t="shared" si="4"/>
        <v xml:space="preserve"> </v>
      </c>
      <c r="R34" s="1118">
        <f>IF('Schedule C'!AM60&gt;='EI - (F1 - F2)'!J$3,IF('Schedule C'!AM60&lt;='EI - (F1 - F2)'!K$3,'Schedule C'!A60,0),0)</f>
        <v>0</v>
      </c>
    </row>
    <row r="35" spans="1:18" ht="15">
      <c r="A35" s="1125">
        <f t="shared" si="1"/>
        <v>28</v>
      </c>
      <c r="B35" s="1126">
        <v>1</v>
      </c>
      <c r="C35" s="1126" t="str">
        <f>IFERROR(VLOOKUP(D35,dropdowns!$J$3:$Q$16,7,0)," ")</f>
        <v xml:space="preserve"> </v>
      </c>
      <c r="D35" s="1126" t="str">
        <f>IFERROR(INDEX('Schedule C'!$A$34:$BA$313,MATCH('EI - (F1 - F2)'!$R35,'Schedule C'!$A$34:$A$313,0),14)," ")</f>
        <v xml:space="preserve"> </v>
      </c>
      <c r="E35" s="1126" t="str">
        <f>IFERROR(VLOOKUP($D35,dropdowns!$J$3:$Q$16,8,0)," ")</f>
        <v xml:space="preserve"> </v>
      </c>
      <c r="F35" s="1126" t="str">
        <f>IFERROR(INDEX('Schedule C'!$A$34:$BA$313,MATCH('EI - (F1 - F2)'!$R35,'Schedule C'!$A$34:$A$313,0),2)," ")</f>
        <v xml:space="preserve"> </v>
      </c>
      <c r="G35" s="1126" t="str">
        <f>IFERROR(INDEX('Schedule C'!$A$34:$BA$313,MATCH('EI - (F1 - F2)'!$R35,'Schedule C'!$A$34:$A$313,0),38)," ")</f>
        <v xml:space="preserve"> </v>
      </c>
      <c r="H35" s="1127" t="str">
        <f>IFERROR(INDEX('Schedule C'!$A$34:$BA$313,MATCH('EI - (F1 - F2)'!$R35,'Schedule C'!$A$34:$A$313,0),39)," ")</f>
        <v xml:space="preserve"> </v>
      </c>
      <c r="I35" s="1129" t="str">
        <f t="shared" si="5"/>
        <v xml:space="preserve"> </v>
      </c>
      <c r="J35" s="1129" t="str">
        <f t="shared" si="5"/>
        <v xml:space="preserve"> </v>
      </c>
      <c r="K35" s="1129" t="str">
        <f t="shared" si="5"/>
        <v xml:space="preserve"> </v>
      </c>
      <c r="L35" s="1129" t="str">
        <f t="shared" si="5"/>
        <v xml:space="preserve"> </v>
      </c>
      <c r="M35" s="1129" t="str">
        <f t="shared" si="5"/>
        <v xml:space="preserve"> </v>
      </c>
      <c r="N35" s="1129" t="str">
        <f t="shared" si="5"/>
        <v xml:space="preserve"> </v>
      </c>
      <c r="O35" s="1129" t="str">
        <f t="shared" si="2"/>
        <v xml:space="preserve"> </v>
      </c>
      <c r="P35" s="1130" t="str">
        <f t="shared" si="3"/>
        <v xml:space="preserve"> </v>
      </c>
      <c r="Q35" s="1131" t="str">
        <f t="shared" si="4"/>
        <v xml:space="preserve"> </v>
      </c>
      <c r="R35" s="1118">
        <f>IF('Schedule C'!AM61&gt;='EI - (F1 - F2)'!J$3,IF('Schedule C'!AM61&lt;='EI - (F1 - F2)'!K$3,'Schedule C'!A61,0),0)</f>
        <v>0</v>
      </c>
    </row>
    <row r="36" spans="1:18" ht="15">
      <c r="A36" s="1125">
        <f t="shared" si="1"/>
        <v>29</v>
      </c>
      <c r="B36" s="1126">
        <v>1</v>
      </c>
      <c r="C36" s="1126" t="str">
        <f>IFERROR(VLOOKUP(D36,dropdowns!$J$3:$Q$16,7,0)," ")</f>
        <v xml:space="preserve"> </v>
      </c>
      <c r="D36" s="1126" t="str">
        <f>IFERROR(INDEX('Schedule C'!$A$34:$BA$313,MATCH('EI - (F1 - F2)'!$R36,'Schedule C'!$A$34:$A$313,0),14)," ")</f>
        <v xml:space="preserve"> </v>
      </c>
      <c r="E36" s="1126" t="str">
        <f>IFERROR(VLOOKUP($D36,dropdowns!$J$3:$Q$16,8,0)," ")</f>
        <v xml:space="preserve"> </v>
      </c>
      <c r="F36" s="1126" t="str">
        <f>IFERROR(INDEX('Schedule C'!$A$34:$BA$313,MATCH('EI - (F1 - F2)'!$R36,'Schedule C'!$A$34:$A$313,0),2)," ")</f>
        <v xml:space="preserve"> </v>
      </c>
      <c r="G36" s="1126" t="str">
        <f>IFERROR(INDEX('Schedule C'!$A$34:$BA$313,MATCH('EI - (F1 - F2)'!$R36,'Schedule C'!$A$34:$A$313,0),38)," ")</f>
        <v xml:space="preserve"> </v>
      </c>
      <c r="H36" s="1127" t="str">
        <f>IFERROR(INDEX('Schedule C'!$A$34:$BA$313,MATCH('EI - (F1 - F2)'!$R36,'Schedule C'!$A$34:$A$313,0),39)," ")</f>
        <v xml:space="preserve"> </v>
      </c>
      <c r="I36" s="1129" t="str">
        <f t="shared" si="5"/>
        <v xml:space="preserve"> </v>
      </c>
      <c r="J36" s="1129" t="str">
        <f t="shared" si="5"/>
        <v xml:space="preserve"> </v>
      </c>
      <c r="K36" s="1129" t="str">
        <f t="shared" si="5"/>
        <v xml:space="preserve"> </v>
      </c>
      <c r="L36" s="1129" t="str">
        <f t="shared" si="5"/>
        <v xml:space="preserve"> </v>
      </c>
      <c r="M36" s="1129" t="str">
        <f t="shared" si="5"/>
        <v xml:space="preserve"> </v>
      </c>
      <c r="N36" s="1129" t="str">
        <f t="shared" si="5"/>
        <v xml:space="preserve"> </v>
      </c>
      <c r="O36" s="1129" t="str">
        <f t="shared" si="2"/>
        <v xml:space="preserve"> </v>
      </c>
      <c r="P36" s="1130" t="str">
        <f t="shared" si="3"/>
        <v xml:space="preserve"> </v>
      </c>
      <c r="Q36" s="1131" t="str">
        <f t="shared" si="4"/>
        <v xml:space="preserve"> </v>
      </c>
      <c r="R36" s="1118">
        <f>IF('Schedule C'!AM62&gt;='EI - (F1 - F2)'!J$3,IF('Schedule C'!AM62&lt;='EI - (F1 - F2)'!K$3,'Schedule C'!A62,0),0)</f>
        <v>0</v>
      </c>
    </row>
    <row r="37" spans="1:18" ht="15">
      <c r="A37" s="1125">
        <f t="shared" si="1"/>
        <v>30</v>
      </c>
      <c r="B37" s="1126">
        <v>1</v>
      </c>
      <c r="C37" s="1126" t="str">
        <f>IFERROR(VLOOKUP(D37,dropdowns!$J$3:$Q$16,7,0)," ")</f>
        <v xml:space="preserve"> </v>
      </c>
      <c r="D37" s="1126" t="str">
        <f>IFERROR(INDEX('Schedule C'!$A$34:$BA$313,MATCH('EI - (F1 - F2)'!$R37,'Schedule C'!$A$34:$A$313,0),14)," ")</f>
        <v xml:space="preserve"> </v>
      </c>
      <c r="E37" s="1126" t="str">
        <f>IFERROR(VLOOKUP($D37,dropdowns!$J$3:$Q$16,8,0)," ")</f>
        <v xml:space="preserve"> </v>
      </c>
      <c r="F37" s="1126" t="str">
        <f>IFERROR(INDEX('Schedule C'!$A$34:$BA$313,MATCH('EI - (F1 - F2)'!$R37,'Schedule C'!$A$34:$A$313,0),2)," ")</f>
        <v xml:space="preserve"> </v>
      </c>
      <c r="G37" s="1126" t="str">
        <f>IFERROR(INDEX('Schedule C'!$A$34:$BA$313,MATCH('EI - (F1 - F2)'!$R37,'Schedule C'!$A$34:$A$313,0),38)," ")</f>
        <v xml:space="preserve"> </v>
      </c>
      <c r="H37" s="1127" t="str">
        <f>IFERROR(INDEX('Schedule C'!$A$34:$BA$313,MATCH('EI - (F1 - F2)'!$R37,'Schedule C'!$A$34:$A$313,0),39)," ")</f>
        <v xml:space="preserve"> </v>
      </c>
      <c r="I37" s="1129" t="str">
        <f t="shared" si="5"/>
        <v xml:space="preserve"> </v>
      </c>
      <c r="J37" s="1129" t="str">
        <f t="shared" si="5"/>
        <v xml:space="preserve"> </v>
      </c>
      <c r="K37" s="1129" t="str">
        <f t="shared" si="5"/>
        <v xml:space="preserve"> </v>
      </c>
      <c r="L37" s="1129" t="str">
        <f t="shared" si="5"/>
        <v xml:space="preserve"> </v>
      </c>
      <c r="M37" s="1129" t="str">
        <f t="shared" si="5"/>
        <v xml:space="preserve"> </v>
      </c>
      <c r="N37" s="1129" t="str">
        <f t="shared" si="5"/>
        <v xml:space="preserve"> </v>
      </c>
      <c r="O37" s="1129" t="str">
        <f t="shared" si="2"/>
        <v xml:space="preserve"> </v>
      </c>
      <c r="P37" s="1130" t="str">
        <f t="shared" si="3"/>
        <v xml:space="preserve"> </v>
      </c>
      <c r="Q37" s="1131" t="str">
        <f t="shared" si="4"/>
        <v xml:space="preserve"> </v>
      </c>
      <c r="R37" s="1118">
        <f>IF('Schedule C'!AM63&gt;='EI - (F1 - F2)'!J$3,IF('Schedule C'!AM63&lt;='EI - (F1 - F2)'!K$3,'Schedule C'!A63,0),0)</f>
        <v>0</v>
      </c>
    </row>
    <row r="38" spans="1:18" ht="15">
      <c r="A38" s="1125">
        <f t="shared" si="1"/>
        <v>31</v>
      </c>
      <c r="B38" s="1126">
        <v>1</v>
      </c>
      <c r="C38" s="1126" t="str">
        <f>IFERROR(VLOOKUP(D38,dropdowns!$J$3:$Q$16,7,0)," ")</f>
        <v xml:space="preserve"> </v>
      </c>
      <c r="D38" s="1126" t="str">
        <f>IFERROR(INDEX('Schedule C'!$A$34:$BA$313,MATCH('EI - (F1 - F2)'!$R38,'Schedule C'!$A$34:$A$313,0),14)," ")</f>
        <v xml:space="preserve"> </v>
      </c>
      <c r="E38" s="1126" t="str">
        <f>IFERROR(VLOOKUP($D38,dropdowns!$J$3:$Q$16,8,0)," ")</f>
        <v xml:space="preserve"> </v>
      </c>
      <c r="F38" s="1126" t="str">
        <f>IFERROR(INDEX('Schedule C'!$A$34:$BA$313,MATCH('EI - (F1 - F2)'!$R38,'Schedule C'!$A$34:$A$313,0),2)," ")</f>
        <v xml:space="preserve"> </v>
      </c>
      <c r="G38" s="1126" t="str">
        <f>IFERROR(INDEX('Schedule C'!$A$34:$BA$313,MATCH('EI - (F1 - F2)'!$R38,'Schedule C'!$A$34:$A$313,0),38)," ")</f>
        <v xml:space="preserve"> </v>
      </c>
      <c r="H38" s="1127" t="str">
        <f>IFERROR(INDEX('Schedule C'!$A$34:$BA$313,MATCH('EI - (F1 - F2)'!$R38,'Schedule C'!$A$34:$A$313,0),39)," ")</f>
        <v xml:space="preserve"> </v>
      </c>
      <c r="I38" s="1129" t="str">
        <f t="shared" si="5"/>
        <v xml:space="preserve"> </v>
      </c>
      <c r="J38" s="1129" t="str">
        <f t="shared" si="5"/>
        <v xml:space="preserve"> </v>
      </c>
      <c r="K38" s="1129" t="str">
        <f t="shared" si="5"/>
        <v xml:space="preserve"> </v>
      </c>
      <c r="L38" s="1129" t="str">
        <f t="shared" si="5"/>
        <v xml:space="preserve"> </v>
      </c>
      <c r="M38" s="1129" t="str">
        <f t="shared" si="5"/>
        <v xml:space="preserve"> </v>
      </c>
      <c r="N38" s="1129" t="str">
        <f t="shared" si="5"/>
        <v xml:space="preserve"> </v>
      </c>
      <c r="O38" s="1129" t="str">
        <f t="shared" si="2"/>
        <v xml:space="preserve"> </v>
      </c>
      <c r="P38" s="1130" t="str">
        <f t="shared" si="3"/>
        <v xml:space="preserve"> </v>
      </c>
      <c r="Q38" s="1131" t="str">
        <f t="shared" si="4"/>
        <v xml:space="preserve"> </v>
      </c>
      <c r="R38" s="1118">
        <f>IF('Schedule C'!AM64&gt;='EI - (F1 - F2)'!J$3,IF('Schedule C'!AM64&lt;='EI - (F1 - F2)'!K$3,'Schedule C'!A64,0),0)</f>
        <v>0</v>
      </c>
    </row>
    <row r="39" spans="1:18" ht="15">
      <c r="A39" s="1125">
        <f t="shared" si="1"/>
        <v>32</v>
      </c>
      <c r="B39" s="1126">
        <v>1</v>
      </c>
      <c r="C39" s="1126" t="str">
        <f>IFERROR(VLOOKUP(D39,dropdowns!$J$3:$Q$16,7,0)," ")</f>
        <v xml:space="preserve"> </v>
      </c>
      <c r="D39" s="1126" t="str">
        <f>IFERROR(INDEX('Schedule C'!$A$34:$BA$313,MATCH('EI - (F1 - F2)'!$R39,'Schedule C'!$A$34:$A$313,0),14)," ")</f>
        <v xml:space="preserve"> </v>
      </c>
      <c r="E39" s="1126" t="str">
        <f>IFERROR(VLOOKUP($D39,dropdowns!$J$3:$Q$16,8,0)," ")</f>
        <v xml:space="preserve"> </v>
      </c>
      <c r="F39" s="1126" t="str">
        <f>IFERROR(INDEX('Schedule C'!$A$34:$BA$313,MATCH('EI - (F1 - F2)'!$R39,'Schedule C'!$A$34:$A$313,0),2)," ")</f>
        <v xml:space="preserve"> </v>
      </c>
      <c r="G39" s="1126" t="str">
        <f>IFERROR(INDEX('Schedule C'!$A$34:$BA$313,MATCH('EI - (F1 - F2)'!$R39,'Schedule C'!$A$34:$A$313,0),38)," ")</f>
        <v xml:space="preserve"> </v>
      </c>
      <c r="H39" s="1127" t="str">
        <f>IFERROR(INDEX('Schedule C'!$A$34:$BA$313,MATCH('EI - (F1 - F2)'!$R39,'Schedule C'!$A$34:$A$313,0),39)," ")</f>
        <v xml:space="preserve"> </v>
      </c>
      <c r="I39" s="1129" t="str">
        <f t="shared" si="5"/>
        <v xml:space="preserve"> </v>
      </c>
      <c r="J39" s="1129" t="str">
        <f t="shared" si="5"/>
        <v xml:space="preserve"> </v>
      </c>
      <c r="K39" s="1129" t="str">
        <f t="shared" si="5"/>
        <v xml:space="preserve"> </v>
      </c>
      <c r="L39" s="1129" t="str">
        <f t="shared" si="5"/>
        <v xml:space="preserve"> </v>
      </c>
      <c r="M39" s="1129" t="str">
        <f t="shared" si="5"/>
        <v xml:space="preserve"> </v>
      </c>
      <c r="N39" s="1129" t="str">
        <f t="shared" si="5"/>
        <v xml:space="preserve"> </v>
      </c>
      <c r="O39" s="1129" t="str">
        <f t="shared" si="2"/>
        <v xml:space="preserve"> </v>
      </c>
      <c r="P39" s="1130" t="str">
        <f t="shared" si="3"/>
        <v xml:space="preserve"> </v>
      </c>
      <c r="Q39" s="1131" t="str">
        <f t="shared" si="4"/>
        <v xml:space="preserve"> </v>
      </c>
      <c r="R39" s="1118">
        <f>IF('Schedule C'!AM65&gt;='EI - (F1 - F2)'!J$3,IF('Schedule C'!AM65&lt;='EI - (F1 - F2)'!K$3,'Schedule C'!A65,0),0)</f>
        <v>0</v>
      </c>
    </row>
    <row r="40" spans="1:18" ht="15">
      <c r="A40" s="1125">
        <f t="shared" si="1"/>
        <v>33</v>
      </c>
      <c r="B40" s="1126">
        <v>1</v>
      </c>
      <c r="C40" s="1126" t="str">
        <f>IFERROR(VLOOKUP(D40,dropdowns!$J$3:$Q$16,7,0)," ")</f>
        <v xml:space="preserve"> </v>
      </c>
      <c r="D40" s="1126" t="str">
        <f>IFERROR(INDEX('Schedule C'!$A$34:$BA$313,MATCH('EI - (F1 - F2)'!$R40,'Schedule C'!$A$34:$A$313,0),14)," ")</f>
        <v xml:space="preserve"> </v>
      </c>
      <c r="E40" s="1126" t="str">
        <f>IFERROR(VLOOKUP($D40,dropdowns!$J$3:$Q$16,8,0)," ")</f>
        <v xml:space="preserve"> </v>
      </c>
      <c r="F40" s="1126" t="str">
        <f>IFERROR(INDEX('Schedule C'!$A$34:$BA$313,MATCH('EI - (F1 - F2)'!$R40,'Schedule C'!$A$34:$A$313,0),2)," ")</f>
        <v xml:space="preserve"> </v>
      </c>
      <c r="G40" s="1126" t="str">
        <f>IFERROR(INDEX('Schedule C'!$A$34:$BA$313,MATCH('EI - (F1 - F2)'!$R40,'Schedule C'!$A$34:$A$313,0),38)," ")</f>
        <v xml:space="preserve"> </v>
      </c>
      <c r="H40" s="1127" t="str">
        <f>IFERROR(INDEX('Schedule C'!$A$34:$BA$313,MATCH('EI - (F1 - F2)'!$R40,'Schedule C'!$A$34:$A$313,0),39)," ")</f>
        <v xml:space="preserve"> </v>
      </c>
      <c r="I40" s="1129" t="str">
        <f t="shared" si="5"/>
        <v xml:space="preserve"> </v>
      </c>
      <c r="J40" s="1129" t="str">
        <f t="shared" si="5"/>
        <v xml:space="preserve"> </v>
      </c>
      <c r="K40" s="1129" t="str">
        <f t="shared" si="5"/>
        <v xml:space="preserve"> </v>
      </c>
      <c r="L40" s="1129" t="str">
        <f t="shared" si="5"/>
        <v xml:space="preserve"> </v>
      </c>
      <c r="M40" s="1129" t="str">
        <f t="shared" si="5"/>
        <v xml:space="preserve"> </v>
      </c>
      <c r="N40" s="1129" t="str">
        <f t="shared" si="5"/>
        <v xml:space="preserve"> </v>
      </c>
      <c r="O40" s="1129" t="str">
        <f t="shared" si="2"/>
        <v xml:space="preserve"> </v>
      </c>
      <c r="P40" s="1130" t="str">
        <f t="shared" si="3"/>
        <v xml:space="preserve"> </v>
      </c>
      <c r="Q40" s="1131" t="str">
        <f t="shared" si="4"/>
        <v xml:space="preserve"> </v>
      </c>
      <c r="R40" s="1118">
        <f>IF('Schedule C'!AM66&gt;='EI - (F1 - F2)'!J$3,IF('Schedule C'!AM66&lt;='EI - (F1 - F2)'!K$3,'Schedule C'!A66,0),0)</f>
        <v>0</v>
      </c>
    </row>
    <row r="41" spans="1:18" ht="15">
      <c r="A41" s="1125">
        <f t="shared" si="1"/>
        <v>34</v>
      </c>
      <c r="B41" s="1126">
        <v>1</v>
      </c>
      <c r="C41" s="1126" t="str">
        <f>IFERROR(VLOOKUP(D41,dropdowns!$J$3:$Q$16,7,0)," ")</f>
        <v xml:space="preserve"> </v>
      </c>
      <c r="D41" s="1126" t="str">
        <f>IFERROR(INDEX('Schedule C'!$A$34:$BA$313,MATCH('EI - (F1 - F2)'!$R41,'Schedule C'!$A$34:$A$313,0),14)," ")</f>
        <v xml:space="preserve"> </v>
      </c>
      <c r="E41" s="1126" t="str">
        <f>IFERROR(VLOOKUP($D41,dropdowns!$J$3:$Q$16,8,0)," ")</f>
        <v xml:space="preserve"> </v>
      </c>
      <c r="F41" s="1126" t="str">
        <f>IFERROR(INDEX('Schedule C'!$A$34:$BA$313,MATCH('EI - (F1 - F2)'!$R41,'Schedule C'!$A$34:$A$313,0),2)," ")</f>
        <v xml:space="preserve"> </v>
      </c>
      <c r="G41" s="1126" t="str">
        <f>IFERROR(INDEX('Schedule C'!$A$34:$BA$313,MATCH('EI - (F1 - F2)'!$R41,'Schedule C'!$A$34:$A$313,0),38)," ")</f>
        <v xml:space="preserve"> </v>
      </c>
      <c r="H41" s="1127" t="str">
        <f>IFERROR(INDEX('Schedule C'!$A$34:$BA$313,MATCH('EI - (F1 - F2)'!$R41,'Schedule C'!$A$34:$A$313,0),39)," ")</f>
        <v xml:space="preserve"> </v>
      </c>
      <c r="I41" s="1129" t="str">
        <f t="shared" si="5"/>
        <v xml:space="preserve"> </v>
      </c>
      <c r="J41" s="1129" t="str">
        <f t="shared" si="5"/>
        <v xml:space="preserve"> </v>
      </c>
      <c r="K41" s="1129" t="str">
        <f t="shared" si="5"/>
        <v xml:space="preserve"> </v>
      </c>
      <c r="L41" s="1129" t="str">
        <f t="shared" si="5"/>
        <v xml:space="preserve"> </v>
      </c>
      <c r="M41" s="1129" t="str">
        <f t="shared" si="5"/>
        <v xml:space="preserve"> </v>
      </c>
      <c r="N41" s="1129" t="str">
        <f t="shared" si="5"/>
        <v xml:space="preserve"> </v>
      </c>
      <c r="O41" s="1129" t="str">
        <f t="shared" si="2"/>
        <v xml:space="preserve"> </v>
      </c>
      <c r="P41" s="1130" t="str">
        <f t="shared" si="3"/>
        <v xml:space="preserve"> </v>
      </c>
      <c r="Q41" s="1131" t="str">
        <f t="shared" si="4"/>
        <v xml:space="preserve"> </v>
      </c>
      <c r="R41" s="1118">
        <f>IF('Schedule C'!AM67&gt;='EI - (F1 - F2)'!J$3,IF('Schedule C'!AM67&lt;='EI - (F1 - F2)'!K$3,'Schedule C'!A67,0),0)</f>
        <v>0</v>
      </c>
    </row>
    <row r="42" spans="1:18" ht="15">
      <c r="A42" s="1125">
        <f t="shared" si="1"/>
        <v>35</v>
      </c>
      <c r="B42" s="1126">
        <v>1</v>
      </c>
      <c r="C42" s="1126" t="str">
        <f>IFERROR(VLOOKUP(D42,dropdowns!$J$3:$Q$16,7,0)," ")</f>
        <v xml:space="preserve"> </v>
      </c>
      <c r="D42" s="1126" t="str">
        <f>IFERROR(INDEX('Schedule C'!$A$34:$BA$313,MATCH('EI - (F1 - F2)'!$R42,'Schedule C'!$A$34:$A$313,0),14)," ")</f>
        <v xml:space="preserve"> </v>
      </c>
      <c r="E42" s="1126" t="str">
        <f>IFERROR(VLOOKUP($D42,dropdowns!$J$3:$Q$16,8,0)," ")</f>
        <v xml:space="preserve"> </v>
      </c>
      <c r="F42" s="1126" t="str">
        <f>IFERROR(INDEX('Schedule C'!$A$34:$BA$313,MATCH('EI - (F1 - F2)'!$R42,'Schedule C'!$A$34:$A$313,0),2)," ")</f>
        <v xml:space="preserve"> </v>
      </c>
      <c r="G42" s="1126" t="str">
        <f>IFERROR(INDEX('Schedule C'!$A$34:$BA$313,MATCH('EI - (F1 - F2)'!$R42,'Schedule C'!$A$34:$A$313,0),38)," ")</f>
        <v xml:space="preserve"> </v>
      </c>
      <c r="H42" s="1127" t="str">
        <f>IFERROR(INDEX('Schedule C'!$A$34:$BA$313,MATCH('EI - (F1 - F2)'!$R42,'Schedule C'!$A$34:$A$313,0),39)," ")</f>
        <v xml:space="preserve"> </v>
      </c>
      <c r="I42" s="1129" t="str">
        <f t="shared" si="5"/>
        <v xml:space="preserve"> </v>
      </c>
      <c r="J42" s="1129" t="str">
        <f t="shared" si="5"/>
        <v xml:space="preserve"> </v>
      </c>
      <c r="K42" s="1129" t="str">
        <f t="shared" si="5"/>
        <v xml:space="preserve"> </v>
      </c>
      <c r="L42" s="1129" t="str">
        <f t="shared" si="5"/>
        <v xml:space="preserve"> </v>
      </c>
      <c r="M42" s="1129" t="str">
        <f t="shared" si="5"/>
        <v xml:space="preserve"> </v>
      </c>
      <c r="N42" s="1129" t="str">
        <f t="shared" si="5"/>
        <v xml:space="preserve"> </v>
      </c>
      <c r="O42" s="1129" t="str">
        <f t="shared" si="2"/>
        <v xml:space="preserve"> </v>
      </c>
      <c r="P42" s="1130" t="str">
        <f t="shared" si="3"/>
        <v xml:space="preserve"> </v>
      </c>
      <c r="Q42" s="1131" t="str">
        <f t="shared" si="4"/>
        <v xml:space="preserve"> </v>
      </c>
      <c r="R42" s="1118">
        <f>IF('Schedule C'!AM68&gt;='EI - (F1 - F2)'!J$3,IF('Schedule C'!AM68&lt;='EI - (F1 - F2)'!K$3,'Schedule C'!A68,0),0)</f>
        <v>0</v>
      </c>
    </row>
    <row r="43" spans="1:18" ht="15">
      <c r="A43" s="1125">
        <f t="shared" si="1"/>
        <v>36</v>
      </c>
      <c r="B43" s="1126">
        <v>1</v>
      </c>
      <c r="C43" s="1126" t="str">
        <f>IFERROR(VLOOKUP(D43,dropdowns!$J$3:$Q$16,7,0)," ")</f>
        <v xml:space="preserve"> </v>
      </c>
      <c r="D43" s="1126" t="str">
        <f>IFERROR(INDEX('Schedule C'!$A$34:$BA$313,MATCH('EI - (F1 - F2)'!$R43,'Schedule C'!$A$34:$A$313,0),14)," ")</f>
        <v xml:space="preserve"> </v>
      </c>
      <c r="E43" s="1126" t="str">
        <f>IFERROR(VLOOKUP($D43,dropdowns!$J$3:$Q$16,8,0)," ")</f>
        <v xml:space="preserve"> </v>
      </c>
      <c r="F43" s="1126" t="str">
        <f>IFERROR(INDEX('Schedule C'!$A$34:$BA$313,MATCH('EI - (F1 - F2)'!$R43,'Schedule C'!$A$34:$A$313,0),2)," ")</f>
        <v xml:space="preserve"> </v>
      </c>
      <c r="G43" s="1126" t="str">
        <f>IFERROR(INDEX('Schedule C'!$A$34:$BA$313,MATCH('EI - (F1 - F2)'!$R43,'Schedule C'!$A$34:$A$313,0),38)," ")</f>
        <v xml:space="preserve"> </v>
      </c>
      <c r="H43" s="1127" t="str">
        <f>IFERROR(INDEX('Schedule C'!$A$34:$BA$313,MATCH('EI - (F1 - F2)'!$R43,'Schedule C'!$A$34:$A$313,0),39)," ")</f>
        <v xml:space="preserve"> </v>
      </c>
      <c r="I43" s="1129" t="str">
        <f t="shared" si="5"/>
        <v xml:space="preserve"> </v>
      </c>
      <c r="J43" s="1129" t="str">
        <f t="shared" si="5"/>
        <v xml:space="preserve"> </v>
      </c>
      <c r="K43" s="1129" t="str">
        <f t="shared" si="5"/>
        <v xml:space="preserve"> </v>
      </c>
      <c r="L43" s="1129" t="str">
        <f t="shared" si="5"/>
        <v xml:space="preserve"> </v>
      </c>
      <c r="M43" s="1129" t="str">
        <f t="shared" si="5"/>
        <v xml:space="preserve"> </v>
      </c>
      <c r="N43" s="1129" t="str">
        <f t="shared" si="5"/>
        <v xml:space="preserve"> </v>
      </c>
      <c r="O43" s="1129" t="str">
        <f t="shared" si="2"/>
        <v xml:space="preserve"> </v>
      </c>
      <c r="P43" s="1130" t="str">
        <f t="shared" si="3"/>
        <v xml:space="preserve"> </v>
      </c>
      <c r="Q43" s="1131" t="str">
        <f t="shared" si="4"/>
        <v xml:space="preserve"> </v>
      </c>
      <c r="R43" s="1118">
        <f>IF('Schedule C'!AM69&gt;='EI - (F1 - F2)'!J$3,IF('Schedule C'!AM69&lt;='EI - (F1 - F2)'!K$3,'Schedule C'!A69,0),0)</f>
        <v>0</v>
      </c>
    </row>
    <row r="44" spans="1:18" ht="15">
      <c r="A44" s="1125">
        <f t="shared" si="1"/>
        <v>37</v>
      </c>
      <c r="B44" s="1126">
        <v>1</v>
      </c>
      <c r="C44" s="1126" t="str">
        <f>IFERROR(VLOOKUP(D44,dropdowns!$J$3:$Q$16,7,0)," ")</f>
        <v xml:space="preserve"> </v>
      </c>
      <c r="D44" s="1126" t="str">
        <f>IFERROR(INDEX('Schedule C'!$A$34:$BA$313,MATCH('EI - (F1 - F2)'!$R44,'Schedule C'!$A$34:$A$313,0),14)," ")</f>
        <v xml:space="preserve"> </v>
      </c>
      <c r="E44" s="1126" t="str">
        <f>IFERROR(VLOOKUP($D44,dropdowns!$J$3:$Q$16,8,0)," ")</f>
        <v xml:space="preserve"> </v>
      </c>
      <c r="F44" s="1126" t="str">
        <f>IFERROR(INDEX('Schedule C'!$A$34:$BA$313,MATCH('EI - (F1 - F2)'!$R44,'Schedule C'!$A$34:$A$313,0),2)," ")</f>
        <v xml:space="preserve"> </v>
      </c>
      <c r="G44" s="1126" t="str">
        <f>IFERROR(INDEX('Schedule C'!$A$34:$BA$313,MATCH('EI - (F1 - F2)'!$R44,'Schedule C'!$A$34:$A$313,0),38)," ")</f>
        <v xml:space="preserve"> </v>
      </c>
      <c r="H44" s="1127" t="str">
        <f>IFERROR(INDEX('Schedule C'!$A$34:$BA$313,MATCH('EI - (F1 - F2)'!$R44,'Schedule C'!$A$34:$A$313,0),39)," ")</f>
        <v xml:space="preserve"> </v>
      </c>
      <c r="I44" s="1129" t="str">
        <f t="shared" si="5"/>
        <v xml:space="preserve"> </v>
      </c>
      <c r="J44" s="1129" t="str">
        <f t="shared" si="5"/>
        <v xml:space="preserve"> </v>
      </c>
      <c r="K44" s="1129" t="str">
        <f t="shared" si="5"/>
        <v xml:space="preserve"> </v>
      </c>
      <c r="L44" s="1129" t="str">
        <f t="shared" si="5"/>
        <v xml:space="preserve"> </v>
      </c>
      <c r="M44" s="1129" t="str">
        <f t="shared" si="5"/>
        <v xml:space="preserve"> </v>
      </c>
      <c r="N44" s="1129" t="str">
        <f t="shared" si="5"/>
        <v xml:space="preserve"> </v>
      </c>
      <c r="O44" s="1129" t="str">
        <f t="shared" si="2"/>
        <v xml:space="preserve"> </v>
      </c>
      <c r="P44" s="1130" t="str">
        <f t="shared" si="3"/>
        <v xml:space="preserve"> </v>
      </c>
      <c r="Q44" s="1131" t="str">
        <f t="shared" si="4"/>
        <v xml:space="preserve"> </v>
      </c>
      <c r="R44" s="1118">
        <f>IF('Schedule C'!AM70&gt;='EI - (F1 - F2)'!J$3,IF('Schedule C'!AM70&lt;='EI - (F1 - F2)'!K$3,'Schedule C'!A70,0),0)</f>
        <v>0</v>
      </c>
    </row>
    <row r="45" spans="1:18" ht="15">
      <c r="A45" s="1125">
        <f t="shared" si="1"/>
        <v>38</v>
      </c>
      <c r="B45" s="1126">
        <v>1</v>
      </c>
      <c r="C45" s="1126" t="str">
        <f>IFERROR(VLOOKUP(D45,dropdowns!$J$3:$Q$16,7,0)," ")</f>
        <v xml:space="preserve"> </v>
      </c>
      <c r="D45" s="1126" t="str">
        <f>IFERROR(INDEX('Schedule C'!$A$34:$BA$313,MATCH('EI - (F1 - F2)'!$R45,'Schedule C'!$A$34:$A$313,0),14)," ")</f>
        <v xml:space="preserve"> </v>
      </c>
      <c r="E45" s="1126" t="str">
        <f>IFERROR(VLOOKUP($D45,dropdowns!$J$3:$Q$16,8,0)," ")</f>
        <v xml:space="preserve"> </v>
      </c>
      <c r="F45" s="1126" t="str">
        <f>IFERROR(INDEX('Schedule C'!$A$34:$BA$313,MATCH('EI - (F1 - F2)'!$R45,'Schedule C'!$A$34:$A$313,0),2)," ")</f>
        <v xml:space="preserve"> </v>
      </c>
      <c r="G45" s="1126" t="str">
        <f>IFERROR(INDEX('Schedule C'!$A$34:$BA$313,MATCH('EI - (F1 - F2)'!$R45,'Schedule C'!$A$34:$A$313,0),38)," ")</f>
        <v xml:space="preserve"> </v>
      </c>
      <c r="H45" s="1127" t="str">
        <f>IFERROR(INDEX('Schedule C'!$A$34:$BA$313,MATCH('EI - (F1 - F2)'!$R45,'Schedule C'!$A$34:$A$313,0),39)," ")</f>
        <v xml:space="preserve"> </v>
      </c>
      <c r="I45" s="1129" t="str">
        <f t="shared" si="5"/>
        <v xml:space="preserve"> </v>
      </c>
      <c r="J45" s="1129" t="str">
        <f t="shared" si="5"/>
        <v xml:space="preserve"> </v>
      </c>
      <c r="K45" s="1129" t="str">
        <f t="shared" si="5"/>
        <v xml:space="preserve"> </v>
      </c>
      <c r="L45" s="1129" t="str">
        <f t="shared" si="5"/>
        <v xml:space="preserve"> </v>
      </c>
      <c r="M45" s="1129" t="str">
        <f t="shared" si="5"/>
        <v xml:space="preserve"> </v>
      </c>
      <c r="N45" s="1129" t="str">
        <f t="shared" si="5"/>
        <v xml:space="preserve"> </v>
      </c>
      <c r="O45" s="1129" t="str">
        <f t="shared" si="2"/>
        <v xml:space="preserve"> </v>
      </c>
      <c r="P45" s="1130" t="str">
        <f t="shared" si="3"/>
        <v xml:space="preserve"> </v>
      </c>
      <c r="Q45" s="1131" t="str">
        <f t="shared" si="4"/>
        <v xml:space="preserve"> </v>
      </c>
      <c r="R45" s="1118">
        <f>IF('Schedule C'!AM71&gt;='EI - (F1 - F2)'!J$3,IF('Schedule C'!AM71&lt;='EI - (F1 - F2)'!K$3,'Schedule C'!A71,0),0)</f>
        <v>0</v>
      </c>
    </row>
    <row r="46" spans="1:18" ht="15">
      <c r="A46" s="1125">
        <f t="shared" si="1"/>
        <v>39</v>
      </c>
      <c r="B46" s="1126">
        <v>1</v>
      </c>
      <c r="C46" s="1126" t="str">
        <f>IFERROR(VLOOKUP(D46,dropdowns!$J$3:$Q$16,7,0)," ")</f>
        <v xml:space="preserve"> </v>
      </c>
      <c r="D46" s="1126" t="str">
        <f>IFERROR(INDEX('Schedule C'!$A$34:$BA$313,MATCH('EI - (F1 - F2)'!$R46,'Schedule C'!$A$34:$A$313,0),14)," ")</f>
        <v xml:space="preserve"> </v>
      </c>
      <c r="E46" s="1126" t="str">
        <f>IFERROR(VLOOKUP($D46,dropdowns!$J$3:$Q$16,8,0)," ")</f>
        <v xml:space="preserve"> </v>
      </c>
      <c r="F46" s="1126" t="str">
        <f>IFERROR(INDEX('Schedule C'!$A$34:$BA$313,MATCH('EI - (F1 - F2)'!$R46,'Schedule C'!$A$34:$A$313,0),2)," ")</f>
        <v xml:space="preserve"> </v>
      </c>
      <c r="G46" s="1126" t="str">
        <f>IFERROR(INDEX('Schedule C'!$A$34:$BA$313,MATCH('EI - (F1 - F2)'!$R46,'Schedule C'!$A$34:$A$313,0),38)," ")</f>
        <v xml:space="preserve"> </v>
      </c>
      <c r="H46" s="1127" t="str">
        <f>IFERROR(INDEX('Schedule C'!$A$34:$BA$313,MATCH('EI - (F1 - F2)'!$R46,'Schedule C'!$A$34:$A$313,0),39)," ")</f>
        <v xml:space="preserve"> </v>
      </c>
      <c r="I46" s="1129" t="str">
        <f t="shared" si="5"/>
        <v xml:space="preserve"> </v>
      </c>
      <c r="J46" s="1129" t="str">
        <f t="shared" si="5"/>
        <v xml:space="preserve"> </v>
      </c>
      <c r="K46" s="1129" t="str">
        <f t="shared" si="5"/>
        <v xml:space="preserve"> </v>
      </c>
      <c r="L46" s="1129" t="str">
        <f t="shared" si="5"/>
        <v xml:space="preserve"> </v>
      </c>
      <c r="M46" s="1129" t="str">
        <f t="shared" si="5"/>
        <v xml:space="preserve"> </v>
      </c>
      <c r="N46" s="1129" t="str">
        <f t="shared" si="5"/>
        <v xml:space="preserve"> </v>
      </c>
      <c r="O46" s="1129" t="str">
        <f t="shared" si="2"/>
        <v xml:space="preserve"> </v>
      </c>
      <c r="P46" s="1130" t="str">
        <f t="shared" si="3"/>
        <v xml:space="preserve"> </v>
      </c>
      <c r="Q46" s="1131" t="str">
        <f t="shared" si="4"/>
        <v xml:space="preserve"> </v>
      </c>
      <c r="R46" s="1118">
        <f>IF('Schedule C'!AM72&gt;='EI - (F1 - F2)'!J$3,IF('Schedule C'!AM72&lt;='EI - (F1 - F2)'!K$3,'Schedule C'!A72,0),0)</f>
        <v>0</v>
      </c>
    </row>
    <row r="47" spans="1:18" ht="15">
      <c r="A47" s="1125">
        <f t="shared" si="1"/>
        <v>40</v>
      </c>
      <c r="B47" s="1126">
        <v>1</v>
      </c>
      <c r="C47" s="1126" t="str">
        <f>IFERROR(VLOOKUP(D47,dropdowns!$J$3:$Q$16,7,0)," ")</f>
        <v xml:space="preserve"> </v>
      </c>
      <c r="D47" s="1126" t="str">
        <f>IFERROR(INDEX('Schedule C'!$A$34:$BA$313,MATCH('EI - (F1 - F2)'!$R47,'Schedule C'!$A$34:$A$313,0),14)," ")</f>
        <v xml:space="preserve"> </v>
      </c>
      <c r="E47" s="1126" t="str">
        <f>IFERROR(VLOOKUP($D47,dropdowns!$J$3:$Q$16,8,0)," ")</f>
        <v xml:space="preserve"> </v>
      </c>
      <c r="F47" s="1126" t="str">
        <f>IFERROR(INDEX('Schedule C'!$A$34:$BA$313,MATCH('EI - (F1 - F2)'!$R47,'Schedule C'!$A$34:$A$313,0),2)," ")</f>
        <v xml:space="preserve"> </v>
      </c>
      <c r="G47" s="1126" t="str">
        <f>IFERROR(INDEX('Schedule C'!$A$34:$BA$313,MATCH('EI - (F1 - F2)'!$R47,'Schedule C'!$A$34:$A$313,0),38)," ")</f>
        <v xml:space="preserve"> </v>
      </c>
      <c r="H47" s="1127" t="str">
        <f>IFERROR(INDEX('Schedule C'!$A$34:$BA$313,MATCH('EI - (F1 - F2)'!$R47,'Schedule C'!$A$34:$A$313,0),39)," ")</f>
        <v xml:space="preserve"> </v>
      </c>
      <c r="I47" s="1129" t="str">
        <f t="shared" si="5"/>
        <v xml:space="preserve"> </v>
      </c>
      <c r="J47" s="1129" t="str">
        <f t="shared" si="5"/>
        <v xml:space="preserve"> </v>
      </c>
      <c r="K47" s="1129" t="str">
        <f t="shared" si="5"/>
        <v xml:space="preserve"> </v>
      </c>
      <c r="L47" s="1129" t="str">
        <f t="shared" si="5"/>
        <v xml:space="preserve"> </v>
      </c>
      <c r="M47" s="1129" t="str">
        <f t="shared" si="5"/>
        <v xml:space="preserve"> </v>
      </c>
      <c r="N47" s="1129" t="str">
        <f t="shared" si="5"/>
        <v xml:space="preserve"> </v>
      </c>
      <c r="O47" s="1129" t="str">
        <f t="shared" si="2"/>
        <v xml:space="preserve"> </v>
      </c>
      <c r="P47" s="1130" t="str">
        <f t="shared" si="3"/>
        <v xml:space="preserve"> </v>
      </c>
      <c r="Q47" s="1131" t="str">
        <f t="shared" si="4"/>
        <v xml:space="preserve"> </v>
      </c>
      <c r="R47" s="1118">
        <f>IF('Schedule C'!AM73&gt;='EI - (F1 - F2)'!J$3,IF('Schedule C'!AM73&lt;='EI - (F1 - F2)'!K$3,'Schedule C'!A73,0),0)</f>
        <v>0</v>
      </c>
    </row>
    <row r="48" spans="1:18" ht="15">
      <c r="A48" s="1125">
        <f t="shared" si="1"/>
        <v>41</v>
      </c>
      <c r="B48" s="1126">
        <v>1</v>
      </c>
      <c r="C48" s="1126" t="str">
        <f>IFERROR(VLOOKUP(D48,dropdowns!$J$3:$Q$16,7,0)," ")</f>
        <v xml:space="preserve"> </v>
      </c>
      <c r="D48" s="1126" t="str">
        <f>IFERROR(INDEX('Schedule C'!$A$34:$BA$313,MATCH('EI - (F1 - F2)'!$R48,'Schedule C'!$A$34:$A$313,0),14)," ")</f>
        <v xml:space="preserve"> </v>
      </c>
      <c r="E48" s="1126" t="str">
        <f>IFERROR(VLOOKUP($D48,dropdowns!$J$3:$Q$16,8,0)," ")</f>
        <v xml:space="preserve"> </v>
      </c>
      <c r="F48" s="1126" t="str">
        <f>IFERROR(INDEX('Schedule C'!$A$34:$BA$313,MATCH('EI - (F1 - F2)'!$R48,'Schedule C'!$A$34:$A$313,0),2)," ")</f>
        <v xml:space="preserve"> </v>
      </c>
      <c r="G48" s="1126" t="str">
        <f>IFERROR(INDEX('Schedule C'!$A$34:$BA$313,MATCH('EI - (F1 - F2)'!$R48,'Schedule C'!$A$34:$A$313,0),38)," ")</f>
        <v xml:space="preserve"> </v>
      </c>
      <c r="H48" s="1127" t="str">
        <f>IFERROR(INDEX('Schedule C'!$A$34:$BA$313,MATCH('EI - (F1 - F2)'!$R48,'Schedule C'!$A$34:$A$313,0),39)," ")</f>
        <v xml:space="preserve"> </v>
      </c>
      <c r="I48" s="1129" t="str">
        <f t="shared" si="5"/>
        <v xml:space="preserve"> </v>
      </c>
      <c r="J48" s="1129" t="str">
        <f t="shared" si="5"/>
        <v xml:space="preserve"> </v>
      </c>
      <c r="K48" s="1129" t="str">
        <f t="shared" si="5"/>
        <v xml:space="preserve"> </v>
      </c>
      <c r="L48" s="1129" t="str">
        <f t="shared" si="5"/>
        <v xml:space="preserve"> </v>
      </c>
      <c r="M48" s="1129" t="str">
        <f t="shared" si="5"/>
        <v xml:space="preserve"> </v>
      </c>
      <c r="N48" s="1129" t="str">
        <f t="shared" si="5"/>
        <v xml:space="preserve"> </v>
      </c>
      <c r="O48" s="1129" t="str">
        <f t="shared" si="2"/>
        <v xml:space="preserve"> </v>
      </c>
      <c r="P48" s="1130" t="str">
        <f t="shared" si="3"/>
        <v xml:space="preserve"> </v>
      </c>
      <c r="Q48" s="1131" t="str">
        <f t="shared" si="4"/>
        <v xml:space="preserve"> </v>
      </c>
      <c r="R48" s="1118">
        <f>IF('Schedule C'!AM74&gt;='EI - (F1 - F2)'!J$3,IF('Schedule C'!AM74&lt;='EI - (F1 - F2)'!K$3,'Schedule C'!A74,0),0)</f>
        <v>0</v>
      </c>
    </row>
    <row r="49" spans="1:18" ht="15">
      <c r="A49" s="1125">
        <f t="shared" si="1"/>
        <v>42</v>
      </c>
      <c r="B49" s="1126">
        <v>1</v>
      </c>
      <c r="C49" s="1126" t="str">
        <f>IFERROR(VLOOKUP(D49,dropdowns!$J$3:$Q$16,7,0)," ")</f>
        <v xml:space="preserve"> </v>
      </c>
      <c r="D49" s="1126" t="str">
        <f>IFERROR(INDEX('Schedule C'!$A$34:$BA$313,MATCH('EI - (F1 - F2)'!$R49,'Schedule C'!$A$34:$A$313,0),14)," ")</f>
        <v xml:space="preserve"> </v>
      </c>
      <c r="E49" s="1126" t="str">
        <f>IFERROR(VLOOKUP($D49,dropdowns!$J$3:$Q$16,8,0)," ")</f>
        <v xml:space="preserve"> </v>
      </c>
      <c r="F49" s="1126" t="str">
        <f>IFERROR(INDEX('Schedule C'!$A$34:$BA$313,MATCH('EI - (F1 - F2)'!$R49,'Schedule C'!$A$34:$A$313,0),2)," ")</f>
        <v xml:space="preserve"> </v>
      </c>
      <c r="G49" s="1126" t="str">
        <f>IFERROR(INDEX('Schedule C'!$A$34:$BA$313,MATCH('EI - (F1 - F2)'!$R49,'Schedule C'!$A$34:$A$313,0),38)," ")</f>
        <v xml:space="preserve"> </v>
      </c>
      <c r="H49" s="1127" t="str">
        <f>IFERROR(INDEX('Schedule C'!$A$34:$BA$313,MATCH('EI - (F1 - F2)'!$R49,'Schedule C'!$A$34:$A$313,0),39)," ")</f>
        <v xml:space="preserve"> </v>
      </c>
      <c r="I49" s="1129" t="str">
        <f t="shared" si="5"/>
        <v xml:space="preserve"> </v>
      </c>
      <c r="J49" s="1129" t="str">
        <f t="shared" si="5"/>
        <v xml:space="preserve"> </v>
      </c>
      <c r="K49" s="1129" t="str">
        <f t="shared" si="5"/>
        <v xml:space="preserve"> </v>
      </c>
      <c r="L49" s="1129" t="str">
        <f t="shared" si="5"/>
        <v xml:space="preserve"> </v>
      </c>
      <c r="M49" s="1129" t="str">
        <f t="shared" si="5"/>
        <v xml:space="preserve"> </v>
      </c>
      <c r="N49" s="1129" t="str">
        <f t="shared" si="5"/>
        <v xml:space="preserve"> </v>
      </c>
      <c r="O49" s="1129" t="str">
        <f t="shared" si="2"/>
        <v xml:space="preserve"> </v>
      </c>
      <c r="P49" s="1130" t="str">
        <f t="shared" si="3"/>
        <v xml:space="preserve"> </v>
      </c>
      <c r="Q49" s="1131" t="str">
        <f t="shared" si="4"/>
        <v xml:space="preserve"> </v>
      </c>
      <c r="R49" s="1118">
        <f>IF('Schedule C'!AM75&gt;='EI - (F1 - F2)'!J$3,IF('Schedule C'!AM75&lt;='EI - (F1 - F2)'!K$3,'Schedule C'!A75,0),0)</f>
        <v>0</v>
      </c>
    </row>
    <row r="50" spans="1:18" ht="15">
      <c r="A50" s="1125">
        <f t="shared" si="1"/>
        <v>43</v>
      </c>
      <c r="B50" s="1126">
        <v>1</v>
      </c>
      <c r="C50" s="1126" t="str">
        <f>IFERROR(VLOOKUP(D50,dropdowns!$J$3:$Q$16,7,0)," ")</f>
        <v xml:space="preserve"> </v>
      </c>
      <c r="D50" s="1126" t="str">
        <f>IFERROR(INDEX('Schedule C'!$A$34:$BA$313,MATCH('EI - (F1 - F2)'!$R50,'Schedule C'!$A$34:$A$313,0),14)," ")</f>
        <v xml:space="preserve"> </v>
      </c>
      <c r="E50" s="1126" t="str">
        <f>IFERROR(VLOOKUP($D50,dropdowns!$J$3:$Q$16,8,0)," ")</f>
        <v xml:space="preserve"> </v>
      </c>
      <c r="F50" s="1126" t="str">
        <f>IFERROR(INDEX('Schedule C'!$A$34:$BA$313,MATCH('EI - (F1 - F2)'!$R50,'Schedule C'!$A$34:$A$313,0),2)," ")</f>
        <v xml:space="preserve"> </v>
      </c>
      <c r="G50" s="1126" t="str">
        <f>IFERROR(INDEX('Schedule C'!$A$34:$BA$313,MATCH('EI - (F1 - F2)'!$R50,'Schedule C'!$A$34:$A$313,0),38)," ")</f>
        <v xml:space="preserve"> </v>
      </c>
      <c r="H50" s="1127" t="str">
        <f>IFERROR(INDEX('Schedule C'!$A$34:$BA$313,MATCH('EI - (F1 - F2)'!$R50,'Schedule C'!$A$34:$A$313,0),39)," ")</f>
        <v xml:space="preserve"> </v>
      </c>
      <c r="I50" s="1129" t="str">
        <f t="shared" si="5"/>
        <v xml:space="preserve"> </v>
      </c>
      <c r="J50" s="1129" t="str">
        <f t="shared" si="5"/>
        <v xml:space="preserve"> </v>
      </c>
      <c r="K50" s="1129" t="str">
        <f t="shared" si="5"/>
        <v xml:space="preserve"> </v>
      </c>
      <c r="L50" s="1129" t="str">
        <f t="shared" si="5"/>
        <v xml:space="preserve"> </v>
      </c>
      <c r="M50" s="1129" t="str">
        <f t="shared" si="5"/>
        <v xml:space="preserve"> </v>
      </c>
      <c r="N50" s="1129" t="str">
        <f t="shared" si="5"/>
        <v xml:space="preserve"> </v>
      </c>
      <c r="O50" s="1129" t="str">
        <f t="shared" si="2"/>
        <v xml:space="preserve"> </v>
      </c>
      <c r="P50" s="1130" t="str">
        <f t="shared" si="3"/>
        <v xml:space="preserve"> </v>
      </c>
      <c r="Q50" s="1131" t="str">
        <f t="shared" si="4"/>
        <v xml:space="preserve"> </v>
      </c>
      <c r="R50" s="1118">
        <f>IF('Schedule C'!AM77&gt;='EI - (F1 - F2)'!J$3,IF('Schedule C'!AM77&lt;='EI - (F1 - F2)'!K$3,'Schedule C'!A77,0),0)</f>
        <v>0</v>
      </c>
    </row>
    <row r="51" spans="1:18" ht="15">
      <c r="A51" s="1125">
        <f t="shared" si="1"/>
        <v>44</v>
      </c>
      <c r="B51" s="1126">
        <v>1</v>
      </c>
      <c r="C51" s="1126" t="str">
        <f>IFERROR(VLOOKUP(D51,dropdowns!$J$3:$Q$16,7,0)," ")</f>
        <v xml:space="preserve"> </v>
      </c>
      <c r="D51" s="1126" t="str">
        <f>IFERROR(INDEX('Schedule C'!$A$34:$BA$313,MATCH('EI - (F1 - F2)'!$R51,'Schedule C'!$A$34:$A$313,0),14)," ")</f>
        <v xml:space="preserve"> </v>
      </c>
      <c r="E51" s="1126" t="str">
        <f>IFERROR(VLOOKUP($D51,dropdowns!$J$3:$Q$16,8,0)," ")</f>
        <v xml:space="preserve"> </v>
      </c>
      <c r="F51" s="1126" t="str">
        <f>IFERROR(INDEX('Schedule C'!$A$34:$BA$313,MATCH('EI - (F1 - F2)'!$R51,'Schedule C'!$A$34:$A$313,0),2)," ")</f>
        <v xml:space="preserve"> </v>
      </c>
      <c r="G51" s="1126" t="str">
        <f>IFERROR(INDEX('Schedule C'!$A$34:$BA$313,MATCH('EI - (F1 - F2)'!$R51,'Schedule C'!$A$34:$A$313,0),38)," ")</f>
        <v xml:space="preserve"> </v>
      </c>
      <c r="H51" s="1127" t="str">
        <f>IFERROR(INDEX('Schedule C'!$A$34:$BA$313,MATCH('EI - (F1 - F2)'!$R51,'Schedule C'!$A$34:$A$313,0),39)," ")</f>
        <v xml:space="preserve"> </v>
      </c>
      <c r="I51" s="1129" t="str">
        <f t="shared" si="5"/>
        <v xml:space="preserve"> </v>
      </c>
      <c r="J51" s="1129" t="str">
        <f t="shared" si="5"/>
        <v xml:space="preserve"> </v>
      </c>
      <c r="K51" s="1129" t="str">
        <f t="shared" si="5"/>
        <v xml:space="preserve"> </v>
      </c>
      <c r="L51" s="1129" t="str">
        <f t="shared" si="5"/>
        <v xml:space="preserve"> </v>
      </c>
      <c r="M51" s="1129" t="str">
        <f t="shared" si="5"/>
        <v xml:space="preserve"> </v>
      </c>
      <c r="N51" s="1129" t="str">
        <f t="shared" si="5"/>
        <v xml:space="preserve"> </v>
      </c>
      <c r="O51" s="1129" t="str">
        <f t="shared" si="2"/>
        <v xml:space="preserve"> </v>
      </c>
      <c r="P51" s="1130" t="str">
        <f t="shared" si="3"/>
        <v xml:space="preserve"> </v>
      </c>
      <c r="Q51" s="1131" t="str">
        <f t="shared" si="4"/>
        <v xml:space="preserve"> </v>
      </c>
      <c r="R51" s="1118">
        <f>IF('Schedule C'!AM78&gt;='EI - (F1 - F2)'!J$3,IF('Schedule C'!AM78&lt;='EI - (F1 - F2)'!K$3,'Schedule C'!A78,0),0)</f>
        <v>0</v>
      </c>
    </row>
    <row r="52" spans="1:18" ht="15">
      <c r="A52" s="1125">
        <f t="shared" si="1"/>
        <v>45</v>
      </c>
      <c r="B52" s="1126">
        <v>1</v>
      </c>
      <c r="C52" s="1126" t="str">
        <f>IFERROR(VLOOKUP(D52,dropdowns!$J$3:$Q$16,7,0)," ")</f>
        <v xml:space="preserve"> </v>
      </c>
      <c r="D52" s="1126" t="str">
        <f>IFERROR(INDEX('Schedule C'!$A$34:$BA$313,MATCH('EI - (F1 - F2)'!$R52,'Schedule C'!$A$34:$A$313,0),14)," ")</f>
        <v xml:space="preserve"> </v>
      </c>
      <c r="E52" s="1126" t="str">
        <f>IFERROR(VLOOKUP($D52,dropdowns!$J$3:$Q$16,8,0)," ")</f>
        <v xml:space="preserve"> </v>
      </c>
      <c r="F52" s="1126" t="str">
        <f>IFERROR(INDEX('Schedule C'!$A$34:$BA$313,MATCH('EI - (F1 - F2)'!$R52,'Schedule C'!$A$34:$A$313,0),2)," ")</f>
        <v xml:space="preserve"> </v>
      </c>
      <c r="G52" s="1126" t="str">
        <f>IFERROR(INDEX('Schedule C'!$A$34:$BA$313,MATCH('EI - (F1 - F2)'!$R52,'Schedule C'!$A$34:$A$313,0),38)," ")</f>
        <v xml:space="preserve"> </v>
      </c>
      <c r="H52" s="1127" t="str">
        <f>IFERROR(INDEX('Schedule C'!$A$34:$BA$313,MATCH('EI - (F1 - F2)'!$R52,'Schedule C'!$A$34:$A$313,0),39)," ")</f>
        <v xml:space="preserve"> </v>
      </c>
      <c r="I52" s="1129" t="str">
        <f t="shared" si="5"/>
        <v xml:space="preserve"> </v>
      </c>
      <c r="J52" s="1129" t="str">
        <f t="shared" si="5"/>
        <v xml:space="preserve"> </v>
      </c>
      <c r="K52" s="1129" t="str">
        <f t="shared" si="5"/>
        <v xml:space="preserve"> </v>
      </c>
      <c r="L52" s="1129" t="str">
        <f t="shared" si="5"/>
        <v xml:space="preserve"> </v>
      </c>
      <c r="M52" s="1129" t="str">
        <f t="shared" si="5"/>
        <v xml:space="preserve"> </v>
      </c>
      <c r="N52" s="1129" t="str">
        <f t="shared" si="5"/>
        <v xml:space="preserve"> </v>
      </c>
      <c r="O52" s="1129" t="str">
        <f t="shared" si="2"/>
        <v xml:space="preserve"> </v>
      </c>
      <c r="P52" s="1130" t="str">
        <f t="shared" si="3"/>
        <v xml:space="preserve"> </v>
      </c>
      <c r="Q52" s="1131" t="str">
        <f t="shared" si="4"/>
        <v xml:space="preserve"> </v>
      </c>
      <c r="R52" s="1118">
        <f>IF('Schedule C'!AM79&gt;='EI - (F1 - F2)'!J$3,IF('Schedule C'!AM79&lt;='EI - (F1 - F2)'!K$3,'Schedule C'!A79,0),0)</f>
        <v>0</v>
      </c>
    </row>
    <row r="53" spans="1:18" ht="15">
      <c r="A53" s="1125">
        <f t="shared" si="1"/>
        <v>46</v>
      </c>
      <c r="B53" s="1126">
        <v>1</v>
      </c>
      <c r="C53" s="1126" t="str">
        <f>IFERROR(VLOOKUP(D53,dropdowns!$J$3:$Q$16,7,0)," ")</f>
        <v xml:space="preserve"> </v>
      </c>
      <c r="D53" s="1126" t="str">
        <f>IFERROR(INDEX('Schedule C'!$A$34:$BA$313,MATCH('EI - (F1 - F2)'!$R53,'Schedule C'!$A$34:$A$313,0),14)," ")</f>
        <v xml:space="preserve"> </v>
      </c>
      <c r="E53" s="1126" t="str">
        <f>IFERROR(VLOOKUP($D53,dropdowns!$J$3:$Q$16,8,0)," ")</f>
        <v xml:space="preserve"> </v>
      </c>
      <c r="F53" s="1126" t="str">
        <f>IFERROR(INDEX('Schedule C'!$A$34:$BA$313,MATCH('EI - (F1 - F2)'!$R53,'Schedule C'!$A$34:$A$313,0),2)," ")</f>
        <v xml:space="preserve"> </v>
      </c>
      <c r="G53" s="1126" t="str">
        <f>IFERROR(INDEX('Schedule C'!$A$34:$BA$313,MATCH('EI - (F1 - F2)'!$R53,'Schedule C'!$A$34:$A$313,0),38)," ")</f>
        <v xml:space="preserve"> </v>
      </c>
      <c r="H53" s="1127" t="str">
        <f>IFERROR(INDEX('Schedule C'!$A$34:$BA$313,MATCH('EI - (F1 - F2)'!$R53,'Schedule C'!$A$34:$A$313,0),39)," ")</f>
        <v xml:space="preserve"> </v>
      </c>
      <c r="I53" s="1129" t="str">
        <f t="shared" si="5"/>
        <v xml:space="preserve"> </v>
      </c>
      <c r="J53" s="1129" t="str">
        <f t="shared" si="5"/>
        <v xml:space="preserve"> </v>
      </c>
      <c r="K53" s="1129" t="str">
        <f t="shared" si="5"/>
        <v xml:space="preserve"> </v>
      </c>
      <c r="L53" s="1129" t="str">
        <f t="shared" si="5"/>
        <v xml:space="preserve"> </v>
      </c>
      <c r="M53" s="1129" t="str">
        <f t="shared" si="5"/>
        <v xml:space="preserve"> </v>
      </c>
      <c r="N53" s="1129" t="str">
        <f t="shared" si="5"/>
        <v xml:space="preserve"> </v>
      </c>
      <c r="O53" s="1129" t="str">
        <f t="shared" si="2"/>
        <v xml:space="preserve"> </v>
      </c>
      <c r="P53" s="1130" t="str">
        <f t="shared" si="3"/>
        <v xml:space="preserve"> </v>
      </c>
      <c r="Q53" s="1131" t="str">
        <f t="shared" si="4"/>
        <v xml:space="preserve"> </v>
      </c>
      <c r="R53" s="1118">
        <f>IF('Schedule C'!AM80&gt;='EI - (F1 - F2)'!J$3,IF('Schedule C'!AM80&lt;='EI - (F1 - F2)'!K$3,'Schedule C'!A80,0),0)</f>
        <v>0</v>
      </c>
    </row>
    <row r="54" spans="1:18" ht="15">
      <c r="A54" s="1125">
        <f t="shared" si="1"/>
        <v>47</v>
      </c>
      <c r="B54" s="1126">
        <v>1</v>
      </c>
      <c r="C54" s="1126" t="str">
        <f>IFERROR(VLOOKUP(D54,dropdowns!$J$3:$Q$16,7,0)," ")</f>
        <v xml:space="preserve"> </v>
      </c>
      <c r="D54" s="1126" t="str">
        <f>IFERROR(INDEX('Schedule C'!$A$34:$BA$313,MATCH('EI - (F1 - F2)'!$R54,'Schedule C'!$A$34:$A$313,0),14)," ")</f>
        <v xml:space="preserve"> </v>
      </c>
      <c r="E54" s="1126" t="str">
        <f>IFERROR(VLOOKUP($D54,dropdowns!$J$3:$Q$16,8,0)," ")</f>
        <v xml:space="preserve"> </v>
      </c>
      <c r="F54" s="1126" t="str">
        <f>IFERROR(INDEX('Schedule C'!$A$34:$BA$313,MATCH('EI - (F1 - F2)'!$R54,'Schedule C'!$A$34:$A$313,0),2)," ")</f>
        <v xml:space="preserve"> </v>
      </c>
      <c r="G54" s="1126" t="str">
        <f>IFERROR(INDEX('Schedule C'!$A$34:$BA$313,MATCH('EI - (F1 - F2)'!$R54,'Schedule C'!$A$34:$A$313,0),38)," ")</f>
        <v xml:space="preserve"> </v>
      </c>
      <c r="H54" s="1127" t="str">
        <f>IFERROR(INDEX('Schedule C'!$A$34:$BA$313,MATCH('EI - (F1 - F2)'!$R54,'Schedule C'!$A$34:$A$313,0),39)," ")</f>
        <v xml:space="preserve"> </v>
      </c>
      <c r="I54" s="1129" t="str">
        <f t="shared" si="5"/>
        <v xml:space="preserve"> </v>
      </c>
      <c r="J54" s="1129" t="str">
        <f t="shared" si="5"/>
        <v xml:space="preserve"> </v>
      </c>
      <c r="K54" s="1129" t="str">
        <f t="shared" si="5"/>
        <v xml:space="preserve"> </v>
      </c>
      <c r="L54" s="1129" t="str">
        <f t="shared" si="5"/>
        <v xml:space="preserve"> </v>
      </c>
      <c r="M54" s="1129" t="str">
        <f t="shared" si="5"/>
        <v xml:space="preserve"> </v>
      </c>
      <c r="N54" s="1129" t="str">
        <f t="shared" si="5"/>
        <v xml:space="preserve"> </v>
      </c>
      <c r="O54" s="1129" t="str">
        <f t="shared" si="2"/>
        <v xml:space="preserve"> </v>
      </c>
      <c r="P54" s="1130" t="str">
        <f t="shared" si="3"/>
        <v xml:space="preserve"> </v>
      </c>
      <c r="Q54" s="1131" t="str">
        <f t="shared" si="4"/>
        <v xml:space="preserve"> </v>
      </c>
      <c r="R54" s="1118">
        <f>IF('Schedule C'!AM81&gt;='EI - (F1 - F2)'!J$3,IF('Schedule C'!AM81&lt;='EI - (F1 - F2)'!K$3,'Schedule C'!A81,0),0)</f>
        <v>0</v>
      </c>
    </row>
    <row r="55" spans="1:18" ht="15">
      <c r="A55" s="1125">
        <f t="shared" si="1"/>
        <v>48</v>
      </c>
      <c r="B55" s="1126">
        <v>1</v>
      </c>
      <c r="C55" s="1126" t="str">
        <f>IFERROR(VLOOKUP(D55,dropdowns!$J$3:$Q$16,7,0)," ")</f>
        <v xml:space="preserve"> </v>
      </c>
      <c r="D55" s="1126" t="str">
        <f>IFERROR(INDEX('Schedule C'!$A$34:$BA$313,MATCH('EI - (F1 - F2)'!$R55,'Schedule C'!$A$34:$A$313,0),14)," ")</f>
        <v xml:space="preserve"> </v>
      </c>
      <c r="E55" s="1126" t="str">
        <f>IFERROR(VLOOKUP($D55,dropdowns!$J$3:$Q$16,8,0)," ")</f>
        <v xml:space="preserve"> </v>
      </c>
      <c r="F55" s="1126" t="str">
        <f>IFERROR(INDEX('Schedule C'!$A$34:$BA$313,MATCH('EI - (F1 - F2)'!$R55,'Schedule C'!$A$34:$A$313,0),2)," ")</f>
        <v xml:space="preserve"> </v>
      </c>
      <c r="G55" s="1126" t="str">
        <f>IFERROR(INDEX('Schedule C'!$A$34:$BA$313,MATCH('EI - (F1 - F2)'!$R55,'Schedule C'!$A$34:$A$313,0),38)," ")</f>
        <v xml:space="preserve"> </v>
      </c>
      <c r="H55" s="1127" t="str">
        <f>IFERROR(INDEX('Schedule C'!$A$34:$BA$313,MATCH('EI - (F1 - F2)'!$R55,'Schedule C'!$A$34:$A$313,0),39)," ")</f>
        <v xml:space="preserve"> </v>
      </c>
      <c r="I55" s="1129" t="str">
        <f t="shared" si="5"/>
        <v xml:space="preserve"> </v>
      </c>
      <c r="J55" s="1129" t="str">
        <f t="shared" si="5"/>
        <v xml:space="preserve"> </v>
      </c>
      <c r="K55" s="1129" t="str">
        <f t="shared" si="5"/>
        <v xml:space="preserve"> </v>
      </c>
      <c r="L55" s="1129" t="str">
        <f t="shared" si="5"/>
        <v xml:space="preserve"> </v>
      </c>
      <c r="M55" s="1129" t="str">
        <f t="shared" si="5"/>
        <v xml:space="preserve"> </v>
      </c>
      <c r="N55" s="1129" t="str">
        <f t="shared" si="5"/>
        <v xml:space="preserve"> </v>
      </c>
      <c r="O55" s="1129" t="str">
        <f t="shared" si="2"/>
        <v xml:space="preserve"> </v>
      </c>
      <c r="P55" s="1130" t="str">
        <f t="shared" si="3"/>
        <v xml:space="preserve"> </v>
      </c>
      <c r="Q55" s="1131" t="str">
        <f t="shared" si="4"/>
        <v xml:space="preserve"> </v>
      </c>
      <c r="R55" s="1118">
        <f>IF('Schedule C'!AM82&gt;='EI - (F1 - F2)'!J$3,IF('Schedule C'!AM82&lt;='EI - (F1 - F2)'!K$3,'Schedule C'!A82,0),0)</f>
        <v>0</v>
      </c>
    </row>
    <row r="56" spans="1:18" ht="15">
      <c r="A56" s="1125">
        <f t="shared" si="1"/>
        <v>49</v>
      </c>
      <c r="B56" s="1126">
        <v>1</v>
      </c>
      <c r="C56" s="1126" t="str">
        <f>IFERROR(VLOOKUP(D56,dropdowns!$J$3:$Q$16,7,0)," ")</f>
        <v xml:space="preserve"> </v>
      </c>
      <c r="D56" s="1126" t="str">
        <f>IFERROR(INDEX('Schedule C'!$A$34:$BA$313,MATCH('EI - (F1 - F2)'!$R56,'Schedule C'!$A$34:$A$313,0),14)," ")</f>
        <v xml:space="preserve"> </v>
      </c>
      <c r="E56" s="1126" t="str">
        <f>IFERROR(VLOOKUP($D56,dropdowns!$J$3:$Q$16,8,0)," ")</f>
        <v xml:space="preserve"> </v>
      </c>
      <c r="F56" s="1126" t="str">
        <f>IFERROR(INDEX('Schedule C'!$A$34:$BA$313,MATCH('EI - (F1 - F2)'!$R56,'Schedule C'!$A$34:$A$313,0),2)," ")</f>
        <v xml:space="preserve"> </v>
      </c>
      <c r="G56" s="1126" t="str">
        <f>IFERROR(INDEX('Schedule C'!$A$34:$BA$313,MATCH('EI - (F1 - F2)'!$R56,'Schedule C'!$A$34:$A$313,0),38)," ")</f>
        <v xml:space="preserve"> </v>
      </c>
      <c r="H56" s="1127" t="str">
        <f>IFERROR(INDEX('Schedule C'!$A$34:$BA$313,MATCH('EI - (F1 - F2)'!$R56,'Schedule C'!$A$34:$A$313,0),39)," ")</f>
        <v xml:space="preserve"> </v>
      </c>
      <c r="I56" s="1129" t="str">
        <f t="shared" si="5"/>
        <v xml:space="preserve"> </v>
      </c>
      <c r="J56" s="1129" t="str">
        <f t="shared" si="5"/>
        <v xml:space="preserve"> </v>
      </c>
      <c r="K56" s="1129" t="str">
        <f t="shared" si="5"/>
        <v xml:space="preserve"> </v>
      </c>
      <c r="L56" s="1129" t="str">
        <f t="shared" si="5"/>
        <v xml:space="preserve"> </v>
      </c>
      <c r="M56" s="1129" t="str">
        <f t="shared" si="5"/>
        <v xml:space="preserve"> </v>
      </c>
      <c r="N56" s="1129" t="str">
        <f t="shared" si="5"/>
        <v xml:space="preserve"> </v>
      </c>
      <c r="O56" s="1129" t="str">
        <f t="shared" si="2"/>
        <v xml:space="preserve"> </v>
      </c>
      <c r="P56" s="1130" t="str">
        <f t="shared" si="3"/>
        <v xml:space="preserve"> </v>
      </c>
      <c r="Q56" s="1131" t="str">
        <f t="shared" si="4"/>
        <v xml:space="preserve"> </v>
      </c>
      <c r="R56" s="1118">
        <f>IF('Schedule C'!AM83&gt;='EI - (F1 - F2)'!J$3,IF('Schedule C'!AM83&lt;='EI - (F1 - F2)'!K$3,'Schedule C'!A83,0),0)</f>
        <v>0</v>
      </c>
    </row>
    <row r="57" spans="1:18" ht="15">
      <c r="A57" s="1125">
        <f t="shared" si="1"/>
        <v>50</v>
      </c>
      <c r="B57" s="1126">
        <v>1</v>
      </c>
      <c r="C57" s="1126" t="str">
        <f>IFERROR(VLOOKUP(D57,dropdowns!$J$3:$Q$16,7,0)," ")</f>
        <v xml:space="preserve"> </v>
      </c>
      <c r="D57" s="1126" t="str">
        <f>IFERROR(INDEX('Schedule C'!$A$34:$BA$313,MATCH('EI - (F1 - F2)'!$R57,'Schedule C'!$A$34:$A$313,0),14)," ")</f>
        <v xml:space="preserve"> </v>
      </c>
      <c r="E57" s="1126" t="str">
        <f>IFERROR(VLOOKUP($D57,dropdowns!$J$3:$Q$16,8,0)," ")</f>
        <v xml:space="preserve"> </v>
      </c>
      <c r="F57" s="1126" t="str">
        <f>IFERROR(INDEX('Schedule C'!$A$34:$BA$313,MATCH('EI - (F1 - F2)'!$R57,'Schedule C'!$A$34:$A$313,0),2)," ")</f>
        <v xml:space="preserve"> </v>
      </c>
      <c r="G57" s="1126" t="str">
        <f>IFERROR(INDEX('Schedule C'!$A$34:$BA$313,MATCH('EI - (F1 - F2)'!$R57,'Schedule C'!$A$34:$A$313,0),38)," ")</f>
        <v xml:space="preserve"> </v>
      </c>
      <c r="H57" s="1127" t="str">
        <f>IFERROR(INDEX('Schedule C'!$A$34:$BA$313,MATCH('EI - (F1 - F2)'!$R57,'Schedule C'!$A$34:$A$313,0),39)," ")</f>
        <v xml:space="preserve"> </v>
      </c>
      <c r="I57" s="1129" t="str">
        <f t="shared" si="5"/>
        <v xml:space="preserve"> </v>
      </c>
      <c r="J57" s="1129" t="str">
        <f t="shared" si="5"/>
        <v xml:space="preserve"> </v>
      </c>
      <c r="K57" s="1129" t="str">
        <f t="shared" si="5"/>
        <v xml:space="preserve"> </v>
      </c>
      <c r="L57" s="1129" t="str">
        <f t="shared" si="5"/>
        <v xml:space="preserve"> </v>
      </c>
      <c r="M57" s="1129" t="str">
        <f t="shared" si="5"/>
        <v xml:space="preserve"> </v>
      </c>
      <c r="N57" s="1129" t="str">
        <f t="shared" si="5"/>
        <v xml:space="preserve"> </v>
      </c>
      <c r="O57" s="1129" t="str">
        <f t="shared" si="2"/>
        <v xml:space="preserve"> </v>
      </c>
      <c r="P57" s="1130" t="str">
        <f t="shared" si="3"/>
        <v xml:space="preserve"> </v>
      </c>
      <c r="Q57" s="1131" t="str">
        <f t="shared" si="4"/>
        <v xml:space="preserve"> </v>
      </c>
      <c r="R57" s="1118">
        <f>IF('Schedule C'!AM84&gt;='EI - (F1 - F2)'!J$3,IF('Schedule C'!AM84&lt;='EI - (F1 - F2)'!K$3,'Schedule C'!A84,0),0)</f>
        <v>0</v>
      </c>
    </row>
    <row r="58" spans="1:18" ht="15">
      <c r="A58" s="1125">
        <f t="shared" si="1"/>
        <v>51</v>
      </c>
      <c r="B58" s="1126">
        <v>1</v>
      </c>
      <c r="C58" s="1126" t="str">
        <f>IFERROR(VLOOKUP(D58,dropdowns!$J$3:$Q$16,7,0)," ")</f>
        <v xml:space="preserve"> </v>
      </c>
      <c r="D58" s="1126" t="str">
        <f>IFERROR(INDEX('Schedule C'!$A$34:$BA$313,MATCH('EI - (F1 - F2)'!$R58,'Schedule C'!$A$34:$A$313,0),14)," ")</f>
        <v xml:space="preserve"> </v>
      </c>
      <c r="E58" s="1126" t="str">
        <f>IFERROR(VLOOKUP($D58,dropdowns!$J$3:$Q$16,8,0)," ")</f>
        <v xml:space="preserve"> </v>
      </c>
      <c r="F58" s="1126" t="str">
        <f>IFERROR(INDEX('Schedule C'!$A$34:$BA$313,MATCH('EI - (F1 - F2)'!$R58,'Schedule C'!$A$34:$A$313,0),2)," ")</f>
        <v xml:space="preserve"> </v>
      </c>
      <c r="G58" s="1126" t="str">
        <f>IFERROR(INDEX('Schedule C'!$A$34:$BA$313,MATCH('EI - (F1 - F2)'!$R58,'Schedule C'!$A$34:$A$313,0),38)," ")</f>
        <v xml:space="preserve"> </v>
      </c>
      <c r="H58" s="1127" t="str">
        <f>IFERROR(INDEX('Schedule C'!$A$34:$BA$313,MATCH('EI - (F1 - F2)'!$R58,'Schedule C'!$A$34:$A$313,0),39)," ")</f>
        <v xml:space="preserve"> </v>
      </c>
      <c r="I58" s="1129" t="str">
        <f t="shared" si="5"/>
        <v xml:space="preserve"> </v>
      </c>
      <c r="J58" s="1129" t="str">
        <f t="shared" si="5"/>
        <v xml:space="preserve"> </v>
      </c>
      <c r="K58" s="1129" t="str">
        <f t="shared" si="5"/>
        <v xml:space="preserve"> </v>
      </c>
      <c r="L58" s="1129" t="str">
        <f t="shared" si="5"/>
        <v xml:space="preserve"> </v>
      </c>
      <c r="M58" s="1129" t="str">
        <f t="shared" si="5"/>
        <v xml:space="preserve"> </v>
      </c>
      <c r="N58" s="1129" t="str">
        <f t="shared" si="5"/>
        <v xml:space="preserve"> </v>
      </c>
      <c r="O58" s="1129" t="str">
        <f t="shared" si="2"/>
        <v xml:space="preserve"> </v>
      </c>
      <c r="P58" s="1130" t="str">
        <f t="shared" si="3"/>
        <v xml:space="preserve"> </v>
      </c>
      <c r="Q58" s="1131" t="str">
        <f t="shared" si="4"/>
        <v xml:space="preserve"> </v>
      </c>
      <c r="R58" s="1118">
        <f>IF('Schedule C'!AM85&gt;='EI - (F1 - F2)'!J$3,IF('Schedule C'!AM85&lt;='EI - (F1 - F2)'!K$3,'Schedule C'!A85,0),0)</f>
        <v>0</v>
      </c>
    </row>
    <row r="59" spans="1:18" ht="15">
      <c r="A59" s="1125">
        <f t="shared" si="1"/>
        <v>52</v>
      </c>
      <c r="B59" s="1126">
        <v>1</v>
      </c>
      <c r="C59" s="1126" t="str">
        <f>IFERROR(VLOOKUP(D59,dropdowns!$J$3:$Q$16,7,0)," ")</f>
        <v xml:space="preserve"> </v>
      </c>
      <c r="D59" s="1126" t="str">
        <f>IFERROR(INDEX('Schedule C'!$A$34:$BA$313,MATCH('EI - (F1 - F2)'!$R59,'Schedule C'!$A$34:$A$313,0),14)," ")</f>
        <v xml:space="preserve"> </v>
      </c>
      <c r="E59" s="1126" t="str">
        <f>IFERROR(VLOOKUP($D59,dropdowns!$J$3:$Q$16,8,0)," ")</f>
        <v xml:space="preserve"> </v>
      </c>
      <c r="F59" s="1126" t="str">
        <f>IFERROR(INDEX('Schedule C'!$A$34:$BA$313,MATCH('EI - (F1 - F2)'!$R59,'Schedule C'!$A$34:$A$313,0),2)," ")</f>
        <v xml:space="preserve"> </v>
      </c>
      <c r="G59" s="1126" t="str">
        <f>IFERROR(INDEX('Schedule C'!$A$34:$BA$313,MATCH('EI - (F1 - F2)'!$R59,'Schedule C'!$A$34:$A$313,0),38)," ")</f>
        <v xml:space="preserve"> </v>
      </c>
      <c r="H59" s="1127" t="str">
        <f>IFERROR(INDEX('Schedule C'!$A$34:$BA$313,MATCH('EI - (F1 - F2)'!$R59,'Schedule C'!$A$34:$A$313,0),39)," ")</f>
        <v xml:space="preserve"> </v>
      </c>
      <c r="I59" s="1129" t="str">
        <f t="shared" si="5"/>
        <v xml:space="preserve"> </v>
      </c>
      <c r="J59" s="1129" t="str">
        <f t="shared" si="5"/>
        <v xml:space="preserve"> </v>
      </c>
      <c r="K59" s="1129" t="str">
        <f t="shared" si="5"/>
        <v xml:space="preserve"> </v>
      </c>
      <c r="L59" s="1129" t="str">
        <f t="shared" si="5"/>
        <v xml:space="preserve"> </v>
      </c>
      <c r="M59" s="1129" t="str">
        <f t="shared" si="5"/>
        <v xml:space="preserve"> </v>
      </c>
      <c r="N59" s="1129" t="str">
        <f t="shared" si="5"/>
        <v xml:space="preserve"> </v>
      </c>
      <c r="O59" s="1129" t="str">
        <f t="shared" si="2"/>
        <v xml:space="preserve"> </v>
      </c>
      <c r="P59" s="1130" t="str">
        <f t="shared" si="3"/>
        <v xml:space="preserve"> </v>
      </c>
      <c r="Q59" s="1131" t="str">
        <f t="shared" si="4"/>
        <v xml:space="preserve"> </v>
      </c>
      <c r="R59" s="1118">
        <f>IF('Schedule C'!AM86&gt;='EI - (F1 - F2)'!J$3,IF('Schedule C'!AM86&lt;='EI - (F1 - F2)'!K$3,'Schedule C'!A86,0),0)</f>
        <v>0</v>
      </c>
    </row>
    <row r="60" spans="1:18" ht="15">
      <c r="A60" s="1125">
        <f t="shared" si="1"/>
        <v>53</v>
      </c>
      <c r="B60" s="1126">
        <v>1</v>
      </c>
      <c r="C60" s="1126" t="str">
        <f>IFERROR(VLOOKUP(D60,dropdowns!$J$3:$Q$16,7,0)," ")</f>
        <v xml:space="preserve"> </v>
      </c>
      <c r="D60" s="1126" t="str">
        <f>IFERROR(INDEX('Schedule C'!$A$34:$BA$313,MATCH('EI - (F1 - F2)'!$R60,'Schedule C'!$A$34:$A$313,0),14)," ")</f>
        <v xml:space="preserve"> </v>
      </c>
      <c r="E60" s="1126" t="str">
        <f>IFERROR(VLOOKUP($D60,dropdowns!$J$3:$Q$16,8,0)," ")</f>
        <v xml:space="preserve"> </v>
      </c>
      <c r="F60" s="1126" t="str">
        <f>IFERROR(INDEX('Schedule C'!$A$34:$BA$313,MATCH('EI - (F1 - F2)'!$R60,'Schedule C'!$A$34:$A$313,0),2)," ")</f>
        <v xml:space="preserve"> </v>
      </c>
      <c r="G60" s="1126" t="str">
        <f>IFERROR(INDEX('Schedule C'!$A$34:$BA$313,MATCH('EI - (F1 - F2)'!$R60,'Schedule C'!$A$34:$A$313,0),38)," ")</f>
        <v xml:space="preserve"> </v>
      </c>
      <c r="H60" s="1127" t="str">
        <f>IFERROR(INDEX('Schedule C'!$A$34:$BA$313,MATCH('EI - (F1 - F2)'!$R60,'Schedule C'!$A$34:$A$313,0),39)," ")</f>
        <v xml:space="preserve"> </v>
      </c>
      <c r="I60" s="1129" t="str">
        <f t="shared" si="5"/>
        <v xml:space="preserve"> </v>
      </c>
      <c r="J60" s="1129" t="str">
        <f t="shared" si="5"/>
        <v xml:space="preserve"> </v>
      </c>
      <c r="K60" s="1129" t="str">
        <f t="shared" si="5"/>
        <v xml:space="preserve"> </v>
      </c>
      <c r="L60" s="1129" t="str">
        <f t="shared" si="5"/>
        <v xml:space="preserve"> </v>
      </c>
      <c r="M60" s="1129" t="str">
        <f t="shared" si="5"/>
        <v xml:space="preserve"> </v>
      </c>
      <c r="N60" s="1129" t="str">
        <f t="shared" si="5"/>
        <v xml:space="preserve"> </v>
      </c>
      <c r="O60" s="1129" t="str">
        <f t="shared" si="2"/>
        <v xml:space="preserve"> </v>
      </c>
      <c r="P60" s="1130" t="str">
        <f t="shared" si="3"/>
        <v xml:space="preserve"> </v>
      </c>
      <c r="Q60" s="1131" t="str">
        <f t="shared" si="4"/>
        <v xml:space="preserve"> </v>
      </c>
      <c r="R60" s="1118">
        <f>IF('Schedule C'!AM87&gt;='EI - (F1 - F2)'!J$3,IF('Schedule C'!AM87&lt;='EI - (F1 - F2)'!K$3,'Schedule C'!A87,0),0)</f>
        <v>0</v>
      </c>
    </row>
    <row r="61" spans="1:18" ht="15">
      <c r="A61" s="1125">
        <f t="shared" si="1"/>
        <v>54</v>
      </c>
      <c r="B61" s="1126">
        <v>1</v>
      </c>
      <c r="C61" s="1126" t="str">
        <f>IFERROR(VLOOKUP(D61,dropdowns!$J$3:$Q$16,7,0)," ")</f>
        <v xml:space="preserve"> </v>
      </c>
      <c r="D61" s="1126" t="str">
        <f>IFERROR(INDEX('Schedule C'!$A$34:$BA$313,MATCH('EI - (F1 - F2)'!$R61,'Schedule C'!$A$34:$A$313,0),14)," ")</f>
        <v xml:space="preserve"> </v>
      </c>
      <c r="E61" s="1126" t="str">
        <f>IFERROR(VLOOKUP($D61,dropdowns!$J$3:$Q$16,8,0)," ")</f>
        <v xml:space="preserve"> </v>
      </c>
      <c r="F61" s="1126" t="str">
        <f>IFERROR(INDEX('Schedule C'!$A$34:$BA$313,MATCH('EI - (F1 - F2)'!$R61,'Schedule C'!$A$34:$A$313,0),2)," ")</f>
        <v xml:space="preserve"> </v>
      </c>
      <c r="G61" s="1126" t="str">
        <f>IFERROR(INDEX('Schedule C'!$A$34:$BA$313,MATCH('EI - (F1 - F2)'!$R61,'Schedule C'!$A$34:$A$313,0),38)," ")</f>
        <v xml:space="preserve"> </v>
      </c>
      <c r="H61" s="1127" t="str">
        <f>IFERROR(INDEX('Schedule C'!$A$34:$BA$313,MATCH('EI - (F1 - F2)'!$R61,'Schedule C'!$A$34:$A$313,0),39)," ")</f>
        <v xml:space="preserve"> </v>
      </c>
      <c r="I61" s="1129" t="str">
        <f t="shared" si="5"/>
        <v xml:space="preserve"> </v>
      </c>
      <c r="J61" s="1129" t="str">
        <f t="shared" si="5"/>
        <v xml:space="preserve"> </v>
      </c>
      <c r="K61" s="1129" t="str">
        <f t="shared" si="5"/>
        <v xml:space="preserve"> </v>
      </c>
      <c r="L61" s="1129" t="str">
        <f t="shared" si="5"/>
        <v xml:space="preserve"> </v>
      </c>
      <c r="M61" s="1129" t="str">
        <f t="shared" si="5"/>
        <v xml:space="preserve"> </v>
      </c>
      <c r="N61" s="1129" t="str">
        <f t="shared" si="5"/>
        <v xml:space="preserve"> </v>
      </c>
      <c r="O61" s="1129" t="str">
        <f t="shared" si="2"/>
        <v xml:space="preserve"> </v>
      </c>
      <c r="P61" s="1130" t="str">
        <f t="shared" si="3"/>
        <v xml:space="preserve"> </v>
      </c>
      <c r="Q61" s="1131" t="str">
        <f t="shared" si="4"/>
        <v xml:space="preserve"> </v>
      </c>
      <c r="R61" s="1118">
        <f>IF('Schedule C'!AM88&gt;='EI - (F1 - F2)'!J$3,IF('Schedule C'!AM88&lt;='EI - (F1 - F2)'!K$3,'Schedule C'!A88,0),0)</f>
        <v>0</v>
      </c>
    </row>
    <row r="62" spans="1:18" ht="15">
      <c r="A62" s="1125">
        <f t="shared" si="1"/>
        <v>55</v>
      </c>
      <c r="B62" s="1126">
        <v>1</v>
      </c>
      <c r="C62" s="1126" t="str">
        <f>IFERROR(VLOOKUP(D62,dropdowns!$J$3:$Q$16,7,0)," ")</f>
        <v xml:space="preserve"> </v>
      </c>
      <c r="D62" s="1126" t="str">
        <f>IFERROR(INDEX('Schedule C'!$A$34:$BA$313,MATCH('EI - (F1 - F2)'!$R62,'Schedule C'!$A$34:$A$313,0),14)," ")</f>
        <v xml:space="preserve"> </v>
      </c>
      <c r="E62" s="1126" t="str">
        <f>IFERROR(VLOOKUP($D62,dropdowns!$J$3:$Q$16,8,0)," ")</f>
        <v xml:space="preserve"> </v>
      </c>
      <c r="F62" s="1126" t="str">
        <f>IFERROR(INDEX('Schedule C'!$A$34:$BA$313,MATCH('EI - (F1 - F2)'!$R62,'Schedule C'!$A$34:$A$313,0),2)," ")</f>
        <v xml:space="preserve"> </v>
      </c>
      <c r="G62" s="1126" t="str">
        <f>IFERROR(INDEX('Schedule C'!$A$34:$BA$313,MATCH('EI - (F1 - F2)'!$R62,'Schedule C'!$A$34:$A$313,0),38)," ")</f>
        <v xml:space="preserve"> </v>
      </c>
      <c r="H62" s="1127" t="str">
        <f>IFERROR(INDEX('Schedule C'!$A$34:$BA$313,MATCH('EI - (F1 - F2)'!$R62,'Schedule C'!$A$34:$A$313,0),39)," ")</f>
        <v xml:space="preserve"> </v>
      </c>
      <c r="I62" s="1129" t="str">
        <f t="shared" si="5"/>
        <v xml:space="preserve"> </v>
      </c>
      <c r="J62" s="1129" t="str">
        <f t="shared" si="5"/>
        <v xml:space="preserve"> </v>
      </c>
      <c r="K62" s="1129" t="str">
        <f t="shared" si="5"/>
        <v xml:space="preserve"> </v>
      </c>
      <c r="L62" s="1129" t="str">
        <f t="shared" si="5"/>
        <v xml:space="preserve"> </v>
      </c>
      <c r="M62" s="1129" t="str">
        <f t="shared" si="5"/>
        <v xml:space="preserve"> </v>
      </c>
      <c r="N62" s="1129" t="str">
        <f t="shared" si="5"/>
        <v xml:space="preserve"> </v>
      </c>
      <c r="O62" s="1129" t="str">
        <f t="shared" si="2"/>
        <v xml:space="preserve"> </v>
      </c>
      <c r="P62" s="1130" t="str">
        <f t="shared" si="3"/>
        <v xml:space="preserve"> </v>
      </c>
      <c r="Q62" s="1131" t="str">
        <f t="shared" si="4"/>
        <v xml:space="preserve"> </v>
      </c>
      <c r="R62" s="1118">
        <f>IF('Schedule C'!AM89&gt;='EI - (F1 - F2)'!J$3,IF('Schedule C'!AM89&lt;='EI - (F1 - F2)'!K$3,'Schedule C'!A89,0),0)</f>
        <v>0</v>
      </c>
    </row>
    <row r="63" spans="1:18" ht="15">
      <c r="A63" s="1125">
        <f t="shared" si="1"/>
        <v>56</v>
      </c>
      <c r="B63" s="1126">
        <v>1</v>
      </c>
      <c r="C63" s="1126" t="str">
        <f>IFERROR(VLOOKUP(D63,dropdowns!$J$3:$Q$16,7,0)," ")</f>
        <v xml:space="preserve"> </v>
      </c>
      <c r="D63" s="1126" t="str">
        <f>IFERROR(INDEX('Schedule C'!$A$34:$BA$313,MATCH('EI - (F1 - F2)'!$R63,'Schedule C'!$A$34:$A$313,0),14)," ")</f>
        <v xml:space="preserve"> </v>
      </c>
      <c r="E63" s="1126" t="str">
        <f>IFERROR(VLOOKUP($D63,dropdowns!$J$3:$Q$16,8,0)," ")</f>
        <v xml:space="preserve"> </v>
      </c>
      <c r="F63" s="1126" t="str">
        <f>IFERROR(INDEX('Schedule C'!$A$34:$BA$313,MATCH('EI - (F1 - F2)'!$R63,'Schedule C'!$A$34:$A$313,0),2)," ")</f>
        <v xml:space="preserve"> </v>
      </c>
      <c r="G63" s="1126" t="str">
        <f>IFERROR(INDEX('Schedule C'!$A$34:$BA$313,MATCH('EI - (F1 - F2)'!$R63,'Schedule C'!$A$34:$A$313,0),38)," ")</f>
        <v xml:space="preserve"> </v>
      </c>
      <c r="H63" s="1127" t="str">
        <f>IFERROR(INDEX('Schedule C'!$A$34:$BA$313,MATCH('EI - (F1 - F2)'!$R63,'Schedule C'!$A$34:$A$313,0),39)," ")</f>
        <v xml:space="preserve"> </v>
      </c>
      <c r="I63" s="1129" t="str">
        <f t="shared" si="5"/>
        <v xml:space="preserve"> </v>
      </c>
      <c r="J63" s="1129" t="str">
        <f t="shared" si="5"/>
        <v xml:space="preserve"> </v>
      </c>
      <c r="K63" s="1129" t="str">
        <f t="shared" si="5"/>
        <v xml:space="preserve"> </v>
      </c>
      <c r="L63" s="1129" t="str">
        <f t="shared" si="5"/>
        <v xml:space="preserve"> </v>
      </c>
      <c r="M63" s="1129" t="str">
        <f t="shared" si="5"/>
        <v xml:space="preserve"> </v>
      </c>
      <c r="N63" s="1129" t="str">
        <f t="shared" si="5"/>
        <v xml:space="preserve"> </v>
      </c>
      <c r="O63" s="1129" t="str">
        <f t="shared" si="2"/>
        <v xml:space="preserve"> </v>
      </c>
      <c r="P63" s="1130" t="str">
        <f t="shared" si="3"/>
        <v xml:space="preserve"> </v>
      </c>
      <c r="Q63" s="1131" t="str">
        <f t="shared" si="4"/>
        <v xml:space="preserve"> </v>
      </c>
      <c r="R63" s="1118">
        <f>IF('Schedule C'!AM90&gt;='EI - (F1 - F2)'!J$3,IF('Schedule C'!AM90&lt;='EI - (F1 - F2)'!K$3,'Schedule C'!A90,0),0)</f>
        <v>0</v>
      </c>
    </row>
    <row r="64" spans="1:18" ht="15">
      <c r="A64" s="1125">
        <f t="shared" si="1"/>
        <v>57</v>
      </c>
      <c r="B64" s="1126">
        <v>1</v>
      </c>
      <c r="C64" s="1126" t="str">
        <f>IFERROR(VLOOKUP(D64,dropdowns!$J$3:$Q$16,7,0)," ")</f>
        <v xml:space="preserve"> </v>
      </c>
      <c r="D64" s="1126" t="str">
        <f>IFERROR(INDEX('Schedule C'!$A$34:$BA$313,MATCH('EI - (F1 - F2)'!$R64,'Schedule C'!$A$34:$A$313,0),14)," ")</f>
        <v xml:space="preserve"> </v>
      </c>
      <c r="E64" s="1126" t="str">
        <f>IFERROR(VLOOKUP($D64,dropdowns!$J$3:$Q$16,8,0)," ")</f>
        <v xml:space="preserve"> </v>
      </c>
      <c r="F64" s="1126" t="str">
        <f>IFERROR(INDEX('Schedule C'!$A$34:$BA$313,MATCH('EI - (F1 - F2)'!$R64,'Schedule C'!$A$34:$A$313,0),2)," ")</f>
        <v xml:space="preserve"> </v>
      </c>
      <c r="G64" s="1126" t="str">
        <f>IFERROR(INDEX('Schedule C'!$A$34:$BA$313,MATCH('EI - (F1 - F2)'!$R64,'Schedule C'!$A$34:$A$313,0),38)," ")</f>
        <v xml:space="preserve"> </v>
      </c>
      <c r="H64" s="1127" t="str">
        <f>IFERROR(INDEX('Schedule C'!$A$34:$BA$313,MATCH('EI - (F1 - F2)'!$R64,'Schedule C'!$A$34:$A$313,0),39)," ")</f>
        <v xml:space="preserve"> </v>
      </c>
      <c r="I64" s="1129" t="str">
        <f t="shared" si="5"/>
        <v xml:space="preserve"> </v>
      </c>
      <c r="J64" s="1129" t="str">
        <f t="shared" si="5"/>
        <v xml:space="preserve"> </v>
      </c>
      <c r="K64" s="1129" t="str">
        <f t="shared" si="5"/>
        <v xml:space="preserve"> </v>
      </c>
      <c r="L64" s="1129" t="str">
        <f t="shared" si="5"/>
        <v xml:space="preserve"> </v>
      </c>
      <c r="M64" s="1129" t="str">
        <f t="shared" si="5"/>
        <v xml:space="preserve"> </v>
      </c>
      <c r="N64" s="1129" t="str">
        <f t="shared" si="5"/>
        <v xml:space="preserve"> </v>
      </c>
      <c r="O64" s="1129" t="str">
        <f t="shared" si="2"/>
        <v xml:space="preserve"> </v>
      </c>
      <c r="P64" s="1130" t="str">
        <f t="shared" si="3"/>
        <v xml:space="preserve"> </v>
      </c>
      <c r="Q64" s="1131" t="str">
        <f t="shared" si="4"/>
        <v xml:space="preserve"> </v>
      </c>
      <c r="R64" s="1118">
        <f>IF('Schedule C'!AM91&gt;='EI - (F1 - F2)'!J$3,IF('Schedule C'!AM91&lt;='EI - (F1 - F2)'!K$3,'Schedule C'!A91,0),0)</f>
        <v>0</v>
      </c>
    </row>
    <row r="65" spans="1:18" ht="15">
      <c r="A65" s="1125">
        <f t="shared" si="1"/>
        <v>58</v>
      </c>
      <c r="B65" s="1126">
        <v>1</v>
      </c>
      <c r="C65" s="1126" t="str">
        <f>IFERROR(VLOOKUP(D65,dropdowns!$J$3:$Q$16,7,0)," ")</f>
        <v xml:space="preserve"> </v>
      </c>
      <c r="D65" s="1126" t="str">
        <f>IFERROR(INDEX('Schedule C'!$A$34:$BA$313,MATCH('EI - (F1 - F2)'!$R65,'Schedule C'!$A$34:$A$313,0),14)," ")</f>
        <v xml:space="preserve"> </v>
      </c>
      <c r="E65" s="1126" t="str">
        <f>IFERROR(VLOOKUP($D65,dropdowns!$J$3:$Q$16,8,0)," ")</f>
        <v xml:space="preserve"> </v>
      </c>
      <c r="F65" s="1126" t="str">
        <f>IFERROR(INDEX('Schedule C'!$A$34:$BA$313,MATCH('EI - (F1 - F2)'!$R65,'Schedule C'!$A$34:$A$313,0),2)," ")</f>
        <v xml:space="preserve"> </v>
      </c>
      <c r="G65" s="1126" t="str">
        <f>IFERROR(INDEX('Schedule C'!$A$34:$BA$313,MATCH('EI - (F1 - F2)'!$R65,'Schedule C'!$A$34:$A$313,0),38)," ")</f>
        <v xml:space="preserve"> </v>
      </c>
      <c r="H65" s="1127" t="str">
        <f>IFERROR(INDEX('Schedule C'!$A$34:$BA$313,MATCH('EI - (F1 - F2)'!$R65,'Schedule C'!$A$34:$A$313,0),39)," ")</f>
        <v xml:space="preserve"> </v>
      </c>
      <c r="I65" s="1129" t="str">
        <f t="shared" si="5"/>
        <v xml:space="preserve"> </v>
      </c>
      <c r="J65" s="1129" t="str">
        <f t="shared" si="5"/>
        <v xml:space="preserve"> </v>
      </c>
      <c r="K65" s="1129" t="str">
        <f t="shared" si="5"/>
        <v xml:space="preserve"> </v>
      </c>
      <c r="L65" s="1129" t="str">
        <f t="shared" si="5"/>
        <v xml:space="preserve"> </v>
      </c>
      <c r="M65" s="1129" t="str">
        <f t="shared" si="5"/>
        <v xml:space="preserve"> </v>
      </c>
      <c r="N65" s="1129" t="str">
        <f t="shared" si="5"/>
        <v xml:space="preserve"> </v>
      </c>
      <c r="O65" s="1129" t="str">
        <f t="shared" si="2"/>
        <v xml:space="preserve"> </v>
      </c>
      <c r="P65" s="1130" t="str">
        <f t="shared" si="3"/>
        <v xml:space="preserve"> </v>
      </c>
      <c r="Q65" s="1131" t="str">
        <f t="shared" si="4"/>
        <v xml:space="preserve"> </v>
      </c>
      <c r="R65" s="1118">
        <f>IF('Schedule C'!AM92&gt;='EI - (F1 - F2)'!J$3,IF('Schedule C'!AM92&lt;='EI - (F1 - F2)'!K$3,'Schedule C'!A92,0),0)</f>
        <v>0</v>
      </c>
    </row>
    <row r="66" spans="1:18" ht="15">
      <c r="A66" s="1125">
        <f t="shared" si="1"/>
        <v>59</v>
      </c>
      <c r="B66" s="1126">
        <v>1</v>
      </c>
      <c r="C66" s="1126" t="str">
        <f>IFERROR(VLOOKUP(D66,dropdowns!$J$3:$Q$16,7,0)," ")</f>
        <v xml:space="preserve"> </v>
      </c>
      <c r="D66" s="1126" t="str">
        <f>IFERROR(INDEX('Schedule C'!$A$34:$BA$313,MATCH('EI - (F1 - F2)'!$R66,'Schedule C'!$A$34:$A$313,0),14)," ")</f>
        <v xml:space="preserve"> </v>
      </c>
      <c r="E66" s="1126" t="str">
        <f>IFERROR(VLOOKUP($D66,dropdowns!$J$3:$Q$16,8,0)," ")</f>
        <v xml:space="preserve"> </v>
      </c>
      <c r="F66" s="1126" t="str">
        <f>IFERROR(INDEX('Schedule C'!$A$34:$BA$313,MATCH('EI - (F1 - F2)'!$R66,'Schedule C'!$A$34:$A$313,0),2)," ")</f>
        <v xml:space="preserve"> </v>
      </c>
      <c r="G66" s="1126" t="str">
        <f>IFERROR(INDEX('Schedule C'!$A$34:$BA$313,MATCH('EI - (F1 - F2)'!$R66,'Schedule C'!$A$34:$A$313,0),38)," ")</f>
        <v xml:space="preserve"> </v>
      </c>
      <c r="H66" s="1127" t="str">
        <f>IFERROR(INDEX('Schedule C'!$A$34:$BA$313,MATCH('EI - (F1 - F2)'!$R66,'Schedule C'!$A$34:$A$313,0),39)," ")</f>
        <v xml:space="preserve"> </v>
      </c>
      <c r="I66" s="1129" t="str">
        <f t="shared" si="5"/>
        <v xml:space="preserve"> </v>
      </c>
      <c r="J66" s="1129" t="str">
        <f t="shared" si="5"/>
        <v xml:space="preserve"> </v>
      </c>
      <c r="K66" s="1129" t="str">
        <f t="shared" si="5"/>
        <v xml:space="preserve"> </v>
      </c>
      <c r="L66" s="1129" t="str">
        <f t="shared" ref="I66:N108" si="6">IF($R66=0," ","NA")</f>
        <v xml:space="preserve"> </v>
      </c>
      <c r="M66" s="1129" t="str">
        <f t="shared" si="6"/>
        <v xml:space="preserve"> </v>
      </c>
      <c r="N66" s="1129" t="str">
        <f t="shared" si="6"/>
        <v xml:space="preserve"> </v>
      </c>
      <c r="O66" s="1129" t="str">
        <f t="shared" si="2"/>
        <v xml:space="preserve"> </v>
      </c>
      <c r="P66" s="1130" t="str">
        <f t="shared" si="3"/>
        <v xml:space="preserve"> </v>
      </c>
      <c r="Q66" s="1131" t="str">
        <f t="shared" si="4"/>
        <v xml:space="preserve"> </v>
      </c>
      <c r="R66" s="1118">
        <f>IF('Schedule C'!AM94&gt;='EI - (F1 - F2)'!J$3,IF('Schedule C'!AM94&lt;='EI - (F1 - F2)'!K$3,'Schedule C'!A94,0),0)</f>
        <v>0</v>
      </c>
    </row>
    <row r="67" spans="1:18" ht="15">
      <c r="A67" s="1125">
        <f t="shared" si="1"/>
        <v>60</v>
      </c>
      <c r="B67" s="1126">
        <v>1</v>
      </c>
      <c r="C67" s="1126" t="str">
        <f>IFERROR(VLOOKUP(D67,dropdowns!$J$3:$Q$16,7,0)," ")</f>
        <v xml:space="preserve"> </v>
      </c>
      <c r="D67" s="1126" t="str">
        <f>IFERROR(INDEX('Schedule C'!$A$34:$BA$313,MATCH('EI - (F1 - F2)'!$R67,'Schedule C'!$A$34:$A$313,0),14)," ")</f>
        <v xml:space="preserve"> </v>
      </c>
      <c r="E67" s="1126" t="str">
        <f>IFERROR(VLOOKUP($D67,dropdowns!$J$3:$Q$16,8,0)," ")</f>
        <v xml:space="preserve"> </v>
      </c>
      <c r="F67" s="1126" t="str">
        <f>IFERROR(INDEX('Schedule C'!$A$34:$BA$313,MATCH('EI - (F1 - F2)'!$R67,'Schedule C'!$A$34:$A$313,0),2)," ")</f>
        <v xml:space="preserve"> </v>
      </c>
      <c r="G67" s="1126" t="str">
        <f>IFERROR(INDEX('Schedule C'!$A$34:$BA$313,MATCH('EI - (F1 - F2)'!$R67,'Schedule C'!$A$34:$A$313,0),38)," ")</f>
        <v xml:space="preserve"> </v>
      </c>
      <c r="H67" s="1127" t="str">
        <f>IFERROR(INDEX('Schedule C'!$A$34:$BA$313,MATCH('EI - (F1 - F2)'!$R67,'Schedule C'!$A$34:$A$313,0),39)," ")</f>
        <v xml:space="preserve"> </v>
      </c>
      <c r="I67" s="1129" t="str">
        <f t="shared" si="6"/>
        <v xml:space="preserve"> </v>
      </c>
      <c r="J67" s="1129" t="str">
        <f t="shared" si="6"/>
        <v xml:space="preserve"> </v>
      </c>
      <c r="K67" s="1129" t="str">
        <f t="shared" si="6"/>
        <v xml:space="preserve"> </v>
      </c>
      <c r="L67" s="1129" t="str">
        <f t="shared" si="6"/>
        <v xml:space="preserve"> </v>
      </c>
      <c r="M67" s="1129" t="str">
        <f t="shared" si="6"/>
        <v xml:space="preserve"> </v>
      </c>
      <c r="N67" s="1129" t="str">
        <f t="shared" si="6"/>
        <v xml:space="preserve"> </v>
      </c>
      <c r="O67" s="1129" t="str">
        <f t="shared" si="2"/>
        <v xml:space="preserve"> </v>
      </c>
      <c r="P67" s="1130" t="str">
        <f t="shared" si="3"/>
        <v xml:space="preserve"> </v>
      </c>
      <c r="Q67" s="1131" t="str">
        <f t="shared" si="4"/>
        <v xml:space="preserve"> </v>
      </c>
      <c r="R67" s="1118">
        <f>IF('Schedule C'!AM96&gt;='EI - (F1 - F2)'!J$3,IF('Schedule C'!AM96&lt;='EI - (F1 - F2)'!K$3,'Schedule C'!A96,0),0)</f>
        <v>0</v>
      </c>
    </row>
    <row r="68" spans="1:18" ht="15">
      <c r="A68" s="1125">
        <f t="shared" si="1"/>
        <v>61</v>
      </c>
      <c r="B68" s="1126">
        <v>1</v>
      </c>
      <c r="C68" s="1126" t="str">
        <f>IFERROR(VLOOKUP(D68,dropdowns!$J$3:$Q$16,7,0)," ")</f>
        <v xml:space="preserve"> </v>
      </c>
      <c r="D68" s="1126" t="str">
        <f>IFERROR(INDEX('Schedule C'!$A$34:$BA$313,MATCH('EI - (F1 - F2)'!$R68,'Schedule C'!$A$34:$A$313,0),14)," ")</f>
        <v xml:space="preserve"> </v>
      </c>
      <c r="E68" s="1126" t="str">
        <f>IFERROR(VLOOKUP($D68,dropdowns!$J$3:$Q$16,8,0)," ")</f>
        <v xml:space="preserve"> </v>
      </c>
      <c r="F68" s="1126" t="str">
        <f>IFERROR(INDEX('Schedule C'!$A$34:$BA$313,MATCH('EI - (F1 - F2)'!$R68,'Schedule C'!$A$34:$A$313,0),2)," ")</f>
        <v xml:space="preserve"> </v>
      </c>
      <c r="G68" s="1126" t="str">
        <f>IFERROR(INDEX('Schedule C'!$A$34:$BA$313,MATCH('EI - (F1 - F2)'!$R68,'Schedule C'!$A$34:$A$313,0),38)," ")</f>
        <v xml:space="preserve"> </v>
      </c>
      <c r="H68" s="1127" t="str">
        <f>IFERROR(INDEX('Schedule C'!$A$34:$BA$313,MATCH('EI - (F1 - F2)'!$R68,'Schedule C'!$A$34:$A$313,0),39)," ")</f>
        <v xml:space="preserve"> </v>
      </c>
      <c r="I68" s="1129" t="str">
        <f t="shared" si="6"/>
        <v xml:space="preserve"> </v>
      </c>
      <c r="J68" s="1129" t="str">
        <f t="shared" si="6"/>
        <v xml:space="preserve"> </v>
      </c>
      <c r="K68" s="1129" t="str">
        <f t="shared" si="6"/>
        <v xml:space="preserve"> </v>
      </c>
      <c r="L68" s="1129" t="str">
        <f t="shared" si="6"/>
        <v xml:space="preserve"> </v>
      </c>
      <c r="M68" s="1129" t="str">
        <f t="shared" si="6"/>
        <v xml:space="preserve"> </v>
      </c>
      <c r="N68" s="1129" t="str">
        <f t="shared" si="6"/>
        <v xml:space="preserve"> </v>
      </c>
      <c r="O68" s="1129" t="str">
        <f t="shared" si="2"/>
        <v xml:space="preserve"> </v>
      </c>
      <c r="P68" s="1130" t="str">
        <f t="shared" si="3"/>
        <v xml:space="preserve"> </v>
      </c>
      <c r="Q68" s="1131" t="str">
        <f t="shared" si="4"/>
        <v xml:space="preserve"> </v>
      </c>
      <c r="R68" s="1118">
        <f>IF('Schedule C'!AM97&gt;='EI - (F1 - F2)'!J$3,IF('Schedule C'!AM97&lt;='EI - (F1 - F2)'!K$3,'Schedule C'!A97,0),0)</f>
        <v>0</v>
      </c>
    </row>
    <row r="69" spans="1:18" ht="15">
      <c r="A69" s="1125">
        <f t="shared" si="1"/>
        <v>62</v>
      </c>
      <c r="B69" s="1126">
        <v>1</v>
      </c>
      <c r="C69" s="1126" t="str">
        <f>IFERROR(VLOOKUP(D69,dropdowns!$J$3:$Q$16,7,0)," ")</f>
        <v xml:space="preserve"> </v>
      </c>
      <c r="D69" s="1126" t="str">
        <f>IFERROR(INDEX('Schedule C'!$A$34:$BA$313,MATCH('EI - (F1 - F2)'!$R69,'Schedule C'!$A$34:$A$313,0),14)," ")</f>
        <v xml:space="preserve"> </v>
      </c>
      <c r="E69" s="1126" t="str">
        <f>IFERROR(VLOOKUP($D69,dropdowns!$J$3:$Q$16,8,0)," ")</f>
        <v xml:space="preserve"> </v>
      </c>
      <c r="F69" s="1126" t="str">
        <f>IFERROR(INDEX('Schedule C'!$A$34:$BA$313,MATCH('EI - (F1 - F2)'!$R69,'Schedule C'!$A$34:$A$313,0),2)," ")</f>
        <v xml:space="preserve"> </v>
      </c>
      <c r="G69" s="1126" t="str">
        <f>IFERROR(INDEX('Schedule C'!$A$34:$BA$313,MATCH('EI - (F1 - F2)'!$R69,'Schedule C'!$A$34:$A$313,0),38)," ")</f>
        <v xml:space="preserve"> </v>
      </c>
      <c r="H69" s="1127" t="str">
        <f>IFERROR(INDEX('Schedule C'!$A$34:$BA$313,MATCH('EI - (F1 - F2)'!$R69,'Schedule C'!$A$34:$A$313,0),39)," ")</f>
        <v xml:space="preserve"> </v>
      </c>
      <c r="I69" s="1129" t="e">
        <f t="shared" si="6"/>
        <v>#REF!</v>
      </c>
      <c r="J69" s="1129" t="e">
        <f t="shared" si="6"/>
        <v>#REF!</v>
      </c>
      <c r="K69" s="1129" t="e">
        <f t="shared" si="6"/>
        <v>#REF!</v>
      </c>
      <c r="L69" s="1129" t="e">
        <f t="shared" si="6"/>
        <v>#REF!</v>
      </c>
      <c r="M69" s="1129" t="e">
        <f t="shared" si="6"/>
        <v>#REF!</v>
      </c>
      <c r="N69" s="1129" t="e">
        <f t="shared" si="6"/>
        <v>#REF!</v>
      </c>
      <c r="O69" s="1129" t="e">
        <f t="shared" si="2"/>
        <v>#REF!</v>
      </c>
      <c r="P69" s="1130" t="e">
        <f t="shared" si="3"/>
        <v>#REF!</v>
      </c>
      <c r="Q69" s="1131" t="e">
        <f t="shared" si="4"/>
        <v>#REF!</v>
      </c>
      <c r="R69" s="1118" t="e">
        <f>IF('Schedule C'!#REF!&gt;='EI - (F1 - F2)'!J$3,IF('Schedule C'!#REF!&lt;='EI - (F1 - F2)'!K$3,'Schedule C'!#REF!,0),0)</f>
        <v>#REF!</v>
      </c>
    </row>
    <row r="70" spans="1:18" ht="15">
      <c r="A70" s="1125">
        <f t="shared" si="1"/>
        <v>63</v>
      </c>
      <c r="B70" s="1126">
        <v>1</v>
      </c>
      <c r="C70" s="1126" t="str">
        <f>IFERROR(VLOOKUP(D70,dropdowns!$J$3:$Q$16,7,0)," ")</f>
        <v xml:space="preserve"> </v>
      </c>
      <c r="D70" s="1126" t="str">
        <f>IFERROR(INDEX('Schedule C'!$A$34:$BA$313,MATCH('EI - (F1 - F2)'!$R70,'Schedule C'!$A$34:$A$313,0),14)," ")</f>
        <v xml:space="preserve"> </v>
      </c>
      <c r="E70" s="1126" t="str">
        <f>IFERROR(VLOOKUP($D70,dropdowns!$J$3:$Q$16,8,0)," ")</f>
        <v xml:space="preserve"> </v>
      </c>
      <c r="F70" s="1126" t="str">
        <f>IFERROR(INDEX('Schedule C'!$A$34:$BA$313,MATCH('EI - (F1 - F2)'!$R70,'Schedule C'!$A$34:$A$313,0),2)," ")</f>
        <v xml:space="preserve"> </v>
      </c>
      <c r="G70" s="1126" t="str">
        <f>IFERROR(INDEX('Schedule C'!$A$34:$BA$313,MATCH('EI - (F1 - F2)'!$R70,'Schedule C'!$A$34:$A$313,0),38)," ")</f>
        <v xml:space="preserve"> </v>
      </c>
      <c r="H70" s="1127" t="str">
        <f>IFERROR(INDEX('Schedule C'!$A$34:$BA$313,MATCH('EI - (F1 - F2)'!$R70,'Schedule C'!$A$34:$A$313,0),39)," ")</f>
        <v xml:space="preserve"> </v>
      </c>
      <c r="I70" s="1129" t="str">
        <f t="shared" si="6"/>
        <v xml:space="preserve"> </v>
      </c>
      <c r="J70" s="1129" t="str">
        <f t="shared" si="6"/>
        <v xml:space="preserve"> </v>
      </c>
      <c r="K70" s="1129" t="str">
        <f t="shared" si="6"/>
        <v xml:space="preserve"> </v>
      </c>
      <c r="L70" s="1129" t="str">
        <f t="shared" si="6"/>
        <v xml:space="preserve"> </v>
      </c>
      <c r="M70" s="1129" t="str">
        <f t="shared" si="6"/>
        <v xml:space="preserve"> </v>
      </c>
      <c r="N70" s="1129" t="str">
        <f t="shared" si="6"/>
        <v xml:space="preserve"> </v>
      </c>
      <c r="O70" s="1129" t="str">
        <f t="shared" si="2"/>
        <v xml:space="preserve"> </v>
      </c>
      <c r="P70" s="1130" t="str">
        <f t="shared" si="3"/>
        <v xml:space="preserve"> </v>
      </c>
      <c r="Q70" s="1131" t="str">
        <f t="shared" si="4"/>
        <v xml:space="preserve"> </v>
      </c>
      <c r="R70" s="1118">
        <f>IF('Schedule C'!AM98&gt;='EI - (F1 - F2)'!J$3,IF('Schedule C'!AM98&lt;='EI - (F1 - F2)'!K$3,'Schedule C'!A98,0),0)</f>
        <v>0</v>
      </c>
    </row>
    <row r="71" spans="1:18" ht="15">
      <c r="A71" s="1125">
        <f t="shared" si="1"/>
        <v>64</v>
      </c>
      <c r="B71" s="1126">
        <v>1</v>
      </c>
      <c r="C71" s="1126" t="str">
        <f>IFERROR(VLOOKUP(D71,dropdowns!$J$3:$Q$16,7,0)," ")</f>
        <v xml:space="preserve"> </v>
      </c>
      <c r="D71" s="1126" t="str">
        <f>IFERROR(INDEX('Schedule C'!$A$34:$BA$313,MATCH('EI - (F1 - F2)'!$R71,'Schedule C'!$A$34:$A$313,0),14)," ")</f>
        <v xml:space="preserve"> </v>
      </c>
      <c r="E71" s="1126" t="str">
        <f>IFERROR(VLOOKUP($D71,dropdowns!$J$3:$Q$16,8,0)," ")</f>
        <v xml:space="preserve"> </v>
      </c>
      <c r="F71" s="1126" t="str">
        <f>IFERROR(INDEX('Schedule C'!$A$34:$BA$313,MATCH('EI - (F1 - F2)'!$R71,'Schedule C'!$A$34:$A$313,0),2)," ")</f>
        <v xml:space="preserve"> </v>
      </c>
      <c r="G71" s="1126" t="str">
        <f>IFERROR(INDEX('Schedule C'!$A$34:$BA$313,MATCH('EI - (F1 - F2)'!$R71,'Schedule C'!$A$34:$A$313,0),38)," ")</f>
        <v xml:space="preserve"> </v>
      </c>
      <c r="H71" s="1127" t="str">
        <f>IFERROR(INDEX('Schedule C'!$A$34:$BA$313,MATCH('EI - (F1 - F2)'!$R71,'Schedule C'!$A$34:$A$313,0),39)," ")</f>
        <v xml:space="preserve"> </v>
      </c>
      <c r="I71" s="1129" t="str">
        <f t="shared" si="6"/>
        <v xml:space="preserve"> </v>
      </c>
      <c r="J71" s="1129" t="str">
        <f t="shared" si="6"/>
        <v xml:space="preserve"> </v>
      </c>
      <c r="K71" s="1129" t="str">
        <f t="shared" si="6"/>
        <v xml:space="preserve"> </v>
      </c>
      <c r="L71" s="1129" t="str">
        <f t="shared" si="6"/>
        <v xml:space="preserve"> </v>
      </c>
      <c r="M71" s="1129" t="str">
        <f t="shared" si="6"/>
        <v xml:space="preserve"> </v>
      </c>
      <c r="N71" s="1129" t="str">
        <f t="shared" si="6"/>
        <v xml:space="preserve"> </v>
      </c>
      <c r="O71" s="1129" t="str">
        <f t="shared" si="2"/>
        <v xml:space="preserve"> </v>
      </c>
      <c r="P71" s="1130" t="str">
        <f t="shared" si="3"/>
        <v xml:space="preserve"> </v>
      </c>
      <c r="Q71" s="1131" t="str">
        <f t="shared" si="4"/>
        <v xml:space="preserve"> </v>
      </c>
      <c r="R71" s="1118">
        <f>IF('Schedule C'!AM99&gt;='EI - (F1 - F2)'!J$3,IF('Schedule C'!AM99&lt;='EI - (F1 - F2)'!K$3,'Schedule C'!A99,0),0)</f>
        <v>0</v>
      </c>
    </row>
    <row r="72" spans="1:18" ht="15">
      <c r="A72" s="1125">
        <f t="shared" si="1"/>
        <v>65</v>
      </c>
      <c r="B72" s="1126">
        <v>1</v>
      </c>
      <c r="C72" s="1126" t="str">
        <f>IFERROR(VLOOKUP(D72,dropdowns!$J$3:$Q$16,7,0)," ")</f>
        <v xml:space="preserve"> </v>
      </c>
      <c r="D72" s="1126" t="str">
        <f>IFERROR(INDEX('Schedule C'!$A$34:$BA$313,MATCH('EI - (F1 - F2)'!$R72,'Schedule C'!$A$34:$A$313,0),14)," ")</f>
        <v xml:space="preserve"> </v>
      </c>
      <c r="E72" s="1126" t="str">
        <f>IFERROR(VLOOKUP($D72,dropdowns!$J$3:$Q$16,8,0)," ")</f>
        <v xml:space="preserve"> </v>
      </c>
      <c r="F72" s="1126" t="str">
        <f>IFERROR(INDEX('Schedule C'!$A$34:$BA$313,MATCH('EI - (F1 - F2)'!$R72,'Schedule C'!$A$34:$A$313,0),2)," ")</f>
        <v xml:space="preserve"> </v>
      </c>
      <c r="G72" s="1126" t="str">
        <f>IFERROR(INDEX('Schedule C'!$A$34:$BA$313,MATCH('EI - (F1 - F2)'!$R72,'Schedule C'!$A$34:$A$313,0),38)," ")</f>
        <v xml:space="preserve"> </v>
      </c>
      <c r="H72" s="1127" t="str">
        <f>IFERROR(INDEX('Schedule C'!$A$34:$BA$313,MATCH('EI - (F1 - F2)'!$R72,'Schedule C'!$A$34:$A$313,0),39)," ")</f>
        <v xml:space="preserve"> </v>
      </c>
      <c r="I72" s="1129" t="str">
        <f t="shared" si="6"/>
        <v xml:space="preserve"> </v>
      </c>
      <c r="J72" s="1129" t="str">
        <f t="shared" si="6"/>
        <v xml:space="preserve"> </v>
      </c>
      <c r="K72" s="1129" t="str">
        <f t="shared" si="6"/>
        <v xml:space="preserve"> </v>
      </c>
      <c r="L72" s="1129" t="str">
        <f t="shared" si="6"/>
        <v xml:space="preserve"> </v>
      </c>
      <c r="M72" s="1129" t="str">
        <f t="shared" si="6"/>
        <v xml:space="preserve"> </v>
      </c>
      <c r="N72" s="1129" t="str">
        <f t="shared" si="6"/>
        <v xml:space="preserve"> </v>
      </c>
      <c r="O72" s="1129" t="str">
        <f t="shared" si="2"/>
        <v xml:space="preserve"> </v>
      </c>
      <c r="P72" s="1130" t="str">
        <f t="shared" si="3"/>
        <v xml:space="preserve"> </v>
      </c>
      <c r="Q72" s="1131" t="str">
        <f t="shared" si="4"/>
        <v xml:space="preserve"> </v>
      </c>
      <c r="R72" s="1118">
        <f>IF('Schedule C'!AM100&gt;='EI - (F1 - F2)'!J$3,IF('Schedule C'!AM100&lt;='EI - (F1 - F2)'!K$3,'Schedule C'!A100,0),0)</f>
        <v>0</v>
      </c>
    </row>
    <row r="73" spans="1:18" ht="15">
      <c r="A73" s="1125">
        <f t="shared" si="1"/>
        <v>66</v>
      </c>
      <c r="B73" s="1126">
        <v>1</v>
      </c>
      <c r="C73" s="1126" t="str">
        <f>IFERROR(VLOOKUP(D73,dropdowns!$J$3:$Q$16,7,0)," ")</f>
        <v xml:space="preserve"> </v>
      </c>
      <c r="D73" s="1126" t="str">
        <f>IFERROR(INDEX('Schedule C'!$A$34:$BA$313,MATCH('EI - (F1 - F2)'!$R73,'Schedule C'!$A$34:$A$313,0),14)," ")</f>
        <v xml:space="preserve"> </v>
      </c>
      <c r="E73" s="1126" t="str">
        <f>IFERROR(VLOOKUP($D73,dropdowns!$J$3:$Q$16,8,0)," ")</f>
        <v xml:space="preserve"> </v>
      </c>
      <c r="F73" s="1126" t="str">
        <f>IFERROR(INDEX('Schedule C'!$A$34:$BA$313,MATCH('EI - (F1 - F2)'!$R73,'Schedule C'!$A$34:$A$313,0),2)," ")</f>
        <v xml:space="preserve"> </v>
      </c>
      <c r="G73" s="1126" t="str">
        <f>IFERROR(INDEX('Schedule C'!$A$34:$BA$313,MATCH('EI - (F1 - F2)'!$R73,'Schedule C'!$A$34:$A$313,0),38)," ")</f>
        <v xml:space="preserve"> </v>
      </c>
      <c r="H73" s="1127" t="str">
        <f>IFERROR(INDEX('Schedule C'!$A$34:$BA$313,MATCH('EI - (F1 - F2)'!$R73,'Schedule C'!$A$34:$A$313,0),39)," ")</f>
        <v xml:space="preserve"> </v>
      </c>
      <c r="I73" s="1129" t="str">
        <f t="shared" si="6"/>
        <v xml:space="preserve"> </v>
      </c>
      <c r="J73" s="1129" t="str">
        <f t="shared" si="6"/>
        <v xml:space="preserve"> </v>
      </c>
      <c r="K73" s="1129" t="str">
        <f t="shared" si="6"/>
        <v xml:space="preserve"> </v>
      </c>
      <c r="L73" s="1129" t="str">
        <f t="shared" si="6"/>
        <v xml:space="preserve"> </v>
      </c>
      <c r="M73" s="1129" t="str">
        <f t="shared" si="6"/>
        <v xml:space="preserve"> </v>
      </c>
      <c r="N73" s="1129" t="str">
        <f t="shared" si="6"/>
        <v xml:space="preserve"> </v>
      </c>
      <c r="O73" s="1129" t="str">
        <f t="shared" ref="O73:O136" si="7">IF($R73=0," ","OPEN")</f>
        <v xml:space="preserve"> </v>
      </c>
      <c r="P73" s="1130" t="str">
        <f t="shared" ref="P73:P136" si="8">IF($R73=0," ",H73+90)</f>
        <v xml:space="preserve"> </v>
      </c>
      <c r="Q73" s="1131" t="str">
        <f t="shared" ref="Q73:Q136" si="9">IF(R73=0," ",(H73+90)-$K$3)</f>
        <v xml:space="preserve"> </v>
      </c>
      <c r="R73" s="1118">
        <f>IF('Schedule C'!AM101&gt;='EI - (F1 - F2)'!J$3,IF('Schedule C'!AM101&lt;='EI - (F1 - F2)'!K$3,'Schedule C'!A101,0),0)</f>
        <v>0</v>
      </c>
    </row>
    <row r="74" spans="1:18" ht="15">
      <c r="A74" s="1125">
        <f t="shared" si="1"/>
        <v>67</v>
      </c>
      <c r="B74" s="1126">
        <v>1</v>
      </c>
      <c r="C74" s="1126" t="str">
        <f>IFERROR(VLOOKUP(D74,dropdowns!$J$3:$Q$16,7,0)," ")</f>
        <v xml:space="preserve"> </v>
      </c>
      <c r="D74" s="1126" t="str">
        <f>IFERROR(INDEX('Schedule C'!$A$34:$BA$313,MATCH('EI - (F1 - F2)'!$R74,'Schedule C'!$A$34:$A$313,0),14)," ")</f>
        <v xml:space="preserve"> </v>
      </c>
      <c r="E74" s="1126" t="str">
        <f>IFERROR(VLOOKUP($D74,dropdowns!$J$3:$Q$16,8,0)," ")</f>
        <v xml:space="preserve"> </v>
      </c>
      <c r="F74" s="1126" t="str">
        <f>IFERROR(INDEX('Schedule C'!$A$34:$BA$313,MATCH('EI - (F1 - F2)'!$R74,'Schedule C'!$A$34:$A$313,0),2)," ")</f>
        <v xml:space="preserve"> </v>
      </c>
      <c r="G74" s="1126" t="str">
        <f>IFERROR(INDEX('Schedule C'!$A$34:$BA$313,MATCH('EI - (F1 - F2)'!$R74,'Schedule C'!$A$34:$A$313,0),38)," ")</f>
        <v xml:space="preserve"> </v>
      </c>
      <c r="H74" s="1127" t="str">
        <f>IFERROR(INDEX('Schedule C'!$A$34:$BA$313,MATCH('EI - (F1 - F2)'!$R74,'Schedule C'!$A$34:$A$313,0),39)," ")</f>
        <v xml:space="preserve"> </v>
      </c>
      <c r="I74" s="1129" t="str">
        <f t="shared" si="6"/>
        <v xml:space="preserve"> </v>
      </c>
      <c r="J74" s="1129" t="str">
        <f t="shared" si="6"/>
        <v xml:space="preserve"> </v>
      </c>
      <c r="K74" s="1129" t="str">
        <f t="shared" si="6"/>
        <v xml:space="preserve"> </v>
      </c>
      <c r="L74" s="1129" t="str">
        <f t="shared" si="6"/>
        <v xml:space="preserve"> </v>
      </c>
      <c r="M74" s="1129" t="str">
        <f t="shared" si="6"/>
        <v xml:space="preserve"> </v>
      </c>
      <c r="N74" s="1129" t="str">
        <f t="shared" si="6"/>
        <v xml:space="preserve"> </v>
      </c>
      <c r="O74" s="1129" t="str">
        <f t="shared" si="7"/>
        <v xml:space="preserve"> </v>
      </c>
      <c r="P74" s="1130" t="str">
        <f t="shared" si="8"/>
        <v xml:space="preserve"> </v>
      </c>
      <c r="Q74" s="1131" t="str">
        <f t="shared" si="9"/>
        <v xml:space="preserve"> </v>
      </c>
      <c r="R74" s="1118">
        <f>IF('Schedule C'!AM102&gt;='EI - (F1 - F2)'!J$3,IF('Schedule C'!AM102&lt;='EI - (F1 - F2)'!K$3,'Schedule C'!A102,0),0)</f>
        <v>0</v>
      </c>
    </row>
    <row r="75" spans="1:18" ht="15">
      <c r="A75" s="1125">
        <f t="shared" si="1"/>
        <v>68</v>
      </c>
      <c r="B75" s="1126">
        <v>1</v>
      </c>
      <c r="C75" s="1126" t="str">
        <f>IFERROR(VLOOKUP(D75,dropdowns!$J$3:$Q$16,7,0)," ")</f>
        <v xml:space="preserve"> </v>
      </c>
      <c r="D75" s="1126" t="str">
        <f>IFERROR(INDEX('Schedule C'!$A$34:$BA$313,MATCH('EI - (F1 - F2)'!$R75,'Schedule C'!$A$34:$A$313,0),14)," ")</f>
        <v xml:space="preserve"> </v>
      </c>
      <c r="E75" s="1126" t="str">
        <f>IFERROR(VLOOKUP($D75,dropdowns!$J$3:$Q$16,8,0)," ")</f>
        <v xml:space="preserve"> </v>
      </c>
      <c r="F75" s="1126" t="str">
        <f>IFERROR(INDEX('Schedule C'!$A$34:$BA$313,MATCH('EI - (F1 - F2)'!$R75,'Schedule C'!$A$34:$A$313,0),2)," ")</f>
        <v xml:space="preserve"> </v>
      </c>
      <c r="G75" s="1126" t="str">
        <f>IFERROR(INDEX('Schedule C'!$A$34:$BA$313,MATCH('EI - (F1 - F2)'!$R75,'Schedule C'!$A$34:$A$313,0),38)," ")</f>
        <v xml:space="preserve"> </v>
      </c>
      <c r="H75" s="1127" t="str">
        <f>IFERROR(INDEX('Schedule C'!$A$34:$BA$313,MATCH('EI - (F1 - F2)'!$R75,'Schedule C'!$A$34:$A$313,0),39)," ")</f>
        <v xml:space="preserve"> </v>
      </c>
      <c r="I75" s="1129" t="str">
        <f t="shared" si="6"/>
        <v xml:space="preserve"> </v>
      </c>
      <c r="J75" s="1129" t="str">
        <f t="shared" si="6"/>
        <v xml:space="preserve"> </v>
      </c>
      <c r="K75" s="1129" t="str">
        <f t="shared" si="6"/>
        <v xml:space="preserve"> </v>
      </c>
      <c r="L75" s="1129" t="str">
        <f t="shared" si="6"/>
        <v xml:space="preserve"> </v>
      </c>
      <c r="M75" s="1129" t="str">
        <f t="shared" si="6"/>
        <v xml:space="preserve"> </v>
      </c>
      <c r="N75" s="1129" t="str">
        <f t="shared" si="6"/>
        <v xml:space="preserve"> </v>
      </c>
      <c r="O75" s="1129" t="str">
        <f t="shared" si="7"/>
        <v xml:space="preserve"> </v>
      </c>
      <c r="P75" s="1130" t="str">
        <f t="shared" si="8"/>
        <v xml:space="preserve"> </v>
      </c>
      <c r="Q75" s="1131" t="str">
        <f t="shared" si="9"/>
        <v xml:space="preserve"> </v>
      </c>
      <c r="R75" s="1118">
        <f>IF('Schedule C'!AM103&gt;='EI - (F1 - F2)'!J$3,IF('Schedule C'!AM103&lt;='EI - (F1 - F2)'!K$3,'Schedule C'!A103,0),0)</f>
        <v>0</v>
      </c>
    </row>
    <row r="76" spans="1:18" ht="15">
      <c r="A76" s="1125">
        <f t="shared" si="1"/>
        <v>69</v>
      </c>
      <c r="B76" s="1126">
        <v>1</v>
      </c>
      <c r="C76" s="1126" t="str">
        <f>IFERROR(VLOOKUP(D76,dropdowns!$J$3:$Q$16,7,0)," ")</f>
        <v xml:space="preserve"> </v>
      </c>
      <c r="D76" s="1126" t="str">
        <f>IFERROR(INDEX('Schedule C'!$A$34:$BA$313,MATCH('EI - (F1 - F2)'!$R76,'Schedule C'!$A$34:$A$313,0),14)," ")</f>
        <v xml:space="preserve"> </v>
      </c>
      <c r="E76" s="1126" t="str">
        <f>IFERROR(VLOOKUP($D76,dropdowns!$J$3:$Q$16,8,0)," ")</f>
        <v xml:space="preserve"> </v>
      </c>
      <c r="F76" s="1126" t="str">
        <f>IFERROR(INDEX('Schedule C'!$A$34:$BA$313,MATCH('EI - (F1 - F2)'!$R76,'Schedule C'!$A$34:$A$313,0),2)," ")</f>
        <v xml:space="preserve"> </v>
      </c>
      <c r="G76" s="1126" t="str">
        <f>IFERROR(INDEX('Schedule C'!$A$34:$BA$313,MATCH('EI - (F1 - F2)'!$R76,'Schedule C'!$A$34:$A$313,0),38)," ")</f>
        <v xml:space="preserve"> </v>
      </c>
      <c r="H76" s="1127" t="str">
        <f>IFERROR(INDEX('Schedule C'!$A$34:$BA$313,MATCH('EI - (F1 - F2)'!$R76,'Schedule C'!$A$34:$A$313,0),39)," ")</f>
        <v xml:space="preserve"> </v>
      </c>
      <c r="I76" s="1129" t="str">
        <f t="shared" si="6"/>
        <v xml:space="preserve"> </v>
      </c>
      <c r="J76" s="1129" t="str">
        <f t="shared" si="6"/>
        <v xml:space="preserve"> </v>
      </c>
      <c r="K76" s="1129" t="str">
        <f t="shared" si="6"/>
        <v xml:space="preserve"> </v>
      </c>
      <c r="L76" s="1129" t="str">
        <f t="shared" si="6"/>
        <v xml:space="preserve"> </v>
      </c>
      <c r="M76" s="1129" t="str">
        <f t="shared" si="6"/>
        <v xml:space="preserve"> </v>
      </c>
      <c r="N76" s="1129" t="str">
        <f t="shared" si="6"/>
        <v xml:space="preserve"> </v>
      </c>
      <c r="O76" s="1129" t="str">
        <f t="shared" si="7"/>
        <v xml:space="preserve"> </v>
      </c>
      <c r="P76" s="1130" t="str">
        <f t="shared" si="8"/>
        <v xml:space="preserve"> </v>
      </c>
      <c r="Q76" s="1131" t="str">
        <f t="shared" si="9"/>
        <v xml:space="preserve"> </v>
      </c>
      <c r="R76" s="1118">
        <f>IF('Schedule C'!AM104&gt;='EI - (F1 - F2)'!J$3,IF('Schedule C'!AM104&lt;='EI - (F1 - F2)'!K$3,'Schedule C'!A104,0),0)</f>
        <v>0</v>
      </c>
    </row>
    <row r="77" spans="1:18" ht="15">
      <c r="A77" s="1125">
        <f t="shared" si="1"/>
        <v>70</v>
      </c>
      <c r="B77" s="1126">
        <v>1</v>
      </c>
      <c r="C77" s="1126" t="str">
        <f>IFERROR(VLOOKUP(D77,dropdowns!$J$3:$Q$16,7,0)," ")</f>
        <v xml:space="preserve"> </v>
      </c>
      <c r="D77" s="1126" t="str">
        <f>IFERROR(INDEX('Schedule C'!$A$34:$BA$313,MATCH('EI - (F1 - F2)'!$R77,'Schedule C'!$A$34:$A$313,0),14)," ")</f>
        <v xml:space="preserve"> </v>
      </c>
      <c r="E77" s="1126" t="str">
        <f>IFERROR(VLOOKUP($D77,dropdowns!$J$3:$Q$16,8,0)," ")</f>
        <v xml:space="preserve"> </v>
      </c>
      <c r="F77" s="1126" t="str">
        <f>IFERROR(INDEX('Schedule C'!$A$34:$BA$313,MATCH('EI - (F1 - F2)'!$R77,'Schedule C'!$A$34:$A$313,0),2)," ")</f>
        <v xml:space="preserve"> </v>
      </c>
      <c r="G77" s="1126" t="str">
        <f>IFERROR(INDEX('Schedule C'!$A$34:$BA$313,MATCH('EI - (F1 - F2)'!$R77,'Schedule C'!$A$34:$A$313,0),38)," ")</f>
        <v xml:space="preserve"> </v>
      </c>
      <c r="H77" s="1127" t="str">
        <f>IFERROR(INDEX('Schedule C'!$A$34:$BA$313,MATCH('EI - (F1 - F2)'!$R77,'Schedule C'!$A$34:$A$313,0),39)," ")</f>
        <v xml:space="preserve"> </v>
      </c>
      <c r="I77" s="1129" t="str">
        <f t="shared" si="6"/>
        <v xml:space="preserve"> </v>
      </c>
      <c r="J77" s="1129" t="str">
        <f t="shared" si="6"/>
        <v xml:space="preserve"> </v>
      </c>
      <c r="K77" s="1129" t="str">
        <f t="shared" si="6"/>
        <v xml:space="preserve"> </v>
      </c>
      <c r="L77" s="1129" t="str">
        <f t="shared" si="6"/>
        <v xml:space="preserve"> </v>
      </c>
      <c r="M77" s="1129" t="str">
        <f t="shared" si="6"/>
        <v xml:space="preserve"> </v>
      </c>
      <c r="N77" s="1129" t="str">
        <f t="shared" si="6"/>
        <v xml:space="preserve"> </v>
      </c>
      <c r="O77" s="1129" t="str">
        <f t="shared" si="7"/>
        <v xml:space="preserve"> </v>
      </c>
      <c r="P77" s="1130" t="str">
        <f t="shared" si="8"/>
        <v xml:space="preserve"> </v>
      </c>
      <c r="Q77" s="1131" t="str">
        <f t="shared" si="9"/>
        <v xml:space="preserve"> </v>
      </c>
      <c r="R77" s="1118">
        <f>IF('Schedule C'!AM105&gt;='EI - (F1 - F2)'!J$3,IF('Schedule C'!AM105&lt;='EI - (F1 - F2)'!K$3,'Schedule C'!A105,0),0)</f>
        <v>0</v>
      </c>
    </row>
    <row r="78" spans="1:18" ht="15">
      <c r="A78" s="1125">
        <f t="shared" si="1"/>
        <v>71</v>
      </c>
      <c r="B78" s="1126">
        <v>1</v>
      </c>
      <c r="C78" s="1126" t="str">
        <f>IFERROR(VLOOKUP(D78,dropdowns!$J$3:$Q$16,7,0)," ")</f>
        <v xml:space="preserve"> </v>
      </c>
      <c r="D78" s="1126" t="str">
        <f>IFERROR(INDEX('Schedule C'!$A$34:$BA$313,MATCH('EI - (F1 - F2)'!$R78,'Schedule C'!$A$34:$A$313,0),14)," ")</f>
        <v xml:space="preserve"> </v>
      </c>
      <c r="E78" s="1126" t="str">
        <f>IFERROR(VLOOKUP($D78,dropdowns!$J$3:$Q$16,8,0)," ")</f>
        <v xml:space="preserve"> </v>
      </c>
      <c r="F78" s="1126" t="str">
        <f>IFERROR(INDEX('Schedule C'!$A$34:$BA$313,MATCH('EI - (F1 - F2)'!$R78,'Schedule C'!$A$34:$A$313,0),2)," ")</f>
        <v xml:space="preserve"> </v>
      </c>
      <c r="G78" s="1126" t="str">
        <f>IFERROR(INDEX('Schedule C'!$A$34:$BA$313,MATCH('EI - (F1 - F2)'!$R78,'Schedule C'!$A$34:$A$313,0),38)," ")</f>
        <v xml:space="preserve"> </v>
      </c>
      <c r="H78" s="1127" t="str">
        <f>IFERROR(INDEX('Schedule C'!$A$34:$BA$313,MATCH('EI - (F1 - F2)'!$R78,'Schedule C'!$A$34:$A$313,0),39)," ")</f>
        <v xml:space="preserve"> </v>
      </c>
      <c r="I78" s="1129" t="str">
        <f t="shared" si="6"/>
        <v xml:space="preserve"> </v>
      </c>
      <c r="J78" s="1129" t="str">
        <f t="shared" si="6"/>
        <v xml:space="preserve"> </v>
      </c>
      <c r="K78" s="1129" t="str">
        <f t="shared" si="6"/>
        <v xml:space="preserve"> </v>
      </c>
      <c r="L78" s="1129" t="str">
        <f t="shared" si="6"/>
        <v xml:space="preserve"> </v>
      </c>
      <c r="M78" s="1129" t="str">
        <f t="shared" si="6"/>
        <v xml:space="preserve"> </v>
      </c>
      <c r="N78" s="1129" t="str">
        <f t="shared" si="6"/>
        <v xml:space="preserve"> </v>
      </c>
      <c r="O78" s="1129" t="str">
        <f t="shared" si="7"/>
        <v xml:space="preserve"> </v>
      </c>
      <c r="P78" s="1130" t="str">
        <f t="shared" si="8"/>
        <v xml:space="preserve"> </v>
      </c>
      <c r="Q78" s="1131" t="str">
        <f t="shared" si="9"/>
        <v xml:space="preserve"> </v>
      </c>
      <c r="R78" s="1118">
        <f>IF('Schedule C'!AM106&gt;='EI - (F1 - F2)'!J$3,IF('Schedule C'!AM106&lt;='EI - (F1 - F2)'!K$3,'Schedule C'!A106,0),0)</f>
        <v>0</v>
      </c>
    </row>
    <row r="79" spans="1:18" ht="15">
      <c r="A79" s="1125">
        <f t="shared" si="1"/>
        <v>72</v>
      </c>
      <c r="B79" s="1126">
        <v>1</v>
      </c>
      <c r="C79" s="1126" t="str">
        <f>IFERROR(VLOOKUP(D79,dropdowns!$J$3:$Q$16,7,0)," ")</f>
        <v xml:space="preserve"> </v>
      </c>
      <c r="D79" s="1126" t="str">
        <f>IFERROR(INDEX('Schedule C'!$A$34:$BA$313,MATCH('EI - (F1 - F2)'!$R79,'Schedule C'!$A$34:$A$313,0),14)," ")</f>
        <v xml:space="preserve"> </v>
      </c>
      <c r="E79" s="1126" t="str">
        <f>IFERROR(VLOOKUP($D79,dropdowns!$J$3:$Q$16,8,0)," ")</f>
        <v xml:space="preserve"> </v>
      </c>
      <c r="F79" s="1126" t="str">
        <f>IFERROR(INDEX('Schedule C'!$A$34:$BA$313,MATCH('EI - (F1 - F2)'!$R79,'Schedule C'!$A$34:$A$313,0),2)," ")</f>
        <v xml:space="preserve"> </v>
      </c>
      <c r="G79" s="1126" t="str">
        <f>IFERROR(INDEX('Schedule C'!$A$34:$BA$313,MATCH('EI - (F1 - F2)'!$R79,'Schedule C'!$A$34:$A$313,0),38)," ")</f>
        <v xml:space="preserve"> </v>
      </c>
      <c r="H79" s="1127" t="str">
        <f>IFERROR(INDEX('Schedule C'!$A$34:$BA$313,MATCH('EI - (F1 - F2)'!$R79,'Schedule C'!$A$34:$A$313,0),39)," ")</f>
        <v xml:space="preserve"> </v>
      </c>
      <c r="I79" s="1129" t="str">
        <f t="shared" si="6"/>
        <v xml:space="preserve"> </v>
      </c>
      <c r="J79" s="1129" t="str">
        <f t="shared" si="6"/>
        <v xml:space="preserve"> </v>
      </c>
      <c r="K79" s="1129" t="str">
        <f t="shared" si="6"/>
        <v xml:space="preserve"> </v>
      </c>
      <c r="L79" s="1129" t="str">
        <f t="shared" si="6"/>
        <v xml:space="preserve"> </v>
      </c>
      <c r="M79" s="1129" t="str">
        <f t="shared" si="6"/>
        <v xml:space="preserve"> </v>
      </c>
      <c r="N79" s="1129" t="str">
        <f t="shared" si="6"/>
        <v xml:space="preserve"> </v>
      </c>
      <c r="O79" s="1129" t="str">
        <f t="shared" si="7"/>
        <v xml:space="preserve"> </v>
      </c>
      <c r="P79" s="1130" t="str">
        <f t="shared" si="8"/>
        <v xml:space="preserve"> </v>
      </c>
      <c r="Q79" s="1131" t="str">
        <f t="shared" si="9"/>
        <v xml:space="preserve"> </v>
      </c>
      <c r="R79" s="1118">
        <f>IF('Schedule C'!AM107&gt;='EI - (F1 - F2)'!J$3,IF('Schedule C'!AM107&lt;='EI - (F1 - F2)'!K$3,'Schedule C'!A107,0),0)</f>
        <v>0</v>
      </c>
    </row>
    <row r="80" spans="1:18" ht="15">
      <c r="A80" s="1125">
        <f t="shared" si="1"/>
        <v>73</v>
      </c>
      <c r="B80" s="1126">
        <v>1</v>
      </c>
      <c r="C80" s="1126" t="str">
        <f>IFERROR(VLOOKUP(D80,dropdowns!$J$3:$Q$16,7,0)," ")</f>
        <v xml:space="preserve"> </v>
      </c>
      <c r="D80" s="1126" t="str">
        <f>IFERROR(INDEX('Schedule C'!$A$34:$BA$313,MATCH('EI - (F1 - F2)'!$R80,'Schedule C'!$A$34:$A$313,0),14)," ")</f>
        <v xml:space="preserve"> </v>
      </c>
      <c r="E80" s="1126" t="str">
        <f>IFERROR(VLOOKUP($D80,dropdowns!$J$3:$Q$16,8,0)," ")</f>
        <v xml:space="preserve"> </v>
      </c>
      <c r="F80" s="1126" t="str">
        <f>IFERROR(INDEX('Schedule C'!$A$34:$BA$313,MATCH('EI - (F1 - F2)'!$R80,'Schedule C'!$A$34:$A$313,0),2)," ")</f>
        <v xml:space="preserve"> </v>
      </c>
      <c r="G80" s="1126" t="str">
        <f>IFERROR(INDEX('Schedule C'!$A$34:$BA$313,MATCH('EI - (F1 - F2)'!$R80,'Schedule C'!$A$34:$A$313,0),38)," ")</f>
        <v xml:space="preserve"> </v>
      </c>
      <c r="H80" s="1127" t="str">
        <f>IFERROR(INDEX('Schedule C'!$A$34:$BA$313,MATCH('EI - (F1 - F2)'!$R80,'Schedule C'!$A$34:$A$313,0),39)," ")</f>
        <v xml:space="preserve"> </v>
      </c>
      <c r="I80" s="1129" t="str">
        <f t="shared" si="6"/>
        <v xml:space="preserve"> </v>
      </c>
      <c r="J80" s="1129" t="str">
        <f t="shared" si="6"/>
        <v xml:space="preserve"> </v>
      </c>
      <c r="K80" s="1129" t="str">
        <f t="shared" si="6"/>
        <v xml:space="preserve"> </v>
      </c>
      <c r="L80" s="1129" t="str">
        <f t="shared" si="6"/>
        <v xml:space="preserve"> </v>
      </c>
      <c r="M80" s="1129" t="str">
        <f t="shared" si="6"/>
        <v xml:space="preserve"> </v>
      </c>
      <c r="N80" s="1129" t="str">
        <f t="shared" si="6"/>
        <v xml:space="preserve"> </v>
      </c>
      <c r="O80" s="1129" t="str">
        <f t="shared" si="7"/>
        <v xml:space="preserve"> </v>
      </c>
      <c r="P80" s="1130" t="str">
        <f t="shared" si="8"/>
        <v xml:space="preserve"> </v>
      </c>
      <c r="Q80" s="1131" t="str">
        <f t="shared" si="9"/>
        <v xml:space="preserve"> </v>
      </c>
      <c r="R80" s="1118">
        <f>IF('Schedule C'!AM108&gt;='EI - (F1 - F2)'!J$3,IF('Schedule C'!AM108&lt;='EI - (F1 - F2)'!K$3,'Schedule C'!A108,0),0)</f>
        <v>0</v>
      </c>
    </row>
    <row r="81" spans="1:18" ht="15">
      <c r="A81" s="1125">
        <f t="shared" si="1"/>
        <v>74</v>
      </c>
      <c r="B81" s="1126">
        <v>1</v>
      </c>
      <c r="C81" s="1126" t="str">
        <f>IFERROR(VLOOKUP(D81,dropdowns!$J$3:$Q$16,7,0)," ")</f>
        <v xml:space="preserve"> </v>
      </c>
      <c r="D81" s="1126" t="str">
        <f>IFERROR(INDEX('Schedule C'!$A$34:$BA$313,MATCH('EI - (F1 - F2)'!$R81,'Schedule C'!$A$34:$A$313,0),14)," ")</f>
        <v xml:space="preserve"> </v>
      </c>
      <c r="E81" s="1126" t="str">
        <f>IFERROR(VLOOKUP($D81,dropdowns!$J$3:$Q$16,8,0)," ")</f>
        <v xml:space="preserve"> </v>
      </c>
      <c r="F81" s="1126" t="str">
        <f>IFERROR(INDEX('Schedule C'!$A$34:$BA$313,MATCH('EI - (F1 - F2)'!$R81,'Schedule C'!$A$34:$A$313,0),2)," ")</f>
        <v xml:space="preserve"> </v>
      </c>
      <c r="G81" s="1126" t="str">
        <f>IFERROR(INDEX('Schedule C'!$A$34:$BA$313,MATCH('EI - (F1 - F2)'!$R81,'Schedule C'!$A$34:$A$313,0),38)," ")</f>
        <v xml:space="preserve"> </v>
      </c>
      <c r="H81" s="1127" t="str">
        <f>IFERROR(INDEX('Schedule C'!$A$34:$BA$313,MATCH('EI - (F1 - F2)'!$R81,'Schedule C'!$A$34:$A$313,0),39)," ")</f>
        <v xml:space="preserve"> </v>
      </c>
      <c r="I81" s="1129" t="str">
        <f t="shared" si="6"/>
        <v xml:space="preserve"> </v>
      </c>
      <c r="J81" s="1129" t="str">
        <f t="shared" si="6"/>
        <v xml:space="preserve"> </v>
      </c>
      <c r="K81" s="1129" t="str">
        <f t="shared" si="6"/>
        <v xml:space="preserve"> </v>
      </c>
      <c r="L81" s="1129" t="str">
        <f t="shared" si="6"/>
        <v xml:space="preserve"> </v>
      </c>
      <c r="M81" s="1129" t="str">
        <f t="shared" si="6"/>
        <v xml:space="preserve"> </v>
      </c>
      <c r="N81" s="1129" t="str">
        <f t="shared" si="6"/>
        <v xml:space="preserve"> </v>
      </c>
      <c r="O81" s="1129" t="str">
        <f t="shared" si="7"/>
        <v xml:space="preserve"> </v>
      </c>
      <c r="P81" s="1130" t="str">
        <f t="shared" si="8"/>
        <v xml:space="preserve"> </v>
      </c>
      <c r="Q81" s="1131" t="str">
        <f t="shared" si="9"/>
        <v xml:space="preserve"> </v>
      </c>
      <c r="R81" s="1118">
        <f>IF('Schedule C'!AM109&gt;='EI - (F1 - F2)'!J$3,IF('Schedule C'!AM109&lt;='EI - (F1 - F2)'!K$3,'Schedule C'!A109,0),0)</f>
        <v>0</v>
      </c>
    </row>
    <row r="82" spans="1:18" ht="15">
      <c r="A82" s="1125">
        <f t="shared" si="1"/>
        <v>75</v>
      </c>
      <c r="B82" s="1126">
        <v>1</v>
      </c>
      <c r="C82" s="1126" t="str">
        <f>IFERROR(VLOOKUP(D82,dropdowns!$J$3:$Q$16,7,0)," ")</f>
        <v xml:space="preserve"> </v>
      </c>
      <c r="D82" s="1126" t="str">
        <f>IFERROR(INDEX('Schedule C'!$A$34:$BA$313,MATCH('EI - (F1 - F2)'!$R82,'Schedule C'!$A$34:$A$313,0),14)," ")</f>
        <v xml:space="preserve"> </v>
      </c>
      <c r="E82" s="1126" t="str">
        <f>IFERROR(VLOOKUP($D82,dropdowns!$J$3:$Q$16,8,0)," ")</f>
        <v xml:space="preserve"> </v>
      </c>
      <c r="F82" s="1126" t="str">
        <f>IFERROR(INDEX('Schedule C'!$A$34:$BA$313,MATCH('EI - (F1 - F2)'!$R82,'Schedule C'!$A$34:$A$313,0),2)," ")</f>
        <v xml:space="preserve"> </v>
      </c>
      <c r="G82" s="1126" t="str">
        <f>IFERROR(INDEX('Schedule C'!$A$34:$BA$313,MATCH('EI - (F1 - F2)'!$R82,'Schedule C'!$A$34:$A$313,0),38)," ")</f>
        <v xml:space="preserve"> </v>
      </c>
      <c r="H82" s="1127" t="str">
        <f>IFERROR(INDEX('Schedule C'!$A$34:$BA$313,MATCH('EI - (F1 - F2)'!$R82,'Schedule C'!$A$34:$A$313,0),39)," ")</f>
        <v xml:space="preserve"> </v>
      </c>
      <c r="I82" s="1129" t="str">
        <f t="shared" si="6"/>
        <v xml:space="preserve"> </v>
      </c>
      <c r="J82" s="1129" t="str">
        <f t="shared" si="6"/>
        <v xml:space="preserve"> </v>
      </c>
      <c r="K82" s="1129" t="str">
        <f t="shared" si="6"/>
        <v xml:space="preserve"> </v>
      </c>
      <c r="L82" s="1129" t="str">
        <f t="shared" si="6"/>
        <v xml:space="preserve"> </v>
      </c>
      <c r="M82" s="1129" t="str">
        <f t="shared" si="6"/>
        <v xml:space="preserve"> </v>
      </c>
      <c r="N82" s="1129" t="str">
        <f t="shared" si="6"/>
        <v xml:space="preserve"> </v>
      </c>
      <c r="O82" s="1129" t="str">
        <f t="shared" si="7"/>
        <v xml:space="preserve"> </v>
      </c>
      <c r="P82" s="1130" t="str">
        <f t="shared" si="8"/>
        <v xml:space="preserve"> </v>
      </c>
      <c r="Q82" s="1131" t="str">
        <f t="shared" si="9"/>
        <v xml:space="preserve"> </v>
      </c>
      <c r="R82" s="1118">
        <f>IF('Schedule C'!AM110&gt;='EI - (F1 - F2)'!J$3,IF('Schedule C'!AM110&lt;='EI - (F1 - F2)'!K$3,'Schedule C'!A110,0),0)</f>
        <v>0</v>
      </c>
    </row>
    <row r="83" spans="1:18" ht="15">
      <c r="A83" s="1125">
        <f t="shared" si="1"/>
        <v>76</v>
      </c>
      <c r="B83" s="1126">
        <v>1</v>
      </c>
      <c r="C83" s="1126" t="str">
        <f>IFERROR(VLOOKUP(D83,dropdowns!$J$3:$Q$16,7,0)," ")</f>
        <v xml:space="preserve"> </v>
      </c>
      <c r="D83" s="1126" t="str">
        <f>IFERROR(INDEX('Schedule C'!$A$34:$BA$313,MATCH('EI - (F1 - F2)'!$R83,'Schedule C'!$A$34:$A$313,0),14)," ")</f>
        <v xml:space="preserve"> </v>
      </c>
      <c r="E83" s="1126" t="str">
        <f>IFERROR(VLOOKUP($D83,dropdowns!$J$3:$Q$16,8,0)," ")</f>
        <v xml:space="preserve"> </v>
      </c>
      <c r="F83" s="1126" t="str">
        <f>IFERROR(INDEX('Schedule C'!$A$34:$BA$313,MATCH('EI - (F1 - F2)'!$R83,'Schedule C'!$A$34:$A$313,0),2)," ")</f>
        <v xml:space="preserve"> </v>
      </c>
      <c r="G83" s="1126" t="str">
        <f>IFERROR(INDEX('Schedule C'!$A$34:$BA$313,MATCH('EI - (F1 - F2)'!$R83,'Schedule C'!$A$34:$A$313,0),38)," ")</f>
        <v xml:space="preserve"> </v>
      </c>
      <c r="H83" s="1127" t="str">
        <f>IFERROR(INDEX('Schedule C'!$A$34:$BA$313,MATCH('EI - (F1 - F2)'!$R83,'Schedule C'!$A$34:$A$313,0),39)," ")</f>
        <v xml:space="preserve"> </v>
      </c>
      <c r="I83" s="1129" t="str">
        <f t="shared" si="6"/>
        <v xml:space="preserve"> </v>
      </c>
      <c r="J83" s="1129" t="str">
        <f t="shared" si="6"/>
        <v xml:space="preserve"> </v>
      </c>
      <c r="K83" s="1129" t="str">
        <f t="shared" si="6"/>
        <v xml:space="preserve"> </v>
      </c>
      <c r="L83" s="1129" t="str">
        <f t="shared" si="6"/>
        <v xml:space="preserve"> </v>
      </c>
      <c r="M83" s="1129" t="str">
        <f t="shared" si="6"/>
        <v xml:space="preserve"> </v>
      </c>
      <c r="N83" s="1129" t="str">
        <f t="shared" si="6"/>
        <v xml:space="preserve"> </v>
      </c>
      <c r="O83" s="1129" t="str">
        <f t="shared" si="7"/>
        <v xml:space="preserve"> </v>
      </c>
      <c r="P83" s="1130" t="str">
        <f t="shared" si="8"/>
        <v xml:space="preserve"> </v>
      </c>
      <c r="Q83" s="1131" t="str">
        <f t="shared" si="9"/>
        <v xml:space="preserve"> </v>
      </c>
      <c r="R83" s="1118">
        <f>IF('Schedule C'!AM111&gt;='EI - (F1 - F2)'!J$3,IF('Schedule C'!AM111&lt;='EI - (F1 - F2)'!K$3,'Schedule C'!A111,0),0)</f>
        <v>0</v>
      </c>
    </row>
    <row r="84" spans="1:18" ht="15">
      <c r="A84" s="1125">
        <f t="shared" si="1"/>
        <v>77</v>
      </c>
      <c r="B84" s="1126">
        <v>1</v>
      </c>
      <c r="C84" s="1126" t="str">
        <f>IFERROR(VLOOKUP(D84,dropdowns!$J$3:$Q$16,7,0)," ")</f>
        <v xml:space="preserve"> </v>
      </c>
      <c r="D84" s="1126" t="str">
        <f>IFERROR(INDEX('Schedule C'!$A$34:$BA$313,MATCH('EI - (F1 - F2)'!$R84,'Schedule C'!$A$34:$A$313,0),14)," ")</f>
        <v xml:space="preserve"> </v>
      </c>
      <c r="E84" s="1126" t="str">
        <f>IFERROR(VLOOKUP($D84,dropdowns!$J$3:$Q$16,8,0)," ")</f>
        <v xml:space="preserve"> </v>
      </c>
      <c r="F84" s="1126" t="str">
        <f>IFERROR(INDEX('Schedule C'!$A$34:$BA$313,MATCH('EI - (F1 - F2)'!$R84,'Schedule C'!$A$34:$A$313,0),2)," ")</f>
        <v xml:space="preserve"> </v>
      </c>
      <c r="G84" s="1126" t="str">
        <f>IFERROR(INDEX('Schedule C'!$A$34:$BA$313,MATCH('EI - (F1 - F2)'!$R84,'Schedule C'!$A$34:$A$313,0),38)," ")</f>
        <v xml:space="preserve"> </v>
      </c>
      <c r="H84" s="1127" t="str">
        <f>IFERROR(INDEX('Schedule C'!$A$34:$BA$313,MATCH('EI - (F1 - F2)'!$R84,'Schedule C'!$A$34:$A$313,0),39)," ")</f>
        <v xml:space="preserve"> </v>
      </c>
      <c r="I84" s="1129" t="str">
        <f t="shared" si="6"/>
        <v xml:space="preserve"> </v>
      </c>
      <c r="J84" s="1129" t="str">
        <f t="shared" si="6"/>
        <v xml:space="preserve"> </v>
      </c>
      <c r="K84" s="1129" t="str">
        <f t="shared" si="6"/>
        <v xml:space="preserve"> </v>
      </c>
      <c r="L84" s="1129" t="str">
        <f t="shared" si="6"/>
        <v xml:space="preserve"> </v>
      </c>
      <c r="M84" s="1129" t="str">
        <f t="shared" si="6"/>
        <v xml:space="preserve"> </v>
      </c>
      <c r="N84" s="1129" t="str">
        <f t="shared" si="6"/>
        <v xml:space="preserve"> </v>
      </c>
      <c r="O84" s="1129" t="str">
        <f t="shared" si="7"/>
        <v xml:space="preserve"> </v>
      </c>
      <c r="P84" s="1130" t="str">
        <f t="shared" si="8"/>
        <v xml:space="preserve"> </v>
      </c>
      <c r="Q84" s="1131" t="str">
        <f t="shared" si="9"/>
        <v xml:space="preserve"> </v>
      </c>
      <c r="R84" s="1118">
        <f>IF('Schedule C'!AM112&gt;='EI - (F1 - F2)'!J$3,IF('Schedule C'!AM112&lt;='EI - (F1 - F2)'!K$3,'Schedule C'!A112,0),0)</f>
        <v>0</v>
      </c>
    </row>
    <row r="85" spans="1:18" ht="15">
      <c r="A85" s="1125">
        <f t="shared" si="1"/>
        <v>78</v>
      </c>
      <c r="B85" s="1126">
        <v>1</v>
      </c>
      <c r="C85" s="1126" t="str">
        <f>IFERROR(VLOOKUP(D85,dropdowns!$J$3:$Q$16,7,0)," ")</f>
        <v xml:space="preserve"> </v>
      </c>
      <c r="D85" s="1126" t="str">
        <f>IFERROR(INDEX('Schedule C'!$A$34:$BA$313,MATCH('EI - (F1 - F2)'!$R85,'Schedule C'!$A$34:$A$313,0),14)," ")</f>
        <v xml:space="preserve"> </v>
      </c>
      <c r="E85" s="1126" t="str">
        <f>IFERROR(VLOOKUP($D85,dropdowns!$J$3:$Q$16,8,0)," ")</f>
        <v xml:space="preserve"> </v>
      </c>
      <c r="F85" s="1126" t="str">
        <f>IFERROR(INDEX('Schedule C'!$A$34:$BA$313,MATCH('EI - (F1 - F2)'!$R85,'Schedule C'!$A$34:$A$313,0),2)," ")</f>
        <v xml:space="preserve"> </v>
      </c>
      <c r="G85" s="1126" t="str">
        <f>IFERROR(INDEX('Schedule C'!$A$34:$BA$313,MATCH('EI - (F1 - F2)'!$R85,'Schedule C'!$A$34:$A$313,0),38)," ")</f>
        <v xml:space="preserve"> </v>
      </c>
      <c r="H85" s="1127" t="str">
        <f>IFERROR(INDEX('Schedule C'!$A$34:$BA$313,MATCH('EI - (F1 - F2)'!$R85,'Schedule C'!$A$34:$A$313,0),39)," ")</f>
        <v xml:space="preserve"> </v>
      </c>
      <c r="I85" s="1129" t="str">
        <f t="shared" si="6"/>
        <v xml:space="preserve"> </v>
      </c>
      <c r="J85" s="1129" t="str">
        <f t="shared" si="6"/>
        <v xml:space="preserve"> </v>
      </c>
      <c r="K85" s="1129" t="str">
        <f t="shared" si="6"/>
        <v xml:space="preserve"> </v>
      </c>
      <c r="L85" s="1129" t="str">
        <f t="shared" si="6"/>
        <v xml:space="preserve"> </v>
      </c>
      <c r="M85" s="1129" t="str">
        <f t="shared" si="6"/>
        <v xml:space="preserve"> </v>
      </c>
      <c r="N85" s="1129" t="str">
        <f t="shared" si="6"/>
        <v xml:space="preserve"> </v>
      </c>
      <c r="O85" s="1129" t="str">
        <f t="shared" si="7"/>
        <v xml:space="preserve"> </v>
      </c>
      <c r="P85" s="1130" t="str">
        <f t="shared" si="8"/>
        <v xml:space="preserve"> </v>
      </c>
      <c r="Q85" s="1131" t="str">
        <f t="shared" si="9"/>
        <v xml:space="preserve"> </v>
      </c>
      <c r="R85" s="1118">
        <f>IF('Schedule C'!AM113&gt;='EI - (F1 - F2)'!J$3,IF('Schedule C'!AM113&lt;='EI - (F1 - F2)'!K$3,'Schedule C'!A113,0),0)</f>
        <v>0</v>
      </c>
    </row>
    <row r="86" spans="1:18" ht="15">
      <c r="A86" s="1125">
        <f t="shared" si="1"/>
        <v>79</v>
      </c>
      <c r="B86" s="1126">
        <v>1</v>
      </c>
      <c r="C86" s="1126" t="str">
        <f>IFERROR(VLOOKUP(D86,dropdowns!$J$3:$Q$16,7,0)," ")</f>
        <v xml:space="preserve"> </v>
      </c>
      <c r="D86" s="1126" t="str">
        <f>IFERROR(INDEX('Schedule C'!$A$34:$BA$313,MATCH('EI - (F1 - F2)'!$R86,'Schedule C'!$A$34:$A$313,0),14)," ")</f>
        <v xml:space="preserve"> </v>
      </c>
      <c r="E86" s="1126" t="str">
        <f>IFERROR(VLOOKUP($D86,dropdowns!$J$3:$Q$16,8,0)," ")</f>
        <v xml:space="preserve"> </v>
      </c>
      <c r="F86" s="1126" t="str">
        <f>IFERROR(INDEX('Schedule C'!$A$34:$BA$313,MATCH('EI - (F1 - F2)'!$R86,'Schedule C'!$A$34:$A$313,0),2)," ")</f>
        <v xml:space="preserve"> </v>
      </c>
      <c r="G86" s="1126" t="str">
        <f>IFERROR(INDEX('Schedule C'!$A$34:$BA$313,MATCH('EI - (F1 - F2)'!$R86,'Schedule C'!$A$34:$A$313,0),38)," ")</f>
        <v xml:space="preserve"> </v>
      </c>
      <c r="H86" s="1127" t="str">
        <f>IFERROR(INDEX('Schedule C'!$A$34:$BA$313,MATCH('EI - (F1 - F2)'!$R86,'Schedule C'!$A$34:$A$313,0),39)," ")</f>
        <v xml:space="preserve"> </v>
      </c>
      <c r="I86" s="1129" t="str">
        <f t="shared" si="6"/>
        <v xml:space="preserve"> </v>
      </c>
      <c r="J86" s="1129" t="str">
        <f t="shared" si="6"/>
        <v xml:space="preserve"> </v>
      </c>
      <c r="K86" s="1129" t="str">
        <f t="shared" si="6"/>
        <v xml:space="preserve"> </v>
      </c>
      <c r="L86" s="1129" t="str">
        <f t="shared" si="6"/>
        <v xml:space="preserve"> </v>
      </c>
      <c r="M86" s="1129" t="str">
        <f t="shared" si="6"/>
        <v xml:space="preserve"> </v>
      </c>
      <c r="N86" s="1129" t="str">
        <f t="shared" si="6"/>
        <v xml:space="preserve"> </v>
      </c>
      <c r="O86" s="1129" t="str">
        <f t="shared" si="7"/>
        <v xml:space="preserve"> </v>
      </c>
      <c r="P86" s="1130" t="str">
        <f t="shared" si="8"/>
        <v xml:space="preserve"> </v>
      </c>
      <c r="Q86" s="1131" t="str">
        <f t="shared" si="9"/>
        <v xml:space="preserve"> </v>
      </c>
      <c r="R86" s="1118">
        <f>IF('Schedule C'!AM114&gt;='EI - (F1 - F2)'!J$3,IF('Schedule C'!AM114&lt;='EI - (F1 - F2)'!K$3,'Schedule C'!A114,0),0)</f>
        <v>0</v>
      </c>
    </row>
    <row r="87" spans="1:18" ht="15">
      <c r="A87" s="1125">
        <f t="shared" si="1"/>
        <v>80</v>
      </c>
      <c r="B87" s="1126">
        <v>1</v>
      </c>
      <c r="C87" s="1126" t="str">
        <f>IFERROR(VLOOKUP(D87,dropdowns!$J$3:$Q$16,7,0)," ")</f>
        <v xml:space="preserve"> </v>
      </c>
      <c r="D87" s="1126" t="str">
        <f>IFERROR(INDEX('Schedule C'!$A$34:$BA$313,MATCH('EI - (F1 - F2)'!$R87,'Schedule C'!$A$34:$A$313,0),14)," ")</f>
        <v xml:space="preserve"> </v>
      </c>
      <c r="E87" s="1126" t="str">
        <f>IFERROR(VLOOKUP($D87,dropdowns!$J$3:$Q$16,8,0)," ")</f>
        <v xml:space="preserve"> </v>
      </c>
      <c r="F87" s="1126" t="str">
        <f>IFERROR(INDEX('Schedule C'!$A$34:$BA$313,MATCH('EI - (F1 - F2)'!$R87,'Schedule C'!$A$34:$A$313,0),2)," ")</f>
        <v xml:space="preserve"> </v>
      </c>
      <c r="G87" s="1126" t="str">
        <f>IFERROR(INDEX('Schedule C'!$A$34:$BA$313,MATCH('EI - (F1 - F2)'!$R87,'Schedule C'!$A$34:$A$313,0),38)," ")</f>
        <v xml:space="preserve"> </v>
      </c>
      <c r="H87" s="1127" t="str">
        <f>IFERROR(INDEX('Schedule C'!$A$34:$BA$313,MATCH('EI - (F1 - F2)'!$R87,'Schedule C'!$A$34:$A$313,0),39)," ")</f>
        <v xml:space="preserve"> </v>
      </c>
      <c r="I87" s="1129" t="str">
        <f t="shared" si="6"/>
        <v xml:space="preserve"> </v>
      </c>
      <c r="J87" s="1129" t="str">
        <f t="shared" si="6"/>
        <v xml:space="preserve"> </v>
      </c>
      <c r="K87" s="1129" t="str">
        <f t="shared" si="6"/>
        <v xml:space="preserve"> </v>
      </c>
      <c r="L87" s="1129" t="str">
        <f t="shared" si="6"/>
        <v xml:space="preserve"> </v>
      </c>
      <c r="M87" s="1129" t="str">
        <f t="shared" si="6"/>
        <v xml:space="preserve"> </v>
      </c>
      <c r="N87" s="1129" t="str">
        <f t="shared" si="6"/>
        <v xml:space="preserve"> </v>
      </c>
      <c r="O87" s="1129" t="str">
        <f t="shared" si="7"/>
        <v xml:space="preserve"> </v>
      </c>
      <c r="P87" s="1130" t="str">
        <f t="shared" si="8"/>
        <v xml:space="preserve"> </v>
      </c>
      <c r="Q87" s="1131" t="str">
        <f t="shared" si="9"/>
        <v xml:space="preserve"> </v>
      </c>
      <c r="R87" s="1118">
        <f>IF('Schedule C'!AM115&gt;='EI - (F1 - F2)'!J$3,IF('Schedule C'!AM115&lt;='EI - (F1 - F2)'!K$3,'Schedule C'!A115,0),0)</f>
        <v>0</v>
      </c>
    </row>
    <row r="88" spans="1:18" ht="15">
      <c r="A88" s="1125">
        <f t="shared" si="1"/>
        <v>81</v>
      </c>
      <c r="B88" s="1126">
        <v>1</v>
      </c>
      <c r="C88" s="1126" t="str">
        <f>IFERROR(VLOOKUP(D88,dropdowns!$J$3:$Q$16,7,0)," ")</f>
        <v xml:space="preserve"> </v>
      </c>
      <c r="D88" s="1126" t="str">
        <f>IFERROR(INDEX('Schedule C'!$A$34:$BA$313,MATCH('EI - (F1 - F2)'!$R88,'Schedule C'!$A$34:$A$313,0),14)," ")</f>
        <v xml:space="preserve"> </v>
      </c>
      <c r="E88" s="1126" t="str">
        <f>IFERROR(VLOOKUP($D88,dropdowns!$J$3:$Q$16,8,0)," ")</f>
        <v xml:space="preserve"> </v>
      </c>
      <c r="F88" s="1126" t="str">
        <f>IFERROR(INDEX('Schedule C'!$A$34:$BA$313,MATCH('EI - (F1 - F2)'!$R88,'Schedule C'!$A$34:$A$313,0),2)," ")</f>
        <v xml:space="preserve"> </v>
      </c>
      <c r="G88" s="1126" t="str">
        <f>IFERROR(INDEX('Schedule C'!$A$34:$BA$313,MATCH('EI - (F1 - F2)'!$R88,'Schedule C'!$A$34:$A$313,0),38)," ")</f>
        <v xml:space="preserve"> </v>
      </c>
      <c r="H88" s="1127" t="str">
        <f>IFERROR(INDEX('Schedule C'!$A$34:$BA$313,MATCH('EI - (F1 - F2)'!$R88,'Schedule C'!$A$34:$A$313,0),39)," ")</f>
        <v xml:space="preserve"> </v>
      </c>
      <c r="I88" s="1129" t="str">
        <f t="shared" si="6"/>
        <v xml:space="preserve"> </v>
      </c>
      <c r="J88" s="1129" t="str">
        <f t="shared" si="6"/>
        <v xml:space="preserve"> </v>
      </c>
      <c r="K88" s="1129" t="str">
        <f t="shared" si="6"/>
        <v xml:space="preserve"> </v>
      </c>
      <c r="L88" s="1129" t="str">
        <f t="shared" si="6"/>
        <v xml:space="preserve"> </v>
      </c>
      <c r="M88" s="1129" t="str">
        <f t="shared" si="6"/>
        <v xml:space="preserve"> </v>
      </c>
      <c r="N88" s="1129" t="str">
        <f t="shared" si="6"/>
        <v xml:space="preserve"> </v>
      </c>
      <c r="O88" s="1129" t="str">
        <f t="shared" si="7"/>
        <v xml:space="preserve"> </v>
      </c>
      <c r="P88" s="1130" t="str">
        <f t="shared" si="8"/>
        <v xml:space="preserve"> </v>
      </c>
      <c r="Q88" s="1131" t="str">
        <f t="shared" si="9"/>
        <v xml:space="preserve"> </v>
      </c>
      <c r="R88" s="1118">
        <f>IF('Schedule C'!AM313&gt;='EI - (F1 - F2)'!J$3,IF('Schedule C'!AM313&lt;='EI - (F1 - F2)'!K$3,'Schedule C'!A313,0),0)</f>
        <v>0</v>
      </c>
    </row>
    <row r="89" spans="1:18" ht="15">
      <c r="A89" s="1125">
        <f t="shared" si="1"/>
        <v>82</v>
      </c>
      <c r="B89" s="1126">
        <v>1</v>
      </c>
      <c r="C89" s="1126" t="str">
        <f>IFERROR(VLOOKUP(D89,dropdowns!$J$3:$Q$16,7,0)," ")</f>
        <v xml:space="preserve"> </v>
      </c>
      <c r="D89" s="1126" t="str">
        <f>IFERROR(INDEX('Schedule C'!$A$34:$BA$313,MATCH('EI - (F1 - F2)'!$R89,'Schedule C'!$A$34:$A$313,0),14)," ")</f>
        <v xml:space="preserve"> </v>
      </c>
      <c r="E89" s="1126" t="str">
        <f>IFERROR(VLOOKUP($D89,dropdowns!$J$3:$Q$16,8,0)," ")</f>
        <v xml:space="preserve"> </v>
      </c>
      <c r="F89" s="1126" t="str">
        <f>IFERROR(INDEX('Schedule C'!$A$34:$BA$313,MATCH('EI - (F1 - F2)'!$R89,'Schedule C'!$A$34:$A$313,0),2)," ")</f>
        <v xml:space="preserve"> </v>
      </c>
      <c r="G89" s="1126" t="str">
        <f>IFERROR(INDEX('Schedule C'!$A$34:$BA$313,MATCH('EI - (F1 - F2)'!$R89,'Schedule C'!$A$34:$A$313,0),38)," ")</f>
        <v xml:space="preserve"> </v>
      </c>
      <c r="H89" s="1127" t="str">
        <f>IFERROR(INDEX('Schedule C'!$A$34:$BA$313,MATCH('EI - (F1 - F2)'!$R89,'Schedule C'!$A$34:$A$313,0),39)," ")</f>
        <v xml:space="preserve"> </v>
      </c>
      <c r="I89" s="1129" t="str">
        <f t="shared" si="6"/>
        <v xml:space="preserve"> </v>
      </c>
      <c r="J89" s="1129" t="str">
        <f t="shared" si="6"/>
        <v xml:space="preserve"> </v>
      </c>
      <c r="K89" s="1129" t="str">
        <f t="shared" si="6"/>
        <v xml:space="preserve"> </v>
      </c>
      <c r="L89" s="1129" t="str">
        <f t="shared" si="6"/>
        <v xml:space="preserve"> </v>
      </c>
      <c r="M89" s="1129" t="str">
        <f t="shared" si="6"/>
        <v xml:space="preserve"> </v>
      </c>
      <c r="N89" s="1129" t="str">
        <f t="shared" si="6"/>
        <v xml:space="preserve"> </v>
      </c>
      <c r="O89" s="1129" t="str">
        <f t="shared" si="7"/>
        <v xml:space="preserve"> </v>
      </c>
      <c r="P89" s="1130" t="str">
        <f t="shared" si="8"/>
        <v xml:space="preserve"> </v>
      </c>
      <c r="Q89" s="1131" t="str">
        <f t="shared" si="9"/>
        <v xml:space="preserve"> </v>
      </c>
      <c r="R89" s="1118">
        <f>IF('Schedule C'!AM369&gt;='EI - (F1 - F2)'!J$3,IF('Schedule C'!AM369&lt;='EI - (F1 - F2)'!K$3,'Schedule C'!A369,0),0)</f>
        <v>0</v>
      </c>
    </row>
    <row r="90" spans="1:18" ht="15">
      <c r="A90" s="1125">
        <f t="shared" si="1"/>
        <v>83</v>
      </c>
      <c r="B90" s="1126">
        <v>1</v>
      </c>
      <c r="C90" s="1126" t="str">
        <f>IFERROR(VLOOKUP(D90,dropdowns!$J$3:$Q$16,7,0)," ")</f>
        <v xml:space="preserve"> </v>
      </c>
      <c r="D90" s="1126" t="str">
        <f>IFERROR(INDEX('Schedule C'!$A$34:$BA$313,MATCH('EI - (F1 - F2)'!$R90,'Schedule C'!$A$34:$A$313,0),14)," ")</f>
        <v xml:space="preserve"> </v>
      </c>
      <c r="E90" s="1126" t="str">
        <f>IFERROR(VLOOKUP($D90,dropdowns!$J$3:$Q$16,8,0)," ")</f>
        <v xml:space="preserve"> </v>
      </c>
      <c r="F90" s="1126" t="str">
        <f>IFERROR(INDEX('Schedule C'!$A$34:$BA$313,MATCH('EI - (F1 - F2)'!$R90,'Schedule C'!$A$34:$A$313,0),2)," ")</f>
        <v xml:space="preserve"> </v>
      </c>
      <c r="G90" s="1126" t="str">
        <f>IFERROR(INDEX('Schedule C'!$A$34:$BA$313,MATCH('EI - (F1 - F2)'!$R90,'Schedule C'!$A$34:$A$313,0),38)," ")</f>
        <v xml:space="preserve"> </v>
      </c>
      <c r="H90" s="1127" t="str">
        <f>IFERROR(INDEX('Schedule C'!$A$34:$BA$313,MATCH('EI - (F1 - F2)'!$R90,'Schedule C'!$A$34:$A$313,0),39)," ")</f>
        <v xml:space="preserve"> </v>
      </c>
      <c r="I90" s="1129" t="str">
        <f t="shared" si="6"/>
        <v xml:space="preserve"> </v>
      </c>
      <c r="J90" s="1129" t="str">
        <f t="shared" si="6"/>
        <v xml:space="preserve"> </v>
      </c>
      <c r="K90" s="1129" t="str">
        <f t="shared" si="6"/>
        <v xml:space="preserve"> </v>
      </c>
      <c r="L90" s="1129" t="str">
        <f t="shared" si="6"/>
        <v xml:space="preserve"> </v>
      </c>
      <c r="M90" s="1129" t="str">
        <f t="shared" si="6"/>
        <v xml:space="preserve"> </v>
      </c>
      <c r="N90" s="1129" t="str">
        <f t="shared" si="6"/>
        <v xml:space="preserve"> </v>
      </c>
      <c r="O90" s="1129" t="str">
        <f t="shared" si="7"/>
        <v xml:space="preserve"> </v>
      </c>
      <c r="P90" s="1130" t="str">
        <f t="shared" si="8"/>
        <v xml:space="preserve"> </v>
      </c>
      <c r="Q90" s="1131" t="str">
        <f t="shared" si="9"/>
        <v xml:space="preserve"> </v>
      </c>
      <c r="R90" s="1118">
        <f>IF('Schedule C'!AM370&gt;='EI - (F1 - F2)'!J$3,IF('Schedule C'!AM370&lt;='EI - (F1 - F2)'!K$3,'Schedule C'!A370,0),0)</f>
        <v>0</v>
      </c>
    </row>
    <row r="91" spans="1:18" ht="15">
      <c r="A91" s="1125">
        <f t="shared" si="1"/>
        <v>84</v>
      </c>
      <c r="B91" s="1126">
        <v>1</v>
      </c>
      <c r="C91" s="1126" t="str">
        <f>IFERROR(VLOOKUP(D91,dropdowns!$J$3:$Q$16,7,0)," ")</f>
        <v xml:space="preserve"> </v>
      </c>
      <c r="D91" s="1126" t="str">
        <f>IFERROR(INDEX('Schedule C'!$A$34:$BA$313,MATCH('EI - (F1 - F2)'!$R91,'Schedule C'!$A$34:$A$313,0),14)," ")</f>
        <v xml:space="preserve"> </v>
      </c>
      <c r="E91" s="1126" t="str">
        <f>IFERROR(VLOOKUP($D91,dropdowns!$J$3:$Q$16,8,0)," ")</f>
        <v xml:space="preserve"> </v>
      </c>
      <c r="F91" s="1126" t="str">
        <f>IFERROR(INDEX('Schedule C'!$A$34:$BA$313,MATCH('EI - (F1 - F2)'!$R91,'Schedule C'!$A$34:$A$313,0),2)," ")</f>
        <v xml:space="preserve"> </v>
      </c>
      <c r="G91" s="1126" t="str">
        <f>IFERROR(INDEX('Schedule C'!$A$34:$BA$313,MATCH('EI - (F1 - F2)'!$R91,'Schedule C'!$A$34:$A$313,0),38)," ")</f>
        <v xml:space="preserve"> </v>
      </c>
      <c r="H91" s="1127" t="str">
        <f>IFERROR(INDEX('Schedule C'!$A$34:$BA$313,MATCH('EI - (F1 - F2)'!$R91,'Schedule C'!$A$34:$A$313,0),39)," ")</f>
        <v xml:space="preserve"> </v>
      </c>
      <c r="I91" s="1129" t="str">
        <f t="shared" si="6"/>
        <v xml:space="preserve"> </v>
      </c>
      <c r="J91" s="1129" t="str">
        <f t="shared" si="6"/>
        <v xml:space="preserve"> </v>
      </c>
      <c r="K91" s="1129" t="str">
        <f t="shared" si="6"/>
        <v xml:space="preserve"> </v>
      </c>
      <c r="L91" s="1129" t="str">
        <f t="shared" si="6"/>
        <v xml:space="preserve"> </v>
      </c>
      <c r="M91" s="1129" t="str">
        <f t="shared" si="6"/>
        <v xml:space="preserve"> </v>
      </c>
      <c r="N91" s="1129" t="str">
        <f t="shared" si="6"/>
        <v xml:space="preserve"> </v>
      </c>
      <c r="O91" s="1129" t="str">
        <f t="shared" si="7"/>
        <v xml:space="preserve"> </v>
      </c>
      <c r="P91" s="1130" t="str">
        <f t="shared" si="8"/>
        <v xml:space="preserve"> </v>
      </c>
      <c r="Q91" s="1131" t="str">
        <f t="shared" si="9"/>
        <v xml:space="preserve"> </v>
      </c>
      <c r="R91" s="1118">
        <f>IF('Schedule C'!AM372&gt;='EI - (F1 - F2)'!J$3,IF('Schedule C'!AM372&lt;='EI - (F1 - F2)'!K$3,'Schedule C'!A372,0),0)</f>
        <v>0</v>
      </c>
    </row>
    <row r="92" spans="1:18" ht="15">
      <c r="A92" s="1125">
        <f t="shared" si="1"/>
        <v>85</v>
      </c>
      <c r="B92" s="1126">
        <v>1</v>
      </c>
      <c r="C92" s="1126" t="str">
        <f>IFERROR(VLOOKUP(D92,dropdowns!$J$3:$Q$16,7,0)," ")</f>
        <v xml:space="preserve"> </v>
      </c>
      <c r="D92" s="1126" t="str">
        <f>IFERROR(INDEX('Schedule C'!$A$34:$BA$313,MATCH('EI - (F1 - F2)'!$R92,'Schedule C'!$A$34:$A$313,0),14)," ")</f>
        <v xml:space="preserve"> </v>
      </c>
      <c r="E92" s="1126" t="str">
        <f>IFERROR(VLOOKUP($D92,dropdowns!$J$3:$Q$16,8,0)," ")</f>
        <v xml:space="preserve"> </v>
      </c>
      <c r="F92" s="1126" t="str">
        <f>IFERROR(INDEX('Schedule C'!$A$34:$BA$313,MATCH('EI - (F1 - F2)'!$R92,'Schedule C'!$A$34:$A$313,0),2)," ")</f>
        <v xml:space="preserve"> </v>
      </c>
      <c r="G92" s="1126" t="str">
        <f>IFERROR(INDEX('Schedule C'!$A$34:$BA$313,MATCH('EI - (F1 - F2)'!$R92,'Schedule C'!$A$34:$A$313,0),38)," ")</f>
        <v xml:space="preserve"> </v>
      </c>
      <c r="H92" s="1127" t="str">
        <f>IFERROR(INDEX('Schedule C'!$A$34:$BA$313,MATCH('EI - (F1 - F2)'!$R92,'Schedule C'!$A$34:$A$313,0),39)," ")</f>
        <v xml:space="preserve"> </v>
      </c>
      <c r="I92" s="1129" t="str">
        <f t="shared" si="6"/>
        <v xml:space="preserve"> </v>
      </c>
      <c r="J92" s="1129" t="str">
        <f t="shared" si="6"/>
        <v xml:space="preserve"> </v>
      </c>
      <c r="K92" s="1129" t="str">
        <f t="shared" si="6"/>
        <v xml:space="preserve"> </v>
      </c>
      <c r="L92" s="1129" t="str">
        <f t="shared" si="6"/>
        <v xml:space="preserve"> </v>
      </c>
      <c r="M92" s="1129" t="str">
        <f t="shared" si="6"/>
        <v xml:space="preserve"> </v>
      </c>
      <c r="N92" s="1129" t="str">
        <f t="shared" si="6"/>
        <v xml:space="preserve"> </v>
      </c>
      <c r="O92" s="1129" t="str">
        <f t="shared" si="7"/>
        <v xml:space="preserve"> </v>
      </c>
      <c r="P92" s="1130" t="str">
        <f t="shared" si="8"/>
        <v xml:space="preserve"> </v>
      </c>
      <c r="Q92" s="1131" t="str">
        <f t="shared" si="9"/>
        <v xml:space="preserve"> </v>
      </c>
      <c r="R92" s="1118">
        <f>IF('Schedule C'!AM373&gt;='EI - (F1 - F2)'!J$3,IF('Schedule C'!AM373&lt;='EI - (F1 - F2)'!K$3,'Schedule C'!A373,0),0)</f>
        <v>0</v>
      </c>
    </row>
    <row r="93" spans="1:18" ht="15">
      <c r="A93" s="1125">
        <f t="shared" si="1"/>
        <v>86</v>
      </c>
      <c r="B93" s="1126">
        <v>1</v>
      </c>
      <c r="C93" s="1126" t="str">
        <f>IFERROR(VLOOKUP(D93,dropdowns!$J$3:$Q$16,7,0)," ")</f>
        <v xml:space="preserve"> </v>
      </c>
      <c r="D93" s="1126" t="str">
        <f>IFERROR(INDEX('Schedule C'!$A$34:$BA$313,MATCH('EI - (F1 - F2)'!$R93,'Schedule C'!$A$34:$A$313,0),14)," ")</f>
        <v xml:space="preserve"> </v>
      </c>
      <c r="E93" s="1126" t="str">
        <f>IFERROR(VLOOKUP($D93,dropdowns!$J$3:$Q$16,8,0)," ")</f>
        <v xml:space="preserve"> </v>
      </c>
      <c r="F93" s="1126" t="str">
        <f>IFERROR(INDEX('Schedule C'!$A$34:$BA$313,MATCH('EI - (F1 - F2)'!$R93,'Schedule C'!$A$34:$A$313,0),2)," ")</f>
        <v xml:space="preserve"> </v>
      </c>
      <c r="G93" s="1126" t="str">
        <f>IFERROR(INDEX('Schedule C'!$A$34:$BA$313,MATCH('EI - (F1 - F2)'!$R93,'Schedule C'!$A$34:$A$313,0),38)," ")</f>
        <v xml:space="preserve"> </v>
      </c>
      <c r="H93" s="1127" t="str">
        <f>IFERROR(INDEX('Schedule C'!$A$34:$BA$313,MATCH('EI - (F1 - F2)'!$R93,'Schedule C'!$A$34:$A$313,0),39)," ")</f>
        <v xml:space="preserve"> </v>
      </c>
      <c r="I93" s="1129" t="str">
        <f t="shared" si="6"/>
        <v xml:space="preserve"> </v>
      </c>
      <c r="J93" s="1129" t="str">
        <f t="shared" si="6"/>
        <v xml:space="preserve"> </v>
      </c>
      <c r="K93" s="1129" t="str">
        <f t="shared" si="6"/>
        <v xml:space="preserve"> </v>
      </c>
      <c r="L93" s="1129" t="str">
        <f t="shared" si="6"/>
        <v xml:space="preserve"> </v>
      </c>
      <c r="M93" s="1129" t="str">
        <f t="shared" si="6"/>
        <v xml:space="preserve"> </v>
      </c>
      <c r="N93" s="1129" t="str">
        <f t="shared" si="6"/>
        <v xml:space="preserve"> </v>
      </c>
      <c r="O93" s="1129" t="str">
        <f t="shared" si="7"/>
        <v xml:space="preserve"> </v>
      </c>
      <c r="P93" s="1130" t="str">
        <f t="shared" si="8"/>
        <v xml:space="preserve"> </v>
      </c>
      <c r="Q93" s="1131" t="str">
        <f t="shared" si="9"/>
        <v xml:space="preserve"> </v>
      </c>
      <c r="R93" s="1118">
        <f>IF('Schedule C'!AM374&gt;='EI - (F1 - F2)'!J$3,IF('Schedule C'!AM374&lt;='EI - (F1 - F2)'!K$3,'Schedule C'!A374,0),0)</f>
        <v>0</v>
      </c>
    </row>
    <row r="94" spans="1:18" ht="15">
      <c r="A94" s="1125">
        <f t="shared" si="1"/>
        <v>87</v>
      </c>
      <c r="B94" s="1126">
        <v>1</v>
      </c>
      <c r="C94" s="1126" t="str">
        <f>IFERROR(VLOOKUP(D94,dropdowns!$J$3:$Q$16,7,0)," ")</f>
        <v xml:space="preserve"> </v>
      </c>
      <c r="D94" s="1126" t="str">
        <f>IFERROR(INDEX('Schedule C'!$A$34:$BA$313,MATCH('EI - (F1 - F2)'!$R94,'Schedule C'!$A$34:$A$313,0),14)," ")</f>
        <v xml:space="preserve"> </v>
      </c>
      <c r="E94" s="1126" t="str">
        <f>IFERROR(VLOOKUP($D94,dropdowns!$J$3:$Q$16,8,0)," ")</f>
        <v xml:space="preserve"> </v>
      </c>
      <c r="F94" s="1126" t="str">
        <f>IFERROR(INDEX('Schedule C'!$A$34:$BA$313,MATCH('EI - (F1 - F2)'!$R94,'Schedule C'!$A$34:$A$313,0),2)," ")</f>
        <v xml:space="preserve"> </v>
      </c>
      <c r="G94" s="1126" t="str">
        <f>IFERROR(INDEX('Schedule C'!$A$34:$BA$313,MATCH('EI - (F1 - F2)'!$R94,'Schedule C'!$A$34:$A$313,0),38)," ")</f>
        <v xml:space="preserve"> </v>
      </c>
      <c r="H94" s="1127" t="str">
        <f>IFERROR(INDEX('Schedule C'!$A$34:$BA$313,MATCH('EI - (F1 - F2)'!$R94,'Schedule C'!$A$34:$A$313,0),39)," ")</f>
        <v xml:space="preserve"> </v>
      </c>
      <c r="I94" s="1129" t="str">
        <f t="shared" si="6"/>
        <v xml:space="preserve"> </v>
      </c>
      <c r="J94" s="1129" t="str">
        <f t="shared" si="6"/>
        <v xml:space="preserve"> </v>
      </c>
      <c r="K94" s="1129" t="str">
        <f t="shared" si="6"/>
        <v xml:space="preserve"> </v>
      </c>
      <c r="L94" s="1129" t="str">
        <f t="shared" si="6"/>
        <v xml:space="preserve"> </v>
      </c>
      <c r="M94" s="1129" t="str">
        <f t="shared" si="6"/>
        <v xml:space="preserve"> </v>
      </c>
      <c r="N94" s="1129" t="str">
        <f t="shared" si="6"/>
        <v xml:space="preserve"> </v>
      </c>
      <c r="O94" s="1129" t="str">
        <f t="shared" si="7"/>
        <v xml:space="preserve"> </v>
      </c>
      <c r="P94" s="1130" t="str">
        <f t="shared" si="8"/>
        <v xml:space="preserve"> </v>
      </c>
      <c r="Q94" s="1131" t="str">
        <f t="shared" si="9"/>
        <v xml:space="preserve"> </v>
      </c>
      <c r="R94" s="1118">
        <f>IF('Schedule C'!AM375&gt;='EI - (F1 - F2)'!J$3,IF('Schedule C'!AM375&lt;='EI - (F1 - F2)'!K$3,'Schedule C'!A375,0),0)</f>
        <v>0</v>
      </c>
    </row>
    <row r="95" spans="1:18" ht="15">
      <c r="A95" s="1125">
        <f t="shared" si="1"/>
        <v>88</v>
      </c>
      <c r="B95" s="1126">
        <v>1</v>
      </c>
      <c r="C95" s="1126" t="str">
        <f>IFERROR(VLOOKUP(D95,dropdowns!$J$3:$Q$16,7,0)," ")</f>
        <v xml:space="preserve"> </v>
      </c>
      <c r="D95" s="1126" t="str">
        <f>IFERROR(INDEX('Schedule C'!$A$34:$BA$313,MATCH('EI - (F1 - F2)'!$R95,'Schedule C'!$A$34:$A$313,0),14)," ")</f>
        <v xml:space="preserve"> </v>
      </c>
      <c r="E95" s="1126" t="str">
        <f>IFERROR(VLOOKUP($D95,dropdowns!$J$3:$Q$16,8,0)," ")</f>
        <v xml:space="preserve"> </v>
      </c>
      <c r="F95" s="1126" t="str">
        <f>IFERROR(INDEX('Schedule C'!$A$34:$BA$313,MATCH('EI - (F1 - F2)'!$R95,'Schedule C'!$A$34:$A$313,0),2)," ")</f>
        <v xml:space="preserve"> </v>
      </c>
      <c r="G95" s="1126" t="str">
        <f>IFERROR(INDEX('Schedule C'!$A$34:$BA$313,MATCH('EI - (F1 - F2)'!$R95,'Schedule C'!$A$34:$A$313,0),38)," ")</f>
        <v xml:space="preserve"> </v>
      </c>
      <c r="H95" s="1127" t="str">
        <f>IFERROR(INDEX('Schedule C'!$A$34:$BA$313,MATCH('EI - (F1 - F2)'!$R95,'Schedule C'!$A$34:$A$313,0),39)," ")</f>
        <v xml:space="preserve"> </v>
      </c>
      <c r="I95" s="1129" t="str">
        <f t="shared" si="6"/>
        <v xml:space="preserve"> </v>
      </c>
      <c r="J95" s="1129" t="str">
        <f t="shared" si="6"/>
        <v xml:space="preserve"> </v>
      </c>
      <c r="K95" s="1129" t="str">
        <f t="shared" si="6"/>
        <v xml:space="preserve"> </v>
      </c>
      <c r="L95" s="1129" t="str">
        <f t="shared" si="6"/>
        <v xml:space="preserve"> </v>
      </c>
      <c r="M95" s="1129" t="str">
        <f t="shared" si="6"/>
        <v xml:space="preserve"> </v>
      </c>
      <c r="N95" s="1129" t="str">
        <f t="shared" si="6"/>
        <v xml:space="preserve"> </v>
      </c>
      <c r="O95" s="1129" t="str">
        <f t="shared" si="7"/>
        <v xml:space="preserve"> </v>
      </c>
      <c r="P95" s="1130" t="str">
        <f t="shared" si="8"/>
        <v xml:space="preserve"> </v>
      </c>
      <c r="Q95" s="1131" t="str">
        <f t="shared" si="9"/>
        <v xml:space="preserve"> </v>
      </c>
      <c r="R95" s="1118">
        <f>IF('Schedule C'!AM376&gt;='EI - (F1 - F2)'!J$3,IF('Schedule C'!AM376&lt;='EI - (F1 - F2)'!K$3,'Schedule C'!A376,0),0)</f>
        <v>0</v>
      </c>
    </row>
    <row r="96" spans="1:18" ht="15">
      <c r="A96" s="1125">
        <f t="shared" si="1"/>
        <v>89</v>
      </c>
      <c r="B96" s="1126">
        <v>1</v>
      </c>
      <c r="C96" s="1126" t="str">
        <f>IFERROR(VLOOKUP(D96,dropdowns!$J$3:$Q$16,7,0)," ")</f>
        <v xml:space="preserve"> </v>
      </c>
      <c r="D96" s="1126" t="str">
        <f>IFERROR(INDEX('Schedule C'!$A$34:$BA$313,MATCH('EI - (F1 - F2)'!$R96,'Schedule C'!$A$34:$A$313,0),14)," ")</f>
        <v xml:space="preserve"> </v>
      </c>
      <c r="E96" s="1126" t="str">
        <f>IFERROR(VLOOKUP($D96,dropdowns!$J$3:$Q$16,8,0)," ")</f>
        <v xml:space="preserve"> </v>
      </c>
      <c r="F96" s="1126" t="str">
        <f>IFERROR(INDEX('Schedule C'!$A$34:$BA$313,MATCH('EI - (F1 - F2)'!$R96,'Schedule C'!$A$34:$A$313,0),2)," ")</f>
        <v xml:space="preserve"> </v>
      </c>
      <c r="G96" s="1126" t="str">
        <f>IFERROR(INDEX('Schedule C'!$A$34:$BA$313,MATCH('EI - (F1 - F2)'!$R96,'Schedule C'!$A$34:$A$313,0),38)," ")</f>
        <v xml:space="preserve"> </v>
      </c>
      <c r="H96" s="1127" t="str">
        <f>IFERROR(INDEX('Schedule C'!$A$34:$BA$313,MATCH('EI - (F1 - F2)'!$R96,'Schedule C'!$A$34:$A$313,0),39)," ")</f>
        <v xml:space="preserve"> </v>
      </c>
      <c r="I96" s="1129" t="str">
        <f t="shared" si="6"/>
        <v xml:space="preserve"> </v>
      </c>
      <c r="J96" s="1129" t="str">
        <f t="shared" si="6"/>
        <v xml:space="preserve"> </v>
      </c>
      <c r="K96" s="1129" t="str">
        <f t="shared" si="6"/>
        <v xml:space="preserve"> </v>
      </c>
      <c r="L96" s="1129" t="str">
        <f t="shared" si="6"/>
        <v xml:space="preserve"> </v>
      </c>
      <c r="M96" s="1129" t="str">
        <f t="shared" si="6"/>
        <v xml:space="preserve"> </v>
      </c>
      <c r="N96" s="1129" t="str">
        <f t="shared" si="6"/>
        <v xml:space="preserve"> </v>
      </c>
      <c r="O96" s="1129" t="str">
        <f t="shared" si="7"/>
        <v xml:space="preserve"> </v>
      </c>
      <c r="P96" s="1130" t="str">
        <f t="shared" si="8"/>
        <v xml:space="preserve"> </v>
      </c>
      <c r="Q96" s="1131" t="str">
        <f t="shared" si="9"/>
        <v xml:space="preserve"> </v>
      </c>
      <c r="R96" s="1118">
        <f>IF('Schedule C'!AM377&gt;='EI - (F1 - F2)'!J$3,IF('Schedule C'!AM377&lt;='EI - (F1 - F2)'!K$3,'Schedule C'!A377,0),0)</f>
        <v>0</v>
      </c>
    </row>
    <row r="97" spans="1:18" ht="15">
      <c r="A97" s="1125">
        <f t="shared" si="1"/>
        <v>90</v>
      </c>
      <c r="B97" s="1126">
        <v>1</v>
      </c>
      <c r="C97" s="1126" t="str">
        <f>IFERROR(VLOOKUP(D97,dropdowns!$J$3:$Q$16,7,0)," ")</f>
        <v xml:space="preserve"> </v>
      </c>
      <c r="D97" s="1126" t="str">
        <f>IFERROR(INDEX('Schedule C'!$A$34:$BA$313,MATCH('EI - (F1 - F2)'!$R97,'Schedule C'!$A$34:$A$313,0),14)," ")</f>
        <v xml:space="preserve"> </v>
      </c>
      <c r="E97" s="1126" t="str">
        <f>IFERROR(VLOOKUP($D97,dropdowns!$J$3:$Q$16,8,0)," ")</f>
        <v xml:space="preserve"> </v>
      </c>
      <c r="F97" s="1126" t="str">
        <f>IFERROR(INDEX('Schedule C'!$A$34:$BA$313,MATCH('EI - (F1 - F2)'!$R97,'Schedule C'!$A$34:$A$313,0),2)," ")</f>
        <v xml:space="preserve"> </v>
      </c>
      <c r="G97" s="1126" t="str">
        <f>IFERROR(INDEX('Schedule C'!$A$34:$BA$313,MATCH('EI - (F1 - F2)'!$R97,'Schedule C'!$A$34:$A$313,0),38)," ")</f>
        <v xml:space="preserve"> </v>
      </c>
      <c r="H97" s="1127" t="str">
        <f>IFERROR(INDEX('Schedule C'!$A$34:$BA$313,MATCH('EI - (F1 - F2)'!$R97,'Schedule C'!$A$34:$A$313,0),39)," ")</f>
        <v xml:space="preserve"> </v>
      </c>
      <c r="I97" s="1129" t="str">
        <f t="shared" si="6"/>
        <v xml:space="preserve"> </v>
      </c>
      <c r="J97" s="1129" t="str">
        <f t="shared" si="6"/>
        <v xml:space="preserve"> </v>
      </c>
      <c r="K97" s="1129" t="str">
        <f t="shared" si="6"/>
        <v xml:space="preserve"> </v>
      </c>
      <c r="L97" s="1129" t="str">
        <f t="shared" si="6"/>
        <v xml:space="preserve"> </v>
      </c>
      <c r="M97" s="1129" t="str">
        <f t="shared" si="6"/>
        <v xml:space="preserve"> </v>
      </c>
      <c r="N97" s="1129" t="str">
        <f t="shared" si="6"/>
        <v xml:space="preserve"> </v>
      </c>
      <c r="O97" s="1129" t="str">
        <f t="shared" si="7"/>
        <v xml:space="preserve"> </v>
      </c>
      <c r="P97" s="1130" t="str">
        <f t="shared" si="8"/>
        <v xml:space="preserve"> </v>
      </c>
      <c r="Q97" s="1131" t="str">
        <f t="shared" si="9"/>
        <v xml:space="preserve"> </v>
      </c>
      <c r="R97" s="1118">
        <f>IF('Schedule C'!AM378&gt;='EI - (F1 - F2)'!J$3,IF('Schedule C'!AM378&lt;='EI - (F1 - F2)'!K$3,'Schedule C'!A378,0),0)</f>
        <v>0</v>
      </c>
    </row>
    <row r="98" spans="1:18" ht="15">
      <c r="A98" s="1125">
        <f t="shared" ref="A98:A187" si="10">ROW()-7</f>
        <v>91</v>
      </c>
      <c r="B98" s="1126">
        <v>1</v>
      </c>
      <c r="C98" s="1126" t="str">
        <f>IFERROR(VLOOKUP(D98,dropdowns!$J$3:$Q$16,7,0)," ")</f>
        <v xml:space="preserve"> </v>
      </c>
      <c r="D98" s="1126" t="str">
        <f>IFERROR(INDEX('Schedule C'!$A$34:$BA$313,MATCH('EI - (F1 - F2)'!$R98,'Schedule C'!$A$34:$A$313,0),14)," ")</f>
        <v xml:space="preserve"> </v>
      </c>
      <c r="E98" s="1126" t="str">
        <f>IFERROR(VLOOKUP($D98,dropdowns!$J$3:$Q$16,8,0)," ")</f>
        <v xml:space="preserve"> </v>
      </c>
      <c r="F98" s="1126" t="str">
        <f>IFERROR(INDEX('Schedule C'!$A$34:$BA$313,MATCH('EI - (F1 - F2)'!$R98,'Schedule C'!$A$34:$A$313,0),2)," ")</f>
        <v xml:space="preserve"> </v>
      </c>
      <c r="G98" s="1126" t="str">
        <f>IFERROR(INDEX('Schedule C'!$A$34:$BA$313,MATCH('EI - (F1 - F2)'!$R98,'Schedule C'!$A$34:$A$313,0),38)," ")</f>
        <v xml:space="preserve"> </v>
      </c>
      <c r="H98" s="1127" t="str">
        <f>IFERROR(INDEX('Schedule C'!$A$34:$BA$313,MATCH('EI - (F1 - F2)'!$R98,'Schedule C'!$A$34:$A$313,0),39)," ")</f>
        <v xml:space="preserve"> </v>
      </c>
      <c r="I98" s="1129" t="str">
        <f t="shared" si="6"/>
        <v xml:space="preserve"> </v>
      </c>
      <c r="J98" s="1129" t="str">
        <f t="shared" si="6"/>
        <v xml:space="preserve"> </v>
      </c>
      <c r="K98" s="1129" t="str">
        <f t="shared" si="6"/>
        <v xml:space="preserve"> </v>
      </c>
      <c r="L98" s="1129" t="str">
        <f t="shared" si="6"/>
        <v xml:space="preserve"> </v>
      </c>
      <c r="M98" s="1129" t="str">
        <f t="shared" si="6"/>
        <v xml:space="preserve"> </v>
      </c>
      <c r="N98" s="1129" t="str">
        <f t="shared" si="6"/>
        <v xml:space="preserve"> </v>
      </c>
      <c r="O98" s="1129" t="str">
        <f t="shared" si="7"/>
        <v xml:space="preserve"> </v>
      </c>
      <c r="P98" s="1130" t="str">
        <f t="shared" si="8"/>
        <v xml:space="preserve"> </v>
      </c>
      <c r="Q98" s="1131" t="str">
        <f t="shared" si="9"/>
        <v xml:space="preserve"> </v>
      </c>
      <c r="R98" s="1118">
        <f>IF('Schedule C'!AM379&gt;='EI - (F1 - F2)'!J$3,IF('Schedule C'!AM379&lt;='EI - (F1 - F2)'!K$3,'Schedule C'!A379,0),0)</f>
        <v>0</v>
      </c>
    </row>
    <row r="99" spans="1:18" ht="15">
      <c r="A99" s="1125">
        <f t="shared" si="10"/>
        <v>92</v>
      </c>
      <c r="B99" s="1126">
        <v>1</v>
      </c>
      <c r="C99" s="1126" t="str">
        <f>IFERROR(VLOOKUP(D99,dropdowns!$J$3:$Q$16,7,0)," ")</f>
        <v xml:space="preserve"> </v>
      </c>
      <c r="D99" s="1126" t="str">
        <f>IFERROR(INDEX('Schedule C'!$A$34:$BA$313,MATCH('EI - (F1 - F2)'!$R99,'Schedule C'!$A$34:$A$313,0),14)," ")</f>
        <v xml:space="preserve"> </v>
      </c>
      <c r="E99" s="1126" t="str">
        <f>IFERROR(VLOOKUP($D99,dropdowns!$J$3:$Q$16,8,0)," ")</f>
        <v xml:space="preserve"> </v>
      </c>
      <c r="F99" s="1126" t="str">
        <f>IFERROR(INDEX('Schedule C'!$A$34:$BA$313,MATCH('EI - (F1 - F2)'!$R99,'Schedule C'!$A$34:$A$313,0),2)," ")</f>
        <v xml:space="preserve"> </v>
      </c>
      <c r="G99" s="1126" t="str">
        <f>IFERROR(INDEX('Schedule C'!$A$34:$BA$313,MATCH('EI - (F1 - F2)'!$R99,'Schedule C'!$A$34:$A$313,0),38)," ")</f>
        <v xml:space="preserve"> </v>
      </c>
      <c r="H99" s="1127" t="str">
        <f>IFERROR(INDEX('Schedule C'!$A$34:$BA$313,MATCH('EI - (F1 - F2)'!$R99,'Schedule C'!$A$34:$A$313,0),39)," ")</f>
        <v xml:space="preserve"> </v>
      </c>
      <c r="I99" s="1129" t="str">
        <f t="shared" si="6"/>
        <v xml:space="preserve"> </v>
      </c>
      <c r="J99" s="1129" t="str">
        <f t="shared" si="6"/>
        <v xml:space="preserve"> </v>
      </c>
      <c r="K99" s="1129" t="str">
        <f t="shared" si="6"/>
        <v xml:space="preserve"> </v>
      </c>
      <c r="L99" s="1129" t="str">
        <f t="shared" si="6"/>
        <v xml:space="preserve"> </v>
      </c>
      <c r="M99" s="1129" t="str">
        <f t="shared" si="6"/>
        <v xml:space="preserve"> </v>
      </c>
      <c r="N99" s="1129" t="str">
        <f t="shared" si="6"/>
        <v xml:space="preserve"> </v>
      </c>
      <c r="O99" s="1129" t="str">
        <f t="shared" si="7"/>
        <v xml:space="preserve"> </v>
      </c>
      <c r="P99" s="1130" t="str">
        <f t="shared" si="8"/>
        <v xml:space="preserve"> </v>
      </c>
      <c r="Q99" s="1131" t="str">
        <f t="shared" si="9"/>
        <v xml:space="preserve"> </v>
      </c>
      <c r="R99" s="1118">
        <f>IF('Schedule C'!AM380&gt;='EI - (F1 - F2)'!J$3,IF('Schedule C'!AM380&lt;='EI - (F1 - F2)'!K$3,'Schedule C'!A380,0),0)</f>
        <v>0</v>
      </c>
    </row>
    <row r="100" spans="1:18" ht="15">
      <c r="A100" s="1125">
        <f t="shared" si="10"/>
        <v>93</v>
      </c>
      <c r="B100" s="1126">
        <v>1</v>
      </c>
      <c r="C100" s="1126" t="str">
        <f>IFERROR(VLOOKUP(D100,dropdowns!$J$3:$Q$16,7,0)," ")</f>
        <v xml:space="preserve"> </v>
      </c>
      <c r="D100" s="1126" t="str">
        <f>IFERROR(INDEX('Schedule C'!$A$34:$BA$313,MATCH('EI - (F1 - F2)'!$R100,'Schedule C'!$A$34:$A$313,0),14)," ")</f>
        <v xml:space="preserve"> </v>
      </c>
      <c r="E100" s="1126" t="str">
        <f>IFERROR(VLOOKUP($D100,dropdowns!$J$3:$Q$16,8,0)," ")</f>
        <v xml:space="preserve"> </v>
      </c>
      <c r="F100" s="1126" t="str">
        <f>IFERROR(INDEX('Schedule C'!$A$34:$BA$313,MATCH('EI - (F1 - F2)'!$R100,'Schedule C'!$A$34:$A$313,0),2)," ")</f>
        <v xml:space="preserve"> </v>
      </c>
      <c r="G100" s="1126" t="str">
        <f>IFERROR(INDEX('Schedule C'!$A$34:$BA$313,MATCH('EI - (F1 - F2)'!$R100,'Schedule C'!$A$34:$A$313,0),38)," ")</f>
        <v xml:space="preserve"> </v>
      </c>
      <c r="H100" s="1127" t="str">
        <f>IFERROR(INDEX('Schedule C'!$A$34:$BA$313,MATCH('EI - (F1 - F2)'!$R100,'Schedule C'!$A$34:$A$313,0),39)," ")</f>
        <v xml:space="preserve"> </v>
      </c>
      <c r="I100" s="1129" t="str">
        <f t="shared" si="6"/>
        <v xml:space="preserve"> </v>
      </c>
      <c r="J100" s="1129" t="str">
        <f t="shared" si="6"/>
        <v xml:space="preserve"> </v>
      </c>
      <c r="K100" s="1129" t="str">
        <f t="shared" si="6"/>
        <v xml:space="preserve"> </v>
      </c>
      <c r="L100" s="1129" t="str">
        <f t="shared" si="6"/>
        <v xml:space="preserve"> </v>
      </c>
      <c r="M100" s="1129" t="str">
        <f t="shared" si="6"/>
        <v xml:space="preserve"> </v>
      </c>
      <c r="N100" s="1129" t="str">
        <f t="shared" si="6"/>
        <v xml:space="preserve"> </v>
      </c>
      <c r="O100" s="1129" t="str">
        <f t="shared" si="7"/>
        <v xml:space="preserve"> </v>
      </c>
      <c r="P100" s="1130" t="str">
        <f t="shared" si="8"/>
        <v xml:space="preserve"> </v>
      </c>
      <c r="Q100" s="1131" t="str">
        <f t="shared" si="9"/>
        <v xml:space="preserve"> </v>
      </c>
      <c r="R100" s="1118">
        <f>IF('Schedule C'!AM381&gt;='EI - (F1 - F2)'!J$3,IF('Schedule C'!AM381&lt;='EI - (F1 - F2)'!K$3,'Schedule C'!A381,0),0)</f>
        <v>0</v>
      </c>
    </row>
    <row r="101" spans="1:18" ht="15">
      <c r="A101" s="1125">
        <f t="shared" si="10"/>
        <v>94</v>
      </c>
      <c r="B101" s="1126">
        <v>1</v>
      </c>
      <c r="C101" s="1126" t="str">
        <f>IFERROR(VLOOKUP(D101,dropdowns!$J$3:$Q$16,7,0)," ")</f>
        <v xml:space="preserve"> </v>
      </c>
      <c r="D101" s="1126" t="str">
        <f>IFERROR(INDEX('Schedule C'!$A$34:$BA$313,MATCH('EI - (F1 - F2)'!$R101,'Schedule C'!$A$34:$A$313,0),14)," ")</f>
        <v xml:space="preserve"> </v>
      </c>
      <c r="E101" s="1126" t="str">
        <f>IFERROR(VLOOKUP($D101,dropdowns!$J$3:$Q$16,8,0)," ")</f>
        <v xml:space="preserve"> </v>
      </c>
      <c r="F101" s="1126" t="str">
        <f>IFERROR(INDEX('Schedule C'!$A$34:$BA$313,MATCH('EI - (F1 - F2)'!$R101,'Schedule C'!$A$34:$A$313,0),2)," ")</f>
        <v xml:space="preserve"> </v>
      </c>
      <c r="G101" s="1126" t="str">
        <f>IFERROR(INDEX('Schedule C'!$A$34:$BA$313,MATCH('EI - (F1 - F2)'!$R101,'Schedule C'!$A$34:$A$313,0),38)," ")</f>
        <v xml:space="preserve"> </v>
      </c>
      <c r="H101" s="1127" t="str">
        <f>IFERROR(INDEX('Schedule C'!$A$34:$BA$313,MATCH('EI - (F1 - F2)'!$R101,'Schedule C'!$A$34:$A$313,0),39)," ")</f>
        <v xml:space="preserve"> </v>
      </c>
      <c r="I101" s="1129" t="str">
        <f t="shared" si="6"/>
        <v xml:space="preserve"> </v>
      </c>
      <c r="J101" s="1129" t="str">
        <f t="shared" si="6"/>
        <v xml:space="preserve"> </v>
      </c>
      <c r="K101" s="1129" t="str">
        <f t="shared" si="6"/>
        <v xml:space="preserve"> </v>
      </c>
      <c r="L101" s="1129" t="str">
        <f t="shared" si="6"/>
        <v xml:space="preserve"> </v>
      </c>
      <c r="M101" s="1129" t="str">
        <f t="shared" si="6"/>
        <v xml:space="preserve"> </v>
      </c>
      <c r="N101" s="1129" t="str">
        <f t="shared" si="6"/>
        <v xml:space="preserve"> </v>
      </c>
      <c r="O101" s="1129" t="str">
        <f t="shared" si="7"/>
        <v xml:space="preserve"> </v>
      </c>
      <c r="P101" s="1130" t="str">
        <f t="shared" si="8"/>
        <v xml:space="preserve"> </v>
      </c>
      <c r="Q101" s="1131" t="str">
        <f t="shared" si="9"/>
        <v xml:space="preserve"> </v>
      </c>
      <c r="R101" s="1118">
        <f>IF('Schedule C'!AM382&gt;='EI - (F1 - F2)'!J$3,IF('Schedule C'!AM382&lt;='EI - (F1 - F2)'!K$3,'Schedule C'!A382,0),0)</f>
        <v>0</v>
      </c>
    </row>
    <row r="102" spans="1:18" ht="15">
      <c r="A102" s="1125">
        <f t="shared" si="10"/>
        <v>95</v>
      </c>
      <c r="B102" s="1126">
        <v>1</v>
      </c>
      <c r="C102" s="1126" t="str">
        <f>IFERROR(VLOOKUP(D102,dropdowns!$J$3:$Q$16,7,0)," ")</f>
        <v xml:space="preserve"> </v>
      </c>
      <c r="D102" s="1126" t="str">
        <f>IFERROR(INDEX('Schedule C'!$A$34:$BA$313,MATCH('EI - (F1 - F2)'!$R102,'Schedule C'!$A$34:$A$313,0),14)," ")</f>
        <v xml:space="preserve"> </v>
      </c>
      <c r="E102" s="1126" t="str">
        <f>IFERROR(VLOOKUP($D102,dropdowns!$J$3:$Q$16,8,0)," ")</f>
        <v xml:space="preserve"> </v>
      </c>
      <c r="F102" s="1126" t="str">
        <f>IFERROR(INDEX('Schedule C'!$A$34:$BA$313,MATCH('EI - (F1 - F2)'!$R102,'Schedule C'!$A$34:$A$313,0),2)," ")</f>
        <v xml:space="preserve"> </v>
      </c>
      <c r="G102" s="1126" t="str">
        <f>IFERROR(INDEX('Schedule C'!$A$34:$BA$313,MATCH('EI - (F1 - F2)'!$R102,'Schedule C'!$A$34:$A$313,0),38)," ")</f>
        <v xml:space="preserve"> </v>
      </c>
      <c r="H102" s="1127" t="str">
        <f>IFERROR(INDEX('Schedule C'!$A$34:$BA$313,MATCH('EI - (F1 - F2)'!$R102,'Schedule C'!$A$34:$A$313,0),39)," ")</f>
        <v xml:space="preserve"> </v>
      </c>
      <c r="I102" s="1129" t="str">
        <f t="shared" si="6"/>
        <v xml:space="preserve"> </v>
      </c>
      <c r="J102" s="1129" t="str">
        <f t="shared" si="6"/>
        <v xml:space="preserve"> </v>
      </c>
      <c r="K102" s="1129" t="str">
        <f t="shared" si="6"/>
        <v xml:space="preserve"> </v>
      </c>
      <c r="L102" s="1129" t="str">
        <f t="shared" si="6"/>
        <v xml:space="preserve"> </v>
      </c>
      <c r="M102" s="1129" t="str">
        <f t="shared" si="6"/>
        <v xml:space="preserve"> </v>
      </c>
      <c r="N102" s="1129" t="str">
        <f t="shared" si="6"/>
        <v xml:space="preserve"> </v>
      </c>
      <c r="O102" s="1129" t="str">
        <f t="shared" si="7"/>
        <v xml:space="preserve"> </v>
      </c>
      <c r="P102" s="1130" t="str">
        <f t="shared" si="8"/>
        <v xml:space="preserve"> </v>
      </c>
      <c r="Q102" s="1131" t="str">
        <f t="shared" si="9"/>
        <v xml:space="preserve"> </v>
      </c>
      <c r="R102" s="1118">
        <f>IF('Schedule C'!AM383&gt;='EI - (F1 - F2)'!J$3,IF('Schedule C'!AM383&lt;='EI - (F1 - F2)'!K$3,'Schedule C'!A383,0),0)</f>
        <v>0</v>
      </c>
    </row>
    <row r="103" spans="1:18" ht="15">
      <c r="A103" s="1125">
        <f t="shared" si="10"/>
        <v>96</v>
      </c>
      <c r="B103" s="1126">
        <v>1</v>
      </c>
      <c r="C103" s="1126" t="str">
        <f>IFERROR(VLOOKUP(D103,dropdowns!$J$3:$Q$16,7,0)," ")</f>
        <v xml:space="preserve"> </v>
      </c>
      <c r="D103" s="1126" t="str">
        <f>IFERROR(INDEX('Schedule C'!$A$34:$BA$313,MATCH('EI - (F1 - F2)'!$R103,'Schedule C'!$A$34:$A$313,0),14)," ")</f>
        <v xml:space="preserve"> </v>
      </c>
      <c r="E103" s="1126" t="str">
        <f>IFERROR(VLOOKUP($D103,dropdowns!$J$3:$Q$16,8,0)," ")</f>
        <v xml:space="preserve"> </v>
      </c>
      <c r="F103" s="1126" t="str">
        <f>IFERROR(INDEX('Schedule C'!$A$34:$BA$313,MATCH('EI - (F1 - F2)'!$R103,'Schedule C'!$A$34:$A$313,0),2)," ")</f>
        <v xml:space="preserve"> </v>
      </c>
      <c r="G103" s="1126" t="str">
        <f>IFERROR(INDEX('Schedule C'!$A$34:$BA$313,MATCH('EI - (F1 - F2)'!$R103,'Schedule C'!$A$34:$A$313,0),38)," ")</f>
        <v xml:space="preserve"> </v>
      </c>
      <c r="H103" s="1127" t="str">
        <f>IFERROR(INDEX('Schedule C'!$A$34:$BA$313,MATCH('EI - (F1 - F2)'!$R103,'Schedule C'!$A$34:$A$313,0),39)," ")</f>
        <v xml:space="preserve"> </v>
      </c>
      <c r="I103" s="1129" t="str">
        <f t="shared" si="6"/>
        <v xml:space="preserve"> </v>
      </c>
      <c r="J103" s="1129" t="str">
        <f t="shared" si="6"/>
        <v xml:space="preserve"> </v>
      </c>
      <c r="K103" s="1129" t="str">
        <f t="shared" si="6"/>
        <v xml:space="preserve"> </v>
      </c>
      <c r="L103" s="1129" t="str">
        <f t="shared" si="6"/>
        <v xml:space="preserve"> </v>
      </c>
      <c r="M103" s="1129" t="str">
        <f t="shared" si="6"/>
        <v xml:space="preserve"> </v>
      </c>
      <c r="N103" s="1129" t="str">
        <f t="shared" si="6"/>
        <v xml:space="preserve"> </v>
      </c>
      <c r="O103" s="1129" t="str">
        <f t="shared" si="7"/>
        <v xml:space="preserve"> </v>
      </c>
      <c r="P103" s="1130" t="str">
        <f t="shared" si="8"/>
        <v xml:space="preserve"> </v>
      </c>
      <c r="Q103" s="1131" t="str">
        <f t="shared" si="9"/>
        <v xml:space="preserve"> </v>
      </c>
      <c r="R103" s="1118">
        <f>IF('Schedule C'!AM384&gt;='EI - (F1 - F2)'!J$3,IF('Schedule C'!AM384&lt;='EI - (F1 - F2)'!K$3,'Schedule C'!A384,0),0)</f>
        <v>0</v>
      </c>
    </row>
    <row r="104" spans="1:18" ht="15">
      <c r="A104" s="1125">
        <f t="shared" si="10"/>
        <v>97</v>
      </c>
      <c r="B104" s="1126">
        <v>1</v>
      </c>
      <c r="C104" s="1126" t="str">
        <f>IFERROR(VLOOKUP(D104,dropdowns!$J$3:$Q$16,7,0)," ")</f>
        <v xml:space="preserve"> </v>
      </c>
      <c r="D104" s="1126" t="str">
        <f>IFERROR(INDEX('Schedule C'!$A$34:$BA$313,MATCH('EI - (F1 - F2)'!$R104,'Schedule C'!$A$34:$A$313,0),14)," ")</f>
        <v xml:space="preserve"> </v>
      </c>
      <c r="E104" s="1126" t="str">
        <f>IFERROR(VLOOKUP($D104,dropdowns!$J$3:$Q$16,8,0)," ")</f>
        <v xml:space="preserve"> </v>
      </c>
      <c r="F104" s="1126" t="str">
        <f>IFERROR(INDEX('Schedule C'!$A$34:$BA$313,MATCH('EI - (F1 - F2)'!$R104,'Schedule C'!$A$34:$A$313,0),2)," ")</f>
        <v xml:space="preserve"> </v>
      </c>
      <c r="G104" s="1126" t="str">
        <f>IFERROR(INDEX('Schedule C'!$A$34:$BA$313,MATCH('EI - (F1 - F2)'!$R104,'Schedule C'!$A$34:$A$313,0),38)," ")</f>
        <v xml:space="preserve"> </v>
      </c>
      <c r="H104" s="1127" t="str">
        <f>IFERROR(INDEX('Schedule C'!$A$34:$BA$313,MATCH('EI - (F1 - F2)'!$R104,'Schedule C'!$A$34:$A$313,0),39)," ")</f>
        <v xml:space="preserve"> </v>
      </c>
      <c r="I104" s="1129" t="str">
        <f t="shared" si="6"/>
        <v xml:space="preserve"> </v>
      </c>
      <c r="J104" s="1129" t="str">
        <f t="shared" si="6"/>
        <v xml:space="preserve"> </v>
      </c>
      <c r="K104" s="1129" t="str">
        <f t="shared" si="6"/>
        <v xml:space="preserve"> </v>
      </c>
      <c r="L104" s="1129" t="str">
        <f t="shared" si="6"/>
        <v xml:space="preserve"> </v>
      </c>
      <c r="M104" s="1129" t="str">
        <f t="shared" si="6"/>
        <v xml:space="preserve"> </v>
      </c>
      <c r="N104" s="1129" t="str">
        <f t="shared" si="6"/>
        <v xml:space="preserve"> </v>
      </c>
      <c r="O104" s="1129" t="str">
        <f t="shared" si="7"/>
        <v xml:space="preserve"> </v>
      </c>
      <c r="P104" s="1130" t="str">
        <f t="shared" si="8"/>
        <v xml:space="preserve"> </v>
      </c>
      <c r="Q104" s="1131" t="str">
        <f t="shared" si="9"/>
        <v xml:space="preserve"> </v>
      </c>
      <c r="R104" s="1118">
        <f>IF('Schedule C'!AM385&gt;='EI - (F1 - F2)'!J$3,IF('Schedule C'!AM385&lt;='EI - (F1 - F2)'!K$3,'Schedule C'!A385,0),0)</f>
        <v>0</v>
      </c>
    </row>
    <row r="105" spans="1:18" ht="15">
      <c r="A105" s="1125">
        <f t="shared" si="10"/>
        <v>98</v>
      </c>
      <c r="B105" s="1126">
        <v>1</v>
      </c>
      <c r="C105" s="1126" t="str">
        <f>IFERROR(VLOOKUP(D105,dropdowns!$J$3:$Q$16,7,0)," ")</f>
        <v xml:space="preserve"> </v>
      </c>
      <c r="D105" s="1126" t="str">
        <f>IFERROR(INDEX('Schedule C'!$A$34:$BA$313,MATCH('EI - (F1 - F2)'!$R105,'Schedule C'!$A$34:$A$313,0),14)," ")</f>
        <v xml:space="preserve"> </v>
      </c>
      <c r="E105" s="1126" t="str">
        <f>IFERROR(VLOOKUP($D105,dropdowns!$J$3:$Q$16,8,0)," ")</f>
        <v xml:space="preserve"> </v>
      </c>
      <c r="F105" s="1126" t="str">
        <f>IFERROR(INDEX('Schedule C'!$A$34:$BA$313,MATCH('EI - (F1 - F2)'!$R105,'Schedule C'!$A$34:$A$313,0),2)," ")</f>
        <v xml:space="preserve"> </v>
      </c>
      <c r="G105" s="1126" t="str">
        <f>IFERROR(INDEX('Schedule C'!$A$34:$BA$313,MATCH('EI - (F1 - F2)'!$R105,'Schedule C'!$A$34:$A$313,0),38)," ")</f>
        <v xml:space="preserve"> </v>
      </c>
      <c r="H105" s="1127" t="str">
        <f>IFERROR(INDEX('Schedule C'!$A$34:$BA$313,MATCH('EI - (F1 - F2)'!$R105,'Schedule C'!$A$34:$A$313,0),39)," ")</f>
        <v xml:space="preserve"> </v>
      </c>
      <c r="I105" s="1129" t="str">
        <f t="shared" si="6"/>
        <v xml:space="preserve"> </v>
      </c>
      <c r="J105" s="1129" t="str">
        <f t="shared" si="6"/>
        <v xml:space="preserve"> </v>
      </c>
      <c r="K105" s="1129" t="str">
        <f t="shared" si="6"/>
        <v xml:space="preserve"> </v>
      </c>
      <c r="L105" s="1129" t="str">
        <f t="shared" si="6"/>
        <v xml:space="preserve"> </v>
      </c>
      <c r="M105" s="1129" t="str">
        <f t="shared" si="6"/>
        <v xml:space="preserve"> </v>
      </c>
      <c r="N105" s="1129" t="str">
        <f t="shared" si="6"/>
        <v xml:space="preserve"> </v>
      </c>
      <c r="O105" s="1129" t="str">
        <f t="shared" si="7"/>
        <v xml:space="preserve"> </v>
      </c>
      <c r="P105" s="1130" t="str">
        <f t="shared" si="8"/>
        <v xml:space="preserve"> </v>
      </c>
      <c r="Q105" s="1131" t="str">
        <f t="shared" si="9"/>
        <v xml:space="preserve"> </v>
      </c>
      <c r="R105" s="1118">
        <f>IF('Schedule C'!AM386&gt;='EI - (F1 - F2)'!J$3,IF('Schedule C'!AM386&lt;='EI - (F1 - F2)'!K$3,'Schedule C'!A386,0),0)</f>
        <v>0</v>
      </c>
    </row>
    <row r="106" spans="1:18" ht="15">
      <c r="A106" s="1125">
        <f t="shared" si="10"/>
        <v>99</v>
      </c>
      <c r="B106" s="1126">
        <v>1</v>
      </c>
      <c r="C106" s="1126" t="str">
        <f>IFERROR(VLOOKUP(D106,dropdowns!$J$3:$Q$16,7,0)," ")</f>
        <v xml:space="preserve"> </v>
      </c>
      <c r="D106" s="1126" t="str">
        <f>IFERROR(INDEX('Schedule C'!$A$34:$BA$313,MATCH('EI - (F1 - F2)'!$R106,'Schedule C'!$A$34:$A$313,0),14)," ")</f>
        <v xml:space="preserve"> </v>
      </c>
      <c r="E106" s="1126" t="str">
        <f>IFERROR(VLOOKUP($D106,dropdowns!$J$3:$Q$16,8,0)," ")</f>
        <v xml:space="preserve"> </v>
      </c>
      <c r="F106" s="1126" t="str">
        <f>IFERROR(INDEX('Schedule C'!$A$34:$BA$313,MATCH('EI - (F1 - F2)'!$R106,'Schedule C'!$A$34:$A$313,0),2)," ")</f>
        <v xml:space="preserve"> </v>
      </c>
      <c r="G106" s="1126" t="str">
        <f>IFERROR(INDEX('Schedule C'!$A$34:$BA$313,MATCH('EI - (F1 - F2)'!$R106,'Schedule C'!$A$34:$A$313,0),38)," ")</f>
        <v xml:space="preserve"> </v>
      </c>
      <c r="H106" s="1127" t="str">
        <f>IFERROR(INDEX('Schedule C'!$A$34:$BA$313,MATCH('EI - (F1 - F2)'!$R106,'Schedule C'!$A$34:$A$313,0),39)," ")</f>
        <v xml:space="preserve"> </v>
      </c>
      <c r="I106" s="1129" t="str">
        <f t="shared" si="6"/>
        <v xml:space="preserve"> </v>
      </c>
      <c r="J106" s="1129" t="str">
        <f t="shared" si="6"/>
        <v xml:space="preserve"> </v>
      </c>
      <c r="K106" s="1129" t="str">
        <f t="shared" si="6"/>
        <v xml:space="preserve"> </v>
      </c>
      <c r="L106" s="1129" t="str">
        <f t="shared" si="6"/>
        <v xml:space="preserve"> </v>
      </c>
      <c r="M106" s="1129" t="str">
        <f t="shared" si="6"/>
        <v xml:space="preserve"> </v>
      </c>
      <c r="N106" s="1129" t="str">
        <f t="shared" si="6"/>
        <v xml:space="preserve"> </v>
      </c>
      <c r="O106" s="1129" t="str">
        <f t="shared" si="7"/>
        <v xml:space="preserve"> </v>
      </c>
      <c r="P106" s="1130" t="str">
        <f t="shared" si="8"/>
        <v xml:space="preserve"> </v>
      </c>
      <c r="Q106" s="1131" t="str">
        <f t="shared" si="9"/>
        <v xml:space="preserve"> </v>
      </c>
      <c r="R106" s="1118">
        <f>IF('Schedule C'!AM387&gt;='EI - (F1 - F2)'!J$3,IF('Schedule C'!AM387&lt;='EI - (F1 - F2)'!K$3,'Schedule C'!A387,0),0)</f>
        <v>0</v>
      </c>
    </row>
    <row r="107" spans="1:18" ht="15">
      <c r="A107" s="1125">
        <f t="shared" si="10"/>
        <v>100</v>
      </c>
      <c r="B107" s="1126">
        <v>1</v>
      </c>
      <c r="C107" s="1126" t="str">
        <f>IFERROR(VLOOKUP(D107,dropdowns!$J$3:$Q$16,7,0)," ")</f>
        <v xml:space="preserve"> </v>
      </c>
      <c r="D107" s="1126" t="str">
        <f>IFERROR(INDEX('Schedule C'!$A$34:$BA$313,MATCH('EI - (F1 - F2)'!$R107,'Schedule C'!$A$34:$A$313,0),14)," ")</f>
        <v xml:space="preserve"> </v>
      </c>
      <c r="E107" s="1126" t="str">
        <f>IFERROR(VLOOKUP($D107,dropdowns!$J$3:$Q$16,8,0)," ")</f>
        <v xml:space="preserve"> </v>
      </c>
      <c r="F107" s="1126" t="str">
        <f>IFERROR(INDEX('Schedule C'!$A$34:$BA$313,MATCH('EI - (F1 - F2)'!$R107,'Schedule C'!$A$34:$A$313,0),2)," ")</f>
        <v xml:space="preserve"> </v>
      </c>
      <c r="G107" s="1126" t="str">
        <f>IFERROR(INDEX('Schedule C'!$A$34:$BA$313,MATCH('EI - (F1 - F2)'!$R107,'Schedule C'!$A$34:$A$313,0),38)," ")</f>
        <v xml:space="preserve"> </v>
      </c>
      <c r="H107" s="1127" t="str">
        <f>IFERROR(INDEX('Schedule C'!$A$34:$BA$313,MATCH('EI - (F1 - F2)'!$R107,'Schedule C'!$A$34:$A$313,0),39)," ")</f>
        <v xml:space="preserve"> </v>
      </c>
      <c r="I107" s="1129" t="str">
        <f t="shared" si="6"/>
        <v xml:space="preserve"> </v>
      </c>
      <c r="J107" s="1129" t="str">
        <f t="shared" si="6"/>
        <v xml:space="preserve"> </v>
      </c>
      <c r="K107" s="1129" t="str">
        <f t="shared" si="6"/>
        <v xml:space="preserve"> </v>
      </c>
      <c r="L107" s="1129" t="str">
        <f t="shared" si="6"/>
        <v xml:space="preserve"> </v>
      </c>
      <c r="M107" s="1129" t="str">
        <f t="shared" si="6"/>
        <v xml:space="preserve"> </v>
      </c>
      <c r="N107" s="1129" t="str">
        <f t="shared" si="6"/>
        <v xml:space="preserve"> </v>
      </c>
      <c r="O107" s="1129" t="str">
        <f t="shared" si="7"/>
        <v xml:space="preserve"> </v>
      </c>
      <c r="P107" s="1130" t="str">
        <f t="shared" si="8"/>
        <v xml:space="preserve"> </v>
      </c>
      <c r="Q107" s="1131" t="str">
        <f t="shared" si="9"/>
        <v xml:space="preserve"> </v>
      </c>
      <c r="R107" s="1118">
        <f>IF('Schedule C'!AM388&gt;='EI - (F1 - F2)'!J$3,IF('Schedule C'!AM388&lt;='EI - (F1 - F2)'!K$3,'Schedule C'!A388,0),0)</f>
        <v>0</v>
      </c>
    </row>
    <row r="108" spans="1:18" ht="15">
      <c r="A108" s="1125">
        <f t="shared" si="10"/>
        <v>101</v>
      </c>
      <c r="B108" s="1126">
        <v>1</v>
      </c>
      <c r="C108" s="1126" t="str">
        <f>IFERROR(VLOOKUP(D108,dropdowns!$J$3:$Q$16,7,0)," ")</f>
        <v xml:space="preserve"> </v>
      </c>
      <c r="D108" s="1126" t="str">
        <f>IFERROR(INDEX('Schedule C'!$A$34:$BA$313,MATCH('EI - (F1 - F2)'!$R108,'Schedule C'!$A$34:$A$313,0),14)," ")</f>
        <v xml:space="preserve"> </v>
      </c>
      <c r="E108" s="1126" t="str">
        <f>IFERROR(VLOOKUP($D108,dropdowns!$J$3:$Q$16,8,0)," ")</f>
        <v xml:space="preserve"> </v>
      </c>
      <c r="F108" s="1126" t="str">
        <f>IFERROR(INDEX('Schedule C'!$A$34:$BA$313,MATCH('EI - (F1 - F2)'!$R108,'Schedule C'!$A$34:$A$313,0),2)," ")</f>
        <v xml:space="preserve"> </v>
      </c>
      <c r="G108" s="1126" t="str">
        <f>IFERROR(INDEX('Schedule C'!$A$34:$BA$313,MATCH('EI - (F1 - F2)'!$R108,'Schedule C'!$A$34:$A$313,0),38)," ")</f>
        <v xml:space="preserve"> </v>
      </c>
      <c r="H108" s="1127" t="str">
        <f>IFERROR(INDEX('Schedule C'!$A$34:$BA$313,MATCH('EI - (F1 - F2)'!$R108,'Schedule C'!$A$34:$A$313,0),39)," ")</f>
        <v xml:space="preserve"> </v>
      </c>
      <c r="I108" s="1129" t="str">
        <f t="shared" si="6"/>
        <v xml:space="preserve"> </v>
      </c>
      <c r="J108" s="1129" t="str">
        <f t="shared" si="6"/>
        <v xml:space="preserve"> </v>
      </c>
      <c r="K108" s="1129" t="str">
        <f t="shared" si="6"/>
        <v xml:space="preserve"> </v>
      </c>
      <c r="L108" s="1129" t="str">
        <f t="shared" si="6"/>
        <v xml:space="preserve"> </v>
      </c>
      <c r="M108" s="1129" t="str">
        <f t="shared" si="6"/>
        <v xml:space="preserve"> </v>
      </c>
      <c r="N108" s="1129" t="str">
        <f t="shared" si="6"/>
        <v xml:space="preserve"> </v>
      </c>
      <c r="O108" s="1129" t="str">
        <f t="shared" si="7"/>
        <v xml:space="preserve"> </v>
      </c>
      <c r="P108" s="1130" t="str">
        <f t="shared" si="8"/>
        <v xml:space="preserve"> </v>
      </c>
      <c r="Q108" s="1131" t="str">
        <f t="shared" si="9"/>
        <v xml:space="preserve"> </v>
      </c>
      <c r="R108" s="1118">
        <f>IF('Schedule C'!AM389&gt;='EI - (F1 - F2)'!J$3,IF('Schedule C'!AM389&lt;='EI - (F1 - F2)'!K$3,'Schedule C'!A389,0),0)</f>
        <v>0</v>
      </c>
    </row>
    <row r="109" spans="1:18" ht="15">
      <c r="A109" s="1125">
        <f t="shared" si="10"/>
        <v>102</v>
      </c>
      <c r="B109" s="1126">
        <v>1</v>
      </c>
      <c r="C109" s="1126" t="str">
        <f>IFERROR(VLOOKUP(D109,dropdowns!$J$3:$Q$16,7,0)," ")</f>
        <v xml:space="preserve"> </v>
      </c>
      <c r="D109" s="1126" t="str">
        <f>IFERROR(INDEX('Schedule C'!$A$34:$BA$313,MATCH('EI - (F1 - F2)'!$R109,'Schedule C'!$A$34:$A$313,0),14)," ")</f>
        <v xml:space="preserve"> </v>
      </c>
      <c r="E109" s="1126" t="str">
        <f>IFERROR(VLOOKUP($D109,dropdowns!$J$3:$Q$16,8,0)," ")</f>
        <v xml:space="preserve"> </v>
      </c>
      <c r="F109" s="1126" t="str">
        <f>IFERROR(INDEX('Schedule C'!$A$34:$BA$313,MATCH('EI - (F1 - F2)'!$R109,'Schedule C'!$A$34:$A$313,0),2)," ")</f>
        <v xml:space="preserve"> </v>
      </c>
      <c r="G109" s="1126" t="str">
        <f>IFERROR(INDEX('Schedule C'!$A$34:$BA$313,MATCH('EI - (F1 - F2)'!$R109,'Schedule C'!$A$34:$A$313,0),38)," ")</f>
        <v xml:space="preserve"> </v>
      </c>
      <c r="H109" s="1127" t="str">
        <f>IFERROR(INDEX('Schedule C'!$A$34:$BA$313,MATCH('EI - (F1 - F2)'!$R109,'Schedule C'!$A$34:$A$313,0),39)," ")</f>
        <v xml:space="preserve"> </v>
      </c>
      <c r="I109" s="1129" t="str">
        <f t="shared" ref="I109:N151" si="11">IF($R109=0," ","NA")</f>
        <v xml:space="preserve"> </v>
      </c>
      <c r="J109" s="1129" t="str">
        <f t="shared" si="11"/>
        <v xml:space="preserve"> </v>
      </c>
      <c r="K109" s="1129" t="str">
        <f t="shared" si="11"/>
        <v xml:space="preserve"> </v>
      </c>
      <c r="L109" s="1129" t="str">
        <f t="shared" si="11"/>
        <v xml:space="preserve"> </v>
      </c>
      <c r="M109" s="1129" t="str">
        <f t="shared" si="11"/>
        <v xml:space="preserve"> </v>
      </c>
      <c r="N109" s="1129" t="str">
        <f t="shared" si="11"/>
        <v xml:space="preserve"> </v>
      </c>
      <c r="O109" s="1129" t="str">
        <f t="shared" si="7"/>
        <v xml:space="preserve"> </v>
      </c>
      <c r="P109" s="1130" t="str">
        <f t="shared" si="8"/>
        <v xml:space="preserve"> </v>
      </c>
      <c r="Q109" s="1131" t="str">
        <f t="shared" si="9"/>
        <v xml:space="preserve"> </v>
      </c>
      <c r="R109" s="1118">
        <f>IF('Schedule C'!AM390&gt;='EI - (F1 - F2)'!J$3,IF('Schedule C'!AM390&lt;='EI - (F1 - F2)'!K$3,'Schedule C'!A390,0),0)</f>
        <v>0</v>
      </c>
    </row>
    <row r="110" spans="1:18" ht="15">
      <c r="A110" s="1125">
        <f t="shared" si="10"/>
        <v>103</v>
      </c>
      <c r="B110" s="1126">
        <v>1</v>
      </c>
      <c r="C110" s="1126" t="str">
        <f>IFERROR(VLOOKUP(D110,dropdowns!$J$3:$Q$16,7,0)," ")</f>
        <v xml:space="preserve"> </v>
      </c>
      <c r="D110" s="1126" t="str">
        <f>IFERROR(INDEX('Schedule C'!$A$34:$BA$313,MATCH('EI - (F1 - F2)'!$R110,'Schedule C'!$A$34:$A$313,0),14)," ")</f>
        <v xml:space="preserve"> </v>
      </c>
      <c r="E110" s="1126" t="str">
        <f>IFERROR(VLOOKUP($D110,dropdowns!$J$3:$Q$16,8,0)," ")</f>
        <v xml:space="preserve"> </v>
      </c>
      <c r="F110" s="1126" t="str">
        <f>IFERROR(INDEX('Schedule C'!$A$34:$BA$313,MATCH('EI - (F1 - F2)'!$R110,'Schedule C'!$A$34:$A$313,0),2)," ")</f>
        <v xml:space="preserve"> </v>
      </c>
      <c r="G110" s="1126" t="str">
        <f>IFERROR(INDEX('Schedule C'!$A$34:$BA$313,MATCH('EI - (F1 - F2)'!$R110,'Schedule C'!$A$34:$A$313,0),38)," ")</f>
        <v xml:space="preserve"> </v>
      </c>
      <c r="H110" s="1127" t="str">
        <f>IFERROR(INDEX('Schedule C'!$A$34:$BA$313,MATCH('EI - (F1 - F2)'!$R110,'Schedule C'!$A$34:$A$313,0),39)," ")</f>
        <v xml:space="preserve"> </v>
      </c>
      <c r="I110" s="1129" t="str">
        <f t="shared" si="11"/>
        <v xml:space="preserve"> </v>
      </c>
      <c r="J110" s="1129" t="str">
        <f t="shared" si="11"/>
        <v xml:space="preserve"> </v>
      </c>
      <c r="K110" s="1129" t="str">
        <f t="shared" si="11"/>
        <v xml:space="preserve"> </v>
      </c>
      <c r="L110" s="1129" t="str">
        <f t="shared" si="11"/>
        <v xml:space="preserve"> </v>
      </c>
      <c r="M110" s="1129" t="str">
        <f t="shared" si="11"/>
        <v xml:space="preserve"> </v>
      </c>
      <c r="N110" s="1129" t="str">
        <f t="shared" si="11"/>
        <v xml:space="preserve"> </v>
      </c>
      <c r="O110" s="1129" t="str">
        <f t="shared" si="7"/>
        <v xml:space="preserve"> </v>
      </c>
      <c r="P110" s="1130" t="str">
        <f t="shared" si="8"/>
        <v xml:space="preserve"> </v>
      </c>
      <c r="Q110" s="1131" t="str">
        <f t="shared" si="9"/>
        <v xml:space="preserve"> </v>
      </c>
      <c r="R110" s="1118">
        <f>IF('Schedule C'!AM391&gt;='EI - (F1 - F2)'!J$3,IF('Schedule C'!AM391&lt;='EI - (F1 - F2)'!K$3,'Schedule C'!A391,0),0)</f>
        <v>0</v>
      </c>
    </row>
    <row r="111" spans="1:18" ht="15">
      <c r="A111" s="1125">
        <f t="shared" si="10"/>
        <v>104</v>
      </c>
      <c r="B111" s="1126">
        <v>1</v>
      </c>
      <c r="C111" s="1126" t="str">
        <f>IFERROR(VLOOKUP(D111,dropdowns!$J$3:$Q$16,7,0)," ")</f>
        <v xml:space="preserve"> </v>
      </c>
      <c r="D111" s="1126" t="str">
        <f>IFERROR(INDEX('Schedule C'!$A$34:$BA$313,MATCH('EI - (F1 - F2)'!$R111,'Schedule C'!$A$34:$A$313,0),14)," ")</f>
        <v xml:space="preserve"> </v>
      </c>
      <c r="E111" s="1126" t="str">
        <f>IFERROR(VLOOKUP($D111,dropdowns!$J$3:$Q$16,8,0)," ")</f>
        <v xml:space="preserve"> </v>
      </c>
      <c r="F111" s="1126" t="str">
        <f>IFERROR(INDEX('Schedule C'!$A$34:$BA$313,MATCH('EI - (F1 - F2)'!$R111,'Schedule C'!$A$34:$A$313,0),2)," ")</f>
        <v xml:space="preserve"> </v>
      </c>
      <c r="G111" s="1126" t="str">
        <f>IFERROR(INDEX('Schedule C'!$A$34:$BA$313,MATCH('EI - (F1 - F2)'!$R111,'Schedule C'!$A$34:$A$313,0),38)," ")</f>
        <v xml:space="preserve"> </v>
      </c>
      <c r="H111" s="1127" t="str">
        <f>IFERROR(INDEX('Schedule C'!$A$34:$BA$313,MATCH('EI - (F1 - F2)'!$R111,'Schedule C'!$A$34:$A$313,0),39)," ")</f>
        <v xml:space="preserve"> </v>
      </c>
      <c r="I111" s="1129" t="str">
        <f t="shared" si="11"/>
        <v xml:space="preserve"> </v>
      </c>
      <c r="J111" s="1129" t="str">
        <f t="shared" si="11"/>
        <v xml:space="preserve"> </v>
      </c>
      <c r="K111" s="1129" t="str">
        <f t="shared" si="11"/>
        <v xml:space="preserve"> </v>
      </c>
      <c r="L111" s="1129" t="str">
        <f t="shared" si="11"/>
        <v xml:space="preserve"> </v>
      </c>
      <c r="M111" s="1129" t="str">
        <f t="shared" si="11"/>
        <v xml:space="preserve"> </v>
      </c>
      <c r="N111" s="1129" t="str">
        <f t="shared" si="11"/>
        <v xml:space="preserve"> </v>
      </c>
      <c r="O111" s="1129" t="str">
        <f t="shared" si="7"/>
        <v xml:space="preserve"> </v>
      </c>
      <c r="P111" s="1130" t="str">
        <f t="shared" si="8"/>
        <v xml:space="preserve"> </v>
      </c>
      <c r="Q111" s="1131" t="str">
        <f t="shared" si="9"/>
        <v xml:space="preserve"> </v>
      </c>
      <c r="R111" s="1118">
        <f>IF('Schedule C'!AM392&gt;='EI - (F1 - F2)'!J$3,IF('Schedule C'!AM392&lt;='EI - (F1 - F2)'!K$3,'Schedule C'!A392,0),0)</f>
        <v>0</v>
      </c>
    </row>
    <row r="112" spans="1:18" ht="15">
      <c r="A112" s="1125">
        <f t="shared" si="10"/>
        <v>105</v>
      </c>
      <c r="B112" s="1126">
        <v>1</v>
      </c>
      <c r="C112" s="1126" t="str">
        <f>IFERROR(VLOOKUP(D112,dropdowns!$J$3:$Q$16,7,0)," ")</f>
        <v xml:space="preserve"> </v>
      </c>
      <c r="D112" s="1126" t="str">
        <f>IFERROR(INDEX('Schedule C'!$A$34:$BA$313,MATCH('EI - (F1 - F2)'!$R112,'Schedule C'!$A$34:$A$313,0),14)," ")</f>
        <v xml:space="preserve"> </v>
      </c>
      <c r="E112" s="1126" t="str">
        <f>IFERROR(VLOOKUP($D112,dropdowns!$J$3:$Q$16,8,0)," ")</f>
        <v xml:space="preserve"> </v>
      </c>
      <c r="F112" s="1126" t="str">
        <f>IFERROR(INDEX('Schedule C'!$A$34:$BA$313,MATCH('EI - (F1 - F2)'!$R112,'Schedule C'!$A$34:$A$313,0),2)," ")</f>
        <v xml:space="preserve"> </v>
      </c>
      <c r="G112" s="1126" t="str">
        <f>IFERROR(INDEX('Schedule C'!$A$34:$BA$313,MATCH('EI - (F1 - F2)'!$R112,'Schedule C'!$A$34:$A$313,0),38)," ")</f>
        <v xml:space="preserve"> </v>
      </c>
      <c r="H112" s="1127" t="str">
        <f>IFERROR(INDEX('Schedule C'!$A$34:$BA$313,MATCH('EI - (F1 - F2)'!$R112,'Schedule C'!$A$34:$A$313,0),39)," ")</f>
        <v xml:space="preserve"> </v>
      </c>
      <c r="I112" s="1129" t="str">
        <f t="shared" si="11"/>
        <v xml:space="preserve"> </v>
      </c>
      <c r="J112" s="1129" t="str">
        <f t="shared" si="11"/>
        <v xml:space="preserve"> </v>
      </c>
      <c r="K112" s="1129" t="str">
        <f t="shared" si="11"/>
        <v xml:space="preserve"> </v>
      </c>
      <c r="L112" s="1129" t="str">
        <f t="shared" si="11"/>
        <v xml:space="preserve"> </v>
      </c>
      <c r="M112" s="1129" t="str">
        <f t="shared" si="11"/>
        <v xml:space="preserve"> </v>
      </c>
      <c r="N112" s="1129" t="str">
        <f t="shared" si="11"/>
        <v xml:space="preserve"> </v>
      </c>
      <c r="O112" s="1129" t="str">
        <f t="shared" si="7"/>
        <v xml:space="preserve"> </v>
      </c>
      <c r="P112" s="1130" t="str">
        <f t="shared" si="8"/>
        <v xml:space="preserve"> </v>
      </c>
      <c r="Q112" s="1131" t="str">
        <f t="shared" si="9"/>
        <v xml:space="preserve"> </v>
      </c>
      <c r="R112" s="1118">
        <f>IF('Schedule C'!AM393&gt;='EI - (F1 - F2)'!J$3,IF('Schedule C'!AM393&lt;='EI - (F1 - F2)'!K$3,'Schedule C'!A393,0),0)</f>
        <v>0</v>
      </c>
    </row>
    <row r="113" spans="1:18" ht="15">
      <c r="A113" s="1125">
        <f t="shared" si="10"/>
        <v>106</v>
      </c>
      <c r="B113" s="1126">
        <v>1</v>
      </c>
      <c r="C113" s="1126" t="str">
        <f>IFERROR(VLOOKUP(D113,dropdowns!$J$3:$Q$16,7,0)," ")</f>
        <v xml:space="preserve"> </v>
      </c>
      <c r="D113" s="1126" t="str">
        <f>IFERROR(INDEX('Schedule C'!$A$34:$BA$313,MATCH('EI - (F1 - F2)'!$R113,'Schedule C'!$A$34:$A$313,0),14)," ")</f>
        <v xml:space="preserve"> </v>
      </c>
      <c r="E113" s="1126" t="str">
        <f>IFERROR(VLOOKUP($D113,dropdowns!$J$3:$Q$16,8,0)," ")</f>
        <v xml:space="preserve"> </v>
      </c>
      <c r="F113" s="1126" t="str">
        <f>IFERROR(INDEX('Schedule C'!$A$34:$BA$313,MATCH('EI - (F1 - F2)'!$R113,'Schedule C'!$A$34:$A$313,0),2)," ")</f>
        <v xml:space="preserve"> </v>
      </c>
      <c r="G113" s="1126" t="str">
        <f>IFERROR(INDEX('Schedule C'!$A$34:$BA$313,MATCH('EI - (F1 - F2)'!$R113,'Schedule C'!$A$34:$A$313,0),38)," ")</f>
        <v xml:space="preserve"> </v>
      </c>
      <c r="H113" s="1127" t="str">
        <f>IFERROR(INDEX('Schedule C'!$A$34:$BA$313,MATCH('EI - (F1 - F2)'!$R113,'Schedule C'!$A$34:$A$313,0),39)," ")</f>
        <v xml:space="preserve"> </v>
      </c>
      <c r="I113" s="1129" t="str">
        <f t="shared" si="11"/>
        <v xml:space="preserve"> </v>
      </c>
      <c r="J113" s="1129" t="str">
        <f t="shared" si="11"/>
        <v xml:space="preserve"> </v>
      </c>
      <c r="K113" s="1129" t="str">
        <f t="shared" si="11"/>
        <v xml:space="preserve"> </v>
      </c>
      <c r="L113" s="1129" t="str">
        <f t="shared" si="11"/>
        <v xml:space="preserve"> </v>
      </c>
      <c r="M113" s="1129" t="str">
        <f t="shared" si="11"/>
        <v xml:space="preserve"> </v>
      </c>
      <c r="N113" s="1129" t="str">
        <f t="shared" si="11"/>
        <v xml:space="preserve"> </v>
      </c>
      <c r="O113" s="1129" t="str">
        <f t="shared" si="7"/>
        <v xml:space="preserve"> </v>
      </c>
      <c r="P113" s="1130" t="str">
        <f t="shared" si="8"/>
        <v xml:space="preserve"> </v>
      </c>
      <c r="Q113" s="1131" t="str">
        <f t="shared" si="9"/>
        <v xml:space="preserve"> </v>
      </c>
      <c r="R113" s="1118">
        <f>IF('Schedule C'!AM394&gt;='EI - (F1 - F2)'!J$3,IF('Schedule C'!AM394&lt;='EI - (F1 - F2)'!K$3,'Schedule C'!A394,0),0)</f>
        <v>0</v>
      </c>
    </row>
    <row r="114" spans="1:18" ht="15">
      <c r="A114" s="1125">
        <f t="shared" si="10"/>
        <v>107</v>
      </c>
      <c r="B114" s="1126">
        <v>1</v>
      </c>
      <c r="C114" s="1126" t="str">
        <f>IFERROR(VLOOKUP(D114,dropdowns!$J$3:$Q$16,7,0)," ")</f>
        <v xml:space="preserve"> </v>
      </c>
      <c r="D114" s="1126" t="str">
        <f>IFERROR(INDEX('Schedule C'!$A$34:$BA$313,MATCH('EI - (F1 - F2)'!$R114,'Schedule C'!$A$34:$A$313,0),14)," ")</f>
        <v xml:space="preserve"> </v>
      </c>
      <c r="E114" s="1126" t="str">
        <f>IFERROR(VLOOKUP($D114,dropdowns!$J$3:$Q$16,8,0)," ")</f>
        <v xml:space="preserve"> </v>
      </c>
      <c r="F114" s="1126" t="str">
        <f>IFERROR(INDEX('Schedule C'!$A$34:$BA$313,MATCH('EI - (F1 - F2)'!$R114,'Schedule C'!$A$34:$A$313,0),2)," ")</f>
        <v xml:space="preserve"> </v>
      </c>
      <c r="G114" s="1126" t="str">
        <f>IFERROR(INDEX('Schedule C'!$A$34:$BA$313,MATCH('EI - (F1 - F2)'!$R114,'Schedule C'!$A$34:$A$313,0),38)," ")</f>
        <v xml:space="preserve"> </v>
      </c>
      <c r="H114" s="1127" t="str">
        <f>IFERROR(INDEX('Schedule C'!$A$34:$BA$313,MATCH('EI - (F1 - F2)'!$R114,'Schedule C'!$A$34:$A$313,0),39)," ")</f>
        <v xml:space="preserve"> </v>
      </c>
      <c r="I114" s="1129" t="str">
        <f t="shared" si="11"/>
        <v xml:space="preserve"> </v>
      </c>
      <c r="J114" s="1129" t="str">
        <f t="shared" si="11"/>
        <v xml:space="preserve"> </v>
      </c>
      <c r="K114" s="1129" t="str">
        <f t="shared" si="11"/>
        <v xml:space="preserve"> </v>
      </c>
      <c r="L114" s="1129" t="str">
        <f t="shared" si="11"/>
        <v xml:space="preserve"> </v>
      </c>
      <c r="M114" s="1129" t="str">
        <f t="shared" si="11"/>
        <v xml:space="preserve"> </v>
      </c>
      <c r="N114" s="1129" t="str">
        <f t="shared" si="11"/>
        <v xml:space="preserve"> </v>
      </c>
      <c r="O114" s="1129" t="str">
        <f t="shared" si="7"/>
        <v xml:space="preserve"> </v>
      </c>
      <c r="P114" s="1130" t="str">
        <f t="shared" si="8"/>
        <v xml:space="preserve"> </v>
      </c>
      <c r="Q114" s="1131" t="str">
        <f t="shared" si="9"/>
        <v xml:space="preserve"> </v>
      </c>
      <c r="R114" s="1118">
        <f>IF('Schedule C'!AM395&gt;='EI - (F1 - F2)'!J$3,IF('Schedule C'!AM395&lt;='EI - (F1 - F2)'!K$3,'Schedule C'!A395,0),0)</f>
        <v>0</v>
      </c>
    </row>
    <row r="115" spans="1:18" ht="15">
      <c r="A115" s="1125">
        <f t="shared" si="10"/>
        <v>108</v>
      </c>
      <c r="B115" s="1126">
        <v>1</v>
      </c>
      <c r="C115" s="1126" t="str">
        <f>IFERROR(VLOOKUP(D115,dropdowns!$J$3:$Q$16,7,0)," ")</f>
        <v xml:space="preserve"> </v>
      </c>
      <c r="D115" s="1126" t="str">
        <f>IFERROR(INDEX('Schedule C'!$A$34:$BA$313,MATCH('EI - (F1 - F2)'!$R115,'Schedule C'!$A$34:$A$313,0),14)," ")</f>
        <v xml:space="preserve"> </v>
      </c>
      <c r="E115" s="1126" t="str">
        <f>IFERROR(VLOOKUP($D115,dropdowns!$J$3:$Q$16,8,0)," ")</f>
        <v xml:space="preserve"> </v>
      </c>
      <c r="F115" s="1126" t="str">
        <f>IFERROR(INDEX('Schedule C'!$A$34:$BA$313,MATCH('EI - (F1 - F2)'!$R115,'Schedule C'!$A$34:$A$313,0),2)," ")</f>
        <v xml:space="preserve"> </v>
      </c>
      <c r="G115" s="1126" t="str">
        <f>IFERROR(INDEX('Schedule C'!$A$34:$BA$313,MATCH('EI - (F1 - F2)'!$R115,'Schedule C'!$A$34:$A$313,0),38)," ")</f>
        <v xml:space="preserve"> </v>
      </c>
      <c r="H115" s="1127" t="str">
        <f>IFERROR(INDEX('Schedule C'!$A$34:$BA$313,MATCH('EI - (F1 - F2)'!$R115,'Schedule C'!$A$34:$A$313,0),39)," ")</f>
        <v xml:space="preserve"> </v>
      </c>
      <c r="I115" s="1129" t="str">
        <f t="shared" si="11"/>
        <v xml:space="preserve"> </v>
      </c>
      <c r="J115" s="1129" t="str">
        <f t="shared" si="11"/>
        <v xml:space="preserve"> </v>
      </c>
      <c r="K115" s="1129" t="str">
        <f t="shared" si="11"/>
        <v xml:space="preserve"> </v>
      </c>
      <c r="L115" s="1129" t="str">
        <f t="shared" si="11"/>
        <v xml:space="preserve"> </v>
      </c>
      <c r="M115" s="1129" t="str">
        <f t="shared" si="11"/>
        <v xml:space="preserve"> </v>
      </c>
      <c r="N115" s="1129" t="str">
        <f t="shared" si="11"/>
        <v xml:space="preserve"> </v>
      </c>
      <c r="O115" s="1129" t="str">
        <f t="shared" si="7"/>
        <v xml:space="preserve"> </v>
      </c>
      <c r="P115" s="1130" t="str">
        <f t="shared" si="8"/>
        <v xml:space="preserve"> </v>
      </c>
      <c r="Q115" s="1131" t="str">
        <f t="shared" si="9"/>
        <v xml:space="preserve"> </v>
      </c>
      <c r="R115" s="1118">
        <f>IF('Schedule C'!AM396&gt;='EI - (F1 - F2)'!J$3,IF('Schedule C'!AM396&lt;='EI - (F1 - F2)'!K$3,'Schedule C'!A396,0),0)</f>
        <v>0</v>
      </c>
    </row>
    <row r="116" spans="1:18" ht="15">
      <c r="A116" s="1125">
        <f t="shared" si="10"/>
        <v>109</v>
      </c>
      <c r="B116" s="1126">
        <v>1</v>
      </c>
      <c r="C116" s="1126" t="str">
        <f>IFERROR(VLOOKUP(D116,dropdowns!$J$3:$Q$16,7,0)," ")</f>
        <v xml:space="preserve"> </v>
      </c>
      <c r="D116" s="1126" t="str">
        <f>IFERROR(INDEX('Schedule C'!$A$34:$BA$313,MATCH('EI - (F1 - F2)'!$R116,'Schedule C'!$A$34:$A$313,0),14)," ")</f>
        <v xml:space="preserve"> </v>
      </c>
      <c r="E116" s="1126" t="str">
        <f>IFERROR(VLOOKUP($D116,dropdowns!$J$3:$Q$16,8,0)," ")</f>
        <v xml:space="preserve"> </v>
      </c>
      <c r="F116" s="1126" t="str">
        <f>IFERROR(INDEX('Schedule C'!$A$34:$BA$313,MATCH('EI - (F1 - F2)'!$R116,'Schedule C'!$A$34:$A$313,0),2)," ")</f>
        <v xml:space="preserve"> </v>
      </c>
      <c r="G116" s="1126" t="str">
        <f>IFERROR(INDEX('Schedule C'!$A$34:$BA$313,MATCH('EI - (F1 - F2)'!$R116,'Schedule C'!$A$34:$A$313,0),38)," ")</f>
        <v xml:space="preserve"> </v>
      </c>
      <c r="H116" s="1127" t="str">
        <f>IFERROR(INDEX('Schedule C'!$A$34:$BA$313,MATCH('EI - (F1 - F2)'!$R116,'Schedule C'!$A$34:$A$313,0),39)," ")</f>
        <v xml:space="preserve"> </v>
      </c>
      <c r="I116" s="1129" t="str">
        <f t="shared" si="11"/>
        <v xml:space="preserve"> </v>
      </c>
      <c r="J116" s="1129" t="str">
        <f t="shared" si="11"/>
        <v xml:space="preserve"> </v>
      </c>
      <c r="K116" s="1129" t="str">
        <f t="shared" si="11"/>
        <v xml:space="preserve"> </v>
      </c>
      <c r="L116" s="1129" t="str">
        <f t="shared" si="11"/>
        <v xml:space="preserve"> </v>
      </c>
      <c r="M116" s="1129" t="str">
        <f t="shared" si="11"/>
        <v xml:space="preserve"> </v>
      </c>
      <c r="N116" s="1129" t="str">
        <f t="shared" si="11"/>
        <v xml:space="preserve"> </v>
      </c>
      <c r="O116" s="1129" t="str">
        <f t="shared" si="7"/>
        <v xml:space="preserve"> </v>
      </c>
      <c r="P116" s="1130" t="str">
        <f t="shared" si="8"/>
        <v xml:space="preserve"> </v>
      </c>
      <c r="Q116" s="1131" t="str">
        <f t="shared" si="9"/>
        <v xml:space="preserve"> </v>
      </c>
      <c r="R116" s="1118">
        <f>IF('Schedule C'!AM397&gt;='EI - (F1 - F2)'!J$3,IF('Schedule C'!AM397&lt;='EI - (F1 - F2)'!K$3,'Schedule C'!A397,0),0)</f>
        <v>0</v>
      </c>
    </row>
    <row r="117" spans="1:18" ht="15">
      <c r="A117" s="1125">
        <f t="shared" si="10"/>
        <v>110</v>
      </c>
      <c r="B117" s="1126">
        <v>1</v>
      </c>
      <c r="C117" s="1126" t="str">
        <f>IFERROR(VLOOKUP(D117,dropdowns!$J$3:$Q$16,7,0)," ")</f>
        <v xml:space="preserve"> </v>
      </c>
      <c r="D117" s="1126" t="str">
        <f>IFERROR(INDEX('Schedule C'!$A$34:$BA$313,MATCH('EI - (F1 - F2)'!$R117,'Schedule C'!$A$34:$A$313,0),14)," ")</f>
        <v xml:space="preserve"> </v>
      </c>
      <c r="E117" s="1126" t="str">
        <f>IFERROR(VLOOKUP($D117,dropdowns!$J$3:$Q$16,8,0)," ")</f>
        <v xml:space="preserve"> </v>
      </c>
      <c r="F117" s="1126" t="str">
        <f>IFERROR(INDEX('Schedule C'!$A$34:$BA$313,MATCH('EI - (F1 - F2)'!$R117,'Schedule C'!$A$34:$A$313,0),2)," ")</f>
        <v xml:space="preserve"> </v>
      </c>
      <c r="G117" s="1126" t="str">
        <f>IFERROR(INDEX('Schedule C'!$A$34:$BA$313,MATCH('EI - (F1 - F2)'!$R117,'Schedule C'!$A$34:$A$313,0),38)," ")</f>
        <v xml:space="preserve"> </v>
      </c>
      <c r="H117" s="1127" t="str">
        <f>IFERROR(INDEX('Schedule C'!$A$34:$BA$313,MATCH('EI - (F1 - F2)'!$R117,'Schedule C'!$A$34:$A$313,0),39)," ")</f>
        <v xml:space="preserve"> </v>
      </c>
      <c r="I117" s="1129" t="str">
        <f t="shared" si="11"/>
        <v xml:space="preserve"> </v>
      </c>
      <c r="J117" s="1129" t="str">
        <f t="shared" si="11"/>
        <v xml:space="preserve"> </v>
      </c>
      <c r="K117" s="1129" t="str">
        <f t="shared" si="11"/>
        <v xml:space="preserve"> </v>
      </c>
      <c r="L117" s="1129" t="str">
        <f t="shared" si="11"/>
        <v xml:space="preserve"> </v>
      </c>
      <c r="M117" s="1129" t="str">
        <f t="shared" si="11"/>
        <v xml:space="preserve"> </v>
      </c>
      <c r="N117" s="1129" t="str">
        <f t="shared" si="11"/>
        <v xml:space="preserve"> </v>
      </c>
      <c r="O117" s="1129" t="str">
        <f t="shared" si="7"/>
        <v xml:space="preserve"> </v>
      </c>
      <c r="P117" s="1130" t="str">
        <f t="shared" si="8"/>
        <v xml:space="preserve"> </v>
      </c>
      <c r="Q117" s="1131" t="str">
        <f t="shared" si="9"/>
        <v xml:space="preserve"> </v>
      </c>
      <c r="R117" s="1118">
        <f>IF('Schedule C'!AM398&gt;='EI - (F1 - F2)'!J$3,IF('Schedule C'!AM398&lt;='EI - (F1 - F2)'!K$3,'Schedule C'!A398,0),0)</f>
        <v>0</v>
      </c>
    </row>
    <row r="118" spans="1:18" ht="15">
      <c r="A118" s="1125">
        <f t="shared" si="10"/>
        <v>111</v>
      </c>
      <c r="B118" s="1126">
        <v>1</v>
      </c>
      <c r="C118" s="1126" t="str">
        <f>IFERROR(VLOOKUP(D118,dropdowns!$J$3:$Q$16,7,0)," ")</f>
        <v xml:space="preserve"> </v>
      </c>
      <c r="D118" s="1126" t="str">
        <f>IFERROR(INDEX('Schedule C'!$A$34:$BA$313,MATCH('EI - (F1 - F2)'!$R118,'Schedule C'!$A$34:$A$313,0),14)," ")</f>
        <v xml:space="preserve"> </v>
      </c>
      <c r="E118" s="1126" t="str">
        <f>IFERROR(VLOOKUP($D118,dropdowns!$J$3:$Q$16,8,0)," ")</f>
        <v xml:space="preserve"> </v>
      </c>
      <c r="F118" s="1126" t="str">
        <f>IFERROR(INDEX('Schedule C'!$A$34:$BA$313,MATCH('EI - (F1 - F2)'!$R118,'Schedule C'!$A$34:$A$313,0),2)," ")</f>
        <v xml:space="preserve"> </v>
      </c>
      <c r="G118" s="1126" t="str">
        <f>IFERROR(INDEX('Schedule C'!$A$34:$BA$313,MATCH('EI - (F1 - F2)'!$R118,'Schedule C'!$A$34:$A$313,0),38)," ")</f>
        <v xml:space="preserve"> </v>
      </c>
      <c r="H118" s="1127" t="str">
        <f>IFERROR(INDEX('Schedule C'!$A$34:$BA$313,MATCH('EI - (F1 - F2)'!$R118,'Schedule C'!$A$34:$A$313,0),39)," ")</f>
        <v xml:space="preserve"> </v>
      </c>
      <c r="I118" s="1129" t="str">
        <f t="shared" si="11"/>
        <v xml:space="preserve"> </v>
      </c>
      <c r="J118" s="1129" t="str">
        <f t="shared" si="11"/>
        <v xml:space="preserve"> </v>
      </c>
      <c r="K118" s="1129" t="str">
        <f t="shared" si="11"/>
        <v xml:space="preserve"> </v>
      </c>
      <c r="L118" s="1129" t="str">
        <f t="shared" si="11"/>
        <v xml:space="preserve"> </v>
      </c>
      <c r="M118" s="1129" t="str">
        <f t="shared" si="11"/>
        <v xml:space="preserve"> </v>
      </c>
      <c r="N118" s="1129" t="str">
        <f t="shared" si="11"/>
        <v xml:space="preserve"> </v>
      </c>
      <c r="O118" s="1129" t="str">
        <f t="shared" si="7"/>
        <v xml:space="preserve"> </v>
      </c>
      <c r="P118" s="1130" t="str">
        <f t="shared" si="8"/>
        <v xml:space="preserve"> </v>
      </c>
      <c r="Q118" s="1131" t="str">
        <f t="shared" si="9"/>
        <v xml:space="preserve"> </v>
      </c>
      <c r="R118" s="1118">
        <f>IF('Schedule C'!AM399&gt;='EI - (F1 - F2)'!J$3,IF('Schedule C'!AM399&lt;='EI - (F1 - F2)'!K$3,'Schedule C'!A399,0),0)</f>
        <v>0</v>
      </c>
    </row>
    <row r="119" spans="1:18" ht="15">
      <c r="A119" s="1125">
        <f t="shared" si="10"/>
        <v>112</v>
      </c>
      <c r="B119" s="1126">
        <v>1</v>
      </c>
      <c r="C119" s="1126" t="str">
        <f>IFERROR(VLOOKUP(D119,dropdowns!$J$3:$Q$16,7,0)," ")</f>
        <v xml:space="preserve"> </v>
      </c>
      <c r="D119" s="1126" t="str">
        <f>IFERROR(INDEX('Schedule C'!$A$34:$BA$313,MATCH('EI - (F1 - F2)'!$R119,'Schedule C'!$A$34:$A$313,0),14)," ")</f>
        <v xml:space="preserve"> </v>
      </c>
      <c r="E119" s="1126" t="str">
        <f>IFERROR(VLOOKUP($D119,dropdowns!$J$3:$Q$16,8,0)," ")</f>
        <v xml:space="preserve"> </v>
      </c>
      <c r="F119" s="1126" t="str">
        <f>IFERROR(INDEX('Schedule C'!$A$34:$BA$313,MATCH('EI - (F1 - F2)'!$R119,'Schedule C'!$A$34:$A$313,0),2)," ")</f>
        <v xml:space="preserve"> </v>
      </c>
      <c r="G119" s="1126" t="str">
        <f>IFERROR(INDEX('Schedule C'!$A$34:$BA$313,MATCH('EI - (F1 - F2)'!$R119,'Schedule C'!$A$34:$A$313,0),38)," ")</f>
        <v xml:space="preserve"> </v>
      </c>
      <c r="H119" s="1127" t="str">
        <f>IFERROR(INDEX('Schedule C'!$A$34:$BA$313,MATCH('EI - (F1 - F2)'!$R119,'Schedule C'!$A$34:$A$313,0),39)," ")</f>
        <v xml:space="preserve"> </v>
      </c>
      <c r="I119" s="1129" t="str">
        <f t="shared" si="11"/>
        <v xml:space="preserve"> </v>
      </c>
      <c r="J119" s="1129" t="str">
        <f t="shared" si="11"/>
        <v xml:space="preserve"> </v>
      </c>
      <c r="K119" s="1129" t="str">
        <f t="shared" si="11"/>
        <v xml:space="preserve"> </v>
      </c>
      <c r="L119" s="1129" t="str">
        <f t="shared" si="11"/>
        <v xml:space="preserve"> </v>
      </c>
      <c r="M119" s="1129" t="str">
        <f t="shared" si="11"/>
        <v xml:space="preserve"> </v>
      </c>
      <c r="N119" s="1129" t="str">
        <f t="shared" si="11"/>
        <v xml:space="preserve"> </v>
      </c>
      <c r="O119" s="1129" t="str">
        <f t="shared" si="7"/>
        <v xml:space="preserve"> </v>
      </c>
      <c r="P119" s="1130" t="str">
        <f t="shared" si="8"/>
        <v xml:space="preserve"> </v>
      </c>
      <c r="Q119" s="1131" t="str">
        <f t="shared" si="9"/>
        <v xml:space="preserve"> </v>
      </c>
      <c r="R119" s="1118">
        <f>IF('Schedule C'!AM400&gt;='EI - (F1 - F2)'!J$3,IF('Schedule C'!AM400&lt;='EI - (F1 - F2)'!K$3,'Schedule C'!A400,0),0)</f>
        <v>0</v>
      </c>
    </row>
    <row r="120" spans="1:18" ht="15">
      <c r="A120" s="1125">
        <f t="shared" si="10"/>
        <v>113</v>
      </c>
      <c r="B120" s="1126">
        <v>1</v>
      </c>
      <c r="C120" s="1126" t="str">
        <f>IFERROR(VLOOKUP(D120,dropdowns!$J$3:$Q$16,7,0)," ")</f>
        <v xml:space="preserve"> </v>
      </c>
      <c r="D120" s="1126" t="str">
        <f>IFERROR(INDEX('Schedule C'!$A$34:$BA$313,MATCH('EI - (F1 - F2)'!$R120,'Schedule C'!$A$34:$A$313,0),14)," ")</f>
        <v xml:space="preserve"> </v>
      </c>
      <c r="E120" s="1126" t="str">
        <f>IFERROR(VLOOKUP($D120,dropdowns!$J$3:$Q$16,8,0)," ")</f>
        <v xml:space="preserve"> </v>
      </c>
      <c r="F120" s="1126" t="str">
        <f>IFERROR(INDEX('Schedule C'!$A$34:$BA$313,MATCH('EI - (F1 - F2)'!$R120,'Schedule C'!$A$34:$A$313,0),2)," ")</f>
        <v xml:space="preserve"> </v>
      </c>
      <c r="G120" s="1126" t="str">
        <f>IFERROR(INDEX('Schedule C'!$A$34:$BA$313,MATCH('EI - (F1 - F2)'!$R120,'Schedule C'!$A$34:$A$313,0),38)," ")</f>
        <v xml:space="preserve"> </v>
      </c>
      <c r="H120" s="1127" t="str">
        <f>IFERROR(INDEX('Schedule C'!$A$34:$BA$313,MATCH('EI - (F1 - F2)'!$R120,'Schedule C'!$A$34:$A$313,0),39)," ")</f>
        <v xml:space="preserve"> </v>
      </c>
      <c r="I120" s="1129" t="str">
        <f t="shared" si="11"/>
        <v xml:space="preserve"> </v>
      </c>
      <c r="J120" s="1129" t="str">
        <f t="shared" si="11"/>
        <v xml:space="preserve"> </v>
      </c>
      <c r="K120" s="1129" t="str">
        <f t="shared" si="11"/>
        <v xml:space="preserve"> </v>
      </c>
      <c r="L120" s="1129" t="str">
        <f t="shared" si="11"/>
        <v xml:space="preserve"> </v>
      </c>
      <c r="M120" s="1129" t="str">
        <f t="shared" si="11"/>
        <v xml:space="preserve"> </v>
      </c>
      <c r="N120" s="1129" t="str">
        <f t="shared" si="11"/>
        <v xml:space="preserve"> </v>
      </c>
      <c r="O120" s="1129" t="str">
        <f t="shared" si="7"/>
        <v xml:space="preserve"> </v>
      </c>
      <c r="P120" s="1130" t="str">
        <f t="shared" si="8"/>
        <v xml:space="preserve"> </v>
      </c>
      <c r="Q120" s="1131" t="str">
        <f t="shared" si="9"/>
        <v xml:space="preserve"> </v>
      </c>
      <c r="R120" s="1118">
        <f>IF('Schedule C'!AM401&gt;='EI - (F1 - F2)'!J$3,IF('Schedule C'!AM401&lt;='EI - (F1 - F2)'!K$3,'Schedule C'!A401,0),0)</f>
        <v>0</v>
      </c>
    </row>
    <row r="121" spans="1:18" ht="15">
      <c r="A121" s="1125">
        <f t="shared" si="10"/>
        <v>114</v>
      </c>
      <c r="B121" s="1126">
        <v>1</v>
      </c>
      <c r="C121" s="1126" t="str">
        <f>IFERROR(VLOOKUP(D121,dropdowns!$J$3:$Q$16,7,0)," ")</f>
        <v xml:space="preserve"> </v>
      </c>
      <c r="D121" s="1126" t="str">
        <f>IFERROR(INDEX('Schedule C'!$A$34:$BA$313,MATCH('EI - (F1 - F2)'!$R121,'Schedule C'!$A$34:$A$313,0),14)," ")</f>
        <v xml:space="preserve"> </v>
      </c>
      <c r="E121" s="1126" t="str">
        <f>IFERROR(VLOOKUP($D121,dropdowns!$J$3:$Q$16,8,0)," ")</f>
        <v xml:space="preserve"> </v>
      </c>
      <c r="F121" s="1126" t="str">
        <f>IFERROR(INDEX('Schedule C'!$A$34:$BA$313,MATCH('EI - (F1 - F2)'!$R121,'Schedule C'!$A$34:$A$313,0),2)," ")</f>
        <v xml:space="preserve"> </v>
      </c>
      <c r="G121" s="1126" t="str">
        <f>IFERROR(INDEX('Schedule C'!$A$34:$BA$313,MATCH('EI - (F1 - F2)'!$R121,'Schedule C'!$A$34:$A$313,0),38)," ")</f>
        <v xml:space="preserve"> </v>
      </c>
      <c r="H121" s="1127" t="str">
        <f>IFERROR(INDEX('Schedule C'!$A$34:$BA$313,MATCH('EI - (F1 - F2)'!$R121,'Schedule C'!$A$34:$A$313,0),39)," ")</f>
        <v xml:space="preserve"> </v>
      </c>
      <c r="I121" s="1129" t="str">
        <f t="shared" si="11"/>
        <v xml:space="preserve"> </v>
      </c>
      <c r="J121" s="1129" t="str">
        <f t="shared" si="11"/>
        <v xml:space="preserve"> </v>
      </c>
      <c r="K121" s="1129" t="str">
        <f t="shared" si="11"/>
        <v xml:space="preserve"> </v>
      </c>
      <c r="L121" s="1129" t="str">
        <f t="shared" si="11"/>
        <v xml:space="preserve"> </v>
      </c>
      <c r="M121" s="1129" t="str">
        <f t="shared" si="11"/>
        <v xml:space="preserve"> </v>
      </c>
      <c r="N121" s="1129" t="str">
        <f t="shared" si="11"/>
        <v xml:space="preserve"> </v>
      </c>
      <c r="O121" s="1129" t="str">
        <f t="shared" si="7"/>
        <v xml:space="preserve"> </v>
      </c>
      <c r="P121" s="1130" t="str">
        <f t="shared" si="8"/>
        <v xml:space="preserve"> </v>
      </c>
      <c r="Q121" s="1131" t="str">
        <f t="shared" si="9"/>
        <v xml:space="preserve"> </v>
      </c>
      <c r="R121" s="1118">
        <f>IF('Schedule C'!AM402&gt;='EI - (F1 - F2)'!J$3,IF('Schedule C'!AM402&lt;='EI - (F1 - F2)'!K$3,'Schedule C'!A402,0),0)</f>
        <v>0</v>
      </c>
    </row>
    <row r="122" spans="1:18" ht="15">
      <c r="A122" s="1125">
        <f t="shared" si="10"/>
        <v>115</v>
      </c>
      <c r="B122" s="1126">
        <v>1</v>
      </c>
      <c r="C122" s="1126" t="str">
        <f>IFERROR(VLOOKUP(D122,dropdowns!$J$3:$Q$16,7,0)," ")</f>
        <v xml:space="preserve"> </v>
      </c>
      <c r="D122" s="1126" t="str">
        <f>IFERROR(INDEX('Schedule C'!$A$34:$BA$313,MATCH('EI - (F1 - F2)'!$R122,'Schedule C'!$A$34:$A$313,0),14)," ")</f>
        <v xml:space="preserve"> </v>
      </c>
      <c r="E122" s="1126" t="str">
        <f>IFERROR(VLOOKUP($D122,dropdowns!$J$3:$Q$16,8,0)," ")</f>
        <v xml:space="preserve"> </v>
      </c>
      <c r="F122" s="1126" t="str">
        <f>IFERROR(INDEX('Schedule C'!$A$34:$BA$313,MATCH('EI - (F1 - F2)'!$R122,'Schedule C'!$A$34:$A$313,0),2)," ")</f>
        <v xml:space="preserve"> </v>
      </c>
      <c r="G122" s="1126" t="str">
        <f>IFERROR(INDEX('Schedule C'!$A$34:$BA$313,MATCH('EI - (F1 - F2)'!$R122,'Schedule C'!$A$34:$A$313,0),38)," ")</f>
        <v xml:space="preserve"> </v>
      </c>
      <c r="H122" s="1127" t="str">
        <f>IFERROR(INDEX('Schedule C'!$A$34:$BA$313,MATCH('EI - (F1 - F2)'!$R122,'Schedule C'!$A$34:$A$313,0),39)," ")</f>
        <v xml:space="preserve"> </v>
      </c>
      <c r="I122" s="1129" t="str">
        <f t="shared" si="11"/>
        <v xml:space="preserve"> </v>
      </c>
      <c r="J122" s="1129" t="str">
        <f t="shared" si="11"/>
        <v xml:space="preserve"> </v>
      </c>
      <c r="K122" s="1129" t="str">
        <f t="shared" si="11"/>
        <v xml:space="preserve"> </v>
      </c>
      <c r="L122" s="1129" t="str">
        <f t="shared" si="11"/>
        <v xml:space="preserve"> </v>
      </c>
      <c r="M122" s="1129" t="str">
        <f t="shared" si="11"/>
        <v xml:space="preserve"> </v>
      </c>
      <c r="N122" s="1129" t="str">
        <f t="shared" si="11"/>
        <v xml:space="preserve"> </v>
      </c>
      <c r="O122" s="1129" t="str">
        <f t="shared" si="7"/>
        <v xml:space="preserve"> </v>
      </c>
      <c r="P122" s="1130" t="str">
        <f t="shared" si="8"/>
        <v xml:space="preserve"> </v>
      </c>
      <c r="Q122" s="1131" t="str">
        <f t="shared" si="9"/>
        <v xml:space="preserve"> </v>
      </c>
      <c r="R122" s="1118">
        <f>IF('Schedule C'!AM403&gt;='EI - (F1 - F2)'!J$3,IF('Schedule C'!AM403&lt;='EI - (F1 - F2)'!K$3,'Schedule C'!A403,0),0)</f>
        <v>0</v>
      </c>
    </row>
    <row r="123" spans="1:18" ht="15">
      <c r="A123" s="1125">
        <f t="shared" si="10"/>
        <v>116</v>
      </c>
      <c r="B123" s="1126">
        <v>1</v>
      </c>
      <c r="C123" s="1126" t="str">
        <f>IFERROR(VLOOKUP(D123,dropdowns!$J$3:$Q$16,7,0)," ")</f>
        <v xml:space="preserve"> </v>
      </c>
      <c r="D123" s="1126" t="str">
        <f>IFERROR(INDEX('Schedule C'!$A$34:$BA$313,MATCH('EI - (F1 - F2)'!$R123,'Schedule C'!$A$34:$A$313,0),14)," ")</f>
        <v xml:space="preserve"> </v>
      </c>
      <c r="E123" s="1126" t="str">
        <f>IFERROR(VLOOKUP($D123,dropdowns!$J$3:$Q$16,8,0)," ")</f>
        <v xml:space="preserve"> </v>
      </c>
      <c r="F123" s="1126" t="str">
        <f>IFERROR(INDEX('Schedule C'!$A$34:$BA$313,MATCH('EI - (F1 - F2)'!$R123,'Schedule C'!$A$34:$A$313,0),2)," ")</f>
        <v xml:space="preserve"> </v>
      </c>
      <c r="G123" s="1126" t="str">
        <f>IFERROR(INDEX('Schedule C'!$A$34:$BA$313,MATCH('EI - (F1 - F2)'!$R123,'Schedule C'!$A$34:$A$313,0),38)," ")</f>
        <v xml:space="preserve"> </v>
      </c>
      <c r="H123" s="1127" t="str">
        <f>IFERROR(INDEX('Schedule C'!$A$34:$BA$313,MATCH('EI - (F1 - F2)'!$R123,'Schedule C'!$A$34:$A$313,0),39)," ")</f>
        <v xml:space="preserve"> </v>
      </c>
      <c r="I123" s="1129" t="str">
        <f t="shared" si="11"/>
        <v xml:space="preserve"> </v>
      </c>
      <c r="J123" s="1129" t="str">
        <f t="shared" si="11"/>
        <v xml:space="preserve"> </v>
      </c>
      <c r="K123" s="1129" t="str">
        <f t="shared" si="11"/>
        <v xml:space="preserve"> </v>
      </c>
      <c r="L123" s="1129" t="str">
        <f t="shared" si="11"/>
        <v xml:space="preserve"> </v>
      </c>
      <c r="M123" s="1129" t="str">
        <f t="shared" si="11"/>
        <v xml:space="preserve"> </v>
      </c>
      <c r="N123" s="1129" t="str">
        <f t="shared" si="11"/>
        <v xml:space="preserve"> </v>
      </c>
      <c r="O123" s="1129" t="str">
        <f t="shared" si="7"/>
        <v xml:space="preserve"> </v>
      </c>
      <c r="P123" s="1130" t="str">
        <f t="shared" si="8"/>
        <v xml:space="preserve"> </v>
      </c>
      <c r="Q123" s="1131" t="str">
        <f t="shared" si="9"/>
        <v xml:space="preserve"> </v>
      </c>
      <c r="R123" s="1118">
        <f>IF('Schedule C'!AM404&gt;='EI - (F1 - F2)'!J$3,IF('Schedule C'!AM404&lt;='EI - (F1 - F2)'!K$3,'Schedule C'!A404,0),0)</f>
        <v>0</v>
      </c>
    </row>
    <row r="124" spans="1:18" ht="15">
      <c r="A124" s="1125">
        <f t="shared" si="10"/>
        <v>117</v>
      </c>
      <c r="B124" s="1126">
        <v>1</v>
      </c>
      <c r="C124" s="1126" t="str">
        <f>IFERROR(VLOOKUP(D124,dropdowns!$J$3:$Q$16,7,0)," ")</f>
        <v xml:space="preserve"> </v>
      </c>
      <c r="D124" s="1126" t="str">
        <f>IFERROR(INDEX('Schedule C'!$A$34:$BA$313,MATCH('EI - (F1 - F2)'!$R124,'Schedule C'!$A$34:$A$313,0),14)," ")</f>
        <v xml:space="preserve"> </v>
      </c>
      <c r="E124" s="1126" t="str">
        <f>IFERROR(VLOOKUP($D124,dropdowns!$J$3:$Q$16,8,0)," ")</f>
        <v xml:space="preserve"> </v>
      </c>
      <c r="F124" s="1126" t="str">
        <f>IFERROR(INDEX('Schedule C'!$A$34:$BA$313,MATCH('EI - (F1 - F2)'!$R124,'Schedule C'!$A$34:$A$313,0),2)," ")</f>
        <v xml:space="preserve"> </v>
      </c>
      <c r="G124" s="1126" t="str">
        <f>IFERROR(INDEX('Schedule C'!$A$34:$BA$313,MATCH('EI - (F1 - F2)'!$R124,'Schedule C'!$A$34:$A$313,0),38)," ")</f>
        <v xml:space="preserve"> </v>
      </c>
      <c r="H124" s="1127" t="str">
        <f>IFERROR(INDEX('Schedule C'!$A$34:$BA$313,MATCH('EI - (F1 - F2)'!$R124,'Schedule C'!$A$34:$A$313,0),39)," ")</f>
        <v xml:space="preserve"> </v>
      </c>
      <c r="I124" s="1129" t="str">
        <f t="shared" si="11"/>
        <v xml:space="preserve"> </v>
      </c>
      <c r="J124" s="1129" t="str">
        <f t="shared" si="11"/>
        <v xml:space="preserve"> </v>
      </c>
      <c r="K124" s="1129" t="str">
        <f t="shared" si="11"/>
        <v xml:space="preserve"> </v>
      </c>
      <c r="L124" s="1129" t="str">
        <f t="shared" si="11"/>
        <v xml:space="preserve"> </v>
      </c>
      <c r="M124" s="1129" t="str">
        <f t="shared" si="11"/>
        <v xml:space="preserve"> </v>
      </c>
      <c r="N124" s="1129" t="str">
        <f t="shared" si="11"/>
        <v xml:space="preserve"> </v>
      </c>
      <c r="O124" s="1129" t="str">
        <f t="shared" si="7"/>
        <v xml:space="preserve"> </v>
      </c>
      <c r="P124" s="1130" t="str">
        <f t="shared" si="8"/>
        <v xml:space="preserve"> </v>
      </c>
      <c r="Q124" s="1131" t="str">
        <f t="shared" si="9"/>
        <v xml:space="preserve"> </v>
      </c>
      <c r="R124" s="1118">
        <f>IF('Schedule C'!AM405&gt;='EI - (F1 - F2)'!J$3,IF('Schedule C'!AM405&lt;='EI - (F1 - F2)'!K$3,'Schedule C'!A405,0),0)</f>
        <v>0</v>
      </c>
    </row>
    <row r="125" spans="1:18" ht="15">
      <c r="A125" s="1125">
        <f t="shared" si="10"/>
        <v>118</v>
      </c>
      <c r="B125" s="1126">
        <v>1</v>
      </c>
      <c r="C125" s="1126" t="str">
        <f>IFERROR(VLOOKUP(D125,dropdowns!$J$3:$Q$16,7,0)," ")</f>
        <v xml:space="preserve"> </v>
      </c>
      <c r="D125" s="1126" t="str">
        <f>IFERROR(INDEX('Schedule C'!$A$34:$BA$313,MATCH('EI - (F1 - F2)'!$R125,'Schedule C'!$A$34:$A$313,0),14)," ")</f>
        <v xml:space="preserve"> </v>
      </c>
      <c r="E125" s="1126" t="str">
        <f>IFERROR(VLOOKUP($D125,dropdowns!$J$3:$Q$16,8,0)," ")</f>
        <v xml:space="preserve"> </v>
      </c>
      <c r="F125" s="1126" t="str">
        <f>IFERROR(INDEX('Schedule C'!$A$34:$BA$313,MATCH('EI - (F1 - F2)'!$R125,'Schedule C'!$A$34:$A$313,0),2)," ")</f>
        <v xml:space="preserve"> </v>
      </c>
      <c r="G125" s="1126" t="str">
        <f>IFERROR(INDEX('Schedule C'!$A$34:$BA$313,MATCH('EI - (F1 - F2)'!$R125,'Schedule C'!$A$34:$A$313,0),38)," ")</f>
        <v xml:space="preserve"> </v>
      </c>
      <c r="H125" s="1127" t="str">
        <f>IFERROR(INDEX('Schedule C'!$A$34:$BA$313,MATCH('EI - (F1 - F2)'!$R125,'Schedule C'!$A$34:$A$313,0),39)," ")</f>
        <v xml:space="preserve"> </v>
      </c>
      <c r="I125" s="1129" t="str">
        <f t="shared" si="11"/>
        <v xml:space="preserve"> </v>
      </c>
      <c r="J125" s="1129" t="str">
        <f t="shared" si="11"/>
        <v xml:space="preserve"> </v>
      </c>
      <c r="K125" s="1129" t="str">
        <f t="shared" si="11"/>
        <v xml:space="preserve"> </v>
      </c>
      <c r="L125" s="1129" t="str">
        <f t="shared" si="11"/>
        <v xml:space="preserve"> </v>
      </c>
      <c r="M125" s="1129" t="str">
        <f t="shared" si="11"/>
        <v xml:space="preserve"> </v>
      </c>
      <c r="N125" s="1129" t="str">
        <f t="shared" si="11"/>
        <v xml:space="preserve"> </v>
      </c>
      <c r="O125" s="1129" t="str">
        <f t="shared" si="7"/>
        <v xml:space="preserve"> </v>
      </c>
      <c r="P125" s="1130" t="str">
        <f t="shared" si="8"/>
        <v xml:space="preserve"> </v>
      </c>
      <c r="Q125" s="1131" t="str">
        <f t="shared" si="9"/>
        <v xml:space="preserve"> </v>
      </c>
      <c r="R125" s="1118">
        <f>IF('Schedule C'!AM406&gt;='EI - (F1 - F2)'!J$3,IF('Schedule C'!AM406&lt;='EI - (F1 - F2)'!K$3,'Schedule C'!A406,0),0)</f>
        <v>0</v>
      </c>
    </row>
    <row r="126" spans="1:18" ht="15">
      <c r="A126" s="1125">
        <f t="shared" si="10"/>
        <v>119</v>
      </c>
      <c r="B126" s="1126">
        <v>1</v>
      </c>
      <c r="C126" s="1126" t="str">
        <f>IFERROR(VLOOKUP(D126,dropdowns!$J$3:$Q$16,7,0)," ")</f>
        <v xml:space="preserve"> </v>
      </c>
      <c r="D126" s="1126" t="str">
        <f>IFERROR(INDEX('Schedule C'!$A$34:$BA$313,MATCH('EI - (F1 - F2)'!$R126,'Schedule C'!$A$34:$A$313,0),14)," ")</f>
        <v xml:space="preserve"> </v>
      </c>
      <c r="E126" s="1126" t="str">
        <f>IFERROR(VLOOKUP($D126,dropdowns!$J$3:$Q$16,8,0)," ")</f>
        <v xml:space="preserve"> </v>
      </c>
      <c r="F126" s="1126" t="str">
        <f>IFERROR(INDEX('Schedule C'!$A$34:$BA$313,MATCH('EI - (F1 - F2)'!$R126,'Schedule C'!$A$34:$A$313,0),2)," ")</f>
        <v xml:space="preserve"> </v>
      </c>
      <c r="G126" s="1126" t="str">
        <f>IFERROR(INDEX('Schedule C'!$A$34:$BA$313,MATCH('EI - (F1 - F2)'!$R126,'Schedule C'!$A$34:$A$313,0),38)," ")</f>
        <v xml:space="preserve"> </v>
      </c>
      <c r="H126" s="1127" t="str">
        <f>IFERROR(INDEX('Schedule C'!$A$34:$BA$313,MATCH('EI - (F1 - F2)'!$R126,'Schedule C'!$A$34:$A$313,0),39)," ")</f>
        <v xml:space="preserve"> </v>
      </c>
      <c r="I126" s="1129" t="str">
        <f t="shared" si="11"/>
        <v xml:space="preserve"> </v>
      </c>
      <c r="J126" s="1129" t="str">
        <f t="shared" si="11"/>
        <v xml:space="preserve"> </v>
      </c>
      <c r="K126" s="1129" t="str">
        <f t="shared" si="11"/>
        <v xml:space="preserve"> </v>
      </c>
      <c r="L126" s="1129" t="str">
        <f t="shared" si="11"/>
        <v xml:space="preserve"> </v>
      </c>
      <c r="M126" s="1129" t="str">
        <f t="shared" si="11"/>
        <v xml:space="preserve"> </v>
      </c>
      <c r="N126" s="1129" t="str">
        <f t="shared" si="11"/>
        <v xml:space="preserve"> </v>
      </c>
      <c r="O126" s="1129" t="str">
        <f t="shared" si="7"/>
        <v xml:space="preserve"> </v>
      </c>
      <c r="P126" s="1130" t="str">
        <f t="shared" si="8"/>
        <v xml:space="preserve"> </v>
      </c>
      <c r="Q126" s="1131" t="str">
        <f t="shared" si="9"/>
        <v xml:space="preserve"> </v>
      </c>
      <c r="R126" s="1118">
        <f>IF('Schedule C'!AM407&gt;='EI - (F1 - F2)'!J$3,IF('Schedule C'!AM407&lt;='EI - (F1 - F2)'!K$3,'Schedule C'!A407,0),0)</f>
        <v>0</v>
      </c>
    </row>
    <row r="127" spans="1:18" ht="15">
      <c r="A127" s="1125">
        <f t="shared" si="10"/>
        <v>120</v>
      </c>
      <c r="B127" s="1126">
        <v>1</v>
      </c>
      <c r="C127" s="1126" t="str">
        <f>IFERROR(VLOOKUP(D127,dropdowns!$J$3:$Q$16,7,0)," ")</f>
        <v xml:space="preserve"> </v>
      </c>
      <c r="D127" s="1126" t="str">
        <f>IFERROR(INDEX('Schedule C'!$A$34:$BA$313,MATCH('EI - (F1 - F2)'!$R127,'Schedule C'!$A$34:$A$313,0),14)," ")</f>
        <v xml:space="preserve"> </v>
      </c>
      <c r="E127" s="1126" t="str">
        <f>IFERROR(VLOOKUP($D127,dropdowns!$J$3:$Q$16,8,0)," ")</f>
        <v xml:space="preserve"> </v>
      </c>
      <c r="F127" s="1126" t="str">
        <f>IFERROR(INDEX('Schedule C'!$A$34:$BA$313,MATCH('EI - (F1 - F2)'!$R127,'Schedule C'!$A$34:$A$313,0),2)," ")</f>
        <v xml:space="preserve"> </v>
      </c>
      <c r="G127" s="1126" t="str">
        <f>IFERROR(INDEX('Schedule C'!$A$34:$BA$313,MATCH('EI - (F1 - F2)'!$R127,'Schedule C'!$A$34:$A$313,0),38)," ")</f>
        <v xml:space="preserve"> </v>
      </c>
      <c r="H127" s="1127" t="str">
        <f>IFERROR(INDEX('Schedule C'!$A$34:$BA$313,MATCH('EI - (F1 - F2)'!$R127,'Schedule C'!$A$34:$A$313,0),39)," ")</f>
        <v xml:space="preserve"> </v>
      </c>
      <c r="I127" s="1129" t="str">
        <f t="shared" si="11"/>
        <v xml:space="preserve"> </v>
      </c>
      <c r="J127" s="1129" t="str">
        <f t="shared" si="11"/>
        <v xml:space="preserve"> </v>
      </c>
      <c r="K127" s="1129" t="str">
        <f t="shared" si="11"/>
        <v xml:space="preserve"> </v>
      </c>
      <c r="L127" s="1129" t="str">
        <f t="shared" si="11"/>
        <v xml:space="preserve"> </v>
      </c>
      <c r="M127" s="1129" t="str">
        <f t="shared" si="11"/>
        <v xml:space="preserve"> </v>
      </c>
      <c r="N127" s="1129" t="str">
        <f t="shared" si="11"/>
        <v xml:space="preserve"> </v>
      </c>
      <c r="O127" s="1129" t="str">
        <f t="shared" si="7"/>
        <v xml:space="preserve"> </v>
      </c>
      <c r="P127" s="1130" t="str">
        <f t="shared" si="8"/>
        <v xml:space="preserve"> </v>
      </c>
      <c r="Q127" s="1131" t="str">
        <f t="shared" si="9"/>
        <v xml:space="preserve"> </v>
      </c>
      <c r="R127" s="1118">
        <f>IF('Schedule C'!AM408&gt;='EI - (F1 - F2)'!J$3,IF('Schedule C'!AM408&lt;='EI - (F1 - F2)'!K$3,'Schedule C'!A408,0),0)</f>
        <v>0</v>
      </c>
    </row>
    <row r="128" spans="1:18" ht="15">
      <c r="A128" s="1125">
        <f t="shared" si="10"/>
        <v>121</v>
      </c>
      <c r="B128" s="1126">
        <v>1</v>
      </c>
      <c r="C128" s="1126" t="str">
        <f>IFERROR(VLOOKUP(D128,dropdowns!$J$3:$Q$16,7,0)," ")</f>
        <v xml:space="preserve"> </v>
      </c>
      <c r="D128" s="1126" t="str">
        <f>IFERROR(INDEX('Schedule C'!$A$34:$BA$313,MATCH('EI - (F1 - F2)'!$R128,'Schedule C'!$A$34:$A$313,0),14)," ")</f>
        <v xml:space="preserve"> </v>
      </c>
      <c r="E128" s="1126" t="str">
        <f>IFERROR(VLOOKUP($D128,dropdowns!$J$3:$Q$16,8,0)," ")</f>
        <v xml:space="preserve"> </v>
      </c>
      <c r="F128" s="1126" t="str">
        <f>IFERROR(INDEX('Schedule C'!$A$34:$BA$313,MATCH('EI - (F1 - F2)'!$R128,'Schedule C'!$A$34:$A$313,0),2)," ")</f>
        <v xml:space="preserve"> </v>
      </c>
      <c r="G128" s="1126" t="str">
        <f>IFERROR(INDEX('Schedule C'!$A$34:$BA$313,MATCH('EI - (F1 - F2)'!$R128,'Schedule C'!$A$34:$A$313,0),38)," ")</f>
        <v xml:space="preserve"> </v>
      </c>
      <c r="H128" s="1127" t="str">
        <f>IFERROR(INDEX('Schedule C'!$A$34:$BA$313,MATCH('EI - (F1 - F2)'!$R128,'Schedule C'!$A$34:$A$313,0),39)," ")</f>
        <v xml:space="preserve"> </v>
      </c>
      <c r="I128" s="1129" t="str">
        <f t="shared" si="11"/>
        <v xml:space="preserve"> </v>
      </c>
      <c r="J128" s="1129" t="str">
        <f t="shared" si="11"/>
        <v xml:space="preserve"> </v>
      </c>
      <c r="K128" s="1129" t="str">
        <f t="shared" si="11"/>
        <v xml:space="preserve"> </v>
      </c>
      <c r="L128" s="1129" t="str">
        <f t="shared" si="11"/>
        <v xml:space="preserve"> </v>
      </c>
      <c r="M128" s="1129" t="str">
        <f t="shared" si="11"/>
        <v xml:space="preserve"> </v>
      </c>
      <c r="N128" s="1129" t="str">
        <f t="shared" si="11"/>
        <v xml:space="preserve"> </v>
      </c>
      <c r="O128" s="1129" t="str">
        <f t="shared" si="7"/>
        <v xml:space="preserve"> </v>
      </c>
      <c r="P128" s="1130" t="str">
        <f t="shared" si="8"/>
        <v xml:space="preserve"> </v>
      </c>
      <c r="Q128" s="1131" t="str">
        <f t="shared" si="9"/>
        <v xml:space="preserve"> </v>
      </c>
      <c r="R128" s="1118">
        <f>IF('Schedule C'!AM409&gt;='EI - (F1 - F2)'!J$3,IF('Schedule C'!AM409&lt;='EI - (F1 - F2)'!K$3,'Schedule C'!A409,0),0)</f>
        <v>0</v>
      </c>
    </row>
    <row r="129" spans="1:18" ht="15">
      <c r="A129" s="1125">
        <f t="shared" si="10"/>
        <v>122</v>
      </c>
      <c r="B129" s="1126">
        <v>1</v>
      </c>
      <c r="C129" s="1126" t="str">
        <f>IFERROR(VLOOKUP(D129,dropdowns!$J$3:$Q$16,7,0)," ")</f>
        <v xml:space="preserve"> </v>
      </c>
      <c r="D129" s="1126" t="str">
        <f>IFERROR(INDEX('Schedule C'!$A$34:$BA$313,MATCH('EI - (F1 - F2)'!$R129,'Schedule C'!$A$34:$A$313,0),14)," ")</f>
        <v xml:space="preserve"> </v>
      </c>
      <c r="E129" s="1126" t="str">
        <f>IFERROR(VLOOKUP($D129,dropdowns!$J$3:$Q$16,8,0)," ")</f>
        <v xml:space="preserve"> </v>
      </c>
      <c r="F129" s="1126" t="str">
        <f>IFERROR(INDEX('Schedule C'!$A$34:$BA$313,MATCH('EI - (F1 - F2)'!$R129,'Schedule C'!$A$34:$A$313,0),2)," ")</f>
        <v xml:space="preserve"> </v>
      </c>
      <c r="G129" s="1126" t="str">
        <f>IFERROR(INDEX('Schedule C'!$A$34:$BA$313,MATCH('EI - (F1 - F2)'!$R129,'Schedule C'!$A$34:$A$313,0),38)," ")</f>
        <v xml:space="preserve"> </v>
      </c>
      <c r="H129" s="1127" t="str">
        <f>IFERROR(INDEX('Schedule C'!$A$34:$BA$313,MATCH('EI - (F1 - F2)'!$R129,'Schedule C'!$A$34:$A$313,0),39)," ")</f>
        <v xml:space="preserve"> </v>
      </c>
      <c r="I129" s="1129" t="str">
        <f t="shared" si="11"/>
        <v xml:space="preserve"> </v>
      </c>
      <c r="J129" s="1129" t="str">
        <f t="shared" si="11"/>
        <v xml:space="preserve"> </v>
      </c>
      <c r="K129" s="1129" t="str">
        <f t="shared" si="11"/>
        <v xml:space="preserve"> </v>
      </c>
      <c r="L129" s="1129" t="str">
        <f t="shared" si="11"/>
        <v xml:space="preserve"> </v>
      </c>
      <c r="M129" s="1129" t="str">
        <f t="shared" si="11"/>
        <v xml:space="preserve"> </v>
      </c>
      <c r="N129" s="1129" t="str">
        <f t="shared" si="11"/>
        <v xml:space="preserve"> </v>
      </c>
      <c r="O129" s="1129" t="str">
        <f t="shared" si="7"/>
        <v xml:space="preserve"> </v>
      </c>
      <c r="P129" s="1130" t="str">
        <f t="shared" si="8"/>
        <v xml:space="preserve"> </v>
      </c>
      <c r="Q129" s="1131" t="str">
        <f t="shared" si="9"/>
        <v xml:space="preserve"> </v>
      </c>
      <c r="R129" s="1118">
        <f>IF('Schedule C'!AM410&gt;='EI - (F1 - F2)'!J$3,IF('Schedule C'!AM410&lt;='EI - (F1 - F2)'!K$3,'Schedule C'!A410,0),0)</f>
        <v>0</v>
      </c>
    </row>
    <row r="130" spans="1:18" ht="15">
      <c r="A130" s="1125">
        <f t="shared" si="10"/>
        <v>123</v>
      </c>
      <c r="B130" s="1126">
        <v>1</v>
      </c>
      <c r="C130" s="1126" t="str">
        <f>IFERROR(VLOOKUP(D130,dropdowns!$J$3:$Q$16,7,0)," ")</f>
        <v xml:space="preserve"> </v>
      </c>
      <c r="D130" s="1126" t="str">
        <f>IFERROR(INDEX('Schedule C'!$A$34:$BA$313,MATCH('EI - (F1 - F2)'!$R130,'Schedule C'!$A$34:$A$313,0),14)," ")</f>
        <v xml:space="preserve"> </v>
      </c>
      <c r="E130" s="1126" t="str">
        <f>IFERROR(VLOOKUP($D130,dropdowns!$J$3:$Q$16,8,0)," ")</f>
        <v xml:space="preserve"> </v>
      </c>
      <c r="F130" s="1126" t="str">
        <f>IFERROR(INDEX('Schedule C'!$A$34:$BA$313,MATCH('EI - (F1 - F2)'!$R130,'Schedule C'!$A$34:$A$313,0),2)," ")</f>
        <v xml:space="preserve"> </v>
      </c>
      <c r="G130" s="1126" t="str">
        <f>IFERROR(INDEX('Schedule C'!$A$34:$BA$313,MATCH('EI - (F1 - F2)'!$R130,'Schedule C'!$A$34:$A$313,0),38)," ")</f>
        <v xml:space="preserve"> </v>
      </c>
      <c r="H130" s="1127" t="str">
        <f>IFERROR(INDEX('Schedule C'!$A$34:$BA$313,MATCH('EI - (F1 - F2)'!$R130,'Schedule C'!$A$34:$A$313,0),39)," ")</f>
        <v xml:space="preserve"> </v>
      </c>
      <c r="I130" s="1129" t="str">
        <f t="shared" si="11"/>
        <v xml:space="preserve"> </v>
      </c>
      <c r="J130" s="1129" t="str">
        <f t="shared" si="11"/>
        <v xml:space="preserve"> </v>
      </c>
      <c r="K130" s="1129" t="str">
        <f t="shared" si="11"/>
        <v xml:space="preserve"> </v>
      </c>
      <c r="L130" s="1129" t="str">
        <f t="shared" si="11"/>
        <v xml:space="preserve"> </v>
      </c>
      <c r="M130" s="1129" t="str">
        <f t="shared" si="11"/>
        <v xml:space="preserve"> </v>
      </c>
      <c r="N130" s="1129" t="str">
        <f t="shared" si="11"/>
        <v xml:space="preserve"> </v>
      </c>
      <c r="O130" s="1129" t="str">
        <f t="shared" si="7"/>
        <v xml:space="preserve"> </v>
      </c>
      <c r="P130" s="1130" t="str">
        <f t="shared" si="8"/>
        <v xml:space="preserve"> </v>
      </c>
      <c r="Q130" s="1131" t="str">
        <f t="shared" si="9"/>
        <v xml:space="preserve"> </v>
      </c>
      <c r="R130" s="1118">
        <f>IF('Schedule C'!AM411&gt;='EI - (F1 - F2)'!J$3,IF('Schedule C'!AM411&lt;='EI - (F1 - F2)'!K$3,'Schedule C'!A411,0),0)</f>
        <v>0</v>
      </c>
    </row>
    <row r="131" spans="1:18" ht="15">
      <c r="A131" s="1125">
        <f t="shared" si="10"/>
        <v>124</v>
      </c>
      <c r="B131" s="1126">
        <v>1</v>
      </c>
      <c r="C131" s="1126" t="str">
        <f>IFERROR(VLOOKUP(D131,dropdowns!$J$3:$Q$16,7,0)," ")</f>
        <v xml:space="preserve"> </v>
      </c>
      <c r="D131" s="1126" t="str">
        <f>IFERROR(INDEX('Schedule C'!$A$34:$BA$313,MATCH('EI - (F1 - F2)'!$R131,'Schedule C'!$A$34:$A$313,0),14)," ")</f>
        <v xml:space="preserve"> </v>
      </c>
      <c r="E131" s="1126" t="str">
        <f>IFERROR(VLOOKUP($D131,dropdowns!$J$3:$Q$16,8,0)," ")</f>
        <v xml:space="preserve"> </v>
      </c>
      <c r="F131" s="1126" t="str">
        <f>IFERROR(INDEX('Schedule C'!$A$34:$BA$313,MATCH('EI - (F1 - F2)'!$R131,'Schedule C'!$A$34:$A$313,0),2)," ")</f>
        <v xml:space="preserve"> </v>
      </c>
      <c r="G131" s="1126" t="str">
        <f>IFERROR(INDEX('Schedule C'!$A$34:$BA$313,MATCH('EI - (F1 - F2)'!$R131,'Schedule C'!$A$34:$A$313,0),38)," ")</f>
        <v xml:space="preserve"> </v>
      </c>
      <c r="H131" s="1127" t="str">
        <f>IFERROR(INDEX('Schedule C'!$A$34:$BA$313,MATCH('EI - (F1 - F2)'!$R131,'Schedule C'!$A$34:$A$313,0),39)," ")</f>
        <v xml:space="preserve"> </v>
      </c>
      <c r="I131" s="1129" t="str">
        <f t="shared" si="11"/>
        <v xml:space="preserve"> </v>
      </c>
      <c r="J131" s="1129" t="str">
        <f t="shared" si="11"/>
        <v xml:space="preserve"> </v>
      </c>
      <c r="K131" s="1129" t="str">
        <f t="shared" si="11"/>
        <v xml:space="preserve"> </v>
      </c>
      <c r="L131" s="1129" t="str">
        <f t="shared" si="11"/>
        <v xml:space="preserve"> </v>
      </c>
      <c r="M131" s="1129" t="str">
        <f t="shared" si="11"/>
        <v xml:space="preserve"> </v>
      </c>
      <c r="N131" s="1129" t="str">
        <f t="shared" si="11"/>
        <v xml:space="preserve"> </v>
      </c>
      <c r="O131" s="1129" t="str">
        <f t="shared" si="7"/>
        <v xml:space="preserve"> </v>
      </c>
      <c r="P131" s="1130" t="str">
        <f t="shared" si="8"/>
        <v xml:space="preserve"> </v>
      </c>
      <c r="Q131" s="1131" t="str">
        <f t="shared" si="9"/>
        <v xml:space="preserve"> </v>
      </c>
      <c r="R131" s="1118">
        <f>IF('Schedule C'!AM412&gt;='EI - (F1 - F2)'!J$3,IF('Schedule C'!AM412&lt;='EI - (F1 - F2)'!K$3,'Schedule C'!A412,0),0)</f>
        <v>0</v>
      </c>
    </row>
    <row r="132" spans="1:18" ht="15">
      <c r="A132" s="1125">
        <f t="shared" si="10"/>
        <v>125</v>
      </c>
      <c r="B132" s="1126">
        <v>1</v>
      </c>
      <c r="C132" s="1126" t="str">
        <f>IFERROR(VLOOKUP(D132,dropdowns!$J$3:$Q$16,7,0)," ")</f>
        <v xml:space="preserve"> </v>
      </c>
      <c r="D132" s="1126" t="str">
        <f>IFERROR(INDEX('Schedule C'!$A$34:$BA$313,MATCH('EI - (F1 - F2)'!$R132,'Schedule C'!$A$34:$A$313,0),14)," ")</f>
        <v xml:space="preserve"> </v>
      </c>
      <c r="E132" s="1126" t="str">
        <f>IFERROR(VLOOKUP($D132,dropdowns!$J$3:$Q$16,8,0)," ")</f>
        <v xml:space="preserve"> </v>
      </c>
      <c r="F132" s="1126" t="str">
        <f>IFERROR(INDEX('Schedule C'!$A$34:$BA$313,MATCH('EI - (F1 - F2)'!$R132,'Schedule C'!$A$34:$A$313,0),2)," ")</f>
        <v xml:space="preserve"> </v>
      </c>
      <c r="G132" s="1126" t="str">
        <f>IFERROR(INDEX('Schedule C'!$A$34:$BA$313,MATCH('EI - (F1 - F2)'!$R132,'Schedule C'!$A$34:$A$313,0),38)," ")</f>
        <v xml:space="preserve"> </v>
      </c>
      <c r="H132" s="1127" t="str">
        <f>IFERROR(INDEX('Schedule C'!$A$34:$BA$313,MATCH('EI - (F1 - F2)'!$R132,'Schedule C'!$A$34:$A$313,0),39)," ")</f>
        <v xml:space="preserve"> </v>
      </c>
      <c r="I132" s="1129" t="str">
        <f t="shared" si="11"/>
        <v xml:space="preserve"> </v>
      </c>
      <c r="J132" s="1129" t="str">
        <f t="shared" si="11"/>
        <v xml:space="preserve"> </v>
      </c>
      <c r="K132" s="1129" t="str">
        <f t="shared" si="11"/>
        <v xml:space="preserve"> </v>
      </c>
      <c r="L132" s="1129" t="str">
        <f t="shared" si="11"/>
        <v xml:space="preserve"> </v>
      </c>
      <c r="M132" s="1129" t="str">
        <f t="shared" si="11"/>
        <v xml:space="preserve"> </v>
      </c>
      <c r="N132" s="1129" t="str">
        <f t="shared" si="11"/>
        <v xml:space="preserve"> </v>
      </c>
      <c r="O132" s="1129" t="str">
        <f t="shared" si="7"/>
        <v xml:space="preserve"> </v>
      </c>
      <c r="P132" s="1130" t="str">
        <f t="shared" si="8"/>
        <v xml:space="preserve"> </v>
      </c>
      <c r="Q132" s="1131" t="str">
        <f t="shared" si="9"/>
        <v xml:space="preserve"> </v>
      </c>
      <c r="R132" s="1118">
        <f>IF('Schedule C'!AM413&gt;='EI - (F1 - F2)'!J$3,IF('Schedule C'!AM413&lt;='EI - (F1 - F2)'!K$3,'Schedule C'!A413,0),0)</f>
        <v>0</v>
      </c>
    </row>
    <row r="133" spans="1:18" ht="15">
      <c r="A133" s="1125">
        <f t="shared" si="10"/>
        <v>126</v>
      </c>
      <c r="B133" s="1126">
        <v>1</v>
      </c>
      <c r="C133" s="1126" t="str">
        <f>IFERROR(VLOOKUP(D133,dropdowns!$J$3:$Q$16,7,0)," ")</f>
        <v xml:space="preserve"> </v>
      </c>
      <c r="D133" s="1126" t="str">
        <f>IFERROR(INDEX('Schedule C'!$A$34:$BA$313,MATCH('EI - (F1 - F2)'!$R133,'Schedule C'!$A$34:$A$313,0),14)," ")</f>
        <v xml:space="preserve"> </v>
      </c>
      <c r="E133" s="1126" t="str">
        <f>IFERROR(VLOOKUP($D133,dropdowns!$J$3:$Q$16,8,0)," ")</f>
        <v xml:space="preserve"> </v>
      </c>
      <c r="F133" s="1126" t="str">
        <f>IFERROR(INDEX('Schedule C'!$A$34:$BA$313,MATCH('EI - (F1 - F2)'!$R133,'Schedule C'!$A$34:$A$313,0),2)," ")</f>
        <v xml:space="preserve"> </v>
      </c>
      <c r="G133" s="1126" t="str">
        <f>IFERROR(INDEX('Schedule C'!$A$34:$BA$313,MATCH('EI - (F1 - F2)'!$R133,'Schedule C'!$A$34:$A$313,0),38)," ")</f>
        <v xml:space="preserve"> </v>
      </c>
      <c r="H133" s="1127" t="str">
        <f>IFERROR(INDEX('Schedule C'!$A$34:$BA$313,MATCH('EI - (F1 - F2)'!$R133,'Schedule C'!$A$34:$A$313,0),39)," ")</f>
        <v xml:space="preserve"> </v>
      </c>
      <c r="I133" s="1129" t="str">
        <f t="shared" si="11"/>
        <v xml:space="preserve"> </v>
      </c>
      <c r="J133" s="1129" t="str">
        <f t="shared" si="11"/>
        <v xml:space="preserve"> </v>
      </c>
      <c r="K133" s="1129" t="str">
        <f t="shared" si="11"/>
        <v xml:space="preserve"> </v>
      </c>
      <c r="L133" s="1129" t="str">
        <f t="shared" si="11"/>
        <v xml:space="preserve"> </v>
      </c>
      <c r="M133" s="1129" t="str">
        <f t="shared" si="11"/>
        <v xml:space="preserve"> </v>
      </c>
      <c r="N133" s="1129" t="str">
        <f t="shared" si="11"/>
        <v xml:space="preserve"> </v>
      </c>
      <c r="O133" s="1129" t="str">
        <f t="shared" si="7"/>
        <v xml:space="preserve"> </v>
      </c>
      <c r="P133" s="1130" t="str">
        <f t="shared" si="8"/>
        <v xml:space="preserve"> </v>
      </c>
      <c r="Q133" s="1131" t="str">
        <f t="shared" si="9"/>
        <v xml:space="preserve"> </v>
      </c>
      <c r="R133" s="1118">
        <f>IF('Schedule C'!AM414&gt;='EI - (F1 - F2)'!J$3,IF('Schedule C'!AM414&lt;='EI - (F1 - F2)'!K$3,'Schedule C'!A414,0),0)</f>
        <v>0</v>
      </c>
    </row>
    <row r="134" spans="1:18" ht="15">
      <c r="A134" s="1125">
        <f t="shared" si="10"/>
        <v>127</v>
      </c>
      <c r="B134" s="1126">
        <v>1</v>
      </c>
      <c r="C134" s="1126" t="str">
        <f>IFERROR(VLOOKUP(D134,dropdowns!$J$3:$Q$16,7,0)," ")</f>
        <v xml:space="preserve"> </v>
      </c>
      <c r="D134" s="1126" t="str">
        <f>IFERROR(INDEX('Schedule C'!$A$34:$BA$313,MATCH('EI - (F1 - F2)'!$R134,'Schedule C'!$A$34:$A$313,0),14)," ")</f>
        <v xml:space="preserve"> </v>
      </c>
      <c r="E134" s="1126" t="str">
        <f>IFERROR(VLOOKUP($D134,dropdowns!$J$3:$Q$16,8,0)," ")</f>
        <v xml:space="preserve"> </v>
      </c>
      <c r="F134" s="1126" t="str">
        <f>IFERROR(INDEX('Schedule C'!$A$34:$BA$313,MATCH('EI - (F1 - F2)'!$R134,'Schedule C'!$A$34:$A$313,0),2)," ")</f>
        <v xml:space="preserve"> </v>
      </c>
      <c r="G134" s="1126" t="str">
        <f>IFERROR(INDEX('Schedule C'!$A$34:$BA$313,MATCH('EI - (F1 - F2)'!$R134,'Schedule C'!$A$34:$A$313,0),38)," ")</f>
        <v xml:space="preserve"> </v>
      </c>
      <c r="H134" s="1127" t="str">
        <f>IFERROR(INDEX('Schedule C'!$A$34:$BA$313,MATCH('EI - (F1 - F2)'!$R134,'Schedule C'!$A$34:$A$313,0),39)," ")</f>
        <v xml:space="preserve"> </v>
      </c>
      <c r="I134" s="1129" t="str">
        <f t="shared" si="11"/>
        <v xml:space="preserve"> </v>
      </c>
      <c r="J134" s="1129" t="str">
        <f t="shared" si="11"/>
        <v xml:space="preserve"> </v>
      </c>
      <c r="K134" s="1129" t="str">
        <f t="shared" si="11"/>
        <v xml:space="preserve"> </v>
      </c>
      <c r="L134" s="1129" t="str">
        <f t="shared" si="11"/>
        <v xml:space="preserve"> </v>
      </c>
      <c r="M134" s="1129" t="str">
        <f t="shared" si="11"/>
        <v xml:space="preserve"> </v>
      </c>
      <c r="N134" s="1129" t="str">
        <f t="shared" si="11"/>
        <v xml:space="preserve"> </v>
      </c>
      <c r="O134" s="1129" t="str">
        <f t="shared" si="7"/>
        <v xml:space="preserve"> </v>
      </c>
      <c r="P134" s="1130" t="str">
        <f t="shared" si="8"/>
        <v xml:space="preserve"> </v>
      </c>
      <c r="Q134" s="1131" t="str">
        <f t="shared" si="9"/>
        <v xml:space="preserve"> </v>
      </c>
      <c r="R134" s="1118">
        <f>IF('Schedule C'!AM415&gt;='EI - (F1 - F2)'!J$3,IF('Schedule C'!AM415&lt;='EI - (F1 - F2)'!K$3,'Schedule C'!A415,0),0)</f>
        <v>0</v>
      </c>
    </row>
    <row r="135" spans="1:18" ht="15">
      <c r="A135" s="1125">
        <f t="shared" si="10"/>
        <v>128</v>
      </c>
      <c r="B135" s="1126">
        <v>1</v>
      </c>
      <c r="C135" s="1126" t="str">
        <f>IFERROR(VLOOKUP(D135,dropdowns!$J$3:$Q$16,7,0)," ")</f>
        <v xml:space="preserve"> </v>
      </c>
      <c r="D135" s="1126" t="str">
        <f>IFERROR(INDEX('Schedule C'!$A$34:$BA$313,MATCH('EI - (F1 - F2)'!$R135,'Schedule C'!$A$34:$A$313,0),14)," ")</f>
        <v xml:space="preserve"> </v>
      </c>
      <c r="E135" s="1126" t="str">
        <f>IFERROR(VLOOKUP($D135,dropdowns!$J$3:$Q$16,8,0)," ")</f>
        <v xml:space="preserve"> </v>
      </c>
      <c r="F135" s="1126" t="str">
        <f>IFERROR(INDEX('Schedule C'!$A$34:$BA$313,MATCH('EI - (F1 - F2)'!$R135,'Schedule C'!$A$34:$A$313,0),2)," ")</f>
        <v xml:space="preserve"> </v>
      </c>
      <c r="G135" s="1126" t="str">
        <f>IFERROR(INDEX('Schedule C'!$A$34:$BA$313,MATCH('EI - (F1 - F2)'!$R135,'Schedule C'!$A$34:$A$313,0),38)," ")</f>
        <v xml:space="preserve"> </v>
      </c>
      <c r="H135" s="1127" t="str">
        <f>IFERROR(INDEX('Schedule C'!$A$34:$BA$313,MATCH('EI - (F1 - F2)'!$R135,'Schedule C'!$A$34:$A$313,0),39)," ")</f>
        <v xml:space="preserve"> </v>
      </c>
      <c r="I135" s="1129" t="str">
        <f t="shared" si="11"/>
        <v xml:space="preserve"> </v>
      </c>
      <c r="J135" s="1129" t="str">
        <f t="shared" si="11"/>
        <v xml:space="preserve"> </v>
      </c>
      <c r="K135" s="1129" t="str">
        <f t="shared" si="11"/>
        <v xml:space="preserve"> </v>
      </c>
      <c r="L135" s="1129" t="str">
        <f t="shared" si="11"/>
        <v xml:space="preserve"> </v>
      </c>
      <c r="M135" s="1129" t="str">
        <f t="shared" si="11"/>
        <v xml:space="preserve"> </v>
      </c>
      <c r="N135" s="1129" t="str">
        <f t="shared" si="11"/>
        <v xml:space="preserve"> </v>
      </c>
      <c r="O135" s="1129" t="str">
        <f t="shared" si="7"/>
        <v xml:space="preserve"> </v>
      </c>
      <c r="P135" s="1130" t="str">
        <f t="shared" si="8"/>
        <v xml:space="preserve"> </v>
      </c>
      <c r="Q135" s="1131" t="str">
        <f t="shared" si="9"/>
        <v xml:space="preserve"> </v>
      </c>
      <c r="R135" s="1118">
        <f>IF('Schedule C'!AM416&gt;='EI - (F1 - F2)'!J$3,IF('Schedule C'!AM416&lt;='EI - (F1 - F2)'!K$3,'Schedule C'!A416,0),0)</f>
        <v>0</v>
      </c>
    </row>
    <row r="136" spans="1:18" ht="15">
      <c r="A136" s="1125">
        <f t="shared" si="10"/>
        <v>129</v>
      </c>
      <c r="B136" s="1126">
        <v>1</v>
      </c>
      <c r="C136" s="1126" t="str">
        <f>IFERROR(VLOOKUP(D136,dropdowns!$J$3:$Q$16,7,0)," ")</f>
        <v xml:space="preserve"> </v>
      </c>
      <c r="D136" s="1126" t="str">
        <f>IFERROR(INDEX('Schedule C'!$A$34:$BA$313,MATCH('EI - (F1 - F2)'!$R136,'Schedule C'!$A$34:$A$313,0),14)," ")</f>
        <v xml:space="preserve"> </v>
      </c>
      <c r="E136" s="1126" t="str">
        <f>IFERROR(VLOOKUP($D136,dropdowns!$J$3:$Q$16,8,0)," ")</f>
        <v xml:space="preserve"> </v>
      </c>
      <c r="F136" s="1126" t="str">
        <f>IFERROR(INDEX('Schedule C'!$A$34:$BA$313,MATCH('EI - (F1 - F2)'!$R136,'Schedule C'!$A$34:$A$313,0),2)," ")</f>
        <v xml:space="preserve"> </v>
      </c>
      <c r="G136" s="1126" t="str">
        <f>IFERROR(INDEX('Schedule C'!$A$34:$BA$313,MATCH('EI - (F1 - F2)'!$R136,'Schedule C'!$A$34:$A$313,0),38)," ")</f>
        <v xml:space="preserve"> </v>
      </c>
      <c r="H136" s="1127" t="str">
        <f>IFERROR(INDEX('Schedule C'!$A$34:$BA$313,MATCH('EI - (F1 - F2)'!$R136,'Schedule C'!$A$34:$A$313,0),39)," ")</f>
        <v xml:space="preserve"> </v>
      </c>
      <c r="I136" s="1129" t="str">
        <f t="shared" si="11"/>
        <v xml:space="preserve"> </v>
      </c>
      <c r="J136" s="1129" t="str">
        <f t="shared" si="11"/>
        <v xml:space="preserve"> </v>
      </c>
      <c r="K136" s="1129" t="str">
        <f t="shared" si="11"/>
        <v xml:space="preserve"> </v>
      </c>
      <c r="L136" s="1129" t="str">
        <f t="shared" si="11"/>
        <v xml:space="preserve"> </v>
      </c>
      <c r="M136" s="1129" t="str">
        <f t="shared" si="11"/>
        <v xml:space="preserve"> </v>
      </c>
      <c r="N136" s="1129" t="str">
        <f t="shared" si="11"/>
        <v xml:space="preserve"> </v>
      </c>
      <c r="O136" s="1129" t="str">
        <f t="shared" si="7"/>
        <v xml:space="preserve"> </v>
      </c>
      <c r="P136" s="1130" t="str">
        <f t="shared" si="8"/>
        <v xml:space="preserve"> </v>
      </c>
      <c r="Q136" s="1131" t="str">
        <f t="shared" si="9"/>
        <v xml:space="preserve"> </v>
      </c>
      <c r="R136" s="1118">
        <f>IF('Schedule C'!AM417&gt;='EI - (F1 - F2)'!J$3,IF('Schedule C'!AM417&lt;='EI - (F1 - F2)'!K$3,'Schedule C'!A417,0),0)</f>
        <v>0</v>
      </c>
    </row>
    <row r="137" spans="1:18" ht="15">
      <c r="A137" s="1125">
        <f t="shared" si="10"/>
        <v>130</v>
      </c>
      <c r="B137" s="1126">
        <v>1</v>
      </c>
      <c r="C137" s="1126" t="str">
        <f>IFERROR(VLOOKUP(D137,dropdowns!$J$3:$Q$16,7,0)," ")</f>
        <v xml:space="preserve"> </v>
      </c>
      <c r="D137" s="1126" t="str">
        <f>IFERROR(INDEX('Schedule C'!$A$34:$BA$313,MATCH('EI - (F1 - F2)'!$R137,'Schedule C'!$A$34:$A$313,0),14)," ")</f>
        <v xml:space="preserve"> </v>
      </c>
      <c r="E137" s="1126" t="str">
        <f>IFERROR(VLOOKUP($D137,dropdowns!$J$3:$Q$16,8,0)," ")</f>
        <v xml:space="preserve"> </v>
      </c>
      <c r="F137" s="1126" t="str">
        <f>IFERROR(INDEX('Schedule C'!$A$34:$BA$313,MATCH('EI - (F1 - F2)'!$R137,'Schedule C'!$A$34:$A$313,0),2)," ")</f>
        <v xml:space="preserve"> </v>
      </c>
      <c r="G137" s="1126" t="str">
        <f>IFERROR(INDEX('Schedule C'!$A$34:$BA$313,MATCH('EI - (F1 - F2)'!$R137,'Schedule C'!$A$34:$A$313,0),38)," ")</f>
        <v xml:space="preserve"> </v>
      </c>
      <c r="H137" s="1127" t="str">
        <f>IFERROR(INDEX('Schedule C'!$A$34:$BA$313,MATCH('EI - (F1 - F2)'!$R137,'Schedule C'!$A$34:$A$313,0),39)," ")</f>
        <v xml:space="preserve"> </v>
      </c>
      <c r="I137" s="1129" t="str">
        <f t="shared" si="11"/>
        <v xml:space="preserve"> </v>
      </c>
      <c r="J137" s="1129" t="str">
        <f t="shared" si="11"/>
        <v xml:space="preserve"> </v>
      </c>
      <c r="K137" s="1129" t="str">
        <f t="shared" si="11"/>
        <v xml:space="preserve"> </v>
      </c>
      <c r="L137" s="1129" t="str">
        <f t="shared" si="11"/>
        <v xml:space="preserve"> </v>
      </c>
      <c r="M137" s="1129" t="str">
        <f t="shared" si="11"/>
        <v xml:space="preserve"> </v>
      </c>
      <c r="N137" s="1129" t="str">
        <f t="shared" si="11"/>
        <v xml:space="preserve"> </v>
      </c>
      <c r="O137" s="1129" t="str">
        <f t="shared" ref="O137:O200" si="12">IF($R137=0," ","OPEN")</f>
        <v xml:space="preserve"> </v>
      </c>
      <c r="P137" s="1130" t="str">
        <f t="shared" ref="P137:P200" si="13">IF($R137=0," ",H137+90)</f>
        <v xml:space="preserve"> </v>
      </c>
      <c r="Q137" s="1131" t="str">
        <f t="shared" ref="Q137:Q200" si="14">IF(R137=0," ",(H137+90)-$K$3)</f>
        <v xml:space="preserve"> </v>
      </c>
      <c r="R137" s="1118">
        <f>IF('Schedule C'!AM418&gt;='EI - (F1 - F2)'!J$3,IF('Schedule C'!AM418&lt;='EI - (F1 - F2)'!K$3,'Schedule C'!A418,0),0)</f>
        <v>0</v>
      </c>
    </row>
    <row r="138" spans="1:18" ht="15">
      <c r="A138" s="1125">
        <f t="shared" si="10"/>
        <v>131</v>
      </c>
      <c r="B138" s="1126">
        <v>1</v>
      </c>
      <c r="C138" s="1126" t="str">
        <f>IFERROR(VLOOKUP(D138,dropdowns!$J$3:$Q$16,7,0)," ")</f>
        <v xml:space="preserve"> </v>
      </c>
      <c r="D138" s="1126" t="str">
        <f>IFERROR(INDEX('Schedule C'!$A$34:$BA$313,MATCH('EI - (F1 - F2)'!$R138,'Schedule C'!$A$34:$A$313,0),14)," ")</f>
        <v xml:space="preserve"> </v>
      </c>
      <c r="E138" s="1126" t="str">
        <f>IFERROR(VLOOKUP($D138,dropdowns!$J$3:$Q$16,8,0)," ")</f>
        <v xml:space="preserve"> </v>
      </c>
      <c r="F138" s="1126" t="str">
        <f>IFERROR(INDEX('Schedule C'!$A$34:$BA$313,MATCH('EI - (F1 - F2)'!$R138,'Schedule C'!$A$34:$A$313,0),2)," ")</f>
        <v xml:space="preserve"> </v>
      </c>
      <c r="G138" s="1126" t="str">
        <f>IFERROR(INDEX('Schedule C'!$A$34:$BA$313,MATCH('EI - (F1 - F2)'!$R138,'Schedule C'!$A$34:$A$313,0),38)," ")</f>
        <v xml:space="preserve"> </v>
      </c>
      <c r="H138" s="1127" t="str">
        <f>IFERROR(INDEX('Schedule C'!$A$34:$BA$313,MATCH('EI - (F1 - F2)'!$R138,'Schedule C'!$A$34:$A$313,0),39)," ")</f>
        <v xml:space="preserve"> </v>
      </c>
      <c r="I138" s="1129" t="str">
        <f t="shared" si="11"/>
        <v xml:space="preserve"> </v>
      </c>
      <c r="J138" s="1129" t="str">
        <f t="shared" si="11"/>
        <v xml:space="preserve"> </v>
      </c>
      <c r="K138" s="1129" t="str">
        <f t="shared" si="11"/>
        <v xml:space="preserve"> </v>
      </c>
      <c r="L138" s="1129" t="str">
        <f t="shared" si="11"/>
        <v xml:space="preserve"> </v>
      </c>
      <c r="M138" s="1129" t="str">
        <f t="shared" si="11"/>
        <v xml:space="preserve"> </v>
      </c>
      <c r="N138" s="1129" t="str">
        <f t="shared" si="11"/>
        <v xml:space="preserve"> </v>
      </c>
      <c r="O138" s="1129" t="str">
        <f t="shared" si="12"/>
        <v xml:space="preserve"> </v>
      </c>
      <c r="P138" s="1130" t="str">
        <f t="shared" si="13"/>
        <v xml:space="preserve"> </v>
      </c>
      <c r="Q138" s="1131" t="str">
        <f t="shared" si="14"/>
        <v xml:space="preserve"> </v>
      </c>
      <c r="R138" s="1118">
        <f>IF('Schedule C'!AM419&gt;='EI - (F1 - F2)'!J$3,IF('Schedule C'!AM419&lt;='EI - (F1 - F2)'!K$3,'Schedule C'!A419,0),0)</f>
        <v>0</v>
      </c>
    </row>
    <row r="139" spans="1:18" ht="15">
      <c r="A139" s="1125">
        <f t="shared" si="10"/>
        <v>132</v>
      </c>
      <c r="B139" s="1126">
        <v>1</v>
      </c>
      <c r="C139" s="1126" t="str">
        <f>IFERROR(VLOOKUP(D139,dropdowns!$J$3:$Q$16,7,0)," ")</f>
        <v xml:space="preserve"> </v>
      </c>
      <c r="D139" s="1126" t="str">
        <f>IFERROR(INDEX('Schedule C'!$A$34:$BA$313,MATCH('EI - (F1 - F2)'!$R139,'Schedule C'!$A$34:$A$313,0),14)," ")</f>
        <v xml:space="preserve"> </v>
      </c>
      <c r="E139" s="1126" t="str">
        <f>IFERROR(VLOOKUP($D139,dropdowns!$J$3:$Q$16,8,0)," ")</f>
        <v xml:space="preserve"> </v>
      </c>
      <c r="F139" s="1126" t="str">
        <f>IFERROR(INDEX('Schedule C'!$A$34:$BA$313,MATCH('EI - (F1 - F2)'!$R139,'Schedule C'!$A$34:$A$313,0),2)," ")</f>
        <v xml:space="preserve"> </v>
      </c>
      <c r="G139" s="1126" t="str">
        <f>IFERROR(INDEX('Schedule C'!$A$34:$BA$313,MATCH('EI - (F1 - F2)'!$R139,'Schedule C'!$A$34:$A$313,0),38)," ")</f>
        <v xml:space="preserve"> </v>
      </c>
      <c r="H139" s="1127" t="str">
        <f>IFERROR(INDEX('Schedule C'!$A$34:$BA$313,MATCH('EI - (F1 - F2)'!$R139,'Schedule C'!$A$34:$A$313,0),39)," ")</f>
        <v xml:space="preserve"> </v>
      </c>
      <c r="I139" s="1129" t="str">
        <f t="shared" si="11"/>
        <v xml:space="preserve"> </v>
      </c>
      <c r="J139" s="1129" t="str">
        <f t="shared" si="11"/>
        <v xml:space="preserve"> </v>
      </c>
      <c r="K139" s="1129" t="str">
        <f t="shared" si="11"/>
        <v xml:space="preserve"> </v>
      </c>
      <c r="L139" s="1129" t="str">
        <f t="shared" si="11"/>
        <v xml:space="preserve"> </v>
      </c>
      <c r="M139" s="1129" t="str">
        <f t="shared" si="11"/>
        <v xml:space="preserve"> </v>
      </c>
      <c r="N139" s="1129" t="str">
        <f t="shared" si="11"/>
        <v xml:space="preserve"> </v>
      </c>
      <c r="O139" s="1129" t="str">
        <f t="shared" si="12"/>
        <v xml:space="preserve"> </v>
      </c>
      <c r="P139" s="1130" t="str">
        <f t="shared" si="13"/>
        <v xml:space="preserve"> </v>
      </c>
      <c r="Q139" s="1131" t="str">
        <f t="shared" si="14"/>
        <v xml:space="preserve"> </v>
      </c>
      <c r="R139" s="1118">
        <f>IF('Schedule C'!AM420&gt;='EI - (F1 - F2)'!J$3,IF('Schedule C'!AM420&lt;='EI - (F1 - F2)'!K$3,'Schedule C'!A420,0),0)</f>
        <v>0</v>
      </c>
    </row>
    <row r="140" spans="1:18" ht="15">
      <c r="A140" s="1125">
        <f t="shared" si="10"/>
        <v>133</v>
      </c>
      <c r="B140" s="1126">
        <v>1</v>
      </c>
      <c r="C140" s="1126" t="str">
        <f>IFERROR(VLOOKUP(D140,dropdowns!$J$3:$Q$16,7,0)," ")</f>
        <v xml:space="preserve"> </v>
      </c>
      <c r="D140" s="1126" t="str">
        <f>IFERROR(INDEX('Schedule C'!$A$34:$BA$313,MATCH('EI - (F1 - F2)'!$R140,'Schedule C'!$A$34:$A$313,0),14)," ")</f>
        <v xml:space="preserve"> </v>
      </c>
      <c r="E140" s="1126" t="str">
        <f>IFERROR(VLOOKUP($D140,dropdowns!$J$3:$Q$16,8,0)," ")</f>
        <v xml:space="preserve"> </v>
      </c>
      <c r="F140" s="1126" t="str">
        <f>IFERROR(INDEX('Schedule C'!$A$34:$BA$313,MATCH('EI - (F1 - F2)'!$R140,'Schedule C'!$A$34:$A$313,0),2)," ")</f>
        <v xml:space="preserve"> </v>
      </c>
      <c r="G140" s="1126" t="str">
        <f>IFERROR(INDEX('Schedule C'!$A$34:$BA$313,MATCH('EI - (F1 - F2)'!$R140,'Schedule C'!$A$34:$A$313,0),38)," ")</f>
        <v xml:space="preserve"> </v>
      </c>
      <c r="H140" s="1127" t="str">
        <f>IFERROR(INDEX('Schedule C'!$A$34:$BA$313,MATCH('EI - (F1 - F2)'!$R140,'Schedule C'!$A$34:$A$313,0),39)," ")</f>
        <v xml:space="preserve"> </v>
      </c>
      <c r="I140" s="1129" t="str">
        <f t="shared" si="11"/>
        <v xml:space="preserve"> </v>
      </c>
      <c r="J140" s="1129" t="str">
        <f t="shared" si="11"/>
        <v xml:space="preserve"> </v>
      </c>
      <c r="K140" s="1129" t="str">
        <f t="shared" si="11"/>
        <v xml:space="preserve"> </v>
      </c>
      <c r="L140" s="1129" t="str">
        <f t="shared" si="11"/>
        <v xml:space="preserve"> </v>
      </c>
      <c r="M140" s="1129" t="str">
        <f t="shared" si="11"/>
        <v xml:space="preserve"> </v>
      </c>
      <c r="N140" s="1129" t="str">
        <f t="shared" si="11"/>
        <v xml:space="preserve"> </v>
      </c>
      <c r="O140" s="1129" t="str">
        <f t="shared" si="12"/>
        <v xml:space="preserve"> </v>
      </c>
      <c r="P140" s="1130" t="str">
        <f t="shared" si="13"/>
        <v xml:space="preserve"> </v>
      </c>
      <c r="Q140" s="1131" t="str">
        <f t="shared" si="14"/>
        <v xml:space="preserve"> </v>
      </c>
      <c r="R140" s="1118">
        <f>IF('Schedule C'!AM421&gt;='EI - (F1 - F2)'!J$3,IF('Schedule C'!AM421&lt;='EI - (F1 - F2)'!K$3,'Schedule C'!A421,0),0)</f>
        <v>0</v>
      </c>
    </row>
    <row r="141" spans="1:18" ht="15">
      <c r="A141" s="1125">
        <f t="shared" si="10"/>
        <v>134</v>
      </c>
      <c r="B141" s="1126">
        <v>1</v>
      </c>
      <c r="C141" s="1126" t="str">
        <f>IFERROR(VLOOKUP(D141,dropdowns!$J$3:$Q$16,7,0)," ")</f>
        <v xml:space="preserve"> </v>
      </c>
      <c r="D141" s="1126" t="str">
        <f>IFERROR(INDEX('Schedule C'!$A$34:$BA$313,MATCH('EI - (F1 - F2)'!$R141,'Schedule C'!$A$34:$A$313,0),14)," ")</f>
        <v xml:space="preserve"> </v>
      </c>
      <c r="E141" s="1126" t="str">
        <f>IFERROR(VLOOKUP($D141,dropdowns!$J$3:$Q$16,8,0)," ")</f>
        <v xml:space="preserve"> </v>
      </c>
      <c r="F141" s="1126" t="str">
        <f>IFERROR(INDEX('Schedule C'!$A$34:$BA$313,MATCH('EI - (F1 - F2)'!$R141,'Schedule C'!$A$34:$A$313,0),2)," ")</f>
        <v xml:space="preserve"> </v>
      </c>
      <c r="G141" s="1126" t="str">
        <f>IFERROR(INDEX('Schedule C'!$A$34:$BA$313,MATCH('EI - (F1 - F2)'!$R141,'Schedule C'!$A$34:$A$313,0),38)," ")</f>
        <v xml:space="preserve"> </v>
      </c>
      <c r="H141" s="1127" t="str">
        <f>IFERROR(INDEX('Schedule C'!$A$34:$BA$313,MATCH('EI - (F1 - F2)'!$R141,'Schedule C'!$A$34:$A$313,0),39)," ")</f>
        <v xml:space="preserve"> </v>
      </c>
      <c r="I141" s="1129" t="str">
        <f t="shared" si="11"/>
        <v xml:space="preserve"> </v>
      </c>
      <c r="J141" s="1129" t="str">
        <f t="shared" si="11"/>
        <v xml:space="preserve"> </v>
      </c>
      <c r="K141" s="1129" t="str">
        <f t="shared" si="11"/>
        <v xml:space="preserve"> </v>
      </c>
      <c r="L141" s="1129" t="str">
        <f t="shared" si="11"/>
        <v xml:space="preserve"> </v>
      </c>
      <c r="M141" s="1129" t="str">
        <f t="shared" si="11"/>
        <v xml:space="preserve"> </v>
      </c>
      <c r="N141" s="1129" t="str">
        <f t="shared" si="11"/>
        <v xml:space="preserve"> </v>
      </c>
      <c r="O141" s="1129" t="str">
        <f t="shared" si="12"/>
        <v xml:space="preserve"> </v>
      </c>
      <c r="P141" s="1130" t="str">
        <f t="shared" si="13"/>
        <v xml:space="preserve"> </v>
      </c>
      <c r="Q141" s="1131" t="str">
        <f t="shared" si="14"/>
        <v xml:space="preserve"> </v>
      </c>
      <c r="R141" s="1118">
        <f>IF('Schedule C'!AM422&gt;='EI - (F1 - F2)'!J$3,IF('Schedule C'!AM422&lt;='EI - (F1 - F2)'!K$3,'Schedule C'!A422,0),0)</f>
        <v>0</v>
      </c>
    </row>
    <row r="142" spans="1:18" ht="15">
      <c r="A142" s="1125">
        <f t="shared" si="10"/>
        <v>135</v>
      </c>
      <c r="B142" s="1126">
        <v>1</v>
      </c>
      <c r="C142" s="1126" t="str">
        <f>IFERROR(VLOOKUP(D142,dropdowns!$J$3:$Q$16,7,0)," ")</f>
        <v xml:space="preserve"> </v>
      </c>
      <c r="D142" s="1126" t="str">
        <f>IFERROR(INDEX('Schedule C'!$A$34:$BA$313,MATCH('EI - (F1 - F2)'!$R142,'Schedule C'!$A$34:$A$313,0),14)," ")</f>
        <v xml:space="preserve"> </v>
      </c>
      <c r="E142" s="1126" t="str">
        <f>IFERROR(VLOOKUP($D142,dropdowns!$J$3:$Q$16,8,0)," ")</f>
        <v xml:space="preserve"> </v>
      </c>
      <c r="F142" s="1126" t="str">
        <f>IFERROR(INDEX('Schedule C'!$A$34:$BA$313,MATCH('EI - (F1 - F2)'!$R142,'Schedule C'!$A$34:$A$313,0),2)," ")</f>
        <v xml:space="preserve"> </v>
      </c>
      <c r="G142" s="1126" t="str">
        <f>IFERROR(INDEX('Schedule C'!$A$34:$BA$313,MATCH('EI - (F1 - F2)'!$R142,'Schedule C'!$A$34:$A$313,0),38)," ")</f>
        <v xml:space="preserve"> </v>
      </c>
      <c r="H142" s="1127" t="str">
        <f>IFERROR(INDEX('Schedule C'!$A$34:$BA$313,MATCH('EI - (F1 - F2)'!$R142,'Schedule C'!$A$34:$A$313,0),39)," ")</f>
        <v xml:space="preserve"> </v>
      </c>
      <c r="I142" s="1129" t="str">
        <f t="shared" si="11"/>
        <v xml:space="preserve"> </v>
      </c>
      <c r="J142" s="1129" t="str">
        <f t="shared" si="11"/>
        <v xml:space="preserve"> </v>
      </c>
      <c r="K142" s="1129" t="str">
        <f t="shared" si="11"/>
        <v xml:space="preserve"> </v>
      </c>
      <c r="L142" s="1129" t="str">
        <f t="shared" si="11"/>
        <v xml:space="preserve"> </v>
      </c>
      <c r="M142" s="1129" t="str">
        <f t="shared" si="11"/>
        <v xml:space="preserve"> </v>
      </c>
      <c r="N142" s="1129" t="str">
        <f t="shared" si="11"/>
        <v xml:space="preserve"> </v>
      </c>
      <c r="O142" s="1129" t="str">
        <f t="shared" si="12"/>
        <v xml:space="preserve"> </v>
      </c>
      <c r="P142" s="1130" t="str">
        <f t="shared" si="13"/>
        <v xml:space="preserve"> </v>
      </c>
      <c r="Q142" s="1131" t="str">
        <f t="shared" si="14"/>
        <v xml:space="preserve"> </v>
      </c>
      <c r="R142" s="1118">
        <f>IF('Schedule C'!AM423&gt;='EI - (F1 - F2)'!J$3,IF('Schedule C'!AM423&lt;='EI - (F1 - F2)'!K$3,'Schedule C'!A423,0),0)</f>
        <v>0</v>
      </c>
    </row>
    <row r="143" spans="1:18" ht="15">
      <c r="A143" s="1125">
        <f t="shared" si="10"/>
        <v>136</v>
      </c>
      <c r="B143" s="1126">
        <v>1</v>
      </c>
      <c r="C143" s="1126" t="str">
        <f>IFERROR(VLOOKUP(D143,dropdowns!$J$3:$Q$16,7,0)," ")</f>
        <v xml:space="preserve"> </v>
      </c>
      <c r="D143" s="1126" t="str">
        <f>IFERROR(INDEX('Schedule C'!$A$34:$BA$313,MATCH('EI - (F1 - F2)'!$R143,'Schedule C'!$A$34:$A$313,0),14)," ")</f>
        <v xml:space="preserve"> </v>
      </c>
      <c r="E143" s="1126" t="str">
        <f>IFERROR(VLOOKUP($D143,dropdowns!$J$3:$Q$16,8,0)," ")</f>
        <v xml:space="preserve"> </v>
      </c>
      <c r="F143" s="1126" t="str">
        <f>IFERROR(INDEX('Schedule C'!$A$34:$BA$313,MATCH('EI - (F1 - F2)'!$R143,'Schedule C'!$A$34:$A$313,0),2)," ")</f>
        <v xml:space="preserve"> </v>
      </c>
      <c r="G143" s="1126" t="str">
        <f>IFERROR(INDEX('Schedule C'!$A$34:$BA$313,MATCH('EI - (F1 - F2)'!$R143,'Schedule C'!$A$34:$A$313,0),38)," ")</f>
        <v xml:space="preserve"> </v>
      </c>
      <c r="H143" s="1127" t="str">
        <f>IFERROR(INDEX('Schedule C'!$A$34:$BA$313,MATCH('EI - (F1 - F2)'!$R143,'Schedule C'!$A$34:$A$313,0),39)," ")</f>
        <v xml:space="preserve"> </v>
      </c>
      <c r="I143" s="1129" t="str">
        <f t="shared" si="11"/>
        <v xml:space="preserve"> </v>
      </c>
      <c r="J143" s="1129" t="str">
        <f t="shared" si="11"/>
        <v xml:space="preserve"> </v>
      </c>
      <c r="K143" s="1129" t="str">
        <f t="shared" si="11"/>
        <v xml:space="preserve"> </v>
      </c>
      <c r="L143" s="1129" t="str">
        <f t="shared" si="11"/>
        <v xml:space="preserve"> </v>
      </c>
      <c r="M143" s="1129" t="str">
        <f t="shared" si="11"/>
        <v xml:space="preserve"> </v>
      </c>
      <c r="N143" s="1129" t="str">
        <f t="shared" si="11"/>
        <v xml:space="preserve"> </v>
      </c>
      <c r="O143" s="1129" t="str">
        <f t="shared" si="12"/>
        <v xml:space="preserve"> </v>
      </c>
      <c r="P143" s="1130" t="str">
        <f t="shared" si="13"/>
        <v xml:space="preserve"> </v>
      </c>
      <c r="Q143" s="1131" t="str">
        <f t="shared" si="14"/>
        <v xml:space="preserve"> </v>
      </c>
      <c r="R143" s="1118">
        <f>IF('Schedule C'!AM424&gt;='EI - (F1 - F2)'!J$3,IF('Schedule C'!AM424&lt;='EI - (F1 - F2)'!K$3,'Schedule C'!A424,0),0)</f>
        <v>0</v>
      </c>
    </row>
    <row r="144" spans="1:18" ht="15">
      <c r="A144" s="1125">
        <f t="shared" si="10"/>
        <v>137</v>
      </c>
      <c r="B144" s="1126">
        <v>1</v>
      </c>
      <c r="C144" s="1126" t="str">
        <f>IFERROR(VLOOKUP(D144,dropdowns!$J$3:$Q$16,7,0)," ")</f>
        <v xml:space="preserve"> </v>
      </c>
      <c r="D144" s="1126" t="str">
        <f>IFERROR(INDEX('Schedule C'!$A$34:$BA$313,MATCH('EI - (F1 - F2)'!$R144,'Schedule C'!$A$34:$A$313,0),14)," ")</f>
        <v xml:space="preserve"> </v>
      </c>
      <c r="E144" s="1126" t="str">
        <f>IFERROR(VLOOKUP($D144,dropdowns!$J$3:$Q$16,8,0)," ")</f>
        <v xml:space="preserve"> </v>
      </c>
      <c r="F144" s="1126" t="str">
        <f>IFERROR(INDEX('Schedule C'!$A$34:$BA$313,MATCH('EI - (F1 - F2)'!$R144,'Schedule C'!$A$34:$A$313,0),2)," ")</f>
        <v xml:space="preserve"> </v>
      </c>
      <c r="G144" s="1126" t="str">
        <f>IFERROR(INDEX('Schedule C'!$A$34:$BA$313,MATCH('EI - (F1 - F2)'!$R144,'Schedule C'!$A$34:$A$313,0),38)," ")</f>
        <v xml:space="preserve"> </v>
      </c>
      <c r="H144" s="1127" t="str">
        <f>IFERROR(INDEX('Schedule C'!$A$34:$BA$313,MATCH('EI - (F1 - F2)'!$R144,'Schedule C'!$A$34:$A$313,0),39)," ")</f>
        <v xml:space="preserve"> </v>
      </c>
      <c r="I144" s="1129" t="str">
        <f t="shared" si="11"/>
        <v xml:space="preserve"> </v>
      </c>
      <c r="J144" s="1129" t="str">
        <f t="shared" si="11"/>
        <v xml:space="preserve"> </v>
      </c>
      <c r="K144" s="1129" t="str">
        <f t="shared" si="11"/>
        <v xml:space="preserve"> </v>
      </c>
      <c r="L144" s="1129" t="str">
        <f t="shared" si="11"/>
        <v xml:space="preserve"> </v>
      </c>
      <c r="M144" s="1129" t="str">
        <f t="shared" si="11"/>
        <v xml:space="preserve"> </v>
      </c>
      <c r="N144" s="1129" t="str">
        <f t="shared" si="11"/>
        <v xml:space="preserve"> </v>
      </c>
      <c r="O144" s="1129" t="str">
        <f t="shared" si="12"/>
        <v xml:space="preserve"> </v>
      </c>
      <c r="P144" s="1130" t="str">
        <f t="shared" si="13"/>
        <v xml:space="preserve"> </v>
      </c>
      <c r="Q144" s="1131" t="str">
        <f t="shared" si="14"/>
        <v xml:space="preserve"> </v>
      </c>
      <c r="R144" s="1118">
        <f>IF('Schedule C'!AM425&gt;='EI - (F1 - F2)'!J$3,IF('Schedule C'!AM425&lt;='EI - (F1 - F2)'!K$3,'Schedule C'!A425,0),0)</f>
        <v>0</v>
      </c>
    </row>
    <row r="145" spans="1:18" ht="15">
      <c r="A145" s="1125">
        <f t="shared" si="10"/>
        <v>138</v>
      </c>
      <c r="B145" s="1126">
        <v>1</v>
      </c>
      <c r="C145" s="1126" t="str">
        <f>IFERROR(VLOOKUP(D145,dropdowns!$J$3:$Q$16,7,0)," ")</f>
        <v xml:space="preserve"> </v>
      </c>
      <c r="D145" s="1126" t="str">
        <f>IFERROR(INDEX('Schedule C'!$A$34:$BA$313,MATCH('EI - (F1 - F2)'!$R145,'Schedule C'!$A$34:$A$313,0),14)," ")</f>
        <v xml:space="preserve"> </v>
      </c>
      <c r="E145" s="1126" t="str">
        <f>IFERROR(VLOOKUP($D145,dropdowns!$J$3:$Q$16,8,0)," ")</f>
        <v xml:space="preserve"> </v>
      </c>
      <c r="F145" s="1126" t="str">
        <f>IFERROR(INDEX('Schedule C'!$A$34:$BA$313,MATCH('EI - (F1 - F2)'!$R145,'Schedule C'!$A$34:$A$313,0),2)," ")</f>
        <v xml:space="preserve"> </v>
      </c>
      <c r="G145" s="1126" t="str">
        <f>IFERROR(INDEX('Schedule C'!$A$34:$BA$313,MATCH('EI - (F1 - F2)'!$R145,'Schedule C'!$A$34:$A$313,0),38)," ")</f>
        <v xml:space="preserve"> </v>
      </c>
      <c r="H145" s="1127" t="str">
        <f>IFERROR(INDEX('Schedule C'!$A$34:$BA$313,MATCH('EI - (F1 - F2)'!$R145,'Schedule C'!$A$34:$A$313,0),39)," ")</f>
        <v xml:space="preserve"> </v>
      </c>
      <c r="I145" s="1129" t="str">
        <f t="shared" si="11"/>
        <v xml:space="preserve"> </v>
      </c>
      <c r="J145" s="1129" t="str">
        <f t="shared" si="11"/>
        <v xml:space="preserve"> </v>
      </c>
      <c r="K145" s="1129" t="str">
        <f t="shared" si="11"/>
        <v xml:space="preserve"> </v>
      </c>
      <c r="L145" s="1129" t="str">
        <f t="shared" si="11"/>
        <v xml:space="preserve"> </v>
      </c>
      <c r="M145" s="1129" t="str">
        <f t="shared" si="11"/>
        <v xml:space="preserve"> </v>
      </c>
      <c r="N145" s="1129" t="str">
        <f t="shared" si="11"/>
        <v xml:space="preserve"> </v>
      </c>
      <c r="O145" s="1129" t="str">
        <f t="shared" si="12"/>
        <v xml:space="preserve"> </v>
      </c>
      <c r="P145" s="1130" t="str">
        <f t="shared" si="13"/>
        <v xml:space="preserve"> </v>
      </c>
      <c r="Q145" s="1131" t="str">
        <f t="shared" si="14"/>
        <v xml:space="preserve"> </v>
      </c>
      <c r="R145" s="1118">
        <f>IF('Schedule C'!AM426&gt;='EI - (F1 - F2)'!J$3,IF('Schedule C'!AM426&lt;='EI - (F1 - F2)'!K$3,'Schedule C'!A426,0),0)</f>
        <v>0</v>
      </c>
    </row>
    <row r="146" spans="1:18" ht="15">
      <c r="A146" s="1125">
        <f t="shared" si="10"/>
        <v>139</v>
      </c>
      <c r="B146" s="1126">
        <v>1</v>
      </c>
      <c r="C146" s="1126" t="str">
        <f>IFERROR(VLOOKUP(D146,dropdowns!$J$3:$Q$16,7,0)," ")</f>
        <v xml:space="preserve"> </v>
      </c>
      <c r="D146" s="1126" t="str">
        <f>IFERROR(INDEX('Schedule C'!$A$34:$BA$313,MATCH('EI - (F1 - F2)'!$R146,'Schedule C'!$A$34:$A$313,0),14)," ")</f>
        <v xml:space="preserve"> </v>
      </c>
      <c r="E146" s="1126" t="str">
        <f>IFERROR(VLOOKUP($D146,dropdowns!$J$3:$Q$16,8,0)," ")</f>
        <v xml:space="preserve"> </v>
      </c>
      <c r="F146" s="1126" t="str">
        <f>IFERROR(INDEX('Schedule C'!$A$34:$BA$313,MATCH('EI - (F1 - F2)'!$R146,'Schedule C'!$A$34:$A$313,0),2)," ")</f>
        <v xml:space="preserve"> </v>
      </c>
      <c r="G146" s="1126" t="str">
        <f>IFERROR(INDEX('Schedule C'!$A$34:$BA$313,MATCH('EI - (F1 - F2)'!$R146,'Schedule C'!$A$34:$A$313,0),38)," ")</f>
        <v xml:space="preserve"> </v>
      </c>
      <c r="H146" s="1127" t="str">
        <f>IFERROR(INDEX('Schedule C'!$A$34:$BA$313,MATCH('EI - (F1 - F2)'!$R146,'Schedule C'!$A$34:$A$313,0),39)," ")</f>
        <v xml:space="preserve"> </v>
      </c>
      <c r="I146" s="1129" t="str">
        <f t="shared" si="11"/>
        <v xml:space="preserve"> </v>
      </c>
      <c r="J146" s="1129" t="str">
        <f t="shared" si="11"/>
        <v xml:space="preserve"> </v>
      </c>
      <c r="K146" s="1129" t="str">
        <f t="shared" si="11"/>
        <v xml:space="preserve"> </v>
      </c>
      <c r="L146" s="1129" t="str">
        <f t="shared" si="11"/>
        <v xml:space="preserve"> </v>
      </c>
      <c r="M146" s="1129" t="str">
        <f t="shared" si="11"/>
        <v xml:space="preserve"> </v>
      </c>
      <c r="N146" s="1129" t="str">
        <f t="shared" si="11"/>
        <v xml:space="preserve"> </v>
      </c>
      <c r="O146" s="1129" t="str">
        <f t="shared" si="12"/>
        <v xml:space="preserve"> </v>
      </c>
      <c r="P146" s="1130" t="str">
        <f t="shared" si="13"/>
        <v xml:space="preserve"> </v>
      </c>
      <c r="Q146" s="1131" t="str">
        <f t="shared" si="14"/>
        <v xml:space="preserve"> </v>
      </c>
      <c r="R146" s="1118">
        <f>IF('Schedule C'!AM427&gt;='EI - (F1 - F2)'!J$3,IF('Schedule C'!AM427&lt;='EI - (F1 - F2)'!K$3,'Schedule C'!A427,0),0)</f>
        <v>0</v>
      </c>
    </row>
    <row r="147" spans="1:18" ht="15">
      <c r="A147" s="1125">
        <f t="shared" si="10"/>
        <v>140</v>
      </c>
      <c r="B147" s="1126">
        <v>1</v>
      </c>
      <c r="C147" s="1126" t="str">
        <f>IFERROR(VLOOKUP(D147,dropdowns!$J$3:$Q$16,7,0)," ")</f>
        <v xml:space="preserve"> </v>
      </c>
      <c r="D147" s="1126" t="str">
        <f>IFERROR(INDEX('Schedule C'!$A$34:$BA$313,MATCH('EI - (F1 - F2)'!$R147,'Schedule C'!$A$34:$A$313,0),14)," ")</f>
        <v xml:space="preserve"> </v>
      </c>
      <c r="E147" s="1126" t="str">
        <f>IFERROR(VLOOKUP($D147,dropdowns!$J$3:$Q$16,8,0)," ")</f>
        <v xml:space="preserve"> </v>
      </c>
      <c r="F147" s="1126" t="str">
        <f>IFERROR(INDEX('Schedule C'!$A$34:$BA$313,MATCH('EI - (F1 - F2)'!$R147,'Schedule C'!$A$34:$A$313,0),2)," ")</f>
        <v xml:space="preserve"> </v>
      </c>
      <c r="G147" s="1126" t="str">
        <f>IFERROR(INDEX('Schedule C'!$A$34:$BA$313,MATCH('EI - (F1 - F2)'!$R147,'Schedule C'!$A$34:$A$313,0),38)," ")</f>
        <v xml:space="preserve"> </v>
      </c>
      <c r="H147" s="1127" t="str">
        <f>IFERROR(INDEX('Schedule C'!$A$34:$BA$313,MATCH('EI - (F1 - F2)'!$R147,'Schedule C'!$A$34:$A$313,0),39)," ")</f>
        <v xml:space="preserve"> </v>
      </c>
      <c r="I147" s="1129" t="str">
        <f t="shared" si="11"/>
        <v xml:space="preserve"> </v>
      </c>
      <c r="J147" s="1129" t="str">
        <f t="shared" si="11"/>
        <v xml:space="preserve"> </v>
      </c>
      <c r="K147" s="1129" t="str">
        <f t="shared" si="11"/>
        <v xml:space="preserve"> </v>
      </c>
      <c r="L147" s="1129" t="str">
        <f t="shared" si="11"/>
        <v xml:space="preserve"> </v>
      </c>
      <c r="M147" s="1129" t="str">
        <f t="shared" si="11"/>
        <v xml:space="preserve"> </v>
      </c>
      <c r="N147" s="1129" t="str">
        <f t="shared" si="11"/>
        <v xml:space="preserve"> </v>
      </c>
      <c r="O147" s="1129" t="str">
        <f t="shared" si="12"/>
        <v xml:space="preserve"> </v>
      </c>
      <c r="P147" s="1130" t="str">
        <f t="shared" si="13"/>
        <v xml:space="preserve"> </v>
      </c>
      <c r="Q147" s="1131" t="str">
        <f t="shared" si="14"/>
        <v xml:space="preserve"> </v>
      </c>
      <c r="R147" s="1118">
        <f>IF('Schedule C'!AM428&gt;='EI - (F1 - F2)'!J$3,IF('Schedule C'!AM428&lt;='EI - (F1 - F2)'!K$3,'Schedule C'!A428,0),0)</f>
        <v>0</v>
      </c>
    </row>
    <row r="148" spans="1:18" ht="15">
      <c r="A148" s="1125">
        <f t="shared" si="10"/>
        <v>141</v>
      </c>
      <c r="B148" s="1126">
        <v>1</v>
      </c>
      <c r="C148" s="1126" t="str">
        <f>IFERROR(VLOOKUP(D148,dropdowns!$J$3:$Q$16,7,0)," ")</f>
        <v xml:space="preserve"> </v>
      </c>
      <c r="D148" s="1126" t="str">
        <f>IFERROR(INDEX('Schedule C'!$A$34:$BA$313,MATCH('EI - (F1 - F2)'!$R148,'Schedule C'!$A$34:$A$313,0),14)," ")</f>
        <v xml:space="preserve"> </v>
      </c>
      <c r="E148" s="1126" t="str">
        <f>IFERROR(VLOOKUP($D148,dropdowns!$J$3:$Q$16,8,0)," ")</f>
        <v xml:space="preserve"> </v>
      </c>
      <c r="F148" s="1126" t="str">
        <f>IFERROR(INDEX('Schedule C'!$A$34:$BA$313,MATCH('EI - (F1 - F2)'!$R148,'Schedule C'!$A$34:$A$313,0),2)," ")</f>
        <v xml:space="preserve"> </v>
      </c>
      <c r="G148" s="1126" t="str">
        <f>IFERROR(INDEX('Schedule C'!$A$34:$BA$313,MATCH('EI - (F1 - F2)'!$R148,'Schedule C'!$A$34:$A$313,0),38)," ")</f>
        <v xml:space="preserve"> </v>
      </c>
      <c r="H148" s="1127" t="str">
        <f>IFERROR(INDEX('Schedule C'!$A$34:$BA$313,MATCH('EI - (F1 - F2)'!$R148,'Schedule C'!$A$34:$A$313,0),39)," ")</f>
        <v xml:space="preserve"> </v>
      </c>
      <c r="I148" s="1129" t="str">
        <f t="shared" si="11"/>
        <v xml:space="preserve"> </v>
      </c>
      <c r="J148" s="1129" t="str">
        <f t="shared" si="11"/>
        <v xml:space="preserve"> </v>
      </c>
      <c r="K148" s="1129" t="str">
        <f t="shared" si="11"/>
        <v xml:space="preserve"> </v>
      </c>
      <c r="L148" s="1129" t="str">
        <f t="shared" si="11"/>
        <v xml:space="preserve"> </v>
      </c>
      <c r="M148" s="1129" t="str">
        <f t="shared" si="11"/>
        <v xml:space="preserve"> </v>
      </c>
      <c r="N148" s="1129" t="str">
        <f t="shared" si="11"/>
        <v xml:space="preserve"> </v>
      </c>
      <c r="O148" s="1129" t="str">
        <f t="shared" si="12"/>
        <v xml:space="preserve"> </v>
      </c>
      <c r="P148" s="1130" t="str">
        <f t="shared" si="13"/>
        <v xml:space="preserve"> </v>
      </c>
      <c r="Q148" s="1131" t="str">
        <f t="shared" si="14"/>
        <v xml:space="preserve"> </v>
      </c>
      <c r="R148" s="1118">
        <f>IF('Schedule C'!AM429&gt;='EI - (F1 - F2)'!J$3,IF('Schedule C'!AM429&lt;='EI - (F1 - F2)'!K$3,'Schedule C'!A429,0),0)</f>
        <v>0</v>
      </c>
    </row>
    <row r="149" spans="1:18" ht="15">
      <c r="A149" s="1125">
        <f t="shared" si="10"/>
        <v>142</v>
      </c>
      <c r="B149" s="1126">
        <v>1</v>
      </c>
      <c r="C149" s="1126" t="str">
        <f>IFERROR(VLOOKUP(D149,dropdowns!$J$3:$Q$16,7,0)," ")</f>
        <v xml:space="preserve"> </v>
      </c>
      <c r="D149" s="1126" t="str">
        <f>IFERROR(INDEX('Schedule C'!$A$34:$BA$313,MATCH('EI - (F1 - F2)'!$R149,'Schedule C'!$A$34:$A$313,0),14)," ")</f>
        <v xml:space="preserve"> </v>
      </c>
      <c r="E149" s="1126" t="str">
        <f>IFERROR(VLOOKUP($D149,dropdowns!$J$3:$Q$16,8,0)," ")</f>
        <v xml:space="preserve"> </v>
      </c>
      <c r="F149" s="1126" t="str">
        <f>IFERROR(INDEX('Schedule C'!$A$34:$BA$313,MATCH('EI - (F1 - F2)'!$R149,'Schedule C'!$A$34:$A$313,0),2)," ")</f>
        <v xml:space="preserve"> </v>
      </c>
      <c r="G149" s="1126" t="str">
        <f>IFERROR(INDEX('Schedule C'!$A$34:$BA$313,MATCH('EI - (F1 - F2)'!$R149,'Schedule C'!$A$34:$A$313,0),38)," ")</f>
        <v xml:space="preserve"> </v>
      </c>
      <c r="H149" s="1127" t="str">
        <f>IFERROR(INDEX('Schedule C'!$A$34:$BA$313,MATCH('EI - (F1 - F2)'!$R149,'Schedule C'!$A$34:$A$313,0),39)," ")</f>
        <v xml:space="preserve"> </v>
      </c>
      <c r="I149" s="1129" t="str">
        <f t="shared" si="11"/>
        <v xml:space="preserve"> </v>
      </c>
      <c r="J149" s="1129" t="str">
        <f t="shared" si="11"/>
        <v xml:space="preserve"> </v>
      </c>
      <c r="K149" s="1129" t="str">
        <f t="shared" si="11"/>
        <v xml:space="preserve"> </v>
      </c>
      <c r="L149" s="1129" t="str">
        <f t="shared" si="11"/>
        <v xml:space="preserve"> </v>
      </c>
      <c r="M149" s="1129" t="str">
        <f t="shared" si="11"/>
        <v xml:space="preserve"> </v>
      </c>
      <c r="N149" s="1129" t="str">
        <f t="shared" si="11"/>
        <v xml:space="preserve"> </v>
      </c>
      <c r="O149" s="1129" t="str">
        <f t="shared" si="12"/>
        <v xml:space="preserve"> </v>
      </c>
      <c r="P149" s="1130" t="str">
        <f t="shared" si="13"/>
        <v xml:space="preserve"> </v>
      </c>
      <c r="Q149" s="1131" t="str">
        <f t="shared" si="14"/>
        <v xml:space="preserve"> </v>
      </c>
      <c r="R149" s="1118">
        <f>IF('Schedule C'!AM430&gt;='EI - (F1 - F2)'!J$3,IF('Schedule C'!AM430&lt;='EI - (F1 - F2)'!K$3,'Schedule C'!A430,0),0)</f>
        <v>0</v>
      </c>
    </row>
    <row r="150" spans="1:18" ht="15">
      <c r="A150" s="1125">
        <f t="shared" si="10"/>
        <v>143</v>
      </c>
      <c r="B150" s="1126">
        <v>1</v>
      </c>
      <c r="C150" s="1126" t="str">
        <f>IFERROR(VLOOKUP(D150,dropdowns!$J$3:$Q$16,7,0)," ")</f>
        <v xml:space="preserve"> </v>
      </c>
      <c r="D150" s="1126" t="str">
        <f>IFERROR(INDEX('Schedule C'!$A$34:$BA$313,MATCH('EI - (F1 - F2)'!$R150,'Schedule C'!$A$34:$A$313,0),14)," ")</f>
        <v xml:space="preserve"> </v>
      </c>
      <c r="E150" s="1126" t="str">
        <f>IFERROR(VLOOKUP($D150,dropdowns!$J$3:$Q$16,8,0)," ")</f>
        <v xml:space="preserve"> </v>
      </c>
      <c r="F150" s="1126" t="str">
        <f>IFERROR(INDEX('Schedule C'!$A$34:$BA$313,MATCH('EI - (F1 - F2)'!$R150,'Schedule C'!$A$34:$A$313,0),2)," ")</f>
        <v xml:space="preserve"> </v>
      </c>
      <c r="G150" s="1126" t="str">
        <f>IFERROR(INDEX('Schedule C'!$A$34:$BA$313,MATCH('EI - (F1 - F2)'!$R150,'Schedule C'!$A$34:$A$313,0),38)," ")</f>
        <v xml:space="preserve"> </v>
      </c>
      <c r="H150" s="1127" t="str">
        <f>IFERROR(INDEX('Schedule C'!$A$34:$BA$313,MATCH('EI - (F1 - F2)'!$R150,'Schedule C'!$A$34:$A$313,0),39)," ")</f>
        <v xml:space="preserve"> </v>
      </c>
      <c r="I150" s="1129" t="str">
        <f t="shared" si="11"/>
        <v xml:space="preserve"> </v>
      </c>
      <c r="J150" s="1129" t="str">
        <f t="shared" si="11"/>
        <v xml:space="preserve"> </v>
      </c>
      <c r="K150" s="1129" t="str">
        <f t="shared" si="11"/>
        <v xml:space="preserve"> </v>
      </c>
      <c r="L150" s="1129" t="str">
        <f t="shared" si="11"/>
        <v xml:space="preserve"> </v>
      </c>
      <c r="M150" s="1129" t="str">
        <f t="shared" si="11"/>
        <v xml:space="preserve"> </v>
      </c>
      <c r="N150" s="1129" t="str">
        <f t="shared" si="11"/>
        <v xml:space="preserve"> </v>
      </c>
      <c r="O150" s="1129" t="str">
        <f t="shared" si="12"/>
        <v xml:space="preserve"> </v>
      </c>
      <c r="P150" s="1130" t="str">
        <f t="shared" si="13"/>
        <v xml:space="preserve"> </v>
      </c>
      <c r="Q150" s="1131" t="str">
        <f t="shared" si="14"/>
        <v xml:space="preserve"> </v>
      </c>
      <c r="R150" s="1118">
        <f>IF('Schedule C'!AM431&gt;='EI - (F1 - F2)'!J$3,IF('Schedule C'!AM431&lt;='EI - (F1 - F2)'!K$3,'Schedule C'!A431,0),0)</f>
        <v>0</v>
      </c>
    </row>
    <row r="151" spans="1:18" ht="15">
      <c r="A151" s="1125">
        <f t="shared" si="10"/>
        <v>144</v>
      </c>
      <c r="B151" s="1126">
        <v>1</v>
      </c>
      <c r="C151" s="1126" t="str">
        <f>IFERROR(VLOOKUP(D151,dropdowns!$J$3:$Q$16,7,0)," ")</f>
        <v xml:space="preserve"> </v>
      </c>
      <c r="D151" s="1126" t="str">
        <f>IFERROR(INDEX('Schedule C'!$A$34:$BA$313,MATCH('EI - (F1 - F2)'!$R151,'Schedule C'!$A$34:$A$313,0),14)," ")</f>
        <v xml:space="preserve"> </v>
      </c>
      <c r="E151" s="1126" t="str">
        <f>IFERROR(VLOOKUP($D151,dropdowns!$J$3:$Q$16,8,0)," ")</f>
        <v xml:space="preserve"> </v>
      </c>
      <c r="F151" s="1126" t="str">
        <f>IFERROR(INDEX('Schedule C'!$A$34:$BA$313,MATCH('EI - (F1 - F2)'!$R151,'Schedule C'!$A$34:$A$313,0),2)," ")</f>
        <v xml:space="preserve"> </v>
      </c>
      <c r="G151" s="1126" t="str">
        <f>IFERROR(INDEX('Schedule C'!$A$34:$BA$313,MATCH('EI - (F1 - F2)'!$R151,'Schedule C'!$A$34:$A$313,0),38)," ")</f>
        <v xml:space="preserve"> </v>
      </c>
      <c r="H151" s="1127" t="str">
        <f>IFERROR(INDEX('Schedule C'!$A$34:$BA$313,MATCH('EI - (F1 - F2)'!$R151,'Schedule C'!$A$34:$A$313,0),39)," ")</f>
        <v xml:space="preserve"> </v>
      </c>
      <c r="I151" s="1129" t="str">
        <f t="shared" si="11"/>
        <v xml:space="preserve"> </v>
      </c>
      <c r="J151" s="1129" t="str">
        <f t="shared" si="11"/>
        <v xml:space="preserve"> </v>
      </c>
      <c r="K151" s="1129" t="str">
        <f t="shared" si="11"/>
        <v xml:space="preserve"> </v>
      </c>
      <c r="L151" s="1129" t="str">
        <f t="shared" ref="I151:N193" si="15">IF($R151=0," ","NA")</f>
        <v xml:space="preserve"> </v>
      </c>
      <c r="M151" s="1129" t="str">
        <f t="shared" si="15"/>
        <v xml:space="preserve"> </v>
      </c>
      <c r="N151" s="1129" t="str">
        <f t="shared" si="15"/>
        <v xml:space="preserve"> </v>
      </c>
      <c r="O151" s="1129" t="str">
        <f t="shared" si="12"/>
        <v xml:space="preserve"> </v>
      </c>
      <c r="P151" s="1130" t="str">
        <f t="shared" si="13"/>
        <v xml:space="preserve"> </v>
      </c>
      <c r="Q151" s="1131" t="str">
        <f t="shared" si="14"/>
        <v xml:space="preserve"> </v>
      </c>
      <c r="R151" s="1118">
        <f>IF('Schedule C'!AM432&gt;='EI - (F1 - F2)'!J$3,IF('Schedule C'!AM432&lt;='EI - (F1 - F2)'!K$3,'Schedule C'!A432,0),0)</f>
        <v>0</v>
      </c>
    </row>
    <row r="152" spans="1:18" ht="15">
      <c r="A152" s="1125">
        <f t="shared" si="10"/>
        <v>145</v>
      </c>
      <c r="B152" s="1126">
        <v>1</v>
      </c>
      <c r="C152" s="1126" t="str">
        <f>IFERROR(VLOOKUP(D152,dropdowns!$J$3:$Q$16,7,0)," ")</f>
        <v xml:space="preserve"> </v>
      </c>
      <c r="D152" s="1126" t="str">
        <f>IFERROR(INDEX('Schedule C'!$A$34:$BA$313,MATCH('EI - (F1 - F2)'!$R152,'Schedule C'!$A$34:$A$313,0),14)," ")</f>
        <v xml:space="preserve"> </v>
      </c>
      <c r="E152" s="1126" t="str">
        <f>IFERROR(VLOOKUP($D152,dropdowns!$J$3:$Q$16,8,0)," ")</f>
        <v xml:space="preserve"> </v>
      </c>
      <c r="F152" s="1126" t="str">
        <f>IFERROR(INDEX('Schedule C'!$A$34:$BA$313,MATCH('EI - (F1 - F2)'!$R152,'Schedule C'!$A$34:$A$313,0),2)," ")</f>
        <v xml:space="preserve"> </v>
      </c>
      <c r="G152" s="1126" t="str">
        <f>IFERROR(INDEX('Schedule C'!$A$34:$BA$313,MATCH('EI - (F1 - F2)'!$R152,'Schedule C'!$A$34:$A$313,0),38)," ")</f>
        <v xml:space="preserve"> </v>
      </c>
      <c r="H152" s="1127" t="str">
        <f>IFERROR(INDEX('Schedule C'!$A$34:$BA$313,MATCH('EI - (F1 - F2)'!$R152,'Schedule C'!$A$34:$A$313,0),39)," ")</f>
        <v xml:space="preserve"> </v>
      </c>
      <c r="I152" s="1129" t="str">
        <f t="shared" si="15"/>
        <v xml:space="preserve"> </v>
      </c>
      <c r="J152" s="1129" t="str">
        <f t="shared" si="15"/>
        <v xml:space="preserve"> </v>
      </c>
      <c r="K152" s="1129" t="str">
        <f t="shared" si="15"/>
        <v xml:space="preserve"> </v>
      </c>
      <c r="L152" s="1129" t="str">
        <f t="shared" si="15"/>
        <v xml:space="preserve"> </v>
      </c>
      <c r="M152" s="1129" t="str">
        <f t="shared" si="15"/>
        <v xml:space="preserve"> </v>
      </c>
      <c r="N152" s="1129" t="str">
        <f t="shared" si="15"/>
        <v xml:space="preserve"> </v>
      </c>
      <c r="O152" s="1129" t="str">
        <f t="shared" si="12"/>
        <v xml:space="preserve"> </v>
      </c>
      <c r="P152" s="1130" t="str">
        <f t="shared" si="13"/>
        <v xml:space="preserve"> </v>
      </c>
      <c r="Q152" s="1131" t="str">
        <f t="shared" si="14"/>
        <v xml:space="preserve"> </v>
      </c>
      <c r="R152" s="1118">
        <f>IF('Schedule C'!AM433&gt;='EI - (F1 - F2)'!J$3,IF('Schedule C'!AM433&lt;='EI - (F1 - F2)'!K$3,'Schedule C'!A433,0),0)</f>
        <v>0</v>
      </c>
    </row>
    <row r="153" spans="1:18" ht="15">
      <c r="A153" s="1125">
        <f t="shared" si="10"/>
        <v>146</v>
      </c>
      <c r="B153" s="1126">
        <v>1</v>
      </c>
      <c r="C153" s="1126" t="str">
        <f>IFERROR(VLOOKUP(D153,dropdowns!$J$3:$Q$16,7,0)," ")</f>
        <v xml:space="preserve"> </v>
      </c>
      <c r="D153" s="1126" t="str">
        <f>IFERROR(INDEX('Schedule C'!$A$34:$BA$313,MATCH('EI - (F1 - F2)'!$R153,'Schedule C'!$A$34:$A$313,0),14)," ")</f>
        <v xml:space="preserve"> </v>
      </c>
      <c r="E153" s="1126" t="str">
        <f>IFERROR(VLOOKUP($D153,dropdowns!$J$3:$Q$16,8,0)," ")</f>
        <v xml:space="preserve"> </v>
      </c>
      <c r="F153" s="1126" t="str">
        <f>IFERROR(INDEX('Schedule C'!$A$34:$BA$313,MATCH('EI - (F1 - F2)'!$R153,'Schedule C'!$A$34:$A$313,0),2)," ")</f>
        <v xml:space="preserve"> </v>
      </c>
      <c r="G153" s="1126" t="str">
        <f>IFERROR(INDEX('Schedule C'!$A$34:$BA$313,MATCH('EI - (F1 - F2)'!$R153,'Schedule C'!$A$34:$A$313,0),38)," ")</f>
        <v xml:space="preserve"> </v>
      </c>
      <c r="H153" s="1127" t="str">
        <f>IFERROR(INDEX('Schedule C'!$A$34:$BA$313,MATCH('EI - (F1 - F2)'!$R153,'Schedule C'!$A$34:$A$313,0),39)," ")</f>
        <v xml:space="preserve"> </v>
      </c>
      <c r="I153" s="1129" t="str">
        <f t="shared" si="15"/>
        <v xml:space="preserve"> </v>
      </c>
      <c r="J153" s="1129" t="str">
        <f t="shared" si="15"/>
        <v xml:space="preserve"> </v>
      </c>
      <c r="K153" s="1129" t="str">
        <f t="shared" si="15"/>
        <v xml:space="preserve"> </v>
      </c>
      <c r="L153" s="1129" t="str">
        <f t="shared" si="15"/>
        <v xml:space="preserve"> </v>
      </c>
      <c r="M153" s="1129" t="str">
        <f t="shared" si="15"/>
        <v xml:space="preserve"> </v>
      </c>
      <c r="N153" s="1129" t="str">
        <f t="shared" si="15"/>
        <v xml:space="preserve"> </v>
      </c>
      <c r="O153" s="1129" t="str">
        <f t="shared" si="12"/>
        <v xml:space="preserve"> </v>
      </c>
      <c r="P153" s="1130" t="str">
        <f t="shared" si="13"/>
        <v xml:space="preserve"> </v>
      </c>
      <c r="Q153" s="1131" t="str">
        <f t="shared" si="14"/>
        <v xml:space="preserve"> </v>
      </c>
      <c r="R153" s="1118">
        <f>IF('Schedule C'!AM434&gt;='EI - (F1 - F2)'!J$3,IF('Schedule C'!AM434&lt;='EI - (F1 - F2)'!K$3,'Schedule C'!A434,0),0)</f>
        <v>0</v>
      </c>
    </row>
    <row r="154" spans="1:18" ht="15">
      <c r="A154" s="1125">
        <f t="shared" si="10"/>
        <v>147</v>
      </c>
      <c r="B154" s="1126">
        <v>1</v>
      </c>
      <c r="C154" s="1126" t="str">
        <f>IFERROR(VLOOKUP(D154,dropdowns!$J$3:$Q$16,7,0)," ")</f>
        <v xml:space="preserve"> </v>
      </c>
      <c r="D154" s="1126" t="str">
        <f>IFERROR(INDEX('Schedule C'!$A$34:$BA$313,MATCH('EI - (F1 - F2)'!$R154,'Schedule C'!$A$34:$A$313,0),14)," ")</f>
        <v xml:space="preserve"> </v>
      </c>
      <c r="E154" s="1126" t="str">
        <f>IFERROR(VLOOKUP($D154,dropdowns!$J$3:$Q$16,8,0)," ")</f>
        <v xml:space="preserve"> </v>
      </c>
      <c r="F154" s="1126" t="str">
        <f>IFERROR(INDEX('Schedule C'!$A$34:$BA$313,MATCH('EI - (F1 - F2)'!$R154,'Schedule C'!$A$34:$A$313,0),2)," ")</f>
        <v xml:space="preserve"> </v>
      </c>
      <c r="G154" s="1126" t="str">
        <f>IFERROR(INDEX('Schedule C'!$A$34:$BA$313,MATCH('EI - (F1 - F2)'!$R154,'Schedule C'!$A$34:$A$313,0),38)," ")</f>
        <v xml:space="preserve"> </v>
      </c>
      <c r="H154" s="1127" t="str">
        <f>IFERROR(INDEX('Schedule C'!$A$34:$BA$313,MATCH('EI - (F1 - F2)'!$R154,'Schedule C'!$A$34:$A$313,0),39)," ")</f>
        <v xml:space="preserve"> </v>
      </c>
      <c r="I154" s="1129" t="str">
        <f t="shared" si="15"/>
        <v xml:space="preserve"> </v>
      </c>
      <c r="J154" s="1129" t="str">
        <f t="shared" si="15"/>
        <v xml:space="preserve"> </v>
      </c>
      <c r="K154" s="1129" t="str">
        <f t="shared" si="15"/>
        <v xml:space="preserve"> </v>
      </c>
      <c r="L154" s="1129" t="str">
        <f t="shared" si="15"/>
        <v xml:space="preserve"> </v>
      </c>
      <c r="M154" s="1129" t="str">
        <f t="shared" si="15"/>
        <v xml:space="preserve"> </v>
      </c>
      <c r="N154" s="1129" t="str">
        <f t="shared" si="15"/>
        <v xml:space="preserve"> </v>
      </c>
      <c r="O154" s="1129" t="str">
        <f t="shared" si="12"/>
        <v xml:space="preserve"> </v>
      </c>
      <c r="P154" s="1130" t="str">
        <f t="shared" si="13"/>
        <v xml:space="preserve"> </v>
      </c>
      <c r="Q154" s="1131" t="str">
        <f t="shared" si="14"/>
        <v xml:space="preserve"> </v>
      </c>
      <c r="R154" s="1118">
        <f>IF('Schedule C'!AM435&gt;='EI - (F1 - F2)'!J$3,IF('Schedule C'!AM435&lt;='EI - (F1 - F2)'!K$3,'Schedule C'!A435,0),0)</f>
        <v>0</v>
      </c>
    </row>
    <row r="155" spans="1:18" ht="15">
      <c r="A155" s="1125">
        <f t="shared" si="10"/>
        <v>148</v>
      </c>
      <c r="B155" s="1126">
        <v>1</v>
      </c>
      <c r="C155" s="1126" t="str">
        <f>IFERROR(VLOOKUP(D155,dropdowns!$J$3:$Q$16,7,0)," ")</f>
        <v xml:space="preserve"> </v>
      </c>
      <c r="D155" s="1126" t="str">
        <f>IFERROR(INDEX('Schedule C'!$A$34:$BA$313,MATCH('EI - (F1 - F2)'!$R155,'Schedule C'!$A$34:$A$313,0),14)," ")</f>
        <v xml:space="preserve"> </v>
      </c>
      <c r="E155" s="1126" t="str">
        <f>IFERROR(VLOOKUP($D155,dropdowns!$J$3:$Q$16,8,0)," ")</f>
        <v xml:space="preserve"> </v>
      </c>
      <c r="F155" s="1126" t="str">
        <f>IFERROR(INDEX('Schedule C'!$A$34:$BA$313,MATCH('EI - (F1 - F2)'!$R155,'Schedule C'!$A$34:$A$313,0),2)," ")</f>
        <v xml:space="preserve"> </v>
      </c>
      <c r="G155" s="1126" t="str">
        <f>IFERROR(INDEX('Schedule C'!$A$34:$BA$313,MATCH('EI - (F1 - F2)'!$R155,'Schedule C'!$A$34:$A$313,0),38)," ")</f>
        <v xml:space="preserve"> </v>
      </c>
      <c r="H155" s="1127" t="str">
        <f>IFERROR(INDEX('Schedule C'!$A$34:$BA$313,MATCH('EI - (F1 - F2)'!$R155,'Schedule C'!$A$34:$A$313,0),39)," ")</f>
        <v xml:space="preserve"> </v>
      </c>
      <c r="I155" s="1129" t="str">
        <f t="shared" si="15"/>
        <v xml:space="preserve"> </v>
      </c>
      <c r="J155" s="1129" t="str">
        <f t="shared" si="15"/>
        <v xml:space="preserve"> </v>
      </c>
      <c r="K155" s="1129" t="str">
        <f t="shared" si="15"/>
        <v xml:space="preserve"> </v>
      </c>
      <c r="L155" s="1129" t="str">
        <f t="shared" si="15"/>
        <v xml:space="preserve"> </v>
      </c>
      <c r="M155" s="1129" t="str">
        <f t="shared" si="15"/>
        <v xml:space="preserve"> </v>
      </c>
      <c r="N155" s="1129" t="str">
        <f t="shared" si="15"/>
        <v xml:space="preserve"> </v>
      </c>
      <c r="O155" s="1129" t="str">
        <f t="shared" si="12"/>
        <v xml:space="preserve"> </v>
      </c>
      <c r="P155" s="1130" t="str">
        <f t="shared" si="13"/>
        <v xml:space="preserve"> </v>
      </c>
      <c r="Q155" s="1131" t="str">
        <f t="shared" si="14"/>
        <v xml:space="preserve"> </v>
      </c>
      <c r="R155" s="1118">
        <f>IF('Schedule C'!AM436&gt;='EI - (F1 - F2)'!J$3,IF('Schedule C'!AM436&lt;='EI - (F1 - F2)'!K$3,'Schedule C'!A436,0),0)</f>
        <v>0</v>
      </c>
    </row>
    <row r="156" spans="1:18" ht="15">
      <c r="A156" s="1125">
        <f t="shared" si="10"/>
        <v>149</v>
      </c>
      <c r="B156" s="1126">
        <v>1</v>
      </c>
      <c r="C156" s="1126" t="str">
        <f>IFERROR(VLOOKUP(D156,dropdowns!$J$3:$Q$16,7,0)," ")</f>
        <v xml:space="preserve"> </v>
      </c>
      <c r="D156" s="1126" t="str">
        <f>IFERROR(INDEX('Schedule C'!$A$34:$BA$313,MATCH('EI - (F1 - F2)'!$R156,'Schedule C'!$A$34:$A$313,0),14)," ")</f>
        <v xml:space="preserve"> </v>
      </c>
      <c r="E156" s="1126" t="str">
        <f>IFERROR(VLOOKUP($D156,dropdowns!$J$3:$Q$16,8,0)," ")</f>
        <v xml:space="preserve"> </v>
      </c>
      <c r="F156" s="1126" t="str">
        <f>IFERROR(INDEX('Schedule C'!$A$34:$BA$313,MATCH('EI - (F1 - F2)'!$R156,'Schedule C'!$A$34:$A$313,0),2)," ")</f>
        <v xml:space="preserve"> </v>
      </c>
      <c r="G156" s="1126" t="str">
        <f>IFERROR(INDEX('Schedule C'!$A$34:$BA$313,MATCH('EI - (F1 - F2)'!$R156,'Schedule C'!$A$34:$A$313,0),38)," ")</f>
        <v xml:space="preserve"> </v>
      </c>
      <c r="H156" s="1127" t="str">
        <f>IFERROR(INDEX('Schedule C'!$A$34:$BA$313,MATCH('EI - (F1 - F2)'!$R156,'Schedule C'!$A$34:$A$313,0),39)," ")</f>
        <v xml:space="preserve"> </v>
      </c>
      <c r="I156" s="1129" t="str">
        <f t="shared" si="15"/>
        <v xml:space="preserve"> </v>
      </c>
      <c r="J156" s="1129" t="str">
        <f t="shared" si="15"/>
        <v xml:space="preserve"> </v>
      </c>
      <c r="K156" s="1129" t="str">
        <f t="shared" si="15"/>
        <v xml:space="preserve"> </v>
      </c>
      <c r="L156" s="1129" t="str">
        <f t="shared" si="15"/>
        <v xml:space="preserve"> </v>
      </c>
      <c r="M156" s="1129" t="str">
        <f t="shared" si="15"/>
        <v xml:space="preserve"> </v>
      </c>
      <c r="N156" s="1129" t="str">
        <f t="shared" si="15"/>
        <v xml:space="preserve"> </v>
      </c>
      <c r="O156" s="1129" t="str">
        <f t="shared" si="12"/>
        <v xml:space="preserve"> </v>
      </c>
      <c r="P156" s="1130" t="str">
        <f t="shared" si="13"/>
        <v xml:space="preserve"> </v>
      </c>
      <c r="Q156" s="1131" t="str">
        <f t="shared" si="14"/>
        <v xml:space="preserve"> </v>
      </c>
      <c r="R156" s="1118">
        <f>IF('Schedule C'!AM437&gt;='EI - (F1 - F2)'!J$3,IF('Schedule C'!AM437&lt;='EI - (F1 - F2)'!K$3,'Schedule C'!A437,0),0)</f>
        <v>0</v>
      </c>
    </row>
    <row r="157" spans="1:18" ht="15">
      <c r="A157" s="1125">
        <f t="shared" si="10"/>
        <v>150</v>
      </c>
      <c r="B157" s="1126">
        <v>1</v>
      </c>
      <c r="C157" s="1126" t="str">
        <f>IFERROR(VLOOKUP(D157,dropdowns!$J$3:$Q$16,7,0)," ")</f>
        <v xml:space="preserve"> </v>
      </c>
      <c r="D157" s="1126" t="str">
        <f>IFERROR(INDEX('Schedule C'!$A$34:$BA$313,MATCH('EI - (F1 - F2)'!$R157,'Schedule C'!$A$34:$A$313,0),14)," ")</f>
        <v xml:space="preserve"> </v>
      </c>
      <c r="E157" s="1126" t="str">
        <f>IFERROR(VLOOKUP($D157,dropdowns!$J$3:$Q$16,8,0)," ")</f>
        <v xml:space="preserve"> </v>
      </c>
      <c r="F157" s="1126" t="str">
        <f>IFERROR(INDEX('Schedule C'!$A$34:$BA$313,MATCH('EI - (F1 - F2)'!$R157,'Schedule C'!$A$34:$A$313,0),2)," ")</f>
        <v xml:space="preserve"> </v>
      </c>
      <c r="G157" s="1126" t="str">
        <f>IFERROR(INDEX('Schedule C'!$A$34:$BA$313,MATCH('EI - (F1 - F2)'!$R157,'Schedule C'!$A$34:$A$313,0),38)," ")</f>
        <v xml:space="preserve"> </v>
      </c>
      <c r="H157" s="1127" t="str">
        <f>IFERROR(INDEX('Schedule C'!$A$34:$BA$313,MATCH('EI - (F1 - F2)'!$R157,'Schedule C'!$A$34:$A$313,0),39)," ")</f>
        <v xml:space="preserve"> </v>
      </c>
      <c r="I157" s="1129" t="str">
        <f t="shared" si="15"/>
        <v xml:space="preserve"> </v>
      </c>
      <c r="J157" s="1129" t="str">
        <f t="shared" si="15"/>
        <v xml:space="preserve"> </v>
      </c>
      <c r="K157" s="1129" t="str">
        <f t="shared" si="15"/>
        <v xml:space="preserve"> </v>
      </c>
      <c r="L157" s="1129" t="str">
        <f t="shared" si="15"/>
        <v xml:space="preserve"> </v>
      </c>
      <c r="M157" s="1129" t="str">
        <f t="shared" si="15"/>
        <v xml:space="preserve"> </v>
      </c>
      <c r="N157" s="1129" t="str">
        <f t="shared" si="15"/>
        <v xml:space="preserve"> </v>
      </c>
      <c r="O157" s="1129" t="str">
        <f t="shared" si="12"/>
        <v xml:space="preserve"> </v>
      </c>
      <c r="P157" s="1130" t="str">
        <f t="shared" si="13"/>
        <v xml:space="preserve"> </v>
      </c>
      <c r="Q157" s="1131" t="str">
        <f t="shared" si="14"/>
        <v xml:space="preserve"> </v>
      </c>
      <c r="R157" s="1118">
        <f>IF('Schedule C'!AM438&gt;='EI - (F1 - F2)'!J$3,IF('Schedule C'!AM438&lt;='EI - (F1 - F2)'!K$3,'Schedule C'!A438,0),0)</f>
        <v>0</v>
      </c>
    </row>
    <row r="158" spans="1:18" ht="15">
      <c r="A158" s="1125">
        <f t="shared" si="10"/>
        <v>151</v>
      </c>
      <c r="B158" s="1126">
        <v>1</v>
      </c>
      <c r="C158" s="1126" t="str">
        <f>IFERROR(VLOOKUP(D158,dropdowns!$J$3:$Q$16,7,0)," ")</f>
        <v xml:space="preserve"> </v>
      </c>
      <c r="D158" s="1126" t="str">
        <f>IFERROR(INDEX('Schedule C'!$A$34:$BA$313,MATCH('EI - (F1 - F2)'!$R158,'Schedule C'!$A$34:$A$313,0),14)," ")</f>
        <v xml:space="preserve"> </v>
      </c>
      <c r="E158" s="1126" t="str">
        <f>IFERROR(VLOOKUP($D158,dropdowns!$J$3:$Q$16,8,0)," ")</f>
        <v xml:space="preserve"> </v>
      </c>
      <c r="F158" s="1126" t="str">
        <f>IFERROR(INDEX('Schedule C'!$A$34:$BA$313,MATCH('EI - (F1 - F2)'!$R158,'Schedule C'!$A$34:$A$313,0),2)," ")</f>
        <v xml:space="preserve"> </v>
      </c>
      <c r="G158" s="1126" t="str">
        <f>IFERROR(INDEX('Schedule C'!$A$34:$BA$313,MATCH('EI - (F1 - F2)'!$R158,'Schedule C'!$A$34:$A$313,0),38)," ")</f>
        <v xml:space="preserve"> </v>
      </c>
      <c r="H158" s="1127" t="str">
        <f>IFERROR(INDEX('Schedule C'!$A$34:$BA$313,MATCH('EI - (F1 - F2)'!$R158,'Schedule C'!$A$34:$A$313,0),39)," ")</f>
        <v xml:space="preserve"> </v>
      </c>
      <c r="I158" s="1129" t="str">
        <f t="shared" si="15"/>
        <v xml:space="preserve"> </v>
      </c>
      <c r="J158" s="1129" t="str">
        <f t="shared" si="15"/>
        <v xml:space="preserve"> </v>
      </c>
      <c r="K158" s="1129" t="str">
        <f t="shared" si="15"/>
        <v xml:space="preserve"> </v>
      </c>
      <c r="L158" s="1129" t="str">
        <f t="shared" si="15"/>
        <v xml:space="preserve"> </v>
      </c>
      <c r="M158" s="1129" t="str">
        <f t="shared" si="15"/>
        <v xml:space="preserve"> </v>
      </c>
      <c r="N158" s="1129" t="str">
        <f t="shared" si="15"/>
        <v xml:space="preserve"> </v>
      </c>
      <c r="O158" s="1129" t="str">
        <f t="shared" si="12"/>
        <v xml:space="preserve"> </v>
      </c>
      <c r="P158" s="1130" t="str">
        <f t="shared" si="13"/>
        <v xml:space="preserve"> </v>
      </c>
      <c r="Q158" s="1131" t="str">
        <f t="shared" si="14"/>
        <v xml:space="preserve"> </v>
      </c>
      <c r="R158" s="1118">
        <f>IF('Schedule C'!AM439&gt;='EI - (F1 - F2)'!J$3,IF('Schedule C'!AM439&lt;='EI - (F1 - F2)'!K$3,'Schedule C'!A439,0),0)</f>
        <v>0</v>
      </c>
    </row>
    <row r="159" spans="1:18" ht="15">
      <c r="A159" s="1125">
        <f t="shared" si="10"/>
        <v>152</v>
      </c>
      <c r="B159" s="1126">
        <v>1</v>
      </c>
      <c r="C159" s="1126" t="str">
        <f>IFERROR(VLOOKUP(D159,dropdowns!$J$3:$Q$16,7,0)," ")</f>
        <v xml:space="preserve"> </v>
      </c>
      <c r="D159" s="1126" t="str">
        <f>IFERROR(INDEX('Schedule C'!$A$34:$BA$313,MATCH('EI - (F1 - F2)'!$R159,'Schedule C'!$A$34:$A$313,0),14)," ")</f>
        <v xml:space="preserve"> </v>
      </c>
      <c r="E159" s="1126" t="str">
        <f>IFERROR(VLOOKUP($D159,dropdowns!$J$3:$Q$16,8,0)," ")</f>
        <v xml:space="preserve"> </v>
      </c>
      <c r="F159" s="1126" t="str">
        <f>IFERROR(INDEX('Schedule C'!$A$34:$BA$313,MATCH('EI - (F1 - F2)'!$R159,'Schedule C'!$A$34:$A$313,0),2)," ")</f>
        <v xml:space="preserve"> </v>
      </c>
      <c r="G159" s="1126" t="str">
        <f>IFERROR(INDEX('Schedule C'!$A$34:$BA$313,MATCH('EI - (F1 - F2)'!$R159,'Schedule C'!$A$34:$A$313,0),38)," ")</f>
        <v xml:space="preserve"> </v>
      </c>
      <c r="H159" s="1127" t="str">
        <f>IFERROR(INDEX('Schedule C'!$A$34:$BA$313,MATCH('EI - (F1 - F2)'!$R159,'Schedule C'!$A$34:$A$313,0),39)," ")</f>
        <v xml:space="preserve"> </v>
      </c>
      <c r="I159" s="1129" t="str">
        <f t="shared" si="15"/>
        <v xml:space="preserve"> </v>
      </c>
      <c r="J159" s="1129" t="str">
        <f t="shared" si="15"/>
        <v xml:space="preserve"> </v>
      </c>
      <c r="K159" s="1129" t="str">
        <f t="shared" si="15"/>
        <v xml:space="preserve"> </v>
      </c>
      <c r="L159" s="1129" t="str">
        <f t="shared" si="15"/>
        <v xml:space="preserve"> </v>
      </c>
      <c r="M159" s="1129" t="str">
        <f t="shared" si="15"/>
        <v xml:space="preserve"> </v>
      </c>
      <c r="N159" s="1129" t="str">
        <f t="shared" si="15"/>
        <v xml:space="preserve"> </v>
      </c>
      <c r="O159" s="1129" t="str">
        <f t="shared" si="12"/>
        <v xml:space="preserve"> </v>
      </c>
      <c r="P159" s="1130" t="str">
        <f t="shared" si="13"/>
        <v xml:space="preserve"> </v>
      </c>
      <c r="Q159" s="1131" t="str">
        <f t="shared" si="14"/>
        <v xml:space="preserve"> </v>
      </c>
      <c r="R159" s="1118">
        <f>IF('Schedule C'!AM440&gt;='EI - (F1 - F2)'!J$3,IF('Schedule C'!AM440&lt;='EI - (F1 - F2)'!K$3,'Schedule C'!A440,0),0)</f>
        <v>0</v>
      </c>
    </row>
    <row r="160" spans="1:18" ht="15">
      <c r="A160" s="1125">
        <f t="shared" si="10"/>
        <v>153</v>
      </c>
      <c r="B160" s="1126">
        <v>1</v>
      </c>
      <c r="C160" s="1126" t="str">
        <f>IFERROR(VLOOKUP(D160,dropdowns!$J$3:$Q$16,7,0)," ")</f>
        <v xml:space="preserve"> </v>
      </c>
      <c r="D160" s="1126" t="str">
        <f>IFERROR(INDEX('Schedule C'!$A$34:$BA$313,MATCH('EI - (F1 - F2)'!$R160,'Schedule C'!$A$34:$A$313,0),14)," ")</f>
        <v xml:space="preserve"> </v>
      </c>
      <c r="E160" s="1126" t="str">
        <f>IFERROR(VLOOKUP($D160,dropdowns!$J$3:$Q$16,8,0)," ")</f>
        <v xml:space="preserve"> </v>
      </c>
      <c r="F160" s="1126" t="str">
        <f>IFERROR(INDEX('Schedule C'!$A$34:$BA$313,MATCH('EI - (F1 - F2)'!$R160,'Schedule C'!$A$34:$A$313,0),2)," ")</f>
        <v xml:space="preserve"> </v>
      </c>
      <c r="G160" s="1126" t="str">
        <f>IFERROR(INDEX('Schedule C'!$A$34:$BA$313,MATCH('EI - (F1 - F2)'!$R160,'Schedule C'!$A$34:$A$313,0),38)," ")</f>
        <v xml:space="preserve"> </v>
      </c>
      <c r="H160" s="1127" t="str">
        <f>IFERROR(INDEX('Schedule C'!$A$34:$BA$313,MATCH('EI - (F1 - F2)'!$R160,'Schedule C'!$A$34:$A$313,0),39)," ")</f>
        <v xml:space="preserve"> </v>
      </c>
      <c r="I160" s="1129" t="str">
        <f t="shared" si="15"/>
        <v xml:space="preserve"> </v>
      </c>
      <c r="J160" s="1129" t="str">
        <f t="shared" si="15"/>
        <v xml:space="preserve"> </v>
      </c>
      <c r="K160" s="1129" t="str">
        <f t="shared" si="15"/>
        <v xml:space="preserve"> </v>
      </c>
      <c r="L160" s="1129" t="str">
        <f t="shared" si="15"/>
        <v xml:space="preserve"> </v>
      </c>
      <c r="M160" s="1129" t="str">
        <f t="shared" si="15"/>
        <v xml:space="preserve"> </v>
      </c>
      <c r="N160" s="1129" t="str">
        <f t="shared" si="15"/>
        <v xml:space="preserve"> </v>
      </c>
      <c r="O160" s="1129" t="str">
        <f t="shared" si="12"/>
        <v xml:space="preserve"> </v>
      </c>
      <c r="P160" s="1130" t="str">
        <f t="shared" si="13"/>
        <v xml:space="preserve"> </v>
      </c>
      <c r="Q160" s="1131" t="str">
        <f t="shared" si="14"/>
        <v xml:space="preserve"> </v>
      </c>
      <c r="R160" s="1118">
        <f>IF('Schedule C'!AM441&gt;='EI - (F1 - F2)'!J$3,IF('Schedule C'!AM441&lt;='EI - (F1 - F2)'!K$3,'Schedule C'!A441,0),0)</f>
        <v>0</v>
      </c>
    </row>
    <row r="161" spans="1:18" ht="15">
      <c r="A161" s="1125">
        <f t="shared" si="10"/>
        <v>154</v>
      </c>
      <c r="B161" s="1126">
        <v>1</v>
      </c>
      <c r="C161" s="1126" t="str">
        <f>IFERROR(VLOOKUP(D161,dropdowns!$J$3:$Q$16,7,0)," ")</f>
        <v xml:space="preserve"> </v>
      </c>
      <c r="D161" s="1126" t="str">
        <f>IFERROR(INDEX('Schedule C'!$A$34:$BA$313,MATCH('EI - (F1 - F2)'!$R161,'Schedule C'!$A$34:$A$313,0),14)," ")</f>
        <v xml:space="preserve"> </v>
      </c>
      <c r="E161" s="1126" t="str">
        <f>IFERROR(VLOOKUP($D161,dropdowns!$J$3:$Q$16,8,0)," ")</f>
        <v xml:space="preserve"> </v>
      </c>
      <c r="F161" s="1126" t="str">
        <f>IFERROR(INDEX('Schedule C'!$A$34:$BA$313,MATCH('EI - (F1 - F2)'!$R161,'Schedule C'!$A$34:$A$313,0),2)," ")</f>
        <v xml:space="preserve"> </v>
      </c>
      <c r="G161" s="1126" t="str">
        <f>IFERROR(INDEX('Schedule C'!$A$34:$BA$313,MATCH('EI - (F1 - F2)'!$R161,'Schedule C'!$A$34:$A$313,0),38)," ")</f>
        <v xml:space="preserve"> </v>
      </c>
      <c r="H161" s="1127" t="str">
        <f>IFERROR(INDEX('Schedule C'!$A$34:$BA$313,MATCH('EI - (F1 - F2)'!$R161,'Schedule C'!$A$34:$A$313,0),39)," ")</f>
        <v xml:space="preserve"> </v>
      </c>
      <c r="I161" s="1129" t="str">
        <f t="shared" si="15"/>
        <v xml:space="preserve"> </v>
      </c>
      <c r="J161" s="1129" t="str">
        <f t="shared" si="15"/>
        <v xml:space="preserve"> </v>
      </c>
      <c r="K161" s="1129" t="str">
        <f t="shared" si="15"/>
        <v xml:space="preserve"> </v>
      </c>
      <c r="L161" s="1129" t="str">
        <f t="shared" si="15"/>
        <v xml:space="preserve"> </v>
      </c>
      <c r="M161" s="1129" t="str">
        <f t="shared" si="15"/>
        <v xml:space="preserve"> </v>
      </c>
      <c r="N161" s="1129" t="str">
        <f t="shared" si="15"/>
        <v xml:space="preserve"> </v>
      </c>
      <c r="O161" s="1129" t="str">
        <f t="shared" si="12"/>
        <v xml:space="preserve"> </v>
      </c>
      <c r="P161" s="1130" t="str">
        <f t="shared" si="13"/>
        <v xml:space="preserve"> </v>
      </c>
      <c r="Q161" s="1131" t="str">
        <f t="shared" si="14"/>
        <v xml:space="preserve"> </v>
      </c>
      <c r="R161" s="1118">
        <f>IF('Schedule C'!AM442&gt;='EI - (F1 - F2)'!J$3,IF('Schedule C'!AM442&lt;='EI - (F1 - F2)'!K$3,'Schedule C'!A442,0),0)</f>
        <v>0</v>
      </c>
    </row>
    <row r="162" spans="1:18" ht="15">
      <c r="A162" s="1125">
        <f t="shared" si="10"/>
        <v>155</v>
      </c>
      <c r="B162" s="1126">
        <v>1</v>
      </c>
      <c r="C162" s="1126" t="str">
        <f>IFERROR(VLOOKUP(D162,dropdowns!$J$3:$Q$16,7,0)," ")</f>
        <v xml:space="preserve"> </v>
      </c>
      <c r="D162" s="1126" t="str">
        <f>IFERROR(INDEX('Schedule C'!$A$34:$BA$313,MATCH('EI - (F1 - F2)'!$R162,'Schedule C'!$A$34:$A$313,0),14)," ")</f>
        <v xml:space="preserve"> </v>
      </c>
      <c r="E162" s="1126" t="str">
        <f>IFERROR(VLOOKUP($D162,dropdowns!$J$3:$Q$16,8,0)," ")</f>
        <v xml:space="preserve"> </v>
      </c>
      <c r="F162" s="1126" t="str">
        <f>IFERROR(INDEX('Schedule C'!$A$34:$BA$313,MATCH('EI - (F1 - F2)'!$R162,'Schedule C'!$A$34:$A$313,0),2)," ")</f>
        <v xml:space="preserve"> </v>
      </c>
      <c r="G162" s="1126" t="str">
        <f>IFERROR(INDEX('Schedule C'!$A$34:$BA$313,MATCH('EI - (F1 - F2)'!$R162,'Schedule C'!$A$34:$A$313,0),38)," ")</f>
        <v xml:space="preserve"> </v>
      </c>
      <c r="H162" s="1127" t="str">
        <f>IFERROR(INDEX('Schedule C'!$A$34:$BA$313,MATCH('EI - (F1 - F2)'!$R162,'Schedule C'!$A$34:$A$313,0),39)," ")</f>
        <v xml:space="preserve"> </v>
      </c>
      <c r="I162" s="1129" t="str">
        <f t="shared" si="15"/>
        <v xml:space="preserve"> </v>
      </c>
      <c r="J162" s="1129" t="str">
        <f t="shared" si="15"/>
        <v xml:space="preserve"> </v>
      </c>
      <c r="K162" s="1129" t="str">
        <f t="shared" si="15"/>
        <v xml:space="preserve"> </v>
      </c>
      <c r="L162" s="1129" t="str">
        <f t="shared" si="15"/>
        <v xml:space="preserve"> </v>
      </c>
      <c r="M162" s="1129" t="str">
        <f t="shared" si="15"/>
        <v xml:space="preserve"> </v>
      </c>
      <c r="N162" s="1129" t="str">
        <f t="shared" si="15"/>
        <v xml:space="preserve"> </v>
      </c>
      <c r="O162" s="1129" t="str">
        <f t="shared" si="12"/>
        <v xml:space="preserve"> </v>
      </c>
      <c r="P162" s="1130" t="str">
        <f t="shared" si="13"/>
        <v xml:space="preserve"> </v>
      </c>
      <c r="Q162" s="1131" t="str">
        <f t="shared" si="14"/>
        <v xml:space="preserve"> </v>
      </c>
      <c r="R162" s="1118">
        <f>IF('Schedule C'!AM443&gt;='EI - (F1 - F2)'!J$3,IF('Schedule C'!AM443&lt;='EI - (F1 - F2)'!K$3,'Schedule C'!A443,0),0)</f>
        <v>0</v>
      </c>
    </row>
    <row r="163" spans="1:18" ht="15">
      <c r="A163" s="1125">
        <f t="shared" si="10"/>
        <v>156</v>
      </c>
      <c r="B163" s="1126">
        <v>1</v>
      </c>
      <c r="C163" s="1126" t="str">
        <f>IFERROR(VLOOKUP(D163,dropdowns!$J$3:$Q$16,7,0)," ")</f>
        <v xml:space="preserve"> </v>
      </c>
      <c r="D163" s="1126" t="str">
        <f>IFERROR(INDEX('Schedule C'!$A$34:$BA$313,MATCH('EI - (F1 - F2)'!$R163,'Schedule C'!$A$34:$A$313,0),14)," ")</f>
        <v xml:space="preserve"> </v>
      </c>
      <c r="E163" s="1126" t="str">
        <f>IFERROR(VLOOKUP($D163,dropdowns!$J$3:$Q$16,8,0)," ")</f>
        <v xml:space="preserve"> </v>
      </c>
      <c r="F163" s="1126" t="str">
        <f>IFERROR(INDEX('Schedule C'!$A$34:$BA$313,MATCH('EI - (F1 - F2)'!$R163,'Schedule C'!$A$34:$A$313,0),2)," ")</f>
        <v xml:space="preserve"> </v>
      </c>
      <c r="G163" s="1126" t="str">
        <f>IFERROR(INDEX('Schedule C'!$A$34:$BA$313,MATCH('EI - (F1 - F2)'!$R163,'Schedule C'!$A$34:$A$313,0),38)," ")</f>
        <v xml:space="preserve"> </v>
      </c>
      <c r="H163" s="1127" t="str">
        <f>IFERROR(INDEX('Schedule C'!$A$34:$BA$313,MATCH('EI - (F1 - F2)'!$R163,'Schedule C'!$A$34:$A$313,0),39)," ")</f>
        <v xml:space="preserve"> </v>
      </c>
      <c r="I163" s="1129" t="str">
        <f t="shared" si="15"/>
        <v xml:space="preserve"> </v>
      </c>
      <c r="J163" s="1129" t="str">
        <f t="shared" si="15"/>
        <v xml:space="preserve"> </v>
      </c>
      <c r="K163" s="1129" t="str">
        <f t="shared" si="15"/>
        <v xml:space="preserve"> </v>
      </c>
      <c r="L163" s="1129" t="str">
        <f t="shared" si="15"/>
        <v xml:space="preserve"> </v>
      </c>
      <c r="M163" s="1129" t="str">
        <f t="shared" si="15"/>
        <v xml:space="preserve"> </v>
      </c>
      <c r="N163" s="1129" t="str">
        <f t="shared" si="15"/>
        <v xml:space="preserve"> </v>
      </c>
      <c r="O163" s="1129" t="str">
        <f t="shared" si="12"/>
        <v xml:space="preserve"> </v>
      </c>
      <c r="P163" s="1130" t="str">
        <f t="shared" si="13"/>
        <v xml:space="preserve"> </v>
      </c>
      <c r="Q163" s="1131" t="str">
        <f t="shared" si="14"/>
        <v xml:space="preserve"> </v>
      </c>
      <c r="R163" s="1118">
        <f>IF('Schedule C'!AM444&gt;='EI - (F1 - F2)'!J$3,IF('Schedule C'!AM444&lt;='EI - (F1 - F2)'!K$3,'Schedule C'!A444,0),0)</f>
        <v>0</v>
      </c>
    </row>
    <row r="164" spans="1:18" ht="15">
      <c r="A164" s="1125">
        <f t="shared" si="10"/>
        <v>157</v>
      </c>
      <c r="B164" s="1126">
        <v>1</v>
      </c>
      <c r="C164" s="1126" t="str">
        <f>IFERROR(VLOOKUP(D164,dropdowns!$J$3:$Q$16,7,0)," ")</f>
        <v xml:space="preserve"> </v>
      </c>
      <c r="D164" s="1126" t="str">
        <f>IFERROR(INDEX('Schedule C'!$A$34:$BA$313,MATCH('EI - (F1 - F2)'!$R164,'Schedule C'!$A$34:$A$313,0),14)," ")</f>
        <v xml:space="preserve"> </v>
      </c>
      <c r="E164" s="1126" t="str">
        <f>IFERROR(VLOOKUP($D164,dropdowns!$J$3:$Q$16,8,0)," ")</f>
        <v xml:space="preserve"> </v>
      </c>
      <c r="F164" s="1126" t="str">
        <f>IFERROR(INDEX('Schedule C'!$A$34:$BA$313,MATCH('EI - (F1 - F2)'!$R164,'Schedule C'!$A$34:$A$313,0),2)," ")</f>
        <v xml:space="preserve"> </v>
      </c>
      <c r="G164" s="1126" t="str">
        <f>IFERROR(INDEX('Schedule C'!$A$34:$BA$313,MATCH('EI - (F1 - F2)'!$R164,'Schedule C'!$A$34:$A$313,0),38)," ")</f>
        <v xml:space="preserve"> </v>
      </c>
      <c r="H164" s="1127" t="str">
        <f>IFERROR(INDEX('Schedule C'!$A$34:$BA$313,MATCH('EI - (F1 - F2)'!$R164,'Schedule C'!$A$34:$A$313,0),39)," ")</f>
        <v xml:space="preserve"> </v>
      </c>
      <c r="I164" s="1129" t="str">
        <f t="shared" si="15"/>
        <v xml:space="preserve"> </v>
      </c>
      <c r="J164" s="1129" t="str">
        <f t="shared" si="15"/>
        <v xml:space="preserve"> </v>
      </c>
      <c r="K164" s="1129" t="str">
        <f t="shared" si="15"/>
        <v xml:space="preserve"> </v>
      </c>
      <c r="L164" s="1129" t="str">
        <f t="shared" si="15"/>
        <v xml:space="preserve"> </v>
      </c>
      <c r="M164" s="1129" t="str">
        <f t="shared" si="15"/>
        <v xml:space="preserve"> </v>
      </c>
      <c r="N164" s="1129" t="str">
        <f t="shared" si="15"/>
        <v xml:space="preserve"> </v>
      </c>
      <c r="O164" s="1129" t="str">
        <f t="shared" si="12"/>
        <v xml:space="preserve"> </v>
      </c>
      <c r="P164" s="1130" t="str">
        <f t="shared" si="13"/>
        <v xml:space="preserve"> </v>
      </c>
      <c r="Q164" s="1131" t="str">
        <f t="shared" si="14"/>
        <v xml:space="preserve"> </v>
      </c>
      <c r="R164" s="1118">
        <f>IF('Schedule C'!AM445&gt;='EI - (F1 - F2)'!J$3,IF('Schedule C'!AM445&lt;='EI - (F1 - F2)'!K$3,'Schedule C'!A445,0),0)</f>
        <v>0</v>
      </c>
    </row>
    <row r="165" spans="1:18" ht="15">
      <c r="A165" s="1125">
        <f t="shared" si="10"/>
        <v>158</v>
      </c>
      <c r="B165" s="1126">
        <v>1</v>
      </c>
      <c r="C165" s="1126" t="str">
        <f>IFERROR(VLOOKUP(D165,dropdowns!$J$3:$Q$16,7,0)," ")</f>
        <v xml:space="preserve"> </v>
      </c>
      <c r="D165" s="1126" t="str">
        <f>IFERROR(INDEX('Schedule C'!$A$34:$BA$313,MATCH('EI - (F1 - F2)'!$R165,'Schedule C'!$A$34:$A$313,0),14)," ")</f>
        <v xml:space="preserve"> </v>
      </c>
      <c r="E165" s="1126" t="str">
        <f>IFERROR(VLOOKUP($D165,dropdowns!$J$3:$Q$16,8,0)," ")</f>
        <v xml:space="preserve"> </v>
      </c>
      <c r="F165" s="1126" t="str">
        <f>IFERROR(INDEX('Schedule C'!$A$34:$BA$313,MATCH('EI - (F1 - F2)'!$R165,'Schedule C'!$A$34:$A$313,0),2)," ")</f>
        <v xml:space="preserve"> </v>
      </c>
      <c r="G165" s="1126" t="str">
        <f>IFERROR(INDEX('Schedule C'!$A$34:$BA$313,MATCH('EI - (F1 - F2)'!$R165,'Schedule C'!$A$34:$A$313,0),38)," ")</f>
        <v xml:space="preserve"> </v>
      </c>
      <c r="H165" s="1127" t="str">
        <f>IFERROR(INDEX('Schedule C'!$A$34:$BA$313,MATCH('EI - (F1 - F2)'!$R165,'Schedule C'!$A$34:$A$313,0),39)," ")</f>
        <v xml:space="preserve"> </v>
      </c>
      <c r="I165" s="1129" t="str">
        <f t="shared" si="15"/>
        <v xml:space="preserve"> </v>
      </c>
      <c r="J165" s="1129" t="str">
        <f t="shared" si="15"/>
        <v xml:space="preserve"> </v>
      </c>
      <c r="K165" s="1129" t="str">
        <f t="shared" si="15"/>
        <v xml:space="preserve"> </v>
      </c>
      <c r="L165" s="1129" t="str">
        <f t="shared" si="15"/>
        <v xml:space="preserve"> </v>
      </c>
      <c r="M165" s="1129" t="str">
        <f t="shared" si="15"/>
        <v xml:space="preserve"> </v>
      </c>
      <c r="N165" s="1129" t="str">
        <f t="shared" si="15"/>
        <v xml:space="preserve"> </v>
      </c>
      <c r="O165" s="1129" t="str">
        <f t="shared" si="12"/>
        <v xml:space="preserve"> </v>
      </c>
      <c r="P165" s="1130" t="str">
        <f t="shared" si="13"/>
        <v xml:space="preserve"> </v>
      </c>
      <c r="Q165" s="1131" t="str">
        <f t="shared" si="14"/>
        <v xml:space="preserve"> </v>
      </c>
      <c r="R165" s="1118">
        <f>IF('Schedule C'!AM446&gt;='EI - (F1 - F2)'!J$3,IF('Schedule C'!AM446&lt;='EI - (F1 - F2)'!K$3,'Schedule C'!A446,0),0)</f>
        <v>0</v>
      </c>
    </row>
    <row r="166" spans="1:18" ht="15">
      <c r="A166" s="1125">
        <f t="shared" si="10"/>
        <v>159</v>
      </c>
      <c r="B166" s="1126">
        <v>1</v>
      </c>
      <c r="C166" s="1126" t="str">
        <f>IFERROR(VLOOKUP(D166,dropdowns!$J$3:$Q$16,7,0)," ")</f>
        <v xml:space="preserve"> </v>
      </c>
      <c r="D166" s="1126" t="str">
        <f>IFERROR(INDEX('Schedule C'!$A$34:$BA$313,MATCH('EI - (F1 - F2)'!$R166,'Schedule C'!$A$34:$A$313,0),14)," ")</f>
        <v xml:space="preserve"> </v>
      </c>
      <c r="E166" s="1126" t="str">
        <f>IFERROR(VLOOKUP($D166,dropdowns!$J$3:$Q$16,8,0)," ")</f>
        <v xml:space="preserve"> </v>
      </c>
      <c r="F166" s="1126" t="str">
        <f>IFERROR(INDEX('Schedule C'!$A$34:$BA$313,MATCH('EI - (F1 - F2)'!$R166,'Schedule C'!$A$34:$A$313,0),2)," ")</f>
        <v xml:space="preserve"> </v>
      </c>
      <c r="G166" s="1126" t="str">
        <f>IFERROR(INDEX('Schedule C'!$A$34:$BA$313,MATCH('EI - (F1 - F2)'!$R166,'Schedule C'!$A$34:$A$313,0),38)," ")</f>
        <v xml:space="preserve"> </v>
      </c>
      <c r="H166" s="1127" t="str">
        <f>IFERROR(INDEX('Schedule C'!$A$34:$BA$313,MATCH('EI - (F1 - F2)'!$R166,'Schedule C'!$A$34:$A$313,0),39)," ")</f>
        <v xml:space="preserve"> </v>
      </c>
      <c r="I166" s="1129" t="str">
        <f t="shared" si="15"/>
        <v xml:space="preserve"> </v>
      </c>
      <c r="J166" s="1129" t="str">
        <f t="shared" si="15"/>
        <v xml:space="preserve"> </v>
      </c>
      <c r="K166" s="1129" t="str">
        <f t="shared" si="15"/>
        <v xml:space="preserve"> </v>
      </c>
      <c r="L166" s="1129" t="str">
        <f t="shared" si="15"/>
        <v xml:space="preserve"> </v>
      </c>
      <c r="M166" s="1129" t="str">
        <f t="shared" si="15"/>
        <v xml:space="preserve"> </v>
      </c>
      <c r="N166" s="1129" t="str">
        <f t="shared" si="15"/>
        <v xml:space="preserve"> </v>
      </c>
      <c r="O166" s="1129" t="str">
        <f t="shared" si="12"/>
        <v xml:space="preserve"> </v>
      </c>
      <c r="P166" s="1130" t="str">
        <f t="shared" si="13"/>
        <v xml:space="preserve"> </v>
      </c>
      <c r="Q166" s="1131" t="str">
        <f t="shared" si="14"/>
        <v xml:space="preserve"> </v>
      </c>
      <c r="R166" s="1118">
        <f>IF('Schedule C'!AM447&gt;='EI - (F1 - F2)'!J$3,IF('Schedule C'!AM447&lt;='EI - (F1 - F2)'!K$3,'Schedule C'!A447,0),0)</f>
        <v>0</v>
      </c>
    </row>
    <row r="167" spans="1:18" ht="15">
      <c r="A167" s="1125">
        <f t="shared" si="10"/>
        <v>160</v>
      </c>
      <c r="B167" s="1126">
        <v>1</v>
      </c>
      <c r="C167" s="1126" t="str">
        <f>IFERROR(VLOOKUP(D167,dropdowns!$J$3:$Q$16,7,0)," ")</f>
        <v xml:space="preserve"> </v>
      </c>
      <c r="D167" s="1126" t="str">
        <f>IFERROR(INDEX('Schedule C'!$A$34:$BA$313,MATCH('EI - (F1 - F2)'!$R167,'Schedule C'!$A$34:$A$313,0),14)," ")</f>
        <v xml:space="preserve"> </v>
      </c>
      <c r="E167" s="1126" t="str">
        <f>IFERROR(VLOOKUP($D167,dropdowns!$J$3:$Q$16,8,0)," ")</f>
        <v xml:space="preserve"> </v>
      </c>
      <c r="F167" s="1126" t="str">
        <f>IFERROR(INDEX('Schedule C'!$A$34:$BA$313,MATCH('EI - (F1 - F2)'!$R167,'Schedule C'!$A$34:$A$313,0),2)," ")</f>
        <v xml:space="preserve"> </v>
      </c>
      <c r="G167" s="1126" t="str">
        <f>IFERROR(INDEX('Schedule C'!$A$34:$BA$313,MATCH('EI - (F1 - F2)'!$R167,'Schedule C'!$A$34:$A$313,0),38)," ")</f>
        <v xml:space="preserve"> </v>
      </c>
      <c r="H167" s="1127" t="str">
        <f>IFERROR(INDEX('Schedule C'!$A$34:$BA$313,MATCH('EI - (F1 - F2)'!$R167,'Schedule C'!$A$34:$A$313,0),39)," ")</f>
        <v xml:space="preserve"> </v>
      </c>
      <c r="I167" s="1129" t="str">
        <f t="shared" si="15"/>
        <v xml:space="preserve"> </v>
      </c>
      <c r="J167" s="1129" t="str">
        <f t="shared" si="15"/>
        <v xml:space="preserve"> </v>
      </c>
      <c r="K167" s="1129" t="str">
        <f t="shared" si="15"/>
        <v xml:space="preserve"> </v>
      </c>
      <c r="L167" s="1129" t="str">
        <f t="shared" si="15"/>
        <v xml:space="preserve"> </v>
      </c>
      <c r="M167" s="1129" t="str">
        <f t="shared" si="15"/>
        <v xml:space="preserve"> </v>
      </c>
      <c r="N167" s="1129" t="str">
        <f t="shared" si="15"/>
        <v xml:space="preserve"> </v>
      </c>
      <c r="O167" s="1129" t="str">
        <f t="shared" si="12"/>
        <v xml:space="preserve"> </v>
      </c>
      <c r="P167" s="1130" t="str">
        <f t="shared" si="13"/>
        <v xml:space="preserve"> </v>
      </c>
      <c r="Q167" s="1131" t="str">
        <f t="shared" si="14"/>
        <v xml:space="preserve"> </v>
      </c>
      <c r="R167" s="1118">
        <f>IF('Schedule C'!AM448&gt;='EI - (F1 - F2)'!J$3,IF('Schedule C'!AM448&lt;='EI - (F1 - F2)'!K$3,'Schedule C'!A448,0),0)</f>
        <v>0</v>
      </c>
    </row>
    <row r="168" spans="1:18" ht="15">
      <c r="A168" s="1125">
        <f t="shared" si="10"/>
        <v>161</v>
      </c>
      <c r="B168" s="1126">
        <v>1</v>
      </c>
      <c r="C168" s="1126" t="str">
        <f>IFERROR(VLOOKUP(D168,dropdowns!$J$3:$Q$16,7,0)," ")</f>
        <v xml:space="preserve"> </v>
      </c>
      <c r="D168" s="1126" t="str">
        <f>IFERROR(INDEX('Schedule C'!$A$34:$BA$313,MATCH('EI - (F1 - F2)'!$R168,'Schedule C'!$A$34:$A$313,0),14)," ")</f>
        <v xml:space="preserve"> </v>
      </c>
      <c r="E168" s="1126" t="str">
        <f>IFERROR(VLOOKUP($D168,dropdowns!$J$3:$Q$16,8,0)," ")</f>
        <v xml:space="preserve"> </v>
      </c>
      <c r="F168" s="1126" t="str">
        <f>IFERROR(INDEX('Schedule C'!$A$34:$BA$313,MATCH('EI - (F1 - F2)'!$R168,'Schedule C'!$A$34:$A$313,0),2)," ")</f>
        <v xml:space="preserve"> </v>
      </c>
      <c r="G168" s="1126" t="str">
        <f>IFERROR(INDEX('Schedule C'!$A$34:$BA$313,MATCH('EI - (F1 - F2)'!$R168,'Schedule C'!$A$34:$A$313,0),38)," ")</f>
        <v xml:space="preserve"> </v>
      </c>
      <c r="H168" s="1127" t="str">
        <f>IFERROR(INDEX('Schedule C'!$A$34:$BA$313,MATCH('EI - (F1 - F2)'!$R168,'Schedule C'!$A$34:$A$313,0),39)," ")</f>
        <v xml:space="preserve"> </v>
      </c>
      <c r="I168" s="1129" t="str">
        <f t="shared" si="15"/>
        <v xml:space="preserve"> </v>
      </c>
      <c r="J168" s="1129" t="str">
        <f t="shared" si="15"/>
        <v xml:space="preserve"> </v>
      </c>
      <c r="K168" s="1129" t="str">
        <f t="shared" si="15"/>
        <v xml:space="preserve"> </v>
      </c>
      <c r="L168" s="1129" t="str">
        <f t="shared" si="15"/>
        <v xml:space="preserve"> </v>
      </c>
      <c r="M168" s="1129" t="str">
        <f t="shared" si="15"/>
        <v xml:space="preserve"> </v>
      </c>
      <c r="N168" s="1129" t="str">
        <f t="shared" si="15"/>
        <v xml:space="preserve"> </v>
      </c>
      <c r="O168" s="1129" t="str">
        <f t="shared" si="12"/>
        <v xml:space="preserve"> </v>
      </c>
      <c r="P168" s="1130" t="str">
        <f t="shared" si="13"/>
        <v xml:space="preserve"> </v>
      </c>
      <c r="Q168" s="1131" t="str">
        <f t="shared" si="14"/>
        <v xml:space="preserve"> </v>
      </c>
      <c r="R168" s="1118">
        <f>IF('Schedule C'!AM449&gt;='EI - (F1 - F2)'!J$3,IF('Schedule C'!AM449&lt;='EI - (F1 - F2)'!K$3,'Schedule C'!A449,0),0)</f>
        <v>0</v>
      </c>
    </row>
    <row r="169" spans="1:18" ht="15">
      <c r="A169" s="1125">
        <f t="shared" si="10"/>
        <v>162</v>
      </c>
      <c r="B169" s="1126">
        <v>1</v>
      </c>
      <c r="C169" s="1126" t="str">
        <f>IFERROR(VLOOKUP(D169,dropdowns!$J$3:$Q$16,7,0)," ")</f>
        <v xml:space="preserve"> </v>
      </c>
      <c r="D169" s="1126" t="str">
        <f>IFERROR(INDEX('Schedule C'!$A$34:$BA$313,MATCH('EI - (F1 - F2)'!$R169,'Schedule C'!$A$34:$A$313,0),14)," ")</f>
        <v xml:space="preserve"> </v>
      </c>
      <c r="E169" s="1126" t="str">
        <f>IFERROR(VLOOKUP($D169,dropdowns!$J$3:$Q$16,8,0)," ")</f>
        <v xml:space="preserve"> </v>
      </c>
      <c r="F169" s="1126" t="str">
        <f>IFERROR(INDEX('Schedule C'!$A$34:$BA$313,MATCH('EI - (F1 - F2)'!$R169,'Schedule C'!$A$34:$A$313,0),2)," ")</f>
        <v xml:space="preserve"> </v>
      </c>
      <c r="G169" s="1126" t="str">
        <f>IFERROR(INDEX('Schedule C'!$A$34:$BA$313,MATCH('EI - (F1 - F2)'!$R169,'Schedule C'!$A$34:$A$313,0),38)," ")</f>
        <v xml:space="preserve"> </v>
      </c>
      <c r="H169" s="1127" t="str">
        <f>IFERROR(INDEX('Schedule C'!$A$34:$BA$313,MATCH('EI - (F1 - F2)'!$R169,'Schedule C'!$A$34:$A$313,0),39)," ")</f>
        <v xml:space="preserve"> </v>
      </c>
      <c r="I169" s="1129" t="str">
        <f t="shared" si="15"/>
        <v xml:space="preserve"> </v>
      </c>
      <c r="J169" s="1129" t="str">
        <f t="shared" si="15"/>
        <v xml:space="preserve"> </v>
      </c>
      <c r="K169" s="1129" t="str">
        <f t="shared" si="15"/>
        <v xml:space="preserve"> </v>
      </c>
      <c r="L169" s="1129" t="str">
        <f t="shared" si="15"/>
        <v xml:space="preserve"> </v>
      </c>
      <c r="M169" s="1129" t="str">
        <f t="shared" si="15"/>
        <v xml:space="preserve"> </v>
      </c>
      <c r="N169" s="1129" t="str">
        <f t="shared" si="15"/>
        <v xml:space="preserve"> </v>
      </c>
      <c r="O169" s="1129" t="str">
        <f t="shared" si="12"/>
        <v xml:space="preserve"> </v>
      </c>
      <c r="P169" s="1130" t="str">
        <f t="shared" si="13"/>
        <v xml:space="preserve"> </v>
      </c>
      <c r="Q169" s="1131" t="str">
        <f t="shared" si="14"/>
        <v xml:space="preserve"> </v>
      </c>
      <c r="R169" s="1118">
        <f>IF('Schedule C'!AM450&gt;='EI - (F1 - F2)'!J$3,IF('Schedule C'!AM450&lt;='EI - (F1 - F2)'!K$3,'Schedule C'!A450,0),0)</f>
        <v>0</v>
      </c>
    </row>
    <row r="170" spans="1:18" ht="15">
      <c r="A170" s="1125">
        <f t="shared" si="10"/>
        <v>163</v>
      </c>
      <c r="B170" s="1126">
        <v>1</v>
      </c>
      <c r="C170" s="1126" t="str">
        <f>IFERROR(VLOOKUP(D170,dropdowns!$J$3:$Q$16,7,0)," ")</f>
        <v xml:space="preserve"> </v>
      </c>
      <c r="D170" s="1126" t="str">
        <f>IFERROR(INDEX('Schedule C'!$A$34:$BA$313,MATCH('EI - (F1 - F2)'!$R170,'Schedule C'!$A$34:$A$313,0),14)," ")</f>
        <v xml:space="preserve"> </v>
      </c>
      <c r="E170" s="1126" t="str">
        <f>IFERROR(VLOOKUP($D170,dropdowns!$J$3:$Q$16,8,0)," ")</f>
        <v xml:space="preserve"> </v>
      </c>
      <c r="F170" s="1126" t="str">
        <f>IFERROR(INDEX('Schedule C'!$A$34:$BA$313,MATCH('EI - (F1 - F2)'!$R170,'Schedule C'!$A$34:$A$313,0),2)," ")</f>
        <v xml:space="preserve"> </v>
      </c>
      <c r="G170" s="1126" t="str">
        <f>IFERROR(INDEX('Schedule C'!$A$34:$BA$313,MATCH('EI - (F1 - F2)'!$R170,'Schedule C'!$A$34:$A$313,0),38)," ")</f>
        <v xml:space="preserve"> </v>
      </c>
      <c r="H170" s="1127" t="str">
        <f>IFERROR(INDEX('Schedule C'!$A$34:$BA$313,MATCH('EI - (F1 - F2)'!$R170,'Schedule C'!$A$34:$A$313,0),39)," ")</f>
        <v xml:space="preserve"> </v>
      </c>
      <c r="I170" s="1129" t="str">
        <f t="shared" si="15"/>
        <v xml:space="preserve"> </v>
      </c>
      <c r="J170" s="1129" t="str">
        <f t="shared" si="15"/>
        <v xml:space="preserve"> </v>
      </c>
      <c r="K170" s="1129" t="str">
        <f t="shared" si="15"/>
        <v xml:space="preserve"> </v>
      </c>
      <c r="L170" s="1129" t="str">
        <f t="shared" si="15"/>
        <v xml:space="preserve"> </v>
      </c>
      <c r="M170" s="1129" t="str">
        <f t="shared" si="15"/>
        <v xml:space="preserve"> </v>
      </c>
      <c r="N170" s="1129" t="str">
        <f t="shared" si="15"/>
        <v xml:space="preserve"> </v>
      </c>
      <c r="O170" s="1129" t="str">
        <f t="shared" si="12"/>
        <v xml:space="preserve"> </v>
      </c>
      <c r="P170" s="1130" t="str">
        <f t="shared" si="13"/>
        <v xml:space="preserve"> </v>
      </c>
      <c r="Q170" s="1131" t="str">
        <f t="shared" si="14"/>
        <v xml:space="preserve"> </v>
      </c>
      <c r="R170" s="1118">
        <f>IF('Schedule C'!AM451&gt;='EI - (F1 - F2)'!J$3,IF('Schedule C'!AM451&lt;='EI - (F1 - F2)'!K$3,'Schedule C'!A451,0),0)</f>
        <v>0</v>
      </c>
    </row>
    <row r="171" spans="1:18" ht="15">
      <c r="A171" s="1125">
        <f t="shared" si="10"/>
        <v>164</v>
      </c>
      <c r="B171" s="1126">
        <v>1</v>
      </c>
      <c r="C171" s="1126" t="str">
        <f>IFERROR(VLOOKUP(D171,dropdowns!$J$3:$Q$16,7,0)," ")</f>
        <v xml:space="preserve"> </v>
      </c>
      <c r="D171" s="1126" t="str">
        <f>IFERROR(INDEX('Schedule C'!$A$34:$BA$313,MATCH('EI - (F1 - F2)'!$R171,'Schedule C'!$A$34:$A$313,0),14)," ")</f>
        <v xml:space="preserve"> </v>
      </c>
      <c r="E171" s="1126" t="str">
        <f>IFERROR(VLOOKUP($D171,dropdowns!$J$3:$Q$16,8,0)," ")</f>
        <v xml:space="preserve"> </v>
      </c>
      <c r="F171" s="1126" t="str">
        <f>IFERROR(INDEX('Schedule C'!$A$34:$BA$313,MATCH('EI - (F1 - F2)'!$R171,'Schedule C'!$A$34:$A$313,0),2)," ")</f>
        <v xml:space="preserve"> </v>
      </c>
      <c r="G171" s="1126" t="str">
        <f>IFERROR(INDEX('Schedule C'!$A$34:$BA$313,MATCH('EI - (F1 - F2)'!$R171,'Schedule C'!$A$34:$A$313,0),38)," ")</f>
        <v xml:space="preserve"> </v>
      </c>
      <c r="H171" s="1127" t="str">
        <f>IFERROR(INDEX('Schedule C'!$A$34:$BA$313,MATCH('EI - (F1 - F2)'!$R171,'Schedule C'!$A$34:$A$313,0),39)," ")</f>
        <v xml:space="preserve"> </v>
      </c>
      <c r="I171" s="1129" t="str">
        <f t="shared" si="15"/>
        <v xml:space="preserve"> </v>
      </c>
      <c r="J171" s="1129" t="str">
        <f t="shared" si="15"/>
        <v xml:space="preserve"> </v>
      </c>
      <c r="K171" s="1129" t="str">
        <f t="shared" si="15"/>
        <v xml:space="preserve"> </v>
      </c>
      <c r="L171" s="1129" t="str">
        <f t="shared" si="15"/>
        <v xml:space="preserve"> </v>
      </c>
      <c r="M171" s="1129" t="str">
        <f t="shared" si="15"/>
        <v xml:space="preserve"> </v>
      </c>
      <c r="N171" s="1129" t="str">
        <f t="shared" si="15"/>
        <v xml:space="preserve"> </v>
      </c>
      <c r="O171" s="1129" t="str">
        <f t="shared" si="12"/>
        <v xml:space="preserve"> </v>
      </c>
      <c r="P171" s="1130" t="str">
        <f t="shared" si="13"/>
        <v xml:space="preserve"> </v>
      </c>
      <c r="Q171" s="1131" t="str">
        <f t="shared" si="14"/>
        <v xml:space="preserve"> </v>
      </c>
      <c r="R171" s="1118">
        <f>IF('Schedule C'!AM452&gt;='EI - (F1 - F2)'!J$3,IF('Schedule C'!AM452&lt;='EI - (F1 - F2)'!K$3,'Schedule C'!A452,0),0)</f>
        <v>0</v>
      </c>
    </row>
    <row r="172" spans="1:18" ht="15">
      <c r="A172" s="1125">
        <f t="shared" si="10"/>
        <v>165</v>
      </c>
      <c r="B172" s="1126">
        <v>1</v>
      </c>
      <c r="C172" s="1126" t="str">
        <f>IFERROR(VLOOKUP(D172,dropdowns!$J$3:$Q$16,7,0)," ")</f>
        <v xml:space="preserve"> </v>
      </c>
      <c r="D172" s="1126" t="str">
        <f>IFERROR(INDEX('Schedule C'!$A$34:$BA$313,MATCH('EI - (F1 - F2)'!$R172,'Schedule C'!$A$34:$A$313,0),14)," ")</f>
        <v xml:space="preserve"> </v>
      </c>
      <c r="E172" s="1126" t="str">
        <f>IFERROR(VLOOKUP($D172,dropdowns!$J$3:$Q$16,8,0)," ")</f>
        <v xml:space="preserve"> </v>
      </c>
      <c r="F172" s="1126" t="str">
        <f>IFERROR(INDEX('Schedule C'!$A$34:$BA$313,MATCH('EI - (F1 - F2)'!$R172,'Schedule C'!$A$34:$A$313,0),2)," ")</f>
        <v xml:space="preserve"> </v>
      </c>
      <c r="G172" s="1126" t="str">
        <f>IFERROR(INDEX('Schedule C'!$A$34:$BA$313,MATCH('EI - (F1 - F2)'!$R172,'Schedule C'!$A$34:$A$313,0),38)," ")</f>
        <v xml:space="preserve"> </v>
      </c>
      <c r="H172" s="1127" t="str">
        <f>IFERROR(INDEX('Schedule C'!$A$34:$BA$313,MATCH('EI - (F1 - F2)'!$R172,'Schedule C'!$A$34:$A$313,0),39)," ")</f>
        <v xml:space="preserve"> </v>
      </c>
      <c r="I172" s="1129" t="str">
        <f t="shared" si="15"/>
        <v xml:space="preserve"> </v>
      </c>
      <c r="J172" s="1129" t="str">
        <f t="shared" si="15"/>
        <v xml:space="preserve"> </v>
      </c>
      <c r="K172" s="1129" t="str">
        <f t="shared" si="15"/>
        <v xml:space="preserve"> </v>
      </c>
      <c r="L172" s="1129" t="str">
        <f t="shared" si="15"/>
        <v xml:space="preserve"> </v>
      </c>
      <c r="M172" s="1129" t="str">
        <f t="shared" si="15"/>
        <v xml:space="preserve"> </v>
      </c>
      <c r="N172" s="1129" t="str">
        <f t="shared" si="15"/>
        <v xml:space="preserve"> </v>
      </c>
      <c r="O172" s="1129" t="str">
        <f t="shared" si="12"/>
        <v xml:space="preserve"> </v>
      </c>
      <c r="P172" s="1130" t="str">
        <f t="shared" si="13"/>
        <v xml:space="preserve"> </v>
      </c>
      <c r="Q172" s="1131" t="str">
        <f t="shared" si="14"/>
        <v xml:space="preserve"> </v>
      </c>
      <c r="R172" s="1118">
        <f>IF('Schedule C'!AM453&gt;='EI - (F1 - F2)'!J$3,IF('Schedule C'!AM453&lt;='EI - (F1 - F2)'!K$3,'Schedule C'!A453,0),0)</f>
        <v>0</v>
      </c>
    </row>
    <row r="173" spans="1:18" ht="15">
      <c r="A173" s="1125">
        <f t="shared" si="10"/>
        <v>166</v>
      </c>
      <c r="B173" s="1126">
        <v>1</v>
      </c>
      <c r="C173" s="1126" t="str">
        <f>IFERROR(VLOOKUP(D173,dropdowns!$J$3:$Q$16,7,0)," ")</f>
        <v xml:space="preserve"> </v>
      </c>
      <c r="D173" s="1126" t="str">
        <f>IFERROR(INDEX('Schedule C'!$A$34:$BA$313,MATCH('EI - (F1 - F2)'!$R173,'Schedule C'!$A$34:$A$313,0),14)," ")</f>
        <v xml:space="preserve"> </v>
      </c>
      <c r="E173" s="1126" t="str">
        <f>IFERROR(VLOOKUP($D173,dropdowns!$J$3:$Q$16,8,0)," ")</f>
        <v xml:space="preserve"> </v>
      </c>
      <c r="F173" s="1126" t="str">
        <f>IFERROR(INDEX('Schedule C'!$A$34:$BA$313,MATCH('EI - (F1 - F2)'!$R173,'Schedule C'!$A$34:$A$313,0),2)," ")</f>
        <v xml:space="preserve"> </v>
      </c>
      <c r="G173" s="1126" t="str">
        <f>IFERROR(INDEX('Schedule C'!$A$34:$BA$313,MATCH('EI - (F1 - F2)'!$R173,'Schedule C'!$A$34:$A$313,0),38)," ")</f>
        <v xml:space="preserve"> </v>
      </c>
      <c r="H173" s="1127" t="str">
        <f>IFERROR(INDEX('Schedule C'!$A$34:$BA$313,MATCH('EI - (F1 - F2)'!$R173,'Schedule C'!$A$34:$A$313,0),39)," ")</f>
        <v xml:space="preserve"> </v>
      </c>
      <c r="I173" s="1129" t="str">
        <f t="shared" si="15"/>
        <v xml:space="preserve"> </v>
      </c>
      <c r="J173" s="1129" t="str">
        <f t="shared" si="15"/>
        <v xml:space="preserve"> </v>
      </c>
      <c r="K173" s="1129" t="str">
        <f t="shared" si="15"/>
        <v xml:space="preserve"> </v>
      </c>
      <c r="L173" s="1129" t="str">
        <f t="shared" si="15"/>
        <v xml:space="preserve"> </v>
      </c>
      <c r="M173" s="1129" t="str">
        <f t="shared" si="15"/>
        <v xml:space="preserve"> </v>
      </c>
      <c r="N173" s="1129" t="str">
        <f t="shared" si="15"/>
        <v xml:space="preserve"> </v>
      </c>
      <c r="O173" s="1129" t="str">
        <f t="shared" si="12"/>
        <v xml:space="preserve"> </v>
      </c>
      <c r="P173" s="1130" t="str">
        <f t="shared" si="13"/>
        <v xml:space="preserve"> </v>
      </c>
      <c r="Q173" s="1131" t="str">
        <f t="shared" si="14"/>
        <v xml:space="preserve"> </v>
      </c>
      <c r="R173" s="1118">
        <f>IF('Schedule C'!AM454&gt;='EI - (F1 - F2)'!J$3,IF('Schedule C'!AM454&lt;='EI - (F1 - F2)'!K$3,'Schedule C'!A454,0),0)</f>
        <v>0</v>
      </c>
    </row>
    <row r="174" spans="1:18" ht="15">
      <c r="A174" s="1125">
        <f t="shared" si="10"/>
        <v>167</v>
      </c>
      <c r="B174" s="1126">
        <v>1</v>
      </c>
      <c r="C174" s="1126" t="str">
        <f>IFERROR(VLOOKUP(D174,dropdowns!$J$3:$Q$16,7,0)," ")</f>
        <v xml:space="preserve"> </v>
      </c>
      <c r="D174" s="1126" t="str">
        <f>IFERROR(INDEX('Schedule C'!$A$34:$BA$313,MATCH('EI - (F1 - F2)'!$R174,'Schedule C'!$A$34:$A$313,0),14)," ")</f>
        <v xml:space="preserve"> </v>
      </c>
      <c r="E174" s="1126" t="str">
        <f>IFERROR(VLOOKUP($D174,dropdowns!$J$3:$Q$16,8,0)," ")</f>
        <v xml:space="preserve"> </v>
      </c>
      <c r="F174" s="1126" t="str">
        <f>IFERROR(INDEX('Schedule C'!$A$34:$BA$313,MATCH('EI - (F1 - F2)'!$R174,'Schedule C'!$A$34:$A$313,0),2)," ")</f>
        <v xml:space="preserve"> </v>
      </c>
      <c r="G174" s="1126" t="str">
        <f>IFERROR(INDEX('Schedule C'!$A$34:$BA$313,MATCH('EI - (F1 - F2)'!$R174,'Schedule C'!$A$34:$A$313,0),38)," ")</f>
        <v xml:space="preserve"> </v>
      </c>
      <c r="H174" s="1127" t="str">
        <f>IFERROR(INDEX('Schedule C'!$A$34:$BA$313,MATCH('EI - (F1 - F2)'!$R174,'Schedule C'!$A$34:$A$313,0),39)," ")</f>
        <v xml:space="preserve"> </v>
      </c>
      <c r="I174" s="1129" t="str">
        <f t="shared" si="15"/>
        <v xml:space="preserve"> </v>
      </c>
      <c r="J174" s="1129" t="str">
        <f t="shared" si="15"/>
        <v xml:space="preserve"> </v>
      </c>
      <c r="K174" s="1129" t="str">
        <f t="shared" si="15"/>
        <v xml:space="preserve"> </v>
      </c>
      <c r="L174" s="1129" t="str">
        <f t="shared" si="15"/>
        <v xml:space="preserve"> </v>
      </c>
      <c r="M174" s="1129" t="str">
        <f t="shared" si="15"/>
        <v xml:space="preserve"> </v>
      </c>
      <c r="N174" s="1129" t="str">
        <f t="shared" si="15"/>
        <v xml:space="preserve"> </v>
      </c>
      <c r="O174" s="1129" t="str">
        <f t="shared" si="12"/>
        <v xml:space="preserve"> </v>
      </c>
      <c r="P174" s="1130" t="str">
        <f t="shared" si="13"/>
        <v xml:space="preserve"> </v>
      </c>
      <c r="Q174" s="1131" t="str">
        <f t="shared" si="14"/>
        <v xml:space="preserve"> </v>
      </c>
      <c r="R174" s="1118">
        <f>IF('Schedule C'!AM455&gt;='EI - (F1 - F2)'!J$3,IF('Schedule C'!AM455&lt;='EI - (F1 - F2)'!K$3,'Schedule C'!A455,0),0)</f>
        <v>0</v>
      </c>
    </row>
    <row r="175" spans="1:18" ht="15">
      <c r="A175" s="1125">
        <f t="shared" si="10"/>
        <v>168</v>
      </c>
      <c r="B175" s="1126">
        <v>1</v>
      </c>
      <c r="C175" s="1126" t="str">
        <f>IFERROR(VLOOKUP(D175,dropdowns!$J$3:$Q$16,7,0)," ")</f>
        <v xml:space="preserve"> </v>
      </c>
      <c r="D175" s="1126" t="str">
        <f>IFERROR(INDEX('Schedule C'!$A$34:$BA$313,MATCH('EI - (F1 - F2)'!$R175,'Schedule C'!$A$34:$A$313,0),14)," ")</f>
        <v xml:space="preserve"> </v>
      </c>
      <c r="E175" s="1126" t="str">
        <f>IFERROR(VLOOKUP($D175,dropdowns!$J$3:$Q$16,8,0)," ")</f>
        <v xml:space="preserve"> </v>
      </c>
      <c r="F175" s="1126" t="str">
        <f>IFERROR(INDEX('Schedule C'!$A$34:$BA$313,MATCH('EI - (F1 - F2)'!$R175,'Schedule C'!$A$34:$A$313,0),2)," ")</f>
        <v xml:space="preserve"> </v>
      </c>
      <c r="G175" s="1126" t="str">
        <f>IFERROR(INDEX('Schedule C'!$A$34:$BA$313,MATCH('EI - (F1 - F2)'!$R175,'Schedule C'!$A$34:$A$313,0),38)," ")</f>
        <v xml:space="preserve"> </v>
      </c>
      <c r="H175" s="1127" t="str">
        <f>IFERROR(INDEX('Schedule C'!$A$34:$BA$313,MATCH('EI - (F1 - F2)'!$R175,'Schedule C'!$A$34:$A$313,0),39)," ")</f>
        <v xml:space="preserve"> </v>
      </c>
      <c r="I175" s="1129" t="str">
        <f t="shared" si="15"/>
        <v xml:space="preserve"> </v>
      </c>
      <c r="J175" s="1129" t="str">
        <f t="shared" si="15"/>
        <v xml:space="preserve"> </v>
      </c>
      <c r="K175" s="1129" t="str">
        <f t="shared" si="15"/>
        <v xml:space="preserve"> </v>
      </c>
      <c r="L175" s="1129" t="str">
        <f t="shared" si="15"/>
        <v xml:space="preserve"> </v>
      </c>
      <c r="M175" s="1129" t="str">
        <f t="shared" si="15"/>
        <v xml:space="preserve"> </v>
      </c>
      <c r="N175" s="1129" t="str">
        <f t="shared" si="15"/>
        <v xml:space="preserve"> </v>
      </c>
      <c r="O175" s="1129" t="str">
        <f t="shared" si="12"/>
        <v xml:space="preserve"> </v>
      </c>
      <c r="P175" s="1130" t="str">
        <f t="shared" si="13"/>
        <v xml:space="preserve"> </v>
      </c>
      <c r="Q175" s="1131" t="str">
        <f t="shared" si="14"/>
        <v xml:space="preserve"> </v>
      </c>
      <c r="R175" s="1118">
        <f>IF('Schedule C'!AM456&gt;='EI - (F1 - F2)'!J$3,IF('Schedule C'!AM456&lt;='EI - (F1 - F2)'!K$3,'Schedule C'!A456,0),0)</f>
        <v>0</v>
      </c>
    </row>
    <row r="176" spans="1:18" ht="15">
      <c r="A176" s="1125">
        <f t="shared" si="10"/>
        <v>169</v>
      </c>
      <c r="B176" s="1126">
        <v>1</v>
      </c>
      <c r="C176" s="1126" t="str">
        <f>IFERROR(VLOOKUP(D176,dropdowns!$J$3:$Q$16,7,0)," ")</f>
        <v xml:space="preserve"> </v>
      </c>
      <c r="D176" s="1126" t="str">
        <f>IFERROR(INDEX('Schedule C'!$A$34:$BA$313,MATCH('EI - (F1 - F2)'!$R176,'Schedule C'!$A$34:$A$313,0),14)," ")</f>
        <v xml:space="preserve"> </v>
      </c>
      <c r="E176" s="1126" t="str">
        <f>IFERROR(VLOOKUP($D176,dropdowns!$J$3:$Q$16,8,0)," ")</f>
        <v xml:space="preserve"> </v>
      </c>
      <c r="F176" s="1126" t="str">
        <f>IFERROR(INDEX('Schedule C'!$A$34:$BA$313,MATCH('EI - (F1 - F2)'!$R176,'Schedule C'!$A$34:$A$313,0),2)," ")</f>
        <v xml:space="preserve"> </v>
      </c>
      <c r="G176" s="1126" t="str">
        <f>IFERROR(INDEX('Schedule C'!$A$34:$BA$313,MATCH('EI - (F1 - F2)'!$R176,'Schedule C'!$A$34:$A$313,0),38)," ")</f>
        <v xml:space="preserve"> </v>
      </c>
      <c r="H176" s="1127" t="str">
        <f>IFERROR(INDEX('Schedule C'!$A$34:$BA$313,MATCH('EI - (F1 - F2)'!$R176,'Schedule C'!$A$34:$A$313,0),39)," ")</f>
        <v xml:space="preserve"> </v>
      </c>
      <c r="I176" s="1129" t="str">
        <f t="shared" si="15"/>
        <v xml:space="preserve"> </v>
      </c>
      <c r="J176" s="1129" t="str">
        <f t="shared" si="15"/>
        <v xml:space="preserve"> </v>
      </c>
      <c r="K176" s="1129" t="str">
        <f t="shared" si="15"/>
        <v xml:space="preserve"> </v>
      </c>
      <c r="L176" s="1129" t="str">
        <f t="shared" si="15"/>
        <v xml:space="preserve"> </v>
      </c>
      <c r="M176" s="1129" t="str">
        <f t="shared" si="15"/>
        <v xml:space="preserve"> </v>
      </c>
      <c r="N176" s="1129" t="str">
        <f t="shared" si="15"/>
        <v xml:space="preserve"> </v>
      </c>
      <c r="O176" s="1129" t="str">
        <f t="shared" si="12"/>
        <v xml:space="preserve"> </v>
      </c>
      <c r="P176" s="1130" t="str">
        <f t="shared" si="13"/>
        <v xml:space="preserve"> </v>
      </c>
      <c r="Q176" s="1131" t="str">
        <f t="shared" si="14"/>
        <v xml:space="preserve"> </v>
      </c>
      <c r="R176" s="1118">
        <f>IF('Schedule C'!AM457&gt;='EI - (F1 - F2)'!J$3,IF('Schedule C'!AM457&lt;='EI - (F1 - F2)'!K$3,'Schedule C'!A457,0),0)</f>
        <v>0</v>
      </c>
    </row>
    <row r="177" spans="1:18" ht="15">
      <c r="A177" s="1125">
        <f t="shared" si="10"/>
        <v>170</v>
      </c>
      <c r="B177" s="1126">
        <v>1</v>
      </c>
      <c r="C177" s="1126" t="str">
        <f>IFERROR(VLOOKUP(D177,dropdowns!$J$3:$Q$16,7,0)," ")</f>
        <v xml:space="preserve"> </v>
      </c>
      <c r="D177" s="1126" t="str">
        <f>IFERROR(INDEX('Schedule C'!$A$34:$BA$313,MATCH('EI - (F1 - F2)'!$R177,'Schedule C'!$A$34:$A$313,0),14)," ")</f>
        <v xml:space="preserve"> </v>
      </c>
      <c r="E177" s="1126" t="str">
        <f>IFERROR(VLOOKUP($D177,dropdowns!$J$3:$Q$16,8,0)," ")</f>
        <v xml:space="preserve"> </v>
      </c>
      <c r="F177" s="1126" t="str">
        <f>IFERROR(INDEX('Schedule C'!$A$34:$BA$313,MATCH('EI - (F1 - F2)'!$R177,'Schedule C'!$A$34:$A$313,0),2)," ")</f>
        <v xml:space="preserve"> </v>
      </c>
      <c r="G177" s="1126" t="str">
        <f>IFERROR(INDEX('Schedule C'!$A$34:$BA$313,MATCH('EI - (F1 - F2)'!$R177,'Schedule C'!$A$34:$A$313,0),38)," ")</f>
        <v xml:space="preserve"> </v>
      </c>
      <c r="H177" s="1127" t="str">
        <f>IFERROR(INDEX('Schedule C'!$A$34:$BA$313,MATCH('EI - (F1 - F2)'!$R177,'Schedule C'!$A$34:$A$313,0),39)," ")</f>
        <v xml:space="preserve"> </v>
      </c>
      <c r="I177" s="1129" t="str">
        <f t="shared" si="15"/>
        <v xml:space="preserve"> </v>
      </c>
      <c r="J177" s="1129" t="str">
        <f t="shared" si="15"/>
        <v xml:space="preserve"> </v>
      </c>
      <c r="K177" s="1129" t="str">
        <f t="shared" si="15"/>
        <v xml:space="preserve"> </v>
      </c>
      <c r="L177" s="1129" t="str">
        <f t="shared" si="15"/>
        <v xml:space="preserve"> </v>
      </c>
      <c r="M177" s="1129" t="str">
        <f t="shared" si="15"/>
        <v xml:space="preserve"> </v>
      </c>
      <c r="N177" s="1129" t="str">
        <f t="shared" si="15"/>
        <v xml:space="preserve"> </v>
      </c>
      <c r="O177" s="1129" t="str">
        <f t="shared" si="12"/>
        <v xml:space="preserve"> </v>
      </c>
      <c r="P177" s="1130" t="str">
        <f t="shared" si="13"/>
        <v xml:space="preserve"> </v>
      </c>
      <c r="Q177" s="1131" t="str">
        <f t="shared" si="14"/>
        <v xml:space="preserve"> </v>
      </c>
      <c r="R177" s="1118">
        <f>IF('Schedule C'!AM458&gt;='EI - (F1 - F2)'!J$3,IF('Schedule C'!AM458&lt;='EI - (F1 - F2)'!K$3,'Schedule C'!A458,0),0)</f>
        <v>0</v>
      </c>
    </row>
    <row r="178" spans="1:18" ht="15">
      <c r="A178" s="1125">
        <f t="shared" si="10"/>
        <v>171</v>
      </c>
      <c r="B178" s="1126">
        <v>1</v>
      </c>
      <c r="C178" s="1126" t="str">
        <f>IFERROR(VLOOKUP(D178,dropdowns!$J$3:$Q$16,7,0)," ")</f>
        <v xml:space="preserve"> </v>
      </c>
      <c r="D178" s="1126" t="str">
        <f>IFERROR(INDEX('Schedule C'!$A$34:$BA$313,MATCH('EI - (F1 - F2)'!$R178,'Schedule C'!$A$34:$A$313,0),14)," ")</f>
        <v xml:space="preserve"> </v>
      </c>
      <c r="E178" s="1126" t="str">
        <f>IFERROR(VLOOKUP($D178,dropdowns!$J$3:$Q$16,8,0)," ")</f>
        <v xml:space="preserve"> </v>
      </c>
      <c r="F178" s="1126" t="str">
        <f>IFERROR(INDEX('Schedule C'!$A$34:$BA$313,MATCH('EI - (F1 - F2)'!$R178,'Schedule C'!$A$34:$A$313,0),2)," ")</f>
        <v xml:space="preserve"> </v>
      </c>
      <c r="G178" s="1126" t="str">
        <f>IFERROR(INDEX('Schedule C'!$A$34:$BA$313,MATCH('EI - (F1 - F2)'!$R178,'Schedule C'!$A$34:$A$313,0),38)," ")</f>
        <v xml:space="preserve"> </v>
      </c>
      <c r="H178" s="1127" t="str">
        <f>IFERROR(INDEX('Schedule C'!$A$34:$BA$313,MATCH('EI - (F1 - F2)'!$R178,'Schedule C'!$A$34:$A$313,0),39)," ")</f>
        <v xml:space="preserve"> </v>
      </c>
      <c r="I178" s="1129" t="str">
        <f t="shared" si="15"/>
        <v xml:space="preserve"> </v>
      </c>
      <c r="J178" s="1129" t="str">
        <f t="shared" si="15"/>
        <v xml:space="preserve"> </v>
      </c>
      <c r="K178" s="1129" t="str">
        <f t="shared" si="15"/>
        <v xml:space="preserve"> </v>
      </c>
      <c r="L178" s="1129" t="str">
        <f t="shared" si="15"/>
        <v xml:space="preserve"> </v>
      </c>
      <c r="M178" s="1129" t="str">
        <f t="shared" si="15"/>
        <v xml:space="preserve"> </v>
      </c>
      <c r="N178" s="1129" t="str">
        <f t="shared" si="15"/>
        <v xml:space="preserve"> </v>
      </c>
      <c r="O178" s="1129" t="str">
        <f t="shared" si="12"/>
        <v xml:space="preserve"> </v>
      </c>
      <c r="P178" s="1130" t="str">
        <f t="shared" si="13"/>
        <v xml:space="preserve"> </v>
      </c>
      <c r="Q178" s="1131" t="str">
        <f t="shared" si="14"/>
        <v xml:space="preserve"> </v>
      </c>
      <c r="R178" s="1118">
        <f>IF('Schedule C'!AM459&gt;='EI - (F1 - F2)'!J$3,IF('Schedule C'!AM459&lt;='EI - (F1 - F2)'!K$3,'Schedule C'!A459,0),0)</f>
        <v>0</v>
      </c>
    </row>
    <row r="179" spans="1:18" ht="15">
      <c r="A179" s="1125">
        <f t="shared" si="10"/>
        <v>172</v>
      </c>
      <c r="B179" s="1126">
        <v>1</v>
      </c>
      <c r="C179" s="1126" t="str">
        <f>IFERROR(VLOOKUP(D179,dropdowns!$J$3:$Q$16,7,0)," ")</f>
        <v xml:space="preserve"> </v>
      </c>
      <c r="D179" s="1126" t="str">
        <f>IFERROR(INDEX('Schedule C'!$A$34:$BA$313,MATCH('EI - (F1 - F2)'!$R179,'Schedule C'!$A$34:$A$313,0),14)," ")</f>
        <v xml:space="preserve"> </v>
      </c>
      <c r="E179" s="1126" t="str">
        <f>IFERROR(VLOOKUP($D179,dropdowns!$J$3:$Q$16,8,0)," ")</f>
        <v xml:space="preserve"> </v>
      </c>
      <c r="F179" s="1126" t="str">
        <f>IFERROR(INDEX('Schedule C'!$A$34:$BA$313,MATCH('EI - (F1 - F2)'!$R179,'Schedule C'!$A$34:$A$313,0),2)," ")</f>
        <v xml:space="preserve"> </v>
      </c>
      <c r="G179" s="1126" t="str">
        <f>IFERROR(INDEX('Schedule C'!$A$34:$BA$313,MATCH('EI - (F1 - F2)'!$R179,'Schedule C'!$A$34:$A$313,0),38)," ")</f>
        <v xml:space="preserve"> </v>
      </c>
      <c r="H179" s="1127" t="str">
        <f>IFERROR(INDEX('Schedule C'!$A$34:$BA$313,MATCH('EI - (F1 - F2)'!$R179,'Schedule C'!$A$34:$A$313,0),39)," ")</f>
        <v xml:space="preserve"> </v>
      </c>
      <c r="I179" s="1129" t="str">
        <f t="shared" si="15"/>
        <v xml:space="preserve"> </v>
      </c>
      <c r="J179" s="1129" t="str">
        <f t="shared" si="15"/>
        <v xml:space="preserve"> </v>
      </c>
      <c r="K179" s="1129" t="str">
        <f t="shared" si="15"/>
        <v xml:space="preserve"> </v>
      </c>
      <c r="L179" s="1129" t="str">
        <f t="shared" si="15"/>
        <v xml:space="preserve"> </v>
      </c>
      <c r="M179" s="1129" t="str">
        <f t="shared" si="15"/>
        <v xml:space="preserve"> </v>
      </c>
      <c r="N179" s="1129" t="str">
        <f t="shared" si="15"/>
        <v xml:space="preserve"> </v>
      </c>
      <c r="O179" s="1129" t="str">
        <f t="shared" si="12"/>
        <v xml:space="preserve"> </v>
      </c>
      <c r="P179" s="1130" t="str">
        <f t="shared" si="13"/>
        <v xml:space="preserve"> </v>
      </c>
      <c r="Q179" s="1131" t="str">
        <f t="shared" si="14"/>
        <v xml:space="preserve"> </v>
      </c>
      <c r="R179" s="1118">
        <f>IF('Schedule C'!AM460&gt;='EI - (F1 - F2)'!J$3,IF('Schedule C'!AM460&lt;='EI - (F1 - F2)'!K$3,'Schedule C'!A460,0),0)</f>
        <v>0</v>
      </c>
    </row>
    <row r="180" spans="1:18" ht="15">
      <c r="A180" s="1125">
        <f t="shared" si="10"/>
        <v>173</v>
      </c>
      <c r="B180" s="1126">
        <v>1</v>
      </c>
      <c r="C180" s="1126" t="str">
        <f>IFERROR(VLOOKUP(D180,dropdowns!$J$3:$Q$16,7,0)," ")</f>
        <v xml:space="preserve"> </v>
      </c>
      <c r="D180" s="1126" t="str">
        <f>IFERROR(INDEX('Schedule C'!$A$34:$BA$313,MATCH('EI - (F1 - F2)'!$R180,'Schedule C'!$A$34:$A$313,0),14)," ")</f>
        <v xml:space="preserve"> </v>
      </c>
      <c r="E180" s="1126" t="str">
        <f>IFERROR(VLOOKUP($D180,dropdowns!$J$3:$Q$16,8,0)," ")</f>
        <v xml:space="preserve"> </v>
      </c>
      <c r="F180" s="1126" t="str">
        <f>IFERROR(INDEX('Schedule C'!$A$34:$BA$313,MATCH('EI - (F1 - F2)'!$R180,'Schedule C'!$A$34:$A$313,0),2)," ")</f>
        <v xml:space="preserve"> </v>
      </c>
      <c r="G180" s="1126" t="str">
        <f>IFERROR(INDEX('Schedule C'!$A$34:$BA$313,MATCH('EI - (F1 - F2)'!$R180,'Schedule C'!$A$34:$A$313,0),38)," ")</f>
        <v xml:space="preserve"> </v>
      </c>
      <c r="H180" s="1127" t="str">
        <f>IFERROR(INDEX('Schedule C'!$A$34:$BA$313,MATCH('EI - (F1 - F2)'!$R180,'Schedule C'!$A$34:$A$313,0),39)," ")</f>
        <v xml:space="preserve"> </v>
      </c>
      <c r="I180" s="1129" t="str">
        <f t="shared" si="15"/>
        <v xml:space="preserve"> </v>
      </c>
      <c r="J180" s="1129" t="str">
        <f t="shared" si="15"/>
        <v xml:space="preserve"> </v>
      </c>
      <c r="K180" s="1129" t="str">
        <f t="shared" si="15"/>
        <v xml:space="preserve"> </v>
      </c>
      <c r="L180" s="1129" t="str">
        <f t="shared" si="15"/>
        <v xml:space="preserve"> </v>
      </c>
      <c r="M180" s="1129" t="str">
        <f t="shared" si="15"/>
        <v xml:space="preserve"> </v>
      </c>
      <c r="N180" s="1129" t="str">
        <f t="shared" si="15"/>
        <v xml:space="preserve"> </v>
      </c>
      <c r="O180" s="1129" t="str">
        <f t="shared" si="12"/>
        <v xml:space="preserve"> </v>
      </c>
      <c r="P180" s="1130" t="str">
        <f t="shared" si="13"/>
        <v xml:space="preserve"> </v>
      </c>
      <c r="Q180" s="1131" t="str">
        <f t="shared" si="14"/>
        <v xml:space="preserve"> </v>
      </c>
      <c r="R180" s="1118">
        <f>IF('Schedule C'!AM461&gt;='EI - (F1 - F2)'!J$3,IF('Schedule C'!AM461&lt;='EI - (F1 - F2)'!K$3,'Schedule C'!A461,0),0)</f>
        <v>0</v>
      </c>
    </row>
    <row r="181" spans="1:18" ht="15">
      <c r="A181" s="1125">
        <f t="shared" si="10"/>
        <v>174</v>
      </c>
      <c r="B181" s="1126">
        <v>1</v>
      </c>
      <c r="C181" s="1126" t="str">
        <f>IFERROR(VLOOKUP(D181,dropdowns!$J$3:$Q$16,7,0)," ")</f>
        <v xml:space="preserve"> </v>
      </c>
      <c r="D181" s="1126" t="str">
        <f>IFERROR(INDEX('Schedule C'!$A$34:$BA$313,MATCH('EI - (F1 - F2)'!$R181,'Schedule C'!$A$34:$A$313,0),14)," ")</f>
        <v xml:space="preserve"> </v>
      </c>
      <c r="E181" s="1126" t="str">
        <f>IFERROR(VLOOKUP($D181,dropdowns!$J$3:$Q$16,8,0)," ")</f>
        <v xml:space="preserve"> </v>
      </c>
      <c r="F181" s="1126" t="str">
        <f>IFERROR(INDEX('Schedule C'!$A$34:$BA$313,MATCH('EI - (F1 - F2)'!$R181,'Schedule C'!$A$34:$A$313,0),2)," ")</f>
        <v xml:space="preserve"> </v>
      </c>
      <c r="G181" s="1126" t="str">
        <f>IFERROR(INDEX('Schedule C'!$A$34:$BA$313,MATCH('EI - (F1 - F2)'!$R181,'Schedule C'!$A$34:$A$313,0),38)," ")</f>
        <v xml:space="preserve"> </v>
      </c>
      <c r="H181" s="1127" t="str">
        <f>IFERROR(INDEX('Schedule C'!$A$34:$BA$313,MATCH('EI - (F1 - F2)'!$R181,'Schedule C'!$A$34:$A$313,0),39)," ")</f>
        <v xml:space="preserve"> </v>
      </c>
      <c r="I181" s="1129" t="str">
        <f t="shared" si="15"/>
        <v xml:space="preserve"> </v>
      </c>
      <c r="J181" s="1129" t="str">
        <f t="shared" si="15"/>
        <v xml:space="preserve"> </v>
      </c>
      <c r="K181" s="1129" t="str">
        <f t="shared" si="15"/>
        <v xml:space="preserve"> </v>
      </c>
      <c r="L181" s="1129" t="str">
        <f t="shared" si="15"/>
        <v xml:space="preserve"> </v>
      </c>
      <c r="M181" s="1129" t="str">
        <f t="shared" si="15"/>
        <v xml:space="preserve"> </v>
      </c>
      <c r="N181" s="1129" t="str">
        <f t="shared" si="15"/>
        <v xml:space="preserve"> </v>
      </c>
      <c r="O181" s="1129" t="str">
        <f t="shared" si="12"/>
        <v xml:space="preserve"> </v>
      </c>
      <c r="P181" s="1130" t="str">
        <f t="shared" si="13"/>
        <v xml:space="preserve"> </v>
      </c>
      <c r="Q181" s="1131" t="str">
        <f t="shared" si="14"/>
        <v xml:space="preserve"> </v>
      </c>
      <c r="R181" s="1118">
        <f>IF('Schedule C'!AM462&gt;='EI - (F1 - F2)'!J$3,IF('Schedule C'!AM462&lt;='EI - (F1 - F2)'!K$3,'Schedule C'!A462,0),0)</f>
        <v>0</v>
      </c>
    </row>
    <row r="182" spans="1:18" ht="15">
      <c r="A182" s="1125">
        <f t="shared" si="10"/>
        <v>175</v>
      </c>
      <c r="B182" s="1126">
        <v>1</v>
      </c>
      <c r="C182" s="1126" t="str">
        <f>IFERROR(VLOOKUP(D182,dropdowns!$J$3:$Q$16,7,0)," ")</f>
        <v xml:space="preserve"> </v>
      </c>
      <c r="D182" s="1126" t="str">
        <f>IFERROR(INDEX('Schedule C'!$A$34:$BA$313,MATCH('EI - (F1 - F2)'!$R182,'Schedule C'!$A$34:$A$313,0),14)," ")</f>
        <v xml:space="preserve"> </v>
      </c>
      <c r="E182" s="1126" t="str">
        <f>IFERROR(VLOOKUP($D182,dropdowns!$J$3:$Q$16,8,0)," ")</f>
        <v xml:space="preserve"> </v>
      </c>
      <c r="F182" s="1126" t="str">
        <f>IFERROR(INDEX('Schedule C'!$A$34:$BA$313,MATCH('EI - (F1 - F2)'!$R182,'Schedule C'!$A$34:$A$313,0),2)," ")</f>
        <v xml:space="preserve"> </v>
      </c>
      <c r="G182" s="1126" t="str">
        <f>IFERROR(INDEX('Schedule C'!$A$34:$BA$313,MATCH('EI - (F1 - F2)'!$R182,'Schedule C'!$A$34:$A$313,0),38)," ")</f>
        <v xml:space="preserve"> </v>
      </c>
      <c r="H182" s="1127" t="str">
        <f>IFERROR(INDEX('Schedule C'!$A$34:$BA$313,MATCH('EI - (F1 - F2)'!$R182,'Schedule C'!$A$34:$A$313,0),39)," ")</f>
        <v xml:space="preserve"> </v>
      </c>
      <c r="I182" s="1129" t="str">
        <f t="shared" si="15"/>
        <v xml:space="preserve"> </v>
      </c>
      <c r="J182" s="1129" t="str">
        <f t="shared" si="15"/>
        <v xml:space="preserve"> </v>
      </c>
      <c r="K182" s="1129" t="str">
        <f t="shared" si="15"/>
        <v xml:space="preserve"> </v>
      </c>
      <c r="L182" s="1129" t="str">
        <f t="shared" si="15"/>
        <v xml:space="preserve"> </v>
      </c>
      <c r="M182" s="1129" t="str">
        <f t="shared" si="15"/>
        <v xml:space="preserve"> </v>
      </c>
      <c r="N182" s="1129" t="str">
        <f t="shared" si="15"/>
        <v xml:space="preserve"> </v>
      </c>
      <c r="O182" s="1129" t="str">
        <f t="shared" si="12"/>
        <v xml:space="preserve"> </v>
      </c>
      <c r="P182" s="1130" t="str">
        <f t="shared" si="13"/>
        <v xml:space="preserve"> </v>
      </c>
      <c r="Q182" s="1131" t="str">
        <f t="shared" si="14"/>
        <v xml:space="preserve"> </v>
      </c>
      <c r="R182" s="1118">
        <f>IF('Schedule C'!AM463&gt;='EI - (F1 - F2)'!J$3,IF('Schedule C'!AM463&lt;='EI - (F1 - F2)'!K$3,'Schedule C'!A463,0),0)</f>
        <v>0</v>
      </c>
    </row>
    <row r="183" spans="1:18" ht="15">
      <c r="A183" s="1125">
        <f t="shared" si="10"/>
        <v>176</v>
      </c>
      <c r="B183" s="1126">
        <v>1</v>
      </c>
      <c r="C183" s="1126" t="str">
        <f>IFERROR(VLOOKUP(D183,dropdowns!$J$3:$Q$16,7,0)," ")</f>
        <v xml:space="preserve"> </v>
      </c>
      <c r="D183" s="1126" t="str">
        <f>IFERROR(INDEX('Schedule C'!$A$34:$BA$313,MATCH('EI - (F1 - F2)'!$R183,'Schedule C'!$A$34:$A$313,0),14)," ")</f>
        <v xml:space="preserve"> </v>
      </c>
      <c r="E183" s="1126" t="str">
        <f>IFERROR(VLOOKUP($D183,dropdowns!$J$3:$Q$16,8,0)," ")</f>
        <v xml:space="preserve"> </v>
      </c>
      <c r="F183" s="1126" t="str">
        <f>IFERROR(INDEX('Schedule C'!$A$34:$BA$313,MATCH('EI - (F1 - F2)'!$R183,'Schedule C'!$A$34:$A$313,0),2)," ")</f>
        <v xml:space="preserve"> </v>
      </c>
      <c r="G183" s="1126" t="str">
        <f>IFERROR(INDEX('Schedule C'!$A$34:$BA$313,MATCH('EI - (F1 - F2)'!$R183,'Schedule C'!$A$34:$A$313,0),38)," ")</f>
        <v xml:space="preserve"> </v>
      </c>
      <c r="H183" s="1127" t="str">
        <f>IFERROR(INDEX('Schedule C'!$A$34:$BA$313,MATCH('EI - (F1 - F2)'!$R183,'Schedule C'!$A$34:$A$313,0),39)," ")</f>
        <v xml:space="preserve"> </v>
      </c>
      <c r="I183" s="1129" t="str">
        <f t="shared" si="15"/>
        <v xml:space="preserve"> </v>
      </c>
      <c r="J183" s="1129" t="str">
        <f t="shared" si="15"/>
        <v xml:space="preserve"> </v>
      </c>
      <c r="K183" s="1129" t="str">
        <f t="shared" si="15"/>
        <v xml:space="preserve"> </v>
      </c>
      <c r="L183" s="1129" t="str">
        <f t="shared" si="15"/>
        <v xml:space="preserve"> </v>
      </c>
      <c r="M183" s="1129" t="str">
        <f t="shared" si="15"/>
        <v xml:space="preserve"> </v>
      </c>
      <c r="N183" s="1129" t="str">
        <f t="shared" si="15"/>
        <v xml:space="preserve"> </v>
      </c>
      <c r="O183" s="1129" t="str">
        <f t="shared" si="12"/>
        <v xml:space="preserve"> </v>
      </c>
      <c r="P183" s="1130" t="str">
        <f t="shared" si="13"/>
        <v xml:space="preserve"> </v>
      </c>
      <c r="Q183" s="1131" t="str">
        <f t="shared" si="14"/>
        <v xml:space="preserve"> </v>
      </c>
      <c r="R183" s="1118">
        <f>IF('Schedule C'!AM464&gt;='EI - (F1 - F2)'!J$3,IF('Schedule C'!AM464&lt;='EI - (F1 - F2)'!K$3,'Schedule C'!A464,0),0)</f>
        <v>0</v>
      </c>
    </row>
    <row r="184" spans="1:18" ht="15">
      <c r="A184" s="1125">
        <f t="shared" si="10"/>
        <v>177</v>
      </c>
      <c r="B184" s="1126">
        <v>1</v>
      </c>
      <c r="C184" s="1126" t="str">
        <f>IFERROR(VLOOKUP(D184,dropdowns!$J$3:$Q$16,7,0)," ")</f>
        <v xml:space="preserve"> </v>
      </c>
      <c r="D184" s="1126" t="str">
        <f>IFERROR(INDEX('Schedule C'!$A$34:$BA$313,MATCH('EI - (F1 - F2)'!$R184,'Schedule C'!$A$34:$A$313,0),14)," ")</f>
        <v xml:space="preserve"> </v>
      </c>
      <c r="E184" s="1126" t="str">
        <f>IFERROR(VLOOKUP($D184,dropdowns!$J$3:$Q$16,8,0)," ")</f>
        <v xml:space="preserve"> </v>
      </c>
      <c r="F184" s="1126" t="str">
        <f>IFERROR(INDEX('Schedule C'!$A$34:$BA$313,MATCH('EI - (F1 - F2)'!$R184,'Schedule C'!$A$34:$A$313,0),2)," ")</f>
        <v xml:space="preserve"> </v>
      </c>
      <c r="G184" s="1126" t="str">
        <f>IFERROR(INDEX('Schedule C'!$A$34:$BA$313,MATCH('EI - (F1 - F2)'!$R184,'Schedule C'!$A$34:$A$313,0),38)," ")</f>
        <v xml:space="preserve"> </v>
      </c>
      <c r="H184" s="1127" t="str">
        <f>IFERROR(INDEX('Schedule C'!$A$34:$BA$313,MATCH('EI - (F1 - F2)'!$R184,'Schedule C'!$A$34:$A$313,0),39)," ")</f>
        <v xml:space="preserve"> </v>
      </c>
      <c r="I184" s="1129" t="str">
        <f t="shared" si="15"/>
        <v xml:space="preserve"> </v>
      </c>
      <c r="J184" s="1129" t="str">
        <f t="shared" si="15"/>
        <v xml:space="preserve"> </v>
      </c>
      <c r="K184" s="1129" t="str">
        <f t="shared" si="15"/>
        <v xml:space="preserve"> </v>
      </c>
      <c r="L184" s="1129" t="str">
        <f t="shared" si="15"/>
        <v xml:space="preserve"> </v>
      </c>
      <c r="M184" s="1129" t="str">
        <f t="shared" si="15"/>
        <v xml:space="preserve"> </v>
      </c>
      <c r="N184" s="1129" t="str">
        <f t="shared" si="15"/>
        <v xml:space="preserve"> </v>
      </c>
      <c r="O184" s="1129" t="str">
        <f t="shared" si="12"/>
        <v xml:space="preserve"> </v>
      </c>
      <c r="P184" s="1130" t="str">
        <f t="shared" si="13"/>
        <v xml:space="preserve"> </v>
      </c>
      <c r="Q184" s="1131" t="str">
        <f t="shared" si="14"/>
        <v xml:space="preserve"> </v>
      </c>
      <c r="R184" s="1118">
        <f>IF('Schedule C'!AM465&gt;='EI - (F1 - F2)'!J$3,IF('Schedule C'!AM465&lt;='EI - (F1 - F2)'!K$3,'Schedule C'!A465,0),0)</f>
        <v>0</v>
      </c>
    </row>
    <row r="185" spans="1:18" ht="15">
      <c r="A185" s="1125">
        <f t="shared" si="10"/>
        <v>178</v>
      </c>
      <c r="B185" s="1126">
        <v>1</v>
      </c>
      <c r="C185" s="1126" t="str">
        <f>IFERROR(VLOOKUP(D185,dropdowns!$J$3:$Q$16,7,0)," ")</f>
        <v xml:space="preserve"> </v>
      </c>
      <c r="D185" s="1126" t="str">
        <f>IFERROR(INDEX('Schedule C'!$A$34:$BA$313,MATCH('EI - (F1 - F2)'!$R185,'Schedule C'!$A$34:$A$313,0),14)," ")</f>
        <v xml:space="preserve"> </v>
      </c>
      <c r="E185" s="1126" t="str">
        <f>IFERROR(VLOOKUP($D185,dropdowns!$J$3:$Q$16,8,0)," ")</f>
        <v xml:space="preserve"> </v>
      </c>
      <c r="F185" s="1126" t="str">
        <f>IFERROR(INDEX('Schedule C'!$A$34:$BA$313,MATCH('EI - (F1 - F2)'!$R185,'Schedule C'!$A$34:$A$313,0),2)," ")</f>
        <v xml:space="preserve"> </v>
      </c>
      <c r="G185" s="1126" t="str">
        <f>IFERROR(INDEX('Schedule C'!$A$34:$BA$313,MATCH('EI - (F1 - F2)'!$R185,'Schedule C'!$A$34:$A$313,0),38)," ")</f>
        <v xml:space="preserve"> </v>
      </c>
      <c r="H185" s="1127" t="str">
        <f>IFERROR(INDEX('Schedule C'!$A$34:$BA$313,MATCH('EI - (F1 - F2)'!$R185,'Schedule C'!$A$34:$A$313,0),39)," ")</f>
        <v xml:space="preserve"> </v>
      </c>
      <c r="I185" s="1129" t="str">
        <f t="shared" si="15"/>
        <v xml:space="preserve"> </v>
      </c>
      <c r="J185" s="1129" t="str">
        <f t="shared" si="15"/>
        <v xml:space="preserve"> </v>
      </c>
      <c r="K185" s="1129" t="str">
        <f t="shared" si="15"/>
        <v xml:space="preserve"> </v>
      </c>
      <c r="L185" s="1129" t="str">
        <f t="shared" si="15"/>
        <v xml:space="preserve"> </v>
      </c>
      <c r="M185" s="1129" t="str">
        <f t="shared" si="15"/>
        <v xml:space="preserve"> </v>
      </c>
      <c r="N185" s="1129" t="str">
        <f t="shared" si="15"/>
        <v xml:space="preserve"> </v>
      </c>
      <c r="O185" s="1129" t="str">
        <f t="shared" si="12"/>
        <v xml:space="preserve"> </v>
      </c>
      <c r="P185" s="1130" t="str">
        <f t="shared" si="13"/>
        <v xml:space="preserve"> </v>
      </c>
      <c r="Q185" s="1131" t="str">
        <f t="shared" si="14"/>
        <v xml:space="preserve"> </v>
      </c>
      <c r="R185" s="1118">
        <f>IF('Schedule C'!AM466&gt;='EI - (F1 - F2)'!J$3,IF('Schedule C'!AM466&lt;='EI - (F1 - F2)'!K$3,'Schedule C'!A466,0),0)</f>
        <v>0</v>
      </c>
    </row>
    <row r="186" spans="1:18" ht="15">
      <c r="A186" s="1125">
        <f t="shared" si="10"/>
        <v>179</v>
      </c>
      <c r="B186" s="1126">
        <v>1</v>
      </c>
      <c r="C186" s="1126" t="str">
        <f>IFERROR(VLOOKUP(D186,dropdowns!$J$3:$Q$16,7,0)," ")</f>
        <v xml:space="preserve"> </v>
      </c>
      <c r="D186" s="1126" t="str">
        <f>IFERROR(INDEX('Schedule C'!$A$34:$BA$313,MATCH('EI - (F1 - F2)'!$R186,'Schedule C'!$A$34:$A$313,0),14)," ")</f>
        <v xml:space="preserve"> </v>
      </c>
      <c r="E186" s="1126" t="str">
        <f>IFERROR(VLOOKUP($D186,dropdowns!$J$3:$Q$16,8,0)," ")</f>
        <v xml:space="preserve"> </v>
      </c>
      <c r="F186" s="1126" t="str">
        <f>IFERROR(INDEX('Schedule C'!$A$34:$BA$313,MATCH('EI - (F1 - F2)'!$R186,'Schedule C'!$A$34:$A$313,0),2)," ")</f>
        <v xml:space="preserve"> </v>
      </c>
      <c r="G186" s="1126" t="str">
        <f>IFERROR(INDEX('Schedule C'!$A$34:$BA$313,MATCH('EI - (F1 - F2)'!$R186,'Schedule C'!$A$34:$A$313,0),38)," ")</f>
        <v xml:space="preserve"> </v>
      </c>
      <c r="H186" s="1127" t="str">
        <f>IFERROR(INDEX('Schedule C'!$A$34:$BA$313,MATCH('EI - (F1 - F2)'!$R186,'Schedule C'!$A$34:$A$313,0),39)," ")</f>
        <v xml:space="preserve"> </v>
      </c>
      <c r="I186" s="1129" t="str">
        <f t="shared" si="15"/>
        <v xml:space="preserve"> </v>
      </c>
      <c r="J186" s="1129" t="str">
        <f t="shared" si="15"/>
        <v xml:space="preserve"> </v>
      </c>
      <c r="K186" s="1129" t="str">
        <f t="shared" si="15"/>
        <v xml:space="preserve"> </v>
      </c>
      <c r="L186" s="1129" t="str">
        <f t="shared" si="15"/>
        <v xml:space="preserve"> </v>
      </c>
      <c r="M186" s="1129" t="str">
        <f t="shared" si="15"/>
        <v xml:space="preserve"> </v>
      </c>
      <c r="N186" s="1129" t="str">
        <f t="shared" si="15"/>
        <v xml:space="preserve"> </v>
      </c>
      <c r="O186" s="1129" t="str">
        <f t="shared" si="12"/>
        <v xml:space="preserve"> </v>
      </c>
      <c r="P186" s="1130" t="str">
        <f t="shared" si="13"/>
        <v xml:space="preserve"> </v>
      </c>
      <c r="Q186" s="1131" t="str">
        <f t="shared" si="14"/>
        <v xml:space="preserve"> </v>
      </c>
      <c r="R186" s="1118">
        <f>IF('Schedule C'!AM467&gt;='EI - (F1 - F2)'!J$3,IF('Schedule C'!AM467&lt;='EI - (F1 - F2)'!K$3,'Schedule C'!A467,0),0)</f>
        <v>0</v>
      </c>
    </row>
    <row r="187" spans="1:18" ht="15">
      <c r="A187" s="1125">
        <f t="shared" si="10"/>
        <v>180</v>
      </c>
      <c r="B187" s="1126">
        <v>1</v>
      </c>
      <c r="C187" s="1126" t="str">
        <f>IFERROR(VLOOKUP(D187,dropdowns!$J$3:$Q$16,7,0)," ")</f>
        <v xml:space="preserve"> </v>
      </c>
      <c r="D187" s="1126" t="str">
        <f>IFERROR(INDEX('Schedule C'!$A$34:$BA$313,MATCH('EI - (F1 - F2)'!$R187,'Schedule C'!$A$34:$A$313,0),14)," ")</f>
        <v xml:space="preserve"> </v>
      </c>
      <c r="E187" s="1126" t="str">
        <f>IFERROR(VLOOKUP($D187,dropdowns!$J$3:$Q$16,8,0)," ")</f>
        <v xml:space="preserve"> </v>
      </c>
      <c r="F187" s="1126" t="str">
        <f>IFERROR(INDEX('Schedule C'!$A$34:$BA$313,MATCH('EI - (F1 - F2)'!$R187,'Schedule C'!$A$34:$A$313,0),2)," ")</f>
        <v xml:space="preserve"> </v>
      </c>
      <c r="G187" s="1126" t="str">
        <f>IFERROR(INDEX('Schedule C'!$A$34:$BA$313,MATCH('EI - (F1 - F2)'!$R187,'Schedule C'!$A$34:$A$313,0),38)," ")</f>
        <v xml:space="preserve"> </v>
      </c>
      <c r="H187" s="1127" t="str">
        <f>IFERROR(INDEX('Schedule C'!$A$34:$BA$313,MATCH('EI - (F1 - F2)'!$R187,'Schedule C'!$A$34:$A$313,0),39)," ")</f>
        <v xml:space="preserve"> </v>
      </c>
      <c r="I187" s="1129" t="str">
        <f t="shared" si="15"/>
        <v xml:space="preserve"> </v>
      </c>
      <c r="J187" s="1129" t="str">
        <f t="shared" si="15"/>
        <v xml:space="preserve"> </v>
      </c>
      <c r="K187" s="1129" t="str">
        <f t="shared" si="15"/>
        <v xml:space="preserve"> </v>
      </c>
      <c r="L187" s="1129" t="str">
        <f t="shared" si="15"/>
        <v xml:space="preserve"> </v>
      </c>
      <c r="M187" s="1129" t="str">
        <f t="shared" si="15"/>
        <v xml:space="preserve"> </v>
      </c>
      <c r="N187" s="1129" t="str">
        <f t="shared" si="15"/>
        <v xml:space="preserve"> </v>
      </c>
      <c r="O187" s="1129" t="str">
        <f t="shared" si="12"/>
        <v xml:space="preserve"> </v>
      </c>
      <c r="P187" s="1130" t="str">
        <f t="shared" si="13"/>
        <v xml:space="preserve"> </v>
      </c>
      <c r="Q187" s="1131" t="str">
        <f t="shared" si="14"/>
        <v xml:space="preserve"> </v>
      </c>
      <c r="R187" s="1118">
        <f>IF('Schedule C'!AM468&gt;='EI - (F1 - F2)'!J$3,IF('Schedule C'!AM468&lt;='EI - (F1 - F2)'!K$3,'Schedule C'!A468,0),0)</f>
        <v>0</v>
      </c>
    </row>
    <row r="188" spans="1:18" ht="15">
      <c r="A188" s="1125">
        <f t="shared" ref="A188:A215" si="16">ROW()-7</f>
        <v>181</v>
      </c>
      <c r="B188" s="1126">
        <v>1</v>
      </c>
      <c r="C188" s="1126" t="str">
        <f>IFERROR(VLOOKUP(D188,dropdowns!$J$3:$Q$16,7,0)," ")</f>
        <v xml:space="preserve"> </v>
      </c>
      <c r="D188" s="1126" t="str">
        <f>IFERROR(INDEX('Schedule C'!$A$34:$BA$313,MATCH('EI - (F1 - F2)'!$R188,'Schedule C'!$A$34:$A$313,0),14)," ")</f>
        <v xml:space="preserve"> </v>
      </c>
      <c r="E188" s="1126" t="str">
        <f>IFERROR(VLOOKUP($D188,dropdowns!$J$3:$Q$16,8,0)," ")</f>
        <v xml:space="preserve"> </v>
      </c>
      <c r="F188" s="1126" t="str">
        <f>IFERROR(INDEX('Schedule C'!$A$34:$BA$313,MATCH('EI - (F1 - F2)'!$R188,'Schedule C'!$A$34:$A$313,0),2)," ")</f>
        <v xml:space="preserve"> </v>
      </c>
      <c r="G188" s="1126" t="str">
        <f>IFERROR(INDEX('Schedule C'!$A$34:$BA$313,MATCH('EI - (F1 - F2)'!$R188,'Schedule C'!$A$34:$A$313,0),38)," ")</f>
        <v xml:space="preserve"> </v>
      </c>
      <c r="H188" s="1127" t="str">
        <f>IFERROR(INDEX('Schedule C'!$A$34:$BA$313,MATCH('EI - (F1 - F2)'!$R188,'Schedule C'!$A$34:$A$313,0),39)," ")</f>
        <v xml:space="preserve"> </v>
      </c>
      <c r="I188" s="1129" t="str">
        <f t="shared" si="15"/>
        <v xml:space="preserve"> </v>
      </c>
      <c r="J188" s="1129" t="str">
        <f t="shared" si="15"/>
        <v xml:space="preserve"> </v>
      </c>
      <c r="K188" s="1129" t="str">
        <f t="shared" si="15"/>
        <v xml:space="preserve"> </v>
      </c>
      <c r="L188" s="1129" t="str">
        <f t="shared" si="15"/>
        <v xml:space="preserve"> </v>
      </c>
      <c r="M188" s="1129" t="str">
        <f t="shared" si="15"/>
        <v xml:space="preserve"> </v>
      </c>
      <c r="N188" s="1129" t="str">
        <f t="shared" si="15"/>
        <v xml:space="preserve"> </v>
      </c>
      <c r="O188" s="1129" t="str">
        <f t="shared" si="12"/>
        <v xml:space="preserve"> </v>
      </c>
      <c r="P188" s="1130" t="str">
        <f t="shared" si="13"/>
        <v xml:space="preserve"> </v>
      </c>
      <c r="Q188" s="1131" t="str">
        <f t="shared" si="14"/>
        <v xml:space="preserve"> </v>
      </c>
      <c r="R188" s="1118">
        <f>IF('Schedule C'!AM469&gt;='EI - (F1 - F2)'!J$3,IF('Schedule C'!AM469&lt;='EI - (F1 - F2)'!K$3,'Schedule C'!A469,0),0)</f>
        <v>0</v>
      </c>
    </row>
    <row r="189" spans="1:18" ht="15">
      <c r="A189" s="1125">
        <f t="shared" si="16"/>
        <v>182</v>
      </c>
      <c r="B189" s="1126">
        <v>1</v>
      </c>
      <c r="C189" s="1126" t="str">
        <f>IFERROR(VLOOKUP(D189,dropdowns!$J$3:$Q$16,7,0)," ")</f>
        <v xml:space="preserve"> </v>
      </c>
      <c r="D189" s="1126" t="str">
        <f>IFERROR(INDEX('Schedule C'!$A$34:$BA$313,MATCH('EI - (F1 - F2)'!$R189,'Schedule C'!$A$34:$A$313,0),14)," ")</f>
        <v xml:space="preserve"> </v>
      </c>
      <c r="E189" s="1126" t="str">
        <f>IFERROR(VLOOKUP($D189,dropdowns!$J$3:$Q$16,8,0)," ")</f>
        <v xml:space="preserve"> </v>
      </c>
      <c r="F189" s="1126" t="str">
        <f>IFERROR(INDEX('Schedule C'!$A$34:$BA$313,MATCH('EI - (F1 - F2)'!$R189,'Schedule C'!$A$34:$A$313,0),2)," ")</f>
        <v xml:space="preserve"> </v>
      </c>
      <c r="G189" s="1126" t="str">
        <f>IFERROR(INDEX('Schedule C'!$A$34:$BA$313,MATCH('EI - (F1 - F2)'!$R189,'Schedule C'!$A$34:$A$313,0),38)," ")</f>
        <v xml:space="preserve"> </v>
      </c>
      <c r="H189" s="1127" t="str">
        <f>IFERROR(INDEX('Schedule C'!$A$34:$BA$313,MATCH('EI - (F1 - F2)'!$R189,'Schedule C'!$A$34:$A$313,0),39)," ")</f>
        <v xml:space="preserve"> </v>
      </c>
      <c r="I189" s="1129" t="str">
        <f t="shared" si="15"/>
        <v xml:space="preserve"> </v>
      </c>
      <c r="J189" s="1129" t="str">
        <f t="shared" si="15"/>
        <v xml:space="preserve"> </v>
      </c>
      <c r="K189" s="1129" t="str">
        <f t="shared" si="15"/>
        <v xml:space="preserve"> </v>
      </c>
      <c r="L189" s="1129" t="str">
        <f t="shared" si="15"/>
        <v xml:space="preserve"> </v>
      </c>
      <c r="M189" s="1129" t="str">
        <f t="shared" si="15"/>
        <v xml:space="preserve"> </v>
      </c>
      <c r="N189" s="1129" t="str">
        <f t="shared" si="15"/>
        <v xml:space="preserve"> </v>
      </c>
      <c r="O189" s="1129" t="str">
        <f t="shared" si="12"/>
        <v xml:space="preserve"> </v>
      </c>
      <c r="P189" s="1130" t="str">
        <f t="shared" si="13"/>
        <v xml:space="preserve"> </v>
      </c>
      <c r="Q189" s="1131" t="str">
        <f t="shared" si="14"/>
        <v xml:space="preserve"> </v>
      </c>
      <c r="R189" s="1118">
        <f>IF('Schedule C'!AM470&gt;='EI - (F1 - F2)'!J$3,IF('Schedule C'!AM470&lt;='EI - (F1 - F2)'!K$3,'Schedule C'!A470,0),0)</f>
        <v>0</v>
      </c>
    </row>
    <row r="190" spans="1:18" ht="15">
      <c r="A190" s="1125">
        <f t="shared" si="16"/>
        <v>183</v>
      </c>
      <c r="B190" s="1126">
        <v>1</v>
      </c>
      <c r="C190" s="1126" t="str">
        <f>IFERROR(VLOOKUP(D190,dropdowns!$J$3:$Q$16,7,0)," ")</f>
        <v xml:space="preserve"> </v>
      </c>
      <c r="D190" s="1126" t="str">
        <f>IFERROR(INDEX('Schedule C'!$A$34:$BA$313,MATCH('EI - (F1 - F2)'!$R190,'Schedule C'!$A$34:$A$313,0),14)," ")</f>
        <v xml:space="preserve"> </v>
      </c>
      <c r="E190" s="1126" t="str">
        <f>IFERROR(VLOOKUP($D190,dropdowns!$J$3:$Q$16,8,0)," ")</f>
        <v xml:space="preserve"> </v>
      </c>
      <c r="F190" s="1126" t="str">
        <f>IFERROR(INDEX('Schedule C'!$A$34:$BA$313,MATCH('EI - (F1 - F2)'!$R190,'Schedule C'!$A$34:$A$313,0),2)," ")</f>
        <v xml:space="preserve"> </v>
      </c>
      <c r="G190" s="1126" t="str">
        <f>IFERROR(INDEX('Schedule C'!$A$34:$BA$313,MATCH('EI - (F1 - F2)'!$R190,'Schedule C'!$A$34:$A$313,0),38)," ")</f>
        <v xml:space="preserve"> </v>
      </c>
      <c r="H190" s="1127" t="str">
        <f>IFERROR(INDEX('Schedule C'!$A$34:$BA$313,MATCH('EI - (F1 - F2)'!$R190,'Schedule C'!$A$34:$A$313,0),39)," ")</f>
        <v xml:space="preserve"> </v>
      </c>
      <c r="I190" s="1129" t="str">
        <f t="shared" si="15"/>
        <v xml:space="preserve"> </v>
      </c>
      <c r="J190" s="1129" t="str">
        <f t="shared" si="15"/>
        <v xml:space="preserve"> </v>
      </c>
      <c r="K190" s="1129" t="str">
        <f t="shared" si="15"/>
        <v xml:space="preserve"> </v>
      </c>
      <c r="L190" s="1129" t="str">
        <f t="shared" si="15"/>
        <v xml:space="preserve"> </v>
      </c>
      <c r="M190" s="1129" t="str">
        <f t="shared" si="15"/>
        <v xml:space="preserve"> </v>
      </c>
      <c r="N190" s="1129" t="str">
        <f t="shared" si="15"/>
        <v xml:space="preserve"> </v>
      </c>
      <c r="O190" s="1129" t="str">
        <f t="shared" si="12"/>
        <v xml:space="preserve"> </v>
      </c>
      <c r="P190" s="1130" t="str">
        <f t="shared" si="13"/>
        <v xml:space="preserve"> </v>
      </c>
      <c r="Q190" s="1131" t="str">
        <f t="shared" si="14"/>
        <v xml:space="preserve"> </v>
      </c>
      <c r="R190" s="1118">
        <f>IF('Schedule C'!AM471&gt;='EI - (F1 - F2)'!J$3,IF('Schedule C'!AM471&lt;='EI - (F1 - F2)'!K$3,'Schedule C'!A471,0),0)</f>
        <v>0</v>
      </c>
    </row>
    <row r="191" spans="1:18" ht="15">
      <c r="A191" s="1125">
        <f t="shared" si="16"/>
        <v>184</v>
      </c>
      <c r="B191" s="1126">
        <v>1</v>
      </c>
      <c r="C191" s="1126" t="str">
        <f>IFERROR(VLOOKUP(D191,dropdowns!$J$3:$Q$16,7,0)," ")</f>
        <v xml:space="preserve"> </v>
      </c>
      <c r="D191" s="1126" t="str">
        <f>IFERROR(INDEX('Schedule C'!$A$34:$BA$313,MATCH('EI - (F1 - F2)'!$R191,'Schedule C'!$A$34:$A$313,0),14)," ")</f>
        <v xml:space="preserve"> </v>
      </c>
      <c r="E191" s="1126" t="str">
        <f>IFERROR(VLOOKUP($D191,dropdowns!$J$3:$Q$16,8,0)," ")</f>
        <v xml:space="preserve"> </v>
      </c>
      <c r="F191" s="1126" t="str">
        <f>IFERROR(INDEX('Schedule C'!$A$34:$BA$313,MATCH('EI - (F1 - F2)'!$R191,'Schedule C'!$A$34:$A$313,0),2)," ")</f>
        <v xml:space="preserve"> </v>
      </c>
      <c r="G191" s="1126" t="str">
        <f>IFERROR(INDEX('Schedule C'!$A$34:$BA$313,MATCH('EI - (F1 - F2)'!$R191,'Schedule C'!$A$34:$A$313,0),38)," ")</f>
        <v xml:space="preserve"> </v>
      </c>
      <c r="H191" s="1127" t="str">
        <f>IFERROR(INDEX('Schedule C'!$A$34:$BA$313,MATCH('EI - (F1 - F2)'!$R191,'Schedule C'!$A$34:$A$313,0),39)," ")</f>
        <v xml:space="preserve"> </v>
      </c>
      <c r="I191" s="1129" t="str">
        <f t="shared" si="15"/>
        <v xml:space="preserve"> </v>
      </c>
      <c r="J191" s="1129" t="str">
        <f t="shared" si="15"/>
        <v xml:space="preserve"> </v>
      </c>
      <c r="K191" s="1129" t="str">
        <f t="shared" si="15"/>
        <v xml:space="preserve"> </v>
      </c>
      <c r="L191" s="1129" t="str">
        <f t="shared" si="15"/>
        <v xml:space="preserve"> </v>
      </c>
      <c r="M191" s="1129" t="str">
        <f t="shared" si="15"/>
        <v xml:space="preserve"> </v>
      </c>
      <c r="N191" s="1129" t="str">
        <f t="shared" si="15"/>
        <v xml:space="preserve"> </v>
      </c>
      <c r="O191" s="1129" t="str">
        <f t="shared" si="12"/>
        <v xml:space="preserve"> </v>
      </c>
      <c r="P191" s="1130" t="str">
        <f t="shared" si="13"/>
        <v xml:space="preserve"> </v>
      </c>
      <c r="Q191" s="1131" t="str">
        <f t="shared" si="14"/>
        <v xml:space="preserve"> </v>
      </c>
      <c r="R191" s="1118">
        <f>IF('Schedule C'!AM472&gt;='EI - (F1 - F2)'!J$3,IF('Schedule C'!AM472&lt;='EI - (F1 - F2)'!K$3,'Schedule C'!A472,0),0)</f>
        <v>0</v>
      </c>
    </row>
    <row r="192" spans="1:18" ht="15">
      <c r="A192" s="1125">
        <f t="shared" si="16"/>
        <v>185</v>
      </c>
      <c r="B192" s="1126">
        <v>1</v>
      </c>
      <c r="C192" s="1126" t="str">
        <f>IFERROR(VLOOKUP(D192,dropdowns!$J$3:$Q$16,7,0)," ")</f>
        <v xml:space="preserve"> </v>
      </c>
      <c r="D192" s="1126" t="str">
        <f>IFERROR(INDEX('Schedule C'!$A$34:$BA$313,MATCH('EI - (F1 - F2)'!$R192,'Schedule C'!$A$34:$A$313,0),14)," ")</f>
        <v xml:space="preserve"> </v>
      </c>
      <c r="E192" s="1126" t="str">
        <f>IFERROR(VLOOKUP($D192,dropdowns!$J$3:$Q$16,8,0)," ")</f>
        <v xml:space="preserve"> </v>
      </c>
      <c r="F192" s="1126" t="str">
        <f>IFERROR(INDEX('Schedule C'!$A$34:$BA$313,MATCH('EI - (F1 - F2)'!$R192,'Schedule C'!$A$34:$A$313,0),2)," ")</f>
        <v xml:space="preserve"> </v>
      </c>
      <c r="G192" s="1126" t="str">
        <f>IFERROR(INDEX('Schedule C'!$A$34:$BA$313,MATCH('EI - (F1 - F2)'!$R192,'Schedule C'!$A$34:$A$313,0),38)," ")</f>
        <v xml:space="preserve"> </v>
      </c>
      <c r="H192" s="1127" t="str">
        <f>IFERROR(INDEX('Schedule C'!$A$34:$BA$313,MATCH('EI - (F1 - F2)'!$R192,'Schedule C'!$A$34:$A$313,0),39)," ")</f>
        <v xml:space="preserve"> </v>
      </c>
      <c r="I192" s="1129" t="str">
        <f t="shared" si="15"/>
        <v xml:space="preserve"> </v>
      </c>
      <c r="J192" s="1129" t="str">
        <f t="shared" si="15"/>
        <v xml:space="preserve"> </v>
      </c>
      <c r="K192" s="1129" t="str">
        <f t="shared" si="15"/>
        <v xml:space="preserve"> </v>
      </c>
      <c r="L192" s="1129" t="str">
        <f t="shared" si="15"/>
        <v xml:space="preserve"> </v>
      </c>
      <c r="M192" s="1129" t="str">
        <f t="shared" si="15"/>
        <v xml:space="preserve"> </v>
      </c>
      <c r="N192" s="1129" t="str">
        <f t="shared" si="15"/>
        <v xml:space="preserve"> </v>
      </c>
      <c r="O192" s="1129" t="str">
        <f t="shared" si="12"/>
        <v xml:space="preserve"> </v>
      </c>
      <c r="P192" s="1130" t="str">
        <f t="shared" si="13"/>
        <v xml:space="preserve"> </v>
      </c>
      <c r="Q192" s="1131" t="str">
        <f t="shared" si="14"/>
        <v xml:space="preserve"> </v>
      </c>
      <c r="R192" s="1118">
        <f>IF('Schedule C'!AM473&gt;='EI - (F1 - F2)'!J$3,IF('Schedule C'!AM473&lt;='EI - (F1 - F2)'!K$3,'Schedule C'!A473,0),0)</f>
        <v>0</v>
      </c>
    </row>
    <row r="193" spans="1:18" ht="15">
      <c r="A193" s="1125">
        <f t="shared" si="16"/>
        <v>186</v>
      </c>
      <c r="B193" s="1126">
        <v>1</v>
      </c>
      <c r="C193" s="1126" t="str">
        <f>IFERROR(VLOOKUP(D193,dropdowns!$J$3:$Q$16,7,0)," ")</f>
        <v xml:space="preserve"> </v>
      </c>
      <c r="D193" s="1126" t="str">
        <f>IFERROR(INDEX('Schedule C'!$A$34:$BA$313,MATCH('EI - (F1 - F2)'!$R193,'Schedule C'!$A$34:$A$313,0),14)," ")</f>
        <v xml:space="preserve"> </v>
      </c>
      <c r="E193" s="1126" t="str">
        <f>IFERROR(VLOOKUP($D193,dropdowns!$J$3:$Q$16,8,0)," ")</f>
        <v xml:space="preserve"> </v>
      </c>
      <c r="F193" s="1126" t="str">
        <f>IFERROR(INDEX('Schedule C'!$A$34:$BA$313,MATCH('EI - (F1 - F2)'!$R193,'Schedule C'!$A$34:$A$313,0),2)," ")</f>
        <v xml:space="preserve"> </v>
      </c>
      <c r="G193" s="1126" t="str">
        <f>IFERROR(INDEX('Schedule C'!$A$34:$BA$313,MATCH('EI - (F1 - F2)'!$R193,'Schedule C'!$A$34:$A$313,0),38)," ")</f>
        <v xml:space="preserve"> </v>
      </c>
      <c r="H193" s="1127" t="str">
        <f>IFERROR(INDEX('Schedule C'!$A$34:$BA$313,MATCH('EI - (F1 - F2)'!$R193,'Schedule C'!$A$34:$A$313,0),39)," ")</f>
        <v xml:space="preserve"> </v>
      </c>
      <c r="I193" s="1129" t="str">
        <f t="shared" si="15"/>
        <v xml:space="preserve"> </v>
      </c>
      <c r="J193" s="1129" t="str">
        <f t="shared" si="15"/>
        <v xml:space="preserve"> </v>
      </c>
      <c r="K193" s="1129" t="str">
        <f t="shared" si="15"/>
        <v xml:space="preserve"> </v>
      </c>
      <c r="L193" s="1129" t="str">
        <f t="shared" si="15"/>
        <v xml:space="preserve"> </v>
      </c>
      <c r="M193" s="1129" t="str">
        <f t="shared" si="15"/>
        <v xml:space="preserve"> </v>
      </c>
      <c r="N193" s="1129" t="str">
        <f t="shared" si="15"/>
        <v xml:space="preserve"> </v>
      </c>
      <c r="O193" s="1129" t="str">
        <f t="shared" si="12"/>
        <v xml:space="preserve"> </v>
      </c>
      <c r="P193" s="1130" t="str">
        <f t="shared" si="13"/>
        <v xml:space="preserve"> </v>
      </c>
      <c r="Q193" s="1131" t="str">
        <f t="shared" si="14"/>
        <v xml:space="preserve"> </v>
      </c>
      <c r="R193" s="1118">
        <f>IF('Schedule C'!AM474&gt;='EI - (F1 - F2)'!J$3,IF('Schedule C'!AM474&lt;='EI - (F1 - F2)'!K$3,'Schedule C'!A474,0),0)</f>
        <v>0</v>
      </c>
    </row>
    <row r="194" spans="1:18" ht="15">
      <c r="A194" s="1125">
        <f t="shared" si="16"/>
        <v>187</v>
      </c>
      <c r="B194" s="1126">
        <v>1</v>
      </c>
      <c r="C194" s="1126" t="str">
        <f>IFERROR(VLOOKUP(D194,dropdowns!$J$3:$Q$16,7,0)," ")</f>
        <v xml:space="preserve"> </v>
      </c>
      <c r="D194" s="1126" t="str">
        <f>IFERROR(INDEX('Schedule C'!$A$34:$BA$313,MATCH('EI - (F1 - F2)'!$R194,'Schedule C'!$A$34:$A$313,0),14)," ")</f>
        <v xml:space="preserve"> </v>
      </c>
      <c r="E194" s="1126" t="str">
        <f>IFERROR(VLOOKUP($D194,dropdowns!$J$3:$Q$16,8,0)," ")</f>
        <v xml:space="preserve"> </v>
      </c>
      <c r="F194" s="1126" t="str">
        <f>IFERROR(INDEX('Schedule C'!$A$34:$BA$313,MATCH('EI - (F1 - F2)'!$R194,'Schedule C'!$A$34:$A$313,0),2)," ")</f>
        <v xml:space="preserve"> </v>
      </c>
      <c r="G194" s="1126" t="str">
        <f>IFERROR(INDEX('Schedule C'!$A$34:$BA$313,MATCH('EI - (F1 - F2)'!$R194,'Schedule C'!$A$34:$A$313,0),38)," ")</f>
        <v xml:space="preserve"> </v>
      </c>
      <c r="H194" s="1127" t="str">
        <f>IFERROR(INDEX('Schedule C'!$A$34:$BA$313,MATCH('EI - (F1 - F2)'!$R194,'Schedule C'!$A$34:$A$313,0),39)," ")</f>
        <v xml:space="preserve"> </v>
      </c>
      <c r="I194" s="1129" t="str">
        <f t="shared" ref="I194:N215" si="17">IF($R194=0," ","NA")</f>
        <v xml:space="preserve"> </v>
      </c>
      <c r="J194" s="1129" t="str">
        <f t="shared" si="17"/>
        <v xml:space="preserve"> </v>
      </c>
      <c r="K194" s="1129" t="str">
        <f t="shared" si="17"/>
        <v xml:space="preserve"> </v>
      </c>
      <c r="L194" s="1129" t="str">
        <f t="shared" si="17"/>
        <v xml:space="preserve"> </v>
      </c>
      <c r="M194" s="1129" t="str">
        <f t="shared" si="17"/>
        <v xml:space="preserve"> </v>
      </c>
      <c r="N194" s="1129" t="str">
        <f t="shared" si="17"/>
        <v xml:space="preserve"> </v>
      </c>
      <c r="O194" s="1129" t="str">
        <f t="shared" si="12"/>
        <v xml:space="preserve"> </v>
      </c>
      <c r="P194" s="1130" t="str">
        <f t="shared" si="13"/>
        <v xml:space="preserve"> </v>
      </c>
      <c r="Q194" s="1131" t="str">
        <f t="shared" si="14"/>
        <v xml:space="preserve"> </v>
      </c>
      <c r="R194" s="1118">
        <f>IF('Schedule C'!AM475&gt;='EI - (F1 - F2)'!J$3,IF('Schedule C'!AM475&lt;='EI - (F1 - F2)'!K$3,'Schedule C'!A475,0),0)</f>
        <v>0</v>
      </c>
    </row>
    <row r="195" spans="1:18" ht="15">
      <c r="A195" s="1125">
        <f t="shared" si="16"/>
        <v>188</v>
      </c>
      <c r="B195" s="1126">
        <v>1</v>
      </c>
      <c r="C195" s="1126" t="str">
        <f>IFERROR(VLOOKUP(D195,dropdowns!$J$3:$Q$16,7,0)," ")</f>
        <v xml:space="preserve"> </v>
      </c>
      <c r="D195" s="1126" t="str">
        <f>IFERROR(INDEX('Schedule C'!$A$34:$BA$313,MATCH('EI - (F1 - F2)'!$R195,'Schedule C'!$A$34:$A$313,0),14)," ")</f>
        <v xml:space="preserve"> </v>
      </c>
      <c r="E195" s="1126" t="str">
        <f>IFERROR(VLOOKUP($D195,dropdowns!$J$3:$Q$16,8,0)," ")</f>
        <v xml:space="preserve"> </v>
      </c>
      <c r="F195" s="1126" t="str">
        <f>IFERROR(INDEX('Schedule C'!$A$34:$BA$313,MATCH('EI - (F1 - F2)'!$R195,'Schedule C'!$A$34:$A$313,0),2)," ")</f>
        <v xml:space="preserve"> </v>
      </c>
      <c r="G195" s="1126" t="str">
        <f>IFERROR(INDEX('Schedule C'!$A$34:$BA$313,MATCH('EI - (F1 - F2)'!$R195,'Schedule C'!$A$34:$A$313,0),38)," ")</f>
        <v xml:space="preserve"> </v>
      </c>
      <c r="H195" s="1127" t="str">
        <f>IFERROR(INDEX('Schedule C'!$A$34:$BA$313,MATCH('EI - (F1 - F2)'!$R195,'Schedule C'!$A$34:$A$313,0),39)," ")</f>
        <v xml:space="preserve"> </v>
      </c>
      <c r="I195" s="1129" t="str">
        <f t="shared" si="17"/>
        <v xml:space="preserve"> </v>
      </c>
      <c r="J195" s="1129" t="str">
        <f t="shared" si="17"/>
        <v xml:space="preserve"> </v>
      </c>
      <c r="K195" s="1129" t="str">
        <f t="shared" si="17"/>
        <v xml:space="preserve"> </v>
      </c>
      <c r="L195" s="1129" t="str">
        <f t="shared" si="17"/>
        <v xml:space="preserve"> </v>
      </c>
      <c r="M195" s="1129" t="str">
        <f t="shared" si="17"/>
        <v xml:space="preserve"> </v>
      </c>
      <c r="N195" s="1129" t="str">
        <f t="shared" si="17"/>
        <v xml:space="preserve"> </v>
      </c>
      <c r="O195" s="1129" t="str">
        <f t="shared" si="12"/>
        <v xml:space="preserve"> </v>
      </c>
      <c r="P195" s="1130" t="str">
        <f t="shared" si="13"/>
        <v xml:space="preserve"> </v>
      </c>
      <c r="Q195" s="1131" t="str">
        <f t="shared" si="14"/>
        <v xml:space="preserve"> </v>
      </c>
      <c r="R195" s="1118">
        <f>IF('Schedule C'!AM476&gt;='EI - (F1 - F2)'!J$3,IF('Schedule C'!AM476&lt;='EI - (F1 - F2)'!K$3,'Schedule C'!A476,0),0)</f>
        <v>0</v>
      </c>
    </row>
    <row r="196" spans="1:18" ht="15">
      <c r="A196" s="1125">
        <f t="shared" si="16"/>
        <v>189</v>
      </c>
      <c r="B196" s="1126">
        <v>1</v>
      </c>
      <c r="C196" s="1126" t="str">
        <f>IFERROR(VLOOKUP(D196,dropdowns!$J$3:$Q$16,7,0)," ")</f>
        <v xml:space="preserve"> </v>
      </c>
      <c r="D196" s="1126" t="str">
        <f>IFERROR(INDEX('Schedule C'!$A$34:$BA$313,MATCH('EI - (F1 - F2)'!$R196,'Schedule C'!$A$34:$A$313,0),14)," ")</f>
        <v xml:space="preserve"> </v>
      </c>
      <c r="E196" s="1126" t="str">
        <f>IFERROR(VLOOKUP($D196,dropdowns!$J$3:$Q$16,8,0)," ")</f>
        <v xml:space="preserve"> </v>
      </c>
      <c r="F196" s="1126" t="str">
        <f>IFERROR(INDEX('Schedule C'!$A$34:$BA$313,MATCH('EI - (F1 - F2)'!$R196,'Schedule C'!$A$34:$A$313,0),2)," ")</f>
        <v xml:space="preserve"> </v>
      </c>
      <c r="G196" s="1126" t="str">
        <f>IFERROR(INDEX('Schedule C'!$A$34:$BA$313,MATCH('EI - (F1 - F2)'!$R196,'Schedule C'!$A$34:$A$313,0),38)," ")</f>
        <v xml:space="preserve"> </v>
      </c>
      <c r="H196" s="1127" t="str">
        <f>IFERROR(INDEX('Schedule C'!$A$34:$BA$313,MATCH('EI - (F1 - F2)'!$R196,'Schedule C'!$A$34:$A$313,0),39)," ")</f>
        <v xml:space="preserve"> </v>
      </c>
      <c r="I196" s="1129" t="str">
        <f t="shared" si="17"/>
        <v xml:space="preserve"> </v>
      </c>
      <c r="J196" s="1129" t="str">
        <f t="shared" si="17"/>
        <v xml:space="preserve"> </v>
      </c>
      <c r="K196" s="1129" t="str">
        <f t="shared" si="17"/>
        <v xml:space="preserve"> </v>
      </c>
      <c r="L196" s="1129" t="str">
        <f t="shared" si="17"/>
        <v xml:space="preserve"> </v>
      </c>
      <c r="M196" s="1129" t="str">
        <f t="shared" si="17"/>
        <v xml:space="preserve"> </v>
      </c>
      <c r="N196" s="1129" t="str">
        <f t="shared" si="17"/>
        <v xml:space="preserve"> </v>
      </c>
      <c r="O196" s="1129" t="str">
        <f t="shared" si="12"/>
        <v xml:space="preserve"> </v>
      </c>
      <c r="P196" s="1130" t="str">
        <f t="shared" si="13"/>
        <v xml:space="preserve"> </v>
      </c>
      <c r="Q196" s="1131" t="str">
        <f t="shared" si="14"/>
        <v xml:space="preserve"> </v>
      </c>
      <c r="R196" s="1118">
        <f>IF('Schedule C'!AM477&gt;='EI - (F1 - F2)'!J$3,IF('Schedule C'!AM477&lt;='EI - (F1 - F2)'!K$3,'Schedule C'!A477,0),0)</f>
        <v>0</v>
      </c>
    </row>
    <row r="197" spans="1:18" ht="15">
      <c r="A197" s="1125">
        <f t="shared" si="16"/>
        <v>190</v>
      </c>
      <c r="B197" s="1126">
        <v>1</v>
      </c>
      <c r="C197" s="1126" t="str">
        <f>IFERROR(VLOOKUP(D197,dropdowns!$J$3:$Q$16,7,0)," ")</f>
        <v xml:space="preserve"> </v>
      </c>
      <c r="D197" s="1126" t="str">
        <f>IFERROR(INDEX('Schedule C'!$A$34:$BA$313,MATCH('EI - (F1 - F2)'!$R197,'Schedule C'!$A$34:$A$313,0),14)," ")</f>
        <v xml:space="preserve"> </v>
      </c>
      <c r="E197" s="1126" t="str">
        <f>IFERROR(VLOOKUP($D197,dropdowns!$J$3:$Q$16,8,0)," ")</f>
        <v xml:space="preserve"> </v>
      </c>
      <c r="F197" s="1126" t="str">
        <f>IFERROR(INDEX('Schedule C'!$A$34:$BA$313,MATCH('EI - (F1 - F2)'!$R197,'Schedule C'!$A$34:$A$313,0),2)," ")</f>
        <v xml:space="preserve"> </v>
      </c>
      <c r="G197" s="1126" t="str">
        <f>IFERROR(INDEX('Schedule C'!$A$34:$BA$313,MATCH('EI - (F1 - F2)'!$R197,'Schedule C'!$A$34:$A$313,0),38)," ")</f>
        <v xml:space="preserve"> </v>
      </c>
      <c r="H197" s="1127" t="str">
        <f>IFERROR(INDEX('Schedule C'!$A$34:$BA$313,MATCH('EI - (F1 - F2)'!$R197,'Schedule C'!$A$34:$A$313,0),39)," ")</f>
        <v xml:space="preserve"> </v>
      </c>
      <c r="I197" s="1129" t="str">
        <f t="shared" si="17"/>
        <v xml:space="preserve"> </v>
      </c>
      <c r="J197" s="1129" t="str">
        <f t="shared" si="17"/>
        <v xml:space="preserve"> </v>
      </c>
      <c r="K197" s="1129" t="str">
        <f t="shared" si="17"/>
        <v xml:space="preserve"> </v>
      </c>
      <c r="L197" s="1129" t="str">
        <f t="shared" si="17"/>
        <v xml:space="preserve"> </v>
      </c>
      <c r="M197" s="1129" t="str">
        <f t="shared" si="17"/>
        <v xml:space="preserve"> </v>
      </c>
      <c r="N197" s="1129" t="str">
        <f t="shared" si="17"/>
        <v xml:space="preserve"> </v>
      </c>
      <c r="O197" s="1129" t="str">
        <f t="shared" si="12"/>
        <v xml:space="preserve"> </v>
      </c>
      <c r="P197" s="1130" t="str">
        <f t="shared" si="13"/>
        <v xml:space="preserve"> </v>
      </c>
      <c r="Q197" s="1131" t="str">
        <f t="shared" si="14"/>
        <v xml:space="preserve"> </v>
      </c>
      <c r="R197" s="1118">
        <f>IF('Schedule C'!AM478&gt;='EI - (F1 - F2)'!J$3,IF('Schedule C'!AM478&lt;='EI - (F1 - F2)'!K$3,'Schedule C'!A478,0),0)</f>
        <v>0</v>
      </c>
    </row>
    <row r="198" spans="1:18" ht="15">
      <c r="A198" s="1125">
        <f t="shared" si="16"/>
        <v>191</v>
      </c>
      <c r="B198" s="1126">
        <v>1</v>
      </c>
      <c r="C198" s="1126" t="str">
        <f>IFERROR(VLOOKUP(D198,dropdowns!$J$3:$Q$16,7,0)," ")</f>
        <v xml:space="preserve"> </v>
      </c>
      <c r="D198" s="1126" t="str">
        <f>IFERROR(INDEX('Schedule C'!$A$34:$BA$313,MATCH('EI - (F1 - F2)'!$R198,'Schedule C'!$A$34:$A$313,0),14)," ")</f>
        <v xml:space="preserve"> </v>
      </c>
      <c r="E198" s="1126" t="str">
        <f>IFERROR(VLOOKUP($D198,dropdowns!$J$3:$Q$16,8,0)," ")</f>
        <v xml:space="preserve"> </v>
      </c>
      <c r="F198" s="1126" t="str">
        <f>IFERROR(INDEX('Schedule C'!$A$34:$BA$313,MATCH('EI - (F1 - F2)'!$R198,'Schedule C'!$A$34:$A$313,0),2)," ")</f>
        <v xml:space="preserve"> </v>
      </c>
      <c r="G198" s="1126" t="str">
        <f>IFERROR(INDEX('Schedule C'!$A$34:$BA$313,MATCH('EI - (F1 - F2)'!$R198,'Schedule C'!$A$34:$A$313,0),38)," ")</f>
        <v xml:space="preserve"> </v>
      </c>
      <c r="H198" s="1127" t="str">
        <f>IFERROR(INDEX('Schedule C'!$A$34:$BA$313,MATCH('EI - (F1 - F2)'!$R198,'Schedule C'!$A$34:$A$313,0),39)," ")</f>
        <v xml:space="preserve"> </v>
      </c>
      <c r="I198" s="1129" t="str">
        <f t="shared" si="17"/>
        <v xml:space="preserve"> </v>
      </c>
      <c r="J198" s="1129" t="str">
        <f t="shared" si="17"/>
        <v xml:space="preserve"> </v>
      </c>
      <c r="K198" s="1129" t="str">
        <f t="shared" si="17"/>
        <v xml:space="preserve"> </v>
      </c>
      <c r="L198" s="1129" t="str">
        <f t="shared" si="17"/>
        <v xml:space="preserve"> </v>
      </c>
      <c r="M198" s="1129" t="str">
        <f t="shared" si="17"/>
        <v xml:space="preserve"> </v>
      </c>
      <c r="N198" s="1129" t="str">
        <f t="shared" si="17"/>
        <v xml:space="preserve"> </v>
      </c>
      <c r="O198" s="1129" t="str">
        <f t="shared" si="12"/>
        <v xml:space="preserve"> </v>
      </c>
      <c r="P198" s="1130" t="str">
        <f t="shared" si="13"/>
        <v xml:space="preserve"> </v>
      </c>
      <c r="Q198" s="1131" t="str">
        <f t="shared" si="14"/>
        <v xml:space="preserve"> </v>
      </c>
      <c r="R198" s="1118">
        <f>IF('Schedule C'!AM479&gt;='EI - (F1 - F2)'!J$3,IF('Schedule C'!AM479&lt;='EI - (F1 - F2)'!K$3,'Schedule C'!A479,0),0)</f>
        <v>0</v>
      </c>
    </row>
    <row r="199" spans="1:18" ht="15">
      <c r="A199" s="1125">
        <f t="shared" si="16"/>
        <v>192</v>
      </c>
      <c r="B199" s="1126">
        <v>1</v>
      </c>
      <c r="C199" s="1126" t="str">
        <f>IFERROR(VLOOKUP(D199,dropdowns!$J$3:$Q$16,7,0)," ")</f>
        <v xml:space="preserve"> </v>
      </c>
      <c r="D199" s="1126" t="str">
        <f>IFERROR(INDEX('Schedule C'!$A$34:$BA$313,MATCH('EI - (F1 - F2)'!$R199,'Schedule C'!$A$34:$A$313,0),14)," ")</f>
        <v xml:space="preserve"> </v>
      </c>
      <c r="E199" s="1126" t="str">
        <f>IFERROR(VLOOKUP($D199,dropdowns!$J$3:$Q$16,8,0)," ")</f>
        <v xml:space="preserve"> </v>
      </c>
      <c r="F199" s="1126" t="str">
        <f>IFERROR(INDEX('Schedule C'!$A$34:$BA$313,MATCH('EI - (F1 - F2)'!$R199,'Schedule C'!$A$34:$A$313,0),2)," ")</f>
        <v xml:space="preserve"> </v>
      </c>
      <c r="G199" s="1126" t="str">
        <f>IFERROR(INDEX('Schedule C'!$A$34:$BA$313,MATCH('EI - (F1 - F2)'!$R199,'Schedule C'!$A$34:$A$313,0),38)," ")</f>
        <v xml:space="preserve"> </v>
      </c>
      <c r="H199" s="1127" t="str">
        <f>IFERROR(INDEX('Schedule C'!$A$34:$BA$313,MATCH('EI - (F1 - F2)'!$R199,'Schedule C'!$A$34:$A$313,0),39)," ")</f>
        <v xml:space="preserve"> </v>
      </c>
      <c r="I199" s="1129" t="str">
        <f t="shared" si="17"/>
        <v xml:space="preserve"> </v>
      </c>
      <c r="J199" s="1129" t="str">
        <f t="shared" si="17"/>
        <v xml:space="preserve"> </v>
      </c>
      <c r="K199" s="1129" t="str">
        <f t="shared" si="17"/>
        <v xml:space="preserve"> </v>
      </c>
      <c r="L199" s="1129" t="str">
        <f t="shared" si="17"/>
        <v xml:space="preserve"> </v>
      </c>
      <c r="M199" s="1129" t="str">
        <f t="shared" si="17"/>
        <v xml:space="preserve"> </v>
      </c>
      <c r="N199" s="1129" t="str">
        <f t="shared" si="17"/>
        <v xml:space="preserve"> </v>
      </c>
      <c r="O199" s="1129" t="str">
        <f t="shared" si="12"/>
        <v xml:space="preserve"> </v>
      </c>
      <c r="P199" s="1130" t="str">
        <f t="shared" si="13"/>
        <v xml:space="preserve"> </v>
      </c>
      <c r="Q199" s="1131" t="str">
        <f t="shared" si="14"/>
        <v xml:space="preserve"> </v>
      </c>
      <c r="R199" s="1118">
        <f>IF('Schedule C'!AM480&gt;='EI - (F1 - F2)'!J$3,IF('Schedule C'!AM480&lt;='EI - (F1 - F2)'!K$3,'Schedule C'!A480,0),0)</f>
        <v>0</v>
      </c>
    </row>
    <row r="200" spans="1:18" ht="15">
      <c r="A200" s="1125">
        <f t="shared" si="16"/>
        <v>193</v>
      </c>
      <c r="B200" s="1126">
        <v>1</v>
      </c>
      <c r="C200" s="1126" t="str">
        <f>IFERROR(VLOOKUP(D200,dropdowns!$J$3:$Q$16,7,0)," ")</f>
        <v xml:space="preserve"> </v>
      </c>
      <c r="D200" s="1126" t="str">
        <f>IFERROR(INDEX('Schedule C'!$A$34:$BA$313,MATCH('EI - (F1 - F2)'!$R200,'Schedule C'!$A$34:$A$313,0),14)," ")</f>
        <v xml:space="preserve"> </v>
      </c>
      <c r="E200" s="1126" t="str">
        <f>IFERROR(VLOOKUP($D200,dropdowns!$J$3:$Q$16,8,0)," ")</f>
        <v xml:space="preserve"> </v>
      </c>
      <c r="F200" s="1126" t="str">
        <f>IFERROR(INDEX('Schedule C'!$A$34:$BA$313,MATCH('EI - (F1 - F2)'!$R200,'Schedule C'!$A$34:$A$313,0),2)," ")</f>
        <v xml:space="preserve"> </v>
      </c>
      <c r="G200" s="1126" t="str">
        <f>IFERROR(INDEX('Schedule C'!$A$34:$BA$313,MATCH('EI - (F1 - F2)'!$R200,'Schedule C'!$A$34:$A$313,0),38)," ")</f>
        <v xml:space="preserve"> </v>
      </c>
      <c r="H200" s="1127" t="str">
        <f>IFERROR(INDEX('Schedule C'!$A$34:$BA$313,MATCH('EI - (F1 - F2)'!$R200,'Schedule C'!$A$34:$A$313,0),39)," ")</f>
        <v xml:space="preserve"> </v>
      </c>
      <c r="I200" s="1129" t="str">
        <f t="shared" si="17"/>
        <v xml:space="preserve"> </v>
      </c>
      <c r="J200" s="1129" t="str">
        <f t="shared" si="17"/>
        <v xml:space="preserve"> </v>
      </c>
      <c r="K200" s="1129" t="str">
        <f t="shared" si="17"/>
        <v xml:space="preserve"> </v>
      </c>
      <c r="L200" s="1129" t="str">
        <f t="shared" si="17"/>
        <v xml:space="preserve"> </v>
      </c>
      <c r="M200" s="1129" t="str">
        <f t="shared" si="17"/>
        <v xml:space="preserve"> </v>
      </c>
      <c r="N200" s="1129" t="str">
        <f t="shared" si="17"/>
        <v xml:space="preserve"> </v>
      </c>
      <c r="O200" s="1129" t="str">
        <f t="shared" si="12"/>
        <v xml:space="preserve"> </v>
      </c>
      <c r="P200" s="1130" t="str">
        <f t="shared" si="13"/>
        <v xml:space="preserve"> </v>
      </c>
      <c r="Q200" s="1131" t="str">
        <f t="shared" si="14"/>
        <v xml:space="preserve"> </v>
      </c>
      <c r="R200" s="1118">
        <f>IF('Schedule C'!AM481&gt;='EI - (F1 - F2)'!J$3,IF('Schedule C'!AM481&lt;='EI - (F1 - F2)'!K$3,'Schedule C'!A481,0),0)</f>
        <v>0</v>
      </c>
    </row>
    <row r="201" spans="1:18" ht="15">
      <c r="A201" s="1125">
        <f t="shared" si="16"/>
        <v>194</v>
      </c>
      <c r="B201" s="1126">
        <v>1</v>
      </c>
      <c r="C201" s="1126" t="str">
        <f>IFERROR(VLOOKUP(D201,dropdowns!$J$3:$Q$16,7,0)," ")</f>
        <v xml:space="preserve"> </v>
      </c>
      <c r="D201" s="1126" t="str">
        <f>IFERROR(INDEX('Schedule C'!$A$34:$BA$313,MATCH('EI - (F1 - F2)'!$R201,'Schedule C'!$A$34:$A$313,0),14)," ")</f>
        <v xml:space="preserve"> </v>
      </c>
      <c r="E201" s="1126" t="str">
        <f>IFERROR(VLOOKUP($D201,dropdowns!$J$3:$Q$16,8,0)," ")</f>
        <v xml:space="preserve"> </v>
      </c>
      <c r="F201" s="1126" t="str">
        <f>IFERROR(INDEX('Schedule C'!$A$34:$BA$313,MATCH('EI - (F1 - F2)'!$R201,'Schedule C'!$A$34:$A$313,0),2)," ")</f>
        <v xml:space="preserve"> </v>
      </c>
      <c r="G201" s="1126" t="str">
        <f>IFERROR(INDEX('Schedule C'!$A$34:$BA$313,MATCH('EI - (F1 - F2)'!$R201,'Schedule C'!$A$34:$A$313,0),38)," ")</f>
        <v xml:space="preserve"> </v>
      </c>
      <c r="H201" s="1127" t="str">
        <f>IFERROR(INDEX('Schedule C'!$A$34:$BA$313,MATCH('EI - (F1 - F2)'!$R201,'Schedule C'!$A$34:$A$313,0),39)," ")</f>
        <v xml:space="preserve"> </v>
      </c>
      <c r="I201" s="1129" t="str">
        <f t="shared" si="17"/>
        <v xml:space="preserve"> </v>
      </c>
      <c r="J201" s="1129" t="str">
        <f t="shared" si="17"/>
        <v xml:space="preserve"> </v>
      </c>
      <c r="K201" s="1129" t="str">
        <f t="shared" si="17"/>
        <v xml:space="preserve"> </v>
      </c>
      <c r="L201" s="1129" t="str">
        <f t="shared" si="17"/>
        <v xml:space="preserve"> </v>
      </c>
      <c r="M201" s="1129" t="str">
        <f t="shared" si="17"/>
        <v xml:space="preserve"> </v>
      </c>
      <c r="N201" s="1129" t="str">
        <f t="shared" si="17"/>
        <v xml:space="preserve"> </v>
      </c>
      <c r="O201" s="1129" t="str">
        <f t="shared" ref="O201:O215" si="18">IF($R201=0," ","OPEN")</f>
        <v xml:space="preserve"> </v>
      </c>
      <c r="P201" s="1130" t="str">
        <f t="shared" ref="P201:P215" si="19">IF($R201=0," ",H201+90)</f>
        <v xml:space="preserve"> </v>
      </c>
      <c r="Q201" s="1131" t="str">
        <f t="shared" ref="Q201:Q215" si="20">IF(R201=0," ",(H201+90)-$K$3)</f>
        <v xml:space="preserve"> </v>
      </c>
      <c r="R201" s="1118">
        <f>IF('Schedule C'!AM482&gt;='EI - (F1 - F2)'!J$3,IF('Schedule C'!AM482&lt;='EI - (F1 - F2)'!K$3,'Schedule C'!A482,0),0)</f>
        <v>0</v>
      </c>
    </row>
    <row r="202" spans="1:18" ht="15">
      <c r="A202" s="1125">
        <f t="shared" si="16"/>
        <v>195</v>
      </c>
      <c r="B202" s="1126">
        <v>1</v>
      </c>
      <c r="C202" s="1126" t="str">
        <f>IFERROR(VLOOKUP(D202,dropdowns!$J$3:$Q$16,7,0)," ")</f>
        <v xml:space="preserve"> </v>
      </c>
      <c r="D202" s="1126" t="str">
        <f>IFERROR(INDEX('Schedule C'!$A$34:$BA$313,MATCH('EI - (F1 - F2)'!$R202,'Schedule C'!$A$34:$A$313,0),14)," ")</f>
        <v xml:space="preserve"> </v>
      </c>
      <c r="E202" s="1126" t="str">
        <f>IFERROR(VLOOKUP($D202,dropdowns!$J$3:$Q$16,8,0)," ")</f>
        <v xml:space="preserve"> </v>
      </c>
      <c r="F202" s="1126" t="str">
        <f>IFERROR(INDEX('Schedule C'!$A$34:$BA$313,MATCH('EI - (F1 - F2)'!$R202,'Schedule C'!$A$34:$A$313,0),2)," ")</f>
        <v xml:space="preserve"> </v>
      </c>
      <c r="G202" s="1126" t="str">
        <f>IFERROR(INDEX('Schedule C'!$A$34:$BA$313,MATCH('EI - (F1 - F2)'!$R202,'Schedule C'!$A$34:$A$313,0),38)," ")</f>
        <v xml:space="preserve"> </v>
      </c>
      <c r="H202" s="1127" t="str">
        <f>IFERROR(INDEX('Schedule C'!$A$34:$BA$313,MATCH('EI - (F1 - F2)'!$R202,'Schedule C'!$A$34:$A$313,0),39)," ")</f>
        <v xml:space="preserve"> </v>
      </c>
      <c r="I202" s="1129" t="str">
        <f t="shared" si="17"/>
        <v xml:space="preserve"> </v>
      </c>
      <c r="J202" s="1129" t="str">
        <f t="shared" si="17"/>
        <v xml:space="preserve"> </v>
      </c>
      <c r="K202" s="1129" t="str">
        <f t="shared" si="17"/>
        <v xml:space="preserve"> </v>
      </c>
      <c r="L202" s="1129" t="str">
        <f t="shared" si="17"/>
        <v xml:space="preserve"> </v>
      </c>
      <c r="M202" s="1129" t="str">
        <f t="shared" si="17"/>
        <v xml:space="preserve"> </v>
      </c>
      <c r="N202" s="1129" t="str">
        <f t="shared" si="17"/>
        <v xml:space="preserve"> </v>
      </c>
      <c r="O202" s="1129" t="str">
        <f t="shared" si="18"/>
        <v xml:space="preserve"> </v>
      </c>
      <c r="P202" s="1130" t="str">
        <f t="shared" si="19"/>
        <v xml:space="preserve"> </v>
      </c>
      <c r="Q202" s="1131" t="str">
        <f t="shared" si="20"/>
        <v xml:space="preserve"> </v>
      </c>
      <c r="R202" s="1118">
        <f>IF('Schedule C'!AM483&gt;='EI - (F1 - F2)'!J$3,IF('Schedule C'!AM483&lt;='EI - (F1 - F2)'!K$3,'Schedule C'!A483,0),0)</f>
        <v>0</v>
      </c>
    </row>
    <row r="203" spans="1:18" ht="15">
      <c r="A203" s="1125">
        <f t="shared" si="16"/>
        <v>196</v>
      </c>
      <c r="B203" s="1126">
        <v>1</v>
      </c>
      <c r="C203" s="1126" t="str">
        <f>IFERROR(VLOOKUP(D203,dropdowns!$J$3:$Q$16,7,0)," ")</f>
        <v xml:space="preserve"> </v>
      </c>
      <c r="D203" s="1126" t="str">
        <f>IFERROR(INDEX('Schedule C'!$A$34:$BA$313,MATCH('EI - (F1 - F2)'!$R203,'Schedule C'!$A$34:$A$313,0),14)," ")</f>
        <v xml:space="preserve"> </v>
      </c>
      <c r="E203" s="1126" t="str">
        <f>IFERROR(VLOOKUP($D203,dropdowns!$J$3:$Q$16,8,0)," ")</f>
        <v xml:space="preserve"> </v>
      </c>
      <c r="F203" s="1126" t="str">
        <f>IFERROR(INDEX('Schedule C'!$A$34:$BA$313,MATCH('EI - (F1 - F2)'!$R203,'Schedule C'!$A$34:$A$313,0),2)," ")</f>
        <v xml:space="preserve"> </v>
      </c>
      <c r="G203" s="1126" t="str">
        <f>IFERROR(INDEX('Schedule C'!$A$34:$BA$313,MATCH('EI - (F1 - F2)'!$R203,'Schedule C'!$A$34:$A$313,0),38)," ")</f>
        <v xml:space="preserve"> </v>
      </c>
      <c r="H203" s="1127" t="str">
        <f>IFERROR(INDEX('Schedule C'!$A$34:$BA$313,MATCH('EI - (F1 - F2)'!$R203,'Schedule C'!$A$34:$A$313,0),39)," ")</f>
        <v xml:space="preserve"> </v>
      </c>
      <c r="I203" s="1129" t="str">
        <f t="shared" si="17"/>
        <v xml:space="preserve"> </v>
      </c>
      <c r="J203" s="1129" t="str">
        <f t="shared" si="17"/>
        <v xml:space="preserve"> </v>
      </c>
      <c r="K203" s="1129" t="str">
        <f t="shared" si="17"/>
        <v xml:space="preserve"> </v>
      </c>
      <c r="L203" s="1129" t="str">
        <f t="shared" si="17"/>
        <v xml:space="preserve"> </v>
      </c>
      <c r="M203" s="1129" t="str">
        <f t="shared" si="17"/>
        <v xml:space="preserve"> </v>
      </c>
      <c r="N203" s="1129" t="str">
        <f t="shared" si="17"/>
        <v xml:space="preserve"> </v>
      </c>
      <c r="O203" s="1129" t="str">
        <f t="shared" si="18"/>
        <v xml:space="preserve"> </v>
      </c>
      <c r="P203" s="1130" t="str">
        <f t="shared" si="19"/>
        <v xml:space="preserve"> </v>
      </c>
      <c r="Q203" s="1131" t="str">
        <f t="shared" si="20"/>
        <v xml:space="preserve"> </v>
      </c>
      <c r="R203" s="1118">
        <f>IF('Schedule C'!AM484&gt;='EI - (F1 - F2)'!J$3,IF('Schedule C'!AM484&lt;='EI - (F1 - F2)'!K$3,'Schedule C'!A484,0),0)</f>
        <v>0</v>
      </c>
    </row>
    <row r="204" spans="1:18" ht="15">
      <c r="A204" s="1125">
        <f t="shared" si="16"/>
        <v>197</v>
      </c>
      <c r="B204" s="1126">
        <v>1</v>
      </c>
      <c r="C204" s="1126" t="str">
        <f>IFERROR(VLOOKUP(D204,dropdowns!$J$3:$Q$16,7,0)," ")</f>
        <v xml:space="preserve"> </v>
      </c>
      <c r="D204" s="1126" t="str">
        <f>IFERROR(INDEX('Schedule C'!$A$34:$BA$313,MATCH('EI - (F1 - F2)'!$R204,'Schedule C'!$A$34:$A$313,0),14)," ")</f>
        <v xml:space="preserve"> </v>
      </c>
      <c r="E204" s="1126" t="str">
        <f>IFERROR(VLOOKUP($D204,dropdowns!$J$3:$Q$16,8,0)," ")</f>
        <v xml:space="preserve"> </v>
      </c>
      <c r="F204" s="1126" t="str">
        <f>IFERROR(INDEX('Schedule C'!$A$34:$BA$313,MATCH('EI - (F1 - F2)'!$R204,'Schedule C'!$A$34:$A$313,0),2)," ")</f>
        <v xml:space="preserve"> </v>
      </c>
      <c r="G204" s="1126" t="str">
        <f>IFERROR(INDEX('Schedule C'!$A$34:$BA$313,MATCH('EI - (F1 - F2)'!$R204,'Schedule C'!$A$34:$A$313,0),38)," ")</f>
        <v xml:space="preserve"> </v>
      </c>
      <c r="H204" s="1127" t="str">
        <f>IFERROR(INDEX('Schedule C'!$A$34:$BA$313,MATCH('EI - (F1 - F2)'!$R204,'Schedule C'!$A$34:$A$313,0),39)," ")</f>
        <v xml:space="preserve"> </v>
      </c>
      <c r="I204" s="1129" t="str">
        <f t="shared" si="17"/>
        <v xml:space="preserve"> </v>
      </c>
      <c r="J204" s="1129" t="str">
        <f t="shared" si="17"/>
        <v xml:space="preserve"> </v>
      </c>
      <c r="K204" s="1129" t="str">
        <f t="shared" si="17"/>
        <v xml:space="preserve"> </v>
      </c>
      <c r="L204" s="1129" t="str">
        <f t="shared" si="17"/>
        <v xml:space="preserve"> </v>
      </c>
      <c r="M204" s="1129" t="str">
        <f t="shared" si="17"/>
        <v xml:space="preserve"> </v>
      </c>
      <c r="N204" s="1129" t="str">
        <f t="shared" si="17"/>
        <v xml:space="preserve"> </v>
      </c>
      <c r="O204" s="1129" t="str">
        <f t="shared" si="18"/>
        <v xml:space="preserve"> </v>
      </c>
      <c r="P204" s="1130" t="str">
        <f t="shared" si="19"/>
        <v xml:space="preserve"> </v>
      </c>
      <c r="Q204" s="1131" t="str">
        <f t="shared" si="20"/>
        <v xml:space="preserve"> </v>
      </c>
      <c r="R204" s="1118">
        <f>IF('Schedule C'!AM485&gt;='EI - (F1 - F2)'!J$3,IF('Schedule C'!AM485&lt;='EI - (F1 - F2)'!K$3,'Schedule C'!A485,0),0)</f>
        <v>0</v>
      </c>
    </row>
    <row r="205" spans="1:18" ht="15">
      <c r="A205" s="1125">
        <f t="shared" si="16"/>
        <v>198</v>
      </c>
      <c r="B205" s="1126">
        <v>1</v>
      </c>
      <c r="C205" s="1126" t="str">
        <f>IFERROR(VLOOKUP(D205,dropdowns!$J$3:$Q$16,7,0)," ")</f>
        <v xml:space="preserve"> </v>
      </c>
      <c r="D205" s="1126" t="str">
        <f>IFERROR(INDEX('Schedule C'!$A$34:$BA$313,MATCH('EI - (F1 - F2)'!$R205,'Schedule C'!$A$34:$A$313,0),14)," ")</f>
        <v xml:space="preserve"> </v>
      </c>
      <c r="E205" s="1126" t="str">
        <f>IFERROR(VLOOKUP($D205,dropdowns!$J$3:$Q$16,8,0)," ")</f>
        <v xml:space="preserve"> </v>
      </c>
      <c r="F205" s="1126" t="str">
        <f>IFERROR(INDEX('Schedule C'!$A$34:$BA$313,MATCH('EI - (F1 - F2)'!$R205,'Schedule C'!$A$34:$A$313,0),2)," ")</f>
        <v xml:space="preserve"> </v>
      </c>
      <c r="G205" s="1126" t="str">
        <f>IFERROR(INDEX('Schedule C'!$A$34:$BA$313,MATCH('EI - (F1 - F2)'!$R205,'Schedule C'!$A$34:$A$313,0),38)," ")</f>
        <v xml:space="preserve"> </v>
      </c>
      <c r="H205" s="1127" t="str">
        <f>IFERROR(INDEX('Schedule C'!$A$34:$BA$313,MATCH('EI - (F1 - F2)'!$R205,'Schedule C'!$A$34:$A$313,0),39)," ")</f>
        <v xml:space="preserve"> </v>
      </c>
      <c r="I205" s="1129" t="str">
        <f t="shared" si="17"/>
        <v xml:space="preserve"> </v>
      </c>
      <c r="J205" s="1129" t="str">
        <f t="shared" si="17"/>
        <v xml:space="preserve"> </v>
      </c>
      <c r="K205" s="1129" t="str">
        <f t="shared" si="17"/>
        <v xml:space="preserve"> </v>
      </c>
      <c r="L205" s="1129" t="str">
        <f t="shared" si="17"/>
        <v xml:space="preserve"> </v>
      </c>
      <c r="M205" s="1129" t="str">
        <f t="shared" si="17"/>
        <v xml:space="preserve"> </v>
      </c>
      <c r="N205" s="1129" t="str">
        <f t="shared" si="17"/>
        <v xml:space="preserve"> </v>
      </c>
      <c r="O205" s="1129" t="str">
        <f t="shared" si="18"/>
        <v xml:space="preserve"> </v>
      </c>
      <c r="P205" s="1130" t="str">
        <f t="shared" si="19"/>
        <v xml:space="preserve"> </v>
      </c>
      <c r="Q205" s="1131" t="str">
        <f t="shared" si="20"/>
        <v xml:space="preserve"> </v>
      </c>
      <c r="R205" s="1118">
        <f>IF('Schedule C'!AM486&gt;='EI - (F1 - F2)'!J$3,IF('Schedule C'!AM486&lt;='EI - (F1 - F2)'!K$3,'Schedule C'!A486,0),0)</f>
        <v>0</v>
      </c>
    </row>
    <row r="206" spans="1:18" ht="15">
      <c r="A206" s="1125">
        <f t="shared" si="16"/>
        <v>199</v>
      </c>
      <c r="B206" s="1126">
        <v>1</v>
      </c>
      <c r="C206" s="1126" t="str">
        <f>IFERROR(VLOOKUP(D206,dropdowns!$J$3:$Q$16,7,0)," ")</f>
        <v xml:space="preserve"> </v>
      </c>
      <c r="D206" s="1126" t="str">
        <f>IFERROR(INDEX('Schedule C'!$A$34:$BA$313,MATCH('EI - (F1 - F2)'!$R206,'Schedule C'!$A$34:$A$313,0),14)," ")</f>
        <v xml:space="preserve"> </v>
      </c>
      <c r="E206" s="1126" t="str">
        <f>IFERROR(VLOOKUP($D206,dropdowns!$J$3:$Q$16,8,0)," ")</f>
        <v xml:space="preserve"> </v>
      </c>
      <c r="F206" s="1126" t="str">
        <f>IFERROR(INDEX('Schedule C'!$A$34:$BA$313,MATCH('EI - (F1 - F2)'!$R206,'Schedule C'!$A$34:$A$313,0),2)," ")</f>
        <v xml:space="preserve"> </v>
      </c>
      <c r="G206" s="1126" t="str">
        <f>IFERROR(INDEX('Schedule C'!$A$34:$BA$313,MATCH('EI - (F1 - F2)'!$R206,'Schedule C'!$A$34:$A$313,0),38)," ")</f>
        <v xml:space="preserve"> </v>
      </c>
      <c r="H206" s="1127" t="str">
        <f>IFERROR(INDEX('Schedule C'!$A$34:$BA$313,MATCH('EI - (F1 - F2)'!$R206,'Schedule C'!$A$34:$A$313,0),39)," ")</f>
        <v xml:space="preserve"> </v>
      </c>
      <c r="I206" s="1129" t="str">
        <f t="shared" si="17"/>
        <v xml:space="preserve"> </v>
      </c>
      <c r="J206" s="1129" t="str">
        <f t="shared" si="17"/>
        <v xml:space="preserve"> </v>
      </c>
      <c r="K206" s="1129" t="str">
        <f t="shared" si="17"/>
        <v xml:space="preserve"> </v>
      </c>
      <c r="L206" s="1129" t="str">
        <f t="shared" si="17"/>
        <v xml:space="preserve"> </v>
      </c>
      <c r="M206" s="1129" t="str">
        <f t="shared" si="17"/>
        <v xml:space="preserve"> </v>
      </c>
      <c r="N206" s="1129" t="str">
        <f t="shared" si="17"/>
        <v xml:space="preserve"> </v>
      </c>
      <c r="O206" s="1129" t="str">
        <f t="shared" si="18"/>
        <v xml:space="preserve"> </v>
      </c>
      <c r="P206" s="1130" t="str">
        <f t="shared" si="19"/>
        <v xml:space="preserve"> </v>
      </c>
      <c r="Q206" s="1131" t="str">
        <f t="shared" si="20"/>
        <v xml:space="preserve"> </v>
      </c>
      <c r="R206" s="1118">
        <f>IF('Schedule C'!AM487&gt;='EI - (F1 - F2)'!J$3,IF('Schedule C'!AM487&lt;='EI - (F1 - F2)'!K$3,'Schedule C'!A487,0),0)</f>
        <v>0</v>
      </c>
    </row>
    <row r="207" spans="1:18" ht="15">
      <c r="A207" s="1125">
        <f t="shared" si="16"/>
        <v>200</v>
      </c>
      <c r="B207" s="1126">
        <v>1</v>
      </c>
      <c r="C207" s="1126" t="str">
        <f>IFERROR(VLOOKUP(D207,dropdowns!$J$3:$Q$16,7,0)," ")</f>
        <v xml:space="preserve"> </v>
      </c>
      <c r="D207" s="1126" t="str">
        <f>IFERROR(INDEX('Schedule C'!$A$34:$BA$313,MATCH('EI - (F1 - F2)'!$R207,'Schedule C'!$A$34:$A$313,0),14)," ")</f>
        <v xml:space="preserve"> </v>
      </c>
      <c r="E207" s="1126" t="str">
        <f>IFERROR(VLOOKUP($D207,dropdowns!$J$3:$Q$16,8,0)," ")</f>
        <v xml:space="preserve"> </v>
      </c>
      <c r="F207" s="1126" t="str">
        <f>IFERROR(INDEX('Schedule C'!$A$34:$BA$313,MATCH('EI - (F1 - F2)'!$R207,'Schedule C'!$A$34:$A$313,0),2)," ")</f>
        <v xml:space="preserve"> </v>
      </c>
      <c r="G207" s="1126" t="str">
        <f>IFERROR(INDEX('Schedule C'!$A$34:$BA$313,MATCH('EI - (F1 - F2)'!$R207,'Schedule C'!$A$34:$A$313,0),38)," ")</f>
        <v xml:space="preserve"> </v>
      </c>
      <c r="H207" s="1127" t="str">
        <f>IFERROR(INDEX('Schedule C'!$A$34:$BA$313,MATCH('EI - (F1 - F2)'!$R207,'Schedule C'!$A$34:$A$313,0),39)," ")</f>
        <v xml:space="preserve"> </v>
      </c>
      <c r="I207" s="1129" t="str">
        <f t="shared" si="17"/>
        <v xml:space="preserve"> </v>
      </c>
      <c r="J207" s="1129" t="str">
        <f t="shared" si="17"/>
        <v xml:space="preserve"> </v>
      </c>
      <c r="K207" s="1129" t="str">
        <f t="shared" si="17"/>
        <v xml:space="preserve"> </v>
      </c>
      <c r="L207" s="1129" t="str">
        <f t="shared" si="17"/>
        <v xml:space="preserve"> </v>
      </c>
      <c r="M207" s="1129" t="str">
        <f t="shared" si="17"/>
        <v xml:space="preserve"> </v>
      </c>
      <c r="N207" s="1129" t="str">
        <f t="shared" si="17"/>
        <v xml:space="preserve"> </v>
      </c>
      <c r="O207" s="1129" t="str">
        <f t="shared" si="18"/>
        <v xml:space="preserve"> </v>
      </c>
      <c r="P207" s="1130" t="str">
        <f t="shared" si="19"/>
        <v xml:space="preserve"> </v>
      </c>
      <c r="Q207" s="1131" t="str">
        <f t="shared" si="20"/>
        <v xml:space="preserve"> </v>
      </c>
      <c r="R207" s="1118">
        <f>IF('Schedule C'!AM488&gt;='EI - (F1 - F2)'!J$3,IF('Schedule C'!AM488&lt;='EI - (F1 - F2)'!K$3,'Schedule C'!A488,0),0)</f>
        <v>0</v>
      </c>
    </row>
    <row r="208" spans="1:18" ht="15">
      <c r="A208" s="1125">
        <f t="shared" si="16"/>
        <v>201</v>
      </c>
      <c r="B208" s="1126">
        <v>1</v>
      </c>
      <c r="C208" s="1126" t="str">
        <f>IFERROR(VLOOKUP(D208,dropdowns!$J$3:$Q$16,7,0)," ")</f>
        <v xml:space="preserve"> </v>
      </c>
      <c r="D208" s="1126" t="str">
        <f>IFERROR(INDEX('Schedule C'!$A$34:$BA$313,MATCH('EI - (F1 - F2)'!$R208,'Schedule C'!$A$34:$A$313,0),14)," ")</f>
        <v xml:space="preserve"> </v>
      </c>
      <c r="E208" s="1126" t="str">
        <f>IFERROR(VLOOKUP($D208,dropdowns!$J$3:$Q$16,8,0)," ")</f>
        <v xml:space="preserve"> </v>
      </c>
      <c r="F208" s="1126" t="str">
        <f>IFERROR(INDEX('Schedule C'!$A$34:$BA$313,MATCH('EI - (F1 - F2)'!$R208,'Schedule C'!$A$34:$A$313,0),2)," ")</f>
        <v xml:space="preserve"> </v>
      </c>
      <c r="G208" s="1126" t="str">
        <f>IFERROR(INDEX('Schedule C'!$A$34:$BA$313,MATCH('EI - (F1 - F2)'!$R208,'Schedule C'!$A$34:$A$313,0),38)," ")</f>
        <v xml:space="preserve"> </v>
      </c>
      <c r="H208" s="1127" t="str">
        <f>IFERROR(INDEX('Schedule C'!$A$34:$BA$313,MATCH('EI - (F1 - F2)'!$R208,'Schedule C'!$A$34:$A$313,0),39)," ")</f>
        <v xml:space="preserve"> </v>
      </c>
      <c r="I208" s="1129" t="str">
        <f t="shared" si="17"/>
        <v xml:space="preserve"> </v>
      </c>
      <c r="J208" s="1129" t="str">
        <f t="shared" si="17"/>
        <v xml:space="preserve"> </v>
      </c>
      <c r="K208" s="1129" t="str">
        <f t="shared" si="17"/>
        <v xml:space="preserve"> </v>
      </c>
      <c r="L208" s="1129" t="str">
        <f t="shared" si="17"/>
        <v xml:space="preserve"> </v>
      </c>
      <c r="M208" s="1129" t="str">
        <f t="shared" si="17"/>
        <v xml:space="preserve"> </v>
      </c>
      <c r="N208" s="1129" t="str">
        <f t="shared" si="17"/>
        <v xml:space="preserve"> </v>
      </c>
      <c r="O208" s="1129" t="str">
        <f t="shared" si="18"/>
        <v xml:space="preserve"> </v>
      </c>
      <c r="P208" s="1130" t="str">
        <f t="shared" si="19"/>
        <v xml:space="preserve"> </v>
      </c>
      <c r="Q208" s="1131" t="str">
        <f t="shared" si="20"/>
        <v xml:space="preserve"> </v>
      </c>
      <c r="R208" s="1118">
        <f>IF('Schedule C'!AM489&gt;='EI - (F1 - F2)'!J$3,IF('Schedule C'!AM489&lt;='EI - (F1 - F2)'!K$3,'Schedule C'!A489,0),0)</f>
        <v>0</v>
      </c>
    </row>
    <row r="209" spans="1:18" ht="15">
      <c r="A209" s="1125">
        <f t="shared" si="16"/>
        <v>202</v>
      </c>
      <c r="B209" s="1126">
        <v>1</v>
      </c>
      <c r="C209" s="1126" t="str">
        <f>IFERROR(VLOOKUP(D209,dropdowns!$J$3:$Q$16,7,0)," ")</f>
        <v xml:space="preserve"> </v>
      </c>
      <c r="D209" s="1126" t="str">
        <f>IFERROR(INDEX('Schedule C'!$A$34:$BA$313,MATCH('EI - (F1 - F2)'!$R209,'Schedule C'!$A$34:$A$313,0),14)," ")</f>
        <v xml:space="preserve"> </v>
      </c>
      <c r="E209" s="1126" t="str">
        <f>IFERROR(VLOOKUP($D209,dropdowns!$J$3:$Q$16,8,0)," ")</f>
        <v xml:space="preserve"> </v>
      </c>
      <c r="F209" s="1126" t="str">
        <f>IFERROR(INDEX('Schedule C'!$A$34:$BA$313,MATCH('EI - (F1 - F2)'!$R209,'Schedule C'!$A$34:$A$313,0),2)," ")</f>
        <v xml:space="preserve"> </v>
      </c>
      <c r="G209" s="1126" t="str">
        <f>IFERROR(INDEX('Schedule C'!$A$34:$BA$313,MATCH('EI - (F1 - F2)'!$R209,'Schedule C'!$A$34:$A$313,0),38)," ")</f>
        <v xml:space="preserve"> </v>
      </c>
      <c r="H209" s="1127" t="str">
        <f>IFERROR(INDEX('Schedule C'!$A$34:$BA$313,MATCH('EI - (F1 - F2)'!$R209,'Schedule C'!$A$34:$A$313,0),39)," ")</f>
        <v xml:space="preserve"> </v>
      </c>
      <c r="I209" s="1129" t="str">
        <f t="shared" si="17"/>
        <v xml:space="preserve"> </v>
      </c>
      <c r="J209" s="1129" t="str">
        <f t="shared" si="17"/>
        <v xml:space="preserve"> </v>
      </c>
      <c r="K209" s="1129" t="str">
        <f t="shared" si="17"/>
        <v xml:space="preserve"> </v>
      </c>
      <c r="L209" s="1129" t="str">
        <f t="shared" si="17"/>
        <v xml:space="preserve"> </v>
      </c>
      <c r="M209" s="1129" t="str">
        <f t="shared" si="17"/>
        <v xml:space="preserve"> </v>
      </c>
      <c r="N209" s="1129" t="str">
        <f t="shared" si="17"/>
        <v xml:space="preserve"> </v>
      </c>
      <c r="O209" s="1129" t="str">
        <f t="shared" si="18"/>
        <v xml:space="preserve"> </v>
      </c>
      <c r="P209" s="1130" t="str">
        <f t="shared" si="19"/>
        <v xml:space="preserve"> </v>
      </c>
      <c r="Q209" s="1131" t="str">
        <f t="shared" si="20"/>
        <v xml:space="preserve"> </v>
      </c>
      <c r="R209" s="1118">
        <f>IF('Schedule C'!AM490&gt;='EI - (F1 - F2)'!J$3,IF('Schedule C'!AM490&lt;='EI - (F1 - F2)'!K$3,'Schedule C'!A490,0),0)</f>
        <v>0</v>
      </c>
    </row>
    <row r="210" spans="1:18" ht="15">
      <c r="A210" s="1125">
        <f t="shared" si="16"/>
        <v>203</v>
      </c>
      <c r="B210" s="1126">
        <v>1</v>
      </c>
      <c r="C210" s="1126" t="str">
        <f>IFERROR(VLOOKUP(D210,dropdowns!$J$3:$Q$16,7,0)," ")</f>
        <v xml:space="preserve"> </v>
      </c>
      <c r="D210" s="1126" t="str">
        <f>IFERROR(INDEX('Schedule C'!$A$34:$BA$313,MATCH('EI - (F1 - F2)'!$R210,'Schedule C'!$A$34:$A$313,0),14)," ")</f>
        <v xml:space="preserve"> </v>
      </c>
      <c r="E210" s="1126" t="str">
        <f>IFERROR(VLOOKUP($D210,dropdowns!$J$3:$Q$16,8,0)," ")</f>
        <v xml:space="preserve"> </v>
      </c>
      <c r="F210" s="1126" t="str">
        <f>IFERROR(INDEX('Schedule C'!$A$34:$BA$313,MATCH('EI - (F1 - F2)'!$R210,'Schedule C'!$A$34:$A$313,0),2)," ")</f>
        <v xml:space="preserve"> </v>
      </c>
      <c r="G210" s="1126" t="str">
        <f>IFERROR(INDEX('Schedule C'!$A$34:$BA$313,MATCH('EI - (F1 - F2)'!$R210,'Schedule C'!$A$34:$A$313,0),38)," ")</f>
        <v xml:space="preserve"> </v>
      </c>
      <c r="H210" s="1127" t="str">
        <f>IFERROR(INDEX('Schedule C'!$A$34:$BA$313,MATCH('EI - (F1 - F2)'!$R210,'Schedule C'!$A$34:$A$313,0),39)," ")</f>
        <v xml:space="preserve"> </v>
      </c>
      <c r="I210" s="1129" t="str">
        <f t="shared" si="17"/>
        <v xml:space="preserve"> </v>
      </c>
      <c r="J210" s="1129" t="str">
        <f t="shared" si="17"/>
        <v xml:space="preserve"> </v>
      </c>
      <c r="K210" s="1129" t="str">
        <f t="shared" si="17"/>
        <v xml:space="preserve"> </v>
      </c>
      <c r="L210" s="1129" t="str">
        <f t="shared" si="17"/>
        <v xml:space="preserve"> </v>
      </c>
      <c r="M210" s="1129" t="str">
        <f t="shared" si="17"/>
        <v xml:space="preserve"> </v>
      </c>
      <c r="N210" s="1129" t="str">
        <f t="shared" si="17"/>
        <v xml:space="preserve"> </v>
      </c>
      <c r="O210" s="1129" t="str">
        <f t="shared" si="18"/>
        <v xml:space="preserve"> </v>
      </c>
      <c r="P210" s="1130" t="str">
        <f t="shared" si="19"/>
        <v xml:space="preserve"> </v>
      </c>
      <c r="Q210" s="1131" t="str">
        <f t="shared" si="20"/>
        <v xml:space="preserve"> </v>
      </c>
      <c r="R210" s="1118">
        <f>IF('Schedule C'!AM491&gt;='EI - (F1 - F2)'!J$3,IF('Schedule C'!AM491&lt;='EI - (F1 - F2)'!K$3,'Schedule C'!A491,0),0)</f>
        <v>0</v>
      </c>
    </row>
    <row r="211" spans="1:18" ht="15">
      <c r="A211" s="1125">
        <f t="shared" si="16"/>
        <v>204</v>
      </c>
      <c r="B211" s="1126">
        <v>1</v>
      </c>
      <c r="C211" s="1126" t="str">
        <f>IFERROR(VLOOKUP(D211,dropdowns!$J$3:$Q$16,7,0)," ")</f>
        <v xml:space="preserve"> </v>
      </c>
      <c r="D211" s="1126" t="str">
        <f>IFERROR(INDEX('Schedule C'!$A$34:$BA$313,MATCH('EI - (F1 - F2)'!$R211,'Schedule C'!$A$34:$A$313,0),14)," ")</f>
        <v xml:space="preserve"> </v>
      </c>
      <c r="E211" s="1126" t="str">
        <f>IFERROR(VLOOKUP($D211,dropdowns!$J$3:$Q$16,8,0)," ")</f>
        <v xml:space="preserve"> </v>
      </c>
      <c r="F211" s="1126" t="str">
        <f>IFERROR(INDEX('Schedule C'!$A$34:$BA$313,MATCH('EI - (F1 - F2)'!$R211,'Schedule C'!$A$34:$A$313,0),2)," ")</f>
        <v xml:space="preserve"> </v>
      </c>
      <c r="G211" s="1126" t="str">
        <f>IFERROR(INDEX('Schedule C'!$A$34:$BA$313,MATCH('EI - (F1 - F2)'!$R211,'Schedule C'!$A$34:$A$313,0),38)," ")</f>
        <v xml:space="preserve"> </v>
      </c>
      <c r="H211" s="1127" t="str">
        <f>IFERROR(INDEX('Schedule C'!$A$34:$BA$313,MATCH('EI - (F1 - F2)'!$R211,'Schedule C'!$A$34:$A$313,0),39)," ")</f>
        <v xml:space="preserve"> </v>
      </c>
      <c r="I211" s="1129" t="str">
        <f t="shared" si="17"/>
        <v xml:space="preserve"> </v>
      </c>
      <c r="J211" s="1129" t="str">
        <f t="shared" si="17"/>
        <v xml:space="preserve"> </v>
      </c>
      <c r="K211" s="1129" t="str">
        <f t="shared" si="17"/>
        <v xml:space="preserve"> </v>
      </c>
      <c r="L211" s="1129" t="str">
        <f t="shared" si="17"/>
        <v xml:space="preserve"> </v>
      </c>
      <c r="M211" s="1129" t="str">
        <f t="shared" si="17"/>
        <v xml:space="preserve"> </v>
      </c>
      <c r="N211" s="1129" t="str">
        <f t="shared" si="17"/>
        <v xml:space="preserve"> </v>
      </c>
      <c r="O211" s="1129" t="str">
        <f t="shared" si="18"/>
        <v xml:space="preserve"> </v>
      </c>
      <c r="P211" s="1130" t="str">
        <f t="shared" si="19"/>
        <v xml:space="preserve"> </v>
      </c>
      <c r="Q211" s="1131" t="str">
        <f t="shared" si="20"/>
        <v xml:space="preserve"> </v>
      </c>
      <c r="R211" s="1118">
        <f>IF('Schedule C'!AM492&gt;='EI - (F1 - F2)'!J$3,IF('Schedule C'!AM492&lt;='EI - (F1 - F2)'!K$3,'Schedule C'!A492,0),0)</f>
        <v>0</v>
      </c>
    </row>
    <row r="212" spans="1:18" ht="15">
      <c r="A212" s="1125">
        <f t="shared" si="16"/>
        <v>205</v>
      </c>
      <c r="B212" s="1126">
        <v>1</v>
      </c>
      <c r="C212" s="1126" t="str">
        <f>IFERROR(VLOOKUP(D212,dropdowns!$J$3:$Q$16,7,0)," ")</f>
        <v xml:space="preserve"> </v>
      </c>
      <c r="D212" s="1126" t="str">
        <f>IFERROR(INDEX('Schedule C'!$A$34:$BA$313,MATCH('EI - (F1 - F2)'!$R212,'Schedule C'!$A$34:$A$313,0),14)," ")</f>
        <v xml:space="preserve"> </v>
      </c>
      <c r="E212" s="1126" t="str">
        <f>IFERROR(VLOOKUP($D212,dropdowns!$J$3:$Q$16,8,0)," ")</f>
        <v xml:space="preserve"> </v>
      </c>
      <c r="F212" s="1126" t="str">
        <f>IFERROR(INDEX('Schedule C'!$A$34:$BA$313,MATCH('EI - (F1 - F2)'!$R212,'Schedule C'!$A$34:$A$313,0),2)," ")</f>
        <v xml:space="preserve"> </v>
      </c>
      <c r="G212" s="1126" t="str">
        <f>IFERROR(INDEX('Schedule C'!$A$34:$BA$313,MATCH('EI - (F1 - F2)'!$R212,'Schedule C'!$A$34:$A$313,0),38)," ")</f>
        <v xml:space="preserve"> </v>
      </c>
      <c r="H212" s="1127" t="str">
        <f>IFERROR(INDEX('Schedule C'!$A$34:$BA$313,MATCH('EI - (F1 - F2)'!$R212,'Schedule C'!$A$34:$A$313,0),39)," ")</f>
        <v xml:space="preserve"> </v>
      </c>
      <c r="I212" s="1129" t="str">
        <f t="shared" si="17"/>
        <v xml:space="preserve"> </v>
      </c>
      <c r="J212" s="1129" t="str">
        <f t="shared" si="17"/>
        <v xml:space="preserve"> </v>
      </c>
      <c r="K212" s="1129" t="str">
        <f t="shared" si="17"/>
        <v xml:space="preserve"> </v>
      </c>
      <c r="L212" s="1129" t="str">
        <f t="shared" si="17"/>
        <v xml:space="preserve"> </v>
      </c>
      <c r="M212" s="1129" t="str">
        <f t="shared" si="17"/>
        <v xml:space="preserve"> </v>
      </c>
      <c r="N212" s="1129" t="str">
        <f t="shared" si="17"/>
        <v xml:space="preserve"> </v>
      </c>
      <c r="O212" s="1129" t="str">
        <f t="shared" si="18"/>
        <v xml:space="preserve"> </v>
      </c>
      <c r="P212" s="1130" t="str">
        <f t="shared" si="19"/>
        <v xml:space="preserve"> </v>
      </c>
      <c r="Q212" s="1131" t="str">
        <f t="shared" si="20"/>
        <v xml:space="preserve"> </v>
      </c>
      <c r="R212" s="1118">
        <f>IF('Schedule C'!AM493&gt;='EI - (F1 - F2)'!J$3,IF('Schedule C'!AM493&lt;='EI - (F1 - F2)'!K$3,'Schedule C'!A493,0),0)</f>
        <v>0</v>
      </c>
    </row>
    <row r="213" spans="1:18" ht="15">
      <c r="A213" s="1125">
        <f t="shared" si="16"/>
        <v>206</v>
      </c>
      <c r="B213" s="1126">
        <v>1</v>
      </c>
      <c r="C213" s="1126" t="str">
        <f>IFERROR(VLOOKUP(D213,dropdowns!$J$3:$Q$16,7,0)," ")</f>
        <v xml:space="preserve"> </v>
      </c>
      <c r="D213" s="1126" t="str">
        <f>IFERROR(INDEX('Schedule C'!$A$34:$BA$313,MATCH('EI - (F1 - F2)'!$R213,'Schedule C'!$A$34:$A$313,0),14)," ")</f>
        <v xml:space="preserve"> </v>
      </c>
      <c r="E213" s="1126" t="str">
        <f>IFERROR(VLOOKUP($D213,dropdowns!$J$3:$Q$16,8,0)," ")</f>
        <v xml:space="preserve"> </v>
      </c>
      <c r="F213" s="1126" t="str">
        <f>IFERROR(INDEX('Schedule C'!$A$34:$BA$313,MATCH('EI - (F1 - F2)'!$R213,'Schedule C'!$A$34:$A$313,0),2)," ")</f>
        <v xml:space="preserve"> </v>
      </c>
      <c r="G213" s="1126" t="str">
        <f>IFERROR(INDEX('Schedule C'!$A$34:$BA$313,MATCH('EI - (F1 - F2)'!$R213,'Schedule C'!$A$34:$A$313,0),38)," ")</f>
        <v xml:space="preserve"> </v>
      </c>
      <c r="H213" s="1127" t="str">
        <f>IFERROR(INDEX('Schedule C'!$A$34:$BA$313,MATCH('EI - (F1 - F2)'!$R213,'Schedule C'!$A$34:$A$313,0),39)," ")</f>
        <v xml:space="preserve"> </v>
      </c>
      <c r="I213" s="1129" t="str">
        <f t="shared" si="17"/>
        <v xml:space="preserve"> </v>
      </c>
      <c r="J213" s="1129" t="str">
        <f t="shared" si="17"/>
        <v xml:space="preserve"> </v>
      </c>
      <c r="K213" s="1129" t="str">
        <f t="shared" si="17"/>
        <v xml:space="preserve"> </v>
      </c>
      <c r="L213" s="1129" t="str">
        <f t="shared" si="17"/>
        <v xml:space="preserve"> </v>
      </c>
      <c r="M213" s="1129" t="str">
        <f t="shared" si="17"/>
        <v xml:space="preserve"> </v>
      </c>
      <c r="N213" s="1129" t="str">
        <f t="shared" si="17"/>
        <v xml:space="preserve"> </v>
      </c>
      <c r="O213" s="1129" t="str">
        <f t="shared" si="18"/>
        <v xml:space="preserve"> </v>
      </c>
      <c r="P213" s="1130" t="str">
        <f t="shared" si="19"/>
        <v xml:space="preserve"> </v>
      </c>
      <c r="Q213" s="1131" t="str">
        <f t="shared" si="20"/>
        <v xml:space="preserve"> </v>
      </c>
      <c r="R213" s="1118">
        <f>IF('Schedule C'!AM494&gt;='EI - (F1 - F2)'!J$3,IF('Schedule C'!AM494&lt;='EI - (F1 - F2)'!K$3,'Schedule C'!A494,0),0)</f>
        <v>0</v>
      </c>
    </row>
    <row r="214" spans="1:18" ht="15">
      <c r="A214" s="1125">
        <f t="shared" si="16"/>
        <v>207</v>
      </c>
      <c r="B214" s="1126">
        <v>1</v>
      </c>
      <c r="C214" s="1126" t="str">
        <f>IFERROR(VLOOKUP(D214,dropdowns!$J$3:$Q$16,7,0)," ")</f>
        <v xml:space="preserve"> </v>
      </c>
      <c r="D214" s="1126" t="str">
        <f>IFERROR(INDEX('Schedule C'!$A$34:$BA$313,MATCH('EI - (F1 - F2)'!$R214,'Schedule C'!$A$34:$A$313,0),14)," ")</f>
        <v xml:space="preserve"> </v>
      </c>
      <c r="E214" s="1126" t="str">
        <f>IFERROR(VLOOKUP($D214,dropdowns!$J$3:$Q$16,8,0)," ")</f>
        <v xml:space="preserve"> </v>
      </c>
      <c r="F214" s="1126" t="str">
        <f>IFERROR(INDEX('Schedule C'!$A$34:$BA$313,MATCH('EI - (F1 - F2)'!$R214,'Schedule C'!$A$34:$A$313,0),2)," ")</f>
        <v xml:space="preserve"> </v>
      </c>
      <c r="G214" s="1126" t="str">
        <f>IFERROR(INDEX('Schedule C'!$A$34:$BA$313,MATCH('EI - (F1 - F2)'!$R214,'Schedule C'!$A$34:$A$313,0),38)," ")</f>
        <v xml:space="preserve"> </v>
      </c>
      <c r="H214" s="1127" t="str">
        <f>IFERROR(INDEX('Schedule C'!$A$34:$BA$313,MATCH('EI - (F1 - F2)'!$R214,'Schedule C'!$A$34:$A$313,0),39)," ")</f>
        <v xml:space="preserve"> </v>
      </c>
      <c r="I214" s="1129" t="str">
        <f t="shared" si="17"/>
        <v xml:space="preserve"> </v>
      </c>
      <c r="J214" s="1129" t="str">
        <f t="shared" si="17"/>
        <v xml:space="preserve"> </v>
      </c>
      <c r="K214" s="1129" t="str">
        <f t="shared" si="17"/>
        <v xml:space="preserve"> </v>
      </c>
      <c r="L214" s="1129" t="str">
        <f t="shared" si="17"/>
        <v xml:space="preserve"> </v>
      </c>
      <c r="M214" s="1129" t="str">
        <f t="shared" si="17"/>
        <v xml:space="preserve"> </v>
      </c>
      <c r="N214" s="1129" t="str">
        <f t="shared" si="17"/>
        <v xml:space="preserve"> </v>
      </c>
      <c r="O214" s="1129" t="str">
        <f t="shared" si="18"/>
        <v xml:space="preserve"> </v>
      </c>
      <c r="P214" s="1130" t="str">
        <f t="shared" si="19"/>
        <v xml:space="preserve"> </v>
      </c>
      <c r="Q214" s="1131" t="str">
        <f t="shared" si="20"/>
        <v xml:space="preserve"> </v>
      </c>
      <c r="R214" s="1118">
        <f>IF('Schedule C'!AM495&gt;='EI - (F1 - F2)'!J$3,IF('Schedule C'!AM495&lt;='EI - (F1 - F2)'!K$3,'Schedule C'!A495,0),0)</f>
        <v>0</v>
      </c>
    </row>
    <row r="215" spans="1:18" ht="15">
      <c r="A215" s="1125">
        <f t="shared" si="16"/>
        <v>208</v>
      </c>
      <c r="B215" s="1126">
        <v>1</v>
      </c>
      <c r="C215" s="1126" t="str">
        <f>IFERROR(VLOOKUP(D215,dropdowns!$J$3:$Q$16,7,0)," ")</f>
        <v xml:space="preserve"> </v>
      </c>
      <c r="D215" s="1126" t="str">
        <f>IFERROR(INDEX('Schedule C'!$A$34:$BA$313,MATCH('EI - (F1 - F2)'!$R215,'Schedule C'!$A$34:$A$313,0),14)," ")</f>
        <v xml:space="preserve"> </v>
      </c>
      <c r="E215" s="1126" t="str">
        <f>IFERROR(VLOOKUP($D215,dropdowns!$J$3:$Q$16,8,0)," ")</f>
        <v xml:space="preserve"> </v>
      </c>
      <c r="F215" s="1126" t="str">
        <f>IFERROR(INDEX('Schedule C'!$A$34:$BA$313,MATCH('EI - (F1 - F2)'!$R215,'Schedule C'!$A$34:$A$313,0),2)," ")</f>
        <v xml:space="preserve"> </v>
      </c>
      <c r="G215" s="1126" t="str">
        <f>IFERROR(INDEX('Schedule C'!$A$34:$BA$313,MATCH('EI - (F1 - F2)'!$R215,'Schedule C'!$A$34:$A$313,0),38)," ")</f>
        <v xml:space="preserve"> </v>
      </c>
      <c r="H215" s="1127" t="str">
        <f>IFERROR(INDEX('Schedule C'!$A$34:$BA$313,MATCH('EI - (F1 - F2)'!$R215,'Schedule C'!$A$34:$A$313,0),39)," ")</f>
        <v xml:space="preserve"> </v>
      </c>
      <c r="I215" s="1129" t="str">
        <f t="shared" si="17"/>
        <v xml:space="preserve"> </v>
      </c>
      <c r="J215" s="1129" t="str">
        <f t="shared" si="17"/>
        <v xml:space="preserve"> </v>
      </c>
      <c r="K215" s="1129" t="str">
        <f t="shared" si="17"/>
        <v xml:space="preserve"> </v>
      </c>
      <c r="L215" s="1129" t="str">
        <f t="shared" si="17"/>
        <v xml:space="preserve"> </v>
      </c>
      <c r="M215" s="1129" t="str">
        <f t="shared" si="17"/>
        <v xml:space="preserve"> </v>
      </c>
      <c r="N215" s="1129" t="str">
        <f t="shared" si="17"/>
        <v xml:space="preserve"> </v>
      </c>
      <c r="O215" s="1129" t="str">
        <f t="shared" si="18"/>
        <v xml:space="preserve"> </v>
      </c>
      <c r="P215" s="1130" t="str">
        <f t="shared" si="19"/>
        <v xml:space="preserve"> </v>
      </c>
      <c r="Q215" s="1131" t="str">
        <f t="shared" si="20"/>
        <v xml:space="preserve"> </v>
      </c>
      <c r="R215" s="1118">
        <f>IF('Schedule C'!AM496&gt;='EI - (F1 - F2)'!J$3,IF('Schedule C'!AM496&lt;='EI - (F1 - F2)'!K$3,'Schedule C'!A496,0),0)</f>
        <v>0</v>
      </c>
    </row>
  </sheetData>
  <autoFilter ref="A7:R215" xr:uid="{EAD0E19F-AB4E-4C1A-AA25-48DE09E85C15}"/>
  <dataValidations count="2">
    <dataValidation type="list" allowBlank="1" showInputMessage="1" showErrorMessage="1" sqref="H5" xr:uid="{BFA599A5-2EFA-48C7-BC43-DCB2798D2DF8}">
      <formula1>"2022,2023,2024"</formula1>
    </dataValidation>
    <dataValidation type="list" allowBlank="1" showInputMessage="1" showErrorMessage="1" sqref="G5" xr:uid="{21B54609-425F-4B7A-8CB2-A2B47E638DAD}">
      <formula1>"JANUARY,FEBRUARY,MARCH,APRIL,MAY,JUNE,JULY,AUGUST,SEPTEMBER,OCTOBER,NOVEMBER,DECEMBER"</formula1>
    </dataValidation>
  </dataValidations>
  <pageMargins left="0.7" right="0.7" top="0.75" bottom="0.75" header="0.3" footer="0.3"/>
  <pageSetup orientation="portrait" r:id="rId1"/>
  <drawing r:id="rId2"/>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9F3A4-B137-4C22-B05E-9185EF6DE504}">
  <sheetPr codeName="Sheet27">
    <tabColor rgb="FF7030A0"/>
  </sheetPr>
  <dimension ref="A1:R215"/>
  <sheetViews>
    <sheetView zoomScaleNormal="100" workbookViewId="0">
      <pane ySplit="7" topLeftCell="A8" activePane="bottomLeft" state="frozen"/>
      <selection pane="bottomLeft" activeCell="J4" sqref="J4"/>
    </sheetView>
  </sheetViews>
  <sheetFormatPr defaultColWidth="9" defaultRowHeight="12"/>
  <cols>
    <col min="1" max="1" width="5" style="1118" customWidth="1"/>
    <col min="2" max="2" width="8.85546875" style="1118" customWidth="1"/>
    <col min="3" max="3" width="9" style="1118"/>
    <col min="4" max="4" width="26.85546875" style="1118" bestFit="1" customWidth="1"/>
    <col min="5" max="5" width="9" style="1118"/>
    <col min="6" max="6" width="76.5703125" style="1118" customWidth="1"/>
    <col min="7" max="7" width="10" style="1118" customWidth="1"/>
    <col min="8" max="8" width="9.85546875" style="1118" customWidth="1"/>
    <col min="9" max="9" width="9" style="1118"/>
    <col min="10" max="10" width="13.85546875" style="1118" bestFit="1" customWidth="1"/>
    <col min="11" max="11" width="13" style="1118" bestFit="1" customWidth="1"/>
    <col min="12" max="12" width="12.85546875" style="1118" customWidth="1"/>
    <col min="13" max="16" width="9" style="1118"/>
    <col min="17" max="17" width="12.85546875" style="1118" customWidth="1"/>
    <col min="18" max="16384" width="9" style="1118"/>
  </cols>
  <sheetData>
    <row r="1" spans="1:18" ht="12.75" thickBot="1"/>
    <row r="2" spans="1:18" ht="12.75" thickBot="1">
      <c r="J2" s="1119" t="s">
        <v>1946</v>
      </c>
      <c r="K2" s="1119" t="s">
        <v>1947</v>
      </c>
    </row>
    <row r="3" spans="1:18" ht="12.75" thickBot="1">
      <c r="J3" s="1448">
        <f>DATE(YEAR(EOMONTH(DATEVALUE(G5&amp;H5),-1)+1),MONTH(EOMONTH(DATEVALUE(G5&amp;H5),-1)+1)-1,DAY(EOMONTH(DATEVALUE(G5&amp;H5),-1)+1)+28)</f>
        <v>45289</v>
      </c>
      <c r="K3" s="1448">
        <f>DATE(YEAR(EOMONTH(DATEVALUE(G5&amp;H5),-1)+1),MONTH(EOMONTH(DATEVALUE(G5&amp;H5),-1)+1),DAY(EOMONTH(DATEVALUE(G5&amp;H5),-1)+1)+28)</f>
        <v>45320</v>
      </c>
      <c r="L3" s="1120"/>
    </row>
    <row r="4" spans="1:18" ht="12.75" thickBot="1">
      <c r="L4" s="1120"/>
    </row>
    <row r="5" spans="1:18" ht="12.75" thickBot="1">
      <c r="G5" s="1449" t="s">
        <v>3497</v>
      </c>
      <c r="H5" s="1449">
        <v>2024</v>
      </c>
      <c r="K5" s="1120"/>
    </row>
    <row r="6" spans="1:18" ht="12.75" thickBot="1">
      <c r="R6" s="1450">
        <f>COUNTIF(R8:R215,"&lt;&gt;0")</f>
        <v>9</v>
      </c>
    </row>
    <row r="7" spans="1:18" ht="71.25">
      <c r="A7" s="1121" t="s">
        <v>1948</v>
      </c>
      <c r="B7" s="1121" t="s">
        <v>1949</v>
      </c>
      <c r="C7" s="1121" t="s">
        <v>1950</v>
      </c>
      <c r="D7" s="1121" t="s">
        <v>1951</v>
      </c>
      <c r="E7" s="1121" t="s">
        <v>1952</v>
      </c>
      <c r="F7" s="1121" t="s">
        <v>292</v>
      </c>
      <c r="G7" s="1121" t="s">
        <v>1953</v>
      </c>
      <c r="H7" s="1121" t="s">
        <v>1954</v>
      </c>
      <c r="I7" s="1121" t="s">
        <v>1955</v>
      </c>
      <c r="J7" s="1121" t="s">
        <v>1956</v>
      </c>
      <c r="K7" s="1122" t="s">
        <v>343</v>
      </c>
      <c r="L7" s="1122" t="s">
        <v>1957</v>
      </c>
      <c r="M7" s="1123" t="s">
        <v>1958</v>
      </c>
      <c r="N7" s="1123" t="s">
        <v>1959</v>
      </c>
      <c r="O7" s="1123" t="s">
        <v>159</v>
      </c>
      <c r="P7" s="1124" t="s">
        <v>1960</v>
      </c>
      <c r="Q7" s="1124" t="s">
        <v>1961</v>
      </c>
      <c r="R7" s="1451" t="s">
        <v>574</v>
      </c>
    </row>
    <row r="8" spans="1:18" ht="15">
      <c r="A8" s="1125">
        <f>ROW()-7</f>
        <v>1</v>
      </c>
      <c r="B8" s="1126">
        <v>1</v>
      </c>
      <c r="C8" s="1126" t="str">
        <f>IFERROR(VLOOKUP($D8,dropdowns!$I$3:$Q$30,6,0), " ")</f>
        <v xml:space="preserve"> </v>
      </c>
      <c r="D8" s="1126" t="str">
        <f>IFERROR(INDEX('Schedule C'!$A$20:$BA$83,MATCH('DVO (F1 - F2)'!$R191,'Schedule C'!$A$20:$A$83,0),13)," ")</f>
        <v xml:space="preserve"> </v>
      </c>
      <c r="E8" s="1126" t="str">
        <f>IFERROR(VLOOKUP($D8,dropdowns!$I$3:$Q$30,7,0), " ")</f>
        <v xml:space="preserve"> </v>
      </c>
      <c r="F8" s="1126" t="str">
        <f>IFERROR(INDEX('Schedule C'!$A$20:$BA$83,MATCH('DVO (F1 - F2)'!$R8,'Schedule C'!$A$20:$A$83,0),2)," ")</f>
        <v xml:space="preserve"> </v>
      </c>
      <c r="G8" s="1127" t="str">
        <f>IFERROR(INDEX('Schedule C'!$A$20:$BA$83,MATCH('DVO (F1 - F2)'!$R8,'Schedule C'!$A$20:$A$83,0),38)," ")</f>
        <v xml:space="preserve"> </v>
      </c>
      <c r="H8" s="1127" t="str">
        <f>IFERROR(INDEX('Schedule C'!$A$20:$BA$83,MATCH('DVO (F1 - F2)'!$R8,'Schedule C'!$A$20:$A$83,0),39)," ")</f>
        <v xml:space="preserve"> </v>
      </c>
      <c r="I8" s="1127" t="str">
        <f>IFERROR(INDEX('Schedule C'!$A$20:$BA$83,MATCH('DVO (F1 - F2)'!$R8,'Schedule C'!$A$20:$A$83,0),41)," ")</f>
        <v xml:space="preserve"> </v>
      </c>
      <c r="J8" s="1127" t="str">
        <f>IFERROR(INDEX('Schedule C'!$A$20:$BA$83,MATCH('DVO (F1 - F2)'!$R8,'Schedule C'!$A$20:$A$83,0),50)," ")</f>
        <v xml:space="preserve"> </v>
      </c>
      <c r="K8" s="1452" t="str">
        <f>IFERROR(INDEX('Schedule C'!$A$20:$BA$83,MATCH('DVO (F1 - F2)'!$R8,'Schedule C'!$A$20:$A$83,0),33)," ")</f>
        <v xml:space="preserve"> </v>
      </c>
      <c r="L8" s="1453" t="str">
        <f>IFERROR(INDEX('Schedule C'!$A$20:$BA$83,MATCH('DVO (F1 - F2)'!$R8,'Schedule C'!$A$20:$A$83,0),52)," ")</f>
        <v xml:space="preserve"> </v>
      </c>
      <c r="M8" s="1454" t="str">
        <f>IFERROR(INDEX('Schedule C'!$A$20:$BA$83,MATCH('DVO (F1 - F2)'!$R8,'Schedule C'!$A$20:$A$83,0),50)-INDEX('Schedule C'!$A$20:$BA$83,MATCH('DVO (F1 - F2)'!$R8,'Schedule C'!$A$20:$A$83,0),39)," ")</f>
        <v xml:space="preserve"> </v>
      </c>
      <c r="N8" s="1129" t="str">
        <f>IF($R8=0," ","NA")</f>
        <v xml:space="preserve"> </v>
      </c>
      <c r="O8" s="1129" t="str">
        <f>IF($R8=0," ","CLOSED")</f>
        <v xml:space="preserve"> </v>
      </c>
      <c r="P8" s="1130" t="str">
        <f>IF($R8=0," ",H8+90)</f>
        <v xml:space="preserve"> </v>
      </c>
      <c r="Q8" s="1131" t="str">
        <f>IF(R8=0," ",(H8+90)-$K$3)</f>
        <v xml:space="preserve"> </v>
      </c>
      <c r="R8" s="1118">
        <f>IF('Schedule C'!AX20&gt;='DVO (F1 - F2)'!J$3,IF('Schedule C'!AX20&lt;='DVO (F1 - F2)'!K$3,IF('Schedule C'!BA20="APPROVED",'Schedule C'!A20,0),0),0)</f>
        <v>0</v>
      </c>
    </row>
    <row r="9" spans="1:18" ht="15">
      <c r="A9" s="1125">
        <f t="shared" ref="A9:A97" si="0">ROW()-7</f>
        <v>2</v>
      </c>
      <c r="B9" s="1126">
        <v>1</v>
      </c>
      <c r="C9" s="1126" t="str">
        <f>IFERROR(VLOOKUP($D9,dropdowns!$I$3:$Q$30,6,0), " ")</f>
        <v xml:space="preserve"> </v>
      </c>
      <c r="D9" s="1126" t="str">
        <f>IFERROR(INDEX('Schedule C'!$A$20:$BA$83,MATCH('DVO (F1 - F2)'!$R192,'Schedule C'!$A$20:$A$83,0),13)," ")</f>
        <v xml:space="preserve"> </v>
      </c>
      <c r="E9" s="1126" t="str">
        <f>IFERROR(VLOOKUP($D9,dropdowns!$I$3:$Q$30,7,0), " ")</f>
        <v xml:space="preserve"> </v>
      </c>
      <c r="F9" s="1126" t="str">
        <f>IFERROR(INDEX('Schedule C'!$A$20:$BA$83,MATCH('DVO (F1 - F2)'!$R9,'Schedule C'!$A$20:$A$83,0),2)," ")</f>
        <v xml:space="preserve"> </v>
      </c>
      <c r="G9" s="1127" t="str">
        <f>IFERROR(INDEX('Schedule C'!$A$20:$BA$83,MATCH('DVO (F1 - F2)'!$R9,'Schedule C'!$A$20:$A$83,0),38)," ")</f>
        <v xml:space="preserve"> </v>
      </c>
      <c r="H9" s="1127" t="str">
        <f>IFERROR(INDEX('Schedule C'!$A$20:$BA$83,MATCH('DVO (F1 - F2)'!$R9,'Schedule C'!$A$20:$A$83,0),39)," ")</f>
        <v xml:space="preserve"> </v>
      </c>
      <c r="I9" s="1127" t="str">
        <f>IFERROR(INDEX('Schedule C'!$A$20:$BA$83,MATCH('DVO (F1 - F2)'!$R9,'Schedule C'!$A$20:$A$83,0),41)," ")</f>
        <v xml:space="preserve"> </v>
      </c>
      <c r="J9" s="1127" t="str">
        <f>IFERROR(INDEX('Schedule C'!$A$20:$BA$83,MATCH('DVO (F1 - F2)'!$R9,'Schedule C'!$A$20:$A$83,0),50)," ")</f>
        <v xml:space="preserve"> </v>
      </c>
      <c r="K9" s="1452" t="str">
        <f>IFERROR(INDEX('Schedule C'!$A$20:$BA$83,MATCH('DVO (F1 - F2)'!$R9,'Schedule C'!$A$20:$A$83,0),33)," ")</f>
        <v xml:space="preserve"> </v>
      </c>
      <c r="L9" s="1453" t="str">
        <f>IFERROR(INDEX('Schedule C'!$A$20:$BA$83,MATCH('DVO (F1 - F2)'!$R9,'Schedule C'!$A$20:$A$83,0),52)," ")</f>
        <v xml:space="preserve"> </v>
      </c>
      <c r="M9" s="1454" t="str">
        <f>IFERROR(INDEX('Schedule C'!$A$20:$BA$83,MATCH('DVO (F1 - F2)'!$R9,'Schedule C'!$A$20:$A$83,0),50)-INDEX('Schedule C'!$A$20:$BA$83,MATCH('DVO (F1 - F2)'!$R9,'Schedule C'!$A$20:$A$83,0),39)," ")</f>
        <v xml:space="preserve"> </v>
      </c>
      <c r="N9" s="1129" t="str">
        <f t="shared" ref="N9:N72" si="1">IF($R9=0," ","NA")</f>
        <v xml:space="preserve"> </v>
      </c>
      <c r="O9" s="1129" t="str">
        <f t="shared" ref="O9:O72" si="2">IF($R9=0," ","CLOSED")</f>
        <v xml:space="preserve"> </v>
      </c>
      <c r="P9" s="1130" t="str">
        <f t="shared" ref="P9:P72" si="3">IF($R9=0," ",H9+90)</f>
        <v xml:space="preserve"> </v>
      </c>
      <c r="Q9" s="1131" t="str">
        <f t="shared" ref="Q9:Q72" si="4">IF(R9=0," ",(H9+90)-$K$3)</f>
        <v xml:space="preserve"> </v>
      </c>
      <c r="R9" s="1118">
        <f>IF('Schedule C'!AX21&gt;='DVO (F1 - F2)'!J$3,IF('Schedule C'!AX21&lt;='DVO (F1 - F2)'!K$3,IF('Schedule C'!BA21="APPROVED",'Schedule C'!A21,0),0),0)</f>
        <v>0</v>
      </c>
    </row>
    <row r="10" spans="1:18" ht="15">
      <c r="A10" s="1125">
        <f t="shared" si="0"/>
        <v>3</v>
      </c>
      <c r="B10" s="1126">
        <v>1</v>
      </c>
      <c r="C10" s="1126" t="str">
        <f>IFERROR(VLOOKUP($D10,dropdowns!$I$3:$Q$30,6,0), " ")</f>
        <v xml:space="preserve"> </v>
      </c>
      <c r="D10" s="1126" t="str">
        <f>IFERROR(INDEX('Schedule C'!$A$20:$BA$83,MATCH('DVO (F1 - F2)'!$R193,'Schedule C'!$A$20:$A$83,0),13)," ")</f>
        <v xml:space="preserve"> </v>
      </c>
      <c r="E10" s="1126" t="str">
        <f>IFERROR(VLOOKUP($D10,dropdowns!$I$3:$Q$30,7,0), " ")</f>
        <v xml:space="preserve"> </v>
      </c>
      <c r="F10" s="1126" t="str">
        <f>IFERROR(INDEX('Schedule C'!$A$20:$BA$83,MATCH('DVO (F1 - F2)'!$R10,'Schedule C'!$A$20:$A$83,0),2)," ")</f>
        <v xml:space="preserve"> </v>
      </c>
      <c r="G10" s="1127" t="str">
        <f>IFERROR(INDEX('Schedule C'!$A$20:$BA$83,MATCH('DVO (F1 - F2)'!$R10,'Schedule C'!$A$20:$A$83,0),38)," ")</f>
        <v xml:space="preserve"> </v>
      </c>
      <c r="H10" s="1127" t="str">
        <f>IFERROR(INDEX('Schedule C'!$A$20:$BA$83,MATCH('DVO (F1 - F2)'!$R10,'Schedule C'!$A$20:$A$83,0),39)," ")</f>
        <v xml:space="preserve"> </v>
      </c>
      <c r="I10" s="1127" t="str">
        <f>IFERROR(INDEX('Schedule C'!$A$20:$BA$83,MATCH('DVO (F1 - F2)'!$R10,'Schedule C'!$A$20:$A$83,0),41)," ")</f>
        <v xml:space="preserve"> </v>
      </c>
      <c r="J10" s="1127" t="str">
        <f>IFERROR(INDEX('Schedule C'!$A$20:$BA$83,MATCH('DVO (F1 - F2)'!$R10,'Schedule C'!$A$20:$A$83,0),50)," ")</f>
        <v xml:space="preserve"> </v>
      </c>
      <c r="K10" s="1452" t="str">
        <f>IFERROR(INDEX('Schedule C'!$A$20:$BA$83,MATCH('DVO (F1 - F2)'!$R10,'Schedule C'!$A$20:$A$83,0),33)," ")</f>
        <v xml:space="preserve"> </v>
      </c>
      <c r="L10" s="1453" t="str">
        <f>IFERROR(INDEX('Schedule C'!$A$20:$BA$83,MATCH('DVO (F1 - F2)'!$R10,'Schedule C'!$A$20:$A$83,0),52)," ")</f>
        <v xml:space="preserve"> </v>
      </c>
      <c r="M10" s="1454" t="str">
        <f>IFERROR(INDEX('Schedule C'!$A$20:$BA$83,MATCH('DVO (F1 - F2)'!$R10,'Schedule C'!$A$20:$A$83,0),50)-INDEX('Schedule C'!$A$20:$BA$83,MATCH('DVO (F1 - F2)'!$R10,'Schedule C'!$A$20:$A$83,0),39)," ")</f>
        <v xml:space="preserve"> </v>
      </c>
      <c r="N10" s="1129" t="str">
        <f t="shared" si="1"/>
        <v xml:space="preserve"> </v>
      </c>
      <c r="O10" s="1129" t="str">
        <f t="shared" si="2"/>
        <v xml:space="preserve"> </v>
      </c>
      <c r="P10" s="1130" t="str">
        <f t="shared" si="3"/>
        <v xml:space="preserve"> </v>
      </c>
      <c r="Q10" s="1131" t="str">
        <f t="shared" si="4"/>
        <v xml:space="preserve"> </v>
      </c>
      <c r="R10" s="1118">
        <f>IF('Schedule C'!AX22&gt;='DVO (F1 - F2)'!J$3,IF('Schedule C'!AX22&lt;='DVO (F1 - F2)'!K$3,IF('Schedule C'!BA22="APPROVED",'Schedule C'!A22,0),0),0)</f>
        <v>0</v>
      </c>
    </row>
    <row r="11" spans="1:18" ht="15">
      <c r="A11" s="1125">
        <f t="shared" si="0"/>
        <v>4</v>
      </c>
      <c r="B11" s="1126">
        <v>1</v>
      </c>
      <c r="C11" s="1126" t="str">
        <f>IFERROR(VLOOKUP($D11,dropdowns!$I$3:$Q$30,6,0), " ")</f>
        <v xml:space="preserve"> </v>
      </c>
      <c r="D11" s="1126" t="str">
        <f>IFERROR(INDEX('Schedule C'!$A$20:$BA$83,MATCH('DVO (F1 - F2)'!$R194,'Schedule C'!$A$20:$A$83,0),13)," ")</f>
        <v xml:space="preserve"> </v>
      </c>
      <c r="E11" s="1126" t="str">
        <f>IFERROR(VLOOKUP($D11,dropdowns!$I$3:$Q$30,7,0), " ")</f>
        <v xml:space="preserve"> </v>
      </c>
      <c r="F11" s="1126" t="str">
        <f>IFERROR(INDEX('Schedule C'!$A$20:$BA$83,MATCH('DVO (F1 - F2)'!$R11,'Schedule C'!$A$20:$A$83,0),2)," ")</f>
        <v xml:space="preserve"> </v>
      </c>
      <c r="G11" s="1127" t="str">
        <f>IFERROR(INDEX('Schedule C'!$A$20:$BA$83,MATCH('DVO (F1 - F2)'!$R11,'Schedule C'!$A$20:$A$83,0),38)," ")</f>
        <v xml:space="preserve"> </v>
      </c>
      <c r="H11" s="1127" t="str">
        <f>IFERROR(INDEX('Schedule C'!$A$20:$BA$83,MATCH('DVO (F1 - F2)'!$R11,'Schedule C'!$A$20:$A$83,0),39)," ")</f>
        <v xml:space="preserve"> </v>
      </c>
      <c r="I11" s="1127" t="str">
        <f>IFERROR(INDEX('Schedule C'!$A$20:$BA$83,MATCH('DVO (F1 - F2)'!$R11,'Schedule C'!$A$20:$A$83,0),41)," ")</f>
        <v xml:space="preserve"> </v>
      </c>
      <c r="J11" s="1127" t="str">
        <f>IFERROR(INDEX('Schedule C'!$A$20:$BA$83,MATCH('DVO (F1 - F2)'!$R11,'Schedule C'!$A$20:$A$83,0),50)," ")</f>
        <v xml:space="preserve"> </v>
      </c>
      <c r="K11" s="1452" t="str">
        <f>IFERROR(INDEX('Schedule C'!$A$20:$BA$83,MATCH('DVO (F1 - F2)'!$R11,'Schedule C'!$A$20:$A$83,0),33)," ")</f>
        <v xml:space="preserve"> </v>
      </c>
      <c r="L11" s="1453" t="str">
        <f>IFERROR(INDEX('Schedule C'!$A$20:$BA$83,MATCH('DVO (F1 - F2)'!$R11,'Schedule C'!$A$20:$A$83,0),52)," ")</f>
        <v xml:space="preserve"> </v>
      </c>
      <c r="M11" s="1454" t="str">
        <f>IFERROR(INDEX('Schedule C'!$A$20:$BA$83,MATCH('DVO (F1 - F2)'!$R11,'Schedule C'!$A$20:$A$83,0),50)-INDEX('Schedule C'!$A$20:$BA$83,MATCH('DVO (F1 - F2)'!$R11,'Schedule C'!$A$20:$A$83,0),39)," ")</f>
        <v xml:space="preserve"> </v>
      </c>
      <c r="N11" s="1129" t="str">
        <f t="shared" si="1"/>
        <v xml:space="preserve"> </v>
      </c>
      <c r="O11" s="1129" t="str">
        <f t="shared" si="2"/>
        <v xml:space="preserve"> </v>
      </c>
      <c r="P11" s="1130" t="str">
        <f t="shared" si="3"/>
        <v xml:space="preserve"> </v>
      </c>
      <c r="Q11" s="1131" t="str">
        <f t="shared" si="4"/>
        <v xml:space="preserve"> </v>
      </c>
      <c r="R11" s="1118">
        <f>IF('Schedule C'!AX23&gt;='DVO (F1 - F2)'!J$3,IF('Schedule C'!AX23&lt;='DVO (F1 - F2)'!K$3,IF('Schedule C'!BA23="APPROVED",'Schedule C'!A23,0),0),0)</f>
        <v>0</v>
      </c>
    </row>
    <row r="12" spans="1:18" ht="15">
      <c r="A12" s="1125">
        <f t="shared" si="0"/>
        <v>5</v>
      </c>
      <c r="B12" s="1126">
        <v>1</v>
      </c>
      <c r="C12" s="1126" t="str">
        <f>IFERROR(VLOOKUP($D12,dropdowns!$I$3:$Q$30,6,0), " ")</f>
        <v xml:space="preserve"> </v>
      </c>
      <c r="D12" s="1126" t="str">
        <f>IFERROR(INDEX('Schedule C'!$A$20:$BA$83,MATCH('DVO (F1 - F2)'!$R195,'Schedule C'!$A$20:$A$83,0),13)," ")</f>
        <v xml:space="preserve"> </v>
      </c>
      <c r="E12" s="1126" t="str">
        <f>IFERROR(VLOOKUP($D12,dropdowns!$I$3:$Q$30,7,0), " ")</f>
        <v xml:space="preserve"> </v>
      </c>
      <c r="F12" s="1126" t="str">
        <f>IFERROR(INDEX('Schedule C'!$A$20:$BA$83,MATCH('DVO (F1 - F2)'!$R12,'Schedule C'!$A$20:$A$83,0),2)," ")</f>
        <v xml:space="preserve"> </v>
      </c>
      <c r="G12" s="1127" t="str">
        <f>IFERROR(INDEX('Schedule C'!$A$20:$BA$83,MATCH('DVO (F1 - F2)'!$R12,'Schedule C'!$A$20:$A$83,0),38)," ")</f>
        <v xml:space="preserve"> </v>
      </c>
      <c r="H12" s="1127" t="str">
        <f>IFERROR(INDEX('Schedule C'!$A$20:$BA$83,MATCH('DVO (F1 - F2)'!$R12,'Schedule C'!$A$20:$A$83,0),39)," ")</f>
        <v xml:space="preserve"> </v>
      </c>
      <c r="I12" s="1127" t="str">
        <f>IFERROR(INDEX('Schedule C'!$A$20:$BA$83,MATCH('DVO (F1 - F2)'!$R12,'Schedule C'!$A$20:$A$83,0),41)," ")</f>
        <v xml:space="preserve"> </v>
      </c>
      <c r="J12" s="1127" t="str">
        <f>IFERROR(INDEX('Schedule C'!$A$20:$BA$83,MATCH('DVO (F1 - F2)'!$R12,'Schedule C'!$A$20:$A$83,0),50)," ")</f>
        <v xml:space="preserve"> </v>
      </c>
      <c r="K12" s="1452" t="str">
        <f>IFERROR(INDEX('Schedule C'!$A$20:$BA$83,MATCH('DVO (F1 - F2)'!$R12,'Schedule C'!$A$20:$A$83,0),33)," ")</f>
        <v xml:space="preserve"> </v>
      </c>
      <c r="L12" s="1453" t="str">
        <f>IFERROR(INDEX('Schedule C'!$A$20:$BA$83,MATCH('DVO (F1 - F2)'!$R12,'Schedule C'!$A$20:$A$83,0),52)," ")</f>
        <v xml:space="preserve"> </v>
      </c>
      <c r="M12" s="1454" t="str">
        <f>IFERROR(INDEX('Schedule C'!$A$20:$BA$83,MATCH('DVO (F1 - F2)'!$R12,'Schedule C'!$A$20:$A$83,0),50)-INDEX('Schedule C'!$A$20:$BA$83,MATCH('DVO (F1 - F2)'!$R12,'Schedule C'!$A$20:$A$83,0),39)," ")</f>
        <v xml:space="preserve"> </v>
      </c>
      <c r="N12" s="1129" t="str">
        <f t="shared" si="1"/>
        <v xml:space="preserve"> </v>
      </c>
      <c r="O12" s="1129" t="str">
        <f t="shared" si="2"/>
        <v xml:space="preserve"> </v>
      </c>
      <c r="P12" s="1130" t="str">
        <f t="shared" si="3"/>
        <v xml:space="preserve"> </v>
      </c>
      <c r="Q12" s="1131" t="str">
        <f t="shared" si="4"/>
        <v xml:space="preserve"> </v>
      </c>
      <c r="R12" s="1118">
        <f>IF('Schedule C'!AX24&gt;='DVO (F1 - F2)'!J$3,IF('Schedule C'!AX24&lt;='DVO (F1 - F2)'!K$3,IF('Schedule C'!BA24="APPROVED",'Schedule C'!A24,0),0),0)</f>
        <v>0</v>
      </c>
    </row>
    <row r="13" spans="1:18" ht="15">
      <c r="A13" s="1125">
        <f t="shared" si="0"/>
        <v>6</v>
      </c>
      <c r="B13" s="1126">
        <v>1</v>
      </c>
      <c r="C13" s="1126" t="str">
        <f>IFERROR(VLOOKUP($D13,dropdowns!$I$3:$Q$30,6,0), " ")</f>
        <v xml:space="preserve"> </v>
      </c>
      <c r="D13" s="1126" t="str">
        <f>IFERROR(INDEX('Schedule C'!$A$20:$BA$83,MATCH('DVO (F1 - F2)'!$R196,'Schedule C'!$A$20:$A$83,0),13)," ")</f>
        <v xml:space="preserve"> </v>
      </c>
      <c r="E13" s="1126" t="str">
        <f>IFERROR(VLOOKUP($D13,dropdowns!$I$3:$Q$30,7,0), " ")</f>
        <v xml:space="preserve"> </v>
      </c>
      <c r="F13" s="1126" t="str">
        <f>IFERROR(INDEX('Schedule C'!$A$20:$BA$83,MATCH('DVO (F1 - F2)'!$R13,'Schedule C'!$A$20:$A$83,0),2)," ")</f>
        <v xml:space="preserve"> </v>
      </c>
      <c r="G13" s="1127" t="str">
        <f>IFERROR(INDEX('Schedule C'!$A$20:$BA$83,MATCH('DVO (F1 - F2)'!$R13,'Schedule C'!$A$20:$A$83,0),38)," ")</f>
        <v xml:space="preserve"> </v>
      </c>
      <c r="H13" s="1127" t="str">
        <f>IFERROR(INDEX('Schedule C'!$A$20:$BA$83,MATCH('DVO (F1 - F2)'!$R13,'Schedule C'!$A$20:$A$83,0),39)," ")</f>
        <v xml:space="preserve"> </v>
      </c>
      <c r="I13" s="1127" t="str">
        <f>IFERROR(INDEX('Schedule C'!$A$20:$BA$83,MATCH('DVO (F1 - F2)'!$R13,'Schedule C'!$A$20:$A$83,0),41)," ")</f>
        <v xml:space="preserve"> </v>
      </c>
      <c r="J13" s="1127" t="str">
        <f>IFERROR(INDEX('Schedule C'!$A$20:$BA$83,MATCH('DVO (F1 - F2)'!$R13,'Schedule C'!$A$20:$A$83,0),50)," ")</f>
        <v xml:space="preserve"> </v>
      </c>
      <c r="K13" s="1452" t="str">
        <f>IFERROR(INDEX('Schedule C'!$A$20:$BA$83,MATCH('DVO (F1 - F2)'!$R13,'Schedule C'!$A$20:$A$83,0),33)," ")</f>
        <v xml:space="preserve"> </v>
      </c>
      <c r="L13" s="1453" t="str">
        <f>IFERROR(INDEX('Schedule C'!$A$20:$BA$83,MATCH('DVO (F1 - F2)'!$R13,'Schedule C'!$A$20:$A$83,0),52)," ")</f>
        <v xml:space="preserve"> </v>
      </c>
      <c r="M13" s="1454" t="str">
        <f>IFERROR(INDEX('Schedule C'!$A$20:$BA$83,MATCH('DVO (F1 - F2)'!$R13,'Schedule C'!$A$20:$A$83,0),50)-INDEX('Schedule C'!$A$20:$BA$83,MATCH('DVO (F1 - F2)'!$R13,'Schedule C'!$A$20:$A$83,0),39)," ")</f>
        <v xml:space="preserve"> </v>
      </c>
      <c r="N13" s="1129" t="str">
        <f t="shared" si="1"/>
        <v xml:space="preserve"> </v>
      </c>
      <c r="O13" s="1129" t="str">
        <f t="shared" si="2"/>
        <v xml:space="preserve"> </v>
      </c>
      <c r="P13" s="1130" t="str">
        <f t="shared" si="3"/>
        <v xml:space="preserve"> </v>
      </c>
      <c r="Q13" s="1131" t="str">
        <f t="shared" si="4"/>
        <v xml:space="preserve"> </v>
      </c>
      <c r="R13" s="1118">
        <f>IF('Schedule C'!AX25&gt;='DVO (F1 - F2)'!J$3,IF('Schedule C'!AX25&lt;='DVO (F1 - F2)'!K$3,IF('Schedule C'!BA25="APPROVED",'Schedule C'!A25,0),0),0)</f>
        <v>0</v>
      </c>
    </row>
    <row r="14" spans="1:18" ht="15">
      <c r="A14" s="1125">
        <f t="shared" si="0"/>
        <v>7</v>
      </c>
      <c r="B14" s="1126">
        <v>1</v>
      </c>
      <c r="C14" s="1126" t="str">
        <f>IFERROR(VLOOKUP($D14,dropdowns!$I$3:$Q$30,6,0), " ")</f>
        <v xml:space="preserve"> </v>
      </c>
      <c r="D14" s="1126" t="str">
        <f>IFERROR(INDEX('Schedule C'!$A$20:$BA$83,MATCH('DVO (F1 - F2)'!$R197,'Schedule C'!$A$20:$A$83,0),13)," ")</f>
        <v xml:space="preserve"> </v>
      </c>
      <c r="E14" s="1126" t="str">
        <f>IFERROR(VLOOKUP($D14,dropdowns!$I$3:$Q$30,7,0), " ")</f>
        <v xml:space="preserve"> </v>
      </c>
      <c r="F14" s="1126" t="str">
        <f>IFERROR(INDEX('Schedule C'!$A$20:$BA$83,MATCH('DVO (F1 - F2)'!$R14,'Schedule C'!$A$20:$A$83,0),2)," ")</f>
        <v xml:space="preserve"> </v>
      </c>
      <c r="G14" s="1127" t="str">
        <f>IFERROR(INDEX('Schedule C'!$A$20:$BA$83,MATCH('DVO (F1 - F2)'!$R14,'Schedule C'!$A$20:$A$83,0),38)," ")</f>
        <v xml:space="preserve"> </v>
      </c>
      <c r="H14" s="1127" t="str">
        <f>IFERROR(INDEX('Schedule C'!$A$20:$BA$83,MATCH('DVO (F1 - F2)'!$R14,'Schedule C'!$A$20:$A$83,0),39)," ")</f>
        <v xml:space="preserve"> </v>
      </c>
      <c r="I14" s="1127" t="str">
        <f>IFERROR(INDEX('Schedule C'!$A$20:$BA$83,MATCH('DVO (F1 - F2)'!$R14,'Schedule C'!$A$20:$A$83,0),41)," ")</f>
        <v xml:space="preserve"> </v>
      </c>
      <c r="J14" s="1127" t="str">
        <f>IFERROR(INDEX('Schedule C'!$A$20:$BA$83,MATCH('DVO (F1 - F2)'!$R14,'Schedule C'!$A$20:$A$83,0),50)," ")</f>
        <v xml:space="preserve"> </v>
      </c>
      <c r="K14" s="1452" t="str">
        <f>IFERROR(INDEX('Schedule C'!$A$20:$BA$83,MATCH('DVO (F1 - F2)'!$R14,'Schedule C'!$A$20:$A$83,0),33)," ")</f>
        <v xml:space="preserve"> </v>
      </c>
      <c r="L14" s="1453" t="str">
        <f>IFERROR(INDEX('Schedule C'!$A$20:$BA$83,MATCH('DVO (F1 - F2)'!$R14,'Schedule C'!$A$20:$A$83,0),52)," ")</f>
        <v xml:space="preserve"> </v>
      </c>
      <c r="M14" s="1454" t="str">
        <f>IFERROR(INDEX('Schedule C'!$A$20:$BA$83,MATCH('DVO (F1 - F2)'!$R14,'Schedule C'!$A$20:$A$83,0),50)-INDEX('Schedule C'!$A$20:$BA$83,MATCH('DVO (F1 - F2)'!$R14,'Schedule C'!$A$20:$A$83,0),39)," ")</f>
        <v xml:space="preserve"> </v>
      </c>
      <c r="N14" s="1129" t="str">
        <f t="shared" si="1"/>
        <v xml:space="preserve"> </v>
      </c>
      <c r="O14" s="1129" t="str">
        <f t="shared" si="2"/>
        <v xml:space="preserve"> </v>
      </c>
      <c r="P14" s="1130" t="str">
        <f t="shared" si="3"/>
        <v xml:space="preserve"> </v>
      </c>
      <c r="Q14" s="1131" t="str">
        <f t="shared" si="4"/>
        <v xml:space="preserve"> </v>
      </c>
      <c r="R14" s="1118">
        <f>IF('Schedule C'!AX26&gt;='DVO (F1 - F2)'!J$3,IF('Schedule C'!AX26&lt;='DVO (F1 - F2)'!K$3,IF('Schedule C'!BA26="APPROVED",'Schedule C'!A26,0),0),0)</f>
        <v>0</v>
      </c>
    </row>
    <row r="15" spans="1:18" ht="15">
      <c r="A15" s="1125">
        <f t="shared" si="0"/>
        <v>8</v>
      </c>
      <c r="B15" s="1126">
        <v>1</v>
      </c>
      <c r="C15" s="1126" t="str">
        <f>IFERROR(VLOOKUP($D15,dropdowns!$I$3:$Q$30,6,0), " ")</f>
        <v xml:space="preserve"> </v>
      </c>
      <c r="D15" s="1126" t="str">
        <f>IFERROR(INDEX('Schedule C'!$A$20:$BA$83,MATCH('DVO (F1 - F2)'!$R198,'Schedule C'!$A$20:$A$83,0),13)," ")</f>
        <v xml:space="preserve"> </v>
      </c>
      <c r="E15" s="1126" t="str">
        <f>IFERROR(VLOOKUP($D15,dropdowns!$I$3:$Q$30,7,0), " ")</f>
        <v xml:space="preserve"> </v>
      </c>
      <c r="F15" s="1126" t="str">
        <f>IFERROR(INDEX('Schedule C'!$A$20:$BA$83,MATCH('DVO (F1 - F2)'!$R15,'Schedule C'!$A$20:$A$83,0),2)," ")</f>
        <v xml:space="preserve"> </v>
      </c>
      <c r="G15" s="1127" t="str">
        <f>IFERROR(INDEX('Schedule C'!$A$20:$BA$83,MATCH('DVO (F1 - F2)'!$R15,'Schedule C'!$A$20:$A$83,0),38)," ")</f>
        <v xml:space="preserve"> </v>
      </c>
      <c r="H15" s="1127" t="str">
        <f>IFERROR(INDEX('Schedule C'!$A$20:$BA$83,MATCH('DVO (F1 - F2)'!$R15,'Schedule C'!$A$20:$A$83,0),39)," ")</f>
        <v xml:space="preserve"> </v>
      </c>
      <c r="I15" s="1127" t="str">
        <f>IFERROR(INDEX('Schedule C'!$A$20:$BA$83,MATCH('DVO (F1 - F2)'!$R15,'Schedule C'!$A$20:$A$83,0),41)," ")</f>
        <v xml:space="preserve"> </v>
      </c>
      <c r="J15" s="1127" t="str">
        <f>IFERROR(INDEX('Schedule C'!$A$20:$BA$83,MATCH('DVO (F1 - F2)'!$R15,'Schedule C'!$A$20:$A$83,0),50)," ")</f>
        <v xml:space="preserve"> </v>
      </c>
      <c r="K15" s="1452" t="str">
        <f>IFERROR(INDEX('Schedule C'!$A$20:$BA$83,MATCH('DVO (F1 - F2)'!$R15,'Schedule C'!$A$20:$A$83,0),33)," ")</f>
        <v xml:space="preserve"> </v>
      </c>
      <c r="L15" s="1453" t="str">
        <f>IFERROR(INDEX('Schedule C'!$A$20:$BA$83,MATCH('DVO (F1 - F2)'!$R15,'Schedule C'!$A$20:$A$83,0),52)," ")</f>
        <v xml:space="preserve"> </v>
      </c>
      <c r="M15" s="1454" t="str">
        <f>IFERROR(INDEX('Schedule C'!$A$20:$BA$83,MATCH('DVO (F1 - F2)'!$R15,'Schedule C'!$A$20:$A$83,0),50)-INDEX('Schedule C'!$A$20:$BA$83,MATCH('DVO (F1 - F2)'!$R15,'Schedule C'!$A$20:$A$83,0),39)," ")</f>
        <v xml:space="preserve"> </v>
      </c>
      <c r="N15" s="1129" t="str">
        <f t="shared" si="1"/>
        <v xml:space="preserve"> </v>
      </c>
      <c r="O15" s="1129" t="str">
        <f t="shared" si="2"/>
        <v xml:space="preserve"> </v>
      </c>
      <c r="P15" s="1130" t="str">
        <f t="shared" si="3"/>
        <v xml:space="preserve"> </v>
      </c>
      <c r="Q15" s="1131" t="str">
        <f t="shared" si="4"/>
        <v xml:space="preserve"> </v>
      </c>
      <c r="R15" s="1118">
        <f>IF('Schedule C'!AX27&gt;='DVO (F1 - F2)'!J$3,IF('Schedule C'!AX27&lt;='DVO (F1 - F2)'!K$3,IF('Schedule C'!BA27="APPROVED",'Schedule C'!A27,0),0),0)</f>
        <v>0</v>
      </c>
    </row>
    <row r="16" spans="1:18" ht="15">
      <c r="A16" s="1125">
        <f t="shared" si="0"/>
        <v>9</v>
      </c>
      <c r="B16" s="1126">
        <v>1</v>
      </c>
      <c r="C16" s="1126" t="str">
        <f>IFERROR(VLOOKUP($D16,dropdowns!$I$3:$Q$30,6,0), " ")</f>
        <v xml:space="preserve"> </v>
      </c>
      <c r="D16" s="1126" t="str">
        <f>IFERROR(INDEX('Schedule C'!$A$20:$BA$83,MATCH('DVO (F1 - F2)'!$R199,'Schedule C'!$A$20:$A$83,0),13)," ")</f>
        <v xml:space="preserve"> </v>
      </c>
      <c r="E16" s="1126" t="str">
        <f>IFERROR(VLOOKUP($D16,dropdowns!$I$3:$Q$30,7,0), " ")</f>
        <v xml:space="preserve"> </v>
      </c>
      <c r="F16" s="1126" t="str">
        <f>IFERROR(INDEX('Schedule C'!$A$20:$BA$83,MATCH('DVO (F1 - F2)'!$R16,'Schedule C'!$A$20:$A$83,0),2)," ")</f>
        <v xml:space="preserve"> </v>
      </c>
      <c r="G16" s="1127" t="str">
        <f>IFERROR(INDEX('Schedule C'!$A$20:$BA$83,MATCH('DVO (F1 - F2)'!$R16,'Schedule C'!$A$20:$A$83,0),38)," ")</f>
        <v xml:space="preserve"> </v>
      </c>
      <c r="H16" s="1127" t="str">
        <f>IFERROR(INDEX('Schedule C'!$A$20:$BA$83,MATCH('DVO (F1 - F2)'!$R16,'Schedule C'!$A$20:$A$83,0),39)," ")</f>
        <v xml:space="preserve"> </v>
      </c>
      <c r="I16" s="1127" t="str">
        <f>IFERROR(INDEX('Schedule C'!$A$20:$BA$83,MATCH('DVO (F1 - F2)'!$R16,'Schedule C'!$A$20:$A$83,0),41)," ")</f>
        <v xml:space="preserve"> </v>
      </c>
      <c r="J16" s="1127" t="str">
        <f>IFERROR(INDEX('Schedule C'!$A$20:$BA$83,MATCH('DVO (F1 - F2)'!$R16,'Schedule C'!$A$20:$A$83,0),50)," ")</f>
        <v xml:space="preserve"> </v>
      </c>
      <c r="K16" s="1452" t="str">
        <f>IFERROR(INDEX('Schedule C'!$A$20:$BA$83,MATCH('DVO (F1 - F2)'!$R16,'Schedule C'!$A$20:$A$83,0),33)," ")</f>
        <v xml:space="preserve"> </v>
      </c>
      <c r="L16" s="1453" t="str">
        <f>IFERROR(INDEX('Schedule C'!$A$20:$BA$83,MATCH('DVO (F1 - F2)'!$R16,'Schedule C'!$A$20:$A$83,0),52)," ")</f>
        <v xml:space="preserve"> </v>
      </c>
      <c r="M16" s="1454" t="str">
        <f>IFERROR(INDEX('Schedule C'!$A$20:$BA$83,MATCH('DVO (F1 - F2)'!$R16,'Schedule C'!$A$20:$A$83,0),50)-INDEX('Schedule C'!$A$20:$BA$83,MATCH('DVO (F1 - F2)'!$R16,'Schedule C'!$A$20:$A$83,0),39)," ")</f>
        <v xml:space="preserve"> </v>
      </c>
      <c r="N16" s="1129" t="str">
        <f t="shared" si="1"/>
        <v xml:space="preserve"> </v>
      </c>
      <c r="O16" s="1129" t="str">
        <f t="shared" si="2"/>
        <v xml:space="preserve"> </v>
      </c>
      <c r="P16" s="1130" t="str">
        <f t="shared" si="3"/>
        <v xml:space="preserve"> </v>
      </c>
      <c r="Q16" s="1131" t="str">
        <f t="shared" si="4"/>
        <v xml:space="preserve"> </v>
      </c>
      <c r="R16" s="1118">
        <f>IF('Schedule C'!AX28&gt;='DVO (F1 - F2)'!J$3,IF('Schedule C'!AX28&lt;='DVO (F1 - F2)'!K$3,IF('Schedule C'!BA28="APPROVED",'Schedule C'!A28,0),0),0)</f>
        <v>0</v>
      </c>
    </row>
    <row r="17" spans="1:18" ht="15">
      <c r="A17" s="1125">
        <f t="shared" si="0"/>
        <v>10</v>
      </c>
      <c r="B17" s="1126">
        <v>1</v>
      </c>
      <c r="C17" s="1126" t="str">
        <f>IFERROR(VLOOKUP($D17,dropdowns!$I$3:$Q$30,6,0), " ")</f>
        <v xml:space="preserve"> </v>
      </c>
      <c r="D17" s="1126" t="str">
        <f>IFERROR(INDEX('Schedule C'!$A$20:$BA$83,MATCH('DVO (F1 - F2)'!$R200,'Schedule C'!$A$20:$A$83,0),13)," ")</f>
        <v xml:space="preserve"> </v>
      </c>
      <c r="E17" s="1126" t="str">
        <f>IFERROR(VLOOKUP($D17,dropdowns!$I$3:$Q$30,7,0), " ")</f>
        <v xml:space="preserve"> </v>
      </c>
      <c r="F17" s="1126" t="str">
        <f>IFERROR(INDEX('Schedule C'!$A$20:$BA$83,MATCH('DVO (F1 - F2)'!$R17,'Schedule C'!$A$20:$A$83,0),2)," ")</f>
        <v xml:space="preserve"> </v>
      </c>
      <c r="G17" s="1127" t="str">
        <f>IFERROR(INDEX('Schedule C'!$A$20:$BA$83,MATCH('DVO (F1 - F2)'!$R17,'Schedule C'!$A$20:$A$83,0),38)," ")</f>
        <v xml:space="preserve"> </v>
      </c>
      <c r="H17" s="1127" t="str">
        <f>IFERROR(INDEX('Schedule C'!$A$20:$BA$83,MATCH('DVO (F1 - F2)'!$R17,'Schedule C'!$A$20:$A$83,0),39)," ")</f>
        <v xml:space="preserve"> </v>
      </c>
      <c r="I17" s="1127" t="str">
        <f>IFERROR(INDEX('Schedule C'!$A$20:$BA$83,MATCH('DVO (F1 - F2)'!$R17,'Schedule C'!$A$20:$A$83,0),41)," ")</f>
        <v xml:space="preserve"> </v>
      </c>
      <c r="J17" s="1127" t="str">
        <f>IFERROR(INDEX('Schedule C'!$A$20:$BA$83,MATCH('DVO (F1 - F2)'!$R17,'Schedule C'!$A$20:$A$83,0),50)," ")</f>
        <v xml:space="preserve"> </v>
      </c>
      <c r="K17" s="1452" t="str">
        <f>IFERROR(INDEX('Schedule C'!$A$20:$BA$83,MATCH('DVO (F1 - F2)'!$R17,'Schedule C'!$A$20:$A$83,0),33)," ")</f>
        <v xml:space="preserve"> </v>
      </c>
      <c r="L17" s="1453" t="str">
        <f>IFERROR(INDEX('Schedule C'!$A$20:$BA$83,MATCH('DVO (F1 - F2)'!$R17,'Schedule C'!$A$20:$A$83,0),52)," ")</f>
        <v xml:space="preserve"> </v>
      </c>
      <c r="M17" s="1454" t="str">
        <f>IFERROR(INDEX('Schedule C'!$A$20:$BA$83,MATCH('DVO (F1 - F2)'!$R17,'Schedule C'!$A$20:$A$83,0),50)-INDEX('Schedule C'!$A$20:$BA$83,MATCH('DVO (F1 - F2)'!$R17,'Schedule C'!$A$20:$A$83,0),39)," ")</f>
        <v xml:space="preserve"> </v>
      </c>
      <c r="N17" s="1129" t="str">
        <f t="shared" si="1"/>
        <v xml:space="preserve"> </v>
      </c>
      <c r="O17" s="1129" t="str">
        <f t="shared" si="2"/>
        <v xml:space="preserve"> </v>
      </c>
      <c r="P17" s="1130" t="str">
        <f t="shared" si="3"/>
        <v xml:space="preserve"> </v>
      </c>
      <c r="Q17" s="1131" t="str">
        <f t="shared" si="4"/>
        <v xml:space="preserve"> </v>
      </c>
      <c r="R17" s="1118">
        <f>IF('Schedule C'!AX29&gt;='DVO (F1 - F2)'!J$3,IF('Schedule C'!AX29&lt;='DVO (F1 - F2)'!K$3,IF('Schedule C'!BA29="APPROVED",'Schedule C'!A29,0),0),0)</f>
        <v>0</v>
      </c>
    </row>
    <row r="18" spans="1:18" ht="15">
      <c r="A18" s="1125">
        <f t="shared" si="0"/>
        <v>11</v>
      </c>
      <c r="B18" s="1126">
        <v>1</v>
      </c>
      <c r="C18" s="1126" t="str">
        <f>IFERROR(VLOOKUP($D18,dropdowns!$I$3:$Q$30,6,0), " ")</f>
        <v xml:space="preserve"> </v>
      </c>
      <c r="D18" s="1126" t="str">
        <f>IFERROR(INDEX('Schedule C'!$A$20:$BA$83,MATCH('DVO (F1 - F2)'!$R201,'Schedule C'!$A$20:$A$83,0),13)," ")</f>
        <v xml:space="preserve"> </v>
      </c>
      <c r="E18" s="1126" t="str">
        <f>IFERROR(VLOOKUP($D18,dropdowns!$I$3:$Q$30,7,0), " ")</f>
        <v xml:space="preserve"> </v>
      </c>
      <c r="F18" s="1126" t="str">
        <f>IFERROR(INDEX('Schedule C'!$A$20:$BA$83,MATCH('DVO (F1 - F2)'!$R18,'Schedule C'!$A$20:$A$83,0),2)," ")</f>
        <v xml:space="preserve"> </v>
      </c>
      <c r="G18" s="1127" t="str">
        <f>IFERROR(INDEX('Schedule C'!$A$20:$BA$83,MATCH('DVO (F1 - F2)'!$R18,'Schedule C'!$A$20:$A$83,0),38)," ")</f>
        <v xml:space="preserve"> </v>
      </c>
      <c r="H18" s="1127" t="str">
        <f>IFERROR(INDEX('Schedule C'!$A$20:$BA$83,MATCH('DVO (F1 - F2)'!$R18,'Schedule C'!$A$20:$A$83,0),39)," ")</f>
        <v xml:space="preserve"> </v>
      </c>
      <c r="I18" s="1127" t="str">
        <f>IFERROR(INDEX('Schedule C'!$A$20:$BA$83,MATCH('DVO (F1 - F2)'!$R18,'Schedule C'!$A$20:$A$83,0),41)," ")</f>
        <v xml:space="preserve"> </v>
      </c>
      <c r="J18" s="1127" t="str">
        <f>IFERROR(INDEX('Schedule C'!$A$20:$BA$83,MATCH('DVO (F1 - F2)'!$R18,'Schedule C'!$A$20:$A$83,0),50)," ")</f>
        <v xml:space="preserve"> </v>
      </c>
      <c r="K18" s="1452" t="str">
        <f>IFERROR(INDEX('Schedule C'!$A$20:$BA$83,MATCH('DVO (F1 - F2)'!$R18,'Schedule C'!$A$20:$A$83,0),33)," ")</f>
        <v xml:space="preserve"> </v>
      </c>
      <c r="L18" s="1453" t="str">
        <f>IFERROR(INDEX('Schedule C'!$A$20:$BA$83,MATCH('DVO (F1 - F2)'!$R18,'Schedule C'!$A$20:$A$83,0),52)," ")</f>
        <v xml:space="preserve"> </v>
      </c>
      <c r="M18" s="1454" t="str">
        <f>IFERROR(INDEX('Schedule C'!$A$20:$BA$83,MATCH('DVO (F1 - F2)'!$R18,'Schedule C'!$A$20:$A$83,0),50)-INDEX('Schedule C'!$A$20:$BA$83,MATCH('DVO (F1 - F2)'!$R18,'Schedule C'!$A$20:$A$83,0),39)," ")</f>
        <v xml:space="preserve"> </v>
      </c>
      <c r="N18" s="1129" t="str">
        <f>IF($R18=0," ","NA")</f>
        <v xml:space="preserve"> </v>
      </c>
      <c r="O18" s="1129" t="str">
        <f t="shared" si="2"/>
        <v xml:space="preserve"> </v>
      </c>
      <c r="P18" s="1130" t="str">
        <f t="shared" si="3"/>
        <v xml:space="preserve"> </v>
      </c>
      <c r="Q18" s="1131" t="str">
        <f t="shared" si="4"/>
        <v xml:space="preserve"> </v>
      </c>
      <c r="R18" s="1118">
        <f>IF('Schedule C'!AX30&gt;='DVO (F1 - F2)'!J$3,IF('Schedule C'!AX30&lt;='DVO (F1 - F2)'!K$3,IF('Schedule C'!BA30="APPROVED",'Schedule C'!A30,0),0),0)</f>
        <v>0</v>
      </c>
    </row>
    <row r="19" spans="1:18" ht="15">
      <c r="A19" s="1125">
        <f t="shared" si="0"/>
        <v>12</v>
      </c>
      <c r="B19" s="1126">
        <v>1</v>
      </c>
      <c r="C19" s="1126" t="str">
        <f>IFERROR(VLOOKUP($D19,dropdowns!$I$3:$Q$30,6,0), " ")</f>
        <v xml:space="preserve"> </v>
      </c>
      <c r="D19" s="1126" t="str">
        <f>IFERROR(INDEX('Schedule C'!$A$20:$BA$83,MATCH('DVO (F1 - F2)'!$R202,'Schedule C'!$A$20:$A$83,0),13)," ")</f>
        <v xml:space="preserve"> </v>
      </c>
      <c r="E19" s="1126" t="str">
        <f>IFERROR(VLOOKUP($D19,dropdowns!$I$3:$Q$30,7,0), " ")</f>
        <v xml:space="preserve"> </v>
      </c>
      <c r="F19" s="1126" t="str">
        <f>IFERROR(INDEX('Schedule C'!$A$20:$BA$83,MATCH('DVO (F1 - F2)'!$R19,'Schedule C'!$A$20:$A$83,0),2)," ")</f>
        <v xml:space="preserve"> </v>
      </c>
      <c r="G19" s="1127" t="str">
        <f>IFERROR(INDEX('Schedule C'!$A$20:$BA$83,MATCH('DVO (F1 - F2)'!$R19,'Schedule C'!$A$20:$A$83,0),38)," ")</f>
        <v xml:space="preserve"> </v>
      </c>
      <c r="H19" s="1127" t="str">
        <f>IFERROR(INDEX('Schedule C'!$A$20:$BA$83,MATCH('DVO (F1 - F2)'!$R19,'Schedule C'!$A$20:$A$83,0),39)," ")</f>
        <v xml:space="preserve"> </v>
      </c>
      <c r="I19" s="1127" t="str">
        <f>IFERROR(INDEX('Schedule C'!$A$20:$BA$83,MATCH('DVO (F1 - F2)'!$R19,'Schedule C'!$A$20:$A$83,0),41)," ")</f>
        <v xml:space="preserve"> </v>
      </c>
      <c r="J19" s="1127" t="str">
        <f>IFERROR(INDEX('Schedule C'!$A$20:$BA$83,MATCH('DVO (F1 - F2)'!$R19,'Schedule C'!$A$20:$A$83,0),50)," ")</f>
        <v xml:space="preserve"> </v>
      </c>
      <c r="K19" s="1452" t="str">
        <f>IFERROR(INDEX('Schedule C'!$A$20:$BA$83,MATCH('DVO (F1 - F2)'!$R19,'Schedule C'!$A$20:$A$83,0),33)," ")</f>
        <v xml:space="preserve"> </v>
      </c>
      <c r="L19" s="1453" t="str">
        <f>IFERROR(INDEX('Schedule C'!$A$20:$BA$83,MATCH('DVO (F1 - F2)'!$R19,'Schedule C'!$A$20:$A$83,0),52)," ")</f>
        <v xml:space="preserve"> </v>
      </c>
      <c r="M19" s="1454" t="str">
        <f>IFERROR(INDEX('Schedule C'!$A$20:$BA$83,MATCH('DVO (F1 - F2)'!$R19,'Schedule C'!$A$20:$A$83,0),50)-INDEX('Schedule C'!$A$20:$BA$83,MATCH('DVO (F1 - F2)'!$R19,'Schedule C'!$A$20:$A$83,0),39)," ")</f>
        <v xml:space="preserve"> </v>
      </c>
      <c r="N19" s="1129" t="str">
        <f>IF($R19=0," ","NA")</f>
        <v xml:space="preserve"> </v>
      </c>
      <c r="O19" s="1129" t="str">
        <f t="shared" si="2"/>
        <v xml:space="preserve"> </v>
      </c>
      <c r="P19" s="1130" t="str">
        <f t="shared" si="3"/>
        <v xml:space="preserve"> </v>
      </c>
      <c r="Q19" s="1131" t="str">
        <f t="shared" si="4"/>
        <v xml:space="preserve"> </v>
      </c>
      <c r="R19" s="1118">
        <f>IF('Schedule C'!AX31&gt;='DVO (F1 - F2)'!J$3,IF('Schedule C'!AX31&lt;='DVO (F1 - F2)'!K$3,IF('Schedule C'!BA31="APPROVED",'Schedule C'!A31,0),0),0)</f>
        <v>0</v>
      </c>
    </row>
    <row r="20" spans="1:18" ht="15">
      <c r="A20" s="1125">
        <f t="shared" si="0"/>
        <v>13</v>
      </c>
      <c r="B20" s="1126">
        <v>1</v>
      </c>
      <c r="C20" s="1126" t="str">
        <f>IFERROR(VLOOKUP($D20,dropdowns!$I$3:$Q$30,6,0), " ")</f>
        <v xml:space="preserve"> </v>
      </c>
      <c r="D20" s="1126" t="str">
        <f>IFERROR(INDEX('Schedule C'!$A$20:$BA$83,MATCH('DVO (F1 - F2)'!$R203,'Schedule C'!$A$20:$A$83,0),13)," ")</f>
        <v xml:space="preserve"> </v>
      </c>
      <c r="E20" s="1126" t="str">
        <f>IFERROR(VLOOKUP($D20,dropdowns!$I$3:$Q$30,7,0), " ")</f>
        <v xml:space="preserve"> </v>
      </c>
      <c r="F20" s="1126" t="str">
        <f>IFERROR(INDEX('Schedule C'!$A$20:$BA$83,MATCH('DVO (F1 - F2)'!$R20,'Schedule C'!$A$20:$A$83,0),2)," ")</f>
        <v xml:space="preserve"> </v>
      </c>
      <c r="G20" s="1127" t="str">
        <f>IFERROR(INDEX('Schedule C'!$A$20:$BA$83,MATCH('DVO (F1 - F2)'!$R20,'Schedule C'!$A$20:$A$83,0),38)," ")</f>
        <v xml:space="preserve"> </v>
      </c>
      <c r="H20" s="1127" t="str">
        <f>IFERROR(INDEX('Schedule C'!$A$20:$BA$83,MATCH('DVO (F1 - F2)'!$R20,'Schedule C'!$A$20:$A$83,0),39)," ")</f>
        <v xml:space="preserve"> </v>
      </c>
      <c r="I20" s="1127" t="str">
        <f>IFERROR(INDEX('Schedule C'!$A$20:$BA$83,MATCH('DVO (F1 - F2)'!$R20,'Schedule C'!$A$20:$A$83,0),41)," ")</f>
        <v xml:space="preserve"> </v>
      </c>
      <c r="J20" s="1127" t="str">
        <f>IFERROR(INDEX('Schedule C'!$A$20:$BA$83,MATCH('DVO (F1 - F2)'!$R20,'Schedule C'!$A$20:$A$83,0),50)," ")</f>
        <v xml:space="preserve"> </v>
      </c>
      <c r="K20" s="1452" t="str">
        <f>IFERROR(INDEX('Schedule C'!$A$20:$BA$83,MATCH('DVO (F1 - F2)'!$R20,'Schedule C'!$A$20:$A$83,0),33)," ")</f>
        <v xml:space="preserve"> </v>
      </c>
      <c r="L20" s="1453" t="str">
        <f>IFERROR(INDEX('Schedule C'!$A$20:$BA$83,MATCH('DVO (F1 - F2)'!$R20,'Schedule C'!$A$20:$A$83,0),52)," ")</f>
        <v xml:space="preserve"> </v>
      </c>
      <c r="M20" s="1454" t="str">
        <f>IFERROR(INDEX('Schedule C'!$A$20:$BA$83,MATCH('DVO (F1 - F2)'!$R20,'Schedule C'!$A$20:$A$83,0),50)-INDEX('Schedule C'!$A$20:$BA$83,MATCH('DVO (F1 - F2)'!$R20,'Schedule C'!$A$20:$A$83,0),39)," ")</f>
        <v xml:space="preserve"> </v>
      </c>
      <c r="N20" s="1129" t="str">
        <f t="shared" si="1"/>
        <v xml:space="preserve"> </v>
      </c>
      <c r="O20" s="1129" t="str">
        <f t="shared" si="2"/>
        <v xml:space="preserve"> </v>
      </c>
      <c r="P20" s="1130" t="str">
        <f t="shared" si="3"/>
        <v xml:space="preserve"> </v>
      </c>
      <c r="Q20" s="1131" t="str">
        <f t="shared" si="4"/>
        <v xml:space="preserve"> </v>
      </c>
      <c r="R20" s="1118">
        <f>IF('Schedule C'!AX32&gt;='DVO (F1 - F2)'!J$3,IF('Schedule C'!AX32&lt;='DVO (F1 - F2)'!K$3,IF('Schedule C'!BA32="APPROVED",'Schedule C'!A32,0),0),0)</f>
        <v>0</v>
      </c>
    </row>
    <row r="21" spans="1:18" ht="15">
      <c r="A21" s="1125">
        <f t="shared" si="0"/>
        <v>14</v>
      </c>
      <c r="B21" s="1126">
        <v>1</v>
      </c>
      <c r="C21" s="1126" t="str">
        <f>IFERROR(VLOOKUP($D21,dropdowns!$I$3:$Q$30,6,0), " ")</f>
        <v xml:space="preserve"> </v>
      </c>
      <c r="D21" s="1126" t="str">
        <f>IFERROR(INDEX('Schedule C'!$A$20:$BA$83,MATCH('DVO (F1 - F2)'!$R204,'Schedule C'!$A$20:$A$83,0),13)," ")</f>
        <v xml:space="preserve"> </v>
      </c>
      <c r="E21" s="1126" t="str">
        <f>IFERROR(VLOOKUP($D21,dropdowns!$I$3:$Q$30,7,0), " ")</f>
        <v xml:space="preserve"> </v>
      </c>
      <c r="F21" s="1126" t="str">
        <f>IFERROR(INDEX('Schedule C'!$A$20:$BA$83,MATCH('DVO (F1 - F2)'!$R21,'Schedule C'!$A$20:$A$83,0),2)," ")</f>
        <v xml:space="preserve"> </v>
      </c>
      <c r="G21" s="1127" t="str">
        <f>IFERROR(INDEX('Schedule C'!$A$20:$BA$83,MATCH('DVO (F1 - F2)'!$R21,'Schedule C'!$A$20:$A$83,0),38)," ")</f>
        <v xml:space="preserve"> </v>
      </c>
      <c r="H21" s="1127" t="str">
        <f>IFERROR(INDEX('Schedule C'!$A$20:$BA$83,MATCH('DVO (F1 - F2)'!$R21,'Schedule C'!$A$20:$A$83,0),39)," ")</f>
        <v xml:space="preserve"> </v>
      </c>
      <c r="I21" s="1127" t="str">
        <f>IFERROR(INDEX('Schedule C'!$A$20:$BA$83,MATCH('DVO (F1 - F2)'!$R21,'Schedule C'!$A$20:$A$83,0),41)," ")</f>
        <v xml:space="preserve"> </v>
      </c>
      <c r="J21" s="1127" t="str">
        <f>IFERROR(INDEX('Schedule C'!$A$20:$BA$83,MATCH('DVO (F1 - F2)'!$R21,'Schedule C'!$A$20:$A$83,0),50)," ")</f>
        <v xml:space="preserve"> </v>
      </c>
      <c r="K21" s="1452" t="str">
        <f>IFERROR(INDEX('Schedule C'!$A$20:$BA$83,MATCH('DVO (F1 - F2)'!$R21,'Schedule C'!$A$20:$A$83,0),33)," ")</f>
        <v xml:space="preserve"> </v>
      </c>
      <c r="L21" s="1453" t="str">
        <f>IFERROR(INDEX('Schedule C'!$A$20:$BA$83,MATCH('DVO (F1 - F2)'!$R21,'Schedule C'!$A$20:$A$83,0),52)," ")</f>
        <v xml:space="preserve"> </v>
      </c>
      <c r="M21" s="1454" t="str">
        <f>IFERROR(INDEX('Schedule C'!$A$20:$BA$83,MATCH('DVO (F1 - F2)'!$R21,'Schedule C'!$A$20:$A$83,0),50)-INDEX('Schedule C'!$A$20:$BA$83,MATCH('DVO (F1 - F2)'!$R21,'Schedule C'!$A$20:$A$83,0),39)," ")</f>
        <v xml:space="preserve"> </v>
      </c>
      <c r="N21" s="1129" t="str">
        <f t="shared" si="1"/>
        <v xml:space="preserve"> </v>
      </c>
      <c r="O21" s="1129" t="str">
        <f t="shared" si="2"/>
        <v xml:space="preserve"> </v>
      </c>
      <c r="P21" s="1130" t="str">
        <f t="shared" si="3"/>
        <v xml:space="preserve"> </v>
      </c>
      <c r="Q21" s="1131" t="str">
        <f t="shared" si="4"/>
        <v xml:space="preserve"> </v>
      </c>
      <c r="R21" s="1118">
        <f>IF('Schedule C'!AX33&gt;='DVO (F1 - F2)'!J$3,IF('Schedule C'!AX33&lt;='DVO (F1 - F2)'!K$3,IF('Schedule C'!BA33="APPROVED",'Schedule C'!A33,0),0),0)</f>
        <v>0</v>
      </c>
    </row>
    <row r="22" spans="1:18" ht="15">
      <c r="A22" s="1125">
        <f t="shared" si="0"/>
        <v>15</v>
      </c>
      <c r="B22" s="1126">
        <v>1</v>
      </c>
      <c r="C22" s="1126" t="str">
        <f>IFERROR(VLOOKUP($D22,dropdowns!$I$3:$Q$30,6,0), " ")</f>
        <v xml:space="preserve"> </v>
      </c>
      <c r="D22" s="1126" t="str">
        <f>IFERROR(INDEX('Schedule C'!$A$20:$BA$83,MATCH('DVO (F1 - F2)'!$R205,'Schedule C'!$A$20:$A$83,0),13)," ")</f>
        <v xml:space="preserve"> </v>
      </c>
      <c r="E22" s="1126" t="str">
        <f>IFERROR(VLOOKUP($D22,dropdowns!$I$3:$Q$30,7,0), " ")</f>
        <v xml:space="preserve"> </v>
      </c>
      <c r="F22" s="1126" t="str">
        <f>IFERROR(INDEX('Schedule C'!$A$20:$BA$83,MATCH('DVO (F1 - F2)'!$R22,'Schedule C'!$A$20:$A$83,0),2)," ")</f>
        <v xml:space="preserve"> </v>
      </c>
      <c r="G22" s="1127" t="str">
        <f>IFERROR(INDEX('Schedule C'!$A$20:$BA$83,MATCH('DVO (F1 - F2)'!$R22,'Schedule C'!$A$20:$A$83,0),38)," ")</f>
        <v xml:space="preserve"> </v>
      </c>
      <c r="H22" s="1127" t="str">
        <f>IFERROR(INDEX('Schedule C'!$A$20:$BA$83,MATCH('DVO (F1 - F2)'!$R22,'Schedule C'!$A$20:$A$83,0),39)," ")</f>
        <v xml:space="preserve"> </v>
      </c>
      <c r="I22" s="1127" t="str">
        <f>IFERROR(INDEX('Schedule C'!$A$20:$BA$83,MATCH('DVO (F1 - F2)'!$R22,'Schedule C'!$A$20:$A$83,0),41)," ")</f>
        <v xml:space="preserve"> </v>
      </c>
      <c r="J22" s="1127" t="str">
        <f>IFERROR(INDEX('Schedule C'!$A$20:$BA$83,MATCH('DVO (F1 - F2)'!$R22,'Schedule C'!$A$20:$A$83,0),50)," ")</f>
        <v xml:space="preserve"> </v>
      </c>
      <c r="K22" s="1452" t="str">
        <f>IFERROR(INDEX('Schedule C'!$A$20:$BA$83,MATCH('DVO (F1 - F2)'!$R22,'Schedule C'!$A$20:$A$83,0),33)," ")</f>
        <v xml:space="preserve"> </v>
      </c>
      <c r="L22" s="1453" t="str">
        <f>IFERROR(INDEX('Schedule C'!$A$20:$BA$83,MATCH('DVO (F1 - F2)'!$R22,'Schedule C'!$A$20:$A$83,0),52)," ")</f>
        <v xml:space="preserve"> </v>
      </c>
      <c r="M22" s="1454" t="str">
        <f>IFERROR(INDEX('Schedule C'!$A$20:$BA$83,MATCH('DVO (F1 - F2)'!$R22,'Schedule C'!$A$20:$A$83,0),50)-INDEX('Schedule C'!$A$20:$BA$83,MATCH('DVO (F1 - F2)'!$R22,'Schedule C'!$A$20:$A$83,0),39)," ")</f>
        <v xml:space="preserve"> </v>
      </c>
      <c r="N22" s="1129" t="e">
        <f t="shared" si="1"/>
        <v>#REF!</v>
      </c>
      <c r="O22" s="1129" t="e">
        <f t="shared" si="2"/>
        <v>#REF!</v>
      </c>
      <c r="P22" s="1130" t="e">
        <f t="shared" si="3"/>
        <v>#REF!</v>
      </c>
      <c r="Q22" s="1131" t="e">
        <f t="shared" si="4"/>
        <v>#REF!</v>
      </c>
      <c r="R22" s="1118" t="e">
        <f>IF('Schedule C'!#REF!&gt;='DVO (F1 - F2)'!J$3,IF('Schedule C'!#REF!&lt;='DVO (F1 - F2)'!K$3,IF('Schedule C'!#REF!="APPROVED",'Schedule C'!#REF!,0),0),0)</f>
        <v>#REF!</v>
      </c>
    </row>
    <row r="23" spans="1:18" ht="15">
      <c r="A23" s="1125">
        <f t="shared" si="0"/>
        <v>16</v>
      </c>
      <c r="B23" s="1126">
        <v>1</v>
      </c>
      <c r="C23" s="1126" t="str">
        <f>IFERROR(VLOOKUP($D23,dropdowns!$I$3:$Q$30,6,0), " ")</f>
        <v xml:space="preserve"> </v>
      </c>
      <c r="D23" s="1126" t="str">
        <f>IFERROR(INDEX('Schedule C'!$A$20:$BA$83,MATCH('DVO (F1 - F2)'!$R206,'Schedule C'!$A$20:$A$83,0),13)," ")</f>
        <v xml:space="preserve"> </v>
      </c>
      <c r="E23" s="1126" t="str">
        <f>IFERROR(VLOOKUP($D23,dropdowns!$I$3:$Q$30,7,0), " ")</f>
        <v xml:space="preserve"> </v>
      </c>
      <c r="F23" s="1126" t="str">
        <f>IFERROR(INDEX('Schedule C'!$A$20:$BA$83,MATCH('DVO (F1 - F2)'!$R23,'Schedule C'!$A$20:$A$83,0),2)," ")</f>
        <v xml:space="preserve"> </v>
      </c>
      <c r="G23" s="1127" t="str">
        <f>IFERROR(INDEX('Schedule C'!$A$20:$BA$83,MATCH('DVO (F1 - F2)'!$R23,'Schedule C'!$A$20:$A$83,0),38)," ")</f>
        <v xml:space="preserve"> </v>
      </c>
      <c r="H23" s="1127" t="str">
        <f>IFERROR(INDEX('Schedule C'!$A$20:$BA$83,MATCH('DVO (F1 - F2)'!$R23,'Schedule C'!$A$20:$A$83,0),39)," ")</f>
        <v xml:space="preserve"> </v>
      </c>
      <c r="I23" s="1127" t="str">
        <f>IFERROR(INDEX('Schedule C'!$A$20:$BA$83,MATCH('DVO (F1 - F2)'!$R23,'Schedule C'!$A$20:$A$83,0),41)," ")</f>
        <v xml:space="preserve"> </v>
      </c>
      <c r="J23" s="1127" t="str">
        <f>IFERROR(INDEX('Schedule C'!$A$20:$BA$83,MATCH('DVO (F1 - F2)'!$R23,'Schedule C'!$A$20:$A$83,0),50)," ")</f>
        <v xml:space="preserve"> </v>
      </c>
      <c r="K23" s="1452" t="str">
        <f>IFERROR(INDEX('Schedule C'!$A$20:$BA$83,MATCH('DVO (F1 - F2)'!$R23,'Schedule C'!$A$20:$A$83,0),33)," ")</f>
        <v xml:space="preserve"> </v>
      </c>
      <c r="L23" s="1453" t="str">
        <f>IFERROR(INDEX('Schedule C'!$A$20:$BA$83,MATCH('DVO (F1 - F2)'!$R23,'Schedule C'!$A$20:$A$83,0),52)," ")</f>
        <v xml:space="preserve"> </v>
      </c>
      <c r="M23" s="1454" t="str">
        <f>IFERROR(INDEX('Schedule C'!$A$20:$BA$83,MATCH('DVO (F1 - F2)'!$R23,'Schedule C'!$A$20:$A$83,0),50)-INDEX('Schedule C'!$A$20:$BA$83,MATCH('DVO (F1 - F2)'!$R23,'Schedule C'!$A$20:$A$83,0),39)," ")</f>
        <v xml:space="preserve"> </v>
      </c>
      <c r="N23" s="1129" t="e">
        <f t="shared" si="1"/>
        <v>#REF!</v>
      </c>
      <c r="O23" s="1129" t="e">
        <f t="shared" si="2"/>
        <v>#REF!</v>
      </c>
      <c r="P23" s="1130" t="e">
        <f t="shared" si="3"/>
        <v>#REF!</v>
      </c>
      <c r="Q23" s="1131" t="e">
        <f t="shared" si="4"/>
        <v>#REF!</v>
      </c>
      <c r="R23" s="1118" t="e">
        <f>IF('Schedule C'!#REF!&gt;='DVO (F1 - F2)'!J$3,IF('Schedule C'!#REF!&lt;='DVO (F1 - F2)'!K$3,IF('Schedule C'!#REF!="APPROVED",'Schedule C'!#REF!,0),0),0)</f>
        <v>#REF!</v>
      </c>
    </row>
    <row r="24" spans="1:18" ht="15">
      <c r="A24" s="1125">
        <f t="shared" si="0"/>
        <v>17</v>
      </c>
      <c r="B24" s="1126">
        <v>1</v>
      </c>
      <c r="C24" s="1126" t="str">
        <f>IFERROR(VLOOKUP($D24,dropdowns!$I$3:$Q$30,6,0), " ")</f>
        <v xml:space="preserve"> </v>
      </c>
      <c r="D24" s="1126" t="str">
        <f>IFERROR(INDEX('Schedule C'!$A$20:$BA$83,MATCH('DVO (F1 - F2)'!$R207,'Schedule C'!$A$20:$A$83,0),13)," ")</f>
        <v xml:space="preserve"> </v>
      </c>
      <c r="E24" s="1126" t="str">
        <f>IFERROR(VLOOKUP($D24,dropdowns!$I$3:$Q$30,7,0), " ")</f>
        <v xml:space="preserve"> </v>
      </c>
      <c r="F24" s="1126" t="str">
        <f>IFERROR(INDEX('Schedule C'!$A$20:$BA$83,MATCH('DVO (F1 - F2)'!$R24,'Schedule C'!$A$20:$A$83,0),2)," ")</f>
        <v xml:space="preserve"> </v>
      </c>
      <c r="G24" s="1127" t="str">
        <f>IFERROR(INDEX('Schedule C'!$A$20:$BA$83,MATCH('DVO (F1 - F2)'!$R24,'Schedule C'!$A$20:$A$83,0),38)," ")</f>
        <v xml:space="preserve"> </v>
      </c>
      <c r="H24" s="1127" t="str">
        <f>IFERROR(INDEX('Schedule C'!$A$20:$BA$83,MATCH('DVO (F1 - F2)'!$R24,'Schedule C'!$A$20:$A$83,0),39)," ")</f>
        <v xml:space="preserve"> </v>
      </c>
      <c r="I24" s="1127" t="str">
        <f>IFERROR(INDEX('Schedule C'!$A$20:$BA$83,MATCH('DVO (F1 - F2)'!$R24,'Schedule C'!$A$20:$A$83,0),41)," ")</f>
        <v xml:space="preserve"> </v>
      </c>
      <c r="J24" s="1127" t="str">
        <f>IFERROR(INDEX('Schedule C'!$A$20:$BA$83,MATCH('DVO (F1 - F2)'!$R24,'Schedule C'!$A$20:$A$83,0),50)," ")</f>
        <v xml:space="preserve"> </v>
      </c>
      <c r="K24" s="1452" t="str">
        <f>IFERROR(INDEX('Schedule C'!$A$20:$BA$83,MATCH('DVO (F1 - F2)'!$R24,'Schedule C'!$A$20:$A$83,0),33)," ")</f>
        <v xml:space="preserve"> </v>
      </c>
      <c r="L24" s="1453" t="str">
        <f>IFERROR(INDEX('Schedule C'!$A$20:$BA$83,MATCH('DVO (F1 - F2)'!$R24,'Schedule C'!$A$20:$A$83,0),52)," ")</f>
        <v xml:space="preserve"> </v>
      </c>
      <c r="M24" s="1454" t="str">
        <f>IFERROR(INDEX('Schedule C'!$A$20:$BA$83,MATCH('DVO (F1 - F2)'!$R24,'Schedule C'!$A$20:$A$83,0),50)-INDEX('Schedule C'!$A$20:$BA$83,MATCH('DVO (F1 - F2)'!$R24,'Schedule C'!$A$20:$A$83,0),39)," ")</f>
        <v xml:space="preserve"> </v>
      </c>
      <c r="N24" s="1129" t="e">
        <f t="shared" si="1"/>
        <v>#REF!</v>
      </c>
      <c r="O24" s="1129" t="e">
        <f t="shared" si="2"/>
        <v>#REF!</v>
      </c>
      <c r="P24" s="1130" t="e">
        <f t="shared" si="3"/>
        <v>#REF!</v>
      </c>
      <c r="Q24" s="1131" t="e">
        <f t="shared" si="4"/>
        <v>#REF!</v>
      </c>
      <c r="R24" s="1118" t="e">
        <f>IF('Schedule C'!#REF!&gt;='DVO (F1 - F2)'!J$3,IF('Schedule C'!#REF!&lt;='DVO (F1 - F2)'!K$3,IF('Schedule C'!#REF!="APPROVED",'Schedule C'!#REF!,0),0),0)</f>
        <v>#REF!</v>
      </c>
    </row>
    <row r="25" spans="1:18" ht="15">
      <c r="A25" s="1125">
        <f t="shared" si="0"/>
        <v>18</v>
      </c>
      <c r="B25" s="1126">
        <v>1</v>
      </c>
      <c r="C25" s="1126" t="str">
        <f>IFERROR(VLOOKUP($D25,dropdowns!$I$3:$Q$30,6,0), " ")</f>
        <v xml:space="preserve"> </v>
      </c>
      <c r="D25" s="1126" t="str">
        <f>IFERROR(INDEX('Schedule C'!$A$20:$BA$83,MATCH('DVO (F1 - F2)'!$R208,'Schedule C'!$A$20:$A$83,0),13)," ")</f>
        <v xml:space="preserve"> </v>
      </c>
      <c r="E25" s="1126" t="str">
        <f>IFERROR(VLOOKUP($D25,dropdowns!$I$3:$Q$30,7,0), " ")</f>
        <v xml:space="preserve"> </v>
      </c>
      <c r="F25" s="1126" t="str">
        <f>IFERROR(INDEX('Schedule C'!$A$20:$BA$83,MATCH('DVO (F1 - F2)'!$R25,'Schedule C'!$A$20:$A$83,0),2)," ")</f>
        <v xml:space="preserve"> </v>
      </c>
      <c r="G25" s="1127" t="str">
        <f>IFERROR(INDEX('Schedule C'!$A$20:$BA$83,MATCH('DVO (F1 - F2)'!$R25,'Schedule C'!$A$20:$A$83,0),38)," ")</f>
        <v xml:space="preserve"> </v>
      </c>
      <c r="H25" s="1127" t="str">
        <f>IFERROR(INDEX('Schedule C'!$A$20:$BA$83,MATCH('DVO (F1 - F2)'!$R25,'Schedule C'!$A$20:$A$83,0),39)," ")</f>
        <v xml:space="preserve"> </v>
      </c>
      <c r="I25" s="1127" t="str">
        <f>IFERROR(INDEX('Schedule C'!$A$20:$BA$83,MATCH('DVO (F1 - F2)'!$R25,'Schedule C'!$A$20:$A$83,0),41)," ")</f>
        <v xml:space="preserve"> </v>
      </c>
      <c r="J25" s="1127" t="str">
        <f>IFERROR(INDEX('Schedule C'!$A$20:$BA$83,MATCH('DVO (F1 - F2)'!$R25,'Schedule C'!$A$20:$A$83,0),50)," ")</f>
        <v xml:space="preserve"> </v>
      </c>
      <c r="K25" s="1452" t="str">
        <f>IFERROR(INDEX('Schedule C'!$A$20:$BA$83,MATCH('DVO (F1 - F2)'!$R25,'Schedule C'!$A$20:$A$83,0),33)," ")</f>
        <v xml:space="preserve"> </v>
      </c>
      <c r="L25" s="1453" t="str">
        <f>IFERROR(INDEX('Schedule C'!$A$20:$BA$83,MATCH('DVO (F1 - F2)'!$R25,'Schedule C'!$A$20:$A$83,0),52)," ")</f>
        <v xml:space="preserve"> </v>
      </c>
      <c r="M25" s="1454" t="str">
        <f>IFERROR(INDEX('Schedule C'!$A$20:$BA$83,MATCH('DVO (F1 - F2)'!$R25,'Schedule C'!$A$20:$A$83,0),50)-INDEX('Schedule C'!$A$20:$BA$83,MATCH('DVO (F1 - F2)'!$R25,'Schedule C'!$A$20:$A$83,0),39)," ")</f>
        <v xml:space="preserve"> </v>
      </c>
      <c r="N25" s="1129" t="e">
        <f t="shared" si="1"/>
        <v>#REF!</v>
      </c>
      <c r="O25" s="1129" t="e">
        <f t="shared" si="2"/>
        <v>#REF!</v>
      </c>
      <c r="P25" s="1130" t="e">
        <f t="shared" si="3"/>
        <v>#REF!</v>
      </c>
      <c r="Q25" s="1131" t="e">
        <f t="shared" si="4"/>
        <v>#REF!</v>
      </c>
      <c r="R25" s="1118" t="e">
        <f>IF('Schedule C'!#REF!&gt;='DVO (F1 - F2)'!J$3,IF('Schedule C'!#REF!&lt;='DVO (F1 - F2)'!K$3,IF('Schedule C'!#REF!="APPROVED",'Schedule C'!#REF!,0),0),0)</f>
        <v>#REF!</v>
      </c>
    </row>
    <row r="26" spans="1:18" ht="15">
      <c r="A26" s="1125">
        <f t="shared" si="0"/>
        <v>19</v>
      </c>
      <c r="B26" s="1126">
        <v>1</v>
      </c>
      <c r="C26" s="1126" t="str">
        <f>IFERROR(VLOOKUP($D26,dropdowns!$I$3:$Q$30,6,0), " ")</f>
        <v xml:space="preserve"> </v>
      </c>
      <c r="D26" s="1126" t="str">
        <f>IFERROR(INDEX('Schedule C'!$A$20:$BA$83,MATCH('DVO (F1 - F2)'!$R209,'Schedule C'!$A$20:$A$83,0),13)," ")</f>
        <v xml:space="preserve"> </v>
      </c>
      <c r="E26" s="1126" t="str">
        <f>IFERROR(VLOOKUP($D26,dropdowns!$I$3:$Q$30,7,0), " ")</f>
        <v xml:space="preserve"> </v>
      </c>
      <c r="F26" s="1126" t="str">
        <f>IFERROR(INDEX('Schedule C'!$A$20:$BA$83,MATCH('DVO (F1 - F2)'!$R26,'Schedule C'!$A$20:$A$83,0),2)," ")</f>
        <v xml:space="preserve"> </v>
      </c>
      <c r="G26" s="1127" t="str">
        <f>IFERROR(INDEX('Schedule C'!$A$20:$BA$83,MATCH('DVO (F1 - F2)'!$R26,'Schedule C'!$A$20:$A$83,0),38)," ")</f>
        <v xml:space="preserve"> </v>
      </c>
      <c r="H26" s="1127" t="str">
        <f>IFERROR(INDEX('Schedule C'!$A$20:$BA$83,MATCH('DVO (F1 - F2)'!$R26,'Schedule C'!$A$20:$A$83,0),39)," ")</f>
        <v xml:space="preserve"> </v>
      </c>
      <c r="I26" s="1127" t="str">
        <f>IFERROR(INDEX('Schedule C'!$A$20:$BA$83,MATCH('DVO (F1 - F2)'!$R26,'Schedule C'!$A$20:$A$83,0),41)," ")</f>
        <v xml:space="preserve"> </v>
      </c>
      <c r="J26" s="1127" t="str">
        <f>IFERROR(INDEX('Schedule C'!$A$20:$BA$83,MATCH('DVO (F1 - F2)'!$R26,'Schedule C'!$A$20:$A$83,0),50)," ")</f>
        <v xml:space="preserve"> </v>
      </c>
      <c r="K26" s="1452" t="str">
        <f>IFERROR(INDEX('Schedule C'!$A$20:$BA$83,MATCH('DVO (F1 - F2)'!$R26,'Schedule C'!$A$20:$A$83,0),33)," ")</f>
        <v xml:space="preserve"> </v>
      </c>
      <c r="L26" s="1453" t="str">
        <f>IFERROR(INDEX('Schedule C'!$A$20:$BA$83,MATCH('DVO (F1 - F2)'!$R26,'Schedule C'!$A$20:$A$83,0),52)," ")</f>
        <v xml:space="preserve"> </v>
      </c>
      <c r="M26" s="1454" t="str">
        <f>IFERROR(INDEX('Schedule C'!$A$20:$BA$83,MATCH('DVO (F1 - F2)'!$R26,'Schedule C'!$A$20:$A$83,0),50)-INDEX('Schedule C'!$A$20:$BA$83,MATCH('DVO (F1 - F2)'!$R26,'Schedule C'!$A$20:$A$83,0),39)," ")</f>
        <v xml:space="preserve"> </v>
      </c>
      <c r="N26" s="1129" t="e">
        <f t="shared" si="1"/>
        <v>#REF!</v>
      </c>
      <c r="O26" s="1129" t="e">
        <f t="shared" si="2"/>
        <v>#REF!</v>
      </c>
      <c r="P26" s="1130" t="e">
        <f t="shared" si="3"/>
        <v>#REF!</v>
      </c>
      <c r="Q26" s="1131" t="e">
        <f t="shared" si="4"/>
        <v>#REF!</v>
      </c>
      <c r="R26" s="1118" t="e">
        <f>IF('Schedule C'!#REF!&gt;='DVO (F1 - F2)'!J$3,IF('Schedule C'!#REF!&lt;='DVO (F1 - F2)'!K$3,IF('Schedule C'!#REF!="APPROVED",'Schedule C'!#REF!,0),0),0)</f>
        <v>#REF!</v>
      </c>
    </row>
    <row r="27" spans="1:18" ht="15">
      <c r="A27" s="1125">
        <f t="shared" si="0"/>
        <v>20</v>
      </c>
      <c r="B27" s="1126">
        <v>1</v>
      </c>
      <c r="C27" s="1126" t="str">
        <f>IFERROR(VLOOKUP($D27,dropdowns!$I$3:$Q$30,6,0), " ")</f>
        <v xml:space="preserve"> </v>
      </c>
      <c r="D27" s="1126" t="str">
        <f>IFERROR(INDEX('Schedule C'!$A$20:$BA$83,MATCH('DVO (F1 - F2)'!$R210,'Schedule C'!$A$20:$A$83,0),13)," ")</f>
        <v xml:space="preserve"> </v>
      </c>
      <c r="E27" s="1126" t="str">
        <f>IFERROR(VLOOKUP($D27,dropdowns!$I$3:$Q$30,7,0), " ")</f>
        <v xml:space="preserve"> </v>
      </c>
      <c r="F27" s="1126" t="str">
        <f>IFERROR(INDEX('Schedule C'!$A$20:$BA$83,MATCH('DVO (F1 - F2)'!$R27,'Schedule C'!$A$20:$A$83,0),2)," ")</f>
        <v xml:space="preserve"> </v>
      </c>
      <c r="G27" s="1127" t="str">
        <f>IFERROR(INDEX('Schedule C'!$A$20:$BA$83,MATCH('DVO (F1 - F2)'!$R27,'Schedule C'!$A$20:$A$83,0),38)," ")</f>
        <v xml:space="preserve"> </v>
      </c>
      <c r="H27" s="1127" t="str">
        <f>IFERROR(INDEX('Schedule C'!$A$20:$BA$83,MATCH('DVO (F1 - F2)'!$R27,'Schedule C'!$A$20:$A$83,0),39)," ")</f>
        <v xml:space="preserve"> </v>
      </c>
      <c r="I27" s="1127" t="str">
        <f>IFERROR(INDEX('Schedule C'!$A$20:$BA$83,MATCH('DVO (F1 - F2)'!$R27,'Schedule C'!$A$20:$A$83,0),41)," ")</f>
        <v xml:space="preserve"> </v>
      </c>
      <c r="J27" s="1127" t="str">
        <f>IFERROR(INDEX('Schedule C'!$A$20:$BA$83,MATCH('DVO (F1 - F2)'!$R27,'Schedule C'!$A$20:$A$83,0),50)," ")</f>
        <v xml:space="preserve"> </v>
      </c>
      <c r="K27" s="1452" t="str">
        <f>IFERROR(INDEX('Schedule C'!$A$20:$BA$83,MATCH('DVO (F1 - F2)'!$R27,'Schedule C'!$A$20:$A$83,0),33)," ")</f>
        <v xml:space="preserve"> </v>
      </c>
      <c r="L27" s="1453" t="str">
        <f>IFERROR(INDEX('Schedule C'!$A$20:$BA$83,MATCH('DVO (F1 - F2)'!$R27,'Schedule C'!$A$20:$A$83,0),52)," ")</f>
        <v xml:space="preserve"> </v>
      </c>
      <c r="M27" s="1454" t="str">
        <f>IFERROR(INDEX('Schedule C'!$A$20:$BA$83,MATCH('DVO (F1 - F2)'!$R27,'Schedule C'!$A$20:$A$83,0),50)-INDEX('Schedule C'!$A$20:$BA$83,MATCH('DVO (F1 - F2)'!$R27,'Schedule C'!$A$20:$A$83,0),39)," ")</f>
        <v xml:space="preserve"> </v>
      </c>
      <c r="N27" s="1129" t="e">
        <f t="shared" si="1"/>
        <v>#REF!</v>
      </c>
      <c r="O27" s="1129" t="e">
        <f t="shared" si="2"/>
        <v>#REF!</v>
      </c>
      <c r="P27" s="1130" t="e">
        <f t="shared" si="3"/>
        <v>#REF!</v>
      </c>
      <c r="Q27" s="1131" t="e">
        <f t="shared" si="4"/>
        <v>#REF!</v>
      </c>
      <c r="R27" s="1118" t="e">
        <f>IF('Schedule C'!#REF!&gt;='DVO (F1 - F2)'!J$3,IF('Schedule C'!#REF!&lt;='DVO (F1 - F2)'!K$3,IF('Schedule C'!#REF!="APPROVED",'Schedule C'!#REF!,0),0),0)</f>
        <v>#REF!</v>
      </c>
    </row>
    <row r="28" spans="1:18" ht="15">
      <c r="A28" s="1125">
        <f t="shared" si="0"/>
        <v>21</v>
      </c>
      <c r="B28" s="1126">
        <v>1</v>
      </c>
      <c r="C28" s="1126" t="str">
        <f>IFERROR(VLOOKUP($D28,dropdowns!$I$3:$Q$30,6,0), " ")</f>
        <v xml:space="preserve"> </v>
      </c>
      <c r="D28" s="1126" t="str">
        <f>IFERROR(INDEX('Schedule C'!$A$20:$BA$83,MATCH('DVO (F1 - F2)'!$R211,'Schedule C'!$A$20:$A$83,0),13)," ")</f>
        <v xml:space="preserve"> </v>
      </c>
      <c r="E28" s="1126" t="str">
        <f>IFERROR(VLOOKUP($D28,dropdowns!$I$3:$Q$30,7,0), " ")</f>
        <v xml:space="preserve"> </v>
      </c>
      <c r="F28" s="1126" t="str">
        <f>IFERROR(INDEX('Schedule C'!$A$20:$BA$83,MATCH('DVO (F1 - F2)'!$R28,'Schedule C'!$A$20:$A$83,0),2)," ")</f>
        <v xml:space="preserve"> </v>
      </c>
      <c r="G28" s="1127" t="str">
        <f>IFERROR(INDEX('Schedule C'!$A$20:$BA$83,MATCH('DVO (F1 - F2)'!$R28,'Schedule C'!$A$20:$A$83,0),38)," ")</f>
        <v xml:space="preserve"> </v>
      </c>
      <c r="H28" s="1127" t="str">
        <f>IFERROR(INDEX('Schedule C'!$A$20:$BA$83,MATCH('DVO (F1 - F2)'!$R28,'Schedule C'!$A$20:$A$83,0),39)," ")</f>
        <v xml:space="preserve"> </v>
      </c>
      <c r="I28" s="1127" t="str">
        <f>IFERROR(INDEX('Schedule C'!$A$20:$BA$83,MATCH('DVO (F1 - F2)'!$R28,'Schedule C'!$A$20:$A$83,0),41)," ")</f>
        <v xml:space="preserve"> </v>
      </c>
      <c r="J28" s="1127" t="str">
        <f>IFERROR(INDEX('Schedule C'!$A$20:$BA$83,MATCH('DVO (F1 - F2)'!$R28,'Schedule C'!$A$20:$A$83,0),50)," ")</f>
        <v xml:space="preserve"> </v>
      </c>
      <c r="K28" s="1452" t="str">
        <f>IFERROR(INDEX('Schedule C'!$A$20:$BA$83,MATCH('DVO (F1 - F2)'!$R28,'Schedule C'!$A$20:$A$83,0),33)," ")</f>
        <v xml:space="preserve"> </v>
      </c>
      <c r="L28" s="1453" t="str">
        <f>IFERROR(INDEX('Schedule C'!$A$20:$BA$83,MATCH('DVO (F1 - F2)'!$R28,'Schedule C'!$A$20:$A$83,0),52)," ")</f>
        <v xml:space="preserve"> </v>
      </c>
      <c r="M28" s="1454" t="str">
        <f>IFERROR(INDEX('Schedule C'!$A$20:$BA$83,MATCH('DVO (F1 - F2)'!$R28,'Schedule C'!$A$20:$A$83,0),50)-INDEX('Schedule C'!$A$20:$BA$83,MATCH('DVO (F1 - F2)'!$R28,'Schedule C'!$A$20:$A$83,0),39)," ")</f>
        <v xml:space="preserve"> </v>
      </c>
      <c r="N28" s="1129" t="e">
        <f t="shared" si="1"/>
        <v>#REF!</v>
      </c>
      <c r="O28" s="1129" t="e">
        <f t="shared" si="2"/>
        <v>#REF!</v>
      </c>
      <c r="P28" s="1130" t="e">
        <f t="shared" si="3"/>
        <v>#REF!</v>
      </c>
      <c r="Q28" s="1131" t="e">
        <f t="shared" si="4"/>
        <v>#REF!</v>
      </c>
      <c r="R28" s="1118" t="e">
        <f>IF('Schedule C'!#REF!&gt;='DVO (F1 - F2)'!J$3,IF('Schedule C'!#REF!&lt;='DVO (F1 - F2)'!K$3,IF('Schedule C'!#REF!="APPROVED",'Schedule C'!#REF!,0),0),0)</f>
        <v>#REF!</v>
      </c>
    </row>
    <row r="29" spans="1:18" ht="15">
      <c r="A29" s="1125">
        <f t="shared" si="0"/>
        <v>22</v>
      </c>
      <c r="B29" s="1126">
        <v>1</v>
      </c>
      <c r="C29" s="1126" t="str">
        <f>IFERROR(VLOOKUP($D29,dropdowns!$I$3:$Q$30,6,0), " ")</f>
        <v xml:space="preserve"> </v>
      </c>
      <c r="D29" s="1126" t="str">
        <f>IFERROR(INDEX('Schedule C'!$A$20:$BA$83,MATCH('DVO (F1 - F2)'!$R212,'Schedule C'!$A$20:$A$83,0),13)," ")</f>
        <v xml:space="preserve"> </v>
      </c>
      <c r="E29" s="1126" t="str">
        <f>IFERROR(VLOOKUP($D29,dropdowns!$I$3:$Q$30,7,0), " ")</f>
        <v xml:space="preserve"> </v>
      </c>
      <c r="F29" s="1126" t="str">
        <f>IFERROR(INDEX('Schedule C'!$A$20:$BA$83,MATCH('DVO (F1 - F2)'!$R29,'Schedule C'!$A$20:$A$83,0),2)," ")</f>
        <v xml:space="preserve"> </v>
      </c>
      <c r="G29" s="1127" t="str">
        <f>IFERROR(INDEX('Schedule C'!$A$20:$BA$83,MATCH('DVO (F1 - F2)'!$R29,'Schedule C'!$A$20:$A$83,0),38)," ")</f>
        <v xml:space="preserve"> </v>
      </c>
      <c r="H29" s="1127" t="str">
        <f>IFERROR(INDEX('Schedule C'!$A$20:$BA$83,MATCH('DVO (F1 - F2)'!$R29,'Schedule C'!$A$20:$A$83,0),39)," ")</f>
        <v xml:space="preserve"> </v>
      </c>
      <c r="I29" s="1127" t="str">
        <f>IFERROR(INDEX('Schedule C'!$A$20:$BA$83,MATCH('DVO (F1 - F2)'!$R29,'Schedule C'!$A$20:$A$83,0),41)," ")</f>
        <v xml:space="preserve"> </v>
      </c>
      <c r="J29" s="1127" t="str">
        <f>IFERROR(INDEX('Schedule C'!$A$20:$BA$83,MATCH('DVO (F1 - F2)'!$R29,'Schedule C'!$A$20:$A$83,0),50)," ")</f>
        <v xml:space="preserve"> </v>
      </c>
      <c r="K29" s="1452" t="str">
        <f>IFERROR(INDEX('Schedule C'!$A$20:$BA$83,MATCH('DVO (F1 - F2)'!$R29,'Schedule C'!$A$20:$A$83,0),33)," ")</f>
        <v xml:space="preserve"> </v>
      </c>
      <c r="L29" s="1453" t="str">
        <f>IFERROR(INDEX('Schedule C'!$A$20:$BA$83,MATCH('DVO (F1 - F2)'!$R29,'Schedule C'!$A$20:$A$83,0),52)," ")</f>
        <v xml:space="preserve"> </v>
      </c>
      <c r="M29" s="1454" t="str">
        <f>IFERROR(INDEX('Schedule C'!$A$20:$BA$83,MATCH('DVO (F1 - F2)'!$R29,'Schedule C'!$A$20:$A$83,0),50)-INDEX('Schedule C'!$A$20:$BA$83,MATCH('DVO (F1 - F2)'!$R29,'Schedule C'!$A$20:$A$83,0),39)," ")</f>
        <v xml:space="preserve"> </v>
      </c>
      <c r="N29" s="1129" t="e">
        <f t="shared" si="1"/>
        <v>#REF!</v>
      </c>
      <c r="O29" s="1129" t="e">
        <f t="shared" si="2"/>
        <v>#REF!</v>
      </c>
      <c r="P29" s="1130" t="e">
        <f t="shared" si="3"/>
        <v>#REF!</v>
      </c>
      <c r="Q29" s="1131" t="e">
        <f t="shared" si="4"/>
        <v>#REF!</v>
      </c>
      <c r="R29" s="1118" t="e">
        <f>IF('Schedule C'!#REF!&gt;='DVO (F1 - F2)'!J$3,IF('Schedule C'!#REF!&lt;='DVO (F1 - F2)'!K$3,IF('Schedule C'!#REF!="APPROVED",'Schedule C'!#REF!,0),0),0)</f>
        <v>#REF!</v>
      </c>
    </row>
    <row r="30" spans="1:18" ht="15">
      <c r="A30" s="1125">
        <f t="shared" si="0"/>
        <v>23</v>
      </c>
      <c r="B30" s="1126">
        <v>1</v>
      </c>
      <c r="C30" s="1126" t="str">
        <f>IFERROR(VLOOKUP($D30,dropdowns!$I$3:$Q$30,6,0), " ")</f>
        <v xml:space="preserve"> </v>
      </c>
      <c r="D30" s="1126" t="str">
        <f>IFERROR(INDEX('Schedule C'!$A$20:$BA$83,MATCH('DVO (F1 - F2)'!$R213,'Schedule C'!$A$20:$A$83,0),13)," ")</f>
        <v xml:space="preserve"> </v>
      </c>
      <c r="E30" s="1126" t="str">
        <f>IFERROR(VLOOKUP($D30,dropdowns!$I$3:$Q$30,7,0), " ")</f>
        <v xml:space="preserve"> </v>
      </c>
      <c r="F30" s="1126" t="str">
        <f>IFERROR(INDEX('Schedule C'!$A$20:$BA$83,MATCH('DVO (F1 - F2)'!$R30,'Schedule C'!$A$20:$A$83,0),2)," ")</f>
        <v xml:space="preserve"> </v>
      </c>
      <c r="G30" s="1127" t="str">
        <f>IFERROR(INDEX('Schedule C'!$A$20:$BA$83,MATCH('DVO (F1 - F2)'!$R30,'Schedule C'!$A$20:$A$83,0),38)," ")</f>
        <v xml:space="preserve"> </v>
      </c>
      <c r="H30" s="1127" t="str">
        <f>IFERROR(INDEX('Schedule C'!$A$20:$BA$83,MATCH('DVO (F1 - F2)'!$R30,'Schedule C'!$A$20:$A$83,0),39)," ")</f>
        <v xml:space="preserve"> </v>
      </c>
      <c r="I30" s="1127" t="str">
        <f>IFERROR(INDEX('Schedule C'!$A$20:$BA$83,MATCH('DVO (F1 - F2)'!$R30,'Schedule C'!$A$20:$A$83,0),41)," ")</f>
        <v xml:space="preserve"> </v>
      </c>
      <c r="J30" s="1127" t="str">
        <f>IFERROR(INDEX('Schedule C'!$A$20:$BA$83,MATCH('DVO (F1 - F2)'!$R30,'Schedule C'!$A$20:$A$83,0),50)," ")</f>
        <v xml:space="preserve"> </v>
      </c>
      <c r="K30" s="1452" t="str">
        <f>IFERROR(INDEX('Schedule C'!$A$20:$BA$83,MATCH('DVO (F1 - F2)'!$R30,'Schedule C'!$A$20:$A$83,0),33)," ")</f>
        <v xml:space="preserve"> </v>
      </c>
      <c r="L30" s="1453" t="str">
        <f>IFERROR(INDEX('Schedule C'!$A$20:$BA$83,MATCH('DVO (F1 - F2)'!$R30,'Schedule C'!$A$20:$A$83,0),52)," ")</f>
        <v xml:space="preserve"> </v>
      </c>
      <c r="M30" s="1454" t="str">
        <f>IFERROR(INDEX('Schedule C'!$A$20:$BA$83,MATCH('DVO (F1 - F2)'!$R30,'Schedule C'!$A$20:$A$83,0),50)-INDEX('Schedule C'!$A$20:$BA$83,MATCH('DVO (F1 - F2)'!$R30,'Schedule C'!$A$20:$A$83,0),39)," ")</f>
        <v xml:space="preserve"> </v>
      </c>
      <c r="N30" s="1129" t="str">
        <f t="shared" si="1"/>
        <v xml:space="preserve"> </v>
      </c>
      <c r="O30" s="1129" t="str">
        <f t="shared" si="2"/>
        <v xml:space="preserve"> </v>
      </c>
      <c r="P30" s="1130" t="str">
        <f t="shared" si="3"/>
        <v xml:space="preserve"> </v>
      </c>
      <c r="Q30" s="1131" t="str">
        <f t="shared" si="4"/>
        <v xml:space="preserve"> </v>
      </c>
      <c r="R30" s="1118">
        <f>IF('Schedule C'!AX34&gt;='DVO (F1 - F2)'!J$3,IF('Schedule C'!AX34&lt;='DVO (F1 - F2)'!K$3,IF('Schedule C'!BA34="APPROVED",'Schedule C'!A34,0),0),0)</f>
        <v>0</v>
      </c>
    </row>
    <row r="31" spans="1:18" ht="15">
      <c r="A31" s="1125">
        <f t="shared" si="0"/>
        <v>24</v>
      </c>
      <c r="B31" s="1126">
        <v>1</v>
      </c>
      <c r="C31" s="1126" t="str">
        <f>IFERROR(VLOOKUP($D31,dropdowns!$I$3:$Q$30,6,0), " ")</f>
        <v xml:space="preserve"> </v>
      </c>
      <c r="D31" s="1126" t="str">
        <f>IFERROR(INDEX('Schedule C'!$A$20:$BA$83,MATCH('DVO (F1 - F2)'!$R214,'Schedule C'!$A$20:$A$83,0),13)," ")</f>
        <v xml:space="preserve"> </v>
      </c>
      <c r="E31" s="1126" t="str">
        <f>IFERROR(VLOOKUP($D31,dropdowns!$I$3:$Q$30,7,0), " ")</f>
        <v xml:space="preserve"> </v>
      </c>
      <c r="F31" s="1126" t="str">
        <f>IFERROR(INDEX('Schedule C'!$A$20:$BA$83,MATCH('DVO (F1 - F2)'!$R31,'Schedule C'!$A$20:$A$83,0),2)," ")</f>
        <v xml:space="preserve"> </v>
      </c>
      <c r="G31" s="1127" t="str">
        <f>IFERROR(INDEX('Schedule C'!$A$20:$BA$83,MATCH('DVO (F1 - F2)'!$R31,'Schedule C'!$A$20:$A$83,0),38)," ")</f>
        <v xml:space="preserve"> </v>
      </c>
      <c r="H31" s="1127" t="str">
        <f>IFERROR(INDEX('Schedule C'!$A$20:$BA$83,MATCH('DVO (F1 - F2)'!$R31,'Schedule C'!$A$20:$A$83,0),39)," ")</f>
        <v xml:space="preserve"> </v>
      </c>
      <c r="I31" s="1127" t="str">
        <f>IFERROR(INDEX('Schedule C'!$A$20:$BA$83,MATCH('DVO (F1 - F2)'!$R31,'Schedule C'!$A$20:$A$83,0),41)," ")</f>
        <v xml:space="preserve"> </v>
      </c>
      <c r="J31" s="1127" t="str">
        <f>IFERROR(INDEX('Schedule C'!$A$20:$BA$83,MATCH('DVO (F1 - F2)'!$R31,'Schedule C'!$A$20:$A$83,0),50)," ")</f>
        <v xml:space="preserve"> </v>
      </c>
      <c r="K31" s="1452" t="str">
        <f>IFERROR(INDEX('Schedule C'!$A$20:$BA$83,MATCH('DVO (F1 - F2)'!$R31,'Schedule C'!$A$20:$A$83,0),33)," ")</f>
        <v xml:space="preserve"> </v>
      </c>
      <c r="L31" s="1453" t="str">
        <f>IFERROR(INDEX('Schedule C'!$A$20:$BA$83,MATCH('DVO (F1 - F2)'!$R31,'Schedule C'!$A$20:$A$83,0),52)," ")</f>
        <v xml:space="preserve"> </v>
      </c>
      <c r="M31" s="1454" t="str">
        <f>IFERROR(INDEX('Schedule C'!$A$20:$BA$83,MATCH('DVO (F1 - F2)'!$R31,'Schedule C'!$A$20:$A$83,0),50)-INDEX('Schedule C'!$A$20:$BA$83,MATCH('DVO (F1 - F2)'!$R31,'Schedule C'!$A$20:$A$83,0),39)," ")</f>
        <v xml:space="preserve"> </v>
      </c>
      <c r="N31" s="1129" t="str">
        <f t="shared" si="1"/>
        <v xml:space="preserve"> </v>
      </c>
      <c r="O31" s="1129" t="str">
        <f t="shared" si="2"/>
        <v xml:space="preserve"> </v>
      </c>
      <c r="P31" s="1130" t="str">
        <f t="shared" si="3"/>
        <v xml:space="preserve"> </v>
      </c>
      <c r="Q31" s="1131" t="str">
        <f t="shared" si="4"/>
        <v xml:space="preserve"> </v>
      </c>
      <c r="R31" s="1118">
        <f>IF('Schedule C'!AX35&gt;='DVO (F1 - F2)'!J$3,IF('Schedule C'!AX35&lt;='DVO (F1 - F2)'!K$3,IF('Schedule C'!BA35="APPROVED",'Schedule C'!A35,0),0),0)</f>
        <v>0</v>
      </c>
    </row>
    <row r="32" spans="1:18" ht="15">
      <c r="A32" s="1125">
        <f t="shared" si="0"/>
        <v>25</v>
      </c>
      <c r="B32" s="1126">
        <v>1</v>
      </c>
      <c r="C32" s="1126" t="str">
        <f>IFERROR(VLOOKUP($D32,dropdowns!$I$3:$Q$30,6,0), " ")</f>
        <v xml:space="preserve"> </v>
      </c>
      <c r="D32" s="1126" t="str">
        <f>IFERROR(INDEX('Schedule C'!$A$20:$BA$83,MATCH('DVO (F1 - F2)'!$R215,'Schedule C'!$A$20:$A$83,0),13)," ")</f>
        <v xml:space="preserve"> </v>
      </c>
      <c r="E32" s="1126" t="str">
        <f>IFERROR(VLOOKUP($D32,dropdowns!$I$3:$Q$30,7,0), " ")</f>
        <v xml:space="preserve"> </v>
      </c>
      <c r="F32" s="1126" t="str">
        <f>IFERROR(INDEX('Schedule C'!$A$20:$BA$83,MATCH('DVO (F1 - F2)'!$R32,'Schedule C'!$A$20:$A$83,0),2)," ")</f>
        <v xml:space="preserve"> </v>
      </c>
      <c r="G32" s="1127" t="str">
        <f>IFERROR(INDEX('Schedule C'!$A$20:$BA$83,MATCH('DVO (F1 - F2)'!$R32,'Schedule C'!$A$20:$A$83,0),38)," ")</f>
        <v xml:space="preserve"> </v>
      </c>
      <c r="H32" s="1127" t="str">
        <f>IFERROR(INDEX('Schedule C'!$A$20:$BA$83,MATCH('DVO (F1 - F2)'!$R32,'Schedule C'!$A$20:$A$83,0),39)," ")</f>
        <v xml:space="preserve"> </v>
      </c>
      <c r="I32" s="1127" t="str">
        <f>IFERROR(INDEX('Schedule C'!$A$20:$BA$83,MATCH('DVO (F1 - F2)'!$R32,'Schedule C'!$A$20:$A$83,0),41)," ")</f>
        <v xml:space="preserve"> </v>
      </c>
      <c r="J32" s="1127" t="str">
        <f>IFERROR(INDEX('Schedule C'!$A$20:$BA$83,MATCH('DVO (F1 - F2)'!$R32,'Schedule C'!$A$20:$A$83,0),50)," ")</f>
        <v xml:space="preserve"> </v>
      </c>
      <c r="K32" s="1452" t="str">
        <f>IFERROR(INDEX('Schedule C'!$A$20:$BA$83,MATCH('DVO (F1 - F2)'!$R32,'Schedule C'!$A$20:$A$83,0),33)," ")</f>
        <v xml:space="preserve"> </v>
      </c>
      <c r="L32" s="1453" t="str">
        <f>IFERROR(INDEX('Schedule C'!$A$20:$BA$83,MATCH('DVO (F1 - F2)'!$R32,'Schedule C'!$A$20:$A$83,0),52)," ")</f>
        <v xml:space="preserve"> </v>
      </c>
      <c r="M32" s="1454" t="str">
        <f>IFERROR(INDEX('Schedule C'!$A$20:$BA$83,MATCH('DVO (F1 - F2)'!$R32,'Schedule C'!$A$20:$A$83,0),50)-INDEX('Schedule C'!$A$20:$BA$83,MATCH('DVO (F1 - F2)'!$R32,'Schedule C'!$A$20:$A$83,0),39)," ")</f>
        <v xml:space="preserve"> </v>
      </c>
      <c r="N32" s="1129" t="str">
        <f t="shared" si="1"/>
        <v xml:space="preserve"> </v>
      </c>
      <c r="O32" s="1129" t="str">
        <f t="shared" si="2"/>
        <v xml:space="preserve"> </v>
      </c>
      <c r="P32" s="1130" t="str">
        <f t="shared" si="3"/>
        <v xml:space="preserve"> </v>
      </c>
      <c r="Q32" s="1131" t="str">
        <f t="shared" si="4"/>
        <v xml:space="preserve"> </v>
      </c>
      <c r="R32" s="1118">
        <f>IF('Schedule C'!AX36&gt;='DVO (F1 - F2)'!J$3,IF('Schedule C'!AX36&lt;='DVO (F1 - F2)'!K$3,IF('Schedule C'!BA36="APPROVED",'Schedule C'!A36,0),0),0)</f>
        <v>0</v>
      </c>
    </row>
    <row r="33" spans="1:18" ht="15">
      <c r="A33" s="1125">
        <f t="shared" si="0"/>
        <v>26</v>
      </c>
      <c r="B33" s="1126">
        <v>1</v>
      </c>
      <c r="C33" s="1126" t="str">
        <f>IFERROR(VLOOKUP($D33,dropdowns!$I$3:$Q$30,6,0), " ")</f>
        <v xml:space="preserve"> </v>
      </c>
      <c r="D33" s="1126" t="str">
        <f>IFERROR(INDEX('Schedule C'!$A$20:$BA$83,MATCH('DVO (F1 - F2)'!$R216,'Schedule C'!$A$20:$A$83,0),13)," ")</f>
        <v xml:space="preserve"> </v>
      </c>
      <c r="E33" s="1126" t="str">
        <f>IFERROR(VLOOKUP($D33,dropdowns!$I$3:$Q$30,7,0), " ")</f>
        <v xml:space="preserve"> </v>
      </c>
      <c r="F33" s="1126" t="str">
        <f>IFERROR(INDEX('Schedule C'!$A$20:$BA$83,MATCH('DVO (F1 - F2)'!$R33,'Schedule C'!$A$20:$A$83,0),2)," ")</f>
        <v xml:space="preserve"> </v>
      </c>
      <c r="G33" s="1127" t="str">
        <f>IFERROR(INDEX('Schedule C'!$A$20:$BA$83,MATCH('DVO (F1 - F2)'!$R33,'Schedule C'!$A$20:$A$83,0),38)," ")</f>
        <v xml:space="preserve"> </v>
      </c>
      <c r="H33" s="1127" t="str">
        <f>IFERROR(INDEX('Schedule C'!$A$20:$BA$83,MATCH('DVO (F1 - F2)'!$R33,'Schedule C'!$A$20:$A$83,0),39)," ")</f>
        <v xml:space="preserve"> </v>
      </c>
      <c r="I33" s="1127" t="str">
        <f>IFERROR(INDEX('Schedule C'!$A$20:$BA$83,MATCH('DVO (F1 - F2)'!$R33,'Schedule C'!$A$20:$A$83,0),41)," ")</f>
        <v xml:space="preserve"> </v>
      </c>
      <c r="J33" s="1127" t="str">
        <f>IFERROR(INDEX('Schedule C'!$A$20:$BA$83,MATCH('DVO (F1 - F2)'!$R33,'Schedule C'!$A$20:$A$83,0),50)," ")</f>
        <v xml:space="preserve"> </v>
      </c>
      <c r="K33" s="1452" t="str">
        <f>IFERROR(INDEX('Schedule C'!$A$20:$BA$83,MATCH('DVO (F1 - F2)'!$R33,'Schedule C'!$A$20:$A$83,0),33)," ")</f>
        <v xml:space="preserve"> </v>
      </c>
      <c r="L33" s="1453" t="str">
        <f>IFERROR(INDEX('Schedule C'!$A$20:$BA$83,MATCH('DVO (F1 - F2)'!$R33,'Schedule C'!$A$20:$A$83,0),52)," ")</f>
        <v xml:space="preserve"> </v>
      </c>
      <c r="M33" s="1454" t="str">
        <f>IFERROR(INDEX('Schedule C'!$A$20:$BA$83,MATCH('DVO (F1 - F2)'!$R33,'Schedule C'!$A$20:$A$83,0),50)-INDEX('Schedule C'!$A$20:$BA$83,MATCH('DVO (F1 - F2)'!$R33,'Schedule C'!$A$20:$A$83,0),39)," ")</f>
        <v xml:space="preserve"> </v>
      </c>
      <c r="N33" s="1129" t="str">
        <f t="shared" si="1"/>
        <v xml:space="preserve"> </v>
      </c>
      <c r="O33" s="1129" t="str">
        <f t="shared" si="2"/>
        <v xml:space="preserve"> </v>
      </c>
      <c r="P33" s="1130" t="str">
        <f t="shared" si="3"/>
        <v xml:space="preserve"> </v>
      </c>
      <c r="Q33" s="1131" t="str">
        <f t="shared" si="4"/>
        <v xml:space="preserve"> </v>
      </c>
      <c r="R33" s="1118">
        <f>IF('Schedule C'!AX37&gt;='DVO (F1 - F2)'!J$3,IF('Schedule C'!AX37&lt;='DVO (F1 - F2)'!K$3,IF('Schedule C'!BA37="APPROVED",'Schedule C'!A37,0),0),0)</f>
        <v>0</v>
      </c>
    </row>
    <row r="34" spans="1:18" ht="15">
      <c r="A34" s="1125">
        <f t="shared" si="0"/>
        <v>27</v>
      </c>
      <c r="B34" s="1126">
        <v>1</v>
      </c>
      <c r="C34" s="1126" t="str">
        <f>IFERROR(VLOOKUP($D34,dropdowns!$I$3:$Q$30,6,0), " ")</f>
        <v xml:space="preserve"> </v>
      </c>
      <c r="D34" s="1126" t="str">
        <f>IFERROR(INDEX('Schedule C'!$A$20:$BA$83,MATCH('DVO (F1 - F2)'!$R217,'Schedule C'!$A$20:$A$83,0),13)," ")</f>
        <v xml:space="preserve"> </v>
      </c>
      <c r="E34" s="1126" t="str">
        <f>IFERROR(VLOOKUP($D34,dropdowns!$I$3:$Q$30,7,0), " ")</f>
        <v xml:space="preserve"> </v>
      </c>
      <c r="F34" s="1126" t="str">
        <f>IFERROR(INDEX('Schedule C'!$A$20:$BA$83,MATCH('DVO (F1 - F2)'!$R34,'Schedule C'!$A$20:$A$83,0),2)," ")</f>
        <v xml:space="preserve"> </v>
      </c>
      <c r="G34" s="1127" t="str">
        <f>IFERROR(INDEX('Schedule C'!$A$20:$BA$83,MATCH('DVO (F1 - F2)'!$R34,'Schedule C'!$A$20:$A$83,0),38)," ")</f>
        <v xml:space="preserve"> </v>
      </c>
      <c r="H34" s="1127" t="str">
        <f>IFERROR(INDEX('Schedule C'!$A$20:$BA$83,MATCH('DVO (F1 - F2)'!$R34,'Schedule C'!$A$20:$A$83,0),39)," ")</f>
        <v xml:space="preserve"> </v>
      </c>
      <c r="I34" s="1127" t="str">
        <f>IFERROR(INDEX('Schedule C'!$A$20:$BA$83,MATCH('DVO (F1 - F2)'!$R34,'Schedule C'!$A$20:$A$83,0),41)," ")</f>
        <v xml:space="preserve"> </v>
      </c>
      <c r="J34" s="1127" t="str">
        <f>IFERROR(INDEX('Schedule C'!$A$20:$BA$83,MATCH('DVO (F1 - F2)'!$R34,'Schedule C'!$A$20:$A$83,0),50)," ")</f>
        <v xml:space="preserve"> </v>
      </c>
      <c r="K34" s="1452" t="str">
        <f>IFERROR(INDEX('Schedule C'!$A$20:$BA$83,MATCH('DVO (F1 - F2)'!$R34,'Schedule C'!$A$20:$A$83,0),33)," ")</f>
        <v xml:space="preserve"> </v>
      </c>
      <c r="L34" s="1453" t="str">
        <f>IFERROR(INDEX('Schedule C'!$A$20:$BA$83,MATCH('DVO (F1 - F2)'!$R34,'Schedule C'!$A$20:$A$83,0),52)," ")</f>
        <v xml:space="preserve"> </v>
      </c>
      <c r="M34" s="1454" t="str">
        <f>IFERROR(INDEX('Schedule C'!$A$20:$BA$83,MATCH('DVO (F1 - F2)'!$R34,'Schedule C'!$A$20:$A$83,0),50)-INDEX('Schedule C'!$A$20:$BA$83,MATCH('DVO (F1 - F2)'!$R34,'Schedule C'!$A$20:$A$83,0),39)," ")</f>
        <v xml:space="preserve"> </v>
      </c>
      <c r="N34" s="1129" t="str">
        <f t="shared" si="1"/>
        <v xml:space="preserve"> </v>
      </c>
      <c r="O34" s="1129" t="str">
        <f t="shared" si="2"/>
        <v xml:space="preserve"> </v>
      </c>
      <c r="P34" s="1130" t="str">
        <f t="shared" si="3"/>
        <v xml:space="preserve"> </v>
      </c>
      <c r="Q34" s="1131" t="str">
        <f t="shared" si="4"/>
        <v xml:space="preserve"> </v>
      </c>
      <c r="R34" s="1118">
        <f>IF('Schedule C'!AX38&gt;='DVO (F1 - F2)'!J$3,IF('Schedule C'!AX38&lt;='DVO (F1 - F2)'!K$3,IF('Schedule C'!BA38="APPROVED",'Schedule C'!A38,0),0),0)</f>
        <v>0</v>
      </c>
    </row>
    <row r="35" spans="1:18" ht="15">
      <c r="A35" s="1125">
        <f t="shared" si="0"/>
        <v>28</v>
      </c>
      <c r="B35" s="1126">
        <v>1</v>
      </c>
      <c r="C35" s="1126" t="str">
        <f>IFERROR(VLOOKUP($D35,dropdowns!$I$3:$Q$30,6,0), " ")</f>
        <v xml:space="preserve"> </v>
      </c>
      <c r="D35" s="1126" t="str">
        <f>IFERROR(INDEX('Schedule C'!$A$20:$BA$83,MATCH('DVO (F1 - F2)'!$R218,'Schedule C'!$A$20:$A$83,0),13)," ")</f>
        <v xml:space="preserve"> </v>
      </c>
      <c r="E35" s="1126" t="str">
        <f>IFERROR(VLOOKUP($D35,dropdowns!$I$3:$Q$30,7,0), " ")</f>
        <v xml:space="preserve"> </v>
      </c>
      <c r="F35" s="1126" t="str">
        <f>IFERROR(INDEX('Schedule C'!$A$20:$BA$83,MATCH('DVO (F1 - F2)'!$R35,'Schedule C'!$A$20:$A$83,0),2)," ")</f>
        <v xml:space="preserve"> </v>
      </c>
      <c r="G35" s="1127" t="str">
        <f>IFERROR(INDEX('Schedule C'!$A$20:$BA$83,MATCH('DVO (F1 - F2)'!$R35,'Schedule C'!$A$20:$A$83,0),38)," ")</f>
        <v xml:space="preserve"> </v>
      </c>
      <c r="H35" s="1127" t="str">
        <f>IFERROR(INDEX('Schedule C'!$A$20:$BA$83,MATCH('DVO (F1 - F2)'!$R35,'Schedule C'!$A$20:$A$83,0),39)," ")</f>
        <v xml:space="preserve"> </v>
      </c>
      <c r="I35" s="1127" t="str">
        <f>IFERROR(INDEX('Schedule C'!$A$20:$BA$83,MATCH('DVO (F1 - F2)'!$R35,'Schedule C'!$A$20:$A$83,0),41)," ")</f>
        <v xml:space="preserve"> </v>
      </c>
      <c r="J35" s="1127" t="str">
        <f>IFERROR(INDEX('Schedule C'!$A$20:$BA$83,MATCH('DVO (F1 - F2)'!$R35,'Schedule C'!$A$20:$A$83,0),50)," ")</f>
        <v xml:space="preserve"> </v>
      </c>
      <c r="K35" s="1452" t="str">
        <f>IFERROR(INDEX('Schedule C'!$A$20:$BA$83,MATCH('DVO (F1 - F2)'!$R35,'Schedule C'!$A$20:$A$83,0),33)," ")</f>
        <v xml:space="preserve"> </v>
      </c>
      <c r="L35" s="1453" t="str">
        <f>IFERROR(INDEX('Schedule C'!$A$20:$BA$83,MATCH('DVO (F1 - F2)'!$R35,'Schedule C'!$A$20:$A$83,0),52)," ")</f>
        <v xml:space="preserve"> </v>
      </c>
      <c r="M35" s="1454" t="str">
        <f>IFERROR(INDEX('Schedule C'!$A$20:$BA$83,MATCH('DVO (F1 - F2)'!$R35,'Schedule C'!$A$20:$A$83,0),50)-INDEX('Schedule C'!$A$20:$BA$83,MATCH('DVO (F1 - F2)'!$R35,'Schedule C'!$A$20:$A$83,0),39)," ")</f>
        <v xml:space="preserve"> </v>
      </c>
      <c r="N35" s="1129" t="str">
        <f t="shared" si="1"/>
        <v xml:space="preserve"> </v>
      </c>
      <c r="O35" s="1129" t="str">
        <f t="shared" si="2"/>
        <v xml:space="preserve"> </v>
      </c>
      <c r="P35" s="1130" t="str">
        <f t="shared" si="3"/>
        <v xml:space="preserve"> </v>
      </c>
      <c r="Q35" s="1131" t="str">
        <f t="shared" si="4"/>
        <v xml:space="preserve"> </v>
      </c>
      <c r="R35" s="1118">
        <f>IF('Schedule C'!AX39&gt;='DVO (F1 - F2)'!J$3,IF('Schedule C'!AX39&lt;='DVO (F1 - F2)'!K$3,IF('Schedule C'!BA39="APPROVED",'Schedule C'!A39,0),0),0)</f>
        <v>0</v>
      </c>
    </row>
    <row r="36" spans="1:18" ht="15">
      <c r="A36" s="1125">
        <f t="shared" si="0"/>
        <v>29</v>
      </c>
      <c r="B36" s="1126">
        <v>1</v>
      </c>
      <c r="C36" s="1126" t="str">
        <f>IFERROR(VLOOKUP($D36,dropdowns!$I$3:$Q$30,6,0), " ")</f>
        <v xml:space="preserve"> </v>
      </c>
      <c r="D36" s="1126" t="str">
        <f>IFERROR(INDEX('Schedule C'!$A$20:$BA$83,MATCH('DVO (F1 - F2)'!$R219,'Schedule C'!$A$20:$A$83,0),13)," ")</f>
        <v xml:space="preserve"> </v>
      </c>
      <c r="E36" s="1126" t="str">
        <f>IFERROR(VLOOKUP($D36,dropdowns!$I$3:$Q$30,7,0), " ")</f>
        <v xml:space="preserve"> </v>
      </c>
      <c r="F36" s="1126" t="str">
        <f>IFERROR(INDEX('Schedule C'!$A$20:$BA$83,MATCH('DVO (F1 - F2)'!$R36,'Schedule C'!$A$20:$A$83,0),2)," ")</f>
        <v xml:space="preserve"> </v>
      </c>
      <c r="G36" s="1127" t="str">
        <f>IFERROR(INDEX('Schedule C'!$A$20:$BA$83,MATCH('DVO (F1 - F2)'!$R36,'Schedule C'!$A$20:$A$83,0),38)," ")</f>
        <v xml:space="preserve"> </v>
      </c>
      <c r="H36" s="1127" t="str">
        <f>IFERROR(INDEX('Schedule C'!$A$20:$BA$83,MATCH('DVO (F1 - F2)'!$R36,'Schedule C'!$A$20:$A$83,0),39)," ")</f>
        <v xml:space="preserve"> </v>
      </c>
      <c r="I36" s="1127" t="str">
        <f>IFERROR(INDEX('Schedule C'!$A$20:$BA$83,MATCH('DVO (F1 - F2)'!$R36,'Schedule C'!$A$20:$A$83,0),41)," ")</f>
        <v xml:space="preserve"> </v>
      </c>
      <c r="J36" s="1127" t="str">
        <f>IFERROR(INDEX('Schedule C'!$A$20:$BA$83,MATCH('DVO (F1 - F2)'!$R36,'Schedule C'!$A$20:$A$83,0),50)," ")</f>
        <v xml:space="preserve"> </v>
      </c>
      <c r="K36" s="1452" t="str">
        <f>IFERROR(INDEX('Schedule C'!$A$20:$BA$83,MATCH('DVO (F1 - F2)'!$R36,'Schedule C'!$A$20:$A$83,0),33)," ")</f>
        <v xml:space="preserve"> </v>
      </c>
      <c r="L36" s="1453" t="str">
        <f>IFERROR(INDEX('Schedule C'!$A$20:$BA$83,MATCH('DVO (F1 - F2)'!$R36,'Schedule C'!$A$20:$A$83,0),52)," ")</f>
        <v xml:space="preserve"> </v>
      </c>
      <c r="M36" s="1454" t="str">
        <f>IFERROR(INDEX('Schedule C'!$A$20:$BA$83,MATCH('DVO (F1 - F2)'!$R36,'Schedule C'!$A$20:$A$83,0),50)-INDEX('Schedule C'!$A$20:$BA$83,MATCH('DVO (F1 - F2)'!$R36,'Schedule C'!$A$20:$A$83,0),39)," ")</f>
        <v xml:space="preserve"> </v>
      </c>
      <c r="N36" s="1129" t="str">
        <f t="shared" si="1"/>
        <v xml:space="preserve"> </v>
      </c>
      <c r="O36" s="1129" t="str">
        <f t="shared" si="2"/>
        <v xml:space="preserve"> </v>
      </c>
      <c r="P36" s="1130" t="str">
        <f t="shared" si="3"/>
        <v xml:space="preserve"> </v>
      </c>
      <c r="Q36" s="1131" t="str">
        <f t="shared" si="4"/>
        <v xml:space="preserve"> </v>
      </c>
      <c r="R36" s="1118">
        <f>IF('Schedule C'!AX40&gt;='DVO (F1 - F2)'!J$3,IF('Schedule C'!AX40&lt;='DVO (F1 - F2)'!K$3,IF('Schedule C'!BA40="APPROVED",'Schedule C'!A40,0),0),0)</f>
        <v>0</v>
      </c>
    </row>
    <row r="37" spans="1:18" ht="15">
      <c r="A37" s="1125">
        <f t="shared" si="0"/>
        <v>30</v>
      </c>
      <c r="B37" s="1126">
        <v>1</v>
      </c>
      <c r="C37" s="1126" t="str">
        <f>IFERROR(VLOOKUP($D37,dropdowns!$I$3:$Q$30,6,0), " ")</f>
        <v xml:space="preserve"> </v>
      </c>
      <c r="D37" s="1126" t="str">
        <f>IFERROR(INDEX('Schedule C'!$A$20:$BA$83,MATCH('DVO (F1 - F2)'!$R220,'Schedule C'!$A$20:$A$83,0),13)," ")</f>
        <v xml:space="preserve"> </v>
      </c>
      <c r="E37" s="1126" t="str">
        <f>IFERROR(VLOOKUP($D37,dropdowns!$I$3:$Q$30,7,0), " ")</f>
        <v xml:space="preserve"> </v>
      </c>
      <c r="F37" s="1126" t="str">
        <f>IFERROR(INDEX('Schedule C'!$A$20:$BA$83,MATCH('DVO (F1 - F2)'!$R37,'Schedule C'!$A$20:$A$83,0),2)," ")</f>
        <v xml:space="preserve"> </v>
      </c>
      <c r="G37" s="1127" t="str">
        <f>IFERROR(INDEX('Schedule C'!$A$20:$BA$83,MATCH('DVO (F1 - F2)'!$R37,'Schedule C'!$A$20:$A$83,0),38)," ")</f>
        <v xml:space="preserve"> </v>
      </c>
      <c r="H37" s="1127" t="str">
        <f>IFERROR(INDEX('Schedule C'!$A$20:$BA$83,MATCH('DVO (F1 - F2)'!$R37,'Schedule C'!$A$20:$A$83,0),39)," ")</f>
        <v xml:space="preserve"> </v>
      </c>
      <c r="I37" s="1127" t="str">
        <f>IFERROR(INDEX('Schedule C'!$A$20:$BA$83,MATCH('DVO (F1 - F2)'!$R37,'Schedule C'!$A$20:$A$83,0),41)," ")</f>
        <v xml:space="preserve"> </v>
      </c>
      <c r="J37" s="1127" t="str">
        <f>IFERROR(INDEX('Schedule C'!$A$20:$BA$83,MATCH('DVO (F1 - F2)'!$R37,'Schedule C'!$A$20:$A$83,0),50)," ")</f>
        <v xml:space="preserve"> </v>
      </c>
      <c r="K37" s="1452" t="str">
        <f>IFERROR(INDEX('Schedule C'!$A$20:$BA$83,MATCH('DVO (F1 - F2)'!$R37,'Schedule C'!$A$20:$A$83,0),33)," ")</f>
        <v xml:space="preserve"> </v>
      </c>
      <c r="L37" s="1453" t="str">
        <f>IFERROR(INDEX('Schedule C'!$A$20:$BA$83,MATCH('DVO (F1 - F2)'!$R37,'Schedule C'!$A$20:$A$83,0),52)," ")</f>
        <v xml:space="preserve"> </v>
      </c>
      <c r="M37" s="1454" t="str">
        <f>IFERROR(INDEX('Schedule C'!$A$20:$BA$83,MATCH('DVO (F1 - F2)'!$R37,'Schedule C'!$A$20:$A$83,0),50)-INDEX('Schedule C'!$A$20:$BA$83,MATCH('DVO (F1 - F2)'!$R37,'Schedule C'!$A$20:$A$83,0),39)," ")</f>
        <v xml:space="preserve"> </v>
      </c>
      <c r="N37" s="1129" t="str">
        <f t="shared" si="1"/>
        <v xml:space="preserve"> </v>
      </c>
      <c r="O37" s="1129" t="str">
        <f t="shared" si="2"/>
        <v xml:space="preserve"> </v>
      </c>
      <c r="P37" s="1130" t="str">
        <f t="shared" si="3"/>
        <v xml:space="preserve"> </v>
      </c>
      <c r="Q37" s="1131" t="str">
        <f t="shared" si="4"/>
        <v xml:space="preserve"> </v>
      </c>
      <c r="R37" s="1118">
        <f>IF('Schedule C'!AX41&gt;='DVO (F1 - F2)'!J$3,IF('Schedule C'!AX41&lt;='DVO (F1 - F2)'!K$3,IF('Schedule C'!BA41="APPROVED",'Schedule C'!A41,0),0),0)</f>
        <v>0</v>
      </c>
    </row>
    <row r="38" spans="1:18" ht="15">
      <c r="A38" s="1125">
        <f t="shared" si="0"/>
        <v>31</v>
      </c>
      <c r="B38" s="1126">
        <v>1</v>
      </c>
      <c r="C38" s="1126" t="str">
        <f>IFERROR(VLOOKUP($D38,dropdowns!$I$3:$Q$30,6,0), " ")</f>
        <v xml:space="preserve"> </v>
      </c>
      <c r="D38" s="1126" t="str">
        <f>IFERROR(INDEX('Schedule C'!$A$20:$BA$83,MATCH('DVO (F1 - F2)'!$R221,'Schedule C'!$A$20:$A$83,0),13)," ")</f>
        <v xml:space="preserve"> </v>
      </c>
      <c r="E38" s="1126" t="str">
        <f>IFERROR(VLOOKUP($D38,dropdowns!$I$3:$Q$30,7,0), " ")</f>
        <v xml:space="preserve"> </v>
      </c>
      <c r="F38" s="1126" t="str">
        <f>IFERROR(INDEX('Schedule C'!$A$20:$BA$83,MATCH('DVO (F1 - F2)'!$R38,'Schedule C'!$A$20:$A$83,0),2)," ")</f>
        <v xml:space="preserve"> </v>
      </c>
      <c r="G38" s="1127" t="str">
        <f>IFERROR(INDEX('Schedule C'!$A$20:$BA$83,MATCH('DVO (F1 - F2)'!$R38,'Schedule C'!$A$20:$A$83,0),38)," ")</f>
        <v xml:space="preserve"> </v>
      </c>
      <c r="H38" s="1127" t="str">
        <f>IFERROR(INDEX('Schedule C'!$A$20:$BA$83,MATCH('DVO (F1 - F2)'!$R38,'Schedule C'!$A$20:$A$83,0),39)," ")</f>
        <v xml:space="preserve"> </v>
      </c>
      <c r="I38" s="1127" t="str">
        <f>IFERROR(INDEX('Schedule C'!$A$20:$BA$83,MATCH('DVO (F1 - F2)'!$R38,'Schedule C'!$A$20:$A$83,0),41)," ")</f>
        <v xml:space="preserve"> </v>
      </c>
      <c r="J38" s="1127" t="str">
        <f>IFERROR(INDEX('Schedule C'!$A$20:$BA$83,MATCH('DVO (F1 - F2)'!$R38,'Schedule C'!$A$20:$A$83,0),50)," ")</f>
        <v xml:space="preserve"> </v>
      </c>
      <c r="K38" s="1452" t="str">
        <f>IFERROR(INDEX('Schedule C'!$A$20:$BA$83,MATCH('DVO (F1 - F2)'!$R38,'Schedule C'!$A$20:$A$83,0),33)," ")</f>
        <v xml:space="preserve"> </v>
      </c>
      <c r="L38" s="1453" t="str">
        <f>IFERROR(INDEX('Schedule C'!$A$20:$BA$83,MATCH('DVO (F1 - F2)'!$R38,'Schedule C'!$A$20:$A$83,0),52)," ")</f>
        <v xml:space="preserve"> </v>
      </c>
      <c r="M38" s="1454" t="str">
        <f>IFERROR(INDEX('Schedule C'!$A$20:$BA$83,MATCH('DVO (F1 - F2)'!$R38,'Schedule C'!$A$20:$A$83,0),50)-INDEX('Schedule C'!$A$20:$BA$83,MATCH('DVO (F1 - F2)'!$R38,'Schedule C'!$A$20:$A$83,0),39)," ")</f>
        <v xml:space="preserve"> </v>
      </c>
      <c r="N38" s="1129" t="str">
        <f t="shared" si="1"/>
        <v xml:space="preserve"> </v>
      </c>
      <c r="O38" s="1129" t="str">
        <f t="shared" si="2"/>
        <v xml:space="preserve"> </v>
      </c>
      <c r="P38" s="1130" t="str">
        <f t="shared" si="3"/>
        <v xml:space="preserve"> </v>
      </c>
      <c r="Q38" s="1131" t="str">
        <f t="shared" si="4"/>
        <v xml:space="preserve"> </v>
      </c>
      <c r="R38" s="1118">
        <f>IF('Schedule C'!AX42&gt;='DVO (F1 - F2)'!J$3,IF('Schedule C'!AX42&lt;='DVO (F1 - F2)'!K$3,IF('Schedule C'!BA42="APPROVED",'Schedule C'!A42,0),0),0)</f>
        <v>0</v>
      </c>
    </row>
    <row r="39" spans="1:18" ht="15">
      <c r="A39" s="1125">
        <f t="shared" si="0"/>
        <v>32</v>
      </c>
      <c r="B39" s="1126">
        <v>1</v>
      </c>
      <c r="C39" s="1126" t="str">
        <f>IFERROR(VLOOKUP($D39,dropdowns!$I$3:$Q$30,6,0), " ")</f>
        <v xml:space="preserve"> </v>
      </c>
      <c r="D39" s="1126" t="str">
        <f>IFERROR(INDEX('Schedule C'!$A$20:$BA$83,MATCH('DVO (F1 - F2)'!$R222,'Schedule C'!$A$20:$A$83,0),13)," ")</f>
        <v xml:space="preserve"> </v>
      </c>
      <c r="E39" s="1126" t="str">
        <f>IFERROR(VLOOKUP($D39,dropdowns!$I$3:$Q$30,7,0), " ")</f>
        <v xml:space="preserve"> </v>
      </c>
      <c r="F39" s="1126" t="str">
        <f>IFERROR(INDEX('Schedule C'!$A$20:$BA$83,MATCH('DVO (F1 - F2)'!$R39,'Schedule C'!$A$20:$A$83,0),2)," ")</f>
        <v xml:space="preserve"> </v>
      </c>
      <c r="G39" s="1127" t="str">
        <f>IFERROR(INDEX('Schedule C'!$A$20:$BA$83,MATCH('DVO (F1 - F2)'!$R39,'Schedule C'!$A$20:$A$83,0),38)," ")</f>
        <v xml:space="preserve"> </v>
      </c>
      <c r="H39" s="1127" t="str">
        <f>IFERROR(INDEX('Schedule C'!$A$20:$BA$83,MATCH('DVO (F1 - F2)'!$R39,'Schedule C'!$A$20:$A$83,0),39)," ")</f>
        <v xml:space="preserve"> </v>
      </c>
      <c r="I39" s="1127" t="str">
        <f>IFERROR(INDEX('Schedule C'!$A$20:$BA$83,MATCH('DVO (F1 - F2)'!$R39,'Schedule C'!$A$20:$A$83,0),41)," ")</f>
        <v xml:space="preserve"> </v>
      </c>
      <c r="J39" s="1127" t="str">
        <f>IFERROR(INDEX('Schedule C'!$A$20:$BA$83,MATCH('DVO (F1 - F2)'!$R39,'Schedule C'!$A$20:$A$83,0),50)," ")</f>
        <v xml:space="preserve"> </v>
      </c>
      <c r="K39" s="1452" t="str">
        <f>IFERROR(INDEX('Schedule C'!$A$20:$BA$83,MATCH('DVO (F1 - F2)'!$R39,'Schedule C'!$A$20:$A$83,0),33)," ")</f>
        <v xml:space="preserve"> </v>
      </c>
      <c r="L39" s="1453" t="str">
        <f>IFERROR(INDEX('Schedule C'!$A$20:$BA$83,MATCH('DVO (F1 - F2)'!$R39,'Schedule C'!$A$20:$A$83,0),52)," ")</f>
        <v xml:space="preserve"> </v>
      </c>
      <c r="M39" s="1454" t="str">
        <f>IFERROR(INDEX('Schedule C'!$A$20:$BA$83,MATCH('DVO (F1 - F2)'!$R39,'Schedule C'!$A$20:$A$83,0),50)-INDEX('Schedule C'!$A$20:$BA$83,MATCH('DVO (F1 - F2)'!$R39,'Schedule C'!$A$20:$A$83,0),39)," ")</f>
        <v xml:space="preserve"> </v>
      </c>
      <c r="N39" s="1129" t="str">
        <f t="shared" si="1"/>
        <v xml:space="preserve"> </v>
      </c>
      <c r="O39" s="1129" t="str">
        <f t="shared" si="2"/>
        <v xml:space="preserve"> </v>
      </c>
      <c r="P39" s="1130" t="str">
        <f t="shared" si="3"/>
        <v xml:space="preserve"> </v>
      </c>
      <c r="Q39" s="1131" t="str">
        <f t="shared" si="4"/>
        <v xml:space="preserve"> </v>
      </c>
      <c r="R39" s="1118">
        <f>IF('Schedule C'!AX43&gt;='DVO (F1 - F2)'!J$3,IF('Schedule C'!AX43&lt;='DVO (F1 - F2)'!K$3,IF('Schedule C'!BA43="APPROVED",'Schedule C'!A43,0),0),0)</f>
        <v>0</v>
      </c>
    </row>
    <row r="40" spans="1:18" ht="15">
      <c r="A40" s="1125">
        <f t="shared" si="0"/>
        <v>33</v>
      </c>
      <c r="B40" s="1126">
        <v>1</v>
      </c>
      <c r="C40" s="1126" t="str">
        <f>IFERROR(VLOOKUP($D40,dropdowns!$I$3:$Q$30,6,0), " ")</f>
        <v xml:space="preserve"> </v>
      </c>
      <c r="D40" s="1126" t="str">
        <f>IFERROR(INDEX('Schedule C'!$A$20:$BA$83,MATCH('DVO (F1 - F2)'!$R223,'Schedule C'!$A$20:$A$83,0),13)," ")</f>
        <v xml:space="preserve"> </v>
      </c>
      <c r="E40" s="1126" t="str">
        <f>IFERROR(VLOOKUP($D40,dropdowns!$I$3:$Q$30,7,0), " ")</f>
        <v xml:space="preserve"> </v>
      </c>
      <c r="F40" s="1126" t="str">
        <f>IFERROR(INDEX('Schedule C'!$A$20:$BA$83,MATCH('DVO (F1 - F2)'!$R40,'Schedule C'!$A$20:$A$83,0),2)," ")</f>
        <v xml:space="preserve"> </v>
      </c>
      <c r="G40" s="1127" t="str">
        <f>IFERROR(INDEX('Schedule C'!$A$20:$BA$83,MATCH('DVO (F1 - F2)'!$R40,'Schedule C'!$A$20:$A$83,0),38)," ")</f>
        <v xml:space="preserve"> </v>
      </c>
      <c r="H40" s="1127" t="str">
        <f>IFERROR(INDEX('Schedule C'!$A$20:$BA$83,MATCH('DVO (F1 - F2)'!$R40,'Schedule C'!$A$20:$A$83,0),39)," ")</f>
        <v xml:space="preserve"> </v>
      </c>
      <c r="I40" s="1127" t="str">
        <f>IFERROR(INDEX('Schedule C'!$A$20:$BA$83,MATCH('DVO (F1 - F2)'!$R40,'Schedule C'!$A$20:$A$83,0),41)," ")</f>
        <v xml:space="preserve"> </v>
      </c>
      <c r="J40" s="1127" t="str">
        <f>IFERROR(INDEX('Schedule C'!$A$20:$BA$83,MATCH('DVO (F1 - F2)'!$R40,'Schedule C'!$A$20:$A$83,0),50)," ")</f>
        <v xml:space="preserve"> </v>
      </c>
      <c r="K40" s="1452" t="str">
        <f>IFERROR(INDEX('Schedule C'!$A$20:$BA$83,MATCH('DVO (F1 - F2)'!$R40,'Schedule C'!$A$20:$A$83,0),33)," ")</f>
        <v xml:space="preserve"> </v>
      </c>
      <c r="L40" s="1453" t="str">
        <f>IFERROR(INDEX('Schedule C'!$A$20:$BA$83,MATCH('DVO (F1 - F2)'!$R40,'Schedule C'!$A$20:$A$83,0),52)," ")</f>
        <v xml:space="preserve"> </v>
      </c>
      <c r="M40" s="1454" t="str">
        <f>IFERROR(INDEX('Schedule C'!$A$20:$BA$83,MATCH('DVO (F1 - F2)'!$R40,'Schedule C'!$A$20:$A$83,0),50)-INDEX('Schedule C'!$A$20:$BA$83,MATCH('DVO (F1 - F2)'!$R40,'Schedule C'!$A$20:$A$83,0),39)," ")</f>
        <v xml:space="preserve"> </v>
      </c>
      <c r="N40" s="1129" t="str">
        <f t="shared" si="1"/>
        <v xml:space="preserve"> </v>
      </c>
      <c r="O40" s="1129" t="str">
        <f t="shared" si="2"/>
        <v xml:space="preserve"> </v>
      </c>
      <c r="P40" s="1130" t="str">
        <f t="shared" si="3"/>
        <v xml:space="preserve"> </v>
      </c>
      <c r="Q40" s="1131" t="str">
        <f t="shared" si="4"/>
        <v xml:space="preserve"> </v>
      </c>
      <c r="R40" s="1118">
        <f>IF('Schedule C'!AX44&gt;='DVO (F1 - F2)'!J$3,IF('Schedule C'!AX44&lt;='DVO (F1 - F2)'!K$3,IF('Schedule C'!BA44="APPROVED",'Schedule C'!A44,0),0),0)</f>
        <v>0</v>
      </c>
    </row>
    <row r="41" spans="1:18" ht="15">
      <c r="A41" s="1125">
        <f t="shared" si="0"/>
        <v>34</v>
      </c>
      <c r="B41" s="1126">
        <v>1</v>
      </c>
      <c r="C41" s="1126" t="str">
        <f>IFERROR(VLOOKUP($D41,dropdowns!$I$3:$Q$30,6,0), " ")</f>
        <v xml:space="preserve"> </v>
      </c>
      <c r="D41" s="1126" t="str">
        <f>IFERROR(INDEX('Schedule C'!$A$20:$BA$83,MATCH('DVO (F1 - F2)'!$R224,'Schedule C'!$A$20:$A$83,0),13)," ")</f>
        <v xml:space="preserve"> </v>
      </c>
      <c r="E41" s="1126" t="str">
        <f>IFERROR(VLOOKUP($D41,dropdowns!$I$3:$Q$30,7,0), " ")</f>
        <v xml:space="preserve"> </v>
      </c>
      <c r="F41" s="1126" t="str">
        <f>IFERROR(INDEX('Schedule C'!$A$20:$BA$83,MATCH('DVO (F1 - F2)'!$R41,'Schedule C'!$A$20:$A$83,0),2)," ")</f>
        <v xml:space="preserve"> </v>
      </c>
      <c r="G41" s="1127" t="str">
        <f>IFERROR(INDEX('Schedule C'!$A$20:$BA$83,MATCH('DVO (F1 - F2)'!$R41,'Schedule C'!$A$20:$A$83,0),38)," ")</f>
        <v xml:space="preserve"> </v>
      </c>
      <c r="H41" s="1127" t="str">
        <f>IFERROR(INDEX('Schedule C'!$A$20:$BA$83,MATCH('DVO (F1 - F2)'!$R41,'Schedule C'!$A$20:$A$83,0),39)," ")</f>
        <v xml:space="preserve"> </v>
      </c>
      <c r="I41" s="1127" t="str">
        <f>IFERROR(INDEX('Schedule C'!$A$20:$BA$83,MATCH('DVO (F1 - F2)'!$R41,'Schedule C'!$A$20:$A$83,0),41)," ")</f>
        <v xml:space="preserve"> </v>
      </c>
      <c r="J41" s="1127" t="str">
        <f>IFERROR(INDEX('Schedule C'!$A$20:$BA$83,MATCH('DVO (F1 - F2)'!$R41,'Schedule C'!$A$20:$A$83,0),50)," ")</f>
        <v xml:space="preserve"> </v>
      </c>
      <c r="K41" s="1452" t="str">
        <f>IFERROR(INDEX('Schedule C'!$A$20:$BA$83,MATCH('DVO (F1 - F2)'!$R41,'Schedule C'!$A$20:$A$83,0),33)," ")</f>
        <v xml:space="preserve"> </v>
      </c>
      <c r="L41" s="1453" t="str">
        <f>IFERROR(INDEX('Schedule C'!$A$20:$BA$83,MATCH('DVO (F1 - F2)'!$R41,'Schedule C'!$A$20:$A$83,0),52)," ")</f>
        <v xml:space="preserve"> </v>
      </c>
      <c r="M41" s="1454" t="str">
        <f>IFERROR(INDEX('Schedule C'!$A$20:$BA$83,MATCH('DVO (F1 - F2)'!$R41,'Schedule C'!$A$20:$A$83,0),50)-INDEX('Schedule C'!$A$20:$BA$83,MATCH('DVO (F1 - F2)'!$R41,'Schedule C'!$A$20:$A$83,0),39)," ")</f>
        <v xml:space="preserve"> </v>
      </c>
      <c r="N41" s="1129" t="str">
        <f t="shared" si="1"/>
        <v xml:space="preserve"> </v>
      </c>
      <c r="O41" s="1129" t="str">
        <f t="shared" si="2"/>
        <v xml:space="preserve"> </v>
      </c>
      <c r="P41" s="1130" t="str">
        <f t="shared" si="3"/>
        <v xml:space="preserve"> </v>
      </c>
      <c r="Q41" s="1131" t="str">
        <f t="shared" si="4"/>
        <v xml:space="preserve"> </v>
      </c>
      <c r="R41" s="1118">
        <f>IF('Schedule C'!AX45&gt;='DVO (F1 - F2)'!J$3,IF('Schedule C'!AX45&lt;='DVO (F1 - F2)'!K$3,IF('Schedule C'!BA45="APPROVED",'Schedule C'!A45,0),0),0)</f>
        <v>0</v>
      </c>
    </row>
    <row r="42" spans="1:18" ht="15">
      <c r="A42" s="1125">
        <f t="shared" si="0"/>
        <v>35</v>
      </c>
      <c r="B42" s="1126">
        <v>1</v>
      </c>
      <c r="C42" s="1126" t="str">
        <f>IFERROR(VLOOKUP($D42,dropdowns!$I$3:$Q$30,6,0), " ")</f>
        <v xml:space="preserve"> </v>
      </c>
      <c r="D42" s="1126" t="str">
        <f>IFERROR(INDEX('Schedule C'!$A$20:$BA$83,MATCH('DVO (F1 - F2)'!$R225,'Schedule C'!$A$20:$A$83,0),13)," ")</f>
        <v xml:space="preserve"> </v>
      </c>
      <c r="E42" s="1126" t="str">
        <f>IFERROR(VLOOKUP($D42,dropdowns!$I$3:$Q$30,7,0), " ")</f>
        <v xml:space="preserve"> </v>
      </c>
      <c r="F42" s="1126" t="str">
        <f>IFERROR(INDEX('Schedule C'!$A$20:$BA$83,MATCH('DVO (F1 - F2)'!$R42,'Schedule C'!$A$20:$A$83,0),2)," ")</f>
        <v xml:space="preserve"> </v>
      </c>
      <c r="G42" s="1127" t="str">
        <f>IFERROR(INDEX('Schedule C'!$A$20:$BA$83,MATCH('DVO (F1 - F2)'!$R42,'Schedule C'!$A$20:$A$83,0),38)," ")</f>
        <v xml:space="preserve"> </v>
      </c>
      <c r="H42" s="1127" t="str">
        <f>IFERROR(INDEX('Schedule C'!$A$20:$BA$83,MATCH('DVO (F1 - F2)'!$R42,'Schedule C'!$A$20:$A$83,0),39)," ")</f>
        <v xml:space="preserve"> </v>
      </c>
      <c r="I42" s="1127" t="str">
        <f>IFERROR(INDEX('Schedule C'!$A$20:$BA$83,MATCH('DVO (F1 - F2)'!$R42,'Schedule C'!$A$20:$A$83,0),41)," ")</f>
        <v xml:space="preserve"> </v>
      </c>
      <c r="J42" s="1127" t="str">
        <f>IFERROR(INDEX('Schedule C'!$A$20:$BA$83,MATCH('DVO (F1 - F2)'!$R42,'Schedule C'!$A$20:$A$83,0),50)," ")</f>
        <v xml:space="preserve"> </v>
      </c>
      <c r="K42" s="1452" t="str">
        <f>IFERROR(INDEX('Schedule C'!$A$20:$BA$83,MATCH('DVO (F1 - F2)'!$R42,'Schedule C'!$A$20:$A$83,0),33)," ")</f>
        <v xml:space="preserve"> </v>
      </c>
      <c r="L42" s="1453" t="str">
        <f>IFERROR(INDEX('Schedule C'!$A$20:$BA$83,MATCH('DVO (F1 - F2)'!$R42,'Schedule C'!$A$20:$A$83,0),52)," ")</f>
        <v xml:space="preserve"> </v>
      </c>
      <c r="M42" s="1454" t="str">
        <f>IFERROR(INDEX('Schedule C'!$A$20:$BA$83,MATCH('DVO (F1 - F2)'!$R42,'Schedule C'!$A$20:$A$83,0),50)-INDEX('Schedule C'!$A$20:$BA$83,MATCH('DVO (F1 - F2)'!$R42,'Schedule C'!$A$20:$A$83,0),39)," ")</f>
        <v xml:space="preserve"> </v>
      </c>
      <c r="N42" s="1129" t="str">
        <f t="shared" si="1"/>
        <v xml:space="preserve"> </v>
      </c>
      <c r="O42" s="1129" t="str">
        <f t="shared" si="2"/>
        <v xml:space="preserve"> </v>
      </c>
      <c r="P42" s="1130" t="str">
        <f t="shared" si="3"/>
        <v xml:space="preserve"> </v>
      </c>
      <c r="Q42" s="1131" t="str">
        <f t="shared" si="4"/>
        <v xml:space="preserve"> </v>
      </c>
      <c r="R42" s="1118">
        <f>IF('Schedule C'!AX46&gt;='DVO (F1 - F2)'!J$3,IF('Schedule C'!AX46&lt;='DVO (F1 - F2)'!K$3,IF('Schedule C'!BA46="APPROVED",'Schedule C'!A46,0),0),0)</f>
        <v>0</v>
      </c>
    </row>
    <row r="43" spans="1:18" ht="15">
      <c r="A43" s="1125">
        <f t="shared" si="0"/>
        <v>36</v>
      </c>
      <c r="B43" s="1126">
        <v>1</v>
      </c>
      <c r="C43" s="1126" t="str">
        <f>IFERROR(VLOOKUP($D43,dropdowns!$I$3:$Q$30,6,0), " ")</f>
        <v xml:space="preserve"> </v>
      </c>
      <c r="D43" s="1126" t="str">
        <f>IFERROR(INDEX('Schedule C'!$A$20:$BA$83,MATCH('DVO (F1 - F2)'!$R226,'Schedule C'!$A$20:$A$83,0),13)," ")</f>
        <v xml:space="preserve"> </v>
      </c>
      <c r="E43" s="1126" t="str">
        <f>IFERROR(VLOOKUP($D43,dropdowns!$I$3:$Q$30,7,0), " ")</f>
        <v xml:space="preserve"> </v>
      </c>
      <c r="F43" s="1126" t="str">
        <f>IFERROR(INDEX('Schedule C'!$A$20:$BA$83,MATCH('DVO (F1 - F2)'!$R43,'Schedule C'!$A$20:$A$83,0),2)," ")</f>
        <v xml:space="preserve"> </v>
      </c>
      <c r="G43" s="1127" t="str">
        <f>IFERROR(INDEX('Schedule C'!$A$20:$BA$83,MATCH('DVO (F1 - F2)'!$R43,'Schedule C'!$A$20:$A$83,0),38)," ")</f>
        <v xml:space="preserve"> </v>
      </c>
      <c r="H43" s="1127" t="str">
        <f>IFERROR(INDEX('Schedule C'!$A$20:$BA$83,MATCH('DVO (F1 - F2)'!$R43,'Schedule C'!$A$20:$A$83,0),39)," ")</f>
        <v xml:space="preserve"> </v>
      </c>
      <c r="I43" s="1127" t="str">
        <f>IFERROR(INDEX('Schedule C'!$A$20:$BA$83,MATCH('DVO (F1 - F2)'!$R43,'Schedule C'!$A$20:$A$83,0),41)," ")</f>
        <v xml:space="preserve"> </v>
      </c>
      <c r="J43" s="1127" t="str">
        <f>IFERROR(INDEX('Schedule C'!$A$20:$BA$83,MATCH('DVO (F1 - F2)'!$R43,'Schedule C'!$A$20:$A$83,0),50)," ")</f>
        <v xml:space="preserve"> </v>
      </c>
      <c r="K43" s="1452" t="str">
        <f>IFERROR(INDEX('Schedule C'!$A$20:$BA$83,MATCH('DVO (F1 - F2)'!$R43,'Schedule C'!$A$20:$A$83,0),33)," ")</f>
        <v xml:space="preserve"> </v>
      </c>
      <c r="L43" s="1453" t="str">
        <f>IFERROR(INDEX('Schedule C'!$A$20:$BA$83,MATCH('DVO (F1 - F2)'!$R43,'Schedule C'!$A$20:$A$83,0),52)," ")</f>
        <v xml:space="preserve"> </v>
      </c>
      <c r="M43" s="1454" t="str">
        <f>IFERROR(INDEX('Schedule C'!$A$20:$BA$83,MATCH('DVO (F1 - F2)'!$R43,'Schedule C'!$A$20:$A$83,0),50)-INDEX('Schedule C'!$A$20:$BA$83,MATCH('DVO (F1 - F2)'!$R43,'Schedule C'!$A$20:$A$83,0),39)," ")</f>
        <v xml:space="preserve"> </v>
      </c>
      <c r="N43" s="1129" t="str">
        <f t="shared" si="1"/>
        <v xml:space="preserve"> </v>
      </c>
      <c r="O43" s="1129" t="str">
        <f t="shared" si="2"/>
        <v xml:space="preserve"> </v>
      </c>
      <c r="P43" s="1130" t="str">
        <f t="shared" si="3"/>
        <v xml:space="preserve"> </v>
      </c>
      <c r="Q43" s="1131" t="str">
        <f t="shared" si="4"/>
        <v xml:space="preserve"> </v>
      </c>
      <c r="R43" s="1118">
        <f>IF('Schedule C'!AX47&gt;='DVO (F1 - F2)'!J$3,IF('Schedule C'!AX47&lt;='DVO (F1 - F2)'!K$3,IF('Schedule C'!BA47="APPROVED",'Schedule C'!A47,0),0),0)</f>
        <v>0</v>
      </c>
    </row>
    <row r="44" spans="1:18" ht="15">
      <c r="A44" s="1125">
        <f t="shared" si="0"/>
        <v>37</v>
      </c>
      <c r="B44" s="1126">
        <v>1</v>
      </c>
      <c r="C44" s="1126" t="str">
        <f>IFERROR(VLOOKUP($D44,dropdowns!$I$3:$Q$30,6,0), " ")</f>
        <v xml:space="preserve"> </v>
      </c>
      <c r="D44" s="1126" t="str">
        <f>IFERROR(INDEX('Schedule C'!$A$20:$BA$83,MATCH('DVO (F1 - F2)'!$R227,'Schedule C'!$A$20:$A$83,0),13)," ")</f>
        <v xml:space="preserve"> </v>
      </c>
      <c r="E44" s="1126" t="str">
        <f>IFERROR(VLOOKUP($D44,dropdowns!$I$3:$Q$30,7,0), " ")</f>
        <v xml:space="preserve"> </v>
      </c>
      <c r="F44" s="1126" t="str">
        <f>IFERROR(INDEX('Schedule C'!$A$20:$BA$83,MATCH('DVO (F1 - F2)'!$R44,'Schedule C'!$A$20:$A$83,0),2)," ")</f>
        <v xml:space="preserve"> </v>
      </c>
      <c r="G44" s="1127" t="str">
        <f>IFERROR(INDEX('Schedule C'!$A$20:$BA$83,MATCH('DVO (F1 - F2)'!$R44,'Schedule C'!$A$20:$A$83,0),38)," ")</f>
        <v xml:space="preserve"> </v>
      </c>
      <c r="H44" s="1127" t="str">
        <f>IFERROR(INDEX('Schedule C'!$A$20:$BA$83,MATCH('DVO (F1 - F2)'!$R44,'Schedule C'!$A$20:$A$83,0),39)," ")</f>
        <v xml:space="preserve"> </v>
      </c>
      <c r="I44" s="1127" t="str">
        <f>IFERROR(INDEX('Schedule C'!$A$20:$BA$83,MATCH('DVO (F1 - F2)'!$R44,'Schedule C'!$A$20:$A$83,0),41)," ")</f>
        <v xml:space="preserve"> </v>
      </c>
      <c r="J44" s="1127" t="str">
        <f>IFERROR(INDEX('Schedule C'!$A$20:$BA$83,MATCH('DVO (F1 - F2)'!$R44,'Schedule C'!$A$20:$A$83,0),50)," ")</f>
        <v xml:space="preserve"> </v>
      </c>
      <c r="K44" s="1452" t="str">
        <f>IFERROR(INDEX('Schedule C'!$A$20:$BA$83,MATCH('DVO (F1 - F2)'!$R44,'Schedule C'!$A$20:$A$83,0),33)," ")</f>
        <v xml:space="preserve"> </v>
      </c>
      <c r="L44" s="1453" t="str">
        <f>IFERROR(INDEX('Schedule C'!$A$20:$BA$83,MATCH('DVO (F1 - F2)'!$R44,'Schedule C'!$A$20:$A$83,0),52)," ")</f>
        <v xml:space="preserve"> </v>
      </c>
      <c r="M44" s="1454" t="str">
        <f>IFERROR(INDEX('Schedule C'!$A$20:$BA$83,MATCH('DVO (F1 - F2)'!$R44,'Schedule C'!$A$20:$A$83,0),50)-INDEX('Schedule C'!$A$20:$BA$83,MATCH('DVO (F1 - F2)'!$R44,'Schedule C'!$A$20:$A$83,0),39)," ")</f>
        <v xml:space="preserve"> </v>
      </c>
      <c r="N44" s="1129" t="str">
        <f t="shared" si="1"/>
        <v xml:space="preserve"> </v>
      </c>
      <c r="O44" s="1129" t="str">
        <f t="shared" si="2"/>
        <v xml:space="preserve"> </v>
      </c>
      <c r="P44" s="1130" t="str">
        <f t="shared" si="3"/>
        <v xml:space="preserve"> </v>
      </c>
      <c r="Q44" s="1131" t="str">
        <f t="shared" si="4"/>
        <v xml:space="preserve"> </v>
      </c>
      <c r="R44" s="1118">
        <f>IF('Schedule C'!AX48&gt;='DVO (F1 - F2)'!J$3,IF('Schedule C'!AX48&lt;='DVO (F1 - F2)'!K$3,IF('Schedule C'!BA48="APPROVED",'Schedule C'!A48,0),0),0)</f>
        <v>0</v>
      </c>
    </row>
    <row r="45" spans="1:18" ht="15">
      <c r="A45" s="1125">
        <f t="shared" si="0"/>
        <v>38</v>
      </c>
      <c r="B45" s="1126">
        <v>1</v>
      </c>
      <c r="C45" s="1126" t="str">
        <f>IFERROR(VLOOKUP($D45,dropdowns!$I$3:$Q$30,6,0), " ")</f>
        <v xml:space="preserve"> </v>
      </c>
      <c r="D45" s="1126" t="str">
        <f>IFERROR(INDEX('Schedule C'!$A$20:$BA$83,MATCH('DVO (F1 - F2)'!$R228,'Schedule C'!$A$20:$A$83,0),13)," ")</f>
        <v xml:space="preserve"> </v>
      </c>
      <c r="E45" s="1126" t="str">
        <f>IFERROR(VLOOKUP($D45,dropdowns!$I$3:$Q$30,7,0), " ")</f>
        <v xml:space="preserve"> </v>
      </c>
      <c r="F45" s="1126" t="str">
        <f>IFERROR(INDEX('Schedule C'!$A$20:$BA$83,MATCH('DVO (F1 - F2)'!$R45,'Schedule C'!$A$20:$A$83,0),2)," ")</f>
        <v xml:space="preserve"> </v>
      </c>
      <c r="G45" s="1127" t="str">
        <f>IFERROR(INDEX('Schedule C'!$A$20:$BA$83,MATCH('DVO (F1 - F2)'!$R45,'Schedule C'!$A$20:$A$83,0),38)," ")</f>
        <v xml:space="preserve"> </v>
      </c>
      <c r="H45" s="1127" t="str">
        <f>IFERROR(INDEX('Schedule C'!$A$20:$BA$83,MATCH('DVO (F1 - F2)'!$R45,'Schedule C'!$A$20:$A$83,0),39)," ")</f>
        <v xml:space="preserve"> </v>
      </c>
      <c r="I45" s="1127" t="str">
        <f>IFERROR(INDEX('Schedule C'!$A$20:$BA$83,MATCH('DVO (F1 - F2)'!$R45,'Schedule C'!$A$20:$A$83,0),41)," ")</f>
        <v xml:space="preserve"> </v>
      </c>
      <c r="J45" s="1127" t="str">
        <f>IFERROR(INDEX('Schedule C'!$A$20:$BA$83,MATCH('DVO (F1 - F2)'!$R45,'Schedule C'!$A$20:$A$83,0),50)," ")</f>
        <v xml:space="preserve"> </v>
      </c>
      <c r="K45" s="1452" t="str">
        <f>IFERROR(INDEX('Schedule C'!$A$20:$BA$83,MATCH('DVO (F1 - F2)'!$R45,'Schedule C'!$A$20:$A$83,0),33)," ")</f>
        <v xml:space="preserve"> </v>
      </c>
      <c r="L45" s="1453" t="str">
        <f>IFERROR(INDEX('Schedule C'!$A$20:$BA$83,MATCH('DVO (F1 - F2)'!$R45,'Schedule C'!$A$20:$A$83,0),52)," ")</f>
        <v xml:space="preserve"> </v>
      </c>
      <c r="M45" s="1454" t="str">
        <f>IFERROR(INDEX('Schedule C'!$A$20:$BA$83,MATCH('DVO (F1 - F2)'!$R45,'Schedule C'!$A$20:$A$83,0),50)-INDEX('Schedule C'!$A$20:$BA$83,MATCH('DVO (F1 - F2)'!$R45,'Schedule C'!$A$20:$A$83,0),39)," ")</f>
        <v xml:space="preserve"> </v>
      </c>
      <c r="N45" s="1129" t="str">
        <f t="shared" si="1"/>
        <v xml:space="preserve"> </v>
      </c>
      <c r="O45" s="1129" t="str">
        <f t="shared" si="2"/>
        <v xml:space="preserve"> </v>
      </c>
      <c r="P45" s="1130" t="str">
        <f t="shared" si="3"/>
        <v xml:space="preserve"> </v>
      </c>
      <c r="Q45" s="1131" t="str">
        <f t="shared" si="4"/>
        <v xml:space="preserve"> </v>
      </c>
      <c r="R45" s="1118">
        <f>IF('Schedule C'!AX49&gt;='DVO (F1 - F2)'!J$3,IF('Schedule C'!AX49&lt;='DVO (F1 - F2)'!K$3,IF('Schedule C'!BA49="APPROVED",'Schedule C'!A49,0),0),0)</f>
        <v>0</v>
      </c>
    </row>
    <row r="46" spans="1:18" ht="15">
      <c r="A46" s="1125">
        <f t="shared" si="0"/>
        <v>39</v>
      </c>
      <c r="B46" s="1126">
        <v>1</v>
      </c>
      <c r="C46" s="1126" t="str">
        <f>IFERROR(VLOOKUP($D46,dropdowns!$I$3:$Q$30,6,0), " ")</f>
        <v xml:space="preserve"> </v>
      </c>
      <c r="D46" s="1126" t="str">
        <f>IFERROR(INDEX('Schedule C'!$A$20:$BA$83,MATCH('DVO (F1 - F2)'!$R229,'Schedule C'!$A$20:$A$83,0),13)," ")</f>
        <v xml:space="preserve"> </v>
      </c>
      <c r="E46" s="1126" t="str">
        <f>IFERROR(VLOOKUP($D46,dropdowns!$I$3:$Q$30,7,0), " ")</f>
        <v xml:space="preserve"> </v>
      </c>
      <c r="F46" s="1126" t="str">
        <f>IFERROR(INDEX('Schedule C'!$A$20:$BA$83,MATCH('DVO (F1 - F2)'!$R46,'Schedule C'!$A$20:$A$83,0),2)," ")</f>
        <v xml:space="preserve"> </v>
      </c>
      <c r="G46" s="1127" t="str">
        <f>IFERROR(INDEX('Schedule C'!$A$20:$BA$83,MATCH('DVO (F1 - F2)'!$R46,'Schedule C'!$A$20:$A$83,0),38)," ")</f>
        <v xml:space="preserve"> </v>
      </c>
      <c r="H46" s="1127" t="str">
        <f>IFERROR(INDEX('Schedule C'!$A$20:$BA$83,MATCH('DVO (F1 - F2)'!$R46,'Schedule C'!$A$20:$A$83,0),39)," ")</f>
        <v xml:space="preserve"> </v>
      </c>
      <c r="I46" s="1127" t="str">
        <f>IFERROR(INDEX('Schedule C'!$A$20:$BA$83,MATCH('DVO (F1 - F2)'!$R46,'Schedule C'!$A$20:$A$83,0),41)," ")</f>
        <v xml:space="preserve"> </v>
      </c>
      <c r="J46" s="1127" t="str">
        <f>IFERROR(INDEX('Schedule C'!$A$20:$BA$83,MATCH('DVO (F1 - F2)'!$R46,'Schedule C'!$A$20:$A$83,0),50)," ")</f>
        <v xml:space="preserve"> </v>
      </c>
      <c r="K46" s="1452" t="str">
        <f>IFERROR(INDEX('Schedule C'!$A$20:$BA$83,MATCH('DVO (F1 - F2)'!$R46,'Schedule C'!$A$20:$A$83,0),33)," ")</f>
        <v xml:space="preserve"> </v>
      </c>
      <c r="L46" s="1453" t="str">
        <f>IFERROR(INDEX('Schedule C'!$A$20:$BA$83,MATCH('DVO (F1 - F2)'!$R46,'Schedule C'!$A$20:$A$83,0),52)," ")</f>
        <v xml:space="preserve"> </v>
      </c>
      <c r="M46" s="1454" t="str">
        <f>IFERROR(INDEX('Schedule C'!$A$20:$BA$83,MATCH('DVO (F1 - F2)'!$R46,'Schedule C'!$A$20:$A$83,0),50)-INDEX('Schedule C'!$A$20:$BA$83,MATCH('DVO (F1 - F2)'!$R46,'Schedule C'!$A$20:$A$83,0),39)," ")</f>
        <v xml:space="preserve"> </v>
      </c>
      <c r="N46" s="1129" t="str">
        <f t="shared" si="1"/>
        <v xml:space="preserve"> </v>
      </c>
      <c r="O46" s="1129" t="str">
        <f t="shared" si="2"/>
        <v xml:space="preserve"> </v>
      </c>
      <c r="P46" s="1130" t="str">
        <f t="shared" si="3"/>
        <v xml:space="preserve"> </v>
      </c>
      <c r="Q46" s="1131" t="str">
        <f t="shared" si="4"/>
        <v xml:space="preserve"> </v>
      </c>
      <c r="R46" s="1118">
        <f>IF('Schedule C'!AX50&gt;='DVO (F1 - F2)'!J$3,IF('Schedule C'!AX50&lt;='DVO (F1 - F2)'!K$3,IF('Schedule C'!BA50="APPROVED",'Schedule C'!A50,0),0),0)</f>
        <v>0</v>
      </c>
    </row>
    <row r="47" spans="1:18" ht="15">
      <c r="A47" s="1125">
        <f t="shared" si="0"/>
        <v>40</v>
      </c>
      <c r="B47" s="1126">
        <v>1</v>
      </c>
      <c r="C47" s="1126" t="str">
        <f>IFERROR(VLOOKUP($D47,dropdowns!$I$3:$Q$30,6,0), " ")</f>
        <v xml:space="preserve"> </v>
      </c>
      <c r="D47" s="1126" t="str">
        <f>IFERROR(INDEX('Schedule C'!$A$20:$BA$83,MATCH('DVO (F1 - F2)'!$R230,'Schedule C'!$A$20:$A$83,0),13)," ")</f>
        <v xml:space="preserve"> </v>
      </c>
      <c r="E47" s="1126" t="str">
        <f>IFERROR(VLOOKUP($D47,dropdowns!$I$3:$Q$30,7,0), " ")</f>
        <v xml:space="preserve"> </v>
      </c>
      <c r="F47" s="1126" t="str">
        <f>IFERROR(INDEX('Schedule C'!$A$20:$BA$83,MATCH('DVO (F1 - F2)'!$R47,'Schedule C'!$A$20:$A$83,0),2)," ")</f>
        <v xml:space="preserve"> </v>
      </c>
      <c r="G47" s="1127" t="str">
        <f>IFERROR(INDEX('Schedule C'!$A$20:$BA$83,MATCH('DVO (F1 - F2)'!$R47,'Schedule C'!$A$20:$A$83,0),38)," ")</f>
        <v xml:space="preserve"> </v>
      </c>
      <c r="H47" s="1127" t="str">
        <f>IFERROR(INDEX('Schedule C'!$A$20:$BA$83,MATCH('DVO (F1 - F2)'!$R47,'Schedule C'!$A$20:$A$83,0),39)," ")</f>
        <v xml:space="preserve"> </v>
      </c>
      <c r="I47" s="1127" t="str">
        <f>IFERROR(INDEX('Schedule C'!$A$20:$BA$83,MATCH('DVO (F1 - F2)'!$R47,'Schedule C'!$A$20:$A$83,0),41)," ")</f>
        <v xml:space="preserve"> </v>
      </c>
      <c r="J47" s="1127" t="str">
        <f>IFERROR(INDEX('Schedule C'!$A$20:$BA$83,MATCH('DVO (F1 - F2)'!$R47,'Schedule C'!$A$20:$A$83,0),50)," ")</f>
        <v xml:space="preserve"> </v>
      </c>
      <c r="K47" s="1452" t="str">
        <f>IFERROR(INDEX('Schedule C'!$A$20:$BA$83,MATCH('DVO (F1 - F2)'!$R47,'Schedule C'!$A$20:$A$83,0),33)," ")</f>
        <v xml:space="preserve"> </v>
      </c>
      <c r="L47" s="1453" t="str">
        <f>IFERROR(INDEX('Schedule C'!$A$20:$BA$83,MATCH('DVO (F1 - F2)'!$R47,'Schedule C'!$A$20:$A$83,0),52)," ")</f>
        <v xml:space="preserve"> </v>
      </c>
      <c r="M47" s="1454" t="str">
        <f>IFERROR(INDEX('Schedule C'!$A$20:$BA$83,MATCH('DVO (F1 - F2)'!$R47,'Schedule C'!$A$20:$A$83,0),50)-INDEX('Schedule C'!$A$20:$BA$83,MATCH('DVO (F1 - F2)'!$R47,'Schedule C'!$A$20:$A$83,0),39)," ")</f>
        <v xml:space="preserve"> </v>
      </c>
      <c r="N47" s="1129" t="str">
        <f t="shared" si="1"/>
        <v xml:space="preserve"> </v>
      </c>
      <c r="O47" s="1129" t="str">
        <f t="shared" si="2"/>
        <v xml:space="preserve"> </v>
      </c>
      <c r="P47" s="1130" t="str">
        <f t="shared" si="3"/>
        <v xml:space="preserve"> </v>
      </c>
      <c r="Q47" s="1131" t="str">
        <f t="shared" si="4"/>
        <v xml:space="preserve"> </v>
      </c>
      <c r="R47" s="1118">
        <f>IF('Schedule C'!AX51&gt;='DVO (F1 - F2)'!J$3,IF('Schedule C'!AX51&lt;='DVO (F1 - F2)'!K$3,IF('Schedule C'!BA51="APPROVED",'Schedule C'!A51,0),0),0)</f>
        <v>0</v>
      </c>
    </row>
    <row r="48" spans="1:18" ht="15">
      <c r="A48" s="1125">
        <f t="shared" si="0"/>
        <v>41</v>
      </c>
      <c r="B48" s="1126">
        <v>1</v>
      </c>
      <c r="C48" s="1126" t="str">
        <f>IFERROR(VLOOKUP($D48,dropdowns!$I$3:$Q$30,6,0), " ")</f>
        <v xml:space="preserve"> </v>
      </c>
      <c r="D48" s="1126" t="str">
        <f>IFERROR(INDEX('Schedule C'!$A$20:$BA$83,MATCH('DVO (F1 - F2)'!$R231,'Schedule C'!$A$20:$A$83,0),13)," ")</f>
        <v xml:space="preserve"> </v>
      </c>
      <c r="E48" s="1126" t="str">
        <f>IFERROR(VLOOKUP($D48,dropdowns!$I$3:$Q$30,7,0), " ")</f>
        <v xml:space="preserve"> </v>
      </c>
      <c r="F48" s="1126" t="str">
        <f>IFERROR(INDEX('Schedule C'!$A$20:$BA$83,MATCH('DVO (F1 - F2)'!$R48,'Schedule C'!$A$20:$A$83,0),2)," ")</f>
        <v xml:space="preserve"> </v>
      </c>
      <c r="G48" s="1127" t="str">
        <f>IFERROR(INDEX('Schedule C'!$A$20:$BA$83,MATCH('DVO (F1 - F2)'!$R48,'Schedule C'!$A$20:$A$83,0),38)," ")</f>
        <v xml:space="preserve"> </v>
      </c>
      <c r="H48" s="1127" t="str">
        <f>IFERROR(INDEX('Schedule C'!$A$20:$BA$83,MATCH('DVO (F1 - F2)'!$R48,'Schedule C'!$A$20:$A$83,0),39)," ")</f>
        <v xml:space="preserve"> </v>
      </c>
      <c r="I48" s="1127" t="str">
        <f>IFERROR(INDEX('Schedule C'!$A$20:$BA$83,MATCH('DVO (F1 - F2)'!$R48,'Schedule C'!$A$20:$A$83,0),41)," ")</f>
        <v xml:space="preserve"> </v>
      </c>
      <c r="J48" s="1127" t="str">
        <f>IFERROR(INDEX('Schedule C'!$A$20:$BA$83,MATCH('DVO (F1 - F2)'!$R48,'Schedule C'!$A$20:$A$83,0),50)," ")</f>
        <v xml:space="preserve"> </v>
      </c>
      <c r="K48" s="1452" t="str">
        <f>IFERROR(INDEX('Schedule C'!$A$20:$BA$83,MATCH('DVO (F1 - F2)'!$R48,'Schedule C'!$A$20:$A$83,0),33)," ")</f>
        <v xml:space="preserve"> </v>
      </c>
      <c r="L48" s="1453" t="str">
        <f>IFERROR(INDEX('Schedule C'!$A$20:$BA$83,MATCH('DVO (F1 - F2)'!$R48,'Schedule C'!$A$20:$A$83,0),52)," ")</f>
        <v xml:space="preserve"> </v>
      </c>
      <c r="M48" s="1454" t="str">
        <f>IFERROR(INDEX('Schedule C'!$A$20:$BA$83,MATCH('DVO (F1 - F2)'!$R48,'Schedule C'!$A$20:$A$83,0),50)-INDEX('Schedule C'!$A$20:$BA$83,MATCH('DVO (F1 - F2)'!$R48,'Schedule C'!$A$20:$A$83,0),39)," ")</f>
        <v xml:space="preserve"> </v>
      </c>
      <c r="N48" s="1129" t="str">
        <f t="shared" si="1"/>
        <v xml:space="preserve"> </v>
      </c>
      <c r="O48" s="1129" t="str">
        <f t="shared" si="2"/>
        <v xml:space="preserve"> </v>
      </c>
      <c r="P48" s="1130" t="str">
        <f t="shared" si="3"/>
        <v xml:space="preserve"> </v>
      </c>
      <c r="Q48" s="1131" t="str">
        <f t="shared" si="4"/>
        <v xml:space="preserve"> </v>
      </c>
      <c r="R48" s="1118">
        <f>IF('Schedule C'!AX52&gt;='DVO (F1 - F2)'!J$3,IF('Schedule C'!AX52&lt;='DVO (F1 - F2)'!K$3,IF('Schedule C'!BA52="APPROVED",'Schedule C'!A52,0),0),0)</f>
        <v>0</v>
      </c>
    </row>
    <row r="49" spans="1:18" ht="15">
      <c r="A49" s="1125">
        <f t="shared" si="0"/>
        <v>42</v>
      </c>
      <c r="B49" s="1126">
        <v>1</v>
      </c>
      <c r="C49" s="1126" t="str">
        <f>IFERROR(VLOOKUP($D49,dropdowns!$I$3:$Q$30,6,0), " ")</f>
        <v xml:space="preserve"> </v>
      </c>
      <c r="D49" s="1126" t="str">
        <f>IFERROR(INDEX('Schedule C'!$A$20:$BA$83,MATCH('DVO (F1 - F2)'!$R232,'Schedule C'!$A$20:$A$83,0),13)," ")</f>
        <v xml:space="preserve"> </v>
      </c>
      <c r="E49" s="1126" t="str">
        <f>IFERROR(VLOOKUP($D49,dropdowns!$I$3:$Q$30,7,0), " ")</f>
        <v xml:space="preserve"> </v>
      </c>
      <c r="F49" s="1126" t="str">
        <f>IFERROR(INDEX('Schedule C'!$A$20:$BA$83,MATCH('DVO (F1 - F2)'!$R49,'Schedule C'!$A$20:$A$83,0),2)," ")</f>
        <v xml:space="preserve"> </v>
      </c>
      <c r="G49" s="1127" t="str">
        <f>IFERROR(INDEX('Schedule C'!$A$20:$BA$83,MATCH('DVO (F1 - F2)'!$R49,'Schedule C'!$A$20:$A$83,0),38)," ")</f>
        <v xml:space="preserve"> </v>
      </c>
      <c r="H49" s="1127" t="str">
        <f>IFERROR(INDEX('Schedule C'!$A$20:$BA$83,MATCH('DVO (F1 - F2)'!$R49,'Schedule C'!$A$20:$A$83,0),39)," ")</f>
        <v xml:space="preserve"> </v>
      </c>
      <c r="I49" s="1127" t="str">
        <f>IFERROR(INDEX('Schedule C'!$A$20:$BA$83,MATCH('DVO (F1 - F2)'!$R49,'Schedule C'!$A$20:$A$83,0),41)," ")</f>
        <v xml:space="preserve"> </v>
      </c>
      <c r="J49" s="1127" t="str">
        <f>IFERROR(INDEX('Schedule C'!$A$20:$BA$83,MATCH('DVO (F1 - F2)'!$R49,'Schedule C'!$A$20:$A$83,0),50)," ")</f>
        <v xml:space="preserve"> </v>
      </c>
      <c r="K49" s="1452" t="str">
        <f>IFERROR(INDEX('Schedule C'!$A$20:$BA$83,MATCH('DVO (F1 - F2)'!$R49,'Schedule C'!$A$20:$A$83,0),33)," ")</f>
        <v xml:space="preserve"> </v>
      </c>
      <c r="L49" s="1453" t="str">
        <f>IFERROR(INDEX('Schedule C'!$A$20:$BA$83,MATCH('DVO (F1 - F2)'!$R49,'Schedule C'!$A$20:$A$83,0),52)," ")</f>
        <v xml:space="preserve"> </v>
      </c>
      <c r="M49" s="1454" t="str">
        <f>IFERROR(INDEX('Schedule C'!$A$20:$BA$83,MATCH('DVO (F1 - F2)'!$R49,'Schedule C'!$A$20:$A$83,0),50)-INDEX('Schedule C'!$A$20:$BA$83,MATCH('DVO (F1 - F2)'!$R49,'Schedule C'!$A$20:$A$83,0),39)," ")</f>
        <v xml:space="preserve"> </v>
      </c>
      <c r="N49" s="1129" t="str">
        <f t="shared" si="1"/>
        <v xml:space="preserve"> </v>
      </c>
      <c r="O49" s="1129" t="str">
        <f t="shared" si="2"/>
        <v xml:space="preserve"> </v>
      </c>
      <c r="P49" s="1130" t="str">
        <f t="shared" si="3"/>
        <v xml:space="preserve"> </v>
      </c>
      <c r="Q49" s="1131" t="str">
        <f t="shared" si="4"/>
        <v xml:space="preserve"> </v>
      </c>
      <c r="R49" s="1118">
        <f>IF('Schedule C'!AX53&gt;='DVO (F1 - F2)'!J$3,IF('Schedule C'!AX53&lt;='DVO (F1 - F2)'!K$3,IF('Schedule C'!BA53="APPROVED",'Schedule C'!A53,0),0),0)</f>
        <v>0</v>
      </c>
    </row>
    <row r="50" spans="1:18" ht="15">
      <c r="A50" s="1125">
        <f t="shared" si="0"/>
        <v>43</v>
      </c>
      <c r="B50" s="1126">
        <v>1</v>
      </c>
      <c r="C50" s="1126" t="str">
        <f>IFERROR(VLOOKUP($D50,dropdowns!$I$3:$Q$30,6,0), " ")</f>
        <v xml:space="preserve"> </v>
      </c>
      <c r="D50" s="1126" t="str">
        <f>IFERROR(INDEX('Schedule C'!$A$20:$BA$83,MATCH('DVO (F1 - F2)'!$R233,'Schedule C'!$A$20:$A$83,0),13)," ")</f>
        <v xml:space="preserve"> </v>
      </c>
      <c r="E50" s="1126" t="str">
        <f>IFERROR(VLOOKUP($D50,dropdowns!$I$3:$Q$30,7,0), " ")</f>
        <v xml:space="preserve"> </v>
      </c>
      <c r="F50" s="1126" t="str">
        <f>IFERROR(INDEX('Schedule C'!$A$20:$BA$83,MATCH('DVO (F1 - F2)'!$R50,'Schedule C'!$A$20:$A$83,0),2)," ")</f>
        <v xml:space="preserve"> </v>
      </c>
      <c r="G50" s="1127" t="str">
        <f>IFERROR(INDEX('Schedule C'!$A$20:$BA$83,MATCH('DVO (F1 - F2)'!$R50,'Schedule C'!$A$20:$A$83,0),38)," ")</f>
        <v xml:space="preserve"> </v>
      </c>
      <c r="H50" s="1127" t="str">
        <f>IFERROR(INDEX('Schedule C'!$A$20:$BA$83,MATCH('DVO (F1 - F2)'!$R50,'Schedule C'!$A$20:$A$83,0),39)," ")</f>
        <v xml:space="preserve"> </v>
      </c>
      <c r="I50" s="1127" t="str">
        <f>IFERROR(INDEX('Schedule C'!$A$20:$BA$83,MATCH('DVO (F1 - F2)'!$R50,'Schedule C'!$A$20:$A$83,0),41)," ")</f>
        <v xml:space="preserve"> </v>
      </c>
      <c r="J50" s="1127" t="str">
        <f>IFERROR(INDEX('Schedule C'!$A$20:$BA$83,MATCH('DVO (F1 - F2)'!$R50,'Schedule C'!$A$20:$A$83,0),50)," ")</f>
        <v xml:space="preserve"> </v>
      </c>
      <c r="K50" s="1452" t="str">
        <f>IFERROR(INDEX('Schedule C'!$A$20:$BA$83,MATCH('DVO (F1 - F2)'!$R50,'Schedule C'!$A$20:$A$83,0),33)," ")</f>
        <v xml:space="preserve"> </v>
      </c>
      <c r="L50" s="1453" t="str">
        <f>IFERROR(INDEX('Schedule C'!$A$20:$BA$83,MATCH('DVO (F1 - F2)'!$R50,'Schedule C'!$A$20:$A$83,0),52)," ")</f>
        <v xml:space="preserve"> </v>
      </c>
      <c r="M50" s="1454" t="str">
        <f>IFERROR(INDEX('Schedule C'!$A$20:$BA$83,MATCH('DVO (F1 - F2)'!$R50,'Schedule C'!$A$20:$A$83,0),50)-INDEX('Schedule C'!$A$20:$BA$83,MATCH('DVO (F1 - F2)'!$R50,'Schedule C'!$A$20:$A$83,0),39)," ")</f>
        <v xml:space="preserve"> </v>
      </c>
      <c r="N50" s="1129" t="str">
        <f t="shared" si="1"/>
        <v xml:space="preserve"> </v>
      </c>
      <c r="O50" s="1129" t="str">
        <f t="shared" si="2"/>
        <v xml:space="preserve"> </v>
      </c>
      <c r="P50" s="1130" t="str">
        <f t="shared" si="3"/>
        <v xml:space="preserve"> </v>
      </c>
      <c r="Q50" s="1131" t="str">
        <f t="shared" si="4"/>
        <v xml:space="preserve"> </v>
      </c>
      <c r="R50" s="1118">
        <f>IF('Schedule C'!AX54&gt;='DVO (F1 - F2)'!J$3,IF('Schedule C'!AX54&lt;='DVO (F1 - F2)'!K$3,IF('Schedule C'!BA54="APPROVED",'Schedule C'!A54,0),0),0)</f>
        <v>0</v>
      </c>
    </row>
    <row r="51" spans="1:18" ht="15">
      <c r="A51" s="1125">
        <f t="shared" si="0"/>
        <v>44</v>
      </c>
      <c r="B51" s="1126">
        <v>1</v>
      </c>
      <c r="C51" s="1126" t="str">
        <f>IFERROR(VLOOKUP($D51,dropdowns!$I$3:$Q$30,6,0), " ")</f>
        <v xml:space="preserve"> </v>
      </c>
      <c r="D51" s="1126" t="str">
        <f>IFERROR(INDEX('Schedule C'!$A$20:$BA$83,MATCH('DVO (F1 - F2)'!$R234,'Schedule C'!$A$20:$A$83,0),13)," ")</f>
        <v xml:space="preserve"> </v>
      </c>
      <c r="E51" s="1126" t="str">
        <f>IFERROR(VLOOKUP($D51,dropdowns!$I$3:$Q$30,7,0), " ")</f>
        <v xml:space="preserve"> </v>
      </c>
      <c r="F51" s="1126" t="str">
        <f>IFERROR(INDEX('Schedule C'!$A$20:$BA$83,MATCH('DVO (F1 - F2)'!$R51,'Schedule C'!$A$20:$A$83,0),2)," ")</f>
        <v xml:space="preserve"> </v>
      </c>
      <c r="G51" s="1127" t="str">
        <f>IFERROR(INDEX('Schedule C'!$A$20:$BA$83,MATCH('DVO (F1 - F2)'!$R51,'Schedule C'!$A$20:$A$83,0),38)," ")</f>
        <v xml:space="preserve"> </v>
      </c>
      <c r="H51" s="1127" t="str">
        <f>IFERROR(INDEX('Schedule C'!$A$20:$BA$83,MATCH('DVO (F1 - F2)'!$R51,'Schedule C'!$A$20:$A$83,0),39)," ")</f>
        <v xml:space="preserve"> </v>
      </c>
      <c r="I51" s="1127" t="str">
        <f>IFERROR(INDEX('Schedule C'!$A$20:$BA$83,MATCH('DVO (F1 - F2)'!$R51,'Schedule C'!$A$20:$A$83,0),41)," ")</f>
        <v xml:space="preserve"> </v>
      </c>
      <c r="J51" s="1127" t="str">
        <f>IFERROR(INDEX('Schedule C'!$A$20:$BA$83,MATCH('DVO (F1 - F2)'!$R51,'Schedule C'!$A$20:$A$83,0),50)," ")</f>
        <v xml:space="preserve"> </v>
      </c>
      <c r="K51" s="1452" t="str">
        <f>IFERROR(INDEX('Schedule C'!$A$20:$BA$83,MATCH('DVO (F1 - F2)'!$R51,'Schedule C'!$A$20:$A$83,0),33)," ")</f>
        <v xml:space="preserve"> </v>
      </c>
      <c r="L51" s="1453" t="str">
        <f>IFERROR(INDEX('Schedule C'!$A$20:$BA$83,MATCH('DVO (F1 - F2)'!$R51,'Schedule C'!$A$20:$A$83,0),52)," ")</f>
        <v xml:space="preserve"> </v>
      </c>
      <c r="M51" s="1454" t="str">
        <f>IFERROR(INDEX('Schedule C'!$A$20:$BA$83,MATCH('DVO (F1 - F2)'!$R51,'Schedule C'!$A$20:$A$83,0),50)-INDEX('Schedule C'!$A$20:$BA$83,MATCH('DVO (F1 - F2)'!$R51,'Schedule C'!$A$20:$A$83,0),39)," ")</f>
        <v xml:space="preserve"> </v>
      </c>
      <c r="N51" s="1129" t="str">
        <f t="shared" si="1"/>
        <v xml:space="preserve"> </v>
      </c>
      <c r="O51" s="1129" t="str">
        <f t="shared" si="2"/>
        <v xml:space="preserve"> </v>
      </c>
      <c r="P51" s="1130" t="str">
        <f t="shared" si="3"/>
        <v xml:space="preserve"> </v>
      </c>
      <c r="Q51" s="1131" t="str">
        <f t="shared" si="4"/>
        <v xml:space="preserve"> </v>
      </c>
      <c r="R51" s="1118">
        <f>IF('Schedule C'!AX55&gt;='DVO (F1 - F2)'!J$3,IF('Schedule C'!AX55&lt;='DVO (F1 - F2)'!K$3,IF('Schedule C'!BA55="APPROVED",'Schedule C'!A55,0),0),0)</f>
        <v>0</v>
      </c>
    </row>
    <row r="52" spans="1:18" ht="15">
      <c r="A52" s="1125">
        <f t="shared" si="0"/>
        <v>45</v>
      </c>
      <c r="B52" s="1126">
        <v>1</v>
      </c>
      <c r="C52" s="1126" t="str">
        <f>IFERROR(VLOOKUP($D52,dropdowns!$I$3:$Q$30,6,0), " ")</f>
        <v xml:space="preserve"> </v>
      </c>
      <c r="D52" s="1126" t="str">
        <f>IFERROR(INDEX('Schedule C'!$A$20:$BA$83,MATCH('DVO (F1 - F2)'!$R235,'Schedule C'!$A$20:$A$83,0),13)," ")</f>
        <v xml:space="preserve"> </v>
      </c>
      <c r="E52" s="1126" t="str">
        <f>IFERROR(VLOOKUP($D52,dropdowns!$I$3:$Q$30,7,0), " ")</f>
        <v xml:space="preserve"> </v>
      </c>
      <c r="F52" s="1126" t="str">
        <f>IFERROR(INDEX('Schedule C'!$A$20:$BA$83,MATCH('DVO (F1 - F2)'!$R52,'Schedule C'!$A$20:$A$83,0),2)," ")</f>
        <v xml:space="preserve"> </v>
      </c>
      <c r="G52" s="1127" t="str">
        <f>IFERROR(INDEX('Schedule C'!$A$20:$BA$83,MATCH('DVO (F1 - F2)'!$R52,'Schedule C'!$A$20:$A$83,0),38)," ")</f>
        <v xml:space="preserve"> </v>
      </c>
      <c r="H52" s="1127" t="str">
        <f>IFERROR(INDEX('Schedule C'!$A$20:$BA$83,MATCH('DVO (F1 - F2)'!$R52,'Schedule C'!$A$20:$A$83,0),39)," ")</f>
        <v xml:space="preserve"> </v>
      </c>
      <c r="I52" s="1127" t="str">
        <f>IFERROR(INDEX('Schedule C'!$A$20:$BA$83,MATCH('DVO (F1 - F2)'!$R52,'Schedule C'!$A$20:$A$83,0),41)," ")</f>
        <v xml:space="preserve"> </v>
      </c>
      <c r="J52" s="1127" t="str">
        <f>IFERROR(INDEX('Schedule C'!$A$20:$BA$83,MATCH('DVO (F1 - F2)'!$R52,'Schedule C'!$A$20:$A$83,0),50)," ")</f>
        <v xml:space="preserve"> </v>
      </c>
      <c r="K52" s="1452" t="str">
        <f>IFERROR(INDEX('Schedule C'!$A$20:$BA$83,MATCH('DVO (F1 - F2)'!$R52,'Schedule C'!$A$20:$A$83,0),33)," ")</f>
        <v xml:space="preserve"> </v>
      </c>
      <c r="L52" s="1453" t="str">
        <f>IFERROR(INDEX('Schedule C'!$A$20:$BA$83,MATCH('DVO (F1 - F2)'!$R52,'Schedule C'!$A$20:$A$83,0),52)," ")</f>
        <v xml:space="preserve"> </v>
      </c>
      <c r="M52" s="1454" t="str">
        <f>IFERROR(INDEX('Schedule C'!$A$20:$BA$83,MATCH('DVO (F1 - F2)'!$R52,'Schedule C'!$A$20:$A$83,0),50)-INDEX('Schedule C'!$A$20:$BA$83,MATCH('DVO (F1 - F2)'!$R52,'Schedule C'!$A$20:$A$83,0),39)," ")</f>
        <v xml:space="preserve"> </v>
      </c>
      <c r="N52" s="1129" t="str">
        <f t="shared" si="1"/>
        <v xml:space="preserve"> </v>
      </c>
      <c r="O52" s="1129" t="str">
        <f t="shared" si="2"/>
        <v xml:space="preserve"> </v>
      </c>
      <c r="P52" s="1130" t="str">
        <f t="shared" si="3"/>
        <v xml:space="preserve"> </v>
      </c>
      <c r="Q52" s="1131" t="str">
        <f t="shared" si="4"/>
        <v xml:space="preserve"> </v>
      </c>
      <c r="R52" s="1118">
        <f>IF('Schedule C'!AX56&gt;='DVO (F1 - F2)'!J$3,IF('Schedule C'!AX56&lt;='DVO (F1 - F2)'!K$3,IF('Schedule C'!BA56="APPROVED",'Schedule C'!A56,0),0),0)</f>
        <v>0</v>
      </c>
    </row>
    <row r="53" spans="1:18" ht="15">
      <c r="A53" s="1125">
        <f t="shared" si="0"/>
        <v>46</v>
      </c>
      <c r="B53" s="1126">
        <v>1</v>
      </c>
      <c r="C53" s="1126" t="str">
        <f>IFERROR(VLOOKUP($D53,dropdowns!$I$3:$Q$30,6,0), " ")</f>
        <v xml:space="preserve"> </v>
      </c>
      <c r="D53" s="1126" t="str">
        <f>IFERROR(INDEX('Schedule C'!$A$20:$BA$83,MATCH('DVO (F1 - F2)'!$R236,'Schedule C'!$A$20:$A$83,0),13)," ")</f>
        <v xml:space="preserve"> </v>
      </c>
      <c r="E53" s="1126" t="str">
        <f>IFERROR(VLOOKUP($D53,dropdowns!$I$3:$Q$30,7,0), " ")</f>
        <v xml:space="preserve"> </v>
      </c>
      <c r="F53" s="1126" t="str">
        <f>IFERROR(INDEX('Schedule C'!$A$20:$BA$83,MATCH('DVO (F1 - F2)'!$R53,'Schedule C'!$A$20:$A$83,0),2)," ")</f>
        <v xml:space="preserve"> </v>
      </c>
      <c r="G53" s="1127" t="str">
        <f>IFERROR(INDEX('Schedule C'!$A$20:$BA$83,MATCH('DVO (F1 - F2)'!$R53,'Schedule C'!$A$20:$A$83,0),38)," ")</f>
        <v xml:space="preserve"> </v>
      </c>
      <c r="H53" s="1127" t="str">
        <f>IFERROR(INDEX('Schedule C'!$A$20:$BA$83,MATCH('DVO (F1 - F2)'!$R53,'Schedule C'!$A$20:$A$83,0),39)," ")</f>
        <v xml:space="preserve"> </v>
      </c>
      <c r="I53" s="1127" t="str">
        <f>IFERROR(INDEX('Schedule C'!$A$20:$BA$83,MATCH('DVO (F1 - F2)'!$R53,'Schedule C'!$A$20:$A$83,0),41)," ")</f>
        <v xml:space="preserve"> </v>
      </c>
      <c r="J53" s="1127" t="str">
        <f>IFERROR(INDEX('Schedule C'!$A$20:$BA$83,MATCH('DVO (F1 - F2)'!$R53,'Schedule C'!$A$20:$A$83,0),50)," ")</f>
        <v xml:space="preserve"> </v>
      </c>
      <c r="K53" s="1452" t="str">
        <f>IFERROR(INDEX('Schedule C'!$A$20:$BA$83,MATCH('DVO (F1 - F2)'!$R53,'Schedule C'!$A$20:$A$83,0),33)," ")</f>
        <v xml:space="preserve"> </v>
      </c>
      <c r="L53" s="1453" t="str">
        <f>IFERROR(INDEX('Schedule C'!$A$20:$BA$83,MATCH('DVO (F1 - F2)'!$R53,'Schedule C'!$A$20:$A$83,0),52)," ")</f>
        <v xml:space="preserve"> </v>
      </c>
      <c r="M53" s="1454" t="str">
        <f>IFERROR(INDEX('Schedule C'!$A$20:$BA$83,MATCH('DVO (F1 - F2)'!$R53,'Schedule C'!$A$20:$A$83,0),50)-INDEX('Schedule C'!$A$20:$BA$83,MATCH('DVO (F1 - F2)'!$R53,'Schedule C'!$A$20:$A$83,0),39)," ")</f>
        <v xml:space="preserve"> </v>
      </c>
      <c r="N53" s="1129" t="str">
        <f t="shared" si="1"/>
        <v xml:space="preserve"> </v>
      </c>
      <c r="O53" s="1129" t="str">
        <f t="shared" si="2"/>
        <v xml:space="preserve"> </v>
      </c>
      <c r="P53" s="1130" t="str">
        <f t="shared" si="3"/>
        <v xml:space="preserve"> </v>
      </c>
      <c r="Q53" s="1131" t="str">
        <f t="shared" si="4"/>
        <v xml:space="preserve"> </v>
      </c>
      <c r="R53" s="1118">
        <f>IF('Schedule C'!AX57&gt;='DVO (F1 - F2)'!J$3,IF('Schedule C'!AX57&lt;='DVO (F1 - F2)'!K$3,IF('Schedule C'!BA57="APPROVED",'Schedule C'!A57,0),0),0)</f>
        <v>0</v>
      </c>
    </row>
    <row r="54" spans="1:18" ht="15">
      <c r="A54" s="1125">
        <f t="shared" si="0"/>
        <v>47</v>
      </c>
      <c r="B54" s="1126">
        <v>1</v>
      </c>
      <c r="C54" s="1126" t="str">
        <f>IFERROR(VLOOKUP($D54,dropdowns!$I$3:$Q$30,6,0), " ")</f>
        <v xml:space="preserve"> </v>
      </c>
      <c r="D54" s="1126" t="str">
        <f>IFERROR(INDEX('Schedule C'!$A$20:$BA$83,MATCH('DVO (F1 - F2)'!$R237,'Schedule C'!$A$20:$A$83,0),13)," ")</f>
        <v xml:space="preserve"> </v>
      </c>
      <c r="E54" s="1126" t="str">
        <f>IFERROR(VLOOKUP($D54,dropdowns!$I$3:$Q$30,7,0), " ")</f>
        <v xml:space="preserve"> </v>
      </c>
      <c r="F54" s="1126" t="str">
        <f>IFERROR(INDEX('Schedule C'!$A$20:$BA$83,MATCH('DVO (F1 - F2)'!$R54,'Schedule C'!$A$20:$A$83,0),2)," ")</f>
        <v xml:space="preserve"> </v>
      </c>
      <c r="G54" s="1127" t="str">
        <f>IFERROR(INDEX('Schedule C'!$A$20:$BA$83,MATCH('DVO (F1 - F2)'!$R54,'Schedule C'!$A$20:$A$83,0),38)," ")</f>
        <v xml:space="preserve"> </v>
      </c>
      <c r="H54" s="1127" t="str">
        <f>IFERROR(INDEX('Schedule C'!$A$20:$BA$83,MATCH('DVO (F1 - F2)'!$R54,'Schedule C'!$A$20:$A$83,0),39)," ")</f>
        <v xml:space="preserve"> </v>
      </c>
      <c r="I54" s="1127" t="str">
        <f>IFERROR(INDEX('Schedule C'!$A$20:$BA$83,MATCH('DVO (F1 - F2)'!$R54,'Schedule C'!$A$20:$A$83,0),41)," ")</f>
        <v xml:space="preserve"> </v>
      </c>
      <c r="J54" s="1127" t="str">
        <f>IFERROR(INDEX('Schedule C'!$A$20:$BA$83,MATCH('DVO (F1 - F2)'!$R54,'Schedule C'!$A$20:$A$83,0),50)," ")</f>
        <v xml:space="preserve"> </v>
      </c>
      <c r="K54" s="1452" t="str">
        <f>IFERROR(INDEX('Schedule C'!$A$20:$BA$83,MATCH('DVO (F1 - F2)'!$R54,'Schedule C'!$A$20:$A$83,0),33)," ")</f>
        <v xml:space="preserve"> </v>
      </c>
      <c r="L54" s="1453" t="str">
        <f>IFERROR(INDEX('Schedule C'!$A$20:$BA$83,MATCH('DVO (F1 - F2)'!$R54,'Schedule C'!$A$20:$A$83,0),52)," ")</f>
        <v xml:space="preserve"> </v>
      </c>
      <c r="M54" s="1454" t="str">
        <f>IFERROR(INDEX('Schedule C'!$A$20:$BA$83,MATCH('DVO (F1 - F2)'!$R54,'Schedule C'!$A$20:$A$83,0),50)-INDEX('Schedule C'!$A$20:$BA$83,MATCH('DVO (F1 - F2)'!$R54,'Schedule C'!$A$20:$A$83,0),39)," ")</f>
        <v xml:space="preserve"> </v>
      </c>
      <c r="N54" s="1129" t="str">
        <f t="shared" si="1"/>
        <v xml:space="preserve"> </v>
      </c>
      <c r="O54" s="1129" t="str">
        <f t="shared" si="2"/>
        <v xml:space="preserve"> </v>
      </c>
      <c r="P54" s="1130" t="str">
        <f t="shared" si="3"/>
        <v xml:space="preserve"> </v>
      </c>
      <c r="Q54" s="1131" t="str">
        <f t="shared" si="4"/>
        <v xml:space="preserve"> </v>
      </c>
      <c r="R54" s="1118">
        <f>IF('Schedule C'!AX58&gt;='DVO (F1 - F2)'!J$3,IF('Schedule C'!AX58&lt;='DVO (F1 - F2)'!K$3,IF('Schedule C'!BA58="APPROVED",'Schedule C'!A58,0),0),0)</f>
        <v>0</v>
      </c>
    </row>
    <row r="55" spans="1:18" ht="15">
      <c r="A55" s="1125">
        <f t="shared" si="0"/>
        <v>48</v>
      </c>
      <c r="B55" s="1126">
        <v>1</v>
      </c>
      <c r="C55" s="1126" t="str">
        <f>IFERROR(VLOOKUP($D55,dropdowns!$I$3:$Q$30,6,0), " ")</f>
        <v xml:space="preserve"> </v>
      </c>
      <c r="D55" s="1126" t="str">
        <f>IFERROR(INDEX('Schedule C'!$A$20:$BA$83,MATCH('DVO (F1 - F2)'!$R238,'Schedule C'!$A$20:$A$83,0),13)," ")</f>
        <v xml:space="preserve"> </v>
      </c>
      <c r="E55" s="1126" t="str">
        <f>IFERROR(VLOOKUP($D55,dropdowns!$I$3:$Q$30,7,0), " ")</f>
        <v xml:space="preserve"> </v>
      </c>
      <c r="F55" s="1126" t="str">
        <f>IFERROR(INDEX('Schedule C'!$A$20:$BA$83,MATCH('DVO (F1 - F2)'!$R55,'Schedule C'!$A$20:$A$83,0),2)," ")</f>
        <v xml:space="preserve"> </v>
      </c>
      <c r="G55" s="1127" t="str">
        <f>IFERROR(INDEX('Schedule C'!$A$20:$BA$83,MATCH('DVO (F1 - F2)'!$R55,'Schedule C'!$A$20:$A$83,0),38)," ")</f>
        <v xml:space="preserve"> </v>
      </c>
      <c r="H55" s="1127" t="str">
        <f>IFERROR(INDEX('Schedule C'!$A$20:$BA$83,MATCH('DVO (F1 - F2)'!$R55,'Schedule C'!$A$20:$A$83,0),39)," ")</f>
        <v xml:space="preserve"> </v>
      </c>
      <c r="I55" s="1127" t="str">
        <f>IFERROR(INDEX('Schedule C'!$A$20:$BA$83,MATCH('DVO (F1 - F2)'!$R55,'Schedule C'!$A$20:$A$83,0),41)," ")</f>
        <v xml:space="preserve"> </v>
      </c>
      <c r="J55" s="1127" t="str">
        <f>IFERROR(INDEX('Schedule C'!$A$20:$BA$83,MATCH('DVO (F1 - F2)'!$R55,'Schedule C'!$A$20:$A$83,0),50)," ")</f>
        <v xml:space="preserve"> </v>
      </c>
      <c r="K55" s="1452" t="str">
        <f>IFERROR(INDEX('Schedule C'!$A$20:$BA$83,MATCH('DVO (F1 - F2)'!$R55,'Schedule C'!$A$20:$A$83,0),33)," ")</f>
        <v xml:space="preserve"> </v>
      </c>
      <c r="L55" s="1453" t="str">
        <f>IFERROR(INDEX('Schedule C'!$A$20:$BA$83,MATCH('DVO (F1 - F2)'!$R55,'Schedule C'!$A$20:$A$83,0),52)," ")</f>
        <v xml:space="preserve"> </v>
      </c>
      <c r="M55" s="1454" t="str">
        <f>IFERROR(INDEX('Schedule C'!$A$20:$BA$83,MATCH('DVO (F1 - F2)'!$R55,'Schedule C'!$A$20:$A$83,0),50)-INDEX('Schedule C'!$A$20:$BA$83,MATCH('DVO (F1 - F2)'!$R55,'Schedule C'!$A$20:$A$83,0),39)," ")</f>
        <v xml:space="preserve"> </v>
      </c>
      <c r="N55" s="1129" t="str">
        <f t="shared" si="1"/>
        <v xml:space="preserve"> </v>
      </c>
      <c r="O55" s="1129" t="str">
        <f t="shared" si="2"/>
        <v xml:space="preserve"> </v>
      </c>
      <c r="P55" s="1130" t="str">
        <f t="shared" si="3"/>
        <v xml:space="preserve"> </v>
      </c>
      <c r="Q55" s="1131" t="str">
        <f t="shared" si="4"/>
        <v xml:space="preserve"> </v>
      </c>
      <c r="R55" s="1118">
        <f>IF('Schedule C'!AX59&gt;='DVO (F1 - F2)'!J$3,IF('Schedule C'!AX59&lt;='DVO (F1 - F2)'!K$3,IF('Schedule C'!BA59="APPROVED",'Schedule C'!A59,0),0),0)</f>
        <v>0</v>
      </c>
    </row>
    <row r="56" spans="1:18" ht="15">
      <c r="A56" s="1125">
        <f t="shared" si="0"/>
        <v>49</v>
      </c>
      <c r="B56" s="1126">
        <v>1</v>
      </c>
      <c r="C56" s="1126" t="str">
        <f>IFERROR(VLOOKUP($D56,dropdowns!$I$3:$Q$30,6,0), " ")</f>
        <v xml:space="preserve"> </v>
      </c>
      <c r="D56" s="1126" t="str">
        <f>IFERROR(INDEX('Schedule C'!$A$20:$BA$83,MATCH('DVO (F1 - F2)'!$R239,'Schedule C'!$A$20:$A$83,0),13)," ")</f>
        <v xml:space="preserve"> </v>
      </c>
      <c r="E56" s="1126" t="str">
        <f>IFERROR(VLOOKUP($D56,dropdowns!$I$3:$Q$30,7,0), " ")</f>
        <v xml:space="preserve"> </v>
      </c>
      <c r="F56" s="1126" t="str">
        <f>IFERROR(INDEX('Schedule C'!$A$20:$BA$83,MATCH('DVO (F1 - F2)'!$R56,'Schedule C'!$A$20:$A$83,0),2)," ")</f>
        <v xml:space="preserve"> </v>
      </c>
      <c r="G56" s="1127" t="str">
        <f>IFERROR(INDEX('Schedule C'!$A$20:$BA$83,MATCH('DVO (F1 - F2)'!$R56,'Schedule C'!$A$20:$A$83,0),38)," ")</f>
        <v xml:space="preserve"> </v>
      </c>
      <c r="H56" s="1127" t="str">
        <f>IFERROR(INDEX('Schedule C'!$A$20:$BA$83,MATCH('DVO (F1 - F2)'!$R56,'Schedule C'!$A$20:$A$83,0),39)," ")</f>
        <v xml:space="preserve"> </v>
      </c>
      <c r="I56" s="1127" t="str">
        <f>IFERROR(INDEX('Schedule C'!$A$20:$BA$83,MATCH('DVO (F1 - F2)'!$R56,'Schedule C'!$A$20:$A$83,0),41)," ")</f>
        <v xml:space="preserve"> </v>
      </c>
      <c r="J56" s="1127" t="str">
        <f>IFERROR(INDEX('Schedule C'!$A$20:$BA$83,MATCH('DVO (F1 - F2)'!$R56,'Schedule C'!$A$20:$A$83,0),50)," ")</f>
        <v xml:space="preserve"> </v>
      </c>
      <c r="K56" s="1452" t="str">
        <f>IFERROR(INDEX('Schedule C'!$A$20:$BA$83,MATCH('DVO (F1 - F2)'!$R56,'Schedule C'!$A$20:$A$83,0),33)," ")</f>
        <v xml:space="preserve"> </v>
      </c>
      <c r="L56" s="1453" t="str">
        <f>IFERROR(INDEX('Schedule C'!$A$20:$BA$83,MATCH('DVO (F1 - F2)'!$R56,'Schedule C'!$A$20:$A$83,0),52)," ")</f>
        <v xml:space="preserve"> </v>
      </c>
      <c r="M56" s="1454" t="str">
        <f>IFERROR(INDEX('Schedule C'!$A$20:$BA$83,MATCH('DVO (F1 - F2)'!$R56,'Schedule C'!$A$20:$A$83,0),50)-INDEX('Schedule C'!$A$20:$BA$83,MATCH('DVO (F1 - F2)'!$R56,'Schedule C'!$A$20:$A$83,0),39)," ")</f>
        <v xml:space="preserve"> </v>
      </c>
      <c r="N56" s="1129" t="str">
        <f t="shared" si="1"/>
        <v xml:space="preserve"> </v>
      </c>
      <c r="O56" s="1129" t="str">
        <f t="shared" si="2"/>
        <v xml:space="preserve"> </v>
      </c>
      <c r="P56" s="1130" t="str">
        <f t="shared" si="3"/>
        <v xml:space="preserve"> </v>
      </c>
      <c r="Q56" s="1131" t="str">
        <f t="shared" si="4"/>
        <v xml:space="preserve"> </v>
      </c>
      <c r="R56" s="1118">
        <f>IF('Schedule C'!AX60&gt;='DVO (F1 - F2)'!J$3,IF('Schedule C'!AX60&lt;='DVO (F1 - F2)'!K$3,IF('Schedule C'!BA60="APPROVED",'Schedule C'!A60,0),0),0)</f>
        <v>0</v>
      </c>
    </row>
    <row r="57" spans="1:18" ht="15">
      <c r="A57" s="1125">
        <f t="shared" si="0"/>
        <v>50</v>
      </c>
      <c r="B57" s="1126">
        <v>1</v>
      </c>
      <c r="C57" s="1126" t="str">
        <f>IFERROR(VLOOKUP($D57,dropdowns!$I$3:$Q$30,6,0), " ")</f>
        <v xml:space="preserve"> </v>
      </c>
      <c r="D57" s="1126" t="str">
        <f>IFERROR(INDEX('Schedule C'!$A$20:$BA$83,MATCH('DVO (F1 - F2)'!$R240,'Schedule C'!$A$20:$A$83,0),13)," ")</f>
        <v xml:space="preserve"> </v>
      </c>
      <c r="E57" s="1126" t="str">
        <f>IFERROR(VLOOKUP($D57,dropdowns!$I$3:$Q$30,7,0), " ")</f>
        <v xml:space="preserve"> </v>
      </c>
      <c r="F57" s="1126" t="str">
        <f>IFERROR(INDEX('Schedule C'!$A$20:$BA$83,MATCH('DVO (F1 - F2)'!$R57,'Schedule C'!$A$20:$A$83,0),2)," ")</f>
        <v xml:space="preserve"> </v>
      </c>
      <c r="G57" s="1127" t="str">
        <f>IFERROR(INDEX('Schedule C'!$A$20:$BA$83,MATCH('DVO (F1 - F2)'!$R57,'Schedule C'!$A$20:$A$83,0),38)," ")</f>
        <v xml:space="preserve"> </v>
      </c>
      <c r="H57" s="1127" t="str">
        <f>IFERROR(INDEX('Schedule C'!$A$20:$BA$83,MATCH('DVO (F1 - F2)'!$R57,'Schedule C'!$A$20:$A$83,0),39)," ")</f>
        <v xml:space="preserve"> </v>
      </c>
      <c r="I57" s="1127" t="str">
        <f>IFERROR(INDEX('Schedule C'!$A$20:$BA$83,MATCH('DVO (F1 - F2)'!$R57,'Schedule C'!$A$20:$A$83,0),41)," ")</f>
        <v xml:space="preserve"> </v>
      </c>
      <c r="J57" s="1127" t="str">
        <f>IFERROR(INDEX('Schedule C'!$A$20:$BA$83,MATCH('DVO (F1 - F2)'!$R57,'Schedule C'!$A$20:$A$83,0),50)," ")</f>
        <v xml:space="preserve"> </v>
      </c>
      <c r="K57" s="1452" t="str">
        <f>IFERROR(INDEX('Schedule C'!$A$20:$BA$83,MATCH('DVO (F1 - F2)'!$R57,'Schedule C'!$A$20:$A$83,0),33)," ")</f>
        <v xml:space="preserve"> </v>
      </c>
      <c r="L57" s="1453" t="str">
        <f>IFERROR(INDEX('Schedule C'!$A$20:$BA$83,MATCH('DVO (F1 - F2)'!$R57,'Schedule C'!$A$20:$A$83,0),52)," ")</f>
        <v xml:space="preserve"> </v>
      </c>
      <c r="M57" s="1454" t="str">
        <f>IFERROR(INDEX('Schedule C'!$A$20:$BA$83,MATCH('DVO (F1 - F2)'!$R57,'Schedule C'!$A$20:$A$83,0),50)-INDEX('Schedule C'!$A$20:$BA$83,MATCH('DVO (F1 - F2)'!$R57,'Schedule C'!$A$20:$A$83,0),39)," ")</f>
        <v xml:space="preserve"> </v>
      </c>
      <c r="N57" s="1129" t="str">
        <f t="shared" si="1"/>
        <v xml:space="preserve"> </v>
      </c>
      <c r="O57" s="1129" t="str">
        <f t="shared" si="2"/>
        <v xml:space="preserve"> </v>
      </c>
      <c r="P57" s="1130" t="str">
        <f t="shared" si="3"/>
        <v xml:space="preserve"> </v>
      </c>
      <c r="Q57" s="1131" t="str">
        <f t="shared" si="4"/>
        <v xml:space="preserve"> </v>
      </c>
      <c r="R57" s="1118">
        <f>IF('Schedule C'!AX61&gt;='DVO (F1 - F2)'!J$3,IF('Schedule C'!AX61&lt;='DVO (F1 - F2)'!K$3,IF('Schedule C'!BA61="APPROVED",'Schedule C'!A61,0),0),0)</f>
        <v>0</v>
      </c>
    </row>
    <row r="58" spans="1:18" ht="15">
      <c r="A58" s="1125">
        <f t="shared" si="0"/>
        <v>51</v>
      </c>
      <c r="B58" s="1126">
        <v>1</v>
      </c>
      <c r="C58" s="1126" t="str">
        <f>IFERROR(VLOOKUP($D58,dropdowns!$I$3:$Q$30,6,0), " ")</f>
        <v xml:space="preserve"> </v>
      </c>
      <c r="D58" s="1126" t="str">
        <f>IFERROR(INDEX('Schedule C'!$A$20:$BA$83,MATCH('DVO (F1 - F2)'!$R241,'Schedule C'!$A$20:$A$83,0),13)," ")</f>
        <v xml:space="preserve"> </v>
      </c>
      <c r="E58" s="1126" t="str">
        <f>IFERROR(VLOOKUP($D58,dropdowns!$I$3:$Q$30,7,0), " ")</f>
        <v xml:space="preserve"> </v>
      </c>
      <c r="F58" s="1126" t="str">
        <f>IFERROR(INDEX('Schedule C'!$A$20:$BA$83,MATCH('DVO (F1 - F2)'!$R58,'Schedule C'!$A$20:$A$83,0),2)," ")</f>
        <v xml:space="preserve"> </v>
      </c>
      <c r="G58" s="1127" t="str">
        <f>IFERROR(INDEX('Schedule C'!$A$20:$BA$83,MATCH('DVO (F1 - F2)'!$R58,'Schedule C'!$A$20:$A$83,0),38)," ")</f>
        <v xml:space="preserve"> </v>
      </c>
      <c r="H58" s="1127" t="str">
        <f>IFERROR(INDEX('Schedule C'!$A$20:$BA$83,MATCH('DVO (F1 - F2)'!$R58,'Schedule C'!$A$20:$A$83,0),39)," ")</f>
        <v xml:space="preserve"> </v>
      </c>
      <c r="I58" s="1127" t="str">
        <f>IFERROR(INDEX('Schedule C'!$A$20:$BA$83,MATCH('DVO (F1 - F2)'!$R58,'Schedule C'!$A$20:$A$83,0),41)," ")</f>
        <v xml:space="preserve"> </v>
      </c>
      <c r="J58" s="1127" t="str">
        <f>IFERROR(INDEX('Schedule C'!$A$20:$BA$83,MATCH('DVO (F1 - F2)'!$R58,'Schedule C'!$A$20:$A$83,0),50)," ")</f>
        <v xml:space="preserve"> </v>
      </c>
      <c r="K58" s="1452" t="str">
        <f>IFERROR(INDEX('Schedule C'!$A$20:$BA$83,MATCH('DVO (F1 - F2)'!$R58,'Schedule C'!$A$20:$A$83,0),33)," ")</f>
        <v xml:space="preserve"> </v>
      </c>
      <c r="L58" s="1453" t="str">
        <f>IFERROR(INDEX('Schedule C'!$A$20:$BA$83,MATCH('DVO (F1 - F2)'!$R58,'Schedule C'!$A$20:$A$83,0),52)," ")</f>
        <v xml:space="preserve"> </v>
      </c>
      <c r="M58" s="1454" t="str">
        <f>IFERROR(INDEX('Schedule C'!$A$20:$BA$83,MATCH('DVO (F1 - F2)'!$R58,'Schedule C'!$A$20:$A$83,0),50)-INDEX('Schedule C'!$A$20:$BA$83,MATCH('DVO (F1 - F2)'!$R58,'Schedule C'!$A$20:$A$83,0),39)," ")</f>
        <v xml:space="preserve"> </v>
      </c>
      <c r="N58" s="1129" t="str">
        <f t="shared" si="1"/>
        <v xml:space="preserve"> </v>
      </c>
      <c r="O58" s="1129" t="str">
        <f t="shared" si="2"/>
        <v xml:space="preserve"> </v>
      </c>
      <c r="P58" s="1130" t="str">
        <f t="shared" si="3"/>
        <v xml:space="preserve"> </v>
      </c>
      <c r="Q58" s="1131" t="str">
        <f t="shared" si="4"/>
        <v xml:space="preserve"> </v>
      </c>
      <c r="R58" s="1118">
        <f>IF('Schedule C'!AX62&gt;='DVO (F1 - F2)'!J$3,IF('Schedule C'!AX62&lt;='DVO (F1 - F2)'!K$3,IF('Schedule C'!BA62="APPROVED",'Schedule C'!A62,0),0),0)</f>
        <v>0</v>
      </c>
    </row>
    <row r="59" spans="1:18" ht="15">
      <c r="A59" s="1125">
        <f t="shared" si="0"/>
        <v>52</v>
      </c>
      <c r="B59" s="1126">
        <v>1</v>
      </c>
      <c r="C59" s="1126" t="str">
        <f>IFERROR(VLOOKUP($D59,dropdowns!$I$3:$Q$30,6,0), " ")</f>
        <v xml:space="preserve"> </v>
      </c>
      <c r="D59" s="1126" t="str">
        <f>IFERROR(INDEX('Schedule C'!$A$20:$BA$83,MATCH('DVO (F1 - F2)'!$R242,'Schedule C'!$A$20:$A$83,0),13)," ")</f>
        <v xml:space="preserve"> </v>
      </c>
      <c r="E59" s="1126" t="str">
        <f>IFERROR(VLOOKUP($D59,dropdowns!$I$3:$Q$30,7,0), " ")</f>
        <v xml:space="preserve"> </v>
      </c>
      <c r="F59" s="1126" t="str">
        <f>IFERROR(INDEX('Schedule C'!$A$20:$BA$83,MATCH('DVO (F1 - F2)'!$R59,'Schedule C'!$A$20:$A$83,0),2)," ")</f>
        <v xml:space="preserve"> </v>
      </c>
      <c r="G59" s="1127" t="str">
        <f>IFERROR(INDEX('Schedule C'!$A$20:$BA$83,MATCH('DVO (F1 - F2)'!$R59,'Schedule C'!$A$20:$A$83,0),38)," ")</f>
        <v xml:space="preserve"> </v>
      </c>
      <c r="H59" s="1127" t="str">
        <f>IFERROR(INDEX('Schedule C'!$A$20:$BA$83,MATCH('DVO (F1 - F2)'!$R59,'Schedule C'!$A$20:$A$83,0),39)," ")</f>
        <v xml:space="preserve"> </v>
      </c>
      <c r="I59" s="1127" t="str">
        <f>IFERROR(INDEX('Schedule C'!$A$20:$BA$83,MATCH('DVO (F1 - F2)'!$R59,'Schedule C'!$A$20:$A$83,0),41)," ")</f>
        <v xml:space="preserve"> </v>
      </c>
      <c r="J59" s="1127" t="str">
        <f>IFERROR(INDEX('Schedule C'!$A$20:$BA$83,MATCH('DVO (F1 - F2)'!$R59,'Schedule C'!$A$20:$A$83,0),50)," ")</f>
        <v xml:space="preserve"> </v>
      </c>
      <c r="K59" s="1452" t="str">
        <f>IFERROR(INDEX('Schedule C'!$A$20:$BA$83,MATCH('DVO (F1 - F2)'!$R59,'Schedule C'!$A$20:$A$83,0),33)," ")</f>
        <v xml:space="preserve"> </v>
      </c>
      <c r="L59" s="1453" t="str">
        <f>IFERROR(INDEX('Schedule C'!$A$20:$BA$83,MATCH('DVO (F1 - F2)'!$R59,'Schedule C'!$A$20:$A$83,0),52)," ")</f>
        <v xml:space="preserve"> </v>
      </c>
      <c r="M59" s="1454" t="str">
        <f>IFERROR(INDEX('Schedule C'!$A$20:$BA$83,MATCH('DVO (F1 - F2)'!$R59,'Schedule C'!$A$20:$A$83,0),50)-INDEX('Schedule C'!$A$20:$BA$83,MATCH('DVO (F1 - F2)'!$R59,'Schedule C'!$A$20:$A$83,0),39)," ")</f>
        <v xml:space="preserve"> </v>
      </c>
      <c r="N59" s="1129" t="str">
        <f t="shared" si="1"/>
        <v xml:space="preserve"> </v>
      </c>
      <c r="O59" s="1129" t="str">
        <f t="shared" si="2"/>
        <v xml:space="preserve"> </v>
      </c>
      <c r="P59" s="1130" t="str">
        <f t="shared" si="3"/>
        <v xml:space="preserve"> </v>
      </c>
      <c r="Q59" s="1131" t="str">
        <f t="shared" si="4"/>
        <v xml:space="preserve"> </v>
      </c>
      <c r="R59" s="1118">
        <f>IF('Schedule C'!AX63&gt;='DVO (F1 - F2)'!J$3,IF('Schedule C'!AX63&lt;='DVO (F1 - F2)'!K$3,IF('Schedule C'!BA63="APPROVED",'Schedule C'!A63,0),0),0)</f>
        <v>0</v>
      </c>
    </row>
    <row r="60" spans="1:18" ht="15">
      <c r="A60" s="1125">
        <f t="shared" si="0"/>
        <v>53</v>
      </c>
      <c r="B60" s="1126">
        <v>1</v>
      </c>
      <c r="C60" s="1126" t="str">
        <f>IFERROR(VLOOKUP($D60,dropdowns!$I$3:$Q$30,6,0), " ")</f>
        <v xml:space="preserve"> </v>
      </c>
      <c r="D60" s="1126" t="str">
        <f>IFERROR(INDEX('Schedule C'!$A$20:$BA$83,MATCH('DVO (F1 - F2)'!$R243,'Schedule C'!$A$20:$A$83,0),13)," ")</f>
        <v xml:space="preserve"> </v>
      </c>
      <c r="E60" s="1126" t="str">
        <f>IFERROR(VLOOKUP($D60,dropdowns!$I$3:$Q$30,7,0), " ")</f>
        <v xml:space="preserve"> </v>
      </c>
      <c r="F60" s="1126" t="str">
        <f>IFERROR(INDEX('Schedule C'!$A$20:$BA$83,MATCH('DVO (F1 - F2)'!$R60,'Schedule C'!$A$20:$A$83,0),2)," ")</f>
        <v xml:space="preserve"> </v>
      </c>
      <c r="G60" s="1127" t="str">
        <f>IFERROR(INDEX('Schedule C'!$A$20:$BA$83,MATCH('DVO (F1 - F2)'!$R60,'Schedule C'!$A$20:$A$83,0),38)," ")</f>
        <v xml:space="preserve"> </v>
      </c>
      <c r="H60" s="1127" t="str">
        <f>IFERROR(INDEX('Schedule C'!$A$20:$BA$83,MATCH('DVO (F1 - F2)'!$R60,'Schedule C'!$A$20:$A$83,0),39)," ")</f>
        <v xml:space="preserve"> </v>
      </c>
      <c r="I60" s="1127" t="str">
        <f>IFERROR(INDEX('Schedule C'!$A$20:$BA$83,MATCH('DVO (F1 - F2)'!$R60,'Schedule C'!$A$20:$A$83,0),41)," ")</f>
        <v xml:space="preserve"> </v>
      </c>
      <c r="J60" s="1127" t="str">
        <f>IFERROR(INDEX('Schedule C'!$A$20:$BA$83,MATCH('DVO (F1 - F2)'!$R60,'Schedule C'!$A$20:$A$83,0),50)," ")</f>
        <v xml:space="preserve"> </v>
      </c>
      <c r="K60" s="1452" t="str">
        <f>IFERROR(INDEX('Schedule C'!$A$20:$BA$83,MATCH('DVO (F1 - F2)'!$R60,'Schedule C'!$A$20:$A$83,0),33)," ")</f>
        <v xml:space="preserve"> </v>
      </c>
      <c r="L60" s="1453" t="str">
        <f>IFERROR(INDEX('Schedule C'!$A$20:$BA$83,MATCH('DVO (F1 - F2)'!$R60,'Schedule C'!$A$20:$A$83,0),52)," ")</f>
        <v xml:space="preserve"> </v>
      </c>
      <c r="M60" s="1454" t="str">
        <f>IFERROR(INDEX('Schedule C'!$A$20:$BA$83,MATCH('DVO (F1 - F2)'!$R60,'Schedule C'!$A$20:$A$83,0),50)-INDEX('Schedule C'!$A$20:$BA$83,MATCH('DVO (F1 - F2)'!$R60,'Schedule C'!$A$20:$A$83,0),39)," ")</f>
        <v xml:space="preserve"> </v>
      </c>
      <c r="N60" s="1129" t="str">
        <f t="shared" si="1"/>
        <v xml:space="preserve"> </v>
      </c>
      <c r="O60" s="1129" t="str">
        <f t="shared" si="2"/>
        <v xml:space="preserve"> </v>
      </c>
      <c r="P60" s="1130" t="str">
        <f t="shared" si="3"/>
        <v xml:space="preserve"> </v>
      </c>
      <c r="Q60" s="1131" t="str">
        <f t="shared" si="4"/>
        <v xml:space="preserve"> </v>
      </c>
      <c r="R60" s="1118">
        <f>IF('Schedule C'!AX64&gt;='DVO (F1 - F2)'!J$3,IF('Schedule C'!AX64&lt;='DVO (F1 - F2)'!K$3,IF('Schedule C'!BA64="APPROVED",'Schedule C'!A64,0),0),0)</f>
        <v>0</v>
      </c>
    </row>
    <row r="61" spans="1:18" ht="15">
      <c r="A61" s="1125">
        <f t="shared" si="0"/>
        <v>54</v>
      </c>
      <c r="B61" s="1126">
        <v>1</v>
      </c>
      <c r="C61" s="1126" t="str">
        <f>IFERROR(VLOOKUP($D61,dropdowns!$I$3:$Q$30,6,0), " ")</f>
        <v xml:space="preserve"> </v>
      </c>
      <c r="D61" s="1126" t="str">
        <f>IFERROR(INDEX('Schedule C'!$A$20:$BA$83,MATCH('DVO (F1 - F2)'!$R244,'Schedule C'!$A$20:$A$83,0),13)," ")</f>
        <v xml:space="preserve"> </v>
      </c>
      <c r="E61" s="1126" t="str">
        <f>IFERROR(VLOOKUP($D61,dropdowns!$I$3:$Q$30,7,0), " ")</f>
        <v xml:space="preserve"> </v>
      </c>
      <c r="F61" s="1126" t="str">
        <f>IFERROR(INDEX('Schedule C'!$A$20:$BA$83,MATCH('DVO (F1 - F2)'!$R61,'Schedule C'!$A$20:$A$83,0),2)," ")</f>
        <v xml:space="preserve"> </v>
      </c>
      <c r="G61" s="1127" t="str">
        <f>IFERROR(INDEX('Schedule C'!$A$20:$BA$83,MATCH('DVO (F1 - F2)'!$R61,'Schedule C'!$A$20:$A$83,0),38)," ")</f>
        <v xml:space="preserve"> </v>
      </c>
      <c r="H61" s="1127" t="str">
        <f>IFERROR(INDEX('Schedule C'!$A$20:$BA$83,MATCH('DVO (F1 - F2)'!$R61,'Schedule C'!$A$20:$A$83,0),39)," ")</f>
        <v xml:space="preserve"> </v>
      </c>
      <c r="I61" s="1127" t="str">
        <f>IFERROR(INDEX('Schedule C'!$A$20:$BA$83,MATCH('DVO (F1 - F2)'!$R61,'Schedule C'!$A$20:$A$83,0),41)," ")</f>
        <v xml:space="preserve"> </v>
      </c>
      <c r="J61" s="1127" t="str">
        <f>IFERROR(INDEX('Schedule C'!$A$20:$BA$83,MATCH('DVO (F1 - F2)'!$R61,'Schedule C'!$A$20:$A$83,0),50)," ")</f>
        <v xml:space="preserve"> </v>
      </c>
      <c r="K61" s="1452" t="str">
        <f>IFERROR(INDEX('Schedule C'!$A$20:$BA$83,MATCH('DVO (F1 - F2)'!$R61,'Schedule C'!$A$20:$A$83,0),33)," ")</f>
        <v xml:space="preserve"> </v>
      </c>
      <c r="L61" s="1453" t="str">
        <f>IFERROR(INDEX('Schedule C'!$A$20:$BA$83,MATCH('DVO (F1 - F2)'!$R61,'Schedule C'!$A$20:$A$83,0),52)," ")</f>
        <v xml:space="preserve"> </v>
      </c>
      <c r="M61" s="1454" t="str">
        <f>IFERROR(INDEX('Schedule C'!$A$20:$BA$83,MATCH('DVO (F1 - F2)'!$R61,'Schedule C'!$A$20:$A$83,0),50)-INDEX('Schedule C'!$A$20:$BA$83,MATCH('DVO (F1 - F2)'!$R61,'Schedule C'!$A$20:$A$83,0),39)," ")</f>
        <v xml:space="preserve"> </v>
      </c>
      <c r="N61" s="1129" t="str">
        <f t="shared" si="1"/>
        <v xml:space="preserve"> </v>
      </c>
      <c r="O61" s="1129" t="str">
        <f t="shared" si="2"/>
        <v xml:space="preserve"> </v>
      </c>
      <c r="P61" s="1130" t="str">
        <f t="shared" si="3"/>
        <v xml:space="preserve"> </v>
      </c>
      <c r="Q61" s="1131" t="str">
        <f t="shared" si="4"/>
        <v xml:space="preserve"> </v>
      </c>
      <c r="R61" s="1118">
        <f>IF('Schedule C'!AX65&gt;='DVO (F1 - F2)'!J$3,IF('Schedule C'!AX65&lt;='DVO (F1 - F2)'!K$3,IF('Schedule C'!BA65="APPROVED",'Schedule C'!A65,0),0),0)</f>
        <v>0</v>
      </c>
    </row>
    <row r="62" spans="1:18" ht="15">
      <c r="A62" s="1125">
        <f t="shared" si="0"/>
        <v>55</v>
      </c>
      <c r="B62" s="1126">
        <v>1</v>
      </c>
      <c r="C62" s="1126" t="str">
        <f>IFERROR(VLOOKUP($D62,dropdowns!$I$3:$Q$30,6,0), " ")</f>
        <v xml:space="preserve"> </v>
      </c>
      <c r="D62" s="1126" t="str">
        <f>IFERROR(INDEX('Schedule C'!$A$20:$BA$83,MATCH('DVO (F1 - F2)'!$R245,'Schedule C'!$A$20:$A$83,0),13)," ")</f>
        <v xml:space="preserve"> </v>
      </c>
      <c r="E62" s="1126" t="str">
        <f>IFERROR(VLOOKUP($D62,dropdowns!$I$3:$Q$30,7,0), " ")</f>
        <v xml:space="preserve"> </v>
      </c>
      <c r="F62" s="1126" t="str">
        <f>IFERROR(INDEX('Schedule C'!$A$20:$BA$83,MATCH('DVO (F1 - F2)'!$R62,'Schedule C'!$A$20:$A$83,0),2)," ")</f>
        <v xml:space="preserve"> </v>
      </c>
      <c r="G62" s="1127" t="str">
        <f>IFERROR(INDEX('Schedule C'!$A$20:$BA$83,MATCH('DVO (F1 - F2)'!$R62,'Schedule C'!$A$20:$A$83,0),38)," ")</f>
        <v xml:space="preserve"> </v>
      </c>
      <c r="H62" s="1127" t="str">
        <f>IFERROR(INDEX('Schedule C'!$A$20:$BA$83,MATCH('DVO (F1 - F2)'!$R62,'Schedule C'!$A$20:$A$83,0),39)," ")</f>
        <v xml:space="preserve"> </v>
      </c>
      <c r="I62" s="1127" t="str">
        <f>IFERROR(INDEX('Schedule C'!$A$20:$BA$83,MATCH('DVO (F1 - F2)'!$R62,'Schedule C'!$A$20:$A$83,0),41)," ")</f>
        <v xml:space="preserve"> </v>
      </c>
      <c r="J62" s="1127" t="str">
        <f>IFERROR(INDEX('Schedule C'!$A$20:$BA$83,MATCH('DVO (F1 - F2)'!$R62,'Schedule C'!$A$20:$A$83,0),50)," ")</f>
        <v xml:space="preserve"> </v>
      </c>
      <c r="K62" s="1452" t="str">
        <f>IFERROR(INDEX('Schedule C'!$A$20:$BA$83,MATCH('DVO (F1 - F2)'!$R62,'Schedule C'!$A$20:$A$83,0),33)," ")</f>
        <v xml:space="preserve"> </v>
      </c>
      <c r="L62" s="1453" t="str">
        <f>IFERROR(INDEX('Schedule C'!$A$20:$BA$83,MATCH('DVO (F1 - F2)'!$R62,'Schedule C'!$A$20:$A$83,0),52)," ")</f>
        <v xml:space="preserve"> </v>
      </c>
      <c r="M62" s="1454" t="str">
        <f>IFERROR(INDEX('Schedule C'!$A$20:$BA$83,MATCH('DVO (F1 - F2)'!$R62,'Schedule C'!$A$20:$A$83,0),50)-INDEX('Schedule C'!$A$20:$BA$83,MATCH('DVO (F1 - F2)'!$R62,'Schedule C'!$A$20:$A$83,0),39)," ")</f>
        <v xml:space="preserve"> </v>
      </c>
      <c r="N62" s="1129" t="str">
        <f t="shared" si="1"/>
        <v xml:space="preserve"> </v>
      </c>
      <c r="O62" s="1129" t="str">
        <f t="shared" si="2"/>
        <v xml:space="preserve"> </v>
      </c>
      <c r="P62" s="1130" t="str">
        <f t="shared" si="3"/>
        <v xml:space="preserve"> </v>
      </c>
      <c r="Q62" s="1131" t="str">
        <f t="shared" si="4"/>
        <v xml:space="preserve"> </v>
      </c>
      <c r="R62" s="1118">
        <f>IF('Schedule C'!AX66&gt;='DVO (F1 - F2)'!J$3,IF('Schedule C'!AX66&lt;='DVO (F1 - F2)'!K$3,IF('Schedule C'!BA66="APPROVED",'Schedule C'!A66,0),0),0)</f>
        <v>0</v>
      </c>
    </row>
    <row r="63" spans="1:18" ht="15">
      <c r="A63" s="1125">
        <f t="shared" si="0"/>
        <v>56</v>
      </c>
      <c r="B63" s="1126">
        <v>1</v>
      </c>
      <c r="C63" s="1126" t="str">
        <f>IFERROR(VLOOKUP($D63,dropdowns!$I$3:$Q$30,6,0), " ")</f>
        <v xml:space="preserve"> </v>
      </c>
      <c r="D63" s="1126" t="str">
        <f>IFERROR(INDEX('Schedule C'!$A$20:$BA$83,MATCH('DVO (F1 - F2)'!$R246,'Schedule C'!$A$20:$A$83,0),13)," ")</f>
        <v xml:space="preserve"> </v>
      </c>
      <c r="E63" s="1126" t="str">
        <f>IFERROR(VLOOKUP($D63,dropdowns!$I$3:$Q$30,7,0), " ")</f>
        <v xml:space="preserve"> </v>
      </c>
      <c r="F63" s="1126" t="str">
        <f>IFERROR(INDEX('Schedule C'!$A$20:$BA$83,MATCH('DVO (F1 - F2)'!$R63,'Schedule C'!$A$20:$A$83,0),2)," ")</f>
        <v xml:space="preserve"> </v>
      </c>
      <c r="G63" s="1127" t="str">
        <f>IFERROR(INDEX('Schedule C'!$A$20:$BA$83,MATCH('DVO (F1 - F2)'!$R63,'Schedule C'!$A$20:$A$83,0),38)," ")</f>
        <v xml:space="preserve"> </v>
      </c>
      <c r="H63" s="1127" t="str">
        <f>IFERROR(INDEX('Schedule C'!$A$20:$BA$83,MATCH('DVO (F1 - F2)'!$R63,'Schedule C'!$A$20:$A$83,0),39)," ")</f>
        <v xml:space="preserve"> </v>
      </c>
      <c r="I63" s="1127" t="str">
        <f>IFERROR(INDEX('Schedule C'!$A$20:$BA$83,MATCH('DVO (F1 - F2)'!$R63,'Schedule C'!$A$20:$A$83,0),41)," ")</f>
        <v xml:space="preserve"> </v>
      </c>
      <c r="J63" s="1127" t="str">
        <f>IFERROR(INDEX('Schedule C'!$A$20:$BA$83,MATCH('DVO (F1 - F2)'!$R63,'Schedule C'!$A$20:$A$83,0),50)," ")</f>
        <v xml:space="preserve"> </v>
      </c>
      <c r="K63" s="1452" t="str">
        <f>IFERROR(INDEX('Schedule C'!$A$20:$BA$83,MATCH('DVO (F1 - F2)'!$R63,'Schedule C'!$A$20:$A$83,0),33)," ")</f>
        <v xml:space="preserve"> </v>
      </c>
      <c r="L63" s="1453" t="str">
        <f>IFERROR(INDEX('Schedule C'!$A$20:$BA$83,MATCH('DVO (F1 - F2)'!$R63,'Schedule C'!$A$20:$A$83,0),52)," ")</f>
        <v xml:space="preserve"> </v>
      </c>
      <c r="M63" s="1454" t="str">
        <f>IFERROR(INDEX('Schedule C'!$A$20:$BA$83,MATCH('DVO (F1 - F2)'!$R63,'Schedule C'!$A$20:$A$83,0),50)-INDEX('Schedule C'!$A$20:$BA$83,MATCH('DVO (F1 - F2)'!$R63,'Schedule C'!$A$20:$A$83,0),39)," ")</f>
        <v xml:space="preserve"> </v>
      </c>
      <c r="N63" s="1129" t="str">
        <f t="shared" si="1"/>
        <v xml:space="preserve"> </v>
      </c>
      <c r="O63" s="1129" t="str">
        <f t="shared" si="2"/>
        <v xml:space="preserve"> </v>
      </c>
      <c r="P63" s="1130" t="str">
        <f t="shared" si="3"/>
        <v xml:space="preserve"> </v>
      </c>
      <c r="Q63" s="1131" t="str">
        <f t="shared" si="4"/>
        <v xml:space="preserve"> </v>
      </c>
      <c r="R63" s="1118">
        <f>IF('Schedule C'!AX67&gt;='DVO (F1 - F2)'!J$3,IF('Schedule C'!AX67&lt;='DVO (F1 - F2)'!K$3,IF('Schedule C'!BA67="APPROVED",'Schedule C'!A67,0),0),0)</f>
        <v>0</v>
      </c>
    </row>
    <row r="64" spans="1:18" ht="15">
      <c r="A64" s="1125">
        <f t="shared" si="0"/>
        <v>57</v>
      </c>
      <c r="B64" s="1126">
        <v>1</v>
      </c>
      <c r="C64" s="1126" t="str">
        <f>IFERROR(VLOOKUP($D64,dropdowns!$I$3:$Q$30,6,0), " ")</f>
        <v xml:space="preserve"> </v>
      </c>
      <c r="D64" s="1126" t="str">
        <f>IFERROR(INDEX('Schedule C'!$A$20:$BA$83,MATCH('DVO (F1 - F2)'!$R247,'Schedule C'!$A$20:$A$83,0),13)," ")</f>
        <v xml:space="preserve"> </v>
      </c>
      <c r="E64" s="1126" t="str">
        <f>IFERROR(VLOOKUP($D64,dropdowns!$I$3:$Q$30,7,0), " ")</f>
        <v xml:space="preserve"> </v>
      </c>
      <c r="F64" s="1126" t="str">
        <f>IFERROR(INDEX('Schedule C'!$A$20:$BA$83,MATCH('DVO (F1 - F2)'!$R64,'Schedule C'!$A$20:$A$83,0),2)," ")</f>
        <v xml:space="preserve"> </v>
      </c>
      <c r="G64" s="1127" t="str">
        <f>IFERROR(INDEX('Schedule C'!$A$20:$BA$83,MATCH('DVO (F1 - F2)'!$R64,'Schedule C'!$A$20:$A$83,0),38)," ")</f>
        <v xml:space="preserve"> </v>
      </c>
      <c r="H64" s="1127" t="str">
        <f>IFERROR(INDEX('Schedule C'!$A$20:$BA$83,MATCH('DVO (F1 - F2)'!$R64,'Schedule C'!$A$20:$A$83,0),39)," ")</f>
        <v xml:space="preserve"> </v>
      </c>
      <c r="I64" s="1127" t="str">
        <f>IFERROR(INDEX('Schedule C'!$A$20:$BA$83,MATCH('DVO (F1 - F2)'!$R64,'Schedule C'!$A$20:$A$83,0),41)," ")</f>
        <v xml:space="preserve"> </v>
      </c>
      <c r="J64" s="1127" t="str">
        <f>IFERROR(INDEX('Schedule C'!$A$20:$BA$83,MATCH('DVO (F1 - F2)'!$R64,'Schedule C'!$A$20:$A$83,0),50)," ")</f>
        <v xml:space="preserve"> </v>
      </c>
      <c r="K64" s="1452" t="str">
        <f>IFERROR(INDEX('Schedule C'!$A$20:$BA$83,MATCH('DVO (F1 - F2)'!$R64,'Schedule C'!$A$20:$A$83,0),33)," ")</f>
        <v xml:space="preserve"> </v>
      </c>
      <c r="L64" s="1453" t="str">
        <f>IFERROR(INDEX('Schedule C'!$A$20:$BA$83,MATCH('DVO (F1 - F2)'!$R64,'Schedule C'!$A$20:$A$83,0),52)," ")</f>
        <v xml:space="preserve"> </v>
      </c>
      <c r="M64" s="1454" t="str">
        <f>IFERROR(INDEX('Schedule C'!$A$20:$BA$83,MATCH('DVO (F1 - F2)'!$R64,'Schedule C'!$A$20:$A$83,0),50)-INDEX('Schedule C'!$A$20:$BA$83,MATCH('DVO (F1 - F2)'!$R64,'Schedule C'!$A$20:$A$83,0),39)," ")</f>
        <v xml:space="preserve"> </v>
      </c>
      <c r="N64" s="1129" t="str">
        <f t="shared" si="1"/>
        <v xml:space="preserve"> </v>
      </c>
      <c r="O64" s="1129" t="str">
        <f t="shared" si="2"/>
        <v xml:space="preserve"> </v>
      </c>
      <c r="P64" s="1130" t="str">
        <f t="shared" si="3"/>
        <v xml:space="preserve"> </v>
      </c>
      <c r="Q64" s="1131" t="str">
        <f t="shared" si="4"/>
        <v xml:space="preserve"> </v>
      </c>
      <c r="R64" s="1118">
        <f>IF('Schedule C'!AX68&gt;='DVO (F1 - F2)'!J$3,IF('Schedule C'!AX68&lt;='DVO (F1 - F2)'!K$3,IF('Schedule C'!BA68="APPROVED",'Schedule C'!A68,0),0),0)</f>
        <v>0</v>
      </c>
    </row>
    <row r="65" spans="1:18" ht="15">
      <c r="A65" s="1125">
        <f t="shared" si="0"/>
        <v>58</v>
      </c>
      <c r="B65" s="1126">
        <v>1</v>
      </c>
      <c r="C65" s="1126" t="str">
        <f>IFERROR(VLOOKUP($D65,dropdowns!$I$3:$Q$30,6,0), " ")</f>
        <v xml:space="preserve"> </v>
      </c>
      <c r="D65" s="1126" t="str">
        <f>IFERROR(INDEX('Schedule C'!$A$20:$BA$83,MATCH('DVO (F1 - F2)'!$R248,'Schedule C'!$A$20:$A$83,0),13)," ")</f>
        <v xml:space="preserve"> </v>
      </c>
      <c r="E65" s="1126" t="str">
        <f>IFERROR(VLOOKUP($D65,dropdowns!$I$3:$Q$30,7,0), " ")</f>
        <v xml:space="preserve"> </v>
      </c>
      <c r="F65" s="1126" t="str">
        <f>IFERROR(INDEX('Schedule C'!$A$20:$BA$83,MATCH('DVO (F1 - F2)'!$R65,'Schedule C'!$A$20:$A$83,0),2)," ")</f>
        <v xml:space="preserve"> </v>
      </c>
      <c r="G65" s="1127" t="str">
        <f>IFERROR(INDEX('Schedule C'!$A$20:$BA$83,MATCH('DVO (F1 - F2)'!$R65,'Schedule C'!$A$20:$A$83,0),38)," ")</f>
        <v xml:space="preserve"> </v>
      </c>
      <c r="H65" s="1127" t="str">
        <f>IFERROR(INDEX('Schedule C'!$A$20:$BA$83,MATCH('DVO (F1 - F2)'!$R65,'Schedule C'!$A$20:$A$83,0),39)," ")</f>
        <v xml:space="preserve"> </v>
      </c>
      <c r="I65" s="1127" t="str">
        <f>IFERROR(INDEX('Schedule C'!$A$20:$BA$83,MATCH('DVO (F1 - F2)'!$R65,'Schedule C'!$A$20:$A$83,0),41)," ")</f>
        <v xml:space="preserve"> </v>
      </c>
      <c r="J65" s="1127" t="str">
        <f>IFERROR(INDEX('Schedule C'!$A$20:$BA$83,MATCH('DVO (F1 - F2)'!$R65,'Schedule C'!$A$20:$A$83,0),50)," ")</f>
        <v xml:space="preserve"> </v>
      </c>
      <c r="K65" s="1452" t="str">
        <f>IFERROR(INDEX('Schedule C'!$A$20:$BA$83,MATCH('DVO (F1 - F2)'!$R65,'Schedule C'!$A$20:$A$83,0),33)," ")</f>
        <v xml:space="preserve"> </v>
      </c>
      <c r="L65" s="1453" t="str">
        <f>IFERROR(INDEX('Schedule C'!$A$20:$BA$83,MATCH('DVO (F1 - F2)'!$R65,'Schedule C'!$A$20:$A$83,0),52)," ")</f>
        <v xml:space="preserve"> </v>
      </c>
      <c r="M65" s="1454" t="str">
        <f>IFERROR(INDEX('Schedule C'!$A$20:$BA$83,MATCH('DVO (F1 - F2)'!$R65,'Schedule C'!$A$20:$A$83,0),50)-INDEX('Schedule C'!$A$20:$BA$83,MATCH('DVO (F1 - F2)'!$R65,'Schedule C'!$A$20:$A$83,0),39)," ")</f>
        <v xml:space="preserve"> </v>
      </c>
      <c r="N65" s="1129" t="str">
        <f t="shared" si="1"/>
        <v xml:space="preserve"> </v>
      </c>
      <c r="O65" s="1129" t="str">
        <f t="shared" si="2"/>
        <v xml:space="preserve"> </v>
      </c>
      <c r="P65" s="1130" t="str">
        <f t="shared" si="3"/>
        <v xml:space="preserve"> </v>
      </c>
      <c r="Q65" s="1131" t="str">
        <f t="shared" si="4"/>
        <v xml:space="preserve"> </v>
      </c>
      <c r="R65" s="1118">
        <f>IF('Schedule C'!AX69&gt;='DVO (F1 - F2)'!J$3,IF('Schedule C'!AX69&lt;='DVO (F1 - F2)'!K$3,IF('Schedule C'!BA69="APPROVED",'Schedule C'!A69,0),0),0)</f>
        <v>0</v>
      </c>
    </row>
    <row r="66" spans="1:18" ht="15">
      <c r="A66" s="1125">
        <f t="shared" si="0"/>
        <v>59</v>
      </c>
      <c r="B66" s="1126">
        <v>1</v>
      </c>
      <c r="C66" s="1126" t="str">
        <f>IFERROR(VLOOKUP($D66,dropdowns!$I$3:$Q$30,6,0), " ")</f>
        <v xml:space="preserve"> </v>
      </c>
      <c r="D66" s="1126" t="str">
        <f>IFERROR(INDEX('Schedule C'!$A$20:$BA$83,MATCH('DVO (F1 - F2)'!$R249,'Schedule C'!$A$20:$A$83,0),13)," ")</f>
        <v xml:space="preserve"> </v>
      </c>
      <c r="E66" s="1126" t="str">
        <f>IFERROR(VLOOKUP($D66,dropdowns!$I$3:$Q$30,7,0), " ")</f>
        <v xml:space="preserve"> </v>
      </c>
      <c r="F66" s="1126" t="str">
        <f>IFERROR(INDEX('Schedule C'!$A$20:$BA$83,MATCH('DVO (F1 - F2)'!$R66,'Schedule C'!$A$20:$A$83,0),2)," ")</f>
        <v xml:space="preserve"> </v>
      </c>
      <c r="G66" s="1127" t="str">
        <f>IFERROR(INDEX('Schedule C'!$A$20:$BA$83,MATCH('DVO (F1 - F2)'!$R66,'Schedule C'!$A$20:$A$83,0),38)," ")</f>
        <v xml:space="preserve"> </v>
      </c>
      <c r="H66" s="1127" t="str">
        <f>IFERROR(INDEX('Schedule C'!$A$20:$BA$83,MATCH('DVO (F1 - F2)'!$R66,'Schedule C'!$A$20:$A$83,0),39)," ")</f>
        <v xml:space="preserve"> </v>
      </c>
      <c r="I66" s="1127" t="str">
        <f>IFERROR(INDEX('Schedule C'!$A$20:$BA$83,MATCH('DVO (F1 - F2)'!$R66,'Schedule C'!$A$20:$A$83,0),41)," ")</f>
        <v xml:space="preserve"> </v>
      </c>
      <c r="J66" s="1127" t="str">
        <f>IFERROR(INDEX('Schedule C'!$A$20:$BA$83,MATCH('DVO (F1 - F2)'!$R66,'Schedule C'!$A$20:$A$83,0),50)," ")</f>
        <v xml:space="preserve"> </v>
      </c>
      <c r="K66" s="1452" t="str">
        <f>IFERROR(INDEX('Schedule C'!$A$20:$BA$83,MATCH('DVO (F1 - F2)'!$R66,'Schedule C'!$A$20:$A$83,0),33)," ")</f>
        <v xml:space="preserve"> </v>
      </c>
      <c r="L66" s="1453" t="str">
        <f>IFERROR(INDEX('Schedule C'!$A$20:$BA$83,MATCH('DVO (F1 - F2)'!$R66,'Schedule C'!$A$20:$A$83,0),52)," ")</f>
        <v xml:space="preserve"> </v>
      </c>
      <c r="M66" s="1454" t="str">
        <f>IFERROR(INDEX('Schedule C'!$A$20:$BA$83,MATCH('DVO (F1 - F2)'!$R66,'Schedule C'!$A$20:$A$83,0),50)-INDEX('Schedule C'!$A$20:$BA$83,MATCH('DVO (F1 - F2)'!$R66,'Schedule C'!$A$20:$A$83,0),39)," ")</f>
        <v xml:space="preserve"> </v>
      </c>
      <c r="N66" s="1129" t="str">
        <f t="shared" si="1"/>
        <v xml:space="preserve"> </v>
      </c>
      <c r="O66" s="1129" t="str">
        <f t="shared" si="2"/>
        <v xml:space="preserve"> </v>
      </c>
      <c r="P66" s="1130" t="str">
        <f t="shared" si="3"/>
        <v xml:space="preserve"> </v>
      </c>
      <c r="Q66" s="1131" t="str">
        <f t="shared" si="4"/>
        <v xml:space="preserve"> </v>
      </c>
      <c r="R66" s="1118">
        <f>IF('Schedule C'!AX70&gt;='DVO (F1 - F2)'!J$3,IF('Schedule C'!AX70&lt;='DVO (F1 - F2)'!K$3,IF('Schedule C'!BA70="APPROVED",'Schedule C'!A70,0),0),0)</f>
        <v>0</v>
      </c>
    </row>
    <row r="67" spans="1:18" ht="15">
      <c r="A67" s="1125">
        <f t="shared" si="0"/>
        <v>60</v>
      </c>
      <c r="B67" s="1126">
        <v>1</v>
      </c>
      <c r="C67" s="1126" t="str">
        <f>IFERROR(VLOOKUP($D67,dropdowns!$I$3:$Q$30,6,0), " ")</f>
        <v xml:space="preserve"> </v>
      </c>
      <c r="D67" s="1126" t="str">
        <f>IFERROR(INDEX('Schedule C'!$A$20:$BA$83,MATCH('DVO (F1 - F2)'!$R250,'Schedule C'!$A$20:$A$83,0),13)," ")</f>
        <v xml:space="preserve"> </v>
      </c>
      <c r="E67" s="1126" t="str">
        <f>IFERROR(VLOOKUP($D67,dropdowns!$I$3:$Q$30,7,0), " ")</f>
        <v xml:space="preserve"> </v>
      </c>
      <c r="F67" s="1126" t="str">
        <f>IFERROR(INDEX('Schedule C'!$A$20:$BA$83,MATCH('DVO (F1 - F2)'!$R67,'Schedule C'!$A$20:$A$83,0),2)," ")</f>
        <v xml:space="preserve"> </v>
      </c>
      <c r="G67" s="1127" t="str">
        <f>IFERROR(INDEX('Schedule C'!$A$20:$BA$83,MATCH('DVO (F1 - F2)'!$R67,'Schedule C'!$A$20:$A$83,0),38)," ")</f>
        <v xml:space="preserve"> </v>
      </c>
      <c r="H67" s="1127" t="str">
        <f>IFERROR(INDEX('Schedule C'!$A$20:$BA$83,MATCH('DVO (F1 - F2)'!$R67,'Schedule C'!$A$20:$A$83,0),39)," ")</f>
        <v xml:space="preserve"> </v>
      </c>
      <c r="I67" s="1127" t="str">
        <f>IFERROR(INDEX('Schedule C'!$A$20:$BA$83,MATCH('DVO (F1 - F2)'!$R67,'Schedule C'!$A$20:$A$83,0),41)," ")</f>
        <v xml:space="preserve"> </v>
      </c>
      <c r="J67" s="1127" t="str">
        <f>IFERROR(INDEX('Schedule C'!$A$20:$BA$83,MATCH('DVO (F1 - F2)'!$R67,'Schedule C'!$A$20:$A$83,0),50)," ")</f>
        <v xml:space="preserve"> </v>
      </c>
      <c r="K67" s="1452" t="str">
        <f>IFERROR(INDEX('Schedule C'!$A$20:$BA$83,MATCH('DVO (F1 - F2)'!$R67,'Schedule C'!$A$20:$A$83,0),33)," ")</f>
        <v xml:space="preserve"> </v>
      </c>
      <c r="L67" s="1453" t="str">
        <f>IFERROR(INDEX('Schedule C'!$A$20:$BA$83,MATCH('DVO (F1 - F2)'!$R67,'Schedule C'!$A$20:$A$83,0),52)," ")</f>
        <v xml:space="preserve"> </v>
      </c>
      <c r="M67" s="1454" t="str">
        <f>IFERROR(INDEX('Schedule C'!$A$20:$BA$83,MATCH('DVO (F1 - F2)'!$R67,'Schedule C'!$A$20:$A$83,0),50)-INDEX('Schedule C'!$A$20:$BA$83,MATCH('DVO (F1 - F2)'!$R67,'Schedule C'!$A$20:$A$83,0),39)," ")</f>
        <v xml:space="preserve"> </v>
      </c>
      <c r="N67" s="1129" t="str">
        <f t="shared" si="1"/>
        <v xml:space="preserve"> </v>
      </c>
      <c r="O67" s="1129" t="str">
        <f t="shared" si="2"/>
        <v xml:space="preserve"> </v>
      </c>
      <c r="P67" s="1130" t="str">
        <f t="shared" si="3"/>
        <v xml:space="preserve"> </v>
      </c>
      <c r="Q67" s="1131" t="str">
        <f t="shared" si="4"/>
        <v xml:space="preserve"> </v>
      </c>
      <c r="R67" s="1118">
        <f>IF('Schedule C'!AX71&gt;='DVO (F1 - F2)'!J$3,IF('Schedule C'!AX71&lt;='DVO (F1 - F2)'!K$3,IF('Schedule C'!BA71="APPROVED",'Schedule C'!A71,0),0),0)</f>
        <v>0</v>
      </c>
    </row>
    <row r="68" spans="1:18" ht="15">
      <c r="A68" s="1125">
        <f t="shared" si="0"/>
        <v>61</v>
      </c>
      <c r="B68" s="1126">
        <v>1</v>
      </c>
      <c r="C68" s="1126" t="str">
        <f>IFERROR(VLOOKUP($D68,dropdowns!$I$3:$Q$30,6,0), " ")</f>
        <v xml:space="preserve"> </v>
      </c>
      <c r="D68" s="1126" t="str">
        <f>IFERROR(INDEX('Schedule C'!$A$20:$BA$83,MATCH('DVO (F1 - F2)'!$R251,'Schedule C'!$A$20:$A$83,0),13)," ")</f>
        <v xml:space="preserve"> </v>
      </c>
      <c r="E68" s="1126" t="str">
        <f>IFERROR(VLOOKUP($D68,dropdowns!$I$3:$Q$30,7,0), " ")</f>
        <v xml:space="preserve"> </v>
      </c>
      <c r="F68" s="1126" t="str">
        <f>IFERROR(INDEX('Schedule C'!$A$20:$BA$83,MATCH('DVO (F1 - F2)'!$R68,'Schedule C'!$A$20:$A$83,0),2)," ")</f>
        <v xml:space="preserve"> </v>
      </c>
      <c r="G68" s="1127" t="str">
        <f>IFERROR(INDEX('Schedule C'!$A$20:$BA$83,MATCH('DVO (F1 - F2)'!$R68,'Schedule C'!$A$20:$A$83,0),38)," ")</f>
        <v xml:space="preserve"> </v>
      </c>
      <c r="H68" s="1127" t="str">
        <f>IFERROR(INDEX('Schedule C'!$A$20:$BA$83,MATCH('DVO (F1 - F2)'!$R68,'Schedule C'!$A$20:$A$83,0),39)," ")</f>
        <v xml:space="preserve"> </v>
      </c>
      <c r="I68" s="1127" t="str">
        <f>IFERROR(INDEX('Schedule C'!$A$20:$BA$83,MATCH('DVO (F1 - F2)'!$R68,'Schedule C'!$A$20:$A$83,0),41)," ")</f>
        <v xml:space="preserve"> </v>
      </c>
      <c r="J68" s="1127" t="str">
        <f>IFERROR(INDEX('Schedule C'!$A$20:$BA$83,MATCH('DVO (F1 - F2)'!$R68,'Schedule C'!$A$20:$A$83,0),50)," ")</f>
        <v xml:space="preserve"> </v>
      </c>
      <c r="K68" s="1452" t="str">
        <f>IFERROR(INDEX('Schedule C'!$A$20:$BA$83,MATCH('DVO (F1 - F2)'!$R68,'Schedule C'!$A$20:$A$83,0),33)," ")</f>
        <v xml:space="preserve"> </v>
      </c>
      <c r="L68" s="1453" t="str">
        <f>IFERROR(INDEX('Schedule C'!$A$20:$BA$83,MATCH('DVO (F1 - F2)'!$R68,'Schedule C'!$A$20:$A$83,0),52)," ")</f>
        <v xml:space="preserve"> </v>
      </c>
      <c r="M68" s="1454" t="str">
        <f>IFERROR(INDEX('Schedule C'!$A$20:$BA$83,MATCH('DVO (F1 - F2)'!$R68,'Schedule C'!$A$20:$A$83,0),50)-INDEX('Schedule C'!$A$20:$BA$83,MATCH('DVO (F1 - F2)'!$R68,'Schedule C'!$A$20:$A$83,0),39)," ")</f>
        <v xml:space="preserve"> </v>
      </c>
      <c r="N68" s="1129" t="str">
        <f t="shared" si="1"/>
        <v xml:space="preserve"> </v>
      </c>
      <c r="O68" s="1129" t="str">
        <f t="shared" si="2"/>
        <v xml:space="preserve"> </v>
      </c>
      <c r="P68" s="1130" t="str">
        <f t="shared" si="3"/>
        <v xml:space="preserve"> </v>
      </c>
      <c r="Q68" s="1131" t="str">
        <f t="shared" si="4"/>
        <v xml:space="preserve"> </v>
      </c>
      <c r="R68" s="1118">
        <f>IF('Schedule C'!AX72&gt;='DVO (F1 - F2)'!J$3,IF('Schedule C'!AX72&lt;='DVO (F1 - F2)'!K$3,IF('Schedule C'!BA72="APPROVED",'Schedule C'!A72,0),0),0)</f>
        <v>0</v>
      </c>
    </row>
    <row r="69" spans="1:18" ht="15">
      <c r="A69" s="1125">
        <f t="shared" si="0"/>
        <v>62</v>
      </c>
      <c r="B69" s="1126">
        <v>1</v>
      </c>
      <c r="C69" s="1126" t="str">
        <f>IFERROR(VLOOKUP($D69,dropdowns!$I$3:$Q$30,6,0), " ")</f>
        <v xml:space="preserve"> </v>
      </c>
      <c r="D69" s="1126" t="str">
        <f>IFERROR(INDEX('Schedule C'!$A$20:$BA$83,MATCH('DVO (F1 - F2)'!$R252,'Schedule C'!$A$20:$A$83,0),13)," ")</f>
        <v xml:space="preserve"> </v>
      </c>
      <c r="E69" s="1126" t="str">
        <f>IFERROR(VLOOKUP($D69,dropdowns!$I$3:$Q$30,7,0), " ")</f>
        <v xml:space="preserve"> </v>
      </c>
      <c r="F69" s="1126" t="str">
        <f>IFERROR(INDEX('Schedule C'!$A$20:$BA$83,MATCH('DVO (F1 - F2)'!$R69,'Schedule C'!$A$20:$A$83,0),2)," ")</f>
        <v xml:space="preserve"> </v>
      </c>
      <c r="G69" s="1127" t="str">
        <f>IFERROR(INDEX('Schedule C'!$A$20:$BA$83,MATCH('DVO (F1 - F2)'!$R69,'Schedule C'!$A$20:$A$83,0),38)," ")</f>
        <v xml:space="preserve"> </v>
      </c>
      <c r="H69" s="1127" t="str">
        <f>IFERROR(INDEX('Schedule C'!$A$20:$BA$83,MATCH('DVO (F1 - F2)'!$R69,'Schedule C'!$A$20:$A$83,0),39)," ")</f>
        <v xml:space="preserve"> </v>
      </c>
      <c r="I69" s="1127" t="str">
        <f>IFERROR(INDEX('Schedule C'!$A$20:$BA$83,MATCH('DVO (F1 - F2)'!$R69,'Schedule C'!$A$20:$A$83,0),41)," ")</f>
        <v xml:space="preserve"> </v>
      </c>
      <c r="J69" s="1127" t="str">
        <f>IFERROR(INDEX('Schedule C'!$A$20:$BA$83,MATCH('DVO (F1 - F2)'!$R69,'Schedule C'!$A$20:$A$83,0),50)," ")</f>
        <v xml:space="preserve"> </v>
      </c>
      <c r="K69" s="1452" t="str">
        <f>IFERROR(INDEX('Schedule C'!$A$20:$BA$83,MATCH('DVO (F1 - F2)'!$R69,'Schedule C'!$A$20:$A$83,0),33)," ")</f>
        <v xml:space="preserve"> </v>
      </c>
      <c r="L69" s="1453" t="str">
        <f>IFERROR(INDEX('Schedule C'!$A$20:$BA$83,MATCH('DVO (F1 - F2)'!$R69,'Schedule C'!$A$20:$A$83,0),52)," ")</f>
        <v xml:space="preserve"> </v>
      </c>
      <c r="M69" s="1454" t="str">
        <f>IFERROR(INDEX('Schedule C'!$A$20:$BA$83,MATCH('DVO (F1 - F2)'!$R69,'Schedule C'!$A$20:$A$83,0),50)-INDEX('Schedule C'!$A$20:$BA$83,MATCH('DVO (F1 - F2)'!$R69,'Schedule C'!$A$20:$A$83,0),39)," ")</f>
        <v xml:space="preserve"> </v>
      </c>
      <c r="N69" s="1129" t="str">
        <f t="shared" si="1"/>
        <v xml:space="preserve"> </v>
      </c>
      <c r="O69" s="1129" t="str">
        <f t="shared" si="2"/>
        <v xml:space="preserve"> </v>
      </c>
      <c r="P69" s="1130" t="str">
        <f t="shared" si="3"/>
        <v xml:space="preserve"> </v>
      </c>
      <c r="Q69" s="1131" t="str">
        <f t="shared" si="4"/>
        <v xml:space="preserve"> </v>
      </c>
      <c r="R69" s="1118">
        <f>IF('Schedule C'!AX73&gt;='DVO (F1 - F2)'!J$3,IF('Schedule C'!AX73&lt;='DVO (F1 - F2)'!K$3,IF('Schedule C'!BA73="APPROVED",'Schedule C'!A73,0),0),0)</f>
        <v>0</v>
      </c>
    </row>
    <row r="70" spans="1:18" ht="15">
      <c r="A70" s="1125">
        <f t="shared" si="0"/>
        <v>63</v>
      </c>
      <c r="B70" s="1126">
        <v>1</v>
      </c>
      <c r="C70" s="1126" t="str">
        <f>IFERROR(VLOOKUP($D70,dropdowns!$I$3:$Q$30,6,0), " ")</f>
        <v xml:space="preserve"> </v>
      </c>
      <c r="D70" s="1126" t="str">
        <f>IFERROR(INDEX('Schedule C'!$A$20:$BA$83,MATCH('DVO (F1 - F2)'!$R253,'Schedule C'!$A$20:$A$83,0),13)," ")</f>
        <v xml:space="preserve"> </v>
      </c>
      <c r="E70" s="1126" t="str">
        <f>IFERROR(VLOOKUP($D70,dropdowns!$I$3:$Q$30,7,0), " ")</f>
        <v xml:space="preserve"> </v>
      </c>
      <c r="F70" s="1126" t="str">
        <f>IFERROR(INDEX('Schedule C'!$A$20:$BA$83,MATCH('DVO (F1 - F2)'!$R70,'Schedule C'!$A$20:$A$83,0),2)," ")</f>
        <v xml:space="preserve"> </v>
      </c>
      <c r="G70" s="1127" t="str">
        <f>IFERROR(INDEX('Schedule C'!$A$20:$BA$83,MATCH('DVO (F1 - F2)'!$R70,'Schedule C'!$A$20:$A$83,0),38)," ")</f>
        <v xml:space="preserve"> </v>
      </c>
      <c r="H70" s="1127" t="str">
        <f>IFERROR(INDEX('Schedule C'!$A$20:$BA$83,MATCH('DVO (F1 - F2)'!$R70,'Schedule C'!$A$20:$A$83,0),39)," ")</f>
        <v xml:space="preserve"> </v>
      </c>
      <c r="I70" s="1127" t="str">
        <f>IFERROR(INDEX('Schedule C'!$A$20:$BA$83,MATCH('DVO (F1 - F2)'!$R70,'Schedule C'!$A$20:$A$83,0),41)," ")</f>
        <v xml:space="preserve"> </v>
      </c>
      <c r="J70" s="1127" t="str">
        <f>IFERROR(INDEX('Schedule C'!$A$20:$BA$83,MATCH('DVO (F1 - F2)'!$R70,'Schedule C'!$A$20:$A$83,0),50)," ")</f>
        <v xml:space="preserve"> </v>
      </c>
      <c r="K70" s="1452" t="str">
        <f>IFERROR(INDEX('Schedule C'!$A$20:$BA$83,MATCH('DVO (F1 - F2)'!$R70,'Schedule C'!$A$20:$A$83,0),33)," ")</f>
        <v xml:space="preserve"> </v>
      </c>
      <c r="L70" s="1453" t="str">
        <f>IFERROR(INDEX('Schedule C'!$A$20:$BA$83,MATCH('DVO (F1 - F2)'!$R70,'Schedule C'!$A$20:$A$83,0),52)," ")</f>
        <v xml:space="preserve"> </v>
      </c>
      <c r="M70" s="1454" t="str">
        <f>IFERROR(INDEX('Schedule C'!$A$20:$BA$83,MATCH('DVO (F1 - F2)'!$R70,'Schedule C'!$A$20:$A$83,0),50)-INDEX('Schedule C'!$A$20:$BA$83,MATCH('DVO (F1 - F2)'!$R70,'Schedule C'!$A$20:$A$83,0),39)," ")</f>
        <v xml:space="preserve"> </v>
      </c>
      <c r="N70" s="1129" t="str">
        <f t="shared" si="1"/>
        <v xml:space="preserve"> </v>
      </c>
      <c r="O70" s="1129" t="str">
        <f t="shared" si="2"/>
        <v xml:space="preserve"> </v>
      </c>
      <c r="P70" s="1130" t="str">
        <f t="shared" si="3"/>
        <v xml:space="preserve"> </v>
      </c>
      <c r="Q70" s="1131" t="str">
        <f t="shared" si="4"/>
        <v xml:space="preserve"> </v>
      </c>
      <c r="R70" s="1118">
        <f>IF('Schedule C'!AX74&gt;='DVO (F1 - F2)'!J$3,IF('Schedule C'!AX74&lt;='DVO (F1 - F2)'!K$3,IF('Schedule C'!BA74="APPROVED",'Schedule C'!A74,0),0),0)</f>
        <v>0</v>
      </c>
    </row>
    <row r="71" spans="1:18" ht="15">
      <c r="A71" s="1125">
        <f t="shared" si="0"/>
        <v>64</v>
      </c>
      <c r="B71" s="1126">
        <v>1</v>
      </c>
      <c r="C71" s="1126" t="str">
        <f>IFERROR(VLOOKUP($D71,dropdowns!$I$3:$Q$30,6,0), " ")</f>
        <v xml:space="preserve"> </v>
      </c>
      <c r="D71" s="1126" t="str">
        <f>IFERROR(INDEX('Schedule C'!$A$20:$BA$83,MATCH('DVO (F1 - F2)'!$R254,'Schedule C'!$A$20:$A$83,0),13)," ")</f>
        <v xml:space="preserve"> </v>
      </c>
      <c r="E71" s="1126" t="str">
        <f>IFERROR(VLOOKUP($D71,dropdowns!$I$3:$Q$30,7,0), " ")</f>
        <v xml:space="preserve"> </v>
      </c>
      <c r="F71" s="1126" t="str">
        <f>IFERROR(INDEX('Schedule C'!$A$20:$BA$83,MATCH('DVO (F1 - F2)'!$R71,'Schedule C'!$A$20:$A$83,0),2)," ")</f>
        <v xml:space="preserve"> </v>
      </c>
      <c r="G71" s="1127" t="str">
        <f>IFERROR(INDEX('Schedule C'!$A$20:$BA$83,MATCH('DVO (F1 - F2)'!$R71,'Schedule C'!$A$20:$A$83,0),38)," ")</f>
        <v xml:space="preserve"> </v>
      </c>
      <c r="H71" s="1127" t="str">
        <f>IFERROR(INDEX('Schedule C'!$A$20:$BA$83,MATCH('DVO (F1 - F2)'!$R71,'Schedule C'!$A$20:$A$83,0),39)," ")</f>
        <v xml:space="preserve"> </v>
      </c>
      <c r="I71" s="1127" t="str">
        <f>IFERROR(INDEX('Schedule C'!$A$20:$BA$83,MATCH('DVO (F1 - F2)'!$R71,'Schedule C'!$A$20:$A$83,0),41)," ")</f>
        <v xml:space="preserve"> </v>
      </c>
      <c r="J71" s="1127" t="str">
        <f>IFERROR(INDEX('Schedule C'!$A$20:$BA$83,MATCH('DVO (F1 - F2)'!$R71,'Schedule C'!$A$20:$A$83,0),50)," ")</f>
        <v xml:space="preserve"> </v>
      </c>
      <c r="K71" s="1452" t="str">
        <f>IFERROR(INDEX('Schedule C'!$A$20:$BA$83,MATCH('DVO (F1 - F2)'!$R71,'Schedule C'!$A$20:$A$83,0),33)," ")</f>
        <v xml:space="preserve"> </v>
      </c>
      <c r="L71" s="1453" t="str">
        <f>IFERROR(INDEX('Schedule C'!$A$20:$BA$83,MATCH('DVO (F1 - F2)'!$R71,'Schedule C'!$A$20:$A$83,0),52)," ")</f>
        <v xml:space="preserve"> </v>
      </c>
      <c r="M71" s="1454" t="str">
        <f>IFERROR(INDEX('Schedule C'!$A$20:$BA$83,MATCH('DVO (F1 - F2)'!$R71,'Schedule C'!$A$20:$A$83,0),50)-INDEX('Schedule C'!$A$20:$BA$83,MATCH('DVO (F1 - F2)'!$R71,'Schedule C'!$A$20:$A$83,0),39)," ")</f>
        <v xml:space="preserve"> </v>
      </c>
      <c r="N71" s="1129" t="str">
        <f t="shared" si="1"/>
        <v xml:space="preserve"> </v>
      </c>
      <c r="O71" s="1129" t="str">
        <f t="shared" si="2"/>
        <v xml:space="preserve"> </v>
      </c>
      <c r="P71" s="1130" t="str">
        <f t="shared" si="3"/>
        <v xml:space="preserve"> </v>
      </c>
      <c r="Q71" s="1131" t="str">
        <f t="shared" si="4"/>
        <v xml:space="preserve"> </v>
      </c>
      <c r="R71" s="1118">
        <f>IF('Schedule C'!AX75&gt;='DVO (F1 - F2)'!J$3,IF('Schedule C'!AX75&lt;='DVO (F1 - F2)'!K$3,IF('Schedule C'!BA75="APPROVED",'Schedule C'!A75,0),0),0)</f>
        <v>0</v>
      </c>
    </row>
    <row r="72" spans="1:18" ht="15">
      <c r="A72" s="1125">
        <f t="shared" si="0"/>
        <v>65</v>
      </c>
      <c r="B72" s="1126">
        <v>1</v>
      </c>
      <c r="C72" s="1126" t="str">
        <f>IFERROR(VLOOKUP($D72,dropdowns!$I$3:$Q$30,6,0), " ")</f>
        <v xml:space="preserve"> </v>
      </c>
      <c r="D72" s="1126" t="str">
        <f>IFERROR(INDEX('Schedule C'!$A$20:$BA$83,MATCH('DVO (F1 - F2)'!$R255,'Schedule C'!$A$20:$A$83,0),13)," ")</f>
        <v xml:space="preserve"> </v>
      </c>
      <c r="E72" s="1126" t="str">
        <f>IFERROR(VLOOKUP($D72,dropdowns!$I$3:$Q$30,7,0), " ")</f>
        <v xml:space="preserve"> </v>
      </c>
      <c r="F72" s="1126" t="str">
        <f>IFERROR(INDEX('Schedule C'!$A$20:$BA$83,MATCH('DVO (F1 - F2)'!$R72,'Schedule C'!$A$20:$A$83,0),2)," ")</f>
        <v xml:space="preserve"> </v>
      </c>
      <c r="G72" s="1127" t="str">
        <f>IFERROR(INDEX('Schedule C'!$A$20:$BA$83,MATCH('DVO (F1 - F2)'!$R72,'Schedule C'!$A$20:$A$83,0),38)," ")</f>
        <v xml:space="preserve"> </v>
      </c>
      <c r="H72" s="1127" t="str">
        <f>IFERROR(INDEX('Schedule C'!$A$20:$BA$83,MATCH('DVO (F1 - F2)'!$R72,'Schedule C'!$A$20:$A$83,0),39)," ")</f>
        <v xml:space="preserve"> </v>
      </c>
      <c r="I72" s="1127" t="str">
        <f>IFERROR(INDEX('Schedule C'!$A$20:$BA$83,MATCH('DVO (F1 - F2)'!$R72,'Schedule C'!$A$20:$A$83,0),41)," ")</f>
        <v xml:space="preserve"> </v>
      </c>
      <c r="J72" s="1127" t="str">
        <f>IFERROR(INDEX('Schedule C'!$A$20:$BA$83,MATCH('DVO (F1 - F2)'!$R72,'Schedule C'!$A$20:$A$83,0),50)," ")</f>
        <v xml:space="preserve"> </v>
      </c>
      <c r="K72" s="1452" t="str">
        <f>IFERROR(INDEX('Schedule C'!$A$20:$BA$83,MATCH('DVO (F1 - F2)'!$R72,'Schedule C'!$A$20:$A$83,0),33)," ")</f>
        <v xml:space="preserve"> </v>
      </c>
      <c r="L72" s="1453" t="str">
        <f>IFERROR(INDEX('Schedule C'!$A$20:$BA$83,MATCH('DVO (F1 - F2)'!$R72,'Schedule C'!$A$20:$A$83,0),52)," ")</f>
        <v xml:space="preserve"> </v>
      </c>
      <c r="M72" s="1454" t="str">
        <f>IFERROR(INDEX('Schedule C'!$A$20:$BA$83,MATCH('DVO (F1 - F2)'!$R72,'Schedule C'!$A$20:$A$83,0),50)-INDEX('Schedule C'!$A$20:$BA$83,MATCH('DVO (F1 - F2)'!$R72,'Schedule C'!$A$20:$A$83,0),39)," ")</f>
        <v xml:space="preserve"> </v>
      </c>
      <c r="N72" s="1129" t="str">
        <f t="shared" si="1"/>
        <v xml:space="preserve"> </v>
      </c>
      <c r="O72" s="1129" t="str">
        <f t="shared" si="2"/>
        <v xml:space="preserve"> </v>
      </c>
      <c r="P72" s="1130" t="str">
        <f t="shared" si="3"/>
        <v xml:space="preserve"> </v>
      </c>
      <c r="Q72" s="1131" t="str">
        <f t="shared" si="4"/>
        <v xml:space="preserve"> </v>
      </c>
      <c r="R72" s="1118">
        <f>IF('Schedule C'!AX77&gt;='DVO (F1 - F2)'!J$3,IF('Schedule C'!AX77&lt;='DVO (F1 - F2)'!K$3,IF('Schedule C'!BA77="APPROVED",'Schedule C'!A77,0),0),0)</f>
        <v>0</v>
      </c>
    </row>
    <row r="73" spans="1:18" ht="15">
      <c r="A73" s="1125">
        <f t="shared" si="0"/>
        <v>66</v>
      </c>
      <c r="B73" s="1126">
        <v>1</v>
      </c>
      <c r="C73" s="1126" t="str">
        <f>IFERROR(VLOOKUP($D73,dropdowns!$I$3:$Q$30,6,0), " ")</f>
        <v xml:space="preserve"> </v>
      </c>
      <c r="D73" s="1126" t="str">
        <f>IFERROR(INDEX('Schedule C'!$A$20:$BA$83,MATCH('DVO (F1 - F2)'!$R256,'Schedule C'!$A$20:$A$83,0),13)," ")</f>
        <v xml:space="preserve"> </v>
      </c>
      <c r="E73" s="1126" t="str">
        <f>IFERROR(VLOOKUP($D73,dropdowns!$I$3:$Q$30,7,0), " ")</f>
        <v xml:space="preserve"> </v>
      </c>
      <c r="F73" s="1126" t="str">
        <f>IFERROR(INDEX('Schedule C'!$A$20:$BA$83,MATCH('DVO (F1 - F2)'!$R73,'Schedule C'!$A$20:$A$83,0),2)," ")</f>
        <v xml:space="preserve"> </v>
      </c>
      <c r="G73" s="1127" t="str">
        <f>IFERROR(INDEX('Schedule C'!$A$20:$BA$83,MATCH('DVO (F1 - F2)'!$R73,'Schedule C'!$A$20:$A$83,0),38)," ")</f>
        <v xml:space="preserve"> </v>
      </c>
      <c r="H73" s="1127" t="str">
        <f>IFERROR(INDEX('Schedule C'!$A$20:$BA$83,MATCH('DVO (F1 - F2)'!$R73,'Schedule C'!$A$20:$A$83,0),39)," ")</f>
        <v xml:space="preserve"> </v>
      </c>
      <c r="I73" s="1127" t="str">
        <f>IFERROR(INDEX('Schedule C'!$A$20:$BA$83,MATCH('DVO (F1 - F2)'!$R73,'Schedule C'!$A$20:$A$83,0),41)," ")</f>
        <v xml:space="preserve"> </v>
      </c>
      <c r="J73" s="1127" t="str">
        <f>IFERROR(INDEX('Schedule C'!$A$20:$BA$83,MATCH('DVO (F1 - F2)'!$R73,'Schedule C'!$A$20:$A$83,0),50)," ")</f>
        <v xml:space="preserve"> </v>
      </c>
      <c r="K73" s="1452" t="str">
        <f>IFERROR(INDEX('Schedule C'!$A$20:$BA$83,MATCH('DVO (F1 - F2)'!$R73,'Schedule C'!$A$20:$A$83,0),33)," ")</f>
        <v xml:space="preserve"> </v>
      </c>
      <c r="L73" s="1453" t="str">
        <f>IFERROR(INDEX('Schedule C'!$A$20:$BA$83,MATCH('DVO (F1 - F2)'!$R73,'Schedule C'!$A$20:$A$83,0),52)," ")</f>
        <v xml:space="preserve"> </v>
      </c>
      <c r="M73" s="1454" t="str">
        <f>IFERROR(INDEX('Schedule C'!$A$20:$BA$83,MATCH('DVO (F1 - F2)'!$R73,'Schedule C'!$A$20:$A$83,0),50)-INDEX('Schedule C'!$A$20:$BA$83,MATCH('DVO (F1 - F2)'!$R73,'Schedule C'!$A$20:$A$83,0),39)," ")</f>
        <v xml:space="preserve"> </v>
      </c>
      <c r="N73" s="1129" t="str">
        <f t="shared" ref="N73:N136" si="5">IF($R73=0," ","NA")</f>
        <v xml:space="preserve"> </v>
      </c>
      <c r="O73" s="1129" t="str">
        <f t="shared" ref="O73:O136" si="6">IF($R73=0," ","CLOSED")</f>
        <v xml:space="preserve"> </v>
      </c>
      <c r="P73" s="1130" t="str">
        <f t="shared" ref="P73:P136" si="7">IF($R73=0," ",H73+90)</f>
        <v xml:space="preserve"> </v>
      </c>
      <c r="Q73" s="1131" t="str">
        <f t="shared" ref="Q73:Q136" si="8">IF(R73=0," ",(H73+90)-$K$3)</f>
        <v xml:space="preserve"> </v>
      </c>
      <c r="R73" s="1118">
        <f>IF('Schedule C'!AX78&gt;='DVO (F1 - F2)'!J$3,IF('Schedule C'!AX78&lt;='DVO (F1 - F2)'!K$3,IF('Schedule C'!BA78="APPROVED",'Schedule C'!A78,0),0),0)</f>
        <v>0</v>
      </c>
    </row>
    <row r="74" spans="1:18" ht="15">
      <c r="A74" s="1125">
        <f t="shared" si="0"/>
        <v>67</v>
      </c>
      <c r="B74" s="1126">
        <v>1</v>
      </c>
      <c r="C74" s="1126" t="str">
        <f>IFERROR(VLOOKUP($D74,dropdowns!$I$3:$Q$30,6,0), " ")</f>
        <v xml:space="preserve"> </v>
      </c>
      <c r="D74" s="1126" t="str">
        <f>IFERROR(INDEX('Schedule C'!$A$20:$BA$83,MATCH('DVO (F1 - F2)'!$R257,'Schedule C'!$A$20:$A$83,0),13)," ")</f>
        <v xml:space="preserve"> </v>
      </c>
      <c r="E74" s="1126" t="str">
        <f>IFERROR(VLOOKUP($D74,dropdowns!$I$3:$Q$30,7,0), " ")</f>
        <v xml:space="preserve"> </v>
      </c>
      <c r="F74" s="1126" t="str">
        <f>IFERROR(INDEX('Schedule C'!$A$20:$BA$83,MATCH('DVO (F1 - F2)'!$R74,'Schedule C'!$A$20:$A$83,0),2)," ")</f>
        <v xml:space="preserve"> </v>
      </c>
      <c r="G74" s="1127" t="str">
        <f>IFERROR(INDEX('Schedule C'!$A$20:$BA$83,MATCH('DVO (F1 - F2)'!$R74,'Schedule C'!$A$20:$A$83,0),38)," ")</f>
        <v xml:space="preserve"> </v>
      </c>
      <c r="H74" s="1127" t="str">
        <f>IFERROR(INDEX('Schedule C'!$A$20:$BA$83,MATCH('DVO (F1 - F2)'!$R74,'Schedule C'!$A$20:$A$83,0),39)," ")</f>
        <v xml:space="preserve"> </v>
      </c>
      <c r="I74" s="1127" t="str">
        <f>IFERROR(INDEX('Schedule C'!$A$20:$BA$83,MATCH('DVO (F1 - F2)'!$R74,'Schedule C'!$A$20:$A$83,0),41)," ")</f>
        <v xml:space="preserve"> </v>
      </c>
      <c r="J74" s="1127" t="str">
        <f>IFERROR(INDEX('Schedule C'!$A$20:$BA$83,MATCH('DVO (F1 - F2)'!$R74,'Schedule C'!$A$20:$A$83,0),50)," ")</f>
        <v xml:space="preserve"> </v>
      </c>
      <c r="K74" s="1452" t="str">
        <f>IFERROR(INDEX('Schedule C'!$A$20:$BA$83,MATCH('DVO (F1 - F2)'!$R74,'Schedule C'!$A$20:$A$83,0),33)," ")</f>
        <v xml:space="preserve"> </v>
      </c>
      <c r="L74" s="1453" t="str">
        <f>IFERROR(INDEX('Schedule C'!$A$20:$BA$83,MATCH('DVO (F1 - F2)'!$R74,'Schedule C'!$A$20:$A$83,0),52)," ")</f>
        <v xml:space="preserve"> </v>
      </c>
      <c r="M74" s="1454" t="str">
        <f>IFERROR(INDEX('Schedule C'!$A$20:$BA$83,MATCH('DVO (F1 - F2)'!$R74,'Schedule C'!$A$20:$A$83,0),50)-INDEX('Schedule C'!$A$20:$BA$83,MATCH('DVO (F1 - F2)'!$R74,'Schedule C'!$A$20:$A$83,0),39)," ")</f>
        <v xml:space="preserve"> </v>
      </c>
      <c r="N74" s="1129" t="str">
        <f t="shared" si="5"/>
        <v xml:space="preserve"> </v>
      </c>
      <c r="O74" s="1129" t="str">
        <f t="shared" si="6"/>
        <v xml:space="preserve"> </v>
      </c>
      <c r="P74" s="1130" t="str">
        <f t="shared" si="7"/>
        <v xml:space="preserve"> </v>
      </c>
      <c r="Q74" s="1131" t="str">
        <f t="shared" si="8"/>
        <v xml:space="preserve"> </v>
      </c>
      <c r="R74" s="1118">
        <f>IF('Schedule C'!AX79&gt;='DVO (F1 - F2)'!J$3,IF('Schedule C'!AX79&lt;='DVO (F1 - F2)'!K$3,IF('Schedule C'!BA79="APPROVED",'Schedule C'!A79,0),0),0)</f>
        <v>0</v>
      </c>
    </row>
    <row r="75" spans="1:18" ht="15">
      <c r="A75" s="1125">
        <f t="shared" si="0"/>
        <v>68</v>
      </c>
      <c r="B75" s="1126">
        <v>1</v>
      </c>
      <c r="C75" s="1126" t="str">
        <f>IFERROR(VLOOKUP($D75,dropdowns!$I$3:$Q$30,6,0), " ")</f>
        <v xml:space="preserve"> </v>
      </c>
      <c r="D75" s="1126" t="str">
        <f>IFERROR(INDEX('Schedule C'!$A$20:$BA$83,MATCH('DVO (F1 - F2)'!$R258,'Schedule C'!$A$20:$A$83,0),13)," ")</f>
        <v xml:space="preserve"> </v>
      </c>
      <c r="E75" s="1126" t="str">
        <f>IFERROR(VLOOKUP($D75,dropdowns!$I$3:$Q$30,7,0), " ")</f>
        <v xml:space="preserve"> </v>
      </c>
      <c r="F75" s="1126" t="str">
        <f>IFERROR(INDEX('Schedule C'!$A$20:$BA$83,MATCH('DVO (F1 - F2)'!$R75,'Schedule C'!$A$20:$A$83,0),2)," ")</f>
        <v xml:space="preserve"> </v>
      </c>
      <c r="G75" s="1127" t="str">
        <f>IFERROR(INDEX('Schedule C'!$A$20:$BA$83,MATCH('DVO (F1 - F2)'!$R75,'Schedule C'!$A$20:$A$83,0),38)," ")</f>
        <v xml:space="preserve"> </v>
      </c>
      <c r="H75" s="1127" t="str">
        <f>IFERROR(INDEX('Schedule C'!$A$20:$BA$83,MATCH('DVO (F1 - F2)'!$R75,'Schedule C'!$A$20:$A$83,0),39)," ")</f>
        <v xml:space="preserve"> </v>
      </c>
      <c r="I75" s="1127" t="str">
        <f>IFERROR(INDEX('Schedule C'!$A$20:$BA$83,MATCH('DVO (F1 - F2)'!$R75,'Schedule C'!$A$20:$A$83,0),41)," ")</f>
        <v xml:space="preserve"> </v>
      </c>
      <c r="J75" s="1127" t="str">
        <f>IFERROR(INDEX('Schedule C'!$A$20:$BA$83,MATCH('DVO (F1 - F2)'!$R75,'Schedule C'!$A$20:$A$83,0),50)," ")</f>
        <v xml:space="preserve"> </v>
      </c>
      <c r="K75" s="1452" t="str">
        <f>IFERROR(INDEX('Schedule C'!$A$20:$BA$83,MATCH('DVO (F1 - F2)'!$R75,'Schedule C'!$A$20:$A$83,0),33)," ")</f>
        <v xml:space="preserve"> </v>
      </c>
      <c r="L75" s="1453" t="str">
        <f>IFERROR(INDEX('Schedule C'!$A$20:$BA$83,MATCH('DVO (F1 - F2)'!$R75,'Schedule C'!$A$20:$A$83,0),52)," ")</f>
        <v xml:space="preserve"> </v>
      </c>
      <c r="M75" s="1454" t="str">
        <f>IFERROR(INDEX('Schedule C'!$A$20:$BA$83,MATCH('DVO (F1 - F2)'!$R75,'Schedule C'!$A$20:$A$83,0),50)-INDEX('Schedule C'!$A$20:$BA$83,MATCH('DVO (F1 - F2)'!$R75,'Schedule C'!$A$20:$A$83,0),39)," ")</f>
        <v xml:space="preserve"> </v>
      </c>
      <c r="N75" s="1129" t="str">
        <f t="shared" si="5"/>
        <v xml:space="preserve"> </v>
      </c>
      <c r="O75" s="1129" t="str">
        <f t="shared" si="6"/>
        <v xml:space="preserve"> </v>
      </c>
      <c r="P75" s="1130" t="str">
        <f t="shared" si="7"/>
        <v xml:space="preserve"> </v>
      </c>
      <c r="Q75" s="1131" t="str">
        <f t="shared" si="8"/>
        <v xml:space="preserve"> </v>
      </c>
      <c r="R75" s="1118">
        <f>IF('Schedule C'!AX80&gt;='DVO (F1 - F2)'!J$3,IF('Schedule C'!AX80&lt;='DVO (F1 - F2)'!K$3,IF('Schedule C'!BA80="APPROVED",'Schedule C'!A80,0),0),0)</f>
        <v>0</v>
      </c>
    </row>
    <row r="76" spans="1:18" ht="15">
      <c r="A76" s="1125">
        <f t="shared" si="0"/>
        <v>69</v>
      </c>
      <c r="B76" s="1126">
        <v>1</v>
      </c>
      <c r="C76" s="1126" t="str">
        <f>IFERROR(VLOOKUP($D76,dropdowns!$I$3:$Q$30,6,0), " ")</f>
        <v xml:space="preserve"> </v>
      </c>
      <c r="D76" s="1126" t="str">
        <f>IFERROR(INDEX('Schedule C'!$A$20:$BA$83,MATCH('DVO (F1 - F2)'!$R259,'Schedule C'!$A$20:$A$83,0),13)," ")</f>
        <v xml:space="preserve"> </v>
      </c>
      <c r="E76" s="1126" t="str">
        <f>IFERROR(VLOOKUP($D76,dropdowns!$I$3:$Q$30,7,0), " ")</f>
        <v xml:space="preserve"> </v>
      </c>
      <c r="F76" s="1126" t="str">
        <f>IFERROR(INDEX('Schedule C'!$A$20:$BA$83,MATCH('DVO (F1 - F2)'!$R76,'Schedule C'!$A$20:$A$83,0),2)," ")</f>
        <v xml:space="preserve"> </v>
      </c>
      <c r="G76" s="1127" t="str">
        <f>IFERROR(INDEX('Schedule C'!$A$20:$BA$83,MATCH('DVO (F1 - F2)'!$R76,'Schedule C'!$A$20:$A$83,0),38)," ")</f>
        <v xml:space="preserve"> </v>
      </c>
      <c r="H76" s="1127" t="str">
        <f>IFERROR(INDEX('Schedule C'!$A$20:$BA$83,MATCH('DVO (F1 - F2)'!$R76,'Schedule C'!$A$20:$A$83,0),39)," ")</f>
        <v xml:space="preserve"> </v>
      </c>
      <c r="I76" s="1127" t="str">
        <f>IFERROR(INDEX('Schedule C'!$A$20:$BA$83,MATCH('DVO (F1 - F2)'!$R76,'Schedule C'!$A$20:$A$83,0),41)," ")</f>
        <v xml:space="preserve"> </v>
      </c>
      <c r="J76" s="1127" t="str">
        <f>IFERROR(INDEX('Schedule C'!$A$20:$BA$83,MATCH('DVO (F1 - F2)'!$R76,'Schedule C'!$A$20:$A$83,0),50)," ")</f>
        <v xml:space="preserve"> </v>
      </c>
      <c r="K76" s="1452" t="str">
        <f>IFERROR(INDEX('Schedule C'!$A$20:$BA$83,MATCH('DVO (F1 - F2)'!$R76,'Schedule C'!$A$20:$A$83,0),33)," ")</f>
        <v xml:space="preserve"> </v>
      </c>
      <c r="L76" s="1453" t="str">
        <f>IFERROR(INDEX('Schedule C'!$A$20:$BA$83,MATCH('DVO (F1 - F2)'!$R76,'Schedule C'!$A$20:$A$83,0),52)," ")</f>
        <v xml:space="preserve"> </v>
      </c>
      <c r="M76" s="1454" t="str">
        <f>IFERROR(INDEX('Schedule C'!$A$20:$BA$83,MATCH('DVO (F1 - F2)'!$R76,'Schedule C'!$A$20:$A$83,0),50)-INDEX('Schedule C'!$A$20:$BA$83,MATCH('DVO (F1 - F2)'!$R76,'Schedule C'!$A$20:$A$83,0),39)," ")</f>
        <v xml:space="preserve"> </v>
      </c>
      <c r="N76" s="1129" t="str">
        <f t="shared" si="5"/>
        <v xml:space="preserve"> </v>
      </c>
      <c r="O76" s="1129" t="str">
        <f t="shared" si="6"/>
        <v xml:space="preserve"> </v>
      </c>
      <c r="P76" s="1130" t="str">
        <f t="shared" si="7"/>
        <v xml:space="preserve"> </v>
      </c>
      <c r="Q76" s="1131" t="str">
        <f t="shared" si="8"/>
        <v xml:space="preserve"> </v>
      </c>
      <c r="R76" s="1118">
        <f>IF('Schedule C'!AX81&gt;='DVO (F1 - F2)'!J$3,IF('Schedule C'!AX81&lt;='DVO (F1 - F2)'!K$3,IF('Schedule C'!BA81="APPROVED",'Schedule C'!A81,0),0),0)</f>
        <v>0</v>
      </c>
    </row>
    <row r="77" spans="1:18" ht="15">
      <c r="A77" s="1125">
        <f t="shared" si="0"/>
        <v>70</v>
      </c>
      <c r="B77" s="1126">
        <v>1</v>
      </c>
      <c r="C77" s="1126" t="str">
        <f>IFERROR(VLOOKUP($D77,dropdowns!$I$3:$Q$30,6,0), " ")</f>
        <v xml:space="preserve"> </v>
      </c>
      <c r="D77" s="1126" t="str">
        <f>IFERROR(INDEX('Schedule C'!$A$20:$BA$83,MATCH('DVO (F1 - F2)'!$R260,'Schedule C'!$A$20:$A$83,0),13)," ")</f>
        <v xml:space="preserve"> </v>
      </c>
      <c r="E77" s="1126" t="str">
        <f>IFERROR(VLOOKUP($D77,dropdowns!$I$3:$Q$30,7,0), " ")</f>
        <v xml:space="preserve"> </v>
      </c>
      <c r="F77" s="1126" t="str">
        <f>IFERROR(INDEX('Schedule C'!$A$20:$BA$83,MATCH('DVO (F1 - F2)'!$R77,'Schedule C'!$A$20:$A$83,0),2)," ")</f>
        <v xml:space="preserve"> </v>
      </c>
      <c r="G77" s="1127" t="str">
        <f>IFERROR(INDEX('Schedule C'!$A$20:$BA$83,MATCH('DVO (F1 - F2)'!$R77,'Schedule C'!$A$20:$A$83,0),38)," ")</f>
        <v xml:space="preserve"> </v>
      </c>
      <c r="H77" s="1127" t="str">
        <f>IFERROR(INDEX('Schedule C'!$A$20:$BA$83,MATCH('DVO (F1 - F2)'!$R77,'Schedule C'!$A$20:$A$83,0),39)," ")</f>
        <v xml:space="preserve"> </v>
      </c>
      <c r="I77" s="1127" t="str">
        <f>IFERROR(INDEX('Schedule C'!$A$20:$BA$83,MATCH('DVO (F1 - F2)'!$R77,'Schedule C'!$A$20:$A$83,0),41)," ")</f>
        <v xml:space="preserve"> </v>
      </c>
      <c r="J77" s="1127" t="str">
        <f>IFERROR(INDEX('Schedule C'!$A$20:$BA$83,MATCH('DVO (F1 - F2)'!$R77,'Schedule C'!$A$20:$A$83,0),50)," ")</f>
        <v xml:space="preserve"> </v>
      </c>
      <c r="K77" s="1452" t="str">
        <f>IFERROR(INDEX('Schedule C'!$A$20:$BA$83,MATCH('DVO (F1 - F2)'!$R77,'Schedule C'!$A$20:$A$83,0),33)," ")</f>
        <v xml:space="preserve"> </v>
      </c>
      <c r="L77" s="1453" t="str">
        <f>IFERROR(INDEX('Schedule C'!$A$20:$BA$83,MATCH('DVO (F1 - F2)'!$R77,'Schedule C'!$A$20:$A$83,0),52)," ")</f>
        <v xml:space="preserve"> </v>
      </c>
      <c r="M77" s="1454" t="str">
        <f>IFERROR(INDEX('Schedule C'!$A$20:$BA$83,MATCH('DVO (F1 - F2)'!$R77,'Schedule C'!$A$20:$A$83,0),50)-INDEX('Schedule C'!$A$20:$BA$83,MATCH('DVO (F1 - F2)'!$R77,'Schedule C'!$A$20:$A$83,0),39)," ")</f>
        <v xml:space="preserve"> </v>
      </c>
      <c r="N77" s="1129" t="str">
        <f t="shared" si="5"/>
        <v xml:space="preserve"> </v>
      </c>
      <c r="O77" s="1129" t="str">
        <f t="shared" si="6"/>
        <v xml:space="preserve"> </v>
      </c>
      <c r="P77" s="1130" t="str">
        <f t="shared" si="7"/>
        <v xml:space="preserve"> </v>
      </c>
      <c r="Q77" s="1131" t="str">
        <f t="shared" si="8"/>
        <v xml:space="preserve"> </v>
      </c>
      <c r="R77" s="1118">
        <f>IF('Schedule C'!AX82&gt;='DVO (F1 - F2)'!J$3,IF('Schedule C'!AX82&lt;='DVO (F1 - F2)'!K$3,IF('Schedule C'!BA82="APPROVED",'Schedule C'!A82,0),0),0)</f>
        <v>0</v>
      </c>
    </row>
    <row r="78" spans="1:18" ht="15">
      <c r="A78" s="1125">
        <f t="shared" si="0"/>
        <v>71</v>
      </c>
      <c r="B78" s="1126">
        <v>1</v>
      </c>
      <c r="C78" s="1126" t="str">
        <f>IFERROR(VLOOKUP($D78,dropdowns!$I$3:$Q$30,6,0), " ")</f>
        <v xml:space="preserve"> </v>
      </c>
      <c r="D78" s="1126" t="str">
        <f>IFERROR(INDEX('Schedule C'!$A$20:$BA$83,MATCH('DVO (F1 - F2)'!$R261,'Schedule C'!$A$20:$A$83,0),13)," ")</f>
        <v xml:space="preserve"> </v>
      </c>
      <c r="E78" s="1126" t="str">
        <f>IFERROR(VLOOKUP($D78,dropdowns!$I$3:$Q$30,7,0), " ")</f>
        <v xml:space="preserve"> </v>
      </c>
      <c r="F78" s="1126" t="str">
        <f>IFERROR(INDEX('Schedule C'!$A$20:$BA$83,MATCH('DVO (F1 - F2)'!$R78,'Schedule C'!$A$20:$A$83,0),2)," ")</f>
        <v xml:space="preserve"> </v>
      </c>
      <c r="G78" s="1127" t="str">
        <f>IFERROR(INDEX('Schedule C'!$A$20:$BA$83,MATCH('DVO (F1 - F2)'!$R78,'Schedule C'!$A$20:$A$83,0),38)," ")</f>
        <v xml:space="preserve"> </v>
      </c>
      <c r="H78" s="1127" t="str">
        <f>IFERROR(INDEX('Schedule C'!$A$20:$BA$83,MATCH('DVO (F1 - F2)'!$R78,'Schedule C'!$A$20:$A$83,0),39)," ")</f>
        <v xml:space="preserve"> </v>
      </c>
      <c r="I78" s="1127" t="str">
        <f>IFERROR(INDEX('Schedule C'!$A$20:$BA$83,MATCH('DVO (F1 - F2)'!$R78,'Schedule C'!$A$20:$A$83,0),41)," ")</f>
        <v xml:space="preserve"> </v>
      </c>
      <c r="J78" s="1127" t="str">
        <f>IFERROR(INDEX('Schedule C'!$A$20:$BA$83,MATCH('DVO (F1 - F2)'!$R78,'Schedule C'!$A$20:$A$83,0),50)," ")</f>
        <v xml:space="preserve"> </v>
      </c>
      <c r="K78" s="1452" t="str">
        <f>IFERROR(INDEX('Schedule C'!$A$20:$BA$83,MATCH('DVO (F1 - F2)'!$R78,'Schedule C'!$A$20:$A$83,0),33)," ")</f>
        <v xml:space="preserve"> </v>
      </c>
      <c r="L78" s="1453" t="str">
        <f>IFERROR(INDEX('Schedule C'!$A$20:$BA$83,MATCH('DVO (F1 - F2)'!$R78,'Schedule C'!$A$20:$A$83,0),52)," ")</f>
        <v xml:space="preserve"> </v>
      </c>
      <c r="M78" s="1454" t="str">
        <f>IFERROR(INDEX('Schedule C'!$A$20:$BA$83,MATCH('DVO (F1 - F2)'!$R78,'Schedule C'!$A$20:$A$83,0),50)-INDEX('Schedule C'!$A$20:$BA$83,MATCH('DVO (F1 - F2)'!$R78,'Schedule C'!$A$20:$A$83,0),39)," ")</f>
        <v xml:space="preserve"> </v>
      </c>
      <c r="N78" s="1129" t="str">
        <f t="shared" si="5"/>
        <v xml:space="preserve"> </v>
      </c>
      <c r="O78" s="1129" t="str">
        <f t="shared" si="6"/>
        <v xml:space="preserve"> </v>
      </c>
      <c r="P78" s="1130" t="str">
        <f t="shared" si="7"/>
        <v xml:space="preserve"> </v>
      </c>
      <c r="Q78" s="1131" t="str">
        <f t="shared" si="8"/>
        <v xml:space="preserve"> </v>
      </c>
      <c r="R78" s="1118">
        <f>IF('Schedule C'!AX83&gt;='DVO (F1 - F2)'!J$3,IF('Schedule C'!AX83&lt;='DVO (F1 - F2)'!K$3,IF('Schedule C'!BA83="APPROVED",'Schedule C'!A83,0),0),0)</f>
        <v>0</v>
      </c>
    </row>
    <row r="79" spans="1:18" ht="15">
      <c r="A79" s="1125">
        <f t="shared" si="0"/>
        <v>72</v>
      </c>
      <c r="B79" s="1126">
        <v>1</v>
      </c>
      <c r="C79" s="1126" t="str">
        <f>IFERROR(VLOOKUP($D79,dropdowns!$I$3:$Q$30,6,0), " ")</f>
        <v xml:space="preserve"> </v>
      </c>
      <c r="D79" s="1126" t="str">
        <f>IFERROR(INDEX('Schedule C'!$A$20:$BA$83,MATCH('DVO (F1 - F2)'!$R262,'Schedule C'!$A$20:$A$83,0),13)," ")</f>
        <v xml:space="preserve"> </v>
      </c>
      <c r="E79" s="1126" t="str">
        <f>IFERROR(VLOOKUP($D79,dropdowns!$I$3:$Q$30,7,0), " ")</f>
        <v xml:space="preserve"> </v>
      </c>
      <c r="F79" s="1126" t="str">
        <f>IFERROR(INDEX('Schedule C'!$A$20:$BA$83,MATCH('DVO (F1 - F2)'!$R79,'Schedule C'!$A$20:$A$83,0),2)," ")</f>
        <v xml:space="preserve"> </v>
      </c>
      <c r="G79" s="1127" t="str">
        <f>IFERROR(INDEX('Schedule C'!$A$20:$BA$83,MATCH('DVO (F1 - F2)'!$R79,'Schedule C'!$A$20:$A$83,0),38)," ")</f>
        <v xml:space="preserve"> </v>
      </c>
      <c r="H79" s="1127" t="str">
        <f>IFERROR(INDEX('Schedule C'!$A$20:$BA$83,MATCH('DVO (F1 - F2)'!$R79,'Schedule C'!$A$20:$A$83,0),39)," ")</f>
        <v xml:space="preserve"> </v>
      </c>
      <c r="I79" s="1127" t="str">
        <f>IFERROR(INDEX('Schedule C'!$A$20:$BA$83,MATCH('DVO (F1 - F2)'!$R79,'Schedule C'!$A$20:$A$83,0),41)," ")</f>
        <v xml:space="preserve"> </v>
      </c>
      <c r="J79" s="1127" t="str">
        <f>IFERROR(INDEX('Schedule C'!$A$20:$BA$83,MATCH('DVO (F1 - F2)'!$R79,'Schedule C'!$A$20:$A$83,0),50)," ")</f>
        <v xml:space="preserve"> </v>
      </c>
      <c r="K79" s="1452" t="str">
        <f>IFERROR(INDEX('Schedule C'!$A$20:$BA$83,MATCH('DVO (F1 - F2)'!$R79,'Schedule C'!$A$20:$A$83,0),33)," ")</f>
        <v xml:space="preserve"> </v>
      </c>
      <c r="L79" s="1453" t="str">
        <f>IFERROR(INDEX('Schedule C'!$A$20:$BA$83,MATCH('DVO (F1 - F2)'!$R79,'Schedule C'!$A$20:$A$83,0),52)," ")</f>
        <v xml:space="preserve"> </v>
      </c>
      <c r="M79" s="1454" t="str">
        <f>IFERROR(INDEX('Schedule C'!$A$20:$BA$83,MATCH('DVO (F1 - F2)'!$R79,'Schedule C'!$A$20:$A$83,0),50)-INDEX('Schedule C'!$A$20:$BA$83,MATCH('DVO (F1 - F2)'!$R79,'Schedule C'!$A$20:$A$83,0),39)," ")</f>
        <v xml:space="preserve"> </v>
      </c>
      <c r="N79" s="1129" t="str">
        <f t="shared" si="5"/>
        <v xml:space="preserve"> </v>
      </c>
      <c r="O79" s="1129" t="str">
        <f t="shared" si="6"/>
        <v xml:space="preserve"> </v>
      </c>
      <c r="P79" s="1130" t="str">
        <f t="shared" si="7"/>
        <v xml:space="preserve"> </v>
      </c>
      <c r="Q79" s="1131" t="str">
        <f t="shared" si="8"/>
        <v xml:space="preserve"> </v>
      </c>
      <c r="R79" s="1118">
        <f>IF('Schedule C'!AX84&gt;='DVO (F1 - F2)'!J$3,IF('Schedule C'!AX84&lt;='DVO (F1 - F2)'!K$3,IF('Schedule C'!BA84="APPROVED",'Schedule C'!A84,0),0),0)</f>
        <v>0</v>
      </c>
    </row>
    <row r="80" spans="1:18" ht="15">
      <c r="A80" s="1125">
        <f t="shared" si="0"/>
        <v>73</v>
      </c>
      <c r="B80" s="1126">
        <v>1</v>
      </c>
      <c r="C80" s="1126" t="str">
        <f>IFERROR(VLOOKUP($D80,dropdowns!$I$3:$Q$30,6,0), " ")</f>
        <v xml:space="preserve"> </v>
      </c>
      <c r="D80" s="1126" t="str">
        <f>IFERROR(INDEX('Schedule C'!$A$20:$BA$83,MATCH('DVO (F1 - F2)'!$R263,'Schedule C'!$A$20:$A$83,0),13)," ")</f>
        <v xml:space="preserve"> </v>
      </c>
      <c r="E80" s="1126" t="str">
        <f>IFERROR(VLOOKUP($D80,dropdowns!$I$3:$Q$30,7,0), " ")</f>
        <v xml:space="preserve"> </v>
      </c>
      <c r="F80" s="1126" t="str">
        <f>IFERROR(INDEX('Schedule C'!$A$20:$BA$83,MATCH('DVO (F1 - F2)'!$R80,'Schedule C'!$A$20:$A$83,0),2)," ")</f>
        <v xml:space="preserve"> </v>
      </c>
      <c r="G80" s="1127" t="str">
        <f>IFERROR(INDEX('Schedule C'!$A$20:$BA$83,MATCH('DVO (F1 - F2)'!$R80,'Schedule C'!$A$20:$A$83,0),38)," ")</f>
        <v xml:space="preserve"> </v>
      </c>
      <c r="H80" s="1127" t="str">
        <f>IFERROR(INDEX('Schedule C'!$A$20:$BA$83,MATCH('DVO (F1 - F2)'!$R80,'Schedule C'!$A$20:$A$83,0),39)," ")</f>
        <v xml:space="preserve"> </v>
      </c>
      <c r="I80" s="1127" t="str">
        <f>IFERROR(INDEX('Schedule C'!$A$20:$BA$83,MATCH('DVO (F1 - F2)'!$R80,'Schedule C'!$A$20:$A$83,0),41)," ")</f>
        <v xml:space="preserve"> </v>
      </c>
      <c r="J80" s="1127" t="str">
        <f>IFERROR(INDEX('Schedule C'!$A$20:$BA$83,MATCH('DVO (F1 - F2)'!$R80,'Schedule C'!$A$20:$A$83,0),50)," ")</f>
        <v xml:space="preserve"> </v>
      </c>
      <c r="K80" s="1452" t="str">
        <f>IFERROR(INDEX('Schedule C'!$A$20:$BA$83,MATCH('DVO (F1 - F2)'!$R80,'Schedule C'!$A$20:$A$83,0),33)," ")</f>
        <v xml:space="preserve"> </v>
      </c>
      <c r="L80" s="1453" t="str">
        <f>IFERROR(INDEX('Schedule C'!$A$20:$BA$83,MATCH('DVO (F1 - F2)'!$R80,'Schedule C'!$A$20:$A$83,0),52)," ")</f>
        <v xml:space="preserve"> </v>
      </c>
      <c r="M80" s="1454" t="str">
        <f>IFERROR(INDEX('Schedule C'!$A$20:$BA$83,MATCH('DVO (F1 - F2)'!$R80,'Schedule C'!$A$20:$A$83,0),50)-INDEX('Schedule C'!$A$20:$BA$83,MATCH('DVO (F1 - F2)'!$R80,'Schedule C'!$A$20:$A$83,0),39)," ")</f>
        <v xml:space="preserve"> </v>
      </c>
      <c r="N80" s="1129" t="str">
        <f t="shared" si="5"/>
        <v xml:space="preserve"> </v>
      </c>
      <c r="O80" s="1129" t="str">
        <f t="shared" si="6"/>
        <v xml:space="preserve"> </v>
      </c>
      <c r="P80" s="1130" t="str">
        <f t="shared" si="7"/>
        <v xml:space="preserve"> </v>
      </c>
      <c r="Q80" s="1131" t="str">
        <f t="shared" si="8"/>
        <v xml:space="preserve"> </v>
      </c>
      <c r="R80" s="1118">
        <f>IF('Schedule C'!AX85&gt;='DVO (F1 - F2)'!J$3,IF('Schedule C'!AX85&lt;='DVO (F1 - F2)'!K$3,IF('Schedule C'!BA85="APPROVED",'Schedule C'!A85,0),0),0)</f>
        <v>0</v>
      </c>
    </row>
    <row r="81" spans="1:18" ht="15">
      <c r="A81" s="1125">
        <f t="shared" si="0"/>
        <v>74</v>
      </c>
      <c r="B81" s="1126">
        <v>1</v>
      </c>
      <c r="C81" s="1126" t="str">
        <f>IFERROR(VLOOKUP($D81,dropdowns!$I$3:$Q$30,6,0), " ")</f>
        <v xml:space="preserve"> </v>
      </c>
      <c r="D81" s="1126" t="str">
        <f>IFERROR(INDEX('Schedule C'!$A$20:$BA$83,MATCH('DVO (F1 - F2)'!$R264,'Schedule C'!$A$20:$A$83,0),13)," ")</f>
        <v xml:space="preserve"> </v>
      </c>
      <c r="E81" s="1126" t="str">
        <f>IFERROR(VLOOKUP($D81,dropdowns!$I$3:$Q$30,7,0), " ")</f>
        <v xml:space="preserve"> </v>
      </c>
      <c r="F81" s="1126" t="str">
        <f>IFERROR(INDEX('Schedule C'!$A$20:$BA$83,MATCH('DVO (F1 - F2)'!$R81,'Schedule C'!$A$20:$A$83,0),2)," ")</f>
        <v xml:space="preserve"> </v>
      </c>
      <c r="G81" s="1127" t="str">
        <f>IFERROR(INDEX('Schedule C'!$A$20:$BA$83,MATCH('DVO (F1 - F2)'!$R81,'Schedule C'!$A$20:$A$83,0),38)," ")</f>
        <v xml:space="preserve"> </v>
      </c>
      <c r="H81" s="1127" t="str">
        <f>IFERROR(INDEX('Schedule C'!$A$20:$BA$83,MATCH('DVO (F1 - F2)'!$R81,'Schedule C'!$A$20:$A$83,0),39)," ")</f>
        <v xml:space="preserve"> </v>
      </c>
      <c r="I81" s="1127" t="str">
        <f>IFERROR(INDEX('Schedule C'!$A$20:$BA$83,MATCH('DVO (F1 - F2)'!$R81,'Schedule C'!$A$20:$A$83,0),41)," ")</f>
        <v xml:space="preserve"> </v>
      </c>
      <c r="J81" s="1127" t="str">
        <f>IFERROR(INDEX('Schedule C'!$A$20:$BA$83,MATCH('DVO (F1 - F2)'!$R81,'Schedule C'!$A$20:$A$83,0),50)," ")</f>
        <v xml:space="preserve"> </v>
      </c>
      <c r="K81" s="1452" t="str">
        <f>IFERROR(INDEX('Schedule C'!$A$20:$BA$83,MATCH('DVO (F1 - F2)'!$R81,'Schedule C'!$A$20:$A$83,0),33)," ")</f>
        <v xml:space="preserve"> </v>
      </c>
      <c r="L81" s="1453" t="str">
        <f>IFERROR(INDEX('Schedule C'!$A$20:$BA$83,MATCH('DVO (F1 - F2)'!$R81,'Schedule C'!$A$20:$A$83,0),52)," ")</f>
        <v xml:space="preserve"> </v>
      </c>
      <c r="M81" s="1454" t="str">
        <f>IFERROR(INDEX('Schedule C'!$A$20:$BA$83,MATCH('DVO (F1 - F2)'!$R81,'Schedule C'!$A$20:$A$83,0),50)-INDEX('Schedule C'!$A$20:$BA$83,MATCH('DVO (F1 - F2)'!$R81,'Schedule C'!$A$20:$A$83,0),39)," ")</f>
        <v xml:space="preserve"> </v>
      </c>
      <c r="N81" s="1129" t="str">
        <f t="shared" si="5"/>
        <v xml:space="preserve"> </v>
      </c>
      <c r="O81" s="1129" t="str">
        <f t="shared" si="6"/>
        <v xml:space="preserve"> </v>
      </c>
      <c r="P81" s="1130" t="str">
        <f t="shared" si="7"/>
        <v xml:space="preserve"> </v>
      </c>
      <c r="Q81" s="1131" t="str">
        <f t="shared" si="8"/>
        <v xml:space="preserve"> </v>
      </c>
      <c r="R81" s="1118">
        <f>IF('Schedule C'!AX86&gt;='DVO (F1 - F2)'!J$3,IF('Schedule C'!AX86&lt;='DVO (F1 - F2)'!K$3,IF('Schedule C'!BA86="APPROVED",'Schedule C'!A86,0),0),0)</f>
        <v>0</v>
      </c>
    </row>
    <row r="82" spans="1:18" ht="15">
      <c r="A82" s="1125">
        <f t="shared" si="0"/>
        <v>75</v>
      </c>
      <c r="B82" s="1126">
        <v>1</v>
      </c>
      <c r="C82" s="1126" t="str">
        <f>IFERROR(VLOOKUP($D82,dropdowns!$I$3:$Q$30,6,0), " ")</f>
        <v xml:space="preserve"> </v>
      </c>
      <c r="D82" s="1126" t="str">
        <f>IFERROR(INDEX('Schedule C'!$A$20:$BA$83,MATCH('DVO (F1 - F2)'!$R265,'Schedule C'!$A$20:$A$83,0),13)," ")</f>
        <v xml:space="preserve"> </v>
      </c>
      <c r="E82" s="1126" t="str">
        <f>IFERROR(VLOOKUP($D82,dropdowns!$I$3:$Q$30,7,0), " ")</f>
        <v xml:space="preserve"> </v>
      </c>
      <c r="F82" s="1126" t="str">
        <f>IFERROR(INDEX('Schedule C'!$A$20:$BA$83,MATCH('DVO (F1 - F2)'!$R82,'Schedule C'!$A$20:$A$83,0),2)," ")</f>
        <v xml:space="preserve"> </v>
      </c>
      <c r="G82" s="1127" t="str">
        <f>IFERROR(INDEX('Schedule C'!$A$20:$BA$83,MATCH('DVO (F1 - F2)'!$R82,'Schedule C'!$A$20:$A$83,0),38)," ")</f>
        <v xml:space="preserve"> </v>
      </c>
      <c r="H82" s="1127" t="str">
        <f>IFERROR(INDEX('Schedule C'!$A$20:$BA$83,MATCH('DVO (F1 - F2)'!$R82,'Schedule C'!$A$20:$A$83,0),39)," ")</f>
        <v xml:space="preserve"> </v>
      </c>
      <c r="I82" s="1127" t="str">
        <f>IFERROR(INDEX('Schedule C'!$A$20:$BA$83,MATCH('DVO (F1 - F2)'!$R82,'Schedule C'!$A$20:$A$83,0),41)," ")</f>
        <v xml:space="preserve"> </v>
      </c>
      <c r="J82" s="1127" t="str">
        <f>IFERROR(INDEX('Schedule C'!$A$20:$BA$83,MATCH('DVO (F1 - F2)'!$R82,'Schedule C'!$A$20:$A$83,0),50)," ")</f>
        <v xml:space="preserve"> </v>
      </c>
      <c r="K82" s="1452" t="str">
        <f>IFERROR(INDEX('Schedule C'!$A$20:$BA$83,MATCH('DVO (F1 - F2)'!$R82,'Schedule C'!$A$20:$A$83,0),33)," ")</f>
        <v xml:space="preserve"> </v>
      </c>
      <c r="L82" s="1453" t="str">
        <f>IFERROR(INDEX('Schedule C'!$A$20:$BA$83,MATCH('DVO (F1 - F2)'!$R82,'Schedule C'!$A$20:$A$83,0),52)," ")</f>
        <v xml:space="preserve"> </v>
      </c>
      <c r="M82" s="1454" t="str">
        <f>IFERROR(INDEX('Schedule C'!$A$20:$BA$83,MATCH('DVO (F1 - F2)'!$R82,'Schedule C'!$A$20:$A$83,0),50)-INDEX('Schedule C'!$A$20:$BA$83,MATCH('DVO (F1 - F2)'!$R82,'Schedule C'!$A$20:$A$83,0),39)," ")</f>
        <v xml:space="preserve"> </v>
      </c>
      <c r="N82" s="1129" t="str">
        <f t="shared" si="5"/>
        <v xml:space="preserve"> </v>
      </c>
      <c r="O82" s="1129" t="str">
        <f t="shared" si="6"/>
        <v xml:space="preserve"> </v>
      </c>
      <c r="P82" s="1130" t="str">
        <f t="shared" si="7"/>
        <v xml:space="preserve"> </v>
      </c>
      <c r="Q82" s="1131" t="str">
        <f t="shared" si="8"/>
        <v xml:space="preserve"> </v>
      </c>
      <c r="R82" s="1118">
        <f>IF('Schedule C'!AX87&gt;='DVO (F1 - F2)'!J$3,IF('Schedule C'!AX87&lt;='DVO (F1 - F2)'!K$3,IF('Schedule C'!BA87="APPROVED",'Schedule C'!A87,0),0),0)</f>
        <v>0</v>
      </c>
    </row>
    <row r="83" spans="1:18" ht="15">
      <c r="A83" s="1125">
        <f t="shared" si="0"/>
        <v>76</v>
      </c>
      <c r="B83" s="1126">
        <v>1</v>
      </c>
      <c r="C83" s="1126" t="str">
        <f>IFERROR(VLOOKUP($D83,dropdowns!$I$3:$Q$30,6,0), " ")</f>
        <v xml:space="preserve"> </v>
      </c>
      <c r="D83" s="1126" t="str">
        <f>IFERROR(INDEX('Schedule C'!$A$20:$BA$83,MATCH('DVO (F1 - F2)'!$R266,'Schedule C'!$A$20:$A$83,0),13)," ")</f>
        <v xml:space="preserve"> </v>
      </c>
      <c r="E83" s="1126" t="str">
        <f>IFERROR(VLOOKUP($D83,dropdowns!$I$3:$Q$30,7,0), " ")</f>
        <v xml:space="preserve"> </v>
      </c>
      <c r="F83" s="1126" t="str">
        <f>IFERROR(INDEX('Schedule C'!$A$20:$BA$83,MATCH('DVO (F1 - F2)'!$R83,'Schedule C'!$A$20:$A$83,0),2)," ")</f>
        <v xml:space="preserve"> </v>
      </c>
      <c r="G83" s="1127" t="str">
        <f>IFERROR(INDEX('Schedule C'!$A$20:$BA$83,MATCH('DVO (F1 - F2)'!$R83,'Schedule C'!$A$20:$A$83,0),38)," ")</f>
        <v xml:space="preserve"> </v>
      </c>
      <c r="H83" s="1127" t="str">
        <f>IFERROR(INDEX('Schedule C'!$A$20:$BA$83,MATCH('DVO (F1 - F2)'!$R83,'Schedule C'!$A$20:$A$83,0),39)," ")</f>
        <v xml:space="preserve"> </v>
      </c>
      <c r="I83" s="1127" t="str">
        <f>IFERROR(INDEX('Schedule C'!$A$20:$BA$83,MATCH('DVO (F1 - F2)'!$R83,'Schedule C'!$A$20:$A$83,0),41)," ")</f>
        <v xml:space="preserve"> </v>
      </c>
      <c r="J83" s="1127" t="str">
        <f>IFERROR(INDEX('Schedule C'!$A$20:$BA$83,MATCH('DVO (F1 - F2)'!$R83,'Schedule C'!$A$20:$A$83,0),50)," ")</f>
        <v xml:space="preserve"> </v>
      </c>
      <c r="K83" s="1452" t="str">
        <f>IFERROR(INDEX('Schedule C'!$A$20:$BA$83,MATCH('DVO (F1 - F2)'!$R83,'Schedule C'!$A$20:$A$83,0),33)," ")</f>
        <v xml:space="preserve"> </v>
      </c>
      <c r="L83" s="1453" t="str">
        <f>IFERROR(INDEX('Schedule C'!$A$20:$BA$83,MATCH('DVO (F1 - F2)'!$R83,'Schedule C'!$A$20:$A$83,0),52)," ")</f>
        <v xml:space="preserve"> </v>
      </c>
      <c r="M83" s="1454" t="str">
        <f>IFERROR(INDEX('Schedule C'!$A$20:$BA$83,MATCH('DVO (F1 - F2)'!$R83,'Schedule C'!$A$20:$A$83,0),50)-INDEX('Schedule C'!$A$20:$BA$83,MATCH('DVO (F1 - F2)'!$R83,'Schedule C'!$A$20:$A$83,0),39)," ")</f>
        <v xml:space="preserve"> </v>
      </c>
      <c r="N83" s="1129" t="str">
        <f t="shared" si="5"/>
        <v xml:space="preserve"> </v>
      </c>
      <c r="O83" s="1129" t="str">
        <f t="shared" si="6"/>
        <v xml:space="preserve"> </v>
      </c>
      <c r="P83" s="1130" t="str">
        <f t="shared" si="7"/>
        <v xml:space="preserve"> </v>
      </c>
      <c r="Q83" s="1131" t="str">
        <f t="shared" si="8"/>
        <v xml:space="preserve"> </v>
      </c>
      <c r="R83" s="1118">
        <f>IF('Schedule C'!AX88&gt;='DVO (F1 - F2)'!J$3,IF('Schedule C'!AX88&lt;='DVO (F1 - F2)'!K$3,IF('Schedule C'!BA88="APPROVED",'Schedule C'!A88,0),0),0)</f>
        <v>0</v>
      </c>
    </row>
    <row r="84" spans="1:18" ht="15">
      <c r="A84" s="1125">
        <f t="shared" si="0"/>
        <v>77</v>
      </c>
      <c r="B84" s="1126">
        <v>1</v>
      </c>
      <c r="C84" s="1126" t="str">
        <f>IFERROR(VLOOKUP($D84,dropdowns!$I$3:$Q$30,6,0), " ")</f>
        <v xml:space="preserve"> </v>
      </c>
      <c r="D84" s="1126" t="str">
        <f>IFERROR(INDEX('Schedule C'!$A$20:$BA$83,MATCH('DVO (F1 - F2)'!$R267,'Schedule C'!$A$20:$A$83,0),13)," ")</f>
        <v xml:space="preserve"> </v>
      </c>
      <c r="E84" s="1126" t="str">
        <f>IFERROR(VLOOKUP($D84,dropdowns!$I$3:$Q$30,7,0), " ")</f>
        <v xml:space="preserve"> </v>
      </c>
      <c r="F84" s="1126" t="str">
        <f>IFERROR(INDEX('Schedule C'!$A$20:$BA$83,MATCH('DVO (F1 - F2)'!$R84,'Schedule C'!$A$20:$A$83,0),2)," ")</f>
        <v xml:space="preserve"> </v>
      </c>
      <c r="G84" s="1127" t="str">
        <f>IFERROR(INDEX('Schedule C'!$A$20:$BA$83,MATCH('DVO (F1 - F2)'!$R84,'Schedule C'!$A$20:$A$83,0),38)," ")</f>
        <v xml:space="preserve"> </v>
      </c>
      <c r="H84" s="1127" t="str">
        <f>IFERROR(INDEX('Schedule C'!$A$20:$BA$83,MATCH('DVO (F1 - F2)'!$R84,'Schedule C'!$A$20:$A$83,0),39)," ")</f>
        <v xml:space="preserve"> </v>
      </c>
      <c r="I84" s="1127" t="str">
        <f>IFERROR(INDEX('Schedule C'!$A$20:$BA$83,MATCH('DVO (F1 - F2)'!$R84,'Schedule C'!$A$20:$A$83,0),41)," ")</f>
        <v xml:space="preserve"> </v>
      </c>
      <c r="J84" s="1127" t="str">
        <f>IFERROR(INDEX('Schedule C'!$A$20:$BA$83,MATCH('DVO (F1 - F2)'!$R84,'Schedule C'!$A$20:$A$83,0),50)," ")</f>
        <v xml:space="preserve"> </v>
      </c>
      <c r="K84" s="1452" t="str">
        <f>IFERROR(INDEX('Schedule C'!$A$20:$BA$83,MATCH('DVO (F1 - F2)'!$R84,'Schedule C'!$A$20:$A$83,0),33)," ")</f>
        <v xml:space="preserve"> </v>
      </c>
      <c r="L84" s="1453" t="str">
        <f>IFERROR(INDEX('Schedule C'!$A$20:$BA$83,MATCH('DVO (F1 - F2)'!$R84,'Schedule C'!$A$20:$A$83,0),52)," ")</f>
        <v xml:space="preserve"> </v>
      </c>
      <c r="M84" s="1454" t="str">
        <f>IFERROR(INDEX('Schedule C'!$A$20:$BA$83,MATCH('DVO (F1 - F2)'!$R84,'Schedule C'!$A$20:$A$83,0),50)-INDEX('Schedule C'!$A$20:$BA$83,MATCH('DVO (F1 - F2)'!$R84,'Schedule C'!$A$20:$A$83,0),39)," ")</f>
        <v xml:space="preserve"> </v>
      </c>
      <c r="N84" s="1129" t="str">
        <f t="shared" si="5"/>
        <v xml:space="preserve"> </v>
      </c>
      <c r="O84" s="1129" t="str">
        <f t="shared" si="6"/>
        <v xml:space="preserve"> </v>
      </c>
      <c r="P84" s="1130" t="str">
        <f t="shared" si="7"/>
        <v xml:space="preserve"> </v>
      </c>
      <c r="Q84" s="1131" t="str">
        <f t="shared" si="8"/>
        <v xml:space="preserve"> </v>
      </c>
      <c r="R84" s="1118">
        <f>IF('Schedule C'!AX89&gt;='DVO (F1 - F2)'!J$3,IF('Schedule C'!AX89&lt;='DVO (F1 - F2)'!K$3,IF('Schedule C'!BA89="APPROVED",'Schedule C'!A89,0),0),0)</f>
        <v>0</v>
      </c>
    </row>
    <row r="85" spans="1:18" ht="15">
      <c r="A85" s="1125">
        <f t="shared" si="0"/>
        <v>78</v>
      </c>
      <c r="B85" s="1126">
        <v>1</v>
      </c>
      <c r="C85" s="1126" t="str">
        <f>IFERROR(VLOOKUP($D85,dropdowns!$I$3:$Q$30,6,0), " ")</f>
        <v xml:space="preserve"> </v>
      </c>
      <c r="D85" s="1126" t="str">
        <f>IFERROR(INDEX('Schedule C'!$A$20:$BA$83,MATCH('DVO (F1 - F2)'!$R268,'Schedule C'!$A$20:$A$83,0),13)," ")</f>
        <v xml:space="preserve"> </v>
      </c>
      <c r="E85" s="1126" t="str">
        <f>IFERROR(VLOOKUP($D85,dropdowns!$I$3:$Q$30,7,0), " ")</f>
        <v xml:space="preserve"> </v>
      </c>
      <c r="F85" s="1126" t="str">
        <f>IFERROR(INDEX('Schedule C'!$A$20:$BA$83,MATCH('DVO (F1 - F2)'!$R85,'Schedule C'!$A$20:$A$83,0),2)," ")</f>
        <v xml:space="preserve"> </v>
      </c>
      <c r="G85" s="1127" t="str">
        <f>IFERROR(INDEX('Schedule C'!$A$20:$BA$83,MATCH('DVO (F1 - F2)'!$R85,'Schedule C'!$A$20:$A$83,0),38)," ")</f>
        <v xml:space="preserve"> </v>
      </c>
      <c r="H85" s="1127" t="str">
        <f>IFERROR(INDEX('Schedule C'!$A$20:$BA$83,MATCH('DVO (F1 - F2)'!$R85,'Schedule C'!$A$20:$A$83,0),39)," ")</f>
        <v xml:space="preserve"> </v>
      </c>
      <c r="I85" s="1127" t="str">
        <f>IFERROR(INDEX('Schedule C'!$A$20:$BA$83,MATCH('DVO (F1 - F2)'!$R85,'Schedule C'!$A$20:$A$83,0),41)," ")</f>
        <v xml:space="preserve"> </v>
      </c>
      <c r="J85" s="1127" t="str">
        <f>IFERROR(INDEX('Schedule C'!$A$20:$BA$83,MATCH('DVO (F1 - F2)'!$R85,'Schedule C'!$A$20:$A$83,0),50)," ")</f>
        <v xml:space="preserve"> </v>
      </c>
      <c r="K85" s="1452" t="str">
        <f>IFERROR(INDEX('Schedule C'!$A$20:$BA$83,MATCH('DVO (F1 - F2)'!$R85,'Schedule C'!$A$20:$A$83,0),33)," ")</f>
        <v xml:space="preserve"> </v>
      </c>
      <c r="L85" s="1453" t="str">
        <f>IFERROR(INDEX('Schedule C'!$A$20:$BA$83,MATCH('DVO (F1 - F2)'!$R85,'Schedule C'!$A$20:$A$83,0),52)," ")</f>
        <v xml:space="preserve"> </v>
      </c>
      <c r="M85" s="1454" t="str">
        <f>IFERROR(INDEX('Schedule C'!$A$20:$BA$83,MATCH('DVO (F1 - F2)'!$R85,'Schedule C'!$A$20:$A$83,0),50)-INDEX('Schedule C'!$A$20:$BA$83,MATCH('DVO (F1 - F2)'!$R85,'Schedule C'!$A$20:$A$83,0),39)," ")</f>
        <v xml:space="preserve"> </v>
      </c>
      <c r="N85" s="1129" t="str">
        <f t="shared" si="5"/>
        <v xml:space="preserve"> </v>
      </c>
      <c r="O85" s="1129" t="str">
        <f t="shared" si="6"/>
        <v xml:space="preserve"> </v>
      </c>
      <c r="P85" s="1130" t="str">
        <f t="shared" si="7"/>
        <v xml:space="preserve"> </v>
      </c>
      <c r="Q85" s="1131" t="str">
        <f t="shared" si="8"/>
        <v xml:space="preserve"> </v>
      </c>
      <c r="R85" s="1118">
        <f>IF('Schedule C'!AX90&gt;='DVO (F1 - F2)'!J$3,IF('Schedule C'!AX90&lt;='DVO (F1 - F2)'!K$3,IF('Schedule C'!BA90="APPROVED",'Schedule C'!A90,0),0),0)</f>
        <v>0</v>
      </c>
    </row>
    <row r="86" spans="1:18" ht="15">
      <c r="A86" s="1125">
        <f t="shared" si="0"/>
        <v>79</v>
      </c>
      <c r="B86" s="1126">
        <v>1</v>
      </c>
      <c r="C86" s="1126" t="str">
        <f>IFERROR(VLOOKUP($D86,dropdowns!$I$3:$Q$30,6,0), " ")</f>
        <v xml:space="preserve"> </v>
      </c>
      <c r="D86" s="1126" t="str">
        <f>IFERROR(INDEX('Schedule C'!$A$20:$BA$83,MATCH('DVO (F1 - F2)'!$R269,'Schedule C'!$A$20:$A$83,0),13)," ")</f>
        <v xml:space="preserve"> </v>
      </c>
      <c r="E86" s="1126" t="str">
        <f>IFERROR(VLOOKUP($D86,dropdowns!$I$3:$Q$30,7,0), " ")</f>
        <v xml:space="preserve"> </v>
      </c>
      <c r="F86" s="1126" t="str">
        <f>IFERROR(INDEX('Schedule C'!$A$20:$BA$83,MATCH('DVO (F1 - F2)'!$R86,'Schedule C'!$A$20:$A$83,0),2)," ")</f>
        <v xml:space="preserve"> </v>
      </c>
      <c r="G86" s="1127" t="str">
        <f>IFERROR(INDEX('Schedule C'!$A$20:$BA$83,MATCH('DVO (F1 - F2)'!$R86,'Schedule C'!$A$20:$A$83,0),38)," ")</f>
        <v xml:space="preserve"> </v>
      </c>
      <c r="H86" s="1127" t="str">
        <f>IFERROR(INDEX('Schedule C'!$A$20:$BA$83,MATCH('DVO (F1 - F2)'!$R86,'Schedule C'!$A$20:$A$83,0),39)," ")</f>
        <v xml:space="preserve"> </v>
      </c>
      <c r="I86" s="1127" t="str">
        <f>IFERROR(INDEX('Schedule C'!$A$20:$BA$83,MATCH('DVO (F1 - F2)'!$R86,'Schedule C'!$A$20:$A$83,0),41)," ")</f>
        <v xml:space="preserve"> </v>
      </c>
      <c r="J86" s="1127" t="str">
        <f>IFERROR(INDEX('Schedule C'!$A$20:$BA$83,MATCH('DVO (F1 - F2)'!$R86,'Schedule C'!$A$20:$A$83,0),50)," ")</f>
        <v xml:space="preserve"> </v>
      </c>
      <c r="K86" s="1452" t="str">
        <f>IFERROR(INDEX('Schedule C'!$A$20:$BA$83,MATCH('DVO (F1 - F2)'!$R86,'Schedule C'!$A$20:$A$83,0),33)," ")</f>
        <v xml:space="preserve"> </v>
      </c>
      <c r="L86" s="1453" t="str">
        <f>IFERROR(INDEX('Schedule C'!$A$20:$BA$83,MATCH('DVO (F1 - F2)'!$R86,'Schedule C'!$A$20:$A$83,0),52)," ")</f>
        <v xml:space="preserve"> </v>
      </c>
      <c r="M86" s="1454" t="str">
        <f>IFERROR(INDEX('Schedule C'!$A$20:$BA$83,MATCH('DVO (F1 - F2)'!$R86,'Schedule C'!$A$20:$A$83,0),50)-INDEX('Schedule C'!$A$20:$BA$83,MATCH('DVO (F1 - F2)'!$R86,'Schedule C'!$A$20:$A$83,0),39)," ")</f>
        <v xml:space="preserve"> </v>
      </c>
      <c r="N86" s="1129" t="str">
        <f t="shared" si="5"/>
        <v xml:space="preserve"> </v>
      </c>
      <c r="O86" s="1129" t="str">
        <f t="shared" si="6"/>
        <v xml:space="preserve"> </v>
      </c>
      <c r="P86" s="1130" t="str">
        <f t="shared" si="7"/>
        <v xml:space="preserve"> </v>
      </c>
      <c r="Q86" s="1131" t="str">
        <f t="shared" si="8"/>
        <v xml:space="preserve"> </v>
      </c>
      <c r="R86" s="1118">
        <f>IF('Schedule C'!AX91&gt;='DVO (F1 - F2)'!J$3,IF('Schedule C'!AX91&lt;='DVO (F1 - F2)'!K$3,IF('Schedule C'!BA91="APPROVED",'Schedule C'!A91,0),0),0)</f>
        <v>0</v>
      </c>
    </row>
    <row r="87" spans="1:18" ht="15">
      <c r="A87" s="1125">
        <f t="shared" si="0"/>
        <v>80</v>
      </c>
      <c r="B87" s="1126">
        <v>1</v>
      </c>
      <c r="C87" s="1126" t="str">
        <f>IFERROR(VLOOKUP($D87,dropdowns!$I$3:$Q$30,6,0), " ")</f>
        <v xml:space="preserve"> </v>
      </c>
      <c r="D87" s="1126" t="str">
        <f>IFERROR(INDEX('Schedule C'!$A$20:$BA$83,MATCH('DVO (F1 - F2)'!$R270,'Schedule C'!$A$20:$A$83,0),13)," ")</f>
        <v xml:space="preserve"> </v>
      </c>
      <c r="E87" s="1126" t="str">
        <f>IFERROR(VLOOKUP($D87,dropdowns!$I$3:$Q$30,7,0), " ")</f>
        <v xml:space="preserve"> </v>
      </c>
      <c r="F87" s="1126" t="str">
        <f>IFERROR(INDEX('Schedule C'!$A$20:$BA$83,MATCH('DVO (F1 - F2)'!$R87,'Schedule C'!$A$20:$A$83,0),2)," ")</f>
        <v xml:space="preserve"> </v>
      </c>
      <c r="G87" s="1127" t="str">
        <f>IFERROR(INDEX('Schedule C'!$A$20:$BA$83,MATCH('DVO (F1 - F2)'!$R87,'Schedule C'!$A$20:$A$83,0),38)," ")</f>
        <v xml:space="preserve"> </v>
      </c>
      <c r="H87" s="1127" t="str">
        <f>IFERROR(INDEX('Schedule C'!$A$20:$BA$83,MATCH('DVO (F1 - F2)'!$R87,'Schedule C'!$A$20:$A$83,0),39)," ")</f>
        <v xml:space="preserve"> </v>
      </c>
      <c r="I87" s="1127" t="str">
        <f>IFERROR(INDEX('Schedule C'!$A$20:$BA$83,MATCH('DVO (F1 - F2)'!$R87,'Schedule C'!$A$20:$A$83,0),41)," ")</f>
        <v xml:space="preserve"> </v>
      </c>
      <c r="J87" s="1127" t="str">
        <f>IFERROR(INDEX('Schedule C'!$A$20:$BA$83,MATCH('DVO (F1 - F2)'!$R87,'Schedule C'!$A$20:$A$83,0),50)," ")</f>
        <v xml:space="preserve"> </v>
      </c>
      <c r="K87" s="1452" t="str">
        <f>IFERROR(INDEX('Schedule C'!$A$20:$BA$83,MATCH('DVO (F1 - F2)'!$R87,'Schedule C'!$A$20:$A$83,0),33)," ")</f>
        <v xml:space="preserve"> </v>
      </c>
      <c r="L87" s="1453" t="str">
        <f>IFERROR(INDEX('Schedule C'!$A$20:$BA$83,MATCH('DVO (F1 - F2)'!$R87,'Schedule C'!$A$20:$A$83,0),52)," ")</f>
        <v xml:space="preserve"> </v>
      </c>
      <c r="M87" s="1454" t="str">
        <f>IFERROR(INDEX('Schedule C'!$A$20:$BA$83,MATCH('DVO (F1 - F2)'!$R87,'Schedule C'!$A$20:$A$83,0),50)-INDEX('Schedule C'!$A$20:$BA$83,MATCH('DVO (F1 - F2)'!$R87,'Schedule C'!$A$20:$A$83,0),39)," ")</f>
        <v xml:space="preserve"> </v>
      </c>
      <c r="N87" s="1129" t="str">
        <f t="shared" si="5"/>
        <v xml:space="preserve"> </v>
      </c>
      <c r="O87" s="1129" t="str">
        <f t="shared" si="6"/>
        <v xml:space="preserve"> </v>
      </c>
      <c r="P87" s="1130" t="str">
        <f t="shared" si="7"/>
        <v xml:space="preserve"> </v>
      </c>
      <c r="Q87" s="1131" t="str">
        <f t="shared" si="8"/>
        <v xml:space="preserve"> </v>
      </c>
      <c r="R87" s="1118">
        <f>IF('Schedule C'!AX92&gt;='DVO (F1 - F2)'!J$3,IF('Schedule C'!AX92&lt;='DVO (F1 - F2)'!K$3,IF('Schedule C'!BA92="APPROVED",'Schedule C'!A92,0),0),0)</f>
        <v>0</v>
      </c>
    </row>
    <row r="88" spans="1:18" ht="15">
      <c r="A88" s="1125">
        <f t="shared" si="0"/>
        <v>81</v>
      </c>
      <c r="B88" s="1126">
        <v>1</v>
      </c>
      <c r="C88" s="1126" t="str">
        <f>IFERROR(VLOOKUP($D88,dropdowns!$I$3:$Q$30,6,0), " ")</f>
        <v xml:space="preserve"> </v>
      </c>
      <c r="D88" s="1126" t="str">
        <f>IFERROR(INDEX('Schedule C'!$A$20:$BA$83,MATCH('DVO (F1 - F2)'!$R271,'Schedule C'!$A$20:$A$83,0),13)," ")</f>
        <v xml:space="preserve"> </v>
      </c>
      <c r="E88" s="1126" t="str">
        <f>IFERROR(VLOOKUP($D88,dropdowns!$I$3:$Q$30,7,0), " ")</f>
        <v xml:space="preserve"> </v>
      </c>
      <c r="F88" s="1126" t="str">
        <f>IFERROR(INDEX('Schedule C'!$A$20:$BA$83,MATCH('DVO (F1 - F2)'!$R88,'Schedule C'!$A$20:$A$83,0),2)," ")</f>
        <v xml:space="preserve"> </v>
      </c>
      <c r="G88" s="1127" t="str">
        <f>IFERROR(INDEX('Schedule C'!$A$20:$BA$83,MATCH('DVO (F1 - F2)'!$R88,'Schedule C'!$A$20:$A$83,0),38)," ")</f>
        <v xml:space="preserve"> </v>
      </c>
      <c r="H88" s="1127" t="str">
        <f>IFERROR(INDEX('Schedule C'!$A$20:$BA$83,MATCH('DVO (F1 - F2)'!$R88,'Schedule C'!$A$20:$A$83,0),39)," ")</f>
        <v xml:space="preserve"> </v>
      </c>
      <c r="I88" s="1127" t="str">
        <f>IFERROR(INDEX('Schedule C'!$A$20:$BA$83,MATCH('DVO (F1 - F2)'!$R88,'Schedule C'!$A$20:$A$83,0),41)," ")</f>
        <v xml:space="preserve"> </v>
      </c>
      <c r="J88" s="1127" t="str">
        <f>IFERROR(INDEX('Schedule C'!$A$20:$BA$83,MATCH('DVO (F1 - F2)'!$R88,'Schedule C'!$A$20:$A$83,0),50)," ")</f>
        <v xml:space="preserve"> </v>
      </c>
      <c r="K88" s="1452" t="str">
        <f>IFERROR(INDEX('Schedule C'!$A$20:$BA$83,MATCH('DVO (F1 - F2)'!$R88,'Schedule C'!$A$20:$A$83,0),33)," ")</f>
        <v xml:space="preserve"> </v>
      </c>
      <c r="L88" s="1453" t="str">
        <f>IFERROR(INDEX('Schedule C'!$A$20:$BA$83,MATCH('DVO (F1 - F2)'!$R88,'Schedule C'!$A$20:$A$83,0),52)," ")</f>
        <v xml:space="preserve"> </v>
      </c>
      <c r="M88" s="1454" t="str">
        <f>IFERROR(INDEX('Schedule C'!$A$20:$BA$83,MATCH('DVO (F1 - F2)'!$R88,'Schedule C'!$A$20:$A$83,0),50)-INDEX('Schedule C'!$A$20:$BA$83,MATCH('DVO (F1 - F2)'!$R88,'Schedule C'!$A$20:$A$83,0),39)," ")</f>
        <v xml:space="preserve"> </v>
      </c>
      <c r="N88" s="1129" t="str">
        <f t="shared" si="5"/>
        <v xml:space="preserve"> </v>
      </c>
      <c r="O88" s="1129" t="str">
        <f t="shared" si="6"/>
        <v xml:space="preserve"> </v>
      </c>
      <c r="P88" s="1130" t="str">
        <f t="shared" si="7"/>
        <v xml:space="preserve"> </v>
      </c>
      <c r="Q88" s="1131" t="str">
        <f t="shared" si="8"/>
        <v xml:space="preserve"> </v>
      </c>
      <c r="R88" s="1118">
        <f>IF('Schedule C'!AX94&gt;='DVO (F1 - F2)'!J$3,IF('Schedule C'!AX94&lt;='DVO (F1 - F2)'!K$3,IF('Schedule C'!BA94="APPROVED",'Schedule C'!A94,0),0),0)</f>
        <v>0</v>
      </c>
    </row>
    <row r="89" spans="1:18" ht="15">
      <c r="A89" s="1125">
        <f t="shared" si="0"/>
        <v>82</v>
      </c>
      <c r="B89" s="1126">
        <v>1</v>
      </c>
      <c r="C89" s="1126" t="str">
        <f>IFERROR(VLOOKUP($D89,dropdowns!$I$3:$Q$30,6,0), " ")</f>
        <v xml:space="preserve"> </v>
      </c>
      <c r="D89" s="1126" t="str">
        <f>IFERROR(INDEX('Schedule C'!$A$20:$BA$83,MATCH('DVO (F1 - F2)'!$R272,'Schedule C'!$A$20:$A$83,0),13)," ")</f>
        <v xml:space="preserve"> </v>
      </c>
      <c r="E89" s="1126" t="str">
        <f>IFERROR(VLOOKUP($D89,dropdowns!$I$3:$Q$30,7,0), " ")</f>
        <v xml:space="preserve"> </v>
      </c>
      <c r="F89" s="1126" t="str">
        <f>IFERROR(INDEX('Schedule C'!$A$20:$BA$83,MATCH('DVO (F1 - F2)'!$R89,'Schedule C'!$A$20:$A$83,0),2)," ")</f>
        <v xml:space="preserve"> </v>
      </c>
      <c r="G89" s="1127" t="str">
        <f>IFERROR(INDEX('Schedule C'!$A$20:$BA$83,MATCH('DVO (F1 - F2)'!$R89,'Schedule C'!$A$20:$A$83,0),38)," ")</f>
        <v xml:space="preserve"> </v>
      </c>
      <c r="H89" s="1127" t="str">
        <f>IFERROR(INDEX('Schedule C'!$A$20:$BA$83,MATCH('DVO (F1 - F2)'!$R89,'Schedule C'!$A$20:$A$83,0),39)," ")</f>
        <v xml:space="preserve"> </v>
      </c>
      <c r="I89" s="1127" t="str">
        <f>IFERROR(INDEX('Schedule C'!$A$20:$BA$83,MATCH('DVO (F1 - F2)'!$R89,'Schedule C'!$A$20:$A$83,0),41)," ")</f>
        <v xml:space="preserve"> </v>
      </c>
      <c r="J89" s="1127" t="str">
        <f>IFERROR(INDEX('Schedule C'!$A$20:$BA$83,MATCH('DVO (F1 - F2)'!$R89,'Schedule C'!$A$20:$A$83,0),50)," ")</f>
        <v xml:space="preserve"> </v>
      </c>
      <c r="K89" s="1452" t="str">
        <f>IFERROR(INDEX('Schedule C'!$A$20:$BA$83,MATCH('DVO (F1 - F2)'!$R89,'Schedule C'!$A$20:$A$83,0),33)," ")</f>
        <v xml:space="preserve"> </v>
      </c>
      <c r="L89" s="1453" t="str">
        <f>IFERROR(INDEX('Schedule C'!$A$20:$BA$83,MATCH('DVO (F1 - F2)'!$R89,'Schedule C'!$A$20:$A$83,0),52)," ")</f>
        <v xml:space="preserve"> </v>
      </c>
      <c r="M89" s="1454" t="str">
        <f>IFERROR(INDEX('Schedule C'!$A$20:$BA$83,MATCH('DVO (F1 - F2)'!$R89,'Schedule C'!$A$20:$A$83,0),50)-INDEX('Schedule C'!$A$20:$BA$83,MATCH('DVO (F1 - F2)'!$R89,'Schedule C'!$A$20:$A$83,0),39)," ")</f>
        <v xml:space="preserve"> </v>
      </c>
      <c r="N89" s="1129" t="str">
        <f t="shared" si="5"/>
        <v xml:space="preserve"> </v>
      </c>
      <c r="O89" s="1129" t="str">
        <f t="shared" si="6"/>
        <v xml:space="preserve"> </v>
      </c>
      <c r="P89" s="1130" t="str">
        <f t="shared" si="7"/>
        <v xml:space="preserve"> </v>
      </c>
      <c r="Q89" s="1131" t="str">
        <f t="shared" si="8"/>
        <v xml:space="preserve"> </v>
      </c>
      <c r="R89" s="1118">
        <f>IF('Schedule C'!AX96&gt;='DVO (F1 - F2)'!J$3,IF('Schedule C'!AX96&lt;='DVO (F1 - F2)'!K$3,IF('Schedule C'!BA96="APPROVED",'Schedule C'!A96,0),0),0)</f>
        <v>0</v>
      </c>
    </row>
    <row r="90" spans="1:18" ht="15">
      <c r="A90" s="1125">
        <f t="shared" si="0"/>
        <v>83</v>
      </c>
      <c r="B90" s="1126">
        <v>1</v>
      </c>
      <c r="C90" s="1126" t="str">
        <f>IFERROR(VLOOKUP($D90,dropdowns!$I$3:$Q$30,6,0), " ")</f>
        <v xml:space="preserve"> </v>
      </c>
      <c r="D90" s="1126" t="str">
        <f>IFERROR(INDEX('Schedule C'!$A$20:$BA$83,MATCH('DVO (F1 - F2)'!$R273,'Schedule C'!$A$20:$A$83,0),13)," ")</f>
        <v xml:space="preserve"> </v>
      </c>
      <c r="E90" s="1126" t="str">
        <f>IFERROR(VLOOKUP($D90,dropdowns!$I$3:$Q$30,7,0), " ")</f>
        <v xml:space="preserve"> </v>
      </c>
      <c r="F90" s="1126" t="str">
        <f>IFERROR(INDEX('Schedule C'!$A$20:$BA$83,MATCH('DVO (F1 - F2)'!$R90,'Schedule C'!$A$20:$A$83,0),2)," ")</f>
        <v xml:space="preserve"> </v>
      </c>
      <c r="G90" s="1127" t="str">
        <f>IFERROR(INDEX('Schedule C'!$A$20:$BA$83,MATCH('DVO (F1 - F2)'!$R90,'Schedule C'!$A$20:$A$83,0),38)," ")</f>
        <v xml:space="preserve"> </v>
      </c>
      <c r="H90" s="1127" t="str">
        <f>IFERROR(INDEX('Schedule C'!$A$20:$BA$83,MATCH('DVO (F1 - F2)'!$R90,'Schedule C'!$A$20:$A$83,0),39)," ")</f>
        <v xml:space="preserve"> </v>
      </c>
      <c r="I90" s="1127" t="str">
        <f>IFERROR(INDEX('Schedule C'!$A$20:$BA$83,MATCH('DVO (F1 - F2)'!$R90,'Schedule C'!$A$20:$A$83,0),41)," ")</f>
        <v xml:space="preserve"> </v>
      </c>
      <c r="J90" s="1127" t="str">
        <f>IFERROR(INDEX('Schedule C'!$A$20:$BA$83,MATCH('DVO (F1 - F2)'!$R90,'Schedule C'!$A$20:$A$83,0),50)," ")</f>
        <v xml:space="preserve"> </v>
      </c>
      <c r="K90" s="1452" t="str">
        <f>IFERROR(INDEX('Schedule C'!$A$20:$BA$83,MATCH('DVO (F1 - F2)'!$R90,'Schedule C'!$A$20:$A$83,0),33)," ")</f>
        <v xml:space="preserve"> </v>
      </c>
      <c r="L90" s="1453" t="str">
        <f>IFERROR(INDEX('Schedule C'!$A$20:$BA$83,MATCH('DVO (F1 - F2)'!$R90,'Schedule C'!$A$20:$A$83,0),52)," ")</f>
        <v xml:space="preserve"> </v>
      </c>
      <c r="M90" s="1454" t="str">
        <f>IFERROR(INDEX('Schedule C'!$A$20:$BA$83,MATCH('DVO (F1 - F2)'!$R90,'Schedule C'!$A$20:$A$83,0),50)-INDEX('Schedule C'!$A$20:$BA$83,MATCH('DVO (F1 - F2)'!$R90,'Schedule C'!$A$20:$A$83,0),39)," ")</f>
        <v xml:space="preserve"> </v>
      </c>
      <c r="N90" s="1129" t="str">
        <f t="shared" si="5"/>
        <v xml:space="preserve"> </v>
      </c>
      <c r="O90" s="1129" t="str">
        <f t="shared" si="6"/>
        <v xml:space="preserve"> </v>
      </c>
      <c r="P90" s="1130" t="str">
        <f t="shared" si="7"/>
        <v xml:space="preserve"> </v>
      </c>
      <c r="Q90" s="1131" t="str">
        <f t="shared" si="8"/>
        <v xml:space="preserve"> </v>
      </c>
      <c r="R90" s="1118">
        <f>IF('Schedule C'!AX97&gt;='DVO (F1 - F2)'!J$3,IF('Schedule C'!AX97&lt;='DVO (F1 - F2)'!K$3,IF('Schedule C'!BA97="APPROVED",'Schedule C'!A97,0),0),0)</f>
        <v>0</v>
      </c>
    </row>
    <row r="91" spans="1:18" ht="15">
      <c r="A91" s="1125">
        <f t="shared" si="0"/>
        <v>84</v>
      </c>
      <c r="B91" s="1126">
        <v>1</v>
      </c>
      <c r="C91" s="1126" t="str">
        <f>IFERROR(VLOOKUP($D91,dropdowns!$I$3:$Q$30,6,0), " ")</f>
        <v xml:space="preserve"> </v>
      </c>
      <c r="D91" s="1126" t="str">
        <f>IFERROR(INDEX('Schedule C'!$A$20:$BA$83,MATCH('DVO (F1 - F2)'!$R274,'Schedule C'!$A$20:$A$83,0),13)," ")</f>
        <v xml:space="preserve"> </v>
      </c>
      <c r="E91" s="1126" t="str">
        <f>IFERROR(VLOOKUP($D91,dropdowns!$I$3:$Q$30,7,0), " ")</f>
        <v xml:space="preserve"> </v>
      </c>
      <c r="F91" s="1126" t="str">
        <f>IFERROR(INDEX('Schedule C'!$A$20:$BA$83,MATCH('DVO (F1 - F2)'!$R91,'Schedule C'!$A$20:$A$83,0),2)," ")</f>
        <v xml:space="preserve"> </v>
      </c>
      <c r="G91" s="1127" t="str">
        <f>IFERROR(INDEX('Schedule C'!$A$20:$BA$83,MATCH('DVO (F1 - F2)'!$R91,'Schedule C'!$A$20:$A$83,0),38)," ")</f>
        <v xml:space="preserve"> </v>
      </c>
      <c r="H91" s="1127" t="str">
        <f>IFERROR(INDEX('Schedule C'!$A$20:$BA$83,MATCH('DVO (F1 - F2)'!$R91,'Schedule C'!$A$20:$A$83,0),39)," ")</f>
        <v xml:space="preserve"> </v>
      </c>
      <c r="I91" s="1127" t="str">
        <f>IFERROR(INDEX('Schedule C'!$A$20:$BA$83,MATCH('DVO (F1 - F2)'!$R91,'Schedule C'!$A$20:$A$83,0),41)," ")</f>
        <v xml:space="preserve"> </v>
      </c>
      <c r="J91" s="1127" t="str">
        <f>IFERROR(INDEX('Schedule C'!$A$20:$BA$83,MATCH('DVO (F1 - F2)'!$R91,'Schedule C'!$A$20:$A$83,0),50)," ")</f>
        <v xml:space="preserve"> </v>
      </c>
      <c r="K91" s="1452" t="str">
        <f>IFERROR(INDEX('Schedule C'!$A$20:$BA$83,MATCH('DVO (F1 - F2)'!$R91,'Schedule C'!$A$20:$A$83,0),33)," ")</f>
        <v xml:space="preserve"> </v>
      </c>
      <c r="L91" s="1453" t="str">
        <f>IFERROR(INDEX('Schedule C'!$A$20:$BA$83,MATCH('DVO (F1 - F2)'!$R91,'Schedule C'!$A$20:$A$83,0),52)," ")</f>
        <v xml:space="preserve"> </v>
      </c>
      <c r="M91" s="1454" t="str">
        <f>IFERROR(INDEX('Schedule C'!$A$20:$BA$83,MATCH('DVO (F1 - F2)'!$R91,'Schedule C'!$A$20:$A$83,0),50)-INDEX('Schedule C'!$A$20:$BA$83,MATCH('DVO (F1 - F2)'!$R91,'Schedule C'!$A$20:$A$83,0),39)," ")</f>
        <v xml:space="preserve"> </v>
      </c>
      <c r="N91" s="1129" t="e">
        <f t="shared" si="5"/>
        <v>#REF!</v>
      </c>
      <c r="O91" s="1129" t="e">
        <f t="shared" si="6"/>
        <v>#REF!</v>
      </c>
      <c r="P91" s="1130" t="e">
        <f t="shared" si="7"/>
        <v>#REF!</v>
      </c>
      <c r="Q91" s="1131" t="e">
        <f t="shared" si="8"/>
        <v>#REF!</v>
      </c>
      <c r="R91" s="1118" t="e">
        <f>IF('Schedule C'!#REF!&gt;='DVO (F1 - F2)'!J$3,IF('Schedule C'!#REF!&lt;='DVO (F1 - F2)'!K$3,IF('Schedule C'!#REF!="APPROVED",'Schedule C'!#REF!,0),0),0)</f>
        <v>#REF!</v>
      </c>
    </row>
    <row r="92" spans="1:18" ht="15">
      <c r="A92" s="1125">
        <f t="shared" si="0"/>
        <v>85</v>
      </c>
      <c r="B92" s="1126">
        <v>1</v>
      </c>
      <c r="C92" s="1126" t="str">
        <f>IFERROR(VLOOKUP($D92,dropdowns!$I$3:$Q$30,6,0), " ")</f>
        <v xml:space="preserve"> </v>
      </c>
      <c r="D92" s="1126" t="str">
        <f>IFERROR(INDEX('Schedule C'!$A$20:$BA$83,MATCH('DVO (F1 - F2)'!$R275,'Schedule C'!$A$20:$A$83,0),13)," ")</f>
        <v xml:space="preserve"> </v>
      </c>
      <c r="E92" s="1126" t="str">
        <f>IFERROR(VLOOKUP($D92,dropdowns!$I$3:$Q$30,7,0), " ")</f>
        <v xml:space="preserve"> </v>
      </c>
      <c r="F92" s="1126" t="str">
        <f>IFERROR(INDEX('Schedule C'!$A$20:$BA$83,MATCH('DVO (F1 - F2)'!$R92,'Schedule C'!$A$20:$A$83,0),2)," ")</f>
        <v xml:space="preserve"> </v>
      </c>
      <c r="G92" s="1127" t="str">
        <f>IFERROR(INDEX('Schedule C'!$A$20:$BA$83,MATCH('DVO (F1 - F2)'!$R92,'Schedule C'!$A$20:$A$83,0),38)," ")</f>
        <v xml:space="preserve"> </v>
      </c>
      <c r="H92" s="1127" t="str">
        <f>IFERROR(INDEX('Schedule C'!$A$20:$BA$83,MATCH('DVO (F1 - F2)'!$R92,'Schedule C'!$A$20:$A$83,0),39)," ")</f>
        <v xml:space="preserve"> </v>
      </c>
      <c r="I92" s="1127" t="str">
        <f>IFERROR(INDEX('Schedule C'!$A$20:$BA$83,MATCH('DVO (F1 - F2)'!$R92,'Schedule C'!$A$20:$A$83,0),41)," ")</f>
        <v xml:space="preserve"> </v>
      </c>
      <c r="J92" s="1127" t="str">
        <f>IFERROR(INDEX('Schedule C'!$A$20:$BA$83,MATCH('DVO (F1 - F2)'!$R92,'Schedule C'!$A$20:$A$83,0),50)," ")</f>
        <v xml:space="preserve"> </v>
      </c>
      <c r="K92" s="1452" t="str">
        <f>IFERROR(INDEX('Schedule C'!$A$20:$BA$83,MATCH('DVO (F1 - F2)'!$R92,'Schedule C'!$A$20:$A$83,0),33)," ")</f>
        <v xml:space="preserve"> </v>
      </c>
      <c r="L92" s="1453" t="str">
        <f>IFERROR(INDEX('Schedule C'!$A$20:$BA$83,MATCH('DVO (F1 - F2)'!$R92,'Schedule C'!$A$20:$A$83,0),52)," ")</f>
        <v xml:space="preserve"> </v>
      </c>
      <c r="M92" s="1454" t="str">
        <f>IFERROR(INDEX('Schedule C'!$A$20:$BA$83,MATCH('DVO (F1 - F2)'!$R92,'Schedule C'!$A$20:$A$83,0),50)-INDEX('Schedule C'!$A$20:$BA$83,MATCH('DVO (F1 - F2)'!$R92,'Schedule C'!$A$20:$A$83,0),39)," ")</f>
        <v xml:space="preserve"> </v>
      </c>
      <c r="N92" s="1129" t="str">
        <f t="shared" si="5"/>
        <v xml:space="preserve"> </v>
      </c>
      <c r="O92" s="1129" t="str">
        <f t="shared" si="6"/>
        <v xml:space="preserve"> </v>
      </c>
      <c r="P92" s="1130" t="str">
        <f t="shared" si="7"/>
        <v xml:space="preserve"> </v>
      </c>
      <c r="Q92" s="1131" t="str">
        <f t="shared" si="8"/>
        <v xml:space="preserve"> </v>
      </c>
      <c r="R92" s="1118">
        <f>IF('Schedule C'!AX98&gt;='DVO (F1 - F2)'!J$3,IF('Schedule C'!AX98&lt;='DVO (F1 - F2)'!K$3,IF('Schedule C'!BA98="APPROVED",'Schedule C'!A98,0),0),0)</f>
        <v>0</v>
      </c>
    </row>
    <row r="93" spans="1:18" ht="15">
      <c r="A93" s="1125">
        <f t="shared" si="0"/>
        <v>86</v>
      </c>
      <c r="B93" s="1126">
        <v>1</v>
      </c>
      <c r="C93" s="1126" t="str">
        <f>IFERROR(VLOOKUP($D93,dropdowns!$I$3:$Q$30,6,0), " ")</f>
        <v xml:space="preserve"> </v>
      </c>
      <c r="D93" s="1126" t="str">
        <f>IFERROR(INDEX('Schedule C'!$A$20:$BA$83,MATCH('DVO (F1 - F2)'!$R276,'Schedule C'!$A$20:$A$83,0),13)," ")</f>
        <v xml:space="preserve"> </v>
      </c>
      <c r="E93" s="1126" t="str">
        <f>IFERROR(VLOOKUP($D93,dropdowns!$I$3:$Q$30,7,0), " ")</f>
        <v xml:space="preserve"> </v>
      </c>
      <c r="F93" s="1126" t="str">
        <f>IFERROR(INDEX('Schedule C'!$A$20:$BA$83,MATCH('DVO (F1 - F2)'!$R93,'Schedule C'!$A$20:$A$83,0),2)," ")</f>
        <v xml:space="preserve"> </v>
      </c>
      <c r="G93" s="1127" t="str">
        <f>IFERROR(INDEX('Schedule C'!$A$20:$BA$83,MATCH('DVO (F1 - F2)'!$R93,'Schedule C'!$A$20:$A$83,0),38)," ")</f>
        <v xml:space="preserve"> </v>
      </c>
      <c r="H93" s="1127" t="str">
        <f>IFERROR(INDEX('Schedule C'!$A$20:$BA$83,MATCH('DVO (F1 - F2)'!$R93,'Schedule C'!$A$20:$A$83,0),39)," ")</f>
        <v xml:space="preserve"> </v>
      </c>
      <c r="I93" s="1127" t="str">
        <f>IFERROR(INDEX('Schedule C'!$A$20:$BA$83,MATCH('DVO (F1 - F2)'!$R93,'Schedule C'!$A$20:$A$83,0),41)," ")</f>
        <v xml:space="preserve"> </v>
      </c>
      <c r="J93" s="1127" t="str">
        <f>IFERROR(INDEX('Schedule C'!$A$20:$BA$83,MATCH('DVO (F1 - F2)'!$R93,'Schedule C'!$A$20:$A$83,0),50)," ")</f>
        <v xml:space="preserve"> </v>
      </c>
      <c r="K93" s="1452" t="str">
        <f>IFERROR(INDEX('Schedule C'!$A$20:$BA$83,MATCH('DVO (F1 - F2)'!$R93,'Schedule C'!$A$20:$A$83,0),33)," ")</f>
        <v xml:space="preserve"> </v>
      </c>
      <c r="L93" s="1453" t="str">
        <f>IFERROR(INDEX('Schedule C'!$A$20:$BA$83,MATCH('DVO (F1 - F2)'!$R93,'Schedule C'!$A$20:$A$83,0),52)," ")</f>
        <v xml:space="preserve"> </v>
      </c>
      <c r="M93" s="1454" t="str">
        <f>IFERROR(INDEX('Schedule C'!$A$20:$BA$83,MATCH('DVO (F1 - F2)'!$R93,'Schedule C'!$A$20:$A$83,0),50)-INDEX('Schedule C'!$A$20:$BA$83,MATCH('DVO (F1 - F2)'!$R93,'Schedule C'!$A$20:$A$83,0),39)," ")</f>
        <v xml:space="preserve"> </v>
      </c>
      <c r="N93" s="1129" t="str">
        <f t="shared" si="5"/>
        <v xml:space="preserve"> </v>
      </c>
      <c r="O93" s="1129" t="str">
        <f t="shared" si="6"/>
        <v xml:space="preserve"> </v>
      </c>
      <c r="P93" s="1130" t="str">
        <f t="shared" si="7"/>
        <v xml:space="preserve"> </v>
      </c>
      <c r="Q93" s="1131" t="str">
        <f t="shared" si="8"/>
        <v xml:space="preserve"> </v>
      </c>
      <c r="R93" s="1118">
        <f>IF('Schedule C'!AX99&gt;='DVO (F1 - F2)'!J$3,IF('Schedule C'!AX99&lt;='DVO (F1 - F2)'!K$3,IF('Schedule C'!BA99="APPROVED",'Schedule C'!A99,0),0),0)</f>
        <v>0</v>
      </c>
    </row>
    <row r="94" spans="1:18" ht="15">
      <c r="A94" s="1125">
        <f t="shared" si="0"/>
        <v>87</v>
      </c>
      <c r="B94" s="1126">
        <v>1</v>
      </c>
      <c r="C94" s="1126" t="str">
        <f>IFERROR(VLOOKUP($D94,dropdowns!$I$3:$Q$30,6,0), " ")</f>
        <v xml:space="preserve"> </v>
      </c>
      <c r="D94" s="1126" t="str">
        <f>IFERROR(INDEX('Schedule C'!$A$20:$BA$83,MATCH('DVO (F1 - F2)'!$R277,'Schedule C'!$A$20:$A$83,0),13)," ")</f>
        <v xml:space="preserve"> </v>
      </c>
      <c r="E94" s="1126" t="str">
        <f>IFERROR(VLOOKUP($D94,dropdowns!$I$3:$Q$30,7,0), " ")</f>
        <v xml:space="preserve"> </v>
      </c>
      <c r="F94" s="1126" t="str">
        <f>IFERROR(INDEX('Schedule C'!$A$20:$BA$83,MATCH('DVO (F1 - F2)'!$R94,'Schedule C'!$A$20:$A$83,0),2)," ")</f>
        <v xml:space="preserve"> </v>
      </c>
      <c r="G94" s="1127" t="str">
        <f>IFERROR(INDEX('Schedule C'!$A$20:$BA$83,MATCH('DVO (F1 - F2)'!$R94,'Schedule C'!$A$20:$A$83,0),38)," ")</f>
        <v xml:space="preserve"> </v>
      </c>
      <c r="H94" s="1127" t="str">
        <f>IFERROR(INDEX('Schedule C'!$A$20:$BA$83,MATCH('DVO (F1 - F2)'!$R94,'Schedule C'!$A$20:$A$83,0),39)," ")</f>
        <v xml:space="preserve"> </v>
      </c>
      <c r="I94" s="1127" t="str">
        <f>IFERROR(INDEX('Schedule C'!$A$20:$BA$83,MATCH('DVO (F1 - F2)'!$R94,'Schedule C'!$A$20:$A$83,0),41)," ")</f>
        <v xml:space="preserve"> </v>
      </c>
      <c r="J94" s="1127" t="str">
        <f>IFERROR(INDEX('Schedule C'!$A$20:$BA$83,MATCH('DVO (F1 - F2)'!$R94,'Schedule C'!$A$20:$A$83,0),50)," ")</f>
        <v xml:space="preserve"> </v>
      </c>
      <c r="K94" s="1452" t="str">
        <f>IFERROR(INDEX('Schedule C'!$A$20:$BA$83,MATCH('DVO (F1 - F2)'!$R94,'Schedule C'!$A$20:$A$83,0),33)," ")</f>
        <v xml:space="preserve"> </v>
      </c>
      <c r="L94" s="1453" t="str">
        <f>IFERROR(INDEX('Schedule C'!$A$20:$BA$83,MATCH('DVO (F1 - F2)'!$R94,'Schedule C'!$A$20:$A$83,0),52)," ")</f>
        <v xml:space="preserve"> </v>
      </c>
      <c r="M94" s="1454" t="str">
        <f>IFERROR(INDEX('Schedule C'!$A$20:$BA$83,MATCH('DVO (F1 - F2)'!$R94,'Schedule C'!$A$20:$A$83,0),50)-INDEX('Schedule C'!$A$20:$BA$83,MATCH('DVO (F1 - F2)'!$R94,'Schedule C'!$A$20:$A$83,0),39)," ")</f>
        <v xml:space="preserve"> </v>
      </c>
      <c r="N94" s="1129" t="str">
        <f t="shared" si="5"/>
        <v xml:space="preserve"> </v>
      </c>
      <c r="O94" s="1129" t="str">
        <f t="shared" si="6"/>
        <v xml:space="preserve"> </v>
      </c>
      <c r="P94" s="1130" t="str">
        <f t="shared" si="7"/>
        <v xml:space="preserve"> </v>
      </c>
      <c r="Q94" s="1131" t="str">
        <f t="shared" si="8"/>
        <v xml:space="preserve"> </v>
      </c>
      <c r="R94" s="1118">
        <f>IF('Schedule C'!AX100&gt;='DVO (F1 - F2)'!J$3,IF('Schedule C'!AX100&lt;='DVO (F1 - F2)'!K$3,IF('Schedule C'!BA100="APPROVED",'Schedule C'!A100,0),0),0)</f>
        <v>0</v>
      </c>
    </row>
    <row r="95" spans="1:18" ht="15">
      <c r="A95" s="1125">
        <f t="shared" si="0"/>
        <v>88</v>
      </c>
      <c r="B95" s="1126">
        <v>1</v>
      </c>
      <c r="C95" s="1126" t="str">
        <f>IFERROR(VLOOKUP($D95,dropdowns!$I$3:$Q$30,6,0), " ")</f>
        <v xml:space="preserve"> </v>
      </c>
      <c r="D95" s="1126" t="str">
        <f>IFERROR(INDEX('Schedule C'!$A$20:$BA$83,MATCH('DVO (F1 - F2)'!$R278,'Schedule C'!$A$20:$A$83,0),13)," ")</f>
        <v xml:space="preserve"> </v>
      </c>
      <c r="E95" s="1126" t="str">
        <f>IFERROR(VLOOKUP($D95,dropdowns!$I$3:$Q$30,7,0), " ")</f>
        <v xml:space="preserve"> </v>
      </c>
      <c r="F95" s="1126" t="str">
        <f>IFERROR(INDEX('Schedule C'!$A$20:$BA$83,MATCH('DVO (F1 - F2)'!$R95,'Schedule C'!$A$20:$A$83,0),2)," ")</f>
        <v xml:space="preserve"> </v>
      </c>
      <c r="G95" s="1127" t="str">
        <f>IFERROR(INDEX('Schedule C'!$A$20:$BA$83,MATCH('DVO (F1 - F2)'!$R95,'Schedule C'!$A$20:$A$83,0),38)," ")</f>
        <v xml:space="preserve"> </v>
      </c>
      <c r="H95" s="1127" t="str">
        <f>IFERROR(INDEX('Schedule C'!$A$20:$BA$83,MATCH('DVO (F1 - F2)'!$R95,'Schedule C'!$A$20:$A$83,0),39)," ")</f>
        <v xml:space="preserve"> </v>
      </c>
      <c r="I95" s="1127" t="str">
        <f>IFERROR(INDEX('Schedule C'!$A$20:$BA$83,MATCH('DVO (F1 - F2)'!$R95,'Schedule C'!$A$20:$A$83,0),41)," ")</f>
        <v xml:space="preserve"> </v>
      </c>
      <c r="J95" s="1127" t="str">
        <f>IFERROR(INDEX('Schedule C'!$A$20:$BA$83,MATCH('DVO (F1 - F2)'!$R95,'Schedule C'!$A$20:$A$83,0),50)," ")</f>
        <v xml:space="preserve"> </v>
      </c>
      <c r="K95" s="1452" t="str">
        <f>IFERROR(INDEX('Schedule C'!$A$20:$BA$83,MATCH('DVO (F1 - F2)'!$R95,'Schedule C'!$A$20:$A$83,0),33)," ")</f>
        <v xml:space="preserve"> </v>
      </c>
      <c r="L95" s="1453" t="str">
        <f>IFERROR(INDEX('Schedule C'!$A$20:$BA$83,MATCH('DVO (F1 - F2)'!$R95,'Schedule C'!$A$20:$A$83,0),52)," ")</f>
        <v xml:space="preserve"> </v>
      </c>
      <c r="M95" s="1454" t="str">
        <f>IFERROR(INDEX('Schedule C'!$A$20:$BA$83,MATCH('DVO (F1 - F2)'!$R95,'Schedule C'!$A$20:$A$83,0),50)-INDEX('Schedule C'!$A$20:$BA$83,MATCH('DVO (F1 - F2)'!$R95,'Schedule C'!$A$20:$A$83,0),39)," ")</f>
        <v xml:space="preserve"> </v>
      </c>
      <c r="N95" s="1129" t="str">
        <f t="shared" si="5"/>
        <v xml:space="preserve"> </v>
      </c>
      <c r="O95" s="1129" t="str">
        <f t="shared" si="6"/>
        <v xml:space="preserve"> </v>
      </c>
      <c r="P95" s="1130" t="str">
        <f t="shared" si="7"/>
        <v xml:space="preserve"> </v>
      </c>
      <c r="Q95" s="1131" t="str">
        <f t="shared" si="8"/>
        <v xml:space="preserve"> </v>
      </c>
      <c r="R95" s="1118">
        <f>IF('Schedule C'!AX101&gt;='DVO (F1 - F2)'!J$3,IF('Schedule C'!AX101&lt;='DVO (F1 - F2)'!K$3,IF('Schedule C'!BA101="APPROVED",'Schedule C'!A101,0),0),0)</f>
        <v>0</v>
      </c>
    </row>
    <row r="96" spans="1:18" ht="15">
      <c r="A96" s="1125">
        <f t="shared" si="0"/>
        <v>89</v>
      </c>
      <c r="B96" s="1126">
        <v>1</v>
      </c>
      <c r="C96" s="1126" t="str">
        <f>IFERROR(VLOOKUP($D96,dropdowns!$I$3:$Q$30,6,0), " ")</f>
        <v xml:space="preserve"> </v>
      </c>
      <c r="D96" s="1126" t="str">
        <f>IFERROR(INDEX('Schedule C'!$A$20:$BA$83,MATCH('DVO (F1 - F2)'!$R279,'Schedule C'!$A$20:$A$83,0),13)," ")</f>
        <v xml:space="preserve"> </v>
      </c>
      <c r="E96" s="1126" t="str">
        <f>IFERROR(VLOOKUP($D96,dropdowns!$I$3:$Q$30,7,0), " ")</f>
        <v xml:space="preserve"> </v>
      </c>
      <c r="F96" s="1126" t="str">
        <f>IFERROR(INDEX('Schedule C'!$A$20:$BA$83,MATCH('DVO (F1 - F2)'!$R96,'Schedule C'!$A$20:$A$83,0),2)," ")</f>
        <v xml:space="preserve"> </v>
      </c>
      <c r="G96" s="1127" t="str">
        <f>IFERROR(INDEX('Schedule C'!$A$20:$BA$83,MATCH('DVO (F1 - F2)'!$R96,'Schedule C'!$A$20:$A$83,0),38)," ")</f>
        <v xml:space="preserve"> </v>
      </c>
      <c r="H96" s="1127" t="str">
        <f>IFERROR(INDEX('Schedule C'!$A$20:$BA$83,MATCH('DVO (F1 - F2)'!$R96,'Schedule C'!$A$20:$A$83,0),39)," ")</f>
        <v xml:space="preserve"> </v>
      </c>
      <c r="I96" s="1127" t="str">
        <f>IFERROR(INDEX('Schedule C'!$A$20:$BA$83,MATCH('DVO (F1 - F2)'!$R96,'Schedule C'!$A$20:$A$83,0),41)," ")</f>
        <v xml:space="preserve"> </v>
      </c>
      <c r="J96" s="1127" t="str">
        <f>IFERROR(INDEX('Schedule C'!$A$20:$BA$83,MATCH('DVO (F1 - F2)'!$R96,'Schedule C'!$A$20:$A$83,0),50)," ")</f>
        <v xml:space="preserve"> </v>
      </c>
      <c r="K96" s="1452" t="str">
        <f>IFERROR(INDEX('Schedule C'!$A$20:$BA$83,MATCH('DVO (F1 - F2)'!$R96,'Schedule C'!$A$20:$A$83,0),33)," ")</f>
        <v xml:space="preserve"> </v>
      </c>
      <c r="L96" s="1453" t="str">
        <f>IFERROR(INDEX('Schedule C'!$A$20:$BA$83,MATCH('DVO (F1 - F2)'!$R96,'Schedule C'!$A$20:$A$83,0),52)," ")</f>
        <v xml:space="preserve"> </v>
      </c>
      <c r="M96" s="1454" t="str">
        <f>IFERROR(INDEX('Schedule C'!$A$20:$BA$83,MATCH('DVO (F1 - F2)'!$R96,'Schedule C'!$A$20:$A$83,0),50)-INDEX('Schedule C'!$A$20:$BA$83,MATCH('DVO (F1 - F2)'!$R96,'Schedule C'!$A$20:$A$83,0),39)," ")</f>
        <v xml:space="preserve"> </v>
      </c>
      <c r="N96" s="1129" t="str">
        <f t="shared" si="5"/>
        <v xml:space="preserve"> </v>
      </c>
      <c r="O96" s="1129" t="str">
        <f t="shared" si="6"/>
        <v xml:space="preserve"> </v>
      </c>
      <c r="P96" s="1130" t="str">
        <f t="shared" si="7"/>
        <v xml:space="preserve"> </v>
      </c>
      <c r="Q96" s="1131" t="str">
        <f t="shared" si="8"/>
        <v xml:space="preserve"> </v>
      </c>
      <c r="R96" s="1118">
        <f>IF('Schedule C'!AX102&gt;='DVO (F1 - F2)'!J$3,IF('Schedule C'!AX102&lt;='DVO (F1 - F2)'!K$3,IF('Schedule C'!BA102="APPROVED",'Schedule C'!A102,0),0),0)</f>
        <v>0</v>
      </c>
    </row>
    <row r="97" spans="1:18" ht="15">
      <c r="A97" s="1125">
        <f t="shared" si="0"/>
        <v>90</v>
      </c>
      <c r="B97" s="1126">
        <v>1</v>
      </c>
      <c r="C97" s="1126" t="str">
        <f>IFERROR(VLOOKUP($D97,dropdowns!$I$3:$Q$30,6,0), " ")</f>
        <v xml:space="preserve"> </v>
      </c>
      <c r="D97" s="1126" t="str">
        <f>IFERROR(INDEX('Schedule C'!$A$20:$BA$83,MATCH('DVO (F1 - F2)'!$R280,'Schedule C'!$A$20:$A$83,0),13)," ")</f>
        <v xml:space="preserve"> </v>
      </c>
      <c r="E97" s="1126" t="str">
        <f>IFERROR(VLOOKUP($D97,dropdowns!$I$3:$Q$30,7,0), " ")</f>
        <v xml:space="preserve"> </v>
      </c>
      <c r="F97" s="1126" t="str">
        <f>IFERROR(INDEX('Schedule C'!$A$20:$BA$83,MATCH('DVO (F1 - F2)'!$R97,'Schedule C'!$A$20:$A$83,0),2)," ")</f>
        <v xml:space="preserve"> </v>
      </c>
      <c r="G97" s="1127" t="str">
        <f>IFERROR(INDEX('Schedule C'!$A$20:$BA$83,MATCH('DVO (F1 - F2)'!$R97,'Schedule C'!$A$20:$A$83,0),38)," ")</f>
        <v xml:space="preserve"> </v>
      </c>
      <c r="H97" s="1127" t="str">
        <f>IFERROR(INDEX('Schedule C'!$A$20:$BA$83,MATCH('DVO (F1 - F2)'!$R97,'Schedule C'!$A$20:$A$83,0),39)," ")</f>
        <v xml:space="preserve"> </v>
      </c>
      <c r="I97" s="1127" t="str">
        <f>IFERROR(INDEX('Schedule C'!$A$20:$BA$83,MATCH('DVO (F1 - F2)'!$R97,'Schedule C'!$A$20:$A$83,0),41)," ")</f>
        <v xml:space="preserve"> </v>
      </c>
      <c r="J97" s="1127" t="str">
        <f>IFERROR(INDEX('Schedule C'!$A$20:$BA$83,MATCH('DVO (F1 - F2)'!$R97,'Schedule C'!$A$20:$A$83,0),50)," ")</f>
        <v xml:space="preserve"> </v>
      </c>
      <c r="K97" s="1452" t="str">
        <f>IFERROR(INDEX('Schedule C'!$A$20:$BA$83,MATCH('DVO (F1 - F2)'!$R97,'Schedule C'!$A$20:$A$83,0),33)," ")</f>
        <v xml:space="preserve"> </v>
      </c>
      <c r="L97" s="1453" t="str">
        <f>IFERROR(INDEX('Schedule C'!$A$20:$BA$83,MATCH('DVO (F1 - F2)'!$R97,'Schedule C'!$A$20:$A$83,0),52)," ")</f>
        <v xml:space="preserve"> </v>
      </c>
      <c r="M97" s="1454" t="str">
        <f>IFERROR(INDEX('Schedule C'!$A$20:$BA$83,MATCH('DVO (F1 - F2)'!$R97,'Schedule C'!$A$20:$A$83,0),50)-INDEX('Schedule C'!$A$20:$BA$83,MATCH('DVO (F1 - F2)'!$R97,'Schedule C'!$A$20:$A$83,0),39)," ")</f>
        <v xml:space="preserve"> </v>
      </c>
      <c r="N97" s="1129" t="str">
        <f t="shared" si="5"/>
        <v xml:space="preserve"> </v>
      </c>
      <c r="O97" s="1129" t="str">
        <f t="shared" si="6"/>
        <v xml:space="preserve"> </v>
      </c>
      <c r="P97" s="1130" t="str">
        <f t="shared" si="7"/>
        <v xml:space="preserve"> </v>
      </c>
      <c r="Q97" s="1131" t="str">
        <f t="shared" si="8"/>
        <v xml:space="preserve"> </v>
      </c>
      <c r="R97" s="1118">
        <f>IF('Schedule C'!AX103&gt;='DVO (F1 - F2)'!J$3,IF('Schedule C'!AX103&lt;='DVO (F1 - F2)'!K$3,IF('Schedule C'!BA103="APPROVED",'Schedule C'!A103,0),0),0)</f>
        <v>0</v>
      </c>
    </row>
    <row r="98" spans="1:18" ht="15">
      <c r="A98" s="1125">
        <f t="shared" ref="A98:A187" si="9">ROW()-7</f>
        <v>91</v>
      </c>
      <c r="B98" s="1126">
        <v>1</v>
      </c>
      <c r="C98" s="1126" t="str">
        <f>IFERROR(VLOOKUP($D98,dropdowns!$I$3:$Q$30,6,0), " ")</f>
        <v xml:space="preserve"> </v>
      </c>
      <c r="D98" s="1126" t="str">
        <f>IFERROR(INDEX('Schedule C'!$A$20:$BA$83,MATCH('DVO (F1 - F2)'!$R281,'Schedule C'!$A$20:$A$83,0),13)," ")</f>
        <v xml:space="preserve"> </v>
      </c>
      <c r="E98" s="1126" t="str">
        <f>IFERROR(VLOOKUP($D98,dropdowns!$I$3:$Q$30,7,0), " ")</f>
        <v xml:space="preserve"> </v>
      </c>
      <c r="F98" s="1126" t="str">
        <f>IFERROR(INDEX('Schedule C'!$A$20:$BA$83,MATCH('DVO (F1 - F2)'!$R98,'Schedule C'!$A$20:$A$83,0),2)," ")</f>
        <v xml:space="preserve"> </v>
      </c>
      <c r="G98" s="1127" t="str">
        <f>IFERROR(INDEX('Schedule C'!$A$20:$BA$83,MATCH('DVO (F1 - F2)'!$R98,'Schedule C'!$A$20:$A$83,0),38)," ")</f>
        <v xml:space="preserve"> </v>
      </c>
      <c r="H98" s="1127" t="str">
        <f>IFERROR(INDEX('Schedule C'!$A$20:$BA$83,MATCH('DVO (F1 - F2)'!$R98,'Schedule C'!$A$20:$A$83,0),39)," ")</f>
        <v xml:space="preserve"> </v>
      </c>
      <c r="I98" s="1127" t="str">
        <f>IFERROR(INDEX('Schedule C'!$A$20:$BA$83,MATCH('DVO (F1 - F2)'!$R98,'Schedule C'!$A$20:$A$83,0),41)," ")</f>
        <v xml:space="preserve"> </v>
      </c>
      <c r="J98" s="1127" t="str">
        <f>IFERROR(INDEX('Schedule C'!$A$20:$BA$83,MATCH('DVO (F1 - F2)'!$R98,'Schedule C'!$A$20:$A$83,0),50)," ")</f>
        <v xml:space="preserve"> </v>
      </c>
      <c r="K98" s="1452" t="str">
        <f>IFERROR(INDEX('Schedule C'!$A$20:$BA$83,MATCH('DVO (F1 - F2)'!$R98,'Schedule C'!$A$20:$A$83,0),33)," ")</f>
        <v xml:space="preserve"> </v>
      </c>
      <c r="L98" s="1453" t="str">
        <f>IFERROR(INDEX('Schedule C'!$A$20:$BA$83,MATCH('DVO (F1 - F2)'!$R98,'Schedule C'!$A$20:$A$83,0),52)," ")</f>
        <v xml:space="preserve"> </v>
      </c>
      <c r="M98" s="1454" t="str">
        <f>IFERROR(INDEX('Schedule C'!$A$20:$BA$83,MATCH('DVO (F1 - F2)'!$R98,'Schedule C'!$A$20:$A$83,0),50)-INDEX('Schedule C'!$A$20:$BA$83,MATCH('DVO (F1 - F2)'!$R98,'Schedule C'!$A$20:$A$83,0),39)," ")</f>
        <v xml:space="preserve"> </v>
      </c>
      <c r="N98" s="1129" t="str">
        <f t="shared" si="5"/>
        <v xml:space="preserve"> </v>
      </c>
      <c r="O98" s="1129" t="str">
        <f t="shared" si="6"/>
        <v xml:space="preserve"> </v>
      </c>
      <c r="P98" s="1130" t="str">
        <f t="shared" si="7"/>
        <v xml:space="preserve"> </v>
      </c>
      <c r="Q98" s="1131" t="str">
        <f t="shared" si="8"/>
        <v xml:space="preserve"> </v>
      </c>
      <c r="R98" s="1118">
        <f>IF('Schedule C'!AX104&gt;='DVO (F1 - F2)'!J$3,IF('Schedule C'!AX104&lt;='DVO (F1 - F2)'!K$3,IF('Schedule C'!BA104="APPROVED",'Schedule C'!A104,0),0),0)</f>
        <v>0</v>
      </c>
    </row>
    <row r="99" spans="1:18" ht="15">
      <c r="A99" s="1125">
        <f t="shared" si="9"/>
        <v>92</v>
      </c>
      <c r="B99" s="1126">
        <v>1</v>
      </c>
      <c r="C99" s="1126" t="str">
        <f>IFERROR(VLOOKUP($D99,dropdowns!$I$3:$Q$30,6,0), " ")</f>
        <v xml:space="preserve"> </v>
      </c>
      <c r="D99" s="1126" t="str">
        <f>IFERROR(INDEX('Schedule C'!$A$20:$BA$83,MATCH('DVO (F1 - F2)'!$R282,'Schedule C'!$A$20:$A$83,0),13)," ")</f>
        <v xml:space="preserve"> </v>
      </c>
      <c r="E99" s="1126" t="str">
        <f>IFERROR(VLOOKUP($D99,dropdowns!$I$3:$Q$30,7,0), " ")</f>
        <v xml:space="preserve"> </v>
      </c>
      <c r="F99" s="1126" t="str">
        <f>IFERROR(INDEX('Schedule C'!$A$20:$BA$83,MATCH('DVO (F1 - F2)'!$R99,'Schedule C'!$A$20:$A$83,0),2)," ")</f>
        <v xml:space="preserve"> </v>
      </c>
      <c r="G99" s="1127" t="str">
        <f>IFERROR(INDEX('Schedule C'!$A$20:$BA$83,MATCH('DVO (F1 - F2)'!$R99,'Schedule C'!$A$20:$A$83,0),38)," ")</f>
        <v xml:space="preserve"> </v>
      </c>
      <c r="H99" s="1127" t="str">
        <f>IFERROR(INDEX('Schedule C'!$A$20:$BA$83,MATCH('DVO (F1 - F2)'!$R99,'Schedule C'!$A$20:$A$83,0),39)," ")</f>
        <v xml:space="preserve"> </v>
      </c>
      <c r="I99" s="1127" t="str">
        <f>IFERROR(INDEX('Schedule C'!$A$20:$BA$83,MATCH('DVO (F1 - F2)'!$R99,'Schedule C'!$A$20:$A$83,0),41)," ")</f>
        <v xml:space="preserve"> </v>
      </c>
      <c r="J99" s="1127" t="str">
        <f>IFERROR(INDEX('Schedule C'!$A$20:$BA$83,MATCH('DVO (F1 - F2)'!$R99,'Schedule C'!$A$20:$A$83,0),50)," ")</f>
        <v xml:space="preserve"> </v>
      </c>
      <c r="K99" s="1452" t="str">
        <f>IFERROR(INDEX('Schedule C'!$A$20:$BA$83,MATCH('DVO (F1 - F2)'!$R99,'Schedule C'!$A$20:$A$83,0),33)," ")</f>
        <v xml:space="preserve"> </v>
      </c>
      <c r="L99" s="1453" t="str">
        <f>IFERROR(INDEX('Schedule C'!$A$20:$BA$83,MATCH('DVO (F1 - F2)'!$R99,'Schedule C'!$A$20:$A$83,0),52)," ")</f>
        <v xml:space="preserve"> </v>
      </c>
      <c r="M99" s="1454" t="str">
        <f>IFERROR(INDEX('Schedule C'!$A$20:$BA$83,MATCH('DVO (F1 - F2)'!$R99,'Schedule C'!$A$20:$A$83,0),50)-INDEX('Schedule C'!$A$20:$BA$83,MATCH('DVO (F1 - F2)'!$R99,'Schedule C'!$A$20:$A$83,0),39)," ")</f>
        <v xml:space="preserve"> </v>
      </c>
      <c r="N99" s="1129" t="str">
        <f t="shared" si="5"/>
        <v xml:space="preserve"> </v>
      </c>
      <c r="O99" s="1129" t="str">
        <f t="shared" si="6"/>
        <v xml:space="preserve"> </v>
      </c>
      <c r="P99" s="1130" t="str">
        <f t="shared" si="7"/>
        <v xml:space="preserve"> </v>
      </c>
      <c r="Q99" s="1131" t="str">
        <f t="shared" si="8"/>
        <v xml:space="preserve"> </v>
      </c>
      <c r="R99" s="1118">
        <f>IF('Schedule C'!AX105&gt;='DVO (F1 - F2)'!J$3,IF('Schedule C'!AX105&lt;='DVO (F1 - F2)'!K$3,IF('Schedule C'!BA105="APPROVED",'Schedule C'!A105,0),0),0)</f>
        <v>0</v>
      </c>
    </row>
    <row r="100" spans="1:18" ht="15">
      <c r="A100" s="1125">
        <f t="shared" si="9"/>
        <v>93</v>
      </c>
      <c r="B100" s="1126">
        <v>1</v>
      </c>
      <c r="C100" s="1126" t="str">
        <f>IFERROR(VLOOKUP($D100,dropdowns!$I$3:$Q$30,6,0), " ")</f>
        <v xml:space="preserve"> </v>
      </c>
      <c r="D100" s="1126" t="str">
        <f>IFERROR(INDEX('Schedule C'!$A$20:$BA$83,MATCH('DVO (F1 - F2)'!$R283,'Schedule C'!$A$20:$A$83,0),13)," ")</f>
        <v xml:space="preserve"> </v>
      </c>
      <c r="E100" s="1126" t="str">
        <f>IFERROR(VLOOKUP($D100,dropdowns!$I$3:$Q$30,7,0), " ")</f>
        <v xml:space="preserve"> </v>
      </c>
      <c r="F100" s="1126" t="str">
        <f>IFERROR(INDEX('Schedule C'!$A$20:$BA$83,MATCH('DVO (F1 - F2)'!$R100,'Schedule C'!$A$20:$A$83,0),2)," ")</f>
        <v xml:space="preserve"> </v>
      </c>
      <c r="G100" s="1127" t="str">
        <f>IFERROR(INDEX('Schedule C'!$A$20:$BA$83,MATCH('DVO (F1 - F2)'!$R100,'Schedule C'!$A$20:$A$83,0),38)," ")</f>
        <v xml:space="preserve"> </v>
      </c>
      <c r="H100" s="1127" t="str">
        <f>IFERROR(INDEX('Schedule C'!$A$20:$BA$83,MATCH('DVO (F1 - F2)'!$R100,'Schedule C'!$A$20:$A$83,0),39)," ")</f>
        <v xml:space="preserve"> </v>
      </c>
      <c r="I100" s="1127" t="str">
        <f>IFERROR(INDEX('Schedule C'!$A$20:$BA$83,MATCH('DVO (F1 - F2)'!$R100,'Schedule C'!$A$20:$A$83,0),41)," ")</f>
        <v xml:space="preserve"> </v>
      </c>
      <c r="J100" s="1127" t="str">
        <f>IFERROR(INDEX('Schedule C'!$A$20:$BA$83,MATCH('DVO (F1 - F2)'!$R100,'Schedule C'!$A$20:$A$83,0),50)," ")</f>
        <v xml:space="preserve"> </v>
      </c>
      <c r="K100" s="1452" t="str">
        <f>IFERROR(INDEX('Schedule C'!$A$20:$BA$83,MATCH('DVO (F1 - F2)'!$R100,'Schedule C'!$A$20:$A$83,0),33)," ")</f>
        <v xml:space="preserve"> </v>
      </c>
      <c r="L100" s="1453" t="str">
        <f>IFERROR(INDEX('Schedule C'!$A$20:$BA$83,MATCH('DVO (F1 - F2)'!$R100,'Schedule C'!$A$20:$A$83,0),52)," ")</f>
        <v xml:space="preserve"> </v>
      </c>
      <c r="M100" s="1454" t="str">
        <f>IFERROR(INDEX('Schedule C'!$A$20:$BA$83,MATCH('DVO (F1 - F2)'!$R100,'Schedule C'!$A$20:$A$83,0),50)-INDEX('Schedule C'!$A$20:$BA$83,MATCH('DVO (F1 - F2)'!$R100,'Schedule C'!$A$20:$A$83,0),39)," ")</f>
        <v xml:space="preserve"> </v>
      </c>
      <c r="N100" s="1129" t="str">
        <f t="shared" si="5"/>
        <v xml:space="preserve"> </v>
      </c>
      <c r="O100" s="1129" t="str">
        <f t="shared" si="6"/>
        <v xml:space="preserve"> </v>
      </c>
      <c r="P100" s="1130" t="str">
        <f t="shared" si="7"/>
        <v xml:space="preserve"> </v>
      </c>
      <c r="Q100" s="1131" t="str">
        <f t="shared" si="8"/>
        <v xml:space="preserve"> </v>
      </c>
      <c r="R100" s="1118">
        <f>IF('Schedule C'!AX106&gt;='DVO (F1 - F2)'!J$3,IF('Schedule C'!AX106&lt;='DVO (F1 - F2)'!K$3,IF('Schedule C'!BA106="APPROVED",'Schedule C'!A106,0),0),0)</f>
        <v>0</v>
      </c>
    </row>
    <row r="101" spans="1:18" ht="15">
      <c r="A101" s="1125">
        <f t="shared" si="9"/>
        <v>94</v>
      </c>
      <c r="B101" s="1126">
        <v>1</v>
      </c>
      <c r="C101" s="1126" t="str">
        <f>IFERROR(VLOOKUP($D101,dropdowns!$I$3:$Q$30,6,0), " ")</f>
        <v xml:space="preserve"> </v>
      </c>
      <c r="D101" s="1126" t="str">
        <f>IFERROR(INDEX('Schedule C'!$A$20:$BA$83,MATCH('DVO (F1 - F2)'!$R284,'Schedule C'!$A$20:$A$83,0),13)," ")</f>
        <v xml:space="preserve"> </v>
      </c>
      <c r="E101" s="1126" t="str">
        <f>IFERROR(VLOOKUP($D101,dropdowns!$I$3:$Q$30,7,0), " ")</f>
        <v xml:space="preserve"> </v>
      </c>
      <c r="F101" s="1126" t="str">
        <f>IFERROR(INDEX('Schedule C'!$A$20:$BA$83,MATCH('DVO (F1 - F2)'!$R101,'Schedule C'!$A$20:$A$83,0),2)," ")</f>
        <v xml:space="preserve"> </v>
      </c>
      <c r="G101" s="1127" t="str">
        <f>IFERROR(INDEX('Schedule C'!$A$20:$BA$83,MATCH('DVO (F1 - F2)'!$R101,'Schedule C'!$A$20:$A$83,0),38)," ")</f>
        <v xml:space="preserve"> </v>
      </c>
      <c r="H101" s="1127" t="str">
        <f>IFERROR(INDEX('Schedule C'!$A$20:$BA$83,MATCH('DVO (F1 - F2)'!$R101,'Schedule C'!$A$20:$A$83,0),39)," ")</f>
        <v xml:space="preserve"> </v>
      </c>
      <c r="I101" s="1127" t="str">
        <f>IFERROR(INDEX('Schedule C'!$A$20:$BA$83,MATCH('DVO (F1 - F2)'!$R101,'Schedule C'!$A$20:$A$83,0),41)," ")</f>
        <v xml:space="preserve"> </v>
      </c>
      <c r="J101" s="1127" t="str">
        <f>IFERROR(INDEX('Schedule C'!$A$20:$BA$83,MATCH('DVO (F1 - F2)'!$R101,'Schedule C'!$A$20:$A$83,0),50)," ")</f>
        <v xml:space="preserve"> </v>
      </c>
      <c r="K101" s="1452" t="str">
        <f>IFERROR(INDEX('Schedule C'!$A$20:$BA$83,MATCH('DVO (F1 - F2)'!$R101,'Schedule C'!$A$20:$A$83,0),33)," ")</f>
        <v xml:space="preserve"> </v>
      </c>
      <c r="L101" s="1453" t="str">
        <f>IFERROR(INDEX('Schedule C'!$A$20:$BA$83,MATCH('DVO (F1 - F2)'!$R101,'Schedule C'!$A$20:$A$83,0),52)," ")</f>
        <v xml:space="preserve"> </v>
      </c>
      <c r="M101" s="1454" t="str">
        <f>IFERROR(INDEX('Schedule C'!$A$20:$BA$83,MATCH('DVO (F1 - F2)'!$R101,'Schedule C'!$A$20:$A$83,0),50)-INDEX('Schedule C'!$A$20:$BA$83,MATCH('DVO (F1 - F2)'!$R101,'Schedule C'!$A$20:$A$83,0),39)," ")</f>
        <v xml:space="preserve"> </v>
      </c>
      <c r="N101" s="1129" t="str">
        <f t="shared" si="5"/>
        <v xml:space="preserve"> </v>
      </c>
      <c r="O101" s="1129" t="str">
        <f t="shared" si="6"/>
        <v xml:space="preserve"> </v>
      </c>
      <c r="P101" s="1130" t="str">
        <f t="shared" si="7"/>
        <v xml:space="preserve"> </v>
      </c>
      <c r="Q101" s="1131" t="str">
        <f t="shared" si="8"/>
        <v xml:space="preserve"> </v>
      </c>
      <c r="R101" s="1118">
        <f>IF('Schedule C'!AX107&gt;='DVO (F1 - F2)'!J$3,IF('Schedule C'!AX107&lt;='DVO (F1 - F2)'!K$3,IF('Schedule C'!BA107="APPROVED",'Schedule C'!A107,0),0),0)</f>
        <v>0</v>
      </c>
    </row>
    <row r="102" spans="1:18" ht="15">
      <c r="A102" s="1125">
        <f t="shared" si="9"/>
        <v>95</v>
      </c>
      <c r="B102" s="1126">
        <v>1</v>
      </c>
      <c r="C102" s="1126" t="str">
        <f>IFERROR(VLOOKUP($D102,dropdowns!$I$3:$Q$30,6,0), " ")</f>
        <v xml:space="preserve"> </v>
      </c>
      <c r="D102" s="1126" t="str">
        <f>IFERROR(INDEX('Schedule C'!$A$20:$BA$83,MATCH('DVO (F1 - F2)'!$R285,'Schedule C'!$A$20:$A$83,0),13)," ")</f>
        <v xml:space="preserve"> </v>
      </c>
      <c r="E102" s="1126" t="str">
        <f>IFERROR(VLOOKUP($D102,dropdowns!$I$3:$Q$30,7,0), " ")</f>
        <v xml:space="preserve"> </v>
      </c>
      <c r="F102" s="1126" t="str">
        <f>IFERROR(INDEX('Schedule C'!$A$20:$BA$83,MATCH('DVO (F1 - F2)'!$R102,'Schedule C'!$A$20:$A$83,0),2)," ")</f>
        <v xml:space="preserve"> </v>
      </c>
      <c r="G102" s="1127" t="str">
        <f>IFERROR(INDEX('Schedule C'!$A$20:$BA$83,MATCH('DVO (F1 - F2)'!$R102,'Schedule C'!$A$20:$A$83,0),38)," ")</f>
        <v xml:space="preserve"> </v>
      </c>
      <c r="H102" s="1127" t="str">
        <f>IFERROR(INDEX('Schedule C'!$A$20:$BA$83,MATCH('DVO (F1 - F2)'!$R102,'Schedule C'!$A$20:$A$83,0),39)," ")</f>
        <v xml:space="preserve"> </v>
      </c>
      <c r="I102" s="1127" t="str">
        <f>IFERROR(INDEX('Schedule C'!$A$20:$BA$83,MATCH('DVO (F1 - F2)'!$R102,'Schedule C'!$A$20:$A$83,0),41)," ")</f>
        <v xml:space="preserve"> </v>
      </c>
      <c r="J102" s="1127" t="str">
        <f>IFERROR(INDEX('Schedule C'!$A$20:$BA$83,MATCH('DVO (F1 - F2)'!$R102,'Schedule C'!$A$20:$A$83,0),50)," ")</f>
        <v xml:space="preserve"> </v>
      </c>
      <c r="K102" s="1452" t="str">
        <f>IFERROR(INDEX('Schedule C'!$A$20:$BA$83,MATCH('DVO (F1 - F2)'!$R102,'Schedule C'!$A$20:$A$83,0),33)," ")</f>
        <v xml:space="preserve"> </v>
      </c>
      <c r="L102" s="1453" t="str">
        <f>IFERROR(INDEX('Schedule C'!$A$20:$BA$83,MATCH('DVO (F1 - F2)'!$R102,'Schedule C'!$A$20:$A$83,0),52)," ")</f>
        <v xml:space="preserve"> </v>
      </c>
      <c r="M102" s="1454" t="str">
        <f>IFERROR(INDEX('Schedule C'!$A$20:$BA$83,MATCH('DVO (F1 - F2)'!$R102,'Schedule C'!$A$20:$A$83,0),50)-INDEX('Schedule C'!$A$20:$BA$83,MATCH('DVO (F1 - F2)'!$R102,'Schedule C'!$A$20:$A$83,0),39)," ")</f>
        <v xml:space="preserve"> </v>
      </c>
      <c r="N102" s="1129" t="str">
        <f t="shared" si="5"/>
        <v xml:space="preserve"> </v>
      </c>
      <c r="O102" s="1129" t="str">
        <f t="shared" si="6"/>
        <v xml:space="preserve"> </v>
      </c>
      <c r="P102" s="1130" t="str">
        <f t="shared" si="7"/>
        <v xml:space="preserve"> </v>
      </c>
      <c r="Q102" s="1131" t="str">
        <f t="shared" si="8"/>
        <v xml:space="preserve"> </v>
      </c>
      <c r="R102" s="1118">
        <f>IF('Schedule C'!AX108&gt;='DVO (F1 - F2)'!J$3,IF('Schedule C'!AX108&lt;='DVO (F1 - F2)'!K$3,IF('Schedule C'!BA108="APPROVED",'Schedule C'!A108,0),0),0)</f>
        <v>0</v>
      </c>
    </row>
    <row r="103" spans="1:18" ht="15">
      <c r="A103" s="1125">
        <f t="shared" si="9"/>
        <v>96</v>
      </c>
      <c r="B103" s="1126">
        <v>1</v>
      </c>
      <c r="C103" s="1126" t="str">
        <f>IFERROR(VLOOKUP($D103,dropdowns!$I$3:$Q$30,6,0), " ")</f>
        <v xml:space="preserve"> </v>
      </c>
      <c r="D103" s="1126" t="str">
        <f>IFERROR(INDEX('Schedule C'!$A$20:$BA$83,MATCH('DVO (F1 - F2)'!$R286,'Schedule C'!$A$20:$A$83,0),13)," ")</f>
        <v xml:space="preserve"> </v>
      </c>
      <c r="E103" s="1126" t="str">
        <f>IFERROR(VLOOKUP($D103,dropdowns!$I$3:$Q$30,7,0), " ")</f>
        <v xml:space="preserve"> </v>
      </c>
      <c r="F103" s="1126" t="str">
        <f>IFERROR(INDEX('Schedule C'!$A$20:$BA$83,MATCH('DVO (F1 - F2)'!$R103,'Schedule C'!$A$20:$A$83,0),2)," ")</f>
        <v xml:space="preserve"> </v>
      </c>
      <c r="G103" s="1127" t="str">
        <f>IFERROR(INDEX('Schedule C'!$A$20:$BA$83,MATCH('DVO (F1 - F2)'!$R103,'Schedule C'!$A$20:$A$83,0),38)," ")</f>
        <v xml:space="preserve"> </v>
      </c>
      <c r="H103" s="1127" t="str">
        <f>IFERROR(INDEX('Schedule C'!$A$20:$BA$83,MATCH('DVO (F1 - F2)'!$R103,'Schedule C'!$A$20:$A$83,0),39)," ")</f>
        <v xml:space="preserve"> </v>
      </c>
      <c r="I103" s="1127" t="str">
        <f>IFERROR(INDEX('Schedule C'!$A$20:$BA$83,MATCH('DVO (F1 - F2)'!$R103,'Schedule C'!$A$20:$A$83,0),41)," ")</f>
        <v xml:space="preserve"> </v>
      </c>
      <c r="J103" s="1127" t="str">
        <f>IFERROR(INDEX('Schedule C'!$A$20:$BA$83,MATCH('DVO (F1 - F2)'!$R103,'Schedule C'!$A$20:$A$83,0),50)," ")</f>
        <v xml:space="preserve"> </v>
      </c>
      <c r="K103" s="1452" t="str">
        <f>IFERROR(INDEX('Schedule C'!$A$20:$BA$83,MATCH('DVO (F1 - F2)'!$R103,'Schedule C'!$A$20:$A$83,0),33)," ")</f>
        <v xml:space="preserve"> </v>
      </c>
      <c r="L103" s="1453" t="str">
        <f>IFERROR(INDEX('Schedule C'!$A$20:$BA$83,MATCH('DVO (F1 - F2)'!$R103,'Schedule C'!$A$20:$A$83,0),52)," ")</f>
        <v xml:space="preserve"> </v>
      </c>
      <c r="M103" s="1454" t="str">
        <f>IFERROR(INDEX('Schedule C'!$A$20:$BA$83,MATCH('DVO (F1 - F2)'!$R103,'Schedule C'!$A$20:$A$83,0),50)-INDEX('Schedule C'!$A$20:$BA$83,MATCH('DVO (F1 - F2)'!$R103,'Schedule C'!$A$20:$A$83,0),39)," ")</f>
        <v xml:space="preserve"> </v>
      </c>
      <c r="N103" s="1129" t="str">
        <f t="shared" si="5"/>
        <v xml:space="preserve"> </v>
      </c>
      <c r="O103" s="1129" t="str">
        <f t="shared" si="6"/>
        <v xml:space="preserve"> </v>
      </c>
      <c r="P103" s="1130" t="str">
        <f t="shared" si="7"/>
        <v xml:space="preserve"> </v>
      </c>
      <c r="Q103" s="1131" t="str">
        <f t="shared" si="8"/>
        <v xml:space="preserve"> </v>
      </c>
      <c r="R103" s="1118">
        <f>IF('Schedule C'!AX109&gt;='DVO (F1 - F2)'!J$3,IF('Schedule C'!AX109&lt;='DVO (F1 - F2)'!K$3,IF('Schedule C'!BA109="APPROVED",'Schedule C'!A109,0),0),0)</f>
        <v>0</v>
      </c>
    </row>
    <row r="104" spans="1:18" ht="15">
      <c r="A104" s="1125">
        <f t="shared" si="9"/>
        <v>97</v>
      </c>
      <c r="B104" s="1126">
        <v>1</v>
      </c>
      <c r="C104" s="1126" t="str">
        <f>IFERROR(VLOOKUP($D104,dropdowns!$I$3:$Q$30,6,0), " ")</f>
        <v xml:space="preserve"> </v>
      </c>
      <c r="D104" s="1126" t="str">
        <f>IFERROR(INDEX('Schedule C'!$A$20:$BA$83,MATCH('DVO (F1 - F2)'!$R287,'Schedule C'!$A$20:$A$83,0),13)," ")</f>
        <v xml:space="preserve"> </v>
      </c>
      <c r="E104" s="1126" t="str">
        <f>IFERROR(VLOOKUP($D104,dropdowns!$I$3:$Q$30,7,0), " ")</f>
        <v xml:space="preserve"> </v>
      </c>
      <c r="F104" s="1126" t="str">
        <f>IFERROR(INDEX('Schedule C'!$A$20:$BA$83,MATCH('DVO (F1 - F2)'!$R104,'Schedule C'!$A$20:$A$83,0),2)," ")</f>
        <v xml:space="preserve"> </v>
      </c>
      <c r="G104" s="1127" t="str">
        <f>IFERROR(INDEX('Schedule C'!$A$20:$BA$83,MATCH('DVO (F1 - F2)'!$R104,'Schedule C'!$A$20:$A$83,0),38)," ")</f>
        <v xml:space="preserve"> </v>
      </c>
      <c r="H104" s="1127" t="str">
        <f>IFERROR(INDEX('Schedule C'!$A$20:$BA$83,MATCH('DVO (F1 - F2)'!$R104,'Schedule C'!$A$20:$A$83,0),39)," ")</f>
        <v xml:space="preserve"> </v>
      </c>
      <c r="I104" s="1127" t="str">
        <f>IFERROR(INDEX('Schedule C'!$A$20:$BA$83,MATCH('DVO (F1 - F2)'!$R104,'Schedule C'!$A$20:$A$83,0),41)," ")</f>
        <v xml:space="preserve"> </v>
      </c>
      <c r="J104" s="1127" t="str">
        <f>IFERROR(INDEX('Schedule C'!$A$20:$BA$83,MATCH('DVO (F1 - F2)'!$R104,'Schedule C'!$A$20:$A$83,0),50)," ")</f>
        <v xml:space="preserve"> </v>
      </c>
      <c r="K104" s="1452" t="str">
        <f>IFERROR(INDEX('Schedule C'!$A$20:$BA$83,MATCH('DVO (F1 - F2)'!$R104,'Schedule C'!$A$20:$A$83,0),33)," ")</f>
        <v xml:space="preserve"> </v>
      </c>
      <c r="L104" s="1453" t="str">
        <f>IFERROR(INDEX('Schedule C'!$A$20:$BA$83,MATCH('DVO (F1 - F2)'!$R104,'Schedule C'!$A$20:$A$83,0),52)," ")</f>
        <v xml:space="preserve"> </v>
      </c>
      <c r="M104" s="1454" t="str">
        <f>IFERROR(INDEX('Schedule C'!$A$20:$BA$83,MATCH('DVO (F1 - F2)'!$R104,'Schedule C'!$A$20:$A$83,0),50)-INDEX('Schedule C'!$A$20:$BA$83,MATCH('DVO (F1 - F2)'!$R104,'Schedule C'!$A$20:$A$83,0),39)," ")</f>
        <v xml:space="preserve"> </v>
      </c>
      <c r="N104" s="1129" t="str">
        <f t="shared" si="5"/>
        <v xml:space="preserve"> </v>
      </c>
      <c r="O104" s="1129" t="str">
        <f t="shared" si="6"/>
        <v xml:space="preserve"> </v>
      </c>
      <c r="P104" s="1130" t="str">
        <f t="shared" si="7"/>
        <v xml:space="preserve"> </v>
      </c>
      <c r="Q104" s="1131" t="str">
        <f t="shared" si="8"/>
        <v xml:space="preserve"> </v>
      </c>
      <c r="R104" s="1118">
        <f>IF('Schedule C'!AX110&gt;='DVO (F1 - F2)'!J$3,IF('Schedule C'!AX110&lt;='DVO (F1 - F2)'!K$3,IF('Schedule C'!BA110="APPROVED",'Schedule C'!A110,0),0),0)</f>
        <v>0</v>
      </c>
    </row>
    <row r="105" spans="1:18" ht="15">
      <c r="A105" s="1125">
        <f t="shared" si="9"/>
        <v>98</v>
      </c>
      <c r="B105" s="1126">
        <v>1</v>
      </c>
      <c r="C105" s="1126" t="str">
        <f>IFERROR(VLOOKUP($D105,dropdowns!$I$3:$Q$30,6,0), " ")</f>
        <v xml:space="preserve"> </v>
      </c>
      <c r="D105" s="1126" t="str">
        <f>IFERROR(INDEX('Schedule C'!$A$20:$BA$83,MATCH('DVO (F1 - F2)'!$R288,'Schedule C'!$A$20:$A$83,0),13)," ")</f>
        <v xml:space="preserve"> </v>
      </c>
      <c r="E105" s="1126" t="str">
        <f>IFERROR(VLOOKUP($D105,dropdowns!$I$3:$Q$30,7,0), " ")</f>
        <v xml:space="preserve"> </v>
      </c>
      <c r="F105" s="1126" t="str">
        <f>IFERROR(INDEX('Schedule C'!$A$20:$BA$83,MATCH('DVO (F1 - F2)'!$R105,'Schedule C'!$A$20:$A$83,0),2)," ")</f>
        <v xml:space="preserve"> </v>
      </c>
      <c r="G105" s="1127" t="str">
        <f>IFERROR(INDEX('Schedule C'!$A$20:$BA$83,MATCH('DVO (F1 - F2)'!$R105,'Schedule C'!$A$20:$A$83,0),38)," ")</f>
        <v xml:space="preserve"> </v>
      </c>
      <c r="H105" s="1127" t="str">
        <f>IFERROR(INDEX('Schedule C'!$A$20:$BA$83,MATCH('DVO (F1 - F2)'!$R105,'Schedule C'!$A$20:$A$83,0),39)," ")</f>
        <v xml:space="preserve"> </v>
      </c>
      <c r="I105" s="1127" t="str">
        <f>IFERROR(INDEX('Schedule C'!$A$20:$BA$83,MATCH('DVO (F1 - F2)'!$R105,'Schedule C'!$A$20:$A$83,0),41)," ")</f>
        <v xml:space="preserve"> </v>
      </c>
      <c r="J105" s="1127" t="str">
        <f>IFERROR(INDEX('Schedule C'!$A$20:$BA$83,MATCH('DVO (F1 - F2)'!$R105,'Schedule C'!$A$20:$A$83,0),50)," ")</f>
        <v xml:space="preserve"> </v>
      </c>
      <c r="K105" s="1452" t="str">
        <f>IFERROR(INDEX('Schedule C'!$A$20:$BA$83,MATCH('DVO (F1 - F2)'!$R105,'Schedule C'!$A$20:$A$83,0),33)," ")</f>
        <v xml:space="preserve"> </v>
      </c>
      <c r="L105" s="1453" t="str">
        <f>IFERROR(INDEX('Schedule C'!$A$20:$BA$83,MATCH('DVO (F1 - F2)'!$R105,'Schedule C'!$A$20:$A$83,0),52)," ")</f>
        <v xml:space="preserve"> </v>
      </c>
      <c r="M105" s="1454" t="str">
        <f>IFERROR(INDEX('Schedule C'!$A$20:$BA$83,MATCH('DVO (F1 - F2)'!$R105,'Schedule C'!$A$20:$A$83,0),50)-INDEX('Schedule C'!$A$20:$BA$83,MATCH('DVO (F1 - F2)'!$R105,'Schedule C'!$A$20:$A$83,0),39)," ")</f>
        <v xml:space="preserve"> </v>
      </c>
      <c r="N105" s="1129" t="str">
        <f t="shared" si="5"/>
        <v xml:space="preserve"> </v>
      </c>
      <c r="O105" s="1129" t="str">
        <f t="shared" si="6"/>
        <v xml:space="preserve"> </v>
      </c>
      <c r="P105" s="1130" t="str">
        <f t="shared" si="7"/>
        <v xml:space="preserve"> </v>
      </c>
      <c r="Q105" s="1131" t="str">
        <f t="shared" si="8"/>
        <v xml:space="preserve"> </v>
      </c>
      <c r="R105" s="1118">
        <f>IF('Schedule C'!AX111&gt;='DVO (F1 - F2)'!J$3,IF('Schedule C'!AX111&lt;='DVO (F1 - F2)'!K$3,IF('Schedule C'!BA111="APPROVED",'Schedule C'!A111,0),0),0)</f>
        <v>0</v>
      </c>
    </row>
    <row r="106" spans="1:18" ht="15">
      <c r="A106" s="1125">
        <f t="shared" si="9"/>
        <v>99</v>
      </c>
      <c r="B106" s="1126">
        <v>1</v>
      </c>
      <c r="C106" s="1126" t="str">
        <f>IFERROR(VLOOKUP($D106,dropdowns!$I$3:$Q$30,6,0), " ")</f>
        <v xml:space="preserve"> </v>
      </c>
      <c r="D106" s="1126" t="str">
        <f>IFERROR(INDEX('Schedule C'!$A$20:$BA$83,MATCH('DVO (F1 - F2)'!$R289,'Schedule C'!$A$20:$A$83,0),13)," ")</f>
        <v xml:space="preserve"> </v>
      </c>
      <c r="E106" s="1126" t="str">
        <f>IFERROR(VLOOKUP($D106,dropdowns!$I$3:$Q$30,7,0), " ")</f>
        <v xml:space="preserve"> </v>
      </c>
      <c r="F106" s="1126" t="str">
        <f>IFERROR(INDEX('Schedule C'!$A$20:$BA$83,MATCH('DVO (F1 - F2)'!$R106,'Schedule C'!$A$20:$A$83,0),2)," ")</f>
        <v xml:space="preserve"> </v>
      </c>
      <c r="G106" s="1127" t="str">
        <f>IFERROR(INDEX('Schedule C'!$A$20:$BA$83,MATCH('DVO (F1 - F2)'!$R106,'Schedule C'!$A$20:$A$83,0),38)," ")</f>
        <v xml:space="preserve"> </v>
      </c>
      <c r="H106" s="1127" t="str">
        <f>IFERROR(INDEX('Schedule C'!$A$20:$BA$83,MATCH('DVO (F1 - F2)'!$R106,'Schedule C'!$A$20:$A$83,0),39)," ")</f>
        <v xml:space="preserve"> </v>
      </c>
      <c r="I106" s="1127" t="str">
        <f>IFERROR(INDEX('Schedule C'!$A$20:$BA$83,MATCH('DVO (F1 - F2)'!$R106,'Schedule C'!$A$20:$A$83,0),41)," ")</f>
        <v xml:space="preserve"> </v>
      </c>
      <c r="J106" s="1127" t="str">
        <f>IFERROR(INDEX('Schedule C'!$A$20:$BA$83,MATCH('DVO (F1 - F2)'!$R106,'Schedule C'!$A$20:$A$83,0),50)," ")</f>
        <v xml:space="preserve"> </v>
      </c>
      <c r="K106" s="1452" t="str">
        <f>IFERROR(INDEX('Schedule C'!$A$20:$BA$83,MATCH('DVO (F1 - F2)'!$R106,'Schedule C'!$A$20:$A$83,0),33)," ")</f>
        <v xml:space="preserve"> </v>
      </c>
      <c r="L106" s="1453" t="str">
        <f>IFERROR(INDEX('Schedule C'!$A$20:$BA$83,MATCH('DVO (F1 - F2)'!$R106,'Schedule C'!$A$20:$A$83,0),52)," ")</f>
        <v xml:space="preserve"> </v>
      </c>
      <c r="M106" s="1454" t="str">
        <f>IFERROR(INDEX('Schedule C'!$A$20:$BA$83,MATCH('DVO (F1 - F2)'!$R106,'Schedule C'!$A$20:$A$83,0),50)-INDEX('Schedule C'!$A$20:$BA$83,MATCH('DVO (F1 - F2)'!$R106,'Schedule C'!$A$20:$A$83,0),39)," ")</f>
        <v xml:space="preserve"> </v>
      </c>
      <c r="N106" s="1129" t="str">
        <f t="shared" si="5"/>
        <v xml:space="preserve"> </v>
      </c>
      <c r="O106" s="1129" t="str">
        <f t="shared" si="6"/>
        <v xml:space="preserve"> </v>
      </c>
      <c r="P106" s="1130" t="str">
        <f t="shared" si="7"/>
        <v xml:space="preserve"> </v>
      </c>
      <c r="Q106" s="1131" t="str">
        <f t="shared" si="8"/>
        <v xml:space="preserve"> </v>
      </c>
      <c r="R106" s="1118">
        <f>IF('Schedule C'!AX112&gt;='DVO (F1 - F2)'!J$3,IF('Schedule C'!AX112&lt;='DVO (F1 - F2)'!K$3,IF('Schedule C'!BA112="APPROVED",'Schedule C'!A112,0),0),0)</f>
        <v>0</v>
      </c>
    </row>
    <row r="107" spans="1:18" ht="15">
      <c r="A107" s="1125">
        <f t="shared" si="9"/>
        <v>100</v>
      </c>
      <c r="B107" s="1126">
        <v>1</v>
      </c>
      <c r="C107" s="1126" t="str">
        <f>IFERROR(VLOOKUP($D107,dropdowns!$I$3:$Q$30,6,0), " ")</f>
        <v xml:space="preserve"> </v>
      </c>
      <c r="D107" s="1126" t="str">
        <f>IFERROR(INDEX('Schedule C'!$A$20:$BA$83,MATCH('DVO (F1 - F2)'!$R290,'Schedule C'!$A$20:$A$83,0),13)," ")</f>
        <v xml:space="preserve"> </v>
      </c>
      <c r="E107" s="1126" t="str">
        <f>IFERROR(VLOOKUP($D107,dropdowns!$I$3:$Q$30,7,0), " ")</f>
        <v xml:space="preserve"> </v>
      </c>
      <c r="F107" s="1126" t="str">
        <f>IFERROR(INDEX('Schedule C'!$A$20:$BA$83,MATCH('DVO (F1 - F2)'!$R107,'Schedule C'!$A$20:$A$83,0),2)," ")</f>
        <v xml:space="preserve"> </v>
      </c>
      <c r="G107" s="1127" t="str">
        <f>IFERROR(INDEX('Schedule C'!$A$20:$BA$83,MATCH('DVO (F1 - F2)'!$R107,'Schedule C'!$A$20:$A$83,0),38)," ")</f>
        <v xml:space="preserve"> </v>
      </c>
      <c r="H107" s="1127" t="str">
        <f>IFERROR(INDEX('Schedule C'!$A$20:$BA$83,MATCH('DVO (F1 - F2)'!$R107,'Schedule C'!$A$20:$A$83,0),39)," ")</f>
        <v xml:space="preserve"> </v>
      </c>
      <c r="I107" s="1127" t="str">
        <f>IFERROR(INDEX('Schedule C'!$A$20:$BA$83,MATCH('DVO (F1 - F2)'!$R107,'Schedule C'!$A$20:$A$83,0),41)," ")</f>
        <v xml:space="preserve"> </v>
      </c>
      <c r="J107" s="1127" t="str">
        <f>IFERROR(INDEX('Schedule C'!$A$20:$BA$83,MATCH('DVO (F1 - F2)'!$R107,'Schedule C'!$A$20:$A$83,0),50)," ")</f>
        <v xml:space="preserve"> </v>
      </c>
      <c r="K107" s="1452" t="str">
        <f>IFERROR(INDEX('Schedule C'!$A$20:$BA$83,MATCH('DVO (F1 - F2)'!$R107,'Schedule C'!$A$20:$A$83,0),33)," ")</f>
        <v xml:space="preserve"> </v>
      </c>
      <c r="L107" s="1453" t="str">
        <f>IFERROR(INDEX('Schedule C'!$A$20:$BA$83,MATCH('DVO (F1 - F2)'!$R107,'Schedule C'!$A$20:$A$83,0),52)," ")</f>
        <v xml:space="preserve"> </v>
      </c>
      <c r="M107" s="1454" t="str">
        <f>IFERROR(INDEX('Schedule C'!$A$20:$BA$83,MATCH('DVO (F1 - F2)'!$R107,'Schedule C'!$A$20:$A$83,0),50)-INDEX('Schedule C'!$A$20:$BA$83,MATCH('DVO (F1 - F2)'!$R107,'Schedule C'!$A$20:$A$83,0),39)," ")</f>
        <v xml:space="preserve"> </v>
      </c>
      <c r="N107" s="1129" t="str">
        <f t="shared" si="5"/>
        <v xml:space="preserve"> </v>
      </c>
      <c r="O107" s="1129" t="str">
        <f t="shared" si="6"/>
        <v xml:space="preserve"> </v>
      </c>
      <c r="P107" s="1130" t="str">
        <f t="shared" si="7"/>
        <v xml:space="preserve"> </v>
      </c>
      <c r="Q107" s="1131" t="str">
        <f t="shared" si="8"/>
        <v xml:space="preserve"> </v>
      </c>
      <c r="R107" s="1118">
        <f>IF('Schedule C'!AX113&gt;='DVO (F1 - F2)'!J$3,IF('Schedule C'!AX113&lt;='DVO (F1 - F2)'!K$3,IF('Schedule C'!BA113="APPROVED",'Schedule C'!A113,0),0),0)</f>
        <v>0</v>
      </c>
    </row>
    <row r="108" spans="1:18" ht="15">
      <c r="A108" s="1125">
        <f t="shared" si="9"/>
        <v>101</v>
      </c>
      <c r="B108" s="1126">
        <v>1</v>
      </c>
      <c r="C108" s="1126" t="str">
        <f>IFERROR(VLOOKUP($D108,dropdowns!$I$3:$Q$30,6,0), " ")</f>
        <v xml:space="preserve"> </v>
      </c>
      <c r="D108" s="1126" t="str">
        <f>IFERROR(INDEX('Schedule C'!$A$20:$BA$83,MATCH('DVO (F1 - F2)'!$R291,'Schedule C'!$A$20:$A$83,0),13)," ")</f>
        <v xml:space="preserve"> </v>
      </c>
      <c r="E108" s="1126" t="str">
        <f>IFERROR(VLOOKUP($D108,dropdowns!$I$3:$Q$30,7,0), " ")</f>
        <v xml:space="preserve"> </v>
      </c>
      <c r="F108" s="1126" t="str">
        <f>IFERROR(INDEX('Schedule C'!$A$20:$BA$83,MATCH('DVO (F1 - F2)'!$R108,'Schedule C'!$A$20:$A$83,0),2)," ")</f>
        <v xml:space="preserve"> </v>
      </c>
      <c r="G108" s="1127" t="str">
        <f>IFERROR(INDEX('Schedule C'!$A$20:$BA$83,MATCH('DVO (F1 - F2)'!$R108,'Schedule C'!$A$20:$A$83,0),38)," ")</f>
        <v xml:space="preserve"> </v>
      </c>
      <c r="H108" s="1127" t="str">
        <f>IFERROR(INDEX('Schedule C'!$A$20:$BA$83,MATCH('DVO (F1 - F2)'!$R108,'Schedule C'!$A$20:$A$83,0),39)," ")</f>
        <v xml:space="preserve"> </v>
      </c>
      <c r="I108" s="1127" t="str">
        <f>IFERROR(INDEX('Schedule C'!$A$20:$BA$83,MATCH('DVO (F1 - F2)'!$R108,'Schedule C'!$A$20:$A$83,0),41)," ")</f>
        <v xml:space="preserve"> </v>
      </c>
      <c r="J108" s="1127" t="str">
        <f>IFERROR(INDEX('Schedule C'!$A$20:$BA$83,MATCH('DVO (F1 - F2)'!$R108,'Schedule C'!$A$20:$A$83,0),50)," ")</f>
        <v xml:space="preserve"> </v>
      </c>
      <c r="K108" s="1452" t="str">
        <f>IFERROR(INDEX('Schedule C'!$A$20:$BA$83,MATCH('DVO (F1 - F2)'!$R108,'Schedule C'!$A$20:$A$83,0),33)," ")</f>
        <v xml:space="preserve"> </v>
      </c>
      <c r="L108" s="1453" t="str">
        <f>IFERROR(INDEX('Schedule C'!$A$20:$BA$83,MATCH('DVO (F1 - F2)'!$R108,'Schedule C'!$A$20:$A$83,0),52)," ")</f>
        <v xml:space="preserve"> </v>
      </c>
      <c r="M108" s="1454" t="str">
        <f>IFERROR(INDEX('Schedule C'!$A$20:$BA$83,MATCH('DVO (F1 - F2)'!$R108,'Schedule C'!$A$20:$A$83,0),50)-INDEX('Schedule C'!$A$20:$BA$83,MATCH('DVO (F1 - F2)'!$R108,'Schedule C'!$A$20:$A$83,0),39)," ")</f>
        <v xml:space="preserve"> </v>
      </c>
      <c r="N108" s="1129" t="str">
        <f t="shared" si="5"/>
        <v xml:space="preserve"> </v>
      </c>
      <c r="O108" s="1129" t="str">
        <f t="shared" si="6"/>
        <v xml:space="preserve"> </v>
      </c>
      <c r="P108" s="1130" t="str">
        <f t="shared" si="7"/>
        <v xml:space="preserve"> </v>
      </c>
      <c r="Q108" s="1131" t="str">
        <f t="shared" si="8"/>
        <v xml:space="preserve"> </v>
      </c>
      <c r="R108" s="1118">
        <f>IF('Schedule C'!AX114&gt;='DVO (F1 - F2)'!J$3,IF('Schedule C'!AX114&lt;='DVO (F1 - F2)'!K$3,IF('Schedule C'!BA114="APPROVED",'Schedule C'!A114,0),0),0)</f>
        <v>0</v>
      </c>
    </row>
    <row r="109" spans="1:18" ht="15">
      <c r="A109" s="1125">
        <f t="shared" si="9"/>
        <v>102</v>
      </c>
      <c r="B109" s="1126">
        <v>1</v>
      </c>
      <c r="C109" s="1126" t="str">
        <f>IFERROR(VLOOKUP($D109,dropdowns!$I$3:$Q$30,6,0), " ")</f>
        <v xml:space="preserve"> </v>
      </c>
      <c r="D109" s="1126" t="str">
        <f>IFERROR(INDEX('Schedule C'!$A$20:$BA$83,MATCH('DVO (F1 - F2)'!$R292,'Schedule C'!$A$20:$A$83,0),13)," ")</f>
        <v xml:space="preserve"> </v>
      </c>
      <c r="E109" s="1126" t="str">
        <f>IFERROR(VLOOKUP($D109,dropdowns!$I$3:$Q$30,7,0), " ")</f>
        <v xml:space="preserve"> </v>
      </c>
      <c r="F109" s="1126" t="str">
        <f>IFERROR(INDEX('Schedule C'!$A$20:$BA$83,MATCH('DVO (F1 - F2)'!$R109,'Schedule C'!$A$20:$A$83,0),2)," ")</f>
        <v xml:space="preserve"> </v>
      </c>
      <c r="G109" s="1127" t="str">
        <f>IFERROR(INDEX('Schedule C'!$A$20:$BA$83,MATCH('DVO (F1 - F2)'!$R109,'Schedule C'!$A$20:$A$83,0),38)," ")</f>
        <v xml:space="preserve"> </v>
      </c>
      <c r="H109" s="1127" t="str">
        <f>IFERROR(INDEX('Schedule C'!$A$20:$BA$83,MATCH('DVO (F1 - F2)'!$R109,'Schedule C'!$A$20:$A$83,0),39)," ")</f>
        <v xml:space="preserve"> </v>
      </c>
      <c r="I109" s="1127" t="str">
        <f>IFERROR(INDEX('Schedule C'!$A$20:$BA$83,MATCH('DVO (F1 - F2)'!$R109,'Schedule C'!$A$20:$A$83,0),41)," ")</f>
        <v xml:space="preserve"> </v>
      </c>
      <c r="J109" s="1127" t="str">
        <f>IFERROR(INDEX('Schedule C'!$A$20:$BA$83,MATCH('DVO (F1 - F2)'!$R109,'Schedule C'!$A$20:$A$83,0),50)," ")</f>
        <v xml:space="preserve"> </v>
      </c>
      <c r="K109" s="1452" t="str">
        <f>IFERROR(INDEX('Schedule C'!$A$20:$BA$83,MATCH('DVO (F1 - F2)'!$R109,'Schedule C'!$A$20:$A$83,0),33)," ")</f>
        <v xml:space="preserve"> </v>
      </c>
      <c r="L109" s="1453" t="str">
        <f>IFERROR(INDEX('Schedule C'!$A$20:$BA$83,MATCH('DVO (F1 - F2)'!$R109,'Schedule C'!$A$20:$A$83,0),52)," ")</f>
        <v xml:space="preserve"> </v>
      </c>
      <c r="M109" s="1454" t="str">
        <f>IFERROR(INDEX('Schedule C'!$A$20:$BA$83,MATCH('DVO (F1 - F2)'!$R109,'Schedule C'!$A$20:$A$83,0),50)-INDEX('Schedule C'!$A$20:$BA$83,MATCH('DVO (F1 - F2)'!$R109,'Schedule C'!$A$20:$A$83,0),39)," ")</f>
        <v xml:space="preserve"> </v>
      </c>
      <c r="N109" s="1129" t="str">
        <f t="shared" si="5"/>
        <v xml:space="preserve"> </v>
      </c>
      <c r="O109" s="1129" t="str">
        <f t="shared" si="6"/>
        <v xml:space="preserve"> </v>
      </c>
      <c r="P109" s="1130" t="str">
        <f t="shared" si="7"/>
        <v xml:space="preserve"> </v>
      </c>
      <c r="Q109" s="1131" t="str">
        <f t="shared" si="8"/>
        <v xml:space="preserve"> </v>
      </c>
      <c r="R109" s="1118">
        <f>IF('Schedule C'!AX115&gt;='DVO (F1 - F2)'!J$3,IF('Schedule C'!AX115&lt;='DVO (F1 - F2)'!K$3,IF('Schedule C'!BA115="APPROVED",'Schedule C'!A115,0),0),0)</f>
        <v>0</v>
      </c>
    </row>
    <row r="110" spans="1:18" ht="15">
      <c r="A110" s="1125">
        <f t="shared" si="9"/>
        <v>103</v>
      </c>
      <c r="B110" s="1126">
        <v>1</v>
      </c>
      <c r="C110" s="1126" t="str">
        <f>IFERROR(VLOOKUP($D110,dropdowns!$I$3:$Q$30,6,0), " ")</f>
        <v xml:space="preserve"> </v>
      </c>
      <c r="D110" s="1126" t="str">
        <f>IFERROR(INDEX('Schedule C'!$A$20:$BA$83,MATCH('DVO (F1 - F2)'!$R293,'Schedule C'!$A$20:$A$83,0),13)," ")</f>
        <v xml:space="preserve"> </v>
      </c>
      <c r="E110" s="1126" t="str">
        <f>IFERROR(VLOOKUP($D110,dropdowns!$I$3:$Q$30,7,0), " ")</f>
        <v xml:space="preserve"> </v>
      </c>
      <c r="F110" s="1126" t="str">
        <f>IFERROR(INDEX('Schedule C'!$A$20:$BA$83,MATCH('DVO (F1 - F2)'!$R110,'Schedule C'!$A$20:$A$83,0),2)," ")</f>
        <v xml:space="preserve"> </v>
      </c>
      <c r="G110" s="1127" t="str">
        <f>IFERROR(INDEX('Schedule C'!$A$20:$BA$83,MATCH('DVO (F1 - F2)'!$R110,'Schedule C'!$A$20:$A$83,0),38)," ")</f>
        <v xml:space="preserve"> </v>
      </c>
      <c r="H110" s="1127" t="str">
        <f>IFERROR(INDEX('Schedule C'!$A$20:$BA$83,MATCH('DVO (F1 - F2)'!$R110,'Schedule C'!$A$20:$A$83,0),39)," ")</f>
        <v xml:space="preserve"> </v>
      </c>
      <c r="I110" s="1127" t="str">
        <f>IFERROR(INDEX('Schedule C'!$A$20:$BA$83,MATCH('DVO (F1 - F2)'!$R110,'Schedule C'!$A$20:$A$83,0),41)," ")</f>
        <v xml:space="preserve"> </v>
      </c>
      <c r="J110" s="1127" t="str">
        <f>IFERROR(INDEX('Schedule C'!$A$20:$BA$83,MATCH('DVO (F1 - F2)'!$R110,'Schedule C'!$A$20:$A$83,0),50)," ")</f>
        <v xml:space="preserve"> </v>
      </c>
      <c r="K110" s="1452" t="str">
        <f>IFERROR(INDEX('Schedule C'!$A$20:$BA$83,MATCH('DVO (F1 - F2)'!$R110,'Schedule C'!$A$20:$A$83,0),33)," ")</f>
        <v xml:space="preserve"> </v>
      </c>
      <c r="L110" s="1453" t="str">
        <f>IFERROR(INDEX('Schedule C'!$A$20:$BA$83,MATCH('DVO (F1 - F2)'!$R110,'Schedule C'!$A$20:$A$83,0),52)," ")</f>
        <v xml:space="preserve"> </v>
      </c>
      <c r="M110" s="1454" t="str">
        <f>IFERROR(INDEX('Schedule C'!$A$20:$BA$83,MATCH('DVO (F1 - F2)'!$R110,'Schedule C'!$A$20:$A$83,0),50)-INDEX('Schedule C'!$A$20:$BA$83,MATCH('DVO (F1 - F2)'!$R110,'Schedule C'!$A$20:$A$83,0),39)," ")</f>
        <v xml:space="preserve"> </v>
      </c>
      <c r="N110" s="1129" t="str">
        <f t="shared" si="5"/>
        <v xml:space="preserve"> </v>
      </c>
      <c r="O110" s="1129" t="str">
        <f t="shared" si="6"/>
        <v xml:space="preserve"> </v>
      </c>
      <c r="P110" s="1130" t="str">
        <f t="shared" si="7"/>
        <v xml:space="preserve"> </v>
      </c>
      <c r="Q110" s="1131" t="str">
        <f t="shared" si="8"/>
        <v xml:space="preserve"> </v>
      </c>
      <c r="R110" s="1118">
        <f>IF('Schedule C'!AX313&gt;='DVO (F1 - F2)'!J$3,IF('Schedule C'!AX313&lt;='DVO (F1 - F2)'!K$3,IF('Schedule C'!BA313="APPROVED",'Schedule C'!A313,0),0),0)</f>
        <v>0</v>
      </c>
    </row>
    <row r="111" spans="1:18" ht="15">
      <c r="A111" s="1125">
        <f t="shared" si="9"/>
        <v>104</v>
      </c>
      <c r="B111" s="1126">
        <v>1</v>
      </c>
      <c r="C111" s="1126" t="str">
        <f>IFERROR(VLOOKUP($D111,dropdowns!$I$3:$Q$30,6,0), " ")</f>
        <v xml:space="preserve"> </v>
      </c>
      <c r="D111" s="1126" t="str">
        <f>IFERROR(INDEX('Schedule C'!$A$20:$BA$83,MATCH('DVO (F1 - F2)'!$R294,'Schedule C'!$A$20:$A$83,0),13)," ")</f>
        <v xml:space="preserve"> </v>
      </c>
      <c r="E111" s="1126" t="str">
        <f>IFERROR(VLOOKUP($D111,dropdowns!$I$3:$Q$30,7,0), " ")</f>
        <v xml:space="preserve"> </v>
      </c>
      <c r="F111" s="1126" t="str">
        <f>IFERROR(INDEX('Schedule C'!$A$20:$BA$83,MATCH('DVO (F1 - F2)'!$R111,'Schedule C'!$A$20:$A$83,0),2)," ")</f>
        <v xml:space="preserve"> </v>
      </c>
      <c r="G111" s="1127" t="str">
        <f>IFERROR(INDEX('Schedule C'!$A$20:$BA$83,MATCH('DVO (F1 - F2)'!$R111,'Schedule C'!$A$20:$A$83,0),38)," ")</f>
        <v xml:space="preserve"> </v>
      </c>
      <c r="H111" s="1127" t="str">
        <f>IFERROR(INDEX('Schedule C'!$A$20:$BA$83,MATCH('DVO (F1 - F2)'!$R111,'Schedule C'!$A$20:$A$83,0),39)," ")</f>
        <v xml:space="preserve"> </v>
      </c>
      <c r="I111" s="1127" t="str">
        <f>IFERROR(INDEX('Schedule C'!$A$20:$BA$83,MATCH('DVO (F1 - F2)'!$R111,'Schedule C'!$A$20:$A$83,0),41)," ")</f>
        <v xml:space="preserve"> </v>
      </c>
      <c r="J111" s="1127" t="str">
        <f>IFERROR(INDEX('Schedule C'!$A$20:$BA$83,MATCH('DVO (F1 - F2)'!$R111,'Schedule C'!$A$20:$A$83,0),50)," ")</f>
        <v xml:space="preserve"> </v>
      </c>
      <c r="K111" s="1452" t="str">
        <f>IFERROR(INDEX('Schedule C'!$A$20:$BA$83,MATCH('DVO (F1 - F2)'!$R111,'Schedule C'!$A$20:$A$83,0),33)," ")</f>
        <v xml:space="preserve"> </v>
      </c>
      <c r="L111" s="1453" t="str">
        <f>IFERROR(INDEX('Schedule C'!$A$20:$BA$83,MATCH('DVO (F1 - F2)'!$R111,'Schedule C'!$A$20:$A$83,0),52)," ")</f>
        <v xml:space="preserve"> </v>
      </c>
      <c r="M111" s="1454" t="str">
        <f>IFERROR(INDEX('Schedule C'!$A$20:$BA$83,MATCH('DVO (F1 - F2)'!$R111,'Schedule C'!$A$20:$A$83,0),50)-INDEX('Schedule C'!$A$20:$BA$83,MATCH('DVO (F1 - F2)'!$R111,'Schedule C'!$A$20:$A$83,0),39)," ")</f>
        <v xml:space="preserve"> </v>
      </c>
      <c r="N111" s="1129" t="str">
        <f t="shared" si="5"/>
        <v xml:space="preserve"> </v>
      </c>
      <c r="O111" s="1129" t="str">
        <f t="shared" si="6"/>
        <v xml:space="preserve"> </v>
      </c>
      <c r="P111" s="1130" t="str">
        <f t="shared" si="7"/>
        <v xml:space="preserve"> </v>
      </c>
      <c r="Q111" s="1131" t="str">
        <f t="shared" si="8"/>
        <v xml:space="preserve"> </v>
      </c>
      <c r="R111" s="1118">
        <f>IF('Schedule C'!AX369&gt;='DVO (F1 - F2)'!J$3,IF('Schedule C'!AX369&lt;='DVO (F1 - F2)'!K$3,IF('Schedule C'!BA369="APPROVED",'Schedule C'!A369,0),0),0)</f>
        <v>0</v>
      </c>
    </row>
    <row r="112" spans="1:18" ht="15">
      <c r="A112" s="1125">
        <f t="shared" si="9"/>
        <v>105</v>
      </c>
      <c r="B112" s="1126">
        <v>1</v>
      </c>
      <c r="C112" s="1126" t="str">
        <f>IFERROR(VLOOKUP($D112,dropdowns!$I$3:$Q$30,6,0), " ")</f>
        <v xml:space="preserve"> </v>
      </c>
      <c r="D112" s="1126" t="str">
        <f>IFERROR(INDEX('Schedule C'!$A$20:$BA$83,MATCH('DVO (F1 - F2)'!$R295,'Schedule C'!$A$20:$A$83,0),13)," ")</f>
        <v xml:space="preserve"> </v>
      </c>
      <c r="E112" s="1126" t="str">
        <f>IFERROR(VLOOKUP($D112,dropdowns!$I$3:$Q$30,7,0), " ")</f>
        <v xml:space="preserve"> </v>
      </c>
      <c r="F112" s="1126" t="str">
        <f>IFERROR(INDEX('Schedule C'!$A$20:$BA$83,MATCH('DVO (F1 - F2)'!$R112,'Schedule C'!$A$20:$A$83,0),2)," ")</f>
        <v xml:space="preserve"> </v>
      </c>
      <c r="G112" s="1127" t="str">
        <f>IFERROR(INDEX('Schedule C'!$A$20:$BA$83,MATCH('DVO (F1 - F2)'!$R112,'Schedule C'!$A$20:$A$83,0),38)," ")</f>
        <v xml:space="preserve"> </v>
      </c>
      <c r="H112" s="1127" t="str">
        <f>IFERROR(INDEX('Schedule C'!$A$20:$BA$83,MATCH('DVO (F1 - F2)'!$R112,'Schedule C'!$A$20:$A$83,0),39)," ")</f>
        <v xml:space="preserve"> </v>
      </c>
      <c r="I112" s="1127" t="str">
        <f>IFERROR(INDEX('Schedule C'!$A$20:$BA$83,MATCH('DVO (F1 - F2)'!$R112,'Schedule C'!$A$20:$A$83,0),41)," ")</f>
        <v xml:space="preserve"> </v>
      </c>
      <c r="J112" s="1127" t="str">
        <f>IFERROR(INDEX('Schedule C'!$A$20:$BA$83,MATCH('DVO (F1 - F2)'!$R112,'Schedule C'!$A$20:$A$83,0),50)," ")</f>
        <v xml:space="preserve"> </v>
      </c>
      <c r="K112" s="1452" t="str">
        <f>IFERROR(INDEX('Schedule C'!$A$20:$BA$83,MATCH('DVO (F1 - F2)'!$R112,'Schedule C'!$A$20:$A$83,0),33)," ")</f>
        <v xml:space="preserve"> </v>
      </c>
      <c r="L112" s="1453" t="str">
        <f>IFERROR(INDEX('Schedule C'!$A$20:$BA$83,MATCH('DVO (F1 - F2)'!$R112,'Schedule C'!$A$20:$A$83,0),52)," ")</f>
        <v xml:space="preserve"> </v>
      </c>
      <c r="M112" s="1454" t="str">
        <f>IFERROR(INDEX('Schedule C'!$A$20:$BA$83,MATCH('DVO (F1 - F2)'!$R112,'Schedule C'!$A$20:$A$83,0),50)-INDEX('Schedule C'!$A$20:$BA$83,MATCH('DVO (F1 - F2)'!$R112,'Schedule C'!$A$20:$A$83,0),39)," ")</f>
        <v xml:space="preserve"> </v>
      </c>
      <c r="N112" s="1129" t="str">
        <f t="shared" si="5"/>
        <v xml:space="preserve"> </v>
      </c>
      <c r="O112" s="1129" t="str">
        <f t="shared" si="6"/>
        <v xml:space="preserve"> </v>
      </c>
      <c r="P112" s="1130" t="str">
        <f t="shared" si="7"/>
        <v xml:space="preserve"> </v>
      </c>
      <c r="Q112" s="1131" t="str">
        <f t="shared" si="8"/>
        <v xml:space="preserve"> </v>
      </c>
      <c r="R112" s="1118">
        <f>IF('Schedule C'!AX370&gt;='DVO (F1 - F2)'!J$3,IF('Schedule C'!AX370&lt;='DVO (F1 - F2)'!K$3,IF('Schedule C'!BA370="APPROVED",'Schedule C'!A370,0),0),0)</f>
        <v>0</v>
      </c>
    </row>
    <row r="113" spans="1:18" ht="15">
      <c r="A113" s="1125">
        <f t="shared" si="9"/>
        <v>106</v>
      </c>
      <c r="B113" s="1126">
        <v>1</v>
      </c>
      <c r="C113" s="1126" t="str">
        <f>IFERROR(VLOOKUP($D113,dropdowns!$I$3:$Q$30,6,0), " ")</f>
        <v xml:space="preserve"> </v>
      </c>
      <c r="D113" s="1126" t="str">
        <f>IFERROR(INDEX('Schedule C'!$A$20:$BA$83,MATCH('DVO (F1 - F2)'!$R296,'Schedule C'!$A$20:$A$83,0),13)," ")</f>
        <v xml:space="preserve"> </v>
      </c>
      <c r="E113" s="1126" t="str">
        <f>IFERROR(VLOOKUP($D113,dropdowns!$I$3:$Q$30,7,0), " ")</f>
        <v xml:space="preserve"> </v>
      </c>
      <c r="F113" s="1126" t="str">
        <f>IFERROR(INDEX('Schedule C'!$A$20:$BA$83,MATCH('DVO (F1 - F2)'!$R113,'Schedule C'!$A$20:$A$83,0),2)," ")</f>
        <v xml:space="preserve"> </v>
      </c>
      <c r="G113" s="1127" t="str">
        <f>IFERROR(INDEX('Schedule C'!$A$20:$BA$83,MATCH('DVO (F1 - F2)'!$R113,'Schedule C'!$A$20:$A$83,0),38)," ")</f>
        <v xml:space="preserve"> </v>
      </c>
      <c r="H113" s="1127" t="str">
        <f>IFERROR(INDEX('Schedule C'!$A$20:$BA$83,MATCH('DVO (F1 - F2)'!$R113,'Schedule C'!$A$20:$A$83,0),39)," ")</f>
        <v xml:space="preserve"> </v>
      </c>
      <c r="I113" s="1127" t="str">
        <f>IFERROR(INDEX('Schedule C'!$A$20:$BA$83,MATCH('DVO (F1 - F2)'!$R113,'Schedule C'!$A$20:$A$83,0),41)," ")</f>
        <v xml:space="preserve"> </v>
      </c>
      <c r="J113" s="1127" t="str">
        <f>IFERROR(INDEX('Schedule C'!$A$20:$BA$83,MATCH('DVO (F1 - F2)'!$R113,'Schedule C'!$A$20:$A$83,0),50)," ")</f>
        <v xml:space="preserve"> </v>
      </c>
      <c r="K113" s="1452" t="str">
        <f>IFERROR(INDEX('Schedule C'!$A$20:$BA$83,MATCH('DVO (F1 - F2)'!$R113,'Schedule C'!$A$20:$A$83,0),33)," ")</f>
        <v xml:space="preserve"> </v>
      </c>
      <c r="L113" s="1453" t="str">
        <f>IFERROR(INDEX('Schedule C'!$A$20:$BA$83,MATCH('DVO (F1 - F2)'!$R113,'Schedule C'!$A$20:$A$83,0),52)," ")</f>
        <v xml:space="preserve"> </v>
      </c>
      <c r="M113" s="1454" t="str">
        <f>IFERROR(INDEX('Schedule C'!$A$20:$BA$83,MATCH('DVO (F1 - F2)'!$R113,'Schedule C'!$A$20:$A$83,0),50)-INDEX('Schedule C'!$A$20:$BA$83,MATCH('DVO (F1 - F2)'!$R113,'Schedule C'!$A$20:$A$83,0),39)," ")</f>
        <v xml:space="preserve"> </v>
      </c>
      <c r="N113" s="1129" t="str">
        <f t="shared" si="5"/>
        <v xml:space="preserve"> </v>
      </c>
      <c r="O113" s="1129" t="str">
        <f t="shared" si="6"/>
        <v xml:space="preserve"> </v>
      </c>
      <c r="P113" s="1130" t="str">
        <f t="shared" si="7"/>
        <v xml:space="preserve"> </v>
      </c>
      <c r="Q113" s="1131" t="str">
        <f t="shared" si="8"/>
        <v xml:space="preserve"> </v>
      </c>
      <c r="R113" s="1118">
        <f>IF('Schedule C'!AX372&gt;='DVO (F1 - F2)'!J$3,IF('Schedule C'!AX372&lt;='DVO (F1 - F2)'!K$3,IF('Schedule C'!BA372="APPROVED",'Schedule C'!A372,0),0),0)</f>
        <v>0</v>
      </c>
    </row>
    <row r="114" spans="1:18" ht="15">
      <c r="A114" s="1125">
        <f t="shared" si="9"/>
        <v>107</v>
      </c>
      <c r="B114" s="1126">
        <v>1</v>
      </c>
      <c r="C114" s="1126" t="str">
        <f>IFERROR(VLOOKUP($D114,dropdowns!$I$3:$Q$30,6,0), " ")</f>
        <v xml:space="preserve"> </v>
      </c>
      <c r="D114" s="1126" t="str">
        <f>IFERROR(INDEX('Schedule C'!$A$20:$BA$83,MATCH('DVO (F1 - F2)'!$R297,'Schedule C'!$A$20:$A$83,0),13)," ")</f>
        <v xml:space="preserve"> </v>
      </c>
      <c r="E114" s="1126" t="str">
        <f>IFERROR(VLOOKUP($D114,dropdowns!$I$3:$Q$30,7,0), " ")</f>
        <v xml:space="preserve"> </v>
      </c>
      <c r="F114" s="1126" t="str">
        <f>IFERROR(INDEX('Schedule C'!$A$20:$BA$83,MATCH('DVO (F1 - F2)'!$R114,'Schedule C'!$A$20:$A$83,0),2)," ")</f>
        <v xml:space="preserve"> </v>
      </c>
      <c r="G114" s="1127" t="str">
        <f>IFERROR(INDEX('Schedule C'!$A$20:$BA$83,MATCH('DVO (F1 - F2)'!$R114,'Schedule C'!$A$20:$A$83,0),38)," ")</f>
        <v xml:space="preserve"> </v>
      </c>
      <c r="H114" s="1127" t="str">
        <f>IFERROR(INDEX('Schedule C'!$A$20:$BA$83,MATCH('DVO (F1 - F2)'!$R114,'Schedule C'!$A$20:$A$83,0),39)," ")</f>
        <v xml:space="preserve"> </v>
      </c>
      <c r="I114" s="1127" t="str">
        <f>IFERROR(INDEX('Schedule C'!$A$20:$BA$83,MATCH('DVO (F1 - F2)'!$R114,'Schedule C'!$A$20:$A$83,0),41)," ")</f>
        <v xml:space="preserve"> </v>
      </c>
      <c r="J114" s="1127" t="str">
        <f>IFERROR(INDEX('Schedule C'!$A$20:$BA$83,MATCH('DVO (F1 - F2)'!$R114,'Schedule C'!$A$20:$A$83,0),50)," ")</f>
        <v xml:space="preserve"> </v>
      </c>
      <c r="K114" s="1452" t="str">
        <f>IFERROR(INDEX('Schedule C'!$A$20:$BA$83,MATCH('DVO (F1 - F2)'!$R114,'Schedule C'!$A$20:$A$83,0),33)," ")</f>
        <v xml:space="preserve"> </v>
      </c>
      <c r="L114" s="1453" t="str">
        <f>IFERROR(INDEX('Schedule C'!$A$20:$BA$83,MATCH('DVO (F1 - F2)'!$R114,'Schedule C'!$A$20:$A$83,0),52)," ")</f>
        <v xml:space="preserve"> </v>
      </c>
      <c r="M114" s="1454" t="str">
        <f>IFERROR(INDEX('Schedule C'!$A$20:$BA$83,MATCH('DVO (F1 - F2)'!$R114,'Schedule C'!$A$20:$A$83,0),50)-INDEX('Schedule C'!$A$20:$BA$83,MATCH('DVO (F1 - F2)'!$R114,'Schedule C'!$A$20:$A$83,0),39)," ")</f>
        <v xml:space="preserve"> </v>
      </c>
      <c r="N114" s="1129" t="str">
        <f t="shared" si="5"/>
        <v xml:space="preserve"> </v>
      </c>
      <c r="O114" s="1129" t="str">
        <f t="shared" si="6"/>
        <v xml:space="preserve"> </v>
      </c>
      <c r="P114" s="1130" t="str">
        <f t="shared" si="7"/>
        <v xml:space="preserve"> </v>
      </c>
      <c r="Q114" s="1131" t="str">
        <f t="shared" si="8"/>
        <v xml:space="preserve"> </v>
      </c>
      <c r="R114" s="1118">
        <f>IF('Schedule C'!AX373&gt;='DVO (F1 - F2)'!J$3,IF('Schedule C'!AX373&lt;='DVO (F1 - F2)'!K$3,IF('Schedule C'!BA373="APPROVED",'Schedule C'!A373,0),0),0)</f>
        <v>0</v>
      </c>
    </row>
    <row r="115" spans="1:18" ht="15">
      <c r="A115" s="1125">
        <f t="shared" si="9"/>
        <v>108</v>
      </c>
      <c r="B115" s="1126">
        <v>1</v>
      </c>
      <c r="C115" s="1126" t="str">
        <f>IFERROR(VLOOKUP($D115,dropdowns!$I$3:$Q$30,6,0), " ")</f>
        <v xml:space="preserve"> </v>
      </c>
      <c r="D115" s="1126" t="str">
        <f>IFERROR(INDEX('Schedule C'!$A$20:$BA$83,MATCH('DVO (F1 - F2)'!$R298,'Schedule C'!$A$20:$A$83,0),13)," ")</f>
        <v xml:space="preserve"> </v>
      </c>
      <c r="E115" s="1126" t="str">
        <f>IFERROR(VLOOKUP($D115,dropdowns!$I$3:$Q$30,7,0), " ")</f>
        <v xml:space="preserve"> </v>
      </c>
      <c r="F115" s="1126" t="str">
        <f>IFERROR(INDEX('Schedule C'!$A$20:$BA$83,MATCH('DVO (F1 - F2)'!$R115,'Schedule C'!$A$20:$A$83,0),2)," ")</f>
        <v xml:space="preserve"> </v>
      </c>
      <c r="G115" s="1127" t="str">
        <f>IFERROR(INDEX('Schedule C'!$A$20:$BA$83,MATCH('DVO (F1 - F2)'!$R115,'Schedule C'!$A$20:$A$83,0),38)," ")</f>
        <v xml:space="preserve"> </v>
      </c>
      <c r="H115" s="1127" t="str">
        <f>IFERROR(INDEX('Schedule C'!$A$20:$BA$83,MATCH('DVO (F1 - F2)'!$R115,'Schedule C'!$A$20:$A$83,0),39)," ")</f>
        <v xml:space="preserve"> </v>
      </c>
      <c r="I115" s="1127" t="str">
        <f>IFERROR(INDEX('Schedule C'!$A$20:$BA$83,MATCH('DVO (F1 - F2)'!$R115,'Schedule C'!$A$20:$A$83,0),41)," ")</f>
        <v xml:space="preserve"> </v>
      </c>
      <c r="J115" s="1127" t="str">
        <f>IFERROR(INDEX('Schedule C'!$A$20:$BA$83,MATCH('DVO (F1 - F2)'!$R115,'Schedule C'!$A$20:$A$83,0),50)," ")</f>
        <v xml:space="preserve"> </v>
      </c>
      <c r="K115" s="1452" t="str">
        <f>IFERROR(INDEX('Schedule C'!$A$20:$BA$83,MATCH('DVO (F1 - F2)'!$R115,'Schedule C'!$A$20:$A$83,0),33)," ")</f>
        <v xml:space="preserve"> </v>
      </c>
      <c r="L115" s="1453" t="str">
        <f>IFERROR(INDEX('Schedule C'!$A$20:$BA$83,MATCH('DVO (F1 - F2)'!$R115,'Schedule C'!$A$20:$A$83,0),52)," ")</f>
        <v xml:space="preserve"> </v>
      </c>
      <c r="M115" s="1454" t="str">
        <f>IFERROR(INDEX('Schedule C'!$A$20:$BA$83,MATCH('DVO (F1 - F2)'!$R115,'Schedule C'!$A$20:$A$83,0),50)-INDEX('Schedule C'!$A$20:$BA$83,MATCH('DVO (F1 - F2)'!$R115,'Schedule C'!$A$20:$A$83,0),39)," ")</f>
        <v xml:space="preserve"> </v>
      </c>
      <c r="N115" s="1129" t="str">
        <f t="shared" si="5"/>
        <v xml:space="preserve"> </v>
      </c>
      <c r="O115" s="1129" t="str">
        <f t="shared" si="6"/>
        <v xml:space="preserve"> </v>
      </c>
      <c r="P115" s="1130" t="str">
        <f t="shared" si="7"/>
        <v xml:space="preserve"> </v>
      </c>
      <c r="Q115" s="1131" t="str">
        <f t="shared" si="8"/>
        <v xml:space="preserve"> </v>
      </c>
      <c r="R115" s="1118">
        <f>IF('Schedule C'!AX374&gt;='DVO (F1 - F2)'!J$3,IF('Schedule C'!AX374&lt;='DVO (F1 - F2)'!K$3,IF('Schedule C'!BA374="APPROVED",'Schedule C'!A374,0),0),0)</f>
        <v>0</v>
      </c>
    </row>
    <row r="116" spans="1:18" ht="15">
      <c r="A116" s="1125">
        <f t="shared" si="9"/>
        <v>109</v>
      </c>
      <c r="B116" s="1126">
        <v>1</v>
      </c>
      <c r="C116" s="1126" t="str">
        <f>IFERROR(VLOOKUP($D116,dropdowns!$I$3:$Q$30,6,0), " ")</f>
        <v xml:space="preserve"> </v>
      </c>
      <c r="D116" s="1126" t="str">
        <f>IFERROR(INDEX('Schedule C'!$A$20:$BA$83,MATCH('DVO (F1 - F2)'!$R299,'Schedule C'!$A$20:$A$83,0),13)," ")</f>
        <v xml:space="preserve"> </v>
      </c>
      <c r="E116" s="1126" t="str">
        <f>IFERROR(VLOOKUP($D116,dropdowns!$I$3:$Q$30,7,0), " ")</f>
        <v xml:space="preserve"> </v>
      </c>
      <c r="F116" s="1126" t="str">
        <f>IFERROR(INDEX('Schedule C'!$A$20:$BA$83,MATCH('DVO (F1 - F2)'!$R116,'Schedule C'!$A$20:$A$83,0),2)," ")</f>
        <v xml:space="preserve"> </v>
      </c>
      <c r="G116" s="1127" t="str">
        <f>IFERROR(INDEX('Schedule C'!$A$20:$BA$83,MATCH('DVO (F1 - F2)'!$R116,'Schedule C'!$A$20:$A$83,0),38)," ")</f>
        <v xml:space="preserve"> </v>
      </c>
      <c r="H116" s="1127" t="str">
        <f>IFERROR(INDEX('Schedule C'!$A$20:$BA$83,MATCH('DVO (F1 - F2)'!$R116,'Schedule C'!$A$20:$A$83,0),39)," ")</f>
        <v xml:space="preserve"> </v>
      </c>
      <c r="I116" s="1127" t="str">
        <f>IFERROR(INDEX('Schedule C'!$A$20:$BA$83,MATCH('DVO (F1 - F2)'!$R116,'Schedule C'!$A$20:$A$83,0),41)," ")</f>
        <v xml:space="preserve"> </v>
      </c>
      <c r="J116" s="1127" t="str">
        <f>IFERROR(INDEX('Schedule C'!$A$20:$BA$83,MATCH('DVO (F1 - F2)'!$R116,'Schedule C'!$A$20:$A$83,0),50)," ")</f>
        <v xml:space="preserve"> </v>
      </c>
      <c r="K116" s="1452" t="str">
        <f>IFERROR(INDEX('Schedule C'!$A$20:$BA$83,MATCH('DVO (F1 - F2)'!$R116,'Schedule C'!$A$20:$A$83,0),33)," ")</f>
        <v xml:space="preserve"> </v>
      </c>
      <c r="L116" s="1453" t="str">
        <f>IFERROR(INDEX('Schedule C'!$A$20:$BA$83,MATCH('DVO (F1 - F2)'!$R116,'Schedule C'!$A$20:$A$83,0),52)," ")</f>
        <v xml:space="preserve"> </v>
      </c>
      <c r="M116" s="1454" t="str">
        <f>IFERROR(INDEX('Schedule C'!$A$20:$BA$83,MATCH('DVO (F1 - F2)'!$R116,'Schedule C'!$A$20:$A$83,0),50)-INDEX('Schedule C'!$A$20:$BA$83,MATCH('DVO (F1 - F2)'!$R116,'Schedule C'!$A$20:$A$83,0),39)," ")</f>
        <v xml:space="preserve"> </v>
      </c>
      <c r="N116" s="1129" t="str">
        <f t="shared" si="5"/>
        <v xml:space="preserve"> </v>
      </c>
      <c r="O116" s="1129" t="str">
        <f t="shared" si="6"/>
        <v xml:space="preserve"> </v>
      </c>
      <c r="P116" s="1130" t="str">
        <f t="shared" si="7"/>
        <v xml:space="preserve"> </v>
      </c>
      <c r="Q116" s="1131" t="str">
        <f t="shared" si="8"/>
        <v xml:space="preserve"> </v>
      </c>
      <c r="R116" s="1118">
        <f>IF('Schedule C'!AX375&gt;='DVO (F1 - F2)'!J$3,IF('Schedule C'!AX375&lt;='DVO (F1 - F2)'!K$3,IF('Schedule C'!BA375="APPROVED",'Schedule C'!A375,0),0),0)</f>
        <v>0</v>
      </c>
    </row>
    <row r="117" spans="1:18" ht="15">
      <c r="A117" s="1125">
        <f t="shared" si="9"/>
        <v>110</v>
      </c>
      <c r="B117" s="1126">
        <v>1</v>
      </c>
      <c r="C117" s="1126" t="str">
        <f>IFERROR(VLOOKUP($D117,dropdowns!$I$3:$Q$30,6,0), " ")</f>
        <v xml:space="preserve"> </v>
      </c>
      <c r="D117" s="1126" t="str">
        <f>IFERROR(INDEX('Schedule C'!$A$20:$BA$83,MATCH('DVO (F1 - F2)'!$R300,'Schedule C'!$A$20:$A$83,0),13)," ")</f>
        <v xml:space="preserve"> </v>
      </c>
      <c r="E117" s="1126" t="str">
        <f>IFERROR(VLOOKUP($D117,dropdowns!$I$3:$Q$30,7,0), " ")</f>
        <v xml:space="preserve"> </v>
      </c>
      <c r="F117" s="1126" t="str">
        <f>IFERROR(INDEX('Schedule C'!$A$20:$BA$83,MATCH('DVO (F1 - F2)'!$R117,'Schedule C'!$A$20:$A$83,0),2)," ")</f>
        <v xml:space="preserve"> </v>
      </c>
      <c r="G117" s="1127" t="str">
        <f>IFERROR(INDEX('Schedule C'!$A$20:$BA$83,MATCH('DVO (F1 - F2)'!$R117,'Schedule C'!$A$20:$A$83,0),38)," ")</f>
        <v xml:space="preserve"> </v>
      </c>
      <c r="H117" s="1127" t="str">
        <f>IFERROR(INDEX('Schedule C'!$A$20:$BA$83,MATCH('DVO (F1 - F2)'!$R117,'Schedule C'!$A$20:$A$83,0),39)," ")</f>
        <v xml:space="preserve"> </v>
      </c>
      <c r="I117" s="1127" t="str">
        <f>IFERROR(INDEX('Schedule C'!$A$20:$BA$83,MATCH('DVO (F1 - F2)'!$R117,'Schedule C'!$A$20:$A$83,0),41)," ")</f>
        <v xml:space="preserve"> </v>
      </c>
      <c r="J117" s="1127" t="str">
        <f>IFERROR(INDEX('Schedule C'!$A$20:$BA$83,MATCH('DVO (F1 - F2)'!$R117,'Schedule C'!$A$20:$A$83,0),50)," ")</f>
        <v xml:space="preserve"> </v>
      </c>
      <c r="K117" s="1452" t="str">
        <f>IFERROR(INDEX('Schedule C'!$A$20:$BA$83,MATCH('DVO (F1 - F2)'!$R117,'Schedule C'!$A$20:$A$83,0),33)," ")</f>
        <v xml:space="preserve"> </v>
      </c>
      <c r="L117" s="1453" t="str">
        <f>IFERROR(INDEX('Schedule C'!$A$20:$BA$83,MATCH('DVO (F1 - F2)'!$R117,'Schedule C'!$A$20:$A$83,0),52)," ")</f>
        <v xml:space="preserve"> </v>
      </c>
      <c r="M117" s="1454" t="str">
        <f>IFERROR(INDEX('Schedule C'!$A$20:$BA$83,MATCH('DVO (F1 - F2)'!$R117,'Schedule C'!$A$20:$A$83,0),50)-INDEX('Schedule C'!$A$20:$BA$83,MATCH('DVO (F1 - F2)'!$R117,'Schedule C'!$A$20:$A$83,0),39)," ")</f>
        <v xml:space="preserve"> </v>
      </c>
      <c r="N117" s="1129" t="str">
        <f t="shared" si="5"/>
        <v xml:space="preserve"> </v>
      </c>
      <c r="O117" s="1129" t="str">
        <f t="shared" si="6"/>
        <v xml:space="preserve"> </v>
      </c>
      <c r="P117" s="1130" t="str">
        <f t="shared" si="7"/>
        <v xml:space="preserve"> </v>
      </c>
      <c r="Q117" s="1131" t="str">
        <f t="shared" si="8"/>
        <v xml:space="preserve"> </v>
      </c>
      <c r="R117" s="1118">
        <f>IF('Schedule C'!AX376&gt;='DVO (F1 - F2)'!J$3,IF('Schedule C'!AX376&lt;='DVO (F1 - F2)'!K$3,IF('Schedule C'!BA376="APPROVED",'Schedule C'!A376,0),0),0)</f>
        <v>0</v>
      </c>
    </row>
    <row r="118" spans="1:18" ht="15">
      <c r="A118" s="1125">
        <f t="shared" si="9"/>
        <v>111</v>
      </c>
      <c r="B118" s="1126">
        <v>1</v>
      </c>
      <c r="C118" s="1126" t="str">
        <f>IFERROR(VLOOKUP($D118,dropdowns!$I$3:$Q$30,6,0), " ")</f>
        <v xml:space="preserve"> </v>
      </c>
      <c r="D118" s="1126" t="str">
        <f>IFERROR(INDEX('Schedule C'!$A$20:$BA$83,MATCH('DVO (F1 - F2)'!$R301,'Schedule C'!$A$20:$A$83,0),13)," ")</f>
        <v xml:space="preserve"> </v>
      </c>
      <c r="E118" s="1126" t="str">
        <f>IFERROR(VLOOKUP($D118,dropdowns!$I$3:$Q$30,7,0), " ")</f>
        <v xml:space="preserve"> </v>
      </c>
      <c r="F118" s="1126" t="str">
        <f>IFERROR(INDEX('Schedule C'!$A$20:$BA$83,MATCH('DVO (F1 - F2)'!$R118,'Schedule C'!$A$20:$A$83,0),2)," ")</f>
        <v xml:space="preserve"> </v>
      </c>
      <c r="G118" s="1127" t="str">
        <f>IFERROR(INDEX('Schedule C'!$A$20:$BA$83,MATCH('DVO (F1 - F2)'!$R118,'Schedule C'!$A$20:$A$83,0),38)," ")</f>
        <v xml:space="preserve"> </v>
      </c>
      <c r="H118" s="1127" t="str">
        <f>IFERROR(INDEX('Schedule C'!$A$20:$BA$83,MATCH('DVO (F1 - F2)'!$R118,'Schedule C'!$A$20:$A$83,0),39)," ")</f>
        <v xml:space="preserve"> </v>
      </c>
      <c r="I118" s="1127" t="str">
        <f>IFERROR(INDEX('Schedule C'!$A$20:$BA$83,MATCH('DVO (F1 - F2)'!$R118,'Schedule C'!$A$20:$A$83,0),41)," ")</f>
        <v xml:space="preserve"> </v>
      </c>
      <c r="J118" s="1127" t="str">
        <f>IFERROR(INDEX('Schedule C'!$A$20:$BA$83,MATCH('DVO (F1 - F2)'!$R118,'Schedule C'!$A$20:$A$83,0),50)," ")</f>
        <v xml:space="preserve"> </v>
      </c>
      <c r="K118" s="1452" t="str">
        <f>IFERROR(INDEX('Schedule C'!$A$20:$BA$83,MATCH('DVO (F1 - F2)'!$R118,'Schedule C'!$A$20:$A$83,0),33)," ")</f>
        <v xml:space="preserve"> </v>
      </c>
      <c r="L118" s="1453" t="str">
        <f>IFERROR(INDEX('Schedule C'!$A$20:$BA$83,MATCH('DVO (F1 - F2)'!$R118,'Schedule C'!$A$20:$A$83,0),52)," ")</f>
        <v xml:space="preserve"> </v>
      </c>
      <c r="M118" s="1454" t="str">
        <f>IFERROR(INDEX('Schedule C'!$A$20:$BA$83,MATCH('DVO (F1 - F2)'!$R118,'Schedule C'!$A$20:$A$83,0),50)-INDEX('Schedule C'!$A$20:$BA$83,MATCH('DVO (F1 - F2)'!$R118,'Schedule C'!$A$20:$A$83,0),39)," ")</f>
        <v xml:space="preserve"> </v>
      </c>
      <c r="N118" s="1129" t="str">
        <f t="shared" si="5"/>
        <v xml:space="preserve"> </v>
      </c>
      <c r="O118" s="1129" t="str">
        <f t="shared" si="6"/>
        <v xml:space="preserve"> </v>
      </c>
      <c r="P118" s="1130" t="str">
        <f t="shared" si="7"/>
        <v xml:space="preserve"> </v>
      </c>
      <c r="Q118" s="1131" t="str">
        <f t="shared" si="8"/>
        <v xml:space="preserve"> </v>
      </c>
      <c r="R118" s="1118">
        <f>IF('Schedule C'!AX377&gt;='DVO (F1 - F2)'!J$3,IF('Schedule C'!AX377&lt;='DVO (F1 - F2)'!K$3,IF('Schedule C'!BA377="APPROVED",'Schedule C'!A377,0),0),0)</f>
        <v>0</v>
      </c>
    </row>
    <row r="119" spans="1:18" ht="15">
      <c r="A119" s="1125">
        <f t="shared" si="9"/>
        <v>112</v>
      </c>
      <c r="B119" s="1126">
        <v>1</v>
      </c>
      <c r="C119" s="1126" t="str">
        <f>IFERROR(VLOOKUP($D119,dropdowns!$I$3:$Q$30,6,0), " ")</f>
        <v xml:space="preserve"> </v>
      </c>
      <c r="D119" s="1126" t="str">
        <f>IFERROR(INDEX('Schedule C'!$A$20:$BA$83,MATCH('DVO (F1 - F2)'!$R302,'Schedule C'!$A$20:$A$83,0),13)," ")</f>
        <v xml:space="preserve"> </v>
      </c>
      <c r="E119" s="1126" t="str">
        <f>IFERROR(VLOOKUP($D119,dropdowns!$I$3:$Q$30,7,0), " ")</f>
        <v xml:space="preserve"> </v>
      </c>
      <c r="F119" s="1126" t="str">
        <f>IFERROR(INDEX('Schedule C'!$A$20:$BA$83,MATCH('DVO (F1 - F2)'!$R119,'Schedule C'!$A$20:$A$83,0),2)," ")</f>
        <v xml:space="preserve"> </v>
      </c>
      <c r="G119" s="1127" t="str">
        <f>IFERROR(INDEX('Schedule C'!$A$20:$BA$83,MATCH('DVO (F1 - F2)'!$R119,'Schedule C'!$A$20:$A$83,0),38)," ")</f>
        <v xml:space="preserve"> </v>
      </c>
      <c r="H119" s="1127" t="str">
        <f>IFERROR(INDEX('Schedule C'!$A$20:$BA$83,MATCH('DVO (F1 - F2)'!$R119,'Schedule C'!$A$20:$A$83,0),39)," ")</f>
        <v xml:space="preserve"> </v>
      </c>
      <c r="I119" s="1127" t="str">
        <f>IFERROR(INDEX('Schedule C'!$A$20:$BA$83,MATCH('DVO (F1 - F2)'!$R119,'Schedule C'!$A$20:$A$83,0),41)," ")</f>
        <v xml:space="preserve"> </v>
      </c>
      <c r="J119" s="1127" t="str">
        <f>IFERROR(INDEX('Schedule C'!$A$20:$BA$83,MATCH('DVO (F1 - F2)'!$R119,'Schedule C'!$A$20:$A$83,0),50)," ")</f>
        <v xml:space="preserve"> </v>
      </c>
      <c r="K119" s="1452" t="str">
        <f>IFERROR(INDEX('Schedule C'!$A$20:$BA$83,MATCH('DVO (F1 - F2)'!$R119,'Schedule C'!$A$20:$A$83,0),33)," ")</f>
        <v xml:space="preserve"> </v>
      </c>
      <c r="L119" s="1453" t="str">
        <f>IFERROR(INDEX('Schedule C'!$A$20:$BA$83,MATCH('DVO (F1 - F2)'!$R119,'Schedule C'!$A$20:$A$83,0),52)," ")</f>
        <v xml:space="preserve"> </v>
      </c>
      <c r="M119" s="1454" t="str">
        <f>IFERROR(INDEX('Schedule C'!$A$20:$BA$83,MATCH('DVO (F1 - F2)'!$R119,'Schedule C'!$A$20:$A$83,0),50)-INDEX('Schedule C'!$A$20:$BA$83,MATCH('DVO (F1 - F2)'!$R119,'Schedule C'!$A$20:$A$83,0),39)," ")</f>
        <v xml:space="preserve"> </v>
      </c>
      <c r="N119" s="1129" t="str">
        <f t="shared" si="5"/>
        <v xml:space="preserve"> </v>
      </c>
      <c r="O119" s="1129" t="str">
        <f t="shared" si="6"/>
        <v xml:space="preserve"> </v>
      </c>
      <c r="P119" s="1130" t="str">
        <f t="shared" si="7"/>
        <v xml:space="preserve"> </v>
      </c>
      <c r="Q119" s="1131" t="str">
        <f t="shared" si="8"/>
        <v xml:space="preserve"> </v>
      </c>
      <c r="R119" s="1118">
        <f>IF('Schedule C'!AX378&gt;='DVO (F1 - F2)'!J$3,IF('Schedule C'!AX378&lt;='DVO (F1 - F2)'!K$3,IF('Schedule C'!BA378="APPROVED",'Schedule C'!A378,0),0),0)</f>
        <v>0</v>
      </c>
    </row>
    <row r="120" spans="1:18" ht="15">
      <c r="A120" s="1125">
        <f t="shared" si="9"/>
        <v>113</v>
      </c>
      <c r="B120" s="1126">
        <v>1</v>
      </c>
      <c r="C120" s="1126" t="str">
        <f>IFERROR(VLOOKUP($D120,dropdowns!$I$3:$Q$30,6,0), " ")</f>
        <v xml:space="preserve"> </v>
      </c>
      <c r="D120" s="1126" t="str">
        <f>IFERROR(INDEX('Schedule C'!$A$20:$BA$83,MATCH('DVO (F1 - F2)'!$R303,'Schedule C'!$A$20:$A$83,0),13)," ")</f>
        <v xml:space="preserve"> </v>
      </c>
      <c r="E120" s="1126" t="str">
        <f>IFERROR(VLOOKUP($D120,dropdowns!$I$3:$Q$30,7,0), " ")</f>
        <v xml:space="preserve"> </v>
      </c>
      <c r="F120" s="1126" t="str">
        <f>IFERROR(INDEX('Schedule C'!$A$20:$BA$83,MATCH('DVO (F1 - F2)'!$R120,'Schedule C'!$A$20:$A$83,0),2)," ")</f>
        <v xml:space="preserve"> </v>
      </c>
      <c r="G120" s="1127" t="str">
        <f>IFERROR(INDEX('Schedule C'!$A$20:$BA$83,MATCH('DVO (F1 - F2)'!$R120,'Schedule C'!$A$20:$A$83,0),38)," ")</f>
        <v xml:space="preserve"> </v>
      </c>
      <c r="H120" s="1127" t="str">
        <f>IFERROR(INDEX('Schedule C'!$A$20:$BA$83,MATCH('DVO (F1 - F2)'!$R120,'Schedule C'!$A$20:$A$83,0),39)," ")</f>
        <v xml:space="preserve"> </v>
      </c>
      <c r="I120" s="1127" t="str">
        <f>IFERROR(INDEX('Schedule C'!$A$20:$BA$83,MATCH('DVO (F1 - F2)'!$R120,'Schedule C'!$A$20:$A$83,0),41)," ")</f>
        <v xml:space="preserve"> </v>
      </c>
      <c r="J120" s="1127" t="str">
        <f>IFERROR(INDEX('Schedule C'!$A$20:$BA$83,MATCH('DVO (F1 - F2)'!$R120,'Schedule C'!$A$20:$A$83,0),50)," ")</f>
        <v xml:space="preserve"> </v>
      </c>
      <c r="K120" s="1452" t="str">
        <f>IFERROR(INDEX('Schedule C'!$A$20:$BA$83,MATCH('DVO (F1 - F2)'!$R120,'Schedule C'!$A$20:$A$83,0),33)," ")</f>
        <v xml:space="preserve"> </v>
      </c>
      <c r="L120" s="1453" t="str">
        <f>IFERROR(INDEX('Schedule C'!$A$20:$BA$83,MATCH('DVO (F1 - F2)'!$R120,'Schedule C'!$A$20:$A$83,0),52)," ")</f>
        <v xml:space="preserve"> </v>
      </c>
      <c r="M120" s="1454" t="str">
        <f>IFERROR(INDEX('Schedule C'!$A$20:$BA$83,MATCH('DVO (F1 - F2)'!$R120,'Schedule C'!$A$20:$A$83,0),50)-INDEX('Schedule C'!$A$20:$BA$83,MATCH('DVO (F1 - F2)'!$R120,'Schedule C'!$A$20:$A$83,0),39)," ")</f>
        <v xml:space="preserve"> </v>
      </c>
      <c r="N120" s="1129" t="str">
        <f t="shared" si="5"/>
        <v xml:space="preserve"> </v>
      </c>
      <c r="O120" s="1129" t="str">
        <f t="shared" si="6"/>
        <v xml:space="preserve"> </v>
      </c>
      <c r="P120" s="1130" t="str">
        <f t="shared" si="7"/>
        <v xml:space="preserve"> </v>
      </c>
      <c r="Q120" s="1131" t="str">
        <f t="shared" si="8"/>
        <v xml:space="preserve"> </v>
      </c>
      <c r="R120" s="1118">
        <f>IF('Schedule C'!AX379&gt;='DVO (F1 - F2)'!J$3,IF('Schedule C'!AX379&lt;='DVO (F1 - F2)'!K$3,IF('Schedule C'!BA379="APPROVED",'Schedule C'!A379,0),0),0)</f>
        <v>0</v>
      </c>
    </row>
    <row r="121" spans="1:18" ht="15">
      <c r="A121" s="1125">
        <f t="shared" si="9"/>
        <v>114</v>
      </c>
      <c r="B121" s="1126">
        <v>1</v>
      </c>
      <c r="C121" s="1126" t="str">
        <f>IFERROR(VLOOKUP($D121,dropdowns!$I$3:$Q$30,6,0), " ")</f>
        <v xml:space="preserve"> </v>
      </c>
      <c r="D121" s="1126" t="str">
        <f>IFERROR(INDEX('Schedule C'!$A$20:$BA$83,MATCH('DVO (F1 - F2)'!$R304,'Schedule C'!$A$20:$A$83,0),13)," ")</f>
        <v xml:space="preserve"> </v>
      </c>
      <c r="E121" s="1126" t="str">
        <f>IFERROR(VLOOKUP($D121,dropdowns!$I$3:$Q$30,7,0), " ")</f>
        <v xml:space="preserve"> </v>
      </c>
      <c r="F121" s="1126" t="str">
        <f>IFERROR(INDEX('Schedule C'!$A$20:$BA$83,MATCH('DVO (F1 - F2)'!$R121,'Schedule C'!$A$20:$A$83,0),2)," ")</f>
        <v xml:space="preserve"> </v>
      </c>
      <c r="G121" s="1127" t="str">
        <f>IFERROR(INDEX('Schedule C'!$A$20:$BA$83,MATCH('DVO (F1 - F2)'!$R121,'Schedule C'!$A$20:$A$83,0),38)," ")</f>
        <v xml:space="preserve"> </v>
      </c>
      <c r="H121" s="1127" t="str">
        <f>IFERROR(INDEX('Schedule C'!$A$20:$BA$83,MATCH('DVO (F1 - F2)'!$R121,'Schedule C'!$A$20:$A$83,0),39)," ")</f>
        <v xml:space="preserve"> </v>
      </c>
      <c r="I121" s="1127" t="str">
        <f>IFERROR(INDEX('Schedule C'!$A$20:$BA$83,MATCH('DVO (F1 - F2)'!$R121,'Schedule C'!$A$20:$A$83,0),41)," ")</f>
        <v xml:space="preserve"> </v>
      </c>
      <c r="J121" s="1127" t="str">
        <f>IFERROR(INDEX('Schedule C'!$A$20:$BA$83,MATCH('DVO (F1 - F2)'!$R121,'Schedule C'!$A$20:$A$83,0),50)," ")</f>
        <v xml:space="preserve"> </v>
      </c>
      <c r="K121" s="1452" t="str">
        <f>IFERROR(INDEX('Schedule C'!$A$20:$BA$83,MATCH('DVO (F1 - F2)'!$R121,'Schedule C'!$A$20:$A$83,0),33)," ")</f>
        <v xml:space="preserve"> </v>
      </c>
      <c r="L121" s="1453" t="str">
        <f>IFERROR(INDEX('Schedule C'!$A$20:$BA$83,MATCH('DVO (F1 - F2)'!$R121,'Schedule C'!$A$20:$A$83,0),52)," ")</f>
        <v xml:space="preserve"> </v>
      </c>
      <c r="M121" s="1454" t="str">
        <f>IFERROR(INDEX('Schedule C'!$A$20:$BA$83,MATCH('DVO (F1 - F2)'!$R121,'Schedule C'!$A$20:$A$83,0),50)-INDEX('Schedule C'!$A$20:$BA$83,MATCH('DVO (F1 - F2)'!$R121,'Schedule C'!$A$20:$A$83,0),39)," ")</f>
        <v xml:space="preserve"> </v>
      </c>
      <c r="N121" s="1129" t="str">
        <f t="shared" si="5"/>
        <v xml:space="preserve"> </v>
      </c>
      <c r="O121" s="1129" t="str">
        <f t="shared" si="6"/>
        <v xml:space="preserve"> </v>
      </c>
      <c r="P121" s="1130" t="str">
        <f t="shared" si="7"/>
        <v xml:space="preserve"> </v>
      </c>
      <c r="Q121" s="1131" t="str">
        <f t="shared" si="8"/>
        <v xml:space="preserve"> </v>
      </c>
      <c r="R121" s="1118">
        <f>IF('Schedule C'!AX380&gt;='DVO (F1 - F2)'!J$3,IF('Schedule C'!AX380&lt;='DVO (F1 - F2)'!K$3,IF('Schedule C'!BA380="APPROVED",'Schedule C'!A380,0),0),0)</f>
        <v>0</v>
      </c>
    </row>
    <row r="122" spans="1:18" ht="15">
      <c r="A122" s="1125">
        <f t="shared" si="9"/>
        <v>115</v>
      </c>
      <c r="B122" s="1126">
        <v>1</v>
      </c>
      <c r="C122" s="1126" t="str">
        <f>IFERROR(VLOOKUP($D122,dropdowns!$I$3:$Q$30,6,0), " ")</f>
        <v xml:space="preserve"> </v>
      </c>
      <c r="D122" s="1126" t="str">
        <f>IFERROR(INDEX('Schedule C'!$A$20:$BA$83,MATCH('DVO (F1 - F2)'!$R305,'Schedule C'!$A$20:$A$83,0),13)," ")</f>
        <v xml:space="preserve"> </v>
      </c>
      <c r="E122" s="1126" t="str">
        <f>IFERROR(VLOOKUP($D122,dropdowns!$I$3:$Q$30,7,0), " ")</f>
        <v xml:space="preserve"> </v>
      </c>
      <c r="F122" s="1126" t="str">
        <f>IFERROR(INDEX('Schedule C'!$A$20:$BA$83,MATCH('DVO (F1 - F2)'!$R122,'Schedule C'!$A$20:$A$83,0),2)," ")</f>
        <v xml:space="preserve"> </v>
      </c>
      <c r="G122" s="1127" t="str">
        <f>IFERROR(INDEX('Schedule C'!$A$20:$BA$83,MATCH('DVO (F1 - F2)'!$R122,'Schedule C'!$A$20:$A$83,0),38)," ")</f>
        <v xml:space="preserve"> </v>
      </c>
      <c r="H122" s="1127" t="str">
        <f>IFERROR(INDEX('Schedule C'!$A$20:$BA$83,MATCH('DVO (F1 - F2)'!$R122,'Schedule C'!$A$20:$A$83,0),39)," ")</f>
        <v xml:space="preserve"> </v>
      </c>
      <c r="I122" s="1127" t="str">
        <f>IFERROR(INDEX('Schedule C'!$A$20:$BA$83,MATCH('DVO (F1 - F2)'!$R122,'Schedule C'!$A$20:$A$83,0),41)," ")</f>
        <v xml:space="preserve"> </v>
      </c>
      <c r="J122" s="1127" t="str">
        <f>IFERROR(INDEX('Schedule C'!$A$20:$BA$83,MATCH('DVO (F1 - F2)'!$R122,'Schedule C'!$A$20:$A$83,0),50)," ")</f>
        <v xml:space="preserve"> </v>
      </c>
      <c r="K122" s="1452" t="str">
        <f>IFERROR(INDEX('Schedule C'!$A$20:$BA$83,MATCH('DVO (F1 - F2)'!$R122,'Schedule C'!$A$20:$A$83,0),33)," ")</f>
        <v xml:space="preserve"> </v>
      </c>
      <c r="L122" s="1453" t="str">
        <f>IFERROR(INDEX('Schedule C'!$A$20:$BA$83,MATCH('DVO (F1 - F2)'!$R122,'Schedule C'!$A$20:$A$83,0),52)," ")</f>
        <v xml:space="preserve"> </v>
      </c>
      <c r="M122" s="1454" t="str">
        <f>IFERROR(INDEX('Schedule C'!$A$20:$BA$83,MATCH('DVO (F1 - F2)'!$R122,'Schedule C'!$A$20:$A$83,0),50)-INDEX('Schedule C'!$A$20:$BA$83,MATCH('DVO (F1 - F2)'!$R122,'Schedule C'!$A$20:$A$83,0),39)," ")</f>
        <v xml:space="preserve"> </v>
      </c>
      <c r="N122" s="1129" t="str">
        <f t="shared" si="5"/>
        <v xml:space="preserve"> </v>
      </c>
      <c r="O122" s="1129" t="str">
        <f t="shared" si="6"/>
        <v xml:space="preserve"> </v>
      </c>
      <c r="P122" s="1130" t="str">
        <f t="shared" si="7"/>
        <v xml:space="preserve"> </v>
      </c>
      <c r="Q122" s="1131" t="str">
        <f t="shared" si="8"/>
        <v xml:space="preserve"> </v>
      </c>
      <c r="R122" s="1118">
        <f>IF('Schedule C'!AX381&gt;='DVO (F1 - F2)'!J$3,IF('Schedule C'!AX381&lt;='DVO (F1 - F2)'!K$3,IF('Schedule C'!BA381="APPROVED",'Schedule C'!A381,0),0),0)</f>
        <v>0</v>
      </c>
    </row>
    <row r="123" spans="1:18" ht="15">
      <c r="A123" s="1125">
        <f t="shared" si="9"/>
        <v>116</v>
      </c>
      <c r="B123" s="1126">
        <v>1</v>
      </c>
      <c r="C123" s="1126" t="str">
        <f>IFERROR(VLOOKUP($D123,dropdowns!$I$3:$Q$30,6,0), " ")</f>
        <v xml:space="preserve"> </v>
      </c>
      <c r="D123" s="1126" t="str">
        <f>IFERROR(INDEX('Schedule C'!$A$20:$BA$83,MATCH('DVO (F1 - F2)'!$R306,'Schedule C'!$A$20:$A$83,0),13)," ")</f>
        <v xml:space="preserve"> </v>
      </c>
      <c r="E123" s="1126" t="str">
        <f>IFERROR(VLOOKUP($D123,dropdowns!$I$3:$Q$30,7,0), " ")</f>
        <v xml:space="preserve"> </v>
      </c>
      <c r="F123" s="1126" t="str">
        <f>IFERROR(INDEX('Schedule C'!$A$20:$BA$83,MATCH('DVO (F1 - F2)'!$R123,'Schedule C'!$A$20:$A$83,0),2)," ")</f>
        <v xml:space="preserve"> </v>
      </c>
      <c r="G123" s="1127" t="str">
        <f>IFERROR(INDEX('Schedule C'!$A$20:$BA$83,MATCH('DVO (F1 - F2)'!$R123,'Schedule C'!$A$20:$A$83,0),38)," ")</f>
        <v xml:space="preserve"> </v>
      </c>
      <c r="H123" s="1127" t="str">
        <f>IFERROR(INDEX('Schedule C'!$A$20:$BA$83,MATCH('DVO (F1 - F2)'!$R123,'Schedule C'!$A$20:$A$83,0),39)," ")</f>
        <v xml:space="preserve"> </v>
      </c>
      <c r="I123" s="1127" t="str">
        <f>IFERROR(INDEX('Schedule C'!$A$20:$BA$83,MATCH('DVO (F1 - F2)'!$R123,'Schedule C'!$A$20:$A$83,0),41)," ")</f>
        <v xml:space="preserve"> </v>
      </c>
      <c r="J123" s="1127" t="str">
        <f>IFERROR(INDEX('Schedule C'!$A$20:$BA$83,MATCH('DVO (F1 - F2)'!$R123,'Schedule C'!$A$20:$A$83,0),50)," ")</f>
        <v xml:space="preserve"> </v>
      </c>
      <c r="K123" s="1452" t="str">
        <f>IFERROR(INDEX('Schedule C'!$A$20:$BA$83,MATCH('DVO (F1 - F2)'!$R123,'Schedule C'!$A$20:$A$83,0),33)," ")</f>
        <v xml:space="preserve"> </v>
      </c>
      <c r="L123" s="1453" t="str">
        <f>IFERROR(INDEX('Schedule C'!$A$20:$BA$83,MATCH('DVO (F1 - F2)'!$R123,'Schedule C'!$A$20:$A$83,0),52)," ")</f>
        <v xml:space="preserve"> </v>
      </c>
      <c r="M123" s="1454" t="str">
        <f>IFERROR(INDEX('Schedule C'!$A$20:$BA$83,MATCH('DVO (F1 - F2)'!$R123,'Schedule C'!$A$20:$A$83,0),50)-INDEX('Schedule C'!$A$20:$BA$83,MATCH('DVO (F1 - F2)'!$R123,'Schedule C'!$A$20:$A$83,0),39)," ")</f>
        <v xml:space="preserve"> </v>
      </c>
      <c r="N123" s="1129" t="str">
        <f t="shared" si="5"/>
        <v xml:space="preserve"> </v>
      </c>
      <c r="O123" s="1129" t="str">
        <f t="shared" si="6"/>
        <v xml:space="preserve"> </v>
      </c>
      <c r="P123" s="1130" t="str">
        <f t="shared" si="7"/>
        <v xml:space="preserve"> </v>
      </c>
      <c r="Q123" s="1131" t="str">
        <f t="shared" si="8"/>
        <v xml:space="preserve"> </v>
      </c>
      <c r="R123" s="1118">
        <f>IF('Schedule C'!AX382&gt;='DVO (F1 - F2)'!J$3,IF('Schedule C'!AX382&lt;='DVO (F1 - F2)'!K$3,IF('Schedule C'!BA382="APPROVED",'Schedule C'!A382,0),0),0)</f>
        <v>0</v>
      </c>
    </row>
    <row r="124" spans="1:18" ht="15">
      <c r="A124" s="1125">
        <f t="shared" si="9"/>
        <v>117</v>
      </c>
      <c r="B124" s="1126">
        <v>1</v>
      </c>
      <c r="C124" s="1126" t="str">
        <f>IFERROR(VLOOKUP($D124,dropdowns!$I$3:$Q$30,6,0), " ")</f>
        <v xml:space="preserve"> </v>
      </c>
      <c r="D124" s="1126" t="str">
        <f>IFERROR(INDEX('Schedule C'!$A$20:$BA$83,MATCH('DVO (F1 - F2)'!$R307,'Schedule C'!$A$20:$A$83,0),13)," ")</f>
        <v xml:space="preserve"> </v>
      </c>
      <c r="E124" s="1126" t="str">
        <f>IFERROR(VLOOKUP($D124,dropdowns!$I$3:$Q$30,7,0), " ")</f>
        <v xml:space="preserve"> </v>
      </c>
      <c r="F124" s="1126" t="str">
        <f>IFERROR(INDEX('Schedule C'!$A$20:$BA$83,MATCH('DVO (F1 - F2)'!$R124,'Schedule C'!$A$20:$A$83,0),2)," ")</f>
        <v xml:space="preserve"> </v>
      </c>
      <c r="G124" s="1127" t="str">
        <f>IFERROR(INDEX('Schedule C'!$A$20:$BA$83,MATCH('DVO (F1 - F2)'!$R124,'Schedule C'!$A$20:$A$83,0),38)," ")</f>
        <v xml:space="preserve"> </v>
      </c>
      <c r="H124" s="1127" t="str">
        <f>IFERROR(INDEX('Schedule C'!$A$20:$BA$83,MATCH('DVO (F1 - F2)'!$R124,'Schedule C'!$A$20:$A$83,0),39)," ")</f>
        <v xml:space="preserve"> </v>
      </c>
      <c r="I124" s="1127" t="str">
        <f>IFERROR(INDEX('Schedule C'!$A$20:$BA$83,MATCH('DVO (F1 - F2)'!$R124,'Schedule C'!$A$20:$A$83,0),41)," ")</f>
        <v xml:space="preserve"> </v>
      </c>
      <c r="J124" s="1127" t="str">
        <f>IFERROR(INDEX('Schedule C'!$A$20:$BA$83,MATCH('DVO (F1 - F2)'!$R124,'Schedule C'!$A$20:$A$83,0),50)," ")</f>
        <v xml:space="preserve"> </v>
      </c>
      <c r="K124" s="1452" t="str">
        <f>IFERROR(INDEX('Schedule C'!$A$20:$BA$83,MATCH('DVO (F1 - F2)'!$R124,'Schedule C'!$A$20:$A$83,0),33)," ")</f>
        <v xml:space="preserve"> </v>
      </c>
      <c r="L124" s="1453" t="str">
        <f>IFERROR(INDEX('Schedule C'!$A$20:$BA$83,MATCH('DVO (F1 - F2)'!$R124,'Schedule C'!$A$20:$A$83,0),52)," ")</f>
        <v xml:space="preserve"> </v>
      </c>
      <c r="M124" s="1454" t="str">
        <f>IFERROR(INDEX('Schedule C'!$A$20:$BA$83,MATCH('DVO (F1 - F2)'!$R124,'Schedule C'!$A$20:$A$83,0),50)-INDEX('Schedule C'!$A$20:$BA$83,MATCH('DVO (F1 - F2)'!$R124,'Schedule C'!$A$20:$A$83,0),39)," ")</f>
        <v xml:space="preserve"> </v>
      </c>
      <c r="N124" s="1129" t="str">
        <f t="shared" si="5"/>
        <v xml:space="preserve"> </v>
      </c>
      <c r="O124" s="1129" t="str">
        <f t="shared" si="6"/>
        <v xml:space="preserve"> </v>
      </c>
      <c r="P124" s="1130" t="str">
        <f t="shared" si="7"/>
        <v xml:space="preserve"> </v>
      </c>
      <c r="Q124" s="1131" t="str">
        <f t="shared" si="8"/>
        <v xml:space="preserve"> </v>
      </c>
      <c r="R124" s="1118">
        <f>IF('Schedule C'!AX383&gt;='DVO (F1 - F2)'!J$3,IF('Schedule C'!AX383&lt;='DVO (F1 - F2)'!K$3,IF('Schedule C'!BA383="APPROVED",'Schedule C'!A383,0),0),0)</f>
        <v>0</v>
      </c>
    </row>
    <row r="125" spans="1:18" ht="15">
      <c r="A125" s="1125">
        <f t="shared" si="9"/>
        <v>118</v>
      </c>
      <c r="B125" s="1126">
        <v>1</v>
      </c>
      <c r="C125" s="1126" t="str">
        <f>IFERROR(VLOOKUP($D125,dropdowns!$I$3:$Q$30,6,0), " ")</f>
        <v xml:space="preserve"> </v>
      </c>
      <c r="D125" s="1126" t="str">
        <f>IFERROR(INDEX('Schedule C'!$A$20:$BA$83,MATCH('DVO (F1 - F2)'!$R308,'Schedule C'!$A$20:$A$83,0),13)," ")</f>
        <v xml:space="preserve"> </v>
      </c>
      <c r="E125" s="1126" t="str">
        <f>IFERROR(VLOOKUP($D125,dropdowns!$I$3:$Q$30,7,0), " ")</f>
        <v xml:space="preserve"> </v>
      </c>
      <c r="F125" s="1126" t="str">
        <f>IFERROR(INDEX('Schedule C'!$A$20:$BA$83,MATCH('DVO (F1 - F2)'!$R125,'Schedule C'!$A$20:$A$83,0),2)," ")</f>
        <v xml:space="preserve"> </v>
      </c>
      <c r="G125" s="1127" t="str">
        <f>IFERROR(INDEX('Schedule C'!$A$20:$BA$83,MATCH('DVO (F1 - F2)'!$R125,'Schedule C'!$A$20:$A$83,0),38)," ")</f>
        <v xml:space="preserve"> </v>
      </c>
      <c r="H125" s="1127" t="str">
        <f>IFERROR(INDEX('Schedule C'!$A$20:$BA$83,MATCH('DVO (F1 - F2)'!$R125,'Schedule C'!$A$20:$A$83,0),39)," ")</f>
        <v xml:space="preserve"> </v>
      </c>
      <c r="I125" s="1127" t="str">
        <f>IFERROR(INDEX('Schedule C'!$A$20:$BA$83,MATCH('DVO (F1 - F2)'!$R125,'Schedule C'!$A$20:$A$83,0),41)," ")</f>
        <v xml:space="preserve"> </v>
      </c>
      <c r="J125" s="1127" t="str">
        <f>IFERROR(INDEX('Schedule C'!$A$20:$BA$83,MATCH('DVO (F1 - F2)'!$R125,'Schedule C'!$A$20:$A$83,0),50)," ")</f>
        <v xml:space="preserve"> </v>
      </c>
      <c r="K125" s="1452" t="str">
        <f>IFERROR(INDEX('Schedule C'!$A$20:$BA$83,MATCH('DVO (F1 - F2)'!$R125,'Schedule C'!$A$20:$A$83,0),33)," ")</f>
        <v xml:space="preserve"> </v>
      </c>
      <c r="L125" s="1453" t="str">
        <f>IFERROR(INDEX('Schedule C'!$A$20:$BA$83,MATCH('DVO (F1 - F2)'!$R125,'Schedule C'!$A$20:$A$83,0),52)," ")</f>
        <v xml:space="preserve"> </v>
      </c>
      <c r="M125" s="1454" t="str">
        <f>IFERROR(INDEX('Schedule C'!$A$20:$BA$83,MATCH('DVO (F1 - F2)'!$R125,'Schedule C'!$A$20:$A$83,0),50)-INDEX('Schedule C'!$A$20:$BA$83,MATCH('DVO (F1 - F2)'!$R125,'Schedule C'!$A$20:$A$83,0),39)," ")</f>
        <v xml:space="preserve"> </v>
      </c>
      <c r="N125" s="1129" t="str">
        <f t="shared" si="5"/>
        <v xml:space="preserve"> </v>
      </c>
      <c r="O125" s="1129" t="str">
        <f t="shared" si="6"/>
        <v xml:space="preserve"> </v>
      </c>
      <c r="P125" s="1130" t="str">
        <f t="shared" si="7"/>
        <v xml:space="preserve"> </v>
      </c>
      <c r="Q125" s="1131" t="str">
        <f t="shared" si="8"/>
        <v xml:space="preserve"> </v>
      </c>
      <c r="R125" s="1118">
        <f>IF('Schedule C'!AX384&gt;='DVO (F1 - F2)'!J$3,IF('Schedule C'!AX384&lt;='DVO (F1 - F2)'!K$3,IF('Schedule C'!BA384="APPROVED",'Schedule C'!A384,0),0),0)</f>
        <v>0</v>
      </c>
    </row>
    <row r="126" spans="1:18" ht="15">
      <c r="A126" s="1125">
        <f t="shared" si="9"/>
        <v>119</v>
      </c>
      <c r="B126" s="1126">
        <v>1</v>
      </c>
      <c r="C126" s="1126" t="str">
        <f>IFERROR(VLOOKUP($D126,dropdowns!$I$3:$Q$30,6,0), " ")</f>
        <v xml:space="preserve"> </v>
      </c>
      <c r="D126" s="1126" t="str">
        <f>IFERROR(INDEX('Schedule C'!$A$20:$BA$83,MATCH('DVO (F1 - F2)'!$R309,'Schedule C'!$A$20:$A$83,0),13)," ")</f>
        <v xml:space="preserve"> </v>
      </c>
      <c r="E126" s="1126" t="str">
        <f>IFERROR(VLOOKUP($D126,dropdowns!$I$3:$Q$30,7,0), " ")</f>
        <v xml:space="preserve"> </v>
      </c>
      <c r="F126" s="1126" t="str">
        <f>IFERROR(INDEX('Schedule C'!$A$20:$BA$83,MATCH('DVO (F1 - F2)'!$R126,'Schedule C'!$A$20:$A$83,0),2)," ")</f>
        <v xml:space="preserve"> </v>
      </c>
      <c r="G126" s="1127" t="str">
        <f>IFERROR(INDEX('Schedule C'!$A$20:$BA$83,MATCH('DVO (F1 - F2)'!$R126,'Schedule C'!$A$20:$A$83,0),38)," ")</f>
        <v xml:space="preserve"> </v>
      </c>
      <c r="H126" s="1127" t="str">
        <f>IFERROR(INDEX('Schedule C'!$A$20:$BA$83,MATCH('DVO (F1 - F2)'!$R126,'Schedule C'!$A$20:$A$83,0),39)," ")</f>
        <v xml:space="preserve"> </v>
      </c>
      <c r="I126" s="1127" t="str">
        <f>IFERROR(INDEX('Schedule C'!$A$20:$BA$83,MATCH('DVO (F1 - F2)'!$R126,'Schedule C'!$A$20:$A$83,0),41)," ")</f>
        <v xml:space="preserve"> </v>
      </c>
      <c r="J126" s="1127" t="str">
        <f>IFERROR(INDEX('Schedule C'!$A$20:$BA$83,MATCH('DVO (F1 - F2)'!$R126,'Schedule C'!$A$20:$A$83,0),50)," ")</f>
        <v xml:space="preserve"> </v>
      </c>
      <c r="K126" s="1452" t="str">
        <f>IFERROR(INDEX('Schedule C'!$A$20:$BA$83,MATCH('DVO (F1 - F2)'!$R126,'Schedule C'!$A$20:$A$83,0),33)," ")</f>
        <v xml:space="preserve"> </v>
      </c>
      <c r="L126" s="1453" t="str">
        <f>IFERROR(INDEX('Schedule C'!$A$20:$BA$83,MATCH('DVO (F1 - F2)'!$R126,'Schedule C'!$A$20:$A$83,0),52)," ")</f>
        <v xml:space="preserve"> </v>
      </c>
      <c r="M126" s="1454" t="str">
        <f>IFERROR(INDEX('Schedule C'!$A$20:$BA$83,MATCH('DVO (F1 - F2)'!$R126,'Schedule C'!$A$20:$A$83,0),50)-INDEX('Schedule C'!$A$20:$BA$83,MATCH('DVO (F1 - F2)'!$R126,'Schedule C'!$A$20:$A$83,0),39)," ")</f>
        <v xml:space="preserve"> </v>
      </c>
      <c r="N126" s="1129" t="str">
        <f t="shared" si="5"/>
        <v xml:space="preserve"> </v>
      </c>
      <c r="O126" s="1129" t="str">
        <f t="shared" si="6"/>
        <v xml:space="preserve"> </v>
      </c>
      <c r="P126" s="1130" t="str">
        <f t="shared" si="7"/>
        <v xml:space="preserve"> </v>
      </c>
      <c r="Q126" s="1131" t="str">
        <f t="shared" si="8"/>
        <v xml:space="preserve"> </v>
      </c>
      <c r="R126" s="1118">
        <f>IF('Schedule C'!AX385&gt;='DVO (F1 - F2)'!J$3,IF('Schedule C'!AX385&lt;='DVO (F1 - F2)'!K$3,IF('Schedule C'!BA385="APPROVED",'Schedule C'!A385,0),0),0)</f>
        <v>0</v>
      </c>
    </row>
    <row r="127" spans="1:18" ht="15">
      <c r="A127" s="1125">
        <f t="shared" si="9"/>
        <v>120</v>
      </c>
      <c r="B127" s="1126">
        <v>1</v>
      </c>
      <c r="C127" s="1126" t="str">
        <f>IFERROR(VLOOKUP($D127,dropdowns!$I$3:$Q$30,6,0), " ")</f>
        <v xml:space="preserve"> </v>
      </c>
      <c r="D127" s="1126" t="str">
        <f>IFERROR(INDEX('Schedule C'!$A$20:$BA$83,MATCH('DVO (F1 - F2)'!$R310,'Schedule C'!$A$20:$A$83,0),13)," ")</f>
        <v xml:space="preserve"> </v>
      </c>
      <c r="E127" s="1126" t="str">
        <f>IFERROR(VLOOKUP($D127,dropdowns!$I$3:$Q$30,7,0), " ")</f>
        <v xml:space="preserve"> </v>
      </c>
      <c r="F127" s="1126" t="str">
        <f>IFERROR(INDEX('Schedule C'!$A$20:$BA$83,MATCH('DVO (F1 - F2)'!$R127,'Schedule C'!$A$20:$A$83,0),2)," ")</f>
        <v xml:space="preserve"> </v>
      </c>
      <c r="G127" s="1127" t="str">
        <f>IFERROR(INDEX('Schedule C'!$A$20:$BA$83,MATCH('DVO (F1 - F2)'!$R127,'Schedule C'!$A$20:$A$83,0),38)," ")</f>
        <v xml:space="preserve"> </v>
      </c>
      <c r="H127" s="1127" t="str">
        <f>IFERROR(INDEX('Schedule C'!$A$20:$BA$83,MATCH('DVO (F1 - F2)'!$R127,'Schedule C'!$A$20:$A$83,0),39)," ")</f>
        <v xml:space="preserve"> </v>
      </c>
      <c r="I127" s="1127" t="str">
        <f>IFERROR(INDEX('Schedule C'!$A$20:$BA$83,MATCH('DVO (F1 - F2)'!$R127,'Schedule C'!$A$20:$A$83,0),41)," ")</f>
        <v xml:space="preserve"> </v>
      </c>
      <c r="J127" s="1127" t="str">
        <f>IFERROR(INDEX('Schedule C'!$A$20:$BA$83,MATCH('DVO (F1 - F2)'!$R127,'Schedule C'!$A$20:$A$83,0),50)," ")</f>
        <v xml:space="preserve"> </v>
      </c>
      <c r="K127" s="1452" t="str">
        <f>IFERROR(INDEX('Schedule C'!$A$20:$BA$83,MATCH('DVO (F1 - F2)'!$R127,'Schedule C'!$A$20:$A$83,0),33)," ")</f>
        <v xml:space="preserve"> </v>
      </c>
      <c r="L127" s="1453" t="str">
        <f>IFERROR(INDEX('Schedule C'!$A$20:$BA$83,MATCH('DVO (F1 - F2)'!$R127,'Schedule C'!$A$20:$A$83,0),52)," ")</f>
        <v xml:space="preserve"> </v>
      </c>
      <c r="M127" s="1454" t="str">
        <f>IFERROR(INDEX('Schedule C'!$A$20:$BA$83,MATCH('DVO (F1 - F2)'!$R127,'Schedule C'!$A$20:$A$83,0),50)-INDEX('Schedule C'!$A$20:$BA$83,MATCH('DVO (F1 - F2)'!$R127,'Schedule C'!$A$20:$A$83,0),39)," ")</f>
        <v xml:space="preserve"> </v>
      </c>
      <c r="N127" s="1129" t="str">
        <f t="shared" si="5"/>
        <v xml:space="preserve"> </v>
      </c>
      <c r="O127" s="1129" t="str">
        <f t="shared" si="6"/>
        <v xml:space="preserve"> </v>
      </c>
      <c r="P127" s="1130" t="str">
        <f t="shared" si="7"/>
        <v xml:space="preserve"> </v>
      </c>
      <c r="Q127" s="1131" t="str">
        <f t="shared" si="8"/>
        <v xml:space="preserve"> </v>
      </c>
      <c r="R127" s="1118">
        <f>IF('Schedule C'!AX386&gt;='DVO (F1 - F2)'!J$3,IF('Schedule C'!AX386&lt;='DVO (F1 - F2)'!K$3,IF('Schedule C'!BA386="APPROVED",'Schedule C'!A386,0),0),0)</f>
        <v>0</v>
      </c>
    </row>
    <row r="128" spans="1:18" ht="15">
      <c r="A128" s="1125">
        <f t="shared" si="9"/>
        <v>121</v>
      </c>
      <c r="B128" s="1126">
        <v>1</v>
      </c>
      <c r="C128" s="1126" t="str">
        <f>IFERROR(VLOOKUP($D128,dropdowns!$I$3:$Q$30,6,0), " ")</f>
        <v xml:space="preserve"> </v>
      </c>
      <c r="D128" s="1126" t="str">
        <f>IFERROR(INDEX('Schedule C'!$A$20:$BA$83,MATCH('DVO (F1 - F2)'!$R311,'Schedule C'!$A$20:$A$83,0),13)," ")</f>
        <v xml:space="preserve"> </v>
      </c>
      <c r="E128" s="1126" t="str">
        <f>IFERROR(VLOOKUP($D128,dropdowns!$I$3:$Q$30,7,0), " ")</f>
        <v xml:space="preserve"> </v>
      </c>
      <c r="F128" s="1126" t="str">
        <f>IFERROR(INDEX('Schedule C'!$A$20:$BA$83,MATCH('DVO (F1 - F2)'!$R128,'Schedule C'!$A$20:$A$83,0),2)," ")</f>
        <v xml:space="preserve"> </v>
      </c>
      <c r="G128" s="1127" t="str">
        <f>IFERROR(INDEX('Schedule C'!$A$20:$BA$83,MATCH('DVO (F1 - F2)'!$R128,'Schedule C'!$A$20:$A$83,0),38)," ")</f>
        <v xml:space="preserve"> </v>
      </c>
      <c r="H128" s="1127" t="str">
        <f>IFERROR(INDEX('Schedule C'!$A$20:$BA$83,MATCH('DVO (F1 - F2)'!$R128,'Schedule C'!$A$20:$A$83,0),39)," ")</f>
        <v xml:space="preserve"> </v>
      </c>
      <c r="I128" s="1127" t="str">
        <f>IFERROR(INDEX('Schedule C'!$A$20:$BA$83,MATCH('DVO (F1 - F2)'!$R128,'Schedule C'!$A$20:$A$83,0),41)," ")</f>
        <v xml:space="preserve"> </v>
      </c>
      <c r="J128" s="1127" t="str">
        <f>IFERROR(INDEX('Schedule C'!$A$20:$BA$83,MATCH('DVO (F1 - F2)'!$R128,'Schedule C'!$A$20:$A$83,0),50)," ")</f>
        <v xml:space="preserve"> </v>
      </c>
      <c r="K128" s="1452" t="str">
        <f>IFERROR(INDEX('Schedule C'!$A$20:$BA$83,MATCH('DVO (F1 - F2)'!$R128,'Schedule C'!$A$20:$A$83,0),33)," ")</f>
        <v xml:space="preserve"> </v>
      </c>
      <c r="L128" s="1453" t="str">
        <f>IFERROR(INDEX('Schedule C'!$A$20:$BA$83,MATCH('DVO (F1 - F2)'!$R128,'Schedule C'!$A$20:$A$83,0),52)," ")</f>
        <v xml:space="preserve"> </v>
      </c>
      <c r="M128" s="1454" t="str">
        <f>IFERROR(INDEX('Schedule C'!$A$20:$BA$83,MATCH('DVO (F1 - F2)'!$R128,'Schedule C'!$A$20:$A$83,0),50)-INDEX('Schedule C'!$A$20:$BA$83,MATCH('DVO (F1 - F2)'!$R128,'Schedule C'!$A$20:$A$83,0),39)," ")</f>
        <v xml:space="preserve"> </v>
      </c>
      <c r="N128" s="1129" t="str">
        <f t="shared" si="5"/>
        <v xml:space="preserve"> </v>
      </c>
      <c r="O128" s="1129" t="str">
        <f t="shared" si="6"/>
        <v xml:space="preserve"> </v>
      </c>
      <c r="P128" s="1130" t="str">
        <f t="shared" si="7"/>
        <v xml:space="preserve"> </v>
      </c>
      <c r="Q128" s="1131" t="str">
        <f t="shared" si="8"/>
        <v xml:space="preserve"> </v>
      </c>
      <c r="R128" s="1118">
        <f>IF('Schedule C'!AX387&gt;='DVO (F1 - F2)'!J$3,IF('Schedule C'!AX387&lt;='DVO (F1 - F2)'!K$3,IF('Schedule C'!BA387="APPROVED",'Schedule C'!A387,0),0),0)</f>
        <v>0</v>
      </c>
    </row>
    <row r="129" spans="1:18" ht="15">
      <c r="A129" s="1125">
        <f t="shared" si="9"/>
        <v>122</v>
      </c>
      <c r="B129" s="1126">
        <v>1</v>
      </c>
      <c r="C129" s="1126" t="str">
        <f>IFERROR(VLOOKUP($D129,dropdowns!$I$3:$Q$30,6,0), " ")</f>
        <v xml:space="preserve"> </v>
      </c>
      <c r="D129" s="1126" t="str">
        <f>IFERROR(INDEX('Schedule C'!$A$20:$BA$83,MATCH('DVO (F1 - F2)'!$R312,'Schedule C'!$A$20:$A$83,0),13)," ")</f>
        <v xml:space="preserve"> </v>
      </c>
      <c r="E129" s="1126" t="str">
        <f>IFERROR(VLOOKUP($D129,dropdowns!$I$3:$Q$30,7,0), " ")</f>
        <v xml:space="preserve"> </v>
      </c>
      <c r="F129" s="1126" t="str">
        <f>IFERROR(INDEX('Schedule C'!$A$20:$BA$83,MATCH('DVO (F1 - F2)'!$R129,'Schedule C'!$A$20:$A$83,0),2)," ")</f>
        <v xml:space="preserve"> </v>
      </c>
      <c r="G129" s="1127" t="str">
        <f>IFERROR(INDEX('Schedule C'!$A$20:$BA$83,MATCH('DVO (F1 - F2)'!$R129,'Schedule C'!$A$20:$A$83,0),38)," ")</f>
        <v xml:space="preserve"> </v>
      </c>
      <c r="H129" s="1127" t="str">
        <f>IFERROR(INDEX('Schedule C'!$A$20:$BA$83,MATCH('DVO (F1 - F2)'!$R129,'Schedule C'!$A$20:$A$83,0),39)," ")</f>
        <v xml:space="preserve"> </v>
      </c>
      <c r="I129" s="1127" t="str">
        <f>IFERROR(INDEX('Schedule C'!$A$20:$BA$83,MATCH('DVO (F1 - F2)'!$R129,'Schedule C'!$A$20:$A$83,0),41)," ")</f>
        <v xml:space="preserve"> </v>
      </c>
      <c r="J129" s="1127" t="str">
        <f>IFERROR(INDEX('Schedule C'!$A$20:$BA$83,MATCH('DVO (F1 - F2)'!$R129,'Schedule C'!$A$20:$A$83,0),50)," ")</f>
        <v xml:space="preserve"> </v>
      </c>
      <c r="K129" s="1452" t="str">
        <f>IFERROR(INDEX('Schedule C'!$A$20:$BA$83,MATCH('DVO (F1 - F2)'!$R129,'Schedule C'!$A$20:$A$83,0),33)," ")</f>
        <v xml:space="preserve"> </v>
      </c>
      <c r="L129" s="1453" t="str">
        <f>IFERROR(INDEX('Schedule C'!$A$20:$BA$83,MATCH('DVO (F1 - F2)'!$R129,'Schedule C'!$A$20:$A$83,0),52)," ")</f>
        <v xml:space="preserve"> </v>
      </c>
      <c r="M129" s="1454" t="str">
        <f>IFERROR(INDEX('Schedule C'!$A$20:$BA$83,MATCH('DVO (F1 - F2)'!$R129,'Schedule C'!$A$20:$A$83,0),50)-INDEX('Schedule C'!$A$20:$BA$83,MATCH('DVO (F1 - F2)'!$R129,'Schedule C'!$A$20:$A$83,0),39)," ")</f>
        <v xml:space="preserve"> </v>
      </c>
      <c r="N129" s="1129" t="str">
        <f t="shared" si="5"/>
        <v xml:space="preserve"> </v>
      </c>
      <c r="O129" s="1129" t="str">
        <f t="shared" si="6"/>
        <v xml:space="preserve"> </v>
      </c>
      <c r="P129" s="1130" t="str">
        <f t="shared" si="7"/>
        <v xml:space="preserve"> </v>
      </c>
      <c r="Q129" s="1131" t="str">
        <f t="shared" si="8"/>
        <v xml:space="preserve"> </v>
      </c>
      <c r="R129" s="1118">
        <f>IF('Schedule C'!AX388&gt;='DVO (F1 - F2)'!J$3,IF('Schedule C'!AX388&lt;='DVO (F1 - F2)'!K$3,IF('Schedule C'!BA388="APPROVED",'Schedule C'!A388,0),0),0)</f>
        <v>0</v>
      </c>
    </row>
    <row r="130" spans="1:18" ht="15">
      <c r="A130" s="1125">
        <f t="shared" si="9"/>
        <v>123</v>
      </c>
      <c r="B130" s="1126">
        <v>1</v>
      </c>
      <c r="C130" s="1126" t="str">
        <f>IFERROR(VLOOKUP($D130,dropdowns!$I$3:$Q$30,6,0), " ")</f>
        <v xml:space="preserve"> </v>
      </c>
      <c r="D130" s="1126" t="str">
        <f>IFERROR(INDEX('Schedule C'!$A$20:$BA$83,MATCH('DVO (F1 - F2)'!$R313,'Schedule C'!$A$20:$A$83,0),13)," ")</f>
        <v xml:space="preserve"> </v>
      </c>
      <c r="E130" s="1126" t="str">
        <f>IFERROR(VLOOKUP($D130,dropdowns!$I$3:$Q$30,7,0), " ")</f>
        <v xml:space="preserve"> </v>
      </c>
      <c r="F130" s="1126" t="str">
        <f>IFERROR(INDEX('Schedule C'!$A$20:$BA$83,MATCH('DVO (F1 - F2)'!$R130,'Schedule C'!$A$20:$A$83,0),2)," ")</f>
        <v xml:space="preserve"> </v>
      </c>
      <c r="G130" s="1127" t="str">
        <f>IFERROR(INDEX('Schedule C'!$A$20:$BA$83,MATCH('DVO (F1 - F2)'!$R130,'Schedule C'!$A$20:$A$83,0),38)," ")</f>
        <v xml:space="preserve"> </v>
      </c>
      <c r="H130" s="1127" t="str">
        <f>IFERROR(INDEX('Schedule C'!$A$20:$BA$83,MATCH('DVO (F1 - F2)'!$R130,'Schedule C'!$A$20:$A$83,0),39)," ")</f>
        <v xml:space="preserve"> </v>
      </c>
      <c r="I130" s="1127" t="str">
        <f>IFERROR(INDEX('Schedule C'!$A$20:$BA$83,MATCH('DVO (F1 - F2)'!$R130,'Schedule C'!$A$20:$A$83,0),41)," ")</f>
        <v xml:space="preserve"> </v>
      </c>
      <c r="J130" s="1127" t="str">
        <f>IFERROR(INDEX('Schedule C'!$A$20:$BA$83,MATCH('DVO (F1 - F2)'!$R130,'Schedule C'!$A$20:$A$83,0),50)," ")</f>
        <v xml:space="preserve"> </v>
      </c>
      <c r="K130" s="1452" t="str">
        <f>IFERROR(INDEX('Schedule C'!$A$20:$BA$83,MATCH('DVO (F1 - F2)'!$R130,'Schedule C'!$A$20:$A$83,0),33)," ")</f>
        <v xml:space="preserve"> </v>
      </c>
      <c r="L130" s="1453" t="str">
        <f>IFERROR(INDEX('Schedule C'!$A$20:$BA$83,MATCH('DVO (F1 - F2)'!$R130,'Schedule C'!$A$20:$A$83,0),52)," ")</f>
        <v xml:space="preserve"> </v>
      </c>
      <c r="M130" s="1454" t="str">
        <f>IFERROR(INDEX('Schedule C'!$A$20:$BA$83,MATCH('DVO (F1 - F2)'!$R130,'Schedule C'!$A$20:$A$83,0),50)-INDEX('Schedule C'!$A$20:$BA$83,MATCH('DVO (F1 - F2)'!$R130,'Schedule C'!$A$20:$A$83,0),39)," ")</f>
        <v xml:space="preserve"> </v>
      </c>
      <c r="N130" s="1129" t="str">
        <f t="shared" si="5"/>
        <v xml:space="preserve"> </v>
      </c>
      <c r="O130" s="1129" t="str">
        <f t="shared" si="6"/>
        <v xml:space="preserve"> </v>
      </c>
      <c r="P130" s="1130" t="str">
        <f t="shared" si="7"/>
        <v xml:space="preserve"> </v>
      </c>
      <c r="Q130" s="1131" t="str">
        <f t="shared" si="8"/>
        <v xml:space="preserve"> </v>
      </c>
      <c r="R130" s="1118">
        <f>IF('Schedule C'!AX389&gt;='DVO (F1 - F2)'!J$3,IF('Schedule C'!AX389&lt;='DVO (F1 - F2)'!K$3,IF('Schedule C'!BA389="APPROVED",'Schedule C'!A389,0),0),0)</f>
        <v>0</v>
      </c>
    </row>
    <row r="131" spans="1:18" ht="15">
      <c r="A131" s="1125">
        <f t="shared" si="9"/>
        <v>124</v>
      </c>
      <c r="B131" s="1126">
        <v>1</v>
      </c>
      <c r="C131" s="1126" t="str">
        <f>IFERROR(VLOOKUP($D131,dropdowns!$I$3:$Q$30,6,0), " ")</f>
        <v xml:space="preserve"> </v>
      </c>
      <c r="D131" s="1126" t="str">
        <f>IFERROR(INDEX('Schedule C'!$A$20:$BA$83,MATCH('DVO (F1 - F2)'!$R314,'Schedule C'!$A$20:$A$83,0),13)," ")</f>
        <v xml:space="preserve"> </v>
      </c>
      <c r="E131" s="1126" t="str">
        <f>IFERROR(VLOOKUP($D131,dropdowns!$I$3:$Q$30,7,0), " ")</f>
        <v xml:space="preserve"> </v>
      </c>
      <c r="F131" s="1126" t="str">
        <f>IFERROR(INDEX('Schedule C'!$A$20:$BA$83,MATCH('DVO (F1 - F2)'!$R131,'Schedule C'!$A$20:$A$83,0),2)," ")</f>
        <v xml:space="preserve"> </v>
      </c>
      <c r="G131" s="1127" t="str">
        <f>IFERROR(INDEX('Schedule C'!$A$20:$BA$83,MATCH('DVO (F1 - F2)'!$R131,'Schedule C'!$A$20:$A$83,0),38)," ")</f>
        <v xml:space="preserve"> </v>
      </c>
      <c r="H131" s="1127" t="str">
        <f>IFERROR(INDEX('Schedule C'!$A$20:$BA$83,MATCH('DVO (F1 - F2)'!$R131,'Schedule C'!$A$20:$A$83,0),39)," ")</f>
        <v xml:space="preserve"> </v>
      </c>
      <c r="I131" s="1127" t="str">
        <f>IFERROR(INDEX('Schedule C'!$A$20:$BA$83,MATCH('DVO (F1 - F2)'!$R131,'Schedule C'!$A$20:$A$83,0),41)," ")</f>
        <v xml:space="preserve"> </v>
      </c>
      <c r="J131" s="1127" t="str">
        <f>IFERROR(INDEX('Schedule C'!$A$20:$BA$83,MATCH('DVO (F1 - F2)'!$R131,'Schedule C'!$A$20:$A$83,0),50)," ")</f>
        <v xml:space="preserve"> </v>
      </c>
      <c r="K131" s="1452" t="str">
        <f>IFERROR(INDEX('Schedule C'!$A$20:$BA$83,MATCH('DVO (F1 - F2)'!$R131,'Schedule C'!$A$20:$A$83,0),33)," ")</f>
        <v xml:space="preserve"> </v>
      </c>
      <c r="L131" s="1453" t="str">
        <f>IFERROR(INDEX('Schedule C'!$A$20:$BA$83,MATCH('DVO (F1 - F2)'!$R131,'Schedule C'!$A$20:$A$83,0),52)," ")</f>
        <v xml:space="preserve"> </v>
      </c>
      <c r="M131" s="1454" t="str">
        <f>IFERROR(INDEX('Schedule C'!$A$20:$BA$83,MATCH('DVO (F1 - F2)'!$R131,'Schedule C'!$A$20:$A$83,0),50)-INDEX('Schedule C'!$A$20:$BA$83,MATCH('DVO (F1 - F2)'!$R131,'Schedule C'!$A$20:$A$83,0),39)," ")</f>
        <v xml:space="preserve"> </v>
      </c>
      <c r="N131" s="1129" t="str">
        <f t="shared" si="5"/>
        <v xml:space="preserve"> </v>
      </c>
      <c r="O131" s="1129" t="str">
        <f t="shared" si="6"/>
        <v xml:space="preserve"> </v>
      </c>
      <c r="P131" s="1130" t="str">
        <f t="shared" si="7"/>
        <v xml:space="preserve"> </v>
      </c>
      <c r="Q131" s="1131" t="str">
        <f t="shared" si="8"/>
        <v xml:space="preserve"> </v>
      </c>
      <c r="R131" s="1118">
        <f>IF('Schedule C'!AX390&gt;='DVO (F1 - F2)'!J$3,IF('Schedule C'!AX390&lt;='DVO (F1 - F2)'!K$3,IF('Schedule C'!BA390="APPROVED",'Schedule C'!A390,0),0),0)</f>
        <v>0</v>
      </c>
    </row>
    <row r="132" spans="1:18" ht="15">
      <c r="A132" s="1125">
        <f t="shared" si="9"/>
        <v>125</v>
      </c>
      <c r="B132" s="1126">
        <v>1</v>
      </c>
      <c r="C132" s="1126" t="str">
        <f>IFERROR(VLOOKUP($D132,dropdowns!$I$3:$Q$30,6,0), " ")</f>
        <v xml:space="preserve"> </v>
      </c>
      <c r="D132" s="1126" t="str">
        <f>IFERROR(INDEX('Schedule C'!$A$20:$BA$83,MATCH('DVO (F1 - F2)'!$R315,'Schedule C'!$A$20:$A$83,0),13)," ")</f>
        <v xml:space="preserve"> </v>
      </c>
      <c r="E132" s="1126" t="str">
        <f>IFERROR(VLOOKUP($D132,dropdowns!$I$3:$Q$30,7,0), " ")</f>
        <v xml:space="preserve"> </v>
      </c>
      <c r="F132" s="1126" t="str">
        <f>IFERROR(INDEX('Schedule C'!$A$20:$BA$83,MATCH('DVO (F1 - F2)'!$R132,'Schedule C'!$A$20:$A$83,0),2)," ")</f>
        <v xml:space="preserve"> </v>
      </c>
      <c r="G132" s="1127" t="str">
        <f>IFERROR(INDEX('Schedule C'!$A$20:$BA$83,MATCH('DVO (F1 - F2)'!$R132,'Schedule C'!$A$20:$A$83,0),38)," ")</f>
        <v xml:space="preserve"> </v>
      </c>
      <c r="H132" s="1127" t="str">
        <f>IFERROR(INDEX('Schedule C'!$A$20:$BA$83,MATCH('DVO (F1 - F2)'!$R132,'Schedule C'!$A$20:$A$83,0),39)," ")</f>
        <v xml:space="preserve"> </v>
      </c>
      <c r="I132" s="1127" t="str">
        <f>IFERROR(INDEX('Schedule C'!$A$20:$BA$83,MATCH('DVO (F1 - F2)'!$R132,'Schedule C'!$A$20:$A$83,0),41)," ")</f>
        <v xml:space="preserve"> </v>
      </c>
      <c r="J132" s="1127" t="str">
        <f>IFERROR(INDEX('Schedule C'!$A$20:$BA$83,MATCH('DVO (F1 - F2)'!$R132,'Schedule C'!$A$20:$A$83,0),50)," ")</f>
        <v xml:space="preserve"> </v>
      </c>
      <c r="K132" s="1452" t="str">
        <f>IFERROR(INDEX('Schedule C'!$A$20:$BA$83,MATCH('DVO (F1 - F2)'!$R132,'Schedule C'!$A$20:$A$83,0),33)," ")</f>
        <v xml:space="preserve"> </v>
      </c>
      <c r="L132" s="1453" t="str">
        <f>IFERROR(INDEX('Schedule C'!$A$20:$BA$83,MATCH('DVO (F1 - F2)'!$R132,'Schedule C'!$A$20:$A$83,0),52)," ")</f>
        <v xml:space="preserve"> </v>
      </c>
      <c r="M132" s="1454" t="str">
        <f>IFERROR(INDEX('Schedule C'!$A$20:$BA$83,MATCH('DVO (F1 - F2)'!$R132,'Schedule C'!$A$20:$A$83,0),50)-INDEX('Schedule C'!$A$20:$BA$83,MATCH('DVO (F1 - F2)'!$R132,'Schedule C'!$A$20:$A$83,0),39)," ")</f>
        <v xml:space="preserve"> </v>
      </c>
      <c r="N132" s="1129" t="str">
        <f t="shared" si="5"/>
        <v xml:space="preserve"> </v>
      </c>
      <c r="O132" s="1129" t="str">
        <f t="shared" si="6"/>
        <v xml:space="preserve"> </v>
      </c>
      <c r="P132" s="1130" t="str">
        <f t="shared" si="7"/>
        <v xml:space="preserve"> </v>
      </c>
      <c r="Q132" s="1131" t="str">
        <f t="shared" si="8"/>
        <v xml:space="preserve"> </v>
      </c>
      <c r="R132" s="1118">
        <f>IF('Schedule C'!AX391&gt;='DVO (F1 - F2)'!J$3,IF('Schedule C'!AX391&lt;='DVO (F1 - F2)'!K$3,IF('Schedule C'!BA391="APPROVED",'Schedule C'!A391,0),0),0)</f>
        <v>0</v>
      </c>
    </row>
    <row r="133" spans="1:18" ht="15">
      <c r="A133" s="1125">
        <f t="shared" si="9"/>
        <v>126</v>
      </c>
      <c r="B133" s="1126">
        <v>1</v>
      </c>
      <c r="C133" s="1126" t="str">
        <f>IFERROR(VLOOKUP($D133,dropdowns!$I$3:$Q$30,6,0), " ")</f>
        <v xml:space="preserve"> </v>
      </c>
      <c r="D133" s="1126" t="str">
        <f>IFERROR(INDEX('Schedule C'!$A$20:$BA$83,MATCH('DVO (F1 - F2)'!$R316,'Schedule C'!$A$20:$A$83,0),13)," ")</f>
        <v xml:space="preserve"> </v>
      </c>
      <c r="E133" s="1126" t="str">
        <f>IFERROR(VLOOKUP($D133,dropdowns!$I$3:$Q$30,7,0), " ")</f>
        <v xml:space="preserve"> </v>
      </c>
      <c r="F133" s="1126" t="str">
        <f>IFERROR(INDEX('Schedule C'!$A$20:$BA$83,MATCH('DVO (F1 - F2)'!$R133,'Schedule C'!$A$20:$A$83,0),2)," ")</f>
        <v xml:space="preserve"> </v>
      </c>
      <c r="G133" s="1127" t="str">
        <f>IFERROR(INDEX('Schedule C'!$A$20:$BA$83,MATCH('DVO (F1 - F2)'!$R133,'Schedule C'!$A$20:$A$83,0),38)," ")</f>
        <v xml:space="preserve"> </v>
      </c>
      <c r="H133" s="1127" t="str">
        <f>IFERROR(INDEX('Schedule C'!$A$20:$BA$83,MATCH('DVO (F1 - F2)'!$R133,'Schedule C'!$A$20:$A$83,0),39)," ")</f>
        <v xml:space="preserve"> </v>
      </c>
      <c r="I133" s="1127" t="str">
        <f>IFERROR(INDEX('Schedule C'!$A$20:$BA$83,MATCH('DVO (F1 - F2)'!$R133,'Schedule C'!$A$20:$A$83,0),41)," ")</f>
        <v xml:space="preserve"> </v>
      </c>
      <c r="J133" s="1127" t="str">
        <f>IFERROR(INDEX('Schedule C'!$A$20:$BA$83,MATCH('DVO (F1 - F2)'!$R133,'Schedule C'!$A$20:$A$83,0),50)," ")</f>
        <v xml:space="preserve"> </v>
      </c>
      <c r="K133" s="1452" t="str">
        <f>IFERROR(INDEX('Schedule C'!$A$20:$BA$83,MATCH('DVO (F1 - F2)'!$R133,'Schedule C'!$A$20:$A$83,0),33)," ")</f>
        <v xml:space="preserve"> </v>
      </c>
      <c r="L133" s="1453" t="str">
        <f>IFERROR(INDEX('Schedule C'!$A$20:$BA$83,MATCH('DVO (F1 - F2)'!$R133,'Schedule C'!$A$20:$A$83,0),52)," ")</f>
        <v xml:space="preserve"> </v>
      </c>
      <c r="M133" s="1454" t="str">
        <f>IFERROR(INDEX('Schedule C'!$A$20:$BA$83,MATCH('DVO (F1 - F2)'!$R133,'Schedule C'!$A$20:$A$83,0),50)-INDEX('Schedule C'!$A$20:$BA$83,MATCH('DVO (F1 - F2)'!$R133,'Schedule C'!$A$20:$A$83,0),39)," ")</f>
        <v xml:space="preserve"> </v>
      </c>
      <c r="N133" s="1129" t="str">
        <f t="shared" si="5"/>
        <v xml:space="preserve"> </v>
      </c>
      <c r="O133" s="1129" t="str">
        <f t="shared" si="6"/>
        <v xml:space="preserve"> </v>
      </c>
      <c r="P133" s="1130" t="str">
        <f t="shared" si="7"/>
        <v xml:space="preserve"> </v>
      </c>
      <c r="Q133" s="1131" t="str">
        <f t="shared" si="8"/>
        <v xml:space="preserve"> </v>
      </c>
      <c r="R133" s="1118">
        <f>IF('Schedule C'!AX392&gt;='DVO (F1 - F2)'!J$3,IF('Schedule C'!AX392&lt;='DVO (F1 - F2)'!K$3,IF('Schedule C'!BA392="APPROVED",'Schedule C'!A392,0),0),0)</f>
        <v>0</v>
      </c>
    </row>
    <row r="134" spans="1:18" ht="15">
      <c r="A134" s="1125">
        <f t="shared" si="9"/>
        <v>127</v>
      </c>
      <c r="B134" s="1126">
        <v>1</v>
      </c>
      <c r="C134" s="1126" t="str">
        <f>IFERROR(VLOOKUP($D134,dropdowns!$I$3:$Q$30,6,0), " ")</f>
        <v xml:space="preserve"> </v>
      </c>
      <c r="D134" s="1126" t="str">
        <f>IFERROR(INDEX('Schedule C'!$A$20:$BA$83,MATCH('DVO (F1 - F2)'!$R317,'Schedule C'!$A$20:$A$83,0),13)," ")</f>
        <v xml:space="preserve"> </v>
      </c>
      <c r="E134" s="1126" t="str">
        <f>IFERROR(VLOOKUP($D134,dropdowns!$I$3:$Q$30,7,0), " ")</f>
        <v xml:space="preserve"> </v>
      </c>
      <c r="F134" s="1126" t="str">
        <f>IFERROR(INDEX('Schedule C'!$A$20:$BA$83,MATCH('DVO (F1 - F2)'!$R134,'Schedule C'!$A$20:$A$83,0),2)," ")</f>
        <v xml:space="preserve"> </v>
      </c>
      <c r="G134" s="1127" t="str">
        <f>IFERROR(INDEX('Schedule C'!$A$20:$BA$83,MATCH('DVO (F1 - F2)'!$R134,'Schedule C'!$A$20:$A$83,0),38)," ")</f>
        <v xml:space="preserve"> </v>
      </c>
      <c r="H134" s="1127" t="str">
        <f>IFERROR(INDEX('Schedule C'!$A$20:$BA$83,MATCH('DVO (F1 - F2)'!$R134,'Schedule C'!$A$20:$A$83,0),39)," ")</f>
        <v xml:space="preserve"> </v>
      </c>
      <c r="I134" s="1127" t="str">
        <f>IFERROR(INDEX('Schedule C'!$A$20:$BA$83,MATCH('DVO (F1 - F2)'!$R134,'Schedule C'!$A$20:$A$83,0),41)," ")</f>
        <v xml:space="preserve"> </v>
      </c>
      <c r="J134" s="1127" t="str">
        <f>IFERROR(INDEX('Schedule C'!$A$20:$BA$83,MATCH('DVO (F1 - F2)'!$R134,'Schedule C'!$A$20:$A$83,0),50)," ")</f>
        <v xml:space="preserve"> </v>
      </c>
      <c r="K134" s="1452" t="str">
        <f>IFERROR(INDEX('Schedule C'!$A$20:$BA$83,MATCH('DVO (F1 - F2)'!$R134,'Schedule C'!$A$20:$A$83,0),33)," ")</f>
        <v xml:space="preserve"> </v>
      </c>
      <c r="L134" s="1453" t="str">
        <f>IFERROR(INDEX('Schedule C'!$A$20:$BA$83,MATCH('DVO (F1 - F2)'!$R134,'Schedule C'!$A$20:$A$83,0),52)," ")</f>
        <v xml:space="preserve"> </v>
      </c>
      <c r="M134" s="1454" t="str">
        <f>IFERROR(INDEX('Schedule C'!$A$20:$BA$83,MATCH('DVO (F1 - F2)'!$R134,'Schedule C'!$A$20:$A$83,0),50)-INDEX('Schedule C'!$A$20:$BA$83,MATCH('DVO (F1 - F2)'!$R134,'Schedule C'!$A$20:$A$83,0),39)," ")</f>
        <v xml:space="preserve"> </v>
      </c>
      <c r="N134" s="1129" t="str">
        <f t="shared" si="5"/>
        <v xml:space="preserve"> </v>
      </c>
      <c r="O134" s="1129" t="str">
        <f t="shared" si="6"/>
        <v xml:space="preserve"> </v>
      </c>
      <c r="P134" s="1130" t="str">
        <f t="shared" si="7"/>
        <v xml:space="preserve"> </v>
      </c>
      <c r="Q134" s="1131" t="str">
        <f t="shared" si="8"/>
        <v xml:space="preserve"> </v>
      </c>
      <c r="R134" s="1118">
        <f>IF('Schedule C'!AX393&gt;='DVO (F1 - F2)'!J$3,IF('Schedule C'!AX393&lt;='DVO (F1 - F2)'!K$3,IF('Schedule C'!BA393="APPROVED",'Schedule C'!A393,0),0),0)</f>
        <v>0</v>
      </c>
    </row>
    <row r="135" spans="1:18" ht="15">
      <c r="A135" s="1125">
        <f t="shared" si="9"/>
        <v>128</v>
      </c>
      <c r="B135" s="1126">
        <v>1</v>
      </c>
      <c r="C135" s="1126" t="str">
        <f>IFERROR(VLOOKUP($D135,dropdowns!$I$3:$Q$30,6,0), " ")</f>
        <v xml:space="preserve"> </v>
      </c>
      <c r="D135" s="1126" t="str">
        <f>IFERROR(INDEX('Schedule C'!$A$20:$BA$83,MATCH('DVO (F1 - F2)'!$R318,'Schedule C'!$A$20:$A$83,0),13)," ")</f>
        <v xml:space="preserve"> </v>
      </c>
      <c r="E135" s="1126" t="str">
        <f>IFERROR(VLOOKUP($D135,dropdowns!$I$3:$Q$30,7,0), " ")</f>
        <v xml:space="preserve"> </v>
      </c>
      <c r="F135" s="1126" t="str">
        <f>IFERROR(INDEX('Schedule C'!$A$20:$BA$83,MATCH('DVO (F1 - F2)'!$R135,'Schedule C'!$A$20:$A$83,0),2)," ")</f>
        <v xml:space="preserve"> </v>
      </c>
      <c r="G135" s="1127" t="str">
        <f>IFERROR(INDEX('Schedule C'!$A$20:$BA$83,MATCH('DVO (F1 - F2)'!$R135,'Schedule C'!$A$20:$A$83,0),38)," ")</f>
        <v xml:space="preserve"> </v>
      </c>
      <c r="H135" s="1127" t="str">
        <f>IFERROR(INDEX('Schedule C'!$A$20:$BA$83,MATCH('DVO (F1 - F2)'!$R135,'Schedule C'!$A$20:$A$83,0),39)," ")</f>
        <v xml:space="preserve"> </v>
      </c>
      <c r="I135" s="1127" t="str">
        <f>IFERROR(INDEX('Schedule C'!$A$20:$BA$83,MATCH('DVO (F1 - F2)'!$R135,'Schedule C'!$A$20:$A$83,0),41)," ")</f>
        <v xml:space="preserve"> </v>
      </c>
      <c r="J135" s="1127" t="str">
        <f>IFERROR(INDEX('Schedule C'!$A$20:$BA$83,MATCH('DVO (F1 - F2)'!$R135,'Schedule C'!$A$20:$A$83,0),50)," ")</f>
        <v xml:space="preserve"> </v>
      </c>
      <c r="K135" s="1452" t="str">
        <f>IFERROR(INDEX('Schedule C'!$A$20:$BA$83,MATCH('DVO (F1 - F2)'!$R135,'Schedule C'!$A$20:$A$83,0),33)," ")</f>
        <v xml:space="preserve"> </v>
      </c>
      <c r="L135" s="1453" t="str">
        <f>IFERROR(INDEX('Schedule C'!$A$20:$BA$83,MATCH('DVO (F1 - F2)'!$R135,'Schedule C'!$A$20:$A$83,0),52)," ")</f>
        <v xml:space="preserve"> </v>
      </c>
      <c r="M135" s="1454" t="str">
        <f>IFERROR(INDEX('Schedule C'!$A$20:$BA$83,MATCH('DVO (F1 - F2)'!$R135,'Schedule C'!$A$20:$A$83,0),50)-INDEX('Schedule C'!$A$20:$BA$83,MATCH('DVO (F1 - F2)'!$R135,'Schedule C'!$A$20:$A$83,0),39)," ")</f>
        <v xml:space="preserve"> </v>
      </c>
      <c r="N135" s="1129" t="str">
        <f t="shared" si="5"/>
        <v xml:space="preserve"> </v>
      </c>
      <c r="O135" s="1129" t="str">
        <f t="shared" si="6"/>
        <v xml:space="preserve"> </v>
      </c>
      <c r="P135" s="1130" t="str">
        <f t="shared" si="7"/>
        <v xml:space="preserve"> </v>
      </c>
      <c r="Q135" s="1131" t="str">
        <f t="shared" si="8"/>
        <v xml:space="preserve"> </v>
      </c>
      <c r="R135" s="1118">
        <f>IF('Schedule C'!AX394&gt;='DVO (F1 - F2)'!J$3,IF('Schedule C'!AX394&lt;='DVO (F1 - F2)'!K$3,IF('Schedule C'!BA394="APPROVED",'Schedule C'!A394,0),0),0)</f>
        <v>0</v>
      </c>
    </row>
    <row r="136" spans="1:18" ht="15">
      <c r="A136" s="1125">
        <f t="shared" si="9"/>
        <v>129</v>
      </c>
      <c r="B136" s="1126">
        <v>1</v>
      </c>
      <c r="C136" s="1126" t="str">
        <f>IFERROR(VLOOKUP($D136,dropdowns!$I$3:$Q$30,6,0), " ")</f>
        <v xml:space="preserve"> </v>
      </c>
      <c r="D136" s="1126" t="str">
        <f>IFERROR(INDEX('Schedule C'!$A$20:$BA$83,MATCH('DVO (F1 - F2)'!$R319,'Schedule C'!$A$20:$A$83,0),13)," ")</f>
        <v xml:space="preserve"> </v>
      </c>
      <c r="E136" s="1126" t="str">
        <f>IFERROR(VLOOKUP($D136,dropdowns!$I$3:$Q$30,7,0), " ")</f>
        <v xml:space="preserve"> </v>
      </c>
      <c r="F136" s="1126" t="str">
        <f>IFERROR(INDEX('Schedule C'!$A$20:$BA$83,MATCH('DVO (F1 - F2)'!$R136,'Schedule C'!$A$20:$A$83,0),2)," ")</f>
        <v xml:space="preserve"> </v>
      </c>
      <c r="G136" s="1127" t="str">
        <f>IFERROR(INDEX('Schedule C'!$A$20:$BA$83,MATCH('DVO (F1 - F2)'!$R136,'Schedule C'!$A$20:$A$83,0),38)," ")</f>
        <v xml:space="preserve"> </v>
      </c>
      <c r="H136" s="1127" t="str">
        <f>IFERROR(INDEX('Schedule C'!$A$20:$BA$83,MATCH('DVO (F1 - F2)'!$R136,'Schedule C'!$A$20:$A$83,0),39)," ")</f>
        <v xml:space="preserve"> </v>
      </c>
      <c r="I136" s="1127" t="str">
        <f>IFERROR(INDEX('Schedule C'!$A$20:$BA$83,MATCH('DVO (F1 - F2)'!$R136,'Schedule C'!$A$20:$A$83,0),41)," ")</f>
        <v xml:space="preserve"> </v>
      </c>
      <c r="J136" s="1127" t="str">
        <f>IFERROR(INDEX('Schedule C'!$A$20:$BA$83,MATCH('DVO (F1 - F2)'!$R136,'Schedule C'!$A$20:$A$83,0),50)," ")</f>
        <v xml:space="preserve"> </v>
      </c>
      <c r="K136" s="1452" t="str">
        <f>IFERROR(INDEX('Schedule C'!$A$20:$BA$83,MATCH('DVO (F1 - F2)'!$R136,'Schedule C'!$A$20:$A$83,0),33)," ")</f>
        <v xml:space="preserve"> </v>
      </c>
      <c r="L136" s="1453" t="str">
        <f>IFERROR(INDEX('Schedule C'!$A$20:$BA$83,MATCH('DVO (F1 - F2)'!$R136,'Schedule C'!$A$20:$A$83,0),52)," ")</f>
        <v xml:space="preserve"> </v>
      </c>
      <c r="M136" s="1454" t="str">
        <f>IFERROR(INDEX('Schedule C'!$A$20:$BA$83,MATCH('DVO (F1 - F2)'!$R136,'Schedule C'!$A$20:$A$83,0),50)-INDEX('Schedule C'!$A$20:$BA$83,MATCH('DVO (F1 - F2)'!$R136,'Schedule C'!$A$20:$A$83,0),39)," ")</f>
        <v xml:space="preserve"> </v>
      </c>
      <c r="N136" s="1129" t="str">
        <f t="shared" si="5"/>
        <v xml:space="preserve"> </v>
      </c>
      <c r="O136" s="1129" t="str">
        <f t="shared" si="6"/>
        <v xml:space="preserve"> </v>
      </c>
      <c r="P136" s="1130" t="str">
        <f t="shared" si="7"/>
        <v xml:space="preserve"> </v>
      </c>
      <c r="Q136" s="1131" t="str">
        <f t="shared" si="8"/>
        <v xml:space="preserve"> </v>
      </c>
      <c r="R136" s="1118">
        <f>IF('Schedule C'!AX395&gt;='DVO (F1 - F2)'!J$3,IF('Schedule C'!AX395&lt;='DVO (F1 - F2)'!K$3,IF('Schedule C'!BA395="APPROVED",'Schedule C'!A395,0),0),0)</f>
        <v>0</v>
      </c>
    </row>
    <row r="137" spans="1:18" ht="15">
      <c r="A137" s="1125">
        <f t="shared" si="9"/>
        <v>130</v>
      </c>
      <c r="B137" s="1126">
        <v>1</v>
      </c>
      <c r="C137" s="1126" t="str">
        <f>IFERROR(VLOOKUP($D137,dropdowns!$I$3:$Q$30,6,0), " ")</f>
        <v xml:space="preserve"> </v>
      </c>
      <c r="D137" s="1126" t="str">
        <f>IFERROR(INDEX('Schedule C'!$A$20:$BA$83,MATCH('DVO (F1 - F2)'!$R320,'Schedule C'!$A$20:$A$83,0),13)," ")</f>
        <v xml:space="preserve"> </v>
      </c>
      <c r="E137" s="1126" t="str">
        <f>IFERROR(VLOOKUP($D137,dropdowns!$I$3:$Q$30,7,0), " ")</f>
        <v xml:space="preserve"> </v>
      </c>
      <c r="F137" s="1126" t="str">
        <f>IFERROR(INDEX('Schedule C'!$A$20:$BA$83,MATCH('DVO (F1 - F2)'!$R137,'Schedule C'!$A$20:$A$83,0),2)," ")</f>
        <v xml:space="preserve"> </v>
      </c>
      <c r="G137" s="1127" t="str">
        <f>IFERROR(INDEX('Schedule C'!$A$20:$BA$83,MATCH('DVO (F1 - F2)'!$R137,'Schedule C'!$A$20:$A$83,0),38)," ")</f>
        <v xml:space="preserve"> </v>
      </c>
      <c r="H137" s="1127" t="str">
        <f>IFERROR(INDEX('Schedule C'!$A$20:$BA$83,MATCH('DVO (F1 - F2)'!$R137,'Schedule C'!$A$20:$A$83,0),39)," ")</f>
        <v xml:space="preserve"> </v>
      </c>
      <c r="I137" s="1127" t="str">
        <f>IFERROR(INDEX('Schedule C'!$A$20:$BA$83,MATCH('DVO (F1 - F2)'!$R137,'Schedule C'!$A$20:$A$83,0),41)," ")</f>
        <v xml:space="preserve"> </v>
      </c>
      <c r="J137" s="1127" t="str">
        <f>IFERROR(INDEX('Schedule C'!$A$20:$BA$83,MATCH('DVO (F1 - F2)'!$R137,'Schedule C'!$A$20:$A$83,0),50)," ")</f>
        <v xml:space="preserve"> </v>
      </c>
      <c r="K137" s="1452" t="str">
        <f>IFERROR(INDEX('Schedule C'!$A$20:$BA$83,MATCH('DVO (F1 - F2)'!$R137,'Schedule C'!$A$20:$A$83,0),33)," ")</f>
        <v xml:space="preserve"> </v>
      </c>
      <c r="L137" s="1453" t="str">
        <f>IFERROR(INDEX('Schedule C'!$A$20:$BA$83,MATCH('DVO (F1 - F2)'!$R137,'Schedule C'!$A$20:$A$83,0),52)," ")</f>
        <v xml:space="preserve"> </v>
      </c>
      <c r="M137" s="1454" t="str">
        <f>IFERROR(INDEX('Schedule C'!$A$20:$BA$83,MATCH('DVO (F1 - F2)'!$R137,'Schedule C'!$A$20:$A$83,0),50)-INDEX('Schedule C'!$A$20:$BA$83,MATCH('DVO (F1 - F2)'!$R137,'Schedule C'!$A$20:$A$83,0),39)," ")</f>
        <v xml:space="preserve"> </v>
      </c>
      <c r="N137" s="1129" t="str">
        <f t="shared" ref="N137:N200" si="10">IF($R137=0," ","NA")</f>
        <v xml:space="preserve"> </v>
      </c>
      <c r="O137" s="1129" t="str">
        <f t="shared" ref="O137:O200" si="11">IF($R137=0," ","CLOSED")</f>
        <v xml:space="preserve"> </v>
      </c>
      <c r="P137" s="1130" t="str">
        <f t="shared" ref="P137:P200" si="12">IF($R137=0," ",H137+90)</f>
        <v xml:space="preserve"> </v>
      </c>
      <c r="Q137" s="1131" t="str">
        <f t="shared" ref="Q137:Q200" si="13">IF(R137=0," ",(H137+90)-$K$3)</f>
        <v xml:space="preserve"> </v>
      </c>
      <c r="R137" s="1118">
        <f>IF('Schedule C'!AX396&gt;='DVO (F1 - F2)'!J$3,IF('Schedule C'!AX396&lt;='DVO (F1 - F2)'!K$3,IF('Schedule C'!BA396="APPROVED",'Schedule C'!A396,0),0),0)</f>
        <v>0</v>
      </c>
    </row>
    <row r="138" spans="1:18" ht="15">
      <c r="A138" s="1125">
        <f t="shared" si="9"/>
        <v>131</v>
      </c>
      <c r="B138" s="1126">
        <v>1</v>
      </c>
      <c r="C138" s="1126" t="str">
        <f>IFERROR(VLOOKUP($D138,dropdowns!$I$3:$Q$30,6,0), " ")</f>
        <v xml:space="preserve"> </v>
      </c>
      <c r="D138" s="1126" t="str">
        <f>IFERROR(INDEX('Schedule C'!$A$20:$BA$83,MATCH('DVO (F1 - F2)'!$R321,'Schedule C'!$A$20:$A$83,0),13)," ")</f>
        <v xml:space="preserve"> </v>
      </c>
      <c r="E138" s="1126" t="str">
        <f>IFERROR(VLOOKUP($D138,dropdowns!$I$3:$Q$30,7,0), " ")</f>
        <v xml:space="preserve"> </v>
      </c>
      <c r="F138" s="1126" t="str">
        <f>IFERROR(INDEX('Schedule C'!$A$20:$BA$83,MATCH('DVO (F1 - F2)'!$R138,'Schedule C'!$A$20:$A$83,0),2)," ")</f>
        <v xml:space="preserve"> </v>
      </c>
      <c r="G138" s="1127" t="str">
        <f>IFERROR(INDEX('Schedule C'!$A$20:$BA$83,MATCH('DVO (F1 - F2)'!$R138,'Schedule C'!$A$20:$A$83,0),38)," ")</f>
        <v xml:space="preserve"> </v>
      </c>
      <c r="H138" s="1127" t="str">
        <f>IFERROR(INDEX('Schedule C'!$A$20:$BA$83,MATCH('DVO (F1 - F2)'!$R138,'Schedule C'!$A$20:$A$83,0),39)," ")</f>
        <v xml:space="preserve"> </v>
      </c>
      <c r="I138" s="1127" t="str">
        <f>IFERROR(INDEX('Schedule C'!$A$20:$BA$83,MATCH('DVO (F1 - F2)'!$R138,'Schedule C'!$A$20:$A$83,0),41)," ")</f>
        <v xml:space="preserve"> </v>
      </c>
      <c r="J138" s="1127" t="str">
        <f>IFERROR(INDEX('Schedule C'!$A$20:$BA$83,MATCH('DVO (F1 - F2)'!$R138,'Schedule C'!$A$20:$A$83,0),50)," ")</f>
        <v xml:space="preserve"> </v>
      </c>
      <c r="K138" s="1452" t="str">
        <f>IFERROR(INDEX('Schedule C'!$A$20:$BA$83,MATCH('DVO (F1 - F2)'!$R138,'Schedule C'!$A$20:$A$83,0),33)," ")</f>
        <v xml:space="preserve"> </v>
      </c>
      <c r="L138" s="1453" t="str">
        <f>IFERROR(INDEX('Schedule C'!$A$20:$BA$83,MATCH('DVO (F1 - F2)'!$R138,'Schedule C'!$A$20:$A$83,0),52)," ")</f>
        <v xml:space="preserve"> </v>
      </c>
      <c r="M138" s="1454" t="str">
        <f>IFERROR(INDEX('Schedule C'!$A$20:$BA$83,MATCH('DVO (F1 - F2)'!$R138,'Schedule C'!$A$20:$A$83,0),50)-INDEX('Schedule C'!$A$20:$BA$83,MATCH('DVO (F1 - F2)'!$R138,'Schedule C'!$A$20:$A$83,0),39)," ")</f>
        <v xml:space="preserve"> </v>
      </c>
      <c r="N138" s="1129" t="str">
        <f t="shared" si="10"/>
        <v xml:space="preserve"> </v>
      </c>
      <c r="O138" s="1129" t="str">
        <f t="shared" si="11"/>
        <v xml:space="preserve"> </v>
      </c>
      <c r="P138" s="1130" t="str">
        <f t="shared" si="12"/>
        <v xml:space="preserve"> </v>
      </c>
      <c r="Q138" s="1131" t="str">
        <f t="shared" si="13"/>
        <v xml:space="preserve"> </v>
      </c>
      <c r="R138" s="1118">
        <f>IF('Schedule C'!AX397&gt;='DVO (F1 - F2)'!J$3,IF('Schedule C'!AX397&lt;='DVO (F1 - F2)'!K$3,IF('Schedule C'!BA397="APPROVED",'Schedule C'!A397,0),0),0)</f>
        <v>0</v>
      </c>
    </row>
    <row r="139" spans="1:18" ht="15">
      <c r="A139" s="1125">
        <f t="shared" si="9"/>
        <v>132</v>
      </c>
      <c r="B139" s="1126">
        <v>1</v>
      </c>
      <c r="C139" s="1126" t="str">
        <f>IFERROR(VLOOKUP($D139,dropdowns!$I$3:$Q$30,6,0), " ")</f>
        <v xml:space="preserve"> </v>
      </c>
      <c r="D139" s="1126" t="str">
        <f>IFERROR(INDEX('Schedule C'!$A$20:$BA$83,MATCH('DVO (F1 - F2)'!$R322,'Schedule C'!$A$20:$A$83,0),13)," ")</f>
        <v xml:space="preserve"> </v>
      </c>
      <c r="E139" s="1126" t="str">
        <f>IFERROR(VLOOKUP($D139,dropdowns!$I$3:$Q$30,7,0), " ")</f>
        <v xml:space="preserve"> </v>
      </c>
      <c r="F139" s="1126" t="str">
        <f>IFERROR(INDEX('Schedule C'!$A$20:$BA$83,MATCH('DVO (F1 - F2)'!$R139,'Schedule C'!$A$20:$A$83,0),2)," ")</f>
        <v xml:space="preserve"> </v>
      </c>
      <c r="G139" s="1127" t="str">
        <f>IFERROR(INDEX('Schedule C'!$A$20:$BA$83,MATCH('DVO (F1 - F2)'!$R139,'Schedule C'!$A$20:$A$83,0),38)," ")</f>
        <v xml:space="preserve"> </v>
      </c>
      <c r="H139" s="1127" t="str">
        <f>IFERROR(INDEX('Schedule C'!$A$20:$BA$83,MATCH('DVO (F1 - F2)'!$R139,'Schedule C'!$A$20:$A$83,0),39)," ")</f>
        <v xml:space="preserve"> </v>
      </c>
      <c r="I139" s="1127" t="str">
        <f>IFERROR(INDEX('Schedule C'!$A$20:$BA$83,MATCH('DVO (F1 - F2)'!$R139,'Schedule C'!$A$20:$A$83,0),41)," ")</f>
        <v xml:space="preserve"> </v>
      </c>
      <c r="J139" s="1127" t="str">
        <f>IFERROR(INDEX('Schedule C'!$A$20:$BA$83,MATCH('DVO (F1 - F2)'!$R139,'Schedule C'!$A$20:$A$83,0),50)," ")</f>
        <v xml:space="preserve"> </v>
      </c>
      <c r="K139" s="1452" t="str">
        <f>IFERROR(INDEX('Schedule C'!$A$20:$BA$83,MATCH('DVO (F1 - F2)'!$R139,'Schedule C'!$A$20:$A$83,0),33)," ")</f>
        <v xml:space="preserve"> </v>
      </c>
      <c r="L139" s="1453" t="str">
        <f>IFERROR(INDEX('Schedule C'!$A$20:$BA$83,MATCH('DVO (F1 - F2)'!$R139,'Schedule C'!$A$20:$A$83,0),52)," ")</f>
        <v xml:space="preserve"> </v>
      </c>
      <c r="M139" s="1454" t="str">
        <f>IFERROR(INDEX('Schedule C'!$A$20:$BA$83,MATCH('DVO (F1 - F2)'!$R139,'Schedule C'!$A$20:$A$83,0),50)-INDEX('Schedule C'!$A$20:$BA$83,MATCH('DVO (F1 - F2)'!$R139,'Schedule C'!$A$20:$A$83,0),39)," ")</f>
        <v xml:space="preserve"> </v>
      </c>
      <c r="N139" s="1129" t="str">
        <f t="shared" si="10"/>
        <v xml:space="preserve"> </v>
      </c>
      <c r="O139" s="1129" t="str">
        <f t="shared" si="11"/>
        <v xml:space="preserve"> </v>
      </c>
      <c r="P139" s="1130" t="str">
        <f t="shared" si="12"/>
        <v xml:space="preserve"> </v>
      </c>
      <c r="Q139" s="1131" t="str">
        <f t="shared" si="13"/>
        <v xml:space="preserve"> </v>
      </c>
      <c r="R139" s="1118">
        <f>IF('Schedule C'!AX398&gt;='DVO (F1 - F2)'!J$3,IF('Schedule C'!AX398&lt;='DVO (F1 - F2)'!K$3,IF('Schedule C'!BA398="APPROVED",'Schedule C'!A398,0),0),0)</f>
        <v>0</v>
      </c>
    </row>
    <row r="140" spans="1:18" ht="15">
      <c r="A140" s="1125">
        <f t="shared" si="9"/>
        <v>133</v>
      </c>
      <c r="B140" s="1126">
        <v>1</v>
      </c>
      <c r="C140" s="1126" t="str">
        <f>IFERROR(VLOOKUP($D140,dropdowns!$I$3:$Q$30,6,0), " ")</f>
        <v xml:space="preserve"> </v>
      </c>
      <c r="D140" s="1126" t="str">
        <f>IFERROR(INDEX('Schedule C'!$A$20:$BA$83,MATCH('DVO (F1 - F2)'!$R323,'Schedule C'!$A$20:$A$83,0),13)," ")</f>
        <v xml:space="preserve"> </v>
      </c>
      <c r="E140" s="1126" t="str">
        <f>IFERROR(VLOOKUP($D140,dropdowns!$I$3:$Q$30,7,0), " ")</f>
        <v xml:space="preserve"> </v>
      </c>
      <c r="F140" s="1126" t="str">
        <f>IFERROR(INDEX('Schedule C'!$A$20:$BA$83,MATCH('DVO (F1 - F2)'!$R140,'Schedule C'!$A$20:$A$83,0),2)," ")</f>
        <v xml:space="preserve"> </v>
      </c>
      <c r="G140" s="1127" t="str">
        <f>IFERROR(INDEX('Schedule C'!$A$20:$BA$83,MATCH('DVO (F1 - F2)'!$R140,'Schedule C'!$A$20:$A$83,0),38)," ")</f>
        <v xml:space="preserve"> </v>
      </c>
      <c r="H140" s="1127" t="str">
        <f>IFERROR(INDEX('Schedule C'!$A$20:$BA$83,MATCH('DVO (F1 - F2)'!$R140,'Schedule C'!$A$20:$A$83,0),39)," ")</f>
        <v xml:space="preserve"> </v>
      </c>
      <c r="I140" s="1127" t="str">
        <f>IFERROR(INDEX('Schedule C'!$A$20:$BA$83,MATCH('DVO (F1 - F2)'!$R140,'Schedule C'!$A$20:$A$83,0),41)," ")</f>
        <v xml:space="preserve"> </v>
      </c>
      <c r="J140" s="1127" t="str">
        <f>IFERROR(INDEX('Schedule C'!$A$20:$BA$83,MATCH('DVO (F1 - F2)'!$R140,'Schedule C'!$A$20:$A$83,0),50)," ")</f>
        <v xml:space="preserve"> </v>
      </c>
      <c r="K140" s="1452" t="str">
        <f>IFERROR(INDEX('Schedule C'!$A$20:$BA$83,MATCH('DVO (F1 - F2)'!$R140,'Schedule C'!$A$20:$A$83,0),33)," ")</f>
        <v xml:space="preserve"> </v>
      </c>
      <c r="L140" s="1453" t="str">
        <f>IFERROR(INDEX('Schedule C'!$A$20:$BA$83,MATCH('DVO (F1 - F2)'!$R140,'Schedule C'!$A$20:$A$83,0),52)," ")</f>
        <v xml:space="preserve"> </v>
      </c>
      <c r="M140" s="1454" t="str">
        <f>IFERROR(INDEX('Schedule C'!$A$20:$BA$83,MATCH('DVO (F1 - F2)'!$R140,'Schedule C'!$A$20:$A$83,0),50)-INDEX('Schedule C'!$A$20:$BA$83,MATCH('DVO (F1 - F2)'!$R140,'Schedule C'!$A$20:$A$83,0),39)," ")</f>
        <v xml:space="preserve"> </v>
      </c>
      <c r="N140" s="1129" t="str">
        <f t="shared" si="10"/>
        <v xml:space="preserve"> </v>
      </c>
      <c r="O140" s="1129" t="str">
        <f t="shared" si="11"/>
        <v xml:space="preserve"> </v>
      </c>
      <c r="P140" s="1130" t="str">
        <f t="shared" si="12"/>
        <v xml:space="preserve"> </v>
      </c>
      <c r="Q140" s="1131" t="str">
        <f t="shared" si="13"/>
        <v xml:space="preserve"> </v>
      </c>
      <c r="R140" s="1118">
        <f>IF('Schedule C'!AX399&gt;='DVO (F1 - F2)'!J$3,IF('Schedule C'!AX399&lt;='DVO (F1 - F2)'!K$3,IF('Schedule C'!BA399="APPROVED",'Schedule C'!A399,0),0),0)</f>
        <v>0</v>
      </c>
    </row>
    <row r="141" spans="1:18" ht="15">
      <c r="A141" s="1125">
        <f t="shared" si="9"/>
        <v>134</v>
      </c>
      <c r="B141" s="1126">
        <v>1</v>
      </c>
      <c r="C141" s="1126" t="str">
        <f>IFERROR(VLOOKUP($D141,dropdowns!$I$3:$Q$30,6,0), " ")</f>
        <v xml:space="preserve"> </v>
      </c>
      <c r="D141" s="1126" t="str">
        <f>IFERROR(INDEX('Schedule C'!$A$20:$BA$83,MATCH('DVO (F1 - F2)'!$R324,'Schedule C'!$A$20:$A$83,0),13)," ")</f>
        <v xml:space="preserve"> </v>
      </c>
      <c r="E141" s="1126" t="str">
        <f>IFERROR(VLOOKUP($D141,dropdowns!$I$3:$Q$30,7,0), " ")</f>
        <v xml:space="preserve"> </v>
      </c>
      <c r="F141" s="1126" t="str">
        <f>IFERROR(INDEX('Schedule C'!$A$20:$BA$83,MATCH('DVO (F1 - F2)'!$R141,'Schedule C'!$A$20:$A$83,0),2)," ")</f>
        <v xml:space="preserve"> </v>
      </c>
      <c r="G141" s="1127" t="str">
        <f>IFERROR(INDEX('Schedule C'!$A$20:$BA$83,MATCH('DVO (F1 - F2)'!$R141,'Schedule C'!$A$20:$A$83,0),38)," ")</f>
        <v xml:space="preserve"> </v>
      </c>
      <c r="H141" s="1127" t="str">
        <f>IFERROR(INDEX('Schedule C'!$A$20:$BA$83,MATCH('DVO (F1 - F2)'!$R141,'Schedule C'!$A$20:$A$83,0),39)," ")</f>
        <v xml:space="preserve"> </v>
      </c>
      <c r="I141" s="1127" t="str">
        <f>IFERROR(INDEX('Schedule C'!$A$20:$BA$83,MATCH('DVO (F1 - F2)'!$R141,'Schedule C'!$A$20:$A$83,0),41)," ")</f>
        <v xml:space="preserve"> </v>
      </c>
      <c r="J141" s="1127" t="str">
        <f>IFERROR(INDEX('Schedule C'!$A$20:$BA$83,MATCH('DVO (F1 - F2)'!$R141,'Schedule C'!$A$20:$A$83,0),50)," ")</f>
        <v xml:space="preserve"> </v>
      </c>
      <c r="K141" s="1452" t="str">
        <f>IFERROR(INDEX('Schedule C'!$A$20:$BA$83,MATCH('DVO (F1 - F2)'!$R141,'Schedule C'!$A$20:$A$83,0),33)," ")</f>
        <v xml:space="preserve"> </v>
      </c>
      <c r="L141" s="1453" t="str">
        <f>IFERROR(INDEX('Schedule C'!$A$20:$BA$83,MATCH('DVO (F1 - F2)'!$R141,'Schedule C'!$A$20:$A$83,0),52)," ")</f>
        <v xml:space="preserve"> </v>
      </c>
      <c r="M141" s="1454" t="str">
        <f>IFERROR(INDEX('Schedule C'!$A$20:$BA$83,MATCH('DVO (F1 - F2)'!$R141,'Schedule C'!$A$20:$A$83,0),50)-INDEX('Schedule C'!$A$20:$BA$83,MATCH('DVO (F1 - F2)'!$R141,'Schedule C'!$A$20:$A$83,0),39)," ")</f>
        <v xml:space="preserve"> </v>
      </c>
      <c r="N141" s="1129" t="str">
        <f t="shared" si="10"/>
        <v xml:space="preserve"> </v>
      </c>
      <c r="O141" s="1129" t="str">
        <f t="shared" si="11"/>
        <v xml:space="preserve"> </v>
      </c>
      <c r="P141" s="1130" t="str">
        <f t="shared" si="12"/>
        <v xml:space="preserve"> </v>
      </c>
      <c r="Q141" s="1131" t="str">
        <f t="shared" si="13"/>
        <v xml:space="preserve"> </v>
      </c>
      <c r="R141" s="1118">
        <f>IF('Schedule C'!AX400&gt;='DVO (F1 - F2)'!J$3,IF('Schedule C'!AX400&lt;='DVO (F1 - F2)'!K$3,IF('Schedule C'!BA400="APPROVED",'Schedule C'!A400,0),0),0)</f>
        <v>0</v>
      </c>
    </row>
    <row r="142" spans="1:18" ht="15">
      <c r="A142" s="1125">
        <f t="shared" si="9"/>
        <v>135</v>
      </c>
      <c r="B142" s="1126">
        <v>1</v>
      </c>
      <c r="C142" s="1126" t="str">
        <f>IFERROR(VLOOKUP($D142,dropdowns!$I$3:$Q$30,6,0), " ")</f>
        <v xml:space="preserve"> </v>
      </c>
      <c r="D142" s="1126" t="str">
        <f>IFERROR(INDEX('Schedule C'!$A$20:$BA$83,MATCH('DVO (F1 - F2)'!$R325,'Schedule C'!$A$20:$A$83,0),13)," ")</f>
        <v xml:space="preserve"> </v>
      </c>
      <c r="E142" s="1126" t="str">
        <f>IFERROR(VLOOKUP($D142,dropdowns!$I$3:$Q$30,7,0), " ")</f>
        <v xml:space="preserve"> </v>
      </c>
      <c r="F142" s="1126" t="str">
        <f>IFERROR(INDEX('Schedule C'!$A$20:$BA$83,MATCH('DVO (F1 - F2)'!$R142,'Schedule C'!$A$20:$A$83,0),2)," ")</f>
        <v xml:space="preserve"> </v>
      </c>
      <c r="G142" s="1127" t="str">
        <f>IFERROR(INDEX('Schedule C'!$A$20:$BA$83,MATCH('DVO (F1 - F2)'!$R142,'Schedule C'!$A$20:$A$83,0),38)," ")</f>
        <v xml:space="preserve"> </v>
      </c>
      <c r="H142" s="1127" t="str">
        <f>IFERROR(INDEX('Schedule C'!$A$20:$BA$83,MATCH('DVO (F1 - F2)'!$R142,'Schedule C'!$A$20:$A$83,0),39)," ")</f>
        <v xml:space="preserve"> </v>
      </c>
      <c r="I142" s="1127" t="str">
        <f>IFERROR(INDEX('Schedule C'!$A$20:$BA$83,MATCH('DVO (F1 - F2)'!$R142,'Schedule C'!$A$20:$A$83,0),41)," ")</f>
        <v xml:space="preserve"> </v>
      </c>
      <c r="J142" s="1127" t="str">
        <f>IFERROR(INDEX('Schedule C'!$A$20:$BA$83,MATCH('DVO (F1 - F2)'!$R142,'Schedule C'!$A$20:$A$83,0),50)," ")</f>
        <v xml:space="preserve"> </v>
      </c>
      <c r="K142" s="1452" t="str">
        <f>IFERROR(INDEX('Schedule C'!$A$20:$BA$83,MATCH('DVO (F1 - F2)'!$R142,'Schedule C'!$A$20:$A$83,0),33)," ")</f>
        <v xml:space="preserve"> </v>
      </c>
      <c r="L142" s="1453" t="str">
        <f>IFERROR(INDEX('Schedule C'!$A$20:$BA$83,MATCH('DVO (F1 - F2)'!$R142,'Schedule C'!$A$20:$A$83,0),52)," ")</f>
        <v xml:space="preserve"> </v>
      </c>
      <c r="M142" s="1454" t="str">
        <f>IFERROR(INDEX('Schedule C'!$A$20:$BA$83,MATCH('DVO (F1 - F2)'!$R142,'Schedule C'!$A$20:$A$83,0),50)-INDEX('Schedule C'!$A$20:$BA$83,MATCH('DVO (F1 - F2)'!$R142,'Schedule C'!$A$20:$A$83,0),39)," ")</f>
        <v xml:space="preserve"> </v>
      </c>
      <c r="N142" s="1129" t="str">
        <f t="shared" si="10"/>
        <v xml:space="preserve"> </v>
      </c>
      <c r="O142" s="1129" t="str">
        <f t="shared" si="11"/>
        <v xml:space="preserve"> </v>
      </c>
      <c r="P142" s="1130" t="str">
        <f t="shared" si="12"/>
        <v xml:space="preserve"> </v>
      </c>
      <c r="Q142" s="1131" t="str">
        <f t="shared" si="13"/>
        <v xml:space="preserve"> </v>
      </c>
      <c r="R142" s="1118">
        <f>IF('Schedule C'!AX401&gt;='DVO (F1 - F2)'!J$3,IF('Schedule C'!AX401&lt;='DVO (F1 - F2)'!K$3,IF('Schedule C'!BA401="APPROVED",'Schedule C'!A401,0),0),0)</f>
        <v>0</v>
      </c>
    </row>
    <row r="143" spans="1:18" ht="15">
      <c r="A143" s="1125">
        <f t="shared" si="9"/>
        <v>136</v>
      </c>
      <c r="B143" s="1126">
        <v>1</v>
      </c>
      <c r="C143" s="1126" t="str">
        <f>IFERROR(VLOOKUP($D143,dropdowns!$I$3:$Q$30,6,0), " ")</f>
        <v xml:space="preserve"> </v>
      </c>
      <c r="D143" s="1126" t="str">
        <f>IFERROR(INDEX('Schedule C'!$A$20:$BA$83,MATCH('DVO (F1 - F2)'!$R326,'Schedule C'!$A$20:$A$83,0),13)," ")</f>
        <v xml:space="preserve"> </v>
      </c>
      <c r="E143" s="1126" t="str">
        <f>IFERROR(VLOOKUP($D143,dropdowns!$I$3:$Q$30,7,0), " ")</f>
        <v xml:space="preserve"> </v>
      </c>
      <c r="F143" s="1126" t="str">
        <f>IFERROR(INDEX('Schedule C'!$A$20:$BA$83,MATCH('DVO (F1 - F2)'!$R143,'Schedule C'!$A$20:$A$83,0),2)," ")</f>
        <v xml:space="preserve"> </v>
      </c>
      <c r="G143" s="1127" t="str">
        <f>IFERROR(INDEX('Schedule C'!$A$20:$BA$83,MATCH('DVO (F1 - F2)'!$R143,'Schedule C'!$A$20:$A$83,0),38)," ")</f>
        <v xml:space="preserve"> </v>
      </c>
      <c r="H143" s="1127" t="str">
        <f>IFERROR(INDEX('Schedule C'!$A$20:$BA$83,MATCH('DVO (F1 - F2)'!$R143,'Schedule C'!$A$20:$A$83,0),39)," ")</f>
        <v xml:space="preserve"> </v>
      </c>
      <c r="I143" s="1127" t="str">
        <f>IFERROR(INDEX('Schedule C'!$A$20:$BA$83,MATCH('DVO (F1 - F2)'!$R143,'Schedule C'!$A$20:$A$83,0),41)," ")</f>
        <v xml:space="preserve"> </v>
      </c>
      <c r="J143" s="1127" t="str">
        <f>IFERROR(INDEX('Schedule C'!$A$20:$BA$83,MATCH('DVO (F1 - F2)'!$R143,'Schedule C'!$A$20:$A$83,0),50)," ")</f>
        <v xml:space="preserve"> </v>
      </c>
      <c r="K143" s="1452" t="str">
        <f>IFERROR(INDEX('Schedule C'!$A$20:$BA$83,MATCH('DVO (F1 - F2)'!$R143,'Schedule C'!$A$20:$A$83,0),33)," ")</f>
        <v xml:space="preserve"> </v>
      </c>
      <c r="L143" s="1453" t="str">
        <f>IFERROR(INDEX('Schedule C'!$A$20:$BA$83,MATCH('DVO (F1 - F2)'!$R143,'Schedule C'!$A$20:$A$83,0),52)," ")</f>
        <v xml:space="preserve"> </v>
      </c>
      <c r="M143" s="1454" t="str">
        <f>IFERROR(INDEX('Schedule C'!$A$20:$BA$83,MATCH('DVO (F1 - F2)'!$R143,'Schedule C'!$A$20:$A$83,0),50)-INDEX('Schedule C'!$A$20:$BA$83,MATCH('DVO (F1 - F2)'!$R143,'Schedule C'!$A$20:$A$83,0),39)," ")</f>
        <v xml:space="preserve"> </v>
      </c>
      <c r="N143" s="1129" t="str">
        <f t="shared" si="10"/>
        <v xml:space="preserve"> </v>
      </c>
      <c r="O143" s="1129" t="str">
        <f t="shared" si="11"/>
        <v xml:space="preserve"> </v>
      </c>
      <c r="P143" s="1130" t="str">
        <f t="shared" si="12"/>
        <v xml:space="preserve"> </v>
      </c>
      <c r="Q143" s="1131" t="str">
        <f t="shared" si="13"/>
        <v xml:space="preserve"> </v>
      </c>
      <c r="R143" s="1118">
        <f>IF('Schedule C'!AX402&gt;='DVO (F1 - F2)'!J$3,IF('Schedule C'!AX402&lt;='DVO (F1 - F2)'!K$3,IF('Schedule C'!BA402="APPROVED",'Schedule C'!A402,0),0),0)</f>
        <v>0</v>
      </c>
    </row>
    <row r="144" spans="1:18" ht="15">
      <c r="A144" s="1125">
        <f t="shared" si="9"/>
        <v>137</v>
      </c>
      <c r="B144" s="1126">
        <v>1</v>
      </c>
      <c r="C144" s="1126" t="str">
        <f>IFERROR(VLOOKUP($D144,dropdowns!$I$3:$Q$30,6,0), " ")</f>
        <v xml:space="preserve"> </v>
      </c>
      <c r="D144" s="1126" t="str">
        <f>IFERROR(INDEX('Schedule C'!$A$20:$BA$83,MATCH('DVO (F1 - F2)'!$R327,'Schedule C'!$A$20:$A$83,0),13)," ")</f>
        <v xml:space="preserve"> </v>
      </c>
      <c r="E144" s="1126" t="str">
        <f>IFERROR(VLOOKUP($D144,dropdowns!$I$3:$Q$30,7,0), " ")</f>
        <v xml:space="preserve"> </v>
      </c>
      <c r="F144" s="1126" t="str">
        <f>IFERROR(INDEX('Schedule C'!$A$20:$BA$83,MATCH('DVO (F1 - F2)'!$R144,'Schedule C'!$A$20:$A$83,0),2)," ")</f>
        <v xml:space="preserve"> </v>
      </c>
      <c r="G144" s="1127" t="str">
        <f>IFERROR(INDEX('Schedule C'!$A$20:$BA$83,MATCH('DVO (F1 - F2)'!$R144,'Schedule C'!$A$20:$A$83,0),38)," ")</f>
        <v xml:space="preserve"> </v>
      </c>
      <c r="H144" s="1127" t="str">
        <f>IFERROR(INDEX('Schedule C'!$A$20:$BA$83,MATCH('DVO (F1 - F2)'!$R144,'Schedule C'!$A$20:$A$83,0),39)," ")</f>
        <v xml:space="preserve"> </v>
      </c>
      <c r="I144" s="1127" t="str">
        <f>IFERROR(INDEX('Schedule C'!$A$20:$BA$83,MATCH('DVO (F1 - F2)'!$R144,'Schedule C'!$A$20:$A$83,0),41)," ")</f>
        <v xml:space="preserve"> </v>
      </c>
      <c r="J144" s="1127" t="str">
        <f>IFERROR(INDEX('Schedule C'!$A$20:$BA$83,MATCH('DVO (F1 - F2)'!$R144,'Schedule C'!$A$20:$A$83,0),50)," ")</f>
        <v xml:space="preserve"> </v>
      </c>
      <c r="K144" s="1452" t="str">
        <f>IFERROR(INDEX('Schedule C'!$A$20:$BA$83,MATCH('DVO (F1 - F2)'!$R144,'Schedule C'!$A$20:$A$83,0),33)," ")</f>
        <v xml:space="preserve"> </v>
      </c>
      <c r="L144" s="1453" t="str">
        <f>IFERROR(INDEX('Schedule C'!$A$20:$BA$83,MATCH('DVO (F1 - F2)'!$R144,'Schedule C'!$A$20:$A$83,0),52)," ")</f>
        <v xml:space="preserve"> </v>
      </c>
      <c r="M144" s="1454" t="str">
        <f>IFERROR(INDEX('Schedule C'!$A$20:$BA$83,MATCH('DVO (F1 - F2)'!$R144,'Schedule C'!$A$20:$A$83,0),50)-INDEX('Schedule C'!$A$20:$BA$83,MATCH('DVO (F1 - F2)'!$R144,'Schedule C'!$A$20:$A$83,0),39)," ")</f>
        <v xml:space="preserve"> </v>
      </c>
      <c r="N144" s="1129" t="str">
        <f t="shared" si="10"/>
        <v xml:space="preserve"> </v>
      </c>
      <c r="O144" s="1129" t="str">
        <f t="shared" si="11"/>
        <v xml:space="preserve"> </v>
      </c>
      <c r="P144" s="1130" t="str">
        <f t="shared" si="12"/>
        <v xml:space="preserve"> </v>
      </c>
      <c r="Q144" s="1131" t="str">
        <f t="shared" si="13"/>
        <v xml:space="preserve"> </v>
      </c>
      <c r="R144" s="1118">
        <f>IF('Schedule C'!AX403&gt;='DVO (F1 - F2)'!J$3,IF('Schedule C'!AX403&lt;='DVO (F1 - F2)'!K$3,IF('Schedule C'!BA403="APPROVED",'Schedule C'!A403,0),0),0)</f>
        <v>0</v>
      </c>
    </row>
    <row r="145" spans="1:18" ht="15">
      <c r="A145" s="1125">
        <f t="shared" si="9"/>
        <v>138</v>
      </c>
      <c r="B145" s="1126">
        <v>1</v>
      </c>
      <c r="C145" s="1126" t="str">
        <f>IFERROR(VLOOKUP($D145,dropdowns!$I$3:$Q$30,6,0), " ")</f>
        <v xml:space="preserve"> </v>
      </c>
      <c r="D145" s="1126" t="str">
        <f>IFERROR(INDEX('Schedule C'!$A$20:$BA$83,MATCH('DVO (F1 - F2)'!$R328,'Schedule C'!$A$20:$A$83,0),13)," ")</f>
        <v xml:space="preserve"> </v>
      </c>
      <c r="E145" s="1126" t="str">
        <f>IFERROR(VLOOKUP($D145,dropdowns!$I$3:$Q$30,7,0), " ")</f>
        <v xml:space="preserve"> </v>
      </c>
      <c r="F145" s="1126" t="str">
        <f>IFERROR(INDEX('Schedule C'!$A$20:$BA$83,MATCH('DVO (F1 - F2)'!$R145,'Schedule C'!$A$20:$A$83,0),2)," ")</f>
        <v xml:space="preserve"> </v>
      </c>
      <c r="G145" s="1127" t="str">
        <f>IFERROR(INDEX('Schedule C'!$A$20:$BA$83,MATCH('DVO (F1 - F2)'!$R145,'Schedule C'!$A$20:$A$83,0),38)," ")</f>
        <v xml:space="preserve"> </v>
      </c>
      <c r="H145" s="1127" t="str">
        <f>IFERROR(INDEX('Schedule C'!$A$20:$BA$83,MATCH('DVO (F1 - F2)'!$R145,'Schedule C'!$A$20:$A$83,0),39)," ")</f>
        <v xml:space="preserve"> </v>
      </c>
      <c r="I145" s="1127" t="str">
        <f>IFERROR(INDEX('Schedule C'!$A$20:$BA$83,MATCH('DVO (F1 - F2)'!$R145,'Schedule C'!$A$20:$A$83,0),41)," ")</f>
        <v xml:space="preserve"> </v>
      </c>
      <c r="J145" s="1127" t="str">
        <f>IFERROR(INDEX('Schedule C'!$A$20:$BA$83,MATCH('DVO (F1 - F2)'!$R145,'Schedule C'!$A$20:$A$83,0),50)," ")</f>
        <v xml:space="preserve"> </v>
      </c>
      <c r="K145" s="1452" t="str">
        <f>IFERROR(INDEX('Schedule C'!$A$20:$BA$83,MATCH('DVO (F1 - F2)'!$R145,'Schedule C'!$A$20:$A$83,0),33)," ")</f>
        <v xml:space="preserve"> </v>
      </c>
      <c r="L145" s="1453" t="str">
        <f>IFERROR(INDEX('Schedule C'!$A$20:$BA$83,MATCH('DVO (F1 - F2)'!$R145,'Schedule C'!$A$20:$A$83,0),52)," ")</f>
        <v xml:space="preserve"> </v>
      </c>
      <c r="M145" s="1454" t="str">
        <f>IFERROR(INDEX('Schedule C'!$A$20:$BA$83,MATCH('DVO (F1 - F2)'!$R145,'Schedule C'!$A$20:$A$83,0),50)-INDEX('Schedule C'!$A$20:$BA$83,MATCH('DVO (F1 - F2)'!$R145,'Schedule C'!$A$20:$A$83,0),39)," ")</f>
        <v xml:space="preserve"> </v>
      </c>
      <c r="N145" s="1129" t="str">
        <f t="shared" si="10"/>
        <v xml:space="preserve"> </v>
      </c>
      <c r="O145" s="1129" t="str">
        <f t="shared" si="11"/>
        <v xml:space="preserve"> </v>
      </c>
      <c r="P145" s="1130" t="str">
        <f t="shared" si="12"/>
        <v xml:space="preserve"> </v>
      </c>
      <c r="Q145" s="1131" t="str">
        <f t="shared" si="13"/>
        <v xml:space="preserve"> </v>
      </c>
      <c r="R145" s="1118">
        <f>IF('Schedule C'!AX404&gt;='DVO (F1 - F2)'!J$3,IF('Schedule C'!AX404&lt;='DVO (F1 - F2)'!K$3,IF('Schedule C'!BA404="APPROVED",'Schedule C'!A404,0),0),0)</f>
        <v>0</v>
      </c>
    </row>
    <row r="146" spans="1:18" ht="15">
      <c r="A146" s="1125">
        <f t="shared" si="9"/>
        <v>139</v>
      </c>
      <c r="B146" s="1126">
        <v>1</v>
      </c>
      <c r="C146" s="1126" t="str">
        <f>IFERROR(VLOOKUP($D146,dropdowns!$I$3:$Q$30,6,0), " ")</f>
        <v xml:space="preserve"> </v>
      </c>
      <c r="D146" s="1126" t="str">
        <f>IFERROR(INDEX('Schedule C'!$A$20:$BA$83,MATCH('DVO (F1 - F2)'!$R329,'Schedule C'!$A$20:$A$83,0),13)," ")</f>
        <v xml:space="preserve"> </v>
      </c>
      <c r="E146" s="1126" t="str">
        <f>IFERROR(VLOOKUP($D146,dropdowns!$I$3:$Q$30,7,0), " ")</f>
        <v xml:space="preserve"> </v>
      </c>
      <c r="F146" s="1126" t="str">
        <f>IFERROR(INDEX('Schedule C'!$A$20:$BA$83,MATCH('DVO (F1 - F2)'!$R146,'Schedule C'!$A$20:$A$83,0),2)," ")</f>
        <v xml:space="preserve"> </v>
      </c>
      <c r="G146" s="1127" t="str">
        <f>IFERROR(INDEX('Schedule C'!$A$20:$BA$83,MATCH('DVO (F1 - F2)'!$R146,'Schedule C'!$A$20:$A$83,0),38)," ")</f>
        <v xml:space="preserve"> </v>
      </c>
      <c r="H146" s="1127" t="str">
        <f>IFERROR(INDEX('Schedule C'!$A$20:$BA$83,MATCH('DVO (F1 - F2)'!$R146,'Schedule C'!$A$20:$A$83,0),39)," ")</f>
        <v xml:space="preserve"> </v>
      </c>
      <c r="I146" s="1127" t="str">
        <f>IFERROR(INDEX('Schedule C'!$A$20:$BA$83,MATCH('DVO (F1 - F2)'!$R146,'Schedule C'!$A$20:$A$83,0),41)," ")</f>
        <v xml:space="preserve"> </v>
      </c>
      <c r="J146" s="1127" t="str">
        <f>IFERROR(INDEX('Schedule C'!$A$20:$BA$83,MATCH('DVO (F1 - F2)'!$R146,'Schedule C'!$A$20:$A$83,0),50)," ")</f>
        <v xml:space="preserve"> </v>
      </c>
      <c r="K146" s="1452" t="str">
        <f>IFERROR(INDEX('Schedule C'!$A$20:$BA$83,MATCH('DVO (F1 - F2)'!$R146,'Schedule C'!$A$20:$A$83,0),33)," ")</f>
        <v xml:space="preserve"> </v>
      </c>
      <c r="L146" s="1453" t="str">
        <f>IFERROR(INDEX('Schedule C'!$A$20:$BA$83,MATCH('DVO (F1 - F2)'!$R146,'Schedule C'!$A$20:$A$83,0),52)," ")</f>
        <v xml:space="preserve"> </v>
      </c>
      <c r="M146" s="1454" t="str">
        <f>IFERROR(INDEX('Schedule C'!$A$20:$BA$83,MATCH('DVO (F1 - F2)'!$R146,'Schedule C'!$A$20:$A$83,0),50)-INDEX('Schedule C'!$A$20:$BA$83,MATCH('DVO (F1 - F2)'!$R146,'Schedule C'!$A$20:$A$83,0),39)," ")</f>
        <v xml:space="preserve"> </v>
      </c>
      <c r="N146" s="1129" t="str">
        <f t="shared" si="10"/>
        <v xml:space="preserve"> </v>
      </c>
      <c r="O146" s="1129" t="str">
        <f t="shared" si="11"/>
        <v xml:space="preserve"> </v>
      </c>
      <c r="P146" s="1130" t="str">
        <f t="shared" si="12"/>
        <v xml:space="preserve"> </v>
      </c>
      <c r="Q146" s="1131" t="str">
        <f t="shared" si="13"/>
        <v xml:space="preserve"> </v>
      </c>
      <c r="R146" s="1118">
        <f>IF('Schedule C'!AX405&gt;='DVO (F1 - F2)'!J$3,IF('Schedule C'!AX405&lt;='DVO (F1 - F2)'!K$3,IF('Schedule C'!BA405="APPROVED",'Schedule C'!A405,0),0),0)</f>
        <v>0</v>
      </c>
    </row>
    <row r="147" spans="1:18" ht="15">
      <c r="A147" s="1125">
        <f t="shared" si="9"/>
        <v>140</v>
      </c>
      <c r="B147" s="1126">
        <v>1</v>
      </c>
      <c r="C147" s="1126" t="str">
        <f>IFERROR(VLOOKUP($D147,dropdowns!$I$3:$Q$30,6,0), " ")</f>
        <v xml:space="preserve"> </v>
      </c>
      <c r="D147" s="1126" t="str">
        <f>IFERROR(INDEX('Schedule C'!$A$20:$BA$83,MATCH('DVO (F1 - F2)'!$R330,'Schedule C'!$A$20:$A$83,0),13)," ")</f>
        <v xml:space="preserve"> </v>
      </c>
      <c r="E147" s="1126" t="str">
        <f>IFERROR(VLOOKUP($D147,dropdowns!$I$3:$Q$30,7,0), " ")</f>
        <v xml:space="preserve"> </v>
      </c>
      <c r="F147" s="1126" t="str">
        <f>IFERROR(INDEX('Schedule C'!$A$20:$BA$83,MATCH('DVO (F1 - F2)'!$R147,'Schedule C'!$A$20:$A$83,0),2)," ")</f>
        <v xml:space="preserve"> </v>
      </c>
      <c r="G147" s="1127" t="str">
        <f>IFERROR(INDEX('Schedule C'!$A$20:$BA$83,MATCH('DVO (F1 - F2)'!$R147,'Schedule C'!$A$20:$A$83,0),38)," ")</f>
        <v xml:space="preserve"> </v>
      </c>
      <c r="H147" s="1127" t="str">
        <f>IFERROR(INDEX('Schedule C'!$A$20:$BA$83,MATCH('DVO (F1 - F2)'!$R147,'Schedule C'!$A$20:$A$83,0),39)," ")</f>
        <v xml:space="preserve"> </v>
      </c>
      <c r="I147" s="1127" t="str">
        <f>IFERROR(INDEX('Schedule C'!$A$20:$BA$83,MATCH('DVO (F1 - F2)'!$R147,'Schedule C'!$A$20:$A$83,0),41)," ")</f>
        <v xml:space="preserve"> </v>
      </c>
      <c r="J147" s="1127" t="str">
        <f>IFERROR(INDEX('Schedule C'!$A$20:$BA$83,MATCH('DVO (F1 - F2)'!$R147,'Schedule C'!$A$20:$A$83,0),50)," ")</f>
        <v xml:space="preserve"> </v>
      </c>
      <c r="K147" s="1452" t="str">
        <f>IFERROR(INDEX('Schedule C'!$A$20:$BA$83,MATCH('DVO (F1 - F2)'!$R147,'Schedule C'!$A$20:$A$83,0),33)," ")</f>
        <v xml:space="preserve"> </v>
      </c>
      <c r="L147" s="1453" t="str">
        <f>IFERROR(INDEX('Schedule C'!$A$20:$BA$83,MATCH('DVO (F1 - F2)'!$R147,'Schedule C'!$A$20:$A$83,0),52)," ")</f>
        <v xml:space="preserve"> </v>
      </c>
      <c r="M147" s="1454" t="str">
        <f>IFERROR(INDEX('Schedule C'!$A$20:$BA$83,MATCH('DVO (F1 - F2)'!$R147,'Schedule C'!$A$20:$A$83,0),50)-INDEX('Schedule C'!$A$20:$BA$83,MATCH('DVO (F1 - F2)'!$R147,'Schedule C'!$A$20:$A$83,0),39)," ")</f>
        <v xml:space="preserve"> </v>
      </c>
      <c r="N147" s="1129" t="str">
        <f t="shared" si="10"/>
        <v xml:space="preserve"> </v>
      </c>
      <c r="O147" s="1129" t="str">
        <f t="shared" si="11"/>
        <v xml:space="preserve"> </v>
      </c>
      <c r="P147" s="1130" t="str">
        <f t="shared" si="12"/>
        <v xml:space="preserve"> </v>
      </c>
      <c r="Q147" s="1131" t="str">
        <f t="shared" si="13"/>
        <v xml:space="preserve"> </v>
      </c>
      <c r="R147" s="1118">
        <f>IF('Schedule C'!AX406&gt;='DVO (F1 - F2)'!J$3,IF('Schedule C'!AX406&lt;='DVO (F1 - F2)'!K$3,IF('Schedule C'!BA406="APPROVED",'Schedule C'!A406,0),0),0)</f>
        <v>0</v>
      </c>
    </row>
    <row r="148" spans="1:18" ht="15">
      <c r="A148" s="1125">
        <f t="shared" si="9"/>
        <v>141</v>
      </c>
      <c r="B148" s="1126">
        <v>1</v>
      </c>
      <c r="C148" s="1126" t="str">
        <f>IFERROR(VLOOKUP($D148,dropdowns!$I$3:$Q$30,6,0), " ")</f>
        <v xml:space="preserve"> </v>
      </c>
      <c r="D148" s="1126" t="str">
        <f>IFERROR(INDEX('Schedule C'!$A$20:$BA$83,MATCH('DVO (F1 - F2)'!$R331,'Schedule C'!$A$20:$A$83,0),13)," ")</f>
        <v xml:space="preserve"> </v>
      </c>
      <c r="E148" s="1126" t="str">
        <f>IFERROR(VLOOKUP($D148,dropdowns!$I$3:$Q$30,7,0), " ")</f>
        <v xml:space="preserve"> </v>
      </c>
      <c r="F148" s="1126" t="str">
        <f>IFERROR(INDEX('Schedule C'!$A$20:$BA$83,MATCH('DVO (F1 - F2)'!$R148,'Schedule C'!$A$20:$A$83,0),2)," ")</f>
        <v xml:space="preserve"> </v>
      </c>
      <c r="G148" s="1127" t="str">
        <f>IFERROR(INDEX('Schedule C'!$A$20:$BA$83,MATCH('DVO (F1 - F2)'!$R148,'Schedule C'!$A$20:$A$83,0),38)," ")</f>
        <v xml:space="preserve"> </v>
      </c>
      <c r="H148" s="1127" t="str">
        <f>IFERROR(INDEX('Schedule C'!$A$20:$BA$83,MATCH('DVO (F1 - F2)'!$R148,'Schedule C'!$A$20:$A$83,0),39)," ")</f>
        <v xml:space="preserve"> </v>
      </c>
      <c r="I148" s="1127" t="str">
        <f>IFERROR(INDEX('Schedule C'!$A$20:$BA$83,MATCH('DVO (F1 - F2)'!$R148,'Schedule C'!$A$20:$A$83,0),41)," ")</f>
        <v xml:space="preserve"> </v>
      </c>
      <c r="J148" s="1127" t="str">
        <f>IFERROR(INDEX('Schedule C'!$A$20:$BA$83,MATCH('DVO (F1 - F2)'!$R148,'Schedule C'!$A$20:$A$83,0),50)," ")</f>
        <v xml:space="preserve"> </v>
      </c>
      <c r="K148" s="1452" t="str">
        <f>IFERROR(INDEX('Schedule C'!$A$20:$BA$83,MATCH('DVO (F1 - F2)'!$R148,'Schedule C'!$A$20:$A$83,0),33)," ")</f>
        <v xml:space="preserve"> </v>
      </c>
      <c r="L148" s="1453" t="str">
        <f>IFERROR(INDEX('Schedule C'!$A$20:$BA$83,MATCH('DVO (F1 - F2)'!$R148,'Schedule C'!$A$20:$A$83,0),52)," ")</f>
        <v xml:space="preserve"> </v>
      </c>
      <c r="M148" s="1454" t="str">
        <f>IFERROR(INDEX('Schedule C'!$A$20:$BA$83,MATCH('DVO (F1 - F2)'!$R148,'Schedule C'!$A$20:$A$83,0),50)-INDEX('Schedule C'!$A$20:$BA$83,MATCH('DVO (F1 - F2)'!$R148,'Schedule C'!$A$20:$A$83,0),39)," ")</f>
        <v xml:space="preserve"> </v>
      </c>
      <c r="N148" s="1129" t="str">
        <f t="shared" si="10"/>
        <v xml:space="preserve"> </v>
      </c>
      <c r="O148" s="1129" t="str">
        <f t="shared" si="11"/>
        <v xml:space="preserve"> </v>
      </c>
      <c r="P148" s="1130" t="str">
        <f t="shared" si="12"/>
        <v xml:space="preserve"> </v>
      </c>
      <c r="Q148" s="1131" t="str">
        <f t="shared" si="13"/>
        <v xml:space="preserve"> </v>
      </c>
      <c r="R148" s="1118">
        <f>IF('Schedule C'!AX407&gt;='DVO (F1 - F2)'!J$3,IF('Schedule C'!AX407&lt;='DVO (F1 - F2)'!K$3,IF('Schedule C'!BA407="APPROVED",'Schedule C'!A407,0),0),0)</f>
        <v>0</v>
      </c>
    </row>
    <row r="149" spans="1:18" ht="15">
      <c r="A149" s="1125">
        <f t="shared" si="9"/>
        <v>142</v>
      </c>
      <c r="B149" s="1126">
        <v>1</v>
      </c>
      <c r="C149" s="1126" t="str">
        <f>IFERROR(VLOOKUP($D149,dropdowns!$I$3:$Q$30,6,0), " ")</f>
        <v xml:space="preserve"> </v>
      </c>
      <c r="D149" s="1126" t="str">
        <f>IFERROR(INDEX('Schedule C'!$A$20:$BA$83,MATCH('DVO (F1 - F2)'!$R332,'Schedule C'!$A$20:$A$83,0),13)," ")</f>
        <v xml:space="preserve"> </v>
      </c>
      <c r="E149" s="1126" t="str">
        <f>IFERROR(VLOOKUP($D149,dropdowns!$I$3:$Q$30,7,0), " ")</f>
        <v xml:space="preserve"> </v>
      </c>
      <c r="F149" s="1126" t="str">
        <f>IFERROR(INDEX('Schedule C'!$A$20:$BA$83,MATCH('DVO (F1 - F2)'!$R149,'Schedule C'!$A$20:$A$83,0),2)," ")</f>
        <v xml:space="preserve"> </v>
      </c>
      <c r="G149" s="1127" t="str">
        <f>IFERROR(INDEX('Schedule C'!$A$20:$BA$83,MATCH('DVO (F1 - F2)'!$R149,'Schedule C'!$A$20:$A$83,0),38)," ")</f>
        <v xml:space="preserve"> </v>
      </c>
      <c r="H149" s="1127" t="str">
        <f>IFERROR(INDEX('Schedule C'!$A$20:$BA$83,MATCH('DVO (F1 - F2)'!$R149,'Schedule C'!$A$20:$A$83,0),39)," ")</f>
        <v xml:space="preserve"> </v>
      </c>
      <c r="I149" s="1127" t="str">
        <f>IFERROR(INDEX('Schedule C'!$A$20:$BA$83,MATCH('DVO (F1 - F2)'!$R149,'Schedule C'!$A$20:$A$83,0),41)," ")</f>
        <v xml:space="preserve"> </v>
      </c>
      <c r="J149" s="1127" t="str">
        <f>IFERROR(INDEX('Schedule C'!$A$20:$BA$83,MATCH('DVO (F1 - F2)'!$R149,'Schedule C'!$A$20:$A$83,0),50)," ")</f>
        <v xml:space="preserve"> </v>
      </c>
      <c r="K149" s="1452" t="str">
        <f>IFERROR(INDEX('Schedule C'!$A$20:$BA$83,MATCH('DVO (F1 - F2)'!$R149,'Schedule C'!$A$20:$A$83,0),33)," ")</f>
        <v xml:space="preserve"> </v>
      </c>
      <c r="L149" s="1453" t="str">
        <f>IFERROR(INDEX('Schedule C'!$A$20:$BA$83,MATCH('DVO (F1 - F2)'!$R149,'Schedule C'!$A$20:$A$83,0),52)," ")</f>
        <v xml:space="preserve"> </v>
      </c>
      <c r="M149" s="1454" t="str">
        <f>IFERROR(INDEX('Schedule C'!$A$20:$BA$83,MATCH('DVO (F1 - F2)'!$R149,'Schedule C'!$A$20:$A$83,0),50)-INDEX('Schedule C'!$A$20:$BA$83,MATCH('DVO (F1 - F2)'!$R149,'Schedule C'!$A$20:$A$83,0),39)," ")</f>
        <v xml:space="preserve"> </v>
      </c>
      <c r="N149" s="1129" t="str">
        <f t="shared" si="10"/>
        <v xml:space="preserve"> </v>
      </c>
      <c r="O149" s="1129" t="str">
        <f t="shared" si="11"/>
        <v xml:space="preserve"> </v>
      </c>
      <c r="P149" s="1130" t="str">
        <f t="shared" si="12"/>
        <v xml:space="preserve"> </v>
      </c>
      <c r="Q149" s="1131" t="str">
        <f t="shared" si="13"/>
        <v xml:space="preserve"> </v>
      </c>
      <c r="R149" s="1118">
        <f>IF('Schedule C'!AX408&gt;='DVO (F1 - F2)'!J$3,IF('Schedule C'!AX408&lt;='DVO (F1 - F2)'!K$3,IF('Schedule C'!BA408="APPROVED",'Schedule C'!A408,0),0),0)</f>
        <v>0</v>
      </c>
    </row>
    <row r="150" spans="1:18" ht="15">
      <c r="A150" s="1125">
        <f t="shared" si="9"/>
        <v>143</v>
      </c>
      <c r="B150" s="1126">
        <v>1</v>
      </c>
      <c r="C150" s="1126" t="str">
        <f>IFERROR(VLOOKUP($D150,dropdowns!$I$3:$Q$30,6,0), " ")</f>
        <v xml:space="preserve"> </v>
      </c>
      <c r="D150" s="1126" t="str">
        <f>IFERROR(INDEX('Schedule C'!$A$20:$BA$83,MATCH('DVO (F1 - F2)'!$R333,'Schedule C'!$A$20:$A$83,0),13)," ")</f>
        <v xml:space="preserve"> </v>
      </c>
      <c r="E150" s="1126" t="str">
        <f>IFERROR(VLOOKUP($D150,dropdowns!$I$3:$Q$30,7,0), " ")</f>
        <v xml:space="preserve"> </v>
      </c>
      <c r="F150" s="1126" t="str">
        <f>IFERROR(INDEX('Schedule C'!$A$20:$BA$83,MATCH('DVO (F1 - F2)'!$R150,'Schedule C'!$A$20:$A$83,0),2)," ")</f>
        <v xml:space="preserve"> </v>
      </c>
      <c r="G150" s="1127" t="str">
        <f>IFERROR(INDEX('Schedule C'!$A$20:$BA$83,MATCH('DVO (F1 - F2)'!$R150,'Schedule C'!$A$20:$A$83,0),38)," ")</f>
        <v xml:space="preserve"> </v>
      </c>
      <c r="H150" s="1127" t="str">
        <f>IFERROR(INDEX('Schedule C'!$A$20:$BA$83,MATCH('DVO (F1 - F2)'!$R150,'Schedule C'!$A$20:$A$83,0),39)," ")</f>
        <v xml:space="preserve"> </v>
      </c>
      <c r="I150" s="1127" t="str">
        <f>IFERROR(INDEX('Schedule C'!$A$20:$BA$83,MATCH('DVO (F1 - F2)'!$R150,'Schedule C'!$A$20:$A$83,0),41)," ")</f>
        <v xml:space="preserve"> </v>
      </c>
      <c r="J150" s="1127" t="str">
        <f>IFERROR(INDEX('Schedule C'!$A$20:$BA$83,MATCH('DVO (F1 - F2)'!$R150,'Schedule C'!$A$20:$A$83,0),50)," ")</f>
        <v xml:space="preserve"> </v>
      </c>
      <c r="K150" s="1452" t="str">
        <f>IFERROR(INDEX('Schedule C'!$A$20:$BA$83,MATCH('DVO (F1 - F2)'!$R150,'Schedule C'!$A$20:$A$83,0),33)," ")</f>
        <v xml:space="preserve"> </v>
      </c>
      <c r="L150" s="1453" t="str">
        <f>IFERROR(INDEX('Schedule C'!$A$20:$BA$83,MATCH('DVO (F1 - F2)'!$R150,'Schedule C'!$A$20:$A$83,0),52)," ")</f>
        <v xml:space="preserve"> </v>
      </c>
      <c r="M150" s="1454" t="str">
        <f>IFERROR(INDEX('Schedule C'!$A$20:$BA$83,MATCH('DVO (F1 - F2)'!$R150,'Schedule C'!$A$20:$A$83,0),50)-INDEX('Schedule C'!$A$20:$BA$83,MATCH('DVO (F1 - F2)'!$R150,'Schedule C'!$A$20:$A$83,0),39)," ")</f>
        <v xml:space="preserve"> </v>
      </c>
      <c r="N150" s="1129" t="str">
        <f t="shared" si="10"/>
        <v xml:space="preserve"> </v>
      </c>
      <c r="O150" s="1129" t="str">
        <f t="shared" si="11"/>
        <v xml:space="preserve"> </v>
      </c>
      <c r="P150" s="1130" t="str">
        <f t="shared" si="12"/>
        <v xml:space="preserve"> </v>
      </c>
      <c r="Q150" s="1131" t="str">
        <f t="shared" si="13"/>
        <v xml:space="preserve"> </v>
      </c>
      <c r="R150" s="1118">
        <f>IF('Schedule C'!AX409&gt;='DVO (F1 - F2)'!J$3,IF('Schedule C'!AX409&lt;='DVO (F1 - F2)'!K$3,IF('Schedule C'!BA409="APPROVED",'Schedule C'!A409,0),0),0)</f>
        <v>0</v>
      </c>
    </row>
    <row r="151" spans="1:18" ht="15">
      <c r="A151" s="1125">
        <f t="shared" si="9"/>
        <v>144</v>
      </c>
      <c r="B151" s="1126">
        <v>1</v>
      </c>
      <c r="C151" s="1126" t="str">
        <f>IFERROR(VLOOKUP($D151,dropdowns!$I$3:$Q$30,6,0), " ")</f>
        <v xml:space="preserve"> </v>
      </c>
      <c r="D151" s="1126" t="str">
        <f>IFERROR(INDEX('Schedule C'!$A$20:$BA$83,MATCH('DVO (F1 - F2)'!$R334,'Schedule C'!$A$20:$A$83,0),13)," ")</f>
        <v xml:space="preserve"> </v>
      </c>
      <c r="E151" s="1126" t="str">
        <f>IFERROR(VLOOKUP($D151,dropdowns!$I$3:$Q$30,7,0), " ")</f>
        <v xml:space="preserve"> </v>
      </c>
      <c r="F151" s="1126" t="str">
        <f>IFERROR(INDEX('Schedule C'!$A$20:$BA$83,MATCH('DVO (F1 - F2)'!$R151,'Schedule C'!$A$20:$A$83,0),2)," ")</f>
        <v xml:space="preserve"> </v>
      </c>
      <c r="G151" s="1127" t="str">
        <f>IFERROR(INDEX('Schedule C'!$A$20:$BA$83,MATCH('DVO (F1 - F2)'!$R151,'Schedule C'!$A$20:$A$83,0),38)," ")</f>
        <v xml:space="preserve"> </v>
      </c>
      <c r="H151" s="1127" t="str">
        <f>IFERROR(INDEX('Schedule C'!$A$20:$BA$83,MATCH('DVO (F1 - F2)'!$R151,'Schedule C'!$A$20:$A$83,0),39)," ")</f>
        <v xml:space="preserve"> </v>
      </c>
      <c r="I151" s="1127" t="str">
        <f>IFERROR(INDEX('Schedule C'!$A$20:$BA$83,MATCH('DVO (F1 - F2)'!$R151,'Schedule C'!$A$20:$A$83,0),41)," ")</f>
        <v xml:space="preserve"> </v>
      </c>
      <c r="J151" s="1127" t="str">
        <f>IFERROR(INDEX('Schedule C'!$A$20:$BA$83,MATCH('DVO (F1 - F2)'!$R151,'Schedule C'!$A$20:$A$83,0),50)," ")</f>
        <v xml:space="preserve"> </v>
      </c>
      <c r="K151" s="1452" t="str">
        <f>IFERROR(INDEX('Schedule C'!$A$20:$BA$83,MATCH('DVO (F1 - F2)'!$R151,'Schedule C'!$A$20:$A$83,0),33)," ")</f>
        <v xml:space="preserve"> </v>
      </c>
      <c r="L151" s="1453" t="str">
        <f>IFERROR(INDEX('Schedule C'!$A$20:$BA$83,MATCH('DVO (F1 - F2)'!$R151,'Schedule C'!$A$20:$A$83,0),52)," ")</f>
        <v xml:space="preserve"> </v>
      </c>
      <c r="M151" s="1454" t="str">
        <f>IFERROR(INDEX('Schedule C'!$A$20:$BA$83,MATCH('DVO (F1 - F2)'!$R151,'Schedule C'!$A$20:$A$83,0),50)-INDEX('Schedule C'!$A$20:$BA$83,MATCH('DVO (F1 - F2)'!$R151,'Schedule C'!$A$20:$A$83,0),39)," ")</f>
        <v xml:space="preserve"> </v>
      </c>
      <c r="N151" s="1129" t="str">
        <f t="shared" si="10"/>
        <v xml:space="preserve"> </v>
      </c>
      <c r="O151" s="1129" t="str">
        <f t="shared" si="11"/>
        <v xml:space="preserve"> </v>
      </c>
      <c r="P151" s="1130" t="str">
        <f t="shared" si="12"/>
        <v xml:space="preserve"> </v>
      </c>
      <c r="Q151" s="1131" t="str">
        <f t="shared" si="13"/>
        <v xml:space="preserve"> </v>
      </c>
      <c r="R151" s="1118">
        <f>IF('Schedule C'!AX410&gt;='DVO (F1 - F2)'!J$3,IF('Schedule C'!AX410&lt;='DVO (F1 - F2)'!K$3,IF('Schedule C'!BA410="APPROVED",'Schedule C'!A410,0),0),0)</f>
        <v>0</v>
      </c>
    </row>
    <row r="152" spans="1:18" ht="15">
      <c r="A152" s="1125">
        <f t="shared" si="9"/>
        <v>145</v>
      </c>
      <c r="B152" s="1126">
        <v>1</v>
      </c>
      <c r="C152" s="1126" t="str">
        <f>IFERROR(VLOOKUP($D152,dropdowns!$I$3:$Q$30,6,0), " ")</f>
        <v xml:space="preserve"> </v>
      </c>
      <c r="D152" s="1126" t="str">
        <f>IFERROR(INDEX('Schedule C'!$A$20:$BA$83,MATCH('DVO (F1 - F2)'!$R335,'Schedule C'!$A$20:$A$83,0),13)," ")</f>
        <v xml:space="preserve"> </v>
      </c>
      <c r="E152" s="1126" t="str">
        <f>IFERROR(VLOOKUP($D152,dropdowns!$I$3:$Q$30,7,0), " ")</f>
        <v xml:space="preserve"> </v>
      </c>
      <c r="F152" s="1126" t="str">
        <f>IFERROR(INDEX('Schedule C'!$A$20:$BA$83,MATCH('DVO (F1 - F2)'!$R152,'Schedule C'!$A$20:$A$83,0),2)," ")</f>
        <v xml:space="preserve"> </v>
      </c>
      <c r="G152" s="1127" t="str">
        <f>IFERROR(INDEX('Schedule C'!$A$20:$BA$83,MATCH('DVO (F1 - F2)'!$R152,'Schedule C'!$A$20:$A$83,0),38)," ")</f>
        <v xml:space="preserve"> </v>
      </c>
      <c r="H152" s="1127" t="str">
        <f>IFERROR(INDEX('Schedule C'!$A$20:$BA$83,MATCH('DVO (F1 - F2)'!$R152,'Schedule C'!$A$20:$A$83,0),39)," ")</f>
        <v xml:space="preserve"> </v>
      </c>
      <c r="I152" s="1127" t="str">
        <f>IFERROR(INDEX('Schedule C'!$A$20:$BA$83,MATCH('DVO (F1 - F2)'!$R152,'Schedule C'!$A$20:$A$83,0),41)," ")</f>
        <v xml:space="preserve"> </v>
      </c>
      <c r="J152" s="1127" t="str">
        <f>IFERROR(INDEX('Schedule C'!$A$20:$BA$83,MATCH('DVO (F1 - F2)'!$R152,'Schedule C'!$A$20:$A$83,0),50)," ")</f>
        <v xml:space="preserve"> </v>
      </c>
      <c r="K152" s="1452" t="str">
        <f>IFERROR(INDEX('Schedule C'!$A$20:$BA$83,MATCH('DVO (F1 - F2)'!$R152,'Schedule C'!$A$20:$A$83,0),33)," ")</f>
        <v xml:space="preserve"> </v>
      </c>
      <c r="L152" s="1453" t="str">
        <f>IFERROR(INDEX('Schedule C'!$A$20:$BA$83,MATCH('DVO (F1 - F2)'!$R152,'Schedule C'!$A$20:$A$83,0),52)," ")</f>
        <v xml:space="preserve"> </v>
      </c>
      <c r="M152" s="1454" t="str">
        <f>IFERROR(INDEX('Schedule C'!$A$20:$BA$83,MATCH('DVO (F1 - F2)'!$R152,'Schedule C'!$A$20:$A$83,0),50)-INDEX('Schedule C'!$A$20:$BA$83,MATCH('DVO (F1 - F2)'!$R152,'Schedule C'!$A$20:$A$83,0),39)," ")</f>
        <v xml:space="preserve"> </v>
      </c>
      <c r="N152" s="1129" t="str">
        <f t="shared" si="10"/>
        <v xml:space="preserve"> </v>
      </c>
      <c r="O152" s="1129" t="str">
        <f t="shared" si="11"/>
        <v xml:space="preserve"> </v>
      </c>
      <c r="P152" s="1130" t="str">
        <f t="shared" si="12"/>
        <v xml:space="preserve"> </v>
      </c>
      <c r="Q152" s="1131" t="str">
        <f t="shared" si="13"/>
        <v xml:space="preserve"> </v>
      </c>
      <c r="R152" s="1118">
        <f>IF('Schedule C'!AX411&gt;='DVO (F1 - F2)'!J$3,IF('Schedule C'!AX411&lt;='DVO (F1 - F2)'!K$3,IF('Schedule C'!BA411="APPROVED",'Schedule C'!A411,0),0),0)</f>
        <v>0</v>
      </c>
    </row>
    <row r="153" spans="1:18" ht="15">
      <c r="A153" s="1125">
        <f t="shared" si="9"/>
        <v>146</v>
      </c>
      <c r="B153" s="1126">
        <v>1</v>
      </c>
      <c r="C153" s="1126" t="str">
        <f>IFERROR(VLOOKUP($D153,dropdowns!$I$3:$Q$30,6,0), " ")</f>
        <v xml:space="preserve"> </v>
      </c>
      <c r="D153" s="1126" t="str">
        <f>IFERROR(INDEX('Schedule C'!$A$20:$BA$83,MATCH('DVO (F1 - F2)'!$R336,'Schedule C'!$A$20:$A$83,0),13)," ")</f>
        <v xml:space="preserve"> </v>
      </c>
      <c r="E153" s="1126" t="str">
        <f>IFERROR(VLOOKUP($D153,dropdowns!$I$3:$Q$30,7,0), " ")</f>
        <v xml:space="preserve"> </v>
      </c>
      <c r="F153" s="1126" t="str">
        <f>IFERROR(INDEX('Schedule C'!$A$20:$BA$83,MATCH('DVO (F1 - F2)'!$R153,'Schedule C'!$A$20:$A$83,0),2)," ")</f>
        <v xml:space="preserve"> </v>
      </c>
      <c r="G153" s="1127" t="str">
        <f>IFERROR(INDEX('Schedule C'!$A$20:$BA$83,MATCH('DVO (F1 - F2)'!$R153,'Schedule C'!$A$20:$A$83,0),38)," ")</f>
        <v xml:space="preserve"> </v>
      </c>
      <c r="H153" s="1127" t="str">
        <f>IFERROR(INDEX('Schedule C'!$A$20:$BA$83,MATCH('DVO (F1 - F2)'!$R153,'Schedule C'!$A$20:$A$83,0),39)," ")</f>
        <v xml:space="preserve"> </v>
      </c>
      <c r="I153" s="1127" t="str">
        <f>IFERROR(INDEX('Schedule C'!$A$20:$BA$83,MATCH('DVO (F1 - F2)'!$R153,'Schedule C'!$A$20:$A$83,0),41)," ")</f>
        <v xml:space="preserve"> </v>
      </c>
      <c r="J153" s="1127" t="str">
        <f>IFERROR(INDEX('Schedule C'!$A$20:$BA$83,MATCH('DVO (F1 - F2)'!$R153,'Schedule C'!$A$20:$A$83,0),50)," ")</f>
        <v xml:space="preserve"> </v>
      </c>
      <c r="K153" s="1452" t="str">
        <f>IFERROR(INDEX('Schedule C'!$A$20:$BA$83,MATCH('DVO (F1 - F2)'!$R153,'Schedule C'!$A$20:$A$83,0),33)," ")</f>
        <v xml:space="preserve"> </v>
      </c>
      <c r="L153" s="1453" t="str">
        <f>IFERROR(INDEX('Schedule C'!$A$20:$BA$83,MATCH('DVO (F1 - F2)'!$R153,'Schedule C'!$A$20:$A$83,0),52)," ")</f>
        <v xml:space="preserve"> </v>
      </c>
      <c r="M153" s="1454" t="str">
        <f>IFERROR(INDEX('Schedule C'!$A$20:$BA$83,MATCH('DVO (F1 - F2)'!$R153,'Schedule C'!$A$20:$A$83,0),50)-INDEX('Schedule C'!$A$20:$BA$83,MATCH('DVO (F1 - F2)'!$R153,'Schedule C'!$A$20:$A$83,0),39)," ")</f>
        <v xml:space="preserve"> </v>
      </c>
      <c r="N153" s="1129" t="str">
        <f t="shared" si="10"/>
        <v xml:space="preserve"> </v>
      </c>
      <c r="O153" s="1129" t="str">
        <f t="shared" si="11"/>
        <v xml:space="preserve"> </v>
      </c>
      <c r="P153" s="1130" t="str">
        <f t="shared" si="12"/>
        <v xml:space="preserve"> </v>
      </c>
      <c r="Q153" s="1131" t="str">
        <f t="shared" si="13"/>
        <v xml:space="preserve"> </v>
      </c>
      <c r="R153" s="1118">
        <f>IF('Schedule C'!AX412&gt;='DVO (F1 - F2)'!J$3,IF('Schedule C'!AX412&lt;='DVO (F1 - F2)'!K$3,IF('Schedule C'!BA412="APPROVED",'Schedule C'!A412,0),0),0)</f>
        <v>0</v>
      </c>
    </row>
    <row r="154" spans="1:18" ht="15">
      <c r="A154" s="1125">
        <f t="shared" si="9"/>
        <v>147</v>
      </c>
      <c r="B154" s="1126">
        <v>1</v>
      </c>
      <c r="C154" s="1126" t="str">
        <f>IFERROR(VLOOKUP($D154,dropdowns!$I$3:$Q$30,6,0), " ")</f>
        <v xml:space="preserve"> </v>
      </c>
      <c r="D154" s="1126" t="str">
        <f>IFERROR(INDEX('Schedule C'!$A$20:$BA$83,MATCH('DVO (F1 - F2)'!$R337,'Schedule C'!$A$20:$A$83,0),13)," ")</f>
        <v xml:space="preserve"> </v>
      </c>
      <c r="E154" s="1126" t="str">
        <f>IFERROR(VLOOKUP($D154,dropdowns!$I$3:$Q$30,7,0), " ")</f>
        <v xml:space="preserve"> </v>
      </c>
      <c r="F154" s="1126" t="str">
        <f>IFERROR(INDEX('Schedule C'!$A$20:$BA$83,MATCH('DVO (F1 - F2)'!$R154,'Schedule C'!$A$20:$A$83,0),2)," ")</f>
        <v xml:space="preserve"> </v>
      </c>
      <c r="G154" s="1127" t="str">
        <f>IFERROR(INDEX('Schedule C'!$A$20:$BA$83,MATCH('DVO (F1 - F2)'!$R154,'Schedule C'!$A$20:$A$83,0),38)," ")</f>
        <v xml:space="preserve"> </v>
      </c>
      <c r="H154" s="1127" t="str">
        <f>IFERROR(INDEX('Schedule C'!$A$20:$BA$83,MATCH('DVO (F1 - F2)'!$R154,'Schedule C'!$A$20:$A$83,0),39)," ")</f>
        <v xml:space="preserve"> </v>
      </c>
      <c r="I154" s="1127" t="str">
        <f>IFERROR(INDEX('Schedule C'!$A$20:$BA$83,MATCH('DVO (F1 - F2)'!$R154,'Schedule C'!$A$20:$A$83,0),41)," ")</f>
        <v xml:space="preserve"> </v>
      </c>
      <c r="J154" s="1127" t="str">
        <f>IFERROR(INDEX('Schedule C'!$A$20:$BA$83,MATCH('DVO (F1 - F2)'!$R154,'Schedule C'!$A$20:$A$83,0),50)," ")</f>
        <v xml:space="preserve"> </v>
      </c>
      <c r="K154" s="1452" t="str">
        <f>IFERROR(INDEX('Schedule C'!$A$20:$BA$83,MATCH('DVO (F1 - F2)'!$R154,'Schedule C'!$A$20:$A$83,0),33)," ")</f>
        <v xml:space="preserve"> </v>
      </c>
      <c r="L154" s="1453" t="str">
        <f>IFERROR(INDEX('Schedule C'!$A$20:$BA$83,MATCH('DVO (F1 - F2)'!$R154,'Schedule C'!$A$20:$A$83,0),52)," ")</f>
        <v xml:space="preserve"> </v>
      </c>
      <c r="M154" s="1454" t="str">
        <f>IFERROR(INDEX('Schedule C'!$A$20:$BA$83,MATCH('DVO (F1 - F2)'!$R154,'Schedule C'!$A$20:$A$83,0),50)-INDEX('Schedule C'!$A$20:$BA$83,MATCH('DVO (F1 - F2)'!$R154,'Schedule C'!$A$20:$A$83,0),39)," ")</f>
        <v xml:space="preserve"> </v>
      </c>
      <c r="N154" s="1129" t="str">
        <f t="shared" si="10"/>
        <v xml:space="preserve"> </v>
      </c>
      <c r="O154" s="1129" t="str">
        <f t="shared" si="11"/>
        <v xml:space="preserve"> </v>
      </c>
      <c r="P154" s="1130" t="str">
        <f t="shared" si="12"/>
        <v xml:space="preserve"> </v>
      </c>
      <c r="Q154" s="1131" t="str">
        <f t="shared" si="13"/>
        <v xml:space="preserve"> </v>
      </c>
      <c r="R154" s="1118">
        <f>IF('Schedule C'!AX413&gt;='DVO (F1 - F2)'!J$3,IF('Schedule C'!AX413&lt;='DVO (F1 - F2)'!K$3,IF('Schedule C'!BA413="APPROVED",'Schedule C'!A413,0),0),0)</f>
        <v>0</v>
      </c>
    </row>
    <row r="155" spans="1:18" ht="15">
      <c r="A155" s="1125">
        <f t="shared" si="9"/>
        <v>148</v>
      </c>
      <c r="B155" s="1126">
        <v>1</v>
      </c>
      <c r="C155" s="1126" t="str">
        <f>IFERROR(VLOOKUP($D155,dropdowns!$I$3:$Q$30,6,0), " ")</f>
        <v xml:space="preserve"> </v>
      </c>
      <c r="D155" s="1126" t="str">
        <f>IFERROR(INDEX('Schedule C'!$A$20:$BA$83,MATCH('DVO (F1 - F2)'!$R338,'Schedule C'!$A$20:$A$83,0),13)," ")</f>
        <v xml:space="preserve"> </v>
      </c>
      <c r="E155" s="1126" t="str">
        <f>IFERROR(VLOOKUP($D155,dropdowns!$I$3:$Q$30,7,0), " ")</f>
        <v xml:space="preserve"> </v>
      </c>
      <c r="F155" s="1126" t="str">
        <f>IFERROR(INDEX('Schedule C'!$A$20:$BA$83,MATCH('DVO (F1 - F2)'!$R155,'Schedule C'!$A$20:$A$83,0),2)," ")</f>
        <v xml:space="preserve"> </v>
      </c>
      <c r="G155" s="1127" t="str">
        <f>IFERROR(INDEX('Schedule C'!$A$20:$BA$83,MATCH('DVO (F1 - F2)'!$R155,'Schedule C'!$A$20:$A$83,0),38)," ")</f>
        <v xml:space="preserve"> </v>
      </c>
      <c r="H155" s="1127" t="str">
        <f>IFERROR(INDEX('Schedule C'!$A$20:$BA$83,MATCH('DVO (F1 - F2)'!$R155,'Schedule C'!$A$20:$A$83,0),39)," ")</f>
        <v xml:space="preserve"> </v>
      </c>
      <c r="I155" s="1127" t="str">
        <f>IFERROR(INDEX('Schedule C'!$A$20:$BA$83,MATCH('DVO (F1 - F2)'!$R155,'Schedule C'!$A$20:$A$83,0),41)," ")</f>
        <v xml:space="preserve"> </v>
      </c>
      <c r="J155" s="1127" t="str">
        <f>IFERROR(INDEX('Schedule C'!$A$20:$BA$83,MATCH('DVO (F1 - F2)'!$R155,'Schedule C'!$A$20:$A$83,0),50)," ")</f>
        <v xml:space="preserve"> </v>
      </c>
      <c r="K155" s="1452" t="str">
        <f>IFERROR(INDEX('Schedule C'!$A$20:$BA$83,MATCH('DVO (F1 - F2)'!$R155,'Schedule C'!$A$20:$A$83,0),33)," ")</f>
        <v xml:space="preserve"> </v>
      </c>
      <c r="L155" s="1453" t="str">
        <f>IFERROR(INDEX('Schedule C'!$A$20:$BA$83,MATCH('DVO (F1 - F2)'!$R155,'Schedule C'!$A$20:$A$83,0),52)," ")</f>
        <v xml:space="preserve"> </v>
      </c>
      <c r="M155" s="1454" t="str">
        <f>IFERROR(INDEX('Schedule C'!$A$20:$BA$83,MATCH('DVO (F1 - F2)'!$R155,'Schedule C'!$A$20:$A$83,0),50)-INDEX('Schedule C'!$A$20:$BA$83,MATCH('DVO (F1 - F2)'!$R155,'Schedule C'!$A$20:$A$83,0),39)," ")</f>
        <v xml:space="preserve"> </v>
      </c>
      <c r="N155" s="1129" t="str">
        <f t="shared" si="10"/>
        <v xml:space="preserve"> </v>
      </c>
      <c r="O155" s="1129" t="str">
        <f t="shared" si="11"/>
        <v xml:space="preserve"> </v>
      </c>
      <c r="P155" s="1130" t="str">
        <f t="shared" si="12"/>
        <v xml:space="preserve"> </v>
      </c>
      <c r="Q155" s="1131" t="str">
        <f t="shared" si="13"/>
        <v xml:space="preserve"> </v>
      </c>
      <c r="R155" s="1118">
        <f>IF('Schedule C'!AX414&gt;='DVO (F1 - F2)'!J$3,IF('Schedule C'!AX414&lt;='DVO (F1 - F2)'!K$3,IF('Schedule C'!BA414="APPROVED",'Schedule C'!A414,0),0),0)</f>
        <v>0</v>
      </c>
    </row>
    <row r="156" spans="1:18" ht="15">
      <c r="A156" s="1125">
        <f t="shared" si="9"/>
        <v>149</v>
      </c>
      <c r="B156" s="1126">
        <v>1</v>
      </c>
      <c r="C156" s="1126" t="str">
        <f>IFERROR(VLOOKUP($D156,dropdowns!$I$3:$Q$30,6,0), " ")</f>
        <v xml:space="preserve"> </v>
      </c>
      <c r="D156" s="1126" t="str">
        <f>IFERROR(INDEX('Schedule C'!$A$20:$BA$83,MATCH('DVO (F1 - F2)'!$R339,'Schedule C'!$A$20:$A$83,0),13)," ")</f>
        <v xml:space="preserve"> </v>
      </c>
      <c r="E156" s="1126" t="str">
        <f>IFERROR(VLOOKUP($D156,dropdowns!$I$3:$Q$30,7,0), " ")</f>
        <v xml:space="preserve"> </v>
      </c>
      <c r="F156" s="1126" t="str">
        <f>IFERROR(INDEX('Schedule C'!$A$20:$BA$83,MATCH('DVO (F1 - F2)'!$R156,'Schedule C'!$A$20:$A$83,0),2)," ")</f>
        <v xml:space="preserve"> </v>
      </c>
      <c r="G156" s="1127" t="str">
        <f>IFERROR(INDEX('Schedule C'!$A$20:$BA$83,MATCH('DVO (F1 - F2)'!$R156,'Schedule C'!$A$20:$A$83,0),38)," ")</f>
        <v xml:space="preserve"> </v>
      </c>
      <c r="H156" s="1127" t="str">
        <f>IFERROR(INDEX('Schedule C'!$A$20:$BA$83,MATCH('DVO (F1 - F2)'!$R156,'Schedule C'!$A$20:$A$83,0),39)," ")</f>
        <v xml:space="preserve"> </v>
      </c>
      <c r="I156" s="1127" t="str">
        <f>IFERROR(INDEX('Schedule C'!$A$20:$BA$83,MATCH('DVO (F1 - F2)'!$R156,'Schedule C'!$A$20:$A$83,0),41)," ")</f>
        <v xml:space="preserve"> </v>
      </c>
      <c r="J156" s="1127" t="str">
        <f>IFERROR(INDEX('Schedule C'!$A$20:$BA$83,MATCH('DVO (F1 - F2)'!$R156,'Schedule C'!$A$20:$A$83,0),50)," ")</f>
        <v xml:space="preserve"> </v>
      </c>
      <c r="K156" s="1452" t="str">
        <f>IFERROR(INDEX('Schedule C'!$A$20:$BA$83,MATCH('DVO (F1 - F2)'!$R156,'Schedule C'!$A$20:$A$83,0),33)," ")</f>
        <v xml:space="preserve"> </v>
      </c>
      <c r="L156" s="1453" t="str">
        <f>IFERROR(INDEX('Schedule C'!$A$20:$BA$83,MATCH('DVO (F1 - F2)'!$R156,'Schedule C'!$A$20:$A$83,0),52)," ")</f>
        <v xml:space="preserve"> </v>
      </c>
      <c r="M156" s="1454" t="str">
        <f>IFERROR(INDEX('Schedule C'!$A$20:$BA$83,MATCH('DVO (F1 - F2)'!$R156,'Schedule C'!$A$20:$A$83,0),50)-INDEX('Schedule C'!$A$20:$BA$83,MATCH('DVO (F1 - F2)'!$R156,'Schedule C'!$A$20:$A$83,0),39)," ")</f>
        <v xml:space="preserve"> </v>
      </c>
      <c r="N156" s="1129" t="str">
        <f t="shared" si="10"/>
        <v xml:space="preserve"> </v>
      </c>
      <c r="O156" s="1129" t="str">
        <f t="shared" si="11"/>
        <v xml:space="preserve"> </v>
      </c>
      <c r="P156" s="1130" t="str">
        <f t="shared" si="12"/>
        <v xml:space="preserve"> </v>
      </c>
      <c r="Q156" s="1131" t="str">
        <f t="shared" si="13"/>
        <v xml:space="preserve"> </v>
      </c>
      <c r="R156" s="1118">
        <f>IF('Schedule C'!AX415&gt;='DVO (F1 - F2)'!J$3,IF('Schedule C'!AX415&lt;='DVO (F1 - F2)'!K$3,IF('Schedule C'!BA415="APPROVED",'Schedule C'!A415,0),0),0)</f>
        <v>0</v>
      </c>
    </row>
    <row r="157" spans="1:18" ht="15">
      <c r="A157" s="1125">
        <f t="shared" si="9"/>
        <v>150</v>
      </c>
      <c r="B157" s="1126">
        <v>1</v>
      </c>
      <c r="C157" s="1126" t="str">
        <f>IFERROR(VLOOKUP($D157,dropdowns!$I$3:$Q$30,6,0), " ")</f>
        <v xml:space="preserve"> </v>
      </c>
      <c r="D157" s="1126" t="str">
        <f>IFERROR(INDEX('Schedule C'!$A$20:$BA$83,MATCH('DVO (F1 - F2)'!$R340,'Schedule C'!$A$20:$A$83,0),13)," ")</f>
        <v xml:space="preserve"> </v>
      </c>
      <c r="E157" s="1126" t="str">
        <f>IFERROR(VLOOKUP($D157,dropdowns!$I$3:$Q$30,7,0), " ")</f>
        <v xml:space="preserve"> </v>
      </c>
      <c r="F157" s="1126" t="str">
        <f>IFERROR(INDEX('Schedule C'!$A$20:$BA$83,MATCH('DVO (F1 - F2)'!$R157,'Schedule C'!$A$20:$A$83,0),2)," ")</f>
        <v xml:space="preserve"> </v>
      </c>
      <c r="G157" s="1127" t="str">
        <f>IFERROR(INDEX('Schedule C'!$A$20:$BA$83,MATCH('DVO (F1 - F2)'!$R157,'Schedule C'!$A$20:$A$83,0),38)," ")</f>
        <v xml:space="preserve"> </v>
      </c>
      <c r="H157" s="1127" t="str">
        <f>IFERROR(INDEX('Schedule C'!$A$20:$BA$83,MATCH('DVO (F1 - F2)'!$R157,'Schedule C'!$A$20:$A$83,0),39)," ")</f>
        <v xml:space="preserve"> </v>
      </c>
      <c r="I157" s="1127" t="str">
        <f>IFERROR(INDEX('Schedule C'!$A$20:$BA$83,MATCH('DVO (F1 - F2)'!$R157,'Schedule C'!$A$20:$A$83,0),41)," ")</f>
        <v xml:space="preserve"> </v>
      </c>
      <c r="J157" s="1127" t="str">
        <f>IFERROR(INDEX('Schedule C'!$A$20:$BA$83,MATCH('DVO (F1 - F2)'!$R157,'Schedule C'!$A$20:$A$83,0),50)," ")</f>
        <v xml:space="preserve"> </v>
      </c>
      <c r="K157" s="1452" t="str">
        <f>IFERROR(INDEX('Schedule C'!$A$20:$BA$83,MATCH('DVO (F1 - F2)'!$R157,'Schedule C'!$A$20:$A$83,0),33)," ")</f>
        <v xml:space="preserve"> </v>
      </c>
      <c r="L157" s="1453" t="str">
        <f>IFERROR(INDEX('Schedule C'!$A$20:$BA$83,MATCH('DVO (F1 - F2)'!$R157,'Schedule C'!$A$20:$A$83,0),52)," ")</f>
        <v xml:space="preserve"> </v>
      </c>
      <c r="M157" s="1454" t="str">
        <f>IFERROR(INDEX('Schedule C'!$A$20:$BA$83,MATCH('DVO (F1 - F2)'!$R157,'Schedule C'!$A$20:$A$83,0),50)-INDEX('Schedule C'!$A$20:$BA$83,MATCH('DVO (F1 - F2)'!$R157,'Schedule C'!$A$20:$A$83,0),39)," ")</f>
        <v xml:space="preserve"> </v>
      </c>
      <c r="N157" s="1129" t="str">
        <f t="shared" si="10"/>
        <v xml:space="preserve"> </v>
      </c>
      <c r="O157" s="1129" t="str">
        <f t="shared" si="11"/>
        <v xml:space="preserve"> </v>
      </c>
      <c r="P157" s="1130" t="str">
        <f t="shared" si="12"/>
        <v xml:space="preserve"> </v>
      </c>
      <c r="Q157" s="1131" t="str">
        <f t="shared" si="13"/>
        <v xml:space="preserve"> </v>
      </c>
      <c r="R157" s="1118">
        <f>IF('Schedule C'!AX416&gt;='DVO (F1 - F2)'!J$3,IF('Schedule C'!AX416&lt;='DVO (F1 - F2)'!K$3,IF('Schedule C'!BA416="APPROVED",'Schedule C'!A416,0),0),0)</f>
        <v>0</v>
      </c>
    </row>
    <row r="158" spans="1:18" ht="15">
      <c r="A158" s="1125">
        <f t="shared" si="9"/>
        <v>151</v>
      </c>
      <c r="B158" s="1126">
        <v>1</v>
      </c>
      <c r="C158" s="1126" t="str">
        <f>IFERROR(VLOOKUP($D158,dropdowns!$I$3:$Q$30,6,0), " ")</f>
        <v xml:space="preserve"> </v>
      </c>
      <c r="D158" s="1126" t="str">
        <f>IFERROR(INDEX('Schedule C'!$A$20:$BA$83,MATCH('DVO (F1 - F2)'!$R341,'Schedule C'!$A$20:$A$83,0),13)," ")</f>
        <v xml:space="preserve"> </v>
      </c>
      <c r="E158" s="1126" t="str">
        <f>IFERROR(VLOOKUP($D158,dropdowns!$I$3:$Q$30,7,0), " ")</f>
        <v xml:space="preserve"> </v>
      </c>
      <c r="F158" s="1126" t="str">
        <f>IFERROR(INDEX('Schedule C'!$A$20:$BA$83,MATCH('DVO (F1 - F2)'!$R158,'Schedule C'!$A$20:$A$83,0),2)," ")</f>
        <v xml:space="preserve"> </v>
      </c>
      <c r="G158" s="1127" t="str">
        <f>IFERROR(INDEX('Schedule C'!$A$20:$BA$83,MATCH('DVO (F1 - F2)'!$R158,'Schedule C'!$A$20:$A$83,0),38)," ")</f>
        <v xml:space="preserve"> </v>
      </c>
      <c r="H158" s="1127" t="str">
        <f>IFERROR(INDEX('Schedule C'!$A$20:$BA$83,MATCH('DVO (F1 - F2)'!$R158,'Schedule C'!$A$20:$A$83,0),39)," ")</f>
        <v xml:space="preserve"> </v>
      </c>
      <c r="I158" s="1127" t="str">
        <f>IFERROR(INDEX('Schedule C'!$A$20:$BA$83,MATCH('DVO (F1 - F2)'!$R158,'Schedule C'!$A$20:$A$83,0),41)," ")</f>
        <v xml:space="preserve"> </v>
      </c>
      <c r="J158" s="1127" t="str">
        <f>IFERROR(INDEX('Schedule C'!$A$20:$BA$83,MATCH('DVO (F1 - F2)'!$R158,'Schedule C'!$A$20:$A$83,0),50)," ")</f>
        <v xml:space="preserve"> </v>
      </c>
      <c r="K158" s="1452" t="str">
        <f>IFERROR(INDEX('Schedule C'!$A$20:$BA$83,MATCH('DVO (F1 - F2)'!$R158,'Schedule C'!$A$20:$A$83,0),33)," ")</f>
        <v xml:space="preserve"> </v>
      </c>
      <c r="L158" s="1453" t="str">
        <f>IFERROR(INDEX('Schedule C'!$A$20:$BA$83,MATCH('DVO (F1 - F2)'!$R158,'Schedule C'!$A$20:$A$83,0),52)," ")</f>
        <v xml:space="preserve"> </v>
      </c>
      <c r="M158" s="1454" t="str">
        <f>IFERROR(INDEX('Schedule C'!$A$20:$BA$83,MATCH('DVO (F1 - F2)'!$R158,'Schedule C'!$A$20:$A$83,0),50)-INDEX('Schedule C'!$A$20:$BA$83,MATCH('DVO (F1 - F2)'!$R158,'Schedule C'!$A$20:$A$83,0),39)," ")</f>
        <v xml:space="preserve"> </v>
      </c>
      <c r="N158" s="1129" t="str">
        <f t="shared" si="10"/>
        <v xml:space="preserve"> </v>
      </c>
      <c r="O158" s="1129" t="str">
        <f t="shared" si="11"/>
        <v xml:space="preserve"> </v>
      </c>
      <c r="P158" s="1130" t="str">
        <f t="shared" si="12"/>
        <v xml:space="preserve"> </v>
      </c>
      <c r="Q158" s="1131" t="str">
        <f t="shared" si="13"/>
        <v xml:space="preserve"> </v>
      </c>
      <c r="R158" s="1118">
        <f>IF('Schedule C'!AX417&gt;='DVO (F1 - F2)'!J$3,IF('Schedule C'!AX417&lt;='DVO (F1 - F2)'!K$3,IF('Schedule C'!BA417="APPROVED",'Schedule C'!A417,0),0),0)</f>
        <v>0</v>
      </c>
    </row>
    <row r="159" spans="1:18" ht="15">
      <c r="A159" s="1125">
        <f t="shared" si="9"/>
        <v>152</v>
      </c>
      <c r="B159" s="1126">
        <v>1</v>
      </c>
      <c r="C159" s="1126" t="str">
        <f>IFERROR(VLOOKUP($D159,dropdowns!$I$3:$Q$30,6,0), " ")</f>
        <v xml:space="preserve"> </v>
      </c>
      <c r="D159" s="1126" t="str">
        <f>IFERROR(INDEX('Schedule C'!$A$20:$BA$83,MATCH('DVO (F1 - F2)'!$R342,'Schedule C'!$A$20:$A$83,0),13)," ")</f>
        <v xml:space="preserve"> </v>
      </c>
      <c r="E159" s="1126" t="str">
        <f>IFERROR(VLOOKUP($D159,dropdowns!$I$3:$Q$30,7,0), " ")</f>
        <v xml:space="preserve"> </v>
      </c>
      <c r="F159" s="1126" t="str">
        <f>IFERROR(INDEX('Schedule C'!$A$20:$BA$83,MATCH('DVO (F1 - F2)'!$R159,'Schedule C'!$A$20:$A$83,0),2)," ")</f>
        <v xml:space="preserve"> </v>
      </c>
      <c r="G159" s="1127" t="str">
        <f>IFERROR(INDEX('Schedule C'!$A$20:$BA$83,MATCH('DVO (F1 - F2)'!$R159,'Schedule C'!$A$20:$A$83,0),38)," ")</f>
        <v xml:space="preserve"> </v>
      </c>
      <c r="H159" s="1127" t="str">
        <f>IFERROR(INDEX('Schedule C'!$A$20:$BA$83,MATCH('DVO (F1 - F2)'!$R159,'Schedule C'!$A$20:$A$83,0),39)," ")</f>
        <v xml:space="preserve"> </v>
      </c>
      <c r="I159" s="1127" t="str">
        <f>IFERROR(INDEX('Schedule C'!$A$20:$BA$83,MATCH('DVO (F1 - F2)'!$R159,'Schedule C'!$A$20:$A$83,0),41)," ")</f>
        <v xml:space="preserve"> </v>
      </c>
      <c r="J159" s="1127" t="str">
        <f>IFERROR(INDEX('Schedule C'!$A$20:$BA$83,MATCH('DVO (F1 - F2)'!$R159,'Schedule C'!$A$20:$A$83,0),50)," ")</f>
        <v xml:space="preserve"> </v>
      </c>
      <c r="K159" s="1452" t="str">
        <f>IFERROR(INDEX('Schedule C'!$A$20:$BA$83,MATCH('DVO (F1 - F2)'!$R159,'Schedule C'!$A$20:$A$83,0),33)," ")</f>
        <v xml:space="preserve"> </v>
      </c>
      <c r="L159" s="1453" t="str">
        <f>IFERROR(INDEX('Schedule C'!$A$20:$BA$83,MATCH('DVO (F1 - F2)'!$R159,'Schedule C'!$A$20:$A$83,0),52)," ")</f>
        <v xml:space="preserve"> </v>
      </c>
      <c r="M159" s="1454" t="str">
        <f>IFERROR(INDEX('Schedule C'!$A$20:$BA$83,MATCH('DVO (F1 - F2)'!$R159,'Schedule C'!$A$20:$A$83,0),50)-INDEX('Schedule C'!$A$20:$BA$83,MATCH('DVO (F1 - F2)'!$R159,'Schedule C'!$A$20:$A$83,0),39)," ")</f>
        <v xml:space="preserve"> </v>
      </c>
      <c r="N159" s="1129" t="str">
        <f t="shared" si="10"/>
        <v xml:space="preserve"> </v>
      </c>
      <c r="O159" s="1129" t="str">
        <f t="shared" si="11"/>
        <v xml:space="preserve"> </v>
      </c>
      <c r="P159" s="1130" t="str">
        <f t="shared" si="12"/>
        <v xml:space="preserve"> </v>
      </c>
      <c r="Q159" s="1131" t="str">
        <f t="shared" si="13"/>
        <v xml:space="preserve"> </v>
      </c>
      <c r="R159" s="1118">
        <f>IF('Schedule C'!AX418&gt;='DVO (F1 - F2)'!J$3,IF('Schedule C'!AX418&lt;='DVO (F1 - F2)'!K$3,IF('Schedule C'!BA418="APPROVED",'Schedule C'!A418,0),0),0)</f>
        <v>0</v>
      </c>
    </row>
    <row r="160" spans="1:18" ht="15">
      <c r="A160" s="1125">
        <f t="shared" si="9"/>
        <v>153</v>
      </c>
      <c r="B160" s="1126">
        <v>1</v>
      </c>
      <c r="C160" s="1126" t="str">
        <f>IFERROR(VLOOKUP($D160,dropdowns!$I$3:$Q$30,6,0), " ")</f>
        <v xml:space="preserve"> </v>
      </c>
      <c r="D160" s="1126" t="str">
        <f>IFERROR(INDEX('Schedule C'!$A$20:$BA$83,MATCH('DVO (F1 - F2)'!$R343,'Schedule C'!$A$20:$A$83,0),13)," ")</f>
        <v xml:space="preserve"> </v>
      </c>
      <c r="E160" s="1126" t="str">
        <f>IFERROR(VLOOKUP($D160,dropdowns!$I$3:$Q$30,7,0), " ")</f>
        <v xml:space="preserve"> </v>
      </c>
      <c r="F160" s="1126" t="str">
        <f>IFERROR(INDEX('Schedule C'!$A$20:$BA$83,MATCH('DVO (F1 - F2)'!$R160,'Schedule C'!$A$20:$A$83,0),2)," ")</f>
        <v xml:space="preserve"> </v>
      </c>
      <c r="G160" s="1127" t="str">
        <f>IFERROR(INDEX('Schedule C'!$A$20:$BA$83,MATCH('DVO (F1 - F2)'!$R160,'Schedule C'!$A$20:$A$83,0),38)," ")</f>
        <v xml:space="preserve"> </v>
      </c>
      <c r="H160" s="1127" t="str">
        <f>IFERROR(INDEX('Schedule C'!$A$20:$BA$83,MATCH('DVO (F1 - F2)'!$R160,'Schedule C'!$A$20:$A$83,0),39)," ")</f>
        <v xml:space="preserve"> </v>
      </c>
      <c r="I160" s="1127" t="str">
        <f>IFERROR(INDEX('Schedule C'!$A$20:$BA$83,MATCH('DVO (F1 - F2)'!$R160,'Schedule C'!$A$20:$A$83,0),41)," ")</f>
        <v xml:space="preserve"> </v>
      </c>
      <c r="J160" s="1127" t="str">
        <f>IFERROR(INDEX('Schedule C'!$A$20:$BA$83,MATCH('DVO (F1 - F2)'!$R160,'Schedule C'!$A$20:$A$83,0),50)," ")</f>
        <v xml:space="preserve"> </v>
      </c>
      <c r="K160" s="1452" t="str">
        <f>IFERROR(INDEX('Schedule C'!$A$20:$BA$83,MATCH('DVO (F1 - F2)'!$R160,'Schedule C'!$A$20:$A$83,0),33)," ")</f>
        <v xml:space="preserve"> </v>
      </c>
      <c r="L160" s="1453" t="str">
        <f>IFERROR(INDEX('Schedule C'!$A$20:$BA$83,MATCH('DVO (F1 - F2)'!$R160,'Schedule C'!$A$20:$A$83,0),52)," ")</f>
        <v xml:space="preserve"> </v>
      </c>
      <c r="M160" s="1454" t="str">
        <f>IFERROR(INDEX('Schedule C'!$A$20:$BA$83,MATCH('DVO (F1 - F2)'!$R160,'Schedule C'!$A$20:$A$83,0),50)-INDEX('Schedule C'!$A$20:$BA$83,MATCH('DVO (F1 - F2)'!$R160,'Schedule C'!$A$20:$A$83,0),39)," ")</f>
        <v xml:space="preserve"> </v>
      </c>
      <c r="N160" s="1129" t="str">
        <f t="shared" si="10"/>
        <v xml:space="preserve"> </v>
      </c>
      <c r="O160" s="1129" t="str">
        <f t="shared" si="11"/>
        <v xml:space="preserve"> </v>
      </c>
      <c r="P160" s="1130" t="str">
        <f t="shared" si="12"/>
        <v xml:space="preserve"> </v>
      </c>
      <c r="Q160" s="1131" t="str">
        <f t="shared" si="13"/>
        <v xml:space="preserve"> </v>
      </c>
      <c r="R160" s="1118">
        <f>IF('Schedule C'!AX419&gt;='DVO (F1 - F2)'!J$3,IF('Schedule C'!AX419&lt;='DVO (F1 - F2)'!K$3,IF('Schedule C'!BA419="APPROVED",'Schedule C'!A419,0),0),0)</f>
        <v>0</v>
      </c>
    </row>
    <row r="161" spans="1:18" ht="15">
      <c r="A161" s="1125">
        <f t="shared" si="9"/>
        <v>154</v>
      </c>
      <c r="B161" s="1126">
        <v>1</v>
      </c>
      <c r="C161" s="1126" t="str">
        <f>IFERROR(VLOOKUP($D161,dropdowns!$I$3:$Q$30,6,0), " ")</f>
        <v xml:space="preserve"> </v>
      </c>
      <c r="D161" s="1126" t="str">
        <f>IFERROR(INDEX('Schedule C'!$A$20:$BA$83,MATCH('DVO (F1 - F2)'!$R344,'Schedule C'!$A$20:$A$83,0),13)," ")</f>
        <v xml:space="preserve"> </v>
      </c>
      <c r="E161" s="1126" t="str">
        <f>IFERROR(VLOOKUP($D161,dropdowns!$I$3:$Q$30,7,0), " ")</f>
        <v xml:space="preserve"> </v>
      </c>
      <c r="F161" s="1126" t="str">
        <f>IFERROR(INDEX('Schedule C'!$A$20:$BA$83,MATCH('DVO (F1 - F2)'!$R161,'Schedule C'!$A$20:$A$83,0),2)," ")</f>
        <v xml:space="preserve"> </v>
      </c>
      <c r="G161" s="1127" t="str">
        <f>IFERROR(INDEX('Schedule C'!$A$20:$BA$83,MATCH('DVO (F1 - F2)'!$R161,'Schedule C'!$A$20:$A$83,0),38)," ")</f>
        <v xml:space="preserve"> </v>
      </c>
      <c r="H161" s="1127" t="str">
        <f>IFERROR(INDEX('Schedule C'!$A$20:$BA$83,MATCH('DVO (F1 - F2)'!$R161,'Schedule C'!$A$20:$A$83,0),39)," ")</f>
        <v xml:space="preserve"> </v>
      </c>
      <c r="I161" s="1127" t="str">
        <f>IFERROR(INDEX('Schedule C'!$A$20:$BA$83,MATCH('DVO (F1 - F2)'!$R161,'Schedule C'!$A$20:$A$83,0),41)," ")</f>
        <v xml:space="preserve"> </v>
      </c>
      <c r="J161" s="1127" t="str">
        <f>IFERROR(INDEX('Schedule C'!$A$20:$BA$83,MATCH('DVO (F1 - F2)'!$R161,'Schedule C'!$A$20:$A$83,0),50)," ")</f>
        <v xml:space="preserve"> </v>
      </c>
      <c r="K161" s="1452" t="str">
        <f>IFERROR(INDEX('Schedule C'!$A$20:$BA$83,MATCH('DVO (F1 - F2)'!$R161,'Schedule C'!$A$20:$A$83,0),33)," ")</f>
        <v xml:space="preserve"> </v>
      </c>
      <c r="L161" s="1453" t="str">
        <f>IFERROR(INDEX('Schedule C'!$A$20:$BA$83,MATCH('DVO (F1 - F2)'!$R161,'Schedule C'!$A$20:$A$83,0),52)," ")</f>
        <v xml:space="preserve"> </v>
      </c>
      <c r="M161" s="1454" t="str">
        <f>IFERROR(INDEX('Schedule C'!$A$20:$BA$83,MATCH('DVO (F1 - F2)'!$R161,'Schedule C'!$A$20:$A$83,0),50)-INDEX('Schedule C'!$A$20:$BA$83,MATCH('DVO (F1 - F2)'!$R161,'Schedule C'!$A$20:$A$83,0),39)," ")</f>
        <v xml:space="preserve"> </v>
      </c>
      <c r="N161" s="1129" t="str">
        <f t="shared" si="10"/>
        <v xml:space="preserve"> </v>
      </c>
      <c r="O161" s="1129" t="str">
        <f t="shared" si="11"/>
        <v xml:space="preserve"> </v>
      </c>
      <c r="P161" s="1130" t="str">
        <f t="shared" si="12"/>
        <v xml:space="preserve"> </v>
      </c>
      <c r="Q161" s="1131" t="str">
        <f t="shared" si="13"/>
        <v xml:space="preserve"> </v>
      </c>
      <c r="R161" s="1118">
        <f>IF('Schedule C'!AX420&gt;='DVO (F1 - F2)'!J$3,IF('Schedule C'!AX420&lt;='DVO (F1 - F2)'!K$3,IF('Schedule C'!BA420="APPROVED",'Schedule C'!A420,0),0),0)</f>
        <v>0</v>
      </c>
    </row>
    <row r="162" spans="1:18" ht="15">
      <c r="A162" s="1125">
        <f t="shared" si="9"/>
        <v>155</v>
      </c>
      <c r="B162" s="1126">
        <v>1</v>
      </c>
      <c r="C162" s="1126" t="str">
        <f>IFERROR(VLOOKUP($D162,dropdowns!$I$3:$Q$30,6,0), " ")</f>
        <v xml:space="preserve"> </v>
      </c>
      <c r="D162" s="1126" t="str">
        <f>IFERROR(INDEX('Schedule C'!$A$20:$BA$83,MATCH('DVO (F1 - F2)'!$R345,'Schedule C'!$A$20:$A$83,0),13)," ")</f>
        <v xml:space="preserve"> </v>
      </c>
      <c r="E162" s="1126" t="str">
        <f>IFERROR(VLOOKUP($D162,dropdowns!$I$3:$Q$30,7,0), " ")</f>
        <v xml:space="preserve"> </v>
      </c>
      <c r="F162" s="1126" t="str">
        <f>IFERROR(INDEX('Schedule C'!$A$20:$BA$83,MATCH('DVO (F1 - F2)'!$R162,'Schedule C'!$A$20:$A$83,0),2)," ")</f>
        <v xml:space="preserve"> </v>
      </c>
      <c r="G162" s="1127" t="str">
        <f>IFERROR(INDEX('Schedule C'!$A$20:$BA$83,MATCH('DVO (F1 - F2)'!$R162,'Schedule C'!$A$20:$A$83,0),38)," ")</f>
        <v xml:space="preserve"> </v>
      </c>
      <c r="H162" s="1127" t="str">
        <f>IFERROR(INDEX('Schedule C'!$A$20:$BA$83,MATCH('DVO (F1 - F2)'!$R162,'Schedule C'!$A$20:$A$83,0),39)," ")</f>
        <v xml:space="preserve"> </v>
      </c>
      <c r="I162" s="1127" t="str">
        <f>IFERROR(INDEX('Schedule C'!$A$20:$BA$83,MATCH('DVO (F1 - F2)'!$R162,'Schedule C'!$A$20:$A$83,0),41)," ")</f>
        <v xml:space="preserve"> </v>
      </c>
      <c r="J162" s="1127" t="str">
        <f>IFERROR(INDEX('Schedule C'!$A$20:$BA$83,MATCH('DVO (F1 - F2)'!$R162,'Schedule C'!$A$20:$A$83,0),50)," ")</f>
        <v xml:space="preserve"> </v>
      </c>
      <c r="K162" s="1452" t="str">
        <f>IFERROR(INDEX('Schedule C'!$A$20:$BA$83,MATCH('DVO (F1 - F2)'!$R162,'Schedule C'!$A$20:$A$83,0),33)," ")</f>
        <v xml:space="preserve"> </v>
      </c>
      <c r="L162" s="1453" t="str">
        <f>IFERROR(INDEX('Schedule C'!$A$20:$BA$83,MATCH('DVO (F1 - F2)'!$R162,'Schedule C'!$A$20:$A$83,0),52)," ")</f>
        <v xml:space="preserve"> </v>
      </c>
      <c r="M162" s="1454" t="str">
        <f>IFERROR(INDEX('Schedule C'!$A$20:$BA$83,MATCH('DVO (F1 - F2)'!$R162,'Schedule C'!$A$20:$A$83,0),50)-INDEX('Schedule C'!$A$20:$BA$83,MATCH('DVO (F1 - F2)'!$R162,'Schedule C'!$A$20:$A$83,0),39)," ")</f>
        <v xml:space="preserve"> </v>
      </c>
      <c r="N162" s="1129" t="str">
        <f t="shared" si="10"/>
        <v xml:space="preserve"> </v>
      </c>
      <c r="O162" s="1129" t="str">
        <f t="shared" si="11"/>
        <v xml:space="preserve"> </v>
      </c>
      <c r="P162" s="1130" t="str">
        <f t="shared" si="12"/>
        <v xml:space="preserve"> </v>
      </c>
      <c r="Q162" s="1131" t="str">
        <f t="shared" si="13"/>
        <v xml:space="preserve"> </v>
      </c>
      <c r="R162" s="1118">
        <f>IF('Schedule C'!AX421&gt;='DVO (F1 - F2)'!J$3,IF('Schedule C'!AX421&lt;='DVO (F1 - F2)'!K$3,IF('Schedule C'!BA421="APPROVED",'Schedule C'!A421,0),0),0)</f>
        <v>0</v>
      </c>
    </row>
    <row r="163" spans="1:18" ht="15">
      <c r="A163" s="1125">
        <f t="shared" si="9"/>
        <v>156</v>
      </c>
      <c r="B163" s="1126">
        <v>1</v>
      </c>
      <c r="C163" s="1126" t="str">
        <f>IFERROR(VLOOKUP($D163,dropdowns!$I$3:$Q$30,6,0), " ")</f>
        <v xml:space="preserve"> </v>
      </c>
      <c r="D163" s="1126" t="str">
        <f>IFERROR(INDEX('Schedule C'!$A$20:$BA$83,MATCH('DVO (F1 - F2)'!$R346,'Schedule C'!$A$20:$A$83,0),13)," ")</f>
        <v xml:space="preserve"> </v>
      </c>
      <c r="E163" s="1126" t="str">
        <f>IFERROR(VLOOKUP($D163,dropdowns!$I$3:$Q$30,7,0), " ")</f>
        <v xml:space="preserve"> </v>
      </c>
      <c r="F163" s="1126" t="str">
        <f>IFERROR(INDEX('Schedule C'!$A$20:$BA$83,MATCH('DVO (F1 - F2)'!$R163,'Schedule C'!$A$20:$A$83,0),2)," ")</f>
        <v xml:space="preserve"> </v>
      </c>
      <c r="G163" s="1127" t="str">
        <f>IFERROR(INDEX('Schedule C'!$A$20:$BA$83,MATCH('DVO (F1 - F2)'!$R163,'Schedule C'!$A$20:$A$83,0),38)," ")</f>
        <v xml:space="preserve"> </v>
      </c>
      <c r="H163" s="1127" t="str">
        <f>IFERROR(INDEX('Schedule C'!$A$20:$BA$83,MATCH('DVO (F1 - F2)'!$R163,'Schedule C'!$A$20:$A$83,0),39)," ")</f>
        <v xml:space="preserve"> </v>
      </c>
      <c r="I163" s="1127" t="str">
        <f>IFERROR(INDEX('Schedule C'!$A$20:$BA$83,MATCH('DVO (F1 - F2)'!$R163,'Schedule C'!$A$20:$A$83,0),41)," ")</f>
        <v xml:space="preserve"> </v>
      </c>
      <c r="J163" s="1127" t="str">
        <f>IFERROR(INDEX('Schedule C'!$A$20:$BA$83,MATCH('DVO (F1 - F2)'!$R163,'Schedule C'!$A$20:$A$83,0),50)," ")</f>
        <v xml:space="preserve"> </v>
      </c>
      <c r="K163" s="1452" t="str">
        <f>IFERROR(INDEX('Schedule C'!$A$20:$BA$83,MATCH('DVO (F1 - F2)'!$R163,'Schedule C'!$A$20:$A$83,0),33)," ")</f>
        <v xml:space="preserve"> </v>
      </c>
      <c r="L163" s="1453" t="str">
        <f>IFERROR(INDEX('Schedule C'!$A$20:$BA$83,MATCH('DVO (F1 - F2)'!$R163,'Schedule C'!$A$20:$A$83,0),52)," ")</f>
        <v xml:space="preserve"> </v>
      </c>
      <c r="M163" s="1454" t="str">
        <f>IFERROR(INDEX('Schedule C'!$A$20:$BA$83,MATCH('DVO (F1 - F2)'!$R163,'Schedule C'!$A$20:$A$83,0),50)-INDEX('Schedule C'!$A$20:$BA$83,MATCH('DVO (F1 - F2)'!$R163,'Schedule C'!$A$20:$A$83,0),39)," ")</f>
        <v xml:space="preserve"> </v>
      </c>
      <c r="N163" s="1129" t="str">
        <f t="shared" si="10"/>
        <v xml:space="preserve"> </v>
      </c>
      <c r="O163" s="1129" t="str">
        <f t="shared" si="11"/>
        <v xml:space="preserve"> </v>
      </c>
      <c r="P163" s="1130" t="str">
        <f t="shared" si="12"/>
        <v xml:space="preserve"> </v>
      </c>
      <c r="Q163" s="1131" t="str">
        <f t="shared" si="13"/>
        <v xml:space="preserve"> </v>
      </c>
      <c r="R163" s="1118">
        <f>IF('Schedule C'!AX422&gt;='DVO (F1 - F2)'!J$3,IF('Schedule C'!AX422&lt;='DVO (F1 - F2)'!K$3,IF('Schedule C'!BA422="APPROVED",'Schedule C'!A422,0),0),0)</f>
        <v>0</v>
      </c>
    </row>
    <row r="164" spans="1:18" ht="15">
      <c r="A164" s="1125">
        <f t="shared" si="9"/>
        <v>157</v>
      </c>
      <c r="B164" s="1126">
        <v>1</v>
      </c>
      <c r="C164" s="1126" t="str">
        <f>IFERROR(VLOOKUP($D164,dropdowns!$I$3:$Q$30,6,0), " ")</f>
        <v xml:space="preserve"> </v>
      </c>
      <c r="D164" s="1126" t="str">
        <f>IFERROR(INDEX('Schedule C'!$A$20:$BA$83,MATCH('DVO (F1 - F2)'!$R347,'Schedule C'!$A$20:$A$83,0),13)," ")</f>
        <v xml:space="preserve"> </v>
      </c>
      <c r="E164" s="1126" t="str">
        <f>IFERROR(VLOOKUP($D164,dropdowns!$I$3:$Q$30,7,0), " ")</f>
        <v xml:space="preserve"> </v>
      </c>
      <c r="F164" s="1126" t="str">
        <f>IFERROR(INDEX('Schedule C'!$A$20:$BA$83,MATCH('DVO (F1 - F2)'!$R164,'Schedule C'!$A$20:$A$83,0),2)," ")</f>
        <v xml:space="preserve"> </v>
      </c>
      <c r="G164" s="1127" t="str">
        <f>IFERROR(INDEX('Schedule C'!$A$20:$BA$83,MATCH('DVO (F1 - F2)'!$R164,'Schedule C'!$A$20:$A$83,0),38)," ")</f>
        <v xml:space="preserve"> </v>
      </c>
      <c r="H164" s="1127" t="str">
        <f>IFERROR(INDEX('Schedule C'!$A$20:$BA$83,MATCH('DVO (F1 - F2)'!$R164,'Schedule C'!$A$20:$A$83,0),39)," ")</f>
        <v xml:space="preserve"> </v>
      </c>
      <c r="I164" s="1127" t="str">
        <f>IFERROR(INDEX('Schedule C'!$A$20:$BA$83,MATCH('DVO (F1 - F2)'!$R164,'Schedule C'!$A$20:$A$83,0),41)," ")</f>
        <v xml:space="preserve"> </v>
      </c>
      <c r="J164" s="1127" t="str">
        <f>IFERROR(INDEX('Schedule C'!$A$20:$BA$83,MATCH('DVO (F1 - F2)'!$R164,'Schedule C'!$A$20:$A$83,0),50)," ")</f>
        <v xml:space="preserve"> </v>
      </c>
      <c r="K164" s="1452" t="str">
        <f>IFERROR(INDEX('Schedule C'!$A$20:$BA$83,MATCH('DVO (F1 - F2)'!$R164,'Schedule C'!$A$20:$A$83,0),33)," ")</f>
        <v xml:space="preserve"> </v>
      </c>
      <c r="L164" s="1453" t="str">
        <f>IFERROR(INDEX('Schedule C'!$A$20:$BA$83,MATCH('DVO (F1 - F2)'!$R164,'Schedule C'!$A$20:$A$83,0),52)," ")</f>
        <v xml:space="preserve"> </v>
      </c>
      <c r="M164" s="1454" t="str">
        <f>IFERROR(INDEX('Schedule C'!$A$20:$BA$83,MATCH('DVO (F1 - F2)'!$R164,'Schedule C'!$A$20:$A$83,0),50)-INDEX('Schedule C'!$A$20:$BA$83,MATCH('DVO (F1 - F2)'!$R164,'Schedule C'!$A$20:$A$83,0),39)," ")</f>
        <v xml:space="preserve"> </v>
      </c>
      <c r="N164" s="1129" t="str">
        <f t="shared" si="10"/>
        <v xml:space="preserve"> </v>
      </c>
      <c r="O164" s="1129" t="str">
        <f t="shared" si="11"/>
        <v xml:space="preserve"> </v>
      </c>
      <c r="P164" s="1130" t="str">
        <f t="shared" si="12"/>
        <v xml:space="preserve"> </v>
      </c>
      <c r="Q164" s="1131" t="str">
        <f t="shared" si="13"/>
        <v xml:space="preserve"> </v>
      </c>
      <c r="R164" s="1118">
        <f>IF('Schedule C'!AX423&gt;='DVO (F1 - F2)'!J$3,IF('Schedule C'!AX423&lt;='DVO (F1 - F2)'!K$3,IF('Schedule C'!BA423="APPROVED",'Schedule C'!A423,0),0),0)</f>
        <v>0</v>
      </c>
    </row>
    <row r="165" spans="1:18" ht="15">
      <c r="A165" s="1125">
        <f t="shared" si="9"/>
        <v>158</v>
      </c>
      <c r="B165" s="1126">
        <v>1</v>
      </c>
      <c r="C165" s="1126" t="str">
        <f>IFERROR(VLOOKUP($D165,dropdowns!$I$3:$Q$30,6,0), " ")</f>
        <v xml:space="preserve"> </v>
      </c>
      <c r="D165" s="1126" t="str">
        <f>IFERROR(INDEX('Schedule C'!$A$20:$BA$83,MATCH('DVO (F1 - F2)'!$R348,'Schedule C'!$A$20:$A$83,0),13)," ")</f>
        <v xml:space="preserve"> </v>
      </c>
      <c r="E165" s="1126" t="str">
        <f>IFERROR(VLOOKUP($D165,dropdowns!$I$3:$Q$30,7,0), " ")</f>
        <v xml:space="preserve"> </v>
      </c>
      <c r="F165" s="1126" t="str">
        <f>IFERROR(INDEX('Schedule C'!$A$20:$BA$83,MATCH('DVO (F1 - F2)'!$R165,'Schedule C'!$A$20:$A$83,0),2)," ")</f>
        <v xml:space="preserve"> </v>
      </c>
      <c r="G165" s="1127" t="str">
        <f>IFERROR(INDEX('Schedule C'!$A$20:$BA$83,MATCH('DVO (F1 - F2)'!$R165,'Schedule C'!$A$20:$A$83,0),38)," ")</f>
        <v xml:space="preserve"> </v>
      </c>
      <c r="H165" s="1127" t="str">
        <f>IFERROR(INDEX('Schedule C'!$A$20:$BA$83,MATCH('DVO (F1 - F2)'!$R165,'Schedule C'!$A$20:$A$83,0),39)," ")</f>
        <v xml:space="preserve"> </v>
      </c>
      <c r="I165" s="1127" t="str">
        <f>IFERROR(INDEX('Schedule C'!$A$20:$BA$83,MATCH('DVO (F1 - F2)'!$R165,'Schedule C'!$A$20:$A$83,0),41)," ")</f>
        <v xml:space="preserve"> </v>
      </c>
      <c r="J165" s="1127" t="str">
        <f>IFERROR(INDEX('Schedule C'!$A$20:$BA$83,MATCH('DVO (F1 - F2)'!$R165,'Schedule C'!$A$20:$A$83,0),50)," ")</f>
        <v xml:space="preserve"> </v>
      </c>
      <c r="K165" s="1452" t="str">
        <f>IFERROR(INDEX('Schedule C'!$A$20:$BA$83,MATCH('DVO (F1 - F2)'!$R165,'Schedule C'!$A$20:$A$83,0),33)," ")</f>
        <v xml:space="preserve"> </v>
      </c>
      <c r="L165" s="1453" t="str">
        <f>IFERROR(INDEX('Schedule C'!$A$20:$BA$83,MATCH('DVO (F1 - F2)'!$R165,'Schedule C'!$A$20:$A$83,0),52)," ")</f>
        <v xml:space="preserve"> </v>
      </c>
      <c r="M165" s="1454" t="str">
        <f>IFERROR(INDEX('Schedule C'!$A$20:$BA$83,MATCH('DVO (F1 - F2)'!$R165,'Schedule C'!$A$20:$A$83,0),50)-INDEX('Schedule C'!$A$20:$BA$83,MATCH('DVO (F1 - F2)'!$R165,'Schedule C'!$A$20:$A$83,0),39)," ")</f>
        <v xml:space="preserve"> </v>
      </c>
      <c r="N165" s="1129" t="str">
        <f t="shared" si="10"/>
        <v xml:space="preserve"> </v>
      </c>
      <c r="O165" s="1129" t="str">
        <f t="shared" si="11"/>
        <v xml:space="preserve"> </v>
      </c>
      <c r="P165" s="1130" t="str">
        <f t="shared" si="12"/>
        <v xml:space="preserve"> </v>
      </c>
      <c r="Q165" s="1131" t="str">
        <f t="shared" si="13"/>
        <v xml:space="preserve"> </v>
      </c>
      <c r="R165" s="1118">
        <f>IF('Schedule C'!AX424&gt;='DVO (F1 - F2)'!J$3,IF('Schedule C'!AX424&lt;='DVO (F1 - F2)'!K$3,IF('Schedule C'!BA424="APPROVED",'Schedule C'!A424,0),0),0)</f>
        <v>0</v>
      </c>
    </row>
    <row r="166" spans="1:18" ht="15">
      <c r="A166" s="1125">
        <f t="shared" si="9"/>
        <v>159</v>
      </c>
      <c r="B166" s="1126">
        <v>1</v>
      </c>
      <c r="C166" s="1126" t="str">
        <f>IFERROR(VLOOKUP($D166,dropdowns!$I$3:$Q$30,6,0), " ")</f>
        <v xml:space="preserve"> </v>
      </c>
      <c r="D166" s="1126" t="str">
        <f>IFERROR(INDEX('Schedule C'!$A$20:$BA$83,MATCH('DVO (F1 - F2)'!$R349,'Schedule C'!$A$20:$A$83,0),13)," ")</f>
        <v xml:space="preserve"> </v>
      </c>
      <c r="E166" s="1126" t="str">
        <f>IFERROR(VLOOKUP($D166,dropdowns!$I$3:$Q$30,7,0), " ")</f>
        <v xml:space="preserve"> </v>
      </c>
      <c r="F166" s="1126" t="str">
        <f>IFERROR(INDEX('Schedule C'!$A$20:$BA$83,MATCH('DVO (F1 - F2)'!$R166,'Schedule C'!$A$20:$A$83,0),2)," ")</f>
        <v xml:space="preserve"> </v>
      </c>
      <c r="G166" s="1127" t="str">
        <f>IFERROR(INDEX('Schedule C'!$A$20:$BA$83,MATCH('DVO (F1 - F2)'!$R166,'Schedule C'!$A$20:$A$83,0),38)," ")</f>
        <v xml:space="preserve"> </v>
      </c>
      <c r="H166" s="1127" t="str">
        <f>IFERROR(INDEX('Schedule C'!$A$20:$BA$83,MATCH('DVO (F1 - F2)'!$R166,'Schedule C'!$A$20:$A$83,0),39)," ")</f>
        <v xml:space="preserve"> </v>
      </c>
      <c r="I166" s="1127" t="str">
        <f>IFERROR(INDEX('Schedule C'!$A$20:$BA$83,MATCH('DVO (F1 - F2)'!$R166,'Schedule C'!$A$20:$A$83,0),41)," ")</f>
        <v xml:space="preserve"> </v>
      </c>
      <c r="J166" s="1127" t="str">
        <f>IFERROR(INDEX('Schedule C'!$A$20:$BA$83,MATCH('DVO (F1 - F2)'!$R166,'Schedule C'!$A$20:$A$83,0),50)," ")</f>
        <v xml:space="preserve"> </v>
      </c>
      <c r="K166" s="1452" t="str">
        <f>IFERROR(INDEX('Schedule C'!$A$20:$BA$83,MATCH('DVO (F1 - F2)'!$R166,'Schedule C'!$A$20:$A$83,0),33)," ")</f>
        <v xml:space="preserve"> </v>
      </c>
      <c r="L166" s="1453" t="str">
        <f>IFERROR(INDEX('Schedule C'!$A$20:$BA$83,MATCH('DVO (F1 - F2)'!$R166,'Schedule C'!$A$20:$A$83,0),52)," ")</f>
        <v xml:space="preserve"> </v>
      </c>
      <c r="M166" s="1454" t="str">
        <f>IFERROR(INDEX('Schedule C'!$A$20:$BA$83,MATCH('DVO (F1 - F2)'!$R166,'Schedule C'!$A$20:$A$83,0),50)-INDEX('Schedule C'!$A$20:$BA$83,MATCH('DVO (F1 - F2)'!$R166,'Schedule C'!$A$20:$A$83,0),39)," ")</f>
        <v xml:space="preserve"> </v>
      </c>
      <c r="N166" s="1129" t="str">
        <f t="shared" si="10"/>
        <v xml:space="preserve"> </v>
      </c>
      <c r="O166" s="1129" t="str">
        <f t="shared" si="11"/>
        <v xml:space="preserve"> </v>
      </c>
      <c r="P166" s="1130" t="str">
        <f t="shared" si="12"/>
        <v xml:space="preserve"> </v>
      </c>
      <c r="Q166" s="1131" t="str">
        <f t="shared" si="13"/>
        <v xml:space="preserve"> </v>
      </c>
      <c r="R166" s="1118">
        <f>IF('Schedule C'!AX425&gt;='DVO (F1 - F2)'!J$3,IF('Schedule C'!AX425&lt;='DVO (F1 - F2)'!K$3,IF('Schedule C'!BA425="APPROVED",'Schedule C'!A425,0),0),0)</f>
        <v>0</v>
      </c>
    </row>
    <row r="167" spans="1:18" ht="15">
      <c r="A167" s="1125">
        <f t="shared" si="9"/>
        <v>160</v>
      </c>
      <c r="B167" s="1126">
        <v>1</v>
      </c>
      <c r="C167" s="1126" t="str">
        <f>IFERROR(VLOOKUP($D167,dropdowns!$I$3:$Q$30,6,0), " ")</f>
        <v xml:space="preserve"> </v>
      </c>
      <c r="D167" s="1126" t="str">
        <f>IFERROR(INDEX('Schedule C'!$A$20:$BA$83,MATCH('DVO (F1 - F2)'!$R350,'Schedule C'!$A$20:$A$83,0),13)," ")</f>
        <v xml:space="preserve"> </v>
      </c>
      <c r="E167" s="1126" t="str">
        <f>IFERROR(VLOOKUP($D167,dropdowns!$I$3:$Q$30,7,0), " ")</f>
        <v xml:space="preserve"> </v>
      </c>
      <c r="F167" s="1126" t="str">
        <f>IFERROR(INDEX('Schedule C'!$A$20:$BA$83,MATCH('DVO (F1 - F2)'!$R167,'Schedule C'!$A$20:$A$83,0),2)," ")</f>
        <v xml:space="preserve"> </v>
      </c>
      <c r="G167" s="1127" t="str">
        <f>IFERROR(INDEX('Schedule C'!$A$20:$BA$83,MATCH('DVO (F1 - F2)'!$R167,'Schedule C'!$A$20:$A$83,0),38)," ")</f>
        <v xml:space="preserve"> </v>
      </c>
      <c r="H167" s="1127" t="str">
        <f>IFERROR(INDEX('Schedule C'!$A$20:$BA$83,MATCH('DVO (F1 - F2)'!$R167,'Schedule C'!$A$20:$A$83,0),39)," ")</f>
        <v xml:space="preserve"> </v>
      </c>
      <c r="I167" s="1127" t="str">
        <f>IFERROR(INDEX('Schedule C'!$A$20:$BA$83,MATCH('DVO (F1 - F2)'!$R167,'Schedule C'!$A$20:$A$83,0),41)," ")</f>
        <v xml:space="preserve"> </v>
      </c>
      <c r="J167" s="1127" t="str">
        <f>IFERROR(INDEX('Schedule C'!$A$20:$BA$83,MATCH('DVO (F1 - F2)'!$R167,'Schedule C'!$A$20:$A$83,0),50)," ")</f>
        <v xml:space="preserve"> </v>
      </c>
      <c r="K167" s="1452" t="str">
        <f>IFERROR(INDEX('Schedule C'!$A$20:$BA$83,MATCH('DVO (F1 - F2)'!$R167,'Schedule C'!$A$20:$A$83,0),33)," ")</f>
        <v xml:space="preserve"> </v>
      </c>
      <c r="L167" s="1453" t="str">
        <f>IFERROR(INDEX('Schedule C'!$A$20:$BA$83,MATCH('DVO (F1 - F2)'!$R167,'Schedule C'!$A$20:$A$83,0),52)," ")</f>
        <v xml:space="preserve"> </v>
      </c>
      <c r="M167" s="1454" t="str">
        <f>IFERROR(INDEX('Schedule C'!$A$20:$BA$83,MATCH('DVO (F1 - F2)'!$R167,'Schedule C'!$A$20:$A$83,0),50)-INDEX('Schedule C'!$A$20:$BA$83,MATCH('DVO (F1 - F2)'!$R167,'Schedule C'!$A$20:$A$83,0),39)," ")</f>
        <v xml:space="preserve"> </v>
      </c>
      <c r="N167" s="1129" t="str">
        <f t="shared" si="10"/>
        <v xml:space="preserve"> </v>
      </c>
      <c r="O167" s="1129" t="str">
        <f t="shared" si="11"/>
        <v xml:space="preserve"> </v>
      </c>
      <c r="P167" s="1130" t="str">
        <f t="shared" si="12"/>
        <v xml:space="preserve"> </v>
      </c>
      <c r="Q167" s="1131" t="str">
        <f t="shared" si="13"/>
        <v xml:space="preserve"> </v>
      </c>
      <c r="R167" s="1118">
        <f>IF('Schedule C'!AX426&gt;='DVO (F1 - F2)'!J$3,IF('Schedule C'!AX426&lt;='DVO (F1 - F2)'!K$3,IF('Schedule C'!BA426="APPROVED",'Schedule C'!A426,0),0),0)</f>
        <v>0</v>
      </c>
    </row>
    <row r="168" spans="1:18" ht="15">
      <c r="A168" s="1125">
        <f t="shared" si="9"/>
        <v>161</v>
      </c>
      <c r="B168" s="1126">
        <v>1</v>
      </c>
      <c r="C168" s="1126" t="str">
        <f>IFERROR(VLOOKUP($D168,dropdowns!$I$3:$Q$30,6,0), " ")</f>
        <v xml:space="preserve"> </v>
      </c>
      <c r="D168" s="1126" t="str">
        <f>IFERROR(INDEX('Schedule C'!$A$20:$BA$83,MATCH('DVO (F1 - F2)'!$R351,'Schedule C'!$A$20:$A$83,0),13)," ")</f>
        <v xml:space="preserve"> </v>
      </c>
      <c r="E168" s="1126" t="str">
        <f>IFERROR(VLOOKUP($D168,dropdowns!$I$3:$Q$30,7,0), " ")</f>
        <v xml:space="preserve"> </v>
      </c>
      <c r="F168" s="1126" t="str">
        <f>IFERROR(INDEX('Schedule C'!$A$20:$BA$83,MATCH('DVO (F1 - F2)'!$R168,'Schedule C'!$A$20:$A$83,0),2)," ")</f>
        <v xml:space="preserve"> </v>
      </c>
      <c r="G168" s="1127" t="str">
        <f>IFERROR(INDEX('Schedule C'!$A$20:$BA$83,MATCH('DVO (F1 - F2)'!$R168,'Schedule C'!$A$20:$A$83,0),38)," ")</f>
        <v xml:space="preserve"> </v>
      </c>
      <c r="H168" s="1127" t="str">
        <f>IFERROR(INDEX('Schedule C'!$A$20:$BA$83,MATCH('DVO (F1 - F2)'!$R168,'Schedule C'!$A$20:$A$83,0),39)," ")</f>
        <v xml:space="preserve"> </v>
      </c>
      <c r="I168" s="1127" t="str">
        <f>IFERROR(INDEX('Schedule C'!$A$20:$BA$83,MATCH('DVO (F1 - F2)'!$R168,'Schedule C'!$A$20:$A$83,0),41)," ")</f>
        <v xml:space="preserve"> </v>
      </c>
      <c r="J168" s="1127" t="str">
        <f>IFERROR(INDEX('Schedule C'!$A$20:$BA$83,MATCH('DVO (F1 - F2)'!$R168,'Schedule C'!$A$20:$A$83,0),50)," ")</f>
        <v xml:space="preserve"> </v>
      </c>
      <c r="K168" s="1452" t="str">
        <f>IFERROR(INDEX('Schedule C'!$A$20:$BA$83,MATCH('DVO (F1 - F2)'!$R168,'Schedule C'!$A$20:$A$83,0),33)," ")</f>
        <v xml:space="preserve"> </v>
      </c>
      <c r="L168" s="1453" t="str">
        <f>IFERROR(INDEX('Schedule C'!$A$20:$BA$83,MATCH('DVO (F1 - F2)'!$R168,'Schedule C'!$A$20:$A$83,0),52)," ")</f>
        <v xml:space="preserve"> </v>
      </c>
      <c r="M168" s="1454" t="str">
        <f>IFERROR(INDEX('Schedule C'!$A$20:$BA$83,MATCH('DVO (F1 - F2)'!$R168,'Schedule C'!$A$20:$A$83,0),50)-INDEX('Schedule C'!$A$20:$BA$83,MATCH('DVO (F1 - F2)'!$R168,'Schedule C'!$A$20:$A$83,0),39)," ")</f>
        <v xml:space="preserve"> </v>
      </c>
      <c r="N168" s="1129" t="str">
        <f t="shared" si="10"/>
        <v xml:space="preserve"> </v>
      </c>
      <c r="O168" s="1129" t="str">
        <f t="shared" si="11"/>
        <v xml:space="preserve"> </v>
      </c>
      <c r="P168" s="1130" t="str">
        <f t="shared" si="12"/>
        <v xml:space="preserve"> </v>
      </c>
      <c r="Q168" s="1131" t="str">
        <f t="shared" si="13"/>
        <v xml:space="preserve"> </v>
      </c>
      <c r="R168" s="1118">
        <f>IF('Schedule C'!AX427&gt;='DVO (F1 - F2)'!J$3,IF('Schedule C'!AX427&lt;='DVO (F1 - F2)'!K$3,IF('Schedule C'!BA427="APPROVED",'Schedule C'!A427,0),0),0)</f>
        <v>0</v>
      </c>
    </row>
    <row r="169" spans="1:18" ht="15">
      <c r="A169" s="1125">
        <f t="shared" si="9"/>
        <v>162</v>
      </c>
      <c r="B169" s="1126">
        <v>1</v>
      </c>
      <c r="C169" s="1126" t="str">
        <f>IFERROR(VLOOKUP($D169,dropdowns!$I$3:$Q$30,6,0), " ")</f>
        <v xml:space="preserve"> </v>
      </c>
      <c r="D169" s="1126" t="str">
        <f>IFERROR(INDEX('Schedule C'!$A$20:$BA$83,MATCH('DVO (F1 - F2)'!$R352,'Schedule C'!$A$20:$A$83,0),13)," ")</f>
        <v xml:space="preserve"> </v>
      </c>
      <c r="E169" s="1126" t="str">
        <f>IFERROR(VLOOKUP($D169,dropdowns!$I$3:$Q$30,7,0), " ")</f>
        <v xml:space="preserve"> </v>
      </c>
      <c r="F169" s="1126" t="str">
        <f>IFERROR(INDEX('Schedule C'!$A$20:$BA$83,MATCH('DVO (F1 - F2)'!$R169,'Schedule C'!$A$20:$A$83,0),2)," ")</f>
        <v xml:space="preserve"> </v>
      </c>
      <c r="G169" s="1127" t="str">
        <f>IFERROR(INDEX('Schedule C'!$A$20:$BA$83,MATCH('DVO (F1 - F2)'!$R169,'Schedule C'!$A$20:$A$83,0),38)," ")</f>
        <v xml:space="preserve"> </v>
      </c>
      <c r="H169" s="1127" t="str">
        <f>IFERROR(INDEX('Schedule C'!$A$20:$BA$83,MATCH('DVO (F1 - F2)'!$R169,'Schedule C'!$A$20:$A$83,0),39)," ")</f>
        <v xml:space="preserve"> </v>
      </c>
      <c r="I169" s="1127" t="str">
        <f>IFERROR(INDEX('Schedule C'!$A$20:$BA$83,MATCH('DVO (F1 - F2)'!$R169,'Schedule C'!$A$20:$A$83,0),41)," ")</f>
        <v xml:space="preserve"> </v>
      </c>
      <c r="J169" s="1127" t="str">
        <f>IFERROR(INDEX('Schedule C'!$A$20:$BA$83,MATCH('DVO (F1 - F2)'!$R169,'Schedule C'!$A$20:$A$83,0),50)," ")</f>
        <v xml:space="preserve"> </v>
      </c>
      <c r="K169" s="1452" t="str">
        <f>IFERROR(INDEX('Schedule C'!$A$20:$BA$83,MATCH('DVO (F1 - F2)'!$R169,'Schedule C'!$A$20:$A$83,0),33)," ")</f>
        <v xml:space="preserve"> </v>
      </c>
      <c r="L169" s="1453" t="str">
        <f>IFERROR(INDEX('Schedule C'!$A$20:$BA$83,MATCH('DVO (F1 - F2)'!$R169,'Schedule C'!$A$20:$A$83,0),52)," ")</f>
        <v xml:space="preserve"> </v>
      </c>
      <c r="M169" s="1454" t="str">
        <f>IFERROR(INDEX('Schedule C'!$A$20:$BA$83,MATCH('DVO (F1 - F2)'!$R169,'Schedule C'!$A$20:$A$83,0),50)-INDEX('Schedule C'!$A$20:$BA$83,MATCH('DVO (F1 - F2)'!$R169,'Schedule C'!$A$20:$A$83,0),39)," ")</f>
        <v xml:space="preserve"> </v>
      </c>
      <c r="N169" s="1129" t="str">
        <f t="shared" si="10"/>
        <v xml:space="preserve"> </v>
      </c>
      <c r="O169" s="1129" t="str">
        <f t="shared" si="11"/>
        <v xml:space="preserve"> </v>
      </c>
      <c r="P169" s="1130" t="str">
        <f t="shared" si="12"/>
        <v xml:space="preserve"> </v>
      </c>
      <c r="Q169" s="1131" t="str">
        <f t="shared" si="13"/>
        <v xml:space="preserve"> </v>
      </c>
      <c r="R169" s="1118">
        <f>IF('Schedule C'!AX428&gt;='DVO (F1 - F2)'!J$3,IF('Schedule C'!AX428&lt;='DVO (F1 - F2)'!K$3,IF('Schedule C'!BA428="APPROVED",'Schedule C'!A428,0),0),0)</f>
        <v>0</v>
      </c>
    </row>
    <row r="170" spans="1:18" ht="15">
      <c r="A170" s="1125">
        <f t="shared" si="9"/>
        <v>163</v>
      </c>
      <c r="B170" s="1126">
        <v>1</v>
      </c>
      <c r="C170" s="1126" t="str">
        <f>IFERROR(VLOOKUP($D170,dropdowns!$I$3:$Q$30,6,0), " ")</f>
        <v xml:space="preserve"> </v>
      </c>
      <c r="D170" s="1126" t="str">
        <f>IFERROR(INDEX('Schedule C'!$A$20:$BA$83,MATCH('DVO (F1 - F2)'!$R353,'Schedule C'!$A$20:$A$83,0),13)," ")</f>
        <v xml:space="preserve"> </v>
      </c>
      <c r="E170" s="1126" t="str">
        <f>IFERROR(VLOOKUP($D170,dropdowns!$I$3:$Q$30,7,0), " ")</f>
        <v xml:space="preserve"> </v>
      </c>
      <c r="F170" s="1126" t="str">
        <f>IFERROR(INDEX('Schedule C'!$A$20:$BA$83,MATCH('DVO (F1 - F2)'!$R170,'Schedule C'!$A$20:$A$83,0),2)," ")</f>
        <v xml:space="preserve"> </v>
      </c>
      <c r="G170" s="1127" t="str">
        <f>IFERROR(INDEX('Schedule C'!$A$20:$BA$83,MATCH('DVO (F1 - F2)'!$R170,'Schedule C'!$A$20:$A$83,0),38)," ")</f>
        <v xml:space="preserve"> </v>
      </c>
      <c r="H170" s="1127" t="str">
        <f>IFERROR(INDEX('Schedule C'!$A$20:$BA$83,MATCH('DVO (F1 - F2)'!$R170,'Schedule C'!$A$20:$A$83,0),39)," ")</f>
        <v xml:space="preserve"> </v>
      </c>
      <c r="I170" s="1127" t="str">
        <f>IFERROR(INDEX('Schedule C'!$A$20:$BA$83,MATCH('DVO (F1 - F2)'!$R170,'Schedule C'!$A$20:$A$83,0),41)," ")</f>
        <v xml:space="preserve"> </v>
      </c>
      <c r="J170" s="1127" t="str">
        <f>IFERROR(INDEX('Schedule C'!$A$20:$BA$83,MATCH('DVO (F1 - F2)'!$R170,'Schedule C'!$A$20:$A$83,0),50)," ")</f>
        <v xml:space="preserve"> </v>
      </c>
      <c r="K170" s="1452" t="str">
        <f>IFERROR(INDEX('Schedule C'!$A$20:$BA$83,MATCH('DVO (F1 - F2)'!$R170,'Schedule C'!$A$20:$A$83,0),33)," ")</f>
        <v xml:space="preserve"> </v>
      </c>
      <c r="L170" s="1453" t="str">
        <f>IFERROR(INDEX('Schedule C'!$A$20:$BA$83,MATCH('DVO (F1 - F2)'!$R170,'Schedule C'!$A$20:$A$83,0),52)," ")</f>
        <v xml:space="preserve"> </v>
      </c>
      <c r="M170" s="1454" t="str">
        <f>IFERROR(INDEX('Schedule C'!$A$20:$BA$83,MATCH('DVO (F1 - F2)'!$R170,'Schedule C'!$A$20:$A$83,0),50)-INDEX('Schedule C'!$A$20:$BA$83,MATCH('DVO (F1 - F2)'!$R170,'Schedule C'!$A$20:$A$83,0),39)," ")</f>
        <v xml:space="preserve"> </v>
      </c>
      <c r="N170" s="1129" t="str">
        <f t="shared" si="10"/>
        <v xml:space="preserve"> </v>
      </c>
      <c r="O170" s="1129" t="str">
        <f t="shared" si="11"/>
        <v xml:space="preserve"> </v>
      </c>
      <c r="P170" s="1130" t="str">
        <f t="shared" si="12"/>
        <v xml:space="preserve"> </v>
      </c>
      <c r="Q170" s="1131" t="str">
        <f t="shared" si="13"/>
        <v xml:space="preserve"> </v>
      </c>
      <c r="R170" s="1118">
        <f>IF('Schedule C'!AX429&gt;='DVO (F1 - F2)'!J$3,IF('Schedule C'!AX429&lt;='DVO (F1 - F2)'!K$3,IF('Schedule C'!BA429="APPROVED",'Schedule C'!A429,0),0),0)</f>
        <v>0</v>
      </c>
    </row>
    <row r="171" spans="1:18" ht="15">
      <c r="A171" s="1125">
        <f t="shared" si="9"/>
        <v>164</v>
      </c>
      <c r="B171" s="1126">
        <v>1</v>
      </c>
      <c r="C171" s="1126" t="str">
        <f>IFERROR(VLOOKUP($D171,dropdowns!$I$3:$Q$30,6,0), " ")</f>
        <v xml:space="preserve"> </v>
      </c>
      <c r="D171" s="1126" t="str">
        <f>IFERROR(INDEX('Schedule C'!$A$20:$BA$83,MATCH('DVO (F1 - F2)'!$R354,'Schedule C'!$A$20:$A$83,0),13)," ")</f>
        <v xml:space="preserve"> </v>
      </c>
      <c r="E171" s="1126" t="str">
        <f>IFERROR(VLOOKUP($D171,dropdowns!$I$3:$Q$30,7,0), " ")</f>
        <v xml:space="preserve"> </v>
      </c>
      <c r="F171" s="1126" t="str">
        <f>IFERROR(INDEX('Schedule C'!$A$20:$BA$83,MATCH('DVO (F1 - F2)'!$R171,'Schedule C'!$A$20:$A$83,0),2)," ")</f>
        <v xml:space="preserve"> </v>
      </c>
      <c r="G171" s="1127" t="str">
        <f>IFERROR(INDEX('Schedule C'!$A$20:$BA$83,MATCH('DVO (F1 - F2)'!$R171,'Schedule C'!$A$20:$A$83,0),38)," ")</f>
        <v xml:space="preserve"> </v>
      </c>
      <c r="H171" s="1127" t="str">
        <f>IFERROR(INDEX('Schedule C'!$A$20:$BA$83,MATCH('DVO (F1 - F2)'!$R171,'Schedule C'!$A$20:$A$83,0),39)," ")</f>
        <v xml:space="preserve"> </v>
      </c>
      <c r="I171" s="1127" t="str">
        <f>IFERROR(INDEX('Schedule C'!$A$20:$BA$83,MATCH('DVO (F1 - F2)'!$R171,'Schedule C'!$A$20:$A$83,0),41)," ")</f>
        <v xml:space="preserve"> </v>
      </c>
      <c r="J171" s="1127" t="str">
        <f>IFERROR(INDEX('Schedule C'!$A$20:$BA$83,MATCH('DVO (F1 - F2)'!$R171,'Schedule C'!$A$20:$A$83,0),50)," ")</f>
        <v xml:space="preserve"> </v>
      </c>
      <c r="K171" s="1452" t="str">
        <f>IFERROR(INDEX('Schedule C'!$A$20:$BA$83,MATCH('DVO (F1 - F2)'!$R171,'Schedule C'!$A$20:$A$83,0),33)," ")</f>
        <v xml:space="preserve"> </v>
      </c>
      <c r="L171" s="1453" t="str">
        <f>IFERROR(INDEX('Schedule C'!$A$20:$BA$83,MATCH('DVO (F1 - F2)'!$R171,'Schedule C'!$A$20:$A$83,0),52)," ")</f>
        <v xml:space="preserve"> </v>
      </c>
      <c r="M171" s="1454" t="str">
        <f>IFERROR(INDEX('Schedule C'!$A$20:$BA$83,MATCH('DVO (F1 - F2)'!$R171,'Schedule C'!$A$20:$A$83,0),50)-INDEX('Schedule C'!$A$20:$BA$83,MATCH('DVO (F1 - F2)'!$R171,'Schedule C'!$A$20:$A$83,0),39)," ")</f>
        <v xml:space="preserve"> </v>
      </c>
      <c r="N171" s="1129" t="str">
        <f t="shared" si="10"/>
        <v xml:space="preserve"> </v>
      </c>
      <c r="O171" s="1129" t="str">
        <f t="shared" si="11"/>
        <v xml:space="preserve"> </v>
      </c>
      <c r="P171" s="1130" t="str">
        <f t="shared" si="12"/>
        <v xml:space="preserve"> </v>
      </c>
      <c r="Q171" s="1131" t="str">
        <f t="shared" si="13"/>
        <v xml:space="preserve"> </v>
      </c>
      <c r="R171" s="1118">
        <f>IF('Schedule C'!AX430&gt;='DVO (F1 - F2)'!J$3,IF('Schedule C'!AX430&lt;='DVO (F1 - F2)'!K$3,IF('Schedule C'!BA430="APPROVED",'Schedule C'!A430,0),0),0)</f>
        <v>0</v>
      </c>
    </row>
    <row r="172" spans="1:18" ht="15">
      <c r="A172" s="1125">
        <f t="shared" si="9"/>
        <v>165</v>
      </c>
      <c r="B172" s="1126">
        <v>1</v>
      </c>
      <c r="C172" s="1126" t="str">
        <f>IFERROR(VLOOKUP($D172,dropdowns!$I$3:$Q$30,6,0), " ")</f>
        <v xml:space="preserve"> </v>
      </c>
      <c r="D172" s="1126" t="str">
        <f>IFERROR(INDEX('Schedule C'!$A$20:$BA$83,MATCH('DVO (F1 - F2)'!$R355,'Schedule C'!$A$20:$A$83,0),13)," ")</f>
        <v xml:space="preserve"> </v>
      </c>
      <c r="E172" s="1126" t="str">
        <f>IFERROR(VLOOKUP($D172,dropdowns!$I$3:$Q$30,7,0), " ")</f>
        <v xml:space="preserve"> </v>
      </c>
      <c r="F172" s="1126" t="str">
        <f>IFERROR(INDEX('Schedule C'!$A$20:$BA$83,MATCH('DVO (F1 - F2)'!$R172,'Schedule C'!$A$20:$A$83,0),2)," ")</f>
        <v xml:space="preserve"> </v>
      </c>
      <c r="G172" s="1127" t="str">
        <f>IFERROR(INDEX('Schedule C'!$A$20:$BA$83,MATCH('DVO (F1 - F2)'!$R172,'Schedule C'!$A$20:$A$83,0),38)," ")</f>
        <v xml:space="preserve"> </v>
      </c>
      <c r="H172" s="1127" t="str">
        <f>IFERROR(INDEX('Schedule C'!$A$20:$BA$83,MATCH('DVO (F1 - F2)'!$R172,'Schedule C'!$A$20:$A$83,0),39)," ")</f>
        <v xml:space="preserve"> </v>
      </c>
      <c r="I172" s="1127" t="str">
        <f>IFERROR(INDEX('Schedule C'!$A$20:$BA$83,MATCH('DVO (F1 - F2)'!$R172,'Schedule C'!$A$20:$A$83,0),41)," ")</f>
        <v xml:space="preserve"> </v>
      </c>
      <c r="J172" s="1127" t="str">
        <f>IFERROR(INDEX('Schedule C'!$A$20:$BA$83,MATCH('DVO (F1 - F2)'!$R172,'Schedule C'!$A$20:$A$83,0),50)," ")</f>
        <v xml:space="preserve"> </v>
      </c>
      <c r="K172" s="1452" t="str">
        <f>IFERROR(INDEX('Schedule C'!$A$20:$BA$83,MATCH('DVO (F1 - F2)'!$R172,'Schedule C'!$A$20:$A$83,0),33)," ")</f>
        <v xml:space="preserve"> </v>
      </c>
      <c r="L172" s="1453" t="str">
        <f>IFERROR(INDEX('Schedule C'!$A$20:$BA$83,MATCH('DVO (F1 - F2)'!$R172,'Schedule C'!$A$20:$A$83,0),52)," ")</f>
        <v xml:space="preserve"> </v>
      </c>
      <c r="M172" s="1454" t="str">
        <f>IFERROR(INDEX('Schedule C'!$A$20:$BA$83,MATCH('DVO (F1 - F2)'!$R172,'Schedule C'!$A$20:$A$83,0),50)-INDEX('Schedule C'!$A$20:$BA$83,MATCH('DVO (F1 - F2)'!$R172,'Schedule C'!$A$20:$A$83,0),39)," ")</f>
        <v xml:space="preserve"> </v>
      </c>
      <c r="N172" s="1129" t="str">
        <f t="shared" si="10"/>
        <v xml:space="preserve"> </v>
      </c>
      <c r="O172" s="1129" t="str">
        <f t="shared" si="11"/>
        <v xml:space="preserve"> </v>
      </c>
      <c r="P172" s="1130" t="str">
        <f t="shared" si="12"/>
        <v xml:space="preserve"> </v>
      </c>
      <c r="Q172" s="1131" t="str">
        <f t="shared" si="13"/>
        <v xml:space="preserve"> </v>
      </c>
      <c r="R172" s="1118">
        <f>IF('Schedule C'!AX431&gt;='DVO (F1 - F2)'!J$3,IF('Schedule C'!AX431&lt;='DVO (F1 - F2)'!K$3,IF('Schedule C'!BA431="APPROVED",'Schedule C'!A431,0),0),0)</f>
        <v>0</v>
      </c>
    </row>
    <row r="173" spans="1:18" ht="15">
      <c r="A173" s="1125">
        <f t="shared" si="9"/>
        <v>166</v>
      </c>
      <c r="B173" s="1126">
        <v>1</v>
      </c>
      <c r="C173" s="1126" t="str">
        <f>IFERROR(VLOOKUP($D173,dropdowns!$I$3:$Q$30,6,0), " ")</f>
        <v xml:space="preserve"> </v>
      </c>
      <c r="D173" s="1126" t="str">
        <f>IFERROR(INDEX('Schedule C'!$A$20:$BA$83,MATCH('DVO (F1 - F2)'!$R356,'Schedule C'!$A$20:$A$83,0),13)," ")</f>
        <v xml:space="preserve"> </v>
      </c>
      <c r="E173" s="1126" t="str">
        <f>IFERROR(VLOOKUP($D173,dropdowns!$I$3:$Q$30,7,0), " ")</f>
        <v xml:space="preserve"> </v>
      </c>
      <c r="F173" s="1126" t="str">
        <f>IFERROR(INDEX('Schedule C'!$A$20:$BA$83,MATCH('DVO (F1 - F2)'!$R173,'Schedule C'!$A$20:$A$83,0),2)," ")</f>
        <v xml:space="preserve"> </v>
      </c>
      <c r="G173" s="1127" t="str">
        <f>IFERROR(INDEX('Schedule C'!$A$20:$BA$83,MATCH('DVO (F1 - F2)'!$R173,'Schedule C'!$A$20:$A$83,0),38)," ")</f>
        <v xml:space="preserve"> </v>
      </c>
      <c r="H173" s="1127" t="str">
        <f>IFERROR(INDEX('Schedule C'!$A$20:$BA$83,MATCH('DVO (F1 - F2)'!$R173,'Schedule C'!$A$20:$A$83,0),39)," ")</f>
        <v xml:space="preserve"> </v>
      </c>
      <c r="I173" s="1127" t="str">
        <f>IFERROR(INDEX('Schedule C'!$A$20:$BA$83,MATCH('DVO (F1 - F2)'!$R173,'Schedule C'!$A$20:$A$83,0),41)," ")</f>
        <v xml:space="preserve"> </v>
      </c>
      <c r="J173" s="1127" t="str">
        <f>IFERROR(INDEX('Schedule C'!$A$20:$BA$83,MATCH('DVO (F1 - F2)'!$R173,'Schedule C'!$A$20:$A$83,0),50)," ")</f>
        <v xml:space="preserve"> </v>
      </c>
      <c r="K173" s="1452" t="str">
        <f>IFERROR(INDEX('Schedule C'!$A$20:$BA$83,MATCH('DVO (F1 - F2)'!$R173,'Schedule C'!$A$20:$A$83,0),33)," ")</f>
        <v xml:space="preserve"> </v>
      </c>
      <c r="L173" s="1453" t="str">
        <f>IFERROR(INDEX('Schedule C'!$A$20:$BA$83,MATCH('DVO (F1 - F2)'!$R173,'Schedule C'!$A$20:$A$83,0),52)," ")</f>
        <v xml:space="preserve"> </v>
      </c>
      <c r="M173" s="1454" t="str">
        <f>IFERROR(INDEX('Schedule C'!$A$20:$BA$83,MATCH('DVO (F1 - F2)'!$R173,'Schedule C'!$A$20:$A$83,0),50)-INDEX('Schedule C'!$A$20:$BA$83,MATCH('DVO (F1 - F2)'!$R173,'Schedule C'!$A$20:$A$83,0),39)," ")</f>
        <v xml:space="preserve"> </v>
      </c>
      <c r="N173" s="1129" t="str">
        <f t="shared" si="10"/>
        <v xml:space="preserve"> </v>
      </c>
      <c r="O173" s="1129" t="str">
        <f t="shared" si="11"/>
        <v xml:space="preserve"> </v>
      </c>
      <c r="P173" s="1130" t="str">
        <f t="shared" si="12"/>
        <v xml:space="preserve"> </v>
      </c>
      <c r="Q173" s="1131" t="str">
        <f t="shared" si="13"/>
        <v xml:space="preserve"> </v>
      </c>
      <c r="R173" s="1118">
        <f>IF('Schedule C'!AX432&gt;='DVO (F1 - F2)'!J$3,IF('Schedule C'!AX432&lt;='DVO (F1 - F2)'!K$3,IF('Schedule C'!BA432="APPROVED",'Schedule C'!A432,0),0),0)</f>
        <v>0</v>
      </c>
    </row>
    <row r="174" spans="1:18" ht="15">
      <c r="A174" s="1125">
        <f t="shared" si="9"/>
        <v>167</v>
      </c>
      <c r="B174" s="1126">
        <v>1</v>
      </c>
      <c r="C174" s="1126" t="str">
        <f>IFERROR(VLOOKUP($D174,dropdowns!$I$3:$Q$30,6,0), " ")</f>
        <v xml:space="preserve"> </v>
      </c>
      <c r="D174" s="1126" t="str">
        <f>IFERROR(INDEX('Schedule C'!$A$20:$BA$83,MATCH('DVO (F1 - F2)'!$R357,'Schedule C'!$A$20:$A$83,0),13)," ")</f>
        <v xml:space="preserve"> </v>
      </c>
      <c r="E174" s="1126" t="str">
        <f>IFERROR(VLOOKUP($D174,dropdowns!$I$3:$Q$30,7,0), " ")</f>
        <v xml:space="preserve"> </v>
      </c>
      <c r="F174" s="1126" t="str">
        <f>IFERROR(INDEX('Schedule C'!$A$20:$BA$83,MATCH('DVO (F1 - F2)'!$R174,'Schedule C'!$A$20:$A$83,0),2)," ")</f>
        <v xml:space="preserve"> </v>
      </c>
      <c r="G174" s="1127" t="str">
        <f>IFERROR(INDEX('Schedule C'!$A$20:$BA$83,MATCH('DVO (F1 - F2)'!$R174,'Schedule C'!$A$20:$A$83,0),38)," ")</f>
        <v xml:space="preserve"> </v>
      </c>
      <c r="H174" s="1127" t="str">
        <f>IFERROR(INDEX('Schedule C'!$A$20:$BA$83,MATCH('DVO (F1 - F2)'!$R174,'Schedule C'!$A$20:$A$83,0),39)," ")</f>
        <v xml:space="preserve"> </v>
      </c>
      <c r="I174" s="1127" t="str">
        <f>IFERROR(INDEX('Schedule C'!$A$20:$BA$83,MATCH('DVO (F1 - F2)'!$R174,'Schedule C'!$A$20:$A$83,0),41)," ")</f>
        <v xml:space="preserve"> </v>
      </c>
      <c r="J174" s="1127" t="str">
        <f>IFERROR(INDEX('Schedule C'!$A$20:$BA$83,MATCH('DVO (F1 - F2)'!$R174,'Schedule C'!$A$20:$A$83,0),50)," ")</f>
        <v xml:space="preserve"> </v>
      </c>
      <c r="K174" s="1452" t="str">
        <f>IFERROR(INDEX('Schedule C'!$A$20:$BA$83,MATCH('DVO (F1 - F2)'!$R174,'Schedule C'!$A$20:$A$83,0),33)," ")</f>
        <v xml:space="preserve"> </v>
      </c>
      <c r="L174" s="1453" t="str">
        <f>IFERROR(INDEX('Schedule C'!$A$20:$BA$83,MATCH('DVO (F1 - F2)'!$R174,'Schedule C'!$A$20:$A$83,0),52)," ")</f>
        <v xml:space="preserve"> </v>
      </c>
      <c r="M174" s="1454" t="str">
        <f>IFERROR(INDEX('Schedule C'!$A$20:$BA$83,MATCH('DVO (F1 - F2)'!$R174,'Schedule C'!$A$20:$A$83,0),50)-INDEX('Schedule C'!$A$20:$BA$83,MATCH('DVO (F1 - F2)'!$R174,'Schedule C'!$A$20:$A$83,0),39)," ")</f>
        <v xml:space="preserve"> </v>
      </c>
      <c r="N174" s="1129" t="str">
        <f t="shared" si="10"/>
        <v xml:space="preserve"> </v>
      </c>
      <c r="O174" s="1129" t="str">
        <f t="shared" si="11"/>
        <v xml:space="preserve"> </v>
      </c>
      <c r="P174" s="1130" t="str">
        <f t="shared" si="12"/>
        <v xml:space="preserve"> </v>
      </c>
      <c r="Q174" s="1131" t="str">
        <f t="shared" si="13"/>
        <v xml:space="preserve"> </v>
      </c>
      <c r="R174" s="1118">
        <f>IF('Schedule C'!AX433&gt;='DVO (F1 - F2)'!J$3,IF('Schedule C'!AX433&lt;='DVO (F1 - F2)'!K$3,IF('Schedule C'!BA433="APPROVED",'Schedule C'!A433,0),0),0)</f>
        <v>0</v>
      </c>
    </row>
    <row r="175" spans="1:18" ht="15">
      <c r="A175" s="1125">
        <f t="shared" si="9"/>
        <v>168</v>
      </c>
      <c r="B175" s="1126">
        <v>1</v>
      </c>
      <c r="C175" s="1126" t="str">
        <f>IFERROR(VLOOKUP($D175,dropdowns!$I$3:$Q$30,6,0), " ")</f>
        <v xml:space="preserve"> </v>
      </c>
      <c r="D175" s="1126" t="str">
        <f>IFERROR(INDEX('Schedule C'!$A$20:$BA$83,MATCH('DVO (F1 - F2)'!$R358,'Schedule C'!$A$20:$A$83,0),13)," ")</f>
        <v xml:space="preserve"> </v>
      </c>
      <c r="E175" s="1126" t="str">
        <f>IFERROR(VLOOKUP($D175,dropdowns!$I$3:$Q$30,7,0), " ")</f>
        <v xml:space="preserve"> </v>
      </c>
      <c r="F175" s="1126" t="str">
        <f>IFERROR(INDEX('Schedule C'!$A$20:$BA$83,MATCH('DVO (F1 - F2)'!$R175,'Schedule C'!$A$20:$A$83,0),2)," ")</f>
        <v xml:space="preserve"> </v>
      </c>
      <c r="G175" s="1127" t="str">
        <f>IFERROR(INDEX('Schedule C'!$A$20:$BA$83,MATCH('DVO (F1 - F2)'!$R175,'Schedule C'!$A$20:$A$83,0),38)," ")</f>
        <v xml:space="preserve"> </v>
      </c>
      <c r="H175" s="1127" t="str">
        <f>IFERROR(INDEX('Schedule C'!$A$20:$BA$83,MATCH('DVO (F1 - F2)'!$R175,'Schedule C'!$A$20:$A$83,0),39)," ")</f>
        <v xml:space="preserve"> </v>
      </c>
      <c r="I175" s="1127" t="str">
        <f>IFERROR(INDEX('Schedule C'!$A$20:$BA$83,MATCH('DVO (F1 - F2)'!$R175,'Schedule C'!$A$20:$A$83,0),41)," ")</f>
        <v xml:space="preserve"> </v>
      </c>
      <c r="J175" s="1127" t="str">
        <f>IFERROR(INDEX('Schedule C'!$A$20:$BA$83,MATCH('DVO (F1 - F2)'!$R175,'Schedule C'!$A$20:$A$83,0),50)," ")</f>
        <v xml:space="preserve"> </v>
      </c>
      <c r="K175" s="1452" t="str">
        <f>IFERROR(INDEX('Schedule C'!$A$20:$BA$83,MATCH('DVO (F1 - F2)'!$R175,'Schedule C'!$A$20:$A$83,0),33)," ")</f>
        <v xml:space="preserve"> </v>
      </c>
      <c r="L175" s="1453" t="str">
        <f>IFERROR(INDEX('Schedule C'!$A$20:$BA$83,MATCH('DVO (F1 - F2)'!$R175,'Schedule C'!$A$20:$A$83,0),52)," ")</f>
        <v xml:space="preserve"> </v>
      </c>
      <c r="M175" s="1454" t="str">
        <f>IFERROR(INDEX('Schedule C'!$A$20:$BA$83,MATCH('DVO (F1 - F2)'!$R175,'Schedule C'!$A$20:$A$83,0),50)-INDEX('Schedule C'!$A$20:$BA$83,MATCH('DVO (F1 - F2)'!$R175,'Schedule C'!$A$20:$A$83,0),39)," ")</f>
        <v xml:space="preserve"> </v>
      </c>
      <c r="N175" s="1129" t="str">
        <f t="shared" si="10"/>
        <v xml:space="preserve"> </v>
      </c>
      <c r="O175" s="1129" t="str">
        <f t="shared" si="11"/>
        <v xml:space="preserve"> </v>
      </c>
      <c r="P175" s="1130" t="str">
        <f t="shared" si="12"/>
        <v xml:space="preserve"> </v>
      </c>
      <c r="Q175" s="1131" t="str">
        <f t="shared" si="13"/>
        <v xml:space="preserve"> </v>
      </c>
      <c r="R175" s="1118">
        <f>IF('Schedule C'!AX434&gt;='DVO (F1 - F2)'!J$3,IF('Schedule C'!AX434&lt;='DVO (F1 - F2)'!K$3,IF('Schedule C'!BA434="APPROVED",'Schedule C'!A434,0),0),0)</f>
        <v>0</v>
      </c>
    </row>
    <row r="176" spans="1:18" ht="15">
      <c r="A176" s="1125">
        <f t="shared" si="9"/>
        <v>169</v>
      </c>
      <c r="B176" s="1126">
        <v>1</v>
      </c>
      <c r="C176" s="1126" t="str">
        <f>IFERROR(VLOOKUP($D176,dropdowns!$I$3:$Q$30,6,0), " ")</f>
        <v xml:space="preserve"> </v>
      </c>
      <c r="D176" s="1126" t="str">
        <f>IFERROR(INDEX('Schedule C'!$A$20:$BA$83,MATCH('DVO (F1 - F2)'!$R359,'Schedule C'!$A$20:$A$83,0),13)," ")</f>
        <v xml:space="preserve"> </v>
      </c>
      <c r="E176" s="1126" t="str">
        <f>IFERROR(VLOOKUP($D176,dropdowns!$I$3:$Q$30,7,0), " ")</f>
        <v xml:space="preserve"> </v>
      </c>
      <c r="F176" s="1126" t="str">
        <f>IFERROR(INDEX('Schedule C'!$A$20:$BA$83,MATCH('DVO (F1 - F2)'!$R176,'Schedule C'!$A$20:$A$83,0),2)," ")</f>
        <v xml:space="preserve"> </v>
      </c>
      <c r="G176" s="1127" t="str">
        <f>IFERROR(INDEX('Schedule C'!$A$20:$BA$83,MATCH('DVO (F1 - F2)'!$R176,'Schedule C'!$A$20:$A$83,0),38)," ")</f>
        <v xml:space="preserve"> </v>
      </c>
      <c r="H176" s="1127" t="str">
        <f>IFERROR(INDEX('Schedule C'!$A$20:$BA$83,MATCH('DVO (F1 - F2)'!$R176,'Schedule C'!$A$20:$A$83,0),39)," ")</f>
        <v xml:space="preserve"> </v>
      </c>
      <c r="I176" s="1127" t="str">
        <f>IFERROR(INDEX('Schedule C'!$A$20:$BA$83,MATCH('DVO (F1 - F2)'!$R176,'Schedule C'!$A$20:$A$83,0),41)," ")</f>
        <v xml:space="preserve"> </v>
      </c>
      <c r="J176" s="1127" t="str">
        <f>IFERROR(INDEX('Schedule C'!$A$20:$BA$83,MATCH('DVO (F1 - F2)'!$R176,'Schedule C'!$A$20:$A$83,0),50)," ")</f>
        <v xml:space="preserve"> </v>
      </c>
      <c r="K176" s="1452" t="str">
        <f>IFERROR(INDEX('Schedule C'!$A$20:$BA$83,MATCH('DVO (F1 - F2)'!$R176,'Schedule C'!$A$20:$A$83,0),33)," ")</f>
        <v xml:space="preserve"> </v>
      </c>
      <c r="L176" s="1453" t="str">
        <f>IFERROR(INDEX('Schedule C'!$A$20:$BA$83,MATCH('DVO (F1 - F2)'!$R176,'Schedule C'!$A$20:$A$83,0),52)," ")</f>
        <v xml:space="preserve"> </v>
      </c>
      <c r="M176" s="1454" t="str">
        <f>IFERROR(INDEX('Schedule C'!$A$20:$BA$83,MATCH('DVO (F1 - F2)'!$R176,'Schedule C'!$A$20:$A$83,0),50)-INDEX('Schedule C'!$A$20:$BA$83,MATCH('DVO (F1 - F2)'!$R176,'Schedule C'!$A$20:$A$83,0),39)," ")</f>
        <v xml:space="preserve"> </v>
      </c>
      <c r="N176" s="1129" t="str">
        <f t="shared" si="10"/>
        <v xml:space="preserve"> </v>
      </c>
      <c r="O176" s="1129" t="str">
        <f t="shared" si="11"/>
        <v xml:space="preserve"> </v>
      </c>
      <c r="P176" s="1130" t="str">
        <f t="shared" si="12"/>
        <v xml:space="preserve"> </v>
      </c>
      <c r="Q176" s="1131" t="str">
        <f t="shared" si="13"/>
        <v xml:space="preserve"> </v>
      </c>
      <c r="R176" s="1118">
        <f>IF('Schedule C'!AX435&gt;='DVO (F1 - F2)'!J$3,IF('Schedule C'!AX435&lt;='DVO (F1 - F2)'!K$3,IF('Schedule C'!BA435="APPROVED",'Schedule C'!A435,0),0),0)</f>
        <v>0</v>
      </c>
    </row>
    <row r="177" spans="1:18" ht="15">
      <c r="A177" s="1125">
        <f t="shared" si="9"/>
        <v>170</v>
      </c>
      <c r="B177" s="1126">
        <v>1</v>
      </c>
      <c r="C177" s="1126" t="str">
        <f>IFERROR(VLOOKUP($D177,dropdowns!$I$3:$Q$30,6,0), " ")</f>
        <v xml:space="preserve"> </v>
      </c>
      <c r="D177" s="1126" t="str">
        <f>IFERROR(INDEX('Schedule C'!$A$20:$BA$83,MATCH('DVO (F1 - F2)'!$R360,'Schedule C'!$A$20:$A$83,0),13)," ")</f>
        <v xml:space="preserve"> </v>
      </c>
      <c r="E177" s="1126" t="str">
        <f>IFERROR(VLOOKUP($D177,dropdowns!$I$3:$Q$30,7,0), " ")</f>
        <v xml:space="preserve"> </v>
      </c>
      <c r="F177" s="1126" t="str">
        <f>IFERROR(INDEX('Schedule C'!$A$20:$BA$83,MATCH('DVO (F1 - F2)'!$R177,'Schedule C'!$A$20:$A$83,0),2)," ")</f>
        <v xml:space="preserve"> </v>
      </c>
      <c r="G177" s="1127" t="str">
        <f>IFERROR(INDEX('Schedule C'!$A$20:$BA$83,MATCH('DVO (F1 - F2)'!$R177,'Schedule C'!$A$20:$A$83,0),38)," ")</f>
        <v xml:space="preserve"> </v>
      </c>
      <c r="H177" s="1127" t="str">
        <f>IFERROR(INDEX('Schedule C'!$A$20:$BA$83,MATCH('DVO (F1 - F2)'!$R177,'Schedule C'!$A$20:$A$83,0),39)," ")</f>
        <v xml:space="preserve"> </v>
      </c>
      <c r="I177" s="1127" t="str">
        <f>IFERROR(INDEX('Schedule C'!$A$20:$BA$83,MATCH('DVO (F1 - F2)'!$R177,'Schedule C'!$A$20:$A$83,0),41)," ")</f>
        <v xml:space="preserve"> </v>
      </c>
      <c r="J177" s="1127" t="str">
        <f>IFERROR(INDEX('Schedule C'!$A$20:$BA$83,MATCH('DVO (F1 - F2)'!$R177,'Schedule C'!$A$20:$A$83,0),50)," ")</f>
        <v xml:space="preserve"> </v>
      </c>
      <c r="K177" s="1452" t="str">
        <f>IFERROR(INDEX('Schedule C'!$A$20:$BA$83,MATCH('DVO (F1 - F2)'!$R177,'Schedule C'!$A$20:$A$83,0),33)," ")</f>
        <v xml:space="preserve"> </v>
      </c>
      <c r="L177" s="1453" t="str">
        <f>IFERROR(INDEX('Schedule C'!$A$20:$BA$83,MATCH('DVO (F1 - F2)'!$R177,'Schedule C'!$A$20:$A$83,0),52)," ")</f>
        <v xml:space="preserve"> </v>
      </c>
      <c r="M177" s="1454" t="str">
        <f>IFERROR(INDEX('Schedule C'!$A$20:$BA$83,MATCH('DVO (F1 - F2)'!$R177,'Schedule C'!$A$20:$A$83,0),50)-INDEX('Schedule C'!$A$20:$BA$83,MATCH('DVO (F1 - F2)'!$R177,'Schedule C'!$A$20:$A$83,0),39)," ")</f>
        <v xml:space="preserve"> </v>
      </c>
      <c r="N177" s="1129" t="str">
        <f t="shared" si="10"/>
        <v xml:space="preserve"> </v>
      </c>
      <c r="O177" s="1129" t="str">
        <f t="shared" si="11"/>
        <v xml:space="preserve"> </v>
      </c>
      <c r="P177" s="1130" t="str">
        <f t="shared" si="12"/>
        <v xml:space="preserve"> </v>
      </c>
      <c r="Q177" s="1131" t="str">
        <f t="shared" si="13"/>
        <v xml:space="preserve"> </v>
      </c>
      <c r="R177" s="1118">
        <f>IF('Schedule C'!AX436&gt;='DVO (F1 - F2)'!J$3,IF('Schedule C'!AX436&lt;='DVO (F1 - F2)'!K$3,IF('Schedule C'!BA436="APPROVED",'Schedule C'!A436,0),0),0)</f>
        <v>0</v>
      </c>
    </row>
    <row r="178" spans="1:18" ht="15">
      <c r="A178" s="1125">
        <f t="shared" si="9"/>
        <v>171</v>
      </c>
      <c r="B178" s="1126">
        <v>1</v>
      </c>
      <c r="C178" s="1126" t="str">
        <f>IFERROR(VLOOKUP($D178,dropdowns!$I$3:$Q$30,6,0), " ")</f>
        <v xml:space="preserve"> </v>
      </c>
      <c r="D178" s="1126" t="str">
        <f>IFERROR(INDEX('Schedule C'!$A$20:$BA$83,MATCH('DVO (F1 - F2)'!$R361,'Schedule C'!$A$20:$A$83,0),13)," ")</f>
        <v xml:space="preserve"> </v>
      </c>
      <c r="E178" s="1126" t="str">
        <f>IFERROR(VLOOKUP($D178,dropdowns!$I$3:$Q$30,7,0), " ")</f>
        <v xml:space="preserve"> </v>
      </c>
      <c r="F178" s="1126" t="str">
        <f>IFERROR(INDEX('Schedule C'!$A$20:$BA$83,MATCH('DVO (F1 - F2)'!$R178,'Schedule C'!$A$20:$A$83,0),2)," ")</f>
        <v xml:space="preserve"> </v>
      </c>
      <c r="G178" s="1127" t="str">
        <f>IFERROR(INDEX('Schedule C'!$A$20:$BA$83,MATCH('DVO (F1 - F2)'!$R178,'Schedule C'!$A$20:$A$83,0),38)," ")</f>
        <v xml:space="preserve"> </v>
      </c>
      <c r="H178" s="1127" t="str">
        <f>IFERROR(INDEX('Schedule C'!$A$20:$BA$83,MATCH('DVO (F1 - F2)'!$R178,'Schedule C'!$A$20:$A$83,0),39)," ")</f>
        <v xml:space="preserve"> </v>
      </c>
      <c r="I178" s="1127" t="str">
        <f>IFERROR(INDEX('Schedule C'!$A$20:$BA$83,MATCH('DVO (F1 - F2)'!$R178,'Schedule C'!$A$20:$A$83,0),41)," ")</f>
        <v xml:space="preserve"> </v>
      </c>
      <c r="J178" s="1127" t="str">
        <f>IFERROR(INDEX('Schedule C'!$A$20:$BA$83,MATCH('DVO (F1 - F2)'!$R178,'Schedule C'!$A$20:$A$83,0),50)," ")</f>
        <v xml:space="preserve"> </v>
      </c>
      <c r="K178" s="1452" t="str">
        <f>IFERROR(INDEX('Schedule C'!$A$20:$BA$83,MATCH('DVO (F1 - F2)'!$R178,'Schedule C'!$A$20:$A$83,0),33)," ")</f>
        <v xml:space="preserve"> </v>
      </c>
      <c r="L178" s="1453" t="str">
        <f>IFERROR(INDEX('Schedule C'!$A$20:$BA$83,MATCH('DVO (F1 - F2)'!$R178,'Schedule C'!$A$20:$A$83,0),52)," ")</f>
        <v xml:space="preserve"> </v>
      </c>
      <c r="M178" s="1454" t="str">
        <f>IFERROR(INDEX('Schedule C'!$A$20:$BA$83,MATCH('DVO (F1 - F2)'!$R178,'Schedule C'!$A$20:$A$83,0),50)-INDEX('Schedule C'!$A$20:$BA$83,MATCH('DVO (F1 - F2)'!$R178,'Schedule C'!$A$20:$A$83,0),39)," ")</f>
        <v xml:space="preserve"> </v>
      </c>
      <c r="N178" s="1129" t="str">
        <f t="shared" si="10"/>
        <v xml:space="preserve"> </v>
      </c>
      <c r="O178" s="1129" t="str">
        <f t="shared" si="11"/>
        <v xml:space="preserve"> </v>
      </c>
      <c r="P178" s="1130" t="str">
        <f t="shared" si="12"/>
        <v xml:space="preserve"> </v>
      </c>
      <c r="Q178" s="1131" t="str">
        <f t="shared" si="13"/>
        <v xml:space="preserve"> </v>
      </c>
      <c r="R178" s="1118">
        <f>IF('Schedule C'!AX437&gt;='DVO (F1 - F2)'!J$3,IF('Schedule C'!AX437&lt;='DVO (F1 - F2)'!K$3,IF('Schedule C'!BA437="APPROVED",'Schedule C'!A437,0),0),0)</f>
        <v>0</v>
      </c>
    </row>
    <row r="179" spans="1:18" ht="15">
      <c r="A179" s="1125">
        <f t="shared" si="9"/>
        <v>172</v>
      </c>
      <c r="B179" s="1126">
        <v>1</v>
      </c>
      <c r="C179" s="1126" t="str">
        <f>IFERROR(VLOOKUP($D179,dropdowns!$I$3:$Q$30,6,0), " ")</f>
        <v xml:space="preserve"> </v>
      </c>
      <c r="D179" s="1126" t="str">
        <f>IFERROR(INDEX('Schedule C'!$A$20:$BA$83,MATCH('DVO (F1 - F2)'!$R362,'Schedule C'!$A$20:$A$83,0),13)," ")</f>
        <v xml:space="preserve"> </v>
      </c>
      <c r="E179" s="1126" t="str">
        <f>IFERROR(VLOOKUP($D179,dropdowns!$I$3:$Q$30,7,0), " ")</f>
        <v xml:space="preserve"> </v>
      </c>
      <c r="F179" s="1126" t="str">
        <f>IFERROR(INDEX('Schedule C'!$A$20:$BA$83,MATCH('DVO (F1 - F2)'!$R179,'Schedule C'!$A$20:$A$83,0),2)," ")</f>
        <v xml:space="preserve"> </v>
      </c>
      <c r="G179" s="1127" t="str">
        <f>IFERROR(INDEX('Schedule C'!$A$20:$BA$83,MATCH('DVO (F1 - F2)'!$R179,'Schedule C'!$A$20:$A$83,0),38)," ")</f>
        <v xml:space="preserve"> </v>
      </c>
      <c r="H179" s="1127" t="str">
        <f>IFERROR(INDEX('Schedule C'!$A$20:$BA$83,MATCH('DVO (F1 - F2)'!$R179,'Schedule C'!$A$20:$A$83,0),39)," ")</f>
        <v xml:space="preserve"> </v>
      </c>
      <c r="I179" s="1127" t="str">
        <f>IFERROR(INDEX('Schedule C'!$A$20:$BA$83,MATCH('DVO (F1 - F2)'!$R179,'Schedule C'!$A$20:$A$83,0),41)," ")</f>
        <v xml:space="preserve"> </v>
      </c>
      <c r="J179" s="1127" t="str">
        <f>IFERROR(INDEX('Schedule C'!$A$20:$BA$83,MATCH('DVO (F1 - F2)'!$R179,'Schedule C'!$A$20:$A$83,0),50)," ")</f>
        <v xml:space="preserve"> </v>
      </c>
      <c r="K179" s="1452" t="str">
        <f>IFERROR(INDEX('Schedule C'!$A$20:$BA$83,MATCH('DVO (F1 - F2)'!$R179,'Schedule C'!$A$20:$A$83,0),33)," ")</f>
        <v xml:space="preserve"> </v>
      </c>
      <c r="L179" s="1453" t="str">
        <f>IFERROR(INDEX('Schedule C'!$A$20:$BA$83,MATCH('DVO (F1 - F2)'!$R179,'Schedule C'!$A$20:$A$83,0),52)," ")</f>
        <v xml:space="preserve"> </v>
      </c>
      <c r="M179" s="1454" t="str">
        <f>IFERROR(INDEX('Schedule C'!$A$20:$BA$83,MATCH('DVO (F1 - F2)'!$R179,'Schedule C'!$A$20:$A$83,0),50)-INDEX('Schedule C'!$A$20:$BA$83,MATCH('DVO (F1 - F2)'!$R179,'Schedule C'!$A$20:$A$83,0),39)," ")</f>
        <v xml:space="preserve"> </v>
      </c>
      <c r="N179" s="1129" t="str">
        <f t="shared" si="10"/>
        <v xml:space="preserve"> </v>
      </c>
      <c r="O179" s="1129" t="str">
        <f t="shared" si="11"/>
        <v xml:space="preserve"> </v>
      </c>
      <c r="P179" s="1130" t="str">
        <f t="shared" si="12"/>
        <v xml:space="preserve"> </v>
      </c>
      <c r="Q179" s="1131" t="str">
        <f t="shared" si="13"/>
        <v xml:space="preserve"> </v>
      </c>
      <c r="R179" s="1118">
        <f>IF('Schedule C'!AX438&gt;='DVO (F1 - F2)'!J$3,IF('Schedule C'!AX438&lt;='DVO (F1 - F2)'!K$3,IF('Schedule C'!BA438="APPROVED",'Schedule C'!A438,0),0),0)</f>
        <v>0</v>
      </c>
    </row>
    <row r="180" spans="1:18" ht="15">
      <c r="A180" s="1125">
        <f t="shared" si="9"/>
        <v>173</v>
      </c>
      <c r="B180" s="1126">
        <v>1</v>
      </c>
      <c r="C180" s="1126" t="str">
        <f>IFERROR(VLOOKUP($D180,dropdowns!$I$3:$Q$30,6,0), " ")</f>
        <v xml:space="preserve"> </v>
      </c>
      <c r="D180" s="1126" t="str">
        <f>IFERROR(INDEX('Schedule C'!$A$20:$BA$83,MATCH('DVO (F1 - F2)'!$R363,'Schedule C'!$A$20:$A$83,0),13)," ")</f>
        <v xml:space="preserve"> </v>
      </c>
      <c r="E180" s="1126" t="str">
        <f>IFERROR(VLOOKUP($D180,dropdowns!$I$3:$Q$30,7,0), " ")</f>
        <v xml:space="preserve"> </v>
      </c>
      <c r="F180" s="1126" t="str">
        <f>IFERROR(INDEX('Schedule C'!$A$20:$BA$83,MATCH('DVO (F1 - F2)'!$R180,'Schedule C'!$A$20:$A$83,0),2)," ")</f>
        <v xml:space="preserve"> </v>
      </c>
      <c r="G180" s="1127" t="str">
        <f>IFERROR(INDEX('Schedule C'!$A$20:$BA$83,MATCH('DVO (F1 - F2)'!$R180,'Schedule C'!$A$20:$A$83,0),38)," ")</f>
        <v xml:space="preserve"> </v>
      </c>
      <c r="H180" s="1127" t="str">
        <f>IFERROR(INDEX('Schedule C'!$A$20:$BA$83,MATCH('DVO (F1 - F2)'!$R180,'Schedule C'!$A$20:$A$83,0),39)," ")</f>
        <v xml:space="preserve"> </v>
      </c>
      <c r="I180" s="1127" t="str">
        <f>IFERROR(INDEX('Schedule C'!$A$20:$BA$83,MATCH('DVO (F1 - F2)'!$R180,'Schedule C'!$A$20:$A$83,0),41)," ")</f>
        <v xml:space="preserve"> </v>
      </c>
      <c r="J180" s="1127" t="str">
        <f>IFERROR(INDEX('Schedule C'!$A$20:$BA$83,MATCH('DVO (F1 - F2)'!$R180,'Schedule C'!$A$20:$A$83,0),50)," ")</f>
        <v xml:space="preserve"> </v>
      </c>
      <c r="K180" s="1452" t="str">
        <f>IFERROR(INDEX('Schedule C'!$A$20:$BA$83,MATCH('DVO (F1 - F2)'!$R180,'Schedule C'!$A$20:$A$83,0),33)," ")</f>
        <v xml:space="preserve"> </v>
      </c>
      <c r="L180" s="1453" t="str">
        <f>IFERROR(INDEX('Schedule C'!$A$20:$BA$83,MATCH('DVO (F1 - F2)'!$R180,'Schedule C'!$A$20:$A$83,0),52)," ")</f>
        <v xml:space="preserve"> </v>
      </c>
      <c r="M180" s="1454" t="str">
        <f>IFERROR(INDEX('Schedule C'!$A$20:$BA$83,MATCH('DVO (F1 - F2)'!$R180,'Schedule C'!$A$20:$A$83,0),50)-INDEX('Schedule C'!$A$20:$BA$83,MATCH('DVO (F1 - F2)'!$R180,'Schedule C'!$A$20:$A$83,0),39)," ")</f>
        <v xml:space="preserve"> </v>
      </c>
      <c r="N180" s="1129" t="str">
        <f t="shared" si="10"/>
        <v xml:space="preserve"> </v>
      </c>
      <c r="O180" s="1129" t="str">
        <f t="shared" si="11"/>
        <v xml:space="preserve"> </v>
      </c>
      <c r="P180" s="1130" t="str">
        <f t="shared" si="12"/>
        <v xml:space="preserve"> </v>
      </c>
      <c r="Q180" s="1131" t="str">
        <f t="shared" si="13"/>
        <v xml:space="preserve"> </v>
      </c>
      <c r="R180" s="1118">
        <f>IF('Schedule C'!AX439&gt;='DVO (F1 - F2)'!J$3,IF('Schedule C'!AX439&lt;='DVO (F1 - F2)'!K$3,IF('Schedule C'!BA439="APPROVED",'Schedule C'!A439,0),0),0)</f>
        <v>0</v>
      </c>
    </row>
    <row r="181" spans="1:18" ht="15">
      <c r="A181" s="1125">
        <f t="shared" si="9"/>
        <v>174</v>
      </c>
      <c r="B181" s="1126">
        <v>1</v>
      </c>
      <c r="C181" s="1126" t="str">
        <f>IFERROR(VLOOKUP($D181,dropdowns!$I$3:$Q$30,6,0), " ")</f>
        <v xml:space="preserve"> </v>
      </c>
      <c r="D181" s="1126" t="str">
        <f>IFERROR(INDEX('Schedule C'!$A$20:$BA$83,MATCH('DVO (F1 - F2)'!$R364,'Schedule C'!$A$20:$A$83,0),13)," ")</f>
        <v xml:space="preserve"> </v>
      </c>
      <c r="E181" s="1126" t="str">
        <f>IFERROR(VLOOKUP($D181,dropdowns!$I$3:$Q$30,7,0), " ")</f>
        <v xml:space="preserve"> </v>
      </c>
      <c r="F181" s="1126" t="str">
        <f>IFERROR(INDEX('Schedule C'!$A$20:$BA$83,MATCH('DVO (F1 - F2)'!$R181,'Schedule C'!$A$20:$A$83,0),2)," ")</f>
        <v xml:space="preserve"> </v>
      </c>
      <c r="G181" s="1127" t="str">
        <f>IFERROR(INDEX('Schedule C'!$A$20:$BA$83,MATCH('DVO (F1 - F2)'!$R181,'Schedule C'!$A$20:$A$83,0),38)," ")</f>
        <v xml:space="preserve"> </v>
      </c>
      <c r="H181" s="1127" t="str">
        <f>IFERROR(INDEX('Schedule C'!$A$20:$BA$83,MATCH('DVO (F1 - F2)'!$R181,'Schedule C'!$A$20:$A$83,0),39)," ")</f>
        <v xml:space="preserve"> </v>
      </c>
      <c r="I181" s="1127" t="str">
        <f>IFERROR(INDEX('Schedule C'!$A$20:$BA$83,MATCH('DVO (F1 - F2)'!$R181,'Schedule C'!$A$20:$A$83,0),41)," ")</f>
        <v xml:space="preserve"> </v>
      </c>
      <c r="J181" s="1127" t="str">
        <f>IFERROR(INDEX('Schedule C'!$A$20:$BA$83,MATCH('DVO (F1 - F2)'!$R181,'Schedule C'!$A$20:$A$83,0),50)," ")</f>
        <v xml:space="preserve"> </v>
      </c>
      <c r="K181" s="1452" t="str">
        <f>IFERROR(INDEX('Schedule C'!$A$20:$BA$83,MATCH('DVO (F1 - F2)'!$R181,'Schedule C'!$A$20:$A$83,0),33)," ")</f>
        <v xml:space="preserve"> </v>
      </c>
      <c r="L181" s="1453" t="str">
        <f>IFERROR(INDEX('Schedule C'!$A$20:$BA$83,MATCH('DVO (F1 - F2)'!$R181,'Schedule C'!$A$20:$A$83,0),52)," ")</f>
        <v xml:space="preserve"> </v>
      </c>
      <c r="M181" s="1454" t="str">
        <f>IFERROR(INDEX('Schedule C'!$A$20:$BA$83,MATCH('DVO (F1 - F2)'!$R181,'Schedule C'!$A$20:$A$83,0),50)-INDEX('Schedule C'!$A$20:$BA$83,MATCH('DVO (F1 - F2)'!$R181,'Schedule C'!$A$20:$A$83,0),39)," ")</f>
        <v xml:space="preserve"> </v>
      </c>
      <c r="N181" s="1129" t="str">
        <f t="shared" si="10"/>
        <v xml:space="preserve"> </v>
      </c>
      <c r="O181" s="1129" t="str">
        <f t="shared" si="11"/>
        <v xml:space="preserve"> </v>
      </c>
      <c r="P181" s="1130" t="str">
        <f t="shared" si="12"/>
        <v xml:space="preserve"> </v>
      </c>
      <c r="Q181" s="1131" t="str">
        <f t="shared" si="13"/>
        <v xml:space="preserve"> </v>
      </c>
      <c r="R181" s="1118">
        <f>IF('Schedule C'!AX440&gt;='DVO (F1 - F2)'!J$3,IF('Schedule C'!AX440&lt;='DVO (F1 - F2)'!K$3,IF('Schedule C'!BA440="APPROVED",'Schedule C'!A440,0),0),0)</f>
        <v>0</v>
      </c>
    </row>
    <row r="182" spans="1:18" ht="15">
      <c r="A182" s="1125">
        <f t="shared" si="9"/>
        <v>175</v>
      </c>
      <c r="B182" s="1126">
        <v>1</v>
      </c>
      <c r="C182" s="1126" t="str">
        <f>IFERROR(VLOOKUP($D182,dropdowns!$I$3:$Q$30,6,0), " ")</f>
        <v xml:space="preserve"> </v>
      </c>
      <c r="D182" s="1126" t="str">
        <f>IFERROR(INDEX('Schedule C'!$A$20:$BA$83,MATCH('DVO (F1 - F2)'!$R365,'Schedule C'!$A$20:$A$83,0),13)," ")</f>
        <v xml:space="preserve"> </v>
      </c>
      <c r="E182" s="1126" t="str">
        <f>IFERROR(VLOOKUP($D182,dropdowns!$I$3:$Q$30,7,0), " ")</f>
        <v xml:space="preserve"> </v>
      </c>
      <c r="F182" s="1126" t="str">
        <f>IFERROR(INDEX('Schedule C'!$A$20:$BA$83,MATCH('DVO (F1 - F2)'!$R182,'Schedule C'!$A$20:$A$83,0),2)," ")</f>
        <v xml:space="preserve"> </v>
      </c>
      <c r="G182" s="1127" t="str">
        <f>IFERROR(INDEX('Schedule C'!$A$20:$BA$83,MATCH('DVO (F1 - F2)'!$R182,'Schedule C'!$A$20:$A$83,0),38)," ")</f>
        <v xml:space="preserve"> </v>
      </c>
      <c r="H182" s="1127" t="str">
        <f>IFERROR(INDEX('Schedule C'!$A$20:$BA$83,MATCH('DVO (F1 - F2)'!$R182,'Schedule C'!$A$20:$A$83,0),39)," ")</f>
        <v xml:space="preserve"> </v>
      </c>
      <c r="I182" s="1127" t="str">
        <f>IFERROR(INDEX('Schedule C'!$A$20:$BA$83,MATCH('DVO (F1 - F2)'!$R182,'Schedule C'!$A$20:$A$83,0),41)," ")</f>
        <v xml:space="preserve"> </v>
      </c>
      <c r="J182" s="1127" t="str">
        <f>IFERROR(INDEX('Schedule C'!$A$20:$BA$83,MATCH('DVO (F1 - F2)'!$R182,'Schedule C'!$A$20:$A$83,0),50)," ")</f>
        <v xml:space="preserve"> </v>
      </c>
      <c r="K182" s="1452" t="str">
        <f>IFERROR(INDEX('Schedule C'!$A$20:$BA$83,MATCH('DVO (F1 - F2)'!$R182,'Schedule C'!$A$20:$A$83,0),33)," ")</f>
        <v xml:space="preserve"> </v>
      </c>
      <c r="L182" s="1453" t="str">
        <f>IFERROR(INDEX('Schedule C'!$A$20:$BA$83,MATCH('DVO (F1 - F2)'!$R182,'Schedule C'!$A$20:$A$83,0),52)," ")</f>
        <v xml:space="preserve"> </v>
      </c>
      <c r="M182" s="1454" t="str">
        <f>IFERROR(INDEX('Schedule C'!$A$20:$BA$83,MATCH('DVO (F1 - F2)'!$R182,'Schedule C'!$A$20:$A$83,0),50)-INDEX('Schedule C'!$A$20:$BA$83,MATCH('DVO (F1 - F2)'!$R182,'Schedule C'!$A$20:$A$83,0),39)," ")</f>
        <v xml:space="preserve"> </v>
      </c>
      <c r="N182" s="1129" t="str">
        <f t="shared" si="10"/>
        <v xml:space="preserve"> </v>
      </c>
      <c r="O182" s="1129" t="str">
        <f t="shared" si="11"/>
        <v xml:space="preserve"> </v>
      </c>
      <c r="P182" s="1130" t="str">
        <f t="shared" si="12"/>
        <v xml:space="preserve"> </v>
      </c>
      <c r="Q182" s="1131" t="str">
        <f t="shared" si="13"/>
        <v xml:space="preserve"> </v>
      </c>
      <c r="R182" s="1118">
        <f>IF('Schedule C'!AX441&gt;='DVO (F1 - F2)'!J$3,IF('Schedule C'!AX441&lt;='DVO (F1 - F2)'!K$3,IF('Schedule C'!BA441="APPROVED",'Schedule C'!A441,0),0),0)</f>
        <v>0</v>
      </c>
    </row>
    <row r="183" spans="1:18" ht="15">
      <c r="A183" s="1125">
        <f t="shared" si="9"/>
        <v>176</v>
      </c>
      <c r="B183" s="1126">
        <v>1</v>
      </c>
      <c r="C183" s="1126" t="str">
        <f>IFERROR(VLOOKUP($D183,dropdowns!$I$3:$Q$30,6,0), " ")</f>
        <v xml:space="preserve"> </v>
      </c>
      <c r="D183" s="1126" t="str">
        <f>IFERROR(INDEX('Schedule C'!$A$20:$BA$83,MATCH('DVO (F1 - F2)'!$R366,'Schedule C'!$A$20:$A$83,0),13)," ")</f>
        <v xml:space="preserve"> </v>
      </c>
      <c r="E183" s="1126" t="str">
        <f>IFERROR(VLOOKUP($D183,dropdowns!$I$3:$Q$30,7,0), " ")</f>
        <v xml:space="preserve"> </v>
      </c>
      <c r="F183" s="1126" t="str">
        <f>IFERROR(INDEX('Schedule C'!$A$20:$BA$83,MATCH('DVO (F1 - F2)'!$R183,'Schedule C'!$A$20:$A$83,0),2)," ")</f>
        <v xml:space="preserve"> </v>
      </c>
      <c r="G183" s="1127" t="str">
        <f>IFERROR(INDEX('Schedule C'!$A$20:$BA$83,MATCH('DVO (F1 - F2)'!$R183,'Schedule C'!$A$20:$A$83,0),38)," ")</f>
        <v xml:space="preserve"> </v>
      </c>
      <c r="H183" s="1127" t="str">
        <f>IFERROR(INDEX('Schedule C'!$A$20:$BA$83,MATCH('DVO (F1 - F2)'!$R183,'Schedule C'!$A$20:$A$83,0),39)," ")</f>
        <v xml:space="preserve"> </v>
      </c>
      <c r="I183" s="1127" t="str">
        <f>IFERROR(INDEX('Schedule C'!$A$20:$BA$83,MATCH('DVO (F1 - F2)'!$R183,'Schedule C'!$A$20:$A$83,0),41)," ")</f>
        <v xml:space="preserve"> </v>
      </c>
      <c r="J183" s="1127" t="str">
        <f>IFERROR(INDEX('Schedule C'!$A$20:$BA$83,MATCH('DVO (F1 - F2)'!$R183,'Schedule C'!$A$20:$A$83,0),50)," ")</f>
        <v xml:space="preserve"> </v>
      </c>
      <c r="K183" s="1452" t="str">
        <f>IFERROR(INDEX('Schedule C'!$A$20:$BA$83,MATCH('DVO (F1 - F2)'!$R183,'Schedule C'!$A$20:$A$83,0),33)," ")</f>
        <v xml:space="preserve"> </v>
      </c>
      <c r="L183" s="1453" t="str">
        <f>IFERROR(INDEX('Schedule C'!$A$20:$BA$83,MATCH('DVO (F1 - F2)'!$R183,'Schedule C'!$A$20:$A$83,0),52)," ")</f>
        <v xml:space="preserve"> </v>
      </c>
      <c r="M183" s="1454" t="str">
        <f>IFERROR(INDEX('Schedule C'!$A$20:$BA$83,MATCH('DVO (F1 - F2)'!$R183,'Schedule C'!$A$20:$A$83,0),50)-INDEX('Schedule C'!$A$20:$BA$83,MATCH('DVO (F1 - F2)'!$R183,'Schedule C'!$A$20:$A$83,0),39)," ")</f>
        <v xml:space="preserve"> </v>
      </c>
      <c r="N183" s="1129" t="str">
        <f t="shared" si="10"/>
        <v xml:space="preserve"> </v>
      </c>
      <c r="O183" s="1129" t="str">
        <f t="shared" si="11"/>
        <v xml:space="preserve"> </v>
      </c>
      <c r="P183" s="1130" t="str">
        <f t="shared" si="12"/>
        <v xml:space="preserve"> </v>
      </c>
      <c r="Q183" s="1131" t="str">
        <f t="shared" si="13"/>
        <v xml:space="preserve"> </v>
      </c>
      <c r="R183" s="1118">
        <f>IF('Schedule C'!AX442&gt;='DVO (F1 - F2)'!J$3,IF('Schedule C'!AX442&lt;='DVO (F1 - F2)'!K$3,IF('Schedule C'!BA442="APPROVED",'Schedule C'!A442,0),0),0)</f>
        <v>0</v>
      </c>
    </row>
    <row r="184" spans="1:18" ht="15">
      <c r="A184" s="1125">
        <f t="shared" si="9"/>
        <v>177</v>
      </c>
      <c r="B184" s="1126">
        <v>1</v>
      </c>
      <c r="C184" s="1126" t="str">
        <f>IFERROR(VLOOKUP($D184,dropdowns!$I$3:$Q$30,6,0), " ")</f>
        <v xml:space="preserve"> </v>
      </c>
      <c r="D184" s="1126" t="str">
        <f>IFERROR(INDEX('Schedule C'!$A$20:$BA$83,MATCH('DVO (F1 - F2)'!$R367,'Schedule C'!$A$20:$A$83,0),13)," ")</f>
        <v xml:space="preserve"> </v>
      </c>
      <c r="E184" s="1126" t="str">
        <f>IFERROR(VLOOKUP($D184,dropdowns!$I$3:$Q$30,7,0), " ")</f>
        <v xml:space="preserve"> </v>
      </c>
      <c r="F184" s="1126" t="str">
        <f>IFERROR(INDEX('Schedule C'!$A$20:$BA$83,MATCH('DVO (F1 - F2)'!$R184,'Schedule C'!$A$20:$A$83,0),2)," ")</f>
        <v xml:space="preserve"> </v>
      </c>
      <c r="G184" s="1127" t="str">
        <f>IFERROR(INDEX('Schedule C'!$A$20:$BA$83,MATCH('DVO (F1 - F2)'!$R184,'Schedule C'!$A$20:$A$83,0),38)," ")</f>
        <v xml:space="preserve"> </v>
      </c>
      <c r="H184" s="1127" t="str">
        <f>IFERROR(INDEX('Schedule C'!$A$20:$BA$83,MATCH('DVO (F1 - F2)'!$R184,'Schedule C'!$A$20:$A$83,0),39)," ")</f>
        <v xml:space="preserve"> </v>
      </c>
      <c r="I184" s="1127" t="str">
        <f>IFERROR(INDEX('Schedule C'!$A$20:$BA$83,MATCH('DVO (F1 - F2)'!$R184,'Schedule C'!$A$20:$A$83,0),41)," ")</f>
        <v xml:space="preserve"> </v>
      </c>
      <c r="J184" s="1127" t="str">
        <f>IFERROR(INDEX('Schedule C'!$A$20:$BA$83,MATCH('DVO (F1 - F2)'!$R184,'Schedule C'!$A$20:$A$83,0),50)," ")</f>
        <v xml:space="preserve"> </v>
      </c>
      <c r="K184" s="1452" t="str">
        <f>IFERROR(INDEX('Schedule C'!$A$20:$BA$83,MATCH('DVO (F1 - F2)'!$R184,'Schedule C'!$A$20:$A$83,0),33)," ")</f>
        <v xml:space="preserve"> </v>
      </c>
      <c r="L184" s="1453" t="str">
        <f>IFERROR(INDEX('Schedule C'!$A$20:$BA$83,MATCH('DVO (F1 - F2)'!$R184,'Schedule C'!$A$20:$A$83,0),52)," ")</f>
        <v xml:space="preserve"> </v>
      </c>
      <c r="M184" s="1454" t="str">
        <f>IFERROR(INDEX('Schedule C'!$A$20:$BA$83,MATCH('DVO (F1 - F2)'!$R184,'Schedule C'!$A$20:$A$83,0),50)-INDEX('Schedule C'!$A$20:$BA$83,MATCH('DVO (F1 - F2)'!$R184,'Schedule C'!$A$20:$A$83,0),39)," ")</f>
        <v xml:space="preserve"> </v>
      </c>
      <c r="N184" s="1129" t="str">
        <f t="shared" si="10"/>
        <v xml:space="preserve"> </v>
      </c>
      <c r="O184" s="1129" t="str">
        <f t="shared" si="11"/>
        <v xml:space="preserve"> </v>
      </c>
      <c r="P184" s="1130" t="str">
        <f t="shared" si="12"/>
        <v xml:space="preserve"> </v>
      </c>
      <c r="Q184" s="1131" t="str">
        <f t="shared" si="13"/>
        <v xml:space="preserve"> </v>
      </c>
      <c r="R184" s="1118">
        <f>IF('Schedule C'!AX443&gt;='DVO (F1 - F2)'!J$3,IF('Schedule C'!AX443&lt;='DVO (F1 - F2)'!K$3,IF('Schedule C'!BA443="APPROVED",'Schedule C'!A443,0),0),0)</f>
        <v>0</v>
      </c>
    </row>
    <row r="185" spans="1:18" ht="15">
      <c r="A185" s="1125">
        <f t="shared" si="9"/>
        <v>178</v>
      </c>
      <c r="B185" s="1126">
        <v>1</v>
      </c>
      <c r="C185" s="1126" t="str">
        <f>IFERROR(VLOOKUP($D185,dropdowns!$I$3:$Q$30,6,0), " ")</f>
        <v xml:space="preserve"> </v>
      </c>
      <c r="D185" s="1126" t="str">
        <f>IFERROR(INDEX('Schedule C'!$A$20:$BA$83,MATCH('DVO (F1 - F2)'!$R368,'Schedule C'!$A$20:$A$83,0),13)," ")</f>
        <v xml:space="preserve"> </v>
      </c>
      <c r="E185" s="1126" t="str">
        <f>IFERROR(VLOOKUP($D185,dropdowns!$I$3:$Q$30,7,0), " ")</f>
        <v xml:space="preserve"> </v>
      </c>
      <c r="F185" s="1126" t="str">
        <f>IFERROR(INDEX('Schedule C'!$A$20:$BA$83,MATCH('DVO (F1 - F2)'!$R185,'Schedule C'!$A$20:$A$83,0),2)," ")</f>
        <v xml:space="preserve"> </v>
      </c>
      <c r="G185" s="1127" t="str">
        <f>IFERROR(INDEX('Schedule C'!$A$20:$BA$83,MATCH('DVO (F1 - F2)'!$R185,'Schedule C'!$A$20:$A$83,0),38)," ")</f>
        <v xml:space="preserve"> </v>
      </c>
      <c r="H185" s="1127" t="str">
        <f>IFERROR(INDEX('Schedule C'!$A$20:$BA$83,MATCH('DVO (F1 - F2)'!$R185,'Schedule C'!$A$20:$A$83,0),39)," ")</f>
        <v xml:space="preserve"> </v>
      </c>
      <c r="I185" s="1127" t="str">
        <f>IFERROR(INDEX('Schedule C'!$A$20:$BA$83,MATCH('DVO (F1 - F2)'!$R185,'Schedule C'!$A$20:$A$83,0),41)," ")</f>
        <v xml:space="preserve"> </v>
      </c>
      <c r="J185" s="1127" t="str">
        <f>IFERROR(INDEX('Schedule C'!$A$20:$BA$83,MATCH('DVO (F1 - F2)'!$R185,'Schedule C'!$A$20:$A$83,0),50)," ")</f>
        <v xml:space="preserve"> </v>
      </c>
      <c r="K185" s="1452" t="str">
        <f>IFERROR(INDEX('Schedule C'!$A$20:$BA$83,MATCH('DVO (F1 - F2)'!$R185,'Schedule C'!$A$20:$A$83,0),33)," ")</f>
        <v xml:space="preserve"> </v>
      </c>
      <c r="L185" s="1453" t="str">
        <f>IFERROR(INDEX('Schedule C'!$A$20:$BA$83,MATCH('DVO (F1 - F2)'!$R185,'Schedule C'!$A$20:$A$83,0),52)," ")</f>
        <v xml:space="preserve"> </v>
      </c>
      <c r="M185" s="1454" t="str">
        <f>IFERROR(INDEX('Schedule C'!$A$20:$BA$83,MATCH('DVO (F1 - F2)'!$R185,'Schedule C'!$A$20:$A$83,0),50)-INDEX('Schedule C'!$A$20:$BA$83,MATCH('DVO (F1 - F2)'!$R185,'Schedule C'!$A$20:$A$83,0),39)," ")</f>
        <v xml:space="preserve"> </v>
      </c>
      <c r="N185" s="1129" t="str">
        <f t="shared" si="10"/>
        <v xml:space="preserve"> </v>
      </c>
      <c r="O185" s="1129" t="str">
        <f t="shared" si="11"/>
        <v xml:space="preserve"> </v>
      </c>
      <c r="P185" s="1130" t="str">
        <f t="shared" si="12"/>
        <v xml:space="preserve"> </v>
      </c>
      <c r="Q185" s="1131" t="str">
        <f t="shared" si="13"/>
        <v xml:space="preserve"> </v>
      </c>
      <c r="R185" s="1118">
        <f>IF('Schedule C'!AX444&gt;='DVO (F1 - F2)'!J$3,IF('Schedule C'!AX444&lt;='DVO (F1 - F2)'!K$3,IF('Schedule C'!BA444="APPROVED",'Schedule C'!A444,0),0),0)</f>
        <v>0</v>
      </c>
    </row>
    <row r="186" spans="1:18" ht="15">
      <c r="A186" s="1125">
        <f t="shared" si="9"/>
        <v>179</v>
      </c>
      <c r="B186" s="1126">
        <v>1</v>
      </c>
      <c r="C186" s="1126" t="str">
        <f>IFERROR(VLOOKUP($D186,dropdowns!$I$3:$Q$30,6,0), " ")</f>
        <v xml:space="preserve"> </v>
      </c>
      <c r="D186" s="1126" t="str">
        <f>IFERROR(INDEX('Schedule C'!$A$20:$BA$83,MATCH('DVO (F1 - F2)'!$R369,'Schedule C'!$A$20:$A$83,0),13)," ")</f>
        <v xml:space="preserve"> </v>
      </c>
      <c r="E186" s="1126" t="str">
        <f>IFERROR(VLOOKUP($D186,dropdowns!$I$3:$Q$30,7,0), " ")</f>
        <v xml:space="preserve"> </v>
      </c>
      <c r="F186" s="1126" t="str">
        <f>IFERROR(INDEX('Schedule C'!$A$20:$BA$83,MATCH('DVO (F1 - F2)'!$R186,'Schedule C'!$A$20:$A$83,0),2)," ")</f>
        <v xml:space="preserve"> </v>
      </c>
      <c r="G186" s="1127" t="str">
        <f>IFERROR(INDEX('Schedule C'!$A$20:$BA$83,MATCH('DVO (F1 - F2)'!$R186,'Schedule C'!$A$20:$A$83,0),38)," ")</f>
        <v xml:space="preserve"> </v>
      </c>
      <c r="H186" s="1127" t="str">
        <f>IFERROR(INDEX('Schedule C'!$A$20:$BA$83,MATCH('DVO (F1 - F2)'!$R186,'Schedule C'!$A$20:$A$83,0),39)," ")</f>
        <v xml:space="preserve"> </v>
      </c>
      <c r="I186" s="1127" t="str">
        <f>IFERROR(INDEX('Schedule C'!$A$20:$BA$83,MATCH('DVO (F1 - F2)'!$R186,'Schedule C'!$A$20:$A$83,0),41)," ")</f>
        <v xml:space="preserve"> </v>
      </c>
      <c r="J186" s="1127" t="str">
        <f>IFERROR(INDEX('Schedule C'!$A$20:$BA$83,MATCH('DVO (F1 - F2)'!$R186,'Schedule C'!$A$20:$A$83,0),50)," ")</f>
        <v xml:space="preserve"> </v>
      </c>
      <c r="K186" s="1452" t="str">
        <f>IFERROR(INDEX('Schedule C'!$A$20:$BA$83,MATCH('DVO (F1 - F2)'!$R186,'Schedule C'!$A$20:$A$83,0),33)," ")</f>
        <v xml:space="preserve"> </v>
      </c>
      <c r="L186" s="1453" t="str">
        <f>IFERROR(INDEX('Schedule C'!$A$20:$BA$83,MATCH('DVO (F1 - F2)'!$R186,'Schedule C'!$A$20:$A$83,0),52)," ")</f>
        <v xml:space="preserve"> </v>
      </c>
      <c r="M186" s="1454" t="str">
        <f>IFERROR(INDEX('Schedule C'!$A$20:$BA$83,MATCH('DVO (F1 - F2)'!$R186,'Schedule C'!$A$20:$A$83,0),50)-INDEX('Schedule C'!$A$20:$BA$83,MATCH('DVO (F1 - F2)'!$R186,'Schedule C'!$A$20:$A$83,0),39)," ")</f>
        <v xml:space="preserve"> </v>
      </c>
      <c r="N186" s="1129" t="str">
        <f t="shared" si="10"/>
        <v xml:space="preserve"> </v>
      </c>
      <c r="O186" s="1129" t="str">
        <f t="shared" si="11"/>
        <v xml:space="preserve"> </v>
      </c>
      <c r="P186" s="1130" t="str">
        <f t="shared" si="12"/>
        <v xml:space="preserve"> </v>
      </c>
      <c r="Q186" s="1131" t="str">
        <f t="shared" si="13"/>
        <v xml:space="preserve"> </v>
      </c>
      <c r="R186" s="1118">
        <f>IF('Schedule C'!AX445&gt;='DVO (F1 - F2)'!J$3,IF('Schedule C'!AX445&lt;='DVO (F1 - F2)'!K$3,IF('Schedule C'!BA445="APPROVED",'Schedule C'!A445,0),0),0)</f>
        <v>0</v>
      </c>
    </row>
    <row r="187" spans="1:18" ht="15">
      <c r="A187" s="1125">
        <f t="shared" si="9"/>
        <v>180</v>
      </c>
      <c r="B187" s="1126">
        <v>1</v>
      </c>
      <c r="C187" s="1126" t="str">
        <f>IFERROR(VLOOKUP($D187,dropdowns!$I$3:$Q$30,6,0), " ")</f>
        <v xml:space="preserve"> </v>
      </c>
      <c r="D187" s="1126" t="str">
        <f>IFERROR(INDEX('Schedule C'!$A$20:$BA$83,MATCH('DVO (F1 - F2)'!$R370,'Schedule C'!$A$20:$A$83,0),13)," ")</f>
        <v xml:space="preserve"> </v>
      </c>
      <c r="E187" s="1126" t="str">
        <f>IFERROR(VLOOKUP($D187,dropdowns!$I$3:$Q$30,7,0), " ")</f>
        <v xml:space="preserve"> </v>
      </c>
      <c r="F187" s="1126" t="str">
        <f>IFERROR(INDEX('Schedule C'!$A$20:$BA$83,MATCH('DVO (F1 - F2)'!$R187,'Schedule C'!$A$20:$A$83,0),2)," ")</f>
        <v xml:space="preserve"> </v>
      </c>
      <c r="G187" s="1127" t="str">
        <f>IFERROR(INDEX('Schedule C'!$A$20:$BA$83,MATCH('DVO (F1 - F2)'!$R187,'Schedule C'!$A$20:$A$83,0),38)," ")</f>
        <v xml:space="preserve"> </v>
      </c>
      <c r="H187" s="1127" t="str">
        <f>IFERROR(INDEX('Schedule C'!$A$20:$BA$83,MATCH('DVO (F1 - F2)'!$R187,'Schedule C'!$A$20:$A$83,0),39)," ")</f>
        <v xml:space="preserve"> </v>
      </c>
      <c r="I187" s="1127" t="str">
        <f>IFERROR(INDEX('Schedule C'!$A$20:$BA$83,MATCH('DVO (F1 - F2)'!$R187,'Schedule C'!$A$20:$A$83,0),41)," ")</f>
        <v xml:space="preserve"> </v>
      </c>
      <c r="J187" s="1127" t="str">
        <f>IFERROR(INDEX('Schedule C'!$A$20:$BA$83,MATCH('DVO (F1 - F2)'!$R187,'Schedule C'!$A$20:$A$83,0),50)," ")</f>
        <v xml:space="preserve"> </v>
      </c>
      <c r="K187" s="1452" t="str">
        <f>IFERROR(INDEX('Schedule C'!$A$20:$BA$83,MATCH('DVO (F1 - F2)'!$R187,'Schedule C'!$A$20:$A$83,0),33)," ")</f>
        <v xml:space="preserve"> </v>
      </c>
      <c r="L187" s="1453" t="str">
        <f>IFERROR(INDEX('Schedule C'!$A$20:$BA$83,MATCH('DVO (F1 - F2)'!$R187,'Schedule C'!$A$20:$A$83,0),52)," ")</f>
        <v xml:space="preserve"> </v>
      </c>
      <c r="M187" s="1454" t="str">
        <f>IFERROR(INDEX('Schedule C'!$A$20:$BA$83,MATCH('DVO (F1 - F2)'!$R187,'Schedule C'!$A$20:$A$83,0),50)-INDEX('Schedule C'!$A$20:$BA$83,MATCH('DVO (F1 - F2)'!$R187,'Schedule C'!$A$20:$A$83,0),39)," ")</f>
        <v xml:space="preserve"> </v>
      </c>
      <c r="N187" s="1129" t="str">
        <f t="shared" si="10"/>
        <v xml:space="preserve"> </v>
      </c>
      <c r="O187" s="1129" t="str">
        <f t="shared" si="11"/>
        <v xml:space="preserve"> </v>
      </c>
      <c r="P187" s="1130" t="str">
        <f t="shared" si="12"/>
        <v xml:space="preserve"> </v>
      </c>
      <c r="Q187" s="1131" t="str">
        <f t="shared" si="13"/>
        <v xml:space="preserve"> </v>
      </c>
      <c r="R187" s="1118">
        <f>IF('Schedule C'!AX446&gt;='DVO (F1 - F2)'!J$3,IF('Schedule C'!AX446&lt;='DVO (F1 - F2)'!K$3,IF('Schedule C'!BA446="APPROVED",'Schedule C'!A446,0),0),0)</f>
        <v>0</v>
      </c>
    </row>
    <row r="188" spans="1:18" ht="15">
      <c r="A188" s="1125">
        <f t="shared" ref="A188:A215" si="14">ROW()-7</f>
        <v>181</v>
      </c>
      <c r="B188" s="1126">
        <v>1</v>
      </c>
      <c r="C188" s="1126" t="str">
        <f>IFERROR(VLOOKUP($D188,dropdowns!$I$3:$Q$30,6,0), " ")</f>
        <v xml:space="preserve"> </v>
      </c>
      <c r="D188" s="1126" t="str">
        <f>IFERROR(INDEX('Schedule C'!$A$20:$BA$83,MATCH('DVO (F1 - F2)'!$R371,'Schedule C'!$A$20:$A$83,0),13)," ")</f>
        <v xml:space="preserve"> </v>
      </c>
      <c r="E188" s="1126" t="str">
        <f>IFERROR(VLOOKUP($D188,dropdowns!$I$3:$Q$30,7,0), " ")</f>
        <v xml:space="preserve"> </v>
      </c>
      <c r="F188" s="1126" t="str">
        <f>IFERROR(INDEX('Schedule C'!$A$20:$BA$83,MATCH('DVO (F1 - F2)'!$R188,'Schedule C'!$A$20:$A$83,0),2)," ")</f>
        <v xml:space="preserve"> </v>
      </c>
      <c r="G188" s="1127" t="str">
        <f>IFERROR(INDEX('Schedule C'!$A$20:$BA$83,MATCH('DVO (F1 - F2)'!$R188,'Schedule C'!$A$20:$A$83,0),38)," ")</f>
        <v xml:space="preserve"> </v>
      </c>
      <c r="H188" s="1127" t="str">
        <f>IFERROR(INDEX('Schedule C'!$A$20:$BA$83,MATCH('DVO (F1 - F2)'!$R188,'Schedule C'!$A$20:$A$83,0),39)," ")</f>
        <v xml:space="preserve"> </v>
      </c>
      <c r="I188" s="1127" t="str">
        <f>IFERROR(INDEX('Schedule C'!$A$20:$BA$83,MATCH('DVO (F1 - F2)'!$R188,'Schedule C'!$A$20:$A$83,0),41)," ")</f>
        <v xml:space="preserve"> </v>
      </c>
      <c r="J188" s="1127" t="str">
        <f>IFERROR(INDEX('Schedule C'!$A$20:$BA$83,MATCH('DVO (F1 - F2)'!$R188,'Schedule C'!$A$20:$A$83,0),50)," ")</f>
        <v xml:space="preserve"> </v>
      </c>
      <c r="K188" s="1452" t="str">
        <f>IFERROR(INDEX('Schedule C'!$A$20:$BA$83,MATCH('DVO (F1 - F2)'!$R188,'Schedule C'!$A$20:$A$83,0),33)," ")</f>
        <v xml:space="preserve"> </v>
      </c>
      <c r="L188" s="1453" t="str">
        <f>IFERROR(INDEX('Schedule C'!$A$20:$BA$83,MATCH('DVO (F1 - F2)'!$R188,'Schedule C'!$A$20:$A$83,0),52)," ")</f>
        <v xml:space="preserve"> </v>
      </c>
      <c r="M188" s="1454" t="str">
        <f>IFERROR(INDEX('Schedule C'!$A$20:$BA$83,MATCH('DVO (F1 - F2)'!$R188,'Schedule C'!$A$20:$A$83,0),50)-INDEX('Schedule C'!$A$20:$BA$83,MATCH('DVO (F1 - F2)'!$R188,'Schedule C'!$A$20:$A$83,0),39)," ")</f>
        <v xml:space="preserve"> </v>
      </c>
      <c r="N188" s="1129" t="str">
        <f t="shared" si="10"/>
        <v xml:space="preserve"> </v>
      </c>
      <c r="O188" s="1129" t="str">
        <f t="shared" si="11"/>
        <v xml:space="preserve"> </v>
      </c>
      <c r="P188" s="1130" t="str">
        <f t="shared" si="12"/>
        <v xml:space="preserve"> </v>
      </c>
      <c r="Q188" s="1131" t="str">
        <f t="shared" si="13"/>
        <v xml:space="preserve"> </v>
      </c>
      <c r="R188" s="1118">
        <f>IF('Schedule C'!AX447&gt;='DVO (F1 - F2)'!J$3,IF('Schedule C'!AX447&lt;='DVO (F1 - F2)'!K$3,IF('Schedule C'!BA447="APPROVED",'Schedule C'!A447,0),0),0)</f>
        <v>0</v>
      </c>
    </row>
    <row r="189" spans="1:18" ht="15">
      <c r="A189" s="1125">
        <f t="shared" si="14"/>
        <v>182</v>
      </c>
      <c r="B189" s="1126">
        <v>1</v>
      </c>
      <c r="C189" s="1126" t="str">
        <f>IFERROR(VLOOKUP($D189,dropdowns!$I$3:$Q$30,6,0), " ")</f>
        <v xml:space="preserve"> </v>
      </c>
      <c r="D189" s="1126" t="str">
        <f>IFERROR(INDEX('Schedule C'!$A$20:$BA$83,MATCH('DVO (F1 - F2)'!$R372,'Schedule C'!$A$20:$A$83,0),13)," ")</f>
        <v xml:space="preserve"> </v>
      </c>
      <c r="E189" s="1126" t="str">
        <f>IFERROR(VLOOKUP($D189,dropdowns!$I$3:$Q$30,7,0), " ")</f>
        <v xml:space="preserve"> </v>
      </c>
      <c r="F189" s="1126" t="str">
        <f>IFERROR(INDEX('Schedule C'!$A$20:$BA$83,MATCH('DVO (F1 - F2)'!$R189,'Schedule C'!$A$20:$A$83,0),2)," ")</f>
        <v xml:space="preserve"> </v>
      </c>
      <c r="G189" s="1127" t="str">
        <f>IFERROR(INDEX('Schedule C'!$A$20:$BA$83,MATCH('DVO (F1 - F2)'!$R189,'Schedule C'!$A$20:$A$83,0),38)," ")</f>
        <v xml:space="preserve"> </v>
      </c>
      <c r="H189" s="1127" t="str">
        <f>IFERROR(INDEX('Schedule C'!$A$20:$BA$83,MATCH('DVO (F1 - F2)'!$R189,'Schedule C'!$A$20:$A$83,0),39)," ")</f>
        <v xml:space="preserve"> </v>
      </c>
      <c r="I189" s="1127" t="str">
        <f>IFERROR(INDEX('Schedule C'!$A$20:$BA$83,MATCH('DVO (F1 - F2)'!$R189,'Schedule C'!$A$20:$A$83,0),41)," ")</f>
        <v xml:space="preserve"> </v>
      </c>
      <c r="J189" s="1127" t="str">
        <f>IFERROR(INDEX('Schedule C'!$A$20:$BA$83,MATCH('DVO (F1 - F2)'!$R189,'Schedule C'!$A$20:$A$83,0),50)," ")</f>
        <v xml:space="preserve"> </v>
      </c>
      <c r="K189" s="1452" t="str">
        <f>IFERROR(INDEX('Schedule C'!$A$20:$BA$83,MATCH('DVO (F1 - F2)'!$R189,'Schedule C'!$A$20:$A$83,0),33)," ")</f>
        <v xml:space="preserve"> </v>
      </c>
      <c r="L189" s="1453" t="str">
        <f>IFERROR(INDEX('Schedule C'!$A$20:$BA$83,MATCH('DVO (F1 - F2)'!$R189,'Schedule C'!$A$20:$A$83,0),52)," ")</f>
        <v xml:space="preserve"> </v>
      </c>
      <c r="M189" s="1454" t="str">
        <f>IFERROR(INDEX('Schedule C'!$A$20:$BA$83,MATCH('DVO (F1 - F2)'!$R189,'Schedule C'!$A$20:$A$83,0),50)-INDEX('Schedule C'!$A$20:$BA$83,MATCH('DVO (F1 - F2)'!$R189,'Schedule C'!$A$20:$A$83,0),39)," ")</f>
        <v xml:space="preserve"> </v>
      </c>
      <c r="N189" s="1129" t="str">
        <f t="shared" si="10"/>
        <v xml:space="preserve"> </v>
      </c>
      <c r="O189" s="1129" t="str">
        <f t="shared" si="11"/>
        <v xml:space="preserve"> </v>
      </c>
      <c r="P189" s="1130" t="str">
        <f t="shared" si="12"/>
        <v xml:space="preserve"> </v>
      </c>
      <c r="Q189" s="1131" t="str">
        <f t="shared" si="13"/>
        <v xml:space="preserve"> </v>
      </c>
      <c r="R189" s="1118">
        <f>IF('Schedule C'!AX448&gt;='DVO (F1 - F2)'!J$3,IF('Schedule C'!AX448&lt;='DVO (F1 - F2)'!K$3,IF('Schedule C'!BA448="APPROVED",'Schedule C'!A448,0),0),0)</f>
        <v>0</v>
      </c>
    </row>
    <row r="190" spans="1:18" ht="15">
      <c r="A190" s="1125">
        <f t="shared" si="14"/>
        <v>183</v>
      </c>
      <c r="B190" s="1126">
        <v>1</v>
      </c>
      <c r="C190" s="1126" t="str">
        <f>IFERROR(VLOOKUP($D190,dropdowns!$I$3:$Q$30,6,0), " ")</f>
        <v xml:space="preserve"> </v>
      </c>
      <c r="D190" s="1126" t="str">
        <f>IFERROR(INDEX('Schedule C'!$A$20:$BA$83,MATCH('DVO (F1 - F2)'!$R373,'Schedule C'!$A$20:$A$83,0),13)," ")</f>
        <v xml:space="preserve"> </v>
      </c>
      <c r="E190" s="1126" t="str">
        <f>IFERROR(VLOOKUP($D190,dropdowns!$I$3:$Q$30,7,0), " ")</f>
        <v xml:space="preserve"> </v>
      </c>
      <c r="F190" s="1126" t="str">
        <f>IFERROR(INDEX('Schedule C'!$A$20:$BA$83,MATCH('DVO (F1 - F2)'!$R190,'Schedule C'!$A$20:$A$83,0),2)," ")</f>
        <v xml:space="preserve"> </v>
      </c>
      <c r="G190" s="1127" t="str">
        <f>IFERROR(INDEX('Schedule C'!$A$20:$BA$83,MATCH('DVO (F1 - F2)'!$R190,'Schedule C'!$A$20:$A$83,0),38)," ")</f>
        <v xml:space="preserve"> </v>
      </c>
      <c r="H190" s="1127" t="str">
        <f>IFERROR(INDEX('Schedule C'!$A$20:$BA$83,MATCH('DVO (F1 - F2)'!$R190,'Schedule C'!$A$20:$A$83,0),39)," ")</f>
        <v xml:space="preserve"> </v>
      </c>
      <c r="I190" s="1127" t="str">
        <f>IFERROR(INDEX('Schedule C'!$A$20:$BA$83,MATCH('DVO (F1 - F2)'!$R190,'Schedule C'!$A$20:$A$83,0),41)," ")</f>
        <v xml:space="preserve"> </v>
      </c>
      <c r="J190" s="1127" t="str">
        <f>IFERROR(INDEX('Schedule C'!$A$20:$BA$83,MATCH('DVO (F1 - F2)'!$R190,'Schedule C'!$A$20:$A$83,0),50)," ")</f>
        <v xml:space="preserve"> </v>
      </c>
      <c r="K190" s="1452" t="str">
        <f>IFERROR(INDEX('Schedule C'!$A$20:$BA$83,MATCH('DVO (F1 - F2)'!$R190,'Schedule C'!$A$20:$A$83,0),33)," ")</f>
        <v xml:space="preserve"> </v>
      </c>
      <c r="L190" s="1453" t="str">
        <f>IFERROR(INDEX('Schedule C'!$A$20:$BA$83,MATCH('DVO (F1 - F2)'!$R190,'Schedule C'!$A$20:$A$83,0),52)," ")</f>
        <v xml:space="preserve"> </v>
      </c>
      <c r="M190" s="1454" t="str">
        <f>IFERROR(INDEX('Schedule C'!$A$20:$BA$83,MATCH('DVO (F1 - F2)'!$R190,'Schedule C'!$A$20:$A$83,0),50)-INDEX('Schedule C'!$A$20:$BA$83,MATCH('DVO (F1 - F2)'!$R190,'Schedule C'!$A$20:$A$83,0),39)," ")</f>
        <v xml:space="preserve"> </v>
      </c>
      <c r="N190" s="1129" t="str">
        <f t="shared" si="10"/>
        <v xml:space="preserve"> </v>
      </c>
      <c r="O190" s="1129" t="str">
        <f t="shared" si="11"/>
        <v xml:space="preserve"> </v>
      </c>
      <c r="P190" s="1130" t="str">
        <f t="shared" si="12"/>
        <v xml:space="preserve"> </v>
      </c>
      <c r="Q190" s="1131" t="str">
        <f t="shared" si="13"/>
        <v xml:space="preserve"> </v>
      </c>
      <c r="R190" s="1118">
        <f>IF('Schedule C'!AX449&gt;='DVO (F1 - F2)'!J$3,IF('Schedule C'!AX449&lt;='DVO (F1 - F2)'!K$3,IF('Schedule C'!BA449="APPROVED",'Schedule C'!A449,0),0),0)</f>
        <v>0</v>
      </c>
    </row>
    <row r="191" spans="1:18" ht="15">
      <c r="A191" s="1125">
        <f t="shared" si="14"/>
        <v>184</v>
      </c>
      <c r="B191" s="1126">
        <v>1</v>
      </c>
      <c r="C191" s="1126" t="str">
        <f>IFERROR(VLOOKUP($D191,dropdowns!$I$3:$Q$30,6,0), " ")</f>
        <v xml:space="preserve"> </v>
      </c>
      <c r="D191" s="1126" t="str">
        <f>IFERROR(INDEX('Schedule C'!$A$20:$BA$83,MATCH('DVO (F1 - F2)'!$R374,'Schedule C'!$A$20:$A$83,0),13)," ")</f>
        <v xml:space="preserve"> </v>
      </c>
      <c r="E191" s="1126" t="str">
        <f>IFERROR(VLOOKUP($D191,dropdowns!$I$3:$Q$30,7,0), " ")</f>
        <v xml:space="preserve"> </v>
      </c>
      <c r="F191" s="1126" t="str">
        <f>IFERROR(INDEX('Schedule C'!$A$20:$BA$83,MATCH('DVO (F1 - F2)'!$R191,'Schedule C'!$A$20:$A$83,0),2)," ")</f>
        <v xml:space="preserve"> </v>
      </c>
      <c r="G191" s="1127" t="str">
        <f>IFERROR(INDEX('Schedule C'!$A$20:$BA$83,MATCH('DVO (F1 - F2)'!$R191,'Schedule C'!$A$20:$A$83,0),38)," ")</f>
        <v xml:space="preserve"> </v>
      </c>
      <c r="H191" s="1127" t="str">
        <f>IFERROR(INDEX('Schedule C'!$A$20:$BA$83,MATCH('DVO (F1 - F2)'!$R191,'Schedule C'!$A$20:$A$83,0),39)," ")</f>
        <v xml:space="preserve"> </v>
      </c>
      <c r="I191" s="1127" t="str">
        <f>IFERROR(INDEX('Schedule C'!$A$20:$BA$83,MATCH('DVO (F1 - F2)'!$R191,'Schedule C'!$A$20:$A$83,0),41)," ")</f>
        <v xml:space="preserve"> </v>
      </c>
      <c r="J191" s="1127" t="str">
        <f>IFERROR(INDEX('Schedule C'!$A$20:$BA$83,MATCH('DVO (F1 - F2)'!$R191,'Schedule C'!$A$20:$A$83,0),50)," ")</f>
        <v xml:space="preserve"> </v>
      </c>
      <c r="K191" s="1452" t="str">
        <f>IFERROR(INDEX('Schedule C'!$A$20:$BA$83,MATCH('DVO (F1 - F2)'!$R191,'Schedule C'!$A$20:$A$83,0),33)," ")</f>
        <v xml:space="preserve"> </v>
      </c>
      <c r="L191" s="1453" t="str">
        <f>IFERROR(INDEX('Schedule C'!$A$20:$BA$83,MATCH('DVO (F1 - F2)'!$R191,'Schedule C'!$A$20:$A$83,0),52)," ")</f>
        <v xml:space="preserve"> </v>
      </c>
      <c r="M191" s="1454" t="str">
        <f>IFERROR(INDEX('Schedule C'!$A$20:$BA$83,MATCH('DVO (F1 - F2)'!$R191,'Schedule C'!$A$20:$A$83,0),50)-INDEX('Schedule C'!$A$20:$BA$83,MATCH('DVO (F1 - F2)'!$R191,'Schedule C'!$A$20:$A$83,0),39)," ")</f>
        <v xml:space="preserve"> </v>
      </c>
      <c r="N191" s="1129" t="str">
        <f t="shared" si="10"/>
        <v xml:space="preserve"> </v>
      </c>
      <c r="O191" s="1129" t="str">
        <f t="shared" si="11"/>
        <v xml:space="preserve"> </v>
      </c>
      <c r="P191" s="1130" t="str">
        <f t="shared" si="12"/>
        <v xml:space="preserve"> </v>
      </c>
      <c r="Q191" s="1131" t="str">
        <f t="shared" si="13"/>
        <v xml:space="preserve"> </v>
      </c>
      <c r="R191" s="1118">
        <f>IF('Schedule C'!AX450&gt;='DVO (F1 - F2)'!J$3,IF('Schedule C'!AX450&lt;='DVO (F1 - F2)'!K$3,IF('Schedule C'!BA450="APPROVED",'Schedule C'!A450,0),0),0)</f>
        <v>0</v>
      </c>
    </row>
    <row r="192" spans="1:18" ht="15">
      <c r="A192" s="1125">
        <f t="shared" si="14"/>
        <v>185</v>
      </c>
      <c r="B192" s="1126">
        <v>1</v>
      </c>
      <c r="C192" s="1126" t="str">
        <f>IFERROR(VLOOKUP($D192,dropdowns!$I$3:$Q$30,6,0), " ")</f>
        <v xml:space="preserve"> </v>
      </c>
      <c r="D192" s="1126" t="str">
        <f>IFERROR(INDEX('Schedule C'!$A$20:$BA$83,MATCH('DVO (F1 - F2)'!$R375,'Schedule C'!$A$20:$A$83,0),13)," ")</f>
        <v xml:space="preserve"> </v>
      </c>
      <c r="E192" s="1126" t="str">
        <f>IFERROR(VLOOKUP($D192,dropdowns!$I$3:$Q$30,7,0), " ")</f>
        <v xml:space="preserve"> </v>
      </c>
      <c r="F192" s="1126" t="str">
        <f>IFERROR(INDEX('Schedule C'!$A$20:$BA$83,MATCH('DVO (F1 - F2)'!$R192,'Schedule C'!$A$20:$A$83,0),2)," ")</f>
        <v xml:space="preserve"> </v>
      </c>
      <c r="G192" s="1127" t="str">
        <f>IFERROR(INDEX('Schedule C'!$A$20:$BA$83,MATCH('DVO (F1 - F2)'!$R192,'Schedule C'!$A$20:$A$83,0),38)," ")</f>
        <v xml:space="preserve"> </v>
      </c>
      <c r="H192" s="1127" t="str">
        <f>IFERROR(INDEX('Schedule C'!$A$20:$BA$83,MATCH('DVO (F1 - F2)'!$R192,'Schedule C'!$A$20:$A$83,0),39)," ")</f>
        <v xml:space="preserve"> </v>
      </c>
      <c r="I192" s="1127" t="str">
        <f>IFERROR(INDEX('Schedule C'!$A$20:$BA$83,MATCH('DVO (F1 - F2)'!$R192,'Schedule C'!$A$20:$A$83,0),41)," ")</f>
        <v xml:space="preserve"> </v>
      </c>
      <c r="J192" s="1127" t="str">
        <f>IFERROR(INDEX('Schedule C'!$A$20:$BA$83,MATCH('DVO (F1 - F2)'!$R192,'Schedule C'!$A$20:$A$83,0),50)," ")</f>
        <v xml:space="preserve"> </v>
      </c>
      <c r="K192" s="1452" t="str">
        <f>IFERROR(INDEX('Schedule C'!$A$20:$BA$83,MATCH('DVO (F1 - F2)'!$R192,'Schedule C'!$A$20:$A$83,0),33)," ")</f>
        <v xml:space="preserve"> </v>
      </c>
      <c r="L192" s="1453" t="str">
        <f>IFERROR(INDEX('Schedule C'!$A$20:$BA$83,MATCH('DVO (F1 - F2)'!$R192,'Schedule C'!$A$20:$A$83,0),52)," ")</f>
        <v xml:space="preserve"> </v>
      </c>
      <c r="M192" s="1454" t="str">
        <f>IFERROR(INDEX('Schedule C'!$A$20:$BA$83,MATCH('DVO (F1 - F2)'!$R192,'Schedule C'!$A$20:$A$83,0),50)-INDEX('Schedule C'!$A$20:$BA$83,MATCH('DVO (F1 - F2)'!$R192,'Schedule C'!$A$20:$A$83,0),39)," ")</f>
        <v xml:space="preserve"> </v>
      </c>
      <c r="N192" s="1129" t="str">
        <f t="shared" si="10"/>
        <v xml:space="preserve"> </v>
      </c>
      <c r="O192" s="1129" t="str">
        <f t="shared" si="11"/>
        <v xml:space="preserve"> </v>
      </c>
      <c r="P192" s="1130" t="str">
        <f t="shared" si="12"/>
        <v xml:space="preserve"> </v>
      </c>
      <c r="Q192" s="1131" t="str">
        <f t="shared" si="13"/>
        <v xml:space="preserve"> </v>
      </c>
      <c r="R192" s="1118">
        <f>IF('Schedule C'!AX451&gt;='DVO (F1 - F2)'!J$3,IF('Schedule C'!AX451&lt;='DVO (F1 - F2)'!K$3,IF('Schedule C'!BA451="APPROVED",'Schedule C'!A451,0),0),0)</f>
        <v>0</v>
      </c>
    </row>
    <row r="193" spans="1:18" ht="15">
      <c r="A193" s="1125">
        <f t="shared" si="14"/>
        <v>186</v>
      </c>
      <c r="B193" s="1126">
        <v>1</v>
      </c>
      <c r="C193" s="1126" t="str">
        <f>IFERROR(VLOOKUP($D193,dropdowns!$I$3:$Q$30,6,0), " ")</f>
        <v xml:space="preserve"> </v>
      </c>
      <c r="D193" s="1126" t="str">
        <f>IFERROR(INDEX('Schedule C'!$A$20:$BA$83,MATCH('DVO (F1 - F2)'!$R376,'Schedule C'!$A$20:$A$83,0),13)," ")</f>
        <v xml:space="preserve"> </v>
      </c>
      <c r="E193" s="1126" t="str">
        <f>IFERROR(VLOOKUP($D193,dropdowns!$I$3:$Q$30,7,0), " ")</f>
        <v xml:space="preserve"> </v>
      </c>
      <c r="F193" s="1126" t="str">
        <f>IFERROR(INDEX('Schedule C'!$A$20:$BA$83,MATCH('DVO (F1 - F2)'!$R193,'Schedule C'!$A$20:$A$83,0),2)," ")</f>
        <v xml:space="preserve"> </v>
      </c>
      <c r="G193" s="1127" t="str">
        <f>IFERROR(INDEX('Schedule C'!$A$20:$BA$83,MATCH('DVO (F1 - F2)'!$R193,'Schedule C'!$A$20:$A$83,0),38)," ")</f>
        <v xml:space="preserve"> </v>
      </c>
      <c r="H193" s="1127" t="str">
        <f>IFERROR(INDEX('Schedule C'!$A$20:$BA$83,MATCH('DVO (F1 - F2)'!$R193,'Schedule C'!$A$20:$A$83,0),39)," ")</f>
        <v xml:space="preserve"> </v>
      </c>
      <c r="I193" s="1127" t="str">
        <f>IFERROR(INDEX('Schedule C'!$A$20:$BA$83,MATCH('DVO (F1 - F2)'!$R193,'Schedule C'!$A$20:$A$83,0),41)," ")</f>
        <v xml:space="preserve"> </v>
      </c>
      <c r="J193" s="1127" t="str">
        <f>IFERROR(INDEX('Schedule C'!$A$20:$BA$83,MATCH('DVO (F1 - F2)'!$R193,'Schedule C'!$A$20:$A$83,0),50)," ")</f>
        <v xml:space="preserve"> </v>
      </c>
      <c r="K193" s="1452" t="str">
        <f>IFERROR(INDEX('Schedule C'!$A$20:$BA$83,MATCH('DVO (F1 - F2)'!$R193,'Schedule C'!$A$20:$A$83,0),33)," ")</f>
        <v xml:space="preserve"> </v>
      </c>
      <c r="L193" s="1453" t="str">
        <f>IFERROR(INDEX('Schedule C'!$A$20:$BA$83,MATCH('DVO (F1 - F2)'!$R193,'Schedule C'!$A$20:$A$83,0),52)," ")</f>
        <v xml:space="preserve"> </v>
      </c>
      <c r="M193" s="1454" t="str">
        <f>IFERROR(INDEX('Schedule C'!$A$20:$BA$83,MATCH('DVO (F1 - F2)'!$R193,'Schedule C'!$A$20:$A$83,0),50)-INDEX('Schedule C'!$A$20:$BA$83,MATCH('DVO (F1 - F2)'!$R193,'Schedule C'!$A$20:$A$83,0),39)," ")</f>
        <v xml:space="preserve"> </v>
      </c>
      <c r="N193" s="1129" t="str">
        <f t="shared" si="10"/>
        <v xml:space="preserve"> </v>
      </c>
      <c r="O193" s="1129" t="str">
        <f t="shared" si="11"/>
        <v xml:space="preserve"> </v>
      </c>
      <c r="P193" s="1130" t="str">
        <f t="shared" si="12"/>
        <v xml:space="preserve"> </v>
      </c>
      <c r="Q193" s="1131" t="str">
        <f t="shared" si="13"/>
        <v xml:space="preserve"> </v>
      </c>
      <c r="R193" s="1118">
        <f>IF('Schedule C'!AX452&gt;='DVO (F1 - F2)'!J$3,IF('Schedule C'!AX452&lt;='DVO (F1 - F2)'!K$3,IF('Schedule C'!BA452="APPROVED",'Schedule C'!A452,0),0),0)</f>
        <v>0</v>
      </c>
    </row>
    <row r="194" spans="1:18" ht="15">
      <c r="A194" s="1125">
        <f t="shared" si="14"/>
        <v>187</v>
      </c>
      <c r="B194" s="1126">
        <v>1</v>
      </c>
      <c r="C194" s="1126" t="str">
        <f>IFERROR(VLOOKUP($D194,dropdowns!$I$3:$Q$30,6,0), " ")</f>
        <v xml:space="preserve"> </v>
      </c>
      <c r="D194" s="1126" t="str">
        <f>IFERROR(INDEX('Schedule C'!$A$20:$BA$83,MATCH('DVO (F1 - F2)'!$R377,'Schedule C'!$A$20:$A$83,0),13)," ")</f>
        <v xml:space="preserve"> </v>
      </c>
      <c r="E194" s="1126" t="str">
        <f>IFERROR(VLOOKUP($D194,dropdowns!$I$3:$Q$30,7,0), " ")</f>
        <v xml:space="preserve"> </v>
      </c>
      <c r="F194" s="1126" t="str">
        <f>IFERROR(INDEX('Schedule C'!$A$20:$BA$83,MATCH('DVO (F1 - F2)'!$R194,'Schedule C'!$A$20:$A$83,0),2)," ")</f>
        <v xml:space="preserve"> </v>
      </c>
      <c r="G194" s="1127" t="str">
        <f>IFERROR(INDEX('Schedule C'!$A$20:$BA$83,MATCH('DVO (F1 - F2)'!$R194,'Schedule C'!$A$20:$A$83,0),38)," ")</f>
        <v xml:space="preserve"> </v>
      </c>
      <c r="H194" s="1127" t="str">
        <f>IFERROR(INDEX('Schedule C'!$A$20:$BA$83,MATCH('DVO (F1 - F2)'!$R194,'Schedule C'!$A$20:$A$83,0),39)," ")</f>
        <v xml:space="preserve"> </v>
      </c>
      <c r="I194" s="1127" t="str">
        <f>IFERROR(INDEX('Schedule C'!$A$20:$BA$83,MATCH('DVO (F1 - F2)'!$R194,'Schedule C'!$A$20:$A$83,0),41)," ")</f>
        <v xml:space="preserve"> </v>
      </c>
      <c r="J194" s="1127" t="str">
        <f>IFERROR(INDEX('Schedule C'!$A$20:$BA$83,MATCH('DVO (F1 - F2)'!$R194,'Schedule C'!$A$20:$A$83,0),50)," ")</f>
        <v xml:space="preserve"> </v>
      </c>
      <c r="K194" s="1452" t="str">
        <f>IFERROR(INDEX('Schedule C'!$A$20:$BA$83,MATCH('DVO (F1 - F2)'!$R194,'Schedule C'!$A$20:$A$83,0),33)," ")</f>
        <v xml:space="preserve"> </v>
      </c>
      <c r="L194" s="1453" t="str">
        <f>IFERROR(INDEX('Schedule C'!$A$20:$BA$83,MATCH('DVO (F1 - F2)'!$R194,'Schedule C'!$A$20:$A$83,0),52)," ")</f>
        <v xml:space="preserve"> </v>
      </c>
      <c r="M194" s="1454" t="str">
        <f>IFERROR(INDEX('Schedule C'!$A$20:$BA$83,MATCH('DVO (F1 - F2)'!$R194,'Schedule C'!$A$20:$A$83,0),50)-INDEX('Schedule C'!$A$20:$BA$83,MATCH('DVO (F1 - F2)'!$R194,'Schedule C'!$A$20:$A$83,0),39)," ")</f>
        <v xml:space="preserve"> </v>
      </c>
      <c r="N194" s="1129" t="str">
        <f t="shared" si="10"/>
        <v xml:space="preserve"> </v>
      </c>
      <c r="O194" s="1129" t="str">
        <f t="shared" si="11"/>
        <v xml:space="preserve"> </v>
      </c>
      <c r="P194" s="1130" t="str">
        <f t="shared" si="12"/>
        <v xml:space="preserve"> </v>
      </c>
      <c r="Q194" s="1131" t="str">
        <f t="shared" si="13"/>
        <v xml:space="preserve"> </v>
      </c>
      <c r="R194" s="1118">
        <f>IF('Schedule C'!AX453&gt;='DVO (F1 - F2)'!J$3,IF('Schedule C'!AX453&lt;='DVO (F1 - F2)'!K$3,IF('Schedule C'!BA453="APPROVED",'Schedule C'!A453,0),0),0)</f>
        <v>0</v>
      </c>
    </row>
    <row r="195" spans="1:18" ht="15">
      <c r="A195" s="1125">
        <f t="shared" si="14"/>
        <v>188</v>
      </c>
      <c r="B195" s="1126">
        <v>1</v>
      </c>
      <c r="C195" s="1126" t="str">
        <f>IFERROR(VLOOKUP($D195,dropdowns!$I$3:$Q$30,6,0), " ")</f>
        <v xml:space="preserve"> </v>
      </c>
      <c r="D195" s="1126" t="str">
        <f>IFERROR(INDEX('Schedule C'!$A$20:$BA$83,MATCH('DVO (F1 - F2)'!$R378,'Schedule C'!$A$20:$A$83,0),13)," ")</f>
        <v xml:space="preserve"> </v>
      </c>
      <c r="E195" s="1126" t="str">
        <f>IFERROR(VLOOKUP($D195,dropdowns!$I$3:$Q$30,7,0), " ")</f>
        <v xml:space="preserve"> </v>
      </c>
      <c r="F195" s="1126" t="str">
        <f>IFERROR(INDEX('Schedule C'!$A$20:$BA$83,MATCH('DVO (F1 - F2)'!$R195,'Schedule C'!$A$20:$A$83,0),2)," ")</f>
        <v xml:space="preserve"> </v>
      </c>
      <c r="G195" s="1127" t="str">
        <f>IFERROR(INDEX('Schedule C'!$A$20:$BA$83,MATCH('DVO (F1 - F2)'!$R195,'Schedule C'!$A$20:$A$83,0),38)," ")</f>
        <v xml:space="preserve"> </v>
      </c>
      <c r="H195" s="1127" t="str">
        <f>IFERROR(INDEX('Schedule C'!$A$20:$BA$83,MATCH('DVO (F1 - F2)'!$R195,'Schedule C'!$A$20:$A$83,0),39)," ")</f>
        <v xml:space="preserve"> </v>
      </c>
      <c r="I195" s="1127" t="str">
        <f>IFERROR(INDEX('Schedule C'!$A$20:$BA$83,MATCH('DVO (F1 - F2)'!$R195,'Schedule C'!$A$20:$A$83,0),41)," ")</f>
        <v xml:space="preserve"> </v>
      </c>
      <c r="J195" s="1127" t="str">
        <f>IFERROR(INDEX('Schedule C'!$A$20:$BA$83,MATCH('DVO (F1 - F2)'!$R195,'Schedule C'!$A$20:$A$83,0),50)," ")</f>
        <v xml:space="preserve"> </v>
      </c>
      <c r="K195" s="1452" t="str">
        <f>IFERROR(INDEX('Schedule C'!$A$20:$BA$83,MATCH('DVO (F1 - F2)'!$R195,'Schedule C'!$A$20:$A$83,0),33)," ")</f>
        <v xml:space="preserve"> </v>
      </c>
      <c r="L195" s="1453" t="str">
        <f>IFERROR(INDEX('Schedule C'!$A$20:$BA$83,MATCH('DVO (F1 - F2)'!$R195,'Schedule C'!$A$20:$A$83,0),52)," ")</f>
        <v xml:space="preserve"> </v>
      </c>
      <c r="M195" s="1454" t="str">
        <f>IFERROR(INDEX('Schedule C'!$A$20:$BA$83,MATCH('DVO (F1 - F2)'!$R195,'Schedule C'!$A$20:$A$83,0),50)-INDEX('Schedule C'!$A$20:$BA$83,MATCH('DVO (F1 - F2)'!$R195,'Schedule C'!$A$20:$A$83,0),39)," ")</f>
        <v xml:space="preserve"> </v>
      </c>
      <c r="N195" s="1129" t="str">
        <f t="shared" si="10"/>
        <v xml:space="preserve"> </v>
      </c>
      <c r="O195" s="1129" t="str">
        <f t="shared" si="11"/>
        <v xml:space="preserve"> </v>
      </c>
      <c r="P195" s="1130" t="str">
        <f t="shared" si="12"/>
        <v xml:space="preserve"> </v>
      </c>
      <c r="Q195" s="1131" t="str">
        <f t="shared" si="13"/>
        <v xml:space="preserve"> </v>
      </c>
      <c r="R195" s="1118">
        <f>IF('Schedule C'!AX454&gt;='DVO (F1 - F2)'!J$3,IF('Schedule C'!AX454&lt;='DVO (F1 - F2)'!K$3,IF('Schedule C'!BA454="APPROVED",'Schedule C'!A454,0),0),0)</f>
        <v>0</v>
      </c>
    </row>
    <row r="196" spans="1:18" ht="15">
      <c r="A196" s="1125">
        <f t="shared" si="14"/>
        <v>189</v>
      </c>
      <c r="B196" s="1126">
        <v>1</v>
      </c>
      <c r="C196" s="1126" t="str">
        <f>IFERROR(VLOOKUP($D196,dropdowns!$I$3:$Q$30,6,0), " ")</f>
        <v xml:space="preserve"> </v>
      </c>
      <c r="D196" s="1126" t="str">
        <f>IFERROR(INDEX('Schedule C'!$A$20:$BA$83,MATCH('DVO (F1 - F2)'!$R379,'Schedule C'!$A$20:$A$83,0),13)," ")</f>
        <v xml:space="preserve"> </v>
      </c>
      <c r="E196" s="1126" t="str">
        <f>IFERROR(VLOOKUP($D196,dropdowns!$I$3:$Q$30,7,0), " ")</f>
        <v xml:space="preserve"> </v>
      </c>
      <c r="F196" s="1126" t="str">
        <f>IFERROR(INDEX('Schedule C'!$A$20:$BA$83,MATCH('DVO (F1 - F2)'!$R196,'Schedule C'!$A$20:$A$83,0),2)," ")</f>
        <v xml:space="preserve"> </v>
      </c>
      <c r="G196" s="1127" t="str">
        <f>IFERROR(INDEX('Schedule C'!$A$20:$BA$83,MATCH('DVO (F1 - F2)'!$R196,'Schedule C'!$A$20:$A$83,0),38)," ")</f>
        <v xml:space="preserve"> </v>
      </c>
      <c r="H196" s="1127" t="str">
        <f>IFERROR(INDEX('Schedule C'!$A$20:$BA$83,MATCH('DVO (F1 - F2)'!$R196,'Schedule C'!$A$20:$A$83,0),39)," ")</f>
        <v xml:space="preserve"> </v>
      </c>
      <c r="I196" s="1127" t="str">
        <f>IFERROR(INDEX('Schedule C'!$A$20:$BA$83,MATCH('DVO (F1 - F2)'!$R196,'Schedule C'!$A$20:$A$83,0),41)," ")</f>
        <v xml:space="preserve"> </v>
      </c>
      <c r="J196" s="1127" t="str">
        <f>IFERROR(INDEX('Schedule C'!$A$20:$BA$83,MATCH('DVO (F1 - F2)'!$R196,'Schedule C'!$A$20:$A$83,0),50)," ")</f>
        <v xml:space="preserve"> </v>
      </c>
      <c r="K196" s="1452" t="str">
        <f>IFERROR(INDEX('Schedule C'!$A$20:$BA$83,MATCH('DVO (F1 - F2)'!$R196,'Schedule C'!$A$20:$A$83,0),33)," ")</f>
        <v xml:space="preserve"> </v>
      </c>
      <c r="L196" s="1453" t="str">
        <f>IFERROR(INDEX('Schedule C'!$A$20:$BA$83,MATCH('DVO (F1 - F2)'!$R196,'Schedule C'!$A$20:$A$83,0),52)," ")</f>
        <v xml:space="preserve"> </v>
      </c>
      <c r="M196" s="1454" t="str">
        <f>IFERROR(INDEX('Schedule C'!$A$20:$BA$83,MATCH('DVO (F1 - F2)'!$R196,'Schedule C'!$A$20:$A$83,0),50)-INDEX('Schedule C'!$A$20:$BA$83,MATCH('DVO (F1 - F2)'!$R196,'Schedule C'!$A$20:$A$83,0),39)," ")</f>
        <v xml:space="preserve"> </v>
      </c>
      <c r="N196" s="1129" t="str">
        <f t="shared" si="10"/>
        <v xml:space="preserve"> </v>
      </c>
      <c r="O196" s="1129" t="str">
        <f t="shared" si="11"/>
        <v xml:space="preserve"> </v>
      </c>
      <c r="P196" s="1130" t="str">
        <f t="shared" si="12"/>
        <v xml:space="preserve"> </v>
      </c>
      <c r="Q196" s="1131" t="str">
        <f t="shared" si="13"/>
        <v xml:space="preserve"> </v>
      </c>
      <c r="R196" s="1118">
        <f>IF('Schedule C'!AX455&gt;='DVO (F1 - F2)'!J$3,IF('Schedule C'!AX455&lt;='DVO (F1 - F2)'!K$3,IF('Schedule C'!BA455="APPROVED",'Schedule C'!A455,0),0),0)</f>
        <v>0</v>
      </c>
    </row>
    <row r="197" spans="1:18" ht="15">
      <c r="A197" s="1125">
        <f t="shared" si="14"/>
        <v>190</v>
      </c>
      <c r="B197" s="1126">
        <v>1</v>
      </c>
      <c r="C197" s="1126" t="str">
        <f>IFERROR(VLOOKUP($D197,dropdowns!$I$3:$Q$30,6,0), " ")</f>
        <v xml:space="preserve"> </v>
      </c>
      <c r="D197" s="1126" t="str">
        <f>IFERROR(INDEX('Schedule C'!$A$20:$BA$83,MATCH('DVO (F1 - F2)'!$R380,'Schedule C'!$A$20:$A$83,0),13)," ")</f>
        <v xml:space="preserve"> </v>
      </c>
      <c r="E197" s="1126" t="str">
        <f>IFERROR(VLOOKUP($D197,dropdowns!$I$3:$Q$30,7,0), " ")</f>
        <v xml:space="preserve"> </v>
      </c>
      <c r="F197" s="1126" t="str">
        <f>IFERROR(INDEX('Schedule C'!$A$20:$BA$83,MATCH('DVO (F1 - F2)'!$R197,'Schedule C'!$A$20:$A$83,0),2)," ")</f>
        <v xml:space="preserve"> </v>
      </c>
      <c r="G197" s="1127" t="str">
        <f>IFERROR(INDEX('Schedule C'!$A$20:$BA$83,MATCH('DVO (F1 - F2)'!$R197,'Schedule C'!$A$20:$A$83,0),38)," ")</f>
        <v xml:space="preserve"> </v>
      </c>
      <c r="H197" s="1127" t="str">
        <f>IFERROR(INDEX('Schedule C'!$A$20:$BA$83,MATCH('DVO (F1 - F2)'!$R197,'Schedule C'!$A$20:$A$83,0),39)," ")</f>
        <v xml:space="preserve"> </v>
      </c>
      <c r="I197" s="1127" t="str">
        <f>IFERROR(INDEX('Schedule C'!$A$20:$BA$83,MATCH('DVO (F1 - F2)'!$R197,'Schedule C'!$A$20:$A$83,0),41)," ")</f>
        <v xml:space="preserve"> </v>
      </c>
      <c r="J197" s="1127" t="str">
        <f>IFERROR(INDEX('Schedule C'!$A$20:$BA$83,MATCH('DVO (F1 - F2)'!$R197,'Schedule C'!$A$20:$A$83,0),50)," ")</f>
        <v xml:space="preserve"> </v>
      </c>
      <c r="K197" s="1452" t="str">
        <f>IFERROR(INDEX('Schedule C'!$A$20:$BA$83,MATCH('DVO (F1 - F2)'!$R197,'Schedule C'!$A$20:$A$83,0),33)," ")</f>
        <v xml:space="preserve"> </v>
      </c>
      <c r="L197" s="1453" t="str">
        <f>IFERROR(INDEX('Schedule C'!$A$20:$BA$83,MATCH('DVO (F1 - F2)'!$R197,'Schedule C'!$A$20:$A$83,0),52)," ")</f>
        <v xml:space="preserve"> </v>
      </c>
      <c r="M197" s="1454" t="str">
        <f>IFERROR(INDEX('Schedule C'!$A$20:$BA$83,MATCH('DVO (F1 - F2)'!$R197,'Schedule C'!$A$20:$A$83,0),50)-INDEX('Schedule C'!$A$20:$BA$83,MATCH('DVO (F1 - F2)'!$R197,'Schedule C'!$A$20:$A$83,0),39)," ")</f>
        <v xml:space="preserve"> </v>
      </c>
      <c r="N197" s="1129" t="str">
        <f t="shared" si="10"/>
        <v xml:space="preserve"> </v>
      </c>
      <c r="O197" s="1129" t="str">
        <f t="shared" si="11"/>
        <v xml:space="preserve"> </v>
      </c>
      <c r="P197" s="1130" t="str">
        <f t="shared" si="12"/>
        <v xml:space="preserve"> </v>
      </c>
      <c r="Q197" s="1131" t="str">
        <f t="shared" si="13"/>
        <v xml:space="preserve"> </v>
      </c>
      <c r="R197" s="1118">
        <f>IF('Schedule C'!AX456&gt;='DVO (F1 - F2)'!J$3,IF('Schedule C'!AX456&lt;='DVO (F1 - F2)'!K$3,IF('Schedule C'!BA456="APPROVED",'Schedule C'!A456,0),0),0)</f>
        <v>0</v>
      </c>
    </row>
    <row r="198" spans="1:18" ht="15">
      <c r="A198" s="1125">
        <f t="shared" si="14"/>
        <v>191</v>
      </c>
      <c r="B198" s="1126">
        <v>1</v>
      </c>
      <c r="C198" s="1126" t="str">
        <f>IFERROR(VLOOKUP($D198,dropdowns!$I$3:$Q$30,6,0), " ")</f>
        <v xml:space="preserve"> </v>
      </c>
      <c r="D198" s="1126" t="str">
        <f>IFERROR(INDEX('Schedule C'!$A$20:$BA$83,MATCH('DVO (F1 - F2)'!$R381,'Schedule C'!$A$20:$A$83,0),13)," ")</f>
        <v xml:space="preserve"> </v>
      </c>
      <c r="E198" s="1126" t="str">
        <f>IFERROR(VLOOKUP($D198,dropdowns!$I$3:$Q$30,7,0), " ")</f>
        <v xml:space="preserve"> </v>
      </c>
      <c r="F198" s="1126" t="str">
        <f>IFERROR(INDEX('Schedule C'!$A$20:$BA$83,MATCH('DVO (F1 - F2)'!$R198,'Schedule C'!$A$20:$A$83,0),2)," ")</f>
        <v xml:space="preserve"> </v>
      </c>
      <c r="G198" s="1127" t="str">
        <f>IFERROR(INDEX('Schedule C'!$A$20:$BA$83,MATCH('DVO (F1 - F2)'!$R198,'Schedule C'!$A$20:$A$83,0),38)," ")</f>
        <v xml:space="preserve"> </v>
      </c>
      <c r="H198" s="1127" t="str">
        <f>IFERROR(INDEX('Schedule C'!$A$20:$BA$83,MATCH('DVO (F1 - F2)'!$R198,'Schedule C'!$A$20:$A$83,0),39)," ")</f>
        <v xml:space="preserve"> </v>
      </c>
      <c r="I198" s="1127" t="str">
        <f>IFERROR(INDEX('Schedule C'!$A$20:$BA$83,MATCH('DVO (F1 - F2)'!$R198,'Schedule C'!$A$20:$A$83,0),41)," ")</f>
        <v xml:space="preserve"> </v>
      </c>
      <c r="J198" s="1127" t="str">
        <f>IFERROR(INDEX('Schedule C'!$A$20:$BA$83,MATCH('DVO (F1 - F2)'!$R198,'Schedule C'!$A$20:$A$83,0),50)," ")</f>
        <v xml:space="preserve"> </v>
      </c>
      <c r="K198" s="1452" t="str">
        <f>IFERROR(INDEX('Schedule C'!$A$20:$BA$83,MATCH('DVO (F1 - F2)'!$R198,'Schedule C'!$A$20:$A$83,0),33)," ")</f>
        <v xml:space="preserve"> </v>
      </c>
      <c r="L198" s="1453" t="str">
        <f>IFERROR(INDEX('Schedule C'!$A$20:$BA$83,MATCH('DVO (F1 - F2)'!$R198,'Schedule C'!$A$20:$A$83,0),52)," ")</f>
        <v xml:space="preserve"> </v>
      </c>
      <c r="M198" s="1454" t="str">
        <f>IFERROR(INDEX('Schedule C'!$A$20:$BA$83,MATCH('DVO (F1 - F2)'!$R198,'Schedule C'!$A$20:$A$83,0),50)-INDEX('Schedule C'!$A$20:$BA$83,MATCH('DVO (F1 - F2)'!$R198,'Schedule C'!$A$20:$A$83,0),39)," ")</f>
        <v xml:space="preserve"> </v>
      </c>
      <c r="N198" s="1129" t="str">
        <f t="shared" si="10"/>
        <v xml:space="preserve"> </v>
      </c>
      <c r="O198" s="1129" t="str">
        <f t="shared" si="11"/>
        <v xml:space="preserve"> </v>
      </c>
      <c r="P198" s="1130" t="str">
        <f t="shared" si="12"/>
        <v xml:space="preserve"> </v>
      </c>
      <c r="Q198" s="1131" t="str">
        <f t="shared" si="13"/>
        <v xml:space="preserve"> </v>
      </c>
      <c r="R198" s="1118">
        <f>IF('Schedule C'!AX457&gt;='DVO (F1 - F2)'!J$3,IF('Schedule C'!AX457&lt;='DVO (F1 - F2)'!K$3,IF('Schedule C'!BA457="APPROVED",'Schedule C'!A457,0),0),0)</f>
        <v>0</v>
      </c>
    </row>
    <row r="199" spans="1:18" ht="15">
      <c r="A199" s="1125">
        <f t="shared" si="14"/>
        <v>192</v>
      </c>
      <c r="B199" s="1126">
        <v>1</v>
      </c>
      <c r="C199" s="1126" t="str">
        <f>IFERROR(VLOOKUP($D199,dropdowns!$I$3:$Q$30,6,0), " ")</f>
        <v xml:space="preserve"> </v>
      </c>
      <c r="D199" s="1126" t="str">
        <f>IFERROR(INDEX('Schedule C'!$A$20:$BA$83,MATCH('DVO (F1 - F2)'!$R382,'Schedule C'!$A$20:$A$83,0),13)," ")</f>
        <v xml:space="preserve"> </v>
      </c>
      <c r="E199" s="1126" t="str">
        <f>IFERROR(VLOOKUP($D199,dropdowns!$I$3:$Q$30,7,0), " ")</f>
        <v xml:space="preserve"> </v>
      </c>
      <c r="F199" s="1126" t="str">
        <f>IFERROR(INDEX('Schedule C'!$A$20:$BA$83,MATCH('DVO (F1 - F2)'!$R199,'Schedule C'!$A$20:$A$83,0),2)," ")</f>
        <v xml:space="preserve"> </v>
      </c>
      <c r="G199" s="1127" t="str">
        <f>IFERROR(INDEX('Schedule C'!$A$20:$BA$83,MATCH('DVO (F1 - F2)'!$R199,'Schedule C'!$A$20:$A$83,0),38)," ")</f>
        <v xml:space="preserve"> </v>
      </c>
      <c r="H199" s="1127" t="str">
        <f>IFERROR(INDEX('Schedule C'!$A$20:$BA$83,MATCH('DVO (F1 - F2)'!$R199,'Schedule C'!$A$20:$A$83,0),39)," ")</f>
        <v xml:space="preserve"> </v>
      </c>
      <c r="I199" s="1127" t="str">
        <f>IFERROR(INDEX('Schedule C'!$A$20:$BA$83,MATCH('DVO (F1 - F2)'!$R199,'Schedule C'!$A$20:$A$83,0),41)," ")</f>
        <v xml:space="preserve"> </v>
      </c>
      <c r="J199" s="1127" t="str">
        <f>IFERROR(INDEX('Schedule C'!$A$20:$BA$83,MATCH('DVO (F1 - F2)'!$R199,'Schedule C'!$A$20:$A$83,0),50)," ")</f>
        <v xml:space="preserve"> </v>
      </c>
      <c r="K199" s="1452" t="str">
        <f>IFERROR(INDEX('Schedule C'!$A$20:$BA$83,MATCH('DVO (F1 - F2)'!$R199,'Schedule C'!$A$20:$A$83,0),33)," ")</f>
        <v xml:space="preserve"> </v>
      </c>
      <c r="L199" s="1453" t="str">
        <f>IFERROR(INDEX('Schedule C'!$A$20:$BA$83,MATCH('DVO (F1 - F2)'!$R199,'Schedule C'!$A$20:$A$83,0),52)," ")</f>
        <v xml:space="preserve"> </v>
      </c>
      <c r="M199" s="1454" t="str">
        <f>IFERROR(INDEX('Schedule C'!$A$20:$BA$83,MATCH('DVO (F1 - F2)'!$R199,'Schedule C'!$A$20:$A$83,0),50)-INDEX('Schedule C'!$A$20:$BA$83,MATCH('DVO (F1 - F2)'!$R199,'Schedule C'!$A$20:$A$83,0),39)," ")</f>
        <v xml:space="preserve"> </v>
      </c>
      <c r="N199" s="1129" t="str">
        <f t="shared" si="10"/>
        <v xml:space="preserve"> </v>
      </c>
      <c r="O199" s="1129" t="str">
        <f t="shared" si="11"/>
        <v xml:space="preserve"> </v>
      </c>
      <c r="P199" s="1130" t="str">
        <f t="shared" si="12"/>
        <v xml:space="preserve"> </v>
      </c>
      <c r="Q199" s="1131" t="str">
        <f t="shared" si="13"/>
        <v xml:space="preserve"> </v>
      </c>
      <c r="R199" s="1118">
        <f>IF('Schedule C'!AX458&gt;='DVO (F1 - F2)'!J$3,IF('Schedule C'!AX458&lt;='DVO (F1 - F2)'!K$3,IF('Schedule C'!BA458="APPROVED",'Schedule C'!A458,0),0),0)</f>
        <v>0</v>
      </c>
    </row>
    <row r="200" spans="1:18" ht="15">
      <c r="A200" s="1125">
        <f t="shared" si="14"/>
        <v>193</v>
      </c>
      <c r="B200" s="1126">
        <v>1</v>
      </c>
      <c r="C200" s="1126" t="str">
        <f>IFERROR(VLOOKUP($D200,dropdowns!$I$3:$Q$30,6,0), " ")</f>
        <v xml:space="preserve"> </v>
      </c>
      <c r="D200" s="1126" t="str">
        <f>IFERROR(INDEX('Schedule C'!$A$20:$BA$83,MATCH('DVO (F1 - F2)'!$R383,'Schedule C'!$A$20:$A$83,0),13)," ")</f>
        <v xml:space="preserve"> </v>
      </c>
      <c r="E200" s="1126" t="str">
        <f>IFERROR(VLOOKUP($D200,dropdowns!$I$3:$Q$30,7,0), " ")</f>
        <v xml:space="preserve"> </v>
      </c>
      <c r="F200" s="1126" t="str">
        <f>IFERROR(INDEX('Schedule C'!$A$20:$BA$83,MATCH('DVO (F1 - F2)'!$R200,'Schedule C'!$A$20:$A$83,0),2)," ")</f>
        <v xml:space="preserve"> </v>
      </c>
      <c r="G200" s="1127" t="str">
        <f>IFERROR(INDEX('Schedule C'!$A$20:$BA$83,MATCH('DVO (F1 - F2)'!$R200,'Schedule C'!$A$20:$A$83,0),38)," ")</f>
        <v xml:space="preserve"> </v>
      </c>
      <c r="H200" s="1127" t="str">
        <f>IFERROR(INDEX('Schedule C'!$A$20:$BA$83,MATCH('DVO (F1 - F2)'!$R200,'Schedule C'!$A$20:$A$83,0),39)," ")</f>
        <v xml:space="preserve"> </v>
      </c>
      <c r="I200" s="1127" t="str">
        <f>IFERROR(INDEX('Schedule C'!$A$20:$BA$83,MATCH('DVO (F1 - F2)'!$R200,'Schedule C'!$A$20:$A$83,0),41)," ")</f>
        <v xml:space="preserve"> </v>
      </c>
      <c r="J200" s="1127" t="str">
        <f>IFERROR(INDEX('Schedule C'!$A$20:$BA$83,MATCH('DVO (F1 - F2)'!$R200,'Schedule C'!$A$20:$A$83,0),50)," ")</f>
        <v xml:space="preserve"> </v>
      </c>
      <c r="K200" s="1452" t="str">
        <f>IFERROR(INDEX('Schedule C'!$A$20:$BA$83,MATCH('DVO (F1 - F2)'!$R200,'Schedule C'!$A$20:$A$83,0),33)," ")</f>
        <v xml:space="preserve"> </v>
      </c>
      <c r="L200" s="1453" t="str">
        <f>IFERROR(INDEX('Schedule C'!$A$20:$BA$83,MATCH('DVO (F1 - F2)'!$R200,'Schedule C'!$A$20:$A$83,0),52)," ")</f>
        <v xml:space="preserve"> </v>
      </c>
      <c r="M200" s="1454" t="str">
        <f>IFERROR(INDEX('Schedule C'!$A$20:$BA$83,MATCH('DVO (F1 - F2)'!$R200,'Schedule C'!$A$20:$A$83,0),50)-INDEX('Schedule C'!$A$20:$BA$83,MATCH('DVO (F1 - F2)'!$R200,'Schedule C'!$A$20:$A$83,0),39)," ")</f>
        <v xml:space="preserve"> </v>
      </c>
      <c r="N200" s="1129" t="str">
        <f t="shared" si="10"/>
        <v xml:space="preserve"> </v>
      </c>
      <c r="O200" s="1129" t="str">
        <f t="shared" si="11"/>
        <v xml:space="preserve"> </v>
      </c>
      <c r="P200" s="1130" t="str">
        <f t="shared" si="12"/>
        <v xml:space="preserve"> </v>
      </c>
      <c r="Q200" s="1131" t="str">
        <f t="shared" si="13"/>
        <v xml:space="preserve"> </v>
      </c>
      <c r="R200" s="1118">
        <f>IF('Schedule C'!AX459&gt;='DVO (F1 - F2)'!J$3,IF('Schedule C'!AX459&lt;='DVO (F1 - F2)'!K$3,IF('Schedule C'!BA459="APPROVED",'Schedule C'!A459,0),0),0)</f>
        <v>0</v>
      </c>
    </row>
    <row r="201" spans="1:18" ht="15">
      <c r="A201" s="1125">
        <f t="shared" si="14"/>
        <v>194</v>
      </c>
      <c r="B201" s="1126">
        <v>1</v>
      </c>
      <c r="C201" s="1126" t="str">
        <f>IFERROR(VLOOKUP($D201,dropdowns!$I$3:$Q$30,6,0), " ")</f>
        <v xml:space="preserve"> </v>
      </c>
      <c r="D201" s="1126" t="str">
        <f>IFERROR(INDEX('Schedule C'!$A$20:$BA$83,MATCH('DVO (F1 - F2)'!$R384,'Schedule C'!$A$20:$A$83,0),13)," ")</f>
        <v xml:space="preserve"> </v>
      </c>
      <c r="E201" s="1126" t="str">
        <f>IFERROR(VLOOKUP($D201,dropdowns!$I$3:$Q$30,7,0), " ")</f>
        <v xml:space="preserve"> </v>
      </c>
      <c r="F201" s="1126" t="str">
        <f>IFERROR(INDEX('Schedule C'!$A$20:$BA$83,MATCH('DVO (F1 - F2)'!$R201,'Schedule C'!$A$20:$A$83,0),2)," ")</f>
        <v xml:space="preserve"> </v>
      </c>
      <c r="G201" s="1127" t="str">
        <f>IFERROR(INDEX('Schedule C'!$A$20:$BA$83,MATCH('DVO (F1 - F2)'!$R201,'Schedule C'!$A$20:$A$83,0),38)," ")</f>
        <v xml:space="preserve"> </v>
      </c>
      <c r="H201" s="1127" t="str">
        <f>IFERROR(INDEX('Schedule C'!$A$20:$BA$83,MATCH('DVO (F1 - F2)'!$R201,'Schedule C'!$A$20:$A$83,0),39)," ")</f>
        <v xml:space="preserve"> </v>
      </c>
      <c r="I201" s="1127" t="str">
        <f>IFERROR(INDEX('Schedule C'!$A$20:$BA$83,MATCH('DVO (F1 - F2)'!$R201,'Schedule C'!$A$20:$A$83,0),41)," ")</f>
        <v xml:space="preserve"> </v>
      </c>
      <c r="J201" s="1127" t="str">
        <f>IFERROR(INDEX('Schedule C'!$A$20:$BA$83,MATCH('DVO (F1 - F2)'!$R201,'Schedule C'!$A$20:$A$83,0),50)," ")</f>
        <v xml:space="preserve"> </v>
      </c>
      <c r="K201" s="1452" t="str">
        <f>IFERROR(INDEX('Schedule C'!$A$20:$BA$83,MATCH('DVO (F1 - F2)'!$R201,'Schedule C'!$A$20:$A$83,0),33)," ")</f>
        <v xml:space="preserve"> </v>
      </c>
      <c r="L201" s="1453" t="str">
        <f>IFERROR(INDEX('Schedule C'!$A$20:$BA$83,MATCH('DVO (F1 - F2)'!$R201,'Schedule C'!$A$20:$A$83,0),52)," ")</f>
        <v xml:space="preserve"> </v>
      </c>
      <c r="M201" s="1454" t="str">
        <f>IFERROR(INDEX('Schedule C'!$A$20:$BA$83,MATCH('DVO (F1 - F2)'!$R201,'Schedule C'!$A$20:$A$83,0),50)-INDEX('Schedule C'!$A$20:$BA$83,MATCH('DVO (F1 - F2)'!$R201,'Schedule C'!$A$20:$A$83,0),39)," ")</f>
        <v xml:space="preserve"> </v>
      </c>
      <c r="N201" s="1129" t="str">
        <f t="shared" ref="N201:N215" si="15">IF($R201=0," ","NA")</f>
        <v xml:space="preserve"> </v>
      </c>
      <c r="O201" s="1129" t="str">
        <f t="shared" ref="O201:O215" si="16">IF($R201=0," ","CLOSED")</f>
        <v xml:space="preserve"> </v>
      </c>
      <c r="P201" s="1130" t="str">
        <f t="shared" ref="P201:P215" si="17">IF($R201=0," ",H201+90)</f>
        <v xml:space="preserve"> </v>
      </c>
      <c r="Q201" s="1131" t="str">
        <f t="shared" ref="Q201:Q215" si="18">IF(R201=0," ",(H201+90)-$K$3)</f>
        <v xml:space="preserve"> </v>
      </c>
      <c r="R201" s="1118">
        <f>IF('Schedule C'!AX460&gt;='DVO (F1 - F2)'!J$3,IF('Schedule C'!AX460&lt;='DVO (F1 - F2)'!K$3,IF('Schedule C'!BA460="APPROVED",'Schedule C'!A460,0),0),0)</f>
        <v>0</v>
      </c>
    </row>
    <row r="202" spans="1:18" ht="15">
      <c r="A202" s="1125">
        <f t="shared" si="14"/>
        <v>195</v>
      </c>
      <c r="B202" s="1126">
        <v>1</v>
      </c>
      <c r="C202" s="1126" t="str">
        <f>IFERROR(VLOOKUP($D202,dropdowns!$I$3:$Q$30,6,0), " ")</f>
        <v xml:space="preserve"> </v>
      </c>
      <c r="D202" s="1126" t="str">
        <f>IFERROR(INDEX('Schedule C'!$A$20:$BA$83,MATCH('DVO (F1 - F2)'!$R385,'Schedule C'!$A$20:$A$83,0),13)," ")</f>
        <v xml:space="preserve"> </v>
      </c>
      <c r="E202" s="1126" t="str">
        <f>IFERROR(VLOOKUP($D202,dropdowns!$I$3:$Q$30,7,0), " ")</f>
        <v xml:space="preserve"> </v>
      </c>
      <c r="F202" s="1126" t="str">
        <f>IFERROR(INDEX('Schedule C'!$A$20:$BA$83,MATCH('DVO (F1 - F2)'!$R202,'Schedule C'!$A$20:$A$83,0),2)," ")</f>
        <v xml:space="preserve"> </v>
      </c>
      <c r="G202" s="1127" t="str">
        <f>IFERROR(INDEX('Schedule C'!$A$20:$BA$83,MATCH('DVO (F1 - F2)'!$R202,'Schedule C'!$A$20:$A$83,0),38)," ")</f>
        <v xml:space="preserve"> </v>
      </c>
      <c r="H202" s="1127" t="str">
        <f>IFERROR(INDEX('Schedule C'!$A$20:$BA$83,MATCH('DVO (F1 - F2)'!$R202,'Schedule C'!$A$20:$A$83,0),39)," ")</f>
        <v xml:space="preserve"> </v>
      </c>
      <c r="I202" s="1127" t="str">
        <f>IFERROR(INDEX('Schedule C'!$A$20:$BA$83,MATCH('DVO (F1 - F2)'!$R202,'Schedule C'!$A$20:$A$83,0),41)," ")</f>
        <v xml:space="preserve"> </v>
      </c>
      <c r="J202" s="1127" t="str">
        <f>IFERROR(INDEX('Schedule C'!$A$20:$BA$83,MATCH('DVO (F1 - F2)'!$R202,'Schedule C'!$A$20:$A$83,0),50)," ")</f>
        <v xml:space="preserve"> </v>
      </c>
      <c r="K202" s="1452" t="str">
        <f>IFERROR(INDEX('Schedule C'!$A$20:$BA$83,MATCH('DVO (F1 - F2)'!$R202,'Schedule C'!$A$20:$A$83,0),33)," ")</f>
        <v xml:space="preserve"> </v>
      </c>
      <c r="L202" s="1453" t="str">
        <f>IFERROR(INDEX('Schedule C'!$A$20:$BA$83,MATCH('DVO (F1 - F2)'!$R202,'Schedule C'!$A$20:$A$83,0),52)," ")</f>
        <v xml:space="preserve"> </v>
      </c>
      <c r="M202" s="1454" t="str">
        <f>IFERROR(INDEX('Schedule C'!$A$20:$BA$83,MATCH('DVO (F1 - F2)'!$R202,'Schedule C'!$A$20:$A$83,0),50)-INDEX('Schedule C'!$A$20:$BA$83,MATCH('DVO (F1 - F2)'!$R202,'Schedule C'!$A$20:$A$83,0),39)," ")</f>
        <v xml:space="preserve"> </v>
      </c>
      <c r="N202" s="1129" t="str">
        <f t="shared" si="15"/>
        <v xml:space="preserve"> </v>
      </c>
      <c r="O202" s="1129" t="str">
        <f t="shared" si="16"/>
        <v xml:space="preserve"> </v>
      </c>
      <c r="P202" s="1130" t="str">
        <f t="shared" si="17"/>
        <v xml:space="preserve"> </v>
      </c>
      <c r="Q202" s="1131" t="str">
        <f t="shared" si="18"/>
        <v xml:space="preserve"> </v>
      </c>
      <c r="R202" s="1118">
        <f>IF('Schedule C'!AX461&gt;='DVO (F1 - F2)'!J$3,IF('Schedule C'!AX461&lt;='DVO (F1 - F2)'!K$3,IF('Schedule C'!BA461="APPROVED",'Schedule C'!A461,0),0),0)</f>
        <v>0</v>
      </c>
    </row>
    <row r="203" spans="1:18" ht="15">
      <c r="A203" s="1125">
        <f t="shared" si="14"/>
        <v>196</v>
      </c>
      <c r="B203" s="1126">
        <v>1</v>
      </c>
      <c r="C203" s="1126" t="str">
        <f>IFERROR(VLOOKUP($D203,dropdowns!$I$3:$Q$30,6,0), " ")</f>
        <v xml:space="preserve"> </v>
      </c>
      <c r="D203" s="1126" t="str">
        <f>IFERROR(INDEX('Schedule C'!$A$20:$BA$83,MATCH('DVO (F1 - F2)'!$R386,'Schedule C'!$A$20:$A$83,0),13)," ")</f>
        <v xml:space="preserve"> </v>
      </c>
      <c r="E203" s="1126" t="str">
        <f>IFERROR(VLOOKUP($D203,dropdowns!$I$3:$Q$30,7,0), " ")</f>
        <v xml:space="preserve"> </v>
      </c>
      <c r="F203" s="1126" t="str">
        <f>IFERROR(INDEX('Schedule C'!$A$20:$BA$83,MATCH('DVO (F1 - F2)'!$R203,'Schedule C'!$A$20:$A$83,0),2)," ")</f>
        <v xml:space="preserve"> </v>
      </c>
      <c r="G203" s="1127" t="str">
        <f>IFERROR(INDEX('Schedule C'!$A$20:$BA$83,MATCH('DVO (F1 - F2)'!$R203,'Schedule C'!$A$20:$A$83,0),38)," ")</f>
        <v xml:space="preserve"> </v>
      </c>
      <c r="H203" s="1127" t="str">
        <f>IFERROR(INDEX('Schedule C'!$A$20:$BA$83,MATCH('DVO (F1 - F2)'!$R203,'Schedule C'!$A$20:$A$83,0),39)," ")</f>
        <v xml:space="preserve"> </v>
      </c>
      <c r="I203" s="1127" t="str">
        <f>IFERROR(INDEX('Schedule C'!$A$20:$BA$83,MATCH('DVO (F1 - F2)'!$R203,'Schedule C'!$A$20:$A$83,0),41)," ")</f>
        <v xml:space="preserve"> </v>
      </c>
      <c r="J203" s="1127" t="str">
        <f>IFERROR(INDEX('Schedule C'!$A$20:$BA$83,MATCH('DVO (F1 - F2)'!$R203,'Schedule C'!$A$20:$A$83,0),50)," ")</f>
        <v xml:space="preserve"> </v>
      </c>
      <c r="K203" s="1452" t="str">
        <f>IFERROR(INDEX('Schedule C'!$A$20:$BA$83,MATCH('DVO (F1 - F2)'!$R203,'Schedule C'!$A$20:$A$83,0),33)," ")</f>
        <v xml:space="preserve"> </v>
      </c>
      <c r="L203" s="1453" t="str">
        <f>IFERROR(INDEX('Schedule C'!$A$20:$BA$83,MATCH('DVO (F1 - F2)'!$R203,'Schedule C'!$A$20:$A$83,0),52)," ")</f>
        <v xml:space="preserve"> </v>
      </c>
      <c r="M203" s="1454" t="str">
        <f>IFERROR(INDEX('Schedule C'!$A$20:$BA$83,MATCH('DVO (F1 - F2)'!$R203,'Schedule C'!$A$20:$A$83,0),50)-INDEX('Schedule C'!$A$20:$BA$83,MATCH('DVO (F1 - F2)'!$R203,'Schedule C'!$A$20:$A$83,0),39)," ")</f>
        <v xml:space="preserve"> </v>
      </c>
      <c r="N203" s="1129" t="str">
        <f t="shared" si="15"/>
        <v xml:space="preserve"> </v>
      </c>
      <c r="O203" s="1129" t="str">
        <f t="shared" si="16"/>
        <v xml:space="preserve"> </v>
      </c>
      <c r="P203" s="1130" t="str">
        <f t="shared" si="17"/>
        <v xml:space="preserve"> </v>
      </c>
      <c r="Q203" s="1131" t="str">
        <f t="shared" si="18"/>
        <v xml:space="preserve"> </v>
      </c>
      <c r="R203" s="1118">
        <f>IF('Schedule C'!AX462&gt;='DVO (F1 - F2)'!J$3,IF('Schedule C'!AX462&lt;='DVO (F1 - F2)'!K$3,IF('Schedule C'!BA462="APPROVED",'Schedule C'!A462,0),0),0)</f>
        <v>0</v>
      </c>
    </row>
    <row r="204" spans="1:18" ht="15">
      <c r="A204" s="1125">
        <f t="shared" si="14"/>
        <v>197</v>
      </c>
      <c r="B204" s="1126">
        <v>1</v>
      </c>
      <c r="C204" s="1126" t="str">
        <f>IFERROR(VLOOKUP($D204,dropdowns!$I$3:$Q$30,6,0), " ")</f>
        <v xml:space="preserve"> </v>
      </c>
      <c r="D204" s="1126" t="str">
        <f>IFERROR(INDEX('Schedule C'!$A$20:$BA$83,MATCH('DVO (F1 - F2)'!$R387,'Schedule C'!$A$20:$A$83,0),13)," ")</f>
        <v xml:space="preserve"> </v>
      </c>
      <c r="E204" s="1126" t="str">
        <f>IFERROR(VLOOKUP($D204,dropdowns!$I$3:$Q$30,7,0), " ")</f>
        <v xml:space="preserve"> </v>
      </c>
      <c r="F204" s="1126" t="str">
        <f>IFERROR(INDEX('Schedule C'!$A$20:$BA$83,MATCH('DVO (F1 - F2)'!$R204,'Schedule C'!$A$20:$A$83,0),2)," ")</f>
        <v xml:space="preserve"> </v>
      </c>
      <c r="G204" s="1127" t="str">
        <f>IFERROR(INDEX('Schedule C'!$A$20:$BA$83,MATCH('DVO (F1 - F2)'!$R204,'Schedule C'!$A$20:$A$83,0),38)," ")</f>
        <v xml:space="preserve"> </v>
      </c>
      <c r="H204" s="1127" t="str">
        <f>IFERROR(INDEX('Schedule C'!$A$20:$BA$83,MATCH('DVO (F1 - F2)'!$R204,'Schedule C'!$A$20:$A$83,0),39)," ")</f>
        <v xml:space="preserve"> </v>
      </c>
      <c r="I204" s="1127" t="str">
        <f>IFERROR(INDEX('Schedule C'!$A$20:$BA$83,MATCH('DVO (F1 - F2)'!$R204,'Schedule C'!$A$20:$A$83,0),41)," ")</f>
        <v xml:space="preserve"> </v>
      </c>
      <c r="J204" s="1127" t="str">
        <f>IFERROR(INDEX('Schedule C'!$A$20:$BA$83,MATCH('DVO (F1 - F2)'!$R204,'Schedule C'!$A$20:$A$83,0),50)," ")</f>
        <v xml:space="preserve"> </v>
      </c>
      <c r="K204" s="1452" t="str">
        <f>IFERROR(INDEX('Schedule C'!$A$20:$BA$83,MATCH('DVO (F1 - F2)'!$R204,'Schedule C'!$A$20:$A$83,0),33)," ")</f>
        <v xml:space="preserve"> </v>
      </c>
      <c r="L204" s="1453" t="str">
        <f>IFERROR(INDEX('Schedule C'!$A$20:$BA$83,MATCH('DVO (F1 - F2)'!$R204,'Schedule C'!$A$20:$A$83,0),52)," ")</f>
        <v xml:space="preserve"> </v>
      </c>
      <c r="M204" s="1454" t="str">
        <f>IFERROR(INDEX('Schedule C'!$A$20:$BA$83,MATCH('DVO (F1 - F2)'!$R204,'Schedule C'!$A$20:$A$83,0),50)-INDEX('Schedule C'!$A$20:$BA$83,MATCH('DVO (F1 - F2)'!$R204,'Schedule C'!$A$20:$A$83,0),39)," ")</f>
        <v xml:space="preserve"> </v>
      </c>
      <c r="N204" s="1129" t="str">
        <f t="shared" si="15"/>
        <v xml:space="preserve"> </v>
      </c>
      <c r="O204" s="1129" t="str">
        <f t="shared" si="16"/>
        <v xml:space="preserve"> </v>
      </c>
      <c r="P204" s="1130" t="str">
        <f t="shared" si="17"/>
        <v xml:space="preserve"> </v>
      </c>
      <c r="Q204" s="1131" t="str">
        <f t="shared" si="18"/>
        <v xml:space="preserve"> </v>
      </c>
      <c r="R204" s="1118">
        <f>IF('Schedule C'!AX463&gt;='DVO (F1 - F2)'!J$3,IF('Schedule C'!AX463&lt;='DVO (F1 - F2)'!K$3,IF('Schedule C'!BA463="APPROVED",'Schedule C'!A463,0),0),0)</f>
        <v>0</v>
      </c>
    </row>
    <row r="205" spans="1:18" ht="15">
      <c r="A205" s="1125">
        <f t="shared" si="14"/>
        <v>198</v>
      </c>
      <c r="B205" s="1126">
        <v>1</v>
      </c>
      <c r="C205" s="1126" t="str">
        <f>IFERROR(VLOOKUP($D205,dropdowns!$I$3:$Q$30,6,0), " ")</f>
        <v xml:space="preserve"> </v>
      </c>
      <c r="D205" s="1126" t="str">
        <f>IFERROR(INDEX('Schedule C'!$A$20:$BA$83,MATCH('DVO (F1 - F2)'!$R388,'Schedule C'!$A$20:$A$83,0),13)," ")</f>
        <v xml:space="preserve"> </v>
      </c>
      <c r="E205" s="1126" t="str">
        <f>IFERROR(VLOOKUP($D205,dropdowns!$I$3:$Q$30,7,0), " ")</f>
        <v xml:space="preserve"> </v>
      </c>
      <c r="F205" s="1126" t="str">
        <f>IFERROR(INDEX('Schedule C'!$A$20:$BA$83,MATCH('DVO (F1 - F2)'!$R205,'Schedule C'!$A$20:$A$83,0),2)," ")</f>
        <v xml:space="preserve"> </v>
      </c>
      <c r="G205" s="1127" t="str">
        <f>IFERROR(INDEX('Schedule C'!$A$20:$BA$83,MATCH('DVO (F1 - F2)'!$R205,'Schedule C'!$A$20:$A$83,0),38)," ")</f>
        <v xml:space="preserve"> </v>
      </c>
      <c r="H205" s="1127" t="str">
        <f>IFERROR(INDEX('Schedule C'!$A$20:$BA$83,MATCH('DVO (F1 - F2)'!$R205,'Schedule C'!$A$20:$A$83,0),39)," ")</f>
        <v xml:space="preserve"> </v>
      </c>
      <c r="I205" s="1127" t="str">
        <f>IFERROR(INDEX('Schedule C'!$A$20:$BA$83,MATCH('DVO (F1 - F2)'!$R205,'Schedule C'!$A$20:$A$83,0),41)," ")</f>
        <v xml:space="preserve"> </v>
      </c>
      <c r="J205" s="1127" t="str">
        <f>IFERROR(INDEX('Schedule C'!$A$20:$BA$83,MATCH('DVO (F1 - F2)'!$R205,'Schedule C'!$A$20:$A$83,0),50)," ")</f>
        <v xml:space="preserve"> </v>
      </c>
      <c r="K205" s="1452" t="str">
        <f>IFERROR(INDEX('Schedule C'!$A$20:$BA$83,MATCH('DVO (F1 - F2)'!$R205,'Schedule C'!$A$20:$A$83,0),33)," ")</f>
        <v xml:space="preserve"> </v>
      </c>
      <c r="L205" s="1453" t="str">
        <f>IFERROR(INDEX('Schedule C'!$A$20:$BA$83,MATCH('DVO (F1 - F2)'!$R205,'Schedule C'!$A$20:$A$83,0),52)," ")</f>
        <v xml:space="preserve"> </v>
      </c>
      <c r="M205" s="1454" t="str">
        <f>IFERROR(INDEX('Schedule C'!$A$20:$BA$83,MATCH('DVO (F1 - F2)'!$R205,'Schedule C'!$A$20:$A$83,0),50)-INDEX('Schedule C'!$A$20:$BA$83,MATCH('DVO (F1 - F2)'!$R205,'Schedule C'!$A$20:$A$83,0),39)," ")</f>
        <v xml:space="preserve"> </v>
      </c>
      <c r="N205" s="1129" t="str">
        <f t="shared" si="15"/>
        <v xml:space="preserve"> </v>
      </c>
      <c r="O205" s="1129" t="str">
        <f t="shared" si="16"/>
        <v xml:space="preserve"> </v>
      </c>
      <c r="P205" s="1130" t="str">
        <f t="shared" si="17"/>
        <v xml:space="preserve"> </v>
      </c>
      <c r="Q205" s="1131" t="str">
        <f t="shared" si="18"/>
        <v xml:space="preserve"> </v>
      </c>
      <c r="R205" s="1118">
        <f>IF('Schedule C'!AX464&gt;='DVO (F1 - F2)'!J$3,IF('Schedule C'!AX464&lt;='DVO (F1 - F2)'!K$3,IF('Schedule C'!BA464="APPROVED",'Schedule C'!A464,0),0),0)</f>
        <v>0</v>
      </c>
    </row>
    <row r="206" spans="1:18" ht="15">
      <c r="A206" s="1125">
        <f t="shared" si="14"/>
        <v>199</v>
      </c>
      <c r="B206" s="1126">
        <v>1</v>
      </c>
      <c r="C206" s="1126" t="str">
        <f>IFERROR(VLOOKUP($D206,dropdowns!$I$3:$Q$30,6,0), " ")</f>
        <v xml:space="preserve"> </v>
      </c>
      <c r="D206" s="1126" t="str">
        <f>IFERROR(INDEX('Schedule C'!$A$20:$BA$83,MATCH('DVO (F1 - F2)'!$R389,'Schedule C'!$A$20:$A$83,0),13)," ")</f>
        <v xml:space="preserve"> </v>
      </c>
      <c r="E206" s="1126" t="str">
        <f>IFERROR(VLOOKUP($D206,dropdowns!$I$3:$Q$30,7,0), " ")</f>
        <v xml:space="preserve"> </v>
      </c>
      <c r="F206" s="1126" t="str">
        <f>IFERROR(INDEX('Schedule C'!$A$20:$BA$83,MATCH('DVO (F1 - F2)'!$R206,'Schedule C'!$A$20:$A$83,0),2)," ")</f>
        <v xml:space="preserve"> </v>
      </c>
      <c r="G206" s="1127" t="str">
        <f>IFERROR(INDEX('Schedule C'!$A$20:$BA$83,MATCH('DVO (F1 - F2)'!$R206,'Schedule C'!$A$20:$A$83,0),38)," ")</f>
        <v xml:space="preserve"> </v>
      </c>
      <c r="H206" s="1127" t="str">
        <f>IFERROR(INDEX('Schedule C'!$A$20:$BA$83,MATCH('DVO (F1 - F2)'!$R206,'Schedule C'!$A$20:$A$83,0),39)," ")</f>
        <v xml:space="preserve"> </v>
      </c>
      <c r="I206" s="1127" t="str">
        <f>IFERROR(INDEX('Schedule C'!$A$20:$BA$83,MATCH('DVO (F1 - F2)'!$R206,'Schedule C'!$A$20:$A$83,0),41)," ")</f>
        <v xml:space="preserve"> </v>
      </c>
      <c r="J206" s="1127" t="str">
        <f>IFERROR(INDEX('Schedule C'!$A$20:$BA$83,MATCH('DVO (F1 - F2)'!$R206,'Schedule C'!$A$20:$A$83,0),50)," ")</f>
        <v xml:space="preserve"> </v>
      </c>
      <c r="K206" s="1452" t="str">
        <f>IFERROR(INDEX('Schedule C'!$A$20:$BA$83,MATCH('DVO (F1 - F2)'!$R206,'Schedule C'!$A$20:$A$83,0),33)," ")</f>
        <v xml:space="preserve"> </v>
      </c>
      <c r="L206" s="1453" t="str">
        <f>IFERROR(INDEX('Schedule C'!$A$20:$BA$83,MATCH('DVO (F1 - F2)'!$R206,'Schedule C'!$A$20:$A$83,0),52)," ")</f>
        <v xml:space="preserve"> </v>
      </c>
      <c r="M206" s="1454" t="str">
        <f>IFERROR(INDEX('Schedule C'!$A$20:$BA$83,MATCH('DVO (F1 - F2)'!$R206,'Schedule C'!$A$20:$A$83,0),50)-INDEX('Schedule C'!$A$20:$BA$83,MATCH('DVO (F1 - F2)'!$R206,'Schedule C'!$A$20:$A$83,0),39)," ")</f>
        <v xml:space="preserve"> </v>
      </c>
      <c r="N206" s="1129" t="str">
        <f t="shared" si="15"/>
        <v xml:space="preserve"> </v>
      </c>
      <c r="O206" s="1129" t="str">
        <f t="shared" si="16"/>
        <v xml:space="preserve"> </v>
      </c>
      <c r="P206" s="1130" t="str">
        <f t="shared" si="17"/>
        <v xml:space="preserve"> </v>
      </c>
      <c r="Q206" s="1131" t="str">
        <f t="shared" si="18"/>
        <v xml:space="preserve"> </v>
      </c>
      <c r="R206" s="1118">
        <f>IF('Schedule C'!AX465&gt;='DVO (F1 - F2)'!J$3,IF('Schedule C'!AX465&lt;='DVO (F1 - F2)'!K$3,IF('Schedule C'!BA465="APPROVED",'Schedule C'!A465,0),0),0)</f>
        <v>0</v>
      </c>
    </row>
    <row r="207" spans="1:18" ht="15">
      <c r="A207" s="1125">
        <f t="shared" si="14"/>
        <v>200</v>
      </c>
      <c r="B207" s="1126">
        <v>1</v>
      </c>
      <c r="C207" s="1126" t="str">
        <f>IFERROR(VLOOKUP($D207,dropdowns!$I$3:$Q$30,6,0), " ")</f>
        <v xml:space="preserve"> </v>
      </c>
      <c r="D207" s="1126" t="str">
        <f>IFERROR(INDEX('Schedule C'!$A$20:$BA$83,MATCH('DVO (F1 - F2)'!$R390,'Schedule C'!$A$20:$A$83,0),13)," ")</f>
        <v xml:space="preserve"> </v>
      </c>
      <c r="E207" s="1126" t="str">
        <f>IFERROR(VLOOKUP($D207,dropdowns!$I$3:$Q$30,7,0), " ")</f>
        <v xml:space="preserve"> </v>
      </c>
      <c r="F207" s="1126" t="str">
        <f>IFERROR(INDEX('Schedule C'!$A$20:$BA$83,MATCH('DVO (F1 - F2)'!$R207,'Schedule C'!$A$20:$A$83,0),2)," ")</f>
        <v xml:space="preserve"> </v>
      </c>
      <c r="G207" s="1127" t="str">
        <f>IFERROR(INDEX('Schedule C'!$A$20:$BA$83,MATCH('DVO (F1 - F2)'!$R207,'Schedule C'!$A$20:$A$83,0),38)," ")</f>
        <v xml:space="preserve"> </v>
      </c>
      <c r="H207" s="1127" t="str">
        <f>IFERROR(INDEX('Schedule C'!$A$20:$BA$83,MATCH('DVO (F1 - F2)'!$R207,'Schedule C'!$A$20:$A$83,0),39)," ")</f>
        <v xml:space="preserve"> </v>
      </c>
      <c r="I207" s="1127" t="str">
        <f>IFERROR(INDEX('Schedule C'!$A$20:$BA$83,MATCH('DVO (F1 - F2)'!$R207,'Schedule C'!$A$20:$A$83,0),41)," ")</f>
        <v xml:space="preserve"> </v>
      </c>
      <c r="J207" s="1127" t="str">
        <f>IFERROR(INDEX('Schedule C'!$A$20:$BA$83,MATCH('DVO (F1 - F2)'!$R207,'Schedule C'!$A$20:$A$83,0),50)," ")</f>
        <v xml:space="preserve"> </v>
      </c>
      <c r="K207" s="1452" t="str">
        <f>IFERROR(INDEX('Schedule C'!$A$20:$BA$83,MATCH('DVO (F1 - F2)'!$R207,'Schedule C'!$A$20:$A$83,0),33)," ")</f>
        <v xml:space="preserve"> </v>
      </c>
      <c r="L207" s="1453" t="str">
        <f>IFERROR(INDEX('Schedule C'!$A$20:$BA$83,MATCH('DVO (F1 - F2)'!$R207,'Schedule C'!$A$20:$A$83,0),52)," ")</f>
        <v xml:space="preserve"> </v>
      </c>
      <c r="M207" s="1454" t="str">
        <f>IFERROR(INDEX('Schedule C'!$A$20:$BA$83,MATCH('DVO (F1 - F2)'!$R207,'Schedule C'!$A$20:$A$83,0),50)-INDEX('Schedule C'!$A$20:$BA$83,MATCH('DVO (F1 - F2)'!$R207,'Schedule C'!$A$20:$A$83,0),39)," ")</f>
        <v xml:space="preserve"> </v>
      </c>
      <c r="N207" s="1129" t="str">
        <f t="shared" si="15"/>
        <v xml:space="preserve"> </v>
      </c>
      <c r="O207" s="1129" t="str">
        <f t="shared" si="16"/>
        <v xml:space="preserve"> </v>
      </c>
      <c r="P207" s="1130" t="str">
        <f t="shared" si="17"/>
        <v xml:space="preserve"> </v>
      </c>
      <c r="Q207" s="1131" t="str">
        <f t="shared" si="18"/>
        <v xml:space="preserve"> </v>
      </c>
      <c r="R207" s="1118">
        <f>IF('Schedule C'!AX466&gt;='DVO (F1 - F2)'!J$3,IF('Schedule C'!AX466&lt;='DVO (F1 - F2)'!K$3,IF('Schedule C'!BA466="APPROVED",'Schedule C'!A466,0),0),0)</f>
        <v>0</v>
      </c>
    </row>
    <row r="208" spans="1:18" ht="15">
      <c r="A208" s="1125">
        <f t="shared" si="14"/>
        <v>201</v>
      </c>
      <c r="B208" s="1126">
        <v>1</v>
      </c>
      <c r="C208" s="1126" t="str">
        <f>IFERROR(VLOOKUP($D208,dropdowns!$I$3:$Q$30,6,0), " ")</f>
        <v xml:space="preserve"> </v>
      </c>
      <c r="D208" s="1126" t="str">
        <f>IFERROR(INDEX('Schedule C'!$A$20:$BA$83,MATCH('DVO (F1 - F2)'!$R391,'Schedule C'!$A$20:$A$83,0),13)," ")</f>
        <v xml:space="preserve"> </v>
      </c>
      <c r="E208" s="1126" t="str">
        <f>IFERROR(VLOOKUP($D208,dropdowns!$I$3:$Q$30,7,0), " ")</f>
        <v xml:space="preserve"> </v>
      </c>
      <c r="F208" s="1126" t="str">
        <f>IFERROR(INDEX('Schedule C'!$A$20:$BA$83,MATCH('DVO (F1 - F2)'!$R208,'Schedule C'!$A$20:$A$83,0),2)," ")</f>
        <v xml:space="preserve"> </v>
      </c>
      <c r="G208" s="1127" t="str">
        <f>IFERROR(INDEX('Schedule C'!$A$20:$BA$83,MATCH('DVO (F1 - F2)'!$R208,'Schedule C'!$A$20:$A$83,0),38)," ")</f>
        <v xml:space="preserve"> </v>
      </c>
      <c r="H208" s="1127" t="str">
        <f>IFERROR(INDEX('Schedule C'!$A$20:$BA$83,MATCH('DVO (F1 - F2)'!$R208,'Schedule C'!$A$20:$A$83,0),39)," ")</f>
        <v xml:space="preserve"> </v>
      </c>
      <c r="I208" s="1127" t="str">
        <f>IFERROR(INDEX('Schedule C'!$A$20:$BA$83,MATCH('DVO (F1 - F2)'!$R208,'Schedule C'!$A$20:$A$83,0),41)," ")</f>
        <v xml:space="preserve"> </v>
      </c>
      <c r="J208" s="1127" t="str">
        <f>IFERROR(INDEX('Schedule C'!$A$20:$BA$83,MATCH('DVO (F1 - F2)'!$R208,'Schedule C'!$A$20:$A$83,0),50)," ")</f>
        <v xml:space="preserve"> </v>
      </c>
      <c r="K208" s="1452" t="str">
        <f>IFERROR(INDEX('Schedule C'!$A$20:$BA$83,MATCH('DVO (F1 - F2)'!$R208,'Schedule C'!$A$20:$A$83,0),33)," ")</f>
        <v xml:space="preserve"> </v>
      </c>
      <c r="L208" s="1453" t="str">
        <f>IFERROR(INDEX('Schedule C'!$A$20:$BA$83,MATCH('DVO (F1 - F2)'!$R208,'Schedule C'!$A$20:$A$83,0),52)," ")</f>
        <v xml:space="preserve"> </v>
      </c>
      <c r="M208" s="1454" t="str">
        <f>IFERROR(INDEX('Schedule C'!$A$20:$BA$83,MATCH('DVO (F1 - F2)'!$R208,'Schedule C'!$A$20:$A$83,0),50)-INDEX('Schedule C'!$A$20:$BA$83,MATCH('DVO (F1 - F2)'!$R208,'Schedule C'!$A$20:$A$83,0),39)," ")</f>
        <v xml:space="preserve"> </v>
      </c>
      <c r="N208" s="1129" t="str">
        <f t="shared" si="15"/>
        <v xml:space="preserve"> </v>
      </c>
      <c r="O208" s="1129" t="str">
        <f t="shared" si="16"/>
        <v xml:space="preserve"> </v>
      </c>
      <c r="P208" s="1130" t="str">
        <f t="shared" si="17"/>
        <v xml:space="preserve"> </v>
      </c>
      <c r="Q208" s="1131" t="str">
        <f t="shared" si="18"/>
        <v xml:space="preserve"> </v>
      </c>
      <c r="R208" s="1118">
        <f>IF('Schedule C'!AX467&gt;='DVO (F1 - F2)'!J$3,IF('Schedule C'!AX467&lt;='DVO (F1 - F2)'!K$3,IF('Schedule C'!BA467="APPROVED",'Schedule C'!A467,0),0),0)</f>
        <v>0</v>
      </c>
    </row>
    <row r="209" spans="1:18" ht="15">
      <c r="A209" s="1125">
        <f t="shared" si="14"/>
        <v>202</v>
      </c>
      <c r="B209" s="1126">
        <v>1</v>
      </c>
      <c r="C209" s="1126" t="str">
        <f>IFERROR(VLOOKUP($D209,dropdowns!$I$3:$Q$30,6,0), " ")</f>
        <v xml:space="preserve"> </v>
      </c>
      <c r="D209" s="1126" t="str">
        <f>IFERROR(INDEX('Schedule C'!$A$20:$BA$83,MATCH('DVO (F1 - F2)'!$R392,'Schedule C'!$A$20:$A$83,0),13)," ")</f>
        <v xml:space="preserve"> </v>
      </c>
      <c r="E209" s="1126" t="str">
        <f>IFERROR(VLOOKUP($D209,dropdowns!$I$3:$Q$30,7,0), " ")</f>
        <v xml:space="preserve"> </v>
      </c>
      <c r="F209" s="1126" t="str">
        <f>IFERROR(INDEX('Schedule C'!$A$20:$BA$83,MATCH('DVO (F1 - F2)'!$R209,'Schedule C'!$A$20:$A$83,0),2)," ")</f>
        <v xml:space="preserve"> </v>
      </c>
      <c r="G209" s="1127" t="str">
        <f>IFERROR(INDEX('Schedule C'!$A$20:$BA$83,MATCH('DVO (F1 - F2)'!$R209,'Schedule C'!$A$20:$A$83,0),38)," ")</f>
        <v xml:space="preserve"> </v>
      </c>
      <c r="H209" s="1127" t="str">
        <f>IFERROR(INDEX('Schedule C'!$A$20:$BA$83,MATCH('DVO (F1 - F2)'!$R209,'Schedule C'!$A$20:$A$83,0),39)," ")</f>
        <v xml:space="preserve"> </v>
      </c>
      <c r="I209" s="1127" t="str">
        <f>IFERROR(INDEX('Schedule C'!$A$20:$BA$83,MATCH('DVO (F1 - F2)'!$R209,'Schedule C'!$A$20:$A$83,0),41)," ")</f>
        <v xml:space="preserve"> </v>
      </c>
      <c r="J209" s="1127" t="str">
        <f>IFERROR(INDEX('Schedule C'!$A$20:$BA$83,MATCH('DVO (F1 - F2)'!$R209,'Schedule C'!$A$20:$A$83,0),50)," ")</f>
        <v xml:space="preserve"> </v>
      </c>
      <c r="K209" s="1452" t="str">
        <f>IFERROR(INDEX('Schedule C'!$A$20:$BA$83,MATCH('DVO (F1 - F2)'!$R209,'Schedule C'!$A$20:$A$83,0),33)," ")</f>
        <v xml:space="preserve"> </v>
      </c>
      <c r="L209" s="1453" t="str">
        <f>IFERROR(INDEX('Schedule C'!$A$20:$BA$83,MATCH('DVO (F1 - F2)'!$R209,'Schedule C'!$A$20:$A$83,0),52)," ")</f>
        <v xml:space="preserve"> </v>
      </c>
      <c r="M209" s="1454" t="str">
        <f>IFERROR(INDEX('Schedule C'!$A$20:$BA$83,MATCH('DVO (F1 - F2)'!$R209,'Schedule C'!$A$20:$A$83,0),50)-INDEX('Schedule C'!$A$20:$BA$83,MATCH('DVO (F1 - F2)'!$R209,'Schedule C'!$A$20:$A$83,0),39)," ")</f>
        <v xml:space="preserve"> </v>
      </c>
      <c r="N209" s="1129" t="str">
        <f t="shared" si="15"/>
        <v xml:space="preserve"> </v>
      </c>
      <c r="O209" s="1129" t="str">
        <f t="shared" si="16"/>
        <v xml:space="preserve"> </v>
      </c>
      <c r="P209" s="1130" t="str">
        <f t="shared" si="17"/>
        <v xml:space="preserve"> </v>
      </c>
      <c r="Q209" s="1131" t="str">
        <f t="shared" si="18"/>
        <v xml:space="preserve"> </v>
      </c>
      <c r="R209" s="1118">
        <f>IF('Schedule C'!AX468&gt;='DVO (F1 - F2)'!J$3,IF('Schedule C'!AX468&lt;='DVO (F1 - F2)'!K$3,IF('Schedule C'!BA468="APPROVED",'Schedule C'!A468,0),0),0)</f>
        <v>0</v>
      </c>
    </row>
    <row r="210" spans="1:18" ht="15">
      <c r="A210" s="1125">
        <f t="shared" si="14"/>
        <v>203</v>
      </c>
      <c r="B210" s="1126">
        <v>1</v>
      </c>
      <c r="C210" s="1126" t="str">
        <f>IFERROR(VLOOKUP($D210,dropdowns!$I$3:$Q$30,6,0), " ")</f>
        <v xml:space="preserve"> </v>
      </c>
      <c r="D210" s="1126" t="str">
        <f>IFERROR(INDEX('Schedule C'!$A$20:$BA$83,MATCH('DVO (F1 - F2)'!$R393,'Schedule C'!$A$20:$A$83,0),13)," ")</f>
        <v xml:space="preserve"> </v>
      </c>
      <c r="E210" s="1126" t="str">
        <f>IFERROR(VLOOKUP($D210,dropdowns!$I$3:$Q$30,7,0), " ")</f>
        <v xml:space="preserve"> </v>
      </c>
      <c r="F210" s="1126" t="str">
        <f>IFERROR(INDEX('Schedule C'!$A$20:$BA$83,MATCH('DVO (F1 - F2)'!$R210,'Schedule C'!$A$20:$A$83,0),2)," ")</f>
        <v xml:space="preserve"> </v>
      </c>
      <c r="G210" s="1127" t="str">
        <f>IFERROR(INDEX('Schedule C'!$A$20:$BA$83,MATCH('DVO (F1 - F2)'!$R210,'Schedule C'!$A$20:$A$83,0),38)," ")</f>
        <v xml:space="preserve"> </v>
      </c>
      <c r="H210" s="1127" t="str">
        <f>IFERROR(INDEX('Schedule C'!$A$20:$BA$83,MATCH('DVO (F1 - F2)'!$R210,'Schedule C'!$A$20:$A$83,0),39)," ")</f>
        <v xml:space="preserve"> </v>
      </c>
      <c r="I210" s="1127" t="str">
        <f>IFERROR(INDEX('Schedule C'!$A$20:$BA$83,MATCH('DVO (F1 - F2)'!$R210,'Schedule C'!$A$20:$A$83,0),41)," ")</f>
        <v xml:space="preserve"> </v>
      </c>
      <c r="J210" s="1127" t="str">
        <f>IFERROR(INDEX('Schedule C'!$A$20:$BA$83,MATCH('DVO (F1 - F2)'!$R210,'Schedule C'!$A$20:$A$83,0),50)," ")</f>
        <v xml:space="preserve"> </v>
      </c>
      <c r="K210" s="1452" t="str">
        <f>IFERROR(INDEX('Schedule C'!$A$20:$BA$83,MATCH('DVO (F1 - F2)'!$R210,'Schedule C'!$A$20:$A$83,0),33)," ")</f>
        <v xml:space="preserve"> </v>
      </c>
      <c r="L210" s="1453" t="str">
        <f>IFERROR(INDEX('Schedule C'!$A$20:$BA$83,MATCH('DVO (F1 - F2)'!$R210,'Schedule C'!$A$20:$A$83,0),52)," ")</f>
        <v xml:space="preserve"> </v>
      </c>
      <c r="M210" s="1454" t="str">
        <f>IFERROR(INDEX('Schedule C'!$A$20:$BA$83,MATCH('DVO (F1 - F2)'!$R210,'Schedule C'!$A$20:$A$83,0),50)-INDEX('Schedule C'!$A$20:$BA$83,MATCH('DVO (F1 - F2)'!$R210,'Schedule C'!$A$20:$A$83,0),39)," ")</f>
        <v xml:space="preserve"> </v>
      </c>
      <c r="N210" s="1129" t="str">
        <f t="shared" si="15"/>
        <v xml:space="preserve"> </v>
      </c>
      <c r="O210" s="1129" t="str">
        <f t="shared" si="16"/>
        <v xml:space="preserve"> </v>
      </c>
      <c r="P210" s="1130" t="str">
        <f t="shared" si="17"/>
        <v xml:space="preserve"> </v>
      </c>
      <c r="Q210" s="1131" t="str">
        <f t="shared" si="18"/>
        <v xml:space="preserve"> </v>
      </c>
      <c r="R210" s="1118">
        <f>IF('Schedule C'!AX469&gt;='DVO (F1 - F2)'!J$3,IF('Schedule C'!AX469&lt;='DVO (F1 - F2)'!K$3,IF('Schedule C'!BA469="APPROVED",'Schedule C'!A469,0),0),0)</f>
        <v>0</v>
      </c>
    </row>
    <row r="211" spans="1:18" ht="15">
      <c r="A211" s="1125">
        <f t="shared" si="14"/>
        <v>204</v>
      </c>
      <c r="B211" s="1126">
        <v>1</v>
      </c>
      <c r="C211" s="1126" t="str">
        <f>IFERROR(VLOOKUP($D211,dropdowns!$I$3:$Q$30,6,0), " ")</f>
        <v xml:space="preserve"> </v>
      </c>
      <c r="D211" s="1126" t="str">
        <f>IFERROR(INDEX('Schedule C'!$A$20:$BA$83,MATCH('DVO (F1 - F2)'!$R394,'Schedule C'!$A$20:$A$83,0),13)," ")</f>
        <v xml:space="preserve"> </v>
      </c>
      <c r="E211" s="1126" t="str">
        <f>IFERROR(VLOOKUP($D211,dropdowns!$I$3:$Q$30,7,0), " ")</f>
        <v xml:space="preserve"> </v>
      </c>
      <c r="F211" s="1126" t="str">
        <f>IFERROR(INDEX('Schedule C'!$A$20:$BA$83,MATCH('DVO (F1 - F2)'!$R211,'Schedule C'!$A$20:$A$83,0),2)," ")</f>
        <v xml:space="preserve"> </v>
      </c>
      <c r="G211" s="1127" t="str">
        <f>IFERROR(INDEX('Schedule C'!$A$20:$BA$83,MATCH('DVO (F1 - F2)'!$R211,'Schedule C'!$A$20:$A$83,0),38)," ")</f>
        <v xml:space="preserve"> </v>
      </c>
      <c r="H211" s="1127" t="str">
        <f>IFERROR(INDEX('Schedule C'!$A$20:$BA$83,MATCH('DVO (F1 - F2)'!$R211,'Schedule C'!$A$20:$A$83,0),39)," ")</f>
        <v xml:space="preserve"> </v>
      </c>
      <c r="I211" s="1127" t="str">
        <f>IFERROR(INDEX('Schedule C'!$A$20:$BA$83,MATCH('DVO (F1 - F2)'!$R211,'Schedule C'!$A$20:$A$83,0),41)," ")</f>
        <v xml:space="preserve"> </v>
      </c>
      <c r="J211" s="1127" t="str">
        <f>IFERROR(INDEX('Schedule C'!$A$20:$BA$83,MATCH('DVO (F1 - F2)'!$R211,'Schedule C'!$A$20:$A$83,0),50)," ")</f>
        <v xml:space="preserve"> </v>
      </c>
      <c r="K211" s="1452" t="str">
        <f>IFERROR(INDEX('Schedule C'!$A$20:$BA$83,MATCH('DVO (F1 - F2)'!$R211,'Schedule C'!$A$20:$A$83,0),33)," ")</f>
        <v xml:space="preserve"> </v>
      </c>
      <c r="L211" s="1453" t="str">
        <f>IFERROR(INDEX('Schedule C'!$A$20:$BA$83,MATCH('DVO (F1 - F2)'!$R211,'Schedule C'!$A$20:$A$83,0),52)," ")</f>
        <v xml:space="preserve"> </v>
      </c>
      <c r="M211" s="1454" t="str">
        <f>IFERROR(INDEX('Schedule C'!$A$20:$BA$83,MATCH('DVO (F1 - F2)'!$R211,'Schedule C'!$A$20:$A$83,0),50)-INDEX('Schedule C'!$A$20:$BA$83,MATCH('DVO (F1 - F2)'!$R211,'Schedule C'!$A$20:$A$83,0),39)," ")</f>
        <v xml:space="preserve"> </v>
      </c>
      <c r="N211" s="1129" t="str">
        <f t="shared" si="15"/>
        <v xml:space="preserve"> </v>
      </c>
      <c r="O211" s="1129" t="str">
        <f t="shared" si="16"/>
        <v xml:space="preserve"> </v>
      </c>
      <c r="P211" s="1130" t="str">
        <f t="shared" si="17"/>
        <v xml:space="preserve"> </v>
      </c>
      <c r="Q211" s="1131" t="str">
        <f t="shared" si="18"/>
        <v xml:space="preserve"> </v>
      </c>
      <c r="R211" s="1118">
        <f>IF('Schedule C'!AX470&gt;='DVO (F1 - F2)'!J$3,IF('Schedule C'!AX470&lt;='DVO (F1 - F2)'!K$3,IF('Schedule C'!BA470="APPROVED",'Schedule C'!A470,0),0),0)</f>
        <v>0</v>
      </c>
    </row>
    <row r="212" spans="1:18" ht="15">
      <c r="A212" s="1125">
        <f t="shared" si="14"/>
        <v>205</v>
      </c>
      <c r="B212" s="1126">
        <v>1</v>
      </c>
      <c r="C212" s="1126" t="str">
        <f>IFERROR(VLOOKUP($D212,dropdowns!$I$3:$Q$30,6,0), " ")</f>
        <v xml:space="preserve"> </v>
      </c>
      <c r="D212" s="1126" t="str">
        <f>IFERROR(INDEX('Schedule C'!$A$20:$BA$83,MATCH('DVO (F1 - F2)'!$R395,'Schedule C'!$A$20:$A$83,0),13)," ")</f>
        <v xml:space="preserve"> </v>
      </c>
      <c r="E212" s="1126" t="str">
        <f>IFERROR(VLOOKUP($D212,dropdowns!$I$3:$Q$30,7,0), " ")</f>
        <v xml:space="preserve"> </v>
      </c>
      <c r="F212" s="1126" t="str">
        <f>IFERROR(INDEX('Schedule C'!$A$20:$BA$83,MATCH('DVO (F1 - F2)'!$R212,'Schedule C'!$A$20:$A$83,0),2)," ")</f>
        <v xml:space="preserve"> </v>
      </c>
      <c r="G212" s="1127" t="str">
        <f>IFERROR(INDEX('Schedule C'!$A$20:$BA$83,MATCH('DVO (F1 - F2)'!$R212,'Schedule C'!$A$20:$A$83,0),38)," ")</f>
        <v xml:space="preserve"> </v>
      </c>
      <c r="H212" s="1127" t="str">
        <f>IFERROR(INDEX('Schedule C'!$A$20:$BA$83,MATCH('DVO (F1 - F2)'!$R212,'Schedule C'!$A$20:$A$83,0),39)," ")</f>
        <v xml:space="preserve"> </v>
      </c>
      <c r="I212" s="1127" t="str">
        <f>IFERROR(INDEX('Schedule C'!$A$20:$BA$83,MATCH('DVO (F1 - F2)'!$R212,'Schedule C'!$A$20:$A$83,0),41)," ")</f>
        <v xml:space="preserve"> </v>
      </c>
      <c r="J212" s="1127" t="str">
        <f>IFERROR(INDEX('Schedule C'!$A$20:$BA$83,MATCH('DVO (F1 - F2)'!$R212,'Schedule C'!$A$20:$A$83,0),50)," ")</f>
        <v xml:space="preserve"> </v>
      </c>
      <c r="K212" s="1452" t="str">
        <f>IFERROR(INDEX('Schedule C'!$A$20:$BA$83,MATCH('DVO (F1 - F2)'!$R212,'Schedule C'!$A$20:$A$83,0),33)," ")</f>
        <v xml:space="preserve"> </v>
      </c>
      <c r="L212" s="1453" t="str">
        <f>IFERROR(INDEX('Schedule C'!$A$20:$BA$83,MATCH('DVO (F1 - F2)'!$R212,'Schedule C'!$A$20:$A$83,0),52)," ")</f>
        <v xml:space="preserve"> </v>
      </c>
      <c r="M212" s="1454" t="str">
        <f>IFERROR(INDEX('Schedule C'!$A$20:$BA$83,MATCH('DVO (F1 - F2)'!$R212,'Schedule C'!$A$20:$A$83,0),50)-INDEX('Schedule C'!$A$20:$BA$83,MATCH('DVO (F1 - F2)'!$R212,'Schedule C'!$A$20:$A$83,0),39)," ")</f>
        <v xml:space="preserve"> </v>
      </c>
      <c r="N212" s="1129" t="str">
        <f t="shared" si="15"/>
        <v xml:space="preserve"> </v>
      </c>
      <c r="O212" s="1129" t="str">
        <f t="shared" si="16"/>
        <v xml:space="preserve"> </v>
      </c>
      <c r="P212" s="1130" t="str">
        <f t="shared" si="17"/>
        <v xml:space="preserve"> </v>
      </c>
      <c r="Q212" s="1131" t="str">
        <f t="shared" si="18"/>
        <v xml:space="preserve"> </v>
      </c>
      <c r="R212" s="1118">
        <f>IF('Schedule C'!AX471&gt;='DVO (F1 - F2)'!J$3,IF('Schedule C'!AX471&lt;='DVO (F1 - F2)'!K$3,IF('Schedule C'!BA471="APPROVED",'Schedule C'!A471,0),0),0)</f>
        <v>0</v>
      </c>
    </row>
    <row r="213" spans="1:18" ht="15">
      <c r="A213" s="1125">
        <f t="shared" si="14"/>
        <v>206</v>
      </c>
      <c r="B213" s="1126">
        <v>1</v>
      </c>
      <c r="C213" s="1126" t="str">
        <f>IFERROR(VLOOKUP($D213,dropdowns!$I$3:$Q$30,6,0), " ")</f>
        <v xml:space="preserve"> </v>
      </c>
      <c r="D213" s="1126" t="str">
        <f>IFERROR(INDEX('Schedule C'!$A$20:$BA$83,MATCH('DVO (F1 - F2)'!$R396,'Schedule C'!$A$20:$A$83,0),13)," ")</f>
        <v xml:space="preserve"> </v>
      </c>
      <c r="E213" s="1126" t="str">
        <f>IFERROR(VLOOKUP($D213,dropdowns!$I$3:$Q$30,7,0), " ")</f>
        <v xml:space="preserve"> </v>
      </c>
      <c r="F213" s="1126" t="str">
        <f>IFERROR(INDEX('Schedule C'!$A$20:$BA$83,MATCH('DVO (F1 - F2)'!$R213,'Schedule C'!$A$20:$A$83,0),2)," ")</f>
        <v xml:space="preserve"> </v>
      </c>
      <c r="G213" s="1127" t="str">
        <f>IFERROR(INDEX('Schedule C'!$A$20:$BA$83,MATCH('DVO (F1 - F2)'!$R213,'Schedule C'!$A$20:$A$83,0),38)," ")</f>
        <v xml:space="preserve"> </v>
      </c>
      <c r="H213" s="1127" t="str">
        <f>IFERROR(INDEX('Schedule C'!$A$20:$BA$83,MATCH('DVO (F1 - F2)'!$R213,'Schedule C'!$A$20:$A$83,0),39)," ")</f>
        <v xml:space="preserve"> </v>
      </c>
      <c r="I213" s="1127" t="str">
        <f>IFERROR(INDEX('Schedule C'!$A$20:$BA$83,MATCH('DVO (F1 - F2)'!$R213,'Schedule C'!$A$20:$A$83,0),41)," ")</f>
        <v xml:space="preserve"> </v>
      </c>
      <c r="J213" s="1127" t="str">
        <f>IFERROR(INDEX('Schedule C'!$A$20:$BA$83,MATCH('DVO (F1 - F2)'!$R213,'Schedule C'!$A$20:$A$83,0),50)," ")</f>
        <v xml:space="preserve"> </v>
      </c>
      <c r="K213" s="1452" t="str">
        <f>IFERROR(INDEX('Schedule C'!$A$20:$BA$83,MATCH('DVO (F1 - F2)'!$R213,'Schedule C'!$A$20:$A$83,0),33)," ")</f>
        <v xml:space="preserve"> </v>
      </c>
      <c r="L213" s="1453" t="str">
        <f>IFERROR(INDEX('Schedule C'!$A$20:$BA$83,MATCH('DVO (F1 - F2)'!$R213,'Schedule C'!$A$20:$A$83,0),52)," ")</f>
        <v xml:space="preserve"> </v>
      </c>
      <c r="M213" s="1454" t="str">
        <f>IFERROR(INDEX('Schedule C'!$A$20:$BA$83,MATCH('DVO (F1 - F2)'!$R213,'Schedule C'!$A$20:$A$83,0),50)-INDEX('Schedule C'!$A$20:$BA$83,MATCH('DVO (F1 - F2)'!$R213,'Schedule C'!$A$20:$A$83,0),39)," ")</f>
        <v xml:space="preserve"> </v>
      </c>
      <c r="N213" s="1129" t="str">
        <f t="shared" si="15"/>
        <v xml:space="preserve"> </v>
      </c>
      <c r="O213" s="1129" t="str">
        <f t="shared" si="16"/>
        <v xml:space="preserve"> </v>
      </c>
      <c r="P213" s="1130" t="str">
        <f t="shared" si="17"/>
        <v xml:space="preserve"> </v>
      </c>
      <c r="Q213" s="1131" t="str">
        <f t="shared" si="18"/>
        <v xml:space="preserve"> </v>
      </c>
      <c r="R213" s="1118">
        <f>IF('Schedule C'!AX472&gt;='DVO (F1 - F2)'!J$3,IF('Schedule C'!AX472&lt;='DVO (F1 - F2)'!K$3,IF('Schedule C'!BA472="APPROVED",'Schedule C'!A472,0),0),0)</f>
        <v>0</v>
      </c>
    </row>
    <row r="214" spans="1:18" ht="15">
      <c r="A214" s="1125">
        <f t="shared" si="14"/>
        <v>207</v>
      </c>
      <c r="B214" s="1126">
        <v>1</v>
      </c>
      <c r="C214" s="1126" t="str">
        <f>IFERROR(VLOOKUP($D214,dropdowns!$I$3:$Q$30,6,0), " ")</f>
        <v xml:space="preserve"> </v>
      </c>
      <c r="D214" s="1126" t="str">
        <f>IFERROR(INDEX('Schedule C'!$A$20:$BA$83,MATCH('DVO (F1 - F2)'!$R397,'Schedule C'!$A$20:$A$83,0),13)," ")</f>
        <v xml:space="preserve"> </v>
      </c>
      <c r="E214" s="1126" t="str">
        <f>IFERROR(VLOOKUP($D214,dropdowns!$I$3:$Q$30,7,0), " ")</f>
        <v xml:space="preserve"> </v>
      </c>
      <c r="F214" s="1126" t="str">
        <f>IFERROR(INDEX('Schedule C'!$A$20:$BA$83,MATCH('DVO (F1 - F2)'!$R214,'Schedule C'!$A$20:$A$83,0),2)," ")</f>
        <v xml:space="preserve"> </v>
      </c>
      <c r="G214" s="1127" t="str">
        <f>IFERROR(INDEX('Schedule C'!$A$20:$BA$83,MATCH('DVO (F1 - F2)'!$R214,'Schedule C'!$A$20:$A$83,0),38)," ")</f>
        <v xml:space="preserve"> </v>
      </c>
      <c r="H214" s="1127" t="str">
        <f>IFERROR(INDEX('Schedule C'!$A$20:$BA$83,MATCH('DVO (F1 - F2)'!$R214,'Schedule C'!$A$20:$A$83,0),39)," ")</f>
        <v xml:space="preserve"> </v>
      </c>
      <c r="I214" s="1127" t="str">
        <f>IFERROR(INDEX('Schedule C'!$A$20:$BA$83,MATCH('DVO (F1 - F2)'!$R214,'Schedule C'!$A$20:$A$83,0),41)," ")</f>
        <v xml:space="preserve"> </v>
      </c>
      <c r="J214" s="1127" t="str">
        <f>IFERROR(INDEX('Schedule C'!$A$20:$BA$83,MATCH('DVO (F1 - F2)'!$R214,'Schedule C'!$A$20:$A$83,0),50)," ")</f>
        <v xml:space="preserve"> </v>
      </c>
      <c r="K214" s="1452" t="str">
        <f>IFERROR(INDEX('Schedule C'!$A$20:$BA$83,MATCH('DVO (F1 - F2)'!$R214,'Schedule C'!$A$20:$A$83,0),33)," ")</f>
        <v xml:space="preserve"> </v>
      </c>
      <c r="L214" s="1453" t="str">
        <f>IFERROR(INDEX('Schedule C'!$A$20:$BA$83,MATCH('DVO (F1 - F2)'!$R214,'Schedule C'!$A$20:$A$83,0),52)," ")</f>
        <v xml:space="preserve"> </v>
      </c>
      <c r="M214" s="1454" t="str">
        <f>IFERROR(INDEX('Schedule C'!$A$20:$BA$83,MATCH('DVO (F1 - F2)'!$R214,'Schedule C'!$A$20:$A$83,0),50)-INDEX('Schedule C'!$A$20:$BA$83,MATCH('DVO (F1 - F2)'!$R214,'Schedule C'!$A$20:$A$83,0),39)," ")</f>
        <v xml:space="preserve"> </v>
      </c>
      <c r="N214" s="1129" t="str">
        <f t="shared" si="15"/>
        <v xml:space="preserve"> </v>
      </c>
      <c r="O214" s="1129" t="str">
        <f t="shared" si="16"/>
        <v xml:space="preserve"> </v>
      </c>
      <c r="P214" s="1130" t="str">
        <f t="shared" si="17"/>
        <v xml:space="preserve"> </v>
      </c>
      <c r="Q214" s="1131" t="str">
        <f t="shared" si="18"/>
        <v xml:space="preserve"> </v>
      </c>
      <c r="R214" s="1118">
        <f>IF('Schedule C'!AX473&gt;='DVO (F1 - F2)'!J$3,IF('Schedule C'!AX473&lt;='DVO (F1 - F2)'!K$3,IF('Schedule C'!BA473="APPROVED",'Schedule C'!A473,0),0),0)</f>
        <v>0</v>
      </c>
    </row>
    <row r="215" spans="1:18" ht="15">
      <c r="A215" s="1125">
        <f t="shared" si="14"/>
        <v>208</v>
      </c>
      <c r="B215" s="1126">
        <v>1</v>
      </c>
      <c r="C215" s="1126" t="str">
        <f>IFERROR(VLOOKUP($D215,dropdowns!$I$3:$Q$30,6,0), " ")</f>
        <v xml:space="preserve"> </v>
      </c>
      <c r="D215" s="1126" t="str">
        <f>IFERROR(INDEX('Schedule C'!$A$20:$BA$83,MATCH('DVO (F1 - F2)'!$R398,'Schedule C'!$A$20:$A$83,0),13)," ")</f>
        <v xml:space="preserve"> </v>
      </c>
      <c r="E215" s="1126" t="str">
        <f>IFERROR(VLOOKUP($D215,dropdowns!$I$3:$Q$30,7,0), " ")</f>
        <v xml:space="preserve"> </v>
      </c>
      <c r="F215" s="1126" t="str">
        <f>IFERROR(INDEX('Schedule C'!$A$20:$BA$83,MATCH('DVO (F1 - F2)'!$R215,'Schedule C'!$A$20:$A$83,0),2)," ")</f>
        <v xml:space="preserve"> </v>
      </c>
      <c r="G215" s="1127" t="str">
        <f>IFERROR(INDEX('Schedule C'!$A$20:$BA$83,MATCH('DVO (F1 - F2)'!$R215,'Schedule C'!$A$20:$A$83,0),38)," ")</f>
        <v xml:space="preserve"> </v>
      </c>
      <c r="H215" s="1127" t="str">
        <f>IFERROR(INDEX('Schedule C'!$A$20:$BA$83,MATCH('DVO (F1 - F2)'!$R215,'Schedule C'!$A$20:$A$83,0),39)," ")</f>
        <v xml:space="preserve"> </v>
      </c>
      <c r="I215" s="1127" t="str">
        <f>IFERROR(INDEX('Schedule C'!$A$20:$BA$83,MATCH('DVO (F1 - F2)'!$R215,'Schedule C'!$A$20:$A$83,0),41)," ")</f>
        <v xml:space="preserve"> </v>
      </c>
      <c r="J215" s="1127" t="str">
        <f>IFERROR(INDEX('Schedule C'!$A$20:$BA$83,MATCH('DVO (F1 - F2)'!$R215,'Schedule C'!$A$20:$A$83,0),50)," ")</f>
        <v xml:space="preserve"> </v>
      </c>
      <c r="K215" s="1452" t="str">
        <f>IFERROR(INDEX('Schedule C'!$A$20:$BA$83,MATCH('DVO (F1 - F2)'!$R215,'Schedule C'!$A$20:$A$83,0),33)," ")</f>
        <v xml:space="preserve"> </v>
      </c>
      <c r="L215" s="1453" t="str">
        <f>IFERROR(INDEX('Schedule C'!$A$20:$BA$83,MATCH('DVO (F1 - F2)'!$R215,'Schedule C'!$A$20:$A$83,0),52)," ")</f>
        <v xml:space="preserve"> </v>
      </c>
      <c r="M215" s="1454" t="str">
        <f>IFERROR(INDEX('Schedule C'!$A$20:$BA$83,MATCH('DVO (F1 - F2)'!$R215,'Schedule C'!$A$20:$A$83,0),50)-INDEX('Schedule C'!$A$20:$BA$83,MATCH('DVO (F1 - F2)'!$R215,'Schedule C'!$A$20:$A$83,0),39)," ")</f>
        <v xml:space="preserve"> </v>
      </c>
      <c r="N215" s="1129" t="str">
        <f t="shared" si="15"/>
        <v xml:space="preserve"> </v>
      </c>
      <c r="O215" s="1129" t="str">
        <f t="shared" si="16"/>
        <v xml:space="preserve"> </v>
      </c>
      <c r="P215" s="1130" t="str">
        <f t="shared" si="17"/>
        <v xml:space="preserve"> </v>
      </c>
      <c r="Q215" s="1131" t="str">
        <f t="shared" si="18"/>
        <v xml:space="preserve"> </v>
      </c>
      <c r="R215" s="1118">
        <f>IF('Schedule C'!AX474&gt;='DVO (F1 - F2)'!J$3,IF('Schedule C'!AX474&lt;='DVO (F1 - F2)'!K$3,IF('Schedule C'!BA474="APPROVED",'Schedule C'!A474,0),0),0)</f>
        <v>0</v>
      </c>
    </row>
  </sheetData>
  <autoFilter ref="A7:R215" xr:uid="{EAD0E19F-AB4E-4C1A-AA25-48DE09E85C15}"/>
  <dataValidations count="2">
    <dataValidation type="list" allowBlank="1" showInputMessage="1" showErrorMessage="1" sqref="H5" xr:uid="{2447DA1E-26D0-4E18-952B-5186B4EA2718}">
      <formula1>"2022,2023,2024"</formula1>
    </dataValidation>
    <dataValidation type="list" allowBlank="1" showInputMessage="1" showErrorMessage="1" sqref="G5" xr:uid="{3E60467D-7111-4382-B005-CF44C3545AE3}">
      <formula1>"JANUARY,FEBRUARY,MARCH,APRIL,MAY,JUNE,JULY,AUGUST,SEPTEMBER,OCTOBER,NOVEMBER,DECEMBER"</formula1>
    </dataValidation>
  </dataValidations>
  <pageMargins left="0.7" right="0.7" top="0.75" bottom="0.75" header="0.3" footer="0.3"/>
  <pageSetup orientation="portrait" r:id="rId1"/>
  <drawing r:id="rId2"/>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2A1E0-2166-4936-9B84-72FD70604DEA}">
  <sheetPr>
    <tabColor theme="1"/>
  </sheetPr>
  <dimension ref="B2:Q17"/>
  <sheetViews>
    <sheetView showGridLines="0" zoomScale="115" zoomScaleNormal="115" workbookViewId="0">
      <selection activeCell="B33" sqref="B33"/>
    </sheetView>
  </sheetViews>
  <sheetFormatPr defaultColWidth="11.42578125" defaultRowHeight="12.75"/>
  <cols>
    <col min="2" max="2" width="24.5703125" bestFit="1" customWidth="1"/>
    <col min="3" max="3" width="22.42578125" bestFit="1" customWidth="1"/>
    <col min="4" max="5" width="14" customWidth="1"/>
    <col min="6" max="6" width="13.5703125" bestFit="1" customWidth="1"/>
    <col min="7" max="7" width="12" customWidth="1"/>
    <col min="8" max="8" width="15" customWidth="1"/>
    <col min="9" max="9" width="14.42578125" customWidth="1"/>
    <col min="12" max="12" width="13.5703125" customWidth="1"/>
  </cols>
  <sheetData>
    <row r="2" spans="2:17" ht="13.5" thickBot="1"/>
    <row r="3" spans="2:17" ht="42" customHeight="1">
      <c r="B3" s="6083" t="s">
        <v>4781</v>
      </c>
      <c r="C3" s="6085" t="s">
        <v>4782</v>
      </c>
      <c r="D3" s="6085" t="s">
        <v>4801</v>
      </c>
      <c r="E3" s="6089" t="s">
        <v>4812</v>
      </c>
      <c r="F3" s="6085" t="s">
        <v>4783</v>
      </c>
      <c r="G3" s="6085" t="s">
        <v>4784</v>
      </c>
      <c r="H3" s="6089" t="s">
        <v>4813</v>
      </c>
      <c r="I3" s="6085" t="s">
        <v>2870</v>
      </c>
      <c r="J3" s="6090" t="s">
        <v>4785</v>
      </c>
      <c r="K3" s="6090"/>
      <c r="L3" s="6090" t="s">
        <v>4786</v>
      </c>
      <c r="M3" s="6090" t="s">
        <v>4787</v>
      </c>
      <c r="N3" s="6090"/>
      <c r="O3" s="6085" t="s">
        <v>4788</v>
      </c>
      <c r="P3" s="6085"/>
      <c r="Q3" s="6086"/>
    </row>
    <row r="4" spans="2:17" ht="42" customHeight="1" thickBot="1">
      <c r="B4" s="6084"/>
      <c r="C4" s="6087"/>
      <c r="D4" s="6087"/>
      <c r="E4" s="6087"/>
      <c r="F4" s="6087"/>
      <c r="G4" s="6087"/>
      <c r="H4" s="6087"/>
      <c r="I4" s="6087"/>
      <c r="J4" s="6091"/>
      <c r="K4" s="6091"/>
      <c r="L4" s="6091"/>
      <c r="M4" s="6091"/>
      <c r="N4" s="6091"/>
      <c r="O4" s="6087"/>
      <c r="P4" s="6087"/>
      <c r="Q4" s="6088"/>
    </row>
    <row r="5" spans="2:17" ht="13.5" thickBot="1">
      <c r="B5" s="4377"/>
      <c r="C5" s="4362" t="s">
        <v>441</v>
      </c>
      <c r="D5" s="4362" t="s">
        <v>442</v>
      </c>
      <c r="E5" s="4362" t="s">
        <v>443</v>
      </c>
      <c r="F5" s="4363" t="s">
        <v>4789</v>
      </c>
      <c r="G5" s="4362" t="s">
        <v>2895</v>
      </c>
      <c r="H5" s="4362" t="s">
        <v>446</v>
      </c>
      <c r="I5" s="4363" t="s">
        <v>4790</v>
      </c>
      <c r="J5" s="6092" t="s">
        <v>448</v>
      </c>
      <c r="K5" s="6092"/>
      <c r="L5" s="4364" t="s">
        <v>449</v>
      </c>
      <c r="M5" s="6093" t="s">
        <v>4791</v>
      </c>
      <c r="N5" s="6093"/>
      <c r="O5" s="6093" t="s">
        <v>4792</v>
      </c>
      <c r="P5" s="6093"/>
      <c r="Q5" s="6094"/>
    </row>
    <row r="6" spans="2:17">
      <c r="B6" s="4365" t="s">
        <v>4793</v>
      </c>
      <c r="C6" s="4383">
        <v>24906962.800000001</v>
      </c>
      <c r="D6" s="4366">
        <f>+'Schedule B'!H29+'Schedule B'!H34+'Schedule B'!H35</f>
        <v>20780079.359999999</v>
      </c>
      <c r="E6" s="4366">
        <f>+'Schedule B'!I29+'Schedule B'!J29+'Schedule B'!I34+'Schedule B'!J34+'Schedule B'!I35+'Schedule B'!J35</f>
        <v>4664935.1199999992</v>
      </c>
      <c r="F6" s="4378">
        <f>+D6+E6</f>
        <v>25445014.479999997</v>
      </c>
      <c r="G6" s="4367">
        <v>0</v>
      </c>
      <c r="H6" s="4368">
        <f>+'Schedule B'!M29</f>
        <v>101675.08</v>
      </c>
      <c r="I6" s="4379">
        <f t="shared" ref="I6:I13" si="0">+F6+G6+H6</f>
        <v>25546689.559999995</v>
      </c>
      <c r="J6" s="6095">
        <v>0</v>
      </c>
      <c r="K6" s="6095"/>
      <c r="L6" s="4386">
        <v>0</v>
      </c>
      <c r="M6" s="6096">
        <f t="shared" ref="M6:M13" si="1">+J6+L6</f>
        <v>0</v>
      </c>
      <c r="N6" s="6096"/>
      <c r="O6" s="6096">
        <f>+C6-I6-M6</f>
        <v>-639726.75999999419</v>
      </c>
      <c r="P6" s="6096"/>
      <c r="Q6" s="6097"/>
    </row>
    <row r="7" spans="2:17">
      <c r="B7" s="4365" t="s">
        <v>4794</v>
      </c>
      <c r="C7" s="4384">
        <v>13738307</v>
      </c>
      <c r="D7" s="4369">
        <f>+'Schedule B'!F45-'Schedule B'!F34-'Schedule B'!F35</f>
        <v>13059930</v>
      </c>
      <c r="E7" s="4369">
        <f>+'Schedule B'!I45-'Schedule B'!I35-'Schedule B'!I34-'Schedule B'!J34-'Schedule B'!J35+'Schedule B'!J45</f>
        <v>1071977</v>
      </c>
      <c r="F7" s="4378">
        <f t="shared" ref="F7:F13" si="2">+D7+E7</f>
        <v>14131907</v>
      </c>
      <c r="G7" s="4370">
        <v>0</v>
      </c>
      <c r="H7" s="4371">
        <f>+'Schedule B'!M45</f>
        <v>-53507</v>
      </c>
      <c r="I7" s="4379">
        <f t="shared" si="0"/>
        <v>14078400</v>
      </c>
      <c r="J7" s="6098">
        <v>0</v>
      </c>
      <c r="K7" s="6098"/>
      <c r="L7" s="4387">
        <v>0</v>
      </c>
      <c r="M7" s="6096">
        <f t="shared" si="1"/>
        <v>0</v>
      </c>
      <c r="N7" s="6096"/>
      <c r="O7" s="6096">
        <f t="shared" ref="O7:O13" si="3">+C7-I7-M7</f>
        <v>-340093</v>
      </c>
      <c r="P7" s="6096"/>
      <c r="Q7" s="6097"/>
    </row>
    <row r="8" spans="2:17">
      <c r="B8" s="4365" t="s">
        <v>4795</v>
      </c>
      <c r="C8" s="4384">
        <v>0</v>
      </c>
      <c r="D8" s="4369">
        <f>+'Schedule B'!H47</f>
        <v>0</v>
      </c>
      <c r="E8" s="4369">
        <f>+'Schedule B'!I63+'Schedule B'!J63</f>
        <v>0</v>
      </c>
      <c r="F8" s="4378">
        <f t="shared" si="2"/>
        <v>0</v>
      </c>
      <c r="G8" s="4370">
        <v>0</v>
      </c>
      <c r="H8" s="4371">
        <f>+'Schedule B'!M47</f>
        <v>0</v>
      </c>
      <c r="I8" s="4379">
        <f t="shared" si="0"/>
        <v>0</v>
      </c>
      <c r="J8" s="6099">
        <v>0</v>
      </c>
      <c r="K8" s="6099"/>
      <c r="L8" s="4387">
        <v>0</v>
      </c>
      <c r="M8" s="6096">
        <f t="shared" si="1"/>
        <v>0</v>
      </c>
      <c r="N8" s="6096"/>
      <c r="O8" s="6096">
        <f t="shared" si="3"/>
        <v>0</v>
      </c>
      <c r="P8" s="6096"/>
      <c r="Q8" s="6097"/>
    </row>
    <row r="9" spans="2:17">
      <c r="B9" s="4365" t="s">
        <v>4796</v>
      </c>
      <c r="C9" s="4384">
        <v>505825346.56</v>
      </c>
      <c r="D9" s="4369">
        <f>+'Schedule B'!H183</f>
        <v>479457540.53999996</v>
      </c>
      <c r="E9" s="4369">
        <f>+'Schedule B'!I183+'Schedule B'!J183</f>
        <v>2224880.4699999918</v>
      </c>
      <c r="F9" s="4378">
        <f t="shared" si="2"/>
        <v>481682421.00999993</v>
      </c>
      <c r="G9" s="4370">
        <v>0</v>
      </c>
      <c r="H9" s="4371">
        <f>+'Schedule B'!M183</f>
        <v>-18178391.659999996</v>
      </c>
      <c r="I9" s="4379">
        <f t="shared" si="0"/>
        <v>463504029.3499999</v>
      </c>
      <c r="J9" s="6099">
        <v>0</v>
      </c>
      <c r="K9" s="6099"/>
      <c r="L9" s="4387">
        <v>0</v>
      </c>
      <c r="M9" s="6096">
        <f t="shared" si="1"/>
        <v>0</v>
      </c>
      <c r="N9" s="6096"/>
      <c r="O9" s="6096">
        <f t="shared" si="3"/>
        <v>42321317.210000098</v>
      </c>
      <c r="P9" s="6096"/>
      <c r="Q9" s="6097"/>
    </row>
    <row r="10" spans="2:17">
      <c r="B10" s="4365" t="s">
        <v>4797</v>
      </c>
      <c r="C10" s="4384">
        <v>0</v>
      </c>
      <c r="D10" s="4369">
        <f>+'Schedule B'!H187</f>
        <v>0</v>
      </c>
      <c r="E10" s="4369">
        <f>+'Schedule B'!I200+'Schedule B'!J200</f>
        <v>0</v>
      </c>
      <c r="F10" s="4378">
        <f t="shared" si="2"/>
        <v>0</v>
      </c>
      <c r="G10" s="4370">
        <v>0</v>
      </c>
      <c r="H10" s="4371">
        <v>0</v>
      </c>
      <c r="I10" s="4379">
        <f t="shared" si="0"/>
        <v>0</v>
      </c>
      <c r="J10" s="6099">
        <v>0</v>
      </c>
      <c r="K10" s="6099"/>
      <c r="L10" s="4387">
        <v>0</v>
      </c>
      <c r="M10" s="6096">
        <f t="shared" si="1"/>
        <v>0</v>
      </c>
      <c r="N10" s="6096"/>
      <c r="O10" s="6096">
        <f t="shared" si="3"/>
        <v>0</v>
      </c>
      <c r="P10" s="6096"/>
      <c r="Q10" s="6097"/>
    </row>
    <row r="11" spans="2:17">
      <c r="B11" s="4365" t="s">
        <v>4798</v>
      </c>
      <c r="C11" s="4384">
        <v>40186299.240000002</v>
      </c>
      <c r="D11" s="4369">
        <f>+'Schedule B'!H236</f>
        <v>40154868.279999994</v>
      </c>
      <c r="E11" s="4369">
        <f>+'Schedule B'!I223+'Schedule B'!J223</f>
        <v>851779</v>
      </c>
      <c r="F11" s="4378">
        <f t="shared" si="2"/>
        <v>41006647.279999994</v>
      </c>
      <c r="G11" s="4370">
        <v>0</v>
      </c>
      <c r="H11" s="4371">
        <f>+'Schedule B'!M236</f>
        <v>0</v>
      </c>
      <c r="I11" s="4379">
        <f t="shared" si="0"/>
        <v>41006647.279999994</v>
      </c>
      <c r="J11" s="6099">
        <v>0</v>
      </c>
      <c r="K11" s="6099"/>
      <c r="L11" s="4387">
        <v>0</v>
      </c>
      <c r="M11" s="6096">
        <f t="shared" si="1"/>
        <v>0</v>
      </c>
      <c r="N11" s="6096"/>
      <c r="O11" s="6096">
        <f t="shared" si="3"/>
        <v>-820348.03999999166</v>
      </c>
      <c r="P11" s="6096"/>
      <c r="Q11" s="6097"/>
    </row>
    <row r="12" spans="2:17">
      <c r="B12" s="4365" t="s">
        <v>4799</v>
      </c>
      <c r="C12" s="4384">
        <v>0</v>
      </c>
      <c r="D12" s="4369">
        <v>0</v>
      </c>
      <c r="E12" s="4369">
        <v>0</v>
      </c>
      <c r="F12" s="4378">
        <f t="shared" si="2"/>
        <v>0</v>
      </c>
      <c r="G12" s="4370">
        <v>0</v>
      </c>
      <c r="H12" s="4371">
        <v>0</v>
      </c>
      <c r="I12" s="4379">
        <f t="shared" si="0"/>
        <v>0</v>
      </c>
      <c r="J12" s="6099">
        <v>0</v>
      </c>
      <c r="K12" s="6099"/>
      <c r="L12" s="4387">
        <v>0</v>
      </c>
      <c r="M12" s="6096">
        <f t="shared" si="1"/>
        <v>0</v>
      </c>
      <c r="N12" s="6096"/>
      <c r="O12" s="6096">
        <f t="shared" si="3"/>
        <v>0</v>
      </c>
      <c r="P12" s="6096"/>
      <c r="Q12" s="6097"/>
    </row>
    <row r="13" spans="2:17">
      <c r="B13" s="4365" t="s">
        <v>4800</v>
      </c>
      <c r="C13" s="4384">
        <v>0</v>
      </c>
      <c r="D13" s="4369">
        <v>0</v>
      </c>
      <c r="E13" s="4369">
        <v>0</v>
      </c>
      <c r="F13" s="4378">
        <f t="shared" si="2"/>
        <v>0</v>
      </c>
      <c r="G13" s="4370">
        <v>0</v>
      </c>
      <c r="H13" s="4371">
        <v>0</v>
      </c>
      <c r="I13" s="4379">
        <f t="shared" si="0"/>
        <v>0</v>
      </c>
      <c r="J13" s="6099">
        <v>0</v>
      </c>
      <c r="K13" s="6099"/>
      <c r="L13" s="4388">
        <v>0</v>
      </c>
      <c r="M13" s="6096">
        <f t="shared" si="1"/>
        <v>0</v>
      </c>
      <c r="N13" s="6096"/>
      <c r="O13" s="6096">
        <f t="shared" si="3"/>
        <v>0</v>
      </c>
      <c r="P13" s="6096"/>
      <c r="Q13" s="6097"/>
    </row>
    <row r="14" spans="2:17" ht="13.5" thickBot="1">
      <c r="B14" s="4372" t="s">
        <v>1414</v>
      </c>
      <c r="C14" s="4373">
        <f t="shared" ref="C14:I14" si="4">SUM(C6:C13)</f>
        <v>584656915.60000002</v>
      </c>
      <c r="D14" s="4374">
        <f t="shared" si="4"/>
        <v>553452418.17999995</v>
      </c>
      <c r="E14" s="4374">
        <f t="shared" si="4"/>
        <v>8813571.5899999905</v>
      </c>
      <c r="F14" s="4375">
        <f t="shared" si="4"/>
        <v>562265989.76999998</v>
      </c>
      <c r="G14" s="4375">
        <f t="shared" si="4"/>
        <v>0</v>
      </c>
      <c r="H14" s="4374">
        <f t="shared" si="4"/>
        <v>-18130223.579999998</v>
      </c>
      <c r="I14" s="4374">
        <f t="shared" si="4"/>
        <v>544135766.18999994</v>
      </c>
      <c r="J14" s="6100">
        <f>SUM(J6:K13)</f>
        <v>0</v>
      </c>
      <c r="K14" s="6100"/>
      <c r="L14" s="4376">
        <f>SUM(L6:L13)</f>
        <v>0</v>
      </c>
      <c r="M14" s="6101">
        <f>SUM(M6:N13)</f>
        <v>0</v>
      </c>
      <c r="N14" s="6101"/>
      <c r="O14" s="6102">
        <f>SUM(O6:Q13)</f>
        <v>40521149.410000116</v>
      </c>
      <c r="P14" s="6102"/>
      <c r="Q14" s="6103"/>
    </row>
    <row r="15" spans="2:17">
      <c r="F15" s="652">
        <f>+F14-C14</f>
        <v>-22390925.830000043</v>
      </c>
    </row>
    <row r="16" spans="2:17">
      <c r="D16" s="4385"/>
    </row>
    <row r="17" spans="4:4">
      <c r="D17" s="4385"/>
    </row>
  </sheetData>
  <mergeCells count="42">
    <mergeCell ref="J13:K13"/>
    <mergeCell ref="M13:N13"/>
    <mergeCell ref="O13:Q13"/>
    <mergeCell ref="J14:K14"/>
    <mergeCell ref="M14:N14"/>
    <mergeCell ref="O14:Q14"/>
    <mergeCell ref="J11:K11"/>
    <mergeCell ref="M11:N11"/>
    <mergeCell ref="O11:Q11"/>
    <mergeCell ref="J12:K12"/>
    <mergeCell ref="M12:N12"/>
    <mergeCell ref="O12:Q12"/>
    <mergeCell ref="J9:K9"/>
    <mergeCell ref="M9:N9"/>
    <mergeCell ref="O9:Q9"/>
    <mergeCell ref="J10:K10"/>
    <mergeCell ref="M10:N10"/>
    <mergeCell ref="O10:Q10"/>
    <mergeCell ref="J7:K7"/>
    <mergeCell ref="M7:N7"/>
    <mergeCell ref="O7:Q7"/>
    <mergeCell ref="J8:K8"/>
    <mergeCell ref="M8:N8"/>
    <mergeCell ref="O8:Q8"/>
    <mergeCell ref="J5:K5"/>
    <mergeCell ref="M5:N5"/>
    <mergeCell ref="O5:Q5"/>
    <mergeCell ref="J6:K6"/>
    <mergeCell ref="M6:N6"/>
    <mergeCell ref="O6:Q6"/>
    <mergeCell ref="B3:B4"/>
    <mergeCell ref="O3:Q4"/>
    <mergeCell ref="C3:C4"/>
    <mergeCell ref="D3:D4"/>
    <mergeCell ref="E3:E4"/>
    <mergeCell ref="F3:F4"/>
    <mergeCell ref="G3:G4"/>
    <mergeCell ref="H3:H4"/>
    <mergeCell ref="I3:I4"/>
    <mergeCell ref="J3:K4"/>
    <mergeCell ref="L3:L4"/>
    <mergeCell ref="M3:N4"/>
  </mergeCells>
  <pageMargins left="0.7" right="0.7" top="0.75" bottom="0.75" header="0.3" footer="0.3"/>
  <pageSetup orientation="portrait"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45628-1285-4451-8D7E-F343609171AC}">
  <sheetPr codeName="Sheet24"/>
  <dimension ref="A2:O188"/>
  <sheetViews>
    <sheetView view="pageBreakPreview" zoomScaleSheetLayoutView="100" workbookViewId="0">
      <pane ySplit="55" topLeftCell="A56" activePane="bottomLeft" state="frozen"/>
      <selection activeCell="D38" sqref="D38:F38"/>
      <selection pane="bottomLeft" activeCell="H151" sqref="H151"/>
    </sheetView>
  </sheetViews>
  <sheetFormatPr defaultColWidth="8.85546875" defaultRowHeight="12.75" outlineLevelRow="2"/>
  <cols>
    <col min="1" max="1" width="9.5703125" style="7" customWidth="1"/>
    <col min="2" max="2" width="47" style="6" customWidth="1"/>
    <col min="3" max="3" width="25.42578125" style="6" customWidth="1"/>
    <col min="4" max="4" width="28.5703125" style="6" customWidth="1"/>
    <col min="5" max="5" width="27" style="6" customWidth="1"/>
    <col min="6" max="6" width="27.5703125" style="3875" bestFit="1" customWidth="1"/>
    <col min="7" max="7" width="25" style="3875" customWidth="1"/>
    <col min="8" max="8" width="20" style="6" customWidth="1"/>
    <col min="9" max="9" width="43.85546875" style="6" customWidth="1"/>
    <col min="10" max="10" width="23" style="7" customWidth="1"/>
    <col min="11" max="11" width="18" style="7" customWidth="1"/>
    <col min="12" max="12" width="19" style="7" customWidth="1"/>
    <col min="13" max="13" width="15.85546875" style="7" customWidth="1"/>
    <col min="14" max="14" width="18" style="7" customWidth="1"/>
    <col min="15" max="15" width="17.85546875" style="7" customWidth="1"/>
    <col min="16" max="16384" width="8.85546875" style="7"/>
  </cols>
  <sheetData>
    <row r="2" spans="1:10">
      <c r="A2" s="9" t="str">
        <f>'Data Input'!A1&amp;" - "&amp;'Data Input'!B1</f>
        <v>PROGRAMME: - MARINA VILLAGE (PROGRAMME 1_TRIPLE BAY)</v>
      </c>
    </row>
    <row r="3" spans="1:10">
      <c r="A3" s="9" t="str">
        <f>'Data Input'!A2&amp;" - "&amp;'Data Input'!B2</f>
        <v>PROGRAMME CODE: - 1TB01003</v>
      </c>
    </row>
    <row r="4" spans="1:10">
      <c r="A4" s="9" t="str">
        <f>'Data Input'!A3&amp;" - "&amp;'Data Input'!B3</f>
        <v>ASSET NAME: - AMAALA YACHT CLUB</v>
      </c>
    </row>
    <row r="5" spans="1:10" s="1042" customFormat="1" ht="15">
      <c r="A5" s="9" t="str">
        <f>'Data Input'!A4&amp;" - "&amp;'Data Input'!B4</f>
        <v>ASSET CODE: - 1TB01003.01</v>
      </c>
      <c r="B5" s="2193"/>
      <c r="C5" s="2193"/>
      <c r="D5" s="1043"/>
      <c r="E5" s="1043"/>
      <c r="F5" s="3876"/>
      <c r="G5" s="3876"/>
      <c r="H5" s="2200"/>
      <c r="I5" s="1044"/>
      <c r="J5" s="2193"/>
    </row>
    <row r="6" spans="1:10" s="1042" customFormat="1" ht="15">
      <c r="A6" s="9" t="str">
        <f>'Data Input'!A7&amp;" - "&amp;'Data Input'!B7</f>
        <v>REPORT NO: - MONTHLY REPORT NO. 49</v>
      </c>
      <c r="B6" s="2193"/>
      <c r="C6" s="2193"/>
      <c r="D6" s="1045"/>
      <c r="E6" s="2146"/>
      <c r="F6" s="3876"/>
      <c r="G6" s="3876"/>
      <c r="H6" s="2200"/>
      <c r="I6" s="548"/>
      <c r="J6" s="2193"/>
    </row>
    <row r="7" spans="1:10" s="1042" customFormat="1" ht="15">
      <c r="A7" s="9" t="str">
        <f>'Data Input'!A8&amp;" - "&amp;'Data Input'!B8</f>
        <v>REPORTING PERIOD: - OCTOBER 2026</v>
      </c>
      <c r="B7" s="2193"/>
      <c r="C7" s="2193"/>
      <c r="D7" s="544"/>
      <c r="E7" s="544"/>
      <c r="F7" s="3877"/>
      <c r="G7" s="3878"/>
      <c r="H7" s="1370"/>
      <c r="I7" s="1370"/>
      <c r="J7" s="2193"/>
    </row>
    <row r="8" spans="1:10" s="1042" customFormat="1" ht="15" hidden="1" outlineLevel="1">
      <c r="A8" s="2193"/>
      <c r="B8" s="2200"/>
      <c r="C8" s="2200"/>
      <c r="D8" s="2200"/>
      <c r="E8" s="2200"/>
      <c r="F8" s="3876"/>
      <c r="G8" s="3876"/>
      <c r="H8" s="2200"/>
      <c r="I8" s="2200"/>
      <c r="J8" s="2193"/>
    </row>
    <row r="9" spans="1:10" s="1042" customFormat="1" ht="30" hidden="1" outlineLevel="1">
      <c r="A9" s="2193"/>
      <c r="B9" s="1904"/>
      <c r="C9" s="1904"/>
      <c r="D9" s="2200" t="s">
        <v>1822</v>
      </c>
      <c r="E9" s="2200"/>
      <c r="F9" s="3876"/>
      <c r="G9" s="3876"/>
      <c r="H9" s="2200"/>
      <c r="I9" s="2200"/>
      <c r="J9" s="2193"/>
    </row>
    <row r="10" spans="1:10" s="9" customFormat="1" ht="13.5" hidden="1" outlineLevel="1" thickBot="1">
      <c r="B10" s="7"/>
      <c r="C10" s="7"/>
      <c r="D10" s="7"/>
      <c r="E10" s="8"/>
      <c r="F10" s="3879"/>
      <c r="G10" s="3879"/>
      <c r="H10" s="8"/>
      <c r="I10" s="8"/>
    </row>
    <row r="11" spans="1:10" s="10" customFormat="1" ht="38.25" hidden="1" customHeight="1" outlineLevel="1" thickBot="1">
      <c r="A11" s="798" t="s">
        <v>1406</v>
      </c>
      <c r="B11" s="1046" t="s">
        <v>1823</v>
      </c>
      <c r="C11" s="1046"/>
      <c r="D11" s="1046" t="s">
        <v>1824</v>
      </c>
      <c r="E11" s="1046" t="s">
        <v>1825</v>
      </c>
      <c r="F11" s="3880" t="s">
        <v>1826</v>
      </c>
      <c r="G11" s="3881" t="s">
        <v>1827</v>
      </c>
      <c r="H11" s="793" t="s">
        <v>1479</v>
      </c>
      <c r="I11" s="863" t="s">
        <v>1828</v>
      </c>
    </row>
    <row r="12" spans="1:10" s="10" customFormat="1" ht="15" hidden="1" customHeight="1" outlineLevel="1">
      <c r="A12" s="1190"/>
      <c r="B12" s="1191"/>
      <c r="C12" s="1191"/>
      <c r="D12" s="1192"/>
      <c r="E12" s="1192"/>
      <c r="F12" s="3882"/>
      <c r="G12" s="3883"/>
      <c r="H12" s="1193"/>
      <c r="I12" s="1194"/>
    </row>
    <row r="13" spans="1:10" s="10" customFormat="1" ht="27.75" hidden="1" customHeight="1" outlineLevel="1">
      <c r="A13" s="801">
        <v>1</v>
      </c>
      <c r="B13" s="1195" t="s">
        <v>1829</v>
      </c>
      <c r="C13" s="1195"/>
      <c r="D13" s="1189" t="s">
        <v>1830</v>
      </c>
      <c r="E13" s="1189" t="s">
        <v>1831</v>
      </c>
      <c r="F13" s="3884">
        <v>-6199291.0199999996</v>
      </c>
      <c r="G13" s="3885">
        <v>0</v>
      </c>
      <c r="H13" s="1187">
        <v>44792</v>
      </c>
      <c r="I13" s="1196" t="s">
        <v>90</v>
      </c>
    </row>
    <row r="14" spans="1:10" s="10" customFormat="1" ht="27.75" hidden="1" customHeight="1" outlineLevel="1">
      <c r="A14" s="801">
        <v>2</v>
      </c>
      <c r="B14" s="1497" t="s">
        <v>1832</v>
      </c>
      <c r="C14" s="1497"/>
      <c r="D14" s="1189" t="s">
        <v>147</v>
      </c>
      <c r="E14" s="1189" t="s">
        <v>214</v>
      </c>
      <c r="F14" s="3884">
        <v>-2719369.0417407998</v>
      </c>
      <c r="G14" s="3886">
        <f>-F14</f>
        <v>2719369.0417407998</v>
      </c>
      <c r="H14" s="1187">
        <v>44852</v>
      </c>
      <c r="I14" s="1196" t="s">
        <v>90</v>
      </c>
      <c r="J14" s="10">
        <v>1</v>
      </c>
    </row>
    <row r="15" spans="1:10" s="10" customFormat="1" ht="27.75" hidden="1" customHeight="1" outlineLevel="1">
      <c r="A15" s="801">
        <v>3</v>
      </c>
      <c r="B15" s="1497" t="s">
        <v>1833</v>
      </c>
      <c r="C15" s="1497"/>
      <c r="D15" s="1189" t="s">
        <v>221</v>
      </c>
      <c r="E15" s="1189" t="s">
        <v>628</v>
      </c>
      <c r="F15" s="3887"/>
      <c r="G15" s="3886">
        <f>70957643.3969909</f>
        <v>70957643.396990895</v>
      </c>
      <c r="H15" s="2078">
        <v>44914</v>
      </c>
      <c r="I15" s="1196" t="s">
        <v>110</v>
      </c>
    </row>
    <row r="16" spans="1:10" s="10" customFormat="1" ht="27.75" hidden="1" customHeight="1" outlineLevel="1">
      <c r="A16" s="801">
        <v>4</v>
      </c>
      <c r="B16" s="1497" t="s">
        <v>1834</v>
      </c>
      <c r="C16" s="1497"/>
      <c r="D16" s="1189" t="s">
        <v>221</v>
      </c>
      <c r="E16" s="1189" t="s">
        <v>632</v>
      </c>
      <c r="F16" s="3888"/>
      <c r="G16" s="3886">
        <f>27815335.5980162</f>
        <v>27815335.598016199</v>
      </c>
      <c r="H16" s="2078">
        <v>44914</v>
      </c>
      <c r="I16" s="1196" t="s">
        <v>110</v>
      </c>
    </row>
    <row r="17" spans="1:10" ht="27.75" hidden="1" customHeight="1" outlineLevel="1">
      <c r="A17" s="801">
        <v>5</v>
      </c>
      <c r="B17" s="1497" t="s">
        <v>1835</v>
      </c>
      <c r="C17" s="1497"/>
      <c r="D17" s="1189" t="s">
        <v>221</v>
      </c>
      <c r="E17" s="1189" t="s">
        <v>635</v>
      </c>
      <c r="F17" s="3889"/>
      <c r="G17" s="3886">
        <f>4975465.60888315</f>
        <v>4975465.6088831499</v>
      </c>
      <c r="H17" s="2078">
        <v>44914</v>
      </c>
      <c r="I17" s="1196" t="s">
        <v>110</v>
      </c>
    </row>
    <row r="18" spans="1:10" ht="27.75" hidden="1" customHeight="1" outlineLevel="1">
      <c r="A18" s="801">
        <v>6</v>
      </c>
      <c r="B18" s="797" t="s">
        <v>1836</v>
      </c>
      <c r="C18" s="2924"/>
      <c r="D18" s="1189" t="s">
        <v>632</v>
      </c>
      <c r="E18" s="1189" t="s">
        <v>628</v>
      </c>
      <c r="F18" s="3886">
        <f>-12877723.65</f>
        <v>-12877723.65</v>
      </c>
      <c r="G18" s="3886">
        <f>-F18</f>
        <v>12877723.65</v>
      </c>
      <c r="H18" s="1187">
        <v>44914</v>
      </c>
      <c r="I18" s="1196" t="s">
        <v>110</v>
      </c>
    </row>
    <row r="19" spans="1:10" ht="27.75" hidden="1" customHeight="1" outlineLevel="1">
      <c r="A19" s="801">
        <v>7</v>
      </c>
      <c r="B19" s="797" t="s">
        <v>1837</v>
      </c>
      <c r="C19" s="2924"/>
      <c r="D19" s="1189" t="s">
        <v>632</v>
      </c>
      <c r="E19" s="1189" t="s">
        <v>635</v>
      </c>
      <c r="F19" s="3885">
        <f>-2819592.31</f>
        <v>-2819592.31</v>
      </c>
      <c r="G19" s="3886">
        <f>-F19</f>
        <v>2819592.31</v>
      </c>
      <c r="H19" s="1187">
        <v>44914</v>
      </c>
      <c r="I19" s="1196" t="s">
        <v>110</v>
      </c>
    </row>
    <row r="20" spans="1:10" ht="27.75" hidden="1" customHeight="1" outlineLevel="1">
      <c r="A20" s="801">
        <v>8</v>
      </c>
      <c r="B20" s="797" t="s">
        <v>1838</v>
      </c>
      <c r="C20" s="2924"/>
      <c r="D20" s="1189" t="s">
        <v>632</v>
      </c>
      <c r="E20" s="1189" t="s">
        <v>214</v>
      </c>
      <c r="F20" s="3885">
        <f>-12545905.62</f>
        <v>-12545905.619999999</v>
      </c>
      <c r="G20" s="3886">
        <f>-F20</f>
        <v>12545905.619999999</v>
      </c>
      <c r="H20" s="1187">
        <v>44914</v>
      </c>
      <c r="I20" s="1196" t="s">
        <v>110</v>
      </c>
      <c r="J20" s="7">
        <v>1</v>
      </c>
    </row>
    <row r="21" spans="1:10" ht="9" hidden="1" customHeight="1" outlineLevel="1">
      <c r="A21" s="1935"/>
      <c r="B21" s="1936"/>
      <c r="C21" s="2925"/>
      <c r="D21" s="1937"/>
      <c r="E21" s="1937"/>
      <c r="F21" s="3890"/>
      <c r="G21" s="3890"/>
      <c r="H21" s="1938"/>
      <c r="I21" s="1939"/>
    </row>
    <row r="22" spans="1:10" ht="27.75" hidden="1" customHeight="1" outlineLevel="1">
      <c r="A22" s="801">
        <v>9</v>
      </c>
      <c r="B22" s="797" t="s">
        <v>1839</v>
      </c>
      <c r="C22" s="2924"/>
      <c r="D22" s="1189" t="s">
        <v>224</v>
      </c>
      <c r="E22" s="1189" t="s">
        <v>139</v>
      </c>
      <c r="F22" s="3886">
        <v>-13059930</v>
      </c>
      <c r="G22" s="3886">
        <f>-F22</f>
        <v>13059930</v>
      </c>
      <c r="H22" s="1187">
        <v>44952</v>
      </c>
      <c r="I22" s="1196" t="s">
        <v>117</v>
      </c>
    </row>
    <row r="23" spans="1:10" ht="27.75" hidden="1" customHeight="1" outlineLevel="1">
      <c r="A23" s="801">
        <v>10</v>
      </c>
      <c r="B23" s="797" t="s">
        <v>1840</v>
      </c>
      <c r="C23" s="797"/>
      <c r="D23" s="1940" t="s">
        <v>225</v>
      </c>
      <c r="E23" s="1189" t="s">
        <v>154</v>
      </c>
      <c r="F23" s="3886">
        <v>-172368.42</v>
      </c>
      <c r="G23" s="3886">
        <v>172368.42</v>
      </c>
      <c r="H23" s="1187">
        <v>44946</v>
      </c>
      <c r="I23" s="1196" t="s">
        <v>117</v>
      </c>
    </row>
    <row r="24" spans="1:10" ht="27.75" hidden="1" customHeight="1" outlineLevel="1">
      <c r="A24" s="801">
        <v>11</v>
      </c>
      <c r="B24" s="797" t="s">
        <v>1841</v>
      </c>
      <c r="C24" s="797"/>
      <c r="D24" s="1940" t="s">
        <v>225</v>
      </c>
      <c r="E24" s="1189" t="s">
        <v>134</v>
      </c>
      <c r="F24" s="3886">
        <v>-106231.5</v>
      </c>
      <c r="G24" s="3886">
        <v>106231.5</v>
      </c>
      <c r="H24" s="1187">
        <v>44952</v>
      </c>
      <c r="I24" s="1196" t="s">
        <v>117</v>
      </c>
    </row>
    <row r="25" spans="1:10" ht="9" hidden="1" customHeight="1" outlineLevel="1">
      <c r="A25" s="1935"/>
      <c r="B25" s="1936"/>
      <c r="C25" s="2925"/>
      <c r="D25" s="1937"/>
      <c r="E25" s="1937"/>
      <c r="F25" s="3890"/>
      <c r="G25" s="3890">
        <v>33</v>
      </c>
      <c r="H25" s="1938"/>
      <c r="I25" s="1939"/>
    </row>
    <row r="26" spans="1:10" ht="25.5" hidden="1" outlineLevel="1">
      <c r="A26" s="801">
        <v>12</v>
      </c>
      <c r="B26" s="797" t="s">
        <v>1842</v>
      </c>
      <c r="C26" s="797"/>
      <c r="D26" s="1940" t="s">
        <v>233</v>
      </c>
      <c r="E26" s="1189" t="s">
        <v>176</v>
      </c>
      <c r="F26" s="3886">
        <v>-834298.55</v>
      </c>
      <c r="G26" s="3886">
        <v>35</v>
      </c>
      <c r="H26" s="1187">
        <v>44952</v>
      </c>
      <c r="I26" s="1196" t="s">
        <v>124</v>
      </c>
    </row>
    <row r="27" spans="1:10" ht="9" hidden="1" customHeight="1" outlineLevel="1">
      <c r="A27" s="1935"/>
      <c r="B27" s="1936"/>
      <c r="C27" s="2925"/>
      <c r="D27" s="1937"/>
      <c r="E27" s="1937"/>
      <c r="F27" s="3890"/>
      <c r="G27" s="3890"/>
      <c r="H27" s="1938"/>
      <c r="I27" s="1939"/>
    </row>
    <row r="28" spans="1:10" ht="25.5" hidden="1" outlineLevel="1">
      <c r="A28" s="801">
        <v>13</v>
      </c>
      <c r="B28" s="1497" t="s">
        <v>1843</v>
      </c>
      <c r="C28" s="1497"/>
      <c r="D28" s="1189" t="s">
        <v>221</v>
      </c>
      <c r="E28" s="1189" t="s">
        <v>180</v>
      </c>
      <c r="F28" s="3889"/>
      <c r="G28" s="3886">
        <f>521622.03</f>
        <v>521622.03</v>
      </c>
      <c r="H28" s="2078">
        <v>45021</v>
      </c>
      <c r="I28" s="1196" t="s">
        <v>137</v>
      </c>
    </row>
    <row r="29" spans="1:10" ht="12" hidden="1" customHeight="1" outlineLevel="1">
      <c r="A29" s="1935"/>
      <c r="B29" s="1936"/>
      <c r="C29" s="2925"/>
      <c r="D29" s="1937"/>
      <c r="E29" s="1937"/>
      <c r="F29" s="3890"/>
      <c r="G29" s="3890"/>
      <c r="H29" s="1938"/>
      <c r="I29" s="1939"/>
    </row>
    <row r="30" spans="1:10" ht="25.5" hidden="1" outlineLevel="1">
      <c r="A30" s="801">
        <v>13</v>
      </c>
      <c r="B30" s="797" t="s">
        <v>2016</v>
      </c>
      <c r="C30" s="797"/>
      <c r="D30" s="1940" t="s">
        <v>225</v>
      </c>
      <c r="E30" s="1189" t="s">
        <v>2003</v>
      </c>
      <c r="F30" s="3889">
        <v>-127291.9</v>
      </c>
      <c r="G30" s="3886">
        <v>127291.9</v>
      </c>
      <c r="H30" s="2078">
        <v>45052</v>
      </c>
      <c r="I30" s="1196" t="s">
        <v>142</v>
      </c>
    </row>
    <row r="31" spans="1:10" ht="25.5" hidden="1" outlineLevel="1">
      <c r="A31" s="801">
        <v>14</v>
      </c>
      <c r="B31" s="797" t="s">
        <v>2004</v>
      </c>
      <c r="C31" s="2924"/>
      <c r="D31" s="1189" t="s">
        <v>189</v>
      </c>
      <c r="E31" s="1189" t="s">
        <v>216</v>
      </c>
      <c r="F31" s="3885">
        <v>-1212511</v>
      </c>
      <c r="G31" s="3886">
        <f>-F31</f>
        <v>1212511</v>
      </c>
      <c r="H31" s="1187">
        <v>45071</v>
      </c>
      <c r="I31" s="1196" t="s">
        <v>142</v>
      </c>
    </row>
    <row r="32" spans="1:10" ht="12" hidden="1" customHeight="1" outlineLevel="1">
      <c r="A32" s="1935"/>
      <c r="B32" s="1936"/>
      <c r="C32" s="2925"/>
      <c r="D32" s="1937"/>
      <c r="E32" s="1937"/>
      <c r="F32" s="3890"/>
      <c r="G32" s="3890"/>
      <c r="H32" s="1938"/>
      <c r="I32" s="1939"/>
    </row>
    <row r="33" spans="1:15" ht="28.5" hidden="1" customHeight="1" outlineLevel="1">
      <c r="A33" s="801">
        <v>14</v>
      </c>
      <c r="B33" s="797" t="s">
        <v>2176</v>
      </c>
      <c r="C33" s="2924"/>
      <c r="D33" s="1189" t="s">
        <v>225</v>
      </c>
      <c r="E33" s="1189" t="s">
        <v>2173</v>
      </c>
      <c r="F33" s="3886">
        <v>-45677.599999999999</v>
      </c>
      <c r="G33" s="3886">
        <f>-F33</f>
        <v>45677.599999999999</v>
      </c>
      <c r="H33" s="1187"/>
      <c r="I33" s="2003" t="s">
        <v>2175</v>
      </c>
      <c r="M33" s="6" t="s">
        <v>2206</v>
      </c>
      <c r="N33" s="6" t="s">
        <v>2207</v>
      </c>
      <c r="O33" s="6" t="s">
        <v>2208</v>
      </c>
    </row>
    <row r="34" spans="1:15" ht="48.75" hidden="1" customHeight="1" outlineLevel="1">
      <c r="A34" s="801">
        <v>15</v>
      </c>
      <c r="B34" s="1195" t="s">
        <v>2168</v>
      </c>
      <c r="C34" s="1195"/>
      <c r="D34" s="1189" t="s">
        <v>2169</v>
      </c>
      <c r="E34" s="1189" t="s">
        <v>233</v>
      </c>
      <c r="F34" s="3889">
        <f>-(G28+G17+G16+G15)</f>
        <v>-104270066.63389024</v>
      </c>
      <c r="G34" s="3886">
        <f>93913586.15+13721765.22+4695209</f>
        <v>112330560.37</v>
      </c>
      <c r="H34" s="1187">
        <v>45125</v>
      </c>
      <c r="I34" s="2003" t="s">
        <v>2213</v>
      </c>
      <c r="L34" s="2040">
        <f>93913586.15+13721765.22+4695209</f>
        <v>112330560.37</v>
      </c>
      <c r="M34" s="2040">
        <f>93913586.15</f>
        <v>93913586.150000006</v>
      </c>
      <c r="N34" s="2040">
        <f>13721765.22</f>
        <v>13721765.220000001</v>
      </c>
      <c r="O34" s="2040">
        <f>4695209</f>
        <v>4695209</v>
      </c>
    </row>
    <row r="35" spans="1:15" ht="28.5" hidden="1" customHeight="1" outlineLevel="1">
      <c r="A35" s="801">
        <v>16</v>
      </c>
      <c r="B35" s="1195" t="s">
        <v>2168</v>
      </c>
      <c r="C35" s="1195"/>
      <c r="D35" s="1189" t="s">
        <v>2169</v>
      </c>
      <c r="E35" s="1189" t="s">
        <v>234</v>
      </c>
      <c r="F35" s="3886">
        <v>0</v>
      </c>
      <c r="G35" s="3886">
        <f>38306169-4695209</f>
        <v>33610960</v>
      </c>
      <c r="H35" s="1187">
        <v>45125</v>
      </c>
      <c r="I35" s="2003" t="s">
        <v>2185</v>
      </c>
      <c r="L35" s="2040">
        <f>38306169-4695209</f>
        <v>33610960</v>
      </c>
      <c r="M35" s="2040">
        <f>38306169</f>
        <v>38306169</v>
      </c>
      <c r="N35" s="2040">
        <f>-4695209</f>
        <v>-4695209</v>
      </c>
    </row>
    <row r="36" spans="1:15" hidden="1" outlineLevel="2">
      <c r="A36" s="801"/>
      <c r="B36" s="1497"/>
      <c r="C36" s="1497"/>
      <c r="D36" s="1189"/>
      <c r="E36" s="1189"/>
      <c r="F36" s="3889"/>
      <c r="G36" s="3889"/>
      <c r="H36" s="2078"/>
      <c r="I36" s="1196"/>
    </row>
    <row r="37" spans="1:15" hidden="1" outlineLevel="2">
      <c r="A37" s="801"/>
      <c r="B37" s="1497" t="s">
        <v>2214</v>
      </c>
      <c r="C37" s="1497"/>
      <c r="D37" s="1940" t="s">
        <v>233</v>
      </c>
      <c r="E37" s="1189" t="s">
        <v>183</v>
      </c>
      <c r="F37" s="3889">
        <v>-12527902.4151367</v>
      </c>
      <c r="G37" s="3889">
        <f>-F37</f>
        <v>12527902.4151367</v>
      </c>
      <c r="H37" s="2078"/>
      <c r="I37" s="1196"/>
    </row>
    <row r="38" spans="1:15" hidden="1" outlineLevel="2">
      <c r="A38" s="801"/>
      <c r="B38" s="1497" t="s">
        <v>2215</v>
      </c>
      <c r="C38" s="1497"/>
      <c r="D38" s="1940" t="s">
        <v>233</v>
      </c>
      <c r="E38" s="1189" t="s">
        <v>186</v>
      </c>
      <c r="F38" s="3885">
        <v>-29047396.4327139</v>
      </c>
      <c r="G38" s="3885">
        <f>-F38</f>
        <v>29047396.4327139</v>
      </c>
      <c r="H38" s="1187"/>
      <c r="I38" s="1196"/>
    </row>
    <row r="39" spans="1:15" hidden="1" outlineLevel="2">
      <c r="A39" s="801"/>
      <c r="B39" s="797"/>
      <c r="C39" s="797"/>
      <c r="D39" s="1940"/>
      <c r="E39" s="1189"/>
      <c r="F39" s="3885"/>
      <c r="G39" s="3885"/>
      <c r="H39" s="1187"/>
      <c r="I39" s="1196"/>
    </row>
    <row r="40" spans="1:15" hidden="1" outlineLevel="2">
      <c r="A40" s="801"/>
      <c r="B40" s="797"/>
      <c r="C40" s="797"/>
      <c r="D40" s="1940"/>
      <c r="E40" s="1189"/>
      <c r="F40" s="3885"/>
      <c r="G40" s="3885"/>
      <c r="H40" s="1187"/>
      <c r="I40" s="1196"/>
    </row>
    <row r="41" spans="1:15" ht="10.5" hidden="1" customHeight="1" outlineLevel="1" thickBot="1">
      <c r="A41" s="1047"/>
      <c r="B41" s="797"/>
      <c r="C41" s="797"/>
      <c r="D41" s="2780"/>
      <c r="E41" s="2780"/>
      <c r="F41" s="3891"/>
      <c r="G41" s="3891"/>
      <c r="H41" s="1188"/>
      <c r="I41" s="867"/>
      <c r="L41" s="2920">
        <f>+L35+L34</f>
        <v>145941520.37</v>
      </c>
      <c r="M41" s="6" t="s">
        <v>2210</v>
      </c>
      <c r="N41" s="6" t="s">
        <v>2209</v>
      </c>
    </row>
    <row r="42" spans="1:15" s="9" customFormat="1" ht="21" hidden="1" customHeight="1" outlineLevel="1" thickBot="1">
      <c r="A42" s="802"/>
      <c r="B42" s="1048" t="s">
        <v>1414</v>
      </c>
      <c r="C42" s="2926"/>
      <c r="D42" s="1049"/>
      <c r="E42" s="1049"/>
      <c r="F42" s="3892">
        <f>SUM(F13:F41)</f>
        <v>-198565556.09348163</v>
      </c>
      <c r="G42" s="3892">
        <f>SUM(G13:G41)</f>
        <v>337473554.89348167</v>
      </c>
      <c r="H42" s="1051"/>
      <c r="I42" s="1052"/>
    </row>
    <row r="43" spans="1:15" hidden="1" outlineLevel="1">
      <c r="G43" s="3875">
        <f>+G42+F42</f>
        <v>138907998.80000004</v>
      </c>
      <c r="J43" s="2921" t="s">
        <v>2211</v>
      </c>
      <c r="K43" s="2921"/>
      <c r="L43" s="2040">
        <v>-6199291.0199999996</v>
      </c>
      <c r="M43" s="2919">
        <f>SUM(M34:M42)</f>
        <v>132219755.15000001</v>
      </c>
    </row>
    <row r="44" spans="1:15" hidden="1" outlineLevel="1">
      <c r="G44" s="3893">
        <f>+G28+G17+G16+G15</f>
        <v>104270066.63389024</v>
      </c>
      <c r="J44" s="2921" t="s">
        <v>2212</v>
      </c>
      <c r="K44" s="2921"/>
      <c r="L44" s="2920">
        <f>+L43+L41</f>
        <v>139742229.34999999</v>
      </c>
    </row>
    <row r="45" spans="1:15" hidden="1" outlineLevel="1"/>
    <row r="46" spans="1:15" hidden="1" outlineLevel="1">
      <c r="G46" s="3875">
        <f>SUM(G36:G39)</f>
        <v>41575298.847850598</v>
      </c>
    </row>
    <row r="47" spans="1:15" s="2922" customFormat="1" hidden="1" outlineLevel="1">
      <c r="B47" s="2923"/>
      <c r="C47" s="2923"/>
      <c r="D47" s="2923"/>
      <c r="E47" s="2923"/>
      <c r="F47" s="3894"/>
      <c r="G47" s="3894"/>
      <c r="H47" s="2923"/>
      <c r="I47" s="2923"/>
    </row>
    <row r="48" spans="1:15" hidden="1" outlineLevel="1"/>
    <row r="49" spans="1:13" hidden="1" outlineLevel="1">
      <c r="A49" s="801"/>
      <c r="B49" s="1497" t="s">
        <v>2170</v>
      </c>
      <c r="C49" s="1497"/>
      <c r="D49" s="1189" t="s">
        <v>225</v>
      </c>
      <c r="E49" s="1189" t="s">
        <v>223</v>
      </c>
      <c r="F49" s="3889">
        <v>-6277273.4199999999</v>
      </c>
      <c r="G49" s="3889">
        <v>0</v>
      </c>
      <c r="H49" s="2078"/>
      <c r="I49" s="1196"/>
    </row>
    <row r="50" spans="1:13" hidden="1" outlineLevel="1">
      <c r="A50" s="801"/>
      <c r="B50" s="1497" t="s">
        <v>2170</v>
      </c>
      <c r="C50" s="1497"/>
      <c r="D50" s="1189" t="s">
        <v>233</v>
      </c>
      <c r="E50" s="1189" t="s">
        <v>2171</v>
      </c>
      <c r="F50" s="3889">
        <v>-834298.55</v>
      </c>
      <c r="G50" s="3889">
        <v>0</v>
      </c>
      <c r="H50" s="2078"/>
      <c r="I50" s="1196"/>
    </row>
    <row r="51" spans="1:13" hidden="1" outlineLevel="1"/>
    <row r="52" spans="1:13" hidden="1" outlineLevel="1"/>
    <row r="53" spans="1:13" hidden="1" outlineLevel="1">
      <c r="A53" s="2931" t="s">
        <v>1844</v>
      </c>
      <c r="B53" s="2932"/>
      <c r="C53" s="2932"/>
      <c r="D53" s="2932"/>
      <c r="E53" s="2932"/>
      <c r="F53" s="3895"/>
      <c r="G53" s="3895"/>
      <c r="H53" s="2932"/>
      <c r="I53" s="2932"/>
    </row>
    <row r="54" spans="1:13" ht="9.75" customHeight="1" collapsed="1" thickBot="1"/>
    <row r="55" spans="1:13" s="9" customFormat="1" ht="28.5" customHeight="1" thickBot="1">
      <c r="A55" s="2938" t="s">
        <v>1406</v>
      </c>
      <c r="B55" s="2954" t="s">
        <v>1823</v>
      </c>
      <c r="C55" s="2954" t="s">
        <v>2268</v>
      </c>
      <c r="D55" s="2954" t="s">
        <v>1824</v>
      </c>
      <c r="E55" s="2954" t="s">
        <v>1825</v>
      </c>
      <c r="F55" s="3896" t="s">
        <v>1826</v>
      </c>
      <c r="G55" s="3897" t="s">
        <v>1827</v>
      </c>
      <c r="H55" s="2955" t="s">
        <v>1479</v>
      </c>
      <c r="I55" s="2955" t="s">
        <v>1828</v>
      </c>
    </row>
    <row r="56" spans="1:13" s="10" customFormat="1" ht="33" customHeight="1">
      <c r="A56" s="2941">
        <v>1</v>
      </c>
      <c r="B56" s="2942" t="s">
        <v>1829</v>
      </c>
      <c r="C56" s="2943" t="s">
        <v>2219</v>
      </c>
      <c r="D56" s="2118" t="s">
        <v>233</v>
      </c>
      <c r="E56" s="2944" t="s">
        <v>1831</v>
      </c>
      <c r="F56" s="3898">
        <v>-6199291.0199999996</v>
      </c>
      <c r="G56" s="3899">
        <v>0</v>
      </c>
      <c r="H56" s="2949">
        <v>44783</v>
      </c>
      <c r="I56" s="1193" t="s">
        <v>90</v>
      </c>
      <c r="J56" s="10" t="s">
        <v>2220</v>
      </c>
      <c r="L56" s="10">
        <v>243418954.19999999</v>
      </c>
      <c r="M56" s="10">
        <v>221633231.5</v>
      </c>
    </row>
    <row r="57" spans="1:13" s="10" customFormat="1" ht="8.25" customHeight="1">
      <c r="A57" s="801"/>
      <c r="B57" s="2946"/>
      <c r="C57" s="2945"/>
      <c r="D57" s="2118"/>
      <c r="E57" s="2118"/>
      <c r="F57" s="3888"/>
      <c r="G57" s="3889"/>
      <c r="H57" s="2951"/>
      <c r="I57" s="2950"/>
    </row>
    <row r="58" spans="1:13" ht="30.75" customHeight="1">
      <c r="A58" s="801">
        <v>2</v>
      </c>
      <c r="B58" s="2780" t="s">
        <v>1840</v>
      </c>
      <c r="C58" s="2780" t="s">
        <v>2216</v>
      </c>
      <c r="D58" s="1940" t="s">
        <v>225</v>
      </c>
      <c r="E58" s="2118" t="s">
        <v>154</v>
      </c>
      <c r="F58" s="3889">
        <v>-168421.05</v>
      </c>
      <c r="G58" s="3889">
        <v>168421.05</v>
      </c>
      <c r="H58" s="2951">
        <v>44944</v>
      </c>
      <c r="I58" s="2950" t="s">
        <v>117</v>
      </c>
    </row>
    <row r="59" spans="1:13" ht="30.75" customHeight="1">
      <c r="A59" s="801">
        <v>3</v>
      </c>
      <c r="B59" s="2780" t="s">
        <v>1840</v>
      </c>
      <c r="C59" s="2780" t="s">
        <v>2217</v>
      </c>
      <c r="D59" s="1940" t="s">
        <v>225</v>
      </c>
      <c r="E59" s="2118" t="s">
        <v>2218</v>
      </c>
      <c r="F59" s="3889">
        <v>-3947.37</v>
      </c>
      <c r="G59" s="3889">
        <v>3947.37</v>
      </c>
      <c r="H59" s="2951">
        <v>44948</v>
      </c>
      <c r="I59" s="2950" t="s">
        <v>117</v>
      </c>
    </row>
    <row r="60" spans="1:13" ht="30.75" customHeight="1">
      <c r="A60" s="801">
        <v>4</v>
      </c>
      <c r="B60" s="2780" t="s">
        <v>2226</v>
      </c>
      <c r="C60" s="2780" t="s">
        <v>2227</v>
      </c>
      <c r="D60" s="2118" t="s">
        <v>224</v>
      </c>
      <c r="E60" s="2118" t="s">
        <v>225</v>
      </c>
      <c r="F60" s="3889">
        <v>-172368.42</v>
      </c>
      <c r="G60" s="3889">
        <v>172368.42</v>
      </c>
      <c r="H60" s="2951">
        <v>44952</v>
      </c>
      <c r="I60" s="2950" t="s">
        <v>117</v>
      </c>
    </row>
    <row r="61" spans="1:13" s="10" customFormat="1" ht="9.75" customHeight="1">
      <c r="A61" s="801"/>
      <c r="B61" s="2946"/>
      <c r="C61" s="2945"/>
      <c r="D61" s="2118"/>
      <c r="E61" s="2118"/>
      <c r="F61" s="3888"/>
      <c r="G61" s="3889"/>
      <c r="H61" s="2951"/>
      <c r="I61" s="2950"/>
    </row>
    <row r="62" spans="1:13" ht="30.75" customHeight="1">
      <c r="A62" s="801">
        <v>5</v>
      </c>
      <c r="B62" s="2780" t="s">
        <v>1847</v>
      </c>
      <c r="C62" s="2780" t="s">
        <v>2223</v>
      </c>
      <c r="D62" s="2118" t="s">
        <v>233</v>
      </c>
      <c r="E62" s="2118" t="s">
        <v>160</v>
      </c>
      <c r="F62" s="3889">
        <v>-215433940.18000001</v>
      </c>
      <c r="G62" s="3889">
        <v>215433940.18000001</v>
      </c>
      <c r="H62" s="2951">
        <v>44581</v>
      </c>
      <c r="I62" s="2950" t="s">
        <v>117</v>
      </c>
      <c r="J62" s="2934">
        <f>+G62+G63+G64+G65+G66</f>
        <v>260955414.40000004</v>
      </c>
      <c r="K62" s="2040">
        <v>174247542.30000001</v>
      </c>
      <c r="L62" s="2040">
        <v>174247542.30000001</v>
      </c>
    </row>
    <row r="63" spans="1:13" ht="30.75" customHeight="1">
      <c r="A63" s="801">
        <v>6</v>
      </c>
      <c r="B63" s="2780" t="s">
        <v>1848</v>
      </c>
      <c r="C63" s="2780" t="s">
        <v>2221</v>
      </c>
      <c r="D63" s="2118" t="s">
        <v>234</v>
      </c>
      <c r="E63" s="2118" t="s">
        <v>160</v>
      </c>
      <c r="F63" s="3889">
        <v>-24991549</v>
      </c>
      <c r="G63" s="3889">
        <v>24991549</v>
      </c>
      <c r="H63" s="2951">
        <v>44950</v>
      </c>
      <c r="I63" s="2950" t="s">
        <v>117</v>
      </c>
      <c r="J63" s="2920">
        <f>+J62-K62</f>
        <v>86707872.100000024</v>
      </c>
    </row>
    <row r="64" spans="1:13" ht="30.75" customHeight="1">
      <c r="A64" s="801">
        <v>7</v>
      </c>
      <c r="B64" s="2780" t="s">
        <v>1849</v>
      </c>
      <c r="C64" s="2780" t="s">
        <v>2222</v>
      </c>
      <c r="D64" s="2118" t="s">
        <v>225</v>
      </c>
      <c r="E64" s="2118" t="s">
        <v>160</v>
      </c>
      <c r="F64" s="3889">
        <v>-9717397.1500000004</v>
      </c>
      <c r="G64" s="3889">
        <v>9717397.1500000004</v>
      </c>
      <c r="H64" s="2951">
        <v>44950</v>
      </c>
      <c r="I64" s="2950" t="s">
        <v>117</v>
      </c>
    </row>
    <row r="65" spans="1:9" ht="30.75" customHeight="1">
      <c r="A65" s="801">
        <v>8</v>
      </c>
      <c r="B65" s="2780" t="s">
        <v>1850</v>
      </c>
      <c r="C65" s="2780" t="s">
        <v>2224</v>
      </c>
      <c r="D65" s="1940" t="s">
        <v>241</v>
      </c>
      <c r="E65" s="2118" t="s">
        <v>160</v>
      </c>
      <c r="F65" s="3889">
        <v>-1198399.55</v>
      </c>
      <c r="G65" s="3889">
        <v>1198399.55</v>
      </c>
      <c r="H65" s="2951">
        <v>44950</v>
      </c>
      <c r="I65" s="2950" t="s">
        <v>117</v>
      </c>
    </row>
    <row r="66" spans="1:9" ht="30.75" customHeight="1">
      <c r="A66" s="801">
        <v>9</v>
      </c>
      <c r="B66" s="2780" t="s">
        <v>1851</v>
      </c>
      <c r="C66" s="2780" t="s">
        <v>2225</v>
      </c>
      <c r="D66" s="1940" t="s">
        <v>224</v>
      </c>
      <c r="E66" s="2118" t="s">
        <v>160</v>
      </c>
      <c r="F66" s="3889">
        <v>-9614128.5199999996</v>
      </c>
      <c r="G66" s="3889">
        <v>9614128.5199999996</v>
      </c>
      <c r="H66" s="2951">
        <v>44950</v>
      </c>
      <c r="I66" s="2950" t="s">
        <v>117</v>
      </c>
    </row>
    <row r="67" spans="1:9" s="10" customFormat="1" ht="6.75" customHeight="1">
      <c r="A67" s="801"/>
      <c r="B67" s="2946"/>
      <c r="C67" s="2945"/>
      <c r="D67" s="2118"/>
      <c r="E67" s="2118"/>
      <c r="F67" s="3888"/>
      <c r="G67" s="3889"/>
      <c r="H67" s="2951"/>
      <c r="I67" s="2950"/>
    </row>
    <row r="68" spans="1:9" ht="33.75" customHeight="1">
      <c r="A68" s="801">
        <v>10</v>
      </c>
      <c r="B68" s="2780" t="s">
        <v>1845</v>
      </c>
      <c r="C68" s="2780" t="s">
        <v>2228</v>
      </c>
      <c r="D68" s="2118" t="s">
        <v>223</v>
      </c>
      <c r="E68" s="2118" t="s">
        <v>134</v>
      </c>
      <c r="F68" s="3889">
        <v>0</v>
      </c>
      <c r="G68" s="3889">
        <v>106231.5</v>
      </c>
      <c r="H68" s="2951">
        <v>44965</v>
      </c>
      <c r="I68" s="2950" t="s">
        <v>124</v>
      </c>
    </row>
    <row r="69" spans="1:9" ht="33.75" customHeight="1">
      <c r="A69" s="801">
        <v>11</v>
      </c>
      <c r="B69" s="2780" t="s">
        <v>1846</v>
      </c>
      <c r="C69" s="2780" t="s">
        <v>2229</v>
      </c>
      <c r="D69" s="2118" t="s">
        <v>223</v>
      </c>
      <c r="E69" s="2118" t="s">
        <v>139</v>
      </c>
      <c r="F69" s="3889">
        <v>0</v>
      </c>
      <c r="G69" s="3889">
        <v>4870433.67</v>
      </c>
      <c r="H69" s="2951">
        <v>44965</v>
      </c>
      <c r="I69" s="2950" t="s">
        <v>124</v>
      </c>
    </row>
    <row r="70" spans="1:9" ht="33.75" customHeight="1">
      <c r="A70" s="801">
        <v>12</v>
      </c>
      <c r="B70" s="2780" t="s">
        <v>1839</v>
      </c>
      <c r="C70" s="2780" t="s">
        <v>2229</v>
      </c>
      <c r="D70" s="2118" t="s">
        <v>224</v>
      </c>
      <c r="E70" s="2118" t="s">
        <v>139</v>
      </c>
      <c r="F70" s="3889">
        <v>-8189496.3300000001</v>
      </c>
      <c r="G70" s="3889">
        <v>8189496.3300000001</v>
      </c>
      <c r="H70" s="2951">
        <v>44965</v>
      </c>
      <c r="I70" s="2950" t="s">
        <v>124</v>
      </c>
    </row>
    <row r="71" spans="1:9" ht="33.75" customHeight="1">
      <c r="A71" s="801">
        <v>13</v>
      </c>
      <c r="B71" s="2780" t="s">
        <v>2230</v>
      </c>
      <c r="C71" s="2780" t="s">
        <v>2231</v>
      </c>
      <c r="D71" s="2118" t="s">
        <v>223</v>
      </c>
      <c r="E71" s="2118" t="s">
        <v>85</v>
      </c>
      <c r="F71" s="3889">
        <v>0</v>
      </c>
      <c r="G71" s="3889">
        <v>367150</v>
      </c>
      <c r="H71" s="2951">
        <v>44971</v>
      </c>
      <c r="I71" s="2950" t="s">
        <v>124</v>
      </c>
    </row>
    <row r="72" spans="1:9" ht="6" customHeight="1">
      <c r="A72" s="801"/>
      <c r="B72" s="2780"/>
      <c r="C72" s="2780"/>
      <c r="D72" s="2118"/>
      <c r="E72" s="2118"/>
      <c r="F72" s="3889"/>
      <c r="G72" s="3889"/>
      <c r="H72" s="2951"/>
      <c r="I72" s="2950"/>
    </row>
    <row r="73" spans="1:9" ht="33.75" customHeight="1">
      <c r="A73" s="801">
        <v>14</v>
      </c>
      <c r="B73" s="2780" t="s">
        <v>2235</v>
      </c>
      <c r="C73" s="2780" t="s">
        <v>2234</v>
      </c>
      <c r="D73" s="2118" t="s">
        <v>223</v>
      </c>
      <c r="E73" s="2118" t="s">
        <v>2173</v>
      </c>
      <c r="F73" s="3889">
        <v>0</v>
      </c>
      <c r="G73" s="3889">
        <v>45677.599999999999</v>
      </c>
      <c r="H73" s="2951">
        <v>44986</v>
      </c>
      <c r="I73" s="2950" t="s">
        <v>131</v>
      </c>
    </row>
    <row r="74" spans="1:9" ht="33.75" customHeight="1">
      <c r="A74" s="801">
        <v>15</v>
      </c>
      <c r="B74" s="2780" t="s">
        <v>2235</v>
      </c>
      <c r="C74" s="2780" t="s">
        <v>2234</v>
      </c>
      <c r="D74" s="2118" t="s">
        <v>223</v>
      </c>
      <c r="E74" s="2118" t="s">
        <v>2003</v>
      </c>
      <c r="F74" s="3889">
        <v>0</v>
      </c>
      <c r="G74" s="3889">
        <v>127291.9</v>
      </c>
      <c r="H74" s="2951">
        <v>44986</v>
      </c>
      <c r="I74" s="2950" t="s">
        <v>131</v>
      </c>
    </row>
    <row r="75" spans="1:9" ht="33.75" customHeight="1">
      <c r="A75" s="801">
        <v>16</v>
      </c>
      <c r="B75" s="2780" t="s">
        <v>2232</v>
      </c>
      <c r="C75" s="2780" t="s">
        <v>2233</v>
      </c>
      <c r="D75" s="2118" t="s">
        <v>223</v>
      </c>
      <c r="E75" s="2118" t="s">
        <v>176</v>
      </c>
      <c r="F75" s="3889">
        <v>0</v>
      </c>
      <c r="G75" s="3889">
        <v>834298.55</v>
      </c>
      <c r="H75" s="2951">
        <v>44990</v>
      </c>
      <c r="I75" s="2950" t="s">
        <v>131</v>
      </c>
    </row>
    <row r="76" spans="1:9" ht="6" customHeight="1">
      <c r="A76" s="801"/>
      <c r="B76" s="2780"/>
      <c r="C76" s="2780"/>
      <c r="D76" s="2118"/>
      <c r="E76" s="2118"/>
      <c r="F76" s="3889"/>
      <c r="G76" s="3889"/>
      <c r="H76" s="2951"/>
      <c r="I76" s="2950"/>
    </row>
    <row r="77" spans="1:9" ht="33.75" customHeight="1">
      <c r="A77" s="801">
        <v>17</v>
      </c>
      <c r="B77" s="2780" t="s">
        <v>2241</v>
      </c>
      <c r="C77" s="2780" t="s">
        <v>2236</v>
      </c>
      <c r="D77" s="2118" t="s">
        <v>223</v>
      </c>
      <c r="E77" s="2118" t="s">
        <v>2237</v>
      </c>
      <c r="F77" s="3889">
        <v>0</v>
      </c>
      <c r="G77" s="3889">
        <v>2675473</v>
      </c>
      <c r="H77" s="2951">
        <v>45043</v>
      </c>
      <c r="I77" s="2950" t="s">
        <v>137</v>
      </c>
    </row>
    <row r="78" spans="1:9" ht="8.25" customHeight="1">
      <c r="A78" s="801"/>
      <c r="B78" s="2780"/>
      <c r="C78" s="2780"/>
      <c r="D78" s="2118"/>
      <c r="E78" s="2118"/>
      <c r="F78" s="3889"/>
      <c r="G78" s="3889"/>
      <c r="H78" s="2951"/>
      <c r="I78" s="2950"/>
    </row>
    <row r="79" spans="1:9" ht="33.75" customHeight="1">
      <c r="A79" s="801">
        <v>18</v>
      </c>
      <c r="B79" s="2780" t="s">
        <v>2240</v>
      </c>
      <c r="C79" s="2780" t="s">
        <v>2238</v>
      </c>
      <c r="D79" s="2118" t="s">
        <v>223</v>
      </c>
      <c r="E79" s="2118" t="s">
        <v>2239</v>
      </c>
      <c r="F79" s="3889">
        <v>0</v>
      </c>
      <c r="G79" s="3889">
        <v>4695209</v>
      </c>
      <c r="H79" s="2951">
        <v>45077</v>
      </c>
      <c r="I79" s="2950" t="s">
        <v>142</v>
      </c>
    </row>
    <row r="80" spans="1:9" ht="10.5" customHeight="1">
      <c r="A80" s="801"/>
      <c r="B80" s="2780"/>
      <c r="C80" s="2780"/>
      <c r="D80" s="2118"/>
      <c r="E80" s="2118"/>
      <c r="F80" s="3889"/>
      <c r="G80" s="3889"/>
      <c r="H80" s="2951"/>
      <c r="I80" s="2950"/>
    </row>
    <row r="81" spans="1:15" ht="24.75" customHeight="1">
      <c r="A81" s="801">
        <v>19</v>
      </c>
      <c r="B81" s="2946" t="s">
        <v>2242</v>
      </c>
      <c r="C81" s="2946"/>
      <c r="D81" s="2118" t="s">
        <v>2169</v>
      </c>
      <c r="E81" s="2118" t="s">
        <v>233</v>
      </c>
      <c r="F81" s="3889">
        <v>0</v>
      </c>
      <c r="G81" s="3889">
        <f>93913586.15</f>
        <v>93913586.150000006</v>
      </c>
      <c r="H81" s="2951">
        <v>45125</v>
      </c>
      <c r="I81" s="2950" t="s">
        <v>150</v>
      </c>
      <c r="L81" s="2040">
        <f>93913586.15+13721765.22+4695209</f>
        <v>112330560.37</v>
      </c>
      <c r="M81" s="2040">
        <f>93913586.15</f>
        <v>93913586.150000006</v>
      </c>
      <c r="N81" s="2040">
        <f>13721765.22</f>
        <v>13721765.220000001</v>
      </c>
      <c r="O81" s="2040">
        <f>4695209</f>
        <v>4695209</v>
      </c>
    </row>
    <row r="82" spans="1:15" ht="24.75" customHeight="1">
      <c r="A82" s="801">
        <v>20</v>
      </c>
      <c r="B82" s="2946" t="s">
        <v>2242</v>
      </c>
      <c r="C82" s="2946"/>
      <c r="D82" s="2118" t="s">
        <v>2169</v>
      </c>
      <c r="E82" s="2118" t="s">
        <v>234</v>
      </c>
      <c r="F82" s="3889">
        <v>0</v>
      </c>
      <c r="G82" s="3889">
        <f>38306169</f>
        <v>38306169</v>
      </c>
      <c r="H82" s="2951">
        <v>45125</v>
      </c>
      <c r="I82" s="2950" t="s">
        <v>150</v>
      </c>
      <c r="L82" s="2040">
        <f>38306169-4695209</f>
        <v>33610960</v>
      </c>
      <c r="M82" s="2040">
        <f>38306169</f>
        <v>38306169</v>
      </c>
      <c r="N82" s="2040">
        <f>-4695209</f>
        <v>-4695209</v>
      </c>
    </row>
    <row r="83" spans="1:15" ht="9.9499999999999993" customHeight="1">
      <c r="A83" s="801"/>
      <c r="B83" s="2946"/>
      <c r="C83" s="2946"/>
      <c r="D83" s="2118"/>
      <c r="E83" s="2118"/>
      <c r="F83" s="3889"/>
      <c r="G83" s="3889"/>
      <c r="H83" s="2951"/>
      <c r="I83" s="2952"/>
      <c r="L83" s="2040"/>
      <c r="M83" s="2040"/>
      <c r="N83" s="2040"/>
    </row>
    <row r="84" spans="1:15" ht="12.75" customHeight="1">
      <c r="A84" s="801"/>
      <c r="B84" s="2947" t="s">
        <v>2250</v>
      </c>
      <c r="C84" s="2946"/>
      <c r="D84" s="2118"/>
      <c r="E84" s="2118"/>
      <c r="F84" s="3889"/>
      <c r="G84" s="3889"/>
      <c r="H84" s="2951"/>
      <c r="I84" s="2952"/>
      <c r="L84" s="2040"/>
      <c r="M84" s="2040"/>
      <c r="N84" s="2040"/>
    </row>
    <row r="85" spans="1:15" ht="27" customHeight="1">
      <c r="A85" s="801">
        <v>21</v>
      </c>
      <c r="B85" s="2945" t="s">
        <v>2214</v>
      </c>
      <c r="C85" s="2945"/>
      <c r="D85" s="1940" t="s">
        <v>233</v>
      </c>
      <c r="E85" s="2118" t="s">
        <v>183</v>
      </c>
      <c r="F85" s="3889">
        <f t="shared" ref="F85:F90" si="0">-G85</f>
        <v>-25857018</v>
      </c>
      <c r="G85" s="3889">
        <v>25857018</v>
      </c>
      <c r="H85" s="2951"/>
      <c r="I85" s="2950" t="s">
        <v>150</v>
      </c>
      <c r="L85" s="2040"/>
      <c r="M85" s="2040"/>
      <c r="N85" s="2040"/>
    </row>
    <row r="86" spans="1:15" ht="27" customHeight="1">
      <c r="A86" s="801">
        <v>22</v>
      </c>
      <c r="B86" s="2945" t="s">
        <v>2543</v>
      </c>
      <c r="C86" s="2945"/>
      <c r="D86" s="1940" t="s">
        <v>233</v>
      </c>
      <c r="E86" s="2118" t="s">
        <v>186</v>
      </c>
      <c r="F86" s="3889">
        <f t="shared" si="0"/>
        <v>-62092796</v>
      </c>
      <c r="G86" s="3889">
        <v>62092796</v>
      </c>
      <c r="H86" s="2951"/>
      <c r="I86" s="2950" t="s">
        <v>150</v>
      </c>
      <c r="J86" s="7">
        <f>+F86+F109</f>
        <v>-69715144.776808515</v>
      </c>
      <c r="K86" s="2040">
        <v>75969227</v>
      </c>
      <c r="L86" s="2040">
        <f>+K86+F86</f>
        <v>13876431</v>
      </c>
      <c r="M86" s="2040"/>
      <c r="N86" s="2040"/>
    </row>
    <row r="87" spans="1:15" ht="26.25" customHeight="1">
      <c r="A87" s="801">
        <v>23</v>
      </c>
      <c r="B87" s="2945" t="s">
        <v>2252</v>
      </c>
      <c r="C87" s="2945"/>
      <c r="D87" s="1940" t="s">
        <v>234</v>
      </c>
      <c r="E87" s="2118" t="s">
        <v>192</v>
      </c>
      <c r="F87" s="3889">
        <f t="shared" si="0"/>
        <v>-25558750</v>
      </c>
      <c r="G87" s="3889">
        <v>25558750</v>
      </c>
      <c r="H87" s="2951"/>
      <c r="I87" s="2950" t="s">
        <v>150</v>
      </c>
      <c r="L87" s="2040"/>
      <c r="M87" s="2040"/>
      <c r="N87" s="2040"/>
    </row>
    <row r="88" spans="1:15" ht="23.25" customHeight="1">
      <c r="A88" s="801">
        <v>24</v>
      </c>
      <c r="B88" s="2945" t="s">
        <v>2251</v>
      </c>
      <c r="C88" s="2945"/>
      <c r="D88" s="1940" t="s">
        <v>234</v>
      </c>
      <c r="E88" s="2118" t="s">
        <v>195</v>
      </c>
      <c r="F88" s="3889">
        <f t="shared" si="0"/>
        <v>-470000</v>
      </c>
      <c r="G88" s="3889">
        <v>470000</v>
      </c>
      <c r="H88" s="2951"/>
      <c r="I88" s="2950" t="s">
        <v>150</v>
      </c>
      <c r="L88" s="2040"/>
      <c r="M88" s="2040"/>
      <c r="N88" s="2040"/>
    </row>
    <row r="89" spans="1:15" ht="23.25" customHeight="1">
      <c r="A89" s="801">
        <v>25</v>
      </c>
      <c r="B89" s="2945" t="s">
        <v>2274</v>
      </c>
      <c r="C89" s="2945"/>
      <c r="D89" s="1940" t="s">
        <v>234</v>
      </c>
      <c r="E89" s="2118" t="s">
        <v>197</v>
      </c>
      <c r="F89" s="3889">
        <f t="shared" si="0"/>
        <v>-3543829</v>
      </c>
      <c r="G89" s="3889">
        <v>3543829</v>
      </c>
      <c r="H89" s="2951"/>
      <c r="I89" s="2950" t="s">
        <v>150</v>
      </c>
      <c r="L89" s="2040"/>
      <c r="M89" s="2040"/>
      <c r="N89" s="2040"/>
    </row>
    <row r="90" spans="1:15" ht="22.5" customHeight="1">
      <c r="A90" s="801">
        <v>26</v>
      </c>
      <c r="B90" s="2945" t="s">
        <v>2253</v>
      </c>
      <c r="C90" s="2945"/>
      <c r="D90" s="1940" t="s">
        <v>234</v>
      </c>
      <c r="E90" s="2118" t="s">
        <v>200</v>
      </c>
      <c r="F90" s="3889">
        <f t="shared" si="0"/>
        <v>-2874723</v>
      </c>
      <c r="G90" s="3889">
        <v>2874723</v>
      </c>
      <c r="H90" s="2951"/>
      <c r="I90" s="2950" t="s">
        <v>150</v>
      </c>
      <c r="L90" s="2040"/>
      <c r="M90" s="2040"/>
      <c r="N90" s="2040"/>
    </row>
    <row r="91" spans="1:15" ht="12.75" customHeight="1">
      <c r="A91" s="801"/>
      <c r="B91" s="2945"/>
      <c r="C91" s="2945"/>
      <c r="D91" s="1940"/>
      <c r="E91" s="2118"/>
      <c r="F91" s="3889"/>
      <c r="G91" s="3889"/>
      <c r="H91" s="2951"/>
      <c r="I91" s="2950"/>
      <c r="L91" s="2040"/>
      <c r="M91" s="2040"/>
      <c r="N91" s="2040"/>
    </row>
    <row r="92" spans="1:15" ht="18" customHeight="1">
      <c r="A92" s="801"/>
      <c r="B92" s="2947" t="s">
        <v>2254</v>
      </c>
      <c r="C92" s="2945"/>
      <c r="D92" s="1940"/>
      <c r="E92" s="2118"/>
      <c r="F92" s="3889"/>
      <c r="G92" s="3889"/>
      <c r="H92" s="2951"/>
      <c r="I92" s="2952"/>
      <c r="L92" s="2040"/>
      <c r="M92" s="2040"/>
      <c r="N92" s="2040"/>
    </row>
    <row r="93" spans="1:15" ht="33.75" customHeight="1">
      <c r="A93" s="801">
        <v>27</v>
      </c>
      <c r="B93" s="2945" t="s">
        <v>2255</v>
      </c>
      <c r="C93" s="2118" t="s">
        <v>2287</v>
      </c>
      <c r="D93" s="1940" t="s">
        <v>233</v>
      </c>
      <c r="E93" s="2118" t="s">
        <v>225</v>
      </c>
      <c r="F93" s="3889">
        <f>-G93</f>
        <v>-413183</v>
      </c>
      <c r="G93" s="3889">
        <f>+'Schedule C'!AZ52</f>
        <v>413183</v>
      </c>
      <c r="H93" s="2951"/>
      <c r="I93" s="2950" t="s">
        <v>150</v>
      </c>
      <c r="L93" s="2040"/>
      <c r="M93" s="2040"/>
      <c r="N93" s="2040"/>
    </row>
    <row r="94" spans="1:15" ht="36" customHeight="1">
      <c r="A94" s="801">
        <v>28</v>
      </c>
      <c r="B94" s="2945" t="s">
        <v>2498</v>
      </c>
      <c r="C94" s="2946"/>
      <c r="D94" s="1940" t="s">
        <v>233</v>
      </c>
      <c r="E94" s="2118" t="s">
        <v>225</v>
      </c>
      <c r="F94" s="3889">
        <v>-248219</v>
      </c>
      <c r="G94" s="3889">
        <v>248219</v>
      </c>
      <c r="H94" s="2951"/>
      <c r="I94" s="2950" t="s">
        <v>150</v>
      </c>
      <c r="L94" s="2040"/>
      <c r="M94" s="2040"/>
      <c r="N94" s="2040"/>
    </row>
    <row r="95" spans="1:15" ht="30.75" customHeight="1">
      <c r="A95" s="801">
        <v>29</v>
      </c>
      <c r="B95" s="2945" t="s">
        <v>2497</v>
      </c>
      <c r="C95" s="2946"/>
      <c r="D95" s="1940" t="s">
        <v>233</v>
      </c>
      <c r="E95" s="2118" t="s">
        <v>225</v>
      </c>
      <c r="F95" s="3889">
        <v>-194800</v>
      </c>
      <c r="G95" s="3889">
        <v>194800</v>
      </c>
      <c r="H95" s="2951"/>
      <c r="I95" s="2950" t="s">
        <v>150</v>
      </c>
      <c r="L95" s="2040"/>
      <c r="M95" s="2040"/>
      <c r="N95" s="2040"/>
    </row>
    <row r="96" spans="1:15" ht="9" customHeight="1">
      <c r="A96" s="801"/>
      <c r="B96" s="2945"/>
      <c r="C96" s="2945"/>
      <c r="D96" s="1940"/>
      <c r="E96" s="2118"/>
      <c r="F96" s="3889"/>
      <c r="G96" s="3889"/>
      <c r="H96" s="2951"/>
      <c r="I96" s="2950"/>
      <c r="L96" s="2040"/>
      <c r="M96" s="2040"/>
      <c r="N96" s="2040"/>
    </row>
    <row r="97" spans="1:14" ht="24.75" customHeight="1">
      <c r="A97" s="801">
        <v>30</v>
      </c>
      <c r="B97" s="2780" t="s">
        <v>2294</v>
      </c>
      <c r="C97" s="2118" t="s">
        <v>2295</v>
      </c>
      <c r="D97" s="2118" t="s">
        <v>233</v>
      </c>
      <c r="E97" s="2118" t="s">
        <v>151</v>
      </c>
      <c r="F97" s="3889">
        <v>-13500.11</v>
      </c>
      <c r="G97" s="3889">
        <v>13500.11</v>
      </c>
      <c r="H97" s="2951">
        <v>44993</v>
      </c>
      <c r="I97" s="2950" t="s">
        <v>2296</v>
      </c>
      <c r="L97" s="2040"/>
      <c r="M97" s="2040"/>
      <c r="N97" s="2040"/>
    </row>
    <row r="98" spans="1:14" ht="25.5" customHeight="1">
      <c r="A98" s="801">
        <v>31</v>
      </c>
      <c r="B98" s="2780" t="s">
        <v>2289</v>
      </c>
      <c r="C98" s="2118" t="s">
        <v>2288</v>
      </c>
      <c r="D98" s="2118" t="s">
        <v>147</v>
      </c>
      <c r="E98" s="2118" t="s">
        <v>233</v>
      </c>
      <c r="F98" s="3889">
        <v>-3801279.3</v>
      </c>
      <c r="G98" s="3889">
        <v>3801279.3</v>
      </c>
      <c r="H98" s="2951">
        <v>45146</v>
      </c>
      <c r="I98" s="2950" t="s">
        <v>2296</v>
      </c>
      <c r="L98" s="2040"/>
      <c r="M98" s="2040"/>
      <c r="N98" s="2040"/>
    </row>
    <row r="99" spans="1:14" ht="24.75" customHeight="1">
      <c r="A99" s="801">
        <v>32</v>
      </c>
      <c r="B99" s="2780" t="s">
        <v>2290</v>
      </c>
      <c r="C99" s="2118" t="s">
        <v>2291</v>
      </c>
      <c r="D99" s="2118" t="s">
        <v>233</v>
      </c>
      <c r="E99" s="2118" t="s">
        <v>2269</v>
      </c>
      <c r="F99" s="3889">
        <v>-343524.99</v>
      </c>
      <c r="G99" s="3889">
        <v>343524.99</v>
      </c>
      <c r="H99" s="2951">
        <v>45145</v>
      </c>
      <c r="I99" s="2950" t="s">
        <v>2296</v>
      </c>
      <c r="L99" s="2040"/>
      <c r="M99" s="2040"/>
      <c r="N99" s="2040"/>
    </row>
    <row r="100" spans="1:14" ht="27" customHeight="1">
      <c r="A100" s="801">
        <v>33</v>
      </c>
      <c r="B100" s="2780" t="s">
        <v>2292</v>
      </c>
      <c r="C100" s="2118" t="s">
        <v>2293</v>
      </c>
      <c r="D100" s="2118" t="s">
        <v>233</v>
      </c>
      <c r="E100" s="2118" t="s">
        <v>147</v>
      </c>
      <c r="F100" s="3889">
        <v>-70027.759999999995</v>
      </c>
      <c r="G100" s="3889">
        <v>70027.759999999995</v>
      </c>
      <c r="H100" s="2951">
        <v>45146</v>
      </c>
      <c r="I100" s="2950" t="s">
        <v>2296</v>
      </c>
      <c r="L100" s="2040"/>
      <c r="M100" s="2040"/>
      <c r="N100" s="2040"/>
    </row>
    <row r="101" spans="1:14" ht="27" customHeight="1">
      <c r="A101" s="801">
        <v>34</v>
      </c>
      <c r="B101" s="2780" t="s">
        <v>2499</v>
      </c>
      <c r="C101" s="2118" t="s">
        <v>2500</v>
      </c>
      <c r="D101" s="2118" t="s">
        <v>233</v>
      </c>
      <c r="E101" s="2118" t="s">
        <v>151</v>
      </c>
      <c r="F101" s="3889">
        <v>-5737.5</v>
      </c>
      <c r="G101" s="3889">
        <v>5737.5</v>
      </c>
      <c r="H101" s="2951">
        <v>45180</v>
      </c>
      <c r="I101" s="2950" t="s">
        <v>2297</v>
      </c>
      <c r="L101" s="2040"/>
      <c r="M101" s="2040"/>
      <c r="N101" s="2040"/>
    </row>
    <row r="102" spans="1:14" ht="46.5" customHeight="1">
      <c r="A102" s="801">
        <v>35</v>
      </c>
      <c r="B102" s="2780" t="s">
        <v>2503</v>
      </c>
      <c r="C102" s="2118" t="s">
        <v>2501</v>
      </c>
      <c r="D102" s="2118" t="s">
        <v>233</v>
      </c>
      <c r="E102" s="2118" t="s">
        <v>2502</v>
      </c>
      <c r="F102" s="3889">
        <v>-302028</v>
      </c>
      <c r="G102" s="3889">
        <v>0</v>
      </c>
      <c r="H102" s="2951">
        <v>45185</v>
      </c>
      <c r="I102" s="2950" t="s">
        <v>2297</v>
      </c>
      <c r="L102" s="2040"/>
      <c r="M102" s="2040"/>
      <c r="N102" s="2040"/>
    </row>
    <row r="103" spans="1:14" ht="39" customHeight="1" outlineLevel="2">
      <c r="A103" s="801"/>
      <c r="B103" s="2780" t="s">
        <v>2312</v>
      </c>
      <c r="C103" s="2118"/>
      <c r="D103" s="2118" t="s">
        <v>233</v>
      </c>
      <c r="E103" s="2118" t="s">
        <v>2302</v>
      </c>
      <c r="F103" s="3889">
        <f>-16312.33*0</f>
        <v>0</v>
      </c>
      <c r="G103" s="3889">
        <v>0</v>
      </c>
      <c r="H103" s="2951">
        <v>45154</v>
      </c>
      <c r="I103" s="2950" t="s">
        <v>2296</v>
      </c>
      <c r="J103" s="7" t="s">
        <v>2313</v>
      </c>
      <c r="L103" s="2040"/>
      <c r="M103" s="2040"/>
      <c r="N103" s="2040"/>
    </row>
    <row r="104" spans="1:14" ht="9.9499999999999993" customHeight="1">
      <c r="A104" s="801"/>
      <c r="B104" s="2945"/>
      <c r="C104" s="2945"/>
      <c r="D104" s="1940"/>
      <c r="E104" s="2118"/>
      <c r="F104" s="3889"/>
      <c r="G104" s="3889"/>
      <c r="H104" s="2951"/>
      <c r="I104" s="2950"/>
      <c r="L104" s="2040"/>
      <c r="M104" s="2040"/>
      <c r="N104" s="2040"/>
    </row>
    <row r="105" spans="1:14">
      <c r="A105" s="801"/>
      <c r="B105" s="2947" t="s">
        <v>2544</v>
      </c>
      <c r="C105" s="2945"/>
      <c r="D105" s="1940"/>
      <c r="E105" s="2118"/>
      <c r="F105" s="3889"/>
      <c r="G105" s="3889"/>
      <c r="H105" s="2951"/>
      <c r="I105" s="2950"/>
      <c r="L105" s="2040"/>
      <c r="M105" s="2040"/>
      <c r="N105" s="2040"/>
    </row>
    <row r="106" spans="1:14" ht="27" customHeight="1">
      <c r="A106" s="801">
        <v>36</v>
      </c>
      <c r="B106" s="2945" t="s">
        <v>2542</v>
      </c>
      <c r="C106" s="2945"/>
      <c r="D106" s="1940" t="s">
        <v>234</v>
      </c>
      <c r="E106" s="2118" t="s">
        <v>186</v>
      </c>
      <c r="F106" s="3889">
        <f>-G106</f>
        <v>-5858867</v>
      </c>
      <c r="G106" s="3889">
        <v>5858867</v>
      </c>
      <c r="H106" s="2951"/>
      <c r="I106" s="2950" t="s">
        <v>2298</v>
      </c>
      <c r="L106" s="2040"/>
      <c r="M106" s="2040"/>
      <c r="N106" s="2040"/>
    </row>
    <row r="107" spans="1:14" ht="27" customHeight="1">
      <c r="A107" s="801">
        <v>37</v>
      </c>
      <c r="B107" s="2945" t="s">
        <v>2542</v>
      </c>
      <c r="C107" s="2945"/>
      <c r="D107" s="1940" t="s">
        <v>233</v>
      </c>
      <c r="E107" s="2118" t="s">
        <v>186</v>
      </c>
      <c r="F107" s="3889">
        <f>-G107</f>
        <v>-393576.603191484</v>
      </c>
      <c r="G107" s="3889">
        <f>393576.603191484</f>
        <v>393576.603191484</v>
      </c>
      <c r="H107" s="2951"/>
      <c r="I107" s="2950" t="s">
        <v>2298</v>
      </c>
      <c r="L107" s="2040"/>
      <c r="M107" s="2040"/>
      <c r="N107" s="2040"/>
    </row>
    <row r="108" spans="1:14" ht="27" customHeight="1">
      <c r="A108" s="801">
        <v>38</v>
      </c>
      <c r="B108" s="2945" t="s">
        <v>2542</v>
      </c>
      <c r="C108" s="2945"/>
      <c r="D108" s="1940" t="s">
        <v>225</v>
      </c>
      <c r="E108" s="2118" t="s">
        <v>186</v>
      </c>
      <c r="F108" s="3889">
        <f>-G108</f>
        <v>-1638.6200000010399</v>
      </c>
      <c r="G108" s="3889">
        <v>1638.6200000010399</v>
      </c>
      <c r="H108" s="2951"/>
      <c r="I108" s="2950" t="s">
        <v>2298</v>
      </c>
      <c r="L108" s="2040"/>
      <c r="M108" s="2040"/>
      <c r="N108" s="2040"/>
    </row>
    <row r="109" spans="1:14" ht="27" customHeight="1">
      <c r="A109" s="801">
        <v>39</v>
      </c>
      <c r="B109" s="2945" t="s">
        <v>2542</v>
      </c>
      <c r="C109" s="2945"/>
      <c r="D109" s="1940" t="s">
        <v>183</v>
      </c>
      <c r="E109" s="2118" t="s">
        <v>186</v>
      </c>
      <c r="F109" s="3889">
        <f>-G109</f>
        <v>-7622348.7768085189</v>
      </c>
      <c r="G109" s="3889">
        <f>7623987.39680852-1638.62000000104</f>
        <v>7622348.7768085189</v>
      </c>
      <c r="H109" s="2951"/>
      <c r="I109" s="2950" t="s">
        <v>2298</v>
      </c>
      <c r="L109" s="2040"/>
      <c r="M109" s="2040"/>
      <c r="N109" s="2040"/>
    </row>
    <row r="110" spans="1:14" ht="9.75" customHeight="1">
      <c r="A110" s="801"/>
      <c r="B110" s="2945"/>
      <c r="C110" s="2946"/>
      <c r="D110" s="1940"/>
      <c r="E110" s="2118"/>
      <c r="F110" s="3889"/>
      <c r="G110" s="3889"/>
      <c r="H110" s="2951"/>
      <c r="I110" s="2950"/>
      <c r="L110" s="2040"/>
      <c r="M110" s="2040"/>
      <c r="N110" s="2040"/>
    </row>
    <row r="111" spans="1:14">
      <c r="A111" s="801"/>
      <c r="B111" s="2945"/>
      <c r="C111" s="2946"/>
      <c r="D111" s="1940"/>
      <c r="E111" s="2118"/>
      <c r="F111" s="3889"/>
      <c r="G111" s="3889"/>
      <c r="H111" s="2951"/>
      <c r="I111" s="2950"/>
      <c r="L111" s="2040"/>
      <c r="M111" s="2040"/>
      <c r="N111" s="2040"/>
    </row>
    <row r="112" spans="1:14">
      <c r="A112" s="801"/>
      <c r="B112" s="2945"/>
      <c r="C112" s="2946"/>
      <c r="D112" s="1940"/>
      <c r="E112" s="2118"/>
      <c r="F112" s="3889"/>
      <c r="G112" s="3889"/>
      <c r="H112" s="2951"/>
      <c r="I112" s="2950"/>
      <c r="L112" s="2040"/>
      <c r="M112" s="2040"/>
      <c r="N112" s="2040"/>
    </row>
    <row r="113" spans="1:15" ht="22.5" customHeight="1" outlineLevel="1">
      <c r="A113" s="801"/>
      <c r="B113" s="2947" t="s">
        <v>2716</v>
      </c>
      <c r="C113" s="2946"/>
      <c r="D113" s="1940"/>
      <c r="E113" s="2118"/>
      <c r="F113" s="3889"/>
      <c r="G113" s="3889"/>
      <c r="H113" s="2951"/>
      <c r="I113" s="2950"/>
      <c r="L113" s="2040"/>
      <c r="M113" s="2040"/>
      <c r="N113" s="2040"/>
    </row>
    <row r="114" spans="1:15" ht="30.75" customHeight="1" outlineLevel="1">
      <c r="A114" s="801">
        <v>40</v>
      </c>
      <c r="B114" s="2945" t="s">
        <v>2724</v>
      </c>
      <c r="C114" s="2946"/>
      <c r="D114" s="1940" t="s">
        <v>233</v>
      </c>
      <c r="E114" s="2118" t="s">
        <v>183</v>
      </c>
      <c r="F114" s="3889">
        <v>-1511591.41680852</v>
      </c>
      <c r="G114" s="3889">
        <v>1511591.4168085195</v>
      </c>
      <c r="H114" s="2951"/>
      <c r="I114" s="2950" t="s">
        <v>2719</v>
      </c>
      <c r="J114" s="7">
        <f>+F85+G109</f>
        <v>-18234669.223191481</v>
      </c>
      <c r="K114" s="7">
        <f>+J114+G114</f>
        <v>-16723077.806382962</v>
      </c>
      <c r="L114" s="2040"/>
      <c r="M114" s="2040"/>
      <c r="N114" s="2040"/>
    </row>
    <row r="115" spans="1:15" ht="30.75" customHeight="1" outlineLevel="1">
      <c r="A115" s="801">
        <v>41</v>
      </c>
      <c r="B115" s="2945" t="s">
        <v>2727</v>
      </c>
      <c r="C115" s="2946"/>
      <c r="D115" s="1940" t="s">
        <v>233</v>
      </c>
      <c r="E115" s="2118" t="s">
        <v>2725</v>
      </c>
      <c r="F115" s="3889">
        <v>-29899670.550000001</v>
      </c>
      <c r="G115" s="3889">
        <v>29899670.550000001</v>
      </c>
      <c r="H115" s="2951"/>
      <c r="I115" s="2950" t="s">
        <v>2719</v>
      </c>
      <c r="L115" s="2040"/>
      <c r="M115" s="2040"/>
      <c r="N115" s="2040"/>
    </row>
    <row r="116" spans="1:15" outlineLevel="1">
      <c r="A116" s="801"/>
      <c r="B116" s="2945"/>
      <c r="C116" s="2946"/>
      <c r="D116" s="1940"/>
      <c r="E116" s="2118"/>
      <c r="F116" s="3889"/>
      <c r="G116" s="3889"/>
      <c r="H116" s="2951"/>
      <c r="I116" s="2950"/>
      <c r="L116" s="2040"/>
      <c r="M116" s="2040"/>
      <c r="N116" s="2040"/>
    </row>
    <row r="117" spans="1:15" ht="30.75" customHeight="1" outlineLevel="1">
      <c r="A117" s="801">
        <v>42</v>
      </c>
      <c r="B117" s="2945" t="s">
        <v>2772</v>
      </c>
      <c r="C117" s="2946"/>
      <c r="D117" s="1940" t="s">
        <v>183</v>
      </c>
      <c r="E117" s="1940" t="s">
        <v>233</v>
      </c>
      <c r="F117" s="3889">
        <v>-19746260.640000001</v>
      </c>
      <c r="G117" s="3889">
        <v>19746260.640000001</v>
      </c>
      <c r="H117" s="2951"/>
      <c r="I117" s="2950" t="s">
        <v>2754</v>
      </c>
      <c r="L117" s="2040"/>
      <c r="M117" s="2040"/>
      <c r="N117" s="2040"/>
    </row>
    <row r="118" spans="1:15" ht="25.5" outlineLevel="1">
      <c r="A118" s="801">
        <v>43</v>
      </c>
      <c r="B118" s="2945" t="s">
        <v>2810</v>
      </c>
      <c r="C118" s="2946"/>
      <c r="D118" s="1940" t="s">
        <v>192</v>
      </c>
      <c r="E118" s="1940" t="s">
        <v>2807</v>
      </c>
      <c r="F118" s="3889">
        <v>-1107465.8799999999</v>
      </c>
      <c r="G118" s="3889">
        <v>1107465.8799999999</v>
      </c>
      <c r="H118" s="2951"/>
      <c r="I118" s="2950" t="s">
        <v>2755</v>
      </c>
      <c r="L118" s="2040"/>
      <c r="M118" s="2040"/>
      <c r="N118" s="2040"/>
    </row>
    <row r="119" spans="1:15" ht="25.5" outlineLevel="1">
      <c r="A119" s="801">
        <v>44</v>
      </c>
      <c r="B119" s="2945" t="s">
        <v>2827</v>
      </c>
      <c r="C119" s="2946"/>
      <c r="D119" s="1940" t="s">
        <v>224</v>
      </c>
      <c r="E119" s="1940" t="s">
        <v>2815</v>
      </c>
      <c r="F119" s="3889">
        <v>-182184.38</v>
      </c>
      <c r="G119" s="3889">
        <v>182184.38</v>
      </c>
      <c r="H119" s="2951"/>
      <c r="I119" s="2950" t="s">
        <v>2755</v>
      </c>
      <c r="L119" s="2040"/>
      <c r="M119" s="2040"/>
      <c r="N119" s="2040"/>
    </row>
    <row r="120" spans="1:15" ht="22.5" customHeight="1" outlineLevel="1">
      <c r="A120" s="3464"/>
      <c r="B120" s="3465" t="s">
        <v>2907</v>
      </c>
      <c r="C120" s="3466"/>
      <c r="D120" s="3467"/>
      <c r="E120" s="3468"/>
      <c r="F120" s="3900"/>
      <c r="G120" s="3900"/>
      <c r="H120" s="3469"/>
      <c r="I120" s="3470"/>
      <c r="J120" s="3471"/>
      <c r="K120" s="3471"/>
      <c r="L120" s="3472"/>
      <c r="M120" s="3472"/>
      <c r="N120" s="3472"/>
      <c r="O120" s="3471"/>
    </row>
    <row r="121" spans="1:15" ht="25.5" outlineLevel="1">
      <c r="A121" s="801">
        <v>45</v>
      </c>
      <c r="B121" s="2945" t="s">
        <v>2908</v>
      </c>
      <c r="C121" s="2946"/>
      <c r="D121" s="1940" t="s">
        <v>233</v>
      </c>
      <c r="E121" s="1940" t="s">
        <v>234</v>
      </c>
      <c r="F121" s="3889">
        <v>-6244811.4399999976</v>
      </c>
      <c r="G121" s="3889">
        <f>-F121</f>
        <v>6244811.4399999976</v>
      </c>
      <c r="H121" s="2951"/>
      <c r="I121" s="2950" t="s">
        <v>2821</v>
      </c>
      <c r="L121" s="2040"/>
      <c r="M121" s="2040"/>
      <c r="N121" s="2040"/>
    </row>
    <row r="122" spans="1:15" outlineLevel="1">
      <c r="A122" s="801">
        <v>47</v>
      </c>
      <c r="B122" s="2945" t="s">
        <v>2931</v>
      </c>
      <c r="C122" s="2946"/>
      <c r="D122" s="1940" t="s">
        <v>192</v>
      </c>
      <c r="E122" s="1940" t="s">
        <v>197</v>
      </c>
      <c r="F122" s="3889">
        <v>-1452636.5600000024</v>
      </c>
      <c r="G122" s="3889">
        <f>-F122</f>
        <v>1452636.5600000024</v>
      </c>
      <c r="H122" s="2951"/>
      <c r="I122" s="2950" t="s">
        <v>2821</v>
      </c>
      <c r="L122" s="2040"/>
      <c r="M122" s="2040"/>
      <c r="N122" s="2040"/>
    </row>
    <row r="123" spans="1:15" outlineLevel="1">
      <c r="A123" s="801">
        <v>48</v>
      </c>
      <c r="B123" s="2945" t="s">
        <v>2932</v>
      </c>
      <c r="C123" s="2946"/>
      <c r="D123" s="1940" t="s">
        <v>234</v>
      </c>
      <c r="E123" s="1940" t="s">
        <v>197</v>
      </c>
      <c r="F123" s="3889">
        <v>-6244811.4400000004</v>
      </c>
      <c r="G123" s="3889">
        <f>-F123</f>
        <v>6244811.4400000004</v>
      </c>
      <c r="H123" s="2951"/>
      <c r="I123" s="2950" t="s">
        <v>2821</v>
      </c>
      <c r="L123" s="2040"/>
      <c r="M123" s="2040"/>
      <c r="N123" s="2040"/>
    </row>
    <row r="124" spans="1:15" ht="25.5" outlineLevel="1">
      <c r="A124" s="801">
        <v>49</v>
      </c>
      <c r="B124" s="2945" t="s">
        <v>2933</v>
      </c>
      <c r="C124" s="2946"/>
      <c r="D124" s="1940" t="s">
        <v>200</v>
      </c>
      <c r="E124" s="1940" t="s">
        <v>197</v>
      </c>
      <c r="F124" s="3889">
        <v>-2874723</v>
      </c>
      <c r="G124" s="3889">
        <f>-F124</f>
        <v>2874723</v>
      </c>
      <c r="H124" s="2951"/>
      <c r="I124" s="2950" t="s">
        <v>2821</v>
      </c>
      <c r="L124" s="2040"/>
      <c r="M124" s="2040"/>
      <c r="N124" s="2040"/>
    </row>
    <row r="125" spans="1:15" ht="25.5" outlineLevel="1">
      <c r="A125" s="801">
        <v>50</v>
      </c>
      <c r="B125" s="2945" t="s">
        <v>2934</v>
      </c>
      <c r="C125" s="2946"/>
      <c r="D125" s="1940" t="s">
        <v>195</v>
      </c>
      <c r="E125" s="1940" t="s">
        <v>197</v>
      </c>
      <c r="F125" s="3889">
        <v>-470000</v>
      </c>
      <c r="G125" s="3889">
        <f>-F125</f>
        <v>470000</v>
      </c>
      <c r="H125" s="2951"/>
      <c r="I125" s="2950" t="s">
        <v>2821</v>
      </c>
      <c r="L125" s="2040"/>
      <c r="M125" s="2040"/>
      <c r="N125" s="2040"/>
    </row>
    <row r="126" spans="1:15" outlineLevel="1">
      <c r="A126" s="801"/>
      <c r="B126" s="2945"/>
      <c r="C126" s="2946"/>
      <c r="D126" s="1940"/>
      <c r="E126" s="1940"/>
      <c r="F126" s="3889"/>
      <c r="G126" s="3889"/>
      <c r="H126" s="2951"/>
      <c r="I126" s="2950"/>
      <c r="L126" s="2040"/>
      <c r="M126" s="2040"/>
      <c r="N126" s="2040"/>
    </row>
    <row r="127" spans="1:15" ht="25.5" outlineLevel="1">
      <c r="A127" s="801">
        <v>51</v>
      </c>
      <c r="B127" s="2945" t="s">
        <v>3039</v>
      </c>
      <c r="C127" s="2946"/>
      <c r="D127" s="1940" t="s">
        <v>233</v>
      </c>
      <c r="E127" s="1940" t="s">
        <v>2964</v>
      </c>
      <c r="F127" s="3889">
        <v>-1611661.5800000026</v>
      </c>
      <c r="G127" s="3889">
        <v>1611661.58</v>
      </c>
      <c r="H127" s="2951"/>
      <c r="I127" s="2950" t="s">
        <v>2822</v>
      </c>
      <c r="L127" s="2040"/>
      <c r="M127" s="2040"/>
      <c r="N127" s="2040"/>
    </row>
    <row r="128" spans="1:15" ht="33.75" customHeight="1" outlineLevel="1">
      <c r="A128" s="801">
        <v>51</v>
      </c>
      <c r="B128" s="2945" t="s">
        <v>3039</v>
      </c>
      <c r="C128" s="2946"/>
      <c r="D128" s="1940" t="s">
        <v>224</v>
      </c>
      <c r="E128" s="1940" t="s">
        <v>2964</v>
      </c>
      <c r="F128" s="3889">
        <v>-794838.41999999702</v>
      </c>
      <c r="G128" s="3889">
        <v>794838.41999999702</v>
      </c>
      <c r="H128" s="2951"/>
      <c r="I128" s="2950" t="s">
        <v>2822</v>
      </c>
      <c r="L128" s="2040"/>
      <c r="M128" s="2040"/>
      <c r="N128" s="2040"/>
    </row>
    <row r="129" spans="1:14" outlineLevel="1">
      <c r="A129" s="801"/>
      <c r="B129" s="2945"/>
      <c r="C129" s="2946"/>
      <c r="D129" s="1940"/>
      <c r="E129" s="1940"/>
      <c r="F129" s="3889"/>
      <c r="G129" s="3889"/>
      <c r="H129" s="2951"/>
      <c r="I129" s="2950"/>
      <c r="L129" s="2040"/>
      <c r="M129" s="2040"/>
      <c r="N129" s="2040"/>
    </row>
    <row r="130" spans="1:14" ht="36.75" customHeight="1" outlineLevel="1">
      <c r="A130" s="801">
        <v>52</v>
      </c>
      <c r="B130" s="2945" t="s">
        <v>3040</v>
      </c>
      <c r="C130" s="2946"/>
      <c r="D130" s="1940" t="s">
        <v>151</v>
      </c>
      <c r="E130" s="1940" t="s">
        <v>233</v>
      </c>
      <c r="F130" s="3889">
        <v>-643.11999999999898</v>
      </c>
      <c r="G130" s="3889">
        <v>643.11999999999898</v>
      </c>
      <c r="H130" s="2951"/>
      <c r="I130" s="2950" t="s">
        <v>2822</v>
      </c>
      <c r="L130" s="2040"/>
      <c r="M130" s="2040"/>
      <c r="N130" s="2040"/>
    </row>
    <row r="131" spans="1:14" ht="8.25" customHeight="1" outlineLevel="1">
      <c r="A131" s="801"/>
      <c r="B131" s="2945"/>
      <c r="C131" s="2946"/>
      <c r="D131" s="1940"/>
      <c r="E131" s="1940"/>
      <c r="F131" s="3889"/>
      <c r="G131" s="3889"/>
      <c r="H131" s="2951"/>
      <c r="I131" s="2950"/>
      <c r="L131" s="2040"/>
      <c r="M131" s="2040"/>
      <c r="N131" s="2040"/>
    </row>
    <row r="132" spans="1:14" ht="25.5" customHeight="1" outlineLevel="1">
      <c r="A132" s="801">
        <v>53</v>
      </c>
      <c r="B132" s="2945" t="s">
        <v>3212</v>
      </c>
      <c r="C132" s="2946"/>
      <c r="D132" s="1940" t="s">
        <v>233</v>
      </c>
      <c r="E132" s="1940" t="s">
        <v>3204</v>
      </c>
      <c r="F132" s="3889">
        <v>-4004000</v>
      </c>
      <c r="G132" s="3889">
        <v>4004000</v>
      </c>
      <c r="H132" s="2951"/>
      <c r="I132" s="2950" t="s">
        <v>2824</v>
      </c>
      <c r="L132" s="2040"/>
      <c r="M132" s="2040"/>
      <c r="N132" s="2040"/>
    </row>
    <row r="133" spans="1:14" ht="25.5" customHeight="1" outlineLevel="1">
      <c r="A133" s="801">
        <v>54</v>
      </c>
      <c r="B133" s="2945" t="s">
        <v>3213</v>
      </c>
      <c r="C133" s="2946"/>
      <c r="D133" s="1940" t="s">
        <v>233</v>
      </c>
      <c r="E133" s="1940" t="s">
        <v>3206</v>
      </c>
      <c r="F133" s="3889">
        <v>-1078892.27</v>
      </c>
      <c r="G133" s="3889">
        <v>1078892.27</v>
      </c>
      <c r="H133" s="2951"/>
      <c r="I133" s="2950" t="s">
        <v>2824</v>
      </c>
      <c r="L133" s="2040"/>
      <c r="M133" s="2040"/>
      <c r="N133" s="2040"/>
    </row>
    <row r="134" spans="1:14" ht="25.5" customHeight="1" outlineLevel="1">
      <c r="A134" s="801">
        <v>55</v>
      </c>
      <c r="B134" s="2945" t="s">
        <v>3385</v>
      </c>
      <c r="C134" s="2946"/>
      <c r="D134" s="1940" t="s">
        <v>233</v>
      </c>
      <c r="E134" s="1940" t="s">
        <v>3205</v>
      </c>
      <c r="F134" s="3889">
        <v>-23125000</v>
      </c>
      <c r="G134" s="3889">
        <v>23125000</v>
      </c>
      <c r="H134" s="2951"/>
      <c r="I134" s="2950" t="s">
        <v>2824</v>
      </c>
      <c r="L134" s="2040"/>
      <c r="M134" s="2040"/>
      <c r="N134" s="2040"/>
    </row>
    <row r="135" spans="1:14" ht="11.25" customHeight="1" outlineLevel="1">
      <c r="A135" s="801"/>
      <c r="B135" s="2945"/>
      <c r="C135" s="2946"/>
      <c r="D135" s="1940"/>
      <c r="E135" s="1940"/>
      <c r="F135" s="3889"/>
      <c r="G135" s="3889"/>
      <c r="H135" s="2951"/>
      <c r="I135" s="2950"/>
      <c r="L135" s="2040"/>
      <c r="M135" s="2040"/>
      <c r="N135" s="2040"/>
    </row>
    <row r="136" spans="1:14" ht="25.5" customHeight="1" outlineLevel="1">
      <c r="A136" s="801">
        <v>56</v>
      </c>
      <c r="B136" s="2945" t="s">
        <v>3607</v>
      </c>
      <c r="C136" s="2946"/>
      <c r="D136" s="1940" t="s">
        <v>233</v>
      </c>
      <c r="E136" s="1940" t="s">
        <v>3217</v>
      </c>
      <c r="F136" s="3889">
        <v>-7129950</v>
      </c>
      <c r="G136" s="3889">
        <v>7129950</v>
      </c>
      <c r="H136" s="2951"/>
      <c r="I136" s="2950" t="s">
        <v>2826</v>
      </c>
      <c r="L136" s="2040"/>
      <c r="M136" s="2040"/>
      <c r="N136" s="2040"/>
    </row>
    <row r="137" spans="1:14" ht="25.5" customHeight="1" outlineLevel="1">
      <c r="A137" s="801">
        <v>57</v>
      </c>
      <c r="B137" s="2945" t="s">
        <v>3610</v>
      </c>
      <c r="C137" s="2946"/>
      <c r="D137" s="1940" t="s">
        <v>233</v>
      </c>
      <c r="E137" s="1940" t="s">
        <v>3608</v>
      </c>
      <c r="F137" s="3889">
        <v>-63223</v>
      </c>
      <c r="G137" s="3889">
        <v>63223</v>
      </c>
      <c r="H137" s="2951"/>
      <c r="I137" s="2950" t="s">
        <v>2826</v>
      </c>
      <c r="L137" s="2040"/>
      <c r="M137" s="2040"/>
      <c r="N137" s="2040"/>
    </row>
    <row r="138" spans="1:14" ht="9.75" customHeight="1" outlineLevel="1">
      <c r="A138" s="801"/>
      <c r="B138" s="2945"/>
      <c r="C138" s="2946"/>
      <c r="D138" s="1940"/>
      <c r="E138" s="1940"/>
      <c r="F138" s="3889"/>
      <c r="G138" s="3889"/>
      <c r="H138" s="2951"/>
      <c r="I138" s="2950"/>
      <c r="L138" s="2040"/>
      <c r="M138" s="2040"/>
      <c r="N138" s="2040"/>
    </row>
    <row r="139" spans="1:14" ht="25.5" outlineLevel="1">
      <c r="A139" s="801">
        <v>58</v>
      </c>
      <c r="B139" s="2945" t="s">
        <v>3693</v>
      </c>
      <c r="C139" s="2946"/>
      <c r="D139" s="1940" t="s">
        <v>224</v>
      </c>
      <c r="E139" s="1940" t="s">
        <v>3691</v>
      </c>
      <c r="F139" s="3889">
        <v>-54000</v>
      </c>
      <c r="G139" s="3889">
        <v>54000</v>
      </c>
      <c r="H139" s="2951"/>
      <c r="I139" s="2950" t="s">
        <v>3690</v>
      </c>
      <c r="L139" s="2040"/>
      <c r="M139" s="2040"/>
      <c r="N139" s="2040"/>
    </row>
    <row r="140" spans="1:14" outlineLevel="1">
      <c r="A140" s="801">
        <v>59</v>
      </c>
      <c r="B140" s="2945" t="s">
        <v>3694</v>
      </c>
      <c r="C140" s="2946"/>
      <c r="D140" s="1940" t="s">
        <v>3695</v>
      </c>
      <c r="E140" s="1940" t="s">
        <v>233</v>
      </c>
      <c r="F140" s="3889">
        <v>0</v>
      </c>
      <c r="G140" s="3889">
        <v>26351961</v>
      </c>
      <c r="H140" s="2951"/>
      <c r="I140" s="2950" t="s">
        <v>3690</v>
      </c>
      <c r="L140" s="2040"/>
      <c r="M140" s="2040"/>
      <c r="N140" s="2040"/>
    </row>
    <row r="141" spans="1:14" outlineLevel="1">
      <c r="A141" s="801">
        <v>60</v>
      </c>
      <c r="B141" s="2945" t="s">
        <v>3694</v>
      </c>
      <c r="C141" s="2946"/>
      <c r="D141" s="1940" t="s">
        <v>3695</v>
      </c>
      <c r="E141" s="1940" t="s">
        <v>234</v>
      </c>
      <c r="F141" s="3889">
        <v>0</v>
      </c>
      <c r="G141" s="3889">
        <v>429156</v>
      </c>
      <c r="H141" s="2951"/>
      <c r="I141" s="2950" t="s">
        <v>3690</v>
      </c>
      <c r="L141" s="2040"/>
      <c r="M141" s="2040"/>
      <c r="N141" s="2040"/>
    </row>
    <row r="142" spans="1:14" ht="12.75" customHeight="1">
      <c r="A142" s="801"/>
      <c r="B142" s="2945"/>
      <c r="C142" s="2945"/>
      <c r="D142" s="1940"/>
      <c r="E142" s="2118"/>
      <c r="F142" s="3885"/>
      <c r="G142" s="3889"/>
      <c r="H142" s="2951"/>
      <c r="I142" s="2952"/>
      <c r="K142" s="2040">
        <v>1511591.4168085195</v>
      </c>
      <c r="L142" s="2040"/>
      <c r="M142" s="2040"/>
      <c r="N142" s="2040"/>
    </row>
    <row r="143" spans="1:14" outlineLevel="1">
      <c r="A143" s="801">
        <v>61</v>
      </c>
      <c r="B143" s="2945" t="s">
        <v>3694</v>
      </c>
      <c r="C143" s="2946"/>
      <c r="D143" s="1940" t="s">
        <v>3695</v>
      </c>
      <c r="E143" s="1940" t="s">
        <v>233</v>
      </c>
      <c r="F143" s="3889">
        <v>0</v>
      </c>
      <c r="G143" s="3889">
        <v>40000000</v>
      </c>
      <c r="H143" s="2951"/>
      <c r="I143" s="2950" t="s">
        <v>3725</v>
      </c>
      <c r="L143" s="2040"/>
      <c r="M143" s="2040"/>
      <c r="N143" s="2040"/>
    </row>
    <row r="144" spans="1:14" outlineLevel="1">
      <c r="A144" s="801"/>
      <c r="B144" s="2945"/>
      <c r="C144" s="2946"/>
      <c r="D144" s="1940"/>
      <c r="E144" s="1940"/>
      <c r="F144" s="3889"/>
      <c r="G144" s="3889"/>
      <c r="H144" s="2951"/>
      <c r="I144" s="2950"/>
      <c r="L144" s="2040"/>
      <c r="M144" s="2040"/>
      <c r="N144" s="2040"/>
    </row>
    <row r="145" spans="1:14" outlineLevel="1">
      <c r="A145" s="801"/>
      <c r="B145" s="2945"/>
      <c r="C145" s="2946"/>
      <c r="D145" s="1940"/>
      <c r="E145" s="1940"/>
      <c r="F145" s="3889"/>
      <c r="G145" s="3889"/>
      <c r="H145" s="2951"/>
      <c r="I145" s="2950"/>
      <c r="L145" s="2040"/>
      <c r="M145" s="2040"/>
      <c r="N145" s="2040"/>
    </row>
    <row r="146" spans="1:14" ht="24" customHeight="1" thickBot="1">
      <c r="A146" s="2948"/>
      <c r="B146" s="1049" t="s">
        <v>1414</v>
      </c>
      <c r="C146" s="1049"/>
      <c r="D146" s="1049"/>
      <c r="E146" s="1049"/>
      <c r="F146" s="3892">
        <f>SUM(F56:F143)</f>
        <v>-522951148.94680858</v>
      </c>
      <c r="G146" s="3892">
        <f>SUM(G56:G143)</f>
        <v>729172467.29680836</v>
      </c>
      <c r="H146" s="1050"/>
      <c r="I146" s="2953"/>
    </row>
    <row r="147" spans="1:14">
      <c r="A147" s="2927"/>
      <c r="D147" s="11"/>
      <c r="E147" s="2928"/>
      <c r="F147" s="3901"/>
      <c r="G147" s="3902">
        <f>+G146+F146</f>
        <v>206221318.34999979</v>
      </c>
      <c r="H147" s="2929"/>
      <c r="I147" s="2930"/>
    </row>
    <row r="148" spans="1:14">
      <c r="E148" s="6">
        <v>794838.41999999736</v>
      </c>
      <c r="F148" s="3875">
        <f>SUM(F56:F143)</f>
        <v>-522951148.94680858</v>
      </c>
      <c r="G148" s="3875">
        <f>SUM(G56:G142)</f>
        <v>689172467.29680836</v>
      </c>
    </row>
    <row r="149" spans="1:14">
      <c r="G149" s="3875">
        <f>+G148+F148</f>
        <v>166221318.34999979</v>
      </c>
      <c r="J149" s="2040">
        <v>7522474.1999999881</v>
      </c>
    </row>
    <row r="150" spans="1:14">
      <c r="E150" s="6">
        <f>+E148-G154</f>
        <v>-1611661.5800000026</v>
      </c>
      <c r="F150" s="3875">
        <f>+F56+F62+F85+F86+F93+F94+F95+F97+F101+F102+F107+F114+F115</f>
        <v>-342565351.38000011</v>
      </c>
      <c r="G150" s="3875">
        <f>+G114+G81</f>
        <v>95425177.566808522</v>
      </c>
      <c r="H150" s="6">
        <f>+G150+F150</f>
        <v>-247140173.81319159</v>
      </c>
      <c r="J150" s="2040"/>
    </row>
    <row r="151" spans="1:14">
      <c r="J151" s="2040"/>
    </row>
    <row r="152" spans="1:14">
      <c r="F152" s="3875">
        <f>+F106+F90+F89+F88+F87+F63</f>
        <v>-63297718</v>
      </c>
      <c r="G152" s="3875">
        <f>+G82</f>
        <v>38306169</v>
      </c>
      <c r="H152" s="6">
        <f>+G152+F152</f>
        <v>-24991549</v>
      </c>
      <c r="J152" s="2040"/>
    </row>
    <row r="153" spans="1:14">
      <c r="J153" s="2040"/>
    </row>
    <row r="154" spans="1:14">
      <c r="G154" s="3875">
        <v>2406500</v>
      </c>
      <c r="J154" s="2040"/>
    </row>
    <row r="155" spans="1:14">
      <c r="J155" s="2040"/>
    </row>
    <row r="157" spans="1:14">
      <c r="A157" s="1935"/>
      <c r="B157" s="1936"/>
      <c r="C157" s="2925"/>
      <c r="D157" s="1937"/>
      <c r="E157" s="1937"/>
      <c r="F157" s="3890"/>
      <c r="G157" s="3890"/>
      <c r="H157" s="1938"/>
      <c r="I157" s="1939"/>
    </row>
    <row r="158" spans="1:14" ht="38.25">
      <c r="A158" s="2035">
        <v>12</v>
      </c>
      <c r="B158" s="2036" t="s">
        <v>1852</v>
      </c>
      <c r="C158" s="2036"/>
      <c r="D158" s="2037" t="s">
        <v>222</v>
      </c>
      <c r="E158" s="2037" t="s">
        <v>628</v>
      </c>
      <c r="F158" s="3903"/>
      <c r="G158" s="3904" t="s">
        <v>1853</v>
      </c>
      <c r="H158" s="2038">
        <v>44959</v>
      </c>
      <c r="I158" s="2039" t="s">
        <v>124</v>
      </c>
    </row>
    <row r="159" spans="1:14" ht="38.25">
      <c r="A159" s="2035">
        <v>13</v>
      </c>
      <c r="B159" s="2036" t="s">
        <v>1854</v>
      </c>
      <c r="C159" s="2036"/>
      <c r="D159" s="2037" t="s">
        <v>222</v>
      </c>
      <c r="E159" s="2037" t="s">
        <v>632</v>
      </c>
      <c r="F159" s="3905"/>
      <c r="G159" s="3904" t="s">
        <v>1855</v>
      </c>
      <c r="H159" s="2038">
        <v>44959</v>
      </c>
      <c r="I159" s="2039" t="s">
        <v>124</v>
      </c>
    </row>
    <row r="160" spans="1:14" ht="38.25">
      <c r="A160" s="2035">
        <v>14</v>
      </c>
      <c r="B160" s="2036" t="s">
        <v>1856</v>
      </c>
      <c r="C160" s="2036"/>
      <c r="D160" s="2037" t="s">
        <v>222</v>
      </c>
      <c r="E160" s="2037" t="s">
        <v>635</v>
      </c>
      <c r="F160" s="3904"/>
      <c r="G160" s="3904" t="s">
        <v>1857</v>
      </c>
      <c r="H160" s="2038">
        <v>44959</v>
      </c>
      <c r="I160" s="2039" t="s">
        <v>124</v>
      </c>
    </row>
    <row r="161" spans="1:10" ht="38.25">
      <c r="A161" s="2035">
        <v>15</v>
      </c>
      <c r="B161" s="2036" t="s">
        <v>1858</v>
      </c>
      <c r="C161" s="2036"/>
      <c r="D161" s="2037" t="s">
        <v>222</v>
      </c>
      <c r="E161" s="2037" t="s">
        <v>180</v>
      </c>
      <c r="F161" s="3904"/>
      <c r="G161" s="3904">
        <v>4445483.92</v>
      </c>
      <c r="H161" s="2038">
        <v>44959</v>
      </c>
      <c r="I161" s="2039" t="s">
        <v>124</v>
      </c>
    </row>
    <row r="162" spans="1:10" ht="38.25">
      <c r="A162" s="2035">
        <v>16</v>
      </c>
      <c r="B162" s="2036" t="s">
        <v>1859</v>
      </c>
      <c r="C162" s="2036"/>
      <c r="D162" s="2037" t="s">
        <v>222</v>
      </c>
      <c r="E162" s="2037" t="s">
        <v>183</v>
      </c>
      <c r="F162" s="3904"/>
      <c r="G162" s="3904">
        <v>25277152.84</v>
      </c>
      <c r="H162" s="2038">
        <v>44959</v>
      </c>
      <c r="I162" s="2039" t="s">
        <v>124</v>
      </c>
    </row>
    <row r="163" spans="1:10" ht="38.25">
      <c r="A163" s="2035">
        <v>17</v>
      </c>
      <c r="B163" s="2036" t="s">
        <v>1860</v>
      </c>
      <c r="C163" s="2036"/>
      <c r="D163" s="2037" t="s">
        <v>222</v>
      </c>
      <c r="E163" s="2037" t="s">
        <v>186</v>
      </c>
      <c r="F163" s="3904"/>
      <c r="G163" s="3904">
        <v>16518492.02</v>
      </c>
      <c r="H163" s="2038">
        <v>44959</v>
      </c>
      <c r="I163" s="2039" t="s">
        <v>124</v>
      </c>
    </row>
    <row r="164" spans="1:10" ht="38.25">
      <c r="A164" s="2035">
        <v>18</v>
      </c>
      <c r="B164" s="2036" t="s">
        <v>1861</v>
      </c>
      <c r="C164" s="2036"/>
      <c r="D164" s="2037" t="s">
        <v>222</v>
      </c>
      <c r="E164" s="2037" t="s">
        <v>195</v>
      </c>
      <c r="F164" s="3904"/>
      <c r="G164" s="3904">
        <v>130000</v>
      </c>
      <c r="H164" s="2038">
        <v>44959</v>
      </c>
      <c r="I164" s="2039" t="s">
        <v>124</v>
      </c>
    </row>
    <row r="165" spans="1:10" ht="38.25">
      <c r="A165" s="2035">
        <v>19</v>
      </c>
      <c r="B165" s="2036" t="s">
        <v>1862</v>
      </c>
      <c r="C165" s="2036"/>
      <c r="D165" s="2037" t="s">
        <v>222</v>
      </c>
      <c r="E165" s="2037" t="s">
        <v>195</v>
      </c>
      <c r="F165" s="3904"/>
      <c r="G165" s="3904">
        <v>-522340</v>
      </c>
      <c r="H165" s="2038">
        <v>44959</v>
      </c>
      <c r="I165" s="2039" t="s">
        <v>124</v>
      </c>
    </row>
    <row r="166" spans="1:10" ht="51">
      <c r="A166" s="2035">
        <v>20</v>
      </c>
      <c r="B166" s="2036" t="s">
        <v>1863</v>
      </c>
      <c r="C166" s="2036"/>
      <c r="D166" s="2037" t="s">
        <v>222</v>
      </c>
      <c r="E166" s="2037" t="s">
        <v>195</v>
      </c>
      <c r="F166" s="3904">
        <f>-F70-F66</f>
        <v>17803624.850000001</v>
      </c>
      <c r="G166" s="3904">
        <f>-G70-G66</f>
        <v>-17803624.850000001</v>
      </c>
      <c r="H166" s="2038">
        <v>44959</v>
      </c>
      <c r="I166" s="2039" t="s">
        <v>124</v>
      </c>
    </row>
    <row r="167" spans="1:10" ht="25.5">
      <c r="A167" s="801"/>
      <c r="B167" s="797" t="s">
        <v>1864</v>
      </c>
      <c r="C167" s="797"/>
      <c r="D167" s="2118" t="s">
        <v>223</v>
      </c>
      <c r="E167" s="2118" t="s">
        <v>85</v>
      </c>
      <c r="F167" s="3885">
        <v>-367150</v>
      </c>
      <c r="G167" s="3885">
        <v>367150</v>
      </c>
      <c r="H167" s="1187">
        <v>45012</v>
      </c>
      <c r="I167" s="2119" t="s">
        <v>131</v>
      </c>
    </row>
    <row r="170" spans="1:10" ht="25.5">
      <c r="A170" s="801"/>
      <c r="B170" s="797" t="s">
        <v>1864</v>
      </c>
      <c r="C170" s="797"/>
      <c r="D170" s="2118" t="s">
        <v>223</v>
      </c>
      <c r="E170" s="2118" t="s">
        <v>85</v>
      </c>
      <c r="F170" s="3885">
        <v>-367150</v>
      </c>
      <c r="G170" s="3885">
        <v>367150</v>
      </c>
      <c r="H170" s="1187">
        <v>45012</v>
      </c>
      <c r="I170" s="2119" t="s">
        <v>131</v>
      </c>
    </row>
    <row r="172" spans="1:10" ht="25.5">
      <c r="B172" s="797" t="s">
        <v>2036</v>
      </c>
      <c r="C172" s="797"/>
      <c r="D172" s="2118" t="s">
        <v>223</v>
      </c>
      <c r="E172" s="2118" t="s">
        <v>180</v>
      </c>
      <c r="F172" s="3885">
        <v>-2675473</v>
      </c>
      <c r="G172" s="3885">
        <v>2675473</v>
      </c>
      <c r="H172" s="1187">
        <v>45043</v>
      </c>
      <c r="I172" s="2119" t="s">
        <v>137</v>
      </c>
    </row>
    <row r="173" spans="1:10" ht="25.5">
      <c r="B173" s="797" t="s">
        <v>2037</v>
      </c>
      <c r="C173" s="797"/>
      <c r="D173" s="2118" t="s">
        <v>223</v>
      </c>
      <c r="E173" s="2118" t="s">
        <v>2003</v>
      </c>
      <c r="F173" s="3885">
        <v>-127291.9</v>
      </c>
      <c r="G173" s="3885">
        <v>127291.9</v>
      </c>
      <c r="H173" s="1187">
        <v>45012</v>
      </c>
      <c r="I173" s="2119" t="s">
        <v>137</v>
      </c>
    </row>
    <row r="175" spans="1:10" ht="25.5">
      <c r="B175" s="797" t="s">
        <v>2038</v>
      </c>
      <c r="C175" s="797"/>
      <c r="D175" s="2118" t="s">
        <v>223</v>
      </c>
      <c r="E175" s="2118" t="s">
        <v>85</v>
      </c>
      <c r="F175" s="3885">
        <v>-4695209</v>
      </c>
      <c r="G175" s="3885">
        <v>4695209</v>
      </c>
      <c r="H175" s="1187"/>
      <c r="I175" s="2119" t="s">
        <v>142</v>
      </c>
    </row>
    <row r="176" spans="1:10" ht="25.5">
      <c r="B176" s="797" t="s">
        <v>2039</v>
      </c>
      <c r="C176" s="797"/>
      <c r="D176" s="2118" t="s">
        <v>223</v>
      </c>
      <c r="E176" s="2118"/>
      <c r="F176" s="3885">
        <v>-760489</v>
      </c>
      <c r="G176" s="3885">
        <v>760489</v>
      </c>
      <c r="H176" s="1187"/>
      <c r="I176" s="2119" t="s">
        <v>142</v>
      </c>
      <c r="J176" s="7" t="s">
        <v>2040</v>
      </c>
    </row>
    <row r="181" spans="1:10" ht="25.5">
      <c r="A181" s="801"/>
      <c r="B181" s="797" t="s">
        <v>1845</v>
      </c>
      <c r="C181" s="2924"/>
      <c r="D181" s="1189" t="s">
        <v>223</v>
      </c>
      <c r="E181" s="1189" t="s">
        <v>134</v>
      </c>
      <c r="F181" s="3885">
        <v>-106231.5</v>
      </c>
      <c r="G181" s="3885">
        <v>106231.5</v>
      </c>
      <c r="H181" s="1187">
        <v>44587</v>
      </c>
      <c r="I181" s="1196" t="s">
        <v>117</v>
      </c>
    </row>
    <row r="182" spans="1:10" ht="25.5">
      <c r="A182" s="801"/>
      <c r="B182" s="797" t="s">
        <v>1846</v>
      </c>
      <c r="C182" s="2924"/>
      <c r="D182" s="1189" t="s">
        <v>223</v>
      </c>
      <c r="E182" s="1189" t="s">
        <v>139</v>
      </c>
      <c r="F182" s="3885">
        <v>-4870433.67</v>
      </c>
      <c r="G182" s="3885">
        <v>4870433.67</v>
      </c>
      <c r="H182" s="1187">
        <v>44587</v>
      </c>
      <c r="I182" s="1196" t="s">
        <v>117</v>
      </c>
    </row>
    <row r="183" spans="1:10" ht="25.5">
      <c r="A183" s="801"/>
      <c r="B183" s="797" t="s">
        <v>1864</v>
      </c>
      <c r="C183" s="797"/>
      <c r="D183" s="2118" t="s">
        <v>223</v>
      </c>
      <c r="E183" s="2118" t="s">
        <v>85</v>
      </c>
      <c r="F183" s="3885">
        <v>-367150</v>
      </c>
      <c r="G183" s="3885">
        <v>367150</v>
      </c>
      <c r="H183" s="1187">
        <v>45012</v>
      </c>
      <c r="I183" s="2119" t="s">
        <v>131</v>
      </c>
    </row>
    <row r="184" spans="1:10" ht="25.5">
      <c r="A184" s="801"/>
      <c r="B184" s="797" t="s">
        <v>1864</v>
      </c>
      <c r="C184" s="797"/>
      <c r="D184" s="2118" t="s">
        <v>223</v>
      </c>
      <c r="E184" s="2118" t="s">
        <v>85</v>
      </c>
      <c r="F184" s="3885">
        <v>-367150</v>
      </c>
      <c r="G184" s="3885">
        <v>367150</v>
      </c>
      <c r="H184" s="1187">
        <v>45012</v>
      </c>
      <c r="I184" s="2119" t="s">
        <v>131</v>
      </c>
    </row>
    <row r="185" spans="1:10" ht="25.5">
      <c r="B185" s="797" t="s">
        <v>2036</v>
      </c>
      <c r="C185" s="797"/>
      <c r="D185" s="2118" t="s">
        <v>223</v>
      </c>
      <c r="E185" s="2118" t="s">
        <v>180</v>
      </c>
      <c r="F185" s="3885">
        <v>-2675473</v>
      </c>
      <c r="G185" s="3885">
        <v>2675473</v>
      </c>
      <c r="H185" s="1187">
        <v>45043</v>
      </c>
      <c r="I185" s="2119" t="s">
        <v>137</v>
      </c>
    </row>
    <row r="186" spans="1:10" ht="25.5">
      <c r="B186" s="797" t="s">
        <v>2037</v>
      </c>
      <c r="C186" s="797"/>
      <c r="D186" s="2118" t="s">
        <v>223</v>
      </c>
      <c r="E186" s="2118" t="s">
        <v>2003</v>
      </c>
      <c r="F186" s="3885">
        <v>-127291.9</v>
      </c>
      <c r="G186" s="3885">
        <v>127291.9</v>
      </c>
      <c r="H186" s="1187">
        <v>45012</v>
      </c>
      <c r="I186" s="2119" t="s">
        <v>137</v>
      </c>
    </row>
    <row r="187" spans="1:10" ht="25.5">
      <c r="B187" s="797" t="s">
        <v>2038</v>
      </c>
      <c r="C187" s="797"/>
      <c r="D187" s="2118" t="s">
        <v>223</v>
      </c>
      <c r="E187" s="2118" t="s">
        <v>85</v>
      </c>
      <c r="F187" s="3885">
        <v>-4695209</v>
      </c>
      <c r="G187" s="3885">
        <v>4695209</v>
      </c>
      <c r="H187" s="1187"/>
      <c r="I187" s="2119" t="s">
        <v>142</v>
      </c>
    </row>
    <row r="188" spans="1:10" ht="25.5">
      <c r="B188" s="797" t="s">
        <v>2039</v>
      </c>
      <c r="C188" s="797"/>
      <c r="D188" s="2118" t="s">
        <v>223</v>
      </c>
      <c r="E188" s="2118"/>
      <c r="F188" s="3885">
        <v>-760489</v>
      </c>
      <c r="G188" s="3885">
        <v>760489</v>
      </c>
      <c r="H188" s="1187"/>
      <c r="I188" s="2119" t="s">
        <v>142</v>
      </c>
      <c r="J188" s="7" t="s">
        <v>2040</v>
      </c>
    </row>
  </sheetData>
  <autoFilter ref="A55:I146" xr:uid="{30B45628-1285-4451-8D7E-F343609171AC}"/>
  <dataValidations count="1">
    <dataValidation showInputMessage="1" showErrorMessage="1" sqref="F31:F41 G22:G24 G161:G166 F172:G173 F170:G170 G26 F13:F29 F181:G188 F167:G167 F157:F166 F175:G176 F49:G50 G34:G40 F58:G60 F62:G66 F147:G147 F56:F67 F68:G145" xr:uid="{874C7B67-7687-4C7C-BE11-0D25A42BB59F}"/>
  </dataValidations>
  <printOptions horizontalCentered="1"/>
  <pageMargins left="0.25" right="0.25" top="0.75" bottom="0.75" header="0.3" footer="0.3"/>
  <pageSetup paperSize="8" scale="86" fitToHeight="2" orientation="landscape" r:id="rId1"/>
  <headerFooter>
    <oddHeader>&amp;C&amp;"Calibri,Bold"&amp;18MONTHLY REPORT - BUDGET TRANSFER TRACKER</oddHeader>
    <oddFooter>&amp;L1TB.01.003.01 - AYC 
MARCH'25 REPORT&amp;C&amp;A&amp;RPage &amp;P of &amp;N</oddFooter>
  </headerFooter>
  <rowBreaks count="2" manualBreakCount="2">
    <brk id="81" max="8" man="1"/>
    <brk id="110" max="8" man="1"/>
  </rowBreaks>
  <extLst>
    <ext xmlns:x14="http://schemas.microsoft.com/office/spreadsheetml/2009/9/main" uri="{CCE6A557-97BC-4b89-ADB6-D9C93CAAB3DF}">
      <x14:dataValidations xmlns:xm="http://schemas.microsoft.com/office/excel/2006/main" count="2">
        <x14:dataValidation type="list" allowBlank="1" showInputMessage="1" showErrorMessage="1" xr:uid="{908E95FB-8853-4827-9DD6-5E85AE9A22AF}">
          <x14:formula1>
            <xm:f>dropdowns!$O$3:$O$63</xm:f>
          </x14:formula1>
          <xm:sqref>I13:I32 I56:I82 I175:I176 I170 I181:I188 I172:I173 I157:I167 I38:I40 I147 I85:I141 I143:I145</xm:sqref>
        </x14:dataValidation>
        <x14:dataValidation type="list" allowBlank="1" showInputMessage="1" showErrorMessage="1" xr:uid="{E3750867-5475-4C06-8C2A-F03D997C28BF}">
          <x14:formula1>
            <xm:f>dropdowns!$I$3:$I$157</xm:f>
          </x14:formula1>
          <xm:sqref>D37:E41 D56:E80 D170:E170 D157:E167 D172:E173 D181:E188 D175:E176 D147:E147 D13:E33 D85:E145</xm:sqref>
        </x14:dataValidation>
      </x14:dataValidations>
    </ext>
  </extLst>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3160C-DCC1-4092-B7D0-CBBB7AF6EA3A}">
  <sheetPr codeName="Sheet12">
    <pageSetUpPr fitToPage="1"/>
  </sheetPr>
  <dimension ref="A2:AL37"/>
  <sheetViews>
    <sheetView view="pageBreakPreview" topLeftCell="E14" zoomScale="95" zoomScaleNormal="100" zoomScaleSheetLayoutView="95" workbookViewId="0">
      <selection activeCell="AD27" sqref="AD27"/>
    </sheetView>
  </sheetViews>
  <sheetFormatPr defaultColWidth="9" defaultRowHeight="15"/>
  <cols>
    <col min="1" max="1" width="9" style="696"/>
    <col min="2" max="2" width="14.42578125" style="696" customWidth="1"/>
    <col min="3" max="3" width="19" style="696" customWidth="1"/>
    <col min="4" max="4" width="9" style="696"/>
    <col min="5" max="5" width="14.85546875" style="696" customWidth="1"/>
    <col min="6" max="6" width="22.5703125" style="696" customWidth="1"/>
    <col min="7" max="8" width="9" style="696"/>
    <col min="9" max="9" width="13" style="696" customWidth="1"/>
    <col min="10" max="11" width="9" style="696"/>
    <col min="12" max="12" width="10" style="696" customWidth="1"/>
    <col min="13" max="13" width="8.5703125" style="696" bestFit="1" customWidth="1"/>
    <col min="14" max="14" width="11" style="696" bestFit="1" customWidth="1"/>
    <col min="15" max="15" width="9" style="696" bestFit="1" customWidth="1"/>
    <col min="16" max="16" width="9.5703125" style="696" customWidth="1"/>
    <col min="17" max="17" width="9" style="696"/>
    <col min="18" max="18" width="10.42578125" style="696" customWidth="1"/>
    <col min="19" max="19" width="9" style="696"/>
    <col min="20" max="20" width="11" style="696" customWidth="1"/>
    <col min="21" max="24" width="9" style="696"/>
    <col min="25" max="25" width="12.42578125" style="696" customWidth="1"/>
    <col min="26" max="27" width="9" style="696"/>
    <col min="28" max="28" width="16" style="696" customWidth="1"/>
    <col min="29" max="33" width="9" style="696"/>
    <col min="34" max="34" width="9" style="696" bestFit="1" customWidth="1"/>
    <col min="35" max="35" width="7.85546875" style="696" customWidth="1"/>
    <col min="36" max="36" width="43.42578125" style="696" customWidth="1"/>
    <col min="37" max="37" width="11.85546875" style="696" customWidth="1"/>
    <col min="38" max="16384" width="9" style="696"/>
  </cols>
  <sheetData>
    <row r="2" spans="1:38" ht="17.25">
      <c r="A2" s="157" t="str">
        <f>'Data Input'!A1&amp;" - "&amp;'Data Input'!B1</f>
        <v>PROGRAMME: - MARINA VILLAGE (PROGRAMME 1_TRIPLE BAY)</v>
      </c>
      <c r="C2" s="157"/>
    </row>
    <row r="3" spans="1:38" ht="17.25">
      <c r="A3" s="157" t="str">
        <f>'Data Input'!A2&amp;" - "&amp;'Data Input'!B2</f>
        <v>PROGRAMME CODE: - 1TB01003</v>
      </c>
      <c r="C3" s="157"/>
    </row>
    <row r="4" spans="1:38" ht="17.25">
      <c r="A4" s="157" t="str">
        <f>'Data Input'!A3&amp;" - "&amp;'Data Input'!B3</f>
        <v>ASSET NAME: - AMAALA YACHT CLUB</v>
      </c>
      <c r="C4" s="23"/>
    </row>
    <row r="5" spans="1:38" ht="17.25">
      <c r="A5" s="157" t="str">
        <f>'Data Input'!A4&amp;" - "&amp;'Data Input'!B4</f>
        <v>ASSET CODE: - 1TB01003.01</v>
      </c>
      <c r="B5" s="862"/>
      <c r="C5" s="24"/>
    </row>
    <row r="6" spans="1:38" ht="17.25">
      <c r="A6" s="157" t="str">
        <f>'Data Input'!A7&amp;" - "&amp;'Data Input'!B7</f>
        <v>REPORT NO: - MONTHLY REPORT NO. 49</v>
      </c>
      <c r="B6" s="862"/>
      <c r="C6" s="24"/>
    </row>
    <row r="7" spans="1:38" ht="17.25">
      <c r="A7" s="157" t="str">
        <f>'Data Input'!A8&amp;" - "&amp;'Data Input'!B8</f>
        <v>REPORTING PERIOD: - OCTOBER 2026</v>
      </c>
      <c r="B7" s="862"/>
      <c r="C7" s="24"/>
    </row>
    <row r="11" spans="1:38" ht="15.75" thickBot="1">
      <c r="A11" s="14" t="str">
        <f>Index!A24&amp;" - "&amp;Index!C23</f>
        <v xml:space="preserve">SCHEDULE E - CLAIMS AND DISPUTES - </v>
      </c>
      <c r="P11" s="6105" t="s">
        <v>1337</v>
      </c>
      <c r="Q11" s="6105"/>
      <c r="R11" s="6105"/>
      <c r="S11" s="6105"/>
      <c r="T11" s="6105"/>
      <c r="U11" s="6105"/>
      <c r="V11" s="6105"/>
      <c r="W11" s="6105"/>
      <c r="X11" s="6105"/>
    </row>
    <row r="12" spans="1:38" ht="15" customHeight="1">
      <c r="A12" s="6106" t="s">
        <v>1338</v>
      </c>
      <c r="B12" s="6107"/>
      <c r="C12" s="6107"/>
      <c r="D12" s="6107"/>
      <c r="E12" s="6107"/>
      <c r="F12" s="6108"/>
      <c r="G12" s="6109" t="s">
        <v>1339</v>
      </c>
      <c r="H12" s="6109"/>
      <c r="I12" s="6109"/>
      <c r="J12" s="6109"/>
      <c r="K12" s="6109"/>
      <c r="L12" s="6109"/>
      <c r="M12" s="6109"/>
      <c r="N12" s="6109"/>
      <c r="O12" s="6109"/>
      <c r="P12" s="6110"/>
      <c r="Q12" s="6110"/>
      <c r="R12" s="6110"/>
      <c r="S12" s="6110"/>
      <c r="T12" s="6110"/>
      <c r="U12" s="6110"/>
      <c r="V12" s="6110"/>
      <c r="W12" s="6110"/>
      <c r="X12" s="6110"/>
      <c r="Y12" s="697" t="s">
        <v>1340</v>
      </c>
      <c r="Z12" s="697"/>
      <c r="AA12" s="697"/>
      <c r="AB12" s="6111" t="s">
        <v>1341</v>
      </c>
      <c r="AC12" s="6111"/>
      <c r="AD12" s="6111"/>
      <c r="AE12" s="6104" t="s">
        <v>1342</v>
      </c>
      <c r="AF12" s="6104"/>
      <c r="AG12" s="6104"/>
      <c r="AH12" s="6114" t="s">
        <v>1343</v>
      </c>
      <c r="AI12" s="6114" t="s">
        <v>296</v>
      </c>
      <c r="AJ12" s="6114" t="s">
        <v>1344</v>
      </c>
      <c r="AK12" s="6116" t="s">
        <v>1345</v>
      </c>
      <c r="AL12" s="6112" t="s">
        <v>1346</v>
      </c>
    </row>
    <row r="13" spans="1:38" ht="67.5">
      <c r="A13" s="698" t="s">
        <v>1347</v>
      </c>
      <c r="B13" s="699"/>
      <c r="C13" s="700" t="s">
        <v>1348</v>
      </c>
      <c r="D13" s="700"/>
      <c r="E13" s="700"/>
      <c r="F13" s="700"/>
      <c r="G13" s="701" t="s">
        <v>1349</v>
      </c>
      <c r="H13" s="702" t="s">
        <v>1350</v>
      </c>
      <c r="I13" s="703"/>
      <c r="J13" s="704"/>
      <c r="K13" s="701" t="s">
        <v>1351</v>
      </c>
      <c r="L13" s="701" t="s">
        <v>1352</v>
      </c>
      <c r="M13" s="705" t="s">
        <v>1353</v>
      </c>
      <c r="N13" s="705"/>
      <c r="O13" s="701" t="s">
        <v>1354</v>
      </c>
      <c r="P13" s="706" t="s">
        <v>1355</v>
      </c>
      <c r="Q13" s="706"/>
      <c r="R13" s="707" t="s">
        <v>1352</v>
      </c>
      <c r="S13" s="706" t="s">
        <v>1356</v>
      </c>
      <c r="T13" s="706"/>
      <c r="U13" s="706" t="s">
        <v>1357</v>
      </c>
      <c r="V13" s="706"/>
      <c r="W13" s="706" t="s">
        <v>1358</v>
      </c>
      <c r="X13" s="706"/>
      <c r="Y13" s="708" t="s">
        <v>1359</v>
      </c>
      <c r="Z13" s="709" t="s">
        <v>1360</v>
      </c>
      <c r="AA13" s="709"/>
      <c r="AB13" s="710" t="s">
        <v>1361</v>
      </c>
      <c r="AC13" s="710" t="s">
        <v>1362</v>
      </c>
      <c r="AD13" s="710" t="s">
        <v>1363</v>
      </c>
      <c r="AE13" s="711" t="s">
        <v>1364</v>
      </c>
      <c r="AF13" s="711" t="s">
        <v>1365</v>
      </c>
      <c r="AG13" s="711" t="s">
        <v>1366</v>
      </c>
      <c r="AH13" s="6115"/>
      <c r="AI13" s="6115"/>
      <c r="AJ13" s="6115"/>
      <c r="AK13" s="6117"/>
      <c r="AL13" s="6113"/>
    </row>
    <row r="14" spans="1:38" ht="67.5">
      <c r="A14" s="712" t="s">
        <v>10</v>
      </c>
      <c r="B14" s="713" t="s">
        <v>212</v>
      </c>
      <c r="C14" s="713" t="s">
        <v>1367</v>
      </c>
      <c r="D14" s="713" t="s">
        <v>1368</v>
      </c>
      <c r="E14" s="713" t="s">
        <v>1369</v>
      </c>
      <c r="F14" s="713" t="s">
        <v>1370</v>
      </c>
      <c r="G14" s="713" t="s">
        <v>1371</v>
      </c>
      <c r="H14" s="713" t="s">
        <v>1372</v>
      </c>
      <c r="I14" s="713" t="s">
        <v>1373</v>
      </c>
      <c r="J14" s="713" t="s">
        <v>1374</v>
      </c>
      <c r="K14" s="713" t="s">
        <v>1375</v>
      </c>
      <c r="L14" s="714" t="s">
        <v>1376</v>
      </c>
      <c r="M14" s="713" t="s">
        <v>296</v>
      </c>
      <c r="N14" s="713" t="s">
        <v>1373</v>
      </c>
      <c r="O14" s="713" t="s">
        <v>2356</v>
      </c>
      <c r="P14" s="713" t="s">
        <v>1377</v>
      </c>
      <c r="Q14" s="713" t="s">
        <v>1373</v>
      </c>
      <c r="R14" s="714" t="s">
        <v>1376</v>
      </c>
      <c r="S14" s="713" t="s">
        <v>296</v>
      </c>
      <c r="T14" s="713" t="s">
        <v>1373</v>
      </c>
      <c r="U14" s="713" t="s">
        <v>296</v>
      </c>
      <c r="V14" s="713" t="s">
        <v>1373</v>
      </c>
      <c r="W14" s="713" t="s">
        <v>1378</v>
      </c>
      <c r="X14" s="713" t="s">
        <v>1373</v>
      </c>
      <c r="Y14" s="713" t="s">
        <v>1379</v>
      </c>
      <c r="Z14" s="713" t="s">
        <v>296</v>
      </c>
      <c r="AA14" s="713" t="s">
        <v>1373</v>
      </c>
      <c r="AB14" s="713" t="s">
        <v>434</v>
      </c>
      <c r="AC14" s="713" t="s">
        <v>434</v>
      </c>
      <c r="AD14" s="713" t="s">
        <v>434</v>
      </c>
      <c r="AE14" s="713" t="s">
        <v>1380</v>
      </c>
      <c r="AF14" s="713" t="s">
        <v>1380</v>
      </c>
      <c r="AG14" s="713" t="s">
        <v>1380</v>
      </c>
      <c r="AH14" s="6115"/>
      <c r="AI14" s="6115"/>
      <c r="AJ14" s="6115"/>
      <c r="AK14" s="6117"/>
      <c r="AL14" s="6113"/>
    </row>
    <row r="15" spans="1:38" ht="27" hidden="1">
      <c r="A15" s="715" t="s">
        <v>1381</v>
      </c>
      <c r="B15" s="716" t="s">
        <v>1382</v>
      </c>
      <c r="C15" s="717" t="s">
        <v>1367</v>
      </c>
      <c r="D15" s="717" t="s">
        <v>1368</v>
      </c>
      <c r="E15" s="716" t="s">
        <v>1369</v>
      </c>
      <c r="F15" s="717" t="s">
        <v>1370</v>
      </c>
      <c r="G15" s="717">
        <v>1</v>
      </c>
      <c r="H15" s="716" t="s">
        <v>1383</v>
      </c>
      <c r="I15" s="716">
        <v>2</v>
      </c>
      <c r="J15" s="717">
        <v>3</v>
      </c>
      <c r="K15" s="717" t="s">
        <v>1380</v>
      </c>
      <c r="L15" s="717">
        <v>4</v>
      </c>
      <c r="M15" s="717">
        <v>5</v>
      </c>
      <c r="N15" s="717">
        <v>6</v>
      </c>
      <c r="O15" s="717" t="s">
        <v>1384</v>
      </c>
      <c r="P15" s="717">
        <v>7</v>
      </c>
      <c r="Q15" s="717">
        <v>8</v>
      </c>
      <c r="R15" s="717">
        <v>9</v>
      </c>
      <c r="S15" s="717">
        <v>10</v>
      </c>
      <c r="T15" s="717">
        <v>11</v>
      </c>
      <c r="U15" s="717">
        <v>12</v>
      </c>
      <c r="V15" s="717">
        <v>13</v>
      </c>
      <c r="W15" s="717">
        <v>14</v>
      </c>
      <c r="X15" s="717">
        <v>15</v>
      </c>
      <c r="Y15" s="717">
        <v>16</v>
      </c>
      <c r="Z15" s="717">
        <v>17</v>
      </c>
      <c r="AA15" s="717">
        <v>18</v>
      </c>
      <c r="AB15" s="717">
        <v>19</v>
      </c>
      <c r="AC15" s="717">
        <v>20</v>
      </c>
      <c r="AD15" s="717">
        <v>21</v>
      </c>
      <c r="AE15" s="717">
        <v>22</v>
      </c>
      <c r="AF15" s="717">
        <v>23</v>
      </c>
      <c r="AG15" s="717">
        <v>24</v>
      </c>
      <c r="AH15" s="717">
        <v>25</v>
      </c>
      <c r="AI15" s="717">
        <v>26</v>
      </c>
      <c r="AJ15" s="717">
        <v>27</v>
      </c>
      <c r="AK15" s="718">
        <v>28</v>
      </c>
    </row>
    <row r="16" spans="1:38" ht="42" customHeight="1" thickBot="1">
      <c r="A16" s="719"/>
      <c r="B16" s="720"/>
      <c r="C16" s="720"/>
      <c r="D16" s="720"/>
      <c r="E16" s="720"/>
      <c r="F16" s="720"/>
      <c r="G16" s="720"/>
      <c r="H16" s="720"/>
      <c r="I16" s="720"/>
      <c r="J16" s="720"/>
      <c r="K16" s="720"/>
      <c r="L16" s="3026" t="s">
        <v>2357</v>
      </c>
      <c r="M16" s="720"/>
      <c r="N16" s="720"/>
      <c r="O16" s="720"/>
      <c r="P16" s="720"/>
      <c r="Q16" s="720"/>
      <c r="R16" s="3026" t="s">
        <v>2359</v>
      </c>
      <c r="S16" s="720"/>
      <c r="T16" s="720"/>
      <c r="U16" s="720"/>
      <c r="V16" s="720"/>
      <c r="W16" s="720"/>
      <c r="X16" s="720"/>
      <c r="Y16" s="720"/>
      <c r="Z16" s="720"/>
      <c r="AA16" s="720"/>
      <c r="AB16" s="720"/>
      <c r="AC16" s="720"/>
      <c r="AD16" s="720"/>
      <c r="AE16" s="720"/>
      <c r="AF16" s="720"/>
      <c r="AG16" s="720"/>
      <c r="AH16" s="720"/>
      <c r="AI16" s="720"/>
      <c r="AJ16" s="720"/>
      <c r="AK16" s="721"/>
    </row>
    <row r="17" spans="1:38" ht="22.5">
      <c r="A17" s="3025">
        <f>ROW()-8</f>
        <v>9</v>
      </c>
      <c r="B17" s="1899">
        <v>1</v>
      </c>
      <c r="C17" s="1894" t="s">
        <v>5</v>
      </c>
      <c r="D17" s="1894" t="s">
        <v>245</v>
      </c>
      <c r="E17" s="1894" t="s">
        <v>135</v>
      </c>
      <c r="F17" s="1896" t="s">
        <v>1385</v>
      </c>
      <c r="G17" s="1895">
        <v>44719</v>
      </c>
      <c r="H17" s="1895">
        <v>44720</v>
      </c>
      <c r="I17" s="1897" t="s">
        <v>1386</v>
      </c>
      <c r="J17" s="1894">
        <v>10.1</v>
      </c>
      <c r="K17" s="1898">
        <f>IF(H17=0," ",H17-G17)</f>
        <v>1</v>
      </c>
      <c r="L17" s="1893" t="str">
        <f>IF(K17=" "," ",IF(K17&lt;=28,"YES","NO"))</f>
        <v>YES</v>
      </c>
      <c r="M17" s="1895"/>
      <c r="N17" s="1900"/>
      <c r="O17" s="1895">
        <f>IF(G17=0," ",G17+84)</f>
        <v>44803</v>
      </c>
      <c r="P17" s="1895"/>
      <c r="Q17" s="1900"/>
      <c r="R17" s="1893" t="str">
        <f>IF(P17=0," ",IF(P17-G17&lt;=84,"YES","NO"))</f>
        <v xml:space="preserve"> </v>
      </c>
      <c r="S17" s="2095"/>
      <c r="T17" s="2095"/>
      <c r="U17" s="2095"/>
      <c r="V17" s="2095"/>
      <c r="W17" s="1895"/>
      <c r="X17" s="2095"/>
      <c r="Y17" s="1898" t="str">
        <f>IF(W17-P17&lt;= 0," ",W17-P17)</f>
        <v xml:space="preserve"> </v>
      </c>
      <c r="Z17" s="2095"/>
      <c r="AA17" s="2095"/>
      <c r="AB17" s="1892">
        <v>197807.1</v>
      </c>
      <c r="AC17" s="2095"/>
      <c r="AD17" s="2095"/>
      <c r="AE17" s="1893">
        <v>44</v>
      </c>
      <c r="AF17" s="1893"/>
      <c r="AG17" s="1893"/>
      <c r="AH17" s="1894" t="s">
        <v>212</v>
      </c>
      <c r="AI17" s="1506"/>
      <c r="AJ17" s="1505"/>
      <c r="AK17" s="2825" t="s">
        <v>1387</v>
      </c>
      <c r="AL17" s="1439"/>
    </row>
    <row r="18" spans="1:38" ht="33.75">
      <c r="A18" s="3024">
        <v>1</v>
      </c>
      <c r="B18" s="1431">
        <v>1</v>
      </c>
      <c r="C18" s="1429" t="s">
        <v>5</v>
      </c>
      <c r="D18" s="1504" t="s">
        <v>245</v>
      </c>
      <c r="E18" s="1429" t="s">
        <v>129</v>
      </c>
      <c r="F18" s="1432" t="s">
        <v>1388</v>
      </c>
      <c r="G18" s="1433">
        <v>44524</v>
      </c>
      <c r="H18" s="1433">
        <v>44578</v>
      </c>
      <c r="I18" s="1434" t="s">
        <v>1389</v>
      </c>
      <c r="J18" s="1429">
        <v>8.5</v>
      </c>
      <c r="K18" s="1427">
        <f t="shared" ref="K18:K23" si="0">IF(H18=0," ",H18-G18)</f>
        <v>54</v>
      </c>
      <c r="L18" s="1428" t="str">
        <f t="shared" ref="L18:L23" si="1">IF(K18=" "," ",IF(K18&lt;=28,"YES","NO"))</f>
        <v>NO</v>
      </c>
      <c r="M18" s="1433">
        <v>44579</v>
      </c>
      <c r="N18" s="1429" t="s">
        <v>1390</v>
      </c>
      <c r="O18" s="1426">
        <f t="shared" ref="O18:O25" si="2">IF(G18=0," ",G18+84)</f>
        <v>44608</v>
      </c>
      <c r="P18" s="1433">
        <v>44629</v>
      </c>
      <c r="Q18" s="1429" t="s">
        <v>1391</v>
      </c>
      <c r="R18" s="1428" t="str">
        <f t="shared" ref="R18:R23" si="3">IF(P18=0," ",IF(P18-G18&lt;=84,"YES","NO"))</f>
        <v>NO</v>
      </c>
      <c r="S18" s="1433">
        <v>44649</v>
      </c>
      <c r="T18" s="1429" t="s">
        <v>1392</v>
      </c>
      <c r="U18" s="1430"/>
      <c r="V18" s="1430"/>
      <c r="W18" s="1430"/>
      <c r="X18" s="1430"/>
      <c r="Y18" s="1427" t="str">
        <f t="shared" ref="Y18:Y23" si="4">IF(W18-P18&lt;= 0," ",W18-P18)</f>
        <v xml:space="preserve"> </v>
      </c>
      <c r="Z18" s="1430"/>
      <c r="AA18" s="1430"/>
      <c r="AB18" s="1430">
        <v>0</v>
      </c>
      <c r="AC18" s="1430"/>
      <c r="AD18" s="1430"/>
      <c r="AE18" s="1428">
        <f>21+30+12+26+4</f>
        <v>93</v>
      </c>
      <c r="AF18" s="1428">
        <v>30</v>
      </c>
      <c r="AG18" s="1428"/>
      <c r="AH18" s="1429" t="s">
        <v>201</v>
      </c>
      <c r="AI18" s="1435"/>
      <c r="AJ18" s="1430" t="s">
        <v>2035</v>
      </c>
      <c r="AK18" s="1436"/>
      <c r="AL18" s="1439"/>
    </row>
    <row r="19" spans="1:38" ht="33.75">
      <c r="A19" s="3025">
        <f>ROW()-8</f>
        <v>11</v>
      </c>
      <c r="B19" s="1431">
        <v>5</v>
      </c>
      <c r="C19" s="1900" t="s">
        <v>5</v>
      </c>
      <c r="D19" s="1894" t="s">
        <v>245</v>
      </c>
      <c r="E19" s="1900" t="s">
        <v>135</v>
      </c>
      <c r="F19" s="1901" t="s">
        <v>1393</v>
      </c>
      <c r="G19" s="1902">
        <v>44776</v>
      </c>
      <c r="H19" s="1902">
        <v>44776</v>
      </c>
      <c r="I19" s="1903" t="s">
        <v>1394</v>
      </c>
      <c r="J19" s="1900"/>
      <c r="K19" s="1898">
        <f t="shared" si="0"/>
        <v>0</v>
      </c>
      <c r="L19" s="1893" t="str">
        <f t="shared" si="1"/>
        <v>YES</v>
      </c>
      <c r="M19" s="1902">
        <v>44794</v>
      </c>
      <c r="N19" s="1900" t="s">
        <v>1395</v>
      </c>
      <c r="O19" s="1895">
        <f t="shared" si="2"/>
        <v>44860</v>
      </c>
      <c r="P19" s="1892"/>
      <c r="Q19" s="1900"/>
      <c r="R19" s="1893" t="str">
        <f t="shared" si="3"/>
        <v xml:space="preserve"> </v>
      </c>
      <c r="S19" s="1892"/>
      <c r="T19" s="1892"/>
      <c r="U19" s="1892"/>
      <c r="V19" s="1892"/>
      <c r="W19" s="1892"/>
      <c r="X19" s="1892"/>
      <c r="Y19" s="1898" t="str">
        <f t="shared" si="4"/>
        <v xml:space="preserve"> </v>
      </c>
      <c r="Z19" s="1892"/>
      <c r="AA19" s="1892"/>
      <c r="AB19" s="1892">
        <f>6359633.48</f>
        <v>6359633.4800000004</v>
      </c>
      <c r="AC19" s="1892"/>
      <c r="AD19" s="1892"/>
      <c r="AE19" s="1893">
        <v>190</v>
      </c>
      <c r="AF19" s="1893"/>
      <c r="AG19" s="1893"/>
      <c r="AH19" s="1900" t="s">
        <v>203</v>
      </c>
      <c r="AI19" s="2823"/>
      <c r="AJ19" s="1901" t="s">
        <v>2030</v>
      </c>
      <c r="AK19" s="2824"/>
      <c r="AL19" s="1439"/>
    </row>
    <row r="20" spans="1:38" ht="22.5">
      <c r="A20" s="3025">
        <f>ROW()-8</f>
        <v>12</v>
      </c>
      <c r="B20" s="1431">
        <v>7</v>
      </c>
      <c r="C20" s="1900" t="s">
        <v>5</v>
      </c>
      <c r="D20" s="1894" t="s">
        <v>245</v>
      </c>
      <c r="E20" s="1900" t="s">
        <v>135</v>
      </c>
      <c r="F20" s="1901" t="s">
        <v>1396</v>
      </c>
      <c r="G20" s="1902">
        <v>44718</v>
      </c>
      <c r="H20" s="1902">
        <v>44776</v>
      </c>
      <c r="I20" s="1903" t="s">
        <v>1397</v>
      </c>
      <c r="J20" s="1900"/>
      <c r="K20" s="1898">
        <f t="shared" si="0"/>
        <v>58</v>
      </c>
      <c r="L20" s="1893" t="str">
        <f t="shared" si="1"/>
        <v>NO</v>
      </c>
      <c r="M20" s="1892"/>
      <c r="N20" s="1900"/>
      <c r="O20" s="1895">
        <f t="shared" si="2"/>
        <v>44802</v>
      </c>
      <c r="P20" s="1892"/>
      <c r="Q20" s="1900"/>
      <c r="R20" s="1893" t="str">
        <f t="shared" si="3"/>
        <v xml:space="preserve"> </v>
      </c>
      <c r="S20" s="1892"/>
      <c r="T20" s="1892"/>
      <c r="U20" s="1892"/>
      <c r="V20" s="1892"/>
      <c r="W20" s="1892"/>
      <c r="X20" s="1892"/>
      <c r="Y20" s="1898" t="str">
        <f t="shared" si="4"/>
        <v xml:space="preserve"> </v>
      </c>
      <c r="Z20" s="1892"/>
      <c r="AA20" s="1892"/>
      <c r="AB20" s="1892">
        <v>5648747.9800000004</v>
      </c>
      <c r="AC20" s="1892"/>
      <c r="AD20" s="1892"/>
      <c r="AE20" s="1893">
        <v>190</v>
      </c>
      <c r="AF20" s="1893"/>
      <c r="AG20" s="1893"/>
      <c r="AH20" s="1900" t="s">
        <v>203</v>
      </c>
      <c r="AI20" s="2823"/>
      <c r="AJ20" s="1901" t="s">
        <v>2031</v>
      </c>
      <c r="AK20" s="2825" t="s">
        <v>1387</v>
      </c>
      <c r="AL20" s="1439"/>
    </row>
    <row r="21" spans="1:38" ht="22.5">
      <c r="A21" s="3025">
        <f>ROW()-8</f>
        <v>13</v>
      </c>
      <c r="B21" s="1431">
        <v>10</v>
      </c>
      <c r="C21" s="1900" t="s">
        <v>5</v>
      </c>
      <c r="D21" s="1894" t="s">
        <v>245</v>
      </c>
      <c r="E21" s="1900" t="s">
        <v>135</v>
      </c>
      <c r="F21" s="1901" t="s">
        <v>1398</v>
      </c>
      <c r="G21" s="1902">
        <v>44801</v>
      </c>
      <c r="H21" s="1902">
        <v>44801</v>
      </c>
      <c r="I21" s="1903" t="s">
        <v>1399</v>
      </c>
      <c r="J21" s="1900"/>
      <c r="K21" s="1898">
        <f t="shared" si="0"/>
        <v>0</v>
      </c>
      <c r="L21" s="1893" t="str">
        <f t="shared" si="1"/>
        <v>YES</v>
      </c>
      <c r="M21" s="1892"/>
      <c r="N21" s="1900"/>
      <c r="O21" s="1895">
        <f t="shared" si="2"/>
        <v>44885</v>
      </c>
      <c r="P21" s="1892"/>
      <c r="Q21" s="1900"/>
      <c r="R21" s="1893" t="str">
        <f t="shared" si="3"/>
        <v xml:space="preserve"> </v>
      </c>
      <c r="S21" s="1892"/>
      <c r="T21" s="1892"/>
      <c r="U21" s="1892"/>
      <c r="V21" s="1892"/>
      <c r="W21" s="1892"/>
      <c r="X21" s="1892"/>
      <c r="Y21" s="1898" t="str">
        <f t="shared" si="4"/>
        <v xml:space="preserve"> </v>
      </c>
      <c r="Z21" s="1892"/>
      <c r="AA21" s="1892"/>
      <c r="AB21" s="1892"/>
      <c r="AC21" s="1892"/>
      <c r="AD21" s="1892"/>
      <c r="AE21" s="1893"/>
      <c r="AF21" s="1893"/>
      <c r="AG21" s="1893"/>
      <c r="AH21" s="1900" t="s">
        <v>212</v>
      </c>
      <c r="AI21" s="2823"/>
      <c r="AJ21" s="1892" t="s">
        <v>1400</v>
      </c>
      <c r="AK21" s="2824"/>
      <c r="AL21" s="1439"/>
    </row>
    <row r="22" spans="1:38" ht="33.75">
      <c r="A22" s="3025">
        <f>ROW()-8</f>
        <v>14</v>
      </c>
      <c r="B22" s="1431">
        <v>15</v>
      </c>
      <c r="C22" s="1900" t="s">
        <v>5</v>
      </c>
      <c r="D22" s="1894" t="s">
        <v>245</v>
      </c>
      <c r="E22" s="1900" t="s">
        <v>135</v>
      </c>
      <c r="F22" s="1901" t="s">
        <v>1401</v>
      </c>
      <c r="G22" s="1902">
        <v>44863</v>
      </c>
      <c r="H22" s="1902">
        <v>44863</v>
      </c>
      <c r="I22" s="1903" t="s">
        <v>1402</v>
      </c>
      <c r="J22" s="1900"/>
      <c r="K22" s="1898">
        <f t="shared" si="0"/>
        <v>0</v>
      </c>
      <c r="L22" s="1893" t="str">
        <f t="shared" si="1"/>
        <v>YES</v>
      </c>
      <c r="M22" s="1892"/>
      <c r="N22" s="1900"/>
      <c r="O22" s="1895">
        <f t="shared" si="2"/>
        <v>44947</v>
      </c>
      <c r="P22" s="1892"/>
      <c r="Q22" s="1900"/>
      <c r="R22" s="1893" t="str">
        <f t="shared" si="3"/>
        <v xml:space="preserve"> </v>
      </c>
      <c r="S22" s="1892"/>
      <c r="T22" s="1892"/>
      <c r="U22" s="1892"/>
      <c r="V22" s="1892"/>
      <c r="W22" s="1892"/>
      <c r="X22" s="1892"/>
      <c r="Y22" s="1898" t="str">
        <f t="shared" si="4"/>
        <v xml:space="preserve"> </v>
      </c>
      <c r="Z22" s="1892"/>
      <c r="AA22" s="1892"/>
      <c r="AB22" s="1892">
        <v>3065470.23</v>
      </c>
      <c r="AC22" s="1892"/>
      <c r="AD22" s="1892"/>
      <c r="AE22" s="1893">
        <v>152</v>
      </c>
      <c r="AF22" s="1893"/>
      <c r="AG22" s="1893"/>
      <c r="AH22" s="1900" t="s">
        <v>203</v>
      </c>
      <c r="AI22" s="2823"/>
      <c r="AJ22" s="1901" t="s">
        <v>2032</v>
      </c>
      <c r="AK22" s="2824"/>
      <c r="AL22" s="1439"/>
    </row>
    <row r="23" spans="1:38" ht="45.75" customHeight="1">
      <c r="A23" s="3025">
        <f>ROW()-8</f>
        <v>15</v>
      </c>
      <c r="B23" s="1431">
        <v>20</v>
      </c>
      <c r="C23" s="1900" t="s">
        <v>5</v>
      </c>
      <c r="D23" s="1894" t="s">
        <v>245</v>
      </c>
      <c r="E23" s="1900" t="s">
        <v>135</v>
      </c>
      <c r="F23" s="1901" t="s">
        <v>1403</v>
      </c>
      <c r="G23" s="1902">
        <v>44975</v>
      </c>
      <c r="H23" s="1902">
        <v>44980</v>
      </c>
      <c r="I23" s="1903" t="s">
        <v>1404</v>
      </c>
      <c r="J23" s="1900"/>
      <c r="K23" s="1898">
        <f t="shared" si="0"/>
        <v>5</v>
      </c>
      <c r="L23" s="1893" t="str">
        <f t="shared" si="1"/>
        <v>YES</v>
      </c>
      <c r="M23" s="1892"/>
      <c r="N23" s="1900"/>
      <c r="O23" s="1895">
        <f t="shared" si="2"/>
        <v>45059</v>
      </c>
      <c r="P23" s="1902">
        <v>45001</v>
      </c>
      <c r="Q23" s="1900" t="s">
        <v>1405</v>
      </c>
      <c r="R23" s="1893" t="str">
        <f t="shared" si="3"/>
        <v>YES</v>
      </c>
      <c r="S23" s="1892"/>
      <c r="T23" s="1892"/>
      <c r="U23" s="1892"/>
      <c r="V23" s="1892"/>
      <c r="W23" s="1892"/>
      <c r="X23" s="1892"/>
      <c r="Y23" s="1898" t="str">
        <f t="shared" si="4"/>
        <v xml:space="preserve"> </v>
      </c>
      <c r="Z23" s="1892"/>
      <c r="AA23" s="1892"/>
      <c r="AB23" s="1892">
        <v>41556.120000000003</v>
      </c>
      <c r="AC23" s="1892"/>
      <c r="AD23" s="1892"/>
      <c r="AE23" s="1893">
        <v>12</v>
      </c>
      <c r="AF23" s="1893"/>
      <c r="AG23" s="1893"/>
      <c r="AH23" s="1900" t="s">
        <v>203</v>
      </c>
      <c r="AI23" s="2823"/>
      <c r="AJ23" s="1892"/>
      <c r="AK23" s="2824"/>
      <c r="AL23" s="1439"/>
    </row>
    <row r="24" spans="1:38">
      <c r="A24" s="3024"/>
      <c r="B24" s="1431"/>
      <c r="C24" s="1429"/>
      <c r="D24" s="1432" t="s">
        <v>2687</v>
      </c>
      <c r="E24" s="1429"/>
      <c r="F24" s="1432"/>
      <c r="G24" s="1433"/>
      <c r="H24" s="1433"/>
      <c r="I24" s="1433"/>
      <c r="J24" s="1429"/>
      <c r="K24" s="1427" t="str">
        <f>IF(H24=0," ",H24-G24)</f>
        <v xml:space="preserve"> </v>
      </c>
      <c r="L24" s="1428" t="str">
        <f>IF(K24=" "," ",IF(K24&lt;=28,"YES","NO"))</f>
        <v xml:space="preserve"> </v>
      </c>
      <c r="M24" s="1430"/>
      <c r="N24" s="1429"/>
      <c r="O24" s="1426" t="str">
        <f>IF(G24=0," ",G24+84)</f>
        <v xml:space="preserve"> </v>
      </c>
      <c r="P24" s="1430"/>
      <c r="Q24" s="1429"/>
      <c r="R24" s="1428" t="str">
        <f>IF(P24=0," ",IF(P24-G24&lt;=84,"YES","NO"))</f>
        <v xml:space="preserve"> </v>
      </c>
      <c r="S24" s="1430"/>
      <c r="T24" s="1430"/>
      <c r="U24" s="1430"/>
      <c r="V24" s="1430"/>
      <c r="W24" s="1430"/>
      <c r="X24" s="1430"/>
      <c r="Y24" s="1427" t="str">
        <f>IF(W24-P24&lt;= 0," ",W24-P24)</f>
        <v xml:space="preserve"> </v>
      </c>
      <c r="Z24" s="1430"/>
      <c r="AA24" s="1430"/>
      <c r="AB24" s="1430"/>
      <c r="AC24" s="1430"/>
      <c r="AD24" s="1430"/>
      <c r="AE24" s="1428"/>
      <c r="AF24" s="1428"/>
      <c r="AG24" s="1428"/>
      <c r="AH24" s="1429"/>
      <c r="AI24" s="1435"/>
      <c r="AJ24" s="1430"/>
      <c r="AK24" s="1436"/>
    </row>
    <row r="25" spans="1:38" ht="56.25" customHeight="1">
      <c r="A25" s="3024">
        <v>2</v>
      </c>
      <c r="B25" s="1431" t="s">
        <v>2029</v>
      </c>
      <c r="C25" s="1429" t="s">
        <v>5</v>
      </c>
      <c r="D25" s="1504" t="s">
        <v>245</v>
      </c>
      <c r="E25" s="1429" t="s">
        <v>135</v>
      </c>
      <c r="F25" s="1432" t="s">
        <v>2028</v>
      </c>
      <c r="G25" s="1433">
        <v>44863</v>
      </c>
      <c r="H25" s="1433">
        <v>44863</v>
      </c>
      <c r="I25" s="1434" t="s">
        <v>1402</v>
      </c>
      <c r="J25" s="1429"/>
      <c r="K25" s="1427">
        <f>IF(H25=0," ",H25-G25)</f>
        <v>0</v>
      </c>
      <c r="L25" s="1428" t="str">
        <f>IF(K25=" "," ",IF(K25&lt;=28,"YES","NO"))</f>
        <v>YES</v>
      </c>
      <c r="M25" s="1430"/>
      <c r="N25" s="1429"/>
      <c r="O25" s="1426">
        <f t="shared" si="2"/>
        <v>44947</v>
      </c>
      <c r="P25" s="2822">
        <v>45045</v>
      </c>
      <c r="Q25" s="1429" t="s">
        <v>2027</v>
      </c>
      <c r="R25" s="1428" t="str">
        <f>IF(P25=0," ",IF(P25-G25&lt;=84,"YES","NO"))</f>
        <v>NO</v>
      </c>
      <c r="S25" s="1430"/>
      <c r="T25" s="1430"/>
      <c r="U25" s="1430"/>
      <c r="V25" s="1430"/>
      <c r="W25" s="1430"/>
      <c r="X25" s="1430"/>
      <c r="Y25" s="1427" t="str">
        <f>IF(W25-P25&lt;= 0," ",W25-P25)</f>
        <v xml:space="preserve"> </v>
      </c>
      <c r="Z25" s="1430"/>
      <c r="AA25" s="1430"/>
      <c r="AB25" s="1430">
        <v>6874965.4328313963</v>
      </c>
      <c r="AC25" s="1430"/>
      <c r="AD25" s="1430"/>
      <c r="AE25" s="1428">
        <v>122</v>
      </c>
      <c r="AF25" s="1428"/>
      <c r="AG25" s="1428"/>
      <c r="AH25" s="1429" t="s">
        <v>203</v>
      </c>
      <c r="AI25" s="1435"/>
      <c r="AJ25" s="1430"/>
      <c r="AK25" s="1436"/>
      <c r="AL25" s="1439">
        <f ca="1">IF(H25=0,"",TODAY()-H25)</f>
        <v>1436</v>
      </c>
    </row>
    <row r="26" spans="1:38">
      <c r="A26" s="1425"/>
      <c r="B26" s="1431"/>
      <c r="C26" s="1429"/>
      <c r="D26" s="1432" t="s">
        <v>2687</v>
      </c>
      <c r="E26" s="1429"/>
      <c r="F26" s="1432"/>
      <c r="G26" s="1433"/>
      <c r="H26" s="1433"/>
      <c r="I26" s="1433"/>
      <c r="J26" s="1429"/>
      <c r="K26" s="1427" t="str">
        <f>IF(H26=0," ",H26-G26)</f>
        <v xml:space="preserve"> </v>
      </c>
      <c r="L26" s="1428" t="str">
        <f>IF(K26=" "," ",IF(K26&lt;=28,"YES","NO"))</f>
        <v xml:space="preserve"> </v>
      </c>
      <c r="M26" s="1430"/>
      <c r="N26" s="1429"/>
      <c r="O26" s="1426" t="str">
        <f>IF(G26=0," ",G26+84)</f>
        <v xml:space="preserve"> </v>
      </c>
      <c r="P26" s="1430"/>
      <c r="Q26" s="1429"/>
      <c r="R26" s="1428" t="str">
        <f>IF(P26=0," ",IF(P26-G26&lt;=84,"YES","NO"))</f>
        <v xml:space="preserve"> </v>
      </c>
      <c r="S26" s="1430"/>
      <c r="T26" s="1430"/>
      <c r="U26" s="1430"/>
      <c r="V26" s="1430"/>
      <c r="W26" s="1430"/>
      <c r="X26" s="1430"/>
      <c r="Y26" s="1427" t="str">
        <f>IF(W26-P26&lt;= 0," ",W26-P26)</f>
        <v xml:space="preserve"> </v>
      </c>
      <c r="Z26" s="1430"/>
      <c r="AA26" s="1430"/>
      <c r="AB26" s="1430"/>
      <c r="AC26" s="1430"/>
      <c r="AD26" s="1430"/>
      <c r="AE26" s="1428"/>
      <c r="AF26" s="1428"/>
      <c r="AG26" s="1428"/>
      <c r="AH26" s="1429"/>
      <c r="AI26" s="1435"/>
      <c r="AJ26" s="1430"/>
      <c r="AK26" s="1436"/>
    </row>
    <row r="27" spans="1:38" ht="42.75" customHeight="1">
      <c r="A27" s="3024">
        <v>8</v>
      </c>
      <c r="B27" s="1431">
        <v>1</v>
      </c>
      <c r="C27" s="1429" t="s">
        <v>5</v>
      </c>
      <c r="D27" s="1432" t="s">
        <v>245</v>
      </c>
      <c r="E27" s="1429" t="s">
        <v>152</v>
      </c>
      <c r="F27" s="1432" t="s">
        <v>2354</v>
      </c>
      <c r="G27" s="1433">
        <v>45063</v>
      </c>
      <c r="H27" s="1433">
        <v>45064</v>
      </c>
      <c r="I27" s="1434" t="s">
        <v>2355</v>
      </c>
      <c r="J27" s="1429"/>
      <c r="K27" s="1427">
        <f>IF(H27=0," ",H27-G27)</f>
        <v>1</v>
      </c>
      <c r="L27" s="1428" t="str">
        <f>IF(K27=" "," ",IF(K27&lt;=20,"YES","NO"))</f>
        <v>YES</v>
      </c>
      <c r="M27" s="1430"/>
      <c r="N27" s="1429"/>
      <c r="O27" s="1426">
        <f>IF(G27=0," ",G27+30)</f>
        <v>45093</v>
      </c>
      <c r="P27" s="2822">
        <v>45186</v>
      </c>
      <c r="Q27" s="1429" t="s">
        <v>2358</v>
      </c>
      <c r="R27" s="1428" t="str">
        <f>IF(P27=0," ",IF(P27-G27&lt;=30,"YES","NO"))</f>
        <v>NO</v>
      </c>
      <c r="S27" s="1430"/>
      <c r="T27" s="1430"/>
      <c r="U27" s="1430"/>
      <c r="V27" s="1430"/>
      <c r="W27" s="1430"/>
      <c r="X27" s="1429" t="s">
        <v>1985</v>
      </c>
      <c r="Y27" s="1427" t="str">
        <f t="shared" ref="Y27:Y36" si="5">IF(W27-P27&lt;= 0," ",W27-P27)</f>
        <v xml:space="preserve"> </v>
      </c>
      <c r="Z27" s="1430"/>
      <c r="AA27" s="1430"/>
      <c r="AB27" s="1430">
        <v>0</v>
      </c>
      <c r="AC27" s="1428" t="s">
        <v>2360</v>
      </c>
      <c r="AD27" s="1430">
        <v>0</v>
      </c>
      <c r="AE27" s="1428">
        <v>42</v>
      </c>
      <c r="AF27" s="1428" t="s">
        <v>2360</v>
      </c>
      <c r="AG27" s="1428">
        <v>0</v>
      </c>
      <c r="AH27" s="1429" t="s">
        <v>212</v>
      </c>
      <c r="AI27" s="1435"/>
      <c r="AJ27" s="1430"/>
      <c r="AK27" s="1436"/>
    </row>
    <row r="28" spans="1:38">
      <c r="A28" s="1425"/>
      <c r="B28" s="1431"/>
      <c r="C28" s="1429"/>
      <c r="D28" s="1432" t="s">
        <v>2687</v>
      </c>
      <c r="E28" s="1429"/>
      <c r="F28" s="1432"/>
      <c r="G28" s="1433"/>
      <c r="H28" s="1433"/>
      <c r="I28" s="1433"/>
      <c r="J28" s="1429"/>
      <c r="K28" s="1427" t="str">
        <f t="shared" ref="K28:K37" si="6">IF(H28=0," ",H28-G28)</f>
        <v xml:space="preserve"> </v>
      </c>
      <c r="L28" s="1428" t="str">
        <f t="shared" ref="L28:L37" si="7">IF(K28=" "," ",IF(K28&lt;=28,"YES","NO"))</f>
        <v xml:space="preserve"> </v>
      </c>
      <c r="M28" s="1430"/>
      <c r="N28" s="1429"/>
      <c r="O28" s="1426" t="str">
        <f t="shared" ref="O28:O37" si="8">IF(G28=0," ",G28+84)</f>
        <v xml:space="preserve"> </v>
      </c>
      <c r="P28" s="1430"/>
      <c r="Q28" s="1429"/>
      <c r="R28" s="1428" t="str">
        <f t="shared" ref="R28:R37" si="9">IF(P28=0," ",IF(P28-G28&lt;=84,"YES","NO"))</f>
        <v xml:space="preserve"> </v>
      </c>
      <c r="S28" s="1430"/>
      <c r="T28" s="1430"/>
      <c r="U28" s="1430"/>
      <c r="V28" s="1430"/>
      <c r="W28" s="1430"/>
      <c r="X28" s="1430"/>
      <c r="Y28" s="1427" t="str">
        <f t="shared" si="5"/>
        <v xml:space="preserve"> </v>
      </c>
      <c r="Z28" s="1430"/>
      <c r="AA28" s="1430"/>
      <c r="AB28" s="1430"/>
      <c r="AC28" s="1430"/>
      <c r="AD28" s="1430"/>
      <c r="AE28" s="1428"/>
      <c r="AF28" s="1428"/>
      <c r="AG28" s="1428"/>
      <c r="AH28" s="1429"/>
      <c r="AI28" s="1435"/>
      <c r="AJ28" s="1430"/>
      <c r="AK28" s="1436"/>
    </row>
    <row r="29" spans="1:38">
      <c r="A29" s="1425"/>
      <c r="B29" s="1431"/>
      <c r="C29" s="1429"/>
      <c r="D29" s="1432" t="s">
        <v>2687</v>
      </c>
      <c r="E29" s="1429"/>
      <c r="F29" s="1432"/>
      <c r="G29" s="1433"/>
      <c r="H29" s="1433"/>
      <c r="I29" s="1433"/>
      <c r="J29" s="1429"/>
      <c r="K29" s="1427" t="str">
        <f t="shared" si="6"/>
        <v xml:space="preserve"> </v>
      </c>
      <c r="L29" s="1428" t="str">
        <f t="shared" si="7"/>
        <v xml:space="preserve"> </v>
      </c>
      <c r="M29" s="1430"/>
      <c r="N29" s="1429"/>
      <c r="O29" s="1426" t="str">
        <f t="shared" si="8"/>
        <v xml:space="preserve"> </v>
      </c>
      <c r="P29" s="1430"/>
      <c r="Q29" s="1429"/>
      <c r="R29" s="1428" t="str">
        <f t="shared" si="9"/>
        <v xml:space="preserve"> </v>
      </c>
      <c r="S29" s="1430"/>
      <c r="T29" s="1430"/>
      <c r="U29" s="1430"/>
      <c r="V29" s="1430"/>
      <c r="W29" s="1430"/>
      <c r="X29" s="1430"/>
      <c r="Y29" s="1427" t="str">
        <f t="shared" si="5"/>
        <v xml:space="preserve"> </v>
      </c>
      <c r="Z29" s="1430"/>
      <c r="AA29" s="1430"/>
      <c r="AB29" s="1430"/>
      <c r="AC29" s="1430"/>
      <c r="AD29" s="1430"/>
      <c r="AE29" s="1428"/>
      <c r="AF29" s="1428"/>
      <c r="AG29" s="1428"/>
      <c r="AH29" s="1429"/>
      <c r="AI29" s="1435"/>
      <c r="AJ29" s="1430"/>
      <c r="AK29" s="1436"/>
    </row>
    <row r="30" spans="1:38">
      <c r="A30" s="1425"/>
      <c r="B30" s="1431"/>
      <c r="C30" s="1429"/>
      <c r="D30" s="1432" t="s">
        <v>2687</v>
      </c>
      <c r="E30" s="1429"/>
      <c r="F30" s="1432"/>
      <c r="G30" s="1433"/>
      <c r="H30" s="1433"/>
      <c r="I30" s="1433"/>
      <c r="J30" s="1429"/>
      <c r="K30" s="1427" t="str">
        <f t="shared" si="6"/>
        <v xml:space="preserve"> </v>
      </c>
      <c r="L30" s="1428" t="str">
        <f t="shared" si="7"/>
        <v xml:space="preserve"> </v>
      </c>
      <c r="M30" s="1430"/>
      <c r="N30" s="1429"/>
      <c r="O30" s="1426" t="str">
        <f t="shared" si="8"/>
        <v xml:space="preserve"> </v>
      </c>
      <c r="P30" s="1430"/>
      <c r="Q30" s="1429"/>
      <c r="R30" s="1428" t="str">
        <f t="shared" si="9"/>
        <v xml:space="preserve"> </v>
      </c>
      <c r="S30" s="1430"/>
      <c r="T30" s="1430"/>
      <c r="U30" s="1430"/>
      <c r="V30" s="1430"/>
      <c r="W30" s="1430"/>
      <c r="X30" s="1430"/>
      <c r="Y30" s="1427" t="str">
        <f t="shared" si="5"/>
        <v xml:space="preserve"> </v>
      </c>
      <c r="Z30" s="1430"/>
      <c r="AA30" s="1430"/>
      <c r="AB30" s="1430"/>
      <c r="AC30" s="1430"/>
      <c r="AD30" s="1430"/>
      <c r="AE30" s="1428"/>
      <c r="AF30" s="1428"/>
      <c r="AG30" s="1428"/>
      <c r="AH30" s="1429"/>
      <c r="AI30" s="1435"/>
      <c r="AJ30" s="1430"/>
      <c r="AK30" s="1436"/>
    </row>
    <row r="31" spans="1:38">
      <c r="A31" s="1425">
        <f t="shared" ref="A31:A37" si="10">ROW()-8</f>
        <v>23</v>
      </c>
      <c r="B31" s="1431"/>
      <c r="C31" s="1429"/>
      <c r="D31" s="1432" t="s">
        <v>2687</v>
      </c>
      <c r="E31" s="1429"/>
      <c r="F31" s="1432"/>
      <c r="G31" s="1433"/>
      <c r="H31" s="1433"/>
      <c r="I31" s="1433"/>
      <c r="J31" s="1429"/>
      <c r="K31" s="1427" t="str">
        <f t="shared" si="6"/>
        <v xml:space="preserve"> </v>
      </c>
      <c r="L31" s="1428" t="str">
        <f t="shared" si="7"/>
        <v xml:space="preserve"> </v>
      </c>
      <c r="M31" s="1430"/>
      <c r="N31" s="1429"/>
      <c r="O31" s="1426" t="str">
        <f t="shared" si="8"/>
        <v xml:space="preserve"> </v>
      </c>
      <c r="P31" s="1430"/>
      <c r="Q31" s="1429"/>
      <c r="R31" s="1428" t="str">
        <f t="shared" si="9"/>
        <v xml:space="preserve"> </v>
      </c>
      <c r="S31" s="1430"/>
      <c r="T31" s="1430"/>
      <c r="U31" s="1430"/>
      <c r="V31" s="1430"/>
      <c r="W31" s="1430"/>
      <c r="X31" s="1430"/>
      <c r="Y31" s="1427" t="str">
        <f t="shared" si="5"/>
        <v xml:space="preserve"> </v>
      </c>
      <c r="Z31" s="1430"/>
      <c r="AA31" s="1430"/>
      <c r="AB31" s="1430"/>
      <c r="AC31" s="1430"/>
      <c r="AD31" s="1430"/>
      <c r="AE31" s="1428"/>
      <c r="AF31" s="1428"/>
      <c r="AG31" s="1428"/>
      <c r="AH31" s="1429"/>
      <c r="AI31" s="1435"/>
      <c r="AJ31" s="1430"/>
      <c r="AK31" s="1436"/>
    </row>
    <row r="32" spans="1:38">
      <c r="A32" s="1425">
        <f t="shared" si="10"/>
        <v>24</v>
      </c>
      <c r="B32" s="1431"/>
      <c r="C32" s="1429"/>
      <c r="D32" s="1432" t="s">
        <v>2687</v>
      </c>
      <c r="E32" s="1429"/>
      <c r="F32" s="1432"/>
      <c r="G32" s="1433"/>
      <c r="H32" s="1433"/>
      <c r="I32" s="1433"/>
      <c r="J32" s="1429"/>
      <c r="K32" s="1427" t="str">
        <f t="shared" si="6"/>
        <v xml:space="preserve"> </v>
      </c>
      <c r="L32" s="1428" t="str">
        <f t="shared" si="7"/>
        <v xml:space="preserve"> </v>
      </c>
      <c r="M32" s="1430"/>
      <c r="N32" s="1429"/>
      <c r="O32" s="1426" t="str">
        <f t="shared" si="8"/>
        <v xml:space="preserve"> </v>
      </c>
      <c r="P32" s="1430"/>
      <c r="Q32" s="1429"/>
      <c r="R32" s="1428" t="str">
        <f t="shared" si="9"/>
        <v xml:space="preserve"> </v>
      </c>
      <c r="S32" s="1430"/>
      <c r="T32" s="1430"/>
      <c r="U32" s="1430"/>
      <c r="V32" s="1430"/>
      <c r="W32" s="1430"/>
      <c r="X32" s="1430"/>
      <c r="Y32" s="1427" t="str">
        <f t="shared" si="5"/>
        <v xml:space="preserve"> </v>
      </c>
      <c r="Z32" s="1430"/>
      <c r="AA32" s="1430"/>
      <c r="AB32" s="1430"/>
      <c r="AC32" s="1430"/>
      <c r="AD32" s="1430"/>
      <c r="AE32" s="1428"/>
      <c r="AF32" s="1428"/>
      <c r="AG32" s="1428"/>
      <c r="AH32" s="1429"/>
      <c r="AI32" s="1435"/>
      <c r="AJ32" s="1430"/>
      <c r="AK32" s="1436"/>
    </row>
    <row r="33" spans="1:37">
      <c r="A33" s="1425">
        <f t="shared" si="10"/>
        <v>25</v>
      </c>
      <c r="B33" s="1431"/>
      <c r="C33" s="1429"/>
      <c r="D33" s="1432" t="s">
        <v>2687</v>
      </c>
      <c r="E33" s="1429"/>
      <c r="F33" s="1432"/>
      <c r="G33" s="1433"/>
      <c r="H33" s="1433"/>
      <c r="I33" s="1433"/>
      <c r="J33" s="1429"/>
      <c r="K33" s="1427" t="str">
        <f t="shared" si="6"/>
        <v xml:space="preserve"> </v>
      </c>
      <c r="L33" s="1428" t="str">
        <f t="shared" si="7"/>
        <v xml:space="preserve"> </v>
      </c>
      <c r="M33" s="1430"/>
      <c r="N33" s="1429"/>
      <c r="O33" s="1426" t="str">
        <f t="shared" si="8"/>
        <v xml:space="preserve"> </v>
      </c>
      <c r="P33" s="1430"/>
      <c r="Q33" s="1429"/>
      <c r="R33" s="1428" t="str">
        <f t="shared" si="9"/>
        <v xml:space="preserve"> </v>
      </c>
      <c r="S33" s="1430"/>
      <c r="T33" s="1430"/>
      <c r="U33" s="1430"/>
      <c r="V33" s="1430"/>
      <c r="W33" s="1430"/>
      <c r="X33" s="1430"/>
      <c r="Y33" s="1427" t="str">
        <f t="shared" si="5"/>
        <v xml:space="preserve"> </v>
      </c>
      <c r="Z33" s="1430"/>
      <c r="AA33" s="1430"/>
      <c r="AB33" s="1430"/>
      <c r="AC33" s="1430"/>
      <c r="AD33" s="1430"/>
      <c r="AE33" s="1428"/>
      <c r="AF33" s="1428"/>
      <c r="AG33" s="1428"/>
      <c r="AH33" s="1429"/>
      <c r="AI33" s="1435"/>
      <c r="AJ33" s="1430"/>
      <c r="AK33" s="1436"/>
    </row>
    <row r="34" spans="1:37">
      <c r="A34" s="1425">
        <f t="shared" si="10"/>
        <v>26</v>
      </c>
      <c r="B34" s="1431"/>
      <c r="C34" s="1429"/>
      <c r="D34" s="1432" t="s">
        <v>2687</v>
      </c>
      <c r="E34" s="1429"/>
      <c r="F34" s="1432"/>
      <c r="G34" s="1433"/>
      <c r="H34" s="1433"/>
      <c r="I34" s="1433"/>
      <c r="J34" s="1429"/>
      <c r="K34" s="1427" t="str">
        <f t="shared" si="6"/>
        <v xml:space="preserve"> </v>
      </c>
      <c r="L34" s="1428" t="str">
        <f t="shared" si="7"/>
        <v xml:space="preserve"> </v>
      </c>
      <c r="M34" s="1430"/>
      <c r="N34" s="1429"/>
      <c r="O34" s="1426" t="str">
        <f t="shared" si="8"/>
        <v xml:space="preserve"> </v>
      </c>
      <c r="P34" s="1430"/>
      <c r="Q34" s="1429"/>
      <c r="R34" s="1428" t="str">
        <f t="shared" si="9"/>
        <v xml:space="preserve"> </v>
      </c>
      <c r="S34" s="1430"/>
      <c r="T34" s="1430"/>
      <c r="U34" s="1430"/>
      <c r="V34" s="1430"/>
      <c r="W34" s="1430"/>
      <c r="X34" s="1430"/>
      <c r="Y34" s="1427" t="str">
        <f t="shared" si="5"/>
        <v xml:space="preserve"> </v>
      </c>
      <c r="Z34" s="1430"/>
      <c r="AA34" s="1430"/>
      <c r="AB34" s="1430"/>
      <c r="AC34" s="1430"/>
      <c r="AD34" s="1430"/>
      <c r="AE34" s="1428"/>
      <c r="AF34" s="1428"/>
      <c r="AG34" s="1428"/>
      <c r="AH34" s="1429"/>
      <c r="AI34" s="1435"/>
      <c r="AJ34" s="1430"/>
      <c r="AK34" s="1436"/>
    </row>
    <row r="35" spans="1:37">
      <c r="A35" s="1425">
        <f t="shared" si="10"/>
        <v>27</v>
      </c>
      <c r="B35" s="1431"/>
      <c r="C35" s="1429"/>
      <c r="D35" s="1432" t="s">
        <v>2687</v>
      </c>
      <c r="E35" s="1429"/>
      <c r="F35" s="1432"/>
      <c r="G35" s="1433"/>
      <c r="H35" s="1433"/>
      <c r="I35" s="1433"/>
      <c r="J35" s="1429"/>
      <c r="K35" s="1427" t="str">
        <f t="shared" si="6"/>
        <v xml:space="preserve"> </v>
      </c>
      <c r="L35" s="1428" t="str">
        <f t="shared" si="7"/>
        <v xml:space="preserve"> </v>
      </c>
      <c r="M35" s="1430"/>
      <c r="N35" s="1429"/>
      <c r="O35" s="1426" t="str">
        <f t="shared" si="8"/>
        <v xml:space="preserve"> </v>
      </c>
      <c r="P35" s="1430"/>
      <c r="Q35" s="1429"/>
      <c r="R35" s="1428" t="str">
        <f t="shared" si="9"/>
        <v xml:space="preserve"> </v>
      </c>
      <c r="S35" s="1430"/>
      <c r="T35" s="1430"/>
      <c r="U35" s="1430"/>
      <c r="V35" s="1430"/>
      <c r="W35" s="1430"/>
      <c r="X35" s="1430"/>
      <c r="Y35" s="1427" t="str">
        <f t="shared" si="5"/>
        <v xml:space="preserve"> </v>
      </c>
      <c r="Z35" s="1430"/>
      <c r="AA35" s="1430"/>
      <c r="AB35" s="1430"/>
      <c r="AC35" s="1430"/>
      <c r="AD35" s="1430"/>
      <c r="AE35" s="1428"/>
      <c r="AF35" s="1428"/>
      <c r="AG35" s="1428"/>
      <c r="AH35" s="1429"/>
      <c r="AI35" s="1435"/>
      <c r="AJ35" s="1430"/>
      <c r="AK35" s="1436"/>
    </row>
    <row r="36" spans="1:37">
      <c r="A36" s="1425">
        <f t="shared" si="10"/>
        <v>28</v>
      </c>
      <c r="B36" s="1431"/>
      <c r="C36" s="1429"/>
      <c r="D36" s="1432" t="s">
        <v>2687</v>
      </c>
      <c r="E36" s="1429"/>
      <c r="F36" s="1432"/>
      <c r="G36" s="1433"/>
      <c r="H36" s="1433"/>
      <c r="I36" s="1433"/>
      <c r="J36" s="1429"/>
      <c r="K36" s="1427" t="str">
        <f t="shared" si="6"/>
        <v xml:space="preserve"> </v>
      </c>
      <c r="L36" s="1428" t="str">
        <f t="shared" si="7"/>
        <v xml:space="preserve"> </v>
      </c>
      <c r="M36" s="1430"/>
      <c r="N36" s="1429"/>
      <c r="O36" s="1426" t="str">
        <f t="shared" si="8"/>
        <v xml:space="preserve"> </v>
      </c>
      <c r="P36" s="1430"/>
      <c r="Q36" s="1429"/>
      <c r="R36" s="1428" t="str">
        <f t="shared" si="9"/>
        <v xml:space="preserve"> </v>
      </c>
      <c r="S36" s="1430"/>
      <c r="T36" s="1430"/>
      <c r="U36" s="1430"/>
      <c r="V36" s="1430"/>
      <c r="W36" s="1430"/>
      <c r="X36" s="1430"/>
      <c r="Y36" s="1427" t="str">
        <f t="shared" si="5"/>
        <v xml:space="preserve"> </v>
      </c>
      <c r="Z36" s="1430"/>
      <c r="AA36" s="1430"/>
      <c r="AB36" s="1430"/>
      <c r="AC36" s="1430"/>
      <c r="AD36" s="1430"/>
      <c r="AE36" s="1428"/>
      <c r="AF36" s="1428"/>
      <c r="AG36" s="1428"/>
      <c r="AH36" s="1429"/>
      <c r="AI36" s="1435"/>
      <c r="AJ36" s="1430"/>
      <c r="AK36" s="1436"/>
    </row>
    <row r="37" spans="1:37" ht="15.75" thickBot="1">
      <c r="A37" s="1425">
        <f t="shared" si="10"/>
        <v>29</v>
      </c>
      <c r="B37" s="1464"/>
      <c r="C37" s="1465"/>
      <c r="D37" s="1466" t="s">
        <v>2687</v>
      </c>
      <c r="E37" s="1465"/>
      <c r="F37" s="1466"/>
      <c r="G37" s="1467"/>
      <c r="H37" s="1467"/>
      <c r="I37" s="1467"/>
      <c r="J37" s="1468"/>
      <c r="K37" s="1427" t="str">
        <f t="shared" si="6"/>
        <v xml:space="preserve"> </v>
      </c>
      <c r="L37" s="1428" t="str">
        <f t="shared" si="7"/>
        <v xml:space="preserve"> </v>
      </c>
      <c r="M37" s="1468"/>
      <c r="N37" s="1468"/>
      <c r="O37" s="1426" t="str">
        <f t="shared" si="8"/>
        <v xml:space="preserve"> </v>
      </c>
      <c r="P37" s="1468"/>
      <c r="Q37" s="1468"/>
      <c r="R37" s="1428" t="str">
        <f t="shared" si="9"/>
        <v xml:space="preserve"> </v>
      </c>
      <c r="S37" s="1468"/>
      <c r="T37" s="1468"/>
      <c r="U37" s="1468"/>
      <c r="V37" s="1468"/>
      <c r="W37" s="1468"/>
      <c r="X37" s="1468"/>
      <c r="Y37" s="1468"/>
      <c r="Z37" s="1468"/>
      <c r="AA37" s="1468"/>
      <c r="AB37" s="1468"/>
      <c r="AC37" s="1468"/>
      <c r="AD37" s="1468"/>
      <c r="AE37" s="1468"/>
      <c r="AF37" s="1468"/>
      <c r="AG37" s="1468"/>
      <c r="AH37" s="1465"/>
      <c r="AI37" s="1469"/>
      <c r="AJ37" s="1468"/>
      <c r="AK37" s="1470"/>
    </row>
  </sheetData>
  <sheetProtection insertColumns="0" selectLockedCells="1"/>
  <autoFilter ref="A16:AK16" xr:uid="{159E0624-01A1-4BED-8874-7834BFF6C878}"/>
  <dataConsolidate/>
  <mergeCells count="11">
    <mergeCell ref="AL12:AL14"/>
    <mergeCell ref="AH12:AH14"/>
    <mergeCell ref="AI12:AI14"/>
    <mergeCell ref="AJ12:AJ14"/>
    <mergeCell ref="AK12:AK14"/>
    <mergeCell ref="AE12:AG12"/>
    <mergeCell ref="P11:X11"/>
    <mergeCell ref="A12:F12"/>
    <mergeCell ref="G12:O12"/>
    <mergeCell ref="P12:X12"/>
    <mergeCell ref="AB12:AD12"/>
  </mergeCells>
  <conditionalFormatting sqref="L17:L37 R17:R37">
    <cfRule type="cellIs" dxfId="2" priority="2" operator="equal">
      <formula>"NO"</formula>
    </cfRule>
    <cfRule type="cellIs" dxfId="1" priority="3" operator="equal">
      <formula>"YES"</formula>
    </cfRule>
  </conditionalFormatting>
  <conditionalFormatting sqref="O17:O37">
    <cfRule type="cellIs" dxfId="0" priority="1" operator="lessThanOrEqual">
      <formula>TODAY()</formula>
    </cfRule>
  </conditionalFormatting>
  <dataValidations count="1">
    <dataValidation type="list" allowBlank="1" showInputMessage="1" showErrorMessage="1" sqref="C17:C37 E28:E37 E17:E26 AH17:AH37" xr:uid="{C2CFD68E-E02D-4B2F-B767-468EB5C20C5A}"/>
  </dataValidations>
  <printOptions horizontalCentered="1"/>
  <pageMargins left="0.25" right="0.25" top="0.75" bottom="0.75" header="0.3" footer="0.3"/>
  <pageSetup paperSize="8" scale="53" fitToHeight="2" orientation="landscape" r:id="rId1"/>
  <headerFooter>
    <oddHeader>&amp;C&amp;"Calibri,Bold"&amp;18MONTHLY REPORT - CLAIMS TRACKER</oddHeader>
    <oddFooter>&amp;L1TB.01.003.01 - AYC 
SEPTEMBER'23 REPORT&amp;C&amp;A&amp;RPage &amp;P of &amp;N</oddFooter>
  </headerFooter>
  <drawing r:id="rId2"/>
  <legacyDrawing r:id="rId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CF976-9432-4E28-ACE4-732639B9D779}">
  <sheetPr codeName="Sheet53">
    <pageSetUpPr fitToPage="1"/>
  </sheetPr>
  <dimension ref="A1:CW547"/>
  <sheetViews>
    <sheetView view="pageBreakPreview" zoomScale="80" zoomScaleNormal="70" zoomScaleSheetLayoutView="80" workbookViewId="0">
      <pane xSplit="4" ySplit="13" topLeftCell="E57" activePane="bottomRight" state="frozen"/>
      <selection pane="topRight" activeCell="F12" sqref="F12"/>
      <selection pane="bottomLeft" activeCell="F12" sqref="F12"/>
      <selection pane="bottomRight" activeCell="E52" sqref="E52"/>
    </sheetView>
  </sheetViews>
  <sheetFormatPr defaultColWidth="9" defaultRowHeight="15" outlineLevelRow="3" outlineLevelCol="2"/>
  <cols>
    <col min="1" max="1" width="1" style="2219" customWidth="1"/>
    <col min="2" max="2" width="11" style="2219" customWidth="1"/>
    <col min="3" max="3" width="40" style="2219" customWidth="1"/>
    <col min="4" max="4" width="24" style="2222" bestFit="1" customWidth="1"/>
    <col min="5" max="6" width="18.85546875" style="2218" customWidth="1" outlineLevel="1"/>
    <col min="7" max="11" width="18.85546875" style="2218" hidden="1" customWidth="1" outlineLevel="2"/>
    <col min="12" max="13" width="19.85546875" style="2218" hidden="1" customWidth="1" outlineLevel="2"/>
    <col min="14" max="14" width="20.5703125" style="2218" customWidth="1" outlineLevel="1" collapsed="1"/>
    <col min="15" max="15" width="19.5703125" style="2218" customWidth="1" outlineLevel="1"/>
    <col min="16" max="16" width="19.85546875" style="2218" customWidth="1" outlineLevel="1"/>
    <col min="17" max="17" width="20" style="2218" customWidth="1" outlineLevel="1"/>
    <col min="18" max="25" width="17" style="2218" customWidth="1"/>
    <col min="26" max="29" width="22" style="2218" customWidth="1"/>
    <col min="30" max="30" width="22" style="2218" hidden="1" customWidth="1" outlineLevel="1"/>
    <col min="31" max="31" width="24" style="2218" hidden="1" customWidth="1" outlineLevel="1"/>
    <col min="32" max="32" width="22" style="2218" hidden="1" customWidth="1" outlineLevel="1"/>
    <col min="33" max="34" width="17" style="2218" hidden="1" customWidth="1" outlineLevel="1"/>
    <col min="35" max="35" width="18" style="2218" hidden="1" customWidth="1" outlineLevel="1"/>
    <col min="36" max="36" width="19" style="2218" hidden="1" customWidth="1" outlineLevel="1"/>
    <col min="37" max="37" width="18.85546875" style="2218" hidden="1" customWidth="1" outlineLevel="1"/>
    <col min="38" max="38" width="19.85546875" style="2218" hidden="1" customWidth="1" outlineLevel="1"/>
    <col min="39" max="39" width="19.5703125" style="2218" hidden="1" customWidth="1" outlineLevel="1"/>
    <col min="40" max="40" width="19" style="2218" hidden="1" customWidth="1" outlineLevel="1"/>
    <col min="41" max="41" width="20" style="2218" hidden="1" customWidth="1" outlineLevel="1"/>
    <col min="42" max="42" width="19" style="2218" hidden="1" customWidth="1" outlineLevel="1"/>
    <col min="43" max="44" width="17" style="2218" hidden="1" customWidth="1" outlineLevel="1"/>
    <col min="45" max="45" width="18" style="2218" hidden="1" customWidth="1" outlineLevel="1"/>
    <col min="46" max="46" width="19" style="2218" hidden="1" customWidth="1" outlineLevel="1"/>
    <col min="47" max="47" width="18.85546875" style="2218" hidden="1" customWidth="1" outlineLevel="1"/>
    <col min="48" max="48" width="19.85546875" style="2218" hidden="1" customWidth="1" outlineLevel="1"/>
    <col min="49" max="49" width="19.5703125" style="2218" hidden="1" customWidth="1" outlineLevel="1"/>
    <col min="50" max="50" width="19" style="2218" hidden="1" customWidth="1" outlineLevel="1"/>
    <col min="51" max="51" width="20" style="2218" hidden="1" customWidth="1" outlineLevel="1"/>
    <col min="52" max="52" width="19" style="2218" hidden="1" customWidth="1" outlineLevel="1"/>
    <col min="53" max="53" width="18.85546875" style="2218" hidden="1" customWidth="1" outlineLevel="1"/>
    <col min="54" max="54" width="19" style="2218" hidden="1" customWidth="1" outlineLevel="1"/>
    <col min="55" max="55" width="23.85546875" style="2218" bestFit="1" customWidth="1" collapsed="1"/>
    <col min="56" max="56" width="23.42578125" style="2218" customWidth="1"/>
    <col min="57" max="57" width="20" style="2219" customWidth="1"/>
    <col min="58" max="16384" width="9" style="2219"/>
  </cols>
  <sheetData>
    <row r="1" spans="1:56" s="131" customFormat="1" ht="14.25">
      <c r="A1" s="149"/>
      <c r="D1" s="149"/>
      <c r="E1" s="2190"/>
      <c r="F1" s="2190"/>
      <c r="G1" s="2190"/>
      <c r="H1" s="2190"/>
      <c r="I1" s="2190"/>
      <c r="J1" s="2190"/>
      <c r="K1" s="2190"/>
      <c r="L1" s="2190"/>
      <c r="M1" s="149"/>
      <c r="N1" s="2190"/>
      <c r="O1" s="2190"/>
      <c r="P1" s="2190"/>
      <c r="Q1" s="2190"/>
      <c r="R1" s="2190"/>
      <c r="S1" s="149"/>
      <c r="T1" s="149"/>
      <c r="U1" s="149"/>
      <c r="V1" s="2190"/>
      <c r="W1" s="2190"/>
      <c r="X1" s="2190"/>
      <c r="Y1" s="149"/>
      <c r="Z1" s="149"/>
      <c r="AA1" s="149"/>
      <c r="AB1" s="2190"/>
      <c r="AC1" s="149"/>
    </row>
    <row r="2" spans="1:56" s="131" customFormat="1" ht="17.25">
      <c r="A2" s="157" t="str">
        <f>'Data Input'!A1&amp;" - "&amp;'Data Input'!B1</f>
        <v>PROGRAMME: - MARINA VILLAGE (PROGRAMME 1_TRIPLE BAY)</v>
      </c>
      <c r="B2" s="157"/>
      <c r="D2" s="149"/>
      <c r="E2" s="2190"/>
      <c r="F2" s="2190"/>
      <c r="G2" s="2190"/>
      <c r="H2" s="2190"/>
      <c r="I2" s="2190"/>
      <c r="J2" s="2190"/>
      <c r="K2" s="2190"/>
      <c r="L2" s="2190"/>
      <c r="M2" s="149"/>
      <c r="N2" s="2190"/>
      <c r="O2" s="2190"/>
      <c r="P2" s="2190"/>
      <c r="Q2" s="2190"/>
      <c r="R2" s="2190"/>
      <c r="S2" s="149"/>
      <c r="T2" s="149"/>
      <c r="U2" s="149"/>
      <c r="V2" s="2190"/>
      <c r="W2" s="2190"/>
      <c r="X2" s="2190"/>
      <c r="Y2" s="149"/>
      <c r="Z2" s="149"/>
      <c r="AA2" s="149"/>
      <c r="AB2" s="2190"/>
      <c r="AC2" s="149"/>
    </row>
    <row r="3" spans="1:56" s="131" customFormat="1" ht="17.25">
      <c r="A3" s="157" t="str">
        <f>'Data Input'!A2&amp;" - "&amp;'Data Input'!B2</f>
        <v>PROGRAMME CODE: - 1TB01003</v>
      </c>
      <c r="B3" s="157"/>
      <c r="D3" s="149"/>
      <c r="E3" s="2190"/>
      <c r="F3" s="2190"/>
      <c r="G3" s="2190"/>
      <c r="H3" s="2190"/>
      <c r="I3" s="2190"/>
      <c r="J3" s="2190"/>
      <c r="K3" s="2190"/>
      <c r="L3" s="2190"/>
      <c r="M3" s="149"/>
      <c r="N3" s="2190"/>
      <c r="O3" s="2190"/>
      <c r="P3" s="2190"/>
      <c r="Q3" s="2190"/>
      <c r="R3" s="2190"/>
      <c r="S3" s="149"/>
      <c r="T3" s="149"/>
      <c r="U3" s="149"/>
      <c r="V3" s="2190"/>
      <c r="W3" s="2190"/>
      <c r="X3" s="2190"/>
      <c r="Y3" s="149"/>
      <c r="Z3" s="149"/>
      <c r="AA3" s="149"/>
      <c r="AB3" s="2190"/>
      <c r="AC3" s="149"/>
    </row>
    <row r="4" spans="1:56" s="131" customFormat="1" ht="17.25">
      <c r="A4" s="157" t="str">
        <f>'Data Input'!A3&amp;" - "&amp;'Data Input'!B3</f>
        <v>ASSET NAME: - AMAALA YACHT CLUB</v>
      </c>
      <c r="B4" s="157"/>
      <c r="D4" s="149"/>
      <c r="E4" s="2190"/>
      <c r="F4" s="2190"/>
      <c r="G4" s="2190"/>
      <c r="H4" s="2190"/>
      <c r="I4" s="2190"/>
      <c r="J4" s="2190"/>
      <c r="K4" s="2190"/>
      <c r="L4" s="2190"/>
      <c r="M4" s="149"/>
      <c r="N4" s="2190"/>
      <c r="O4" s="2190"/>
      <c r="P4" s="2190"/>
      <c r="Q4" s="2190"/>
      <c r="R4" s="2190"/>
      <c r="S4" s="149"/>
      <c r="T4" s="149"/>
      <c r="U4" s="149"/>
      <c r="V4" s="2190"/>
      <c r="W4" s="2190"/>
      <c r="X4" s="2190"/>
      <c r="Y4" s="149"/>
      <c r="Z4" s="149"/>
      <c r="AA4" s="149"/>
      <c r="AB4" s="2190"/>
      <c r="AC4" s="149"/>
    </row>
    <row r="5" spans="1:56" s="7" customFormat="1" ht="17.25">
      <c r="A5" s="157" t="str">
        <f>'Data Input'!A4&amp;" - "&amp;'Data Input'!B4</f>
        <v>ASSET CODE: - 1TB01003.01</v>
      </c>
      <c r="B5" s="157"/>
      <c r="C5" s="6"/>
      <c r="D5" s="6"/>
      <c r="E5" s="6"/>
      <c r="F5" s="6"/>
      <c r="G5" s="6"/>
      <c r="H5" s="6"/>
      <c r="I5" s="6"/>
    </row>
    <row r="6" spans="1:56" s="2193" customFormat="1" ht="17.25">
      <c r="A6" s="157" t="str">
        <f>'Data Input'!A7&amp;" - "&amp;'Data Input'!B7</f>
        <v>REPORT NO: - MONTHLY REPORT NO. 49</v>
      </c>
      <c r="B6" s="157"/>
      <c r="C6" s="2192"/>
      <c r="I6" s="151"/>
    </row>
    <row r="7" spans="1:56" s="2193" customFormat="1" ht="17.25">
      <c r="A7" s="157" t="str">
        <f>'Data Input'!A8&amp;" - "&amp;'Data Input'!B8</f>
        <v>REPORTING PERIOD: - OCTOBER 2026</v>
      </c>
      <c r="B7" s="157"/>
      <c r="C7" s="2194"/>
      <c r="I7" s="2195"/>
      <c r="BC7" s="2196"/>
    </row>
    <row r="8" spans="1:56" s="2193" customFormat="1">
      <c r="A8" s="13"/>
      <c r="B8" s="2191"/>
      <c r="C8" s="2197"/>
      <c r="AB8" s="152"/>
      <c r="BC8" s="548"/>
    </row>
    <row r="9" spans="1:56" s="2193" customFormat="1">
      <c r="A9" s="13"/>
      <c r="B9" s="2198"/>
      <c r="C9" s="2199"/>
      <c r="D9" s="2200"/>
      <c r="E9" s="2200"/>
      <c r="F9" s="2200"/>
      <c r="G9" s="2200"/>
      <c r="AF9" s="2201"/>
    </row>
    <row r="10" spans="1:56" s="2193" customFormat="1">
      <c r="A10" s="2202"/>
      <c r="B10" s="2198"/>
      <c r="C10" s="2199"/>
      <c r="D10" s="2200"/>
      <c r="E10" s="2200"/>
      <c r="F10" s="2200"/>
      <c r="G10" s="2200"/>
      <c r="H10" s="2200"/>
      <c r="I10" s="2200"/>
      <c r="AF10" s="2201"/>
    </row>
    <row r="11" spans="1:56" s="131" customFormat="1" thickBot="1">
      <c r="A11" s="149"/>
      <c r="D11" s="149"/>
      <c r="E11" s="2190"/>
      <c r="F11" s="2190"/>
      <c r="G11" s="2190"/>
      <c r="H11" s="2190"/>
      <c r="I11" s="2190"/>
      <c r="J11" s="2190"/>
      <c r="K11" s="2190"/>
      <c r="L11" s="2190"/>
      <c r="M11" s="149"/>
      <c r="N11" s="2190"/>
      <c r="O11" s="2190"/>
      <c r="P11" s="2190"/>
      <c r="Q11" s="2190"/>
      <c r="R11" s="2190"/>
      <c r="S11" s="149"/>
      <c r="T11" s="149"/>
      <c r="U11" s="149"/>
      <c r="V11" s="2190"/>
      <c r="W11" s="2190"/>
      <c r="X11" s="2190"/>
      <c r="Y11" s="149"/>
      <c r="Z11" s="149"/>
      <c r="AA11" s="149"/>
      <c r="AB11" s="2190"/>
      <c r="AC11" s="149"/>
    </row>
    <row r="12" spans="1:56" s="2203" customFormat="1" ht="15" hidden="1" customHeight="1">
      <c r="B12" s="2204"/>
      <c r="C12" s="2205"/>
      <c r="D12" s="2206"/>
      <c r="E12" s="2207">
        <v>1</v>
      </c>
      <c r="F12" s="2207">
        <f t="shared" ref="F12:BB12" si="0">E12+1</f>
        <v>2</v>
      </c>
      <c r="G12" s="2207">
        <f t="shared" si="0"/>
        <v>3</v>
      </c>
      <c r="H12" s="2207">
        <f t="shared" si="0"/>
        <v>4</v>
      </c>
      <c r="I12" s="2207">
        <f t="shared" si="0"/>
        <v>5</v>
      </c>
      <c r="J12" s="2207">
        <f t="shared" si="0"/>
        <v>6</v>
      </c>
      <c r="K12" s="2207">
        <f t="shared" si="0"/>
        <v>7</v>
      </c>
      <c r="L12" s="2207">
        <f t="shared" si="0"/>
        <v>8</v>
      </c>
      <c r="M12" s="2207">
        <f t="shared" si="0"/>
        <v>9</v>
      </c>
      <c r="N12" s="2207">
        <f t="shared" si="0"/>
        <v>10</v>
      </c>
      <c r="O12" s="2207">
        <f t="shared" si="0"/>
        <v>11</v>
      </c>
      <c r="P12" s="2207">
        <f t="shared" si="0"/>
        <v>12</v>
      </c>
      <c r="Q12" s="2207">
        <f t="shared" si="0"/>
        <v>13</v>
      </c>
      <c r="R12" s="2207">
        <f t="shared" si="0"/>
        <v>14</v>
      </c>
      <c r="S12" s="2207">
        <f t="shared" si="0"/>
        <v>15</v>
      </c>
      <c r="T12" s="2207">
        <f t="shared" si="0"/>
        <v>16</v>
      </c>
      <c r="U12" s="2207">
        <f t="shared" si="0"/>
        <v>17</v>
      </c>
      <c r="V12" s="2207">
        <f t="shared" si="0"/>
        <v>18</v>
      </c>
      <c r="W12" s="2207">
        <f t="shared" si="0"/>
        <v>19</v>
      </c>
      <c r="X12" s="2207">
        <f t="shared" si="0"/>
        <v>20</v>
      </c>
      <c r="Y12" s="2207">
        <f t="shared" si="0"/>
        <v>21</v>
      </c>
      <c r="Z12" s="2207">
        <f t="shared" si="0"/>
        <v>22</v>
      </c>
      <c r="AA12" s="2207">
        <f t="shared" si="0"/>
        <v>23</v>
      </c>
      <c r="AB12" s="2207">
        <f t="shared" si="0"/>
        <v>24</v>
      </c>
      <c r="AC12" s="2207">
        <f t="shared" si="0"/>
        <v>25</v>
      </c>
      <c r="AD12" s="2207">
        <f t="shared" si="0"/>
        <v>26</v>
      </c>
      <c r="AE12" s="2207">
        <f t="shared" si="0"/>
        <v>27</v>
      </c>
      <c r="AF12" s="2207">
        <f t="shared" si="0"/>
        <v>28</v>
      </c>
      <c r="AG12" s="2207">
        <f t="shared" si="0"/>
        <v>29</v>
      </c>
      <c r="AH12" s="2207">
        <f t="shared" si="0"/>
        <v>30</v>
      </c>
      <c r="AI12" s="2207">
        <f t="shared" si="0"/>
        <v>31</v>
      </c>
      <c r="AJ12" s="2207">
        <f t="shared" si="0"/>
        <v>32</v>
      </c>
      <c r="AK12" s="2207">
        <f t="shared" si="0"/>
        <v>33</v>
      </c>
      <c r="AL12" s="2207">
        <f t="shared" si="0"/>
        <v>34</v>
      </c>
      <c r="AM12" s="2207">
        <f t="shared" si="0"/>
        <v>35</v>
      </c>
      <c r="AN12" s="2207">
        <f t="shared" si="0"/>
        <v>36</v>
      </c>
      <c r="AO12" s="2207">
        <f t="shared" si="0"/>
        <v>37</v>
      </c>
      <c r="AP12" s="2207">
        <f t="shared" si="0"/>
        <v>38</v>
      </c>
      <c r="AQ12" s="2207">
        <f t="shared" si="0"/>
        <v>39</v>
      </c>
      <c r="AR12" s="2207">
        <f t="shared" si="0"/>
        <v>40</v>
      </c>
      <c r="AS12" s="2207">
        <f t="shared" si="0"/>
        <v>41</v>
      </c>
      <c r="AT12" s="2207">
        <f t="shared" si="0"/>
        <v>42</v>
      </c>
      <c r="AU12" s="2207">
        <f t="shared" si="0"/>
        <v>43</v>
      </c>
      <c r="AV12" s="2207">
        <f t="shared" si="0"/>
        <v>44</v>
      </c>
      <c r="AW12" s="2207">
        <f t="shared" si="0"/>
        <v>45</v>
      </c>
      <c r="AX12" s="2207">
        <f t="shared" si="0"/>
        <v>46</v>
      </c>
      <c r="AY12" s="2207">
        <f t="shared" si="0"/>
        <v>47</v>
      </c>
      <c r="AZ12" s="2207">
        <f t="shared" si="0"/>
        <v>48</v>
      </c>
      <c r="BA12" s="2207">
        <f>AP12+1</f>
        <v>39</v>
      </c>
      <c r="BB12" s="2207">
        <f t="shared" si="0"/>
        <v>40</v>
      </c>
      <c r="BC12" s="6133" t="s">
        <v>1886</v>
      </c>
      <c r="BD12" s="2208"/>
    </row>
    <row r="13" spans="1:56" s="2203" customFormat="1" ht="15.75" hidden="1" thickBot="1">
      <c r="B13" s="2209"/>
      <c r="C13" s="2210"/>
      <c r="D13" s="2211"/>
      <c r="E13" s="2212">
        <v>41638</v>
      </c>
      <c r="F13" s="2212">
        <f>E13+30</f>
        <v>41668</v>
      </c>
      <c r="G13" s="2212">
        <f t="shared" ref="G13:BB13" si="1">F13+30</f>
        <v>41698</v>
      </c>
      <c r="H13" s="2212">
        <f t="shared" si="1"/>
        <v>41728</v>
      </c>
      <c r="I13" s="2212">
        <f t="shared" si="1"/>
        <v>41758</v>
      </c>
      <c r="J13" s="2212">
        <f t="shared" si="1"/>
        <v>41788</v>
      </c>
      <c r="K13" s="2212">
        <f t="shared" si="1"/>
        <v>41818</v>
      </c>
      <c r="L13" s="2212">
        <f t="shared" si="1"/>
        <v>41848</v>
      </c>
      <c r="M13" s="2212">
        <f t="shared" si="1"/>
        <v>41878</v>
      </c>
      <c r="N13" s="2212">
        <f t="shared" si="1"/>
        <v>41908</v>
      </c>
      <c r="O13" s="2212">
        <f t="shared" si="1"/>
        <v>41938</v>
      </c>
      <c r="P13" s="2212">
        <f t="shared" si="1"/>
        <v>41968</v>
      </c>
      <c r="Q13" s="2212">
        <f t="shared" si="1"/>
        <v>41998</v>
      </c>
      <c r="R13" s="2212">
        <f t="shared" si="1"/>
        <v>42028</v>
      </c>
      <c r="S13" s="2212">
        <f t="shared" si="1"/>
        <v>42058</v>
      </c>
      <c r="T13" s="2212">
        <f t="shared" si="1"/>
        <v>42088</v>
      </c>
      <c r="U13" s="2212">
        <f t="shared" si="1"/>
        <v>42118</v>
      </c>
      <c r="V13" s="2212">
        <f t="shared" si="1"/>
        <v>42148</v>
      </c>
      <c r="W13" s="2212">
        <f t="shared" si="1"/>
        <v>42178</v>
      </c>
      <c r="X13" s="2212">
        <f t="shared" si="1"/>
        <v>42208</v>
      </c>
      <c r="Y13" s="2212">
        <f t="shared" si="1"/>
        <v>42238</v>
      </c>
      <c r="Z13" s="2212">
        <f t="shared" si="1"/>
        <v>42268</v>
      </c>
      <c r="AA13" s="2212">
        <f t="shared" si="1"/>
        <v>42298</v>
      </c>
      <c r="AB13" s="2212">
        <f t="shared" si="1"/>
        <v>42328</v>
      </c>
      <c r="AC13" s="2212">
        <f t="shared" si="1"/>
        <v>42358</v>
      </c>
      <c r="AD13" s="2212">
        <f t="shared" si="1"/>
        <v>42388</v>
      </c>
      <c r="AE13" s="2212">
        <f t="shared" si="1"/>
        <v>42418</v>
      </c>
      <c r="AF13" s="2212">
        <f t="shared" si="1"/>
        <v>42448</v>
      </c>
      <c r="AG13" s="2212">
        <f t="shared" si="1"/>
        <v>42478</v>
      </c>
      <c r="AH13" s="2212">
        <f t="shared" si="1"/>
        <v>42508</v>
      </c>
      <c r="AI13" s="2212">
        <f t="shared" si="1"/>
        <v>42538</v>
      </c>
      <c r="AJ13" s="2212">
        <f t="shared" si="1"/>
        <v>42568</v>
      </c>
      <c r="AK13" s="2212">
        <f t="shared" si="1"/>
        <v>42598</v>
      </c>
      <c r="AL13" s="2212">
        <f t="shared" si="1"/>
        <v>42628</v>
      </c>
      <c r="AM13" s="2212">
        <f t="shared" si="1"/>
        <v>42658</v>
      </c>
      <c r="AN13" s="2212">
        <f t="shared" si="1"/>
        <v>42688</v>
      </c>
      <c r="AO13" s="2212">
        <f t="shared" si="1"/>
        <v>42718</v>
      </c>
      <c r="AP13" s="2212">
        <f t="shared" si="1"/>
        <v>42748</v>
      </c>
      <c r="AQ13" s="2212">
        <f t="shared" si="1"/>
        <v>42778</v>
      </c>
      <c r="AR13" s="2212">
        <f t="shared" si="1"/>
        <v>42808</v>
      </c>
      <c r="AS13" s="2212">
        <f t="shared" si="1"/>
        <v>42838</v>
      </c>
      <c r="AT13" s="2212">
        <f t="shared" si="1"/>
        <v>42868</v>
      </c>
      <c r="AU13" s="2212">
        <f t="shared" si="1"/>
        <v>42898</v>
      </c>
      <c r="AV13" s="2212">
        <f t="shared" si="1"/>
        <v>42928</v>
      </c>
      <c r="AW13" s="2212">
        <f t="shared" si="1"/>
        <v>42958</v>
      </c>
      <c r="AX13" s="2212">
        <f t="shared" si="1"/>
        <v>42988</v>
      </c>
      <c r="AY13" s="2212">
        <f t="shared" si="1"/>
        <v>43018</v>
      </c>
      <c r="AZ13" s="2212">
        <f t="shared" si="1"/>
        <v>43048</v>
      </c>
      <c r="BA13" s="2212">
        <f>AP13+30</f>
        <v>42778</v>
      </c>
      <c r="BB13" s="2212">
        <f t="shared" si="1"/>
        <v>42808</v>
      </c>
      <c r="BC13" s="6134"/>
      <c r="BD13" s="2208"/>
    </row>
    <row r="14" spans="1:56" s="2203" customFormat="1" ht="15.75" hidden="1" thickBot="1">
      <c r="B14" s="2213"/>
      <c r="C14" s="2213"/>
      <c r="D14" s="2214"/>
      <c r="E14" s="2215"/>
      <c r="F14" s="2215"/>
      <c r="G14" s="2215"/>
      <c r="H14" s="2215"/>
      <c r="I14" s="2215"/>
      <c r="J14" s="2215"/>
      <c r="K14" s="2215"/>
      <c r="L14" s="2215"/>
      <c r="M14" s="2215"/>
      <c r="N14" s="2215"/>
      <c r="O14" s="2215"/>
      <c r="P14" s="2215"/>
      <c r="Q14" s="2215"/>
      <c r="R14" s="2215"/>
      <c r="S14" s="2215"/>
      <c r="T14" s="2215"/>
      <c r="U14" s="2215"/>
      <c r="V14" s="2215"/>
      <c r="W14" s="2215"/>
      <c r="X14" s="2215"/>
      <c r="Y14" s="2215"/>
      <c r="Z14" s="2215"/>
      <c r="AA14" s="2215"/>
      <c r="AB14" s="2215"/>
      <c r="AC14" s="2215"/>
      <c r="AD14" s="2215"/>
      <c r="AE14" s="2215"/>
      <c r="AF14" s="2215"/>
      <c r="AG14" s="2215"/>
      <c r="AH14" s="2215"/>
      <c r="AI14" s="2215"/>
      <c r="AJ14" s="2215"/>
      <c r="AK14" s="2215"/>
      <c r="AL14" s="2215"/>
      <c r="AM14" s="2215"/>
      <c r="AN14" s="2215"/>
      <c r="AO14" s="2215"/>
      <c r="AP14" s="2215"/>
      <c r="AQ14" s="2215"/>
      <c r="AR14" s="2215"/>
      <c r="AS14" s="2215"/>
      <c r="AT14" s="2215"/>
      <c r="AU14" s="2215"/>
      <c r="AV14" s="2215"/>
      <c r="AW14" s="2215"/>
      <c r="AX14" s="2215"/>
      <c r="AY14" s="2215"/>
      <c r="AZ14" s="2215"/>
      <c r="BA14" s="2215"/>
      <c r="BB14" s="2215"/>
      <c r="BC14" s="2216"/>
      <c r="BD14" s="2208"/>
    </row>
    <row r="15" spans="1:56" ht="28.5">
      <c r="A15" s="2217"/>
      <c r="B15" s="6135" t="s">
        <v>5</v>
      </c>
      <c r="C15" s="6135"/>
      <c r="D15" s="6135"/>
      <c r="E15" s="6135"/>
      <c r="F15" s="6135"/>
      <c r="G15" s="6135"/>
      <c r="H15" s="6135"/>
      <c r="I15" s="6135"/>
      <c r="J15" s="6135"/>
      <c r="K15" s="6135"/>
      <c r="L15" s="6135"/>
      <c r="M15" s="6135"/>
      <c r="N15" s="6135"/>
      <c r="O15" s="6135"/>
      <c r="P15" s="6135"/>
      <c r="Q15" s="6135"/>
      <c r="R15" s="2438"/>
      <c r="S15" s="2438"/>
      <c r="T15" s="2438"/>
      <c r="U15" s="2438"/>
      <c r="V15" s="2438"/>
      <c r="W15" s="2438"/>
      <c r="X15" s="2438"/>
      <c r="Y15" s="2438"/>
      <c r="Z15" s="2438"/>
      <c r="AA15" s="2438"/>
      <c r="AB15" s="2438"/>
      <c r="AC15" s="2438"/>
      <c r="AD15" s="2438"/>
      <c r="AE15" s="2438"/>
      <c r="AF15" s="2438"/>
      <c r="AG15" s="2438"/>
      <c r="AH15" s="2438"/>
      <c r="AI15" s="2438"/>
      <c r="AJ15" s="2438"/>
      <c r="AK15" s="2438"/>
      <c r="AL15" s="2438"/>
      <c r="AM15" s="2438"/>
      <c r="AN15" s="2438"/>
      <c r="AO15" s="2438"/>
      <c r="AP15" s="2438"/>
      <c r="AQ15" s="2438"/>
      <c r="AR15" s="2438"/>
      <c r="AS15" s="2438"/>
      <c r="AT15" s="2438"/>
      <c r="AU15" s="2438"/>
      <c r="AV15" s="2438"/>
      <c r="AW15" s="2438"/>
      <c r="AX15" s="2438"/>
      <c r="AY15" s="2438"/>
      <c r="AZ15" s="2438"/>
      <c r="BA15" s="2438"/>
      <c r="BB15" s="2438"/>
      <c r="BC15" s="2439"/>
    </row>
    <row r="16" spans="1:56" ht="9.75" customHeight="1">
      <c r="A16" s="2220"/>
      <c r="B16" s="2440"/>
      <c r="C16" s="6136"/>
      <c r="D16" s="6136"/>
      <c r="E16" s="6136"/>
      <c r="F16" s="6136"/>
      <c r="G16" s="6136"/>
      <c r="H16" s="6136"/>
      <c r="I16" s="6136"/>
      <c r="J16" s="6136"/>
      <c r="K16" s="6136"/>
      <c r="L16" s="6136"/>
      <c r="M16" s="6136"/>
      <c r="N16" s="6136"/>
      <c r="O16" s="2441"/>
      <c r="P16" s="2442"/>
      <c r="Q16" s="2442"/>
      <c r="R16" s="2442"/>
      <c r="S16" s="2442"/>
      <c r="T16" s="2442"/>
      <c r="U16" s="2442"/>
      <c r="V16" s="2442"/>
      <c r="W16" s="2442"/>
      <c r="X16" s="2442"/>
      <c r="Y16" s="2442"/>
      <c r="Z16" s="2442"/>
      <c r="AA16" s="2442"/>
      <c r="AB16" s="2442"/>
      <c r="AC16" s="2442"/>
      <c r="AD16" s="2442"/>
      <c r="AE16" s="2442"/>
      <c r="AF16" s="2442"/>
      <c r="AG16" s="2442"/>
      <c r="AH16" s="2442"/>
      <c r="AI16" s="2442"/>
      <c r="AJ16" s="2442"/>
      <c r="AK16" s="2442"/>
      <c r="AL16" s="2442"/>
      <c r="AM16" s="2442"/>
      <c r="AN16" s="2442"/>
      <c r="AO16" s="2442"/>
      <c r="AP16" s="2442"/>
      <c r="AQ16" s="2442"/>
      <c r="AR16" s="2442"/>
      <c r="AS16" s="2442"/>
      <c r="AT16" s="2442"/>
      <c r="AU16" s="2442"/>
      <c r="AV16" s="2442"/>
      <c r="AW16" s="2442"/>
      <c r="AX16" s="2442"/>
      <c r="AY16" s="2442"/>
      <c r="AZ16" s="2442"/>
      <c r="BA16" s="2442"/>
      <c r="BB16" s="2442"/>
      <c r="BC16" s="2443"/>
    </row>
    <row r="17" spans="1:101" ht="28.5">
      <c r="A17" s="2220"/>
      <c r="B17" s="6136" t="s">
        <v>1887</v>
      </c>
      <c r="C17" s="6136"/>
      <c r="D17" s="6136"/>
      <c r="E17" s="6136"/>
      <c r="F17" s="6136"/>
      <c r="G17" s="6136"/>
      <c r="H17" s="6136"/>
      <c r="I17" s="6136"/>
      <c r="J17" s="6136"/>
      <c r="K17" s="6136"/>
      <c r="L17" s="6136"/>
      <c r="M17" s="6136"/>
      <c r="N17" s="6136"/>
      <c r="O17" s="6136"/>
      <c r="P17" s="6136"/>
      <c r="Q17" s="6136"/>
      <c r="R17" s="2444"/>
      <c r="S17" s="2444"/>
      <c r="T17" s="2444"/>
      <c r="U17" s="2444"/>
      <c r="V17" s="2444"/>
      <c r="W17" s="2444"/>
      <c r="X17" s="2444"/>
      <c r="Y17" s="2444"/>
      <c r="Z17" s="2444"/>
      <c r="AA17" s="2444"/>
      <c r="AB17" s="2444"/>
      <c r="AC17" s="2444"/>
      <c r="AD17" s="2444"/>
      <c r="AE17" s="2444"/>
      <c r="AF17" s="2444"/>
      <c r="AG17" s="2444"/>
      <c r="AH17" s="2444"/>
      <c r="AI17" s="2444"/>
      <c r="AJ17" s="2444"/>
      <c r="AK17" s="2444"/>
      <c r="AL17" s="2444"/>
      <c r="AM17" s="2444"/>
      <c r="AN17" s="2444"/>
      <c r="AO17" s="2444"/>
      <c r="AP17" s="2444"/>
      <c r="AQ17" s="2444"/>
      <c r="AR17" s="2444"/>
      <c r="AS17" s="2444"/>
      <c r="AT17" s="2444"/>
      <c r="AU17" s="2444"/>
      <c r="AV17" s="2444"/>
      <c r="AW17" s="2444"/>
      <c r="AX17" s="2444"/>
      <c r="AY17" s="2444"/>
      <c r="AZ17" s="2444"/>
      <c r="BA17" s="2444"/>
      <c r="BB17" s="2444"/>
      <c r="BC17" s="2445"/>
    </row>
    <row r="18" spans="1:101" ht="4.5" customHeight="1">
      <c r="A18" s="2221"/>
      <c r="E18" s="2223"/>
      <c r="F18" s="2223"/>
      <c r="G18" s="2223"/>
      <c r="H18" s="2223"/>
      <c r="I18" s="2223"/>
      <c r="J18" s="2223"/>
      <c r="K18" s="2223"/>
      <c r="L18" s="2223"/>
      <c r="M18" s="2223"/>
      <c r="N18" s="2223"/>
      <c r="O18" s="2223"/>
      <c r="P18" s="2223"/>
      <c r="Q18" s="2223"/>
      <c r="R18" s="2223"/>
      <c r="S18" s="2223"/>
      <c r="T18" s="2223"/>
      <c r="U18" s="2223"/>
      <c r="V18" s="2223"/>
      <c r="W18" s="2223"/>
      <c r="X18" s="2223"/>
      <c r="Y18" s="2223"/>
      <c r="Z18" s="2223"/>
      <c r="AA18" s="2223"/>
      <c r="AB18" s="2223"/>
      <c r="AC18" s="2223"/>
      <c r="AD18" s="2223"/>
      <c r="AE18" s="2223"/>
      <c r="AF18" s="2223"/>
      <c r="AG18" s="2223"/>
      <c r="AH18" s="2223"/>
      <c r="AI18" s="2223"/>
      <c r="AJ18" s="2223"/>
      <c r="AK18" s="2223"/>
      <c r="AL18" s="2223"/>
      <c r="AM18" s="2223"/>
      <c r="AN18" s="2223"/>
      <c r="AO18" s="2223"/>
      <c r="AP18" s="2223"/>
      <c r="AQ18" s="2223"/>
      <c r="AR18" s="2223"/>
      <c r="AS18" s="2223"/>
      <c r="AT18" s="2223"/>
      <c r="AU18" s="2223"/>
      <c r="AV18" s="2223"/>
      <c r="AW18" s="2223"/>
      <c r="AX18" s="2223"/>
      <c r="AY18" s="2223"/>
      <c r="AZ18" s="2223"/>
      <c r="BA18" s="2223"/>
      <c r="BB18" s="2223"/>
      <c r="BC18" s="2224"/>
    </row>
    <row r="19" spans="1:101">
      <c r="A19" s="2221"/>
      <c r="C19" s="6137" t="s">
        <v>1888</v>
      </c>
      <c r="D19" s="6138"/>
      <c r="E19" s="2223"/>
      <c r="F19" s="2223"/>
      <c r="G19" s="2223"/>
      <c r="H19" s="2223"/>
      <c r="I19" s="2223"/>
      <c r="J19" s="2223"/>
      <c r="K19" s="2223"/>
      <c r="L19" s="2223"/>
      <c r="M19" s="2223"/>
      <c r="N19" s="2223"/>
      <c r="O19" s="2223"/>
      <c r="P19" s="2223"/>
      <c r="Q19" s="2223"/>
      <c r="R19" s="2223"/>
      <c r="S19" s="2223"/>
      <c r="T19" s="2223"/>
      <c r="U19" s="2223"/>
      <c r="V19" s="2223"/>
      <c r="W19" s="2223"/>
      <c r="X19" s="2223"/>
      <c r="Y19" s="2223"/>
      <c r="Z19" s="2223"/>
      <c r="AA19" s="2223"/>
      <c r="AB19" s="2223"/>
      <c r="AC19" s="2223"/>
      <c r="AD19" s="2223"/>
      <c r="AE19" s="2223"/>
      <c r="AF19" s="2223"/>
      <c r="AG19" s="2223"/>
      <c r="AH19" s="2223"/>
      <c r="AI19" s="2223"/>
      <c r="AJ19" s="2223"/>
      <c r="AK19" s="2223"/>
      <c r="AL19" s="2223"/>
      <c r="AM19" s="2223"/>
      <c r="AN19" s="2223"/>
      <c r="AO19" s="2223"/>
      <c r="AP19" s="2223"/>
      <c r="AQ19" s="2223"/>
      <c r="AR19" s="2223"/>
      <c r="AS19" s="2223"/>
      <c r="AT19" s="2223"/>
      <c r="AU19" s="2223"/>
      <c r="AV19" s="2223"/>
      <c r="AW19" s="2223"/>
      <c r="AX19" s="2223"/>
      <c r="AY19" s="2223"/>
      <c r="AZ19" s="2223"/>
      <c r="BA19" s="2223"/>
      <c r="BB19" s="2223"/>
      <c r="BC19" s="2224"/>
    </row>
    <row r="20" spans="1:101" ht="15" customHeight="1">
      <c r="A20" s="2221"/>
      <c r="C20" s="6139"/>
      <c r="D20" s="6140"/>
      <c r="E20" s="2223"/>
      <c r="F20" s="2223"/>
      <c r="G20" s="2223"/>
      <c r="H20" s="2223"/>
      <c r="I20" s="2223"/>
      <c r="J20" s="2223"/>
      <c r="K20" s="2223"/>
      <c r="L20" s="2223"/>
      <c r="M20" s="2223"/>
      <c r="N20" s="2223"/>
      <c r="O20" s="2223"/>
      <c r="P20" s="2223"/>
      <c r="Q20" s="2223"/>
      <c r="R20" s="2223"/>
      <c r="S20" s="2223"/>
      <c r="T20" s="2223"/>
      <c r="U20" s="2223"/>
      <c r="V20" s="2223"/>
      <c r="W20" s="2223"/>
      <c r="X20" s="2223"/>
      <c r="Y20" s="2223"/>
      <c r="Z20" s="2223"/>
      <c r="AA20" s="2223"/>
      <c r="AB20" s="2223"/>
      <c r="AC20" s="2223"/>
      <c r="AD20" s="2223"/>
      <c r="AE20" s="2223"/>
      <c r="AF20" s="2223"/>
      <c r="AG20" s="2223"/>
      <c r="AH20" s="2223"/>
      <c r="AI20" s="2223"/>
      <c r="AJ20" s="2223"/>
      <c r="AK20" s="2223"/>
      <c r="AL20" s="2223"/>
      <c r="AM20" s="2223"/>
      <c r="AN20" s="2223"/>
      <c r="AO20" s="2223"/>
      <c r="AP20" s="2223"/>
      <c r="AQ20" s="2223"/>
      <c r="AR20" s="2223"/>
      <c r="AS20" s="2223"/>
      <c r="AT20" s="2223"/>
      <c r="AU20" s="2223"/>
      <c r="AV20" s="2223"/>
      <c r="AW20" s="2223"/>
      <c r="AX20" s="2223"/>
      <c r="AY20" s="2223"/>
      <c r="AZ20" s="2223"/>
      <c r="BA20" s="2223"/>
      <c r="BB20" s="2223"/>
      <c r="BC20" s="2224"/>
    </row>
    <row r="21" spans="1:101" s="2226" customFormat="1" ht="20.25" customHeight="1">
      <c r="A21" s="2225"/>
      <c r="C21" s="6139"/>
      <c r="D21" s="6140"/>
      <c r="E21" s="2227"/>
      <c r="F21" s="2227"/>
      <c r="G21" s="2227"/>
      <c r="H21" s="2227"/>
      <c r="I21" s="2227"/>
      <c r="J21" s="2227"/>
      <c r="K21" s="2227"/>
      <c r="L21" s="2227"/>
      <c r="M21" s="2227"/>
      <c r="N21" s="2227"/>
      <c r="O21" s="2227"/>
      <c r="P21" s="2227"/>
      <c r="Q21" s="2227"/>
      <c r="R21" s="2227"/>
      <c r="S21" s="2227"/>
      <c r="T21" s="2227"/>
      <c r="U21" s="2227"/>
      <c r="V21" s="2227"/>
      <c r="W21" s="2227"/>
      <c r="X21" s="2227"/>
      <c r="Y21" s="2227"/>
      <c r="Z21" s="2227"/>
      <c r="AA21" s="2227"/>
      <c r="AB21" s="2227"/>
      <c r="AC21" s="2227"/>
      <c r="AD21" s="2227"/>
      <c r="AE21" s="2227"/>
      <c r="AF21" s="2227"/>
      <c r="AG21" s="2227"/>
      <c r="AH21" s="2227"/>
      <c r="AI21" s="2227"/>
      <c r="AJ21" s="2227"/>
      <c r="AK21" s="2227"/>
      <c r="AL21" s="2227"/>
      <c r="AM21" s="2227"/>
      <c r="AN21" s="2227"/>
      <c r="AO21" s="2227"/>
      <c r="AP21" s="2227"/>
      <c r="AQ21" s="2227"/>
      <c r="AR21" s="2227"/>
      <c r="AS21" s="2227"/>
      <c r="AT21" s="2227"/>
      <c r="AU21" s="2227"/>
      <c r="AV21" s="2227"/>
      <c r="AW21" s="2227"/>
      <c r="AX21" s="2227"/>
      <c r="AY21" s="2227"/>
      <c r="AZ21" s="2227"/>
      <c r="BA21" s="2227"/>
      <c r="BB21" s="2227"/>
      <c r="BC21" s="2228"/>
      <c r="BD21" s="2229"/>
    </row>
    <row r="22" spans="1:101" ht="20.25" customHeight="1">
      <c r="A22" s="2221"/>
      <c r="C22" s="6139"/>
      <c r="D22" s="6140"/>
      <c r="E22" s="2223"/>
      <c r="F22" s="2223"/>
      <c r="G22" s="2223"/>
      <c r="H22" s="2223"/>
      <c r="I22" s="2223"/>
      <c r="J22" s="2223"/>
      <c r="K22" s="2223"/>
      <c r="L22" s="2223"/>
      <c r="M22" s="2223"/>
      <c r="N22" s="2223"/>
      <c r="O22" s="2223"/>
      <c r="P22" s="2223"/>
      <c r="Q22" s="2223"/>
      <c r="R22" s="2223"/>
      <c r="S22" s="2223"/>
      <c r="T22" s="2223"/>
      <c r="U22" s="2223"/>
      <c r="V22" s="2223"/>
      <c r="W22" s="2223"/>
      <c r="X22" s="2223"/>
      <c r="Y22" s="2223"/>
      <c r="Z22" s="2223"/>
      <c r="AA22" s="2223"/>
      <c r="AB22" s="2223"/>
      <c r="AC22" s="2223"/>
      <c r="AD22" s="2223"/>
      <c r="AE22" s="2223"/>
      <c r="AF22" s="2223"/>
      <c r="AG22" s="2223"/>
      <c r="AH22" s="2223"/>
      <c r="AI22" s="2223"/>
      <c r="AJ22" s="2223"/>
      <c r="AK22" s="2223"/>
      <c r="AL22" s="2223"/>
      <c r="AM22" s="2223"/>
      <c r="AN22" s="2223"/>
      <c r="AO22" s="2223"/>
      <c r="AP22" s="2223"/>
      <c r="AQ22" s="2223"/>
      <c r="AR22" s="2223"/>
      <c r="AS22" s="2223"/>
      <c r="AT22" s="2223"/>
      <c r="AU22" s="2223"/>
      <c r="AV22" s="2223"/>
      <c r="AW22" s="2223"/>
      <c r="AX22" s="2223"/>
      <c r="AY22" s="2223"/>
      <c r="AZ22" s="2223"/>
      <c r="BA22" s="2223"/>
      <c r="BB22" s="2223"/>
      <c r="BC22" s="2224"/>
    </row>
    <row r="23" spans="1:101" ht="20.25" customHeight="1">
      <c r="A23" s="2221"/>
      <c r="C23" s="6139"/>
      <c r="D23" s="6140"/>
      <c r="E23" s="2223"/>
      <c r="F23" s="2223"/>
      <c r="G23" s="2223"/>
      <c r="H23" s="2223"/>
      <c r="I23" s="2223"/>
      <c r="J23" s="2223"/>
      <c r="K23" s="2223"/>
      <c r="L23" s="2223"/>
      <c r="M23" s="2223"/>
      <c r="N23" s="2223"/>
      <c r="O23" s="2223"/>
      <c r="P23" s="2223"/>
      <c r="Q23" s="2223"/>
      <c r="R23" s="2223"/>
      <c r="S23" s="2223"/>
      <c r="T23" s="2223"/>
      <c r="U23" s="2223"/>
      <c r="V23" s="2223"/>
      <c r="W23" s="2223"/>
      <c r="X23" s="2223"/>
      <c r="Y23" s="2223"/>
      <c r="Z23" s="2223"/>
      <c r="AA23" s="2223"/>
      <c r="AB23" s="2223"/>
      <c r="AC23" s="2223"/>
      <c r="AD23" s="2223"/>
      <c r="AE23" s="2223"/>
      <c r="AF23" s="2223"/>
      <c r="AG23" s="2223"/>
      <c r="AH23" s="2223"/>
      <c r="AI23" s="2223"/>
      <c r="AJ23" s="2223"/>
      <c r="AK23" s="2223"/>
      <c r="AL23" s="2223"/>
      <c r="AM23" s="2223"/>
      <c r="AN23" s="2223"/>
      <c r="AO23" s="2223"/>
      <c r="AP23" s="2223"/>
      <c r="AQ23" s="2223"/>
      <c r="AR23" s="2223"/>
      <c r="AS23" s="2223"/>
      <c r="AT23" s="2223"/>
      <c r="AU23" s="2223"/>
      <c r="AV23" s="2223"/>
      <c r="AW23" s="2223"/>
      <c r="AX23" s="2223"/>
      <c r="AY23" s="2223"/>
      <c r="AZ23" s="2223"/>
      <c r="BA23" s="2223"/>
      <c r="BB23" s="2223"/>
      <c r="BC23" s="2224"/>
    </row>
    <row r="24" spans="1:101" ht="20.25" customHeight="1">
      <c r="A24" s="2221"/>
      <c r="C24" s="6139"/>
      <c r="D24" s="6140"/>
      <c r="E24" s="2223"/>
      <c r="F24" s="2223"/>
      <c r="G24" s="2223"/>
      <c r="H24" s="2223"/>
      <c r="I24" s="2223"/>
      <c r="J24" s="2223"/>
      <c r="K24" s="2223"/>
      <c r="L24" s="2223"/>
      <c r="M24" s="2223"/>
      <c r="N24" s="2223"/>
      <c r="O24" s="2223"/>
      <c r="P24" s="2223"/>
      <c r="Q24" s="2223"/>
      <c r="R24" s="2223"/>
      <c r="S24" s="2223"/>
      <c r="T24" s="2223"/>
      <c r="U24" s="2223"/>
      <c r="V24" s="2223"/>
      <c r="W24" s="2223"/>
      <c r="X24" s="2223"/>
      <c r="Y24" s="2223"/>
      <c r="Z24" s="2223"/>
      <c r="AA24" s="2223"/>
      <c r="AB24" s="2223"/>
      <c r="AC24" s="2223"/>
      <c r="AD24" s="2223"/>
      <c r="AE24" s="2223"/>
      <c r="AF24" s="2223"/>
      <c r="AG24" s="2223"/>
      <c r="AH24" s="2223"/>
      <c r="AI24" s="2223"/>
      <c r="AJ24" s="2223"/>
      <c r="AK24" s="2223"/>
      <c r="AL24" s="2223"/>
      <c r="AM24" s="2223"/>
      <c r="AN24" s="2223"/>
      <c r="AO24" s="2223"/>
      <c r="AP24" s="2223"/>
      <c r="AQ24" s="2223"/>
      <c r="AR24" s="2223"/>
      <c r="AS24" s="2223"/>
      <c r="AT24" s="2223"/>
      <c r="AU24" s="2223"/>
      <c r="AV24" s="2223"/>
      <c r="AW24" s="2223"/>
      <c r="AX24" s="2223"/>
      <c r="AY24" s="2223"/>
      <c r="AZ24" s="2223"/>
      <c r="BA24" s="2223"/>
      <c r="BB24" s="2223"/>
      <c r="BC24" s="2224"/>
    </row>
    <row r="25" spans="1:101">
      <c r="A25" s="2221"/>
      <c r="C25" s="6139"/>
      <c r="D25" s="6140"/>
      <c r="E25" s="2223"/>
      <c r="F25" s="2223"/>
      <c r="G25" s="2223"/>
      <c r="H25" s="2223"/>
      <c r="I25" s="2223"/>
      <c r="J25" s="2223"/>
      <c r="K25" s="2223"/>
      <c r="L25" s="2223"/>
      <c r="M25" s="2223"/>
      <c r="N25" s="2223"/>
      <c r="O25" s="2223"/>
      <c r="P25" s="2223"/>
      <c r="Q25" s="2223"/>
      <c r="R25" s="2223"/>
      <c r="S25" s="2223"/>
      <c r="T25" s="2223"/>
      <c r="U25" s="2223"/>
      <c r="V25" s="2223"/>
      <c r="W25" s="2223"/>
      <c r="X25" s="2223"/>
      <c r="Y25" s="2223"/>
      <c r="Z25" s="2223"/>
      <c r="AA25" s="2223"/>
      <c r="AB25" s="2223"/>
      <c r="AC25" s="2223"/>
      <c r="AD25" s="2223"/>
      <c r="AE25" s="2223"/>
      <c r="AF25" s="2223"/>
      <c r="AG25" s="2223"/>
      <c r="AH25" s="2223"/>
      <c r="AI25" s="2223"/>
      <c r="AJ25" s="2223"/>
      <c r="AK25" s="2223"/>
      <c r="AL25" s="2223"/>
      <c r="AM25" s="2223"/>
      <c r="AN25" s="2223"/>
      <c r="AO25" s="2223"/>
      <c r="AP25" s="2223"/>
      <c r="AQ25" s="2223"/>
      <c r="AR25" s="2223"/>
      <c r="AS25" s="2223"/>
      <c r="AT25" s="2223"/>
      <c r="AU25" s="2223"/>
      <c r="AV25" s="2223"/>
      <c r="AW25" s="2223"/>
      <c r="AX25" s="2223"/>
      <c r="AY25" s="2223"/>
      <c r="AZ25" s="2223"/>
      <c r="BA25" s="2223"/>
      <c r="BB25" s="2223"/>
      <c r="BC25" s="2224"/>
    </row>
    <row r="26" spans="1:101">
      <c r="A26" s="2221"/>
      <c r="C26" s="6139"/>
      <c r="D26" s="6140"/>
      <c r="E26" s="2223"/>
      <c r="F26" s="2223"/>
      <c r="G26" s="2223"/>
      <c r="H26" s="2223"/>
      <c r="I26" s="2223"/>
      <c r="J26" s="2223"/>
      <c r="K26" s="2223"/>
      <c r="L26" s="2223"/>
      <c r="M26" s="2223"/>
      <c r="N26" s="2223"/>
      <c r="O26" s="2223"/>
      <c r="P26" s="2223"/>
      <c r="Q26" s="2223"/>
      <c r="R26" s="2223"/>
      <c r="S26" s="2223"/>
      <c r="T26" s="2223"/>
      <c r="U26" s="2223"/>
      <c r="V26" s="2223"/>
      <c r="W26" s="2223"/>
      <c r="X26" s="2223"/>
      <c r="Y26" s="2223"/>
      <c r="Z26" s="2223"/>
      <c r="AA26" s="2223"/>
      <c r="AB26" s="2223"/>
      <c r="AC26" s="2223"/>
      <c r="AD26" s="2223"/>
      <c r="AE26" s="2223"/>
      <c r="AF26" s="2223"/>
      <c r="AG26" s="2223"/>
      <c r="AH26" s="2223"/>
      <c r="AI26" s="2223"/>
      <c r="AJ26" s="2223"/>
      <c r="AK26" s="2223"/>
      <c r="AL26" s="2223"/>
      <c r="AM26" s="2223"/>
      <c r="AN26" s="2223"/>
      <c r="AO26" s="2223"/>
      <c r="AP26" s="2223"/>
      <c r="AQ26" s="2223"/>
      <c r="AR26" s="2223"/>
      <c r="AS26" s="2223"/>
      <c r="AT26" s="2223"/>
      <c r="AU26" s="2223"/>
      <c r="AV26" s="2223"/>
      <c r="AW26" s="2223"/>
      <c r="AX26" s="2223"/>
      <c r="AY26" s="2223"/>
      <c r="AZ26" s="2223"/>
      <c r="BA26" s="2223"/>
      <c r="BB26" s="2223"/>
      <c r="BC26" s="2224"/>
    </row>
    <row r="27" spans="1:101">
      <c r="A27" s="2221"/>
      <c r="C27" s="6139"/>
      <c r="D27" s="6140"/>
      <c r="E27" s="2223"/>
      <c r="F27" s="2223"/>
      <c r="G27" s="2223"/>
      <c r="H27" s="2223"/>
      <c r="I27" s="2223"/>
      <c r="J27" s="2223"/>
      <c r="K27" s="2223"/>
      <c r="L27" s="2223"/>
      <c r="M27" s="2223"/>
      <c r="N27" s="2223"/>
      <c r="O27" s="2223"/>
      <c r="P27" s="2223"/>
      <c r="Q27" s="2223"/>
      <c r="R27" s="2223"/>
      <c r="S27" s="2223"/>
      <c r="T27" s="2223"/>
      <c r="U27" s="2223"/>
      <c r="V27" s="2223"/>
      <c r="W27" s="2223"/>
      <c r="X27" s="2223"/>
      <c r="Y27" s="2223"/>
      <c r="Z27" s="2223"/>
      <c r="AA27" s="2223"/>
      <c r="AB27" s="2223"/>
      <c r="AC27" s="2223"/>
      <c r="AD27" s="2223"/>
      <c r="AE27" s="2223"/>
      <c r="AF27" s="2223"/>
      <c r="AG27" s="2223"/>
      <c r="AH27" s="2223"/>
      <c r="AI27" s="2223"/>
      <c r="AJ27" s="2223"/>
      <c r="AK27" s="2223"/>
      <c r="AL27" s="2223"/>
      <c r="AM27" s="2223"/>
      <c r="AN27" s="2223"/>
      <c r="AO27" s="2223"/>
      <c r="AP27" s="2223"/>
      <c r="AQ27" s="2223"/>
      <c r="AR27" s="2223"/>
      <c r="AS27" s="2223"/>
      <c r="AT27" s="2223"/>
      <c r="AU27" s="2223"/>
      <c r="AV27" s="2223"/>
      <c r="AW27" s="2223"/>
      <c r="AX27" s="2223"/>
      <c r="AY27" s="2223"/>
      <c r="AZ27" s="2223"/>
      <c r="BA27" s="2223"/>
      <c r="BB27" s="2223"/>
      <c r="BC27" s="2224"/>
    </row>
    <row r="28" spans="1:101">
      <c r="A28" s="2221"/>
      <c r="C28" s="6139"/>
      <c r="D28" s="6140"/>
      <c r="E28" s="2223"/>
      <c r="F28" s="2223"/>
      <c r="G28" s="2223"/>
      <c r="H28" s="2223"/>
      <c r="I28" s="2223"/>
      <c r="J28" s="2223"/>
      <c r="K28" s="2223"/>
      <c r="L28" s="2223"/>
      <c r="M28" s="2223"/>
      <c r="N28" s="2223"/>
      <c r="O28" s="2223"/>
      <c r="P28" s="2223"/>
      <c r="Q28" s="2223"/>
      <c r="R28" s="2223"/>
      <c r="S28" s="2223"/>
      <c r="T28" s="2223"/>
      <c r="U28" s="2223"/>
      <c r="V28" s="2223"/>
      <c r="W28" s="2223"/>
      <c r="X28" s="2223"/>
      <c r="Y28" s="2223"/>
      <c r="Z28" s="2223"/>
      <c r="AA28" s="2223"/>
      <c r="AB28" s="2223"/>
      <c r="AC28" s="2223"/>
      <c r="AD28" s="2223"/>
      <c r="AE28" s="2223"/>
      <c r="AF28" s="2223"/>
      <c r="AG28" s="2223"/>
      <c r="AH28" s="2223"/>
      <c r="AI28" s="2223"/>
      <c r="AJ28" s="2223"/>
      <c r="AK28" s="2223"/>
      <c r="AL28" s="2223"/>
      <c r="AM28" s="2223"/>
      <c r="AN28" s="2223"/>
      <c r="AO28" s="2223"/>
      <c r="AP28" s="2223"/>
      <c r="AQ28" s="2223"/>
      <c r="AR28" s="2223"/>
      <c r="AS28" s="2223"/>
      <c r="AT28" s="2223"/>
      <c r="AU28" s="2223"/>
      <c r="AV28" s="2223"/>
      <c r="AW28" s="2223"/>
      <c r="AX28" s="2223"/>
      <c r="AY28" s="2223"/>
      <c r="AZ28" s="2223"/>
      <c r="BA28" s="2223"/>
      <c r="BB28" s="2223"/>
      <c r="BC28" s="2224"/>
    </row>
    <row r="29" spans="1:101" s="2230" customFormat="1" ht="6.75" customHeight="1">
      <c r="A29" s="2221"/>
      <c r="B29" s="2219"/>
      <c r="C29" s="6139"/>
      <c r="D29" s="6140"/>
      <c r="E29" s="2223"/>
      <c r="F29" s="2223"/>
      <c r="G29" s="2223"/>
      <c r="H29" s="2223"/>
      <c r="I29" s="2223"/>
      <c r="J29" s="2223"/>
      <c r="K29" s="2223"/>
      <c r="L29" s="2223"/>
      <c r="M29" s="2223"/>
      <c r="N29" s="2223"/>
      <c r="O29" s="2223"/>
      <c r="P29" s="2223"/>
      <c r="Q29" s="2223"/>
      <c r="R29" s="2223"/>
      <c r="S29" s="2223"/>
      <c r="T29" s="2223"/>
      <c r="U29" s="2223"/>
      <c r="V29" s="2223"/>
      <c r="W29" s="2223"/>
      <c r="X29" s="2223"/>
      <c r="Y29" s="2223"/>
      <c r="Z29" s="2223"/>
      <c r="AA29" s="2223"/>
      <c r="AB29" s="2223"/>
      <c r="AC29" s="2223"/>
      <c r="AD29" s="2223"/>
      <c r="AE29" s="2223"/>
      <c r="AF29" s="2223"/>
      <c r="AG29" s="2223"/>
      <c r="AH29" s="2223"/>
      <c r="AI29" s="2223"/>
      <c r="AJ29" s="2223"/>
      <c r="AK29" s="2223"/>
      <c r="AL29" s="2223"/>
      <c r="AM29" s="2223"/>
      <c r="AN29" s="2223"/>
      <c r="AO29" s="2223"/>
      <c r="AP29" s="2223"/>
      <c r="AQ29" s="2223"/>
      <c r="AR29" s="2223"/>
      <c r="AS29" s="2223"/>
      <c r="AT29" s="2223"/>
      <c r="AU29" s="2223"/>
      <c r="AV29" s="2223"/>
      <c r="AW29" s="2223"/>
      <c r="AX29" s="2223"/>
      <c r="AY29" s="2223"/>
      <c r="AZ29" s="2223"/>
      <c r="BA29" s="2223"/>
      <c r="BB29" s="2223"/>
      <c r="BC29" s="2224"/>
      <c r="BD29" s="2218"/>
      <c r="BE29" s="2219"/>
      <c r="BF29" s="2219"/>
      <c r="BG29" s="2219"/>
      <c r="BH29" s="2219"/>
      <c r="BI29" s="2219"/>
      <c r="BJ29" s="2219"/>
      <c r="BK29" s="2219"/>
      <c r="BL29" s="2219"/>
      <c r="BM29" s="2219"/>
      <c r="BN29" s="2219"/>
      <c r="BO29" s="2219"/>
      <c r="BP29" s="2219"/>
      <c r="BQ29" s="2219"/>
      <c r="BR29" s="2219"/>
      <c r="BS29" s="2219"/>
      <c r="BT29" s="2219"/>
      <c r="BU29" s="2219"/>
      <c r="BV29" s="2219"/>
      <c r="BW29" s="2219"/>
      <c r="BX29" s="2219"/>
      <c r="BY29" s="2219"/>
      <c r="BZ29" s="2219"/>
      <c r="CA29" s="2219"/>
      <c r="CB29" s="2219"/>
      <c r="CC29" s="2219"/>
      <c r="CD29" s="2219"/>
      <c r="CE29" s="2219"/>
      <c r="CF29" s="2219"/>
      <c r="CG29" s="2219"/>
      <c r="CH29" s="2219"/>
      <c r="CI29" s="2219"/>
      <c r="CJ29" s="2219"/>
      <c r="CK29" s="2219"/>
      <c r="CL29" s="2219"/>
      <c r="CM29" s="2219"/>
      <c r="CN29" s="2219"/>
      <c r="CO29" s="2219"/>
      <c r="CP29" s="2219"/>
      <c r="CQ29" s="2219"/>
      <c r="CR29" s="2219"/>
      <c r="CS29" s="2219"/>
      <c r="CT29" s="2219"/>
      <c r="CU29" s="2219"/>
      <c r="CV29" s="2219"/>
      <c r="CW29" s="2219"/>
    </row>
    <row r="30" spans="1:101" s="2230" customFormat="1" ht="15" customHeight="1">
      <c r="A30" s="2221"/>
      <c r="B30" s="2219"/>
      <c r="C30" s="6139"/>
      <c r="D30" s="6140"/>
      <c r="E30" s="2223"/>
      <c r="F30" s="2223"/>
      <c r="G30" s="2223"/>
      <c r="H30" s="2223"/>
      <c r="I30" s="2223"/>
      <c r="J30" s="2223"/>
      <c r="K30" s="2223"/>
      <c r="L30" s="2223"/>
      <c r="M30" s="2223"/>
      <c r="N30" s="2223"/>
      <c r="O30" s="2223"/>
      <c r="P30" s="2223"/>
      <c r="Q30" s="2223"/>
      <c r="R30" s="2223"/>
      <c r="S30" s="2223"/>
      <c r="T30" s="2223"/>
      <c r="U30" s="2223"/>
      <c r="V30" s="2223"/>
      <c r="W30" s="2223"/>
      <c r="X30" s="2223"/>
      <c r="Y30" s="2223"/>
      <c r="Z30" s="2223"/>
      <c r="AA30" s="2223"/>
      <c r="AB30" s="2223"/>
      <c r="AC30" s="2223"/>
      <c r="AD30" s="2223"/>
      <c r="AE30" s="2223"/>
      <c r="AF30" s="2223"/>
      <c r="AG30" s="2223"/>
      <c r="AH30" s="2223"/>
      <c r="AI30" s="2223"/>
      <c r="AJ30" s="2223"/>
      <c r="AK30" s="2223"/>
      <c r="AL30" s="2223"/>
      <c r="AM30" s="2223"/>
      <c r="AN30" s="2223"/>
      <c r="AO30" s="2223"/>
      <c r="AP30" s="2223"/>
      <c r="AQ30" s="2223"/>
      <c r="AR30" s="2223"/>
      <c r="AS30" s="2223"/>
      <c r="AT30" s="2223"/>
      <c r="AU30" s="2223"/>
      <c r="AV30" s="2223"/>
      <c r="AW30" s="2223"/>
      <c r="AX30" s="2223"/>
      <c r="AY30" s="2223"/>
      <c r="AZ30" s="2223"/>
      <c r="BA30" s="2223"/>
      <c r="BB30" s="2223"/>
      <c r="BC30" s="2224"/>
      <c r="BD30" s="2218"/>
      <c r="BE30" s="2219"/>
      <c r="BF30" s="2219"/>
      <c r="BG30" s="2219"/>
      <c r="BH30" s="2219"/>
      <c r="BI30" s="2219"/>
      <c r="BJ30" s="2219"/>
      <c r="BK30" s="2219"/>
      <c r="BL30" s="2219"/>
      <c r="BM30" s="2219"/>
      <c r="BN30" s="2219"/>
      <c r="BO30" s="2219"/>
      <c r="BP30" s="2219"/>
      <c r="BQ30" s="2219"/>
      <c r="BR30" s="2219"/>
      <c r="BS30" s="2219"/>
      <c r="BT30" s="2219"/>
      <c r="BU30" s="2219"/>
      <c r="BV30" s="2219"/>
      <c r="BW30" s="2219"/>
      <c r="BX30" s="2219"/>
      <c r="BY30" s="2219"/>
      <c r="BZ30" s="2219"/>
      <c r="CA30" s="2219"/>
      <c r="CB30" s="2219"/>
      <c r="CC30" s="2219"/>
      <c r="CD30" s="2219"/>
      <c r="CE30" s="2219"/>
      <c r="CF30" s="2219"/>
      <c r="CG30" s="2219"/>
      <c r="CH30" s="2219"/>
      <c r="CI30" s="2219"/>
      <c r="CJ30" s="2219"/>
      <c r="CK30" s="2219"/>
      <c r="CL30" s="2219"/>
      <c r="CM30" s="2219"/>
      <c r="CN30" s="2219"/>
      <c r="CO30" s="2219"/>
      <c r="CP30" s="2219"/>
      <c r="CQ30" s="2219"/>
      <c r="CR30" s="2219"/>
      <c r="CS30" s="2219"/>
      <c r="CT30" s="2219"/>
      <c r="CU30" s="2219"/>
      <c r="CV30" s="2219"/>
      <c r="CW30" s="2219"/>
    </row>
    <row r="31" spans="1:101" s="2230" customFormat="1" ht="15" customHeight="1">
      <c r="A31" s="2221"/>
      <c r="B31" s="2219"/>
      <c r="C31" s="6139"/>
      <c r="D31" s="6140"/>
      <c r="E31" s="2223"/>
      <c r="F31" s="2223"/>
      <c r="G31" s="2223"/>
      <c r="H31" s="2223"/>
      <c r="I31" s="2223"/>
      <c r="J31" s="2223"/>
      <c r="K31" s="2223"/>
      <c r="L31" s="2223"/>
      <c r="M31" s="2223"/>
      <c r="N31" s="2223"/>
      <c r="O31" s="2223"/>
      <c r="P31" s="2223"/>
      <c r="Q31" s="2223"/>
      <c r="R31" s="2223"/>
      <c r="S31" s="2223"/>
      <c r="T31" s="2223"/>
      <c r="U31" s="2223"/>
      <c r="V31" s="2223"/>
      <c r="W31" s="2223"/>
      <c r="X31" s="2223"/>
      <c r="Y31" s="2223"/>
      <c r="Z31" s="2223"/>
      <c r="AA31" s="2223"/>
      <c r="AB31" s="2223"/>
      <c r="AC31" s="2223"/>
      <c r="AD31" s="2223"/>
      <c r="AE31" s="2223"/>
      <c r="AF31" s="2223"/>
      <c r="AG31" s="2223"/>
      <c r="AH31" s="2223"/>
      <c r="AI31" s="2223"/>
      <c r="AJ31" s="2223"/>
      <c r="AK31" s="2223"/>
      <c r="AL31" s="2223"/>
      <c r="AM31" s="2223"/>
      <c r="AN31" s="2223"/>
      <c r="AO31" s="2223"/>
      <c r="AP31" s="2223"/>
      <c r="AQ31" s="2223"/>
      <c r="AR31" s="2223"/>
      <c r="AS31" s="2223"/>
      <c r="AT31" s="2223"/>
      <c r="AU31" s="2223"/>
      <c r="AV31" s="2223"/>
      <c r="AW31" s="2223"/>
      <c r="AX31" s="2223"/>
      <c r="AY31" s="2223"/>
      <c r="AZ31" s="2223"/>
      <c r="BA31" s="2223"/>
      <c r="BB31" s="2223"/>
      <c r="BC31" s="2224"/>
      <c r="BD31" s="2218"/>
      <c r="BE31" s="2219"/>
      <c r="BF31" s="2219"/>
      <c r="BG31" s="2219"/>
      <c r="BH31" s="2219"/>
      <c r="BI31" s="2219"/>
      <c r="BJ31" s="2219"/>
      <c r="BK31" s="2219"/>
      <c r="BL31" s="2219"/>
      <c r="BM31" s="2219"/>
      <c r="BN31" s="2219"/>
      <c r="BO31" s="2219"/>
      <c r="BP31" s="2219"/>
      <c r="BQ31" s="2219"/>
      <c r="BR31" s="2219"/>
      <c r="BS31" s="2219"/>
      <c r="BT31" s="2219"/>
      <c r="BU31" s="2219"/>
      <c r="BV31" s="2219"/>
      <c r="BW31" s="2219"/>
      <c r="BX31" s="2219"/>
      <c r="BY31" s="2219"/>
      <c r="BZ31" s="2219"/>
      <c r="CA31" s="2219"/>
      <c r="CB31" s="2219"/>
      <c r="CC31" s="2219"/>
      <c r="CD31" s="2219"/>
      <c r="CE31" s="2219"/>
      <c r="CF31" s="2219"/>
      <c r="CG31" s="2219"/>
      <c r="CH31" s="2219"/>
      <c r="CI31" s="2219"/>
      <c r="CJ31" s="2219"/>
      <c r="CK31" s="2219"/>
      <c r="CL31" s="2219"/>
      <c r="CM31" s="2219"/>
      <c r="CN31" s="2219"/>
      <c r="CO31" s="2219"/>
      <c r="CP31" s="2219"/>
      <c r="CQ31" s="2219"/>
      <c r="CR31" s="2219"/>
      <c r="CS31" s="2219"/>
      <c r="CT31" s="2219"/>
      <c r="CU31" s="2219"/>
      <c r="CV31" s="2219"/>
      <c r="CW31" s="2219"/>
    </row>
    <row r="32" spans="1:101" s="2230" customFormat="1" ht="15" customHeight="1">
      <c r="A32" s="2221"/>
      <c r="B32" s="2219"/>
      <c r="C32" s="6139"/>
      <c r="D32" s="6140"/>
      <c r="E32" s="2223"/>
      <c r="F32" s="2223"/>
      <c r="G32" s="2223"/>
      <c r="H32" s="2223"/>
      <c r="I32" s="2223"/>
      <c r="J32" s="2223"/>
      <c r="K32" s="2223"/>
      <c r="L32" s="2223"/>
      <c r="M32" s="2223"/>
      <c r="N32" s="2223"/>
      <c r="O32" s="2223"/>
      <c r="P32" s="2223"/>
      <c r="Q32" s="2223"/>
      <c r="R32" s="2223"/>
      <c r="S32" s="2223"/>
      <c r="T32" s="2223"/>
      <c r="U32" s="2223"/>
      <c r="V32" s="2223"/>
      <c r="W32" s="2223"/>
      <c r="X32" s="2223"/>
      <c r="Y32" s="2223"/>
      <c r="Z32" s="2223"/>
      <c r="AA32" s="2223"/>
      <c r="AB32" s="2223"/>
      <c r="AC32" s="2223"/>
      <c r="AD32" s="2223"/>
      <c r="AE32" s="2223"/>
      <c r="AF32" s="2223"/>
      <c r="AG32" s="2223"/>
      <c r="AH32" s="2223"/>
      <c r="AI32" s="2223"/>
      <c r="AJ32" s="2223"/>
      <c r="AK32" s="2223"/>
      <c r="AL32" s="2223"/>
      <c r="AM32" s="2223"/>
      <c r="AN32" s="2223"/>
      <c r="AO32" s="2223"/>
      <c r="AP32" s="2223"/>
      <c r="AQ32" s="2223"/>
      <c r="AR32" s="2223"/>
      <c r="AS32" s="2223"/>
      <c r="AT32" s="2223"/>
      <c r="AU32" s="2223"/>
      <c r="AV32" s="2223"/>
      <c r="AW32" s="2223"/>
      <c r="AX32" s="2223"/>
      <c r="AY32" s="2223"/>
      <c r="AZ32" s="2223"/>
      <c r="BA32" s="2223"/>
      <c r="BB32" s="2223"/>
      <c r="BC32" s="2224"/>
      <c r="BD32" s="2218"/>
      <c r="BE32" s="2219"/>
      <c r="BF32" s="2219"/>
      <c r="BG32" s="2219"/>
      <c r="BH32" s="2219"/>
      <c r="BI32" s="2219"/>
      <c r="BJ32" s="2219"/>
      <c r="BK32" s="2219"/>
      <c r="BL32" s="2219"/>
      <c r="BM32" s="2219"/>
      <c r="BN32" s="2219"/>
      <c r="BO32" s="2219"/>
      <c r="BP32" s="2219"/>
      <c r="BQ32" s="2219"/>
      <c r="BR32" s="2219"/>
      <c r="BS32" s="2219"/>
      <c r="BT32" s="2219"/>
      <c r="BU32" s="2219"/>
      <c r="BV32" s="2219"/>
      <c r="BW32" s="2219"/>
      <c r="BX32" s="2219"/>
      <c r="BY32" s="2219"/>
      <c r="BZ32" s="2219"/>
      <c r="CA32" s="2219"/>
      <c r="CB32" s="2219"/>
      <c r="CC32" s="2219"/>
      <c r="CD32" s="2219"/>
      <c r="CE32" s="2219"/>
      <c r="CF32" s="2219"/>
      <c r="CG32" s="2219"/>
      <c r="CH32" s="2219"/>
      <c r="CI32" s="2219"/>
      <c r="CJ32" s="2219"/>
      <c r="CK32" s="2219"/>
      <c r="CL32" s="2219"/>
      <c r="CM32" s="2219"/>
      <c r="CN32" s="2219"/>
      <c r="CO32" s="2219"/>
      <c r="CP32" s="2219"/>
      <c r="CQ32" s="2219"/>
      <c r="CR32" s="2219"/>
      <c r="CS32" s="2219"/>
      <c r="CT32" s="2219"/>
      <c r="CU32" s="2219"/>
      <c r="CV32" s="2219"/>
      <c r="CW32" s="2219"/>
    </row>
    <row r="33" spans="1:101" s="2230" customFormat="1" ht="15" customHeight="1">
      <c r="A33" s="2221"/>
      <c r="B33" s="2219"/>
      <c r="C33" s="6139"/>
      <c r="D33" s="6140"/>
      <c r="E33" s="2223"/>
      <c r="F33" s="2223"/>
      <c r="G33" s="2223"/>
      <c r="H33" s="2223"/>
      <c r="I33" s="2223"/>
      <c r="J33" s="2223"/>
      <c r="K33" s="2223"/>
      <c r="L33" s="2223"/>
      <c r="M33" s="2223"/>
      <c r="N33" s="2223"/>
      <c r="O33" s="2223"/>
      <c r="P33" s="2223"/>
      <c r="Q33" s="2223"/>
      <c r="R33" s="2223"/>
      <c r="S33" s="2223"/>
      <c r="T33" s="2223"/>
      <c r="U33" s="2223"/>
      <c r="V33" s="2223"/>
      <c r="W33" s="2223"/>
      <c r="X33" s="2223"/>
      <c r="Y33" s="2223"/>
      <c r="Z33" s="2223"/>
      <c r="AA33" s="2223"/>
      <c r="AB33" s="2223"/>
      <c r="AC33" s="2223"/>
      <c r="AD33" s="2223"/>
      <c r="AE33" s="2223"/>
      <c r="AF33" s="2223"/>
      <c r="AG33" s="2223"/>
      <c r="AH33" s="2223"/>
      <c r="AI33" s="2223"/>
      <c r="AJ33" s="2223"/>
      <c r="AK33" s="2223"/>
      <c r="AL33" s="2223"/>
      <c r="AM33" s="2223"/>
      <c r="AN33" s="2223"/>
      <c r="AO33" s="2223"/>
      <c r="AP33" s="2223"/>
      <c r="AQ33" s="2223"/>
      <c r="AR33" s="2223"/>
      <c r="AS33" s="2223"/>
      <c r="AT33" s="2223"/>
      <c r="AU33" s="2223"/>
      <c r="AV33" s="2223"/>
      <c r="AW33" s="2223"/>
      <c r="AX33" s="2223"/>
      <c r="AY33" s="2223"/>
      <c r="AZ33" s="2223"/>
      <c r="BA33" s="2223"/>
      <c r="BB33" s="2223"/>
      <c r="BC33" s="2224"/>
      <c r="BD33" s="2218"/>
      <c r="BE33" s="2219"/>
      <c r="BF33" s="2219"/>
      <c r="BG33" s="2219"/>
      <c r="BH33" s="2219"/>
      <c r="BI33" s="2219"/>
      <c r="BJ33" s="2219"/>
      <c r="BK33" s="2219"/>
      <c r="BL33" s="2219"/>
      <c r="BM33" s="2219"/>
      <c r="BN33" s="2219"/>
      <c r="BO33" s="2219"/>
      <c r="BP33" s="2219"/>
      <c r="BQ33" s="2219"/>
      <c r="BR33" s="2219"/>
      <c r="BS33" s="2219"/>
      <c r="BT33" s="2219"/>
      <c r="BU33" s="2219"/>
      <c r="BV33" s="2219"/>
      <c r="BW33" s="2219"/>
      <c r="BX33" s="2219"/>
      <c r="BY33" s="2219"/>
      <c r="BZ33" s="2219"/>
      <c r="CA33" s="2219"/>
      <c r="CB33" s="2219"/>
      <c r="CC33" s="2219"/>
      <c r="CD33" s="2219"/>
      <c r="CE33" s="2219"/>
      <c r="CF33" s="2219"/>
      <c r="CG33" s="2219"/>
      <c r="CH33" s="2219"/>
      <c r="CI33" s="2219"/>
      <c r="CJ33" s="2219"/>
      <c r="CK33" s="2219"/>
      <c r="CL33" s="2219"/>
      <c r="CM33" s="2219"/>
      <c r="CN33" s="2219"/>
      <c r="CO33" s="2219"/>
      <c r="CP33" s="2219"/>
      <c r="CQ33" s="2219"/>
      <c r="CR33" s="2219"/>
      <c r="CS33" s="2219"/>
      <c r="CT33" s="2219"/>
      <c r="CU33" s="2219"/>
      <c r="CV33" s="2219"/>
      <c r="CW33" s="2219"/>
    </row>
    <row r="34" spans="1:101" s="2230" customFormat="1" ht="15" customHeight="1">
      <c r="A34" s="2221"/>
      <c r="B34" s="2219"/>
      <c r="C34" s="6141"/>
      <c r="D34" s="6142"/>
      <c r="E34" s="2223"/>
      <c r="F34" s="2223"/>
      <c r="G34" s="2223"/>
      <c r="H34" s="2223"/>
      <c r="I34" s="2223"/>
      <c r="J34" s="2223"/>
      <c r="K34" s="2223"/>
      <c r="L34" s="2223"/>
      <c r="M34" s="2223"/>
      <c r="N34" s="2223"/>
      <c r="O34" s="2223"/>
      <c r="P34" s="2223"/>
      <c r="Q34" s="2223"/>
      <c r="R34" s="2223"/>
      <c r="S34" s="2223"/>
      <c r="T34" s="2223"/>
      <c r="U34" s="2223"/>
      <c r="V34" s="2223"/>
      <c r="W34" s="2223"/>
      <c r="X34" s="2223"/>
      <c r="Y34" s="2223"/>
      <c r="Z34" s="2223"/>
      <c r="AA34" s="2223"/>
      <c r="AB34" s="2223"/>
      <c r="AC34" s="2223"/>
      <c r="AD34" s="2223"/>
      <c r="AE34" s="2223"/>
      <c r="AF34" s="2223"/>
      <c r="AG34" s="2223"/>
      <c r="AH34" s="2223"/>
      <c r="AI34" s="2223"/>
      <c r="AJ34" s="2223"/>
      <c r="AK34" s="2223"/>
      <c r="AL34" s="2223"/>
      <c r="AM34" s="2223"/>
      <c r="AN34" s="2223"/>
      <c r="AO34" s="2223"/>
      <c r="AP34" s="2223"/>
      <c r="AQ34" s="2223"/>
      <c r="AR34" s="2223"/>
      <c r="AS34" s="2223"/>
      <c r="AT34" s="2223"/>
      <c r="AU34" s="2223"/>
      <c r="AV34" s="2223"/>
      <c r="AW34" s="2223"/>
      <c r="AX34" s="2223"/>
      <c r="AY34" s="2223"/>
      <c r="AZ34" s="2223"/>
      <c r="BA34" s="2223"/>
      <c r="BB34" s="2223"/>
      <c r="BC34" s="2224"/>
      <c r="BD34" s="2218"/>
      <c r="BE34" s="2219"/>
      <c r="BF34" s="2219"/>
      <c r="BG34" s="2219"/>
      <c r="BH34" s="2219"/>
      <c r="BI34" s="2219"/>
      <c r="BJ34" s="2219"/>
      <c r="BK34" s="2219"/>
      <c r="BL34" s="2219"/>
      <c r="BM34" s="2219"/>
      <c r="BN34" s="2219"/>
      <c r="BO34" s="2219"/>
      <c r="BP34" s="2219"/>
      <c r="BQ34" s="2219"/>
      <c r="BR34" s="2219"/>
      <c r="BS34" s="2219"/>
      <c r="BT34" s="2219"/>
      <c r="BU34" s="2219"/>
      <c r="BV34" s="2219"/>
      <c r="BW34" s="2219"/>
      <c r="BX34" s="2219"/>
      <c r="BY34" s="2219"/>
      <c r="BZ34" s="2219"/>
      <c r="CA34" s="2219"/>
      <c r="CB34" s="2219"/>
      <c r="CC34" s="2219"/>
      <c r="CD34" s="2219"/>
      <c r="CE34" s="2219"/>
      <c r="CF34" s="2219"/>
      <c r="CG34" s="2219"/>
      <c r="CH34" s="2219"/>
      <c r="CI34" s="2219"/>
      <c r="CJ34" s="2219"/>
      <c r="CK34" s="2219"/>
      <c r="CL34" s="2219"/>
      <c r="CM34" s="2219"/>
      <c r="CN34" s="2219"/>
      <c r="CO34" s="2219"/>
      <c r="CP34" s="2219"/>
      <c r="CQ34" s="2219"/>
      <c r="CR34" s="2219"/>
      <c r="CS34" s="2219"/>
      <c r="CT34" s="2219"/>
      <c r="CU34" s="2219"/>
      <c r="CV34" s="2219"/>
      <c r="CW34" s="2219"/>
    </row>
    <row r="35" spans="1:101" s="2230" customFormat="1" ht="15" customHeight="1">
      <c r="A35" s="2221"/>
      <c r="B35" s="2219"/>
      <c r="C35" s="2219"/>
      <c r="D35" s="2222"/>
      <c r="E35" s="2223"/>
      <c r="F35" s="2223"/>
      <c r="G35" s="2223"/>
      <c r="H35" s="2223"/>
      <c r="I35" s="2223"/>
      <c r="J35" s="2223"/>
      <c r="K35" s="2223"/>
      <c r="L35" s="2223"/>
      <c r="M35" s="2223"/>
      <c r="N35" s="2223"/>
      <c r="O35" s="2223"/>
      <c r="P35" s="2223"/>
      <c r="Q35" s="2223"/>
      <c r="R35" s="2223"/>
      <c r="S35" s="2223"/>
      <c r="T35" s="2223"/>
      <c r="U35" s="2223"/>
      <c r="V35" s="2223"/>
      <c r="W35" s="2223"/>
      <c r="X35" s="2223"/>
      <c r="Y35" s="2223"/>
      <c r="Z35" s="2223"/>
      <c r="AA35" s="2223"/>
      <c r="AB35" s="2223"/>
      <c r="AC35" s="2223"/>
      <c r="AD35" s="2223"/>
      <c r="AE35" s="2223"/>
      <c r="AF35" s="2223"/>
      <c r="AG35" s="2223"/>
      <c r="AH35" s="2223"/>
      <c r="AI35" s="2223"/>
      <c r="AJ35" s="2223"/>
      <c r="AK35" s="2223"/>
      <c r="AL35" s="2223"/>
      <c r="AM35" s="2223"/>
      <c r="AN35" s="2223"/>
      <c r="AO35" s="2223"/>
      <c r="AP35" s="2223"/>
      <c r="AQ35" s="2223"/>
      <c r="AR35" s="2223"/>
      <c r="AS35" s="2223"/>
      <c r="AT35" s="2223"/>
      <c r="AU35" s="2223"/>
      <c r="AV35" s="2223"/>
      <c r="AW35" s="2223"/>
      <c r="AX35" s="2223"/>
      <c r="AY35" s="2223"/>
      <c r="AZ35" s="2223"/>
      <c r="BA35" s="2223"/>
      <c r="BB35" s="2223"/>
      <c r="BC35" s="2224"/>
      <c r="BD35" s="2218"/>
      <c r="BE35" s="2219"/>
      <c r="BF35" s="2219"/>
      <c r="BG35" s="2219"/>
      <c r="BH35" s="2219"/>
      <c r="BI35" s="2219"/>
      <c r="BJ35" s="2219"/>
      <c r="BK35" s="2219"/>
      <c r="BL35" s="2219"/>
      <c r="BM35" s="2219"/>
      <c r="BN35" s="2219"/>
      <c r="BO35" s="2219"/>
      <c r="BP35" s="2219"/>
      <c r="BQ35" s="2219"/>
      <c r="BR35" s="2219"/>
      <c r="BS35" s="2219"/>
      <c r="BT35" s="2219"/>
      <c r="BU35" s="2219"/>
      <c r="BV35" s="2219"/>
      <c r="BW35" s="2219"/>
      <c r="BX35" s="2219"/>
      <c r="BY35" s="2219"/>
      <c r="BZ35" s="2219"/>
      <c r="CA35" s="2219"/>
      <c r="CB35" s="2219"/>
      <c r="CC35" s="2219"/>
      <c r="CD35" s="2219"/>
      <c r="CE35" s="2219"/>
      <c r="CF35" s="2219"/>
      <c r="CG35" s="2219"/>
      <c r="CH35" s="2219"/>
      <c r="CI35" s="2219"/>
      <c r="CJ35" s="2219"/>
      <c r="CK35" s="2219"/>
      <c r="CL35" s="2219"/>
      <c r="CM35" s="2219"/>
      <c r="CN35" s="2219"/>
      <c r="CO35" s="2219"/>
      <c r="CP35" s="2219"/>
      <c r="CQ35" s="2219"/>
      <c r="CR35" s="2219"/>
      <c r="CS35" s="2219"/>
      <c r="CT35" s="2219"/>
      <c r="CU35" s="2219"/>
      <c r="CV35" s="2219"/>
      <c r="CW35" s="2219"/>
    </row>
    <row r="36" spans="1:101" s="2230" customFormat="1" ht="15" customHeight="1">
      <c r="A36" s="2221"/>
      <c r="B36" s="2219"/>
      <c r="C36" s="2231" t="s">
        <v>1889</v>
      </c>
      <c r="D36" s="2232"/>
      <c r="E36" s="2223"/>
      <c r="F36" s="2223"/>
      <c r="G36" s="2223"/>
      <c r="H36" s="2223"/>
      <c r="I36" s="2223"/>
      <c r="J36" s="2223"/>
      <c r="K36" s="2223"/>
      <c r="L36" s="2223"/>
      <c r="M36" s="2223"/>
      <c r="N36" s="2223"/>
      <c r="O36" s="2223"/>
      <c r="P36" s="2223"/>
      <c r="Q36" s="2223"/>
      <c r="R36" s="2223"/>
      <c r="S36" s="2223"/>
      <c r="T36" s="2223"/>
      <c r="U36" s="2223"/>
      <c r="V36" s="2223"/>
      <c r="W36" s="2223"/>
      <c r="X36" s="2223"/>
      <c r="Y36" s="2223"/>
      <c r="Z36" s="2223"/>
      <c r="AA36" s="2223"/>
      <c r="AB36" s="2223"/>
      <c r="AC36" s="2223"/>
      <c r="AD36" s="2223"/>
      <c r="AE36" s="2223"/>
      <c r="AF36" s="2223"/>
      <c r="AG36" s="2223"/>
      <c r="AH36" s="2223"/>
      <c r="AI36" s="2223"/>
      <c r="AJ36" s="2223"/>
      <c r="AK36" s="2223"/>
      <c r="AL36" s="2223"/>
      <c r="AM36" s="2223"/>
      <c r="AN36" s="2223"/>
      <c r="AO36" s="2223"/>
      <c r="AP36" s="2223"/>
      <c r="AQ36" s="2223"/>
      <c r="AR36" s="2223"/>
      <c r="AS36" s="2223"/>
      <c r="AT36" s="2223"/>
      <c r="AU36" s="2223"/>
      <c r="AV36" s="2223"/>
      <c r="AW36" s="2223"/>
      <c r="AX36" s="2223"/>
      <c r="AY36" s="2223"/>
      <c r="AZ36" s="2223"/>
      <c r="BA36" s="2223"/>
      <c r="BB36" s="2223"/>
      <c r="BC36" s="2224"/>
      <c r="BD36" s="2218"/>
      <c r="BE36" s="2219"/>
      <c r="BF36" s="2219"/>
      <c r="BG36" s="2219"/>
      <c r="BH36" s="2219"/>
      <c r="BI36" s="2219"/>
      <c r="BJ36" s="2219"/>
      <c r="BK36" s="2219"/>
      <c r="BL36" s="2219"/>
      <c r="BM36" s="2219"/>
      <c r="BN36" s="2219"/>
      <c r="BO36" s="2219"/>
      <c r="BP36" s="2219"/>
      <c r="BQ36" s="2219"/>
      <c r="BR36" s="2219"/>
      <c r="BS36" s="2219"/>
      <c r="BT36" s="2219"/>
      <c r="BU36" s="2219"/>
      <c r="BV36" s="2219"/>
      <c r="BW36" s="2219"/>
      <c r="BX36" s="2219"/>
      <c r="BY36" s="2219"/>
      <c r="BZ36" s="2219"/>
      <c r="CA36" s="2219"/>
      <c r="CB36" s="2219"/>
      <c r="CC36" s="2219"/>
      <c r="CD36" s="2219"/>
      <c r="CE36" s="2219"/>
      <c r="CF36" s="2219"/>
      <c r="CG36" s="2219"/>
      <c r="CH36" s="2219"/>
      <c r="CI36" s="2219"/>
      <c r="CJ36" s="2219"/>
      <c r="CK36" s="2219"/>
      <c r="CL36" s="2219"/>
      <c r="CM36" s="2219"/>
      <c r="CN36" s="2219"/>
      <c r="CO36" s="2219"/>
      <c r="CP36" s="2219"/>
      <c r="CQ36" s="2219"/>
      <c r="CR36" s="2219"/>
      <c r="CS36" s="2219"/>
      <c r="CT36" s="2219"/>
      <c r="CU36" s="2219"/>
      <c r="CV36" s="2219"/>
      <c r="CW36" s="2219"/>
    </row>
    <row r="37" spans="1:101" s="2230" customFormat="1" ht="15" customHeight="1">
      <c r="A37" s="2221"/>
      <c r="B37" s="2219"/>
      <c r="C37" s="2233" t="s">
        <v>1890</v>
      </c>
      <c r="D37" s="2234"/>
      <c r="E37" s="2223"/>
      <c r="F37" s="2223"/>
      <c r="G37" s="2223"/>
      <c r="H37" s="2223"/>
      <c r="I37" s="2223"/>
      <c r="J37" s="2223"/>
      <c r="K37" s="2223"/>
      <c r="L37" s="2223"/>
      <c r="M37" s="2223"/>
      <c r="N37" s="2223"/>
      <c r="O37" s="2223"/>
      <c r="P37" s="2223"/>
      <c r="Q37" s="2223"/>
      <c r="R37" s="2223"/>
      <c r="S37" s="2223"/>
      <c r="T37" s="2223"/>
      <c r="U37" s="2223"/>
      <c r="V37" s="2223"/>
      <c r="W37" s="2223"/>
      <c r="X37" s="2223"/>
      <c r="Y37" s="2223"/>
      <c r="Z37" s="2223"/>
      <c r="AA37" s="2223"/>
      <c r="AB37" s="2223"/>
      <c r="AC37" s="2223"/>
      <c r="AD37" s="2223"/>
      <c r="AE37" s="2223"/>
      <c r="AF37" s="2223"/>
      <c r="AG37" s="2223"/>
      <c r="AH37" s="2223"/>
      <c r="AI37" s="2223"/>
      <c r="AJ37" s="2223"/>
      <c r="AK37" s="2223"/>
      <c r="AL37" s="2223"/>
      <c r="AM37" s="2223"/>
      <c r="AN37" s="2223"/>
      <c r="AO37" s="2223"/>
      <c r="AP37" s="2223"/>
      <c r="AQ37" s="2223"/>
      <c r="AR37" s="2223"/>
      <c r="AS37" s="2223"/>
      <c r="AT37" s="2223"/>
      <c r="AU37" s="2223"/>
      <c r="AV37" s="2223"/>
      <c r="AW37" s="2223"/>
      <c r="AX37" s="2223"/>
      <c r="AY37" s="2223"/>
      <c r="AZ37" s="2223"/>
      <c r="BA37" s="2223"/>
      <c r="BB37" s="2223"/>
      <c r="BC37" s="2224"/>
      <c r="BD37" s="2218"/>
      <c r="BE37" s="2219"/>
      <c r="BF37" s="2219"/>
      <c r="BG37" s="2219"/>
      <c r="BH37" s="2219"/>
      <c r="BI37" s="2219"/>
      <c r="BJ37" s="2219"/>
      <c r="BK37" s="2219"/>
      <c r="BL37" s="2219"/>
      <c r="BM37" s="2219"/>
      <c r="BN37" s="2219"/>
      <c r="BO37" s="2219"/>
      <c r="BP37" s="2219"/>
      <c r="BQ37" s="2219"/>
      <c r="BR37" s="2219"/>
      <c r="BS37" s="2219"/>
      <c r="BT37" s="2219"/>
      <c r="BU37" s="2219"/>
      <c r="BV37" s="2219"/>
      <c r="BW37" s="2219"/>
      <c r="BX37" s="2219"/>
      <c r="BY37" s="2219"/>
      <c r="BZ37" s="2219"/>
      <c r="CA37" s="2219"/>
      <c r="CB37" s="2219"/>
      <c r="CC37" s="2219"/>
      <c r="CD37" s="2219"/>
      <c r="CE37" s="2219"/>
      <c r="CF37" s="2219"/>
      <c r="CG37" s="2219"/>
      <c r="CH37" s="2219"/>
      <c r="CI37" s="2219"/>
      <c r="CJ37" s="2219"/>
      <c r="CK37" s="2219"/>
      <c r="CL37" s="2219"/>
      <c r="CM37" s="2219"/>
      <c r="CN37" s="2219"/>
      <c r="CO37" s="2219"/>
      <c r="CP37" s="2219"/>
      <c r="CQ37" s="2219"/>
      <c r="CR37" s="2219"/>
      <c r="CS37" s="2219"/>
      <c r="CT37" s="2219"/>
      <c r="CU37" s="2219"/>
      <c r="CV37" s="2219"/>
      <c r="CW37" s="2219"/>
    </row>
    <row r="38" spans="1:101" s="2230" customFormat="1" ht="15" customHeight="1">
      <c r="A38" s="2221"/>
      <c r="B38" s="2219"/>
      <c r="C38" s="2233"/>
      <c r="D38" s="2234">
        <v>0</v>
      </c>
      <c r="E38" s="2223"/>
      <c r="F38" s="2223"/>
      <c r="G38" s="2223"/>
      <c r="H38" s="2223"/>
      <c r="I38" s="2223"/>
      <c r="J38" s="2223"/>
      <c r="K38" s="2223"/>
      <c r="L38" s="2223"/>
      <c r="M38" s="2223"/>
      <c r="N38" s="2223"/>
      <c r="O38" s="2223"/>
      <c r="P38" s="2223"/>
      <c r="Q38" s="2223"/>
      <c r="R38" s="2223"/>
      <c r="S38" s="2223"/>
      <c r="T38" s="2223"/>
      <c r="U38" s="2223"/>
      <c r="V38" s="2223"/>
      <c r="W38" s="2223"/>
      <c r="X38" s="2223"/>
      <c r="Y38" s="2223"/>
      <c r="Z38" s="2223"/>
      <c r="AA38" s="2223"/>
      <c r="AB38" s="2223"/>
      <c r="AC38" s="2223"/>
      <c r="AD38" s="2223"/>
      <c r="AE38" s="2223"/>
      <c r="AF38" s="2223"/>
      <c r="AG38" s="2223"/>
      <c r="AH38" s="2223"/>
      <c r="AI38" s="2223"/>
      <c r="AJ38" s="2223"/>
      <c r="AK38" s="2223"/>
      <c r="AL38" s="2223"/>
      <c r="AM38" s="2223"/>
      <c r="AN38" s="2223"/>
      <c r="AO38" s="2223"/>
      <c r="AP38" s="2223"/>
      <c r="AQ38" s="2223"/>
      <c r="AR38" s="2223"/>
      <c r="AS38" s="2223"/>
      <c r="AT38" s="2223"/>
      <c r="AU38" s="2223"/>
      <c r="AV38" s="2223"/>
      <c r="AW38" s="2223"/>
      <c r="AX38" s="2223"/>
      <c r="AY38" s="2223"/>
      <c r="AZ38" s="2223"/>
      <c r="BA38" s="2223"/>
      <c r="BB38" s="2223"/>
      <c r="BC38" s="2224"/>
      <c r="BD38" s="2218"/>
      <c r="BE38" s="2219"/>
      <c r="BF38" s="2219"/>
      <c r="BG38" s="2219"/>
      <c r="BH38" s="2219"/>
      <c r="BI38" s="2219"/>
      <c r="BJ38" s="2219"/>
      <c r="BK38" s="2219"/>
      <c r="BL38" s="2219"/>
      <c r="BM38" s="2219"/>
      <c r="BN38" s="2219"/>
      <c r="BO38" s="2219"/>
      <c r="BP38" s="2219"/>
      <c r="BQ38" s="2219"/>
      <c r="BR38" s="2219"/>
      <c r="BS38" s="2219"/>
      <c r="BT38" s="2219"/>
      <c r="BU38" s="2219"/>
      <c r="BV38" s="2219"/>
      <c r="BW38" s="2219"/>
      <c r="BX38" s="2219"/>
      <c r="BY38" s="2219"/>
      <c r="BZ38" s="2219"/>
      <c r="CA38" s="2219"/>
      <c r="CB38" s="2219"/>
      <c r="CC38" s="2219"/>
      <c r="CD38" s="2219"/>
      <c r="CE38" s="2219"/>
      <c r="CF38" s="2219"/>
      <c r="CG38" s="2219"/>
      <c r="CH38" s="2219"/>
      <c r="CI38" s="2219"/>
      <c r="CJ38" s="2219"/>
      <c r="CK38" s="2219"/>
      <c r="CL38" s="2219"/>
      <c r="CM38" s="2219"/>
      <c r="CN38" s="2219"/>
      <c r="CO38" s="2219"/>
      <c r="CP38" s="2219"/>
      <c r="CQ38" s="2219"/>
      <c r="CR38" s="2219"/>
      <c r="CS38" s="2219"/>
      <c r="CT38" s="2219"/>
      <c r="CU38" s="2219"/>
      <c r="CV38" s="2219"/>
      <c r="CW38" s="2219"/>
    </row>
    <row r="39" spans="1:101" s="2230" customFormat="1" ht="15" customHeight="1">
      <c r="A39" s="2221"/>
      <c r="B39" s="2219"/>
      <c r="C39" s="2233"/>
      <c r="D39" s="2234">
        <v>0</v>
      </c>
      <c r="E39" s="2223"/>
      <c r="F39" s="2223"/>
      <c r="G39" s="2223"/>
      <c r="H39" s="2223"/>
      <c r="I39" s="2223"/>
      <c r="J39" s="2223"/>
      <c r="K39" s="2223"/>
      <c r="L39" s="2223"/>
      <c r="M39" s="2223"/>
      <c r="N39" s="2223"/>
      <c r="O39" s="2223"/>
      <c r="P39" s="2223"/>
      <c r="Q39" s="2223"/>
      <c r="R39" s="2223"/>
      <c r="S39" s="2223"/>
      <c r="T39" s="2223"/>
      <c r="U39" s="2223"/>
      <c r="V39" s="2223"/>
      <c r="W39" s="2223"/>
      <c r="X39" s="2223"/>
      <c r="Y39" s="2223"/>
      <c r="Z39" s="2223"/>
      <c r="AA39" s="2223"/>
      <c r="AB39" s="2223"/>
      <c r="AC39" s="2223"/>
      <c r="AD39" s="2223"/>
      <c r="AE39" s="2223"/>
      <c r="AF39" s="2223"/>
      <c r="AG39" s="2223"/>
      <c r="AH39" s="2223"/>
      <c r="AI39" s="2223"/>
      <c r="AJ39" s="2223"/>
      <c r="AK39" s="2223"/>
      <c r="AL39" s="2223"/>
      <c r="AM39" s="2223"/>
      <c r="AN39" s="2223"/>
      <c r="AO39" s="2223"/>
      <c r="AP39" s="2223"/>
      <c r="AQ39" s="2223"/>
      <c r="AR39" s="2223"/>
      <c r="AS39" s="2223"/>
      <c r="AT39" s="2223"/>
      <c r="AU39" s="2223"/>
      <c r="AV39" s="2223"/>
      <c r="AW39" s="2223"/>
      <c r="AX39" s="2223"/>
      <c r="AY39" s="2223"/>
      <c r="AZ39" s="2223"/>
      <c r="BA39" s="2223"/>
      <c r="BB39" s="2223"/>
      <c r="BC39" s="2224"/>
      <c r="BD39" s="2218"/>
      <c r="BE39" s="2219"/>
      <c r="BF39" s="2219"/>
      <c r="BG39" s="2219"/>
      <c r="BH39" s="2219"/>
      <c r="BI39" s="2219"/>
      <c r="BJ39" s="2219"/>
      <c r="BK39" s="2219"/>
      <c r="BL39" s="2219"/>
      <c r="BM39" s="2219"/>
      <c r="BN39" s="2219"/>
      <c r="BO39" s="2219"/>
      <c r="BP39" s="2219"/>
      <c r="BQ39" s="2219"/>
      <c r="BR39" s="2219"/>
      <c r="BS39" s="2219"/>
      <c r="BT39" s="2219"/>
      <c r="BU39" s="2219"/>
      <c r="BV39" s="2219"/>
      <c r="BW39" s="2219"/>
      <c r="BX39" s="2219"/>
      <c r="BY39" s="2219"/>
      <c r="BZ39" s="2219"/>
      <c r="CA39" s="2219"/>
      <c r="CB39" s="2219"/>
      <c r="CC39" s="2219"/>
      <c r="CD39" s="2219"/>
      <c r="CE39" s="2219"/>
      <c r="CF39" s="2219"/>
      <c r="CG39" s="2219"/>
      <c r="CH39" s="2219"/>
      <c r="CI39" s="2219"/>
      <c r="CJ39" s="2219"/>
      <c r="CK39" s="2219"/>
      <c r="CL39" s="2219"/>
      <c r="CM39" s="2219"/>
      <c r="CN39" s="2219"/>
      <c r="CO39" s="2219"/>
      <c r="CP39" s="2219"/>
      <c r="CQ39" s="2219"/>
      <c r="CR39" s="2219"/>
      <c r="CS39" s="2219"/>
      <c r="CT39" s="2219"/>
      <c r="CU39" s="2219"/>
      <c r="CV39" s="2219"/>
      <c r="CW39" s="2219"/>
    </row>
    <row r="40" spans="1:101" s="2230" customFormat="1" ht="15" customHeight="1">
      <c r="A40" s="2221"/>
      <c r="B40" s="2219"/>
      <c r="C40" s="2233"/>
      <c r="D40" s="2234">
        <v>0</v>
      </c>
      <c r="E40" s="2223"/>
      <c r="F40" s="2223"/>
      <c r="G40" s="2223"/>
      <c r="H40" s="2223"/>
      <c r="I40" s="2223"/>
      <c r="J40" s="2223"/>
      <c r="K40" s="2223"/>
      <c r="L40" s="2223"/>
      <c r="M40" s="2223"/>
      <c r="N40" s="2223"/>
      <c r="O40" s="2223"/>
      <c r="P40" s="2223"/>
      <c r="Q40" s="2223"/>
      <c r="R40" s="2223"/>
      <c r="S40" s="2223"/>
      <c r="T40" s="2223"/>
      <c r="U40" s="2223"/>
      <c r="V40" s="2223"/>
      <c r="W40" s="2223"/>
      <c r="X40" s="2223"/>
      <c r="Y40" s="2223"/>
      <c r="Z40" s="2223"/>
      <c r="AA40" s="2223"/>
      <c r="AB40" s="2223"/>
      <c r="AC40" s="2223"/>
      <c r="AD40" s="2223"/>
      <c r="AE40" s="2223"/>
      <c r="AF40" s="2223"/>
      <c r="AG40" s="2223"/>
      <c r="AH40" s="2223"/>
      <c r="AI40" s="2223"/>
      <c r="AJ40" s="2223"/>
      <c r="AK40" s="2223"/>
      <c r="AL40" s="2223"/>
      <c r="AM40" s="2223"/>
      <c r="AN40" s="2223"/>
      <c r="AO40" s="2223"/>
      <c r="AP40" s="2223"/>
      <c r="AQ40" s="2223"/>
      <c r="AR40" s="2223"/>
      <c r="AS40" s="2223"/>
      <c r="AT40" s="2223"/>
      <c r="AU40" s="2223"/>
      <c r="AV40" s="2223"/>
      <c r="AW40" s="2223"/>
      <c r="AX40" s="2223"/>
      <c r="AY40" s="2223"/>
      <c r="AZ40" s="2223"/>
      <c r="BA40" s="2223"/>
      <c r="BB40" s="2223"/>
      <c r="BC40" s="2224"/>
      <c r="BD40" s="2218"/>
      <c r="BE40" s="2219"/>
      <c r="BF40" s="2219"/>
      <c r="BG40" s="2219"/>
      <c r="BH40" s="2219"/>
      <c r="BI40" s="2219"/>
      <c r="BJ40" s="2219"/>
      <c r="BK40" s="2219"/>
      <c r="BL40" s="2219"/>
      <c r="BM40" s="2219"/>
      <c r="BN40" s="2219"/>
      <c r="BO40" s="2219"/>
      <c r="BP40" s="2219"/>
      <c r="BQ40" s="2219"/>
      <c r="BR40" s="2219"/>
      <c r="BS40" s="2219"/>
      <c r="BT40" s="2219"/>
      <c r="BU40" s="2219"/>
      <c r="BV40" s="2219"/>
      <c r="BW40" s="2219"/>
      <c r="BX40" s="2219"/>
      <c r="BY40" s="2219"/>
      <c r="BZ40" s="2219"/>
      <c r="CA40" s="2219"/>
      <c r="CB40" s="2219"/>
      <c r="CC40" s="2219"/>
      <c r="CD40" s="2219"/>
      <c r="CE40" s="2219"/>
      <c r="CF40" s="2219"/>
      <c r="CG40" s="2219"/>
      <c r="CH40" s="2219"/>
      <c r="CI40" s="2219"/>
      <c r="CJ40" s="2219"/>
      <c r="CK40" s="2219"/>
      <c r="CL40" s="2219"/>
      <c r="CM40" s="2219"/>
      <c r="CN40" s="2219"/>
      <c r="CO40" s="2219"/>
      <c r="CP40" s="2219"/>
      <c r="CQ40" s="2219"/>
      <c r="CR40" s="2219"/>
      <c r="CS40" s="2219"/>
      <c r="CT40" s="2219"/>
      <c r="CU40" s="2219"/>
      <c r="CV40" s="2219"/>
      <c r="CW40" s="2219"/>
    </row>
    <row r="41" spans="1:101" s="2230" customFormat="1" ht="15" customHeight="1">
      <c r="A41" s="2221"/>
      <c r="B41" s="2219"/>
      <c r="C41" s="2235" t="s">
        <v>1891</v>
      </c>
      <c r="D41" s="2236">
        <f>D37+D38+D39+D40</f>
        <v>0</v>
      </c>
      <c r="E41" s="2223"/>
      <c r="F41" s="2223"/>
      <c r="G41" s="2223"/>
      <c r="H41" s="2223"/>
      <c r="I41" s="2223"/>
      <c r="J41" s="2223"/>
      <c r="K41" s="2223"/>
      <c r="L41" s="2223"/>
      <c r="M41" s="2223"/>
      <c r="N41" s="2223"/>
      <c r="O41" s="2223"/>
      <c r="P41" s="2223"/>
      <c r="Q41" s="2223"/>
      <c r="R41" s="2223"/>
      <c r="S41" s="2223"/>
      <c r="T41" s="2223"/>
      <c r="U41" s="2223"/>
      <c r="V41" s="2223"/>
      <c r="W41" s="2223"/>
      <c r="X41" s="2223"/>
      <c r="Y41" s="2223"/>
      <c r="Z41" s="2223"/>
      <c r="AA41" s="2223"/>
      <c r="AB41" s="2223"/>
      <c r="AC41" s="2223"/>
      <c r="AD41" s="2223"/>
      <c r="AE41" s="2223"/>
      <c r="AF41" s="2223"/>
      <c r="AG41" s="2223"/>
      <c r="AH41" s="2223"/>
      <c r="AI41" s="2223"/>
      <c r="AJ41" s="2223"/>
      <c r="AK41" s="2223"/>
      <c r="AL41" s="2223"/>
      <c r="AM41" s="2223"/>
      <c r="AN41" s="2223"/>
      <c r="AO41" s="2223"/>
      <c r="AP41" s="2223"/>
      <c r="AQ41" s="2223"/>
      <c r="AR41" s="2223"/>
      <c r="AS41" s="2223"/>
      <c r="AT41" s="2223"/>
      <c r="AU41" s="2223"/>
      <c r="AV41" s="2223"/>
      <c r="AW41" s="2223"/>
      <c r="AX41" s="2223"/>
      <c r="AY41" s="2223"/>
      <c r="AZ41" s="2223"/>
      <c r="BA41" s="2223"/>
      <c r="BB41" s="2223"/>
      <c r="BC41" s="2224"/>
      <c r="BD41" s="2218"/>
      <c r="BE41" s="2219"/>
      <c r="BF41" s="2219"/>
      <c r="BG41" s="2219"/>
      <c r="BH41" s="2219"/>
      <c r="BI41" s="2219"/>
      <c r="BJ41" s="2219"/>
      <c r="BK41" s="2219"/>
      <c r="BL41" s="2219"/>
      <c r="BM41" s="2219"/>
      <c r="BN41" s="2219"/>
      <c r="BO41" s="2219"/>
      <c r="BP41" s="2219"/>
      <c r="BQ41" s="2219"/>
      <c r="BR41" s="2219"/>
      <c r="BS41" s="2219"/>
      <c r="BT41" s="2219"/>
      <c r="BU41" s="2219"/>
      <c r="BV41" s="2219"/>
      <c r="BW41" s="2219"/>
      <c r="BX41" s="2219"/>
      <c r="BY41" s="2219"/>
      <c r="BZ41" s="2219"/>
      <c r="CA41" s="2219"/>
      <c r="CB41" s="2219"/>
      <c r="CC41" s="2219"/>
      <c r="CD41" s="2219"/>
      <c r="CE41" s="2219"/>
      <c r="CF41" s="2219"/>
      <c r="CG41" s="2219"/>
      <c r="CH41" s="2219"/>
      <c r="CI41" s="2219"/>
      <c r="CJ41" s="2219"/>
      <c r="CK41" s="2219"/>
      <c r="CL41" s="2219"/>
      <c r="CM41" s="2219"/>
      <c r="CN41" s="2219"/>
      <c r="CO41" s="2219"/>
      <c r="CP41" s="2219"/>
      <c r="CQ41" s="2219"/>
      <c r="CR41" s="2219"/>
      <c r="CS41" s="2219"/>
      <c r="CT41" s="2219"/>
      <c r="CU41" s="2219"/>
      <c r="CV41" s="2219"/>
      <c r="CW41" s="2219"/>
    </row>
    <row r="42" spans="1:101" s="2230" customFormat="1" ht="15" customHeight="1">
      <c r="A42" s="2221"/>
      <c r="B42" s="2219"/>
      <c r="C42" s="2237"/>
      <c r="D42" s="2238"/>
      <c r="E42" s="2223"/>
      <c r="F42" s="2223"/>
      <c r="G42" s="2223"/>
      <c r="H42" s="2223"/>
      <c r="I42" s="2223"/>
      <c r="J42" s="2223"/>
      <c r="K42" s="2223"/>
      <c r="L42" s="2223"/>
      <c r="M42" s="2223"/>
      <c r="N42" s="2223"/>
      <c r="O42" s="2223"/>
      <c r="P42" s="2223"/>
      <c r="Q42" s="2223"/>
      <c r="R42" s="2223"/>
      <c r="S42" s="2223"/>
      <c r="T42" s="2223"/>
      <c r="U42" s="2223"/>
      <c r="V42" s="2223"/>
      <c r="W42" s="2223"/>
      <c r="X42" s="2223"/>
      <c r="Y42" s="2223"/>
      <c r="Z42" s="2223"/>
      <c r="AA42" s="2223"/>
      <c r="AB42" s="2223"/>
      <c r="AC42" s="2223"/>
      <c r="AD42" s="2223"/>
      <c r="AE42" s="2223"/>
      <c r="AF42" s="2223"/>
      <c r="AG42" s="2223"/>
      <c r="AH42" s="2223"/>
      <c r="AI42" s="2223"/>
      <c r="AJ42" s="2223"/>
      <c r="AK42" s="2223"/>
      <c r="AL42" s="2223"/>
      <c r="AM42" s="2223"/>
      <c r="AN42" s="2223"/>
      <c r="AO42" s="2223"/>
      <c r="AP42" s="2223"/>
      <c r="AQ42" s="2223"/>
      <c r="AR42" s="2223"/>
      <c r="AS42" s="2223"/>
      <c r="AT42" s="2223"/>
      <c r="AU42" s="2223"/>
      <c r="AV42" s="2223"/>
      <c r="AW42" s="2223"/>
      <c r="AX42" s="2223"/>
      <c r="AY42" s="2223"/>
      <c r="AZ42" s="2223"/>
      <c r="BA42" s="2223"/>
      <c r="BB42" s="2223"/>
      <c r="BC42" s="2224"/>
      <c r="BD42" s="2218"/>
      <c r="BE42" s="2219"/>
      <c r="BF42" s="2219"/>
      <c r="BG42" s="2219"/>
      <c r="BH42" s="2219"/>
      <c r="BI42" s="2219"/>
      <c r="BJ42" s="2219"/>
      <c r="BK42" s="2219"/>
      <c r="BL42" s="2219"/>
      <c r="BM42" s="2219"/>
      <c r="BN42" s="2219"/>
      <c r="BO42" s="2219"/>
      <c r="BP42" s="2219"/>
      <c r="BQ42" s="2219"/>
      <c r="BR42" s="2219"/>
      <c r="BS42" s="2219"/>
      <c r="BT42" s="2219"/>
      <c r="BU42" s="2219"/>
      <c r="BV42" s="2219"/>
      <c r="BW42" s="2219"/>
      <c r="BX42" s="2219"/>
      <c r="BY42" s="2219"/>
      <c r="BZ42" s="2219"/>
      <c r="CA42" s="2219"/>
      <c r="CB42" s="2219"/>
      <c r="CC42" s="2219"/>
      <c r="CD42" s="2219"/>
      <c r="CE42" s="2219"/>
      <c r="CF42" s="2219"/>
      <c r="CG42" s="2219"/>
      <c r="CH42" s="2219"/>
      <c r="CI42" s="2219"/>
      <c r="CJ42" s="2219"/>
      <c r="CK42" s="2219"/>
      <c r="CL42" s="2219"/>
      <c r="CM42" s="2219"/>
      <c r="CN42" s="2219"/>
      <c r="CO42" s="2219"/>
      <c r="CP42" s="2219"/>
      <c r="CQ42" s="2219"/>
      <c r="CR42" s="2219"/>
      <c r="CS42" s="2219"/>
      <c r="CT42" s="2219"/>
      <c r="CU42" s="2219"/>
      <c r="CV42" s="2219"/>
      <c r="CW42" s="2219"/>
    </row>
    <row r="43" spans="1:101" s="2230" customFormat="1" ht="15" customHeight="1">
      <c r="A43" s="2221"/>
      <c r="B43" s="2219"/>
      <c r="C43" s="2203"/>
      <c r="D43" s="2203"/>
      <c r="E43" s="2223"/>
      <c r="F43" s="2223"/>
      <c r="G43" s="2223"/>
      <c r="H43" s="2223"/>
      <c r="I43" s="2223"/>
      <c r="J43" s="2223"/>
      <c r="K43" s="2223"/>
      <c r="L43" s="2223"/>
      <c r="M43" s="2223"/>
      <c r="N43" s="2223"/>
      <c r="O43" s="2223"/>
      <c r="P43" s="2223"/>
      <c r="Q43" s="2223"/>
      <c r="R43" s="2223"/>
      <c r="S43" s="2223"/>
      <c r="T43" s="2223"/>
      <c r="U43" s="2223"/>
      <c r="V43" s="2223"/>
      <c r="W43" s="2223"/>
      <c r="X43" s="2223"/>
      <c r="Y43" s="2223"/>
      <c r="Z43" s="2223"/>
      <c r="AA43" s="2223"/>
      <c r="AB43" s="2223"/>
      <c r="AC43" s="2223"/>
      <c r="AD43" s="2223"/>
      <c r="AE43" s="2223"/>
      <c r="AF43" s="2223"/>
      <c r="AG43" s="2223"/>
      <c r="AH43" s="2223"/>
      <c r="AI43" s="2223"/>
      <c r="AJ43" s="2223"/>
      <c r="AK43" s="2223"/>
      <c r="AL43" s="2223"/>
      <c r="AM43" s="2223"/>
      <c r="AN43" s="2223"/>
      <c r="AO43" s="2223"/>
      <c r="AP43" s="2223"/>
      <c r="AQ43" s="2223"/>
      <c r="AR43" s="2223"/>
      <c r="AS43" s="2223"/>
      <c r="AT43" s="2223"/>
      <c r="AU43" s="2223"/>
      <c r="AV43" s="2223"/>
      <c r="AW43" s="2223"/>
      <c r="AX43" s="2223"/>
      <c r="AY43" s="2223"/>
      <c r="AZ43" s="2223"/>
      <c r="BA43" s="2223"/>
      <c r="BB43" s="2223"/>
      <c r="BC43" s="2224"/>
      <c r="BD43" s="2218"/>
      <c r="BE43" s="2219"/>
      <c r="BF43" s="2219"/>
      <c r="BG43" s="2219"/>
      <c r="BH43" s="2219"/>
      <c r="BI43" s="2219"/>
      <c r="BJ43" s="2219"/>
      <c r="BK43" s="2219"/>
      <c r="BL43" s="2219"/>
      <c r="BM43" s="2219"/>
      <c r="BN43" s="2219"/>
      <c r="BO43" s="2219"/>
      <c r="BP43" s="2219"/>
      <c r="BQ43" s="2219"/>
      <c r="BR43" s="2219"/>
      <c r="BS43" s="2219"/>
      <c r="BT43" s="2219"/>
      <c r="BU43" s="2219"/>
      <c r="BV43" s="2219"/>
      <c r="BW43" s="2219"/>
      <c r="BX43" s="2219"/>
      <c r="BY43" s="2219"/>
      <c r="BZ43" s="2219"/>
      <c r="CA43" s="2219"/>
      <c r="CB43" s="2219"/>
      <c r="CC43" s="2219"/>
      <c r="CD43" s="2219"/>
      <c r="CE43" s="2219"/>
      <c r="CF43" s="2219"/>
      <c r="CG43" s="2219"/>
      <c r="CH43" s="2219"/>
      <c r="CI43" s="2219"/>
      <c r="CJ43" s="2219"/>
      <c r="CK43" s="2219"/>
      <c r="CL43" s="2219"/>
      <c r="CM43" s="2219"/>
      <c r="CN43" s="2219"/>
      <c r="CO43" s="2219"/>
      <c r="CP43" s="2219"/>
      <c r="CQ43" s="2219"/>
      <c r="CR43" s="2219"/>
      <c r="CS43" s="2219"/>
      <c r="CT43" s="2219"/>
      <c r="CU43" s="2219"/>
      <c r="CV43" s="2219"/>
      <c r="CW43" s="2219"/>
    </row>
    <row r="44" spans="1:101" s="2230" customFormat="1" ht="15" customHeight="1">
      <c r="A44" s="2221"/>
      <c r="B44" s="2219"/>
      <c r="C44" s="2226"/>
      <c r="D44" s="2239"/>
      <c r="E44" s="2223"/>
      <c r="F44" s="2223"/>
      <c r="G44" s="2223"/>
      <c r="H44" s="2223"/>
      <c r="I44" s="2223"/>
      <c r="J44" s="2223"/>
      <c r="K44" s="2223"/>
      <c r="L44" s="2223"/>
      <c r="M44" s="2223"/>
      <c r="N44" s="2223"/>
      <c r="O44" s="2223"/>
      <c r="P44" s="2223"/>
      <c r="Q44" s="2223"/>
      <c r="R44" s="2223"/>
      <c r="S44" s="2223"/>
      <c r="T44" s="2223"/>
      <c r="U44" s="2223"/>
      <c r="V44" s="2223"/>
      <c r="W44" s="2223"/>
      <c r="X44" s="2223"/>
      <c r="Y44" s="2223"/>
      <c r="Z44" s="2223"/>
      <c r="AA44" s="2223"/>
      <c r="AB44" s="2223"/>
      <c r="AC44" s="2223"/>
      <c r="AD44" s="2223"/>
      <c r="AE44" s="2223"/>
      <c r="AF44" s="2223"/>
      <c r="AG44" s="2223"/>
      <c r="AH44" s="2223"/>
      <c r="AI44" s="2223"/>
      <c r="AJ44" s="2223"/>
      <c r="AK44" s="2223"/>
      <c r="AL44" s="2223"/>
      <c r="AM44" s="2223"/>
      <c r="AN44" s="2223"/>
      <c r="AO44" s="2223"/>
      <c r="AP44" s="2223"/>
      <c r="AQ44" s="2223"/>
      <c r="AR44" s="2223"/>
      <c r="AS44" s="2223"/>
      <c r="AT44" s="2223"/>
      <c r="AU44" s="2223"/>
      <c r="AV44" s="2223"/>
      <c r="AW44" s="2223"/>
      <c r="AX44" s="2223"/>
      <c r="AY44" s="2223"/>
      <c r="AZ44" s="2223"/>
      <c r="BA44" s="2223"/>
      <c r="BB44" s="2223"/>
      <c r="BC44" s="2224"/>
      <c r="BD44" s="2218"/>
      <c r="BE44" s="2219"/>
      <c r="BF44" s="2219"/>
      <c r="BG44" s="2219"/>
      <c r="BH44" s="2219"/>
      <c r="BI44" s="2219"/>
      <c r="BJ44" s="2219"/>
      <c r="BK44" s="2219"/>
      <c r="BL44" s="2219"/>
      <c r="BM44" s="2219"/>
      <c r="BN44" s="2219"/>
      <c r="BO44" s="2219"/>
      <c r="BP44" s="2219"/>
      <c r="BQ44" s="2219"/>
      <c r="BR44" s="2219"/>
      <c r="BS44" s="2219"/>
      <c r="BT44" s="2219"/>
      <c r="BU44" s="2219"/>
      <c r="BV44" s="2219"/>
      <c r="BW44" s="2219"/>
      <c r="BX44" s="2219"/>
      <c r="BY44" s="2219"/>
      <c r="BZ44" s="2219"/>
      <c r="CA44" s="2219"/>
      <c r="CB44" s="2219"/>
      <c r="CC44" s="2219"/>
      <c r="CD44" s="2219"/>
      <c r="CE44" s="2219"/>
      <c r="CF44" s="2219"/>
      <c r="CG44" s="2219"/>
      <c r="CH44" s="2219"/>
      <c r="CI44" s="2219"/>
      <c r="CJ44" s="2219"/>
      <c r="CK44" s="2219"/>
      <c r="CL44" s="2219"/>
      <c r="CM44" s="2219"/>
      <c r="CN44" s="2219"/>
      <c r="CO44" s="2219"/>
      <c r="CP44" s="2219"/>
      <c r="CQ44" s="2219"/>
      <c r="CR44" s="2219"/>
      <c r="CS44" s="2219"/>
      <c r="CT44" s="2219"/>
      <c r="CU44" s="2219"/>
      <c r="CV44" s="2219"/>
      <c r="CW44" s="2219"/>
    </row>
    <row r="45" spans="1:101" ht="15" customHeight="1">
      <c r="A45" s="2221"/>
      <c r="C45" s="2226"/>
      <c r="D45" s="2239"/>
      <c r="E45" s="2223"/>
      <c r="F45" s="2223"/>
      <c r="G45" s="2223"/>
      <c r="H45" s="2223"/>
      <c r="I45" s="2223"/>
      <c r="J45" s="2223"/>
      <c r="K45" s="2223"/>
      <c r="L45" s="2223"/>
      <c r="M45" s="2223"/>
      <c r="N45" s="2223"/>
      <c r="O45" s="2223"/>
      <c r="P45" s="2223"/>
      <c r="Q45" s="2223"/>
      <c r="R45" s="2223"/>
      <c r="S45" s="2223"/>
      <c r="T45" s="2223"/>
      <c r="U45" s="2223"/>
      <c r="V45" s="2223"/>
      <c r="W45" s="2223"/>
      <c r="X45" s="2223"/>
      <c r="Y45" s="2223"/>
      <c r="Z45" s="2223"/>
      <c r="AA45" s="2223"/>
      <c r="AB45" s="2223"/>
      <c r="AC45" s="2223"/>
      <c r="AD45" s="2223"/>
      <c r="AE45" s="2223"/>
      <c r="AF45" s="2223"/>
      <c r="AG45" s="2223"/>
      <c r="AH45" s="2223"/>
      <c r="AI45" s="2223"/>
      <c r="AJ45" s="2223"/>
      <c r="AK45" s="2223"/>
      <c r="AL45" s="2223"/>
      <c r="AM45" s="2223"/>
      <c r="AN45" s="2223"/>
      <c r="AO45" s="2223"/>
      <c r="AP45" s="2223"/>
      <c r="AQ45" s="2223"/>
      <c r="AR45" s="2223"/>
      <c r="AS45" s="2223"/>
      <c r="AT45" s="2223"/>
      <c r="AU45" s="2223"/>
      <c r="AV45" s="2223"/>
      <c r="AW45" s="2223"/>
      <c r="AX45" s="2223"/>
      <c r="AY45" s="2223"/>
      <c r="AZ45" s="2223"/>
      <c r="BA45" s="2223"/>
      <c r="BB45" s="2223"/>
      <c r="BC45" s="2224"/>
    </row>
    <row r="46" spans="1:101" ht="15" customHeight="1">
      <c r="A46" s="2221"/>
      <c r="C46" s="2226"/>
      <c r="D46" s="2239"/>
      <c r="E46" s="2223"/>
      <c r="F46" s="2223"/>
      <c r="G46" s="2223"/>
      <c r="H46" s="2223"/>
      <c r="I46" s="2223"/>
      <c r="J46" s="2223"/>
      <c r="K46" s="2223"/>
      <c r="L46" s="2223"/>
      <c r="M46" s="2223"/>
      <c r="N46" s="2223"/>
      <c r="O46" s="2223"/>
      <c r="P46" s="2223"/>
      <c r="Q46" s="2223"/>
      <c r="R46" s="2223"/>
      <c r="S46" s="2223"/>
      <c r="T46" s="2223"/>
      <c r="U46" s="2223"/>
      <c r="V46" s="2223"/>
      <c r="W46" s="2223"/>
      <c r="X46" s="2223"/>
      <c r="Y46" s="2223"/>
      <c r="Z46" s="2223"/>
      <c r="AA46" s="2223"/>
      <c r="AB46" s="2223"/>
      <c r="AC46" s="2223"/>
      <c r="AD46" s="2223"/>
      <c r="AE46" s="2223"/>
      <c r="AF46" s="2223"/>
      <c r="AG46" s="2223"/>
      <c r="AH46" s="2223"/>
      <c r="AI46" s="2223"/>
      <c r="AJ46" s="2223"/>
      <c r="AK46" s="2223"/>
      <c r="AL46" s="2223"/>
      <c r="AM46" s="2223"/>
      <c r="AN46" s="2223"/>
      <c r="AO46" s="2223"/>
      <c r="AP46" s="2223"/>
      <c r="AQ46" s="2223"/>
      <c r="AR46" s="2223"/>
      <c r="AS46" s="2223"/>
      <c r="AT46" s="2223"/>
      <c r="AU46" s="2223"/>
      <c r="AV46" s="2223"/>
      <c r="AW46" s="2223"/>
      <c r="AX46" s="2223"/>
      <c r="AY46" s="2223"/>
      <c r="AZ46" s="2223"/>
      <c r="BA46" s="2223"/>
      <c r="BB46" s="2223"/>
      <c r="BC46" s="2224"/>
    </row>
    <row r="47" spans="1:101" ht="15" customHeight="1">
      <c r="A47" s="2221"/>
      <c r="C47" s="2226"/>
      <c r="E47" s="2223"/>
      <c r="F47" s="2223"/>
      <c r="G47" s="2223"/>
      <c r="H47" s="2223"/>
      <c r="I47" s="2223"/>
      <c r="J47" s="2223"/>
      <c r="K47" s="2223"/>
      <c r="L47" s="2223"/>
      <c r="M47" s="2223"/>
      <c r="N47" s="2223"/>
      <c r="O47" s="2223"/>
      <c r="P47" s="2223"/>
      <c r="Q47" s="2223"/>
      <c r="R47" s="2223"/>
      <c r="S47" s="2223"/>
      <c r="T47" s="2223"/>
      <c r="U47" s="2223"/>
      <c r="V47" s="2223"/>
      <c r="W47" s="2223"/>
      <c r="X47" s="2223"/>
      <c r="Y47" s="2223"/>
      <c r="Z47" s="2223"/>
      <c r="AA47" s="2223"/>
      <c r="AB47" s="2223"/>
      <c r="AC47" s="2223"/>
      <c r="AD47" s="2223"/>
      <c r="AE47" s="2223"/>
      <c r="AF47" s="2223"/>
      <c r="AG47" s="2223"/>
      <c r="AH47" s="2223"/>
      <c r="AI47" s="2223"/>
      <c r="AJ47" s="2223"/>
      <c r="AK47" s="2223"/>
      <c r="AL47" s="2223"/>
      <c r="AM47" s="2223"/>
      <c r="AN47" s="2223"/>
      <c r="AO47" s="2223"/>
      <c r="AP47" s="2223"/>
      <c r="AQ47" s="2223"/>
      <c r="AR47" s="2223"/>
      <c r="AS47" s="2223"/>
      <c r="AT47" s="2223"/>
      <c r="AU47" s="2223"/>
      <c r="AV47" s="2223"/>
      <c r="AW47" s="2223"/>
      <c r="AX47" s="2223"/>
      <c r="AY47" s="2223"/>
      <c r="AZ47" s="2223"/>
      <c r="BA47" s="2223"/>
      <c r="BB47" s="2223"/>
      <c r="BC47" s="2224"/>
    </row>
    <row r="48" spans="1:101" ht="15" customHeight="1">
      <c r="A48" s="2221"/>
      <c r="C48" s="2226"/>
      <c r="E48" s="2223"/>
      <c r="F48" s="2223"/>
      <c r="G48" s="2223"/>
      <c r="H48" s="2223"/>
      <c r="I48" s="2223"/>
      <c r="J48" s="2223"/>
      <c r="K48" s="2223"/>
      <c r="L48" s="2223"/>
      <c r="M48" s="2223"/>
      <c r="N48" s="2223"/>
      <c r="O48" s="2223"/>
      <c r="P48" s="2223"/>
      <c r="Q48" s="2223"/>
      <c r="R48" s="2223"/>
      <c r="S48" s="2223"/>
      <c r="T48" s="2223"/>
      <c r="U48" s="2223"/>
      <c r="V48" s="2223"/>
      <c r="W48" s="2223"/>
      <c r="X48" s="2223"/>
      <c r="Y48" s="2223"/>
      <c r="Z48" s="2223"/>
      <c r="AA48" s="2223"/>
      <c r="AB48" s="2223"/>
      <c r="AC48" s="2223"/>
      <c r="AD48" s="2223"/>
      <c r="AE48" s="2223"/>
      <c r="AF48" s="2223"/>
      <c r="AG48" s="2223"/>
      <c r="AH48" s="2223"/>
      <c r="AI48" s="2223"/>
      <c r="AJ48" s="2223"/>
      <c r="AK48" s="2223"/>
      <c r="AL48" s="2223"/>
      <c r="AM48" s="2223"/>
      <c r="AN48" s="2223"/>
      <c r="AO48" s="2223"/>
      <c r="AP48" s="2223"/>
      <c r="AQ48" s="2223"/>
      <c r="AR48" s="2223"/>
      <c r="AS48" s="2223"/>
      <c r="AT48" s="2223"/>
      <c r="AU48" s="2223"/>
      <c r="AV48" s="2223"/>
      <c r="AW48" s="2223"/>
      <c r="AX48" s="2223"/>
      <c r="AY48" s="2223"/>
      <c r="AZ48" s="2223"/>
      <c r="BA48" s="2223"/>
      <c r="BB48" s="2223"/>
      <c r="BC48" s="2224"/>
    </row>
    <row r="49" spans="1:57">
      <c r="A49" s="2221"/>
      <c r="E49" s="2223"/>
      <c r="F49" s="2223"/>
      <c r="G49" s="2223"/>
      <c r="H49" s="2223"/>
      <c r="I49" s="2223"/>
      <c r="J49" s="2223"/>
      <c r="K49" s="2223"/>
      <c r="L49" s="2223"/>
      <c r="M49" s="2223"/>
      <c r="N49" s="2223"/>
      <c r="O49" s="2223"/>
      <c r="P49" s="2223"/>
      <c r="Q49" s="2223"/>
      <c r="R49" s="2223"/>
      <c r="S49" s="2223"/>
      <c r="T49" s="2223"/>
      <c r="U49" s="2223"/>
      <c r="V49" s="2223"/>
      <c r="W49" s="2223"/>
      <c r="X49" s="2223"/>
      <c r="Y49" s="2223"/>
      <c r="Z49" s="2223"/>
      <c r="AA49" s="2223"/>
      <c r="AB49" s="2223"/>
      <c r="AC49" s="2223"/>
      <c r="AD49" s="2223"/>
      <c r="AE49" s="2223"/>
      <c r="AF49" s="2223"/>
      <c r="AG49" s="2223"/>
      <c r="AH49" s="2223"/>
      <c r="AI49" s="2223"/>
      <c r="AJ49" s="2223"/>
      <c r="AK49" s="2223"/>
      <c r="AL49" s="2223"/>
      <c r="AM49" s="2223"/>
      <c r="AN49" s="2223"/>
      <c r="AO49" s="2223"/>
      <c r="AP49" s="2223"/>
      <c r="AQ49" s="2223"/>
      <c r="AR49" s="2223"/>
      <c r="AS49" s="2223"/>
      <c r="AT49" s="2223"/>
      <c r="AU49" s="2223"/>
      <c r="AV49" s="2223"/>
      <c r="AW49" s="2223"/>
      <c r="AX49" s="2223"/>
      <c r="AY49" s="2223"/>
      <c r="AZ49" s="2223"/>
      <c r="BA49" s="2223"/>
      <c r="BB49" s="2223"/>
      <c r="BC49" s="2224"/>
    </row>
    <row r="50" spans="1:57" s="2203" customFormat="1" ht="15" customHeight="1">
      <c r="B50" s="2369"/>
      <c r="C50" s="2370"/>
      <c r="D50" s="2371" t="s">
        <v>1892</v>
      </c>
      <c r="E50" s="2372">
        <v>1</v>
      </c>
      <c r="F50" s="2372">
        <f t="shared" ref="F50:BB50" si="2">E50+1</f>
        <v>2</v>
      </c>
      <c r="G50" s="2372">
        <f t="shared" si="2"/>
        <v>3</v>
      </c>
      <c r="H50" s="2372">
        <f t="shared" si="2"/>
        <v>4</v>
      </c>
      <c r="I50" s="2372">
        <f t="shared" si="2"/>
        <v>5</v>
      </c>
      <c r="J50" s="2372">
        <f t="shared" si="2"/>
        <v>6</v>
      </c>
      <c r="K50" s="2372">
        <f t="shared" si="2"/>
        <v>7</v>
      </c>
      <c r="L50" s="2372">
        <f t="shared" si="2"/>
        <v>8</v>
      </c>
      <c r="M50" s="2372">
        <f t="shared" si="2"/>
        <v>9</v>
      </c>
      <c r="N50" s="2372">
        <f t="shared" si="2"/>
        <v>10</v>
      </c>
      <c r="O50" s="2372">
        <f t="shared" si="2"/>
        <v>11</v>
      </c>
      <c r="P50" s="2372">
        <f t="shared" si="2"/>
        <v>12</v>
      </c>
      <c r="Q50" s="2372">
        <f t="shared" si="2"/>
        <v>13</v>
      </c>
      <c r="R50" s="2372">
        <f t="shared" si="2"/>
        <v>14</v>
      </c>
      <c r="S50" s="2372">
        <f t="shared" si="2"/>
        <v>15</v>
      </c>
      <c r="T50" s="2372">
        <f t="shared" si="2"/>
        <v>16</v>
      </c>
      <c r="U50" s="2372">
        <f t="shared" si="2"/>
        <v>17</v>
      </c>
      <c r="V50" s="2372">
        <f t="shared" si="2"/>
        <v>18</v>
      </c>
      <c r="W50" s="2372">
        <f t="shared" si="2"/>
        <v>19</v>
      </c>
      <c r="X50" s="2372">
        <f t="shared" si="2"/>
        <v>20</v>
      </c>
      <c r="Y50" s="2372">
        <f t="shared" si="2"/>
        <v>21</v>
      </c>
      <c r="Z50" s="2372">
        <f t="shared" si="2"/>
        <v>22</v>
      </c>
      <c r="AA50" s="2372">
        <f t="shared" si="2"/>
        <v>23</v>
      </c>
      <c r="AB50" s="2372">
        <f t="shared" si="2"/>
        <v>24</v>
      </c>
      <c r="AC50" s="2372">
        <f t="shared" si="2"/>
        <v>25</v>
      </c>
      <c r="AD50" s="2372">
        <f t="shared" si="2"/>
        <v>26</v>
      </c>
      <c r="AE50" s="2373">
        <f t="shared" si="2"/>
        <v>27</v>
      </c>
      <c r="AF50" s="2372">
        <f t="shared" si="2"/>
        <v>28</v>
      </c>
      <c r="AG50" s="2372">
        <f t="shared" si="2"/>
        <v>29</v>
      </c>
      <c r="AH50" s="2372">
        <f t="shared" si="2"/>
        <v>30</v>
      </c>
      <c r="AI50" s="2372">
        <f t="shared" si="2"/>
        <v>31</v>
      </c>
      <c r="AJ50" s="2372">
        <f t="shared" si="2"/>
        <v>32</v>
      </c>
      <c r="AK50" s="2372">
        <f t="shared" si="2"/>
        <v>33</v>
      </c>
      <c r="AL50" s="2372">
        <f t="shared" si="2"/>
        <v>34</v>
      </c>
      <c r="AM50" s="2372">
        <f t="shared" si="2"/>
        <v>35</v>
      </c>
      <c r="AN50" s="2372">
        <f t="shared" si="2"/>
        <v>36</v>
      </c>
      <c r="AO50" s="2372">
        <f t="shared" si="2"/>
        <v>37</v>
      </c>
      <c r="AP50" s="2372">
        <f t="shared" si="2"/>
        <v>38</v>
      </c>
      <c r="AQ50" s="2372">
        <f t="shared" si="2"/>
        <v>39</v>
      </c>
      <c r="AR50" s="2372">
        <f t="shared" si="2"/>
        <v>40</v>
      </c>
      <c r="AS50" s="2372">
        <f t="shared" si="2"/>
        <v>41</v>
      </c>
      <c r="AT50" s="2372">
        <f t="shared" si="2"/>
        <v>42</v>
      </c>
      <c r="AU50" s="2372">
        <f t="shared" si="2"/>
        <v>43</v>
      </c>
      <c r="AV50" s="2372">
        <f t="shared" si="2"/>
        <v>44</v>
      </c>
      <c r="AW50" s="2372">
        <f t="shared" si="2"/>
        <v>45</v>
      </c>
      <c r="AX50" s="2372">
        <f t="shared" si="2"/>
        <v>46</v>
      </c>
      <c r="AY50" s="2372">
        <f t="shared" si="2"/>
        <v>47</v>
      </c>
      <c r="AZ50" s="2372">
        <f t="shared" si="2"/>
        <v>48</v>
      </c>
      <c r="BA50" s="2372">
        <f>AP50+1</f>
        <v>39</v>
      </c>
      <c r="BB50" s="2372">
        <f t="shared" si="2"/>
        <v>40</v>
      </c>
      <c r="BC50" s="6132" t="s">
        <v>1886</v>
      </c>
      <c r="BD50" s="2208"/>
    </row>
    <row r="51" spans="1:57" s="2203" customFormat="1">
      <c r="B51" s="2374"/>
      <c r="C51" s="2375"/>
      <c r="D51" s="2376" t="s">
        <v>1893</v>
      </c>
      <c r="E51" s="2377">
        <v>43038</v>
      </c>
      <c r="F51" s="2377">
        <f>E51+30</f>
        <v>43068</v>
      </c>
      <c r="G51" s="2377">
        <f t="shared" ref="G51:BB51" si="3">F51+30</f>
        <v>43098</v>
      </c>
      <c r="H51" s="2377">
        <f t="shared" si="3"/>
        <v>43128</v>
      </c>
      <c r="I51" s="2377">
        <f t="shared" si="3"/>
        <v>43158</v>
      </c>
      <c r="J51" s="2377">
        <f t="shared" si="3"/>
        <v>43188</v>
      </c>
      <c r="K51" s="2377">
        <f t="shared" si="3"/>
        <v>43218</v>
      </c>
      <c r="L51" s="2377">
        <f t="shared" si="3"/>
        <v>43248</v>
      </c>
      <c r="M51" s="2377">
        <f t="shared" si="3"/>
        <v>43278</v>
      </c>
      <c r="N51" s="2377">
        <f t="shared" si="3"/>
        <v>43308</v>
      </c>
      <c r="O51" s="2377">
        <f t="shared" si="3"/>
        <v>43338</v>
      </c>
      <c r="P51" s="2377">
        <f t="shared" si="3"/>
        <v>43368</v>
      </c>
      <c r="Q51" s="2377">
        <f t="shared" si="3"/>
        <v>43398</v>
      </c>
      <c r="R51" s="2377">
        <f t="shared" si="3"/>
        <v>43428</v>
      </c>
      <c r="S51" s="2377">
        <f t="shared" si="3"/>
        <v>43458</v>
      </c>
      <c r="T51" s="2377">
        <f t="shared" si="3"/>
        <v>43488</v>
      </c>
      <c r="U51" s="2377">
        <f t="shared" si="3"/>
        <v>43518</v>
      </c>
      <c r="V51" s="2377">
        <f t="shared" si="3"/>
        <v>43548</v>
      </c>
      <c r="W51" s="2377">
        <f t="shared" si="3"/>
        <v>43578</v>
      </c>
      <c r="X51" s="2377">
        <f t="shared" si="3"/>
        <v>43608</v>
      </c>
      <c r="Y51" s="2377">
        <f t="shared" si="3"/>
        <v>43638</v>
      </c>
      <c r="Z51" s="2377">
        <f t="shared" si="3"/>
        <v>43668</v>
      </c>
      <c r="AA51" s="2377">
        <f t="shared" si="3"/>
        <v>43698</v>
      </c>
      <c r="AB51" s="2377">
        <f t="shared" si="3"/>
        <v>43728</v>
      </c>
      <c r="AC51" s="2377">
        <f t="shared" si="3"/>
        <v>43758</v>
      </c>
      <c r="AD51" s="2377">
        <f t="shared" si="3"/>
        <v>43788</v>
      </c>
      <c r="AE51" s="2377">
        <f t="shared" si="3"/>
        <v>43818</v>
      </c>
      <c r="AF51" s="2377">
        <f t="shared" si="3"/>
        <v>43848</v>
      </c>
      <c r="AG51" s="2377">
        <f t="shared" si="3"/>
        <v>43878</v>
      </c>
      <c r="AH51" s="2377">
        <f t="shared" si="3"/>
        <v>43908</v>
      </c>
      <c r="AI51" s="2377">
        <f t="shared" si="3"/>
        <v>43938</v>
      </c>
      <c r="AJ51" s="2377">
        <f t="shared" si="3"/>
        <v>43968</v>
      </c>
      <c r="AK51" s="2377">
        <f t="shared" si="3"/>
        <v>43998</v>
      </c>
      <c r="AL51" s="2377">
        <f t="shared" si="3"/>
        <v>44028</v>
      </c>
      <c r="AM51" s="2377">
        <f t="shared" si="3"/>
        <v>44058</v>
      </c>
      <c r="AN51" s="2377">
        <f t="shared" si="3"/>
        <v>44088</v>
      </c>
      <c r="AO51" s="2377">
        <f t="shared" si="3"/>
        <v>44118</v>
      </c>
      <c r="AP51" s="2377">
        <f t="shared" si="3"/>
        <v>44148</v>
      </c>
      <c r="AQ51" s="2377">
        <f t="shared" si="3"/>
        <v>44178</v>
      </c>
      <c r="AR51" s="2377">
        <f t="shared" si="3"/>
        <v>44208</v>
      </c>
      <c r="AS51" s="2377">
        <f t="shared" si="3"/>
        <v>44238</v>
      </c>
      <c r="AT51" s="2377">
        <f t="shared" si="3"/>
        <v>44268</v>
      </c>
      <c r="AU51" s="2377">
        <f t="shared" si="3"/>
        <v>44298</v>
      </c>
      <c r="AV51" s="2377">
        <f t="shared" si="3"/>
        <v>44328</v>
      </c>
      <c r="AW51" s="2377">
        <f t="shared" si="3"/>
        <v>44358</v>
      </c>
      <c r="AX51" s="2377">
        <f t="shared" si="3"/>
        <v>44388</v>
      </c>
      <c r="AY51" s="2377">
        <f t="shared" si="3"/>
        <v>44418</v>
      </c>
      <c r="AZ51" s="2377">
        <f t="shared" si="3"/>
        <v>44448</v>
      </c>
      <c r="BA51" s="2377">
        <f t="shared" si="3"/>
        <v>44478</v>
      </c>
      <c r="BB51" s="2377">
        <f t="shared" si="3"/>
        <v>44508</v>
      </c>
      <c r="BC51" s="6127"/>
      <c r="BD51" s="2208"/>
    </row>
    <row r="52" spans="1:57" s="2203" customFormat="1" ht="18.75" customHeight="1">
      <c r="B52" s="2446"/>
      <c r="C52" s="2447" t="s">
        <v>1894</v>
      </c>
      <c r="D52" s="6124">
        <f>+D58+D80+D101+D123+D143</f>
        <v>0</v>
      </c>
      <c r="E52" s="2448">
        <f>+E55+E77+E98+E120+E140</f>
        <v>252931</v>
      </c>
      <c r="F52" s="2448">
        <f>+F55+F77+F98+F120+F140</f>
        <v>788138</v>
      </c>
      <c r="G52" s="2448">
        <f t="shared" ref="G52:BB53" si="4">+G55+G77+G98+G120+G140</f>
        <v>1368156</v>
      </c>
      <c r="H52" s="2448">
        <f t="shared" si="4"/>
        <v>2407058</v>
      </c>
      <c r="I52" s="2448">
        <f t="shared" si="4"/>
        <v>4174455</v>
      </c>
      <c r="J52" s="2448">
        <f t="shared" si="4"/>
        <v>6076104</v>
      </c>
      <c r="K52" s="2448">
        <f t="shared" si="4"/>
        <v>9344763</v>
      </c>
      <c r="L52" s="2448">
        <f t="shared" si="4"/>
        <v>13455269</v>
      </c>
      <c r="M52" s="2448">
        <f t="shared" si="4"/>
        <v>16843056</v>
      </c>
      <c r="N52" s="2448">
        <f t="shared" si="4"/>
        <v>25355592</v>
      </c>
      <c r="O52" s="2448">
        <f>+O55+O77+O98+O120+O140</f>
        <v>33041302</v>
      </c>
      <c r="P52" s="2448">
        <f t="shared" si="4"/>
        <v>39218241</v>
      </c>
      <c r="Q52" s="2448">
        <f t="shared" si="4"/>
        <v>47423550</v>
      </c>
      <c r="R52" s="2448">
        <f t="shared" si="4"/>
        <v>55608019</v>
      </c>
      <c r="S52" s="2448">
        <f t="shared" si="4"/>
        <v>63560706</v>
      </c>
      <c r="T52" s="2448">
        <f t="shared" si="4"/>
        <v>70540091</v>
      </c>
      <c r="U52" s="2448">
        <f t="shared" si="4"/>
        <v>76980429</v>
      </c>
      <c r="V52" s="2448">
        <f t="shared" si="4"/>
        <v>84273786</v>
      </c>
      <c r="W52" s="2448">
        <f t="shared" si="4"/>
        <v>91584611</v>
      </c>
      <c r="X52" s="2448">
        <f t="shared" si="4"/>
        <v>98582713</v>
      </c>
      <c r="Y52" s="2448">
        <f t="shared" si="4"/>
        <v>106645474</v>
      </c>
      <c r="Z52" s="2448">
        <f t="shared" si="4"/>
        <v>115777011</v>
      </c>
      <c r="AA52" s="2448">
        <f t="shared" si="4"/>
        <v>125345957</v>
      </c>
      <c r="AB52" s="2448">
        <f t="shared" si="4"/>
        <v>136828665</v>
      </c>
      <c r="AC52" s="2448">
        <f t="shared" si="4"/>
        <v>150811073</v>
      </c>
      <c r="AD52" s="2448">
        <f t="shared" si="4"/>
        <v>165222041</v>
      </c>
      <c r="AE52" s="2448">
        <f t="shared" si="4"/>
        <v>178337593</v>
      </c>
      <c r="AF52" s="2448">
        <f t="shared" si="4"/>
        <v>190708725</v>
      </c>
      <c r="AG52" s="2448">
        <f t="shared" si="4"/>
        <v>202369002</v>
      </c>
      <c r="AH52" s="2448">
        <f t="shared" si="4"/>
        <v>215633829</v>
      </c>
      <c r="AI52" s="2448">
        <f t="shared" si="4"/>
        <v>229349657</v>
      </c>
      <c r="AJ52" s="2448">
        <f t="shared" si="4"/>
        <v>242352591</v>
      </c>
      <c r="AK52" s="2448">
        <f t="shared" si="4"/>
        <v>255855903</v>
      </c>
      <c r="AL52" s="2448">
        <f t="shared" si="4"/>
        <v>268279095</v>
      </c>
      <c r="AM52" s="2448">
        <f t="shared" si="4"/>
        <v>280034764</v>
      </c>
      <c r="AN52" s="2448">
        <f t="shared" si="4"/>
        <v>291478861</v>
      </c>
      <c r="AO52" s="2448">
        <f t="shared" si="4"/>
        <v>301924601</v>
      </c>
      <c r="AP52" s="2448">
        <f t="shared" si="4"/>
        <v>311973970</v>
      </c>
      <c r="AQ52" s="2448">
        <f t="shared" si="4"/>
        <v>322235866</v>
      </c>
      <c r="AR52" s="2448">
        <f t="shared" si="4"/>
        <v>330337917</v>
      </c>
      <c r="AS52" s="2448">
        <f t="shared" si="4"/>
        <v>337714866</v>
      </c>
      <c r="AT52" s="2448">
        <f t="shared" si="4"/>
        <v>344585699</v>
      </c>
      <c r="AU52" s="2448">
        <f t="shared" si="4"/>
        <v>349868606</v>
      </c>
      <c r="AV52" s="2448">
        <f t="shared" si="4"/>
        <v>353035831</v>
      </c>
      <c r="AW52" s="2448">
        <f t="shared" si="4"/>
        <v>354816856</v>
      </c>
      <c r="AX52" s="2448">
        <f t="shared" si="4"/>
        <v>0</v>
      </c>
      <c r="AY52" s="2448">
        <f t="shared" si="4"/>
        <v>0</v>
      </c>
      <c r="AZ52" s="2448">
        <f t="shared" si="4"/>
        <v>0</v>
      </c>
      <c r="BA52" s="2448">
        <f t="shared" si="4"/>
        <v>0</v>
      </c>
      <c r="BB52" s="2448">
        <f t="shared" si="4"/>
        <v>0</v>
      </c>
      <c r="BC52" s="6126"/>
      <c r="BD52" s="2208"/>
    </row>
    <row r="53" spans="1:57" s="2203" customFormat="1" ht="18.75" customHeight="1">
      <c r="B53" s="2449"/>
      <c r="C53" s="2450" t="s">
        <v>1895</v>
      </c>
      <c r="D53" s="6125"/>
      <c r="E53" s="2451">
        <f>+E56+E78+E99+E121+E141</f>
        <v>252931</v>
      </c>
      <c r="F53" s="2451">
        <f t="shared" ref="F53:BB53" si="5">+F56+F78+F99+F121+F141</f>
        <v>535207</v>
      </c>
      <c r="G53" s="2451">
        <f t="shared" si="5"/>
        <v>580018</v>
      </c>
      <c r="H53" s="2451">
        <f t="shared" si="5"/>
        <v>1038902</v>
      </c>
      <c r="I53" s="2451">
        <f t="shared" si="5"/>
        <v>1767397</v>
      </c>
      <c r="J53" s="2451">
        <f t="shared" si="5"/>
        <v>1901649</v>
      </c>
      <c r="K53" s="2451">
        <f t="shared" si="5"/>
        <v>3268659</v>
      </c>
      <c r="L53" s="2451">
        <f t="shared" si="5"/>
        <v>4110506</v>
      </c>
      <c r="M53" s="2451">
        <f t="shared" si="5"/>
        <v>3387787</v>
      </c>
      <c r="N53" s="2451">
        <f t="shared" si="5"/>
        <v>8512536</v>
      </c>
      <c r="O53" s="2451">
        <f t="shared" si="5"/>
        <v>7685710</v>
      </c>
      <c r="P53" s="2451">
        <f t="shared" si="5"/>
        <v>6176939</v>
      </c>
      <c r="Q53" s="2451">
        <f t="shared" si="5"/>
        <v>8205309</v>
      </c>
      <c r="R53" s="2451">
        <f t="shared" si="5"/>
        <v>8184469</v>
      </c>
      <c r="S53" s="2451">
        <f t="shared" si="5"/>
        <v>7952687</v>
      </c>
      <c r="T53" s="2451">
        <f t="shared" si="5"/>
        <v>6979385</v>
      </c>
      <c r="U53" s="2451">
        <f t="shared" si="5"/>
        <v>6440338</v>
      </c>
      <c r="V53" s="2451">
        <f t="shared" si="5"/>
        <v>7293357</v>
      </c>
      <c r="W53" s="2451">
        <f t="shared" si="5"/>
        <v>7310825</v>
      </c>
      <c r="X53" s="2451">
        <f t="shared" si="5"/>
        <v>6998102</v>
      </c>
      <c r="Y53" s="2451">
        <f t="shared" si="5"/>
        <v>8062761</v>
      </c>
      <c r="Z53" s="2451">
        <f t="shared" si="5"/>
        <v>9131537</v>
      </c>
      <c r="AA53" s="2451">
        <f t="shared" si="5"/>
        <v>9568946</v>
      </c>
      <c r="AB53" s="2451">
        <f t="shared" si="5"/>
        <v>11482708</v>
      </c>
      <c r="AC53" s="2451">
        <f t="shared" si="5"/>
        <v>13982408</v>
      </c>
      <c r="AD53" s="2451">
        <f t="shared" si="5"/>
        <v>14410968</v>
      </c>
      <c r="AE53" s="2451">
        <f t="shared" si="5"/>
        <v>13115552</v>
      </c>
      <c r="AF53" s="2451">
        <f t="shared" si="5"/>
        <v>12371132</v>
      </c>
      <c r="AG53" s="2451">
        <f t="shared" si="5"/>
        <v>11660277</v>
      </c>
      <c r="AH53" s="2451">
        <f t="shared" si="5"/>
        <v>13264827</v>
      </c>
      <c r="AI53" s="2451">
        <f t="shared" si="5"/>
        <v>13715828</v>
      </c>
      <c r="AJ53" s="2451">
        <f t="shared" si="5"/>
        <v>13002934</v>
      </c>
      <c r="AK53" s="2451">
        <f t="shared" si="5"/>
        <v>13503312</v>
      </c>
      <c r="AL53" s="2451">
        <f t="shared" si="5"/>
        <v>12423192</v>
      </c>
      <c r="AM53" s="2451">
        <f t="shared" si="5"/>
        <v>11755669</v>
      </c>
      <c r="AN53" s="2451">
        <f t="shared" si="5"/>
        <v>11444097</v>
      </c>
      <c r="AO53" s="2451">
        <f t="shared" si="5"/>
        <v>10445740</v>
      </c>
      <c r="AP53" s="2451">
        <f t="shared" si="5"/>
        <v>10049369</v>
      </c>
      <c r="AQ53" s="2451">
        <f t="shared" si="4"/>
        <v>10261896</v>
      </c>
      <c r="AR53" s="2451">
        <f t="shared" si="4"/>
        <v>8102051</v>
      </c>
      <c r="AS53" s="2451">
        <f t="shared" si="4"/>
        <v>7376949</v>
      </c>
      <c r="AT53" s="2451">
        <f t="shared" si="4"/>
        <v>6870833</v>
      </c>
      <c r="AU53" s="2451">
        <f t="shared" si="4"/>
        <v>5282907</v>
      </c>
      <c r="AV53" s="2451">
        <f t="shared" si="4"/>
        <v>3167225</v>
      </c>
      <c r="AW53" s="2451">
        <f t="shared" si="4"/>
        <v>1781025</v>
      </c>
      <c r="AX53" s="2451">
        <f t="shared" si="4"/>
        <v>-354816856</v>
      </c>
      <c r="AY53" s="2451">
        <f t="shared" si="4"/>
        <v>0</v>
      </c>
      <c r="AZ53" s="2451">
        <f t="shared" si="4"/>
        <v>0</v>
      </c>
      <c r="BA53" s="2451">
        <f t="shared" si="5"/>
        <v>-311973970</v>
      </c>
      <c r="BB53" s="2451">
        <f t="shared" si="5"/>
        <v>0</v>
      </c>
      <c r="BC53" s="6127"/>
      <c r="BD53" s="2208"/>
    </row>
    <row r="54" spans="1:57" ht="18.75" customHeight="1">
      <c r="B54" s="2290"/>
      <c r="C54" s="2291"/>
      <c r="D54" s="2292"/>
      <c r="E54" s="2239"/>
      <c r="F54" s="2239"/>
      <c r="G54" s="2239"/>
      <c r="H54" s="2239"/>
      <c r="I54" s="2239"/>
      <c r="J54" s="2239"/>
      <c r="K54" s="2239"/>
      <c r="L54" s="2239"/>
      <c r="M54" s="2239"/>
      <c r="N54" s="2239"/>
      <c r="O54" s="2239"/>
      <c r="P54" s="2239"/>
      <c r="Q54" s="2239"/>
      <c r="R54" s="2239"/>
      <c r="S54" s="2239"/>
      <c r="T54" s="2239"/>
      <c r="U54" s="2239"/>
      <c r="V54" s="2239"/>
      <c r="W54" s="2239"/>
      <c r="X54" s="2239"/>
      <c r="Y54" s="2239"/>
      <c r="Z54" s="2239"/>
      <c r="AA54" s="2239"/>
      <c r="AB54" s="2239"/>
      <c r="AC54" s="2239"/>
      <c r="AD54" s="2239"/>
      <c r="AE54" s="2280"/>
      <c r="AF54" s="2239"/>
      <c r="AG54" s="2239"/>
      <c r="AH54" s="2239"/>
      <c r="AI54" s="2239"/>
      <c r="AJ54" s="2239"/>
      <c r="AK54" s="2239"/>
      <c r="AL54" s="2239"/>
      <c r="AM54" s="2239"/>
      <c r="AN54" s="2239"/>
      <c r="AO54" s="2239"/>
      <c r="AP54" s="2239"/>
      <c r="AQ54" s="2239"/>
      <c r="AR54" s="2239"/>
      <c r="AS54" s="2239"/>
      <c r="AT54" s="2239"/>
      <c r="AU54" s="2239"/>
      <c r="AV54" s="2239"/>
      <c r="AW54" s="2239"/>
      <c r="AX54" s="2239"/>
      <c r="AY54" s="2239"/>
      <c r="AZ54" s="2239"/>
      <c r="BA54" s="2239"/>
      <c r="BB54" s="2239"/>
      <c r="BC54" s="2378"/>
      <c r="BD54" s="2240"/>
    </row>
    <row r="55" spans="1:57" s="2203" customFormat="1">
      <c r="B55" s="2380">
        <v>100</v>
      </c>
      <c r="C55" s="2381" t="s">
        <v>509</v>
      </c>
      <c r="D55" s="2382" t="s">
        <v>1896</v>
      </c>
      <c r="E55" s="2383">
        <f>E73</f>
        <v>252931</v>
      </c>
      <c r="F55" s="2383">
        <f t="shared" ref="F55:BB56" si="6">F73</f>
        <v>788138</v>
      </c>
      <c r="G55" s="2383">
        <f t="shared" si="6"/>
        <v>1368156</v>
      </c>
      <c r="H55" s="2383">
        <f t="shared" si="6"/>
        <v>2407058</v>
      </c>
      <c r="I55" s="2383">
        <f t="shared" si="6"/>
        <v>4174455</v>
      </c>
      <c r="J55" s="2383">
        <f t="shared" si="6"/>
        <v>6076104</v>
      </c>
      <c r="K55" s="2383">
        <f t="shared" si="6"/>
        <v>9344763</v>
      </c>
      <c r="L55" s="2383">
        <f t="shared" si="6"/>
        <v>13455269</v>
      </c>
      <c r="M55" s="2383">
        <f t="shared" si="6"/>
        <v>16843056</v>
      </c>
      <c r="N55" s="2383">
        <f t="shared" si="6"/>
        <v>25355592</v>
      </c>
      <c r="O55" s="2383">
        <f t="shared" si="6"/>
        <v>33041302</v>
      </c>
      <c r="P55" s="2383">
        <f t="shared" si="6"/>
        <v>39218241</v>
      </c>
      <c r="Q55" s="2383">
        <f t="shared" si="6"/>
        <v>47423550</v>
      </c>
      <c r="R55" s="2383">
        <f t="shared" si="6"/>
        <v>55608019</v>
      </c>
      <c r="S55" s="2383">
        <f t="shared" si="6"/>
        <v>63560706</v>
      </c>
      <c r="T55" s="2383">
        <f t="shared" si="6"/>
        <v>70540091</v>
      </c>
      <c r="U55" s="2383">
        <f t="shared" si="6"/>
        <v>76980429</v>
      </c>
      <c r="V55" s="2383">
        <f t="shared" si="6"/>
        <v>84273786</v>
      </c>
      <c r="W55" s="2383">
        <f t="shared" si="6"/>
        <v>91584611</v>
      </c>
      <c r="X55" s="2383">
        <f t="shared" si="6"/>
        <v>98582713</v>
      </c>
      <c r="Y55" s="2383">
        <f t="shared" si="6"/>
        <v>106645474</v>
      </c>
      <c r="Z55" s="2383">
        <f t="shared" si="6"/>
        <v>115777011</v>
      </c>
      <c r="AA55" s="2383">
        <f t="shared" si="6"/>
        <v>125345957</v>
      </c>
      <c r="AB55" s="2383">
        <f t="shared" si="6"/>
        <v>136828665</v>
      </c>
      <c r="AC55" s="2383">
        <f t="shared" si="6"/>
        <v>150811073</v>
      </c>
      <c r="AD55" s="2383">
        <f t="shared" si="6"/>
        <v>165222041</v>
      </c>
      <c r="AE55" s="2383">
        <f t="shared" si="6"/>
        <v>178337593</v>
      </c>
      <c r="AF55" s="2383">
        <f t="shared" si="6"/>
        <v>190708725</v>
      </c>
      <c r="AG55" s="2383">
        <f t="shared" si="6"/>
        <v>202369002</v>
      </c>
      <c r="AH55" s="2383">
        <f t="shared" si="6"/>
        <v>215633829</v>
      </c>
      <c r="AI55" s="2383">
        <f t="shared" si="6"/>
        <v>229349657</v>
      </c>
      <c r="AJ55" s="2383">
        <f t="shared" si="6"/>
        <v>242352591</v>
      </c>
      <c r="AK55" s="2383">
        <f t="shared" si="6"/>
        <v>255855903</v>
      </c>
      <c r="AL55" s="2383">
        <f t="shared" si="6"/>
        <v>268279095</v>
      </c>
      <c r="AM55" s="2383">
        <f t="shared" si="6"/>
        <v>280034764</v>
      </c>
      <c r="AN55" s="2383">
        <f t="shared" si="6"/>
        <v>291478861</v>
      </c>
      <c r="AO55" s="2383">
        <f t="shared" si="6"/>
        <v>301924601</v>
      </c>
      <c r="AP55" s="2383">
        <f t="shared" si="6"/>
        <v>311973970</v>
      </c>
      <c r="AQ55" s="2383">
        <f t="shared" si="6"/>
        <v>322235866</v>
      </c>
      <c r="AR55" s="2383">
        <f t="shared" si="6"/>
        <v>330337917</v>
      </c>
      <c r="AS55" s="2383">
        <f t="shared" si="6"/>
        <v>337714866</v>
      </c>
      <c r="AT55" s="2383">
        <f t="shared" si="6"/>
        <v>344585699</v>
      </c>
      <c r="AU55" s="2383">
        <f t="shared" si="6"/>
        <v>349868606</v>
      </c>
      <c r="AV55" s="2383">
        <f t="shared" si="6"/>
        <v>353035831</v>
      </c>
      <c r="AW55" s="2383">
        <f t="shared" si="6"/>
        <v>354816856</v>
      </c>
      <c r="AX55" s="2383">
        <f t="shared" si="6"/>
        <v>0</v>
      </c>
      <c r="AY55" s="2383">
        <f t="shared" si="6"/>
        <v>0</v>
      </c>
      <c r="AZ55" s="2383">
        <f t="shared" si="6"/>
        <v>0</v>
      </c>
      <c r="BA55" s="2383">
        <f t="shared" si="6"/>
        <v>0</v>
      </c>
      <c r="BB55" s="2383">
        <f t="shared" si="6"/>
        <v>0</v>
      </c>
      <c r="BC55" s="2379"/>
      <c r="BD55" s="2208"/>
      <c r="BE55" s="2242"/>
    </row>
    <row r="56" spans="1:57" s="2203" customFormat="1">
      <c r="B56" s="2380"/>
      <c r="C56" s="2381"/>
      <c r="D56" s="2382" t="s">
        <v>1897</v>
      </c>
      <c r="E56" s="2383">
        <f>E74</f>
        <v>252931</v>
      </c>
      <c r="F56" s="2383">
        <f t="shared" si="6"/>
        <v>535207</v>
      </c>
      <c r="G56" s="2383">
        <f t="shared" si="6"/>
        <v>580018</v>
      </c>
      <c r="H56" s="2383">
        <f t="shared" si="6"/>
        <v>1038902</v>
      </c>
      <c r="I56" s="2383">
        <f t="shared" si="6"/>
        <v>1767397</v>
      </c>
      <c r="J56" s="2383">
        <f t="shared" si="6"/>
        <v>1901649</v>
      </c>
      <c r="K56" s="2383">
        <f t="shared" si="6"/>
        <v>3268659</v>
      </c>
      <c r="L56" s="2383">
        <f t="shared" si="6"/>
        <v>4110506</v>
      </c>
      <c r="M56" s="2383">
        <f t="shared" si="6"/>
        <v>3387787</v>
      </c>
      <c r="N56" s="2383">
        <f t="shared" si="6"/>
        <v>8512536</v>
      </c>
      <c r="O56" s="2383">
        <f t="shared" si="6"/>
        <v>7685710</v>
      </c>
      <c r="P56" s="2383">
        <f t="shared" si="6"/>
        <v>6176939</v>
      </c>
      <c r="Q56" s="2383">
        <f t="shared" si="6"/>
        <v>8205309</v>
      </c>
      <c r="R56" s="2383">
        <f t="shared" si="6"/>
        <v>8184469</v>
      </c>
      <c r="S56" s="2383">
        <f t="shared" si="6"/>
        <v>7952687</v>
      </c>
      <c r="T56" s="2383">
        <f t="shared" si="6"/>
        <v>6979385</v>
      </c>
      <c r="U56" s="2383">
        <f t="shared" si="6"/>
        <v>6440338</v>
      </c>
      <c r="V56" s="2383">
        <f t="shared" si="6"/>
        <v>7293357</v>
      </c>
      <c r="W56" s="2383">
        <f t="shared" si="6"/>
        <v>7310825</v>
      </c>
      <c r="X56" s="2383">
        <f t="shared" si="6"/>
        <v>6998102</v>
      </c>
      <c r="Y56" s="2383">
        <f t="shared" si="6"/>
        <v>8062761</v>
      </c>
      <c r="Z56" s="2383">
        <f t="shared" si="6"/>
        <v>9131537</v>
      </c>
      <c r="AA56" s="2383">
        <f t="shared" si="6"/>
        <v>9568946</v>
      </c>
      <c r="AB56" s="2383">
        <f t="shared" si="6"/>
        <v>11482708</v>
      </c>
      <c r="AC56" s="2383">
        <f t="shared" si="6"/>
        <v>13982408</v>
      </c>
      <c r="AD56" s="2383">
        <f t="shared" si="6"/>
        <v>14410968</v>
      </c>
      <c r="AE56" s="2383">
        <f t="shared" si="6"/>
        <v>13115552</v>
      </c>
      <c r="AF56" s="2383">
        <f t="shared" si="6"/>
        <v>12371132</v>
      </c>
      <c r="AG56" s="2383">
        <f t="shared" si="6"/>
        <v>11660277</v>
      </c>
      <c r="AH56" s="2383">
        <f t="shared" si="6"/>
        <v>13264827</v>
      </c>
      <c r="AI56" s="2383">
        <f t="shared" si="6"/>
        <v>13715828</v>
      </c>
      <c r="AJ56" s="2383">
        <f t="shared" si="6"/>
        <v>13002934</v>
      </c>
      <c r="AK56" s="2383">
        <f t="shared" si="6"/>
        <v>13503312</v>
      </c>
      <c r="AL56" s="2383">
        <f t="shared" si="6"/>
        <v>12423192</v>
      </c>
      <c r="AM56" s="2383">
        <f t="shared" si="6"/>
        <v>11755669</v>
      </c>
      <c r="AN56" s="2383">
        <f t="shared" si="6"/>
        <v>11444097</v>
      </c>
      <c r="AO56" s="2383">
        <f t="shared" si="6"/>
        <v>10445740</v>
      </c>
      <c r="AP56" s="2383">
        <f t="shared" si="6"/>
        <v>10049369</v>
      </c>
      <c r="AQ56" s="2383">
        <f t="shared" si="6"/>
        <v>10261896</v>
      </c>
      <c r="AR56" s="2383">
        <f t="shared" si="6"/>
        <v>8102051</v>
      </c>
      <c r="AS56" s="2383">
        <f t="shared" si="6"/>
        <v>7376949</v>
      </c>
      <c r="AT56" s="2383">
        <f t="shared" si="6"/>
        <v>6870833</v>
      </c>
      <c r="AU56" s="2383">
        <f t="shared" si="6"/>
        <v>5282907</v>
      </c>
      <c r="AV56" s="2383">
        <f t="shared" si="6"/>
        <v>3167225</v>
      </c>
      <c r="AW56" s="2383">
        <f t="shared" si="6"/>
        <v>1781025</v>
      </c>
      <c r="AX56" s="2383">
        <f t="shared" si="6"/>
        <v>-354816856</v>
      </c>
      <c r="AY56" s="2383">
        <f t="shared" si="6"/>
        <v>0</v>
      </c>
      <c r="AZ56" s="2383">
        <f t="shared" si="6"/>
        <v>0</v>
      </c>
      <c r="BA56" s="2383">
        <f t="shared" si="6"/>
        <v>-311973970</v>
      </c>
      <c r="BB56" s="2383">
        <f t="shared" si="6"/>
        <v>0</v>
      </c>
      <c r="BC56" s="2379"/>
      <c r="BD56" s="2208"/>
      <c r="BE56" s="2242"/>
    </row>
    <row r="57" spans="1:57" ht="15" customHeight="1" outlineLevel="1">
      <c r="B57" s="2243"/>
      <c r="C57" s="2244"/>
      <c r="D57" s="2245"/>
      <c r="E57" s="2246"/>
      <c r="F57" s="2246"/>
      <c r="G57" s="2246"/>
      <c r="H57" s="2246"/>
      <c r="I57" s="2246"/>
      <c r="J57" s="2246"/>
      <c r="K57" s="2246"/>
      <c r="L57" s="2246"/>
      <c r="M57" s="2246"/>
      <c r="N57" s="2246"/>
      <c r="O57" s="2246"/>
      <c r="P57" s="2246"/>
      <c r="Q57" s="2246"/>
      <c r="R57" s="2246"/>
      <c r="S57" s="2246"/>
      <c r="T57" s="2246"/>
      <c r="U57" s="2246"/>
      <c r="V57" s="2246"/>
      <c r="W57" s="2246"/>
      <c r="X57" s="2246"/>
      <c r="Y57" s="2246"/>
      <c r="Z57" s="2246"/>
      <c r="AA57" s="2246"/>
      <c r="AB57" s="2246"/>
      <c r="AC57" s="2246"/>
      <c r="AD57" s="2246"/>
      <c r="AE57" s="2247"/>
      <c r="AF57" s="2246"/>
      <c r="AG57" s="2246"/>
      <c r="AH57" s="2246"/>
      <c r="AI57" s="2246"/>
      <c r="AJ57" s="2246"/>
      <c r="AK57" s="2246"/>
      <c r="AL57" s="2246"/>
      <c r="AM57" s="2246"/>
      <c r="AN57" s="2246"/>
      <c r="AO57" s="2246"/>
      <c r="AP57" s="2246"/>
      <c r="AQ57" s="2246"/>
      <c r="AR57" s="2246"/>
      <c r="AS57" s="2246"/>
      <c r="AT57" s="2246"/>
      <c r="AU57" s="2246"/>
      <c r="AV57" s="2246"/>
      <c r="AW57" s="2246"/>
      <c r="AX57" s="2246"/>
      <c r="AY57" s="2246"/>
      <c r="AZ57" s="2246"/>
      <c r="BA57" s="2246"/>
      <c r="BB57" s="2246"/>
      <c r="BC57" s="2248"/>
      <c r="BD57" s="2240"/>
    </row>
    <row r="58" spans="1:57" ht="18.75" customHeight="1" outlineLevel="1">
      <c r="B58" s="2249">
        <v>100.1</v>
      </c>
      <c r="C58" s="2250">
        <v>0</v>
      </c>
      <c r="D58" s="2251">
        <f>D41</f>
        <v>0</v>
      </c>
      <c r="E58" s="2252"/>
      <c r="F58" s="2252"/>
      <c r="G58" s="2252"/>
      <c r="H58" s="2253"/>
      <c r="I58" s="2253"/>
      <c r="J58" s="2253"/>
      <c r="K58" s="2253"/>
      <c r="L58" s="2253"/>
      <c r="M58" s="2253"/>
      <c r="N58" s="2253"/>
      <c r="O58" s="2253"/>
      <c r="P58" s="2253"/>
      <c r="Q58" s="2253"/>
      <c r="R58" s="2253"/>
      <c r="S58" s="2253"/>
      <c r="T58" s="2253"/>
      <c r="U58" s="2253"/>
      <c r="V58" s="2253"/>
      <c r="W58" s="2253"/>
      <c r="X58" s="2253"/>
      <c r="Y58" s="2253"/>
      <c r="Z58" s="2253"/>
      <c r="AA58" s="2253"/>
      <c r="AB58" s="2253"/>
      <c r="AC58" s="2253"/>
      <c r="AD58" s="2253"/>
      <c r="AE58" s="2254"/>
      <c r="AF58" s="2253"/>
      <c r="AG58" s="2253"/>
      <c r="AH58" s="2253"/>
      <c r="AI58" s="2253"/>
      <c r="AJ58" s="2253"/>
      <c r="AK58" s="2253"/>
      <c r="AL58" s="2253"/>
      <c r="AM58" s="2253"/>
      <c r="AN58" s="2253"/>
      <c r="AO58" s="2253"/>
      <c r="AP58" s="2253"/>
      <c r="AQ58" s="2253"/>
      <c r="AR58" s="2253"/>
      <c r="AS58" s="2253"/>
      <c r="AT58" s="2253"/>
      <c r="AU58" s="2253"/>
      <c r="AV58" s="2253"/>
      <c r="AW58" s="2253"/>
      <c r="AX58" s="2253"/>
      <c r="AY58" s="2253"/>
      <c r="AZ58" s="2253"/>
      <c r="BA58" s="2253"/>
      <c r="BB58" s="2253"/>
      <c r="BC58" s="2255"/>
      <c r="BD58" s="2240"/>
    </row>
    <row r="59" spans="1:57" ht="15" customHeight="1" outlineLevel="2">
      <c r="B59" s="2243"/>
      <c r="C59" s="2244" t="s">
        <v>1898</v>
      </c>
      <c r="D59" s="2245" t="s">
        <v>1899</v>
      </c>
      <c r="E59" s="2256">
        <v>252931</v>
      </c>
      <c r="F59" s="2256">
        <v>788138</v>
      </c>
      <c r="G59" s="2256">
        <v>1368156</v>
      </c>
      <c r="H59" s="2256">
        <v>2407058</v>
      </c>
      <c r="I59" s="2256">
        <v>4174455</v>
      </c>
      <c r="J59" s="2256">
        <v>6076104</v>
      </c>
      <c r="K59" s="2256">
        <v>9344763</v>
      </c>
      <c r="L59" s="2256">
        <v>13455269</v>
      </c>
      <c r="M59" s="2256">
        <v>16843056</v>
      </c>
      <c r="N59" s="2256">
        <v>25355592</v>
      </c>
      <c r="O59" s="2256">
        <v>33041302</v>
      </c>
      <c r="P59" s="2256">
        <v>39218241</v>
      </c>
      <c r="Q59" s="2256">
        <v>47423550</v>
      </c>
      <c r="R59" s="2256">
        <v>55608019</v>
      </c>
      <c r="S59" s="2256">
        <v>63560706</v>
      </c>
      <c r="T59" s="2256">
        <v>70540091</v>
      </c>
      <c r="U59" s="2256">
        <v>76980429</v>
      </c>
      <c r="V59" s="2256">
        <v>84273786</v>
      </c>
      <c r="W59" s="2256">
        <v>91584611</v>
      </c>
      <c r="X59" s="2256">
        <v>98582713</v>
      </c>
      <c r="Y59" s="2256">
        <v>106645474</v>
      </c>
      <c r="Z59" s="2256">
        <v>115777011</v>
      </c>
      <c r="AA59" s="2256">
        <v>125345957</v>
      </c>
      <c r="AB59" s="2256">
        <v>136828665</v>
      </c>
      <c r="AC59" s="2256">
        <v>150811073</v>
      </c>
      <c r="AD59" s="2256">
        <v>165222041</v>
      </c>
      <c r="AE59" s="2257">
        <v>178337593</v>
      </c>
      <c r="AF59" s="2256">
        <v>190708725</v>
      </c>
      <c r="AG59" s="2256">
        <v>202369002</v>
      </c>
      <c r="AH59" s="2256">
        <v>215633829</v>
      </c>
      <c r="AI59" s="2256">
        <v>229349657</v>
      </c>
      <c r="AJ59" s="2256">
        <v>242352591</v>
      </c>
      <c r="AK59" s="2256">
        <v>255855903</v>
      </c>
      <c r="AL59" s="2256">
        <v>268279095</v>
      </c>
      <c r="AM59" s="2256">
        <v>280034764</v>
      </c>
      <c r="AN59" s="2256">
        <v>291478861</v>
      </c>
      <c r="AO59" s="2256">
        <v>301924601</v>
      </c>
      <c r="AP59" s="2256">
        <v>311973970</v>
      </c>
      <c r="AQ59" s="2256">
        <v>322235866</v>
      </c>
      <c r="AR59" s="2256">
        <v>330337917</v>
      </c>
      <c r="AS59" s="2256">
        <v>337714866</v>
      </c>
      <c r="AT59" s="2256">
        <v>344585699</v>
      </c>
      <c r="AU59" s="2256">
        <v>349868606</v>
      </c>
      <c r="AV59" s="2256">
        <v>353035831</v>
      </c>
      <c r="AW59" s="2256">
        <v>354816856</v>
      </c>
      <c r="AX59" s="2256"/>
      <c r="AY59" s="2256"/>
      <c r="AZ59" s="2256">
        <v>0</v>
      </c>
      <c r="BA59" s="2256">
        <v>0</v>
      </c>
      <c r="BB59" s="2256">
        <v>0</v>
      </c>
      <c r="BC59" s="2258"/>
      <c r="BD59" s="2240"/>
    </row>
    <row r="60" spans="1:57" ht="15" customHeight="1" outlineLevel="2">
      <c r="B60" s="2243"/>
      <c r="C60" s="2244" t="s">
        <v>1900</v>
      </c>
      <c r="D60" s="2245"/>
      <c r="E60" s="2256">
        <v>0</v>
      </c>
      <c r="F60" s="2256"/>
      <c r="G60" s="2256"/>
      <c r="H60" s="2256"/>
      <c r="I60" s="2256"/>
      <c r="J60" s="2256"/>
      <c r="K60" s="2256"/>
      <c r="L60" s="2256"/>
      <c r="M60" s="2256"/>
      <c r="N60" s="2256"/>
      <c r="O60" s="2256"/>
      <c r="P60" s="2256"/>
      <c r="Q60" s="2256"/>
      <c r="R60" s="2256"/>
      <c r="S60" s="2256"/>
      <c r="T60" s="2256">
        <v>0</v>
      </c>
      <c r="U60" s="2256">
        <v>0</v>
      </c>
      <c r="V60" s="2256">
        <v>0</v>
      </c>
      <c r="W60" s="2256">
        <v>0</v>
      </c>
      <c r="X60" s="2256">
        <v>0</v>
      </c>
      <c r="Y60" s="2256">
        <v>0</v>
      </c>
      <c r="Z60" s="2256">
        <v>0</v>
      </c>
      <c r="AA60" s="2256">
        <v>0</v>
      </c>
      <c r="AB60" s="2256">
        <v>0</v>
      </c>
      <c r="AC60" s="2256">
        <v>0</v>
      </c>
      <c r="AD60" s="2256">
        <v>0</v>
      </c>
      <c r="AE60" s="2257">
        <v>0</v>
      </c>
      <c r="AF60" s="2256">
        <v>0</v>
      </c>
      <c r="AG60" s="2256">
        <v>0</v>
      </c>
      <c r="AH60" s="2256">
        <v>0</v>
      </c>
      <c r="AI60" s="2256">
        <v>0</v>
      </c>
      <c r="AJ60" s="2256">
        <v>0</v>
      </c>
      <c r="AK60" s="2256">
        <v>0</v>
      </c>
      <c r="AL60" s="2256">
        <v>0</v>
      </c>
      <c r="AM60" s="2256">
        <v>0</v>
      </c>
      <c r="AN60" s="2256">
        <v>0</v>
      </c>
      <c r="AO60" s="2256">
        <v>0</v>
      </c>
      <c r="AP60" s="2256">
        <v>0</v>
      </c>
      <c r="AQ60" s="2256">
        <v>0</v>
      </c>
      <c r="AR60" s="2256">
        <v>0</v>
      </c>
      <c r="AS60" s="2256">
        <v>0</v>
      </c>
      <c r="AT60" s="2256">
        <v>0</v>
      </c>
      <c r="AU60" s="2256">
        <v>0</v>
      </c>
      <c r="AV60" s="2256">
        <v>0</v>
      </c>
      <c r="AW60" s="2256">
        <v>0</v>
      </c>
      <c r="AX60" s="2256">
        <v>0</v>
      </c>
      <c r="AY60" s="2256">
        <v>0</v>
      </c>
      <c r="AZ60" s="2256">
        <v>0</v>
      </c>
      <c r="BA60" s="2256">
        <v>0</v>
      </c>
      <c r="BB60" s="2256">
        <v>0</v>
      </c>
      <c r="BC60" s="2258"/>
      <c r="BD60" s="2240"/>
    </row>
    <row r="61" spans="1:57" ht="15" customHeight="1" outlineLevel="2">
      <c r="B61" s="2243"/>
      <c r="C61" s="2244" t="s">
        <v>1901</v>
      </c>
      <c r="D61" s="2245" t="s">
        <v>1902</v>
      </c>
      <c r="E61" s="2256">
        <v>0</v>
      </c>
      <c r="F61" s="2256">
        <v>0</v>
      </c>
      <c r="G61" s="2256">
        <v>0</v>
      </c>
      <c r="H61" s="2256">
        <v>0</v>
      </c>
      <c r="I61" s="2256">
        <v>0</v>
      </c>
      <c r="J61" s="2256">
        <v>0</v>
      </c>
      <c r="K61" s="2256">
        <v>0</v>
      </c>
      <c r="L61" s="2256">
        <v>0</v>
      </c>
      <c r="M61" s="2256">
        <v>0</v>
      </c>
      <c r="N61" s="2256">
        <v>0</v>
      </c>
      <c r="O61" s="2256">
        <v>0</v>
      </c>
      <c r="P61" s="2256">
        <v>0</v>
      </c>
      <c r="Q61" s="2256">
        <v>0</v>
      </c>
      <c r="R61" s="2256">
        <v>0</v>
      </c>
      <c r="S61" s="2256">
        <v>0</v>
      </c>
      <c r="T61" s="2256">
        <v>0</v>
      </c>
      <c r="U61" s="2256">
        <v>0</v>
      </c>
      <c r="V61" s="2256">
        <v>0</v>
      </c>
      <c r="W61" s="2256">
        <v>0</v>
      </c>
      <c r="X61" s="2256">
        <v>0</v>
      </c>
      <c r="Y61" s="2256">
        <v>0</v>
      </c>
      <c r="Z61" s="2256">
        <v>0</v>
      </c>
      <c r="AA61" s="2256">
        <v>0</v>
      </c>
      <c r="AB61" s="2256">
        <v>0</v>
      </c>
      <c r="AC61" s="2256">
        <v>0</v>
      </c>
      <c r="AD61" s="2256">
        <v>0</v>
      </c>
      <c r="AE61" s="2257">
        <v>0</v>
      </c>
      <c r="AF61" s="2256">
        <v>0</v>
      </c>
      <c r="AG61" s="2256">
        <v>0</v>
      </c>
      <c r="AH61" s="2256">
        <v>0</v>
      </c>
      <c r="AI61" s="2256">
        <v>0</v>
      </c>
      <c r="AJ61" s="2256">
        <v>0</v>
      </c>
      <c r="AK61" s="2256">
        <v>0</v>
      </c>
      <c r="AL61" s="2256">
        <v>0</v>
      </c>
      <c r="AM61" s="2256">
        <v>0</v>
      </c>
      <c r="AN61" s="2256">
        <v>0</v>
      </c>
      <c r="AO61" s="2256">
        <v>0</v>
      </c>
      <c r="AP61" s="2256">
        <v>0</v>
      </c>
      <c r="AQ61" s="2256">
        <v>0</v>
      </c>
      <c r="AR61" s="2256">
        <v>0</v>
      </c>
      <c r="AS61" s="2256">
        <v>0</v>
      </c>
      <c r="AT61" s="2256">
        <v>0</v>
      </c>
      <c r="AU61" s="2256">
        <v>0</v>
      </c>
      <c r="AV61" s="2256">
        <v>0</v>
      </c>
      <c r="AW61" s="2256">
        <v>0</v>
      </c>
      <c r="AX61" s="2256">
        <v>0</v>
      </c>
      <c r="AY61" s="2256">
        <v>0</v>
      </c>
      <c r="AZ61" s="2256">
        <v>0</v>
      </c>
      <c r="BA61" s="2256">
        <v>0</v>
      </c>
      <c r="BB61" s="2256">
        <v>0</v>
      </c>
      <c r="BC61" s="2258"/>
      <c r="BD61" s="2240"/>
    </row>
    <row r="62" spans="1:57" ht="15" customHeight="1" outlineLevel="2">
      <c r="B62" s="2243"/>
      <c r="C62" s="2244" t="s">
        <v>1903</v>
      </c>
      <c r="D62" s="2245" t="s">
        <v>1904</v>
      </c>
      <c r="E62" s="2256">
        <v>0</v>
      </c>
      <c r="F62" s="2256">
        <v>0</v>
      </c>
      <c r="G62" s="2256">
        <v>0</v>
      </c>
      <c r="H62" s="2256">
        <v>0</v>
      </c>
      <c r="I62" s="2256">
        <v>0</v>
      </c>
      <c r="J62" s="2256">
        <v>0</v>
      </c>
      <c r="K62" s="2256">
        <v>0</v>
      </c>
      <c r="L62" s="2256">
        <v>0</v>
      </c>
      <c r="M62" s="2256">
        <v>0</v>
      </c>
      <c r="N62" s="2256">
        <v>0</v>
      </c>
      <c r="O62" s="2256">
        <v>0</v>
      </c>
      <c r="P62" s="2256">
        <v>0</v>
      </c>
      <c r="Q62" s="2256">
        <v>0</v>
      </c>
      <c r="R62" s="2256">
        <v>0</v>
      </c>
      <c r="S62" s="2256">
        <v>0</v>
      </c>
      <c r="T62" s="2256">
        <v>0</v>
      </c>
      <c r="U62" s="2256">
        <v>0</v>
      </c>
      <c r="V62" s="2256">
        <v>0</v>
      </c>
      <c r="W62" s="2256">
        <v>0</v>
      </c>
      <c r="X62" s="2256">
        <v>0</v>
      </c>
      <c r="Y62" s="2256">
        <v>0</v>
      </c>
      <c r="Z62" s="2256">
        <v>0</v>
      </c>
      <c r="AA62" s="2256">
        <v>0</v>
      </c>
      <c r="AB62" s="2256">
        <v>0</v>
      </c>
      <c r="AC62" s="2256">
        <v>0</v>
      </c>
      <c r="AD62" s="2256">
        <v>0</v>
      </c>
      <c r="AE62" s="2257">
        <v>0</v>
      </c>
      <c r="AF62" s="2256">
        <v>0</v>
      </c>
      <c r="AG62" s="2256">
        <v>0</v>
      </c>
      <c r="AH62" s="2256">
        <v>0</v>
      </c>
      <c r="AI62" s="2256">
        <v>0</v>
      </c>
      <c r="AJ62" s="2256">
        <v>0</v>
      </c>
      <c r="AK62" s="2256">
        <v>0</v>
      </c>
      <c r="AL62" s="2256">
        <v>0</v>
      </c>
      <c r="AM62" s="2256">
        <v>0</v>
      </c>
      <c r="AN62" s="2256">
        <v>0</v>
      </c>
      <c r="AO62" s="2256">
        <v>0</v>
      </c>
      <c r="AP62" s="2256">
        <v>0</v>
      </c>
      <c r="AQ62" s="2256">
        <v>0</v>
      </c>
      <c r="AR62" s="2256">
        <v>0</v>
      </c>
      <c r="AS62" s="2256">
        <v>0</v>
      </c>
      <c r="AT62" s="2256">
        <v>0</v>
      </c>
      <c r="AU62" s="2256">
        <v>0</v>
      </c>
      <c r="AV62" s="2256">
        <v>0</v>
      </c>
      <c r="AW62" s="2256">
        <v>0</v>
      </c>
      <c r="AX62" s="2256">
        <v>0</v>
      </c>
      <c r="AY62" s="2256">
        <v>0</v>
      </c>
      <c r="AZ62" s="2256">
        <v>0</v>
      </c>
      <c r="BA62" s="2256">
        <v>0</v>
      </c>
      <c r="BB62" s="2256">
        <v>0</v>
      </c>
      <c r="BC62" s="2258"/>
      <c r="BD62" s="2240"/>
    </row>
    <row r="63" spans="1:57" s="2203" customFormat="1" ht="15" customHeight="1" outlineLevel="2">
      <c r="B63" s="2259"/>
      <c r="C63" s="2260" t="s">
        <v>1905</v>
      </c>
      <c r="D63" s="2261" t="s">
        <v>1906</v>
      </c>
      <c r="E63" s="2262">
        <f t="shared" ref="E63:BA63" si="7">E59+E60+E61+E62</f>
        <v>252931</v>
      </c>
      <c r="F63" s="2262">
        <f t="shared" si="7"/>
        <v>788138</v>
      </c>
      <c r="G63" s="2262">
        <f>G59+G60+G61+G62</f>
        <v>1368156</v>
      </c>
      <c r="H63" s="2262">
        <f t="shared" si="7"/>
        <v>2407058</v>
      </c>
      <c r="I63" s="2262">
        <f t="shared" si="7"/>
        <v>4174455</v>
      </c>
      <c r="J63" s="2262">
        <f t="shared" si="7"/>
        <v>6076104</v>
      </c>
      <c r="K63" s="2262">
        <f t="shared" si="7"/>
        <v>9344763</v>
      </c>
      <c r="L63" s="2262">
        <f t="shared" si="7"/>
        <v>13455269</v>
      </c>
      <c r="M63" s="2262">
        <f t="shared" si="7"/>
        <v>16843056</v>
      </c>
      <c r="N63" s="2262">
        <f t="shared" si="7"/>
        <v>25355592</v>
      </c>
      <c r="O63" s="2262">
        <f t="shared" si="7"/>
        <v>33041302</v>
      </c>
      <c r="P63" s="2262">
        <f t="shared" si="7"/>
        <v>39218241</v>
      </c>
      <c r="Q63" s="2262">
        <f t="shared" si="7"/>
        <v>47423550</v>
      </c>
      <c r="R63" s="2262">
        <f t="shared" si="7"/>
        <v>55608019</v>
      </c>
      <c r="S63" s="2262">
        <f t="shared" si="7"/>
        <v>63560706</v>
      </c>
      <c r="T63" s="2262">
        <f t="shared" si="7"/>
        <v>70540091</v>
      </c>
      <c r="U63" s="2262">
        <f t="shared" si="7"/>
        <v>76980429</v>
      </c>
      <c r="V63" s="2262">
        <f t="shared" si="7"/>
        <v>84273786</v>
      </c>
      <c r="W63" s="2262">
        <f t="shared" si="7"/>
        <v>91584611</v>
      </c>
      <c r="X63" s="2262">
        <f t="shared" si="7"/>
        <v>98582713</v>
      </c>
      <c r="Y63" s="2262">
        <f t="shared" si="7"/>
        <v>106645474</v>
      </c>
      <c r="Z63" s="2262">
        <f t="shared" si="7"/>
        <v>115777011</v>
      </c>
      <c r="AA63" s="2262">
        <f t="shared" si="7"/>
        <v>125345957</v>
      </c>
      <c r="AB63" s="2262">
        <f t="shared" si="7"/>
        <v>136828665</v>
      </c>
      <c r="AC63" s="2262">
        <f t="shared" si="7"/>
        <v>150811073</v>
      </c>
      <c r="AD63" s="2262">
        <f t="shared" si="7"/>
        <v>165222041</v>
      </c>
      <c r="AE63" s="2263">
        <f t="shared" si="7"/>
        <v>178337593</v>
      </c>
      <c r="AF63" s="2262">
        <f t="shared" si="7"/>
        <v>190708725</v>
      </c>
      <c r="AG63" s="2262">
        <f t="shared" si="7"/>
        <v>202369002</v>
      </c>
      <c r="AH63" s="2262">
        <f t="shared" si="7"/>
        <v>215633829</v>
      </c>
      <c r="AI63" s="2262">
        <f t="shared" si="7"/>
        <v>229349657</v>
      </c>
      <c r="AJ63" s="2262">
        <f t="shared" si="7"/>
        <v>242352591</v>
      </c>
      <c r="AK63" s="2262">
        <f t="shared" si="7"/>
        <v>255855903</v>
      </c>
      <c r="AL63" s="2262">
        <f t="shared" si="7"/>
        <v>268279095</v>
      </c>
      <c r="AM63" s="2262">
        <f t="shared" si="7"/>
        <v>280034764</v>
      </c>
      <c r="AN63" s="2262">
        <f t="shared" si="7"/>
        <v>291478861</v>
      </c>
      <c r="AO63" s="2262">
        <f t="shared" si="7"/>
        <v>301924601</v>
      </c>
      <c r="AP63" s="2262">
        <f t="shared" si="7"/>
        <v>311973970</v>
      </c>
      <c r="AQ63" s="2262">
        <f t="shared" si="7"/>
        <v>322235866</v>
      </c>
      <c r="AR63" s="2262">
        <f t="shared" si="7"/>
        <v>330337917</v>
      </c>
      <c r="AS63" s="2262">
        <f t="shared" si="7"/>
        <v>337714866</v>
      </c>
      <c r="AT63" s="2262">
        <f t="shared" si="7"/>
        <v>344585699</v>
      </c>
      <c r="AU63" s="2262">
        <f t="shared" si="7"/>
        <v>349868606</v>
      </c>
      <c r="AV63" s="2262">
        <f t="shared" si="7"/>
        <v>353035831</v>
      </c>
      <c r="AW63" s="2262">
        <f t="shared" si="7"/>
        <v>354816856</v>
      </c>
      <c r="AX63" s="2262">
        <f t="shared" si="7"/>
        <v>0</v>
      </c>
      <c r="AY63" s="2262">
        <f t="shared" si="7"/>
        <v>0</v>
      </c>
      <c r="AZ63" s="2262">
        <f t="shared" si="7"/>
        <v>0</v>
      </c>
      <c r="BA63" s="2262">
        <f t="shared" si="7"/>
        <v>0</v>
      </c>
      <c r="BB63" s="2262">
        <f>BB59+BB60+BB61+BB62</f>
        <v>0</v>
      </c>
      <c r="BC63" s="2264"/>
      <c r="BD63" s="2208"/>
    </row>
    <row r="64" spans="1:57" ht="15" customHeight="1" outlineLevel="2">
      <c r="B64" s="2243"/>
      <c r="C64" s="2260" t="s">
        <v>1907</v>
      </c>
      <c r="D64" s="2261" t="s">
        <v>1908</v>
      </c>
      <c r="E64" s="2262">
        <f>E59*0</f>
        <v>0</v>
      </c>
      <c r="F64" s="2262">
        <v>0</v>
      </c>
      <c r="G64" s="2262">
        <f>G59*0</f>
        <v>0</v>
      </c>
      <c r="H64" s="2262">
        <f t="shared" ref="H64:BB64" si="8">H59*0</f>
        <v>0</v>
      </c>
      <c r="I64" s="2262">
        <f t="shared" si="8"/>
        <v>0</v>
      </c>
      <c r="J64" s="2262">
        <f t="shared" si="8"/>
        <v>0</v>
      </c>
      <c r="K64" s="2262">
        <f t="shared" si="8"/>
        <v>0</v>
      </c>
      <c r="L64" s="2262">
        <f t="shared" si="8"/>
        <v>0</v>
      </c>
      <c r="M64" s="2262">
        <f t="shared" si="8"/>
        <v>0</v>
      </c>
      <c r="N64" s="2262">
        <f t="shared" si="8"/>
        <v>0</v>
      </c>
      <c r="O64" s="2262">
        <f t="shared" si="8"/>
        <v>0</v>
      </c>
      <c r="P64" s="2262">
        <f t="shared" si="8"/>
        <v>0</v>
      </c>
      <c r="Q64" s="2262">
        <f t="shared" si="8"/>
        <v>0</v>
      </c>
      <c r="R64" s="2262">
        <f t="shared" si="8"/>
        <v>0</v>
      </c>
      <c r="S64" s="2262">
        <f t="shared" si="8"/>
        <v>0</v>
      </c>
      <c r="T64" s="2262">
        <f t="shared" si="8"/>
        <v>0</v>
      </c>
      <c r="U64" s="2262">
        <f t="shared" si="8"/>
        <v>0</v>
      </c>
      <c r="V64" s="2262">
        <f t="shared" si="8"/>
        <v>0</v>
      </c>
      <c r="W64" s="2262">
        <f t="shared" si="8"/>
        <v>0</v>
      </c>
      <c r="X64" s="2262">
        <f t="shared" si="8"/>
        <v>0</v>
      </c>
      <c r="Y64" s="2262">
        <f t="shared" si="8"/>
        <v>0</v>
      </c>
      <c r="Z64" s="2262">
        <f t="shared" si="8"/>
        <v>0</v>
      </c>
      <c r="AA64" s="2262">
        <f t="shared" si="8"/>
        <v>0</v>
      </c>
      <c r="AB64" s="2262">
        <f t="shared" si="8"/>
        <v>0</v>
      </c>
      <c r="AC64" s="2262">
        <f t="shared" si="8"/>
        <v>0</v>
      </c>
      <c r="AD64" s="2262">
        <f t="shared" si="8"/>
        <v>0</v>
      </c>
      <c r="AE64" s="2262">
        <f t="shared" si="8"/>
        <v>0</v>
      </c>
      <c r="AF64" s="2262">
        <f t="shared" si="8"/>
        <v>0</v>
      </c>
      <c r="AG64" s="2262">
        <f t="shared" si="8"/>
        <v>0</v>
      </c>
      <c r="AH64" s="2262">
        <f t="shared" si="8"/>
        <v>0</v>
      </c>
      <c r="AI64" s="2262">
        <f t="shared" si="8"/>
        <v>0</v>
      </c>
      <c r="AJ64" s="2262">
        <f t="shared" si="8"/>
        <v>0</v>
      </c>
      <c r="AK64" s="2262">
        <f t="shared" si="8"/>
        <v>0</v>
      </c>
      <c r="AL64" s="2262">
        <f t="shared" si="8"/>
        <v>0</v>
      </c>
      <c r="AM64" s="2262">
        <f t="shared" si="8"/>
        <v>0</v>
      </c>
      <c r="AN64" s="2262">
        <f t="shared" si="8"/>
        <v>0</v>
      </c>
      <c r="AO64" s="2262">
        <f t="shared" si="8"/>
        <v>0</v>
      </c>
      <c r="AP64" s="2262">
        <f t="shared" si="8"/>
        <v>0</v>
      </c>
      <c r="AQ64" s="2262">
        <f t="shared" si="8"/>
        <v>0</v>
      </c>
      <c r="AR64" s="2262">
        <f t="shared" si="8"/>
        <v>0</v>
      </c>
      <c r="AS64" s="2262">
        <f t="shared" si="8"/>
        <v>0</v>
      </c>
      <c r="AT64" s="2262">
        <f t="shared" si="8"/>
        <v>0</v>
      </c>
      <c r="AU64" s="2262">
        <f t="shared" si="8"/>
        <v>0</v>
      </c>
      <c r="AV64" s="2262">
        <f t="shared" si="8"/>
        <v>0</v>
      </c>
      <c r="AW64" s="2262">
        <f t="shared" si="8"/>
        <v>0</v>
      </c>
      <c r="AX64" s="2262">
        <f t="shared" si="8"/>
        <v>0</v>
      </c>
      <c r="AY64" s="2262">
        <f t="shared" si="8"/>
        <v>0</v>
      </c>
      <c r="AZ64" s="2262">
        <f t="shared" si="8"/>
        <v>0</v>
      </c>
      <c r="BA64" s="2262">
        <f t="shared" si="8"/>
        <v>0</v>
      </c>
      <c r="BB64" s="2262">
        <f t="shared" si="8"/>
        <v>0</v>
      </c>
      <c r="BC64" s="2258"/>
      <c r="BD64" s="2240"/>
    </row>
    <row r="65" spans="2:56" ht="15" customHeight="1" outlineLevel="2">
      <c r="B65" s="2243"/>
      <c r="C65" s="2244" t="s">
        <v>1579</v>
      </c>
      <c r="D65" s="2245" t="s">
        <v>1909</v>
      </c>
      <c r="E65" s="2256">
        <v>0</v>
      </c>
      <c r="F65" s="2256">
        <v>0</v>
      </c>
      <c r="G65" s="2256">
        <v>0</v>
      </c>
      <c r="H65" s="2256">
        <v>0</v>
      </c>
      <c r="I65" s="2256">
        <v>0</v>
      </c>
      <c r="J65" s="2256">
        <v>0</v>
      </c>
      <c r="K65" s="2256">
        <v>0</v>
      </c>
      <c r="L65" s="2256">
        <v>0</v>
      </c>
      <c r="M65" s="2256">
        <v>0</v>
      </c>
      <c r="N65" s="2256">
        <v>0</v>
      </c>
      <c r="O65" s="2256">
        <v>0</v>
      </c>
      <c r="P65" s="2256">
        <v>0</v>
      </c>
      <c r="Q65" s="2256">
        <v>0</v>
      </c>
      <c r="R65" s="2256">
        <v>0</v>
      </c>
      <c r="S65" s="2256">
        <v>0</v>
      </c>
      <c r="T65" s="2256">
        <v>0</v>
      </c>
      <c r="U65" s="2256">
        <f>T65</f>
        <v>0</v>
      </c>
      <c r="V65" s="2256">
        <f t="shared" ref="V65:BB65" si="9">U65</f>
        <v>0</v>
      </c>
      <c r="W65" s="2256">
        <v>0</v>
      </c>
      <c r="X65" s="2256">
        <f t="shared" si="9"/>
        <v>0</v>
      </c>
      <c r="Y65" s="2256">
        <f t="shared" si="9"/>
        <v>0</v>
      </c>
      <c r="Z65" s="2256">
        <f t="shared" si="9"/>
        <v>0</v>
      </c>
      <c r="AA65" s="2256">
        <f t="shared" si="9"/>
        <v>0</v>
      </c>
      <c r="AB65" s="2256">
        <f t="shared" si="9"/>
        <v>0</v>
      </c>
      <c r="AC65" s="2256">
        <f t="shared" si="9"/>
        <v>0</v>
      </c>
      <c r="AD65" s="2256">
        <f t="shared" si="9"/>
        <v>0</v>
      </c>
      <c r="AE65" s="2257">
        <f t="shared" si="9"/>
        <v>0</v>
      </c>
      <c r="AF65" s="2256">
        <f>AE65</f>
        <v>0</v>
      </c>
      <c r="AG65" s="2256">
        <f t="shared" si="9"/>
        <v>0</v>
      </c>
      <c r="AH65" s="2256">
        <f t="shared" si="9"/>
        <v>0</v>
      </c>
      <c r="AI65" s="2256">
        <f t="shared" si="9"/>
        <v>0</v>
      </c>
      <c r="AJ65" s="2256">
        <f t="shared" si="9"/>
        <v>0</v>
      </c>
      <c r="AK65" s="2256">
        <f t="shared" si="9"/>
        <v>0</v>
      </c>
      <c r="AL65" s="2256">
        <f t="shared" si="9"/>
        <v>0</v>
      </c>
      <c r="AM65" s="2256">
        <f t="shared" si="9"/>
        <v>0</v>
      </c>
      <c r="AN65" s="2256">
        <f t="shared" si="9"/>
        <v>0</v>
      </c>
      <c r="AO65" s="2256">
        <f t="shared" si="9"/>
        <v>0</v>
      </c>
      <c r="AP65" s="2256">
        <f t="shared" si="9"/>
        <v>0</v>
      </c>
      <c r="AQ65" s="2256">
        <f t="shared" si="9"/>
        <v>0</v>
      </c>
      <c r="AR65" s="2256">
        <f t="shared" si="9"/>
        <v>0</v>
      </c>
      <c r="AS65" s="2256">
        <f t="shared" si="9"/>
        <v>0</v>
      </c>
      <c r="AT65" s="2256">
        <f t="shared" si="9"/>
        <v>0</v>
      </c>
      <c r="AU65" s="2256">
        <f t="shared" si="9"/>
        <v>0</v>
      </c>
      <c r="AV65" s="2256">
        <f t="shared" si="9"/>
        <v>0</v>
      </c>
      <c r="AW65" s="2256">
        <f t="shared" si="9"/>
        <v>0</v>
      </c>
      <c r="AX65" s="2256">
        <f t="shared" si="9"/>
        <v>0</v>
      </c>
      <c r="AY65" s="2256">
        <f t="shared" si="9"/>
        <v>0</v>
      </c>
      <c r="AZ65" s="2256">
        <f t="shared" si="9"/>
        <v>0</v>
      </c>
      <c r="BA65" s="2256">
        <f>AP65</f>
        <v>0</v>
      </c>
      <c r="BB65" s="2256">
        <f t="shared" si="9"/>
        <v>0</v>
      </c>
      <c r="BC65" s="2258"/>
      <c r="BD65" s="2240"/>
    </row>
    <row r="66" spans="2:56" s="2203" customFormat="1" ht="15" customHeight="1" outlineLevel="2">
      <c r="B66" s="2259"/>
      <c r="C66" s="2260" t="s">
        <v>1910</v>
      </c>
      <c r="D66" s="2261" t="s">
        <v>1911</v>
      </c>
      <c r="E66" s="2262">
        <f t="shared" ref="E66:BB66" si="10">E63+E64+E65</f>
        <v>252931</v>
      </c>
      <c r="F66" s="2262">
        <f t="shared" si="10"/>
        <v>788138</v>
      </c>
      <c r="G66" s="2262">
        <f>G63+G64+G65</f>
        <v>1368156</v>
      </c>
      <c r="H66" s="2262">
        <f t="shared" si="10"/>
        <v>2407058</v>
      </c>
      <c r="I66" s="2262">
        <f t="shared" si="10"/>
        <v>4174455</v>
      </c>
      <c r="J66" s="2262">
        <f t="shared" si="10"/>
        <v>6076104</v>
      </c>
      <c r="K66" s="2262">
        <f t="shared" si="10"/>
        <v>9344763</v>
      </c>
      <c r="L66" s="2262">
        <f t="shared" si="10"/>
        <v>13455269</v>
      </c>
      <c r="M66" s="2262">
        <f t="shared" si="10"/>
        <v>16843056</v>
      </c>
      <c r="N66" s="2262">
        <f t="shared" si="10"/>
        <v>25355592</v>
      </c>
      <c r="O66" s="2262">
        <f t="shared" si="10"/>
        <v>33041302</v>
      </c>
      <c r="P66" s="2262">
        <f t="shared" si="10"/>
        <v>39218241</v>
      </c>
      <c r="Q66" s="2262">
        <f t="shared" si="10"/>
        <v>47423550</v>
      </c>
      <c r="R66" s="2262">
        <f t="shared" si="10"/>
        <v>55608019</v>
      </c>
      <c r="S66" s="2262">
        <f t="shared" si="10"/>
        <v>63560706</v>
      </c>
      <c r="T66" s="2262">
        <f t="shared" si="10"/>
        <v>70540091</v>
      </c>
      <c r="U66" s="2262">
        <f t="shared" si="10"/>
        <v>76980429</v>
      </c>
      <c r="V66" s="2262">
        <f t="shared" si="10"/>
        <v>84273786</v>
      </c>
      <c r="W66" s="2262">
        <f t="shared" si="10"/>
        <v>91584611</v>
      </c>
      <c r="X66" s="2262">
        <f t="shared" si="10"/>
        <v>98582713</v>
      </c>
      <c r="Y66" s="2262">
        <f t="shared" si="10"/>
        <v>106645474</v>
      </c>
      <c r="Z66" s="2262">
        <f t="shared" si="10"/>
        <v>115777011</v>
      </c>
      <c r="AA66" s="2262">
        <f t="shared" si="10"/>
        <v>125345957</v>
      </c>
      <c r="AB66" s="2262">
        <f t="shared" si="10"/>
        <v>136828665</v>
      </c>
      <c r="AC66" s="2262">
        <f t="shared" si="10"/>
        <v>150811073</v>
      </c>
      <c r="AD66" s="2262">
        <f t="shared" si="10"/>
        <v>165222041</v>
      </c>
      <c r="AE66" s="2263">
        <f t="shared" si="10"/>
        <v>178337593</v>
      </c>
      <c r="AF66" s="2262">
        <f t="shared" si="10"/>
        <v>190708725</v>
      </c>
      <c r="AG66" s="2262">
        <f t="shared" si="10"/>
        <v>202369002</v>
      </c>
      <c r="AH66" s="2262">
        <f t="shared" si="10"/>
        <v>215633829</v>
      </c>
      <c r="AI66" s="2262">
        <f t="shared" si="10"/>
        <v>229349657</v>
      </c>
      <c r="AJ66" s="2262">
        <f t="shared" si="10"/>
        <v>242352591</v>
      </c>
      <c r="AK66" s="2262">
        <f t="shared" si="10"/>
        <v>255855903</v>
      </c>
      <c r="AL66" s="2262">
        <f t="shared" si="10"/>
        <v>268279095</v>
      </c>
      <c r="AM66" s="2262">
        <f t="shared" si="10"/>
        <v>280034764</v>
      </c>
      <c r="AN66" s="2262">
        <f t="shared" si="10"/>
        <v>291478861</v>
      </c>
      <c r="AO66" s="2262">
        <f t="shared" si="10"/>
        <v>301924601</v>
      </c>
      <c r="AP66" s="2262">
        <f t="shared" si="10"/>
        <v>311973970</v>
      </c>
      <c r="AQ66" s="2262">
        <f t="shared" si="10"/>
        <v>322235866</v>
      </c>
      <c r="AR66" s="2262">
        <f t="shared" si="10"/>
        <v>330337917</v>
      </c>
      <c r="AS66" s="2262">
        <f t="shared" si="10"/>
        <v>337714866</v>
      </c>
      <c r="AT66" s="2262">
        <f t="shared" si="10"/>
        <v>344585699</v>
      </c>
      <c r="AU66" s="2262">
        <f t="shared" si="10"/>
        <v>349868606</v>
      </c>
      <c r="AV66" s="2262">
        <f t="shared" si="10"/>
        <v>353035831</v>
      </c>
      <c r="AW66" s="2262">
        <f t="shared" si="10"/>
        <v>354816856</v>
      </c>
      <c r="AX66" s="2262">
        <f t="shared" si="10"/>
        <v>0</v>
      </c>
      <c r="AY66" s="2262">
        <f t="shared" si="10"/>
        <v>0</v>
      </c>
      <c r="AZ66" s="2262">
        <f t="shared" si="10"/>
        <v>0</v>
      </c>
      <c r="BA66" s="2262">
        <f t="shared" si="10"/>
        <v>0</v>
      </c>
      <c r="BB66" s="2262">
        <f t="shared" si="10"/>
        <v>0</v>
      </c>
      <c r="BC66" s="2264"/>
      <c r="BD66" s="2208"/>
    </row>
    <row r="67" spans="2:56" ht="15" customHeight="1" outlineLevel="2">
      <c r="B67" s="2243"/>
      <c r="C67" s="2260" t="s">
        <v>1912</v>
      </c>
      <c r="D67" s="2261" t="s">
        <v>1913</v>
      </c>
      <c r="E67" s="2262">
        <f>+E63*0</f>
        <v>0</v>
      </c>
      <c r="F67" s="2262">
        <f>+F63*0</f>
        <v>0</v>
      </c>
      <c r="G67" s="2262">
        <f t="shared" ref="G67:BB67" si="11">+G63*0</f>
        <v>0</v>
      </c>
      <c r="H67" s="2262">
        <f t="shared" si="11"/>
        <v>0</v>
      </c>
      <c r="I67" s="2262">
        <f t="shared" si="11"/>
        <v>0</v>
      </c>
      <c r="J67" s="2262">
        <f t="shared" si="11"/>
        <v>0</v>
      </c>
      <c r="K67" s="2262">
        <f t="shared" si="11"/>
        <v>0</v>
      </c>
      <c r="L67" s="2262">
        <f t="shared" si="11"/>
        <v>0</v>
      </c>
      <c r="M67" s="2262">
        <f t="shared" si="11"/>
        <v>0</v>
      </c>
      <c r="N67" s="2262">
        <f t="shared" si="11"/>
        <v>0</v>
      </c>
      <c r="O67" s="2262">
        <f t="shared" si="11"/>
        <v>0</v>
      </c>
      <c r="P67" s="2262">
        <f t="shared" si="11"/>
        <v>0</v>
      </c>
      <c r="Q67" s="2262">
        <f t="shared" si="11"/>
        <v>0</v>
      </c>
      <c r="R67" s="2262">
        <f t="shared" si="11"/>
        <v>0</v>
      </c>
      <c r="S67" s="2262">
        <f t="shared" si="11"/>
        <v>0</v>
      </c>
      <c r="T67" s="2262">
        <f t="shared" si="11"/>
        <v>0</v>
      </c>
      <c r="U67" s="2262">
        <f t="shared" si="11"/>
        <v>0</v>
      </c>
      <c r="V67" s="2262">
        <f t="shared" si="11"/>
        <v>0</v>
      </c>
      <c r="W67" s="2262">
        <f t="shared" si="11"/>
        <v>0</v>
      </c>
      <c r="X67" s="2262">
        <f t="shared" si="11"/>
        <v>0</v>
      </c>
      <c r="Y67" s="2262">
        <f t="shared" si="11"/>
        <v>0</v>
      </c>
      <c r="Z67" s="2262">
        <f t="shared" si="11"/>
        <v>0</v>
      </c>
      <c r="AA67" s="2262">
        <f t="shared" si="11"/>
        <v>0</v>
      </c>
      <c r="AB67" s="2262">
        <f t="shared" si="11"/>
        <v>0</v>
      </c>
      <c r="AC67" s="2262">
        <f t="shared" si="11"/>
        <v>0</v>
      </c>
      <c r="AD67" s="2262">
        <f t="shared" si="11"/>
        <v>0</v>
      </c>
      <c r="AE67" s="2262">
        <f t="shared" si="11"/>
        <v>0</v>
      </c>
      <c r="AF67" s="2262">
        <f t="shared" si="11"/>
        <v>0</v>
      </c>
      <c r="AG67" s="2262">
        <f t="shared" si="11"/>
        <v>0</v>
      </c>
      <c r="AH67" s="2262">
        <f t="shared" si="11"/>
        <v>0</v>
      </c>
      <c r="AI67" s="2262">
        <f t="shared" si="11"/>
        <v>0</v>
      </c>
      <c r="AJ67" s="2262">
        <f t="shared" si="11"/>
        <v>0</v>
      </c>
      <c r="AK67" s="2262">
        <f t="shared" si="11"/>
        <v>0</v>
      </c>
      <c r="AL67" s="2262">
        <f t="shared" si="11"/>
        <v>0</v>
      </c>
      <c r="AM67" s="2262">
        <f t="shared" si="11"/>
        <v>0</v>
      </c>
      <c r="AN67" s="2262">
        <f t="shared" si="11"/>
        <v>0</v>
      </c>
      <c r="AO67" s="2262">
        <f t="shared" si="11"/>
        <v>0</v>
      </c>
      <c r="AP67" s="2262">
        <f t="shared" si="11"/>
        <v>0</v>
      </c>
      <c r="AQ67" s="2262">
        <f t="shared" si="11"/>
        <v>0</v>
      </c>
      <c r="AR67" s="2262">
        <f t="shared" si="11"/>
        <v>0</v>
      </c>
      <c r="AS67" s="2262">
        <f t="shared" si="11"/>
        <v>0</v>
      </c>
      <c r="AT67" s="2262">
        <f t="shared" si="11"/>
        <v>0</v>
      </c>
      <c r="AU67" s="2262">
        <f t="shared" si="11"/>
        <v>0</v>
      </c>
      <c r="AV67" s="2262">
        <f t="shared" si="11"/>
        <v>0</v>
      </c>
      <c r="AW67" s="2262">
        <f t="shared" si="11"/>
        <v>0</v>
      </c>
      <c r="AX67" s="2262">
        <f t="shared" si="11"/>
        <v>0</v>
      </c>
      <c r="AY67" s="2262">
        <f t="shared" si="11"/>
        <v>0</v>
      </c>
      <c r="AZ67" s="2262">
        <f t="shared" si="11"/>
        <v>0</v>
      </c>
      <c r="BA67" s="2262">
        <f t="shared" si="11"/>
        <v>0</v>
      </c>
      <c r="BB67" s="2262">
        <f t="shared" si="11"/>
        <v>0</v>
      </c>
      <c r="BC67" s="2258"/>
      <c r="BD67" s="2240"/>
    </row>
    <row r="68" spans="2:56" ht="15" customHeight="1" outlineLevel="2">
      <c r="B68" s="2243"/>
      <c r="C68" s="2244" t="s">
        <v>1914</v>
      </c>
      <c r="D68" s="2245" t="s">
        <v>1915</v>
      </c>
      <c r="E68" s="2256">
        <v>0</v>
      </c>
      <c r="F68" s="2256">
        <v>0</v>
      </c>
      <c r="G68" s="2256">
        <v>0</v>
      </c>
      <c r="H68" s="2256">
        <v>0</v>
      </c>
      <c r="I68" s="2256">
        <v>0</v>
      </c>
      <c r="J68" s="2256">
        <v>0</v>
      </c>
      <c r="K68" s="2256">
        <v>0</v>
      </c>
      <c r="L68" s="2256">
        <v>0</v>
      </c>
      <c r="M68" s="2256">
        <v>0</v>
      </c>
      <c r="N68" s="2256">
        <v>0</v>
      </c>
      <c r="O68" s="2256">
        <v>0</v>
      </c>
      <c r="P68" s="2256">
        <v>0</v>
      </c>
      <c r="Q68" s="2256">
        <v>0</v>
      </c>
      <c r="R68" s="2256">
        <v>0</v>
      </c>
      <c r="S68" s="2256">
        <v>0</v>
      </c>
      <c r="T68" s="2256">
        <v>0</v>
      </c>
      <c r="U68" s="2256">
        <v>0</v>
      </c>
      <c r="V68" s="2256">
        <v>0</v>
      </c>
      <c r="W68" s="2256">
        <v>0</v>
      </c>
      <c r="X68" s="2256">
        <v>0</v>
      </c>
      <c r="Y68" s="2256">
        <v>0</v>
      </c>
      <c r="Z68" s="2256">
        <v>0</v>
      </c>
      <c r="AA68" s="2256">
        <v>0</v>
      </c>
      <c r="AB68" s="2256">
        <v>0</v>
      </c>
      <c r="AC68" s="2256">
        <v>0</v>
      </c>
      <c r="AD68" s="2256">
        <v>0</v>
      </c>
      <c r="AE68" s="2257">
        <v>0</v>
      </c>
      <c r="AF68" s="2256">
        <v>0</v>
      </c>
      <c r="AG68" s="2256">
        <v>0</v>
      </c>
      <c r="AH68" s="2256">
        <v>0</v>
      </c>
      <c r="AI68" s="2256">
        <v>0</v>
      </c>
      <c r="AJ68" s="2256">
        <v>0</v>
      </c>
      <c r="AK68" s="2256">
        <v>0</v>
      </c>
      <c r="AL68" s="2256">
        <v>0</v>
      </c>
      <c r="AM68" s="2256">
        <v>0</v>
      </c>
      <c r="AN68" s="2256">
        <v>0</v>
      </c>
      <c r="AO68" s="2256">
        <v>0</v>
      </c>
      <c r="AP68" s="2256">
        <v>0</v>
      </c>
      <c r="AQ68" s="2256">
        <v>0</v>
      </c>
      <c r="AR68" s="2256">
        <v>0</v>
      </c>
      <c r="AS68" s="2256">
        <v>0</v>
      </c>
      <c r="AT68" s="2256">
        <v>0</v>
      </c>
      <c r="AU68" s="2256">
        <v>0</v>
      </c>
      <c r="AV68" s="2256">
        <v>0</v>
      </c>
      <c r="AW68" s="2256">
        <v>0</v>
      </c>
      <c r="AX68" s="2256">
        <v>0</v>
      </c>
      <c r="AY68" s="2256">
        <v>0</v>
      </c>
      <c r="AZ68" s="2256">
        <v>0</v>
      </c>
      <c r="BA68" s="2256"/>
      <c r="BB68" s="2256">
        <f>-BB67*0.5</f>
        <v>0</v>
      </c>
      <c r="BC68" s="2258"/>
      <c r="BD68" s="2240"/>
    </row>
    <row r="69" spans="2:56" s="2203" customFormat="1" ht="15" customHeight="1" outlineLevel="2">
      <c r="B69" s="2259"/>
      <c r="C69" s="2260" t="s">
        <v>1916</v>
      </c>
      <c r="D69" s="2261" t="s">
        <v>1917</v>
      </c>
      <c r="E69" s="2262">
        <f t="shared" ref="E69:BB69" si="12">E66+E67+E68</f>
        <v>252931</v>
      </c>
      <c r="F69" s="2262">
        <f t="shared" si="12"/>
        <v>788138</v>
      </c>
      <c r="G69" s="2262">
        <f t="shared" si="12"/>
        <v>1368156</v>
      </c>
      <c r="H69" s="2262">
        <f t="shared" si="12"/>
        <v>2407058</v>
      </c>
      <c r="I69" s="2262">
        <f t="shared" si="12"/>
        <v>4174455</v>
      </c>
      <c r="J69" s="2262">
        <f t="shared" si="12"/>
        <v>6076104</v>
      </c>
      <c r="K69" s="2262">
        <f t="shared" si="12"/>
        <v>9344763</v>
      </c>
      <c r="L69" s="2262">
        <f t="shared" si="12"/>
        <v>13455269</v>
      </c>
      <c r="M69" s="2262">
        <f t="shared" si="12"/>
        <v>16843056</v>
      </c>
      <c r="N69" s="2262">
        <f t="shared" si="12"/>
        <v>25355592</v>
      </c>
      <c r="O69" s="2262">
        <f t="shared" si="12"/>
        <v>33041302</v>
      </c>
      <c r="P69" s="2262">
        <f t="shared" si="12"/>
        <v>39218241</v>
      </c>
      <c r="Q69" s="2262">
        <f t="shared" si="12"/>
        <v>47423550</v>
      </c>
      <c r="R69" s="2262">
        <f t="shared" si="12"/>
        <v>55608019</v>
      </c>
      <c r="S69" s="2262">
        <f t="shared" si="12"/>
        <v>63560706</v>
      </c>
      <c r="T69" s="2262">
        <f t="shared" si="12"/>
        <v>70540091</v>
      </c>
      <c r="U69" s="2262">
        <f t="shared" si="12"/>
        <v>76980429</v>
      </c>
      <c r="V69" s="2262">
        <f t="shared" si="12"/>
        <v>84273786</v>
      </c>
      <c r="W69" s="2262">
        <f t="shared" si="12"/>
        <v>91584611</v>
      </c>
      <c r="X69" s="2262">
        <f t="shared" si="12"/>
        <v>98582713</v>
      </c>
      <c r="Y69" s="2262">
        <f t="shared" si="12"/>
        <v>106645474</v>
      </c>
      <c r="Z69" s="2262">
        <f t="shared" si="12"/>
        <v>115777011</v>
      </c>
      <c r="AA69" s="2262">
        <f t="shared" si="12"/>
        <v>125345957</v>
      </c>
      <c r="AB69" s="2262">
        <f t="shared" si="12"/>
        <v>136828665</v>
      </c>
      <c r="AC69" s="2262">
        <f t="shared" si="12"/>
        <v>150811073</v>
      </c>
      <c r="AD69" s="2262">
        <f t="shared" si="12"/>
        <v>165222041</v>
      </c>
      <c r="AE69" s="2263">
        <f t="shared" si="12"/>
        <v>178337593</v>
      </c>
      <c r="AF69" s="2262">
        <f t="shared" si="12"/>
        <v>190708725</v>
      </c>
      <c r="AG69" s="2262">
        <f t="shared" si="12"/>
        <v>202369002</v>
      </c>
      <c r="AH69" s="2262">
        <f t="shared" si="12"/>
        <v>215633829</v>
      </c>
      <c r="AI69" s="2262">
        <f t="shared" si="12"/>
        <v>229349657</v>
      </c>
      <c r="AJ69" s="2262">
        <f t="shared" si="12"/>
        <v>242352591</v>
      </c>
      <c r="AK69" s="2262">
        <f t="shared" si="12"/>
        <v>255855903</v>
      </c>
      <c r="AL69" s="2262">
        <f t="shared" si="12"/>
        <v>268279095</v>
      </c>
      <c r="AM69" s="2262">
        <f t="shared" si="12"/>
        <v>280034764</v>
      </c>
      <c r="AN69" s="2262">
        <f t="shared" si="12"/>
        <v>291478861</v>
      </c>
      <c r="AO69" s="2262">
        <f t="shared" si="12"/>
        <v>301924601</v>
      </c>
      <c r="AP69" s="2262">
        <f t="shared" si="12"/>
        <v>311973970</v>
      </c>
      <c r="AQ69" s="2262">
        <f t="shared" si="12"/>
        <v>322235866</v>
      </c>
      <c r="AR69" s="2262">
        <f t="shared" si="12"/>
        <v>330337917</v>
      </c>
      <c r="AS69" s="2262">
        <f t="shared" si="12"/>
        <v>337714866</v>
      </c>
      <c r="AT69" s="2262">
        <f t="shared" si="12"/>
        <v>344585699</v>
      </c>
      <c r="AU69" s="2262">
        <f t="shared" si="12"/>
        <v>349868606</v>
      </c>
      <c r="AV69" s="2262">
        <f t="shared" si="12"/>
        <v>353035831</v>
      </c>
      <c r="AW69" s="2262">
        <f t="shared" si="12"/>
        <v>354816856</v>
      </c>
      <c r="AX69" s="2262">
        <f t="shared" si="12"/>
        <v>0</v>
      </c>
      <c r="AY69" s="2262">
        <f t="shared" si="12"/>
        <v>0</v>
      </c>
      <c r="AZ69" s="2262">
        <f t="shared" si="12"/>
        <v>0</v>
      </c>
      <c r="BA69" s="2262">
        <f t="shared" si="12"/>
        <v>0</v>
      </c>
      <c r="BB69" s="2262">
        <f t="shared" si="12"/>
        <v>0</v>
      </c>
      <c r="BC69" s="2264"/>
      <c r="BD69" s="2208"/>
    </row>
    <row r="70" spans="2:56" ht="15" customHeight="1" outlineLevel="2">
      <c r="B70" s="2243"/>
      <c r="C70" s="2244" t="s">
        <v>1918</v>
      </c>
      <c r="D70" s="2245" t="s">
        <v>1919</v>
      </c>
      <c r="E70" s="2256">
        <v>0</v>
      </c>
      <c r="F70" s="2256">
        <v>0</v>
      </c>
      <c r="G70" s="2256">
        <v>0</v>
      </c>
      <c r="H70" s="2256">
        <v>0</v>
      </c>
      <c r="I70" s="2256">
        <v>0</v>
      </c>
      <c r="J70" s="2256">
        <v>0</v>
      </c>
      <c r="K70" s="2256">
        <v>0</v>
      </c>
      <c r="L70" s="2256">
        <v>0</v>
      </c>
      <c r="M70" s="2256">
        <v>0</v>
      </c>
      <c r="N70" s="2256">
        <v>0</v>
      </c>
      <c r="O70" s="2256">
        <v>0</v>
      </c>
      <c r="P70" s="2256">
        <v>0</v>
      </c>
      <c r="Q70" s="2256">
        <v>0</v>
      </c>
      <c r="R70" s="2256">
        <v>0</v>
      </c>
      <c r="S70" s="2256">
        <v>0</v>
      </c>
      <c r="T70" s="2256">
        <v>0</v>
      </c>
      <c r="U70" s="2256">
        <v>0</v>
      </c>
      <c r="V70" s="2256">
        <v>0</v>
      </c>
      <c r="W70" s="2256">
        <v>0</v>
      </c>
      <c r="X70" s="2256">
        <v>0</v>
      </c>
      <c r="Y70" s="2256">
        <v>0</v>
      </c>
      <c r="Z70" s="2256">
        <v>0</v>
      </c>
      <c r="AA70" s="2256">
        <v>0</v>
      </c>
      <c r="AB70" s="2256">
        <v>0</v>
      </c>
      <c r="AC70" s="2256">
        <v>0</v>
      </c>
      <c r="AD70" s="2256">
        <v>0</v>
      </c>
      <c r="AE70" s="2257">
        <v>0</v>
      </c>
      <c r="AF70" s="2256">
        <v>0</v>
      </c>
      <c r="AG70" s="2256">
        <v>0</v>
      </c>
      <c r="AH70" s="2256">
        <v>0</v>
      </c>
      <c r="AI70" s="2256">
        <v>0</v>
      </c>
      <c r="AJ70" s="2256">
        <v>0</v>
      </c>
      <c r="AK70" s="2256">
        <v>0</v>
      </c>
      <c r="AL70" s="2256">
        <v>0</v>
      </c>
      <c r="AM70" s="2256">
        <v>0</v>
      </c>
      <c r="AN70" s="2256">
        <v>0</v>
      </c>
      <c r="AO70" s="2256">
        <v>0</v>
      </c>
      <c r="AP70" s="2256">
        <v>0</v>
      </c>
      <c r="AQ70" s="2256">
        <v>0</v>
      </c>
      <c r="AR70" s="2256">
        <v>0</v>
      </c>
      <c r="AS70" s="2256">
        <v>0</v>
      </c>
      <c r="AT70" s="2256">
        <v>0</v>
      </c>
      <c r="AU70" s="2256">
        <v>0</v>
      </c>
      <c r="AV70" s="2256">
        <v>0</v>
      </c>
      <c r="AW70" s="2256">
        <v>0</v>
      </c>
      <c r="AX70" s="2256">
        <v>0</v>
      </c>
      <c r="AY70" s="2256">
        <v>0</v>
      </c>
      <c r="AZ70" s="2256">
        <v>0</v>
      </c>
      <c r="BA70" s="2256">
        <v>0</v>
      </c>
      <c r="BB70" s="2256">
        <v>0</v>
      </c>
      <c r="BC70" s="2258"/>
      <c r="BD70" s="2240"/>
    </row>
    <row r="71" spans="2:56" ht="15" customHeight="1" outlineLevel="2">
      <c r="B71" s="2243"/>
      <c r="C71" s="2244" t="s">
        <v>1920</v>
      </c>
      <c r="D71" s="2245" t="s">
        <v>1921</v>
      </c>
      <c r="E71" s="2256">
        <v>0</v>
      </c>
      <c r="F71" s="2256">
        <v>0</v>
      </c>
      <c r="G71" s="2256">
        <v>0</v>
      </c>
      <c r="H71" s="2256">
        <v>0</v>
      </c>
      <c r="I71" s="2256">
        <v>0</v>
      </c>
      <c r="J71" s="2256">
        <v>0</v>
      </c>
      <c r="K71" s="2256">
        <v>0</v>
      </c>
      <c r="L71" s="2256">
        <v>0</v>
      </c>
      <c r="M71" s="2256">
        <v>0</v>
      </c>
      <c r="N71" s="2256">
        <v>0</v>
      </c>
      <c r="O71" s="2256">
        <v>0</v>
      </c>
      <c r="P71" s="2256">
        <v>0</v>
      </c>
      <c r="Q71" s="2256">
        <v>0</v>
      </c>
      <c r="R71" s="2256">
        <v>0</v>
      </c>
      <c r="S71" s="2256">
        <v>0</v>
      </c>
      <c r="T71" s="2256">
        <v>0</v>
      </c>
      <c r="U71" s="2256">
        <v>0</v>
      </c>
      <c r="V71" s="2256">
        <v>0</v>
      </c>
      <c r="W71" s="2256">
        <v>0</v>
      </c>
      <c r="X71" s="2256">
        <v>0</v>
      </c>
      <c r="Y71" s="2256">
        <v>0</v>
      </c>
      <c r="Z71" s="2256">
        <v>0</v>
      </c>
      <c r="AA71" s="2256">
        <v>0</v>
      </c>
      <c r="AB71" s="2256">
        <v>0</v>
      </c>
      <c r="AC71" s="2256">
        <v>0</v>
      </c>
      <c r="AD71" s="2256">
        <v>0</v>
      </c>
      <c r="AE71" s="2257">
        <v>0</v>
      </c>
      <c r="AF71" s="2256">
        <v>0</v>
      </c>
      <c r="AG71" s="2256">
        <v>0</v>
      </c>
      <c r="AH71" s="2256">
        <v>0</v>
      </c>
      <c r="AI71" s="2256">
        <v>0</v>
      </c>
      <c r="AJ71" s="2256">
        <v>0</v>
      </c>
      <c r="AK71" s="2256">
        <v>0</v>
      </c>
      <c r="AL71" s="2256">
        <v>0</v>
      </c>
      <c r="AM71" s="2256">
        <v>0</v>
      </c>
      <c r="AN71" s="2256">
        <v>0</v>
      </c>
      <c r="AO71" s="2256">
        <v>0</v>
      </c>
      <c r="AP71" s="2256">
        <v>0</v>
      </c>
      <c r="AQ71" s="2256">
        <v>0</v>
      </c>
      <c r="AR71" s="2256">
        <v>0</v>
      </c>
      <c r="AS71" s="2256">
        <v>0</v>
      </c>
      <c r="AT71" s="2256">
        <v>0</v>
      </c>
      <c r="AU71" s="2256">
        <v>0</v>
      </c>
      <c r="AV71" s="2256">
        <v>0</v>
      </c>
      <c r="AW71" s="2256">
        <v>0</v>
      </c>
      <c r="AX71" s="2256">
        <v>0</v>
      </c>
      <c r="AY71" s="2256">
        <v>0</v>
      </c>
      <c r="AZ71" s="2256">
        <v>0</v>
      </c>
      <c r="BA71" s="2256">
        <v>0</v>
      </c>
      <c r="BB71" s="2256">
        <v>0</v>
      </c>
      <c r="BC71" s="2258"/>
      <c r="BD71" s="2240"/>
    </row>
    <row r="72" spans="2:56" ht="15" customHeight="1" outlineLevel="2">
      <c r="B72" s="2243"/>
      <c r="C72" s="2244" t="s">
        <v>1922</v>
      </c>
      <c r="D72" s="2245" t="s">
        <v>1923</v>
      </c>
      <c r="E72" s="2256">
        <v>0</v>
      </c>
      <c r="F72" s="2256">
        <v>0</v>
      </c>
      <c r="G72" s="2256">
        <v>0</v>
      </c>
      <c r="H72" s="2256">
        <v>0</v>
      </c>
      <c r="I72" s="2256">
        <v>0</v>
      </c>
      <c r="J72" s="2256">
        <v>0</v>
      </c>
      <c r="K72" s="2256">
        <v>0</v>
      </c>
      <c r="L72" s="2256">
        <v>0</v>
      </c>
      <c r="M72" s="2256">
        <v>0</v>
      </c>
      <c r="N72" s="2256">
        <v>0</v>
      </c>
      <c r="O72" s="2256">
        <v>0</v>
      </c>
      <c r="P72" s="2256">
        <v>0</v>
      </c>
      <c r="Q72" s="2256">
        <v>0</v>
      </c>
      <c r="R72" s="2256">
        <v>0</v>
      </c>
      <c r="S72" s="2256">
        <v>0</v>
      </c>
      <c r="T72" s="2256">
        <v>0</v>
      </c>
      <c r="U72" s="2256">
        <v>0</v>
      </c>
      <c r="V72" s="2256">
        <v>0</v>
      </c>
      <c r="W72" s="2256">
        <v>0</v>
      </c>
      <c r="X72" s="2256">
        <v>0</v>
      </c>
      <c r="Y72" s="2256">
        <v>0</v>
      </c>
      <c r="Z72" s="2256">
        <v>0</v>
      </c>
      <c r="AA72" s="2256">
        <v>0</v>
      </c>
      <c r="AB72" s="2256">
        <v>0</v>
      </c>
      <c r="AC72" s="2256">
        <v>0</v>
      </c>
      <c r="AD72" s="2256">
        <v>0</v>
      </c>
      <c r="AE72" s="2257">
        <v>0</v>
      </c>
      <c r="AF72" s="2256">
        <v>0</v>
      </c>
      <c r="AG72" s="2256">
        <v>0</v>
      </c>
      <c r="AH72" s="2256">
        <v>0</v>
      </c>
      <c r="AI72" s="2256">
        <v>0</v>
      </c>
      <c r="AJ72" s="2256">
        <v>0</v>
      </c>
      <c r="AK72" s="2256">
        <v>0</v>
      </c>
      <c r="AL72" s="2256">
        <v>0</v>
      </c>
      <c r="AM72" s="2256">
        <v>0</v>
      </c>
      <c r="AN72" s="2256">
        <v>0</v>
      </c>
      <c r="AO72" s="2256">
        <v>0</v>
      </c>
      <c r="AP72" s="2256">
        <v>0</v>
      </c>
      <c r="AQ72" s="2256">
        <v>0</v>
      </c>
      <c r="AR72" s="2256">
        <v>0</v>
      </c>
      <c r="AS72" s="2256">
        <v>0</v>
      </c>
      <c r="AT72" s="2256">
        <v>0</v>
      </c>
      <c r="AU72" s="2256">
        <v>0</v>
      </c>
      <c r="AV72" s="2256">
        <v>0</v>
      </c>
      <c r="AW72" s="2256">
        <v>0</v>
      </c>
      <c r="AX72" s="2256">
        <v>0</v>
      </c>
      <c r="AY72" s="2256">
        <v>0</v>
      </c>
      <c r="AZ72" s="2256">
        <v>0</v>
      </c>
      <c r="BA72" s="2256">
        <v>0</v>
      </c>
      <c r="BB72" s="2256">
        <v>0</v>
      </c>
      <c r="BC72" s="2258"/>
      <c r="BD72" s="2240"/>
    </row>
    <row r="73" spans="2:56" s="2203" customFormat="1" ht="15" customHeight="1" outlineLevel="1">
      <c r="B73" s="2259"/>
      <c r="C73" s="2260" t="s">
        <v>1924</v>
      </c>
      <c r="D73" s="2261" t="s">
        <v>1925</v>
      </c>
      <c r="E73" s="2262">
        <f>E69+E70+E71+E72</f>
        <v>252931</v>
      </c>
      <c r="F73" s="2262">
        <f>F69+F70+F71+F72</f>
        <v>788138</v>
      </c>
      <c r="G73" s="2262">
        <f>G69+G70+G71+G72</f>
        <v>1368156</v>
      </c>
      <c r="H73" s="2262">
        <f t="shared" ref="H73:BB73" si="13">H69+H70+H71+H72</f>
        <v>2407058</v>
      </c>
      <c r="I73" s="2262">
        <f t="shared" si="13"/>
        <v>4174455</v>
      </c>
      <c r="J73" s="2262">
        <f t="shared" si="13"/>
        <v>6076104</v>
      </c>
      <c r="K73" s="2262">
        <f t="shared" si="13"/>
        <v>9344763</v>
      </c>
      <c r="L73" s="2262">
        <f t="shared" si="13"/>
        <v>13455269</v>
      </c>
      <c r="M73" s="2262">
        <f t="shared" si="13"/>
        <v>16843056</v>
      </c>
      <c r="N73" s="2262">
        <f t="shared" si="13"/>
        <v>25355592</v>
      </c>
      <c r="O73" s="2262">
        <f t="shared" si="13"/>
        <v>33041302</v>
      </c>
      <c r="P73" s="2262">
        <f t="shared" si="13"/>
        <v>39218241</v>
      </c>
      <c r="Q73" s="2262">
        <f t="shared" si="13"/>
        <v>47423550</v>
      </c>
      <c r="R73" s="2262">
        <f t="shared" si="13"/>
        <v>55608019</v>
      </c>
      <c r="S73" s="2262">
        <f t="shared" si="13"/>
        <v>63560706</v>
      </c>
      <c r="T73" s="2262">
        <f t="shared" si="13"/>
        <v>70540091</v>
      </c>
      <c r="U73" s="2262">
        <f t="shared" si="13"/>
        <v>76980429</v>
      </c>
      <c r="V73" s="2262">
        <f t="shared" si="13"/>
        <v>84273786</v>
      </c>
      <c r="W73" s="2262">
        <f t="shared" si="13"/>
        <v>91584611</v>
      </c>
      <c r="X73" s="2262">
        <f t="shared" si="13"/>
        <v>98582713</v>
      </c>
      <c r="Y73" s="2262">
        <f t="shared" si="13"/>
        <v>106645474</v>
      </c>
      <c r="Z73" s="2262">
        <f t="shared" si="13"/>
        <v>115777011</v>
      </c>
      <c r="AA73" s="2262">
        <f t="shared" si="13"/>
        <v>125345957</v>
      </c>
      <c r="AB73" s="2262">
        <f t="shared" si="13"/>
        <v>136828665</v>
      </c>
      <c r="AC73" s="2262">
        <f t="shared" si="13"/>
        <v>150811073</v>
      </c>
      <c r="AD73" s="2262">
        <f t="shared" si="13"/>
        <v>165222041</v>
      </c>
      <c r="AE73" s="2263">
        <f t="shared" si="13"/>
        <v>178337593</v>
      </c>
      <c r="AF73" s="2262">
        <f t="shared" si="13"/>
        <v>190708725</v>
      </c>
      <c r="AG73" s="2262">
        <f t="shared" si="13"/>
        <v>202369002</v>
      </c>
      <c r="AH73" s="2262">
        <f t="shared" si="13"/>
        <v>215633829</v>
      </c>
      <c r="AI73" s="2262">
        <f t="shared" si="13"/>
        <v>229349657</v>
      </c>
      <c r="AJ73" s="2262">
        <f t="shared" si="13"/>
        <v>242352591</v>
      </c>
      <c r="AK73" s="2262">
        <f t="shared" si="13"/>
        <v>255855903</v>
      </c>
      <c r="AL73" s="2262">
        <f t="shared" si="13"/>
        <v>268279095</v>
      </c>
      <c r="AM73" s="2262">
        <f t="shared" si="13"/>
        <v>280034764</v>
      </c>
      <c r="AN73" s="2262">
        <f t="shared" si="13"/>
        <v>291478861</v>
      </c>
      <c r="AO73" s="2262">
        <f t="shared" si="13"/>
        <v>301924601</v>
      </c>
      <c r="AP73" s="2262">
        <f t="shared" si="13"/>
        <v>311973970</v>
      </c>
      <c r="AQ73" s="2262">
        <f t="shared" si="13"/>
        <v>322235866</v>
      </c>
      <c r="AR73" s="2262">
        <f t="shared" si="13"/>
        <v>330337917</v>
      </c>
      <c r="AS73" s="2262">
        <f t="shared" si="13"/>
        <v>337714866</v>
      </c>
      <c r="AT73" s="2262">
        <f t="shared" si="13"/>
        <v>344585699</v>
      </c>
      <c r="AU73" s="2262">
        <f t="shared" si="13"/>
        <v>349868606</v>
      </c>
      <c r="AV73" s="2262">
        <f t="shared" si="13"/>
        <v>353035831</v>
      </c>
      <c r="AW73" s="2262">
        <f t="shared" si="13"/>
        <v>354816856</v>
      </c>
      <c r="AX73" s="2262">
        <f t="shared" si="13"/>
        <v>0</v>
      </c>
      <c r="AY73" s="2262">
        <f t="shared" si="13"/>
        <v>0</v>
      </c>
      <c r="AZ73" s="2262">
        <f t="shared" si="13"/>
        <v>0</v>
      </c>
      <c r="BA73" s="2262">
        <f t="shared" si="13"/>
        <v>0</v>
      </c>
      <c r="BB73" s="2262">
        <f t="shared" si="13"/>
        <v>0</v>
      </c>
      <c r="BC73" s="2264"/>
      <c r="BD73" s="2208"/>
    </row>
    <row r="74" spans="2:56" s="2203" customFormat="1" ht="15" customHeight="1" outlineLevel="1">
      <c r="B74" s="2259"/>
      <c r="C74" s="2260" t="s">
        <v>1926</v>
      </c>
      <c r="D74" s="2261" t="s">
        <v>1927</v>
      </c>
      <c r="E74" s="2262">
        <f>E73</f>
        <v>252931</v>
      </c>
      <c r="F74" s="2262">
        <f>F73-E73</f>
        <v>535207</v>
      </c>
      <c r="G74" s="2262">
        <f>G73-F73</f>
        <v>580018</v>
      </c>
      <c r="H74" s="2262">
        <f>H73-G73</f>
        <v>1038902</v>
      </c>
      <c r="I74" s="2262">
        <f>I73-H73</f>
        <v>1767397</v>
      </c>
      <c r="J74" s="2262">
        <f>J73-I73</f>
        <v>1901649</v>
      </c>
      <c r="K74" s="2262">
        <f t="shared" ref="K74:BB74" si="14">K73-J73</f>
        <v>3268659</v>
      </c>
      <c r="L74" s="2262">
        <f t="shared" si="14"/>
        <v>4110506</v>
      </c>
      <c r="M74" s="2262">
        <f t="shared" si="14"/>
        <v>3387787</v>
      </c>
      <c r="N74" s="2262">
        <f t="shared" si="14"/>
        <v>8512536</v>
      </c>
      <c r="O74" s="2262">
        <f>O73-N73</f>
        <v>7685710</v>
      </c>
      <c r="P74" s="2262">
        <f t="shared" si="14"/>
        <v>6176939</v>
      </c>
      <c r="Q74" s="2262">
        <f t="shared" si="14"/>
        <v>8205309</v>
      </c>
      <c r="R74" s="2262">
        <f t="shared" si="14"/>
        <v>8184469</v>
      </c>
      <c r="S74" s="2262">
        <f t="shared" si="14"/>
        <v>7952687</v>
      </c>
      <c r="T74" s="2262">
        <f t="shared" si="14"/>
        <v>6979385</v>
      </c>
      <c r="U74" s="2262">
        <f>U73-T73</f>
        <v>6440338</v>
      </c>
      <c r="V74" s="2262">
        <f t="shared" si="14"/>
        <v>7293357</v>
      </c>
      <c r="W74" s="2262">
        <f t="shared" si="14"/>
        <v>7310825</v>
      </c>
      <c r="X74" s="2262">
        <f t="shared" si="14"/>
        <v>6998102</v>
      </c>
      <c r="Y74" s="2262">
        <f t="shared" si="14"/>
        <v>8062761</v>
      </c>
      <c r="Z74" s="2262">
        <f t="shared" si="14"/>
        <v>9131537</v>
      </c>
      <c r="AA74" s="2262">
        <f t="shared" si="14"/>
        <v>9568946</v>
      </c>
      <c r="AB74" s="2262">
        <f t="shared" si="14"/>
        <v>11482708</v>
      </c>
      <c r="AC74" s="2262">
        <f t="shared" si="14"/>
        <v>13982408</v>
      </c>
      <c r="AD74" s="2262">
        <f t="shared" si="14"/>
        <v>14410968</v>
      </c>
      <c r="AE74" s="2263">
        <f t="shared" si="14"/>
        <v>13115552</v>
      </c>
      <c r="AF74" s="2262">
        <f t="shared" si="14"/>
        <v>12371132</v>
      </c>
      <c r="AG74" s="2262">
        <f t="shared" si="14"/>
        <v>11660277</v>
      </c>
      <c r="AH74" s="2262">
        <f t="shared" si="14"/>
        <v>13264827</v>
      </c>
      <c r="AI74" s="2262">
        <f t="shared" si="14"/>
        <v>13715828</v>
      </c>
      <c r="AJ74" s="2262">
        <f t="shared" si="14"/>
        <v>13002934</v>
      </c>
      <c r="AK74" s="2262">
        <f t="shared" si="14"/>
        <v>13503312</v>
      </c>
      <c r="AL74" s="2262">
        <f t="shared" si="14"/>
        <v>12423192</v>
      </c>
      <c r="AM74" s="2262">
        <f t="shared" si="14"/>
        <v>11755669</v>
      </c>
      <c r="AN74" s="2262">
        <f t="shared" si="14"/>
        <v>11444097</v>
      </c>
      <c r="AO74" s="2262">
        <f t="shared" si="14"/>
        <v>10445740</v>
      </c>
      <c r="AP74" s="2262">
        <f>AP73-AO73</f>
        <v>10049369</v>
      </c>
      <c r="AQ74" s="2262">
        <f>AQ73-AP73</f>
        <v>10261896</v>
      </c>
      <c r="AR74" s="2262">
        <f t="shared" ref="AR74:AY74" si="15">AR73-AQ73</f>
        <v>8102051</v>
      </c>
      <c r="AS74" s="2262">
        <f t="shared" si="15"/>
        <v>7376949</v>
      </c>
      <c r="AT74" s="2262">
        <f t="shared" si="15"/>
        <v>6870833</v>
      </c>
      <c r="AU74" s="2262">
        <f t="shared" si="15"/>
        <v>5282907</v>
      </c>
      <c r="AV74" s="2262">
        <f t="shared" si="15"/>
        <v>3167225</v>
      </c>
      <c r="AW74" s="2262">
        <f t="shared" si="15"/>
        <v>1781025</v>
      </c>
      <c r="AX74" s="2262">
        <f t="shared" si="15"/>
        <v>-354816856</v>
      </c>
      <c r="AY74" s="2262">
        <f t="shared" si="15"/>
        <v>0</v>
      </c>
      <c r="AZ74" s="2262">
        <v>0</v>
      </c>
      <c r="BA74" s="2262">
        <f>BA73-AP73</f>
        <v>-311973970</v>
      </c>
      <c r="BB74" s="2262">
        <f t="shared" si="14"/>
        <v>0</v>
      </c>
      <c r="BC74" s="2264"/>
      <c r="BD74" s="2208"/>
    </row>
    <row r="75" spans="2:56" ht="15" customHeight="1" outlineLevel="1">
      <c r="B75" s="2243"/>
      <c r="C75" s="2244"/>
      <c r="D75" s="2245"/>
      <c r="E75" s="2256"/>
      <c r="F75" s="2256"/>
      <c r="G75" s="2256"/>
      <c r="H75" s="2256"/>
      <c r="I75" s="2256"/>
      <c r="J75" s="2256"/>
      <c r="K75" s="2256"/>
      <c r="L75" s="2256"/>
      <c r="M75" s="2256"/>
      <c r="N75" s="2256"/>
      <c r="O75" s="2256"/>
      <c r="P75" s="2256"/>
      <c r="Q75" s="2256"/>
      <c r="R75" s="2256"/>
      <c r="S75" s="2256"/>
      <c r="T75" s="2256"/>
      <c r="U75" s="2256"/>
      <c r="V75" s="2256"/>
      <c r="W75" s="2256"/>
      <c r="X75" s="2256"/>
      <c r="Y75" s="2256"/>
      <c r="Z75" s="2256"/>
      <c r="AA75" s="2256"/>
      <c r="AB75" s="2256"/>
      <c r="AC75" s="2256"/>
      <c r="AD75" s="2256"/>
      <c r="AE75" s="2257"/>
      <c r="AF75" s="2256"/>
      <c r="AG75" s="2256"/>
      <c r="AH75" s="2256"/>
      <c r="AI75" s="2256"/>
      <c r="AJ75" s="2256"/>
      <c r="AK75" s="2256"/>
      <c r="AL75" s="2256"/>
      <c r="AM75" s="2256"/>
      <c r="AN75" s="2256"/>
      <c r="AO75" s="2256"/>
      <c r="AP75" s="2256"/>
      <c r="AQ75" s="2256"/>
      <c r="AR75" s="2256"/>
      <c r="AS75" s="2256"/>
      <c r="AT75" s="2256"/>
      <c r="AU75" s="2256"/>
      <c r="AV75" s="2256"/>
      <c r="AW75" s="2256"/>
      <c r="AX75" s="2256"/>
      <c r="AY75" s="2256"/>
      <c r="AZ75" s="2256"/>
      <c r="BA75" s="2256"/>
      <c r="BB75" s="2256"/>
      <c r="BC75" s="2258"/>
      <c r="BD75" s="2240"/>
    </row>
    <row r="76" spans="2:56" ht="15" customHeight="1" outlineLevel="1">
      <c r="B76" s="2243"/>
      <c r="C76" s="2265"/>
      <c r="D76" s="2245"/>
      <c r="E76" s="2256"/>
      <c r="F76" s="2256"/>
      <c r="G76" s="2256"/>
      <c r="H76" s="2256"/>
      <c r="I76" s="2256"/>
      <c r="J76" s="2256"/>
      <c r="K76" s="2256"/>
      <c r="L76" s="2256"/>
      <c r="M76" s="2256"/>
      <c r="N76" s="2256"/>
      <c r="O76" s="2256"/>
      <c r="P76" s="2256"/>
      <c r="Q76" s="2256"/>
      <c r="R76" s="2256"/>
      <c r="S76" s="2256"/>
      <c r="T76" s="2256"/>
      <c r="U76" s="2256"/>
      <c r="V76" s="2256"/>
      <c r="W76" s="2256"/>
      <c r="X76" s="2256"/>
      <c r="Y76" s="2256"/>
      <c r="Z76" s="2256"/>
      <c r="AA76" s="2256"/>
      <c r="AB76" s="2256"/>
      <c r="AC76" s="2256"/>
      <c r="AD76" s="2256"/>
      <c r="AE76" s="2257"/>
      <c r="AF76" s="2256"/>
      <c r="AG76" s="2256"/>
      <c r="AH76" s="2256"/>
      <c r="AI76" s="2256"/>
      <c r="AJ76" s="2256"/>
      <c r="AK76" s="2256"/>
      <c r="AL76" s="2256"/>
      <c r="AM76" s="2256"/>
      <c r="AN76" s="2256"/>
      <c r="AO76" s="2256"/>
      <c r="AP76" s="2256"/>
      <c r="AQ76" s="2256"/>
      <c r="AR76" s="2256"/>
      <c r="AS76" s="2256"/>
      <c r="AT76" s="2256"/>
      <c r="AU76" s="2256"/>
      <c r="AV76" s="2256"/>
      <c r="AW76" s="2256"/>
      <c r="AX76" s="2256"/>
      <c r="AY76" s="2256"/>
      <c r="AZ76" s="2256"/>
      <c r="BA76" s="2256"/>
      <c r="BB76" s="2256"/>
      <c r="BC76" s="2258"/>
      <c r="BD76" s="2240"/>
    </row>
    <row r="77" spans="2:56" outlineLevel="1">
      <c r="B77" s="2266">
        <v>200</v>
      </c>
      <c r="C77" s="2267" t="s">
        <v>1928</v>
      </c>
      <c r="D77" s="2268" t="s">
        <v>1896</v>
      </c>
      <c r="E77" s="2269">
        <f>E94</f>
        <v>0</v>
      </c>
      <c r="F77" s="2269">
        <f t="shared" ref="F77:BB78" si="16">F94</f>
        <v>0</v>
      </c>
      <c r="G77" s="2269">
        <f t="shared" si="16"/>
        <v>0</v>
      </c>
      <c r="H77" s="2269">
        <f t="shared" si="16"/>
        <v>0</v>
      </c>
      <c r="I77" s="2269">
        <f t="shared" si="16"/>
        <v>0</v>
      </c>
      <c r="J77" s="2269">
        <f t="shared" si="16"/>
        <v>0</v>
      </c>
      <c r="K77" s="2269">
        <f t="shared" si="16"/>
        <v>0</v>
      </c>
      <c r="L77" s="2269">
        <f t="shared" si="16"/>
        <v>0</v>
      </c>
      <c r="M77" s="2269">
        <f t="shared" si="16"/>
        <v>0</v>
      </c>
      <c r="N77" s="2269">
        <f t="shared" si="16"/>
        <v>0</v>
      </c>
      <c r="O77" s="2269">
        <f t="shared" si="16"/>
        <v>0</v>
      </c>
      <c r="P77" s="2269">
        <f t="shared" si="16"/>
        <v>0</v>
      </c>
      <c r="Q77" s="2269">
        <f t="shared" si="16"/>
        <v>0</v>
      </c>
      <c r="R77" s="2269">
        <f t="shared" si="16"/>
        <v>0</v>
      </c>
      <c r="S77" s="2269">
        <f t="shared" si="16"/>
        <v>0</v>
      </c>
      <c r="T77" s="2269">
        <f t="shared" si="16"/>
        <v>0</v>
      </c>
      <c r="U77" s="2269">
        <f t="shared" si="16"/>
        <v>0</v>
      </c>
      <c r="V77" s="2269">
        <f t="shared" si="16"/>
        <v>0</v>
      </c>
      <c r="W77" s="2269">
        <f t="shared" si="16"/>
        <v>0</v>
      </c>
      <c r="X77" s="2269">
        <f t="shared" si="16"/>
        <v>0</v>
      </c>
      <c r="Y77" s="2269">
        <f t="shared" si="16"/>
        <v>0</v>
      </c>
      <c r="Z77" s="2269">
        <f t="shared" si="16"/>
        <v>0</v>
      </c>
      <c r="AA77" s="2269">
        <f t="shared" si="16"/>
        <v>0</v>
      </c>
      <c r="AB77" s="2269">
        <f t="shared" si="16"/>
        <v>0</v>
      </c>
      <c r="AC77" s="2269">
        <f t="shared" si="16"/>
        <v>0</v>
      </c>
      <c r="AD77" s="2269">
        <f t="shared" si="16"/>
        <v>0</v>
      </c>
      <c r="AE77" s="2270">
        <f t="shared" si="16"/>
        <v>0</v>
      </c>
      <c r="AF77" s="2269">
        <f t="shared" si="16"/>
        <v>0</v>
      </c>
      <c r="AG77" s="2269">
        <f t="shared" si="16"/>
        <v>0</v>
      </c>
      <c r="AH77" s="2269">
        <f t="shared" si="16"/>
        <v>0</v>
      </c>
      <c r="AI77" s="2269">
        <f t="shared" si="16"/>
        <v>0</v>
      </c>
      <c r="AJ77" s="2269">
        <f t="shared" si="16"/>
        <v>0</v>
      </c>
      <c r="AK77" s="2269">
        <f t="shared" si="16"/>
        <v>0</v>
      </c>
      <c r="AL77" s="2269">
        <f t="shared" si="16"/>
        <v>0</v>
      </c>
      <c r="AM77" s="2269">
        <f t="shared" si="16"/>
        <v>0</v>
      </c>
      <c r="AN77" s="2269">
        <f t="shared" si="16"/>
        <v>0</v>
      </c>
      <c r="AO77" s="2269">
        <f t="shared" si="16"/>
        <v>0</v>
      </c>
      <c r="AP77" s="2269">
        <f t="shared" si="16"/>
        <v>0</v>
      </c>
      <c r="AQ77" s="2269">
        <f t="shared" si="16"/>
        <v>0</v>
      </c>
      <c r="AR77" s="2269">
        <f t="shared" si="16"/>
        <v>0</v>
      </c>
      <c r="AS77" s="2269">
        <f t="shared" si="16"/>
        <v>0</v>
      </c>
      <c r="AT77" s="2269">
        <f t="shared" si="16"/>
        <v>0</v>
      </c>
      <c r="AU77" s="2269">
        <f t="shared" si="16"/>
        <v>0</v>
      </c>
      <c r="AV77" s="2269">
        <f t="shared" si="16"/>
        <v>0</v>
      </c>
      <c r="AW77" s="2269">
        <f t="shared" si="16"/>
        <v>0</v>
      </c>
      <c r="AX77" s="2269">
        <f t="shared" si="16"/>
        <v>0</v>
      </c>
      <c r="AY77" s="2269">
        <f t="shared" si="16"/>
        <v>0</v>
      </c>
      <c r="AZ77" s="2269">
        <f t="shared" si="16"/>
        <v>0</v>
      </c>
      <c r="BA77" s="2269">
        <f t="shared" si="16"/>
        <v>0</v>
      </c>
      <c r="BB77" s="2269">
        <f t="shared" si="16"/>
        <v>0</v>
      </c>
      <c r="BC77" s="2248">
        <f>AA77</f>
        <v>0</v>
      </c>
      <c r="BD77" s="2240"/>
    </row>
    <row r="78" spans="2:56" outlineLevel="1">
      <c r="B78" s="2266"/>
      <c r="C78" s="2267"/>
      <c r="D78" s="2268" t="s">
        <v>1897</v>
      </c>
      <c r="E78" s="2269">
        <f>E95</f>
        <v>0</v>
      </c>
      <c r="F78" s="2269">
        <f t="shared" si="16"/>
        <v>0</v>
      </c>
      <c r="G78" s="2269">
        <f t="shared" si="16"/>
        <v>0</v>
      </c>
      <c r="H78" s="2269">
        <f t="shared" si="16"/>
        <v>0</v>
      </c>
      <c r="I78" s="2269">
        <f t="shared" si="16"/>
        <v>0</v>
      </c>
      <c r="J78" s="2269">
        <f t="shared" si="16"/>
        <v>0</v>
      </c>
      <c r="K78" s="2269">
        <f t="shared" si="16"/>
        <v>0</v>
      </c>
      <c r="L78" s="2269">
        <f t="shared" si="16"/>
        <v>0</v>
      </c>
      <c r="M78" s="2269">
        <f t="shared" si="16"/>
        <v>0</v>
      </c>
      <c r="N78" s="2269">
        <f t="shared" si="16"/>
        <v>0</v>
      </c>
      <c r="O78" s="2269">
        <f t="shared" si="16"/>
        <v>0</v>
      </c>
      <c r="P78" s="2269">
        <f t="shared" si="16"/>
        <v>0</v>
      </c>
      <c r="Q78" s="2269">
        <f t="shared" si="16"/>
        <v>0</v>
      </c>
      <c r="R78" s="2269">
        <f t="shared" si="16"/>
        <v>0</v>
      </c>
      <c r="S78" s="2269">
        <f t="shared" si="16"/>
        <v>0</v>
      </c>
      <c r="T78" s="2269">
        <f t="shared" si="16"/>
        <v>0</v>
      </c>
      <c r="U78" s="2269">
        <f t="shared" si="16"/>
        <v>0</v>
      </c>
      <c r="V78" s="2269">
        <f t="shared" si="16"/>
        <v>0</v>
      </c>
      <c r="W78" s="2269">
        <f t="shared" si="16"/>
        <v>0</v>
      </c>
      <c r="X78" s="2269">
        <f t="shared" si="16"/>
        <v>0</v>
      </c>
      <c r="Y78" s="2269">
        <f t="shared" si="16"/>
        <v>0</v>
      </c>
      <c r="Z78" s="2269">
        <f t="shared" si="16"/>
        <v>0</v>
      </c>
      <c r="AA78" s="2269">
        <f t="shared" si="16"/>
        <v>0</v>
      </c>
      <c r="AB78" s="2269">
        <f t="shared" si="16"/>
        <v>0</v>
      </c>
      <c r="AC78" s="2269">
        <f t="shared" si="16"/>
        <v>0</v>
      </c>
      <c r="AD78" s="2269">
        <f t="shared" si="16"/>
        <v>0</v>
      </c>
      <c r="AE78" s="2270">
        <f t="shared" si="16"/>
        <v>0</v>
      </c>
      <c r="AF78" s="2269">
        <f t="shared" si="16"/>
        <v>0</v>
      </c>
      <c r="AG78" s="2269">
        <f t="shared" si="16"/>
        <v>0</v>
      </c>
      <c r="AH78" s="2269">
        <f t="shared" si="16"/>
        <v>0</v>
      </c>
      <c r="AI78" s="2269">
        <f t="shared" si="16"/>
        <v>0</v>
      </c>
      <c r="AJ78" s="2269">
        <f t="shared" si="16"/>
        <v>0</v>
      </c>
      <c r="AK78" s="2269">
        <f t="shared" si="16"/>
        <v>0</v>
      </c>
      <c r="AL78" s="2269">
        <f t="shared" si="16"/>
        <v>0</v>
      </c>
      <c r="AM78" s="2269">
        <f t="shared" si="16"/>
        <v>0</v>
      </c>
      <c r="AN78" s="2269">
        <f t="shared" si="16"/>
        <v>0</v>
      </c>
      <c r="AO78" s="2269">
        <f t="shared" si="16"/>
        <v>0</v>
      </c>
      <c r="AP78" s="2269">
        <f t="shared" si="16"/>
        <v>0</v>
      </c>
      <c r="AQ78" s="2269">
        <f t="shared" si="16"/>
        <v>0</v>
      </c>
      <c r="AR78" s="2269">
        <f t="shared" si="16"/>
        <v>0</v>
      </c>
      <c r="AS78" s="2269">
        <f t="shared" si="16"/>
        <v>0</v>
      </c>
      <c r="AT78" s="2269">
        <f t="shared" si="16"/>
        <v>0</v>
      </c>
      <c r="AU78" s="2269">
        <f t="shared" si="16"/>
        <v>0</v>
      </c>
      <c r="AV78" s="2269">
        <f t="shared" si="16"/>
        <v>0</v>
      </c>
      <c r="AW78" s="2269">
        <f t="shared" si="16"/>
        <v>0</v>
      </c>
      <c r="AX78" s="2269">
        <f t="shared" si="16"/>
        <v>0</v>
      </c>
      <c r="AY78" s="2269">
        <f t="shared" si="16"/>
        <v>0</v>
      </c>
      <c r="AZ78" s="2269">
        <f t="shared" si="16"/>
        <v>0</v>
      </c>
      <c r="BA78" s="2269">
        <f t="shared" si="16"/>
        <v>0</v>
      </c>
      <c r="BB78" s="2269">
        <f t="shared" si="16"/>
        <v>0</v>
      </c>
      <c r="BC78" s="2248"/>
      <c r="BD78" s="2240"/>
    </row>
    <row r="79" spans="2:56" ht="15" customHeight="1" outlineLevel="2">
      <c r="B79" s="2243"/>
      <c r="C79" s="2244"/>
      <c r="D79" s="2245"/>
      <c r="E79" s="2256"/>
      <c r="F79" s="2256"/>
      <c r="G79" s="2256"/>
      <c r="H79" s="2256"/>
      <c r="I79" s="2256"/>
      <c r="J79" s="2256"/>
      <c r="K79" s="2256"/>
      <c r="L79" s="2256"/>
      <c r="M79" s="2256"/>
      <c r="N79" s="2256"/>
      <c r="O79" s="2256"/>
      <c r="P79" s="2256"/>
      <c r="Q79" s="2256"/>
      <c r="R79" s="2256"/>
      <c r="S79" s="2256"/>
      <c r="T79" s="2256"/>
      <c r="U79" s="2256"/>
      <c r="V79" s="2256"/>
      <c r="W79" s="2256"/>
      <c r="X79" s="2256"/>
      <c r="Y79" s="2256"/>
      <c r="Z79" s="2256"/>
      <c r="AA79" s="2256"/>
      <c r="AB79" s="2256"/>
      <c r="AC79" s="2256"/>
      <c r="AD79" s="2256"/>
      <c r="AE79" s="2257"/>
      <c r="AF79" s="2256"/>
      <c r="AG79" s="2256"/>
      <c r="AH79" s="2256"/>
      <c r="AI79" s="2256"/>
      <c r="AJ79" s="2256"/>
      <c r="AK79" s="2256"/>
      <c r="AL79" s="2256"/>
      <c r="AM79" s="2256"/>
      <c r="AN79" s="2256"/>
      <c r="AO79" s="2256"/>
      <c r="AP79" s="2256"/>
      <c r="AQ79" s="2256"/>
      <c r="AR79" s="2256"/>
      <c r="AS79" s="2256"/>
      <c r="AT79" s="2256"/>
      <c r="AU79" s="2256"/>
      <c r="AV79" s="2256"/>
      <c r="AW79" s="2256"/>
      <c r="AX79" s="2256"/>
      <c r="AY79" s="2256"/>
      <c r="AZ79" s="2256"/>
      <c r="BA79" s="2256"/>
      <c r="BB79" s="2256"/>
      <c r="BC79" s="2248"/>
      <c r="BD79" s="2240"/>
    </row>
    <row r="80" spans="2:56" ht="18.75" customHeight="1" outlineLevel="2">
      <c r="B80" s="2249">
        <v>200.1</v>
      </c>
      <c r="C80" s="2250" t="s">
        <v>1929</v>
      </c>
      <c r="D80" s="2271"/>
      <c r="E80" s="2252"/>
      <c r="F80" s="2252"/>
      <c r="G80" s="2252"/>
      <c r="H80" s="2253"/>
      <c r="I80" s="2253"/>
      <c r="J80" s="2253"/>
      <c r="K80" s="2253"/>
      <c r="L80" s="2253"/>
      <c r="M80" s="2253"/>
      <c r="N80" s="2253"/>
      <c r="O80" s="2253"/>
      <c r="P80" s="2253"/>
      <c r="Q80" s="2253"/>
      <c r="R80" s="2253"/>
      <c r="S80" s="2253"/>
      <c r="T80" s="2253"/>
      <c r="U80" s="2253"/>
      <c r="V80" s="2253"/>
      <c r="W80" s="2253"/>
      <c r="X80" s="2253"/>
      <c r="Y80" s="2253"/>
      <c r="Z80" s="2253"/>
      <c r="AA80" s="2253"/>
      <c r="AB80" s="2253"/>
      <c r="AC80" s="2253"/>
      <c r="AD80" s="2253"/>
      <c r="AE80" s="2254"/>
      <c r="AF80" s="2253"/>
      <c r="AG80" s="2253"/>
      <c r="AH80" s="2253"/>
      <c r="AI80" s="2253"/>
      <c r="AJ80" s="2253"/>
      <c r="AK80" s="2253"/>
      <c r="AL80" s="2253"/>
      <c r="AM80" s="2253"/>
      <c r="AN80" s="2253"/>
      <c r="AO80" s="2253"/>
      <c r="AP80" s="2253"/>
      <c r="AQ80" s="2253"/>
      <c r="AR80" s="2253"/>
      <c r="AS80" s="2253"/>
      <c r="AT80" s="2253"/>
      <c r="AU80" s="2253"/>
      <c r="AV80" s="2253"/>
      <c r="AW80" s="2253"/>
      <c r="AX80" s="2253"/>
      <c r="AY80" s="2253"/>
      <c r="AZ80" s="2253"/>
      <c r="BA80" s="2253"/>
      <c r="BB80" s="2253"/>
      <c r="BC80" s="2255"/>
      <c r="BD80" s="2240"/>
    </row>
    <row r="81" spans="2:56" ht="15" customHeight="1" outlineLevel="3">
      <c r="B81" s="2243"/>
      <c r="C81" s="2244" t="s">
        <v>1898</v>
      </c>
      <c r="D81" s="2245" t="s">
        <v>1899</v>
      </c>
      <c r="E81" s="2256">
        <v>0</v>
      </c>
      <c r="F81" s="2256">
        <v>0</v>
      </c>
      <c r="G81" s="2256">
        <v>0</v>
      </c>
      <c r="H81" s="2256">
        <v>0</v>
      </c>
      <c r="I81" s="2256">
        <v>0</v>
      </c>
      <c r="J81" s="2256">
        <v>0</v>
      </c>
      <c r="K81" s="2256">
        <v>0</v>
      </c>
      <c r="L81" s="2256">
        <v>0</v>
      </c>
      <c r="M81" s="2256">
        <v>0</v>
      </c>
      <c r="N81" s="2256">
        <v>0</v>
      </c>
      <c r="O81" s="2256">
        <v>0</v>
      </c>
      <c r="P81" s="2256">
        <v>0</v>
      </c>
      <c r="Q81" s="2256">
        <v>0</v>
      </c>
      <c r="R81" s="2256">
        <v>0</v>
      </c>
      <c r="S81" s="2256">
        <v>0</v>
      </c>
      <c r="T81" s="2256">
        <v>0</v>
      </c>
      <c r="U81" s="2256">
        <v>0</v>
      </c>
      <c r="V81" s="2256">
        <v>0</v>
      </c>
      <c r="W81" s="2256">
        <v>0</v>
      </c>
      <c r="X81" s="2256">
        <v>0</v>
      </c>
      <c r="Y81" s="2256">
        <v>0</v>
      </c>
      <c r="Z81" s="2256">
        <v>0</v>
      </c>
      <c r="AA81" s="2256">
        <v>0</v>
      </c>
      <c r="AB81" s="2256">
        <v>0</v>
      </c>
      <c r="AC81" s="2256">
        <v>0</v>
      </c>
      <c r="AD81" s="2256">
        <v>0</v>
      </c>
      <c r="AE81" s="2257">
        <v>0</v>
      </c>
      <c r="AF81" s="2256">
        <v>0</v>
      </c>
      <c r="AG81" s="2256">
        <v>0</v>
      </c>
      <c r="AH81" s="2256">
        <v>0</v>
      </c>
      <c r="AI81" s="2256">
        <v>0</v>
      </c>
      <c r="AJ81" s="2256">
        <v>0</v>
      </c>
      <c r="AK81" s="2256">
        <v>0</v>
      </c>
      <c r="AL81" s="2256">
        <v>0</v>
      </c>
      <c r="AM81" s="2256">
        <v>0</v>
      </c>
      <c r="AN81" s="2256">
        <v>0</v>
      </c>
      <c r="AO81" s="2256">
        <v>0</v>
      </c>
      <c r="AP81" s="2256">
        <v>0</v>
      </c>
      <c r="AQ81" s="2256">
        <v>0</v>
      </c>
      <c r="AR81" s="2256">
        <v>0</v>
      </c>
      <c r="AS81" s="2256">
        <v>0</v>
      </c>
      <c r="AT81" s="2256">
        <v>0</v>
      </c>
      <c r="AU81" s="2256">
        <v>0</v>
      </c>
      <c r="AV81" s="2256">
        <v>0</v>
      </c>
      <c r="AW81" s="2256">
        <v>0</v>
      </c>
      <c r="AX81" s="2256">
        <v>0</v>
      </c>
      <c r="AY81" s="2256">
        <v>0</v>
      </c>
      <c r="AZ81" s="2256">
        <v>0</v>
      </c>
      <c r="BA81" s="2256">
        <v>0</v>
      </c>
      <c r="BB81" s="2256">
        <v>0</v>
      </c>
      <c r="BC81" s="2258"/>
      <c r="BD81" s="2240"/>
    </row>
    <row r="82" spans="2:56" ht="15" customHeight="1" outlineLevel="3">
      <c r="B82" s="2243"/>
      <c r="C82" s="2244" t="s">
        <v>1901</v>
      </c>
      <c r="D82" s="2245" t="s">
        <v>1902</v>
      </c>
      <c r="E82" s="2256">
        <v>0</v>
      </c>
      <c r="F82" s="2256">
        <v>0</v>
      </c>
      <c r="G82" s="2256">
        <v>0</v>
      </c>
      <c r="H82" s="2256">
        <v>0</v>
      </c>
      <c r="I82" s="2256">
        <v>0</v>
      </c>
      <c r="J82" s="2256">
        <v>0</v>
      </c>
      <c r="K82" s="2256">
        <v>0</v>
      </c>
      <c r="L82" s="2256">
        <v>0</v>
      </c>
      <c r="M82" s="2256">
        <v>0</v>
      </c>
      <c r="N82" s="2256">
        <v>0</v>
      </c>
      <c r="O82" s="2256">
        <v>0</v>
      </c>
      <c r="P82" s="2256">
        <v>0</v>
      </c>
      <c r="Q82" s="2256">
        <v>0</v>
      </c>
      <c r="R82" s="2256">
        <v>0</v>
      </c>
      <c r="S82" s="2256">
        <v>0</v>
      </c>
      <c r="T82" s="2256">
        <v>0</v>
      </c>
      <c r="U82" s="2256">
        <v>0</v>
      </c>
      <c r="V82" s="2256">
        <v>0</v>
      </c>
      <c r="W82" s="2256">
        <v>0</v>
      </c>
      <c r="X82" s="2256">
        <v>0</v>
      </c>
      <c r="Y82" s="2256">
        <v>0</v>
      </c>
      <c r="Z82" s="2256">
        <v>0</v>
      </c>
      <c r="AA82" s="2256">
        <v>0</v>
      </c>
      <c r="AB82" s="2256">
        <v>0</v>
      </c>
      <c r="AC82" s="2256">
        <v>0</v>
      </c>
      <c r="AD82" s="2256">
        <v>0</v>
      </c>
      <c r="AE82" s="2257">
        <v>0</v>
      </c>
      <c r="AF82" s="2256">
        <v>0</v>
      </c>
      <c r="AG82" s="2256">
        <v>0</v>
      </c>
      <c r="AH82" s="2256">
        <v>0</v>
      </c>
      <c r="AI82" s="2256">
        <v>0</v>
      </c>
      <c r="AJ82" s="2256">
        <v>0</v>
      </c>
      <c r="AK82" s="2256">
        <v>0</v>
      </c>
      <c r="AL82" s="2256">
        <v>0</v>
      </c>
      <c r="AM82" s="2256">
        <v>0</v>
      </c>
      <c r="AN82" s="2256">
        <v>0</v>
      </c>
      <c r="AO82" s="2256">
        <v>0</v>
      </c>
      <c r="AP82" s="2256">
        <v>0</v>
      </c>
      <c r="AQ82" s="2256">
        <v>0</v>
      </c>
      <c r="AR82" s="2256">
        <v>0</v>
      </c>
      <c r="AS82" s="2256">
        <v>0</v>
      </c>
      <c r="AT82" s="2256">
        <v>0</v>
      </c>
      <c r="AU82" s="2256">
        <v>0</v>
      </c>
      <c r="AV82" s="2256">
        <v>0</v>
      </c>
      <c r="AW82" s="2256">
        <v>0</v>
      </c>
      <c r="AX82" s="2256">
        <v>0</v>
      </c>
      <c r="AY82" s="2256">
        <v>0</v>
      </c>
      <c r="AZ82" s="2256">
        <v>0</v>
      </c>
      <c r="BA82" s="2256">
        <v>0</v>
      </c>
      <c r="BB82" s="2256">
        <v>0</v>
      </c>
      <c r="BC82" s="2258"/>
      <c r="BD82" s="2240"/>
    </row>
    <row r="83" spans="2:56" ht="15" customHeight="1" outlineLevel="3">
      <c r="B83" s="2243"/>
      <c r="C83" s="2244" t="s">
        <v>1903</v>
      </c>
      <c r="D83" s="2245" t="s">
        <v>1904</v>
      </c>
      <c r="E83" s="2256">
        <v>0</v>
      </c>
      <c r="F83" s="2256">
        <v>0</v>
      </c>
      <c r="G83" s="2256">
        <v>0</v>
      </c>
      <c r="H83" s="2256">
        <v>0</v>
      </c>
      <c r="I83" s="2256">
        <v>0</v>
      </c>
      <c r="J83" s="2256">
        <v>0</v>
      </c>
      <c r="K83" s="2256">
        <v>0</v>
      </c>
      <c r="L83" s="2256">
        <v>0</v>
      </c>
      <c r="M83" s="2256">
        <v>0</v>
      </c>
      <c r="N83" s="2256">
        <v>0</v>
      </c>
      <c r="O83" s="2256">
        <v>0</v>
      </c>
      <c r="P83" s="2256">
        <v>0</v>
      </c>
      <c r="Q83" s="2256">
        <v>0</v>
      </c>
      <c r="R83" s="2256">
        <v>0</v>
      </c>
      <c r="S83" s="2256">
        <v>0</v>
      </c>
      <c r="T83" s="2256">
        <v>0</v>
      </c>
      <c r="U83" s="2256">
        <v>0</v>
      </c>
      <c r="V83" s="2256">
        <v>0</v>
      </c>
      <c r="W83" s="2256">
        <v>0</v>
      </c>
      <c r="X83" s="2256">
        <v>0</v>
      </c>
      <c r="Y83" s="2256">
        <v>0</v>
      </c>
      <c r="Z83" s="2256">
        <v>0</v>
      </c>
      <c r="AA83" s="2256">
        <v>0</v>
      </c>
      <c r="AB83" s="2256">
        <v>0</v>
      </c>
      <c r="AC83" s="2256">
        <v>0</v>
      </c>
      <c r="AD83" s="2256">
        <v>0</v>
      </c>
      <c r="AE83" s="2257">
        <v>0</v>
      </c>
      <c r="AF83" s="2256">
        <v>0</v>
      </c>
      <c r="AG83" s="2256">
        <v>0</v>
      </c>
      <c r="AH83" s="2256">
        <v>0</v>
      </c>
      <c r="AI83" s="2256">
        <v>0</v>
      </c>
      <c r="AJ83" s="2256">
        <v>0</v>
      </c>
      <c r="AK83" s="2256">
        <v>0</v>
      </c>
      <c r="AL83" s="2256">
        <v>0</v>
      </c>
      <c r="AM83" s="2256">
        <v>0</v>
      </c>
      <c r="AN83" s="2256">
        <v>0</v>
      </c>
      <c r="AO83" s="2256">
        <v>0</v>
      </c>
      <c r="AP83" s="2256">
        <v>0</v>
      </c>
      <c r="AQ83" s="2256">
        <v>0</v>
      </c>
      <c r="AR83" s="2256">
        <v>0</v>
      </c>
      <c r="AS83" s="2256">
        <v>0</v>
      </c>
      <c r="AT83" s="2256">
        <v>0</v>
      </c>
      <c r="AU83" s="2256">
        <v>0</v>
      </c>
      <c r="AV83" s="2256">
        <v>0</v>
      </c>
      <c r="AW83" s="2256">
        <v>0</v>
      </c>
      <c r="AX83" s="2256">
        <v>0</v>
      </c>
      <c r="AY83" s="2256">
        <v>0</v>
      </c>
      <c r="AZ83" s="2256">
        <v>0</v>
      </c>
      <c r="BA83" s="2256">
        <v>0</v>
      </c>
      <c r="BB83" s="2256">
        <v>0</v>
      </c>
      <c r="BC83" s="2258"/>
      <c r="BD83" s="2240"/>
    </row>
    <row r="84" spans="2:56" s="2203" customFormat="1" ht="15" customHeight="1" outlineLevel="3">
      <c r="B84" s="2259"/>
      <c r="C84" s="2260" t="s">
        <v>1905</v>
      </c>
      <c r="D84" s="2261" t="s">
        <v>1906</v>
      </c>
      <c r="E84" s="2262">
        <f>E81+E82+E83</f>
        <v>0</v>
      </c>
      <c r="F84" s="2262">
        <f t="shared" ref="F84:BB84" si="17">F81+F82+F83</f>
        <v>0</v>
      </c>
      <c r="G84" s="2262">
        <f t="shared" si="17"/>
        <v>0</v>
      </c>
      <c r="H84" s="2262">
        <f t="shared" si="17"/>
        <v>0</v>
      </c>
      <c r="I84" s="2262">
        <f t="shared" si="17"/>
        <v>0</v>
      </c>
      <c r="J84" s="2262">
        <f t="shared" si="17"/>
        <v>0</v>
      </c>
      <c r="K84" s="2262">
        <f t="shared" si="17"/>
        <v>0</v>
      </c>
      <c r="L84" s="2262">
        <f t="shared" si="17"/>
        <v>0</v>
      </c>
      <c r="M84" s="2262">
        <f t="shared" si="17"/>
        <v>0</v>
      </c>
      <c r="N84" s="2262">
        <f t="shared" si="17"/>
        <v>0</v>
      </c>
      <c r="O84" s="2262">
        <f t="shared" si="17"/>
        <v>0</v>
      </c>
      <c r="P84" s="2262">
        <f t="shared" si="17"/>
        <v>0</v>
      </c>
      <c r="Q84" s="2262">
        <f t="shared" si="17"/>
        <v>0</v>
      </c>
      <c r="R84" s="2262">
        <f t="shared" si="17"/>
        <v>0</v>
      </c>
      <c r="S84" s="2262">
        <f t="shared" si="17"/>
        <v>0</v>
      </c>
      <c r="T84" s="2262">
        <f t="shared" si="17"/>
        <v>0</v>
      </c>
      <c r="U84" s="2262">
        <f t="shared" si="17"/>
        <v>0</v>
      </c>
      <c r="V84" s="2262">
        <f t="shared" si="17"/>
        <v>0</v>
      </c>
      <c r="W84" s="2262">
        <f t="shared" si="17"/>
        <v>0</v>
      </c>
      <c r="X84" s="2262">
        <f t="shared" si="17"/>
        <v>0</v>
      </c>
      <c r="Y84" s="2262">
        <f t="shared" si="17"/>
        <v>0</v>
      </c>
      <c r="Z84" s="2262">
        <f t="shared" si="17"/>
        <v>0</v>
      </c>
      <c r="AA84" s="2262">
        <f t="shared" si="17"/>
        <v>0</v>
      </c>
      <c r="AB84" s="2262">
        <f t="shared" si="17"/>
        <v>0</v>
      </c>
      <c r="AC84" s="2262">
        <f t="shared" si="17"/>
        <v>0</v>
      </c>
      <c r="AD84" s="2262">
        <f t="shared" si="17"/>
        <v>0</v>
      </c>
      <c r="AE84" s="2263">
        <f t="shared" si="17"/>
        <v>0</v>
      </c>
      <c r="AF84" s="2262">
        <f t="shared" si="17"/>
        <v>0</v>
      </c>
      <c r="AG84" s="2262">
        <f t="shared" si="17"/>
        <v>0</v>
      </c>
      <c r="AH84" s="2262">
        <f t="shared" si="17"/>
        <v>0</v>
      </c>
      <c r="AI84" s="2262">
        <f t="shared" si="17"/>
        <v>0</v>
      </c>
      <c r="AJ84" s="2262">
        <f t="shared" si="17"/>
        <v>0</v>
      </c>
      <c r="AK84" s="2262">
        <f t="shared" si="17"/>
        <v>0</v>
      </c>
      <c r="AL84" s="2262">
        <f t="shared" si="17"/>
        <v>0</v>
      </c>
      <c r="AM84" s="2262">
        <f t="shared" si="17"/>
        <v>0</v>
      </c>
      <c r="AN84" s="2262">
        <f t="shared" si="17"/>
        <v>0</v>
      </c>
      <c r="AO84" s="2262">
        <f t="shared" si="17"/>
        <v>0</v>
      </c>
      <c r="AP84" s="2262">
        <f t="shared" si="17"/>
        <v>0</v>
      </c>
      <c r="AQ84" s="2262">
        <f t="shared" si="17"/>
        <v>0</v>
      </c>
      <c r="AR84" s="2262">
        <f t="shared" si="17"/>
        <v>0</v>
      </c>
      <c r="AS84" s="2262">
        <f t="shared" si="17"/>
        <v>0</v>
      </c>
      <c r="AT84" s="2262">
        <f t="shared" si="17"/>
        <v>0</v>
      </c>
      <c r="AU84" s="2262">
        <f t="shared" si="17"/>
        <v>0</v>
      </c>
      <c r="AV84" s="2262">
        <f t="shared" si="17"/>
        <v>0</v>
      </c>
      <c r="AW84" s="2262">
        <f t="shared" si="17"/>
        <v>0</v>
      </c>
      <c r="AX84" s="2262">
        <f t="shared" si="17"/>
        <v>0</v>
      </c>
      <c r="AY84" s="2262">
        <f t="shared" si="17"/>
        <v>0</v>
      </c>
      <c r="AZ84" s="2262">
        <f t="shared" si="17"/>
        <v>0</v>
      </c>
      <c r="BA84" s="2262">
        <f t="shared" si="17"/>
        <v>0</v>
      </c>
      <c r="BB84" s="2262">
        <f t="shared" si="17"/>
        <v>0</v>
      </c>
      <c r="BC84" s="2264"/>
      <c r="BD84" s="2208"/>
    </row>
    <row r="85" spans="2:56" ht="15" customHeight="1" outlineLevel="3">
      <c r="B85" s="2243"/>
      <c r="C85" s="2260" t="s">
        <v>1907</v>
      </c>
      <c r="D85" s="2261" t="s">
        <v>1908</v>
      </c>
      <c r="E85" s="2262">
        <v>0</v>
      </c>
      <c r="F85" s="2262">
        <v>0</v>
      </c>
      <c r="G85" s="2262">
        <v>0</v>
      </c>
      <c r="H85" s="2262">
        <v>0</v>
      </c>
      <c r="I85" s="2262">
        <v>0</v>
      </c>
      <c r="J85" s="2262">
        <v>0</v>
      </c>
      <c r="K85" s="2262">
        <v>0</v>
      </c>
      <c r="L85" s="2262">
        <v>0</v>
      </c>
      <c r="M85" s="2262">
        <v>0</v>
      </c>
      <c r="N85" s="2262">
        <v>0</v>
      </c>
      <c r="O85" s="2262">
        <v>0</v>
      </c>
      <c r="P85" s="2262">
        <v>0</v>
      </c>
      <c r="Q85" s="2262">
        <v>0</v>
      </c>
      <c r="R85" s="2262">
        <v>0</v>
      </c>
      <c r="S85" s="2262">
        <v>0</v>
      </c>
      <c r="T85" s="2262">
        <v>0</v>
      </c>
      <c r="U85" s="2262">
        <v>0</v>
      </c>
      <c r="V85" s="2262">
        <v>0</v>
      </c>
      <c r="W85" s="2262">
        <v>0</v>
      </c>
      <c r="X85" s="2262">
        <v>0</v>
      </c>
      <c r="Y85" s="2262">
        <v>0</v>
      </c>
      <c r="Z85" s="2262">
        <v>0</v>
      </c>
      <c r="AA85" s="2262">
        <v>0</v>
      </c>
      <c r="AB85" s="2262">
        <v>0</v>
      </c>
      <c r="AC85" s="2262">
        <v>0</v>
      </c>
      <c r="AD85" s="2262">
        <v>0</v>
      </c>
      <c r="AE85" s="2263">
        <v>0</v>
      </c>
      <c r="AF85" s="2262">
        <v>0</v>
      </c>
      <c r="AG85" s="2262">
        <v>0</v>
      </c>
      <c r="AH85" s="2262">
        <v>0</v>
      </c>
      <c r="AI85" s="2262">
        <v>0</v>
      </c>
      <c r="AJ85" s="2262">
        <v>0</v>
      </c>
      <c r="AK85" s="2262">
        <v>0</v>
      </c>
      <c r="AL85" s="2262">
        <v>0</v>
      </c>
      <c r="AM85" s="2262">
        <v>0</v>
      </c>
      <c r="AN85" s="2262">
        <v>0</v>
      </c>
      <c r="AO85" s="2262">
        <v>0</v>
      </c>
      <c r="AP85" s="2262">
        <v>0</v>
      </c>
      <c r="AQ85" s="2262">
        <v>0</v>
      </c>
      <c r="AR85" s="2262">
        <v>0</v>
      </c>
      <c r="AS85" s="2262">
        <v>0</v>
      </c>
      <c r="AT85" s="2262">
        <v>0</v>
      </c>
      <c r="AU85" s="2262">
        <v>0</v>
      </c>
      <c r="AV85" s="2262">
        <v>0</v>
      </c>
      <c r="AW85" s="2262">
        <v>0</v>
      </c>
      <c r="AX85" s="2262">
        <v>0</v>
      </c>
      <c r="AY85" s="2262">
        <v>0</v>
      </c>
      <c r="AZ85" s="2262">
        <v>0</v>
      </c>
      <c r="BA85" s="2262">
        <v>0</v>
      </c>
      <c r="BB85" s="2262">
        <v>0</v>
      </c>
      <c r="BC85" s="2258"/>
      <c r="BD85" s="2240"/>
    </row>
    <row r="86" spans="2:56" ht="15" customHeight="1" outlineLevel="3">
      <c r="B86" s="2243"/>
      <c r="C86" s="2244" t="s">
        <v>1579</v>
      </c>
      <c r="D86" s="2245" t="s">
        <v>1909</v>
      </c>
      <c r="E86" s="2256">
        <v>0</v>
      </c>
      <c r="F86" s="2256">
        <v>0</v>
      </c>
      <c r="G86" s="2256">
        <v>0</v>
      </c>
      <c r="H86" s="2256">
        <v>0</v>
      </c>
      <c r="I86" s="2256">
        <v>0</v>
      </c>
      <c r="J86" s="2256">
        <v>0</v>
      </c>
      <c r="K86" s="2256">
        <v>0</v>
      </c>
      <c r="L86" s="2256">
        <v>0</v>
      </c>
      <c r="M86" s="2256">
        <v>0</v>
      </c>
      <c r="N86" s="2256">
        <v>0</v>
      </c>
      <c r="O86" s="2256">
        <v>0</v>
      </c>
      <c r="P86" s="2256">
        <v>0</v>
      </c>
      <c r="Q86" s="2256">
        <v>0</v>
      </c>
      <c r="R86" s="2256">
        <v>0</v>
      </c>
      <c r="S86" s="2256">
        <v>0</v>
      </c>
      <c r="T86" s="2256">
        <v>0</v>
      </c>
      <c r="U86" s="2256">
        <v>0</v>
      </c>
      <c r="V86" s="2256">
        <v>0</v>
      </c>
      <c r="W86" s="2256">
        <v>0</v>
      </c>
      <c r="X86" s="2256">
        <v>0</v>
      </c>
      <c r="Y86" s="2256">
        <v>0</v>
      </c>
      <c r="Z86" s="2256">
        <v>0</v>
      </c>
      <c r="AA86" s="2256">
        <v>0</v>
      </c>
      <c r="AB86" s="2256">
        <v>0</v>
      </c>
      <c r="AC86" s="2256">
        <v>0</v>
      </c>
      <c r="AD86" s="2256">
        <v>0</v>
      </c>
      <c r="AE86" s="2257">
        <v>0</v>
      </c>
      <c r="AF86" s="2256">
        <v>0</v>
      </c>
      <c r="AG86" s="2256">
        <v>0</v>
      </c>
      <c r="AH86" s="2256">
        <v>0</v>
      </c>
      <c r="AI86" s="2256">
        <v>0</v>
      </c>
      <c r="AJ86" s="2256">
        <v>0</v>
      </c>
      <c r="AK86" s="2256">
        <v>0</v>
      </c>
      <c r="AL86" s="2256">
        <v>0</v>
      </c>
      <c r="AM86" s="2256">
        <v>0</v>
      </c>
      <c r="AN86" s="2256">
        <v>0</v>
      </c>
      <c r="AO86" s="2256">
        <v>0</v>
      </c>
      <c r="AP86" s="2256">
        <v>0</v>
      </c>
      <c r="AQ86" s="2256">
        <v>0</v>
      </c>
      <c r="AR86" s="2256">
        <v>0</v>
      </c>
      <c r="AS86" s="2256">
        <v>0</v>
      </c>
      <c r="AT86" s="2256">
        <v>0</v>
      </c>
      <c r="AU86" s="2256">
        <v>0</v>
      </c>
      <c r="AV86" s="2256">
        <v>0</v>
      </c>
      <c r="AW86" s="2256">
        <v>0</v>
      </c>
      <c r="AX86" s="2256">
        <v>0</v>
      </c>
      <c r="AY86" s="2256">
        <v>0</v>
      </c>
      <c r="AZ86" s="2256">
        <v>0</v>
      </c>
      <c r="BA86" s="2256">
        <v>0</v>
      </c>
      <c r="BB86" s="2256">
        <v>0</v>
      </c>
      <c r="BC86" s="2258"/>
      <c r="BD86" s="2240"/>
    </row>
    <row r="87" spans="2:56" s="2203" customFormat="1" ht="15" customHeight="1" outlineLevel="3">
      <c r="B87" s="2259"/>
      <c r="C87" s="2260" t="s">
        <v>1910</v>
      </c>
      <c r="D87" s="2261" t="s">
        <v>1911</v>
      </c>
      <c r="E87" s="2262">
        <f>E84+E85+E86</f>
        <v>0</v>
      </c>
      <c r="F87" s="2262">
        <f t="shared" ref="F87:BB87" si="18">F84+F85+F86</f>
        <v>0</v>
      </c>
      <c r="G87" s="2262">
        <f t="shared" si="18"/>
        <v>0</v>
      </c>
      <c r="H87" s="2262">
        <f t="shared" si="18"/>
        <v>0</v>
      </c>
      <c r="I87" s="2262">
        <f t="shared" si="18"/>
        <v>0</v>
      </c>
      <c r="J87" s="2262">
        <f t="shared" si="18"/>
        <v>0</v>
      </c>
      <c r="K87" s="2262">
        <f t="shared" si="18"/>
        <v>0</v>
      </c>
      <c r="L87" s="2262">
        <f t="shared" si="18"/>
        <v>0</v>
      </c>
      <c r="M87" s="2262">
        <f t="shared" si="18"/>
        <v>0</v>
      </c>
      <c r="N87" s="2262">
        <f t="shared" si="18"/>
        <v>0</v>
      </c>
      <c r="O87" s="2262">
        <f t="shared" si="18"/>
        <v>0</v>
      </c>
      <c r="P87" s="2262">
        <f t="shared" si="18"/>
        <v>0</v>
      </c>
      <c r="Q87" s="2262">
        <f t="shared" si="18"/>
        <v>0</v>
      </c>
      <c r="R87" s="2262">
        <f t="shared" si="18"/>
        <v>0</v>
      </c>
      <c r="S87" s="2262">
        <f t="shared" si="18"/>
        <v>0</v>
      </c>
      <c r="T87" s="2262">
        <f t="shared" si="18"/>
        <v>0</v>
      </c>
      <c r="U87" s="2262">
        <f t="shared" si="18"/>
        <v>0</v>
      </c>
      <c r="V87" s="2262">
        <f t="shared" si="18"/>
        <v>0</v>
      </c>
      <c r="W87" s="2262">
        <f t="shared" si="18"/>
        <v>0</v>
      </c>
      <c r="X87" s="2262">
        <f t="shared" si="18"/>
        <v>0</v>
      </c>
      <c r="Y87" s="2262">
        <f t="shared" si="18"/>
        <v>0</v>
      </c>
      <c r="Z87" s="2262">
        <f t="shared" si="18"/>
        <v>0</v>
      </c>
      <c r="AA87" s="2262">
        <f t="shared" si="18"/>
        <v>0</v>
      </c>
      <c r="AB87" s="2262">
        <f t="shared" si="18"/>
        <v>0</v>
      </c>
      <c r="AC87" s="2262">
        <f t="shared" si="18"/>
        <v>0</v>
      </c>
      <c r="AD87" s="2262">
        <f t="shared" si="18"/>
        <v>0</v>
      </c>
      <c r="AE87" s="2263">
        <f t="shared" si="18"/>
        <v>0</v>
      </c>
      <c r="AF87" s="2262">
        <f t="shared" si="18"/>
        <v>0</v>
      </c>
      <c r="AG87" s="2262">
        <f t="shared" si="18"/>
        <v>0</v>
      </c>
      <c r="AH87" s="2262">
        <f t="shared" si="18"/>
        <v>0</v>
      </c>
      <c r="AI87" s="2262">
        <f t="shared" si="18"/>
        <v>0</v>
      </c>
      <c r="AJ87" s="2262">
        <f t="shared" si="18"/>
        <v>0</v>
      </c>
      <c r="AK87" s="2262">
        <f t="shared" si="18"/>
        <v>0</v>
      </c>
      <c r="AL87" s="2262">
        <f t="shared" si="18"/>
        <v>0</v>
      </c>
      <c r="AM87" s="2262">
        <f t="shared" si="18"/>
        <v>0</v>
      </c>
      <c r="AN87" s="2262">
        <f t="shared" si="18"/>
        <v>0</v>
      </c>
      <c r="AO87" s="2262">
        <f t="shared" si="18"/>
        <v>0</v>
      </c>
      <c r="AP87" s="2262">
        <f t="shared" si="18"/>
        <v>0</v>
      </c>
      <c r="AQ87" s="2262">
        <f t="shared" si="18"/>
        <v>0</v>
      </c>
      <c r="AR87" s="2262">
        <f t="shared" si="18"/>
        <v>0</v>
      </c>
      <c r="AS87" s="2262">
        <f t="shared" si="18"/>
        <v>0</v>
      </c>
      <c r="AT87" s="2262">
        <f t="shared" si="18"/>
        <v>0</v>
      </c>
      <c r="AU87" s="2262">
        <f t="shared" si="18"/>
        <v>0</v>
      </c>
      <c r="AV87" s="2262">
        <f t="shared" si="18"/>
        <v>0</v>
      </c>
      <c r="AW87" s="2262">
        <f t="shared" si="18"/>
        <v>0</v>
      </c>
      <c r="AX87" s="2262">
        <f t="shared" si="18"/>
        <v>0</v>
      </c>
      <c r="AY87" s="2262">
        <f t="shared" si="18"/>
        <v>0</v>
      </c>
      <c r="AZ87" s="2262">
        <f t="shared" si="18"/>
        <v>0</v>
      </c>
      <c r="BA87" s="2262">
        <f t="shared" si="18"/>
        <v>0</v>
      </c>
      <c r="BB87" s="2262">
        <f t="shared" si="18"/>
        <v>0</v>
      </c>
      <c r="BC87" s="2264"/>
      <c r="BD87" s="2208"/>
    </row>
    <row r="88" spans="2:56" ht="15" customHeight="1" outlineLevel="3">
      <c r="B88" s="2243"/>
      <c r="C88" s="2260" t="s">
        <v>1930</v>
      </c>
      <c r="D88" s="2261" t="s">
        <v>1913</v>
      </c>
      <c r="E88" s="2262">
        <v>0</v>
      </c>
      <c r="F88" s="2262">
        <v>0</v>
      </c>
      <c r="G88" s="2262">
        <v>0</v>
      </c>
      <c r="H88" s="2262">
        <v>0</v>
      </c>
      <c r="I88" s="2262">
        <v>0</v>
      </c>
      <c r="J88" s="2262">
        <v>0</v>
      </c>
      <c r="K88" s="2262">
        <v>0</v>
      </c>
      <c r="L88" s="2262">
        <v>0</v>
      </c>
      <c r="M88" s="2262">
        <v>0</v>
      </c>
      <c r="N88" s="2262">
        <v>0</v>
      </c>
      <c r="O88" s="2262">
        <v>0</v>
      </c>
      <c r="P88" s="2262">
        <v>0</v>
      </c>
      <c r="Q88" s="2262">
        <v>0</v>
      </c>
      <c r="R88" s="2262">
        <v>0</v>
      </c>
      <c r="S88" s="2262">
        <v>0</v>
      </c>
      <c r="T88" s="2262">
        <v>0</v>
      </c>
      <c r="U88" s="2262">
        <v>0</v>
      </c>
      <c r="V88" s="2262">
        <v>0</v>
      </c>
      <c r="W88" s="2262">
        <v>0</v>
      </c>
      <c r="X88" s="2262">
        <v>0</v>
      </c>
      <c r="Y88" s="2262">
        <v>0</v>
      </c>
      <c r="Z88" s="2262">
        <v>0</v>
      </c>
      <c r="AA88" s="2262">
        <v>0</v>
      </c>
      <c r="AB88" s="2262">
        <v>0</v>
      </c>
      <c r="AC88" s="2262">
        <v>0</v>
      </c>
      <c r="AD88" s="2262">
        <v>0</v>
      </c>
      <c r="AE88" s="2263">
        <v>0</v>
      </c>
      <c r="AF88" s="2262">
        <v>0</v>
      </c>
      <c r="AG88" s="2262">
        <v>0</v>
      </c>
      <c r="AH88" s="2262">
        <v>0</v>
      </c>
      <c r="AI88" s="2262">
        <v>0</v>
      </c>
      <c r="AJ88" s="2262">
        <v>0</v>
      </c>
      <c r="AK88" s="2262">
        <v>0</v>
      </c>
      <c r="AL88" s="2262">
        <v>0</v>
      </c>
      <c r="AM88" s="2262">
        <v>0</v>
      </c>
      <c r="AN88" s="2262">
        <v>0</v>
      </c>
      <c r="AO88" s="2262">
        <v>0</v>
      </c>
      <c r="AP88" s="2262">
        <v>0</v>
      </c>
      <c r="AQ88" s="2262">
        <v>0</v>
      </c>
      <c r="AR88" s="2262">
        <v>0</v>
      </c>
      <c r="AS88" s="2262">
        <v>0</v>
      </c>
      <c r="AT88" s="2262">
        <v>0</v>
      </c>
      <c r="AU88" s="2262">
        <v>0</v>
      </c>
      <c r="AV88" s="2262">
        <v>0</v>
      </c>
      <c r="AW88" s="2262">
        <v>0</v>
      </c>
      <c r="AX88" s="2262">
        <v>0</v>
      </c>
      <c r="AY88" s="2262">
        <v>0</v>
      </c>
      <c r="AZ88" s="2262">
        <v>0</v>
      </c>
      <c r="BA88" s="2262">
        <v>0</v>
      </c>
      <c r="BB88" s="2262">
        <v>0</v>
      </c>
      <c r="BC88" s="2258"/>
      <c r="BD88" s="2240"/>
    </row>
    <row r="89" spans="2:56" ht="15" customHeight="1" outlineLevel="3">
      <c r="B89" s="2243"/>
      <c r="C89" s="2244" t="s">
        <v>1914</v>
      </c>
      <c r="D89" s="2245" t="s">
        <v>1915</v>
      </c>
      <c r="E89" s="2256">
        <v>0</v>
      </c>
      <c r="F89" s="2256">
        <v>0</v>
      </c>
      <c r="G89" s="2256">
        <v>0</v>
      </c>
      <c r="H89" s="2256">
        <v>0</v>
      </c>
      <c r="I89" s="2256">
        <v>0</v>
      </c>
      <c r="J89" s="2256">
        <v>0</v>
      </c>
      <c r="K89" s="2256">
        <v>0</v>
      </c>
      <c r="L89" s="2256">
        <v>0</v>
      </c>
      <c r="M89" s="2256">
        <v>0</v>
      </c>
      <c r="N89" s="2256">
        <v>0</v>
      </c>
      <c r="O89" s="2256">
        <v>0</v>
      </c>
      <c r="P89" s="2256">
        <v>0</v>
      </c>
      <c r="Q89" s="2256">
        <v>0</v>
      </c>
      <c r="R89" s="2256">
        <v>0</v>
      </c>
      <c r="S89" s="2256">
        <v>0</v>
      </c>
      <c r="T89" s="2256">
        <v>0</v>
      </c>
      <c r="U89" s="2256">
        <v>0</v>
      </c>
      <c r="V89" s="2256">
        <v>0</v>
      </c>
      <c r="W89" s="2256">
        <v>0</v>
      </c>
      <c r="X89" s="2256">
        <v>0</v>
      </c>
      <c r="Y89" s="2256">
        <v>0</v>
      </c>
      <c r="Z89" s="2256">
        <v>0</v>
      </c>
      <c r="AA89" s="2256">
        <v>0</v>
      </c>
      <c r="AB89" s="2256">
        <v>0</v>
      </c>
      <c r="AC89" s="2256">
        <v>0</v>
      </c>
      <c r="AD89" s="2256">
        <v>0</v>
      </c>
      <c r="AE89" s="2257">
        <v>0</v>
      </c>
      <c r="AF89" s="2256">
        <v>0</v>
      </c>
      <c r="AG89" s="2256">
        <v>0</v>
      </c>
      <c r="AH89" s="2256">
        <v>0</v>
      </c>
      <c r="AI89" s="2256">
        <v>0</v>
      </c>
      <c r="AJ89" s="2256">
        <v>0</v>
      </c>
      <c r="AK89" s="2256">
        <v>0</v>
      </c>
      <c r="AL89" s="2256">
        <v>0</v>
      </c>
      <c r="AM89" s="2256">
        <v>0</v>
      </c>
      <c r="AN89" s="2256">
        <v>0</v>
      </c>
      <c r="AO89" s="2256">
        <v>0</v>
      </c>
      <c r="AP89" s="2256">
        <v>0</v>
      </c>
      <c r="AQ89" s="2256">
        <v>0</v>
      </c>
      <c r="AR89" s="2256">
        <v>0</v>
      </c>
      <c r="AS89" s="2256">
        <v>0</v>
      </c>
      <c r="AT89" s="2256">
        <v>0</v>
      </c>
      <c r="AU89" s="2256">
        <v>0</v>
      </c>
      <c r="AV89" s="2256">
        <v>0</v>
      </c>
      <c r="AW89" s="2256">
        <v>0</v>
      </c>
      <c r="AX89" s="2256">
        <v>0</v>
      </c>
      <c r="AY89" s="2256">
        <v>0</v>
      </c>
      <c r="AZ89" s="2256">
        <v>0</v>
      </c>
      <c r="BA89" s="2256">
        <v>0</v>
      </c>
      <c r="BB89" s="2256">
        <v>0</v>
      </c>
      <c r="BC89" s="2258"/>
      <c r="BD89" s="2240"/>
    </row>
    <row r="90" spans="2:56" s="2203" customFormat="1" ht="15" customHeight="1" outlineLevel="3">
      <c r="B90" s="2259"/>
      <c r="C90" s="2260" t="s">
        <v>1916</v>
      </c>
      <c r="D90" s="2261" t="s">
        <v>1917</v>
      </c>
      <c r="E90" s="2262">
        <f>E87+E88+E89</f>
        <v>0</v>
      </c>
      <c r="F90" s="2262">
        <f t="shared" ref="F90:BB90" si="19">F87+F88+F89</f>
        <v>0</v>
      </c>
      <c r="G90" s="2262">
        <f t="shared" si="19"/>
        <v>0</v>
      </c>
      <c r="H90" s="2262">
        <f t="shared" si="19"/>
        <v>0</v>
      </c>
      <c r="I90" s="2262">
        <f t="shared" si="19"/>
        <v>0</v>
      </c>
      <c r="J90" s="2262">
        <f t="shared" si="19"/>
        <v>0</v>
      </c>
      <c r="K90" s="2262">
        <f t="shared" si="19"/>
        <v>0</v>
      </c>
      <c r="L90" s="2262">
        <f t="shared" si="19"/>
        <v>0</v>
      </c>
      <c r="M90" s="2262">
        <f t="shared" si="19"/>
        <v>0</v>
      </c>
      <c r="N90" s="2262">
        <f t="shared" si="19"/>
        <v>0</v>
      </c>
      <c r="O90" s="2262">
        <f t="shared" si="19"/>
        <v>0</v>
      </c>
      <c r="P90" s="2262">
        <f t="shared" si="19"/>
        <v>0</v>
      </c>
      <c r="Q90" s="2262">
        <f t="shared" si="19"/>
        <v>0</v>
      </c>
      <c r="R90" s="2262">
        <f t="shared" si="19"/>
        <v>0</v>
      </c>
      <c r="S90" s="2262">
        <f t="shared" si="19"/>
        <v>0</v>
      </c>
      <c r="T90" s="2262">
        <f t="shared" si="19"/>
        <v>0</v>
      </c>
      <c r="U90" s="2262">
        <f t="shared" si="19"/>
        <v>0</v>
      </c>
      <c r="V90" s="2262">
        <f t="shared" si="19"/>
        <v>0</v>
      </c>
      <c r="W90" s="2262">
        <f t="shared" si="19"/>
        <v>0</v>
      </c>
      <c r="X90" s="2262">
        <f t="shared" si="19"/>
        <v>0</v>
      </c>
      <c r="Y90" s="2262">
        <f t="shared" si="19"/>
        <v>0</v>
      </c>
      <c r="Z90" s="2262">
        <f t="shared" si="19"/>
        <v>0</v>
      </c>
      <c r="AA90" s="2262">
        <f t="shared" si="19"/>
        <v>0</v>
      </c>
      <c r="AB90" s="2262">
        <f t="shared" si="19"/>
        <v>0</v>
      </c>
      <c r="AC90" s="2262">
        <f t="shared" si="19"/>
        <v>0</v>
      </c>
      <c r="AD90" s="2262">
        <f t="shared" si="19"/>
        <v>0</v>
      </c>
      <c r="AE90" s="2263">
        <f t="shared" si="19"/>
        <v>0</v>
      </c>
      <c r="AF90" s="2262">
        <f t="shared" si="19"/>
        <v>0</v>
      </c>
      <c r="AG90" s="2262">
        <f t="shared" si="19"/>
        <v>0</v>
      </c>
      <c r="AH90" s="2262">
        <f t="shared" si="19"/>
        <v>0</v>
      </c>
      <c r="AI90" s="2262">
        <f t="shared" si="19"/>
        <v>0</v>
      </c>
      <c r="AJ90" s="2262">
        <f t="shared" si="19"/>
        <v>0</v>
      </c>
      <c r="AK90" s="2262">
        <f t="shared" si="19"/>
        <v>0</v>
      </c>
      <c r="AL90" s="2262">
        <f t="shared" si="19"/>
        <v>0</v>
      </c>
      <c r="AM90" s="2262">
        <f t="shared" si="19"/>
        <v>0</v>
      </c>
      <c r="AN90" s="2262">
        <f t="shared" si="19"/>
        <v>0</v>
      </c>
      <c r="AO90" s="2262">
        <f t="shared" si="19"/>
        <v>0</v>
      </c>
      <c r="AP90" s="2262">
        <f t="shared" si="19"/>
        <v>0</v>
      </c>
      <c r="AQ90" s="2262">
        <f t="shared" si="19"/>
        <v>0</v>
      </c>
      <c r="AR90" s="2262">
        <f t="shared" si="19"/>
        <v>0</v>
      </c>
      <c r="AS90" s="2262">
        <f t="shared" si="19"/>
        <v>0</v>
      </c>
      <c r="AT90" s="2262">
        <f t="shared" si="19"/>
        <v>0</v>
      </c>
      <c r="AU90" s="2262">
        <f t="shared" si="19"/>
        <v>0</v>
      </c>
      <c r="AV90" s="2262">
        <f t="shared" si="19"/>
        <v>0</v>
      </c>
      <c r="AW90" s="2262">
        <f t="shared" si="19"/>
        <v>0</v>
      </c>
      <c r="AX90" s="2262">
        <f t="shared" si="19"/>
        <v>0</v>
      </c>
      <c r="AY90" s="2262">
        <f t="shared" si="19"/>
        <v>0</v>
      </c>
      <c r="AZ90" s="2262">
        <f t="shared" si="19"/>
        <v>0</v>
      </c>
      <c r="BA90" s="2262">
        <f t="shared" si="19"/>
        <v>0</v>
      </c>
      <c r="BB90" s="2262">
        <f t="shared" si="19"/>
        <v>0</v>
      </c>
      <c r="BC90" s="2264"/>
      <c r="BD90" s="2208"/>
    </row>
    <row r="91" spans="2:56" ht="15" customHeight="1" outlineLevel="3">
      <c r="B91" s="2243"/>
      <c r="C91" s="2244" t="s">
        <v>1918</v>
      </c>
      <c r="D91" s="2245" t="s">
        <v>1919</v>
      </c>
      <c r="E91" s="2256">
        <v>0</v>
      </c>
      <c r="F91" s="2256">
        <v>0</v>
      </c>
      <c r="G91" s="2256">
        <v>0</v>
      </c>
      <c r="H91" s="2256">
        <v>0</v>
      </c>
      <c r="I91" s="2256">
        <v>0</v>
      </c>
      <c r="J91" s="2256">
        <v>0</v>
      </c>
      <c r="K91" s="2256">
        <v>0</v>
      </c>
      <c r="L91" s="2256">
        <v>0</v>
      </c>
      <c r="M91" s="2256">
        <v>0</v>
      </c>
      <c r="N91" s="2256">
        <v>0</v>
      </c>
      <c r="O91" s="2256">
        <v>0</v>
      </c>
      <c r="P91" s="2256">
        <v>0</v>
      </c>
      <c r="Q91" s="2256">
        <v>0</v>
      </c>
      <c r="R91" s="2256">
        <v>0</v>
      </c>
      <c r="S91" s="2256">
        <v>0</v>
      </c>
      <c r="T91" s="2256">
        <v>0</v>
      </c>
      <c r="U91" s="2256">
        <v>0</v>
      </c>
      <c r="V91" s="2256">
        <v>0</v>
      </c>
      <c r="W91" s="2256">
        <v>0</v>
      </c>
      <c r="X91" s="2256">
        <v>0</v>
      </c>
      <c r="Y91" s="2256">
        <v>0</v>
      </c>
      <c r="Z91" s="2256">
        <v>0</v>
      </c>
      <c r="AA91" s="2256">
        <v>0</v>
      </c>
      <c r="AB91" s="2256">
        <v>0</v>
      </c>
      <c r="AC91" s="2256">
        <v>0</v>
      </c>
      <c r="AD91" s="2256">
        <v>0</v>
      </c>
      <c r="AE91" s="2257">
        <v>0</v>
      </c>
      <c r="AF91" s="2256">
        <v>0</v>
      </c>
      <c r="AG91" s="2256">
        <v>0</v>
      </c>
      <c r="AH91" s="2256">
        <v>0</v>
      </c>
      <c r="AI91" s="2256">
        <v>0</v>
      </c>
      <c r="AJ91" s="2256">
        <v>0</v>
      </c>
      <c r="AK91" s="2256">
        <v>0</v>
      </c>
      <c r="AL91" s="2256">
        <v>0</v>
      </c>
      <c r="AM91" s="2256">
        <v>0</v>
      </c>
      <c r="AN91" s="2256">
        <v>0</v>
      </c>
      <c r="AO91" s="2256">
        <v>0</v>
      </c>
      <c r="AP91" s="2256">
        <v>0</v>
      </c>
      <c r="AQ91" s="2256">
        <v>0</v>
      </c>
      <c r="AR91" s="2256">
        <v>0</v>
      </c>
      <c r="AS91" s="2256">
        <v>0</v>
      </c>
      <c r="AT91" s="2256">
        <v>0</v>
      </c>
      <c r="AU91" s="2256">
        <v>0</v>
      </c>
      <c r="AV91" s="2256">
        <v>0</v>
      </c>
      <c r="AW91" s="2256">
        <v>0</v>
      </c>
      <c r="AX91" s="2256">
        <v>0</v>
      </c>
      <c r="AY91" s="2256">
        <v>0</v>
      </c>
      <c r="AZ91" s="2256">
        <v>0</v>
      </c>
      <c r="BA91" s="2256">
        <v>0</v>
      </c>
      <c r="BB91" s="2256">
        <v>0</v>
      </c>
      <c r="BC91" s="2258"/>
      <c r="BD91" s="2240"/>
    </row>
    <row r="92" spans="2:56" ht="15" customHeight="1" outlineLevel="3">
      <c r="B92" s="2243"/>
      <c r="C92" s="2244" t="s">
        <v>1920</v>
      </c>
      <c r="D92" s="2245" t="s">
        <v>1921</v>
      </c>
      <c r="E92" s="2256">
        <v>0</v>
      </c>
      <c r="F92" s="2256">
        <v>0</v>
      </c>
      <c r="G92" s="2256">
        <v>0</v>
      </c>
      <c r="H92" s="2256">
        <v>0</v>
      </c>
      <c r="I92" s="2256">
        <v>0</v>
      </c>
      <c r="J92" s="2256">
        <v>0</v>
      </c>
      <c r="K92" s="2256">
        <v>0</v>
      </c>
      <c r="L92" s="2256">
        <v>0</v>
      </c>
      <c r="M92" s="2256">
        <v>0</v>
      </c>
      <c r="N92" s="2256">
        <v>0</v>
      </c>
      <c r="O92" s="2256">
        <v>0</v>
      </c>
      <c r="P92" s="2256">
        <v>0</v>
      </c>
      <c r="Q92" s="2256">
        <v>0</v>
      </c>
      <c r="R92" s="2256">
        <v>0</v>
      </c>
      <c r="S92" s="2256">
        <v>0</v>
      </c>
      <c r="T92" s="2256">
        <v>0</v>
      </c>
      <c r="U92" s="2256">
        <v>0</v>
      </c>
      <c r="V92" s="2256">
        <v>0</v>
      </c>
      <c r="W92" s="2256">
        <v>0</v>
      </c>
      <c r="X92" s="2256">
        <v>0</v>
      </c>
      <c r="Y92" s="2256">
        <v>0</v>
      </c>
      <c r="Z92" s="2256">
        <v>0</v>
      </c>
      <c r="AA92" s="2256">
        <v>0</v>
      </c>
      <c r="AB92" s="2256">
        <v>0</v>
      </c>
      <c r="AC92" s="2256">
        <v>0</v>
      </c>
      <c r="AD92" s="2256">
        <v>0</v>
      </c>
      <c r="AE92" s="2257">
        <v>0</v>
      </c>
      <c r="AF92" s="2256">
        <v>0</v>
      </c>
      <c r="AG92" s="2256">
        <v>0</v>
      </c>
      <c r="AH92" s="2256">
        <v>0</v>
      </c>
      <c r="AI92" s="2256">
        <v>0</v>
      </c>
      <c r="AJ92" s="2256">
        <v>0</v>
      </c>
      <c r="AK92" s="2256">
        <v>0</v>
      </c>
      <c r="AL92" s="2256">
        <v>0</v>
      </c>
      <c r="AM92" s="2256">
        <v>0</v>
      </c>
      <c r="AN92" s="2256">
        <v>0</v>
      </c>
      <c r="AO92" s="2256">
        <v>0</v>
      </c>
      <c r="AP92" s="2256">
        <v>0</v>
      </c>
      <c r="AQ92" s="2256">
        <v>0</v>
      </c>
      <c r="AR92" s="2256">
        <v>0</v>
      </c>
      <c r="AS92" s="2256">
        <v>0</v>
      </c>
      <c r="AT92" s="2256">
        <v>0</v>
      </c>
      <c r="AU92" s="2256">
        <v>0</v>
      </c>
      <c r="AV92" s="2256">
        <v>0</v>
      </c>
      <c r="AW92" s="2256">
        <v>0</v>
      </c>
      <c r="AX92" s="2256">
        <v>0</v>
      </c>
      <c r="AY92" s="2256">
        <v>0</v>
      </c>
      <c r="AZ92" s="2256">
        <v>0</v>
      </c>
      <c r="BA92" s="2256">
        <v>0</v>
      </c>
      <c r="BB92" s="2256">
        <v>0</v>
      </c>
      <c r="BC92" s="2258"/>
      <c r="BD92" s="2240"/>
    </row>
    <row r="93" spans="2:56" ht="15" customHeight="1" outlineLevel="3">
      <c r="B93" s="2243"/>
      <c r="C93" s="2244" t="s">
        <v>1922</v>
      </c>
      <c r="D93" s="2245" t="s">
        <v>1923</v>
      </c>
      <c r="E93" s="2256">
        <v>0</v>
      </c>
      <c r="F93" s="2256">
        <v>0</v>
      </c>
      <c r="G93" s="2256">
        <v>0</v>
      </c>
      <c r="H93" s="2256">
        <v>0</v>
      </c>
      <c r="I93" s="2256">
        <v>0</v>
      </c>
      <c r="J93" s="2256">
        <v>0</v>
      </c>
      <c r="K93" s="2256">
        <v>0</v>
      </c>
      <c r="L93" s="2256">
        <v>0</v>
      </c>
      <c r="M93" s="2256">
        <v>0</v>
      </c>
      <c r="N93" s="2256">
        <v>0</v>
      </c>
      <c r="O93" s="2256">
        <v>0</v>
      </c>
      <c r="P93" s="2256">
        <v>0</v>
      </c>
      <c r="Q93" s="2256">
        <v>0</v>
      </c>
      <c r="R93" s="2256">
        <v>0</v>
      </c>
      <c r="S93" s="2256">
        <v>0</v>
      </c>
      <c r="T93" s="2256">
        <v>0</v>
      </c>
      <c r="U93" s="2256">
        <v>0</v>
      </c>
      <c r="V93" s="2256">
        <v>0</v>
      </c>
      <c r="W93" s="2256">
        <v>0</v>
      </c>
      <c r="X93" s="2256">
        <v>0</v>
      </c>
      <c r="Y93" s="2256">
        <v>0</v>
      </c>
      <c r="Z93" s="2256">
        <v>0</v>
      </c>
      <c r="AA93" s="2256">
        <v>0</v>
      </c>
      <c r="AB93" s="2256">
        <v>0</v>
      </c>
      <c r="AC93" s="2256">
        <v>0</v>
      </c>
      <c r="AD93" s="2256">
        <v>0</v>
      </c>
      <c r="AE93" s="2257">
        <v>0</v>
      </c>
      <c r="AF93" s="2256">
        <v>0</v>
      </c>
      <c r="AG93" s="2256">
        <v>0</v>
      </c>
      <c r="AH93" s="2256">
        <v>0</v>
      </c>
      <c r="AI93" s="2256">
        <v>0</v>
      </c>
      <c r="AJ93" s="2256">
        <v>0</v>
      </c>
      <c r="AK93" s="2256">
        <v>0</v>
      </c>
      <c r="AL93" s="2256">
        <v>0</v>
      </c>
      <c r="AM93" s="2256">
        <v>0</v>
      </c>
      <c r="AN93" s="2256">
        <v>0</v>
      </c>
      <c r="AO93" s="2256">
        <v>0</v>
      </c>
      <c r="AP93" s="2256">
        <v>0</v>
      </c>
      <c r="AQ93" s="2256">
        <v>0</v>
      </c>
      <c r="AR93" s="2256">
        <v>0</v>
      </c>
      <c r="AS93" s="2256">
        <v>0</v>
      </c>
      <c r="AT93" s="2256">
        <v>0</v>
      </c>
      <c r="AU93" s="2256">
        <v>0</v>
      </c>
      <c r="AV93" s="2256">
        <v>0</v>
      </c>
      <c r="AW93" s="2256">
        <v>0</v>
      </c>
      <c r="AX93" s="2256">
        <v>0</v>
      </c>
      <c r="AY93" s="2256">
        <v>0</v>
      </c>
      <c r="AZ93" s="2256">
        <v>0</v>
      </c>
      <c r="BA93" s="2256">
        <v>0</v>
      </c>
      <c r="BB93" s="2256">
        <v>0</v>
      </c>
      <c r="BC93" s="2258"/>
      <c r="BD93" s="2240"/>
    </row>
    <row r="94" spans="2:56" s="2203" customFormat="1" ht="15" customHeight="1" outlineLevel="2">
      <c r="B94" s="2259"/>
      <c r="C94" s="2260" t="s">
        <v>1924</v>
      </c>
      <c r="D94" s="2261" t="s">
        <v>1925</v>
      </c>
      <c r="E94" s="2262">
        <f t="shared" ref="E94:BB94" si="20">E90+E91+E92+E93</f>
        <v>0</v>
      </c>
      <c r="F94" s="2262">
        <f t="shared" si="20"/>
        <v>0</v>
      </c>
      <c r="G94" s="2262">
        <f t="shared" si="20"/>
        <v>0</v>
      </c>
      <c r="H94" s="2262">
        <f t="shared" si="20"/>
        <v>0</v>
      </c>
      <c r="I94" s="2262">
        <f t="shared" si="20"/>
        <v>0</v>
      </c>
      <c r="J94" s="2262">
        <f t="shared" si="20"/>
        <v>0</v>
      </c>
      <c r="K94" s="2262">
        <f t="shared" si="20"/>
        <v>0</v>
      </c>
      <c r="L94" s="2262">
        <f t="shared" si="20"/>
        <v>0</v>
      </c>
      <c r="M94" s="2262">
        <f t="shared" si="20"/>
        <v>0</v>
      </c>
      <c r="N94" s="2262">
        <f t="shared" si="20"/>
        <v>0</v>
      </c>
      <c r="O94" s="2262">
        <f t="shared" si="20"/>
        <v>0</v>
      </c>
      <c r="P94" s="2262">
        <f t="shared" si="20"/>
        <v>0</v>
      </c>
      <c r="Q94" s="2262">
        <f t="shared" si="20"/>
        <v>0</v>
      </c>
      <c r="R94" s="2262">
        <f t="shared" si="20"/>
        <v>0</v>
      </c>
      <c r="S94" s="2262">
        <f t="shared" si="20"/>
        <v>0</v>
      </c>
      <c r="T94" s="2262">
        <f t="shared" si="20"/>
        <v>0</v>
      </c>
      <c r="U94" s="2262">
        <f t="shared" si="20"/>
        <v>0</v>
      </c>
      <c r="V94" s="2262">
        <f t="shared" si="20"/>
        <v>0</v>
      </c>
      <c r="W94" s="2262">
        <f t="shared" si="20"/>
        <v>0</v>
      </c>
      <c r="X94" s="2262">
        <f t="shared" si="20"/>
        <v>0</v>
      </c>
      <c r="Y94" s="2262">
        <f t="shared" si="20"/>
        <v>0</v>
      </c>
      <c r="Z94" s="2262">
        <f t="shared" si="20"/>
        <v>0</v>
      </c>
      <c r="AA94" s="2262">
        <f t="shared" si="20"/>
        <v>0</v>
      </c>
      <c r="AB94" s="2262">
        <f t="shared" si="20"/>
        <v>0</v>
      </c>
      <c r="AC94" s="2262">
        <f t="shared" si="20"/>
        <v>0</v>
      </c>
      <c r="AD94" s="2262">
        <f t="shared" si="20"/>
        <v>0</v>
      </c>
      <c r="AE94" s="2263">
        <f t="shared" si="20"/>
        <v>0</v>
      </c>
      <c r="AF94" s="2262">
        <f t="shared" si="20"/>
        <v>0</v>
      </c>
      <c r="AG94" s="2262">
        <f t="shared" si="20"/>
        <v>0</v>
      </c>
      <c r="AH94" s="2262">
        <f t="shared" si="20"/>
        <v>0</v>
      </c>
      <c r="AI94" s="2262">
        <f t="shared" si="20"/>
        <v>0</v>
      </c>
      <c r="AJ94" s="2262">
        <f t="shared" si="20"/>
        <v>0</v>
      </c>
      <c r="AK94" s="2262">
        <f t="shared" si="20"/>
        <v>0</v>
      </c>
      <c r="AL94" s="2262">
        <f t="shared" si="20"/>
        <v>0</v>
      </c>
      <c r="AM94" s="2262">
        <f t="shared" si="20"/>
        <v>0</v>
      </c>
      <c r="AN94" s="2262">
        <f t="shared" si="20"/>
        <v>0</v>
      </c>
      <c r="AO94" s="2262">
        <f t="shared" si="20"/>
        <v>0</v>
      </c>
      <c r="AP94" s="2262">
        <f t="shared" si="20"/>
        <v>0</v>
      </c>
      <c r="AQ94" s="2262">
        <f t="shared" si="20"/>
        <v>0</v>
      </c>
      <c r="AR94" s="2262">
        <f t="shared" si="20"/>
        <v>0</v>
      </c>
      <c r="AS94" s="2262">
        <f t="shared" si="20"/>
        <v>0</v>
      </c>
      <c r="AT94" s="2262">
        <f t="shared" si="20"/>
        <v>0</v>
      </c>
      <c r="AU94" s="2262">
        <f t="shared" si="20"/>
        <v>0</v>
      </c>
      <c r="AV94" s="2262">
        <f t="shared" si="20"/>
        <v>0</v>
      </c>
      <c r="AW94" s="2262">
        <f t="shared" si="20"/>
        <v>0</v>
      </c>
      <c r="AX94" s="2262">
        <f t="shared" si="20"/>
        <v>0</v>
      </c>
      <c r="AY94" s="2262">
        <f t="shared" si="20"/>
        <v>0</v>
      </c>
      <c r="AZ94" s="2262">
        <f t="shared" si="20"/>
        <v>0</v>
      </c>
      <c r="BA94" s="2262">
        <f t="shared" si="20"/>
        <v>0</v>
      </c>
      <c r="BB94" s="2262">
        <f t="shared" si="20"/>
        <v>0</v>
      </c>
      <c r="BC94" s="2264"/>
      <c r="BD94" s="2208"/>
    </row>
    <row r="95" spans="2:56" s="2203" customFormat="1" ht="15" customHeight="1" outlineLevel="2">
      <c r="B95" s="2259"/>
      <c r="C95" s="2260" t="s">
        <v>1926</v>
      </c>
      <c r="D95" s="2261" t="s">
        <v>1927</v>
      </c>
      <c r="E95" s="2262">
        <f>E94</f>
        <v>0</v>
      </c>
      <c r="F95" s="2262">
        <f t="shared" ref="F95:BB95" si="21">F94-E94</f>
        <v>0</v>
      </c>
      <c r="G95" s="2262">
        <f t="shared" si="21"/>
        <v>0</v>
      </c>
      <c r="H95" s="2262">
        <f t="shared" si="21"/>
        <v>0</v>
      </c>
      <c r="I95" s="2262">
        <f t="shared" si="21"/>
        <v>0</v>
      </c>
      <c r="J95" s="2262">
        <f t="shared" si="21"/>
        <v>0</v>
      </c>
      <c r="K95" s="2262">
        <f t="shared" si="21"/>
        <v>0</v>
      </c>
      <c r="L95" s="2262">
        <f t="shared" si="21"/>
        <v>0</v>
      </c>
      <c r="M95" s="2262">
        <f t="shared" si="21"/>
        <v>0</v>
      </c>
      <c r="N95" s="2262">
        <f t="shared" si="21"/>
        <v>0</v>
      </c>
      <c r="O95" s="2262">
        <f t="shared" si="21"/>
        <v>0</v>
      </c>
      <c r="P95" s="2262">
        <f t="shared" si="21"/>
        <v>0</v>
      </c>
      <c r="Q95" s="2262">
        <f t="shared" si="21"/>
        <v>0</v>
      </c>
      <c r="R95" s="2262">
        <f t="shared" si="21"/>
        <v>0</v>
      </c>
      <c r="S95" s="2262">
        <f t="shared" si="21"/>
        <v>0</v>
      </c>
      <c r="T95" s="2262">
        <f t="shared" si="21"/>
        <v>0</v>
      </c>
      <c r="U95" s="2262">
        <f t="shared" si="21"/>
        <v>0</v>
      </c>
      <c r="V95" s="2262">
        <f t="shared" si="21"/>
        <v>0</v>
      </c>
      <c r="W95" s="2262">
        <f t="shared" si="21"/>
        <v>0</v>
      </c>
      <c r="X95" s="2262">
        <f t="shared" si="21"/>
        <v>0</v>
      </c>
      <c r="Y95" s="2262">
        <f t="shared" si="21"/>
        <v>0</v>
      </c>
      <c r="Z95" s="2262">
        <f t="shared" si="21"/>
        <v>0</v>
      </c>
      <c r="AA95" s="2262">
        <f t="shared" si="21"/>
        <v>0</v>
      </c>
      <c r="AB95" s="2262">
        <f t="shared" si="21"/>
        <v>0</v>
      </c>
      <c r="AC95" s="2262">
        <f t="shared" si="21"/>
        <v>0</v>
      </c>
      <c r="AD95" s="2262">
        <f t="shared" si="21"/>
        <v>0</v>
      </c>
      <c r="AE95" s="2263">
        <f t="shared" si="21"/>
        <v>0</v>
      </c>
      <c r="AF95" s="2262">
        <f t="shared" si="21"/>
        <v>0</v>
      </c>
      <c r="AG95" s="2262">
        <f t="shared" si="21"/>
        <v>0</v>
      </c>
      <c r="AH95" s="2262">
        <f t="shared" si="21"/>
        <v>0</v>
      </c>
      <c r="AI95" s="2262">
        <f t="shared" si="21"/>
        <v>0</v>
      </c>
      <c r="AJ95" s="2262">
        <f t="shared" si="21"/>
        <v>0</v>
      </c>
      <c r="AK95" s="2262">
        <f t="shared" si="21"/>
        <v>0</v>
      </c>
      <c r="AL95" s="2262">
        <f t="shared" si="21"/>
        <v>0</v>
      </c>
      <c r="AM95" s="2262">
        <f t="shared" si="21"/>
        <v>0</v>
      </c>
      <c r="AN95" s="2262">
        <f t="shared" si="21"/>
        <v>0</v>
      </c>
      <c r="AO95" s="2262">
        <f t="shared" si="21"/>
        <v>0</v>
      </c>
      <c r="AP95" s="2262">
        <f t="shared" si="21"/>
        <v>0</v>
      </c>
      <c r="AQ95" s="2262">
        <f t="shared" si="21"/>
        <v>0</v>
      </c>
      <c r="AR95" s="2262">
        <f t="shared" si="21"/>
        <v>0</v>
      </c>
      <c r="AS95" s="2262">
        <f t="shared" si="21"/>
        <v>0</v>
      </c>
      <c r="AT95" s="2262">
        <f t="shared" si="21"/>
        <v>0</v>
      </c>
      <c r="AU95" s="2262">
        <f t="shared" si="21"/>
        <v>0</v>
      </c>
      <c r="AV95" s="2262">
        <f t="shared" si="21"/>
        <v>0</v>
      </c>
      <c r="AW95" s="2262">
        <f t="shared" si="21"/>
        <v>0</v>
      </c>
      <c r="AX95" s="2262">
        <f t="shared" si="21"/>
        <v>0</v>
      </c>
      <c r="AY95" s="2262">
        <f t="shared" si="21"/>
        <v>0</v>
      </c>
      <c r="AZ95" s="2262">
        <f t="shared" si="21"/>
        <v>0</v>
      </c>
      <c r="BA95" s="2262">
        <f>BA94-AP94</f>
        <v>0</v>
      </c>
      <c r="BB95" s="2262">
        <f t="shared" si="21"/>
        <v>0</v>
      </c>
      <c r="BC95" s="2264"/>
      <c r="BD95" s="2208"/>
    </row>
    <row r="96" spans="2:56" ht="15" customHeight="1" outlineLevel="2">
      <c r="B96" s="2243"/>
      <c r="C96" s="2265"/>
      <c r="D96" s="2245"/>
      <c r="E96" s="2256"/>
      <c r="F96" s="2256"/>
      <c r="G96" s="2256"/>
      <c r="H96" s="2256"/>
      <c r="I96" s="2256"/>
      <c r="J96" s="2256"/>
      <c r="K96" s="2256"/>
      <c r="L96" s="2256"/>
      <c r="M96" s="2256"/>
      <c r="N96" s="2256"/>
      <c r="O96" s="2256"/>
      <c r="P96" s="2256"/>
      <c r="Q96" s="2256"/>
      <c r="R96" s="2256"/>
      <c r="S96" s="2256"/>
      <c r="T96" s="2256"/>
      <c r="U96" s="2256"/>
      <c r="V96" s="2256"/>
      <c r="W96" s="2256"/>
      <c r="X96" s="2256"/>
      <c r="Y96" s="2256"/>
      <c r="Z96" s="2256"/>
      <c r="AA96" s="2256"/>
      <c r="AB96" s="2256"/>
      <c r="AC96" s="2256"/>
      <c r="AD96" s="2256"/>
      <c r="AE96" s="2257"/>
      <c r="AF96" s="2256"/>
      <c r="AG96" s="2256"/>
      <c r="AH96" s="2256"/>
      <c r="AI96" s="2256"/>
      <c r="AJ96" s="2256"/>
      <c r="AK96" s="2256"/>
      <c r="AL96" s="2256"/>
      <c r="AM96" s="2256"/>
      <c r="AN96" s="2256"/>
      <c r="AO96" s="2256"/>
      <c r="AP96" s="2256"/>
      <c r="AQ96" s="2256"/>
      <c r="AR96" s="2256"/>
      <c r="AS96" s="2256"/>
      <c r="AT96" s="2256"/>
      <c r="AU96" s="2256"/>
      <c r="AV96" s="2256"/>
      <c r="AW96" s="2256"/>
      <c r="AX96" s="2256"/>
      <c r="AY96" s="2256"/>
      <c r="AZ96" s="2256"/>
      <c r="BA96" s="2256"/>
      <c r="BB96" s="2256"/>
      <c r="BC96" s="2258"/>
      <c r="BD96" s="2240"/>
    </row>
    <row r="97" spans="2:57" ht="16.5" customHeight="1" outlineLevel="2">
      <c r="B97" s="2243"/>
      <c r="C97" s="2265"/>
      <c r="D97" s="2245"/>
      <c r="E97" s="2262"/>
      <c r="F97" s="2262"/>
      <c r="G97" s="2262"/>
      <c r="H97" s="2262"/>
      <c r="I97" s="2262"/>
      <c r="J97" s="2262"/>
      <c r="K97" s="2262"/>
      <c r="L97" s="2262"/>
      <c r="M97" s="2262"/>
      <c r="N97" s="2256"/>
      <c r="O97" s="2256"/>
      <c r="P97" s="2256"/>
      <c r="Q97" s="2256"/>
      <c r="R97" s="2256"/>
      <c r="S97" s="2256"/>
      <c r="T97" s="2256"/>
      <c r="U97" s="2256"/>
      <c r="V97" s="2256"/>
      <c r="W97" s="2256"/>
      <c r="X97" s="2256"/>
      <c r="Y97" s="2256"/>
      <c r="Z97" s="2256"/>
      <c r="AA97" s="2256"/>
      <c r="AB97" s="2256"/>
      <c r="AC97" s="2256"/>
      <c r="AD97" s="2256"/>
      <c r="AE97" s="2257"/>
      <c r="AF97" s="2256"/>
      <c r="AG97" s="2256"/>
      <c r="AH97" s="2256"/>
      <c r="AI97" s="2256"/>
      <c r="AJ97" s="2256"/>
      <c r="AK97" s="2256"/>
      <c r="AL97" s="2256"/>
      <c r="AM97" s="2256"/>
      <c r="AN97" s="2256"/>
      <c r="AO97" s="2256"/>
      <c r="AP97" s="2256"/>
      <c r="AQ97" s="2256"/>
      <c r="AR97" s="2256"/>
      <c r="AS97" s="2256"/>
      <c r="AT97" s="2256"/>
      <c r="AU97" s="2256"/>
      <c r="AV97" s="2256"/>
      <c r="AW97" s="2256"/>
      <c r="AX97" s="2256"/>
      <c r="AY97" s="2256"/>
      <c r="AZ97" s="2256"/>
      <c r="BA97" s="2256"/>
      <c r="BB97" s="2256"/>
      <c r="BC97" s="2258"/>
      <c r="BD97" s="2240"/>
    </row>
    <row r="98" spans="2:57" outlineLevel="1">
      <c r="B98" s="2266">
        <v>300</v>
      </c>
      <c r="C98" s="2267" t="s">
        <v>1931</v>
      </c>
      <c r="D98" s="2268" t="s">
        <v>1896</v>
      </c>
      <c r="E98" s="2269">
        <f>E115</f>
        <v>0</v>
      </c>
      <c r="F98" s="2269">
        <f>F115</f>
        <v>0</v>
      </c>
      <c r="G98" s="2269">
        <f t="shared" ref="G98:BB99" si="22">G115</f>
        <v>0</v>
      </c>
      <c r="H98" s="2269">
        <f t="shared" si="22"/>
        <v>0</v>
      </c>
      <c r="I98" s="2269">
        <f t="shared" si="22"/>
        <v>0</v>
      </c>
      <c r="J98" s="2269">
        <f t="shared" si="22"/>
        <v>0</v>
      </c>
      <c r="K98" s="2269">
        <f t="shared" si="22"/>
        <v>0</v>
      </c>
      <c r="L98" s="2269">
        <f t="shared" si="22"/>
        <v>0</v>
      </c>
      <c r="M98" s="2269">
        <f t="shared" si="22"/>
        <v>0</v>
      </c>
      <c r="N98" s="2269">
        <f t="shared" si="22"/>
        <v>0</v>
      </c>
      <c r="O98" s="2269">
        <f t="shared" si="22"/>
        <v>0</v>
      </c>
      <c r="P98" s="2269">
        <f t="shared" si="22"/>
        <v>0</v>
      </c>
      <c r="Q98" s="2269">
        <f t="shared" si="22"/>
        <v>0</v>
      </c>
      <c r="R98" s="2269">
        <f t="shared" si="22"/>
        <v>0</v>
      </c>
      <c r="S98" s="2269">
        <f t="shared" si="22"/>
        <v>0</v>
      </c>
      <c r="T98" s="2269">
        <f t="shared" si="22"/>
        <v>0</v>
      </c>
      <c r="U98" s="2269">
        <f t="shared" si="22"/>
        <v>0</v>
      </c>
      <c r="V98" s="2269">
        <f t="shared" si="22"/>
        <v>0</v>
      </c>
      <c r="W98" s="2269">
        <f t="shared" si="22"/>
        <v>0</v>
      </c>
      <c r="X98" s="2269">
        <f t="shared" si="22"/>
        <v>0</v>
      </c>
      <c r="Y98" s="2269">
        <f t="shared" si="22"/>
        <v>0</v>
      </c>
      <c r="Z98" s="2269">
        <f t="shared" si="22"/>
        <v>0</v>
      </c>
      <c r="AA98" s="2269">
        <f t="shared" si="22"/>
        <v>0</v>
      </c>
      <c r="AB98" s="2269">
        <f t="shared" si="22"/>
        <v>0</v>
      </c>
      <c r="AC98" s="2269">
        <f t="shared" si="22"/>
        <v>0</v>
      </c>
      <c r="AD98" s="2269">
        <f t="shared" si="22"/>
        <v>0</v>
      </c>
      <c r="AE98" s="2269">
        <f t="shared" si="22"/>
        <v>0</v>
      </c>
      <c r="AF98" s="2269">
        <f t="shared" si="22"/>
        <v>0</v>
      </c>
      <c r="AG98" s="2269">
        <f t="shared" si="22"/>
        <v>0</v>
      </c>
      <c r="AH98" s="2269">
        <f t="shared" si="22"/>
        <v>0</v>
      </c>
      <c r="AI98" s="2269">
        <f t="shared" si="22"/>
        <v>0</v>
      </c>
      <c r="AJ98" s="2269">
        <f t="shared" si="22"/>
        <v>0</v>
      </c>
      <c r="AK98" s="2269">
        <f t="shared" si="22"/>
        <v>0</v>
      </c>
      <c r="AL98" s="2269">
        <f t="shared" si="22"/>
        <v>0</v>
      </c>
      <c r="AM98" s="2269">
        <f t="shared" si="22"/>
        <v>0</v>
      </c>
      <c r="AN98" s="2269">
        <f t="shared" si="22"/>
        <v>0</v>
      </c>
      <c r="AO98" s="2269">
        <f t="shared" si="22"/>
        <v>0</v>
      </c>
      <c r="AP98" s="2269">
        <f t="shared" si="22"/>
        <v>0</v>
      </c>
      <c r="AQ98" s="2269">
        <f t="shared" si="22"/>
        <v>0</v>
      </c>
      <c r="AR98" s="2269">
        <f t="shared" si="22"/>
        <v>0</v>
      </c>
      <c r="AS98" s="2269">
        <f t="shared" si="22"/>
        <v>0</v>
      </c>
      <c r="AT98" s="2269">
        <f t="shared" si="22"/>
        <v>0</v>
      </c>
      <c r="AU98" s="2269">
        <f t="shared" si="22"/>
        <v>0</v>
      </c>
      <c r="AV98" s="2269">
        <f t="shared" si="22"/>
        <v>0</v>
      </c>
      <c r="AW98" s="2269">
        <f t="shared" si="22"/>
        <v>0</v>
      </c>
      <c r="AX98" s="2269">
        <f t="shared" si="22"/>
        <v>0</v>
      </c>
      <c r="AY98" s="2269">
        <f t="shared" si="22"/>
        <v>0</v>
      </c>
      <c r="AZ98" s="2269">
        <f t="shared" si="22"/>
        <v>0</v>
      </c>
      <c r="BA98" s="2269">
        <f t="shared" si="22"/>
        <v>0</v>
      </c>
      <c r="BB98" s="2269">
        <f t="shared" si="22"/>
        <v>0</v>
      </c>
      <c r="BC98" s="2272"/>
      <c r="BD98" s="2240"/>
      <c r="BE98" s="2242"/>
    </row>
    <row r="99" spans="2:57" outlineLevel="1">
      <c r="B99" s="2266"/>
      <c r="C99" s="2267"/>
      <c r="D99" s="2268" t="s">
        <v>1897</v>
      </c>
      <c r="E99" s="2269">
        <f>E116</f>
        <v>0</v>
      </c>
      <c r="F99" s="2269">
        <f>F116</f>
        <v>0</v>
      </c>
      <c r="G99" s="2269">
        <f t="shared" si="22"/>
        <v>0</v>
      </c>
      <c r="H99" s="2269">
        <f t="shared" si="22"/>
        <v>0</v>
      </c>
      <c r="I99" s="2269">
        <f t="shared" si="22"/>
        <v>0</v>
      </c>
      <c r="J99" s="2269">
        <f t="shared" si="22"/>
        <v>0</v>
      </c>
      <c r="K99" s="2269">
        <f t="shared" si="22"/>
        <v>0</v>
      </c>
      <c r="L99" s="2269">
        <f t="shared" si="22"/>
        <v>0</v>
      </c>
      <c r="M99" s="2269">
        <f t="shared" si="22"/>
        <v>0</v>
      </c>
      <c r="N99" s="2269">
        <f t="shared" si="22"/>
        <v>0</v>
      </c>
      <c r="O99" s="2269">
        <f t="shared" si="22"/>
        <v>0</v>
      </c>
      <c r="P99" s="2269">
        <f t="shared" si="22"/>
        <v>0</v>
      </c>
      <c r="Q99" s="2269">
        <f t="shared" si="22"/>
        <v>0</v>
      </c>
      <c r="R99" s="2269">
        <f t="shared" si="22"/>
        <v>0</v>
      </c>
      <c r="S99" s="2269">
        <f t="shared" si="22"/>
        <v>0</v>
      </c>
      <c r="T99" s="2269">
        <f t="shared" si="22"/>
        <v>0</v>
      </c>
      <c r="U99" s="2269">
        <f t="shared" si="22"/>
        <v>0</v>
      </c>
      <c r="V99" s="2269">
        <f t="shared" si="22"/>
        <v>0</v>
      </c>
      <c r="W99" s="2269">
        <f t="shared" si="22"/>
        <v>0</v>
      </c>
      <c r="X99" s="2269">
        <f t="shared" si="22"/>
        <v>0</v>
      </c>
      <c r="Y99" s="2269">
        <f t="shared" si="22"/>
        <v>0</v>
      </c>
      <c r="Z99" s="2269">
        <f t="shared" si="22"/>
        <v>0</v>
      </c>
      <c r="AA99" s="2269">
        <f t="shared" si="22"/>
        <v>0</v>
      </c>
      <c r="AB99" s="2269">
        <f t="shared" si="22"/>
        <v>0</v>
      </c>
      <c r="AC99" s="2269">
        <f t="shared" si="22"/>
        <v>0</v>
      </c>
      <c r="AD99" s="2269">
        <f t="shared" si="22"/>
        <v>0</v>
      </c>
      <c r="AE99" s="2269">
        <f t="shared" si="22"/>
        <v>0</v>
      </c>
      <c r="AF99" s="2269">
        <f t="shared" si="22"/>
        <v>0</v>
      </c>
      <c r="AG99" s="2269">
        <f t="shared" si="22"/>
        <v>0</v>
      </c>
      <c r="AH99" s="2269">
        <f t="shared" si="22"/>
        <v>0</v>
      </c>
      <c r="AI99" s="2269">
        <f t="shared" si="22"/>
        <v>0</v>
      </c>
      <c r="AJ99" s="2269">
        <f t="shared" si="22"/>
        <v>0</v>
      </c>
      <c r="AK99" s="2269">
        <f t="shared" si="22"/>
        <v>0</v>
      </c>
      <c r="AL99" s="2269">
        <f t="shared" si="22"/>
        <v>0</v>
      </c>
      <c r="AM99" s="2269">
        <f t="shared" si="22"/>
        <v>0</v>
      </c>
      <c r="AN99" s="2269">
        <f t="shared" si="22"/>
        <v>0</v>
      </c>
      <c r="AO99" s="2269">
        <f t="shared" si="22"/>
        <v>0</v>
      </c>
      <c r="AP99" s="2269">
        <f t="shared" si="22"/>
        <v>0</v>
      </c>
      <c r="AQ99" s="2269">
        <f t="shared" si="22"/>
        <v>0</v>
      </c>
      <c r="AR99" s="2269">
        <f t="shared" si="22"/>
        <v>0</v>
      </c>
      <c r="AS99" s="2269">
        <f t="shared" si="22"/>
        <v>0</v>
      </c>
      <c r="AT99" s="2269">
        <f t="shared" si="22"/>
        <v>0</v>
      </c>
      <c r="AU99" s="2269">
        <f t="shared" si="22"/>
        <v>0</v>
      </c>
      <c r="AV99" s="2269">
        <f t="shared" si="22"/>
        <v>0</v>
      </c>
      <c r="AW99" s="2269">
        <f t="shared" si="22"/>
        <v>0</v>
      </c>
      <c r="AX99" s="2269">
        <f t="shared" si="22"/>
        <v>0</v>
      </c>
      <c r="AY99" s="2269">
        <f t="shared" si="22"/>
        <v>0</v>
      </c>
      <c r="AZ99" s="2269">
        <f t="shared" si="22"/>
        <v>0</v>
      </c>
      <c r="BA99" s="2269">
        <f t="shared" si="22"/>
        <v>0</v>
      </c>
      <c r="BB99" s="2269">
        <f t="shared" si="22"/>
        <v>0</v>
      </c>
      <c r="BC99" s="2248"/>
      <c r="BD99" s="2208"/>
    </row>
    <row r="100" spans="2:57" ht="15" customHeight="1" outlineLevel="2">
      <c r="B100" s="2243"/>
      <c r="C100" s="2244"/>
      <c r="D100" s="2245"/>
      <c r="E100" s="2256"/>
      <c r="F100" s="2256"/>
      <c r="G100" s="2256"/>
      <c r="H100" s="2256"/>
      <c r="I100" s="2256"/>
      <c r="J100" s="2256"/>
      <c r="K100" s="2256"/>
      <c r="L100" s="2256"/>
      <c r="M100" s="2256"/>
      <c r="N100" s="2256"/>
      <c r="O100" s="2256"/>
      <c r="P100" s="2256"/>
      <c r="Q100" s="2256"/>
      <c r="R100" s="2256"/>
      <c r="S100" s="2256"/>
      <c r="T100" s="2256"/>
      <c r="U100" s="2256"/>
      <c r="V100" s="2256"/>
      <c r="W100" s="2256"/>
      <c r="X100" s="2256"/>
      <c r="Y100" s="2256"/>
      <c r="Z100" s="2256"/>
      <c r="AA100" s="2256"/>
      <c r="AB100" s="2256"/>
      <c r="AC100" s="2256"/>
      <c r="AD100" s="2256"/>
      <c r="AE100" s="2257"/>
      <c r="AF100" s="2256"/>
      <c r="AG100" s="2256"/>
      <c r="AH100" s="2256"/>
      <c r="AI100" s="2256"/>
      <c r="AJ100" s="2256"/>
      <c r="AK100" s="2256"/>
      <c r="AL100" s="2256"/>
      <c r="AM100" s="2256"/>
      <c r="AN100" s="2256"/>
      <c r="AO100" s="2256"/>
      <c r="AP100" s="2256"/>
      <c r="AQ100" s="2256"/>
      <c r="AR100" s="2256"/>
      <c r="AS100" s="2256"/>
      <c r="AT100" s="2256"/>
      <c r="AU100" s="2256"/>
      <c r="AV100" s="2256"/>
      <c r="AW100" s="2256"/>
      <c r="AX100" s="2256"/>
      <c r="AY100" s="2256"/>
      <c r="AZ100" s="2256"/>
      <c r="BA100" s="2256"/>
      <c r="BB100" s="2256"/>
      <c r="BC100" s="2248"/>
      <c r="BD100" s="2240"/>
    </row>
    <row r="101" spans="2:57" ht="18.75" customHeight="1" outlineLevel="2">
      <c r="B101" s="2273">
        <v>300.10000000000002</v>
      </c>
      <c r="C101" s="2250">
        <v>0</v>
      </c>
      <c r="D101" s="2274">
        <v>0</v>
      </c>
      <c r="E101" s="2252"/>
      <c r="F101" s="2252"/>
      <c r="G101" s="2252"/>
      <c r="H101" s="2253"/>
      <c r="I101" s="2253"/>
      <c r="J101" s="2253"/>
      <c r="K101" s="2253"/>
      <c r="L101" s="2253"/>
      <c r="M101" s="2253"/>
      <c r="N101" s="2253"/>
      <c r="O101" s="2253"/>
      <c r="P101" s="2253"/>
      <c r="Q101" s="2253"/>
      <c r="R101" s="2253"/>
      <c r="S101" s="2253"/>
      <c r="T101" s="2253"/>
      <c r="U101" s="2253"/>
      <c r="V101" s="2253"/>
      <c r="W101" s="2253"/>
      <c r="X101" s="2253"/>
      <c r="Y101" s="2253"/>
      <c r="Z101" s="2253"/>
      <c r="AA101" s="2253"/>
      <c r="AB101" s="2253"/>
      <c r="AC101" s="2253"/>
      <c r="AD101" s="2253"/>
      <c r="AE101" s="2254"/>
      <c r="AF101" s="2253"/>
      <c r="AG101" s="2253"/>
      <c r="AH101" s="2253"/>
      <c r="AI101" s="2253"/>
      <c r="AJ101" s="2253"/>
      <c r="AK101" s="2253"/>
      <c r="AL101" s="2253"/>
      <c r="AM101" s="2253"/>
      <c r="AN101" s="2253"/>
      <c r="AO101" s="2253"/>
      <c r="AP101" s="2253"/>
      <c r="AQ101" s="2253"/>
      <c r="AR101" s="2253"/>
      <c r="AS101" s="2253"/>
      <c r="AT101" s="2253"/>
      <c r="AU101" s="2253"/>
      <c r="AV101" s="2253"/>
      <c r="AW101" s="2253"/>
      <c r="AX101" s="2253"/>
      <c r="AY101" s="2253"/>
      <c r="AZ101" s="2253"/>
      <c r="BA101" s="2253"/>
      <c r="BB101" s="2253"/>
      <c r="BC101" s="2255"/>
      <c r="BD101" s="2240"/>
    </row>
    <row r="102" spans="2:57" ht="15" customHeight="1" outlineLevel="3">
      <c r="B102" s="2243"/>
      <c r="C102" s="2244" t="s">
        <v>1898</v>
      </c>
      <c r="D102" s="2245" t="s">
        <v>1899</v>
      </c>
      <c r="E102" s="2256">
        <v>0</v>
      </c>
      <c r="F102" s="2256">
        <v>0</v>
      </c>
      <c r="G102" s="2256">
        <v>0</v>
      </c>
      <c r="H102" s="2256">
        <v>0</v>
      </c>
      <c r="I102" s="2256">
        <v>0</v>
      </c>
      <c r="J102" s="2256">
        <v>0</v>
      </c>
      <c r="K102" s="2256">
        <v>0</v>
      </c>
      <c r="L102" s="2256">
        <v>0</v>
      </c>
      <c r="M102" s="2256">
        <v>0</v>
      </c>
      <c r="N102" s="2256">
        <v>0</v>
      </c>
      <c r="O102" s="2256">
        <v>0</v>
      </c>
      <c r="P102" s="2256">
        <v>0</v>
      </c>
      <c r="Q102" s="2256">
        <v>0</v>
      </c>
      <c r="R102" s="2256">
        <v>0</v>
      </c>
      <c r="S102" s="2256">
        <v>0</v>
      </c>
      <c r="T102" s="2256">
        <v>0</v>
      </c>
      <c r="U102" s="2256">
        <v>0</v>
      </c>
      <c r="V102" s="2256">
        <v>0</v>
      </c>
      <c r="W102" s="2256">
        <v>0</v>
      </c>
      <c r="X102" s="2256">
        <v>0</v>
      </c>
      <c r="Y102" s="2256">
        <v>0</v>
      </c>
      <c r="Z102" s="2256">
        <v>0</v>
      </c>
      <c r="AA102" s="2256"/>
      <c r="AB102" s="2256">
        <f>AA102</f>
        <v>0</v>
      </c>
      <c r="AC102" s="2256">
        <f>AB102</f>
        <v>0</v>
      </c>
      <c r="AD102" s="2256">
        <f t="shared" ref="AD102:AM102" si="23">AC102</f>
        <v>0</v>
      </c>
      <c r="AE102" s="2257">
        <f t="shared" si="23"/>
        <v>0</v>
      </c>
      <c r="AF102" s="2256">
        <f t="shared" si="23"/>
        <v>0</v>
      </c>
      <c r="AG102" s="2256">
        <f t="shared" si="23"/>
        <v>0</v>
      </c>
      <c r="AH102" s="2256">
        <f t="shared" si="23"/>
        <v>0</v>
      </c>
      <c r="AI102" s="2256">
        <f t="shared" si="23"/>
        <v>0</v>
      </c>
      <c r="AJ102" s="2256">
        <f t="shared" si="23"/>
        <v>0</v>
      </c>
      <c r="AK102" s="2256">
        <f t="shared" si="23"/>
        <v>0</v>
      </c>
      <c r="AL102" s="2256">
        <f t="shared" si="23"/>
        <v>0</v>
      </c>
      <c r="AM102" s="2256">
        <f t="shared" si="23"/>
        <v>0</v>
      </c>
      <c r="AN102" s="2256"/>
      <c r="AO102" s="2256">
        <f t="shared" ref="AO102:BB102" si="24">AN102</f>
        <v>0</v>
      </c>
      <c r="AP102" s="2256">
        <f t="shared" si="24"/>
        <v>0</v>
      </c>
      <c r="AQ102" s="2256">
        <f t="shared" si="24"/>
        <v>0</v>
      </c>
      <c r="AR102" s="2256">
        <f t="shared" si="24"/>
        <v>0</v>
      </c>
      <c r="AS102" s="2256">
        <f t="shared" si="24"/>
        <v>0</v>
      </c>
      <c r="AT102" s="2256">
        <f t="shared" si="24"/>
        <v>0</v>
      </c>
      <c r="AU102" s="2256">
        <f t="shared" si="24"/>
        <v>0</v>
      </c>
      <c r="AV102" s="2256">
        <f t="shared" si="24"/>
        <v>0</v>
      </c>
      <c r="AW102" s="2256">
        <f t="shared" si="24"/>
        <v>0</v>
      </c>
      <c r="AX102" s="2256"/>
      <c r="AY102" s="2256">
        <f>AX102</f>
        <v>0</v>
      </c>
      <c r="AZ102" s="2256">
        <f>AY102</f>
        <v>0</v>
      </c>
      <c r="BA102" s="2256">
        <f>AP102</f>
        <v>0</v>
      </c>
      <c r="BB102" s="2256">
        <f t="shared" si="24"/>
        <v>0</v>
      </c>
      <c r="BC102" s="2258"/>
      <c r="BD102" s="2240"/>
    </row>
    <row r="103" spans="2:57" ht="15" customHeight="1" outlineLevel="3">
      <c r="B103" s="2243"/>
      <c r="C103" s="2244" t="s">
        <v>1901</v>
      </c>
      <c r="D103" s="2245" t="s">
        <v>1902</v>
      </c>
      <c r="E103" s="2256">
        <v>0</v>
      </c>
      <c r="F103" s="2256">
        <v>0</v>
      </c>
      <c r="G103" s="2256">
        <v>0</v>
      </c>
      <c r="H103" s="2256">
        <v>0</v>
      </c>
      <c r="I103" s="2256">
        <v>0</v>
      </c>
      <c r="J103" s="2256">
        <v>0</v>
      </c>
      <c r="K103" s="2256">
        <v>0</v>
      </c>
      <c r="L103" s="2256">
        <v>0</v>
      </c>
      <c r="M103" s="2256">
        <v>0</v>
      </c>
      <c r="N103" s="2256">
        <v>0</v>
      </c>
      <c r="O103" s="2256">
        <v>0</v>
      </c>
      <c r="P103" s="2256">
        <v>0</v>
      </c>
      <c r="Q103" s="2256">
        <v>0</v>
      </c>
      <c r="R103" s="2256">
        <v>0</v>
      </c>
      <c r="S103" s="2256">
        <v>0</v>
      </c>
      <c r="T103" s="2256">
        <v>0</v>
      </c>
      <c r="U103" s="2256">
        <v>0</v>
      </c>
      <c r="V103" s="2256">
        <v>0</v>
      </c>
      <c r="W103" s="2256">
        <v>0</v>
      </c>
      <c r="X103" s="2256">
        <v>0</v>
      </c>
      <c r="Y103" s="2256">
        <v>0</v>
      </c>
      <c r="Z103" s="2256">
        <v>0</v>
      </c>
      <c r="AA103" s="2256">
        <v>0</v>
      </c>
      <c r="AB103" s="2256">
        <v>0</v>
      </c>
      <c r="AC103" s="2256">
        <v>0</v>
      </c>
      <c r="AD103" s="2256">
        <v>0</v>
      </c>
      <c r="AE103" s="2257">
        <v>0</v>
      </c>
      <c r="AF103" s="2256">
        <v>0</v>
      </c>
      <c r="AG103" s="2256">
        <v>0</v>
      </c>
      <c r="AH103" s="2256">
        <v>0</v>
      </c>
      <c r="AI103" s="2256">
        <v>0</v>
      </c>
      <c r="AJ103" s="2256">
        <v>0</v>
      </c>
      <c r="AK103" s="2256">
        <v>0</v>
      </c>
      <c r="AL103" s="2256">
        <v>0</v>
      </c>
      <c r="AM103" s="2256">
        <v>0</v>
      </c>
      <c r="AN103" s="2256">
        <v>0</v>
      </c>
      <c r="AO103" s="2256">
        <v>0</v>
      </c>
      <c r="AP103" s="2256">
        <v>0</v>
      </c>
      <c r="AQ103" s="2256">
        <v>0</v>
      </c>
      <c r="AR103" s="2256">
        <v>0</v>
      </c>
      <c r="AS103" s="2256">
        <v>0</v>
      </c>
      <c r="AT103" s="2256">
        <v>0</v>
      </c>
      <c r="AU103" s="2256">
        <v>0</v>
      </c>
      <c r="AV103" s="2256">
        <v>0</v>
      </c>
      <c r="AW103" s="2256">
        <v>0</v>
      </c>
      <c r="AX103" s="2256">
        <v>0</v>
      </c>
      <c r="AY103" s="2256">
        <v>0</v>
      </c>
      <c r="AZ103" s="2256">
        <v>0</v>
      </c>
      <c r="BA103" s="2256">
        <v>0</v>
      </c>
      <c r="BB103" s="2256">
        <v>0</v>
      </c>
      <c r="BC103" s="2258"/>
      <c r="BD103" s="2240"/>
    </row>
    <row r="104" spans="2:57" ht="15" customHeight="1" outlineLevel="3">
      <c r="B104" s="2243"/>
      <c r="C104" s="2244" t="s">
        <v>1903</v>
      </c>
      <c r="D104" s="2245" t="s">
        <v>1904</v>
      </c>
      <c r="E104" s="2256">
        <v>0</v>
      </c>
      <c r="F104" s="2256">
        <v>0</v>
      </c>
      <c r="G104" s="2256">
        <v>0</v>
      </c>
      <c r="H104" s="2256">
        <v>0</v>
      </c>
      <c r="I104" s="2256">
        <v>0</v>
      </c>
      <c r="J104" s="2256">
        <v>0</v>
      </c>
      <c r="K104" s="2256">
        <v>0</v>
      </c>
      <c r="L104" s="2256">
        <v>0</v>
      </c>
      <c r="M104" s="2256">
        <v>0</v>
      </c>
      <c r="N104" s="2256">
        <v>0</v>
      </c>
      <c r="O104" s="2256">
        <v>0</v>
      </c>
      <c r="P104" s="2256">
        <v>0</v>
      </c>
      <c r="Q104" s="2256">
        <v>0</v>
      </c>
      <c r="R104" s="2256">
        <v>0</v>
      </c>
      <c r="S104" s="2256">
        <v>0</v>
      </c>
      <c r="T104" s="2256">
        <v>0</v>
      </c>
      <c r="U104" s="2256">
        <v>0</v>
      </c>
      <c r="V104" s="2256">
        <v>0</v>
      </c>
      <c r="W104" s="2256">
        <v>0</v>
      </c>
      <c r="X104" s="2256">
        <v>0</v>
      </c>
      <c r="Y104" s="2256">
        <v>0</v>
      </c>
      <c r="Z104" s="2256">
        <v>0</v>
      </c>
      <c r="AA104" s="2256">
        <v>0</v>
      </c>
      <c r="AB104" s="2256">
        <v>0</v>
      </c>
      <c r="AC104" s="2256">
        <v>0</v>
      </c>
      <c r="AD104" s="2256">
        <v>0</v>
      </c>
      <c r="AE104" s="2257">
        <v>0</v>
      </c>
      <c r="AF104" s="2256">
        <v>0</v>
      </c>
      <c r="AG104" s="2256">
        <v>0</v>
      </c>
      <c r="AH104" s="2256">
        <v>0</v>
      </c>
      <c r="AI104" s="2256">
        <v>0</v>
      </c>
      <c r="AJ104" s="2256">
        <v>0</v>
      </c>
      <c r="AK104" s="2256">
        <v>0</v>
      </c>
      <c r="AL104" s="2256">
        <v>0</v>
      </c>
      <c r="AM104" s="2256">
        <v>0</v>
      </c>
      <c r="AN104" s="2256">
        <v>0</v>
      </c>
      <c r="AO104" s="2256">
        <v>0</v>
      </c>
      <c r="AP104" s="2256">
        <v>0</v>
      </c>
      <c r="AQ104" s="2256">
        <v>0</v>
      </c>
      <c r="AR104" s="2256">
        <v>0</v>
      </c>
      <c r="AS104" s="2256">
        <v>0</v>
      </c>
      <c r="AT104" s="2256">
        <v>0</v>
      </c>
      <c r="AU104" s="2256">
        <v>0</v>
      </c>
      <c r="AV104" s="2256">
        <v>0</v>
      </c>
      <c r="AW104" s="2256">
        <v>0</v>
      </c>
      <c r="AX104" s="2256">
        <v>0</v>
      </c>
      <c r="AY104" s="2256">
        <v>0</v>
      </c>
      <c r="AZ104" s="2256">
        <v>0</v>
      </c>
      <c r="BA104" s="2256">
        <v>0</v>
      </c>
      <c r="BB104" s="2256">
        <v>0</v>
      </c>
      <c r="BC104" s="2258"/>
      <c r="BD104" s="2240"/>
    </row>
    <row r="105" spans="2:57" s="2203" customFormat="1" ht="15" customHeight="1" outlineLevel="3">
      <c r="B105" s="2259"/>
      <c r="C105" s="2260" t="s">
        <v>1905</v>
      </c>
      <c r="D105" s="2261" t="s">
        <v>1906</v>
      </c>
      <c r="E105" s="2262">
        <f>E102+E103+E104</f>
        <v>0</v>
      </c>
      <c r="F105" s="2262">
        <f t="shared" ref="F105:BB105" si="25">F102+F103+F104</f>
        <v>0</v>
      </c>
      <c r="G105" s="2262">
        <f t="shared" si="25"/>
        <v>0</v>
      </c>
      <c r="H105" s="2262">
        <f t="shared" si="25"/>
        <v>0</v>
      </c>
      <c r="I105" s="2262">
        <f t="shared" si="25"/>
        <v>0</v>
      </c>
      <c r="J105" s="2262">
        <f t="shared" si="25"/>
        <v>0</v>
      </c>
      <c r="K105" s="2262">
        <f t="shared" si="25"/>
        <v>0</v>
      </c>
      <c r="L105" s="2262">
        <f t="shared" si="25"/>
        <v>0</v>
      </c>
      <c r="M105" s="2262">
        <f t="shared" si="25"/>
        <v>0</v>
      </c>
      <c r="N105" s="2262">
        <f t="shared" si="25"/>
        <v>0</v>
      </c>
      <c r="O105" s="2262">
        <f t="shared" si="25"/>
        <v>0</v>
      </c>
      <c r="P105" s="2262">
        <f t="shared" si="25"/>
        <v>0</v>
      </c>
      <c r="Q105" s="2262">
        <f t="shared" si="25"/>
        <v>0</v>
      </c>
      <c r="R105" s="2262">
        <f t="shared" si="25"/>
        <v>0</v>
      </c>
      <c r="S105" s="2262">
        <f t="shared" si="25"/>
        <v>0</v>
      </c>
      <c r="T105" s="2262">
        <f t="shared" si="25"/>
        <v>0</v>
      </c>
      <c r="U105" s="2262">
        <f t="shared" si="25"/>
        <v>0</v>
      </c>
      <c r="V105" s="2262">
        <f t="shared" si="25"/>
        <v>0</v>
      </c>
      <c r="W105" s="2262">
        <f t="shared" si="25"/>
        <v>0</v>
      </c>
      <c r="X105" s="2262">
        <f t="shared" si="25"/>
        <v>0</v>
      </c>
      <c r="Y105" s="2262">
        <f t="shared" si="25"/>
        <v>0</v>
      </c>
      <c r="Z105" s="2262">
        <f t="shared" si="25"/>
        <v>0</v>
      </c>
      <c r="AA105" s="2262">
        <f t="shared" si="25"/>
        <v>0</v>
      </c>
      <c r="AB105" s="2262">
        <f t="shared" si="25"/>
        <v>0</v>
      </c>
      <c r="AC105" s="2262">
        <f t="shared" si="25"/>
        <v>0</v>
      </c>
      <c r="AD105" s="2262">
        <f t="shared" si="25"/>
        <v>0</v>
      </c>
      <c r="AE105" s="2263">
        <f t="shared" si="25"/>
        <v>0</v>
      </c>
      <c r="AF105" s="2262">
        <f t="shared" si="25"/>
        <v>0</v>
      </c>
      <c r="AG105" s="2262">
        <f t="shared" si="25"/>
        <v>0</v>
      </c>
      <c r="AH105" s="2262">
        <f t="shared" si="25"/>
        <v>0</v>
      </c>
      <c r="AI105" s="2262">
        <f t="shared" si="25"/>
        <v>0</v>
      </c>
      <c r="AJ105" s="2262">
        <f t="shared" si="25"/>
        <v>0</v>
      </c>
      <c r="AK105" s="2262">
        <f t="shared" si="25"/>
        <v>0</v>
      </c>
      <c r="AL105" s="2262">
        <f t="shared" si="25"/>
        <v>0</v>
      </c>
      <c r="AM105" s="2262">
        <f t="shared" si="25"/>
        <v>0</v>
      </c>
      <c r="AN105" s="2262">
        <f t="shared" si="25"/>
        <v>0</v>
      </c>
      <c r="AO105" s="2262">
        <f t="shared" si="25"/>
        <v>0</v>
      </c>
      <c r="AP105" s="2262">
        <f t="shared" si="25"/>
        <v>0</v>
      </c>
      <c r="AQ105" s="2262">
        <f t="shared" si="25"/>
        <v>0</v>
      </c>
      <c r="AR105" s="2262">
        <f t="shared" si="25"/>
        <v>0</v>
      </c>
      <c r="AS105" s="2262">
        <f t="shared" si="25"/>
        <v>0</v>
      </c>
      <c r="AT105" s="2262">
        <f t="shared" si="25"/>
        <v>0</v>
      </c>
      <c r="AU105" s="2262">
        <f t="shared" si="25"/>
        <v>0</v>
      </c>
      <c r="AV105" s="2262">
        <f t="shared" si="25"/>
        <v>0</v>
      </c>
      <c r="AW105" s="2262">
        <f t="shared" si="25"/>
        <v>0</v>
      </c>
      <c r="AX105" s="2262">
        <f t="shared" si="25"/>
        <v>0</v>
      </c>
      <c r="AY105" s="2262">
        <f t="shared" si="25"/>
        <v>0</v>
      </c>
      <c r="AZ105" s="2262">
        <f t="shared" si="25"/>
        <v>0</v>
      </c>
      <c r="BA105" s="2262">
        <f t="shared" si="25"/>
        <v>0</v>
      </c>
      <c r="BB105" s="2262">
        <f t="shared" si="25"/>
        <v>0</v>
      </c>
      <c r="BC105" s="2264"/>
      <c r="BD105" s="2208"/>
    </row>
    <row r="106" spans="2:57" ht="15" customHeight="1" outlineLevel="3">
      <c r="B106" s="2243"/>
      <c r="C106" s="2260" t="s">
        <v>1907</v>
      </c>
      <c r="D106" s="2261" t="s">
        <v>1908</v>
      </c>
      <c r="E106" s="2262">
        <v>0</v>
      </c>
      <c r="F106" s="2262">
        <v>0</v>
      </c>
      <c r="G106" s="2262">
        <v>0</v>
      </c>
      <c r="H106" s="2262">
        <v>0</v>
      </c>
      <c r="I106" s="2262">
        <v>0</v>
      </c>
      <c r="J106" s="2262">
        <v>0</v>
      </c>
      <c r="K106" s="2262">
        <v>0</v>
      </c>
      <c r="L106" s="2262">
        <v>0</v>
      </c>
      <c r="M106" s="2262">
        <v>0</v>
      </c>
      <c r="N106" s="2262">
        <v>0</v>
      </c>
      <c r="O106" s="2262">
        <v>0</v>
      </c>
      <c r="P106" s="2262">
        <v>0</v>
      </c>
      <c r="Q106" s="2262">
        <v>0</v>
      </c>
      <c r="R106" s="2262">
        <v>0</v>
      </c>
      <c r="S106" s="2262">
        <v>0</v>
      </c>
      <c r="T106" s="2262">
        <v>0</v>
      </c>
      <c r="U106" s="2262">
        <v>0</v>
      </c>
      <c r="V106" s="2262">
        <v>0</v>
      </c>
      <c r="W106" s="2262">
        <v>0</v>
      </c>
      <c r="X106" s="2262">
        <v>0</v>
      </c>
      <c r="Y106" s="2262">
        <v>0</v>
      </c>
      <c r="Z106" s="2262">
        <v>0</v>
      </c>
      <c r="AA106" s="2262">
        <v>0</v>
      </c>
      <c r="AB106" s="2262">
        <v>0</v>
      </c>
      <c r="AC106" s="2262">
        <v>0</v>
      </c>
      <c r="AD106" s="2262">
        <v>0</v>
      </c>
      <c r="AE106" s="2263">
        <v>0</v>
      </c>
      <c r="AF106" s="2262">
        <v>0</v>
      </c>
      <c r="AG106" s="2262">
        <v>0</v>
      </c>
      <c r="AH106" s="2262">
        <v>0</v>
      </c>
      <c r="AI106" s="2262">
        <v>0</v>
      </c>
      <c r="AJ106" s="2262">
        <v>0</v>
      </c>
      <c r="AK106" s="2262">
        <v>0</v>
      </c>
      <c r="AL106" s="2262">
        <v>0</v>
      </c>
      <c r="AM106" s="2262">
        <v>0</v>
      </c>
      <c r="AN106" s="2262">
        <v>0</v>
      </c>
      <c r="AO106" s="2262">
        <v>0</v>
      </c>
      <c r="AP106" s="2262">
        <v>0</v>
      </c>
      <c r="AQ106" s="2262">
        <v>0</v>
      </c>
      <c r="AR106" s="2262">
        <v>0</v>
      </c>
      <c r="AS106" s="2262">
        <v>0</v>
      </c>
      <c r="AT106" s="2262">
        <v>0</v>
      </c>
      <c r="AU106" s="2262">
        <v>0</v>
      </c>
      <c r="AV106" s="2262">
        <v>0</v>
      </c>
      <c r="AW106" s="2262">
        <v>0</v>
      </c>
      <c r="AX106" s="2262">
        <v>0</v>
      </c>
      <c r="AY106" s="2262">
        <v>0</v>
      </c>
      <c r="AZ106" s="2262">
        <v>0</v>
      </c>
      <c r="BA106" s="2262">
        <v>0</v>
      </c>
      <c r="BB106" s="2262">
        <v>0</v>
      </c>
      <c r="BC106" s="2258"/>
      <c r="BD106" s="2240"/>
    </row>
    <row r="107" spans="2:57" ht="15" customHeight="1" outlineLevel="3">
      <c r="B107" s="2243"/>
      <c r="C107" s="2244" t="s">
        <v>1579</v>
      </c>
      <c r="D107" s="2245" t="s">
        <v>1909</v>
      </c>
      <c r="E107" s="2256">
        <v>0</v>
      </c>
      <c r="F107" s="2256">
        <v>0</v>
      </c>
      <c r="G107" s="2256">
        <v>0</v>
      </c>
      <c r="H107" s="2256">
        <v>0</v>
      </c>
      <c r="I107" s="2256">
        <v>0</v>
      </c>
      <c r="J107" s="2256">
        <v>0</v>
      </c>
      <c r="K107" s="2256">
        <v>0</v>
      </c>
      <c r="L107" s="2256">
        <v>0</v>
      </c>
      <c r="M107" s="2256">
        <v>0</v>
      </c>
      <c r="N107" s="2256">
        <v>0</v>
      </c>
      <c r="O107" s="2256">
        <v>0</v>
      </c>
      <c r="P107" s="2256">
        <v>0</v>
      </c>
      <c r="Q107" s="2256">
        <v>0</v>
      </c>
      <c r="R107" s="2256">
        <v>0</v>
      </c>
      <c r="S107" s="2256">
        <v>0</v>
      </c>
      <c r="T107" s="2256">
        <v>0</v>
      </c>
      <c r="U107" s="2256">
        <v>0</v>
      </c>
      <c r="V107" s="2256">
        <v>0</v>
      </c>
      <c r="W107" s="2256">
        <v>0</v>
      </c>
      <c r="X107" s="2256">
        <v>0</v>
      </c>
      <c r="Y107" s="2256">
        <v>0</v>
      </c>
      <c r="Z107" s="2256">
        <v>0</v>
      </c>
      <c r="AA107" s="2256">
        <v>0</v>
      </c>
      <c r="AB107" s="2256">
        <v>0</v>
      </c>
      <c r="AC107" s="2256">
        <v>0</v>
      </c>
      <c r="AD107" s="2256">
        <v>0</v>
      </c>
      <c r="AE107" s="2257">
        <v>0</v>
      </c>
      <c r="AF107" s="2256">
        <v>0</v>
      </c>
      <c r="AG107" s="2256">
        <v>0</v>
      </c>
      <c r="AH107" s="2256">
        <v>0</v>
      </c>
      <c r="AI107" s="2256">
        <v>0</v>
      </c>
      <c r="AJ107" s="2256">
        <v>0</v>
      </c>
      <c r="AK107" s="2256">
        <v>0</v>
      </c>
      <c r="AL107" s="2256">
        <v>0</v>
      </c>
      <c r="AM107" s="2256">
        <v>0</v>
      </c>
      <c r="AN107" s="2256">
        <v>0</v>
      </c>
      <c r="AO107" s="2256">
        <v>0</v>
      </c>
      <c r="AP107" s="2256">
        <v>0</v>
      </c>
      <c r="AQ107" s="2256">
        <v>0</v>
      </c>
      <c r="AR107" s="2256">
        <v>0</v>
      </c>
      <c r="AS107" s="2256">
        <v>0</v>
      </c>
      <c r="AT107" s="2256">
        <v>0</v>
      </c>
      <c r="AU107" s="2256">
        <v>0</v>
      </c>
      <c r="AV107" s="2256">
        <v>0</v>
      </c>
      <c r="AW107" s="2256">
        <v>0</v>
      </c>
      <c r="AX107" s="2256">
        <v>0</v>
      </c>
      <c r="AY107" s="2256">
        <v>0</v>
      </c>
      <c r="AZ107" s="2256">
        <v>0</v>
      </c>
      <c r="BA107" s="2256">
        <v>0</v>
      </c>
      <c r="BB107" s="2256">
        <v>0</v>
      </c>
      <c r="BC107" s="2258"/>
      <c r="BD107" s="2240"/>
    </row>
    <row r="108" spans="2:57" s="2203" customFormat="1" ht="15" customHeight="1" outlineLevel="3">
      <c r="B108" s="2259"/>
      <c r="C108" s="2260" t="s">
        <v>1910</v>
      </c>
      <c r="D108" s="2261" t="s">
        <v>1911</v>
      </c>
      <c r="E108" s="2262">
        <f>E105+E106+E107</f>
        <v>0</v>
      </c>
      <c r="F108" s="2262">
        <f t="shared" ref="F108:BB108" si="26">F105+F106+F107</f>
        <v>0</v>
      </c>
      <c r="G108" s="2262">
        <f t="shared" si="26"/>
        <v>0</v>
      </c>
      <c r="H108" s="2262">
        <f t="shared" si="26"/>
        <v>0</v>
      </c>
      <c r="I108" s="2262">
        <f t="shared" si="26"/>
        <v>0</v>
      </c>
      <c r="J108" s="2262">
        <f t="shared" si="26"/>
        <v>0</v>
      </c>
      <c r="K108" s="2262">
        <f t="shared" si="26"/>
        <v>0</v>
      </c>
      <c r="L108" s="2262">
        <f t="shared" si="26"/>
        <v>0</v>
      </c>
      <c r="M108" s="2262">
        <f t="shared" si="26"/>
        <v>0</v>
      </c>
      <c r="N108" s="2262">
        <f t="shared" si="26"/>
        <v>0</v>
      </c>
      <c r="O108" s="2262">
        <f t="shared" si="26"/>
        <v>0</v>
      </c>
      <c r="P108" s="2262">
        <f t="shared" si="26"/>
        <v>0</v>
      </c>
      <c r="Q108" s="2262">
        <f t="shared" si="26"/>
        <v>0</v>
      </c>
      <c r="R108" s="2262">
        <f t="shared" si="26"/>
        <v>0</v>
      </c>
      <c r="S108" s="2262">
        <f t="shared" si="26"/>
        <v>0</v>
      </c>
      <c r="T108" s="2262">
        <f t="shared" si="26"/>
        <v>0</v>
      </c>
      <c r="U108" s="2262">
        <f t="shared" si="26"/>
        <v>0</v>
      </c>
      <c r="V108" s="2262">
        <f t="shared" si="26"/>
        <v>0</v>
      </c>
      <c r="W108" s="2262">
        <f t="shared" si="26"/>
        <v>0</v>
      </c>
      <c r="X108" s="2262">
        <f t="shared" si="26"/>
        <v>0</v>
      </c>
      <c r="Y108" s="2262">
        <f t="shared" si="26"/>
        <v>0</v>
      </c>
      <c r="Z108" s="2262">
        <f t="shared" si="26"/>
        <v>0</v>
      </c>
      <c r="AA108" s="2262">
        <f t="shared" si="26"/>
        <v>0</v>
      </c>
      <c r="AB108" s="2262">
        <f t="shared" si="26"/>
        <v>0</v>
      </c>
      <c r="AC108" s="2262">
        <f t="shared" si="26"/>
        <v>0</v>
      </c>
      <c r="AD108" s="2262">
        <f t="shared" si="26"/>
        <v>0</v>
      </c>
      <c r="AE108" s="2263">
        <f t="shared" si="26"/>
        <v>0</v>
      </c>
      <c r="AF108" s="2262">
        <f t="shared" si="26"/>
        <v>0</v>
      </c>
      <c r="AG108" s="2262">
        <f t="shared" si="26"/>
        <v>0</v>
      </c>
      <c r="AH108" s="2262">
        <f t="shared" si="26"/>
        <v>0</v>
      </c>
      <c r="AI108" s="2262">
        <f t="shared" si="26"/>
        <v>0</v>
      </c>
      <c r="AJ108" s="2262">
        <f t="shared" si="26"/>
        <v>0</v>
      </c>
      <c r="AK108" s="2262">
        <f t="shared" si="26"/>
        <v>0</v>
      </c>
      <c r="AL108" s="2262">
        <f t="shared" si="26"/>
        <v>0</v>
      </c>
      <c r="AM108" s="2262">
        <f t="shared" si="26"/>
        <v>0</v>
      </c>
      <c r="AN108" s="2262">
        <f t="shared" si="26"/>
        <v>0</v>
      </c>
      <c r="AO108" s="2262">
        <f t="shared" si="26"/>
        <v>0</v>
      </c>
      <c r="AP108" s="2262">
        <f t="shared" si="26"/>
        <v>0</v>
      </c>
      <c r="AQ108" s="2262">
        <f t="shared" si="26"/>
        <v>0</v>
      </c>
      <c r="AR108" s="2262">
        <f t="shared" si="26"/>
        <v>0</v>
      </c>
      <c r="AS108" s="2262">
        <f t="shared" si="26"/>
        <v>0</v>
      </c>
      <c r="AT108" s="2262">
        <f t="shared" si="26"/>
        <v>0</v>
      </c>
      <c r="AU108" s="2262">
        <f t="shared" si="26"/>
        <v>0</v>
      </c>
      <c r="AV108" s="2262">
        <f t="shared" si="26"/>
        <v>0</v>
      </c>
      <c r="AW108" s="2262">
        <f t="shared" si="26"/>
        <v>0</v>
      </c>
      <c r="AX108" s="2262">
        <f t="shared" si="26"/>
        <v>0</v>
      </c>
      <c r="AY108" s="2262">
        <f t="shared" si="26"/>
        <v>0</v>
      </c>
      <c r="AZ108" s="2262">
        <f t="shared" si="26"/>
        <v>0</v>
      </c>
      <c r="BA108" s="2262">
        <f t="shared" si="26"/>
        <v>0</v>
      </c>
      <c r="BB108" s="2262">
        <f t="shared" si="26"/>
        <v>0</v>
      </c>
      <c r="BC108" s="2264"/>
      <c r="BD108" s="2208"/>
    </row>
    <row r="109" spans="2:57" ht="15" customHeight="1" outlineLevel="3">
      <c r="B109" s="2243"/>
      <c r="C109" s="2260" t="s">
        <v>1930</v>
      </c>
      <c r="D109" s="2261" t="s">
        <v>1913</v>
      </c>
      <c r="E109" s="2262">
        <v>0</v>
      </c>
      <c r="F109" s="2262">
        <v>0</v>
      </c>
      <c r="G109" s="2262">
        <v>0</v>
      </c>
      <c r="H109" s="2262">
        <v>0</v>
      </c>
      <c r="I109" s="2262">
        <v>0</v>
      </c>
      <c r="J109" s="2262">
        <v>0</v>
      </c>
      <c r="K109" s="2262">
        <v>0</v>
      </c>
      <c r="L109" s="2262">
        <v>0</v>
      </c>
      <c r="M109" s="2262">
        <v>0</v>
      </c>
      <c r="N109" s="2262">
        <v>0</v>
      </c>
      <c r="O109" s="2262">
        <v>0</v>
      </c>
      <c r="P109" s="2262">
        <v>0</v>
      </c>
      <c r="Q109" s="2262">
        <v>0</v>
      </c>
      <c r="R109" s="2262">
        <v>0</v>
      </c>
      <c r="S109" s="2262">
        <v>0</v>
      </c>
      <c r="T109" s="2262">
        <v>0</v>
      </c>
      <c r="U109" s="2262">
        <v>0</v>
      </c>
      <c r="V109" s="2262">
        <v>0</v>
      </c>
      <c r="W109" s="2262">
        <v>0</v>
      </c>
      <c r="X109" s="2262">
        <v>0</v>
      </c>
      <c r="Y109" s="2262">
        <v>0</v>
      </c>
      <c r="Z109" s="2262">
        <v>0</v>
      </c>
      <c r="AA109" s="2262">
        <v>0</v>
      </c>
      <c r="AB109" s="2262">
        <v>0</v>
      </c>
      <c r="AC109" s="2262">
        <v>0</v>
      </c>
      <c r="AD109" s="2262">
        <v>0</v>
      </c>
      <c r="AE109" s="2263">
        <v>0</v>
      </c>
      <c r="AF109" s="2262">
        <v>0</v>
      </c>
      <c r="AG109" s="2262">
        <v>0</v>
      </c>
      <c r="AH109" s="2262">
        <v>0</v>
      </c>
      <c r="AI109" s="2262">
        <v>0</v>
      </c>
      <c r="AJ109" s="2262">
        <v>0</v>
      </c>
      <c r="AK109" s="2262">
        <v>0</v>
      </c>
      <c r="AL109" s="2262">
        <v>0</v>
      </c>
      <c r="AM109" s="2262">
        <v>0</v>
      </c>
      <c r="AN109" s="2262">
        <v>0</v>
      </c>
      <c r="AO109" s="2262">
        <v>0</v>
      </c>
      <c r="AP109" s="2262">
        <v>0</v>
      </c>
      <c r="AQ109" s="2262">
        <v>0</v>
      </c>
      <c r="AR109" s="2262">
        <v>0</v>
      </c>
      <c r="AS109" s="2262">
        <v>0</v>
      </c>
      <c r="AT109" s="2262">
        <v>0</v>
      </c>
      <c r="AU109" s="2262">
        <v>0</v>
      </c>
      <c r="AV109" s="2262">
        <v>0</v>
      </c>
      <c r="AW109" s="2262">
        <v>0</v>
      </c>
      <c r="AX109" s="2262">
        <v>0</v>
      </c>
      <c r="AY109" s="2262">
        <v>0</v>
      </c>
      <c r="AZ109" s="2262">
        <v>0</v>
      </c>
      <c r="BA109" s="2262">
        <v>0</v>
      </c>
      <c r="BB109" s="2262">
        <v>0</v>
      </c>
      <c r="BC109" s="2258"/>
      <c r="BD109" s="2240"/>
    </row>
    <row r="110" spans="2:57" ht="15" customHeight="1" outlineLevel="3">
      <c r="B110" s="2243"/>
      <c r="C110" s="2244" t="s">
        <v>1914</v>
      </c>
      <c r="D110" s="2245" t="s">
        <v>1915</v>
      </c>
      <c r="E110" s="2256">
        <v>0</v>
      </c>
      <c r="F110" s="2256">
        <v>0</v>
      </c>
      <c r="G110" s="2256">
        <v>0</v>
      </c>
      <c r="H110" s="2256">
        <v>0</v>
      </c>
      <c r="I110" s="2256">
        <v>0</v>
      </c>
      <c r="J110" s="2256">
        <v>0</v>
      </c>
      <c r="K110" s="2256">
        <v>0</v>
      </c>
      <c r="L110" s="2256">
        <v>0</v>
      </c>
      <c r="M110" s="2256">
        <v>0</v>
      </c>
      <c r="N110" s="2256">
        <v>0</v>
      </c>
      <c r="O110" s="2256">
        <v>0</v>
      </c>
      <c r="P110" s="2256">
        <v>0</v>
      </c>
      <c r="Q110" s="2256">
        <v>0</v>
      </c>
      <c r="R110" s="2256">
        <v>0</v>
      </c>
      <c r="S110" s="2256">
        <v>0</v>
      </c>
      <c r="T110" s="2256">
        <v>0</v>
      </c>
      <c r="U110" s="2256">
        <v>0</v>
      </c>
      <c r="V110" s="2256">
        <v>0</v>
      </c>
      <c r="W110" s="2256">
        <v>0</v>
      </c>
      <c r="X110" s="2256">
        <v>0</v>
      </c>
      <c r="Y110" s="2256">
        <v>0</v>
      </c>
      <c r="Z110" s="2256">
        <v>0</v>
      </c>
      <c r="AA110" s="2256">
        <v>0</v>
      </c>
      <c r="AB110" s="2256">
        <v>0</v>
      </c>
      <c r="AC110" s="2256">
        <v>0</v>
      </c>
      <c r="AD110" s="2256">
        <v>0</v>
      </c>
      <c r="AE110" s="2257">
        <v>0</v>
      </c>
      <c r="AF110" s="2256">
        <v>0</v>
      </c>
      <c r="AG110" s="2256">
        <v>0</v>
      </c>
      <c r="AH110" s="2256">
        <v>0</v>
      </c>
      <c r="AI110" s="2256">
        <v>0</v>
      </c>
      <c r="AJ110" s="2256">
        <v>0</v>
      </c>
      <c r="AK110" s="2256">
        <v>0</v>
      </c>
      <c r="AL110" s="2256">
        <v>0</v>
      </c>
      <c r="AM110" s="2256">
        <v>0</v>
      </c>
      <c r="AN110" s="2256">
        <v>0</v>
      </c>
      <c r="AO110" s="2256">
        <v>0</v>
      </c>
      <c r="AP110" s="2256">
        <v>0</v>
      </c>
      <c r="AQ110" s="2256">
        <v>0</v>
      </c>
      <c r="AR110" s="2256">
        <v>0</v>
      </c>
      <c r="AS110" s="2256">
        <v>0</v>
      </c>
      <c r="AT110" s="2256">
        <v>0</v>
      </c>
      <c r="AU110" s="2256">
        <v>0</v>
      </c>
      <c r="AV110" s="2256">
        <v>0</v>
      </c>
      <c r="AW110" s="2256">
        <v>0</v>
      </c>
      <c r="AX110" s="2256">
        <v>0</v>
      </c>
      <c r="AY110" s="2256">
        <v>0</v>
      </c>
      <c r="AZ110" s="2256">
        <v>0</v>
      </c>
      <c r="BA110" s="2256">
        <v>0</v>
      </c>
      <c r="BB110" s="2256">
        <v>0</v>
      </c>
      <c r="BC110" s="2258"/>
      <c r="BD110" s="2240"/>
    </row>
    <row r="111" spans="2:57" s="2203" customFormat="1" ht="15" customHeight="1" outlineLevel="3">
      <c r="B111" s="2259"/>
      <c r="C111" s="2260" t="s">
        <v>1916</v>
      </c>
      <c r="D111" s="2261" t="s">
        <v>1917</v>
      </c>
      <c r="E111" s="2262">
        <f>E108+E109+E110</f>
        <v>0</v>
      </c>
      <c r="F111" s="2262">
        <f t="shared" ref="F111:BB111" si="27">F108+F109+F110</f>
        <v>0</v>
      </c>
      <c r="G111" s="2262">
        <f t="shared" si="27"/>
        <v>0</v>
      </c>
      <c r="H111" s="2262">
        <f t="shared" si="27"/>
        <v>0</v>
      </c>
      <c r="I111" s="2262">
        <f t="shared" si="27"/>
        <v>0</v>
      </c>
      <c r="J111" s="2262">
        <f t="shared" si="27"/>
        <v>0</v>
      </c>
      <c r="K111" s="2262">
        <f t="shared" si="27"/>
        <v>0</v>
      </c>
      <c r="L111" s="2262">
        <f t="shared" si="27"/>
        <v>0</v>
      </c>
      <c r="M111" s="2262">
        <f t="shared" si="27"/>
        <v>0</v>
      </c>
      <c r="N111" s="2262">
        <f t="shared" si="27"/>
        <v>0</v>
      </c>
      <c r="O111" s="2262">
        <f t="shared" si="27"/>
        <v>0</v>
      </c>
      <c r="P111" s="2262">
        <f t="shared" si="27"/>
        <v>0</v>
      </c>
      <c r="Q111" s="2262">
        <f t="shared" si="27"/>
        <v>0</v>
      </c>
      <c r="R111" s="2262">
        <f t="shared" si="27"/>
        <v>0</v>
      </c>
      <c r="S111" s="2262">
        <f t="shared" si="27"/>
        <v>0</v>
      </c>
      <c r="T111" s="2262">
        <f t="shared" si="27"/>
        <v>0</v>
      </c>
      <c r="U111" s="2262">
        <f t="shared" si="27"/>
        <v>0</v>
      </c>
      <c r="V111" s="2262">
        <f t="shared" si="27"/>
        <v>0</v>
      </c>
      <c r="W111" s="2262">
        <f t="shared" si="27"/>
        <v>0</v>
      </c>
      <c r="X111" s="2262">
        <f t="shared" si="27"/>
        <v>0</v>
      </c>
      <c r="Y111" s="2262">
        <f t="shared" si="27"/>
        <v>0</v>
      </c>
      <c r="Z111" s="2262">
        <f t="shared" si="27"/>
        <v>0</v>
      </c>
      <c r="AA111" s="2262">
        <f t="shared" si="27"/>
        <v>0</v>
      </c>
      <c r="AB111" s="2262">
        <f t="shared" si="27"/>
        <v>0</v>
      </c>
      <c r="AC111" s="2262">
        <f t="shared" si="27"/>
        <v>0</v>
      </c>
      <c r="AD111" s="2262">
        <f t="shared" si="27"/>
        <v>0</v>
      </c>
      <c r="AE111" s="2263">
        <f t="shared" si="27"/>
        <v>0</v>
      </c>
      <c r="AF111" s="2262">
        <f t="shared" si="27"/>
        <v>0</v>
      </c>
      <c r="AG111" s="2262">
        <f t="shared" si="27"/>
        <v>0</v>
      </c>
      <c r="AH111" s="2262">
        <f t="shared" si="27"/>
        <v>0</v>
      </c>
      <c r="AI111" s="2262">
        <f t="shared" si="27"/>
        <v>0</v>
      </c>
      <c r="AJ111" s="2262">
        <f t="shared" si="27"/>
        <v>0</v>
      </c>
      <c r="AK111" s="2262">
        <f t="shared" si="27"/>
        <v>0</v>
      </c>
      <c r="AL111" s="2262">
        <f t="shared" si="27"/>
        <v>0</v>
      </c>
      <c r="AM111" s="2262">
        <f t="shared" si="27"/>
        <v>0</v>
      </c>
      <c r="AN111" s="2262">
        <f t="shared" si="27"/>
        <v>0</v>
      </c>
      <c r="AO111" s="2262">
        <f t="shared" si="27"/>
        <v>0</v>
      </c>
      <c r="AP111" s="2262">
        <f t="shared" si="27"/>
        <v>0</v>
      </c>
      <c r="AQ111" s="2262">
        <f t="shared" si="27"/>
        <v>0</v>
      </c>
      <c r="AR111" s="2262">
        <f t="shared" si="27"/>
        <v>0</v>
      </c>
      <c r="AS111" s="2262">
        <f t="shared" si="27"/>
        <v>0</v>
      </c>
      <c r="AT111" s="2262">
        <f t="shared" si="27"/>
        <v>0</v>
      </c>
      <c r="AU111" s="2262">
        <f t="shared" si="27"/>
        <v>0</v>
      </c>
      <c r="AV111" s="2262">
        <f t="shared" si="27"/>
        <v>0</v>
      </c>
      <c r="AW111" s="2262">
        <f t="shared" si="27"/>
        <v>0</v>
      </c>
      <c r="AX111" s="2262">
        <f t="shared" si="27"/>
        <v>0</v>
      </c>
      <c r="AY111" s="2262">
        <f t="shared" si="27"/>
        <v>0</v>
      </c>
      <c r="AZ111" s="2262">
        <f t="shared" si="27"/>
        <v>0</v>
      </c>
      <c r="BA111" s="2262">
        <f t="shared" si="27"/>
        <v>0</v>
      </c>
      <c r="BB111" s="2262">
        <f t="shared" si="27"/>
        <v>0</v>
      </c>
      <c r="BC111" s="2264"/>
      <c r="BD111" s="2208"/>
    </row>
    <row r="112" spans="2:57" ht="15" customHeight="1" outlineLevel="3">
      <c r="B112" s="2243"/>
      <c r="C112" s="2244" t="s">
        <v>1918</v>
      </c>
      <c r="D112" s="2245" t="s">
        <v>1919</v>
      </c>
      <c r="E112" s="2256">
        <v>0</v>
      </c>
      <c r="F112" s="2256">
        <v>0</v>
      </c>
      <c r="G112" s="2256">
        <v>0</v>
      </c>
      <c r="H112" s="2256">
        <v>0</v>
      </c>
      <c r="I112" s="2256">
        <v>0</v>
      </c>
      <c r="J112" s="2256">
        <v>0</v>
      </c>
      <c r="K112" s="2256">
        <v>0</v>
      </c>
      <c r="L112" s="2256">
        <v>0</v>
      </c>
      <c r="M112" s="2256">
        <v>0</v>
      </c>
      <c r="N112" s="2256">
        <v>0</v>
      </c>
      <c r="O112" s="2256">
        <v>0</v>
      </c>
      <c r="P112" s="2256">
        <v>0</v>
      </c>
      <c r="Q112" s="2256">
        <v>0</v>
      </c>
      <c r="R112" s="2256">
        <v>0</v>
      </c>
      <c r="S112" s="2256">
        <v>0</v>
      </c>
      <c r="T112" s="2256">
        <v>0</v>
      </c>
      <c r="U112" s="2256">
        <v>0</v>
      </c>
      <c r="V112" s="2256">
        <v>0</v>
      </c>
      <c r="W112" s="2256">
        <v>0</v>
      </c>
      <c r="X112" s="2256">
        <v>0</v>
      </c>
      <c r="Y112" s="2256">
        <v>0</v>
      </c>
      <c r="Z112" s="2256">
        <v>0</v>
      </c>
      <c r="AA112" s="2256">
        <v>0</v>
      </c>
      <c r="AB112" s="2256">
        <v>0</v>
      </c>
      <c r="AC112" s="2256">
        <v>0</v>
      </c>
      <c r="AD112" s="2256">
        <v>0</v>
      </c>
      <c r="AE112" s="2257">
        <v>0</v>
      </c>
      <c r="AF112" s="2256">
        <v>0</v>
      </c>
      <c r="AG112" s="2256">
        <v>0</v>
      </c>
      <c r="AH112" s="2256">
        <v>0</v>
      </c>
      <c r="AI112" s="2256">
        <v>0</v>
      </c>
      <c r="AJ112" s="2256">
        <v>0</v>
      </c>
      <c r="AK112" s="2256">
        <v>0</v>
      </c>
      <c r="AL112" s="2256">
        <v>0</v>
      </c>
      <c r="AM112" s="2256">
        <v>0</v>
      </c>
      <c r="AN112" s="2256">
        <v>0</v>
      </c>
      <c r="AO112" s="2256">
        <v>0</v>
      </c>
      <c r="AP112" s="2256">
        <v>0</v>
      </c>
      <c r="AQ112" s="2256">
        <v>0</v>
      </c>
      <c r="AR112" s="2256">
        <v>0</v>
      </c>
      <c r="AS112" s="2256">
        <v>0</v>
      </c>
      <c r="AT112" s="2256">
        <v>0</v>
      </c>
      <c r="AU112" s="2256">
        <v>0</v>
      </c>
      <c r="AV112" s="2256">
        <v>0</v>
      </c>
      <c r="AW112" s="2256">
        <v>0</v>
      </c>
      <c r="AX112" s="2256">
        <v>0</v>
      </c>
      <c r="AY112" s="2256">
        <v>0</v>
      </c>
      <c r="AZ112" s="2256">
        <v>0</v>
      </c>
      <c r="BA112" s="2256">
        <v>0</v>
      </c>
      <c r="BB112" s="2256">
        <v>0</v>
      </c>
      <c r="BC112" s="2258"/>
      <c r="BD112" s="2240"/>
    </row>
    <row r="113" spans="2:57" ht="15" customHeight="1" outlineLevel="3">
      <c r="B113" s="2243"/>
      <c r="C113" s="2244" t="s">
        <v>1920</v>
      </c>
      <c r="D113" s="2245" t="s">
        <v>1921</v>
      </c>
      <c r="E113" s="2256">
        <v>0</v>
      </c>
      <c r="F113" s="2256">
        <v>0</v>
      </c>
      <c r="G113" s="2256">
        <v>0</v>
      </c>
      <c r="H113" s="2256">
        <v>0</v>
      </c>
      <c r="I113" s="2256">
        <v>0</v>
      </c>
      <c r="J113" s="2256">
        <v>0</v>
      </c>
      <c r="K113" s="2256">
        <v>0</v>
      </c>
      <c r="L113" s="2256">
        <v>0</v>
      </c>
      <c r="M113" s="2256">
        <v>0</v>
      </c>
      <c r="N113" s="2256">
        <v>0</v>
      </c>
      <c r="O113" s="2256">
        <v>0</v>
      </c>
      <c r="P113" s="2256">
        <v>0</v>
      </c>
      <c r="Q113" s="2256">
        <v>0</v>
      </c>
      <c r="R113" s="2256">
        <v>0</v>
      </c>
      <c r="S113" s="2256">
        <v>0</v>
      </c>
      <c r="T113" s="2256">
        <v>0</v>
      </c>
      <c r="U113" s="2256">
        <v>0</v>
      </c>
      <c r="V113" s="2256">
        <v>0</v>
      </c>
      <c r="W113" s="2256">
        <v>0</v>
      </c>
      <c r="X113" s="2256">
        <v>0</v>
      </c>
      <c r="Y113" s="2256">
        <v>0</v>
      </c>
      <c r="Z113" s="2256">
        <v>0</v>
      </c>
      <c r="AA113" s="2256">
        <v>0</v>
      </c>
      <c r="AB113" s="2256">
        <v>0</v>
      </c>
      <c r="AC113" s="2256">
        <v>0</v>
      </c>
      <c r="AD113" s="2256">
        <v>0</v>
      </c>
      <c r="AE113" s="2257">
        <v>0</v>
      </c>
      <c r="AF113" s="2256">
        <v>0</v>
      </c>
      <c r="AG113" s="2256">
        <v>0</v>
      </c>
      <c r="AH113" s="2256">
        <v>0</v>
      </c>
      <c r="AI113" s="2256">
        <v>0</v>
      </c>
      <c r="AJ113" s="2256">
        <v>0</v>
      </c>
      <c r="AK113" s="2256">
        <v>0</v>
      </c>
      <c r="AL113" s="2256">
        <v>0</v>
      </c>
      <c r="AM113" s="2256">
        <v>0</v>
      </c>
      <c r="AN113" s="2256">
        <v>0</v>
      </c>
      <c r="AO113" s="2256">
        <v>0</v>
      </c>
      <c r="AP113" s="2256">
        <v>0</v>
      </c>
      <c r="AQ113" s="2256">
        <v>0</v>
      </c>
      <c r="AR113" s="2256">
        <v>0</v>
      </c>
      <c r="AS113" s="2256">
        <v>0</v>
      </c>
      <c r="AT113" s="2256">
        <v>0</v>
      </c>
      <c r="AU113" s="2256">
        <v>0</v>
      </c>
      <c r="AV113" s="2256">
        <v>0</v>
      </c>
      <c r="AW113" s="2256">
        <v>0</v>
      </c>
      <c r="AX113" s="2256">
        <v>0</v>
      </c>
      <c r="AY113" s="2256">
        <v>0</v>
      </c>
      <c r="AZ113" s="2256">
        <v>0</v>
      </c>
      <c r="BA113" s="2256">
        <v>0</v>
      </c>
      <c r="BB113" s="2256">
        <v>0</v>
      </c>
      <c r="BC113" s="2258"/>
      <c r="BD113" s="2240"/>
    </row>
    <row r="114" spans="2:57" ht="15" customHeight="1" outlineLevel="3">
      <c r="B114" s="2243"/>
      <c r="C114" s="2244" t="s">
        <v>1922</v>
      </c>
      <c r="D114" s="2245" t="s">
        <v>1923</v>
      </c>
      <c r="E114" s="2256">
        <v>0</v>
      </c>
      <c r="F114" s="2256">
        <v>0</v>
      </c>
      <c r="G114" s="2256">
        <v>0</v>
      </c>
      <c r="H114" s="2256">
        <v>0</v>
      </c>
      <c r="I114" s="2256">
        <v>0</v>
      </c>
      <c r="J114" s="2256">
        <v>0</v>
      </c>
      <c r="K114" s="2256">
        <v>0</v>
      </c>
      <c r="L114" s="2256">
        <v>0</v>
      </c>
      <c r="M114" s="2256">
        <v>0</v>
      </c>
      <c r="N114" s="2256">
        <v>0</v>
      </c>
      <c r="O114" s="2256">
        <v>0</v>
      </c>
      <c r="P114" s="2256">
        <v>0</v>
      </c>
      <c r="Q114" s="2256">
        <v>0</v>
      </c>
      <c r="R114" s="2256">
        <v>0</v>
      </c>
      <c r="S114" s="2256">
        <v>0</v>
      </c>
      <c r="T114" s="2256">
        <v>0</v>
      </c>
      <c r="U114" s="2256">
        <v>0</v>
      </c>
      <c r="V114" s="2256">
        <v>0</v>
      </c>
      <c r="W114" s="2256">
        <v>0</v>
      </c>
      <c r="X114" s="2256">
        <v>0</v>
      </c>
      <c r="Y114" s="2256">
        <v>0</v>
      </c>
      <c r="Z114" s="2256">
        <v>0</v>
      </c>
      <c r="AA114" s="2256">
        <v>0</v>
      </c>
      <c r="AB114" s="2256">
        <v>0</v>
      </c>
      <c r="AC114" s="2256">
        <v>0</v>
      </c>
      <c r="AD114" s="2256">
        <v>0</v>
      </c>
      <c r="AE114" s="2257">
        <v>0</v>
      </c>
      <c r="AF114" s="2256">
        <v>0</v>
      </c>
      <c r="AG114" s="2256">
        <v>0</v>
      </c>
      <c r="AH114" s="2256">
        <v>0</v>
      </c>
      <c r="AI114" s="2256">
        <v>0</v>
      </c>
      <c r="AJ114" s="2256">
        <v>0</v>
      </c>
      <c r="AK114" s="2256">
        <v>0</v>
      </c>
      <c r="AL114" s="2256">
        <v>0</v>
      </c>
      <c r="AM114" s="2256">
        <v>0</v>
      </c>
      <c r="AN114" s="2256">
        <v>0</v>
      </c>
      <c r="AO114" s="2256">
        <v>0</v>
      </c>
      <c r="AP114" s="2256">
        <v>0</v>
      </c>
      <c r="AQ114" s="2256">
        <v>0</v>
      </c>
      <c r="AR114" s="2256">
        <v>0</v>
      </c>
      <c r="AS114" s="2256">
        <v>0</v>
      </c>
      <c r="AT114" s="2256">
        <v>0</v>
      </c>
      <c r="AU114" s="2256">
        <v>0</v>
      </c>
      <c r="AV114" s="2256">
        <v>0</v>
      </c>
      <c r="AW114" s="2256">
        <v>0</v>
      </c>
      <c r="AX114" s="2256">
        <v>0</v>
      </c>
      <c r="AY114" s="2256">
        <v>0</v>
      </c>
      <c r="AZ114" s="2256">
        <v>0</v>
      </c>
      <c r="BA114" s="2256">
        <v>0</v>
      </c>
      <c r="BB114" s="2256">
        <v>0</v>
      </c>
      <c r="BC114" s="2258"/>
      <c r="BD114" s="2240"/>
    </row>
    <row r="115" spans="2:57" s="2203" customFormat="1" ht="15" customHeight="1" outlineLevel="2">
      <c r="B115" s="2259"/>
      <c r="C115" s="2260" t="s">
        <v>1924</v>
      </c>
      <c r="D115" s="2261" t="s">
        <v>1925</v>
      </c>
      <c r="E115" s="2262">
        <f t="shared" ref="E115:AD115" si="28">E111+E112+E113+E114</f>
        <v>0</v>
      </c>
      <c r="F115" s="2262">
        <f t="shared" si="28"/>
        <v>0</v>
      </c>
      <c r="G115" s="2262">
        <f t="shared" si="28"/>
        <v>0</v>
      </c>
      <c r="H115" s="2262">
        <f t="shared" si="28"/>
        <v>0</v>
      </c>
      <c r="I115" s="2262">
        <f t="shared" si="28"/>
        <v>0</v>
      </c>
      <c r="J115" s="2262">
        <f t="shared" si="28"/>
        <v>0</v>
      </c>
      <c r="K115" s="2262">
        <f t="shared" si="28"/>
        <v>0</v>
      </c>
      <c r="L115" s="2262">
        <f t="shared" si="28"/>
        <v>0</v>
      </c>
      <c r="M115" s="2262">
        <f t="shared" si="28"/>
        <v>0</v>
      </c>
      <c r="N115" s="2262">
        <f t="shared" si="28"/>
        <v>0</v>
      </c>
      <c r="O115" s="2262">
        <f t="shared" si="28"/>
        <v>0</v>
      </c>
      <c r="P115" s="2262">
        <f t="shared" si="28"/>
        <v>0</v>
      </c>
      <c r="Q115" s="2262">
        <f t="shared" si="28"/>
        <v>0</v>
      </c>
      <c r="R115" s="2262">
        <f t="shared" si="28"/>
        <v>0</v>
      </c>
      <c r="S115" s="2262">
        <f t="shared" si="28"/>
        <v>0</v>
      </c>
      <c r="T115" s="2262">
        <f t="shared" si="28"/>
        <v>0</v>
      </c>
      <c r="U115" s="2262">
        <f t="shared" si="28"/>
        <v>0</v>
      </c>
      <c r="V115" s="2262">
        <f t="shared" si="28"/>
        <v>0</v>
      </c>
      <c r="W115" s="2262">
        <f t="shared" si="28"/>
        <v>0</v>
      </c>
      <c r="X115" s="2262">
        <f t="shared" si="28"/>
        <v>0</v>
      </c>
      <c r="Y115" s="2262">
        <f t="shared" si="28"/>
        <v>0</v>
      </c>
      <c r="Z115" s="2262">
        <f t="shared" si="28"/>
        <v>0</v>
      </c>
      <c r="AA115" s="2262">
        <f t="shared" si="28"/>
        <v>0</v>
      </c>
      <c r="AB115" s="2262">
        <f t="shared" si="28"/>
        <v>0</v>
      </c>
      <c r="AC115" s="2262">
        <f t="shared" si="28"/>
        <v>0</v>
      </c>
      <c r="AD115" s="2262">
        <f t="shared" si="28"/>
        <v>0</v>
      </c>
      <c r="AE115" s="2263">
        <f>AD115</f>
        <v>0</v>
      </c>
      <c r="AF115" s="2262">
        <f t="shared" ref="AF115:BB115" si="29">AE115</f>
        <v>0</v>
      </c>
      <c r="AG115" s="2262">
        <f t="shared" si="29"/>
        <v>0</v>
      </c>
      <c r="AH115" s="2262">
        <f t="shared" si="29"/>
        <v>0</v>
      </c>
      <c r="AI115" s="2262">
        <f t="shared" si="29"/>
        <v>0</v>
      </c>
      <c r="AJ115" s="2262">
        <f t="shared" si="29"/>
        <v>0</v>
      </c>
      <c r="AK115" s="2262">
        <f t="shared" si="29"/>
        <v>0</v>
      </c>
      <c r="AL115" s="2262">
        <f t="shared" si="29"/>
        <v>0</v>
      </c>
      <c r="AM115" s="2262">
        <f t="shared" si="29"/>
        <v>0</v>
      </c>
      <c r="AN115" s="2262">
        <f>AN111</f>
        <v>0</v>
      </c>
      <c r="AO115" s="2262">
        <f t="shared" si="29"/>
        <v>0</v>
      </c>
      <c r="AP115" s="2262">
        <f t="shared" si="29"/>
        <v>0</v>
      </c>
      <c r="AQ115" s="2262">
        <f t="shared" si="29"/>
        <v>0</v>
      </c>
      <c r="AR115" s="2262">
        <f t="shared" si="29"/>
        <v>0</v>
      </c>
      <c r="AS115" s="2262">
        <f t="shared" si="29"/>
        <v>0</v>
      </c>
      <c r="AT115" s="2262">
        <f t="shared" si="29"/>
        <v>0</v>
      </c>
      <c r="AU115" s="2262">
        <f t="shared" si="29"/>
        <v>0</v>
      </c>
      <c r="AV115" s="2262">
        <f t="shared" si="29"/>
        <v>0</v>
      </c>
      <c r="AW115" s="2262">
        <f t="shared" si="29"/>
        <v>0</v>
      </c>
      <c r="AX115" s="2262">
        <f>AX111</f>
        <v>0</v>
      </c>
      <c r="AY115" s="2262">
        <f>AX115</f>
        <v>0</v>
      </c>
      <c r="AZ115" s="2262">
        <f>AY115</f>
        <v>0</v>
      </c>
      <c r="BA115" s="2262">
        <f>AP115</f>
        <v>0</v>
      </c>
      <c r="BB115" s="2262">
        <f t="shared" si="29"/>
        <v>0</v>
      </c>
      <c r="BC115" s="2264"/>
      <c r="BD115" s="2208"/>
    </row>
    <row r="116" spans="2:57" s="2203" customFormat="1" ht="15" customHeight="1" outlineLevel="2">
      <c r="B116" s="2259"/>
      <c r="C116" s="2260" t="s">
        <v>1926</v>
      </c>
      <c r="D116" s="2261" t="s">
        <v>1927</v>
      </c>
      <c r="E116" s="2262">
        <f>E115</f>
        <v>0</v>
      </c>
      <c r="F116" s="2262">
        <f t="shared" ref="F116:BB116" si="30">F115-E115</f>
        <v>0</v>
      </c>
      <c r="G116" s="2262">
        <f t="shared" si="30"/>
        <v>0</v>
      </c>
      <c r="H116" s="2262">
        <f t="shared" si="30"/>
        <v>0</v>
      </c>
      <c r="I116" s="2262">
        <f t="shared" si="30"/>
        <v>0</v>
      </c>
      <c r="J116" s="2262">
        <f t="shared" si="30"/>
        <v>0</v>
      </c>
      <c r="K116" s="2262">
        <f t="shared" si="30"/>
        <v>0</v>
      </c>
      <c r="L116" s="2262">
        <f t="shared" si="30"/>
        <v>0</v>
      </c>
      <c r="M116" s="2262">
        <f t="shared" si="30"/>
        <v>0</v>
      </c>
      <c r="N116" s="2262">
        <f t="shared" si="30"/>
        <v>0</v>
      </c>
      <c r="O116" s="2262">
        <f t="shared" si="30"/>
        <v>0</v>
      </c>
      <c r="P116" s="2262">
        <f t="shared" si="30"/>
        <v>0</v>
      </c>
      <c r="Q116" s="2262">
        <f t="shared" si="30"/>
        <v>0</v>
      </c>
      <c r="R116" s="2262">
        <f t="shared" si="30"/>
        <v>0</v>
      </c>
      <c r="S116" s="2262">
        <f t="shared" si="30"/>
        <v>0</v>
      </c>
      <c r="T116" s="2262">
        <f t="shared" si="30"/>
        <v>0</v>
      </c>
      <c r="U116" s="2262">
        <f t="shared" si="30"/>
        <v>0</v>
      </c>
      <c r="V116" s="2262">
        <f t="shared" si="30"/>
        <v>0</v>
      </c>
      <c r="W116" s="2262">
        <f t="shared" si="30"/>
        <v>0</v>
      </c>
      <c r="X116" s="2262">
        <f t="shared" si="30"/>
        <v>0</v>
      </c>
      <c r="Y116" s="2262">
        <f t="shared" si="30"/>
        <v>0</v>
      </c>
      <c r="Z116" s="2262">
        <f t="shared" si="30"/>
        <v>0</v>
      </c>
      <c r="AA116" s="2262">
        <f t="shared" si="30"/>
        <v>0</v>
      </c>
      <c r="AB116" s="2262">
        <f t="shared" si="30"/>
        <v>0</v>
      </c>
      <c r="AC116" s="2262">
        <f t="shared" si="30"/>
        <v>0</v>
      </c>
      <c r="AD116" s="2262">
        <f t="shared" si="30"/>
        <v>0</v>
      </c>
      <c r="AE116" s="2263">
        <f t="shared" si="30"/>
        <v>0</v>
      </c>
      <c r="AF116" s="2262">
        <f t="shared" si="30"/>
        <v>0</v>
      </c>
      <c r="AG116" s="2262">
        <f t="shared" si="30"/>
        <v>0</v>
      </c>
      <c r="AH116" s="2262">
        <f t="shared" si="30"/>
        <v>0</v>
      </c>
      <c r="AI116" s="2262">
        <f t="shared" si="30"/>
        <v>0</v>
      </c>
      <c r="AJ116" s="2262">
        <f t="shared" si="30"/>
        <v>0</v>
      </c>
      <c r="AK116" s="2262">
        <f t="shared" si="30"/>
        <v>0</v>
      </c>
      <c r="AL116" s="2262">
        <f t="shared" si="30"/>
        <v>0</v>
      </c>
      <c r="AM116" s="2262">
        <f t="shared" si="30"/>
        <v>0</v>
      </c>
      <c r="AN116" s="2262">
        <f t="shared" si="30"/>
        <v>0</v>
      </c>
      <c r="AO116" s="2262">
        <f t="shared" si="30"/>
        <v>0</v>
      </c>
      <c r="AP116" s="2262">
        <f t="shared" si="30"/>
        <v>0</v>
      </c>
      <c r="AQ116" s="2262">
        <f t="shared" si="30"/>
        <v>0</v>
      </c>
      <c r="AR116" s="2262">
        <f t="shared" si="30"/>
        <v>0</v>
      </c>
      <c r="AS116" s="2262">
        <f t="shared" si="30"/>
        <v>0</v>
      </c>
      <c r="AT116" s="2262">
        <f t="shared" si="30"/>
        <v>0</v>
      </c>
      <c r="AU116" s="2262">
        <f t="shared" si="30"/>
        <v>0</v>
      </c>
      <c r="AV116" s="2262">
        <f t="shared" si="30"/>
        <v>0</v>
      </c>
      <c r="AW116" s="2262">
        <f t="shared" si="30"/>
        <v>0</v>
      </c>
      <c r="AX116" s="2262">
        <f t="shared" si="30"/>
        <v>0</v>
      </c>
      <c r="AY116" s="2262">
        <f t="shared" si="30"/>
        <v>0</v>
      </c>
      <c r="AZ116" s="2262">
        <f t="shared" si="30"/>
        <v>0</v>
      </c>
      <c r="BA116" s="2262">
        <f>BA115-AP115</f>
        <v>0</v>
      </c>
      <c r="BB116" s="2262">
        <f t="shared" si="30"/>
        <v>0</v>
      </c>
      <c r="BC116" s="2264"/>
      <c r="BD116" s="2208"/>
    </row>
    <row r="117" spans="2:57" ht="15" customHeight="1" outlineLevel="2">
      <c r="B117" s="2243"/>
      <c r="C117" s="2244"/>
      <c r="D117" s="2245"/>
      <c r="E117" s="2256"/>
      <c r="F117" s="2256"/>
      <c r="G117" s="2256"/>
      <c r="H117" s="2256"/>
      <c r="I117" s="2256"/>
      <c r="J117" s="2256"/>
      <c r="K117" s="2256"/>
      <c r="L117" s="2256"/>
      <c r="M117" s="2256"/>
      <c r="N117" s="2256"/>
      <c r="O117" s="2256"/>
      <c r="P117" s="2256"/>
      <c r="Q117" s="2256"/>
      <c r="R117" s="2256"/>
      <c r="S117" s="2256"/>
      <c r="T117" s="2256"/>
      <c r="U117" s="2256"/>
      <c r="V117" s="2256"/>
      <c r="W117" s="2256"/>
      <c r="X117" s="2256"/>
      <c r="Y117" s="2256"/>
      <c r="Z117" s="2256"/>
      <c r="AA117" s="2256"/>
      <c r="AB117" s="2256"/>
      <c r="AC117" s="2256"/>
      <c r="AD117" s="2256"/>
      <c r="AE117" s="2257"/>
      <c r="AF117" s="2256"/>
      <c r="AG117" s="2256"/>
      <c r="AH117" s="2256"/>
      <c r="AI117" s="2256"/>
      <c r="AJ117" s="2256"/>
      <c r="AK117" s="2256"/>
      <c r="AL117" s="2256"/>
      <c r="AM117" s="2256"/>
      <c r="AN117" s="2256"/>
      <c r="AO117" s="2256"/>
      <c r="AP117" s="2256"/>
      <c r="AQ117" s="2256"/>
      <c r="AR117" s="2256"/>
      <c r="AS117" s="2256"/>
      <c r="AT117" s="2256"/>
      <c r="AU117" s="2256"/>
      <c r="AV117" s="2256"/>
      <c r="AW117" s="2256"/>
      <c r="AX117" s="2256"/>
      <c r="AY117" s="2256"/>
      <c r="AZ117" s="2256"/>
      <c r="BA117" s="2256"/>
      <c r="BB117" s="2256"/>
      <c r="BC117" s="2258"/>
      <c r="BD117" s="2240"/>
    </row>
    <row r="118" spans="2:57" ht="15" customHeight="1" outlineLevel="2">
      <c r="B118" s="2243"/>
      <c r="C118" s="2244"/>
      <c r="D118" s="2245"/>
      <c r="E118" s="2256"/>
      <c r="F118" s="2256"/>
      <c r="G118" s="2256"/>
      <c r="H118" s="2256"/>
      <c r="I118" s="2256"/>
      <c r="J118" s="2256"/>
      <c r="K118" s="2256"/>
      <c r="L118" s="2256"/>
      <c r="M118" s="2256"/>
      <c r="N118" s="2256"/>
      <c r="O118" s="2256"/>
      <c r="P118" s="2256"/>
      <c r="Q118" s="2256"/>
      <c r="R118" s="2256"/>
      <c r="S118" s="2256"/>
      <c r="T118" s="2256"/>
      <c r="U118" s="2256"/>
      <c r="V118" s="2256"/>
      <c r="W118" s="2256"/>
      <c r="X118" s="2256"/>
      <c r="Y118" s="2256"/>
      <c r="Z118" s="2256"/>
      <c r="AA118" s="2256"/>
      <c r="AB118" s="2256"/>
      <c r="AC118" s="2256"/>
      <c r="AD118" s="2256"/>
      <c r="AE118" s="2257"/>
      <c r="AF118" s="2256"/>
      <c r="AG118" s="2256"/>
      <c r="AH118" s="2256"/>
      <c r="AI118" s="2256"/>
      <c r="AJ118" s="2256"/>
      <c r="AK118" s="2256"/>
      <c r="AL118" s="2256"/>
      <c r="AM118" s="2256"/>
      <c r="AN118" s="2256"/>
      <c r="AO118" s="2256"/>
      <c r="AP118" s="2256"/>
      <c r="AQ118" s="2256"/>
      <c r="AR118" s="2256"/>
      <c r="AS118" s="2256"/>
      <c r="AT118" s="2256"/>
      <c r="AU118" s="2256"/>
      <c r="AV118" s="2256"/>
      <c r="AW118" s="2256"/>
      <c r="AX118" s="2256"/>
      <c r="AY118" s="2256"/>
      <c r="AZ118" s="2256"/>
      <c r="BA118" s="2256"/>
      <c r="BB118" s="2256"/>
      <c r="BC118" s="2258"/>
      <c r="BD118" s="2240"/>
    </row>
    <row r="119" spans="2:57" ht="15.75" customHeight="1" outlineLevel="2">
      <c r="B119" s="2243"/>
      <c r="C119" s="2244"/>
      <c r="D119" s="2245"/>
      <c r="E119" s="2256"/>
      <c r="F119" s="2256"/>
      <c r="G119" s="2256"/>
      <c r="H119" s="2256"/>
      <c r="I119" s="2256"/>
      <c r="J119" s="2256"/>
      <c r="K119" s="2256"/>
      <c r="L119" s="2256"/>
      <c r="M119" s="2256"/>
      <c r="N119" s="2256"/>
      <c r="O119" s="2256"/>
      <c r="P119" s="2256"/>
      <c r="Q119" s="2256"/>
      <c r="R119" s="2256"/>
      <c r="S119" s="2256"/>
      <c r="T119" s="2256"/>
      <c r="U119" s="2256"/>
      <c r="V119" s="2256"/>
      <c r="W119" s="2256"/>
      <c r="X119" s="2256"/>
      <c r="Y119" s="2256"/>
      <c r="Z119" s="2256"/>
      <c r="AA119" s="2256"/>
      <c r="AB119" s="2256"/>
      <c r="AC119" s="2256"/>
      <c r="AD119" s="2256"/>
      <c r="AE119" s="2257"/>
      <c r="AF119" s="2256"/>
      <c r="AG119" s="2256"/>
      <c r="AH119" s="2256"/>
      <c r="AI119" s="2256"/>
      <c r="AJ119" s="2256"/>
      <c r="AK119" s="2256"/>
      <c r="AL119" s="2256"/>
      <c r="AM119" s="2256"/>
      <c r="AN119" s="2256"/>
      <c r="AO119" s="2256"/>
      <c r="AP119" s="2256"/>
      <c r="AQ119" s="2256"/>
      <c r="AR119" s="2256"/>
      <c r="AS119" s="2256"/>
      <c r="AT119" s="2256"/>
      <c r="AU119" s="2256"/>
      <c r="AV119" s="2256"/>
      <c r="AW119" s="2256"/>
      <c r="AX119" s="2256"/>
      <c r="AY119" s="2256"/>
      <c r="AZ119" s="2256"/>
      <c r="BA119" s="2256"/>
      <c r="BB119" s="2256"/>
      <c r="BC119" s="2248"/>
      <c r="BD119" s="2240"/>
    </row>
    <row r="120" spans="2:57" s="2203" customFormat="1" outlineLevel="1">
      <c r="B120" s="2266">
        <v>400</v>
      </c>
      <c r="C120" s="2267" t="s">
        <v>1932</v>
      </c>
      <c r="D120" s="2268" t="s">
        <v>1896</v>
      </c>
      <c r="E120" s="2241">
        <f>E137</f>
        <v>0</v>
      </c>
      <c r="F120" s="2241">
        <f t="shared" ref="F120:BB121" si="31">F137</f>
        <v>0</v>
      </c>
      <c r="G120" s="2241">
        <f t="shared" si="31"/>
        <v>0</v>
      </c>
      <c r="H120" s="2241">
        <f>H137</f>
        <v>0</v>
      </c>
      <c r="I120" s="2241">
        <f t="shared" si="31"/>
        <v>0</v>
      </c>
      <c r="J120" s="2241">
        <f t="shared" si="31"/>
        <v>0</v>
      </c>
      <c r="K120" s="2241">
        <f t="shared" si="31"/>
        <v>0</v>
      </c>
      <c r="L120" s="2241">
        <f t="shared" si="31"/>
        <v>0</v>
      </c>
      <c r="M120" s="2241">
        <f t="shared" si="31"/>
        <v>0</v>
      </c>
      <c r="N120" s="2241">
        <f t="shared" si="31"/>
        <v>0</v>
      </c>
      <c r="O120" s="2241">
        <f t="shared" si="31"/>
        <v>0</v>
      </c>
      <c r="P120" s="2241">
        <f t="shared" si="31"/>
        <v>0</v>
      </c>
      <c r="Q120" s="2241">
        <f t="shared" si="31"/>
        <v>0</v>
      </c>
      <c r="R120" s="2241">
        <f t="shared" si="31"/>
        <v>0</v>
      </c>
      <c r="S120" s="2241">
        <f t="shared" si="31"/>
        <v>0</v>
      </c>
      <c r="T120" s="2241">
        <f t="shared" si="31"/>
        <v>0</v>
      </c>
      <c r="U120" s="2241">
        <f t="shared" si="31"/>
        <v>0</v>
      </c>
      <c r="V120" s="2241">
        <f t="shared" si="31"/>
        <v>0</v>
      </c>
      <c r="W120" s="2241">
        <f t="shared" si="31"/>
        <v>0</v>
      </c>
      <c r="X120" s="2241">
        <f t="shared" si="31"/>
        <v>0</v>
      </c>
      <c r="Y120" s="2241">
        <f t="shared" si="31"/>
        <v>0</v>
      </c>
      <c r="Z120" s="2241">
        <f t="shared" si="31"/>
        <v>0</v>
      </c>
      <c r="AA120" s="2241">
        <f t="shared" si="31"/>
        <v>0</v>
      </c>
      <c r="AB120" s="2241">
        <f t="shared" si="31"/>
        <v>0</v>
      </c>
      <c r="AC120" s="2241">
        <f t="shared" si="31"/>
        <v>0</v>
      </c>
      <c r="AD120" s="2241">
        <f t="shared" si="31"/>
        <v>0</v>
      </c>
      <c r="AE120" s="2275">
        <f t="shared" si="31"/>
        <v>0</v>
      </c>
      <c r="AF120" s="2241">
        <f t="shared" si="31"/>
        <v>0</v>
      </c>
      <c r="AG120" s="2241">
        <f t="shared" si="31"/>
        <v>0</v>
      </c>
      <c r="AH120" s="2241">
        <f t="shared" si="31"/>
        <v>0</v>
      </c>
      <c r="AI120" s="2241">
        <f t="shared" si="31"/>
        <v>0</v>
      </c>
      <c r="AJ120" s="2241">
        <f t="shared" si="31"/>
        <v>0</v>
      </c>
      <c r="AK120" s="2241">
        <f t="shared" si="31"/>
        <v>0</v>
      </c>
      <c r="AL120" s="2241">
        <f t="shared" si="31"/>
        <v>0</v>
      </c>
      <c r="AM120" s="2241">
        <f t="shared" si="31"/>
        <v>0</v>
      </c>
      <c r="AN120" s="2241">
        <f t="shared" si="31"/>
        <v>0</v>
      </c>
      <c r="AO120" s="2241">
        <f t="shared" si="31"/>
        <v>0</v>
      </c>
      <c r="AP120" s="2241">
        <f t="shared" si="31"/>
        <v>0</v>
      </c>
      <c r="AQ120" s="2241">
        <f t="shared" si="31"/>
        <v>0</v>
      </c>
      <c r="AR120" s="2241">
        <f t="shared" si="31"/>
        <v>0</v>
      </c>
      <c r="AS120" s="2241">
        <f t="shared" si="31"/>
        <v>0</v>
      </c>
      <c r="AT120" s="2241">
        <f t="shared" si="31"/>
        <v>0</v>
      </c>
      <c r="AU120" s="2241">
        <f t="shared" si="31"/>
        <v>0</v>
      </c>
      <c r="AV120" s="2241">
        <f t="shared" si="31"/>
        <v>0</v>
      </c>
      <c r="AW120" s="2241">
        <f t="shared" si="31"/>
        <v>0</v>
      </c>
      <c r="AX120" s="2241">
        <f t="shared" si="31"/>
        <v>0</v>
      </c>
      <c r="AY120" s="2241">
        <f t="shared" si="31"/>
        <v>0</v>
      </c>
      <c r="AZ120" s="2241">
        <f t="shared" si="31"/>
        <v>0</v>
      </c>
      <c r="BA120" s="2241">
        <f t="shared" si="31"/>
        <v>0</v>
      </c>
      <c r="BB120" s="2241">
        <f t="shared" si="31"/>
        <v>0</v>
      </c>
      <c r="BC120" s="2272"/>
      <c r="BD120" s="2208"/>
      <c r="BE120" s="2242"/>
    </row>
    <row r="121" spans="2:57" s="2203" customFormat="1" outlineLevel="1">
      <c r="B121" s="2266"/>
      <c r="C121" s="2267"/>
      <c r="D121" s="2268" t="s">
        <v>1897</v>
      </c>
      <c r="E121" s="2241">
        <f>E138</f>
        <v>0</v>
      </c>
      <c r="F121" s="2241">
        <f t="shared" si="31"/>
        <v>0</v>
      </c>
      <c r="G121" s="2241">
        <f t="shared" si="31"/>
        <v>0</v>
      </c>
      <c r="H121" s="2241">
        <f>H138</f>
        <v>0</v>
      </c>
      <c r="I121" s="2241">
        <f t="shared" si="31"/>
        <v>0</v>
      </c>
      <c r="J121" s="2241">
        <f t="shared" si="31"/>
        <v>0</v>
      </c>
      <c r="K121" s="2241">
        <f t="shared" si="31"/>
        <v>0</v>
      </c>
      <c r="L121" s="2241">
        <f t="shared" si="31"/>
        <v>0</v>
      </c>
      <c r="M121" s="2241">
        <f t="shared" si="31"/>
        <v>0</v>
      </c>
      <c r="N121" s="2241">
        <f t="shared" si="31"/>
        <v>0</v>
      </c>
      <c r="O121" s="2241">
        <f t="shared" si="31"/>
        <v>0</v>
      </c>
      <c r="P121" s="2241">
        <f t="shared" si="31"/>
        <v>0</v>
      </c>
      <c r="Q121" s="2241">
        <f t="shared" si="31"/>
        <v>0</v>
      </c>
      <c r="R121" s="2241">
        <f t="shared" si="31"/>
        <v>0</v>
      </c>
      <c r="S121" s="2241">
        <f t="shared" si="31"/>
        <v>0</v>
      </c>
      <c r="T121" s="2241">
        <f t="shared" si="31"/>
        <v>0</v>
      </c>
      <c r="U121" s="2241">
        <f t="shared" si="31"/>
        <v>0</v>
      </c>
      <c r="V121" s="2241">
        <f t="shared" si="31"/>
        <v>0</v>
      </c>
      <c r="W121" s="2241">
        <f t="shared" si="31"/>
        <v>0</v>
      </c>
      <c r="X121" s="2241">
        <f t="shared" si="31"/>
        <v>0</v>
      </c>
      <c r="Y121" s="2241">
        <f t="shared" si="31"/>
        <v>0</v>
      </c>
      <c r="Z121" s="2241">
        <f t="shared" si="31"/>
        <v>0</v>
      </c>
      <c r="AA121" s="2241">
        <f t="shared" si="31"/>
        <v>0</v>
      </c>
      <c r="AB121" s="2241">
        <f t="shared" si="31"/>
        <v>0</v>
      </c>
      <c r="AC121" s="2241">
        <f t="shared" si="31"/>
        <v>0</v>
      </c>
      <c r="AD121" s="2241">
        <f t="shared" si="31"/>
        <v>0</v>
      </c>
      <c r="AE121" s="2275">
        <f t="shared" si="31"/>
        <v>0</v>
      </c>
      <c r="AF121" s="2241">
        <f t="shared" si="31"/>
        <v>0</v>
      </c>
      <c r="AG121" s="2241">
        <f t="shared" si="31"/>
        <v>0</v>
      </c>
      <c r="AH121" s="2241">
        <f t="shared" si="31"/>
        <v>0</v>
      </c>
      <c r="AI121" s="2241">
        <f t="shared" si="31"/>
        <v>0</v>
      </c>
      <c r="AJ121" s="2241">
        <f t="shared" si="31"/>
        <v>0</v>
      </c>
      <c r="AK121" s="2241">
        <f t="shared" si="31"/>
        <v>0</v>
      </c>
      <c r="AL121" s="2241">
        <f t="shared" si="31"/>
        <v>0</v>
      </c>
      <c r="AM121" s="2241">
        <f t="shared" si="31"/>
        <v>0</v>
      </c>
      <c r="AN121" s="2241">
        <f t="shared" si="31"/>
        <v>0</v>
      </c>
      <c r="AO121" s="2241">
        <f t="shared" si="31"/>
        <v>0</v>
      </c>
      <c r="AP121" s="2241">
        <f t="shared" si="31"/>
        <v>0</v>
      </c>
      <c r="AQ121" s="2241">
        <f t="shared" si="31"/>
        <v>0</v>
      </c>
      <c r="AR121" s="2241">
        <f t="shared" si="31"/>
        <v>0</v>
      </c>
      <c r="AS121" s="2241">
        <f t="shared" si="31"/>
        <v>0</v>
      </c>
      <c r="AT121" s="2241">
        <f t="shared" si="31"/>
        <v>0</v>
      </c>
      <c r="AU121" s="2241">
        <f t="shared" si="31"/>
        <v>0</v>
      </c>
      <c r="AV121" s="2241">
        <f t="shared" si="31"/>
        <v>0</v>
      </c>
      <c r="AW121" s="2241">
        <f t="shared" si="31"/>
        <v>0</v>
      </c>
      <c r="AX121" s="2241">
        <f t="shared" si="31"/>
        <v>0</v>
      </c>
      <c r="AY121" s="2241">
        <f t="shared" si="31"/>
        <v>0</v>
      </c>
      <c r="AZ121" s="2241">
        <f t="shared" si="31"/>
        <v>0</v>
      </c>
      <c r="BA121" s="2241">
        <f t="shared" si="31"/>
        <v>0</v>
      </c>
      <c r="BB121" s="2241">
        <f t="shared" si="31"/>
        <v>0</v>
      </c>
      <c r="BC121" s="2272"/>
      <c r="BD121" s="2208"/>
    </row>
    <row r="122" spans="2:57" ht="15" customHeight="1" outlineLevel="2">
      <c r="B122" s="2243"/>
      <c r="C122" s="2244"/>
      <c r="D122" s="2245"/>
      <c r="E122" s="2256"/>
      <c r="F122" s="2256"/>
      <c r="G122" s="2256"/>
      <c r="H122" s="2256"/>
      <c r="I122" s="2256"/>
      <c r="J122" s="2256"/>
      <c r="K122" s="2256"/>
      <c r="L122" s="2256"/>
      <c r="M122" s="2256"/>
      <c r="N122" s="2256"/>
      <c r="O122" s="2256"/>
      <c r="P122" s="2256"/>
      <c r="Q122" s="2256"/>
      <c r="R122" s="2256"/>
      <c r="S122" s="2256"/>
      <c r="T122" s="2256"/>
      <c r="U122" s="2256"/>
      <c r="V122" s="2256"/>
      <c r="W122" s="2256"/>
      <c r="X122" s="2256"/>
      <c r="Y122" s="2256"/>
      <c r="Z122" s="2256"/>
      <c r="AA122" s="2256"/>
      <c r="AB122" s="2256"/>
      <c r="AC122" s="2256"/>
      <c r="AD122" s="2256"/>
      <c r="AE122" s="2257"/>
      <c r="AF122" s="2256"/>
      <c r="AG122" s="2256"/>
      <c r="AH122" s="2256"/>
      <c r="AI122" s="2256"/>
      <c r="AJ122" s="2256"/>
      <c r="AK122" s="2256"/>
      <c r="AL122" s="2256"/>
      <c r="AM122" s="2256"/>
      <c r="AN122" s="2256"/>
      <c r="AO122" s="2256"/>
      <c r="AP122" s="2256"/>
      <c r="AQ122" s="2256"/>
      <c r="AR122" s="2256"/>
      <c r="AS122" s="2256"/>
      <c r="AT122" s="2256"/>
      <c r="AU122" s="2256"/>
      <c r="AV122" s="2256"/>
      <c r="AW122" s="2256"/>
      <c r="AX122" s="2256"/>
      <c r="AY122" s="2256"/>
      <c r="AZ122" s="2256"/>
      <c r="BA122" s="2256"/>
      <c r="BB122" s="2256"/>
      <c r="BC122" s="2248"/>
      <c r="BD122" s="2240"/>
    </row>
    <row r="123" spans="2:57" ht="15" customHeight="1" outlineLevel="2">
      <c r="B123" s="2273">
        <v>400.1</v>
      </c>
      <c r="C123" s="2250" t="s">
        <v>1933</v>
      </c>
      <c r="D123" s="2276">
        <v>0</v>
      </c>
      <c r="E123" s="2277"/>
      <c r="F123" s="2277"/>
      <c r="G123" s="2277"/>
      <c r="H123" s="2277"/>
      <c r="I123" s="2277"/>
      <c r="J123" s="2277"/>
      <c r="K123" s="2277"/>
      <c r="L123" s="2277"/>
      <c r="M123" s="2277"/>
      <c r="N123" s="2277"/>
      <c r="O123" s="2277"/>
      <c r="P123" s="2277"/>
      <c r="Q123" s="2277"/>
      <c r="R123" s="2277"/>
      <c r="S123" s="2277"/>
      <c r="T123" s="2277"/>
      <c r="U123" s="2277"/>
      <c r="V123" s="2277"/>
      <c r="W123" s="2277"/>
      <c r="X123" s="2277"/>
      <c r="Y123" s="2277"/>
      <c r="Z123" s="2277"/>
      <c r="AA123" s="2277"/>
      <c r="AB123" s="2277"/>
      <c r="AC123" s="2277"/>
      <c r="AD123" s="2277"/>
      <c r="AE123" s="2278"/>
      <c r="AF123" s="2277"/>
      <c r="AG123" s="2277"/>
      <c r="AH123" s="2277"/>
      <c r="AI123" s="2277"/>
      <c r="AJ123" s="2277"/>
      <c r="AK123" s="2277"/>
      <c r="AL123" s="2277"/>
      <c r="AM123" s="2277"/>
      <c r="AN123" s="2277"/>
      <c r="AO123" s="2277"/>
      <c r="AP123" s="2277"/>
      <c r="AQ123" s="2277"/>
      <c r="AR123" s="2277"/>
      <c r="AS123" s="2277"/>
      <c r="AT123" s="2277"/>
      <c r="AU123" s="2277"/>
      <c r="AV123" s="2277"/>
      <c r="AW123" s="2277"/>
      <c r="AX123" s="2277"/>
      <c r="AY123" s="2277"/>
      <c r="AZ123" s="2277"/>
      <c r="BA123" s="2277"/>
      <c r="BB123" s="2277"/>
      <c r="BC123" s="2248"/>
      <c r="BD123" s="2240"/>
    </row>
    <row r="124" spans="2:57" ht="15" customHeight="1" outlineLevel="3">
      <c r="B124" s="2243"/>
      <c r="C124" s="2244" t="s">
        <v>1898</v>
      </c>
      <c r="D124" s="2245" t="s">
        <v>1899</v>
      </c>
      <c r="E124" s="2256">
        <v>0</v>
      </c>
      <c r="F124" s="2256">
        <v>0</v>
      </c>
      <c r="G124" s="2256">
        <v>0</v>
      </c>
      <c r="H124" s="2256">
        <v>0</v>
      </c>
      <c r="I124" s="2256">
        <v>0</v>
      </c>
      <c r="J124" s="2256">
        <v>0</v>
      </c>
      <c r="K124" s="2256">
        <v>0</v>
      </c>
      <c r="L124" s="2256">
        <v>0</v>
      </c>
      <c r="M124" s="2256">
        <v>0</v>
      </c>
      <c r="N124" s="2256">
        <v>0</v>
      </c>
      <c r="O124" s="2256">
        <v>0</v>
      </c>
      <c r="P124" s="2256">
        <v>0</v>
      </c>
      <c r="Q124" s="2256">
        <v>0</v>
      </c>
      <c r="R124" s="2256">
        <v>0</v>
      </c>
      <c r="S124" s="2256">
        <v>0</v>
      </c>
      <c r="T124" s="2256">
        <v>0</v>
      </c>
      <c r="U124" s="2256">
        <v>0</v>
      </c>
      <c r="V124" s="2256">
        <v>0</v>
      </c>
      <c r="W124" s="2256">
        <v>0</v>
      </c>
      <c r="X124" s="2256">
        <v>0</v>
      </c>
      <c r="Y124" s="2256">
        <v>0</v>
      </c>
      <c r="Z124" s="2256">
        <v>0</v>
      </c>
      <c r="AA124" s="2256">
        <v>0</v>
      </c>
      <c r="AB124" s="2256">
        <v>0</v>
      </c>
      <c r="AC124" s="2256">
        <v>0</v>
      </c>
      <c r="AD124" s="2256">
        <v>0</v>
      </c>
      <c r="AE124" s="2257">
        <v>0</v>
      </c>
      <c r="AF124" s="2256">
        <v>0</v>
      </c>
      <c r="AG124" s="2256">
        <v>0</v>
      </c>
      <c r="AH124" s="2256">
        <v>0</v>
      </c>
      <c r="AI124" s="2256">
        <v>0</v>
      </c>
      <c r="AJ124" s="2256">
        <v>0</v>
      </c>
      <c r="AK124" s="2256">
        <v>0</v>
      </c>
      <c r="AL124" s="2256">
        <v>0</v>
      </c>
      <c r="AM124" s="2256">
        <v>0</v>
      </c>
      <c r="AN124" s="2256">
        <v>0</v>
      </c>
      <c r="AO124" s="2256">
        <v>0</v>
      </c>
      <c r="AP124" s="2256">
        <v>0</v>
      </c>
      <c r="AQ124" s="2256">
        <v>0</v>
      </c>
      <c r="AR124" s="2256">
        <v>0</v>
      </c>
      <c r="AS124" s="2256">
        <v>0</v>
      </c>
      <c r="AT124" s="2256">
        <v>0</v>
      </c>
      <c r="AU124" s="2256">
        <v>0</v>
      </c>
      <c r="AV124" s="2256">
        <v>0</v>
      </c>
      <c r="AW124" s="2256">
        <v>0</v>
      </c>
      <c r="AX124" s="2256">
        <v>0</v>
      </c>
      <c r="AY124" s="2256">
        <v>0</v>
      </c>
      <c r="AZ124" s="2256">
        <v>0</v>
      </c>
      <c r="BA124" s="2256">
        <v>0</v>
      </c>
      <c r="BB124" s="2256">
        <v>0</v>
      </c>
      <c r="BC124" s="2258"/>
      <c r="BD124" s="2240"/>
    </row>
    <row r="125" spans="2:57" ht="15" customHeight="1" outlineLevel="3">
      <c r="B125" s="2243"/>
      <c r="C125" s="2244" t="s">
        <v>1901</v>
      </c>
      <c r="D125" s="2245" t="s">
        <v>1902</v>
      </c>
      <c r="E125" s="2256">
        <v>0</v>
      </c>
      <c r="F125" s="2256">
        <v>0</v>
      </c>
      <c r="G125" s="2256">
        <v>0</v>
      </c>
      <c r="H125" s="2256">
        <v>0</v>
      </c>
      <c r="I125" s="2256">
        <v>0</v>
      </c>
      <c r="J125" s="2256">
        <v>0</v>
      </c>
      <c r="K125" s="2256">
        <v>0</v>
      </c>
      <c r="L125" s="2256">
        <v>0</v>
      </c>
      <c r="M125" s="2256">
        <v>0</v>
      </c>
      <c r="N125" s="2256">
        <v>0</v>
      </c>
      <c r="O125" s="2256">
        <v>0</v>
      </c>
      <c r="P125" s="2256">
        <v>0</v>
      </c>
      <c r="Q125" s="2256">
        <v>0</v>
      </c>
      <c r="R125" s="2256">
        <v>0</v>
      </c>
      <c r="S125" s="2256">
        <v>0</v>
      </c>
      <c r="T125" s="2256">
        <v>0</v>
      </c>
      <c r="U125" s="2256">
        <v>0</v>
      </c>
      <c r="V125" s="2256">
        <v>0</v>
      </c>
      <c r="W125" s="2256">
        <v>0</v>
      </c>
      <c r="X125" s="2256">
        <v>0</v>
      </c>
      <c r="Y125" s="2256">
        <v>0</v>
      </c>
      <c r="Z125" s="2256">
        <v>0</v>
      </c>
      <c r="AA125" s="2256">
        <v>0</v>
      </c>
      <c r="AB125" s="2256">
        <v>0</v>
      </c>
      <c r="AC125" s="2256">
        <v>0</v>
      </c>
      <c r="AD125" s="2256">
        <v>0</v>
      </c>
      <c r="AE125" s="2257">
        <v>0</v>
      </c>
      <c r="AF125" s="2256">
        <v>0</v>
      </c>
      <c r="AG125" s="2256">
        <v>0</v>
      </c>
      <c r="AH125" s="2256">
        <v>0</v>
      </c>
      <c r="AI125" s="2256">
        <v>0</v>
      </c>
      <c r="AJ125" s="2256">
        <v>0</v>
      </c>
      <c r="AK125" s="2256">
        <v>0</v>
      </c>
      <c r="AL125" s="2256">
        <v>0</v>
      </c>
      <c r="AM125" s="2256">
        <v>0</v>
      </c>
      <c r="AN125" s="2256">
        <v>0</v>
      </c>
      <c r="AO125" s="2256">
        <v>0</v>
      </c>
      <c r="AP125" s="2256">
        <v>0</v>
      </c>
      <c r="AQ125" s="2256">
        <v>0</v>
      </c>
      <c r="AR125" s="2256">
        <v>0</v>
      </c>
      <c r="AS125" s="2256">
        <v>0</v>
      </c>
      <c r="AT125" s="2256">
        <v>0</v>
      </c>
      <c r="AU125" s="2256">
        <v>0</v>
      </c>
      <c r="AV125" s="2256">
        <v>0</v>
      </c>
      <c r="AW125" s="2256">
        <v>0</v>
      </c>
      <c r="AX125" s="2256">
        <v>0</v>
      </c>
      <c r="AY125" s="2256">
        <v>0</v>
      </c>
      <c r="AZ125" s="2256">
        <v>0</v>
      </c>
      <c r="BA125" s="2256">
        <v>0</v>
      </c>
      <c r="BB125" s="2256">
        <v>0</v>
      </c>
      <c r="BC125" s="2258"/>
      <c r="BD125" s="2240"/>
    </row>
    <row r="126" spans="2:57" ht="15" customHeight="1" outlineLevel="3">
      <c r="B126" s="2243"/>
      <c r="C126" s="2244" t="s">
        <v>1903</v>
      </c>
      <c r="D126" s="2245" t="s">
        <v>1904</v>
      </c>
      <c r="E126" s="2256">
        <v>0</v>
      </c>
      <c r="F126" s="2256">
        <v>0</v>
      </c>
      <c r="G126" s="2256">
        <v>0</v>
      </c>
      <c r="H126" s="2256">
        <v>0</v>
      </c>
      <c r="I126" s="2256">
        <v>0</v>
      </c>
      <c r="J126" s="2256">
        <v>0</v>
      </c>
      <c r="K126" s="2256">
        <v>0</v>
      </c>
      <c r="L126" s="2256">
        <v>0</v>
      </c>
      <c r="M126" s="2256">
        <v>0</v>
      </c>
      <c r="N126" s="2256">
        <v>0</v>
      </c>
      <c r="O126" s="2256">
        <v>0</v>
      </c>
      <c r="P126" s="2256">
        <v>0</v>
      </c>
      <c r="Q126" s="2256">
        <v>0</v>
      </c>
      <c r="R126" s="2256">
        <v>0</v>
      </c>
      <c r="S126" s="2256">
        <v>0</v>
      </c>
      <c r="T126" s="2256">
        <v>0</v>
      </c>
      <c r="U126" s="2256">
        <v>0</v>
      </c>
      <c r="V126" s="2256">
        <v>0</v>
      </c>
      <c r="W126" s="2256">
        <v>0</v>
      </c>
      <c r="X126" s="2256">
        <v>0</v>
      </c>
      <c r="Y126" s="2256">
        <v>0</v>
      </c>
      <c r="Z126" s="2256">
        <v>0</v>
      </c>
      <c r="AA126" s="2256">
        <v>0</v>
      </c>
      <c r="AB126" s="2256">
        <v>0</v>
      </c>
      <c r="AC126" s="2256">
        <v>0</v>
      </c>
      <c r="AD126" s="2256">
        <v>0</v>
      </c>
      <c r="AE126" s="2257">
        <v>0</v>
      </c>
      <c r="AF126" s="2256">
        <v>0</v>
      </c>
      <c r="AG126" s="2256">
        <v>0</v>
      </c>
      <c r="AH126" s="2256">
        <v>0</v>
      </c>
      <c r="AI126" s="2256">
        <v>0</v>
      </c>
      <c r="AJ126" s="2256">
        <v>0</v>
      </c>
      <c r="AK126" s="2256">
        <v>0</v>
      </c>
      <c r="AL126" s="2256">
        <v>0</v>
      </c>
      <c r="AM126" s="2256">
        <v>0</v>
      </c>
      <c r="AN126" s="2256">
        <v>0</v>
      </c>
      <c r="AO126" s="2256">
        <v>0</v>
      </c>
      <c r="AP126" s="2256">
        <v>0</v>
      </c>
      <c r="AQ126" s="2256">
        <v>0</v>
      </c>
      <c r="AR126" s="2256">
        <v>0</v>
      </c>
      <c r="AS126" s="2256">
        <v>0</v>
      </c>
      <c r="AT126" s="2256">
        <v>0</v>
      </c>
      <c r="AU126" s="2256">
        <v>0</v>
      </c>
      <c r="AV126" s="2256">
        <v>0</v>
      </c>
      <c r="AW126" s="2256">
        <v>0</v>
      </c>
      <c r="AX126" s="2256">
        <v>0</v>
      </c>
      <c r="AY126" s="2256">
        <v>0</v>
      </c>
      <c r="AZ126" s="2256">
        <v>0</v>
      </c>
      <c r="BA126" s="2256">
        <v>0</v>
      </c>
      <c r="BB126" s="2256">
        <v>0</v>
      </c>
      <c r="BC126" s="2258"/>
      <c r="BD126" s="2240"/>
    </row>
    <row r="127" spans="2:57" s="2203" customFormat="1" ht="15" customHeight="1" outlineLevel="3">
      <c r="B127" s="2259"/>
      <c r="C127" s="2260" t="s">
        <v>1905</v>
      </c>
      <c r="D127" s="2261" t="s">
        <v>1906</v>
      </c>
      <c r="E127" s="2262">
        <f>E124+E125+E126</f>
        <v>0</v>
      </c>
      <c r="F127" s="2262">
        <f t="shared" ref="F127:BB127" si="32">F124+F125+F126</f>
        <v>0</v>
      </c>
      <c r="G127" s="2262">
        <f t="shared" si="32"/>
        <v>0</v>
      </c>
      <c r="H127" s="2262">
        <f t="shared" si="32"/>
        <v>0</v>
      </c>
      <c r="I127" s="2262">
        <f t="shared" si="32"/>
        <v>0</v>
      </c>
      <c r="J127" s="2262">
        <f t="shared" si="32"/>
        <v>0</v>
      </c>
      <c r="K127" s="2262">
        <f t="shared" si="32"/>
        <v>0</v>
      </c>
      <c r="L127" s="2262">
        <f t="shared" si="32"/>
        <v>0</v>
      </c>
      <c r="M127" s="2262">
        <f t="shared" si="32"/>
        <v>0</v>
      </c>
      <c r="N127" s="2262">
        <f t="shared" si="32"/>
        <v>0</v>
      </c>
      <c r="O127" s="2262">
        <f t="shared" si="32"/>
        <v>0</v>
      </c>
      <c r="P127" s="2262">
        <f t="shared" si="32"/>
        <v>0</v>
      </c>
      <c r="Q127" s="2262">
        <f t="shared" si="32"/>
        <v>0</v>
      </c>
      <c r="R127" s="2262">
        <f t="shared" si="32"/>
        <v>0</v>
      </c>
      <c r="S127" s="2262">
        <f t="shared" si="32"/>
        <v>0</v>
      </c>
      <c r="T127" s="2262">
        <f t="shared" si="32"/>
        <v>0</v>
      </c>
      <c r="U127" s="2262">
        <f t="shared" si="32"/>
        <v>0</v>
      </c>
      <c r="V127" s="2262">
        <f t="shared" si="32"/>
        <v>0</v>
      </c>
      <c r="W127" s="2262">
        <f t="shared" si="32"/>
        <v>0</v>
      </c>
      <c r="X127" s="2262">
        <f t="shared" si="32"/>
        <v>0</v>
      </c>
      <c r="Y127" s="2262">
        <f t="shared" si="32"/>
        <v>0</v>
      </c>
      <c r="Z127" s="2262">
        <f t="shared" si="32"/>
        <v>0</v>
      </c>
      <c r="AA127" s="2262">
        <f t="shared" si="32"/>
        <v>0</v>
      </c>
      <c r="AB127" s="2262">
        <f t="shared" si="32"/>
        <v>0</v>
      </c>
      <c r="AC127" s="2262">
        <f t="shared" si="32"/>
        <v>0</v>
      </c>
      <c r="AD127" s="2262">
        <f t="shared" si="32"/>
        <v>0</v>
      </c>
      <c r="AE127" s="2263">
        <f t="shared" si="32"/>
        <v>0</v>
      </c>
      <c r="AF127" s="2262">
        <f t="shared" si="32"/>
        <v>0</v>
      </c>
      <c r="AG127" s="2262">
        <f t="shared" si="32"/>
        <v>0</v>
      </c>
      <c r="AH127" s="2262">
        <f t="shared" si="32"/>
        <v>0</v>
      </c>
      <c r="AI127" s="2262">
        <f t="shared" si="32"/>
        <v>0</v>
      </c>
      <c r="AJ127" s="2262">
        <f t="shared" si="32"/>
        <v>0</v>
      </c>
      <c r="AK127" s="2262">
        <f t="shared" si="32"/>
        <v>0</v>
      </c>
      <c r="AL127" s="2262">
        <f t="shared" si="32"/>
        <v>0</v>
      </c>
      <c r="AM127" s="2262">
        <f t="shared" si="32"/>
        <v>0</v>
      </c>
      <c r="AN127" s="2262">
        <f t="shared" si="32"/>
        <v>0</v>
      </c>
      <c r="AO127" s="2262">
        <f t="shared" si="32"/>
        <v>0</v>
      </c>
      <c r="AP127" s="2262">
        <f t="shared" si="32"/>
        <v>0</v>
      </c>
      <c r="AQ127" s="2262">
        <f t="shared" si="32"/>
        <v>0</v>
      </c>
      <c r="AR127" s="2262">
        <f t="shared" si="32"/>
        <v>0</v>
      </c>
      <c r="AS127" s="2262">
        <f t="shared" si="32"/>
        <v>0</v>
      </c>
      <c r="AT127" s="2262">
        <f t="shared" si="32"/>
        <v>0</v>
      </c>
      <c r="AU127" s="2262">
        <f t="shared" si="32"/>
        <v>0</v>
      </c>
      <c r="AV127" s="2262">
        <f t="shared" si="32"/>
        <v>0</v>
      </c>
      <c r="AW127" s="2262">
        <f t="shared" si="32"/>
        <v>0</v>
      </c>
      <c r="AX127" s="2262">
        <f t="shared" si="32"/>
        <v>0</v>
      </c>
      <c r="AY127" s="2262">
        <f t="shared" si="32"/>
        <v>0</v>
      </c>
      <c r="AZ127" s="2262">
        <f t="shared" si="32"/>
        <v>0</v>
      </c>
      <c r="BA127" s="2262">
        <f t="shared" si="32"/>
        <v>0</v>
      </c>
      <c r="BB127" s="2262">
        <f t="shared" si="32"/>
        <v>0</v>
      </c>
      <c r="BC127" s="2264"/>
      <c r="BD127" s="2208"/>
    </row>
    <row r="128" spans="2:57" ht="15" customHeight="1" outlineLevel="3">
      <c r="B128" s="2243"/>
      <c r="C128" s="2260" t="s">
        <v>1907</v>
      </c>
      <c r="D128" s="2261" t="s">
        <v>1908</v>
      </c>
      <c r="E128" s="2262">
        <v>0</v>
      </c>
      <c r="F128" s="2262">
        <v>0</v>
      </c>
      <c r="G128" s="2262">
        <v>0</v>
      </c>
      <c r="H128" s="2262">
        <v>0</v>
      </c>
      <c r="I128" s="2262">
        <v>0</v>
      </c>
      <c r="J128" s="2262">
        <v>0</v>
      </c>
      <c r="K128" s="2262">
        <v>0</v>
      </c>
      <c r="L128" s="2262">
        <v>0</v>
      </c>
      <c r="M128" s="2262">
        <v>0</v>
      </c>
      <c r="N128" s="2262">
        <v>0</v>
      </c>
      <c r="O128" s="2262">
        <v>0</v>
      </c>
      <c r="P128" s="2262">
        <v>0</v>
      </c>
      <c r="Q128" s="2262">
        <v>0</v>
      </c>
      <c r="R128" s="2262">
        <v>0</v>
      </c>
      <c r="S128" s="2262">
        <v>0</v>
      </c>
      <c r="T128" s="2262">
        <v>0</v>
      </c>
      <c r="U128" s="2262">
        <v>0</v>
      </c>
      <c r="V128" s="2262">
        <v>0</v>
      </c>
      <c r="W128" s="2262">
        <v>0</v>
      </c>
      <c r="X128" s="2262">
        <v>0</v>
      </c>
      <c r="Y128" s="2262">
        <v>0</v>
      </c>
      <c r="Z128" s="2262">
        <v>0</v>
      </c>
      <c r="AA128" s="2262">
        <v>0</v>
      </c>
      <c r="AB128" s="2262">
        <v>0</v>
      </c>
      <c r="AC128" s="2262">
        <v>0</v>
      </c>
      <c r="AD128" s="2262">
        <v>0</v>
      </c>
      <c r="AE128" s="2263">
        <v>0</v>
      </c>
      <c r="AF128" s="2262">
        <v>0</v>
      </c>
      <c r="AG128" s="2262">
        <v>0</v>
      </c>
      <c r="AH128" s="2262">
        <v>0</v>
      </c>
      <c r="AI128" s="2262">
        <v>0</v>
      </c>
      <c r="AJ128" s="2262">
        <v>0</v>
      </c>
      <c r="AK128" s="2262">
        <v>0</v>
      </c>
      <c r="AL128" s="2262">
        <v>0</v>
      </c>
      <c r="AM128" s="2262">
        <v>0</v>
      </c>
      <c r="AN128" s="2262">
        <v>0</v>
      </c>
      <c r="AO128" s="2262">
        <v>0</v>
      </c>
      <c r="AP128" s="2262">
        <v>0</v>
      </c>
      <c r="AQ128" s="2262">
        <v>0</v>
      </c>
      <c r="AR128" s="2262">
        <v>0</v>
      </c>
      <c r="AS128" s="2262">
        <v>0</v>
      </c>
      <c r="AT128" s="2262">
        <v>0</v>
      </c>
      <c r="AU128" s="2262">
        <v>0</v>
      </c>
      <c r="AV128" s="2262">
        <v>0</v>
      </c>
      <c r="AW128" s="2262">
        <v>0</v>
      </c>
      <c r="AX128" s="2262">
        <v>0</v>
      </c>
      <c r="AY128" s="2262">
        <v>0</v>
      </c>
      <c r="AZ128" s="2262">
        <v>0</v>
      </c>
      <c r="BA128" s="2262">
        <v>0</v>
      </c>
      <c r="BB128" s="2262">
        <v>0</v>
      </c>
      <c r="BC128" s="2258"/>
      <c r="BD128" s="2240"/>
    </row>
    <row r="129" spans="2:56" ht="15" customHeight="1" outlineLevel="3">
      <c r="B129" s="2243"/>
      <c r="C129" s="2244" t="s">
        <v>1579</v>
      </c>
      <c r="D129" s="2245" t="s">
        <v>1909</v>
      </c>
      <c r="E129" s="2256">
        <v>0</v>
      </c>
      <c r="F129" s="2256">
        <v>0</v>
      </c>
      <c r="G129" s="2256">
        <v>0</v>
      </c>
      <c r="H129" s="2256">
        <v>0</v>
      </c>
      <c r="I129" s="2256">
        <v>0</v>
      </c>
      <c r="J129" s="2256">
        <v>0</v>
      </c>
      <c r="K129" s="2256">
        <v>0</v>
      </c>
      <c r="L129" s="2256">
        <v>0</v>
      </c>
      <c r="M129" s="2256">
        <v>0</v>
      </c>
      <c r="N129" s="2256">
        <v>0</v>
      </c>
      <c r="O129" s="2256">
        <v>0</v>
      </c>
      <c r="P129" s="2256">
        <v>0</v>
      </c>
      <c r="Q129" s="2256">
        <v>0</v>
      </c>
      <c r="R129" s="2256">
        <v>0</v>
      </c>
      <c r="S129" s="2256">
        <v>0</v>
      </c>
      <c r="T129" s="2256">
        <v>0</v>
      </c>
      <c r="U129" s="2256">
        <v>0</v>
      </c>
      <c r="V129" s="2256">
        <v>0</v>
      </c>
      <c r="W129" s="2256">
        <v>0</v>
      </c>
      <c r="X129" s="2256">
        <v>0</v>
      </c>
      <c r="Y129" s="2256">
        <v>0</v>
      </c>
      <c r="Z129" s="2256">
        <v>0</v>
      </c>
      <c r="AA129" s="2256">
        <v>0</v>
      </c>
      <c r="AB129" s="2256">
        <v>0</v>
      </c>
      <c r="AC129" s="2256">
        <v>0</v>
      </c>
      <c r="AD129" s="2256">
        <v>0</v>
      </c>
      <c r="AE129" s="2257">
        <v>0</v>
      </c>
      <c r="AF129" s="2256">
        <v>0</v>
      </c>
      <c r="AG129" s="2256">
        <v>0</v>
      </c>
      <c r="AH129" s="2256">
        <v>0</v>
      </c>
      <c r="AI129" s="2256">
        <v>0</v>
      </c>
      <c r="AJ129" s="2256">
        <v>0</v>
      </c>
      <c r="AK129" s="2256">
        <v>0</v>
      </c>
      <c r="AL129" s="2256">
        <v>0</v>
      </c>
      <c r="AM129" s="2256">
        <v>0</v>
      </c>
      <c r="AN129" s="2256">
        <v>0</v>
      </c>
      <c r="AO129" s="2256">
        <v>0</v>
      </c>
      <c r="AP129" s="2256">
        <v>0</v>
      </c>
      <c r="AQ129" s="2256">
        <v>0</v>
      </c>
      <c r="AR129" s="2256">
        <v>0</v>
      </c>
      <c r="AS129" s="2256">
        <v>0</v>
      </c>
      <c r="AT129" s="2256">
        <v>0</v>
      </c>
      <c r="AU129" s="2256">
        <v>0</v>
      </c>
      <c r="AV129" s="2256">
        <v>0</v>
      </c>
      <c r="AW129" s="2256">
        <v>0</v>
      </c>
      <c r="AX129" s="2256">
        <v>0</v>
      </c>
      <c r="AY129" s="2256">
        <v>0</v>
      </c>
      <c r="AZ129" s="2256">
        <v>0</v>
      </c>
      <c r="BA129" s="2256">
        <v>0</v>
      </c>
      <c r="BB129" s="2256">
        <v>0</v>
      </c>
      <c r="BC129" s="2258"/>
      <c r="BD129" s="2240"/>
    </row>
    <row r="130" spans="2:56" s="2203" customFormat="1" ht="15" customHeight="1" outlineLevel="3">
      <c r="B130" s="2259"/>
      <c r="C130" s="2260" t="s">
        <v>1910</v>
      </c>
      <c r="D130" s="2261" t="s">
        <v>1911</v>
      </c>
      <c r="E130" s="2262">
        <f>E127+E128+E129</f>
        <v>0</v>
      </c>
      <c r="F130" s="2262">
        <f t="shared" ref="F130:BB130" si="33">F127+F128+F129</f>
        <v>0</v>
      </c>
      <c r="G130" s="2262">
        <f t="shared" si="33"/>
        <v>0</v>
      </c>
      <c r="H130" s="2262">
        <f t="shared" si="33"/>
        <v>0</v>
      </c>
      <c r="I130" s="2262">
        <f t="shared" si="33"/>
        <v>0</v>
      </c>
      <c r="J130" s="2262">
        <f t="shared" si="33"/>
        <v>0</v>
      </c>
      <c r="K130" s="2262">
        <f t="shared" si="33"/>
        <v>0</v>
      </c>
      <c r="L130" s="2262">
        <f t="shared" si="33"/>
        <v>0</v>
      </c>
      <c r="M130" s="2262">
        <f t="shared" si="33"/>
        <v>0</v>
      </c>
      <c r="N130" s="2262">
        <f t="shared" si="33"/>
        <v>0</v>
      </c>
      <c r="O130" s="2262">
        <f t="shared" si="33"/>
        <v>0</v>
      </c>
      <c r="P130" s="2262">
        <f t="shared" si="33"/>
        <v>0</v>
      </c>
      <c r="Q130" s="2262">
        <f t="shared" si="33"/>
        <v>0</v>
      </c>
      <c r="R130" s="2262">
        <f t="shared" si="33"/>
        <v>0</v>
      </c>
      <c r="S130" s="2262">
        <f t="shared" si="33"/>
        <v>0</v>
      </c>
      <c r="T130" s="2262">
        <f t="shared" si="33"/>
        <v>0</v>
      </c>
      <c r="U130" s="2262">
        <f t="shared" si="33"/>
        <v>0</v>
      </c>
      <c r="V130" s="2262">
        <f t="shared" si="33"/>
        <v>0</v>
      </c>
      <c r="W130" s="2262">
        <f t="shared" si="33"/>
        <v>0</v>
      </c>
      <c r="X130" s="2262">
        <f t="shared" si="33"/>
        <v>0</v>
      </c>
      <c r="Y130" s="2262">
        <f t="shared" si="33"/>
        <v>0</v>
      </c>
      <c r="Z130" s="2262">
        <f t="shared" si="33"/>
        <v>0</v>
      </c>
      <c r="AA130" s="2262">
        <f t="shared" si="33"/>
        <v>0</v>
      </c>
      <c r="AB130" s="2262">
        <f t="shared" si="33"/>
        <v>0</v>
      </c>
      <c r="AC130" s="2262">
        <f t="shared" si="33"/>
        <v>0</v>
      </c>
      <c r="AD130" s="2262">
        <f t="shared" si="33"/>
        <v>0</v>
      </c>
      <c r="AE130" s="2263">
        <f t="shared" si="33"/>
        <v>0</v>
      </c>
      <c r="AF130" s="2262">
        <f t="shared" si="33"/>
        <v>0</v>
      </c>
      <c r="AG130" s="2262">
        <f t="shared" si="33"/>
        <v>0</v>
      </c>
      <c r="AH130" s="2262">
        <f t="shared" si="33"/>
        <v>0</v>
      </c>
      <c r="AI130" s="2262">
        <f t="shared" si="33"/>
        <v>0</v>
      </c>
      <c r="AJ130" s="2262">
        <f t="shared" si="33"/>
        <v>0</v>
      </c>
      <c r="AK130" s="2262">
        <f t="shared" si="33"/>
        <v>0</v>
      </c>
      <c r="AL130" s="2262">
        <f t="shared" si="33"/>
        <v>0</v>
      </c>
      <c r="AM130" s="2262">
        <f t="shared" si="33"/>
        <v>0</v>
      </c>
      <c r="AN130" s="2262">
        <f t="shared" si="33"/>
        <v>0</v>
      </c>
      <c r="AO130" s="2262">
        <f t="shared" si="33"/>
        <v>0</v>
      </c>
      <c r="AP130" s="2262">
        <f t="shared" si="33"/>
        <v>0</v>
      </c>
      <c r="AQ130" s="2262">
        <f t="shared" si="33"/>
        <v>0</v>
      </c>
      <c r="AR130" s="2262">
        <f t="shared" si="33"/>
        <v>0</v>
      </c>
      <c r="AS130" s="2262">
        <f t="shared" si="33"/>
        <v>0</v>
      </c>
      <c r="AT130" s="2262">
        <f t="shared" si="33"/>
        <v>0</v>
      </c>
      <c r="AU130" s="2262">
        <f t="shared" si="33"/>
        <v>0</v>
      </c>
      <c r="AV130" s="2262">
        <f t="shared" si="33"/>
        <v>0</v>
      </c>
      <c r="AW130" s="2262">
        <f t="shared" si="33"/>
        <v>0</v>
      </c>
      <c r="AX130" s="2262">
        <f t="shared" si="33"/>
        <v>0</v>
      </c>
      <c r="AY130" s="2262">
        <f t="shared" si="33"/>
        <v>0</v>
      </c>
      <c r="AZ130" s="2262">
        <f t="shared" si="33"/>
        <v>0</v>
      </c>
      <c r="BA130" s="2262">
        <f t="shared" si="33"/>
        <v>0</v>
      </c>
      <c r="BB130" s="2262">
        <f t="shared" si="33"/>
        <v>0</v>
      </c>
      <c r="BC130" s="2264"/>
      <c r="BD130" s="2208"/>
    </row>
    <row r="131" spans="2:56" ht="15" customHeight="1" outlineLevel="3">
      <c r="B131" s="2243"/>
      <c r="C131" s="2260" t="s">
        <v>1930</v>
      </c>
      <c r="D131" s="2261" t="s">
        <v>1913</v>
      </c>
      <c r="E131" s="2262">
        <v>0</v>
      </c>
      <c r="F131" s="2262">
        <v>0</v>
      </c>
      <c r="G131" s="2262">
        <v>0</v>
      </c>
      <c r="H131" s="2262">
        <v>0</v>
      </c>
      <c r="I131" s="2262">
        <v>0</v>
      </c>
      <c r="J131" s="2262">
        <v>0</v>
      </c>
      <c r="K131" s="2262">
        <v>0</v>
      </c>
      <c r="L131" s="2262">
        <v>0</v>
      </c>
      <c r="M131" s="2262">
        <v>0</v>
      </c>
      <c r="N131" s="2262">
        <v>0</v>
      </c>
      <c r="O131" s="2262">
        <v>0</v>
      </c>
      <c r="P131" s="2262">
        <v>0</v>
      </c>
      <c r="Q131" s="2262">
        <v>0</v>
      </c>
      <c r="R131" s="2262">
        <v>0</v>
      </c>
      <c r="S131" s="2262">
        <v>0</v>
      </c>
      <c r="T131" s="2262">
        <v>0</v>
      </c>
      <c r="U131" s="2262">
        <v>0</v>
      </c>
      <c r="V131" s="2262">
        <v>0</v>
      </c>
      <c r="W131" s="2262">
        <v>0</v>
      </c>
      <c r="X131" s="2262">
        <v>0</v>
      </c>
      <c r="Y131" s="2262">
        <v>0</v>
      </c>
      <c r="Z131" s="2262">
        <v>0</v>
      </c>
      <c r="AA131" s="2262">
        <v>0</v>
      </c>
      <c r="AB131" s="2262">
        <v>0</v>
      </c>
      <c r="AC131" s="2262">
        <v>0</v>
      </c>
      <c r="AD131" s="2262">
        <v>0</v>
      </c>
      <c r="AE131" s="2263">
        <v>0</v>
      </c>
      <c r="AF131" s="2262">
        <v>0</v>
      </c>
      <c r="AG131" s="2262">
        <v>0</v>
      </c>
      <c r="AH131" s="2262">
        <v>0</v>
      </c>
      <c r="AI131" s="2262">
        <v>0</v>
      </c>
      <c r="AJ131" s="2262">
        <v>0</v>
      </c>
      <c r="AK131" s="2262">
        <v>0</v>
      </c>
      <c r="AL131" s="2262">
        <v>0</v>
      </c>
      <c r="AM131" s="2262">
        <v>0</v>
      </c>
      <c r="AN131" s="2262">
        <v>0</v>
      </c>
      <c r="AO131" s="2262">
        <v>0</v>
      </c>
      <c r="AP131" s="2262">
        <v>0</v>
      </c>
      <c r="AQ131" s="2262">
        <v>0</v>
      </c>
      <c r="AR131" s="2262">
        <v>0</v>
      </c>
      <c r="AS131" s="2262">
        <v>0</v>
      </c>
      <c r="AT131" s="2262">
        <v>0</v>
      </c>
      <c r="AU131" s="2262">
        <v>0</v>
      </c>
      <c r="AV131" s="2262">
        <v>0</v>
      </c>
      <c r="AW131" s="2262">
        <v>0</v>
      </c>
      <c r="AX131" s="2262">
        <v>0</v>
      </c>
      <c r="AY131" s="2262">
        <v>0</v>
      </c>
      <c r="AZ131" s="2262">
        <v>0</v>
      </c>
      <c r="BA131" s="2262">
        <v>0</v>
      </c>
      <c r="BB131" s="2262">
        <v>0</v>
      </c>
      <c r="BC131" s="2258"/>
      <c r="BD131" s="2240"/>
    </row>
    <row r="132" spans="2:56" ht="15" customHeight="1" outlineLevel="3">
      <c r="B132" s="2243"/>
      <c r="C132" s="2244" t="s">
        <v>1914</v>
      </c>
      <c r="D132" s="2245" t="s">
        <v>1915</v>
      </c>
      <c r="E132" s="2256">
        <v>0</v>
      </c>
      <c r="F132" s="2256">
        <v>0</v>
      </c>
      <c r="G132" s="2256">
        <v>0</v>
      </c>
      <c r="H132" s="2256">
        <v>0</v>
      </c>
      <c r="I132" s="2256">
        <v>0</v>
      </c>
      <c r="J132" s="2256">
        <v>0</v>
      </c>
      <c r="K132" s="2256">
        <v>0</v>
      </c>
      <c r="L132" s="2256">
        <v>0</v>
      </c>
      <c r="M132" s="2256">
        <v>0</v>
      </c>
      <c r="N132" s="2256">
        <v>0</v>
      </c>
      <c r="O132" s="2256">
        <v>0</v>
      </c>
      <c r="P132" s="2256">
        <v>0</v>
      </c>
      <c r="Q132" s="2256">
        <v>0</v>
      </c>
      <c r="R132" s="2256">
        <v>0</v>
      </c>
      <c r="S132" s="2256">
        <v>0</v>
      </c>
      <c r="T132" s="2256">
        <v>0</v>
      </c>
      <c r="U132" s="2256">
        <v>0</v>
      </c>
      <c r="V132" s="2256">
        <v>0</v>
      </c>
      <c r="W132" s="2256">
        <v>0</v>
      </c>
      <c r="X132" s="2256">
        <v>0</v>
      </c>
      <c r="Y132" s="2256">
        <v>0</v>
      </c>
      <c r="Z132" s="2256">
        <v>0</v>
      </c>
      <c r="AA132" s="2256">
        <v>0</v>
      </c>
      <c r="AB132" s="2256">
        <v>0</v>
      </c>
      <c r="AC132" s="2256">
        <v>0</v>
      </c>
      <c r="AD132" s="2256">
        <v>0</v>
      </c>
      <c r="AE132" s="2257">
        <v>0</v>
      </c>
      <c r="AF132" s="2256">
        <v>0</v>
      </c>
      <c r="AG132" s="2256">
        <v>0</v>
      </c>
      <c r="AH132" s="2256">
        <v>0</v>
      </c>
      <c r="AI132" s="2256">
        <v>0</v>
      </c>
      <c r="AJ132" s="2256">
        <v>0</v>
      </c>
      <c r="AK132" s="2256">
        <v>0</v>
      </c>
      <c r="AL132" s="2256">
        <v>0</v>
      </c>
      <c r="AM132" s="2256">
        <v>0</v>
      </c>
      <c r="AN132" s="2256">
        <v>0</v>
      </c>
      <c r="AO132" s="2256">
        <v>0</v>
      </c>
      <c r="AP132" s="2256">
        <v>0</v>
      </c>
      <c r="AQ132" s="2256">
        <v>0</v>
      </c>
      <c r="AR132" s="2256">
        <v>0</v>
      </c>
      <c r="AS132" s="2256">
        <v>0</v>
      </c>
      <c r="AT132" s="2256">
        <v>0</v>
      </c>
      <c r="AU132" s="2256">
        <v>0</v>
      </c>
      <c r="AV132" s="2256">
        <v>0</v>
      </c>
      <c r="AW132" s="2256">
        <v>0</v>
      </c>
      <c r="AX132" s="2256">
        <v>0</v>
      </c>
      <c r="AY132" s="2256">
        <v>0</v>
      </c>
      <c r="AZ132" s="2256">
        <v>0</v>
      </c>
      <c r="BA132" s="2256">
        <v>0</v>
      </c>
      <c r="BB132" s="2256">
        <v>0</v>
      </c>
      <c r="BC132" s="2258"/>
      <c r="BD132" s="2240"/>
    </row>
    <row r="133" spans="2:56" s="2203" customFormat="1" ht="15" customHeight="1" outlineLevel="3">
      <c r="B133" s="2259"/>
      <c r="C133" s="2260" t="s">
        <v>1916</v>
      </c>
      <c r="D133" s="2261" t="s">
        <v>1917</v>
      </c>
      <c r="E133" s="2262">
        <f>E130+E131+E132</f>
        <v>0</v>
      </c>
      <c r="F133" s="2262">
        <f t="shared" ref="F133:BB133" si="34">F130+F131+F132</f>
        <v>0</v>
      </c>
      <c r="G133" s="2262">
        <f t="shared" si="34"/>
        <v>0</v>
      </c>
      <c r="H133" s="2262">
        <f t="shared" si="34"/>
        <v>0</v>
      </c>
      <c r="I133" s="2262">
        <f t="shared" si="34"/>
        <v>0</v>
      </c>
      <c r="J133" s="2262">
        <f t="shared" si="34"/>
        <v>0</v>
      </c>
      <c r="K133" s="2262">
        <f t="shared" si="34"/>
        <v>0</v>
      </c>
      <c r="L133" s="2262">
        <f t="shared" si="34"/>
        <v>0</v>
      </c>
      <c r="M133" s="2262">
        <f t="shared" si="34"/>
        <v>0</v>
      </c>
      <c r="N133" s="2262">
        <f t="shared" si="34"/>
        <v>0</v>
      </c>
      <c r="O133" s="2262">
        <f t="shared" si="34"/>
        <v>0</v>
      </c>
      <c r="P133" s="2262">
        <f t="shared" si="34"/>
        <v>0</v>
      </c>
      <c r="Q133" s="2262">
        <f t="shared" si="34"/>
        <v>0</v>
      </c>
      <c r="R133" s="2262">
        <f t="shared" si="34"/>
        <v>0</v>
      </c>
      <c r="S133" s="2262">
        <f t="shared" si="34"/>
        <v>0</v>
      </c>
      <c r="T133" s="2262">
        <f t="shared" si="34"/>
        <v>0</v>
      </c>
      <c r="U133" s="2262">
        <f t="shared" si="34"/>
        <v>0</v>
      </c>
      <c r="V133" s="2262">
        <f t="shared" si="34"/>
        <v>0</v>
      </c>
      <c r="W133" s="2262">
        <f t="shared" si="34"/>
        <v>0</v>
      </c>
      <c r="X133" s="2262">
        <f t="shared" si="34"/>
        <v>0</v>
      </c>
      <c r="Y133" s="2262">
        <f t="shared" si="34"/>
        <v>0</v>
      </c>
      <c r="Z133" s="2262">
        <f t="shared" si="34"/>
        <v>0</v>
      </c>
      <c r="AA133" s="2262">
        <f t="shared" si="34"/>
        <v>0</v>
      </c>
      <c r="AB133" s="2262">
        <f t="shared" si="34"/>
        <v>0</v>
      </c>
      <c r="AC133" s="2262">
        <f t="shared" si="34"/>
        <v>0</v>
      </c>
      <c r="AD133" s="2262">
        <f t="shared" si="34"/>
        <v>0</v>
      </c>
      <c r="AE133" s="2263">
        <f t="shared" si="34"/>
        <v>0</v>
      </c>
      <c r="AF133" s="2262">
        <f t="shared" si="34"/>
        <v>0</v>
      </c>
      <c r="AG133" s="2262">
        <f t="shared" si="34"/>
        <v>0</v>
      </c>
      <c r="AH133" s="2262">
        <f t="shared" si="34"/>
        <v>0</v>
      </c>
      <c r="AI133" s="2262">
        <f t="shared" si="34"/>
        <v>0</v>
      </c>
      <c r="AJ133" s="2262">
        <f t="shared" si="34"/>
        <v>0</v>
      </c>
      <c r="AK133" s="2262">
        <f t="shared" si="34"/>
        <v>0</v>
      </c>
      <c r="AL133" s="2262">
        <f t="shared" si="34"/>
        <v>0</v>
      </c>
      <c r="AM133" s="2262">
        <f t="shared" si="34"/>
        <v>0</v>
      </c>
      <c r="AN133" s="2262">
        <f t="shared" si="34"/>
        <v>0</v>
      </c>
      <c r="AO133" s="2262">
        <f t="shared" si="34"/>
        <v>0</v>
      </c>
      <c r="AP133" s="2262">
        <f t="shared" si="34"/>
        <v>0</v>
      </c>
      <c r="AQ133" s="2262">
        <f t="shared" si="34"/>
        <v>0</v>
      </c>
      <c r="AR133" s="2262">
        <f t="shared" si="34"/>
        <v>0</v>
      </c>
      <c r="AS133" s="2262">
        <f t="shared" si="34"/>
        <v>0</v>
      </c>
      <c r="AT133" s="2262">
        <f t="shared" si="34"/>
        <v>0</v>
      </c>
      <c r="AU133" s="2262">
        <f t="shared" si="34"/>
        <v>0</v>
      </c>
      <c r="AV133" s="2262">
        <f t="shared" si="34"/>
        <v>0</v>
      </c>
      <c r="AW133" s="2262">
        <f t="shared" si="34"/>
        <v>0</v>
      </c>
      <c r="AX133" s="2262">
        <f t="shared" si="34"/>
        <v>0</v>
      </c>
      <c r="AY133" s="2262">
        <f t="shared" si="34"/>
        <v>0</v>
      </c>
      <c r="AZ133" s="2262">
        <f t="shared" si="34"/>
        <v>0</v>
      </c>
      <c r="BA133" s="2262">
        <f t="shared" si="34"/>
        <v>0</v>
      </c>
      <c r="BB133" s="2262">
        <f t="shared" si="34"/>
        <v>0</v>
      </c>
      <c r="BC133" s="2264"/>
      <c r="BD133" s="2208"/>
    </row>
    <row r="134" spans="2:56" ht="15" customHeight="1" outlineLevel="3">
      <c r="B134" s="2243"/>
      <c r="C134" s="2244" t="s">
        <v>1918</v>
      </c>
      <c r="D134" s="2245" t="s">
        <v>1919</v>
      </c>
      <c r="E134" s="2256">
        <v>0</v>
      </c>
      <c r="F134" s="2256">
        <v>0</v>
      </c>
      <c r="G134" s="2256">
        <v>0</v>
      </c>
      <c r="H134" s="2256">
        <v>0</v>
      </c>
      <c r="I134" s="2256">
        <v>0</v>
      </c>
      <c r="J134" s="2256">
        <v>0</v>
      </c>
      <c r="K134" s="2256">
        <v>0</v>
      </c>
      <c r="L134" s="2256">
        <v>0</v>
      </c>
      <c r="M134" s="2256">
        <v>0</v>
      </c>
      <c r="N134" s="2256">
        <v>0</v>
      </c>
      <c r="O134" s="2256">
        <v>0</v>
      </c>
      <c r="P134" s="2256">
        <v>0</v>
      </c>
      <c r="Q134" s="2256">
        <v>0</v>
      </c>
      <c r="R134" s="2256">
        <v>0</v>
      </c>
      <c r="S134" s="2256">
        <v>0</v>
      </c>
      <c r="T134" s="2256">
        <v>0</v>
      </c>
      <c r="U134" s="2256">
        <v>0</v>
      </c>
      <c r="V134" s="2256">
        <v>0</v>
      </c>
      <c r="W134" s="2256">
        <v>0</v>
      </c>
      <c r="X134" s="2256">
        <v>0</v>
      </c>
      <c r="Y134" s="2256">
        <v>0</v>
      </c>
      <c r="Z134" s="2256">
        <v>0</v>
      </c>
      <c r="AA134" s="2256">
        <v>0</v>
      </c>
      <c r="AB134" s="2256">
        <v>0</v>
      </c>
      <c r="AC134" s="2256">
        <v>0</v>
      </c>
      <c r="AD134" s="2256">
        <v>0</v>
      </c>
      <c r="AE134" s="2257">
        <v>0</v>
      </c>
      <c r="AF134" s="2256">
        <v>0</v>
      </c>
      <c r="AG134" s="2256">
        <v>0</v>
      </c>
      <c r="AH134" s="2256">
        <v>0</v>
      </c>
      <c r="AI134" s="2256">
        <v>0</v>
      </c>
      <c r="AJ134" s="2256">
        <v>0</v>
      </c>
      <c r="AK134" s="2256">
        <v>0</v>
      </c>
      <c r="AL134" s="2256">
        <v>0</v>
      </c>
      <c r="AM134" s="2256">
        <v>0</v>
      </c>
      <c r="AN134" s="2256">
        <v>0</v>
      </c>
      <c r="AO134" s="2256">
        <v>0</v>
      </c>
      <c r="AP134" s="2256">
        <v>0</v>
      </c>
      <c r="AQ134" s="2256">
        <v>0</v>
      </c>
      <c r="AR134" s="2256">
        <v>0</v>
      </c>
      <c r="AS134" s="2256">
        <v>0</v>
      </c>
      <c r="AT134" s="2256">
        <v>0</v>
      </c>
      <c r="AU134" s="2256">
        <v>0</v>
      </c>
      <c r="AV134" s="2256">
        <v>0</v>
      </c>
      <c r="AW134" s="2256">
        <v>0</v>
      </c>
      <c r="AX134" s="2256">
        <v>0</v>
      </c>
      <c r="AY134" s="2256">
        <v>0</v>
      </c>
      <c r="AZ134" s="2256">
        <v>0</v>
      </c>
      <c r="BA134" s="2256">
        <v>0</v>
      </c>
      <c r="BB134" s="2256">
        <v>0</v>
      </c>
      <c r="BC134" s="2258"/>
      <c r="BD134" s="2240"/>
    </row>
    <row r="135" spans="2:56" ht="15" customHeight="1" outlineLevel="3">
      <c r="B135" s="2243"/>
      <c r="C135" s="2244" t="s">
        <v>1920</v>
      </c>
      <c r="D135" s="2245" t="s">
        <v>1921</v>
      </c>
      <c r="E135" s="2256">
        <v>0</v>
      </c>
      <c r="F135" s="2256">
        <v>0</v>
      </c>
      <c r="G135" s="2256">
        <v>0</v>
      </c>
      <c r="H135" s="2256">
        <v>0</v>
      </c>
      <c r="I135" s="2256">
        <v>0</v>
      </c>
      <c r="J135" s="2256">
        <v>0</v>
      </c>
      <c r="K135" s="2256">
        <v>0</v>
      </c>
      <c r="L135" s="2256">
        <v>0</v>
      </c>
      <c r="M135" s="2256">
        <v>0</v>
      </c>
      <c r="N135" s="2256">
        <v>0</v>
      </c>
      <c r="O135" s="2256">
        <v>0</v>
      </c>
      <c r="P135" s="2256">
        <v>0</v>
      </c>
      <c r="Q135" s="2256">
        <v>0</v>
      </c>
      <c r="R135" s="2256">
        <v>0</v>
      </c>
      <c r="S135" s="2256">
        <v>0</v>
      </c>
      <c r="T135" s="2256">
        <v>0</v>
      </c>
      <c r="U135" s="2256">
        <v>0</v>
      </c>
      <c r="V135" s="2256">
        <v>0</v>
      </c>
      <c r="W135" s="2256">
        <v>0</v>
      </c>
      <c r="X135" s="2256">
        <v>0</v>
      </c>
      <c r="Y135" s="2256">
        <v>0</v>
      </c>
      <c r="Z135" s="2256">
        <v>0</v>
      </c>
      <c r="AA135" s="2256">
        <v>0</v>
      </c>
      <c r="AB135" s="2256">
        <v>0</v>
      </c>
      <c r="AC135" s="2256">
        <v>0</v>
      </c>
      <c r="AD135" s="2256">
        <v>0</v>
      </c>
      <c r="AE135" s="2257">
        <v>0</v>
      </c>
      <c r="AF135" s="2256">
        <v>0</v>
      </c>
      <c r="AG135" s="2256">
        <v>0</v>
      </c>
      <c r="AH135" s="2256">
        <v>0</v>
      </c>
      <c r="AI135" s="2256">
        <v>0</v>
      </c>
      <c r="AJ135" s="2256">
        <v>0</v>
      </c>
      <c r="AK135" s="2256">
        <v>0</v>
      </c>
      <c r="AL135" s="2256">
        <v>0</v>
      </c>
      <c r="AM135" s="2256">
        <v>0</v>
      </c>
      <c r="AN135" s="2256">
        <v>0</v>
      </c>
      <c r="AO135" s="2256">
        <v>0</v>
      </c>
      <c r="AP135" s="2256">
        <v>0</v>
      </c>
      <c r="AQ135" s="2256">
        <v>0</v>
      </c>
      <c r="AR135" s="2256">
        <v>0</v>
      </c>
      <c r="AS135" s="2256">
        <v>0</v>
      </c>
      <c r="AT135" s="2256">
        <v>0</v>
      </c>
      <c r="AU135" s="2256">
        <v>0</v>
      </c>
      <c r="AV135" s="2256">
        <v>0</v>
      </c>
      <c r="AW135" s="2256">
        <v>0</v>
      </c>
      <c r="AX135" s="2256">
        <v>0</v>
      </c>
      <c r="AY135" s="2256">
        <v>0</v>
      </c>
      <c r="AZ135" s="2256">
        <v>0</v>
      </c>
      <c r="BA135" s="2256">
        <v>0</v>
      </c>
      <c r="BB135" s="2256">
        <v>0</v>
      </c>
      <c r="BC135" s="2258"/>
      <c r="BD135" s="2240"/>
    </row>
    <row r="136" spans="2:56" ht="15" customHeight="1" outlineLevel="3">
      <c r="B136" s="2243"/>
      <c r="C136" s="2244" t="s">
        <v>1922</v>
      </c>
      <c r="D136" s="2245" t="s">
        <v>1923</v>
      </c>
      <c r="E136" s="2256">
        <v>0</v>
      </c>
      <c r="F136" s="2256">
        <v>0</v>
      </c>
      <c r="G136" s="2256">
        <v>0</v>
      </c>
      <c r="H136" s="2256">
        <v>0</v>
      </c>
      <c r="I136" s="2256">
        <v>0</v>
      </c>
      <c r="J136" s="2256">
        <v>0</v>
      </c>
      <c r="K136" s="2256">
        <v>0</v>
      </c>
      <c r="L136" s="2256">
        <v>0</v>
      </c>
      <c r="M136" s="2256">
        <v>0</v>
      </c>
      <c r="N136" s="2256">
        <v>0</v>
      </c>
      <c r="O136" s="2256">
        <v>0</v>
      </c>
      <c r="P136" s="2256">
        <v>0</v>
      </c>
      <c r="Q136" s="2256">
        <v>0</v>
      </c>
      <c r="R136" s="2256">
        <v>0</v>
      </c>
      <c r="S136" s="2256">
        <v>0</v>
      </c>
      <c r="T136" s="2256">
        <v>0</v>
      </c>
      <c r="U136" s="2256">
        <v>0</v>
      </c>
      <c r="V136" s="2256">
        <v>0</v>
      </c>
      <c r="W136" s="2256">
        <v>0</v>
      </c>
      <c r="X136" s="2256">
        <v>0</v>
      </c>
      <c r="Y136" s="2256">
        <v>0</v>
      </c>
      <c r="Z136" s="2256">
        <v>0</v>
      </c>
      <c r="AA136" s="2256">
        <v>0</v>
      </c>
      <c r="AB136" s="2256">
        <v>0</v>
      </c>
      <c r="AC136" s="2256">
        <v>0</v>
      </c>
      <c r="AD136" s="2256">
        <v>0</v>
      </c>
      <c r="AE136" s="2257">
        <v>0</v>
      </c>
      <c r="AF136" s="2256">
        <v>0</v>
      </c>
      <c r="AG136" s="2256">
        <v>0</v>
      </c>
      <c r="AH136" s="2256">
        <v>0</v>
      </c>
      <c r="AI136" s="2256">
        <v>0</v>
      </c>
      <c r="AJ136" s="2256">
        <v>0</v>
      </c>
      <c r="AK136" s="2256">
        <v>0</v>
      </c>
      <c r="AL136" s="2256">
        <v>0</v>
      </c>
      <c r="AM136" s="2256">
        <v>0</v>
      </c>
      <c r="AN136" s="2256">
        <v>0</v>
      </c>
      <c r="AO136" s="2256">
        <v>0</v>
      </c>
      <c r="AP136" s="2256">
        <v>0</v>
      </c>
      <c r="AQ136" s="2256">
        <v>0</v>
      </c>
      <c r="AR136" s="2256">
        <v>0</v>
      </c>
      <c r="AS136" s="2256">
        <v>0</v>
      </c>
      <c r="AT136" s="2256">
        <v>0</v>
      </c>
      <c r="AU136" s="2256">
        <v>0</v>
      </c>
      <c r="AV136" s="2256">
        <v>0</v>
      </c>
      <c r="AW136" s="2256">
        <v>0</v>
      </c>
      <c r="AX136" s="2256">
        <v>0</v>
      </c>
      <c r="AY136" s="2256">
        <v>0</v>
      </c>
      <c r="AZ136" s="2256">
        <v>0</v>
      </c>
      <c r="BA136" s="2256">
        <v>0</v>
      </c>
      <c r="BB136" s="2256">
        <v>0</v>
      </c>
      <c r="BC136" s="2258"/>
      <c r="BD136" s="2240"/>
    </row>
    <row r="137" spans="2:56" s="2203" customFormat="1" ht="15" customHeight="1" outlineLevel="2">
      <c r="B137" s="2259"/>
      <c r="C137" s="2260" t="s">
        <v>1924</v>
      </c>
      <c r="D137" s="2261" t="s">
        <v>1925</v>
      </c>
      <c r="E137" s="2262">
        <f t="shared" ref="E137:BB137" si="35">E133+E134+E135+E136</f>
        <v>0</v>
      </c>
      <c r="F137" s="2262">
        <f t="shared" si="35"/>
        <v>0</v>
      </c>
      <c r="G137" s="2262">
        <f t="shared" si="35"/>
        <v>0</v>
      </c>
      <c r="H137" s="2262">
        <f t="shared" si="35"/>
        <v>0</v>
      </c>
      <c r="I137" s="2262">
        <f t="shared" si="35"/>
        <v>0</v>
      </c>
      <c r="J137" s="2262">
        <f t="shared" si="35"/>
        <v>0</v>
      </c>
      <c r="K137" s="2262">
        <f t="shared" si="35"/>
        <v>0</v>
      </c>
      <c r="L137" s="2262">
        <f t="shared" si="35"/>
        <v>0</v>
      </c>
      <c r="M137" s="2262">
        <f t="shared" si="35"/>
        <v>0</v>
      </c>
      <c r="N137" s="2262">
        <f t="shared" si="35"/>
        <v>0</v>
      </c>
      <c r="O137" s="2262">
        <f t="shared" si="35"/>
        <v>0</v>
      </c>
      <c r="P137" s="2262">
        <f t="shared" si="35"/>
        <v>0</v>
      </c>
      <c r="Q137" s="2262">
        <f t="shared" si="35"/>
        <v>0</v>
      </c>
      <c r="R137" s="2262">
        <f t="shared" si="35"/>
        <v>0</v>
      </c>
      <c r="S137" s="2262">
        <f t="shared" si="35"/>
        <v>0</v>
      </c>
      <c r="T137" s="2262">
        <f t="shared" si="35"/>
        <v>0</v>
      </c>
      <c r="U137" s="2262">
        <f t="shared" si="35"/>
        <v>0</v>
      </c>
      <c r="V137" s="2262">
        <f t="shared" si="35"/>
        <v>0</v>
      </c>
      <c r="W137" s="2262">
        <f t="shared" si="35"/>
        <v>0</v>
      </c>
      <c r="X137" s="2262">
        <f t="shared" si="35"/>
        <v>0</v>
      </c>
      <c r="Y137" s="2262">
        <f t="shared" si="35"/>
        <v>0</v>
      </c>
      <c r="Z137" s="2262">
        <f t="shared" si="35"/>
        <v>0</v>
      </c>
      <c r="AA137" s="2262">
        <f t="shared" si="35"/>
        <v>0</v>
      </c>
      <c r="AB137" s="2262">
        <f t="shared" si="35"/>
        <v>0</v>
      </c>
      <c r="AC137" s="2262">
        <f t="shared" si="35"/>
        <v>0</v>
      </c>
      <c r="AD137" s="2262">
        <f t="shared" si="35"/>
        <v>0</v>
      </c>
      <c r="AE137" s="2263">
        <f t="shared" si="35"/>
        <v>0</v>
      </c>
      <c r="AF137" s="2262">
        <f t="shared" si="35"/>
        <v>0</v>
      </c>
      <c r="AG137" s="2262">
        <f t="shared" si="35"/>
        <v>0</v>
      </c>
      <c r="AH137" s="2262">
        <f t="shared" si="35"/>
        <v>0</v>
      </c>
      <c r="AI137" s="2262">
        <f t="shared" si="35"/>
        <v>0</v>
      </c>
      <c r="AJ137" s="2262">
        <f t="shared" si="35"/>
        <v>0</v>
      </c>
      <c r="AK137" s="2262">
        <f t="shared" si="35"/>
        <v>0</v>
      </c>
      <c r="AL137" s="2262">
        <f t="shared" si="35"/>
        <v>0</v>
      </c>
      <c r="AM137" s="2262">
        <f t="shared" si="35"/>
        <v>0</v>
      </c>
      <c r="AN137" s="2262">
        <f t="shared" si="35"/>
        <v>0</v>
      </c>
      <c r="AO137" s="2262">
        <f t="shared" si="35"/>
        <v>0</v>
      </c>
      <c r="AP137" s="2262">
        <f t="shared" si="35"/>
        <v>0</v>
      </c>
      <c r="AQ137" s="2262">
        <f t="shared" si="35"/>
        <v>0</v>
      </c>
      <c r="AR137" s="2262">
        <f t="shared" si="35"/>
        <v>0</v>
      </c>
      <c r="AS137" s="2262">
        <f t="shared" si="35"/>
        <v>0</v>
      </c>
      <c r="AT137" s="2262">
        <f t="shared" si="35"/>
        <v>0</v>
      </c>
      <c r="AU137" s="2262">
        <f t="shared" si="35"/>
        <v>0</v>
      </c>
      <c r="AV137" s="2262">
        <f t="shared" si="35"/>
        <v>0</v>
      </c>
      <c r="AW137" s="2262">
        <f t="shared" si="35"/>
        <v>0</v>
      </c>
      <c r="AX137" s="2262">
        <f t="shared" si="35"/>
        <v>0</v>
      </c>
      <c r="AY137" s="2262">
        <f t="shared" si="35"/>
        <v>0</v>
      </c>
      <c r="AZ137" s="2262">
        <f t="shared" si="35"/>
        <v>0</v>
      </c>
      <c r="BA137" s="2262">
        <f t="shared" si="35"/>
        <v>0</v>
      </c>
      <c r="BB137" s="2262">
        <f t="shared" si="35"/>
        <v>0</v>
      </c>
      <c r="BC137" s="2264"/>
      <c r="BD137" s="2208"/>
    </row>
    <row r="138" spans="2:56" s="2203" customFormat="1" ht="15" customHeight="1" outlineLevel="2">
      <c r="B138" s="2259"/>
      <c r="C138" s="2260" t="s">
        <v>1926</v>
      </c>
      <c r="D138" s="2261" t="s">
        <v>1927</v>
      </c>
      <c r="E138" s="2262">
        <f>E137</f>
        <v>0</v>
      </c>
      <c r="F138" s="2262">
        <f t="shared" ref="F138:BB138" si="36">F137-E137</f>
        <v>0</v>
      </c>
      <c r="G138" s="2262">
        <f t="shared" si="36"/>
        <v>0</v>
      </c>
      <c r="H138" s="2262">
        <f t="shared" si="36"/>
        <v>0</v>
      </c>
      <c r="I138" s="2262">
        <f t="shared" si="36"/>
        <v>0</v>
      </c>
      <c r="J138" s="2262">
        <f t="shared" si="36"/>
        <v>0</v>
      </c>
      <c r="K138" s="2262">
        <f t="shared" si="36"/>
        <v>0</v>
      </c>
      <c r="L138" s="2262">
        <f t="shared" si="36"/>
        <v>0</v>
      </c>
      <c r="M138" s="2262">
        <f t="shared" si="36"/>
        <v>0</v>
      </c>
      <c r="N138" s="2262">
        <f t="shared" si="36"/>
        <v>0</v>
      </c>
      <c r="O138" s="2262">
        <f t="shared" si="36"/>
        <v>0</v>
      </c>
      <c r="P138" s="2262">
        <f t="shared" si="36"/>
        <v>0</v>
      </c>
      <c r="Q138" s="2262">
        <f t="shared" si="36"/>
        <v>0</v>
      </c>
      <c r="R138" s="2262">
        <f t="shared" si="36"/>
        <v>0</v>
      </c>
      <c r="S138" s="2262">
        <f t="shared" si="36"/>
        <v>0</v>
      </c>
      <c r="T138" s="2262">
        <f t="shared" si="36"/>
        <v>0</v>
      </c>
      <c r="U138" s="2262">
        <f t="shared" si="36"/>
        <v>0</v>
      </c>
      <c r="V138" s="2262">
        <f t="shared" si="36"/>
        <v>0</v>
      </c>
      <c r="W138" s="2262">
        <f t="shared" si="36"/>
        <v>0</v>
      </c>
      <c r="X138" s="2262">
        <f t="shared" si="36"/>
        <v>0</v>
      </c>
      <c r="Y138" s="2262">
        <f t="shared" si="36"/>
        <v>0</v>
      </c>
      <c r="Z138" s="2262">
        <f t="shared" si="36"/>
        <v>0</v>
      </c>
      <c r="AA138" s="2262">
        <f t="shared" si="36"/>
        <v>0</v>
      </c>
      <c r="AB138" s="2262">
        <f t="shared" si="36"/>
        <v>0</v>
      </c>
      <c r="AC138" s="2262">
        <f t="shared" si="36"/>
        <v>0</v>
      </c>
      <c r="AD138" s="2262">
        <f t="shared" si="36"/>
        <v>0</v>
      </c>
      <c r="AE138" s="2263">
        <f t="shared" si="36"/>
        <v>0</v>
      </c>
      <c r="AF138" s="2262">
        <f t="shared" si="36"/>
        <v>0</v>
      </c>
      <c r="AG138" s="2262">
        <f t="shared" si="36"/>
        <v>0</v>
      </c>
      <c r="AH138" s="2262">
        <f t="shared" si="36"/>
        <v>0</v>
      </c>
      <c r="AI138" s="2262">
        <f t="shared" si="36"/>
        <v>0</v>
      </c>
      <c r="AJ138" s="2262">
        <f t="shared" si="36"/>
        <v>0</v>
      </c>
      <c r="AK138" s="2262">
        <f t="shared" si="36"/>
        <v>0</v>
      </c>
      <c r="AL138" s="2262">
        <f t="shared" si="36"/>
        <v>0</v>
      </c>
      <c r="AM138" s="2262">
        <f t="shared" si="36"/>
        <v>0</v>
      </c>
      <c r="AN138" s="2262">
        <f t="shared" si="36"/>
        <v>0</v>
      </c>
      <c r="AO138" s="2262">
        <f t="shared" si="36"/>
        <v>0</v>
      </c>
      <c r="AP138" s="2262">
        <f t="shared" si="36"/>
        <v>0</v>
      </c>
      <c r="AQ138" s="2262">
        <f t="shared" si="36"/>
        <v>0</v>
      </c>
      <c r="AR138" s="2262">
        <f t="shared" si="36"/>
        <v>0</v>
      </c>
      <c r="AS138" s="2262">
        <f t="shared" si="36"/>
        <v>0</v>
      </c>
      <c r="AT138" s="2262">
        <f t="shared" si="36"/>
        <v>0</v>
      </c>
      <c r="AU138" s="2262">
        <f t="shared" si="36"/>
        <v>0</v>
      </c>
      <c r="AV138" s="2262">
        <f t="shared" si="36"/>
        <v>0</v>
      </c>
      <c r="AW138" s="2262">
        <f t="shared" si="36"/>
        <v>0</v>
      </c>
      <c r="AX138" s="2262">
        <f t="shared" si="36"/>
        <v>0</v>
      </c>
      <c r="AY138" s="2262">
        <f t="shared" si="36"/>
        <v>0</v>
      </c>
      <c r="AZ138" s="2262">
        <f t="shared" si="36"/>
        <v>0</v>
      </c>
      <c r="BA138" s="2262">
        <f>BA137-AP137</f>
        <v>0</v>
      </c>
      <c r="BB138" s="2262">
        <f t="shared" si="36"/>
        <v>0</v>
      </c>
      <c r="BC138" s="2264"/>
      <c r="BD138" s="2208"/>
    </row>
    <row r="139" spans="2:56" ht="15" customHeight="1" outlineLevel="2">
      <c r="B139" s="2243"/>
      <c r="C139" s="2244"/>
      <c r="D139" s="2245"/>
      <c r="E139" s="2256"/>
      <c r="F139" s="2256"/>
      <c r="G139" s="2256"/>
      <c r="H139" s="2256"/>
      <c r="I139" s="2256"/>
      <c r="J139" s="2256"/>
      <c r="K139" s="2256"/>
      <c r="L139" s="2256"/>
      <c r="M139" s="2256"/>
      <c r="N139" s="2256"/>
      <c r="O139" s="2256"/>
      <c r="P139" s="2256"/>
      <c r="Q139" s="2256"/>
      <c r="R139" s="2256"/>
      <c r="S139" s="2256"/>
      <c r="T139" s="2256"/>
      <c r="U139" s="2256"/>
      <c r="V139" s="2256"/>
      <c r="W139" s="2256"/>
      <c r="X139" s="2256"/>
      <c r="Y139" s="2256"/>
      <c r="Z139" s="2256"/>
      <c r="AA139" s="2256"/>
      <c r="AB139" s="2256"/>
      <c r="AC139" s="2256"/>
      <c r="AD139" s="2256"/>
      <c r="AE139" s="2257"/>
      <c r="AF139" s="2256"/>
      <c r="AG139" s="2256"/>
      <c r="AH139" s="2256"/>
      <c r="AI139" s="2256"/>
      <c r="AJ139" s="2256"/>
      <c r="AK139" s="2256"/>
      <c r="AL139" s="2256"/>
      <c r="AM139" s="2256"/>
      <c r="AN139" s="2256"/>
      <c r="AO139" s="2256"/>
      <c r="AP139" s="2256"/>
      <c r="AQ139" s="2256"/>
      <c r="AR139" s="2256"/>
      <c r="AS139" s="2256"/>
      <c r="AT139" s="2256"/>
      <c r="AU139" s="2256"/>
      <c r="AV139" s="2256"/>
      <c r="AW139" s="2256"/>
      <c r="AX139" s="2256"/>
      <c r="AY139" s="2256"/>
      <c r="AZ139" s="2256"/>
      <c r="BA139" s="2256"/>
      <c r="BB139" s="2256"/>
      <c r="BC139" s="2248"/>
      <c r="BD139" s="2240"/>
    </row>
    <row r="140" spans="2:56" outlineLevel="1">
      <c r="B140" s="2266">
        <v>500</v>
      </c>
      <c r="C140" s="2267" t="s">
        <v>1934</v>
      </c>
      <c r="D140" s="2268" t="s">
        <v>1896</v>
      </c>
      <c r="E140" s="2269">
        <f>E157</f>
        <v>0</v>
      </c>
      <c r="F140" s="2269">
        <f>F157</f>
        <v>0</v>
      </c>
      <c r="G140" s="2269">
        <f t="shared" ref="G140:BB141" si="37">G157</f>
        <v>0</v>
      </c>
      <c r="H140" s="2269">
        <f t="shared" si="37"/>
        <v>0</v>
      </c>
      <c r="I140" s="2269">
        <f t="shared" si="37"/>
        <v>0</v>
      </c>
      <c r="J140" s="2269">
        <f t="shared" si="37"/>
        <v>0</v>
      </c>
      <c r="K140" s="2269">
        <f t="shared" si="37"/>
        <v>0</v>
      </c>
      <c r="L140" s="2269">
        <f t="shared" si="37"/>
        <v>0</v>
      </c>
      <c r="M140" s="2269">
        <f t="shared" si="37"/>
        <v>0</v>
      </c>
      <c r="N140" s="2269">
        <f t="shared" si="37"/>
        <v>0</v>
      </c>
      <c r="O140" s="2269">
        <f t="shared" si="37"/>
        <v>0</v>
      </c>
      <c r="P140" s="2269">
        <f t="shared" si="37"/>
        <v>0</v>
      </c>
      <c r="Q140" s="2269">
        <f t="shared" si="37"/>
        <v>0</v>
      </c>
      <c r="R140" s="2269">
        <f t="shared" si="37"/>
        <v>0</v>
      </c>
      <c r="S140" s="2269">
        <f t="shared" si="37"/>
        <v>0</v>
      </c>
      <c r="T140" s="2269">
        <f t="shared" si="37"/>
        <v>0</v>
      </c>
      <c r="U140" s="2269">
        <f t="shared" si="37"/>
        <v>0</v>
      </c>
      <c r="V140" s="2269">
        <f t="shared" si="37"/>
        <v>0</v>
      </c>
      <c r="W140" s="2269">
        <f t="shared" si="37"/>
        <v>0</v>
      </c>
      <c r="X140" s="2269">
        <f t="shared" si="37"/>
        <v>0</v>
      </c>
      <c r="Y140" s="2269">
        <f t="shared" si="37"/>
        <v>0</v>
      </c>
      <c r="Z140" s="2269">
        <f t="shared" si="37"/>
        <v>0</v>
      </c>
      <c r="AA140" s="2269">
        <f t="shared" si="37"/>
        <v>0</v>
      </c>
      <c r="AB140" s="2269">
        <f t="shared" si="37"/>
        <v>0</v>
      </c>
      <c r="AC140" s="2269">
        <f t="shared" si="37"/>
        <v>0</v>
      </c>
      <c r="AD140" s="2269">
        <f t="shared" si="37"/>
        <v>0</v>
      </c>
      <c r="AE140" s="2270">
        <f t="shared" si="37"/>
        <v>0</v>
      </c>
      <c r="AF140" s="2269">
        <f t="shared" si="37"/>
        <v>0</v>
      </c>
      <c r="AG140" s="2269">
        <f t="shared" si="37"/>
        <v>0</v>
      </c>
      <c r="AH140" s="2269">
        <f t="shared" si="37"/>
        <v>0</v>
      </c>
      <c r="AI140" s="2269">
        <f t="shared" si="37"/>
        <v>0</v>
      </c>
      <c r="AJ140" s="2269">
        <f t="shared" si="37"/>
        <v>0</v>
      </c>
      <c r="AK140" s="2269">
        <f t="shared" si="37"/>
        <v>0</v>
      </c>
      <c r="AL140" s="2269">
        <f t="shared" si="37"/>
        <v>0</v>
      </c>
      <c r="AM140" s="2269">
        <f t="shared" si="37"/>
        <v>0</v>
      </c>
      <c r="AN140" s="2269">
        <f t="shared" si="37"/>
        <v>0</v>
      </c>
      <c r="AO140" s="2269">
        <f t="shared" si="37"/>
        <v>0</v>
      </c>
      <c r="AP140" s="2269">
        <f t="shared" si="37"/>
        <v>0</v>
      </c>
      <c r="AQ140" s="2269">
        <f t="shared" si="37"/>
        <v>0</v>
      </c>
      <c r="AR140" s="2269">
        <f t="shared" si="37"/>
        <v>0</v>
      </c>
      <c r="AS140" s="2269">
        <f t="shared" si="37"/>
        <v>0</v>
      </c>
      <c r="AT140" s="2269">
        <f t="shared" si="37"/>
        <v>0</v>
      </c>
      <c r="AU140" s="2269">
        <f t="shared" si="37"/>
        <v>0</v>
      </c>
      <c r="AV140" s="2269">
        <f t="shared" si="37"/>
        <v>0</v>
      </c>
      <c r="AW140" s="2269">
        <f t="shared" si="37"/>
        <v>0</v>
      </c>
      <c r="AX140" s="2269">
        <f t="shared" si="37"/>
        <v>0</v>
      </c>
      <c r="AY140" s="2269">
        <f t="shared" si="37"/>
        <v>0</v>
      </c>
      <c r="AZ140" s="2269">
        <f t="shared" si="37"/>
        <v>0</v>
      </c>
      <c r="BA140" s="2269">
        <f t="shared" si="37"/>
        <v>0</v>
      </c>
      <c r="BB140" s="2269">
        <f t="shared" si="37"/>
        <v>0</v>
      </c>
      <c r="BC140" s="2248">
        <f>AA140</f>
        <v>0</v>
      </c>
      <c r="BD140" s="2240"/>
    </row>
    <row r="141" spans="2:56" outlineLevel="1">
      <c r="B141" s="2266"/>
      <c r="C141" s="2267"/>
      <c r="D141" s="2268" t="s">
        <v>1897</v>
      </c>
      <c r="E141" s="2269">
        <f>E158</f>
        <v>0</v>
      </c>
      <c r="F141" s="2269">
        <f>F158</f>
        <v>0</v>
      </c>
      <c r="G141" s="2269">
        <f t="shared" si="37"/>
        <v>0</v>
      </c>
      <c r="H141" s="2269">
        <f t="shared" si="37"/>
        <v>0</v>
      </c>
      <c r="I141" s="2269">
        <f t="shared" si="37"/>
        <v>0</v>
      </c>
      <c r="J141" s="2269">
        <f t="shared" si="37"/>
        <v>0</v>
      </c>
      <c r="K141" s="2269">
        <f t="shared" si="37"/>
        <v>0</v>
      </c>
      <c r="L141" s="2269">
        <f t="shared" si="37"/>
        <v>0</v>
      </c>
      <c r="M141" s="2269">
        <f t="shared" si="37"/>
        <v>0</v>
      </c>
      <c r="N141" s="2269">
        <f t="shared" si="37"/>
        <v>0</v>
      </c>
      <c r="O141" s="2269">
        <f t="shared" si="37"/>
        <v>0</v>
      </c>
      <c r="P141" s="2269">
        <f t="shared" si="37"/>
        <v>0</v>
      </c>
      <c r="Q141" s="2269">
        <f t="shared" si="37"/>
        <v>0</v>
      </c>
      <c r="R141" s="2269">
        <f t="shared" si="37"/>
        <v>0</v>
      </c>
      <c r="S141" s="2269">
        <f t="shared" si="37"/>
        <v>0</v>
      </c>
      <c r="T141" s="2269">
        <f t="shared" si="37"/>
        <v>0</v>
      </c>
      <c r="U141" s="2269">
        <f t="shared" si="37"/>
        <v>0</v>
      </c>
      <c r="V141" s="2269">
        <f t="shared" si="37"/>
        <v>0</v>
      </c>
      <c r="W141" s="2269">
        <f t="shared" si="37"/>
        <v>0</v>
      </c>
      <c r="X141" s="2269">
        <f t="shared" si="37"/>
        <v>0</v>
      </c>
      <c r="Y141" s="2269">
        <f t="shared" si="37"/>
        <v>0</v>
      </c>
      <c r="Z141" s="2269">
        <f t="shared" si="37"/>
        <v>0</v>
      </c>
      <c r="AA141" s="2269">
        <f t="shared" si="37"/>
        <v>0</v>
      </c>
      <c r="AB141" s="2269">
        <f t="shared" si="37"/>
        <v>0</v>
      </c>
      <c r="AC141" s="2269">
        <f t="shared" si="37"/>
        <v>0</v>
      </c>
      <c r="AD141" s="2269">
        <f t="shared" si="37"/>
        <v>0</v>
      </c>
      <c r="AE141" s="2270">
        <f t="shared" si="37"/>
        <v>0</v>
      </c>
      <c r="AF141" s="2269">
        <f t="shared" si="37"/>
        <v>0</v>
      </c>
      <c r="AG141" s="2269">
        <f t="shared" si="37"/>
        <v>0</v>
      </c>
      <c r="AH141" s="2269">
        <f t="shared" si="37"/>
        <v>0</v>
      </c>
      <c r="AI141" s="2269">
        <f t="shared" si="37"/>
        <v>0</v>
      </c>
      <c r="AJ141" s="2269">
        <f t="shared" si="37"/>
        <v>0</v>
      </c>
      <c r="AK141" s="2269">
        <f t="shared" si="37"/>
        <v>0</v>
      </c>
      <c r="AL141" s="2269">
        <f t="shared" si="37"/>
        <v>0</v>
      </c>
      <c r="AM141" s="2269">
        <f t="shared" si="37"/>
        <v>0</v>
      </c>
      <c r="AN141" s="2269">
        <f t="shared" si="37"/>
        <v>0</v>
      </c>
      <c r="AO141" s="2269">
        <f t="shared" si="37"/>
        <v>0</v>
      </c>
      <c r="AP141" s="2269">
        <f t="shared" si="37"/>
        <v>0</v>
      </c>
      <c r="AQ141" s="2269">
        <f t="shared" si="37"/>
        <v>0</v>
      </c>
      <c r="AR141" s="2269">
        <f t="shared" si="37"/>
        <v>0</v>
      </c>
      <c r="AS141" s="2269">
        <f t="shared" si="37"/>
        <v>0</v>
      </c>
      <c r="AT141" s="2269">
        <f t="shared" si="37"/>
        <v>0</v>
      </c>
      <c r="AU141" s="2269">
        <f t="shared" si="37"/>
        <v>0</v>
      </c>
      <c r="AV141" s="2269">
        <f t="shared" si="37"/>
        <v>0</v>
      </c>
      <c r="AW141" s="2269">
        <f t="shared" si="37"/>
        <v>0</v>
      </c>
      <c r="AX141" s="2269">
        <f t="shared" si="37"/>
        <v>0</v>
      </c>
      <c r="AY141" s="2269">
        <f t="shared" si="37"/>
        <v>0</v>
      </c>
      <c r="AZ141" s="2269">
        <f t="shared" si="37"/>
        <v>0</v>
      </c>
      <c r="BA141" s="2269">
        <f t="shared" si="37"/>
        <v>0</v>
      </c>
      <c r="BB141" s="2269">
        <f t="shared" si="37"/>
        <v>0</v>
      </c>
      <c r="BC141" s="2248"/>
      <c r="BD141" s="2240"/>
    </row>
    <row r="142" spans="2:56" ht="15" customHeight="1" outlineLevel="2">
      <c r="B142" s="2243"/>
      <c r="C142" s="2244"/>
      <c r="D142" s="2245"/>
      <c r="E142" s="2246"/>
      <c r="F142" s="2246"/>
      <c r="G142" s="2246"/>
      <c r="H142" s="2246"/>
      <c r="I142" s="2246"/>
      <c r="J142" s="2246"/>
      <c r="K142" s="2246"/>
      <c r="L142" s="2246"/>
      <c r="M142" s="2246"/>
      <c r="N142" s="2246"/>
      <c r="O142" s="2246"/>
      <c r="P142" s="2246"/>
      <c r="Q142" s="2246"/>
      <c r="R142" s="2246"/>
      <c r="S142" s="2246"/>
      <c r="T142" s="2246"/>
      <c r="U142" s="2246"/>
      <c r="V142" s="2246"/>
      <c r="W142" s="2246"/>
      <c r="X142" s="2246"/>
      <c r="Y142" s="2246"/>
      <c r="Z142" s="2246"/>
      <c r="AA142" s="2246"/>
      <c r="AB142" s="2246"/>
      <c r="AC142" s="2246"/>
      <c r="AD142" s="2246"/>
      <c r="AE142" s="2247"/>
      <c r="AF142" s="2246"/>
      <c r="AG142" s="2246"/>
      <c r="AH142" s="2246"/>
      <c r="AI142" s="2246"/>
      <c r="AJ142" s="2246"/>
      <c r="AK142" s="2246"/>
      <c r="AL142" s="2246"/>
      <c r="AM142" s="2246"/>
      <c r="AN142" s="2246"/>
      <c r="AO142" s="2246"/>
      <c r="AP142" s="2246"/>
      <c r="AQ142" s="2246"/>
      <c r="AR142" s="2246"/>
      <c r="AS142" s="2246"/>
      <c r="AT142" s="2246"/>
      <c r="AU142" s="2246"/>
      <c r="AV142" s="2246"/>
      <c r="AW142" s="2246"/>
      <c r="AX142" s="2246"/>
      <c r="AY142" s="2246"/>
      <c r="AZ142" s="2246"/>
      <c r="BA142" s="2246"/>
      <c r="BB142" s="2246"/>
      <c r="BC142" s="2248"/>
      <c r="BD142" s="2240"/>
    </row>
    <row r="143" spans="2:56" ht="15" customHeight="1" outlineLevel="2">
      <c r="B143" s="2273">
        <v>500.1</v>
      </c>
      <c r="C143" s="2250" t="s">
        <v>1935</v>
      </c>
      <c r="D143" s="2276"/>
      <c r="E143" s="2277"/>
      <c r="F143" s="2277"/>
      <c r="G143" s="2277"/>
      <c r="H143" s="2277"/>
      <c r="I143" s="2277"/>
      <c r="J143" s="2277"/>
      <c r="K143" s="2277"/>
      <c r="L143" s="2277"/>
      <c r="M143" s="2277"/>
      <c r="N143" s="2277"/>
      <c r="O143" s="2277"/>
      <c r="P143" s="2277"/>
      <c r="Q143" s="2277"/>
      <c r="R143" s="2277"/>
      <c r="S143" s="2277"/>
      <c r="T143" s="2277"/>
      <c r="U143" s="2277"/>
      <c r="V143" s="2277"/>
      <c r="W143" s="2277"/>
      <c r="X143" s="2277"/>
      <c r="Y143" s="2277"/>
      <c r="Z143" s="2277"/>
      <c r="AA143" s="2277"/>
      <c r="AB143" s="2277"/>
      <c r="AC143" s="2277"/>
      <c r="AD143" s="2277"/>
      <c r="AE143" s="2278"/>
      <c r="AF143" s="2277"/>
      <c r="AG143" s="2277"/>
      <c r="AH143" s="2277"/>
      <c r="AI143" s="2277"/>
      <c r="AJ143" s="2277"/>
      <c r="AK143" s="2277"/>
      <c r="AL143" s="2277"/>
      <c r="AM143" s="2277"/>
      <c r="AN143" s="2277"/>
      <c r="AO143" s="2277"/>
      <c r="AP143" s="2277"/>
      <c r="AQ143" s="2277"/>
      <c r="AR143" s="2277"/>
      <c r="AS143" s="2277"/>
      <c r="AT143" s="2277"/>
      <c r="AU143" s="2277"/>
      <c r="AV143" s="2277"/>
      <c r="AW143" s="2277"/>
      <c r="AX143" s="2277"/>
      <c r="AY143" s="2277"/>
      <c r="AZ143" s="2277"/>
      <c r="BA143" s="2277"/>
      <c r="BB143" s="2277"/>
      <c r="BC143" s="2248"/>
      <c r="BD143" s="2240"/>
    </row>
    <row r="144" spans="2:56" ht="15" customHeight="1" outlineLevel="3">
      <c r="B144" s="2243"/>
      <c r="C144" s="2244" t="s">
        <v>1898</v>
      </c>
      <c r="D144" s="2245" t="s">
        <v>1899</v>
      </c>
      <c r="E144" s="2256">
        <v>0</v>
      </c>
      <c r="F144" s="2256">
        <v>0</v>
      </c>
      <c r="G144" s="2256">
        <v>0</v>
      </c>
      <c r="H144" s="2256">
        <v>0</v>
      </c>
      <c r="I144" s="2256">
        <v>0</v>
      </c>
      <c r="J144" s="2256">
        <v>0</v>
      </c>
      <c r="K144" s="2256">
        <v>0</v>
      </c>
      <c r="L144" s="2256">
        <v>0</v>
      </c>
      <c r="M144" s="2256">
        <v>0</v>
      </c>
      <c r="N144" s="2256">
        <v>0</v>
      </c>
      <c r="O144" s="2256">
        <v>0</v>
      </c>
      <c r="P144" s="2256">
        <v>0</v>
      </c>
      <c r="Q144" s="2256">
        <v>0</v>
      </c>
      <c r="R144" s="2256">
        <v>0</v>
      </c>
      <c r="S144" s="2256">
        <v>0</v>
      </c>
      <c r="T144" s="2256">
        <v>0</v>
      </c>
      <c r="U144" s="2256">
        <v>0</v>
      </c>
      <c r="V144" s="2256">
        <v>0</v>
      </c>
      <c r="W144" s="2256">
        <v>0</v>
      </c>
      <c r="X144" s="2256">
        <v>0</v>
      </c>
      <c r="Y144" s="2256">
        <v>0</v>
      </c>
      <c r="Z144" s="2256">
        <v>0</v>
      </c>
      <c r="AA144" s="2256">
        <v>0</v>
      </c>
      <c r="AB144" s="2256">
        <v>0</v>
      </c>
      <c r="AC144" s="2256">
        <v>0</v>
      </c>
      <c r="AD144" s="2256">
        <v>0</v>
      </c>
      <c r="AE144" s="2257">
        <v>0</v>
      </c>
      <c r="AF144" s="2256">
        <v>0</v>
      </c>
      <c r="AG144" s="2256">
        <v>0</v>
      </c>
      <c r="AH144" s="2256">
        <v>0</v>
      </c>
      <c r="AI144" s="2256">
        <v>0</v>
      </c>
      <c r="AJ144" s="2256">
        <v>0</v>
      </c>
      <c r="AK144" s="2256">
        <v>0</v>
      </c>
      <c r="AL144" s="2256">
        <v>0</v>
      </c>
      <c r="AM144" s="2256">
        <v>0</v>
      </c>
      <c r="AN144" s="2256">
        <v>0</v>
      </c>
      <c r="AO144" s="2256">
        <v>0</v>
      </c>
      <c r="AP144" s="2256">
        <v>0</v>
      </c>
      <c r="AQ144" s="2256">
        <v>0</v>
      </c>
      <c r="AR144" s="2256">
        <v>0</v>
      </c>
      <c r="AS144" s="2256">
        <v>0</v>
      </c>
      <c r="AT144" s="2256">
        <v>0</v>
      </c>
      <c r="AU144" s="2256">
        <v>0</v>
      </c>
      <c r="AV144" s="2256">
        <v>0</v>
      </c>
      <c r="AW144" s="2256">
        <v>0</v>
      </c>
      <c r="AX144" s="2256">
        <v>0</v>
      </c>
      <c r="AY144" s="2256">
        <v>0</v>
      </c>
      <c r="AZ144" s="2256">
        <v>0</v>
      </c>
      <c r="BA144" s="2256">
        <v>0</v>
      </c>
      <c r="BB144" s="2256">
        <v>0</v>
      </c>
      <c r="BC144" s="2258"/>
      <c r="BD144" s="2240"/>
    </row>
    <row r="145" spans="2:56" ht="15" customHeight="1" outlineLevel="3">
      <c r="B145" s="2243"/>
      <c r="C145" s="2244" t="s">
        <v>1901</v>
      </c>
      <c r="D145" s="2245" t="s">
        <v>1902</v>
      </c>
      <c r="E145" s="2256">
        <v>0</v>
      </c>
      <c r="F145" s="2256">
        <v>0</v>
      </c>
      <c r="G145" s="2256">
        <v>0</v>
      </c>
      <c r="H145" s="2256">
        <v>0</v>
      </c>
      <c r="I145" s="2256">
        <v>0</v>
      </c>
      <c r="J145" s="2256">
        <v>0</v>
      </c>
      <c r="K145" s="2256">
        <v>0</v>
      </c>
      <c r="L145" s="2256">
        <v>0</v>
      </c>
      <c r="M145" s="2256">
        <v>0</v>
      </c>
      <c r="N145" s="2256">
        <v>0</v>
      </c>
      <c r="O145" s="2256">
        <v>0</v>
      </c>
      <c r="P145" s="2256">
        <v>0</v>
      </c>
      <c r="Q145" s="2256">
        <v>0</v>
      </c>
      <c r="R145" s="2256">
        <v>0</v>
      </c>
      <c r="S145" s="2256">
        <v>0</v>
      </c>
      <c r="T145" s="2256">
        <v>0</v>
      </c>
      <c r="U145" s="2256">
        <v>0</v>
      </c>
      <c r="V145" s="2256">
        <v>0</v>
      </c>
      <c r="W145" s="2256">
        <v>0</v>
      </c>
      <c r="X145" s="2256">
        <v>0</v>
      </c>
      <c r="Y145" s="2256">
        <v>0</v>
      </c>
      <c r="Z145" s="2256">
        <v>0</v>
      </c>
      <c r="AA145" s="2256">
        <v>0</v>
      </c>
      <c r="AB145" s="2256">
        <v>0</v>
      </c>
      <c r="AC145" s="2256">
        <v>0</v>
      </c>
      <c r="AD145" s="2256">
        <v>0</v>
      </c>
      <c r="AE145" s="2257">
        <v>0</v>
      </c>
      <c r="AF145" s="2256">
        <v>0</v>
      </c>
      <c r="AG145" s="2256">
        <v>0</v>
      </c>
      <c r="AH145" s="2256">
        <v>0</v>
      </c>
      <c r="AI145" s="2256">
        <v>0</v>
      </c>
      <c r="AJ145" s="2256">
        <v>0</v>
      </c>
      <c r="AK145" s="2256">
        <v>0</v>
      </c>
      <c r="AL145" s="2256">
        <v>0</v>
      </c>
      <c r="AM145" s="2256">
        <v>0</v>
      </c>
      <c r="AN145" s="2256">
        <v>0</v>
      </c>
      <c r="AO145" s="2256">
        <v>0</v>
      </c>
      <c r="AP145" s="2256">
        <v>0</v>
      </c>
      <c r="AQ145" s="2256">
        <v>0</v>
      </c>
      <c r="AR145" s="2256">
        <v>0</v>
      </c>
      <c r="AS145" s="2256">
        <v>0</v>
      </c>
      <c r="AT145" s="2256">
        <v>0</v>
      </c>
      <c r="AU145" s="2256">
        <v>0</v>
      </c>
      <c r="AV145" s="2256">
        <v>0</v>
      </c>
      <c r="AW145" s="2256">
        <v>0</v>
      </c>
      <c r="AX145" s="2256">
        <v>0</v>
      </c>
      <c r="AY145" s="2256">
        <v>0</v>
      </c>
      <c r="AZ145" s="2256">
        <v>0</v>
      </c>
      <c r="BA145" s="2256">
        <v>0</v>
      </c>
      <c r="BB145" s="2256">
        <v>0</v>
      </c>
      <c r="BC145" s="2258"/>
      <c r="BD145" s="2240"/>
    </row>
    <row r="146" spans="2:56" ht="15" customHeight="1" outlineLevel="3">
      <c r="B146" s="2243"/>
      <c r="C146" s="2244" t="s">
        <v>1903</v>
      </c>
      <c r="D146" s="2245" t="s">
        <v>1904</v>
      </c>
      <c r="E146" s="2256">
        <v>0</v>
      </c>
      <c r="F146" s="2256">
        <v>0</v>
      </c>
      <c r="G146" s="2256">
        <v>0</v>
      </c>
      <c r="H146" s="2256">
        <v>0</v>
      </c>
      <c r="I146" s="2256">
        <v>0</v>
      </c>
      <c r="J146" s="2256">
        <v>0</v>
      </c>
      <c r="K146" s="2256">
        <v>0</v>
      </c>
      <c r="L146" s="2256">
        <v>0</v>
      </c>
      <c r="M146" s="2256">
        <v>0</v>
      </c>
      <c r="N146" s="2256">
        <v>0</v>
      </c>
      <c r="O146" s="2256">
        <v>0</v>
      </c>
      <c r="P146" s="2256">
        <v>0</v>
      </c>
      <c r="Q146" s="2256">
        <v>0</v>
      </c>
      <c r="R146" s="2256">
        <v>0</v>
      </c>
      <c r="S146" s="2256">
        <v>0</v>
      </c>
      <c r="T146" s="2256">
        <v>0</v>
      </c>
      <c r="U146" s="2256">
        <v>0</v>
      </c>
      <c r="V146" s="2256">
        <v>0</v>
      </c>
      <c r="W146" s="2256">
        <v>0</v>
      </c>
      <c r="X146" s="2256">
        <v>0</v>
      </c>
      <c r="Y146" s="2256">
        <v>0</v>
      </c>
      <c r="Z146" s="2256">
        <v>0</v>
      </c>
      <c r="AA146" s="2256">
        <v>0</v>
      </c>
      <c r="AB146" s="2256">
        <v>0</v>
      </c>
      <c r="AC146" s="2256">
        <v>0</v>
      </c>
      <c r="AD146" s="2256">
        <v>0</v>
      </c>
      <c r="AE146" s="2257">
        <v>0</v>
      </c>
      <c r="AF146" s="2256">
        <v>0</v>
      </c>
      <c r="AG146" s="2256">
        <v>0</v>
      </c>
      <c r="AH146" s="2256">
        <v>0</v>
      </c>
      <c r="AI146" s="2256">
        <v>0</v>
      </c>
      <c r="AJ146" s="2256">
        <v>0</v>
      </c>
      <c r="AK146" s="2256">
        <v>0</v>
      </c>
      <c r="AL146" s="2256">
        <v>0</v>
      </c>
      <c r="AM146" s="2256">
        <v>0</v>
      </c>
      <c r="AN146" s="2256">
        <v>0</v>
      </c>
      <c r="AO146" s="2256">
        <v>0</v>
      </c>
      <c r="AP146" s="2256">
        <v>0</v>
      </c>
      <c r="AQ146" s="2256">
        <v>0</v>
      </c>
      <c r="AR146" s="2256">
        <v>0</v>
      </c>
      <c r="AS146" s="2256">
        <v>0</v>
      </c>
      <c r="AT146" s="2256">
        <v>0</v>
      </c>
      <c r="AU146" s="2256">
        <v>0</v>
      </c>
      <c r="AV146" s="2256">
        <v>0</v>
      </c>
      <c r="AW146" s="2256">
        <v>0</v>
      </c>
      <c r="AX146" s="2256">
        <v>0</v>
      </c>
      <c r="AY146" s="2256">
        <v>0</v>
      </c>
      <c r="AZ146" s="2256">
        <v>0</v>
      </c>
      <c r="BA146" s="2256">
        <v>0</v>
      </c>
      <c r="BB146" s="2256">
        <v>0</v>
      </c>
      <c r="BC146" s="2258"/>
      <c r="BD146" s="2240"/>
    </row>
    <row r="147" spans="2:56" s="2203" customFormat="1" ht="15" customHeight="1" outlineLevel="3">
      <c r="B147" s="2259"/>
      <c r="C147" s="2260" t="s">
        <v>1905</v>
      </c>
      <c r="D147" s="2261" t="s">
        <v>1906</v>
      </c>
      <c r="E147" s="2262">
        <f>E144+E145+E146</f>
        <v>0</v>
      </c>
      <c r="F147" s="2262">
        <f t="shared" ref="F147:BB147" si="38">F144+F145+F146</f>
        <v>0</v>
      </c>
      <c r="G147" s="2262">
        <f t="shared" si="38"/>
        <v>0</v>
      </c>
      <c r="H147" s="2262">
        <f t="shared" si="38"/>
        <v>0</v>
      </c>
      <c r="I147" s="2262">
        <f t="shared" si="38"/>
        <v>0</v>
      </c>
      <c r="J147" s="2262">
        <f t="shared" si="38"/>
        <v>0</v>
      </c>
      <c r="K147" s="2262">
        <f t="shared" si="38"/>
        <v>0</v>
      </c>
      <c r="L147" s="2262">
        <f t="shared" si="38"/>
        <v>0</v>
      </c>
      <c r="M147" s="2262">
        <f t="shared" si="38"/>
        <v>0</v>
      </c>
      <c r="N147" s="2262">
        <f t="shared" si="38"/>
        <v>0</v>
      </c>
      <c r="O147" s="2262">
        <f t="shared" si="38"/>
        <v>0</v>
      </c>
      <c r="P147" s="2262">
        <f t="shared" si="38"/>
        <v>0</v>
      </c>
      <c r="Q147" s="2262">
        <f t="shared" si="38"/>
        <v>0</v>
      </c>
      <c r="R147" s="2262">
        <f t="shared" si="38"/>
        <v>0</v>
      </c>
      <c r="S147" s="2262">
        <f t="shared" si="38"/>
        <v>0</v>
      </c>
      <c r="T147" s="2262">
        <f t="shared" si="38"/>
        <v>0</v>
      </c>
      <c r="U147" s="2262">
        <f t="shared" si="38"/>
        <v>0</v>
      </c>
      <c r="V147" s="2262">
        <f t="shared" si="38"/>
        <v>0</v>
      </c>
      <c r="W147" s="2262">
        <f t="shared" si="38"/>
        <v>0</v>
      </c>
      <c r="X147" s="2262">
        <f t="shared" si="38"/>
        <v>0</v>
      </c>
      <c r="Y147" s="2262">
        <f t="shared" si="38"/>
        <v>0</v>
      </c>
      <c r="Z147" s="2262">
        <f t="shared" si="38"/>
        <v>0</v>
      </c>
      <c r="AA147" s="2262">
        <f t="shared" si="38"/>
        <v>0</v>
      </c>
      <c r="AB147" s="2262">
        <f t="shared" si="38"/>
        <v>0</v>
      </c>
      <c r="AC147" s="2262">
        <f t="shared" si="38"/>
        <v>0</v>
      </c>
      <c r="AD147" s="2262">
        <f t="shared" si="38"/>
        <v>0</v>
      </c>
      <c r="AE147" s="2263">
        <f t="shared" si="38"/>
        <v>0</v>
      </c>
      <c r="AF147" s="2262">
        <f t="shared" si="38"/>
        <v>0</v>
      </c>
      <c r="AG147" s="2262">
        <f t="shared" si="38"/>
        <v>0</v>
      </c>
      <c r="AH147" s="2262">
        <f t="shared" si="38"/>
        <v>0</v>
      </c>
      <c r="AI147" s="2262">
        <f t="shared" si="38"/>
        <v>0</v>
      </c>
      <c r="AJ147" s="2262">
        <f t="shared" si="38"/>
        <v>0</v>
      </c>
      <c r="AK147" s="2262">
        <f t="shared" si="38"/>
        <v>0</v>
      </c>
      <c r="AL147" s="2262">
        <f t="shared" si="38"/>
        <v>0</v>
      </c>
      <c r="AM147" s="2262">
        <f t="shared" si="38"/>
        <v>0</v>
      </c>
      <c r="AN147" s="2262">
        <f t="shared" si="38"/>
        <v>0</v>
      </c>
      <c r="AO147" s="2262">
        <f t="shared" si="38"/>
        <v>0</v>
      </c>
      <c r="AP147" s="2262">
        <f t="shared" si="38"/>
        <v>0</v>
      </c>
      <c r="AQ147" s="2262">
        <f t="shared" si="38"/>
        <v>0</v>
      </c>
      <c r="AR147" s="2262">
        <f t="shared" si="38"/>
        <v>0</v>
      </c>
      <c r="AS147" s="2262">
        <f t="shared" si="38"/>
        <v>0</v>
      </c>
      <c r="AT147" s="2262">
        <f t="shared" si="38"/>
        <v>0</v>
      </c>
      <c r="AU147" s="2262">
        <f t="shared" si="38"/>
        <v>0</v>
      </c>
      <c r="AV147" s="2262">
        <f t="shared" si="38"/>
        <v>0</v>
      </c>
      <c r="AW147" s="2262">
        <f t="shared" si="38"/>
        <v>0</v>
      </c>
      <c r="AX147" s="2262">
        <f t="shared" si="38"/>
        <v>0</v>
      </c>
      <c r="AY147" s="2262">
        <f t="shared" si="38"/>
        <v>0</v>
      </c>
      <c r="AZ147" s="2262">
        <f t="shared" si="38"/>
        <v>0</v>
      </c>
      <c r="BA147" s="2262">
        <f t="shared" si="38"/>
        <v>0</v>
      </c>
      <c r="BB147" s="2262">
        <f t="shared" si="38"/>
        <v>0</v>
      </c>
      <c r="BC147" s="2264"/>
      <c r="BD147" s="2208"/>
    </row>
    <row r="148" spans="2:56" ht="15" customHeight="1" outlineLevel="3">
      <c r="B148" s="2243"/>
      <c r="C148" s="2260" t="s">
        <v>1907</v>
      </c>
      <c r="D148" s="2261" t="s">
        <v>1908</v>
      </c>
      <c r="E148" s="2262">
        <v>0</v>
      </c>
      <c r="F148" s="2262">
        <v>0</v>
      </c>
      <c r="G148" s="2262">
        <v>0</v>
      </c>
      <c r="H148" s="2262">
        <v>0</v>
      </c>
      <c r="I148" s="2262">
        <v>0</v>
      </c>
      <c r="J148" s="2262">
        <v>0</v>
      </c>
      <c r="K148" s="2262">
        <v>0</v>
      </c>
      <c r="L148" s="2262">
        <v>0</v>
      </c>
      <c r="M148" s="2262">
        <v>0</v>
      </c>
      <c r="N148" s="2262">
        <v>0</v>
      </c>
      <c r="O148" s="2262">
        <v>0</v>
      </c>
      <c r="P148" s="2262">
        <v>0</v>
      </c>
      <c r="Q148" s="2262">
        <v>0</v>
      </c>
      <c r="R148" s="2262">
        <v>0</v>
      </c>
      <c r="S148" s="2262">
        <v>0</v>
      </c>
      <c r="T148" s="2262">
        <v>0</v>
      </c>
      <c r="U148" s="2262">
        <v>0</v>
      </c>
      <c r="V148" s="2262">
        <v>0</v>
      </c>
      <c r="W148" s="2262">
        <v>0</v>
      </c>
      <c r="X148" s="2262">
        <v>0</v>
      </c>
      <c r="Y148" s="2262">
        <v>0</v>
      </c>
      <c r="Z148" s="2262">
        <v>0</v>
      </c>
      <c r="AA148" s="2262">
        <v>0</v>
      </c>
      <c r="AB148" s="2262">
        <v>0</v>
      </c>
      <c r="AC148" s="2262">
        <v>0</v>
      </c>
      <c r="AD148" s="2262">
        <v>0</v>
      </c>
      <c r="AE148" s="2263">
        <v>0</v>
      </c>
      <c r="AF148" s="2262">
        <v>0</v>
      </c>
      <c r="AG148" s="2262">
        <v>0</v>
      </c>
      <c r="AH148" s="2262">
        <v>0</v>
      </c>
      <c r="AI148" s="2262">
        <v>0</v>
      </c>
      <c r="AJ148" s="2262">
        <v>0</v>
      </c>
      <c r="AK148" s="2262">
        <v>0</v>
      </c>
      <c r="AL148" s="2262">
        <v>0</v>
      </c>
      <c r="AM148" s="2262">
        <v>0</v>
      </c>
      <c r="AN148" s="2262">
        <v>0</v>
      </c>
      <c r="AO148" s="2262">
        <v>0</v>
      </c>
      <c r="AP148" s="2262">
        <v>0</v>
      </c>
      <c r="AQ148" s="2262">
        <v>0</v>
      </c>
      <c r="AR148" s="2262">
        <v>0</v>
      </c>
      <c r="AS148" s="2262">
        <v>0</v>
      </c>
      <c r="AT148" s="2262">
        <v>0</v>
      </c>
      <c r="AU148" s="2262">
        <v>0</v>
      </c>
      <c r="AV148" s="2262">
        <v>0</v>
      </c>
      <c r="AW148" s="2262">
        <v>0</v>
      </c>
      <c r="AX148" s="2262">
        <v>0</v>
      </c>
      <c r="AY148" s="2262">
        <v>0</v>
      </c>
      <c r="AZ148" s="2262">
        <v>0</v>
      </c>
      <c r="BA148" s="2262">
        <v>0</v>
      </c>
      <c r="BB148" s="2262">
        <v>0</v>
      </c>
      <c r="BC148" s="2258"/>
      <c r="BD148" s="2240"/>
    </row>
    <row r="149" spans="2:56" ht="15" customHeight="1" outlineLevel="3">
      <c r="B149" s="2243"/>
      <c r="C149" s="2244" t="s">
        <v>1579</v>
      </c>
      <c r="D149" s="2245" t="s">
        <v>1909</v>
      </c>
      <c r="E149" s="2256">
        <v>0</v>
      </c>
      <c r="F149" s="2256">
        <v>0</v>
      </c>
      <c r="G149" s="2256">
        <v>0</v>
      </c>
      <c r="H149" s="2256">
        <v>0</v>
      </c>
      <c r="I149" s="2256">
        <v>0</v>
      </c>
      <c r="J149" s="2256">
        <v>0</v>
      </c>
      <c r="K149" s="2256">
        <v>0</v>
      </c>
      <c r="L149" s="2256">
        <v>0</v>
      </c>
      <c r="M149" s="2256">
        <v>0</v>
      </c>
      <c r="N149" s="2256">
        <v>0</v>
      </c>
      <c r="O149" s="2256">
        <v>0</v>
      </c>
      <c r="P149" s="2256">
        <v>0</v>
      </c>
      <c r="Q149" s="2256">
        <v>0</v>
      </c>
      <c r="R149" s="2256">
        <v>0</v>
      </c>
      <c r="S149" s="2256">
        <v>0</v>
      </c>
      <c r="T149" s="2256">
        <v>0</v>
      </c>
      <c r="U149" s="2256">
        <v>0</v>
      </c>
      <c r="V149" s="2256">
        <v>0</v>
      </c>
      <c r="W149" s="2256">
        <v>0</v>
      </c>
      <c r="X149" s="2256">
        <v>0</v>
      </c>
      <c r="Y149" s="2256">
        <v>0</v>
      </c>
      <c r="Z149" s="2256">
        <v>0</v>
      </c>
      <c r="AA149" s="2256">
        <v>0</v>
      </c>
      <c r="AB149" s="2256">
        <v>0</v>
      </c>
      <c r="AC149" s="2256">
        <v>0</v>
      </c>
      <c r="AD149" s="2256">
        <v>0</v>
      </c>
      <c r="AE149" s="2257">
        <v>0</v>
      </c>
      <c r="AF149" s="2256">
        <v>0</v>
      </c>
      <c r="AG149" s="2256">
        <v>0</v>
      </c>
      <c r="AH149" s="2256">
        <v>0</v>
      </c>
      <c r="AI149" s="2256">
        <v>0</v>
      </c>
      <c r="AJ149" s="2256">
        <v>0</v>
      </c>
      <c r="AK149" s="2256">
        <v>0</v>
      </c>
      <c r="AL149" s="2256">
        <v>0</v>
      </c>
      <c r="AM149" s="2256">
        <v>0</v>
      </c>
      <c r="AN149" s="2256">
        <v>0</v>
      </c>
      <c r="AO149" s="2256">
        <v>0</v>
      </c>
      <c r="AP149" s="2256">
        <v>0</v>
      </c>
      <c r="AQ149" s="2256">
        <v>0</v>
      </c>
      <c r="AR149" s="2256">
        <v>0</v>
      </c>
      <c r="AS149" s="2256">
        <v>0</v>
      </c>
      <c r="AT149" s="2256">
        <v>0</v>
      </c>
      <c r="AU149" s="2256">
        <v>0</v>
      </c>
      <c r="AV149" s="2256">
        <v>0</v>
      </c>
      <c r="AW149" s="2256">
        <v>0</v>
      </c>
      <c r="AX149" s="2256">
        <v>0</v>
      </c>
      <c r="AY149" s="2256">
        <v>0</v>
      </c>
      <c r="AZ149" s="2256">
        <v>0</v>
      </c>
      <c r="BA149" s="2256">
        <v>0</v>
      </c>
      <c r="BB149" s="2256">
        <v>0</v>
      </c>
      <c r="BC149" s="2258"/>
      <c r="BD149" s="2240"/>
    </row>
    <row r="150" spans="2:56" s="2203" customFormat="1" ht="15" customHeight="1" outlineLevel="3">
      <c r="B150" s="2259"/>
      <c r="C150" s="2260" t="s">
        <v>1910</v>
      </c>
      <c r="D150" s="2261" t="s">
        <v>1911</v>
      </c>
      <c r="E150" s="2262">
        <f>E147+E148+E149</f>
        <v>0</v>
      </c>
      <c r="F150" s="2262">
        <f t="shared" ref="F150:BB150" si="39">F147+F148+F149</f>
        <v>0</v>
      </c>
      <c r="G150" s="2262">
        <f t="shared" si="39"/>
        <v>0</v>
      </c>
      <c r="H150" s="2262">
        <f t="shared" si="39"/>
        <v>0</v>
      </c>
      <c r="I150" s="2262">
        <f t="shared" si="39"/>
        <v>0</v>
      </c>
      <c r="J150" s="2262">
        <f t="shared" si="39"/>
        <v>0</v>
      </c>
      <c r="K150" s="2262">
        <f t="shared" si="39"/>
        <v>0</v>
      </c>
      <c r="L150" s="2262">
        <f t="shared" si="39"/>
        <v>0</v>
      </c>
      <c r="M150" s="2262">
        <f t="shared" si="39"/>
        <v>0</v>
      </c>
      <c r="N150" s="2262">
        <f t="shared" si="39"/>
        <v>0</v>
      </c>
      <c r="O150" s="2262">
        <f t="shared" si="39"/>
        <v>0</v>
      </c>
      <c r="P150" s="2262">
        <f t="shared" si="39"/>
        <v>0</v>
      </c>
      <c r="Q150" s="2262">
        <f t="shared" si="39"/>
        <v>0</v>
      </c>
      <c r="R150" s="2262">
        <f t="shared" si="39"/>
        <v>0</v>
      </c>
      <c r="S150" s="2262">
        <f t="shared" si="39"/>
        <v>0</v>
      </c>
      <c r="T150" s="2262">
        <f t="shared" si="39"/>
        <v>0</v>
      </c>
      <c r="U150" s="2262">
        <f t="shared" si="39"/>
        <v>0</v>
      </c>
      <c r="V150" s="2262">
        <f t="shared" si="39"/>
        <v>0</v>
      </c>
      <c r="W150" s="2262">
        <f t="shared" si="39"/>
        <v>0</v>
      </c>
      <c r="X150" s="2262">
        <f t="shared" si="39"/>
        <v>0</v>
      </c>
      <c r="Y150" s="2262">
        <f t="shared" si="39"/>
        <v>0</v>
      </c>
      <c r="Z150" s="2262">
        <f t="shared" si="39"/>
        <v>0</v>
      </c>
      <c r="AA150" s="2262">
        <f t="shared" si="39"/>
        <v>0</v>
      </c>
      <c r="AB150" s="2262">
        <f t="shared" si="39"/>
        <v>0</v>
      </c>
      <c r="AC150" s="2262">
        <f t="shared" si="39"/>
        <v>0</v>
      </c>
      <c r="AD150" s="2262">
        <f t="shared" si="39"/>
        <v>0</v>
      </c>
      <c r="AE150" s="2263">
        <f t="shared" si="39"/>
        <v>0</v>
      </c>
      <c r="AF150" s="2262">
        <f t="shared" si="39"/>
        <v>0</v>
      </c>
      <c r="AG150" s="2262">
        <f t="shared" si="39"/>
        <v>0</v>
      </c>
      <c r="AH150" s="2262">
        <f t="shared" si="39"/>
        <v>0</v>
      </c>
      <c r="AI150" s="2262">
        <f t="shared" si="39"/>
        <v>0</v>
      </c>
      <c r="AJ150" s="2262">
        <f t="shared" si="39"/>
        <v>0</v>
      </c>
      <c r="AK150" s="2262">
        <f t="shared" si="39"/>
        <v>0</v>
      </c>
      <c r="AL150" s="2262">
        <f t="shared" si="39"/>
        <v>0</v>
      </c>
      <c r="AM150" s="2262">
        <f t="shared" si="39"/>
        <v>0</v>
      </c>
      <c r="AN150" s="2262">
        <f t="shared" si="39"/>
        <v>0</v>
      </c>
      <c r="AO150" s="2262">
        <f t="shared" si="39"/>
        <v>0</v>
      </c>
      <c r="AP150" s="2262">
        <f t="shared" si="39"/>
        <v>0</v>
      </c>
      <c r="AQ150" s="2262">
        <f t="shared" si="39"/>
        <v>0</v>
      </c>
      <c r="AR150" s="2262">
        <f t="shared" si="39"/>
        <v>0</v>
      </c>
      <c r="AS150" s="2262">
        <f t="shared" si="39"/>
        <v>0</v>
      </c>
      <c r="AT150" s="2262">
        <f t="shared" si="39"/>
        <v>0</v>
      </c>
      <c r="AU150" s="2262">
        <f t="shared" si="39"/>
        <v>0</v>
      </c>
      <c r="AV150" s="2262">
        <f t="shared" si="39"/>
        <v>0</v>
      </c>
      <c r="AW150" s="2262">
        <f t="shared" si="39"/>
        <v>0</v>
      </c>
      <c r="AX150" s="2262">
        <f t="shared" si="39"/>
        <v>0</v>
      </c>
      <c r="AY150" s="2262">
        <f t="shared" si="39"/>
        <v>0</v>
      </c>
      <c r="AZ150" s="2262">
        <f t="shared" si="39"/>
        <v>0</v>
      </c>
      <c r="BA150" s="2262">
        <f t="shared" si="39"/>
        <v>0</v>
      </c>
      <c r="BB150" s="2262">
        <f t="shared" si="39"/>
        <v>0</v>
      </c>
      <c r="BC150" s="2264"/>
      <c r="BD150" s="2208"/>
    </row>
    <row r="151" spans="2:56" ht="15" customHeight="1" outlineLevel="3">
      <c r="B151" s="2243"/>
      <c r="C151" s="2260" t="s">
        <v>1930</v>
      </c>
      <c r="D151" s="2261" t="s">
        <v>1913</v>
      </c>
      <c r="E151" s="2262">
        <v>0</v>
      </c>
      <c r="F151" s="2262">
        <v>0</v>
      </c>
      <c r="G151" s="2262">
        <v>0</v>
      </c>
      <c r="H151" s="2262">
        <v>0</v>
      </c>
      <c r="I151" s="2262">
        <v>0</v>
      </c>
      <c r="J151" s="2262">
        <v>0</v>
      </c>
      <c r="K151" s="2262">
        <v>0</v>
      </c>
      <c r="L151" s="2262">
        <v>0</v>
      </c>
      <c r="M151" s="2262">
        <v>0</v>
      </c>
      <c r="N151" s="2262">
        <v>0</v>
      </c>
      <c r="O151" s="2262">
        <v>0</v>
      </c>
      <c r="P151" s="2262">
        <v>0</v>
      </c>
      <c r="Q151" s="2262">
        <v>0</v>
      </c>
      <c r="R151" s="2262">
        <v>0</v>
      </c>
      <c r="S151" s="2262">
        <v>0</v>
      </c>
      <c r="T151" s="2262">
        <v>0</v>
      </c>
      <c r="U151" s="2262">
        <v>0</v>
      </c>
      <c r="V151" s="2262">
        <v>0</v>
      </c>
      <c r="W151" s="2262">
        <v>0</v>
      </c>
      <c r="X151" s="2262">
        <v>0</v>
      </c>
      <c r="Y151" s="2262">
        <v>0</v>
      </c>
      <c r="Z151" s="2262">
        <v>0</v>
      </c>
      <c r="AA151" s="2262">
        <v>0</v>
      </c>
      <c r="AB151" s="2262">
        <v>0</v>
      </c>
      <c r="AC151" s="2262">
        <v>0</v>
      </c>
      <c r="AD151" s="2262">
        <v>0</v>
      </c>
      <c r="AE151" s="2263">
        <v>0</v>
      </c>
      <c r="AF151" s="2262">
        <v>0</v>
      </c>
      <c r="AG151" s="2262">
        <v>0</v>
      </c>
      <c r="AH151" s="2262">
        <v>0</v>
      </c>
      <c r="AI151" s="2262">
        <v>0</v>
      </c>
      <c r="AJ151" s="2262">
        <v>0</v>
      </c>
      <c r="AK151" s="2262">
        <v>0</v>
      </c>
      <c r="AL151" s="2262">
        <v>0</v>
      </c>
      <c r="AM151" s="2262">
        <v>0</v>
      </c>
      <c r="AN151" s="2262">
        <v>0</v>
      </c>
      <c r="AO151" s="2262">
        <v>0</v>
      </c>
      <c r="AP151" s="2262">
        <v>0</v>
      </c>
      <c r="AQ151" s="2262">
        <v>0</v>
      </c>
      <c r="AR151" s="2262">
        <v>0</v>
      </c>
      <c r="AS151" s="2262">
        <v>0</v>
      </c>
      <c r="AT151" s="2262">
        <v>0</v>
      </c>
      <c r="AU151" s="2262">
        <v>0</v>
      </c>
      <c r="AV151" s="2262">
        <v>0</v>
      </c>
      <c r="AW151" s="2262">
        <v>0</v>
      </c>
      <c r="AX151" s="2262">
        <v>0</v>
      </c>
      <c r="AY151" s="2262">
        <v>0</v>
      </c>
      <c r="AZ151" s="2262">
        <v>0</v>
      </c>
      <c r="BA151" s="2262">
        <v>0</v>
      </c>
      <c r="BB151" s="2262">
        <v>0</v>
      </c>
      <c r="BC151" s="2258"/>
      <c r="BD151" s="2240"/>
    </row>
    <row r="152" spans="2:56" ht="15" customHeight="1" outlineLevel="3">
      <c r="B152" s="2243"/>
      <c r="C152" s="2244" t="s">
        <v>1914</v>
      </c>
      <c r="D152" s="2245" t="s">
        <v>1915</v>
      </c>
      <c r="E152" s="2256">
        <v>0</v>
      </c>
      <c r="F152" s="2256">
        <v>0</v>
      </c>
      <c r="G152" s="2256">
        <v>0</v>
      </c>
      <c r="H152" s="2256">
        <v>0</v>
      </c>
      <c r="I152" s="2256">
        <v>0</v>
      </c>
      <c r="J152" s="2256">
        <v>0</v>
      </c>
      <c r="K152" s="2256">
        <v>0</v>
      </c>
      <c r="L152" s="2256">
        <v>0</v>
      </c>
      <c r="M152" s="2256">
        <v>0</v>
      </c>
      <c r="N152" s="2256">
        <v>0</v>
      </c>
      <c r="O152" s="2256">
        <v>0</v>
      </c>
      <c r="P152" s="2256">
        <v>0</v>
      </c>
      <c r="Q152" s="2256">
        <v>0</v>
      </c>
      <c r="R152" s="2256">
        <v>0</v>
      </c>
      <c r="S152" s="2256">
        <v>0</v>
      </c>
      <c r="T152" s="2256">
        <v>0</v>
      </c>
      <c r="U152" s="2256">
        <v>0</v>
      </c>
      <c r="V152" s="2256">
        <v>0</v>
      </c>
      <c r="W152" s="2256">
        <v>0</v>
      </c>
      <c r="X152" s="2256">
        <v>0</v>
      </c>
      <c r="Y152" s="2256">
        <v>0</v>
      </c>
      <c r="Z152" s="2256">
        <v>0</v>
      </c>
      <c r="AA152" s="2256">
        <v>0</v>
      </c>
      <c r="AB152" s="2256">
        <v>0</v>
      </c>
      <c r="AC152" s="2256">
        <v>0</v>
      </c>
      <c r="AD152" s="2256">
        <v>0</v>
      </c>
      <c r="AE152" s="2257">
        <v>0</v>
      </c>
      <c r="AF152" s="2256">
        <v>0</v>
      </c>
      <c r="AG152" s="2256">
        <v>0</v>
      </c>
      <c r="AH152" s="2256">
        <v>0</v>
      </c>
      <c r="AI152" s="2256">
        <v>0</v>
      </c>
      <c r="AJ152" s="2256">
        <v>0</v>
      </c>
      <c r="AK152" s="2256">
        <v>0</v>
      </c>
      <c r="AL152" s="2256">
        <v>0</v>
      </c>
      <c r="AM152" s="2256">
        <v>0</v>
      </c>
      <c r="AN152" s="2256">
        <v>0</v>
      </c>
      <c r="AO152" s="2256">
        <v>0</v>
      </c>
      <c r="AP152" s="2256">
        <v>0</v>
      </c>
      <c r="AQ152" s="2256">
        <v>0</v>
      </c>
      <c r="AR152" s="2256">
        <v>0</v>
      </c>
      <c r="AS152" s="2256">
        <v>0</v>
      </c>
      <c r="AT152" s="2256">
        <v>0</v>
      </c>
      <c r="AU152" s="2256">
        <v>0</v>
      </c>
      <c r="AV152" s="2256">
        <v>0</v>
      </c>
      <c r="AW152" s="2256">
        <v>0</v>
      </c>
      <c r="AX152" s="2256">
        <v>0</v>
      </c>
      <c r="AY152" s="2256">
        <v>0</v>
      </c>
      <c r="AZ152" s="2256">
        <v>0</v>
      </c>
      <c r="BA152" s="2256">
        <v>0</v>
      </c>
      <c r="BB152" s="2256">
        <v>0</v>
      </c>
      <c r="BC152" s="2258"/>
      <c r="BD152" s="2240"/>
    </row>
    <row r="153" spans="2:56" s="2203" customFormat="1" ht="15" customHeight="1" outlineLevel="3">
      <c r="B153" s="2259"/>
      <c r="C153" s="2260" t="s">
        <v>1916</v>
      </c>
      <c r="D153" s="2261" t="s">
        <v>1917</v>
      </c>
      <c r="E153" s="2262">
        <f>E150+E151+E152</f>
        <v>0</v>
      </c>
      <c r="F153" s="2262">
        <f t="shared" ref="F153:BB153" si="40">F150+F151+F152</f>
        <v>0</v>
      </c>
      <c r="G153" s="2262">
        <f t="shared" si="40"/>
        <v>0</v>
      </c>
      <c r="H153" s="2262">
        <f t="shared" si="40"/>
        <v>0</v>
      </c>
      <c r="I153" s="2262">
        <f t="shared" si="40"/>
        <v>0</v>
      </c>
      <c r="J153" s="2262">
        <f t="shared" si="40"/>
        <v>0</v>
      </c>
      <c r="K153" s="2262">
        <f t="shared" si="40"/>
        <v>0</v>
      </c>
      <c r="L153" s="2262">
        <f t="shared" si="40"/>
        <v>0</v>
      </c>
      <c r="M153" s="2262">
        <f t="shared" si="40"/>
        <v>0</v>
      </c>
      <c r="N153" s="2262">
        <f t="shared" si="40"/>
        <v>0</v>
      </c>
      <c r="O153" s="2262">
        <f t="shared" si="40"/>
        <v>0</v>
      </c>
      <c r="P153" s="2262">
        <f t="shared" si="40"/>
        <v>0</v>
      </c>
      <c r="Q153" s="2262">
        <f t="shared" si="40"/>
        <v>0</v>
      </c>
      <c r="R153" s="2262">
        <f t="shared" si="40"/>
        <v>0</v>
      </c>
      <c r="S153" s="2262">
        <f t="shared" si="40"/>
        <v>0</v>
      </c>
      <c r="T153" s="2262">
        <f t="shared" si="40"/>
        <v>0</v>
      </c>
      <c r="U153" s="2262">
        <f t="shared" si="40"/>
        <v>0</v>
      </c>
      <c r="V153" s="2262">
        <f t="shared" si="40"/>
        <v>0</v>
      </c>
      <c r="W153" s="2262">
        <f t="shared" si="40"/>
        <v>0</v>
      </c>
      <c r="X153" s="2262">
        <f t="shared" si="40"/>
        <v>0</v>
      </c>
      <c r="Y153" s="2262">
        <f t="shared" si="40"/>
        <v>0</v>
      </c>
      <c r="Z153" s="2262">
        <f t="shared" si="40"/>
        <v>0</v>
      </c>
      <c r="AA153" s="2262">
        <f t="shared" si="40"/>
        <v>0</v>
      </c>
      <c r="AB153" s="2262">
        <f t="shared" si="40"/>
        <v>0</v>
      </c>
      <c r="AC153" s="2262">
        <f t="shared" si="40"/>
        <v>0</v>
      </c>
      <c r="AD153" s="2262">
        <f t="shared" si="40"/>
        <v>0</v>
      </c>
      <c r="AE153" s="2263">
        <f t="shared" si="40"/>
        <v>0</v>
      </c>
      <c r="AF153" s="2262">
        <f t="shared" si="40"/>
        <v>0</v>
      </c>
      <c r="AG153" s="2262">
        <f t="shared" si="40"/>
        <v>0</v>
      </c>
      <c r="AH153" s="2262">
        <f t="shared" si="40"/>
        <v>0</v>
      </c>
      <c r="AI153" s="2262">
        <f t="shared" si="40"/>
        <v>0</v>
      </c>
      <c r="AJ153" s="2262">
        <f t="shared" si="40"/>
        <v>0</v>
      </c>
      <c r="AK153" s="2262">
        <f t="shared" si="40"/>
        <v>0</v>
      </c>
      <c r="AL153" s="2262">
        <f t="shared" si="40"/>
        <v>0</v>
      </c>
      <c r="AM153" s="2262">
        <f t="shared" si="40"/>
        <v>0</v>
      </c>
      <c r="AN153" s="2262">
        <f t="shared" si="40"/>
        <v>0</v>
      </c>
      <c r="AO153" s="2262">
        <f t="shared" si="40"/>
        <v>0</v>
      </c>
      <c r="AP153" s="2262">
        <f t="shared" si="40"/>
        <v>0</v>
      </c>
      <c r="AQ153" s="2262">
        <f t="shared" si="40"/>
        <v>0</v>
      </c>
      <c r="AR153" s="2262">
        <f t="shared" si="40"/>
        <v>0</v>
      </c>
      <c r="AS153" s="2262">
        <f t="shared" si="40"/>
        <v>0</v>
      </c>
      <c r="AT153" s="2262">
        <f t="shared" si="40"/>
        <v>0</v>
      </c>
      <c r="AU153" s="2262">
        <f t="shared" si="40"/>
        <v>0</v>
      </c>
      <c r="AV153" s="2262">
        <f t="shared" si="40"/>
        <v>0</v>
      </c>
      <c r="AW153" s="2262">
        <f t="shared" si="40"/>
        <v>0</v>
      </c>
      <c r="AX153" s="2262">
        <f t="shared" si="40"/>
        <v>0</v>
      </c>
      <c r="AY153" s="2262">
        <f t="shared" si="40"/>
        <v>0</v>
      </c>
      <c r="AZ153" s="2262">
        <f t="shared" si="40"/>
        <v>0</v>
      </c>
      <c r="BA153" s="2262">
        <f t="shared" si="40"/>
        <v>0</v>
      </c>
      <c r="BB153" s="2262">
        <f t="shared" si="40"/>
        <v>0</v>
      </c>
      <c r="BC153" s="2264"/>
      <c r="BD153" s="2208"/>
    </row>
    <row r="154" spans="2:56" ht="15" customHeight="1" outlineLevel="3">
      <c r="B154" s="2243"/>
      <c r="C154" s="2244" t="s">
        <v>1918</v>
      </c>
      <c r="D154" s="2245" t="s">
        <v>1919</v>
      </c>
      <c r="E154" s="2256">
        <v>0</v>
      </c>
      <c r="F154" s="2256">
        <v>0</v>
      </c>
      <c r="G154" s="2256">
        <v>0</v>
      </c>
      <c r="H154" s="2256">
        <v>0</v>
      </c>
      <c r="I154" s="2256">
        <v>0</v>
      </c>
      <c r="J154" s="2256">
        <v>0</v>
      </c>
      <c r="K154" s="2256">
        <v>0</v>
      </c>
      <c r="L154" s="2256">
        <v>0</v>
      </c>
      <c r="M154" s="2256">
        <v>0</v>
      </c>
      <c r="N154" s="2256">
        <v>0</v>
      </c>
      <c r="O154" s="2256">
        <v>0</v>
      </c>
      <c r="P154" s="2256">
        <v>0</v>
      </c>
      <c r="Q154" s="2256">
        <v>0</v>
      </c>
      <c r="R154" s="2256">
        <v>0</v>
      </c>
      <c r="S154" s="2256">
        <v>0</v>
      </c>
      <c r="T154" s="2256">
        <v>0</v>
      </c>
      <c r="U154" s="2256">
        <v>0</v>
      </c>
      <c r="V154" s="2256">
        <v>0</v>
      </c>
      <c r="W154" s="2256">
        <v>0</v>
      </c>
      <c r="X154" s="2256">
        <v>0</v>
      </c>
      <c r="Y154" s="2256">
        <v>0</v>
      </c>
      <c r="Z154" s="2256">
        <v>0</v>
      </c>
      <c r="AA154" s="2256">
        <v>0</v>
      </c>
      <c r="AB154" s="2256">
        <v>0</v>
      </c>
      <c r="AC154" s="2256">
        <v>0</v>
      </c>
      <c r="AD154" s="2256">
        <v>0</v>
      </c>
      <c r="AE154" s="2257">
        <v>0</v>
      </c>
      <c r="AF154" s="2256">
        <v>0</v>
      </c>
      <c r="AG154" s="2256">
        <v>0</v>
      </c>
      <c r="AH154" s="2256">
        <v>0</v>
      </c>
      <c r="AI154" s="2256">
        <v>0</v>
      </c>
      <c r="AJ154" s="2256">
        <v>0</v>
      </c>
      <c r="AK154" s="2256">
        <v>0</v>
      </c>
      <c r="AL154" s="2256">
        <v>0</v>
      </c>
      <c r="AM154" s="2256">
        <v>0</v>
      </c>
      <c r="AN154" s="2256">
        <v>0</v>
      </c>
      <c r="AO154" s="2256">
        <v>0</v>
      </c>
      <c r="AP154" s="2256">
        <v>0</v>
      </c>
      <c r="AQ154" s="2256">
        <v>0</v>
      </c>
      <c r="AR154" s="2256">
        <v>0</v>
      </c>
      <c r="AS154" s="2256">
        <v>0</v>
      </c>
      <c r="AT154" s="2256">
        <v>0</v>
      </c>
      <c r="AU154" s="2256">
        <v>0</v>
      </c>
      <c r="AV154" s="2256">
        <v>0</v>
      </c>
      <c r="AW154" s="2256">
        <v>0</v>
      </c>
      <c r="AX154" s="2256">
        <v>0</v>
      </c>
      <c r="AY154" s="2256">
        <v>0</v>
      </c>
      <c r="AZ154" s="2256">
        <v>0</v>
      </c>
      <c r="BA154" s="2256">
        <v>0</v>
      </c>
      <c r="BB154" s="2256">
        <v>0</v>
      </c>
      <c r="BC154" s="2258"/>
      <c r="BD154" s="2240"/>
    </row>
    <row r="155" spans="2:56" ht="15" customHeight="1" outlineLevel="3">
      <c r="B155" s="2243"/>
      <c r="C155" s="2244" t="s">
        <v>1920</v>
      </c>
      <c r="D155" s="2245" t="s">
        <v>1921</v>
      </c>
      <c r="E155" s="2256">
        <v>0</v>
      </c>
      <c r="F155" s="2256">
        <v>0</v>
      </c>
      <c r="G155" s="2256">
        <v>0</v>
      </c>
      <c r="H155" s="2256">
        <v>0</v>
      </c>
      <c r="I155" s="2256">
        <v>0</v>
      </c>
      <c r="J155" s="2256">
        <v>0</v>
      </c>
      <c r="K155" s="2256">
        <v>0</v>
      </c>
      <c r="L155" s="2256">
        <v>0</v>
      </c>
      <c r="M155" s="2256">
        <v>0</v>
      </c>
      <c r="N155" s="2256">
        <v>0</v>
      </c>
      <c r="O155" s="2256">
        <v>0</v>
      </c>
      <c r="P155" s="2256">
        <v>0</v>
      </c>
      <c r="Q155" s="2256">
        <v>0</v>
      </c>
      <c r="R155" s="2256">
        <v>0</v>
      </c>
      <c r="S155" s="2256">
        <v>0</v>
      </c>
      <c r="T155" s="2256">
        <v>0</v>
      </c>
      <c r="U155" s="2256">
        <v>0</v>
      </c>
      <c r="V155" s="2256">
        <v>0</v>
      </c>
      <c r="W155" s="2256">
        <v>0</v>
      </c>
      <c r="X155" s="2256">
        <v>0</v>
      </c>
      <c r="Y155" s="2256">
        <v>0</v>
      </c>
      <c r="Z155" s="2256">
        <v>0</v>
      </c>
      <c r="AA155" s="2256">
        <v>0</v>
      </c>
      <c r="AB155" s="2256">
        <v>0</v>
      </c>
      <c r="AC155" s="2256">
        <v>0</v>
      </c>
      <c r="AD155" s="2256">
        <v>0</v>
      </c>
      <c r="AE155" s="2257">
        <v>0</v>
      </c>
      <c r="AF155" s="2256">
        <v>0</v>
      </c>
      <c r="AG155" s="2256">
        <v>0</v>
      </c>
      <c r="AH155" s="2256">
        <v>0</v>
      </c>
      <c r="AI155" s="2256">
        <v>0</v>
      </c>
      <c r="AJ155" s="2256">
        <v>0</v>
      </c>
      <c r="AK155" s="2256">
        <v>0</v>
      </c>
      <c r="AL155" s="2256">
        <v>0</v>
      </c>
      <c r="AM155" s="2256">
        <v>0</v>
      </c>
      <c r="AN155" s="2256">
        <v>0</v>
      </c>
      <c r="AO155" s="2256">
        <v>0</v>
      </c>
      <c r="AP155" s="2256">
        <v>0</v>
      </c>
      <c r="AQ155" s="2256">
        <v>0</v>
      </c>
      <c r="AR155" s="2256">
        <v>0</v>
      </c>
      <c r="AS155" s="2256">
        <v>0</v>
      </c>
      <c r="AT155" s="2256">
        <v>0</v>
      </c>
      <c r="AU155" s="2256">
        <v>0</v>
      </c>
      <c r="AV155" s="2256">
        <v>0</v>
      </c>
      <c r="AW155" s="2256">
        <v>0</v>
      </c>
      <c r="AX155" s="2256">
        <v>0</v>
      </c>
      <c r="AY155" s="2256">
        <v>0</v>
      </c>
      <c r="AZ155" s="2256">
        <v>0</v>
      </c>
      <c r="BA155" s="2256">
        <v>0</v>
      </c>
      <c r="BB155" s="2256">
        <v>0</v>
      </c>
      <c r="BC155" s="2258"/>
      <c r="BD155" s="2240"/>
    </row>
    <row r="156" spans="2:56" ht="15" customHeight="1" outlineLevel="3">
      <c r="B156" s="2243"/>
      <c r="C156" s="2244" t="s">
        <v>1922</v>
      </c>
      <c r="D156" s="2245" t="s">
        <v>1923</v>
      </c>
      <c r="E156" s="2256">
        <v>0</v>
      </c>
      <c r="F156" s="2256">
        <v>0</v>
      </c>
      <c r="G156" s="2256">
        <v>0</v>
      </c>
      <c r="H156" s="2256">
        <v>0</v>
      </c>
      <c r="I156" s="2256">
        <v>0</v>
      </c>
      <c r="J156" s="2256">
        <v>0</v>
      </c>
      <c r="K156" s="2256">
        <v>0</v>
      </c>
      <c r="L156" s="2256">
        <v>0</v>
      </c>
      <c r="M156" s="2256">
        <v>0</v>
      </c>
      <c r="N156" s="2256">
        <v>0</v>
      </c>
      <c r="O156" s="2256">
        <v>0</v>
      </c>
      <c r="P156" s="2256">
        <v>0</v>
      </c>
      <c r="Q156" s="2256">
        <v>0</v>
      </c>
      <c r="R156" s="2256">
        <v>0</v>
      </c>
      <c r="S156" s="2256">
        <v>0</v>
      </c>
      <c r="T156" s="2256">
        <v>0</v>
      </c>
      <c r="U156" s="2256">
        <v>0</v>
      </c>
      <c r="V156" s="2256">
        <v>0</v>
      </c>
      <c r="W156" s="2256">
        <v>0</v>
      </c>
      <c r="X156" s="2256">
        <v>0</v>
      </c>
      <c r="Y156" s="2256">
        <v>0</v>
      </c>
      <c r="Z156" s="2256">
        <v>0</v>
      </c>
      <c r="AA156" s="2256">
        <v>0</v>
      </c>
      <c r="AB156" s="2256">
        <v>0</v>
      </c>
      <c r="AC156" s="2256">
        <v>0</v>
      </c>
      <c r="AD156" s="2256">
        <v>0</v>
      </c>
      <c r="AE156" s="2257">
        <v>0</v>
      </c>
      <c r="AF156" s="2256">
        <v>0</v>
      </c>
      <c r="AG156" s="2256">
        <v>0</v>
      </c>
      <c r="AH156" s="2256">
        <v>0</v>
      </c>
      <c r="AI156" s="2256">
        <v>0</v>
      </c>
      <c r="AJ156" s="2256">
        <v>0</v>
      </c>
      <c r="AK156" s="2256">
        <v>0</v>
      </c>
      <c r="AL156" s="2256">
        <v>0</v>
      </c>
      <c r="AM156" s="2256">
        <v>0</v>
      </c>
      <c r="AN156" s="2256">
        <v>0</v>
      </c>
      <c r="AO156" s="2256">
        <v>0</v>
      </c>
      <c r="AP156" s="2256">
        <v>0</v>
      </c>
      <c r="AQ156" s="2256">
        <v>0</v>
      </c>
      <c r="AR156" s="2256">
        <v>0</v>
      </c>
      <c r="AS156" s="2256">
        <v>0</v>
      </c>
      <c r="AT156" s="2256">
        <v>0</v>
      </c>
      <c r="AU156" s="2256">
        <v>0</v>
      </c>
      <c r="AV156" s="2256">
        <v>0</v>
      </c>
      <c r="AW156" s="2256">
        <v>0</v>
      </c>
      <c r="AX156" s="2256">
        <v>0</v>
      </c>
      <c r="AY156" s="2256">
        <v>0</v>
      </c>
      <c r="AZ156" s="2256">
        <v>0</v>
      </c>
      <c r="BA156" s="2256">
        <v>0</v>
      </c>
      <c r="BB156" s="2256">
        <v>0</v>
      </c>
      <c r="BC156" s="2258"/>
      <c r="BD156" s="2240"/>
    </row>
    <row r="157" spans="2:56" s="2203" customFormat="1" ht="15" customHeight="1" outlineLevel="2">
      <c r="B157" s="2259"/>
      <c r="C157" s="2260" t="s">
        <v>1924</v>
      </c>
      <c r="D157" s="2261" t="s">
        <v>1925</v>
      </c>
      <c r="E157" s="2262">
        <f t="shared" ref="E157:BB157" si="41">E153+E154+E155+E156</f>
        <v>0</v>
      </c>
      <c r="F157" s="2262">
        <f t="shared" si="41"/>
        <v>0</v>
      </c>
      <c r="G157" s="2262">
        <f t="shared" si="41"/>
        <v>0</v>
      </c>
      <c r="H157" s="2262">
        <f t="shared" si="41"/>
        <v>0</v>
      </c>
      <c r="I157" s="2262">
        <f t="shared" si="41"/>
        <v>0</v>
      </c>
      <c r="J157" s="2262">
        <f t="shared" si="41"/>
        <v>0</v>
      </c>
      <c r="K157" s="2262">
        <f t="shared" si="41"/>
        <v>0</v>
      </c>
      <c r="L157" s="2262">
        <f t="shared" si="41"/>
        <v>0</v>
      </c>
      <c r="M157" s="2262">
        <f t="shared" si="41"/>
        <v>0</v>
      </c>
      <c r="N157" s="2262">
        <f t="shared" si="41"/>
        <v>0</v>
      </c>
      <c r="O157" s="2262">
        <f t="shared" si="41"/>
        <v>0</v>
      </c>
      <c r="P157" s="2262">
        <f t="shared" si="41"/>
        <v>0</v>
      </c>
      <c r="Q157" s="2262">
        <f t="shared" si="41"/>
        <v>0</v>
      </c>
      <c r="R157" s="2262">
        <f t="shared" si="41"/>
        <v>0</v>
      </c>
      <c r="S157" s="2262">
        <f t="shared" si="41"/>
        <v>0</v>
      </c>
      <c r="T157" s="2262">
        <f t="shared" si="41"/>
        <v>0</v>
      </c>
      <c r="U157" s="2262">
        <f t="shared" si="41"/>
        <v>0</v>
      </c>
      <c r="V157" s="2262">
        <f t="shared" si="41"/>
        <v>0</v>
      </c>
      <c r="W157" s="2262">
        <f t="shared" si="41"/>
        <v>0</v>
      </c>
      <c r="X157" s="2262">
        <f t="shared" si="41"/>
        <v>0</v>
      </c>
      <c r="Y157" s="2262">
        <f t="shared" si="41"/>
        <v>0</v>
      </c>
      <c r="Z157" s="2262">
        <f t="shared" si="41"/>
        <v>0</v>
      </c>
      <c r="AA157" s="2262">
        <f t="shared" si="41"/>
        <v>0</v>
      </c>
      <c r="AB157" s="2262">
        <f t="shared" si="41"/>
        <v>0</v>
      </c>
      <c r="AC157" s="2262">
        <f t="shared" si="41"/>
        <v>0</v>
      </c>
      <c r="AD157" s="2262">
        <f t="shared" si="41"/>
        <v>0</v>
      </c>
      <c r="AE157" s="2263">
        <f t="shared" si="41"/>
        <v>0</v>
      </c>
      <c r="AF157" s="2262">
        <f t="shared" si="41"/>
        <v>0</v>
      </c>
      <c r="AG157" s="2262">
        <f t="shared" si="41"/>
        <v>0</v>
      </c>
      <c r="AH157" s="2262">
        <f t="shared" si="41"/>
        <v>0</v>
      </c>
      <c r="AI157" s="2262">
        <f t="shared" si="41"/>
        <v>0</v>
      </c>
      <c r="AJ157" s="2262">
        <f t="shared" si="41"/>
        <v>0</v>
      </c>
      <c r="AK157" s="2262">
        <f t="shared" si="41"/>
        <v>0</v>
      </c>
      <c r="AL157" s="2262">
        <f t="shared" si="41"/>
        <v>0</v>
      </c>
      <c r="AM157" s="2262">
        <f t="shared" si="41"/>
        <v>0</v>
      </c>
      <c r="AN157" s="2262">
        <f t="shared" si="41"/>
        <v>0</v>
      </c>
      <c r="AO157" s="2262">
        <f t="shared" si="41"/>
        <v>0</v>
      </c>
      <c r="AP157" s="2262">
        <f t="shared" si="41"/>
        <v>0</v>
      </c>
      <c r="AQ157" s="2262">
        <f t="shared" si="41"/>
        <v>0</v>
      </c>
      <c r="AR157" s="2262">
        <f t="shared" si="41"/>
        <v>0</v>
      </c>
      <c r="AS157" s="2262">
        <f t="shared" si="41"/>
        <v>0</v>
      </c>
      <c r="AT157" s="2262">
        <f t="shared" si="41"/>
        <v>0</v>
      </c>
      <c r="AU157" s="2262">
        <f t="shared" si="41"/>
        <v>0</v>
      </c>
      <c r="AV157" s="2262">
        <f t="shared" si="41"/>
        <v>0</v>
      </c>
      <c r="AW157" s="2262">
        <f t="shared" si="41"/>
        <v>0</v>
      </c>
      <c r="AX157" s="2262">
        <f t="shared" si="41"/>
        <v>0</v>
      </c>
      <c r="AY157" s="2262">
        <f t="shared" si="41"/>
        <v>0</v>
      </c>
      <c r="AZ157" s="2262">
        <f t="shared" si="41"/>
        <v>0</v>
      </c>
      <c r="BA157" s="2262">
        <f t="shared" si="41"/>
        <v>0</v>
      </c>
      <c r="BB157" s="2262">
        <f t="shared" si="41"/>
        <v>0</v>
      </c>
      <c r="BC157" s="2264"/>
      <c r="BD157" s="2208"/>
    </row>
    <row r="158" spans="2:56" s="2203" customFormat="1" ht="15" customHeight="1" outlineLevel="2">
      <c r="B158" s="2259"/>
      <c r="C158" s="2260" t="s">
        <v>1926</v>
      </c>
      <c r="D158" s="2261" t="s">
        <v>1927</v>
      </c>
      <c r="E158" s="2262">
        <f>E157</f>
        <v>0</v>
      </c>
      <c r="F158" s="2262">
        <f t="shared" ref="F158:BB158" si="42">F157-E157</f>
        <v>0</v>
      </c>
      <c r="G158" s="2262">
        <f t="shared" si="42"/>
        <v>0</v>
      </c>
      <c r="H158" s="2262">
        <f t="shared" si="42"/>
        <v>0</v>
      </c>
      <c r="I158" s="2262">
        <f t="shared" si="42"/>
        <v>0</v>
      </c>
      <c r="J158" s="2262">
        <f t="shared" si="42"/>
        <v>0</v>
      </c>
      <c r="K158" s="2262">
        <f t="shared" si="42"/>
        <v>0</v>
      </c>
      <c r="L158" s="2262">
        <f t="shared" si="42"/>
        <v>0</v>
      </c>
      <c r="M158" s="2262">
        <f t="shared" si="42"/>
        <v>0</v>
      </c>
      <c r="N158" s="2262">
        <f t="shared" si="42"/>
        <v>0</v>
      </c>
      <c r="O158" s="2262">
        <f t="shared" si="42"/>
        <v>0</v>
      </c>
      <c r="P158" s="2262">
        <f t="shared" si="42"/>
        <v>0</v>
      </c>
      <c r="Q158" s="2262">
        <f t="shared" si="42"/>
        <v>0</v>
      </c>
      <c r="R158" s="2262">
        <f t="shared" si="42"/>
        <v>0</v>
      </c>
      <c r="S158" s="2262">
        <f t="shared" si="42"/>
        <v>0</v>
      </c>
      <c r="T158" s="2262">
        <f t="shared" si="42"/>
        <v>0</v>
      </c>
      <c r="U158" s="2262">
        <f t="shared" si="42"/>
        <v>0</v>
      </c>
      <c r="V158" s="2262">
        <f t="shared" si="42"/>
        <v>0</v>
      </c>
      <c r="W158" s="2262">
        <f t="shared" si="42"/>
        <v>0</v>
      </c>
      <c r="X158" s="2262">
        <f t="shared" si="42"/>
        <v>0</v>
      </c>
      <c r="Y158" s="2262">
        <f t="shared" si="42"/>
        <v>0</v>
      </c>
      <c r="Z158" s="2262">
        <f t="shared" si="42"/>
        <v>0</v>
      </c>
      <c r="AA158" s="2262">
        <f t="shared" si="42"/>
        <v>0</v>
      </c>
      <c r="AB158" s="2262">
        <f t="shared" si="42"/>
        <v>0</v>
      </c>
      <c r="AC158" s="2262">
        <f t="shared" si="42"/>
        <v>0</v>
      </c>
      <c r="AD158" s="2262">
        <f t="shared" si="42"/>
        <v>0</v>
      </c>
      <c r="AE158" s="2263">
        <f t="shared" si="42"/>
        <v>0</v>
      </c>
      <c r="AF158" s="2262">
        <f t="shared" si="42"/>
        <v>0</v>
      </c>
      <c r="AG158" s="2262">
        <f t="shared" si="42"/>
        <v>0</v>
      </c>
      <c r="AH158" s="2262">
        <f t="shared" si="42"/>
        <v>0</v>
      </c>
      <c r="AI158" s="2262">
        <f t="shared" si="42"/>
        <v>0</v>
      </c>
      <c r="AJ158" s="2262">
        <f t="shared" si="42"/>
        <v>0</v>
      </c>
      <c r="AK158" s="2262">
        <f t="shared" si="42"/>
        <v>0</v>
      </c>
      <c r="AL158" s="2262">
        <f t="shared" si="42"/>
        <v>0</v>
      </c>
      <c r="AM158" s="2262">
        <f t="shared" si="42"/>
        <v>0</v>
      </c>
      <c r="AN158" s="2262">
        <f t="shared" si="42"/>
        <v>0</v>
      </c>
      <c r="AO158" s="2262">
        <f t="shared" si="42"/>
        <v>0</v>
      </c>
      <c r="AP158" s="2262">
        <f t="shared" si="42"/>
        <v>0</v>
      </c>
      <c r="AQ158" s="2262">
        <f t="shared" si="42"/>
        <v>0</v>
      </c>
      <c r="AR158" s="2262">
        <f t="shared" si="42"/>
        <v>0</v>
      </c>
      <c r="AS158" s="2262">
        <f t="shared" si="42"/>
        <v>0</v>
      </c>
      <c r="AT158" s="2262">
        <f t="shared" si="42"/>
        <v>0</v>
      </c>
      <c r="AU158" s="2262">
        <f t="shared" si="42"/>
        <v>0</v>
      </c>
      <c r="AV158" s="2262">
        <f t="shared" si="42"/>
        <v>0</v>
      </c>
      <c r="AW158" s="2262">
        <f t="shared" si="42"/>
        <v>0</v>
      </c>
      <c r="AX158" s="2262">
        <f t="shared" si="42"/>
        <v>0</v>
      </c>
      <c r="AY158" s="2262">
        <f t="shared" si="42"/>
        <v>0</v>
      </c>
      <c r="AZ158" s="2262">
        <f t="shared" si="42"/>
        <v>0</v>
      </c>
      <c r="BA158" s="2262">
        <f>BA157-AP157</f>
        <v>0</v>
      </c>
      <c r="BB158" s="2262">
        <f t="shared" si="42"/>
        <v>0</v>
      </c>
      <c r="BC158" s="2264"/>
      <c r="BD158" s="2208"/>
    </row>
    <row r="159" spans="2:56" ht="15" customHeight="1" outlineLevel="2">
      <c r="B159" s="2243"/>
      <c r="C159" s="2265"/>
      <c r="D159" s="2245"/>
      <c r="E159" s="2256"/>
      <c r="F159" s="2256"/>
      <c r="G159" s="2256"/>
      <c r="H159" s="2256"/>
      <c r="I159" s="2256"/>
      <c r="J159" s="2256"/>
      <c r="K159" s="2256"/>
      <c r="L159" s="2256"/>
      <c r="M159" s="2256"/>
      <c r="N159" s="2256"/>
      <c r="O159" s="2256"/>
      <c r="P159" s="2256"/>
      <c r="Q159" s="2256"/>
      <c r="R159" s="2256"/>
      <c r="S159" s="2256"/>
      <c r="T159" s="2256"/>
      <c r="U159" s="2256"/>
      <c r="V159" s="2256"/>
      <c r="W159" s="2256"/>
      <c r="X159" s="2256"/>
      <c r="Y159" s="2256"/>
      <c r="Z159" s="2256"/>
      <c r="AA159" s="2256"/>
      <c r="AB159" s="2256"/>
      <c r="AC159" s="2256"/>
      <c r="AD159" s="2256"/>
      <c r="AE159" s="2257"/>
      <c r="AF159" s="2256"/>
      <c r="AG159" s="2256"/>
      <c r="AH159" s="2256"/>
      <c r="AI159" s="2256"/>
      <c r="AJ159" s="2256"/>
      <c r="AK159" s="2256"/>
      <c r="AL159" s="2256"/>
      <c r="AM159" s="2256"/>
      <c r="AN159" s="2256"/>
      <c r="AO159" s="2256"/>
      <c r="AP159" s="2256"/>
      <c r="AQ159" s="2256"/>
      <c r="AR159" s="2256"/>
      <c r="AS159" s="2256"/>
      <c r="AT159" s="2256"/>
      <c r="AU159" s="2256"/>
      <c r="AV159" s="2256"/>
      <c r="AW159" s="2256"/>
      <c r="AX159" s="2256"/>
      <c r="AY159" s="2256"/>
      <c r="AZ159" s="2256"/>
      <c r="BA159" s="2256"/>
      <c r="BB159" s="2256"/>
      <c r="BC159" s="2248"/>
      <c r="BD159" s="2240"/>
    </row>
    <row r="160" spans="2:56" ht="15" customHeight="1" outlineLevel="1">
      <c r="D160" s="2279"/>
      <c r="E160" s="2239"/>
      <c r="F160" s="2239"/>
      <c r="G160" s="2239"/>
      <c r="H160" s="2239"/>
      <c r="I160" s="2239"/>
      <c r="J160" s="2239"/>
      <c r="K160" s="2239"/>
      <c r="L160" s="2239"/>
      <c r="M160" s="2239"/>
      <c r="N160" s="2239"/>
      <c r="O160" s="2239"/>
      <c r="P160" s="2239"/>
      <c r="Q160" s="2239"/>
      <c r="R160" s="2239"/>
      <c r="S160" s="2239"/>
      <c r="T160" s="2239"/>
      <c r="U160" s="2239"/>
      <c r="V160" s="2239"/>
      <c r="W160" s="2239"/>
      <c r="X160" s="2239"/>
      <c r="Y160" s="2239"/>
      <c r="Z160" s="2239"/>
      <c r="AA160" s="2239"/>
      <c r="AB160" s="2239"/>
      <c r="AC160" s="2239"/>
      <c r="AD160" s="2239"/>
      <c r="AE160" s="2280"/>
      <c r="AF160" s="2239"/>
      <c r="AG160" s="2239"/>
      <c r="AH160" s="2239"/>
      <c r="AI160" s="2239"/>
      <c r="AJ160" s="2239"/>
      <c r="AK160" s="2239"/>
      <c r="AL160" s="2239"/>
      <c r="AM160" s="2239"/>
      <c r="AN160" s="2239"/>
      <c r="AO160" s="2239"/>
      <c r="AP160" s="2239"/>
      <c r="AQ160" s="2239"/>
      <c r="AR160" s="2239"/>
      <c r="AS160" s="2239"/>
      <c r="AT160" s="2239"/>
      <c r="AU160" s="2239"/>
      <c r="AV160" s="2239"/>
      <c r="AW160" s="2239"/>
      <c r="AX160" s="2239"/>
      <c r="AY160" s="2239"/>
      <c r="AZ160" s="2239"/>
      <c r="BA160" s="2239"/>
      <c r="BB160" s="2239"/>
      <c r="BC160" s="6128"/>
      <c r="BD160" s="2240"/>
    </row>
    <row r="161" spans="2:57">
      <c r="D161" s="2279"/>
      <c r="E161" s="2239"/>
      <c r="F161" s="2239"/>
      <c r="G161" s="2239"/>
      <c r="H161" s="2239"/>
      <c r="I161" s="2239"/>
      <c r="J161" s="2239"/>
      <c r="K161" s="2239"/>
      <c r="L161" s="2239"/>
      <c r="M161" s="2239"/>
      <c r="N161" s="2239"/>
      <c r="O161" s="2239"/>
      <c r="P161" s="2239"/>
      <c r="Q161" s="2239"/>
      <c r="R161" s="2239"/>
      <c r="S161" s="2239"/>
      <c r="T161" s="2239"/>
      <c r="U161" s="2239"/>
      <c r="V161" s="2239"/>
      <c r="W161" s="2239"/>
      <c r="X161" s="2239"/>
      <c r="Y161" s="2239"/>
      <c r="Z161" s="2239"/>
      <c r="AA161" s="2239"/>
      <c r="AB161" s="2239"/>
      <c r="AC161" s="2239"/>
      <c r="AD161" s="2239"/>
      <c r="AE161" s="2280"/>
      <c r="AF161" s="2239"/>
      <c r="AG161" s="2239"/>
      <c r="AH161" s="2282">
        <v>0.05</v>
      </c>
      <c r="AI161" s="2282">
        <f>AH161+0.05</f>
        <v>0.1</v>
      </c>
      <c r="AJ161" s="2282">
        <v>0.2</v>
      </c>
      <c r="AK161" s="2282">
        <v>0.3</v>
      </c>
      <c r="AL161" s="2283">
        <v>0.45</v>
      </c>
      <c r="AM161" s="2283">
        <v>0.6</v>
      </c>
      <c r="AN161" s="2283">
        <v>0.7</v>
      </c>
      <c r="AO161" s="2283">
        <v>0.8</v>
      </c>
      <c r="AP161" s="2283">
        <v>0.9</v>
      </c>
      <c r="AQ161" s="2239"/>
      <c r="AR161" s="2282">
        <v>0.05</v>
      </c>
      <c r="AS161" s="2282">
        <f>AR161+0.05</f>
        <v>0.1</v>
      </c>
      <c r="AT161" s="2282">
        <v>0.2</v>
      </c>
      <c r="AU161" s="2282">
        <v>0.3</v>
      </c>
      <c r="AV161" s="2283">
        <v>0.45</v>
      </c>
      <c r="AW161" s="2283">
        <v>0.6</v>
      </c>
      <c r="AX161" s="2283">
        <v>0.7</v>
      </c>
      <c r="AY161" s="2283">
        <v>0.8</v>
      </c>
      <c r="AZ161" s="2283">
        <v>0.9</v>
      </c>
      <c r="BA161" s="2283">
        <v>0.95</v>
      </c>
      <c r="BB161" s="2283">
        <v>1</v>
      </c>
      <c r="BC161" s="6128"/>
      <c r="BD161" s="2240"/>
    </row>
    <row r="162" spans="2:57" s="2203" customFormat="1" ht="15" customHeight="1">
      <c r="B162" s="2384"/>
      <c r="C162" s="2385"/>
      <c r="D162" s="2386" t="s">
        <v>1892</v>
      </c>
      <c r="E162" s="2387">
        <v>1</v>
      </c>
      <c r="F162" s="2387">
        <f t="shared" ref="F162:BB162" si="43">E162+1</f>
        <v>2</v>
      </c>
      <c r="G162" s="2387">
        <f t="shared" si="43"/>
        <v>3</v>
      </c>
      <c r="H162" s="2387">
        <f t="shared" si="43"/>
        <v>4</v>
      </c>
      <c r="I162" s="2387">
        <f t="shared" si="43"/>
        <v>5</v>
      </c>
      <c r="J162" s="2387">
        <f t="shared" si="43"/>
        <v>6</v>
      </c>
      <c r="K162" s="2387">
        <f t="shared" si="43"/>
        <v>7</v>
      </c>
      <c r="L162" s="2387">
        <f t="shared" si="43"/>
        <v>8</v>
      </c>
      <c r="M162" s="2387">
        <f t="shared" si="43"/>
        <v>9</v>
      </c>
      <c r="N162" s="2387">
        <f t="shared" si="43"/>
        <v>10</v>
      </c>
      <c r="O162" s="2387">
        <f t="shared" si="43"/>
        <v>11</v>
      </c>
      <c r="P162" s="2387">
        <f t="shared" si="43"/>
        <v>12</v>
      </c>
      <c r="Q162" s="2387">
        <f t="shared" si="43"/>
        <v>13</v>
      </c>
      <c r="R162" s="2387">
        <f t="shared" si="43"/>
        <v>14</v>
      </c>
      <c r="S162" s="2387">
        <f t="shared" si="43"/>
        <v>15</v>
      </c>
      <c r="T162" s="2387">
        <f t="shared" si="43"/>
        <v>16</v>
      </c>
      <c r="U162" s="2387">
        <f t="shared" si="43"/>
        <v>17</v>
      </c>
      <c r="V162" s="2387">
        <f t="shared" si="43"/>
        <v>18</v>
      </c>
      <c r="W162" s="2387">
        <f t="shared" si="43"/>
        <v>19</v>
      </c>
      <c r="X162" s="2387">
        <f t="shared" si="43"/>
        <v>20</v>
      </c>
      <c r="Y162" s="2387">
        <f t="shared" si="43"/>
        <v>21</v>
      </c>
      <c r="Z162" s="2387">
        <f t="shared" si="43"/>
        <v>22</v>
      </c>
      <c r="AA162" s="2387">
        <f t="shared" si="43"/>
        <v>23</v>
      </c>
      <c r="AB162" s="2387">
        <f t="shared" si="43"/>
        <v>24</v>
      </c>
      <c r="AC162" s="2387">
        <f t="shared" si="43"/>
        <v>25</v>
      </c>
      <c r="AD162" s="2387">
        <f t="shared" si="43"/>
        <v>26</v>
      </c>
      <c r="AE162" s="2388">
        <f t="shared" si="43"/>
        <v>27</v>
      </c>
      <c r="AF162" s="2387">
        <f t="shared" si="43"/>
        <v>28</v>
      </c>
      <c r="AG162" s="2387">
        <f t="shared" si="43"/>
        <v>29</v>
      </c>
      <c r="AH162" s="2387">
        <f t="shared" si="43"/>
        <v>30</v>
      </c>
      <c r="AI162" s="2387">
        <f t="shared" si="43"/>
        <v>31</v>
      </c>
      <c r="AJ162" s="2387">
        <f t="shared" si="43"/>
        <v>32</v>
      </c>
      <c r="AK162" s="2387">
        <f t="shared" si="43"/>
        <v>33</v>
      </c>
      <c r="AL162" s="2387">
        <f t="shared" si="43"/>
        <v>34</v>
      </c>
      <c r="AM162" s="2387">
        <f t="shared" si="43"/>
        <v>35</v>
      </c>
      <c r="AN162" s="2387">
        <f t="shared" si="43"/>
        <v>36</v>
      </c>
      <c r="AO162" s="2387">
        <f t="shared" si="43"/>
        <v>37</v>
      </c>
      <c r="AP162" s="2387">
        <f t="shared" si="43"/>
        <v>38</v>
      </c>
      <c r="AQ162" s="2387">
        <f t="shared" si="43"/>
        <v>39</v>
      </c>
      <c r="AR162" s="2387">
        <f t="shared" si="43"/>
        <v>40</v>
      </c>
      <c r="AS162" s="2387">
        <f t="shared" si="43"/>
        <v>41</v>
      </c>
      <c r="AT162" s="2387">
        <f t="shared" si="43"/>
        <v>42</v>
      </c>
      <c r="AU162" s="2387">
        <f t="shared" si="43"/>
        <v>43</v>
      </c>
      <c r="AV162" s="2387">
        <f t="shared" si="43"/>
        <v>44</v>
      </c>
      <c r="AW162" s="2387">
        <f t="shared" si="43"/>
        <v>45</v>
      </c>
      <c r="AX162" s="2387">
        <f t="shared" si="43"/>
        <v>46</v>
      </c>
      <c r="AY162" s="2387">
        <f t="shared" si="43"/>
        <v>47</v>
      </c>
      <c r="AZ162" s="2387">
        <f t="shared" si="43"/>
        <v>48</v>
      </c>
      <c r="BA162" s="2387">
        <f>AP162+1</f>
        <v>39</v>
      </c>
      <c r="BB162" s="2387">
        <f t="shared" si="43"/>
        <v>40</v>
      </c>
      <c r="BC162" s="6129" t="s">
        <v>1886</v>
      </c>
      <c r="BD162" s="2208"/>
    </row>
    <row r="163" spans="2:57" s="2203" customFormat="1">
      <c r="B163" s="2389"/>
      <c r="C163" s="2390"/>
      <c r="D163" s="2391" t="s">
        <v>1893</v>
      </c>
      <c r="E163" s="2392">
        <f>E51</f>
        <v>43038</v>
      </c>
      <c r="F163" s="2392">
        <f t="shared" ref="F163:BB163" si="44">F51</f>
        <v>43068</v>
      </c>
      <c r="G163" s="2392">
        <f t="shared" si="44"/>
        <v>43098</v>
      </c>
      <c r="H163" s="2392">
        <f t="shared" si="44"/>
        <v>43128</v>
      </c>
      <c r="I163" s="2392">
        <f t="shared" si="44"/>
        <v>43158</v>
      </c>
      <c r="J163" s="2392">
        <f t="shared" si="44"/>
        <v>43188</v>
      </c>
      <c r="K163" s="2392">
        <f t="shared" si="44"/>
        <v>43218</v>
      </c>
      <c r="L163" s="2392">
        <f t="shared" si="44"/>
        <v>43248</v>
      </c>
      <c r="M163" s="2392">
        <f t="shared" si="44"/>
        <v>43278</v>
      </c>
      <c r="N163" s="2392">
        <f t="shared" si="44"/>
        <v>43308</v>
      </c>
      <c r="O163" s="2392">
        <f t="shared" si="44"/>
        <v>43338</v>
      </c>
      <c r="P163" s="2392">
        <f t="shared" si="44"/>
        <v>43368</v>
      </c>
      <c r="Q163" s="2392">
        <f t="shared" si="44"/>
        <v>43398</v>
      </c>
      <c r="R163" s="2392">
        <f t="shared" si="44"/>
        <v>43428</v>
      </c>
      <c r="S163" s="2392">
        <f t="shared" si="44"/>
        <v>43458</v>
      </c>
      <c r="T163" s="2392">
        <f t="shared" si="44"/>
        <v>43488</v>
      </c>
      <c r="U163" s="2392">
        <f t="shared" si="44"/>
        <v>43518</v>
      </c>
      <c r="V163" s="2392">
        <f t="shared" si="44"/>
        <v>43548</v>
      </c>
      <c r="W163" s="2392">
        <f t="shared" si="44"/>
        <v>43578</v>
      </c>
      <c r="X163" s="2392">
        <f t="shared" si="44"/>
        <v>43608</v>
      </c>
      <c r="Y163" s="2392">
        <f t="shared" si="44"/>
        <v>43638</v>
      </c>
      <c r="Z163" s="2392">
        <f t="shared" si="44"/>
        <v>43668</v>
      </c>
      <c r="AA163" s="2392">
        <f t="shared" si="44"/>
        <v>43698</v>
      </c>
      <c r="AB163" s="2392">
        <f t="shared" si="44"/>
        <v>43728</v>
      </c>
      <c r="AC163" s="2392">
        <f t="shared" si="44"/>
        <v>43758</v>
      </c>
      <c r="AD163" s="2392">
        <f t="shared" si="44"/>
        <v>43788</v>
      </c>
      <c r="AE163" s="2392">
        <f t="shared" si="44"/>
        <v>43818</v>
      </c>
      <c r="AF163" s="2392">
        <f t="shared" si="44"/>
        <v>43848</v>
      </c>
      <c r="AG163" s="2392">
        <f t="shared" si="44"/>
        <v>43878</v>
      </c>
      <c r="AH163" s="2392">
        <f t="shared" si="44"/>
        <v>43908</v>
      </c>
      <c r="AI163" s="2392">
        <f t="shared" si="44"/>
        <v>43938</v>
      </c>
      <c r="AJ163" s="2392">
        <f t="shared" si="44"/>
        <v>43968</v>
      </c>
      <c r="AK163" s="2392">
        <f t="shared" si="44"/>
        <v>43998</v>
      </c>
      <c r="AL163" s="2392">
        <f t="shared" si="44"/>
        <v>44028</v>
      </c>
      <c r="AM163" s="2392">
        <f t="shared" si="44"/>
        <v>44058</v>
      </c>
      <c r="AN163" s="2392">
        <f t="shared" si="44"/>
        <v>44088</v>
      </c>
      <c r="AO163" s="2392">
        <f t="shared" si="44"/>
        <v>44118</v>
      </c>
      <c r="AP163" s="2392">
        <f t="shared" si="44"/>
        <v>44148</v>
      </c>
      <c r="AQ163" s="2392">
        <f t="shared" si="44"/>
        <v>44178</v>
      </c>
      <c r="AR163" s="2392">
        <f t="shared" si="44"/>
        <v>44208</v>
      </c>
      <c r="AS163" s="2392">
        <f t="shared" si="44"/>
        <v>44238</v>
      </c>
      <c r="AT163" s="2392">
        <f t="shared" si="44"/>
        <v>44268</v>
      </c>
      <c r="AU163" s="2392">
        <f t="shared" si="44"/>
        <v>44298</v>
      </c>
      <c r="AV163" s="2392">
        <f t="shared" si="44"/>
        <v>44328</v>
      </c>
      <c r="AW163" s="2392">
        <f t="shared" si="44"/>
        <v>44358</v>
      </c>
      <c r="AX163" s="2392">
        <f t="shared" si="44"/>
        <v>44388</v>
      </c>
      <c r="AY163" s="2392">
        <f t="shared" si="44"/>
        <v>44418</v>
      </c>
      <c r="AZ163" s="2392">
        <f t="shared" si="44"/>
        <v>44448</v>
      </c>
      <c r="BA163" s="2392">
        <f t="shared" si="44"/>
        <v>44478</v>
      </c>
      <c r="BB163" s="2392">
        <f t="shared" si="44"/>
        <v>44508</v>
      </c>
      <c r="BC163" s="6130"/>
      <c r="BD163" s="2208"/>
    </row>
    <row r="164" spans="2:57" s="2203" customFormat="1">
      <c r="B164" s="2284"/>
      <c r="C164" s="2285" t="s">
        <v>1936</v>
      </c>
      <c r="D164" s="6120">
        <f>+D170+D191+D212+D233+D253</f>
        <v>0</v>
      </c>
      <c r="E164" s="2286">
        <f>+E167+E188+E209+E230+E250</f>
        <v>252931</v>
      </c>
      <c r="F164" s="2286">
        <f>+F167+F188+F209+F230+F250</f>
        <v>788517</v>
      </c>
      <c r="G164" s="2286">
        <f t="shared" ref="G164:BB164" si="45">+G167+G188+G209+G230+G250</f>
        <v>1368533.82</v>
      </c>
      <c r="H164" s="2286">
        <f t="shared" si="45"/>
        <v>2407436.8199999998</v>
      </c>
      <c r="I164" s="2286">
        <f t="shared" si="45"/>
        <v>4036135.1</v>
      </c>
      <c r="J164" s="2286">
        <f t="shared" si="45"/>
        <v>6076103.8200000003</v>
      </c>
      <c r="K164" s="2286">
        <f t="shared" si="45"/>
        <v>9385869.8200000003</v>
      </c>
      <c r="L164" s="2286">
        <f t="shared" si="45"/>
        <v>12971852.76</v>
      </c>
      <c r="M164" s="2286">
        <f t="shared" si="45"/>
        <v>14526575.17</v>
      </c>
      <c r="N164" s="2286">
        <f t="shared" si="45"/>
        <v>24389411.91</v>
      </c>
      <c r="O164" s="2286">
        <f t="shared" si="45"/>
        <v>28088742.469999999</v>
      </c>
      <c r="P164" s="2286">
        <f t="shared" si="45"/>
        <v>30455903.82</v>
      </c>
      <c r="Q164" s="2286">
        <f t="shared" si="45"/>
        <v>34141754.18</v>
      </c>
      <c r="R164" s="2286">
        <f t="shared" si="45"/>
        <v>38326488.939999998</v>
      </c>
      <c r="S164" s="2286">
        <f t="shared" si="45"/>
        <v>41604487.869999997</v>
      </c>
      <c r="T164" s="2286">
        <f t="shared" si="45"/>
        <v>45771266.119999997</v>
      </c>
      <c r="U164" s="2286">
        <f t="shared" si="45"/>
        <v>52661081.399999999</v>
      </c>
      <c r="V164" s="2286">
        <f t="shared" si="45"/>
        <v>58458574.049999997</v>
      </c>
      <c r="W164" s="2286">
        <f t="shared" si="45"/>
        <v>63354535.659999996</v>
      </c>
      <c r="X164" s="2286">
        <f t="shared" si="45"/>
        <v>68652105.979999989</v>
      </c>
      <c r="Y164" s="2286">
        <f t="shared" si="45"/>
        <v>75153981.909999996</v>
      </c>
      <c r="Z164" s="2286">
        <f t="shared" si="45"/>
        <v>82227931.370000005</v>
      </c>
      <c r="AA164" s="2286">
        <f t="shared" si="45"/>
        <v>0</v>
      </c>
      <c r="AB164" s="2286">
        <f t="shared" si="45"/>
        <v>0</v>
      </c>
      <c r="AC164" s="2286">
        <f t="shared" si="45"/>
        <v>0</v>
      </c>
      <c r="AD164" s="2286">
        <f t="shared" si="45"/>
        <v>0</v>
      </c>
      <c r="AE164" s="2286">
        <f t="shared" si="45"/>
        <v>0</v>
      </c>
      <c r="AF164" s="2286">
        <f t="shared" si="45"/>
        <v>0</v>
      </c>
      <c r="AG164" s="2286">
        <f>+AG167+AG188+AG209+AG230+AG250</f>
        <v>0</v>
      </c>
      <c r="AH164" s="2286">
        <f t="shared" si="45"/>
        <v>0</v>
      </c>
      <c r="AI164" s="2286">
        <f t="shared" si="45"/>
        <v>0</v>
      </c>
      <c r="AJ164" s="2286">
        <f t="shared" si="45"/>
        <v>0</v>
      </c>
      <c r="AK164" s="2286">
        <f t="shared" si="45"/>
        <v>0</v>
      </c>
      <c r="AL164" s="2286">
        <f t="shared" si="45"/>
        <v>0</v>
      </c>
      <c r="AM164" s="2286">
        <f t="shared" si="45"/>
        <v>0</v>
      </c>
      <c r="AN164" s="2286">
        <f t="shared" si="45"/>
        <v>0</v>
      </c>
      <c r="AO164" s="2286">
        <f t="shared" si="45"/>
        <v>0</v>
      </c>
      <c r="AP164" s="2286">
        <f t="shared" si="45"/>
        <v>0</v>
      </c>
      <c r="AQ164" s="2286">
        <f>+AQ167+AQ188+AQ209+AQ230+AQ250</f>
        <v>0</v>
      </c>
      <c r="AR164" s="2286">
        <f t="shared" ref="AR164:AZ164" si="46">+AR167+AR188+AR209+AR230+AR250</f>
        <v>0</v>
      </c>
      <c r="AS164" s="2286">
        <f t="shared" si="46"/>
        <v>0</v>
      </c>
      <c r="AT164" s="2286">
        <f t="shared" si="46"/>
        <v>0</v>
      </c>
      <c r="AU164" s="2286">
        <f t="shared" si="46"/>
        <v>0</v>
      </c>
      <c r="AV164" s="2286">
        <f t="shared" si="46"/>
        <v>0</v>
      </c>
      <c r="AW164" s="2286">
        <f t="shared" si="46"/>
        <v>0</v>
      </c>
      <c r="AX164" s="2286">
        <f t="shared" si="46"/>
        <v>0</v>
      </c>
      <c r="AY164" s="2286">
        <f t="shared" si="46"/>
        <v>0</v>
      </c>
      <c r="AZ164" s="2286">
        <f t="shared" si="46"/>
        <v>0</v>
      </c>
      <c r="BA164" s="2286">
        <f t="shared" si="45"/>
        <v>0</v>
      </c>
      <c r="BB164" s="2286">
        <f t="shared" si="45"/>
        <v>0</v>
      </c>
      <c r="BC164" s="6131"/>
      <c r="BD164" s="2208"/>
    </row>
    <row r="165" spans="2:57" s="2203" customFormat="1" ht="18.75" customHeight="1">
      <c r="B165" s="2287"/>
      <c r="C165" s="2288" t="s">
        <v>1937</v>
      </c>
      <c r="D165" s="6121"/>
      <c r="E165" s="2289">
        <f>+E168+E189+E210+E231+E251</f>
        <v>252931</v>
      </c>
      <c r="F165" s="2289">
        <f t="shared" ref="F165:BB165" si="47">+F168+F189+F210+F231+F251</f>
        <v>535586</v>
      </c>
      <c r="G165" s="2289">
        <f t="shared" si="47"/>
        <v>580016.82000000007</v>
      </c>
      <c r="H165" s="2289">
        <f t="shared" si="47"/>
        <v>1038902.9999999998</v>
      </c>
      <c r="I165" s="2289">
        <f t="shared" si="47"/>
        <v>1628698.2800000003</v>
      </c>
      <c r="J165" s="2289">
        <f t="shared" si="47"/>
        <v>2039968.7200000002</v>
      </c>
      <c r="K165" s="2289">
        <f t="shared" si="47"/>
        <v>3309766</v>
      </c>
      <c r="L165" s="2289">
        <f t="shared" si="47"/>
        <v>3585982.9399999995</v>
      </c>
      <c r="M165" s="2289">
        <f t="shared" si="47"/>
        <v>1554722.4100000001</v>
      </c>
      <c r="N165" s="2289">
        <f t="shared" si="47"/>
        <v>9862836.7400000002</v>
      </c>
      <c r="O165" s="2289">
        <f t="shared" si="47"/>
        <v>3699330.5599999987</v>
      </c>
      <c r="P165" s="2289">
        <f t="shared" si="47"/>
        <v>2367161.3500000015</v>
      </c>
      <c r="Q165" s="2289">
        <f t="shared" si="47"/>
        <v>3685850.3599999994</v>
      </c>
      <c r="R165" s="2289">
        <f t="shared" si="47"/>
        <v>4184734.7599999979</v>
      </c>
      <c r="S165" s="2289">
        <f t="shared" si="47"/>
        <v>3277998.9299999997</v>
      </c>
      <c r="T165" s="2289">
        <f t="shared" si="47"/>
        <v>4166778.25</v>
      </c>
      <c r="U165" s="2289">
        <f t="shared" si="47"/>
        <v>6889815.2800000012</v>
      </c>
      <c r="V165" s="2289">
        <f t="shared" si="47"/>
        <v>5797492.6499999985</v>
      </c>
      <c r="W165" s="2289">
        <f t="shared" si="47"/>
        <v>4895961.6099999994</v>
      </c>
      <c r="X165" s="2289">
        <f t="shared" si="47"/>
        <v>5297570.3199999928</v>
      </c>
      <c r="Y165" s="2289">
        <f t="shared" si="47"/>
        <v>6501875.9300000072</v>
      </c>
      <c r="Z165" s="2289">
        <f t="shared" si="47"/>
        <v>7073949.4600000083</v>
      </c>
      <c r="AA165" s="2289">
        <f t="shared" si="47"/>
        <v>0</v>
      </c>
      <c r="AB165" s="2289">
        <f t="shared" si="47"/>
        <v>0</v>
      </c>
      <c r="AC165" s="2289">
        <f t="shared" si="47"/>
        <v>0</v>
      </c>
      <c r="AD165" s="2289">
        <f t="shared" si="47"/>
        <v>0</v>
      </c>
      <c r="AE165" s="2289">
        <f t="shared" si="47"/>
        <v>0</v>
      </c>
      <c r="AF165" s="2289">
        <f t="shared" si="47"/>
        <v>0</v>
      </c>
      <c r="AG165" s="2289">
        <f t="shared" si="47"/>
        <v>0</v>
      </c>
      <c r="AH165" s="2289">
        <f t="shared" si="47"/>
        <v>0</v>
      </c>
      <c r="AI165" s="2289">
        <f t="shared" si="47"/>
        <v>0</v>
      </c>
      <c r="AJ165" s="2289">
        <f t="shared" si="47"/>
        <v>0</v>
      </c>
      <c r="AK165" s="2289">
        <f t="shared" si="47"/>
        <v>0</v>
      </c>
      <c r="AL165" s="2289">
        <f t="shared" si="47"/>
        <v>0</v>
      </c>
      <c r="AM165" s="2289">
        <f t="shared" si="47"/>
        <v>0</v>
      </c>
      <c r="AN165" s="2289">
        <f t="shared" si="47"/>
        <v>0</v>
      </c>
      <c r="AO165" s="2289">
        <f t="shared" si="47"/>
        <v>0</v>
      </c>
      <c r="AP165" s="2289">
        <f t="shared" si="47"/>
        <v>0</v>
      </c>
      <c r="AQ165" s="2289">
        <f t="shared" si="47"/>
        <v>0</v>
      </c>
      <c r="AR165" s="2289">
        <f t="shared" si="47"/>
        <v>0</v>
      </c>
      <c r="AS165" s="2289">
        <f t="shared" si="47"/>
        <v>0</v>
      </c>
      <c r="AT165" s="2289">
        <f t="shared" si="47"/>
        <v>0</v>
      </c>
      <c r="AU165" s="2289">
        <f t="shared" si="47"/>
        <v>0</v>
      </c>
      <c r="AV165" s="2289">
        <f t="shared" si="47"/>
        <v>0</v>
      </c>
      <c r="AW165" s="2289">
        <f t="shared" si="47"/>
        <v>0</v>
      </c>
      <c r="AX165" s="2289">
        <f t="shared" si="47"/>
        <v>0</v>
      </c>
      <c r="AY165" s="2289">
        <f t="shared" si="47"/>
        <v>0</v>
      </c>
      <c r="AZ165" s="2289">
        <f t="shared" si="47"/>
        <v>0</v>
      </c>
      <c r="BA165" s="2289">
        <f t="shared" si="47"/>
        <v>0</v>
      </c>
      <c r="BB165" s="2289">
        <f t="shared" si="47"/>
        <v>0</v>
      </c>
      <c r="BC165" s="6130"/>
      <c r="BD165" s="2208"/>
    </row>
    <row r="166" spans="2:57" ht="18.75" customHeight="1">
      <c r="B166" s="2290"/>
      <c r="C166" s="2291"/>
      <c r="D166" s="2292"/>
      <c r="E166" s="2281"/>
      <c r="F166" s="2281"/>
      <c r="G166" s="2281"/>
      <c r="H166" s="2281"/>
      <c r="I166" s="2281"/>
      <c r="J166" s="2281"/>
      <c r="K166" s="2281"/>
      <c r="L166" s="2281"/>
      <c r="M166" s="2281"/>
      <c r="N166" s="2281"/>
      <c r="O166" s="2281"/>
      <c r="P166" s="2281"/>
      <c r="Q166" s="2281"/>
      <c r="R166" s="2281"/>
      <c r="S166" s="2281"/>
      <c r="T166" s="2281"/>
      <c r="U166" s="2281"/>
      <c r="V166" s="2281"/>
      <c r="W166" s="2281"/>
      <c r="X166" s="2281"/>
      <c r="Y166" s="2281"/>
      <c r="Z166" s="2281"/>
      <c r="AA166" s="2281"/>
      <c r="AB166" s="2281"/>
      <c r="AC166" s="2281"/>
      <c r="AD166" s="2281"/>
      <c r="AE166" s="2433"/>
      <c r="AF166" s="2281"/>
      <c r="AG166" s="2281"/>
      <c r="AH166" s="2281"/>
      <c r="AI166" s="2281"/>
      <c r="AJ166" s="2281"/>
      <c r="AK166" s="2281"/>
      <c r="AL166" s="2281"/>
      <c r="AM166" s="2281"/>
      <c r="AN166" s="2281"/>
      <c r="AO166" s="2281"/>
      <c r="AP166" s="2281"/>
      <c r="AQ166" s="2281"/>
      <c r="AR166" s="2281"/>
      <c r="AS166" s="2281"/>
      <c r="AT166" s="2281"/>
      <c r="AU166" s="2281"/>
      <c r="AV166" s="2281"/>
      <c r="AW166" s="2281"/>
      <c r="AX166" s="2281"/>
      <c r="AY166" s="2281"/>
      <c r="AZ166" s="2281"/>
      <c r="BA166" s="2281"/>
      <c r="BB166" s="2281"/>
      <c r="BC166" s="2393"/>
      <c r="BD166" s="2240"/>
    </row>
    <row r="167" spans="2:57" s="2203" customFormat="1">
      <c r="B167" s="2396">
        <v>100</v>
      </c>
      <c r="C167" s="2397" t="s">
        <v>509</v>
      </c>
      <c r="D167" s="2398" t="s">
        <v>1896</v>
      </c>
      <c r="E167" s="2399">
        <f>E184</f>
        <v>252931</v>
      </c>
      <c r="F167" s="2399">
        <f t="shared" ref="F167:BB168" si="48">F184</f>
        <v>788517</v>
      </c>
      <c r="G167" s="2399">
        <f t="shared" si="48"/>
        <v>1368533.82</v>
      </c>
      <c r="H167" s="2399">
        <f t="shared" si="48"/>
        <v>2407436.8199999998</v>
      </c>
      <c r="I167" s="2399">
        <f t="shared" si="48"/>
        <v>4036135.1</v>
      </c>
      <c r="J167" s="2399">
        <f t="shared" si="48"/>
        <v>6076103.8200000003</v>
      </c>
      <c r="K167" s="2399">
        <f t="shared" si="48"/>
        <v>9385869.8200000003</v>
      </c>
      <c r="L167" s="2399">
        <f t="shared" si="48"/>
        <v>12971852.76</v>
      </c>
      <c r="M167" s="2399">
        <f t="shared" si="48"/>
        <v>14526575.17</v>
      </c>
      <c r="N167" s="2399">
        <f t="shared" si="48"/>
        <v>24389411.91</v>
      </c>
      <c r="O167" s="2399">
        <f t="shared" si="48"/>
        <v>28088742.469999999</v>
      </c>
      <c r="P167" s="2399">
        <f t="shared" si="48"/>
        <v>30455903.82</v>
      </c>
      <c r="Q167" s="2399">
        <f t="shared" si="48"/>
        <v>34141754.18</v>
      </c>
      <c r="R167" s="2399">
        <f t="shared" si="48"/>
        <v>38326488.939999998</v>
      </c>
      <c r="S167" s="2399">
        <f t="shared" si="48"/>
        <v>41604487.869999997</v>
      </c>
      <c r="T167" s="2399">
        <f t="shared" si="48"/>
        <v>45771266.119999997</v>
      </c>
      <c r="U167" s="2399">
        <f t="shared" si="48"/>
        <v>52661081.399999999</v>
      </c>
      <c r="V167" s="2399">
        <f t="shared" si="48"/>
        <v>58458574.049999997</v>
      </c>
      <c r="W167" s="2399">
        <f t="shared" si="48"/>
        <v>63354535.659999996</v>
      </c>
      <c r="X167" s="2399">
        <f t="shared" si="48"/>
        <v>68652105.979999989</v>
      </c>
      <c r="Y167" s="2399">
        <f t="shared" si="48"/>
        <v>75153981.909999996</v>
      </c>
      <c r="Z167" s="2399">
        <f t="shared" si="48"/>
        <v>82227931.370000005</v>
      </c>
      <c r="AA167" s="2399">
        <f t="shared" si="48"/>
        <v>0</v>
      </c>
      <c r="AB167" s="2399">
        <f t="shared" si="48"/>
        <v>0</v>
      </c>
      <c r="AC167" s="2399">
        <f t="shared" si="48"/>
        <v>0</v>
      </c>
      <c r="AD167" s="2399">
        <f t="shared" si="48"/>
        <v>0</v>
      </c>
      <c r="AE167" s="2399">
        <f t="shared" si="48"/>
        <v>0</v>
      </c>
      <c r="AF167" s="2399">
        <f t="shared" si="48"/>
        <v>0</v>
      </c>
      <c r="AG167" s="2399">
        <f>AG184</f>
        <v>0</v>
      </c>
      <c r="AH167" s="2399">
        <f t="shared" si="48"/>
        <v>0</v>
      </c>
      <c r="AI167" s="2399">
        <f t="shared" si="48"/>
        <v>0</v>
      </c>
      <c r="AJ167" s="2399">
        <f t="shared" si="48"/>
        <v>0</v>
      </c>
      <c r="AK167" s="2399">
        <f t="shared" si="48"/>
        <v>0</v>
      </c>
      <c r="AL167" s="2399">
        <f t="shared" si="48"/>
        <v>0</v>
      </c>
      <c r="AM167" s="2399">
        <f t="shared" si="48"/>
        <v>0</v>
      </c>
      <c r="AN167" s="2399">
        <f t="shared" si="48"/>
        <v>0</v>
      </c>
      <c r="AO167" s="2399">
        <f t="shared" si="48"/>
        <v>0</v>
      </c>
      <c r="AP167" s="2399">
        <f t="shared" si="48"/>
        <v>0</v>
      </c>
      <c r="AQ167" s="2399">
        <f>AQ184</f>
        <v>0</v>
      </c>
      <c r="AR167" s="2399">
        <f t="shared" ref="AR167:AZ167" si="49">AR184</f>
        <v>0</v>
      </c>
      <c r="AS167" s="2399">
        <f t="shared" si="49"/>
        <v>0</v>
      </c>
      <c r="AT167" s="2399">
        <f t="shared" si="49"/>
        <v>0</v>
      </c>
      <c r="AU167" s="2399">
        <f t="shared" si="49"/>
        <v>0</v>
      </c>
      <c r="AV167" s="2399">
        <f t="shared" si="49"/>
        <v>0</v>
      </c>
      <c r="AW167" s="2399">
        <f t="shared" si="49"/>
        <v>0</v>
      </c>
      <c r="AX167" s="2399">
        <f t="shared" si="49"/>
        <v>0</v>
      </c>
      <c r="AY167" s="2399">
        <f t="shared" si="49"/>
        <v>0</v>
      </c>
      <c r="AZ167" s="2399">
        <f t="shared" si="49"/>
        <v>0</v>
      </c>
      <c r="BA167" s="2399">
        <f t="shared" si="48"/>
        <v>0</v>
      </c>
      <c r="BB167" s="2399">
        <f t="shared" si="48"/>
        <v>0</v>
      </c>
      <c r="BC167" s="2394"/>
      <c r="BD167" s="2208"/>
      <c r="BE167" s="2297"/>
    </row>
    <row r="168" spans="2:57" s="2203" customFormat="1">
      <c r="B168" s="2396"/>
      <c r="C168" s="2397"/>
      <c r="D168" s="2398" t="s">
        <v>1897</v>
      </c>
      <c r="E168" s="2399">
        <f>E185</f>
        <v>252931</v>
      </c>
      <c r="F168" s="2399">
        <f t="shared" si="48"/>
        <v>535586</v>
      </c>
      <c r="G168" s="2399">
        <f t="shared" si="48"/>
        <v>580016.82000000007</v>
      </c>
      <c r="H168" s="2399">
        <f>H185</f>
        <v>1038902.9999999998</v>
      </c>
      <c r="I168" s="2399">
        <f t="shared" si="48"/>
        <v>1628698.2800000003</v>
      </c>
      <c r="J168" s="2399">
        <f t="shared" si="48"/>
        <v>2039968.7200000002</v>
      </c>
      <c r="K168" s="2399">
        <f t="shared" si="48"/>
        <v>3309766</v>
      </c>
      <c r="L168" s="2399">
        <f t="shared" si="48"/>
        <v>3585982.9399999995</v>
      </c>
      <c r="M168" s="2399">
        <f t="shared" si="48"/>
        <v>1554722.4100000001</v>
      </c>
      <c r="N168" s="2399">
        <f>N185</f>
        <v>9862836.7400000002</v>
      </c>
      <c r="O168" s="2399">
        <f>O185</f>
        <v>3699330.5599999987</v>
      </c>
      <c r="P168" s="2399">
        <f t="shared" si="48"/>
        <v>2367161.3500000015</v>
      </c>
      <c r="Q168" s="2399">
        <f t="shared" si="48"/>
        <v>3685850.3599999994</v>
      </c>
      <c r="R168" s="2399">
        <f t="shared" si="48"/>
        <v>4184734.7599999979</v>
      </c>
      <c r="S168" s="2399">
        <f t="shared" si="48"/>
        <v>3277998.9299999997</v>
      </c>
      <c r="T168" s="2399">
        <f t="shared" si="48"/>
        <v>4166778.25</v>
      </c>
      <c r="U168" s="2399">
        <f t="shared" si="48"/>
        <v>6889815.2800000012</v>
      </c>
      <c r="V168" s="2399">
        <f t="shared" si="48"/>
        <v>5797492.6499999985</v>
      </c>
      <c r="W168" s="2399">
        <f t="shared" si="48"/>
        <v>4895961.6099999994</v>
      </c>
      <c r="X168" s="2399">
        <f t="shared" si="48"/>
        <v>5297570.3199999928</v>
      </c>
      <c r="Y168" s="2399">
        <f t="shared" si="48"/>
        <v>6501875.9300000072</v>
      </c>
      <c r="Z168" s="2399">
        <f t="shared" si="48"/>
        <v>7073949.4600000083</v>
      </c>
      <c r="AA168" s="2399">
        <f t="shared" si="48"/>
        <v>0</v>
      </c>
      <c r="AB168" s="2399">
        <f t="shared" si="48"/>
        <v>0</v>
      </c>
      <c r="AC168" s="2399">
        <f t="shared" si="48"/>
        <v>0</v>
      </c>
      <c r="AD168" s="2399">
        <f t="shared" si="48"/>
        <v>0</v>
      </c>
      <c r="AE168" s="2399">
        <f t="shared" si="48"/>
        <v>0</v>
      </c>
      <c r="AF168" s="2399">
        <f t="shared" si="48"/>
        <v>0</v>
      </c>
      <c r="AG168" s="2399">
        <f t="shared" si="48"/>
        <v>0</v>
      </c>
      <c r="AH168" s="2399">
        <f t="shared" si="48"/>
        <v>0</v>
      </c>
      <c r="AI168" s="2399">
        <f t="shared" si="48"/>
        <v>0</v>
      </c>
      <c r="AJ168" s="2399">
        <f t="shared" si="48"/>
        <v>0</v>
      </c>
      <c r="AK168" s="2399">
        <f t="shared" si="48"/>
        <v>0</v>
      </c>
      <c r="AL168" s="2399">
        <f t="shared" si="48"/>
        <v>0</v>
      </c>
      <c r="AM168" s="2399">
        <f t="shared" si="48"/>
        <v>0</v>
      </c>
      <c r="AN168" s="2399">
        <f t="shared" si="48"/>
        <v>0</v>
      </c>
      <c r="AO168" s="2399">
        <f t="shared" si="48"/>
        <v>0</v>
      </c>
      <c r="AP168" s="2399">
        <f t="shared" si="48"/>
        <v>0</v>
      </c>
      <c r="AQ168" s="2399">
        <f t="shared" si="48"/>
        <v>0</v>
      </c>
      <c r="AR168" s="2399">
        <f t="shared" si="48"/>
        <v>0</v>
      </c>
      <c r="AS168" s="2399">
        <f t="shared" si="48"/>
        <v>0</v>
      </c>
      <c r="AT168" s="2399">
        <f t="shared" si="48"/>
        <v>0</v>
      </c>
      <c r="AU168" s="2399">
        <f t="shared" si="48"/>
        <v>0</v>
      </c>
      <c r="AV168" s="2399">
        <f t="shared" si="48"/>
        <v>0</v>
      </c>
      <c r="AW168" s="2399">
        <f t="shared" si="48"/>
        <v>0</v>
      </c>
      <c r="AX168" s="2399">
        <f t="shared" si="48"/>
        <v>0</v>
      </c>
      <c r="AY168" s="2399">
        <f t="shared" si="48"/>
        <v>0</v>
      </c>
      <c r="AZ168" s="2399">
        <f t="shared" si="48"/>
        <v>0</v>
      </c>
      <c r="BA168" s="2399">
        <f t="shared" si="48"/>
        <v>0</v>
      </c>
      <c r="BB168" s="2399">
        <f t="shared" si="48"/>
        <v>0</v>
      </c>
      <c r="BC168" s="2395"/>
      <c r="BD168" s="2208"/>
    </row>
    <row r="169" spans="2:57" ht="15" hidden="1" customHeight="1" outlineLevel="1">
      <c r="B169" s="2298"/>
      <c r="C169" s="2299"/>
      <c r="D169" s="2300"/>
      <c r="E169" s="2293"/>
      <c r="F169" s="2293"/>
      <c r="G169" s="2293"/>
      <c r="H169" s="2293"/>
      <c r="I169" s="2293"/>
      <c r="J169" s="2293"/>
      <c r="K169" s="2293"/>
      <c r="L169" s="2293"/>
      <c r="M169" s="2293"/>
      <c r="N169" s="2293"/>
      <c r="O169" s="2293"/>
      <c r="P169" s="2293"/>
      <c r="Q169" s="2293"/>
      <c r="R169" s="2293"/>
      <c r="S169" s="2293"/>
      <c r="T169" s="2293"/>
      <c r="U169" s="2293"/>
      <c r="V169" s="2293"/>
      <c r="W169" s="2293"/>
      <c r="X169" s="2293"/>
      <c r="Y169" s="2293"/>
      <c r="Z169" s="2293"/>
      <c r="AA169" s="2293"/>
      <c r="AB169" s="2293"/>
      <c r="AC169" s="2293"/>
      <c r="AD169" s="2293"/>
      <c r="AE169" s="2294"/>
      <c r="AF169" s="2295"/>
      <c r="AG169" s="2295"/>
      <c r="AH169" s="2295"/>
      <c r="AI169" s="2295"/>
      <c r="AJ169" s="2295"/>
      <c r="AK169" s="2295"/>
      <c r="AL169" s="2295"/>
      <c r="AM169" s="2295"/>
      <c r="AN169" s="2295"/>
      <c r="AO169" s="2295"/>
      <c r="AP169" s="2295"/>
      <c r="AQ169" s="2295"/>
      <c r="AR169" s="2295"/>
      <c r="AS169" s="2295"/>
      <c r="AT169" s="2295"/>
      <c r="AU169" s="2295"/>
      <c r="AV169" s="2295"/>
      <c r="AW169" s="2295"/>
      <c r="AX169" s="2295"/>
      <c r="AY169" s="2295"/>
      <c r="AZ169" s="2295"/>
      <c r="BA169" s="2295"/>
      <c r="BB169" s="2295"/>
      <c r="BC169" s="2301"/>
      <c r="BD169" s="2240"/>
    </row>
    <row r="170" spans="2:57" ht="18.75" hidden="1" customHeight="1" outlineLevel="1">
      <c r="B170" s="2302">
        <v>100.1</v>
      </c>
      <c r="C170" s="2303">
        <v>0</v>
      </c>
      <c r="D170" s="2304">
        <f>D41</f>
        <v>0</v>
      </c>
      <c r="E170" s="2305"/>
      <c r="F170" s="2305"/>
      <c r="G170" s="2305"/>
      <c r="H170" s="2305"/>
      <c r="I170" s="2305"/>
      <c r="J170" s="2305"/>
      <c r="K170" s="2305"/>
      <c r="L170" s="2305"/>
      <c r="M170" s="2305"/>
      <c r="N170" s="2305"/>
      <c r="O170" s="2305"/>
      <c r="P170" s="2305"/>
      <c r="Q170" s="2305"/>
      <c r="R170" s="2305"/>
      <c r="S170" s="2305"/>
      <c r="T170" s="2305"/>
      <c r="U170" s="2305"/>
      <c r="V170" s="2305"/>
      <c r="W170" s="2305"/>
      <c r="X170" s="2305"/>
      <c r="Y170" s="2305"/>
      <c r="Z170" s="2305"/>
      <c r="AA170" s="2305"/>
      <c r="AB170" s="2305"/>
      <c r="AC170" s="2305"/>
      <c r="AD170" s="2305"/>
      <c r="AE170" s="2306"/>
      <c r="AF170" s="2307"/>
      <c r="AG170" s="2307"/>
      <c r="AH170" s="2307"/>
      <c r="AI170" s="2307"/>
      <c r="AJ170" s="2307"/>
      <c r="AK170" s="2307"/>
      <c r="AL170" s="2307"/>
      <c r="AM170" s="2307"/>
      <c r="AN170" s="2307"/>
      <c r="AO170" s="2307"/>
      <c r="AP170" s="2307"/>
      <c r="AQ170" s="2307"/>
      <c r="AR170" s="2307"/>
      <c r="AS170" s="2307"/>
      <c r="AT170" s="2307"/>
      <c r="AU170" s="2307"/>
      <c r="AV170" s="2307"/>
      <c r="AW170" s="2307"/>
      <c r="AX170" s="2307"/>
      <c r="AY170" s="2307"/>
      <c r="AZ170" s="2307"/>
      <c r="BA170" s="2307"/>
      <c r="BB170" s="2307"/>
      <c r="BC170" s="2308"/>
      <c r="BD170" s="2240"/>
    </row>
    <row r="171" spans="2:57" ht="15" hidden="1" customHeight="1" outlineLevel="2">
      <c r="B171" s="2298"/>
      <c r="C171" s="2309" t="s">
        <v>1898</v>
      </c>
      <c r="D171" s="2300" t="s">
        <v>1899</v>
      </c>
      <c r="E171" s="2293">
        <v>252931</v>
      </c>
      <c r="F171" s="2293">
        <v>788517</v>
      </c>
      <c r="G171" s="2293">
        <v>1368533.82</v>
      </c>
      <c r="H171" s="2293">
        <v>2407436.8199999998</v>
      </c>
      <c r="I171" s="2293">
        <v>4036135.1</v>
      </c>
      <c r="J171" s="2293">
        <v>6076103.8200000003</v>
      </c>
      <c r="K171" s="2293">
        <v>9385869.8200000003</v>
      </c>
      <c r="L171" s="2293">
        <v>12971852.76</v>
      </c>
      <c r="M171" s="2293">
        <v>14526575.17</v>
      </c>
      <c r="N171" s="2293">
        <v>24389411.91</v>
      </c>
      <c r="O171" s="2293">
        <v>28088742.469999999</v>
      </c>
      <c r="P171" s="2293">
        <v>30455903.82</v>
      </c>
      <c r="Q171" s="2293">
        <v>34141754.18</v>
      </c>
      <c r="R171" s="2293">
        <v>38326488.939999998</v>
      </c>
      <c r="S171" s="2293">
        <v>41604487.869999997</v>
      </c>
      <c r="T171" s="2293">
        <v>45771266.119999997</v>
      </c>
      <c r="U171" s="2293">
        <v>52661081.399999999</v>
      </c>
      <c r="V171" s="2293">
        <v>58458574.049999997</v>
      </c>
      <c r="W171" s="2293">
        <v>63354535.659999996</v>
      </c>
      <c r="X171" s="2293">
        <v>68652105.979999989</v>
      </c>
      <c r="Y171" s="2293">
        <v>75153981.909999996</v>
      </c>
      <c r="Z171" s="2293">
        <v>82227931.370000005</v>
      </c>
      <c r="AA171" s="2293"/>
      <c r="AB171" s="2293"/>
      <c r="AC171" s="2293"/>
      <c r="AD171" s="2293"/>
      <c r="AE171" s="2294"/>
      <c r="AF171" s="2295">
        <f t="shared" ref="AF171:AN171" si="50">AE171</f>
        <v>0</v>
      </c>
      <c r="AG171" s="2295">
        <f t="shared" si="50"/>
        <v>0</v>
      </c>
      <c r="AH171" s="2295">
        <f t="shared" si="50"/>
        <v>0</v>
      </c>
      <c r="AI171" s="2295">
        <f t="shared" si="50"/>
        <v>0</v>
      </c>
      <c r="AJ171" s="2295">
        <f t="shared" si="50"/>
        <v>0</v>
      </c>
      <c r="AK171" s="2295">
        <f t="shared" si="50"/>
        <v>0</v>
      </c>
      <c r="AL171" s="2295">
        <f t="shared" si="50"/>
        <v>0</v>
      </c>
      <c r="AM171" s="2295">
        <f t="shared" si="50"/>
        <v>0</v>
      </c>
      <c r="AN171" s="2295">
        <f t="shared" si="50"/>
        <v>0</v>
      </c>
      <c r="AO171" s="2295"/>
      <c r="AP171" s="2295">
        <v>0</v>
      </c>
      <c r="AQ171" s="2295">
        <f t="shared" ref="AQ171:AX171" si="51">AP171</f>
        <v>0</v>
      </c>
      <c r="AR171" s="2295">
        <f t="shared" si="51"/>
        <v>0</v>
      </c>
      <c r="AS171" s="2295">
        <f t="shared" si="51"/>
        <v>0</v>
      </c>
      <c r="AT171" s="2295">
        <f t="shared" si="51"/>
        <v>0</v>
      </c>
      <c r="AU171" s="2295">
        <f t="shared" si="51"/>
        <v>0</v>
      </c>
      <c r="AV171" s="2295">
        <f t="shared" si="51"/>
        <v>0</v>
      </c>
      <c r="AW171" s="2295">
        <f t="shared" si="51"/>
        <v>0</v>
      </c>
      <c r="AX171" s="2295">
        <f t="shared" si="51"/>
        <v>0</v>
      </c>
      <c r="AY171" s="2295"/>
      <c r="AZ171" s="2295">
        <v>0</v>
      </c>
      <c r="BA171" s="2295">
        <v>0</v>
      </c>
      <c r="BB171" s="2295">
        <f>BB59+BB60-BA59-BA60+BB381+BA171</f>
        <v>0</v>
      </c>
      <c r="BC171" s="2310"/>
      <c r="BD171" s="2240"/>
      <c r="BE171" s="2297"/>
    </row>
    <row r="172" spans="2:57" ht="15" hidden="1" customHeight="1" outlineLevel="2">
      <c r="B172" s="2298"/>
      <c r="C172" s="2309" t="s">
        <v>1901</v>
      </c>
      <c r="D172" s="2300" t="s">
        <v>1902</v>
      </c>
      <c r="E172" s="2293">
        <v>0</v>
      </c>
      <c r="F172" s="2293">
        <v>0</v>
      </c>
      <c r="G172" s="2293">
        <v>0</v>
      </c>
      <c r="H172" s="2293">
        <v>0</v>
      </c>
      <c r="I172" s="2293">
        <v>0</v>
      </c>
      <c r="J172" s="2293">
        <v>0</v>
      </c>
      <c r="K172" s="2293">
        <v>0</v>
      </c>
      <c r="L172" s="2293">
        <v>0</v>
      </c>
      <c r="M172" s="2293">
        <v>0</v>
      </c>
      <c r="N172" s="2293">
        <v>0</v>
      </c>
      <c r="O172" s="2293">
        <v>0</v>
      </c>
      <c r="P172" s="2293">
        <v>0</v>
      </c>
      <c r="Q172" s="2293">
        <v>0</v>
      </c>
      <c r="R172" s="2293">
        <v>0</v>
      </c>
      <c r="S172" s="2293">
        <v>0</v>
      </c>
      <c r="T172" s="2293">
        <v>0</v>
      </c>
      <c r="U172" s="2293">
        <v>0</v>
      </c>
      <c r="V172" s="2293">
        <v>0</v>
      </c>
      <c r="W172" s="2293">
        <v>0</v>
      </c>
      <c r="X172" s="2293">
        <v>0</v>
      </c>
      <c r="Y172" s="2293">
        <v>0</v>
      </c>
      <c r="Z172" s="2293">
        <v>0</v>
      </c>
      <c r="AA172" s="2293">
        <v>0</v>
      </c>
      <c r="AB172" s="2293">
        <v>0</v>
      </c>
      <c r="AC172" s="2293">
        <v>0</v>
      </c>
      <c r="AD172" s="2293">
        <v>0</v>
      </c>
      <c r="AE172" s="2294">
        <v>0</v>
      </c>
      <c r="AF172" s="2295">
        <v>0</v>
      </c>
      <c r="AG172" s="2295">
        <v>0</v>
      </c>
      <c r="AH172" s="2295">
        <v>0</v>
      </c>
      <c r="AI172" s="2295">
        <v>0</v>
      </c>
      <c r="AJ172" s="2295">
        <v>0</v>
      </c>
      <c r="AK172" s="2295">
        <v>0</v>
      </c>
      <c r="AL172" s="2295">
        <v>0</v>
      </c>
      <c r="AM172" s="2295">
        <v>0</v>
      </c>
      <c r="AN172" s="2295">
        <v>0</v>
      </c>
      <c r="AO172" s="2295">
        <v>0</v>
      </c>
      <c r="AP172" s="2295">
        <v>0</v>
      </c>
      <c r="AQ172" s="2295">
        <v>0</v>
      </c>
      <c r="AR172" s="2295">
        <v>0</v>
      </c>
      <c r="AS172" s="2295">
        <v>0</v>
      </c>
      <c r="AT172" s="2295">
        <v>0</v>
      </c>
      <c r="AU172" s="2295">
        <v>0</v>
      </c>
      <c r="AV172" s="2295">
        <v>0</v>
      </c>
      <c r="AW172" s="2295">
        <v>0</v>
      </c>
      <c r="AX172" s="2295">
        <v>0</v>
      </c>
      <c r="AY172" s="2295">
        <v>0</v>
      </c>
      <c r="AZ172" s="2295">
        <v>0</v>
      </c>
      <c r="BA172" s="2295">
        <v>0</v>
      </c>
      <c r="BB172" s="2295">
        <v>0</v>
      </c>
      <c r="BC172" s="2310"/>
      <c r="BD172" s="2240"/>
    </row>
    <row r="173" spans="2:57" ht="15" hidden="1" customHeight="1" outlineLevel="2">
      <c r="B173" s="2298"/>
      <c r="C173" s="2309" t="s">
        <v>1903</v>
      </c>
      <c r="D173" s="2300" t="s">
        <v>1904</v>
      </c>
      <c r="E173" s="2293">
        <v>0</v>
      </c>
      <c r="F173" s="2293">
        <v>0</v>
      </c>
      <c r="G173" s="2293">
        <v>0</v>
      </c>
      <c r="H173" s="2293">
        <v>0</v>
      </c>
      <c r="I173" s="2293">
        <v>0</v>
      </c>
      <c r="J173" s="2293">
        <v>0</v>
      </c>
      <c r="K173" s="2293">
        <v>0</v>
      </c>
      <c r="L173" s="2293">
        <v>0</v>
      </c>
      <c r="M173" s="2293">
        <v>0</v>
      </c>
      <c r="N173" s="2293">
        <v>0</v>
      </c>
      <c r="O173" s="2293">
        <v>0</v>
      </c>
      <c r="P173" s="2293">
        <v>0</v>
      </c>
      <c r="Q173" s="2293">
        <v>0</v>
      </c>
      <c r="R173" s="2293">
        <v>0</v>
      </c>
      <c r="S173" s="2293">
        <v>0</v>
      </c>
      <c r="T173" s="2293">
        <v>0</v>
      </c>
      <c r="U173" s="2293">
        <v>0</v>
      </c>
      <c r="V173" s="2293">
        <v>0</v>
      </c>
      <c r="W173" s="2293">
        <v>0</v>
      </c>
      <c r="X173" s="2293">
        <v>0</v>
      </c>
      <c r="Y173" s="2293">
        <v>0</v>
      </c>
      <c r="Z173" s="2293">
        <v>0</v>
      </c>
      <c r="AA173" s="2293">
        <v>0</v>
      </c>
      <c r="AB173" s="2293">
        <v>0</v>
      </c>
      <c r="AC173" s="2293">
        <v>0</v>
      </c>
      <c r="AD173" s="2293">
        <v>0</v>
      </c>
      <c r="AE173" s="2294">
        <v>0</v>
      </c>
      <c r="AF173" s="2295">
        <v>0</v>
      </c>
      <c r="AG173" s="2295">
        <v>0</v>
      </c>
      <c r="AH173" s="2295">
        <v>0</v>
      </c>
      <c r="AI173" s="2295">
        <v>0</v>
      </c>
      <c r="AJ173" s="2295">
        <v>0</v>
      </c>
      <c r="AK173" s="2295">
        <v>0</v>
      </c>
      <c r="AL173" s="2295">
        <v>0</v>
      </c>
      <c r="AM173" s="2295">
        <v>0</v>
      </c>
      <c r="AN173" s="2295">
        <v>0</v>
      </c>
      <c r="AO173" s="2295">
        <v>0</v>
      </c>
      <c r="AP173" s="2295">
        <v>0</v>
      </c>
      <c r="AQ173" s="2295">
        <v>0</v>
      </c>
      <c r="AR173" s="2295">
        <v>0</v>
      </c>
      <c r="AS173" s="2295">
        <v>0</v>
      </c>
      <c r="AT173" s="2295">
        <v>0</v>
      </c>
      <c r="AU173" s="2295">
        <v>0</v>
      </c>
      <c r="AV173" s="2295">
        <v>0</v>
      </c>
      <c r="AW173" s="2295">
        <v>0</v>
      </c>
      <c r="AX173" s="2295">
        <v>0</v>
      </c>
      <c r="AY173" s="2295">
        <v>0</v>
      </c>
      <c r="AZ173" s="2295">
        <v>0</v>
      </c>
      <c r="BA173" s="2295">
        <v>0</v>
      </c>
      <c r="BB173" s="2295">
        <v>0</v>
      </c>
      <c r="BC173" s="2310"/>
      <c r="BD173" s="2240"/>
    </row>
    <row r="174" spans="2:57" s="2203" customFormat="1" ht="15" hidden="1" customHeight="1" outlineLevel="2">
      <c r="B174" s="2311"/>
      <c r="C174" s="2312" t="s">
        <v>1905</v>
      </c>
      <c r="D174" s="2313" t="s">
        <v>1906</v>
      </c>
      <c r="E174" s="2314">
        <f>E171+E172+E173</f>
        <v>252931</v>
      </c>
      <c r="F174" s="2314">
        <f t="shared" ref="F174:Z174" si="52">F171+F172+F173</f>
        <v>788517</v>
      </c>
      <c r="G174" s="2314">
        <f>G170+G171+G172+G173</f>
        <v>1368533.82</v>
      </c>
      <c r="H174" s="2314">
        <f t="shared" si="52"/>
        <v>2407436.8199999998</v>
      </c>
      <c r="I174" s="2314">
        <f t="shared" si="52"/>
        <v>4036135.1</v>
      </c>
      <c r="J174" s="2314">
        <f t="shared" si="52"/>
        <v>6076103.8200000003</v>
      </c>
      <c r="K174" s="2314">
        <f t="shared" si="52"/>
        <v>9385869.8200000003</v>
      </c>
      <c r="L174" s="2314">
        <f t="shared" si="52"/>
        <v>12971852.76</v>
      </c>
      <c r="M174" s="2314">
        <f t="shared" si="52"/>
        <v>14526575.17</v>
      </c>
      <c r="N174" s="2314">
        <f t="shared" si="52"/>
        <v>24389411.91</v>
      </c>
      <c r="O174" s="2314">
        <f t="shared" si="52"/>
        <v>28088742.469999999</v>
      </c>
      <c r="P174" s="2314">
        <f t="shared" si="52"/>
        <v>30455903.82</v>
      </c>
      <c r="Q174" s="2314">
        <f t="shared" si="52"/>
        <v>34141754.18</v>
      </c>
      <c r="R174" s="2314">
        <f t="shared" si="52"/>
        <v>38326488.939999998</v>
      </c>
      <c r="S174" s="2314">
        <f t="shared" si="52"/>
        <v>41604487.869999997</v>
      </c>
      <c r="T174" s="2314">
        <f t="shared" si="52"/>
        <v>45771266.119999997</v>
      </c>
      <c r="U174" s="2314">
        <f t="shared" si="52"/>
        <v>52661081.399999999</v>
      </c>
      <c r="V174" s="2314">
        <f t="shared" si="52"/>
        <v>58458574.049999997</v>
      </c>
      <c r="W174" s="2314">
        <f t="shared" si="52"/>
        <v>63354535.659999996</v>
      </c>
      <c r="X174" s="2314">
        <f t="shared" si="52"/>
        <v>68652105.979999989</v>
      </c>
      <c r="Y174" s="2314">
        <f t="shared" si="52"/>
        <v>75153981.909999996</v>
      </c>
      <c r="Z174" s="2314">
        <f t="shared" si="52"/>
        <v>82227931.370000005</v>
      </c>
      <c r="AA174" s="2314">
        <f>AA171+AA172+AA173</f>
        <v>0</v>
      </c>
      <c r="AB174" s="2314">
        <f>AB171+AB172+AB173</f>
        <v>0</v>
      </c>
      <c r="AC174" s="2314">
        <f t="shared" ref="AC174:BB174" si="53">AC171+AC172+AC173</f>
        <v>0</v>
      </c>
      <c r="AD174" s="2314">
        <f t="shared" si="53"/>
        <v>0</v>
      </c>
      <c r="AE174" s="2314">
        <f t="shared" si="53"/>
        <v>0</v>
      </c>
      <c r="AF174" s="2315">
        <f>AF171+AF172+AF173</f>
        <v>0</v>
      </c>
      <c r="AG174" s="2315">
        <f t="shared" si="53"/>
        <v>0</v>
      </c>
      <c r="AH174" s="2315">
        <f t="shared" si="53"/>
        <v>0</v>
      </c>
      <c r="AI174" s="2315">
        <f t="shared" si="53"/>
        <v>0</v>
      </c>
      <c r="AJ174" s="2315">
        <f t="shared" si="53"/>
        <v>0</v>
      </c>
      <c r="AK174" s="2315">
        <f t="shared" si="53"/>
        <v>0</v>
      </c>
      <c r="AL174" s="2315">
        <f t="shared" si="53"/>
        <v>0</v>
      </c>
      <c r="AM174" s="2315">
        <f t="shared" si="53"/>
        <v>0</v>
      </c>
      <c r="AN174" s="2315">
        <f t="shared" si="53"/>
        <v>0</v>
      </c>
      <c r="AO174" s="2315">
        <f t="shared" si="53"/>
        <v>0</v>
      </c>
      <c r="AP174" s="2315">
        <f t="shared" si="53"/>
        <v>0</v>
      </c>
      <c r="AQ174" s="2315">
        <f t="shared" si="53"/>
        <v>0</v>
      </c>
      <c r="AR174" s="2315">
        <f t="shared" si="53"/>
        <v>0</v>
      </c>
      <c r="AS174" s="2315">
        <f t="shared" si="53"/>
        <v>0</v>
      </c>
      <c r="AT174" s="2315">
        <f t="shared" si="53"/>
        <v>0</v>
      </c>
      <c r="AU174" s="2315">
        <f t="shared" si="53"/>
        <v>0</v>
      </c>
      <c r="AV174" s="2315">
        <f t="shared" si="53"/>
        <v>0</v>
      </c>
      <c r="AW174" s="2315">
        <f t="shared" si="53"/>
        <v>0</v>
      </c>
      <c r="AX174" s="2315">
        <f t="shared" si="53"/>
        <v>0</v>
      </c>
      <c r="AY174" s="2315">
        <f t="shared" si="53"/>
        <v>0</v>
      </c>
      <c r="AZ174" s="2315">
        <f t="shared" si="53"/>
        <v>0</v>
      </c>
      <c r="BA174" s="2315">
        <f t="shared" si="53"/>
        <v>0</v>
      </c>
      <c r="BB174" s="2315">
        <f t="shared" si="53"/>
        <v>0</v>
      </c>
      <c r="BC174" s="2308"/>
      <c r="BD174" s="2208"/>
    </row>
    <row r="175" spans="2:57" s="2203" customFormat="1" ht="15" hidden="1" customHeight="1" outlineLevel="2">
      <c r="B175" s="2311"/>
      <c r="C175" s="2316" t="s">
        <v>1907</v>
      </c>
      <c r="D175" s="2313" t="s">
        <v>1908</v>
      </c>
      <c r="E175" s="2314">
        <f>E174*0</f>
        <v>0</v>
      </c>
      <c r="F175" s="2314">
        <f t="shared" ref="F175:BB175" si="54">F174*0</f>
        <v>0</v>
      </c>
      <c r="G175" s="2314">
        <f t="shared" si="54"/>
        <v>0</v>
      </c>
      <c r="H175" s="2314">
        <f t="shared" si="54"/>
        <v>0</v>
      </c>
      <c r="I175" s="2314">
        <f t="shared" si="54"/>
        <v>0</v>
      </c>
      <c r="J175" s="2314">
        <f t="shared" si="54"/>
        <v>0</v>
      </c>
      <c r="K175" s="2314">
        <f t="shared" si="54"/>
        <v>0</v>
      </c>
      <c r="L175" s="2314">
        <f t="shared" si="54"/>
        <v>0</v>
      </c>
      <c r="M175" s="2314">
        <f t="shared" si="54"/>
        <v>0</v>
      </c>
      <c r="N175" s="2314">
        <f t="shared" si="54"/>
        <v>0</v>
      </c>
      <c r="O175" s="2314">
        <f t="shared" si="54"/>
        <v>0</v>
      </c>
      <c r="P175" s="2314">
        <f t="shared" si="54"/>
        <v>0</v>
      </c>
      <c r="Q175" s="2314">
        <f t="shared" si="54"/>
        <v>0</v>
      </c>
      <c r="R175" s="2314">
        <f t="shared" si="54"/>
        <v>0</v>
      </c>
      <c r="S175" s="2314">
        <f t="shared" si="54"/>
        <v>0</v>
      </c>
      <c r="T175" s="2314">
        <f t="shared" si="54"/>
        <v>0</v>
      </c>
      <c r="U175" s="2314">
        <f t="shared" si="54"/>
        <v>0</v>
      </c>
      <c r="V175" s="2314">
        <f t="shared" si="54"/>
        <v>0</v>
      </c>
      <c r="W175" s="2314">
        <f t="shared" si="54"/>
        <v>0</v>
      </c>
      <c r="X175" s="2314">
        <f t="shared" si="54"/>
        <v>0</v>
      </c>
      <c r="Y175" s="2314">
        <f t="shared" si="54"/>
        <v>0</v>
      </c>
      <c r="Z175" s="2314">
        <f t="shared" si="54"/>
        <v>0</v>
      </c>
      <c r="AA175" s="2314">
        <f t="shared" si="54"/>
        <v>0</v>
      </c>
      <c r="AB175" s="2314">
        <f t="shared" si="54"/>
        <v>0</v>
      </c>
      <c r="AC175" s="2314">
        <f t="shared" si="54"/>
        <v>0</v>
      </c>
      <c r="AD175" s="2314">
        <f t="shared" si="54"/>
        <v>0</v>
      </c>
      <c r="AE175" s="2314">
        <f t="shared" si="54"/>
        <v>0</v>
      </c>
      <c r="AF175" s="2314">
        <f t="shared" si="54"/>
        <v>0</v>
      </c>
      <c r="AG175" s="2314">
        <f t="shared" si="54"/>
        <v>0</v>
      </c>
      <c r="AH175" s="2314">
        <f t="shared" si="54"/>
        <v>0</v>
      </c>
      <c r="AI175" s="2314">
        <f t="shared" si="54"/>
        <v>0</v>
      </c>
      <c r="AJ175" s="2314">
        <f t="shared" si="54"/>
        <v>0</v>
      </c>
      <c r="AK175" s="2314">
        <f t="shared" si="54"/>
        <v>0</v>
      </c>
      <c r="AL175" s="2314">
        <f t="shared" si="54"/>
        <v>0</v>
      </c>
      <c r="AM175" s="2314">
        <f t="shared" si="54"/>
        <v>0</v>
      </c>
      <c r="AN175" s="2314">
        <f t="shared" si="54"/>
        <v>0</v>
      </c>
      <c r="AO175" s="2314">
        <f t="shared" si="54"/>
        <v>0</v>
      </c>
      <c r="AP175" s="2314">
        <f t="shared" si="54"/>
        <v>0</v>
      </c>
      <c r="AQ175" s="2314">
        <f t="shared" si="54"/>
        <v>0</v>
      </c>
      <c r="AR175" s="2314">
        <f t="shared" si="54"/>
        <v>0</v>
      </c>
      <c r="AS175" s="2314">
        <f t="shared" si="54"/>
        <v>0</v>
      </c>
      <c r="AT175" s="2314">
        <f t="shared" si="54"/>
        <v>0</v>
      </c>
      <c r="AU175" s="2314">
        <f t="shared" si="54"/>
        <v>0</v>
      </c>
      <c r="AV175" s="2314">
        <f t="shared" si="54"/>
        <v>0</v>
      </c>
      <c r="AW175" s="2314">
        <f t="shared" si="54"/>
        <v>0</v>
      </c>
      <c r="AX175" s="2314">
        <f t="shared" si="54"/>
        <v>0</v>
      </c>
      <c r="AY175" s="2314">
        <f t="shared" si="54"/>
        <v>0</v>
      </c>
      <c r="AZ175" s="2314">
        <f t="shared" si="54"/>
        <v>0</v>
      </c>
      <c r="BA175" s="2314">
        <f t="shared" si="54"/>
        <v>0</v>
      </c>
      <c r="BB175" s="2314">
        <f t="shared" si="54"/>
        <v>0</v>
      </c>
      <c r="BC175" s="2308"/>
      <c r="BD175" s="2208"/>
    </row>
    <row r="176" spans="2:57" s="2226" customFormat="1" ht="15" hidden="1" customHeight="1" outlineLevel="2">
      <c r="B176" s="2298"/>
      <c r="C176" s="2317" t="s">
        <v>1579</v>
      </c>
      <c r="D176" s="2300" t="s">
        <v>1909</v>
      </c>
      <c r="E176" s="2293">
        <v>0</v>
      </c>
      <c r="F176" s="2293">
        <v>0</v>
      </c>
      <c r="G176" s="2293">
        <v>0</v>
      </c>
      <c r="H176" s="2293">
        <v>0</v>
      </c>
      <c r="I176" s="2293">
        <v>0</v>
      </c>
      <c r="J176" s="2293">
        <v>0</v>
      </c>
      <c r="K176" s="2293">
        <v>0</v>
      </c>
      <c r="L176" s="2293">
        <v>0</v>
      </c>
      <c r="M176" s="2293">
        <v>0</v>
      </c>
      <c r="N176" s="2293">
        <v>0</v>
      </c>
      <c r="O176" s="2293"/>
      <c r="P176" s="2293"/>
      <c r="Q176" s="2293"/>
      <c r="R176" s="2293"/>
      <c r="S176" s="2293"/>
      <c r="T176" s="2293"/>
      <c r="U176" s="2293"/>
      <c r="V176" s="2293"/>
      <c r="W176" s="2293"/>
      <c r="X176" s="2293"/>
      <c r="Y176" s="2293"/>
      <c r="Z176" s="2293"/>
      <c r="AA176" s="2293"/>
      <c r="AB176" s="2293"/>
      <c r="AC176" s="2293"/>
      <c r="AD176" s="2293"/>
      <c r="AE176" s="2293"/>
      <c r="AF176" s="2293"/>
      <c r="AG176" s="2293"/>
      <c r="AH176" s="2293"/>
      <c r="AI176" s="2293"/>
      <c r="AJ176" s="2293"/>
      <c r="AK176" s="2293"/>
      <c r="AL176" s="2293"/>
      <c r="AM176" s="2293"/>
      <c r="AN176" s="2293"/>
      <c r="AO176" s="2293"/>
      <c r="AP176" s="2293">
        <v>0</v>
      </c>
      <c r="AQ176" s="2293"/>
      <c r="AR176" s="2293"/>
      <c r="AS176" s="2293"/>
      <c r="AT176" s="2293"/>
      <c r="AU176" s="2293"/>
      <c r="AV176" s="2293"/>
      <c r="AW176" s="2293"/>
      <c r="AX176" s="2293"/>
      <c r="AY176" s="2293"/>
      <c r="AZ176" s="2293">
        <v>0</v>
      </c>
      <c r="BA176" s="2293">
        <v>0</v>
      </c>
      <c r="BB176" s="2293">
        <v>0</v>
      </c>
      <c r="BC176" s="2310"/>
      <c r="BD176" s="2318"/>
    </row>
    <row r="177" spans="2:56" s="2203" customFormat="1" ht="15" hidden="1" customHeight="1" outlineLevel="2">
      <c r="B177" s="2311"/>
      <c r="C177" s="2316" t="s">
        <v>1910</v>
      </c>
      <c r="D177" s="2313" t="s">
        <v>1911</v>
      </c>
      <c r="E177" s="2314">
        <f>E174+E175+E176</f>
        <v>252931</v>
      </c>
      <c r="F177" s="2314">
        <f t="shared" ref="F177:Z177" si="55">F174+F175+F176</f>
        <v>788517</v>
      </c>
      <c r="G177" s="2314">
        <f>G174+G175+G176</f>
        <v>1368533.82</v>
      </c>
      <c r="H177" s="2314">
        <f>H174+H175+H176</f>
        <v>2407436.8199999998</v>
      </c>
      <c r="I177" s="2314">
        <f t="shared" si="55"/>
        <v>4036135.1</v>
      </c>
      <c r="J177" s="2314">
        <f t="shared" si="55"/>
        <v>6076103.8200000003</v>
      </c>
      <c r="K177" s="2314">
        <f t="shared" si="55"/>
        <v>9385869.8200000003</v>
      </c>
      <c r="L177" s="2314">
        <f t="shared" si="55"/>
        <v>12971852.76</v>
      </c>
      <c r="M177" s="2314">
        <f t="shared" si="55"/>
        <v>14526575.17</v>
      </c>
      <c r="N177" s="2314">
        <f t="shared" si="55"/>
        <v>24389411.91</v>
      </c>
      <c r="O177" s="2314">
        <f t="shared" si="55"/>
        <v>28088742.469999999</v>
      </c>
      <c r="P177" s="2314">
        <f t="shared" si="55"/>
        <v>30455903.82</v>
      </c>
      <c r="Q177" s="2314">
        <f t="shared" si="55"/>
        <v>34141754.18</v>
      </c>
      <c r="R177" s="2314">
        <f t="shared" si="55"/>
        <v>38326488.939999998</v>
      </c>
      <c r="S177" s="2314">
        <f t="shared" si="55"/>
        <v>41604487.869999997</v>
      </c>
      <c r="T177" s="2314">
        <f t="shared" si="55"/>
        <v>45771266.119999997</v>
      </c>
      <c r="U177" s="2314">
        <f t="shared" si="55"/>
        <v>52661081.399999999</v>
      </c>
      <c r="V177" s="2314">
        <f t="shared" si="55"/>
        <v>58458574.049999997</v>
      </c>
      <c r="W177" s="2314">
        <f t="shared" si="55"/>
        <v>63354535.659999996</v>
      </c>
      <c r="X177" s="2314">
        <f t="shared" si="55"/>
        <v>68652105.979999989</v>
      </c>
      <c r="Y177" s="2314">
        <f t="shared" si="55"/>
        <v>75153981.909999996</v>
      </c>
      <c r="Z177" s="2314">
        <f t="shared" si="55"/>
        <v>82227931.370000005</v>
      </c>
      <c r="AA177" s="2314">
        <f>AA174+AA175+AA176</f>
        <v>0</v>
      </c>
      <c r="AB177" s="2314">
        <f>AB174+AB175+AB176</f>
        <v>0</v>
      </c>
      <c r="AC177" s="2314">
        <f t="shared" ref="AC177:BB177" si="56">AC174+AC175+AC176</f>
        <v>0</v>
      </c>
      <c r="AD177" s="2314">
        <f t="shared" si="56"/>
        <v>0</v>
      </c>
      <c r="AE177" s="2314">
        <f t="shared" si="56"/>
        <v>0</v>
      </c>
      <c r="AF177" s="2315">
        <f t="shared" si="56"/>
        <v>0</v>
      </c>
      <c r="AG177" s="2315">
        <f t="shared" si="56"/>
        <v>0</v>
      </c>
      <c r="AH177" s="2315">
        <f t="shared" si="56"/>
        <v>0</v>
      </c>
      <c r="AI177" s="2315">
        <f t="shared" si="56"/>
        <v>0</v>
      </c>
      <c r="AJ177" s="2315">
        <f t="shared" si="56"/>
        <v>0</v>
      </c>
      <c r="AK177" s="2315">
        <f t="shared" si="56"/>
        <v>0</v>
      </c>
      <c r="AL177" s="2315">
        <f t="shared" si="56"/>
        <v>0</v>
      </c>
      <c r="AM177" s="2315">
        <f t="shared" si="56"/>
        <v>0</v>
      </c>
      <c r="AN177" s="2315">
        <f t="shared" si="56"/>
        <v>0</v>
      </c>
      <c r="AO177" s="2315">
        <f t="shared" si="56"/>
        <v>0</v>
      </c>
      <c r="AP177" s="2315">
        <f t="shared" si="56"/>
        <v>0</v>
      </c>
      <c r="AQ177" s="2315">
        <f t="shared" si="56"/>
        <v>0</v>
      </c>
      <c r="AR177" s="2315">
        <f t="shared" si="56"/>
        <v>0</v>
      </c>
      <c r="AS177" s="2315">
        <f t="shared" si="56"/>
        <v>0</v>
      </c>
      <c r="AT177" s="2315">
        <f t="shared" si="56"/>
        <v>0</v>
      </c>
      <c r="AU177" s="2315">
        <f t="shared" si="56"/>
        <v>0</v>
      </c>
      <c r="AV177" s="2315">
        <f t="shared" si="56"/>
        <v>0</v>
      </c>
      <c r="AW177" s="2315">
        <f t="shared" si="56"/>
        <v>0</v>
      </c>
      <c r="AX177" s="2315">
        <f t="shared" si="56"/>
        <v>0</v>
      </c>
      <c r="AY177" s="2315">
        <f t="shared" si="56"/>
        <v>0</v>
      </c>
      <c r="AZ177" s="2315">
        <f t="shared" si="56"/>
        <v>0</v>
      </c>
      <c r="BA177" s="2315">
        <f t="shared" si="56"/>
        <v>0</v>
      </c>
      <c r="BB177" s="2315">
        <f t="shared" si="56"/>
        <v>0</v>
      </c>
      <c r="BC177" s="2308"/>
      <c r="BD177" s="2208"/>
    </row>
    <row r="178" spans="2:56" s="2203" customFormat="1" ht="15" hidden="1" customHeight="1" outlineLevel="2">
      <c r="B178" s="2311"/>
      <c r="C178" s="2316" t="s">
        <v>1938</v>
      </c>
      <c r="D178" s="2313" t="s">
        <v>1913</v>
      </c>
      <c r="E178" s="2314">
        <f>E174*0</f>
        <v>0</v>
      </c>
      <c r="F178" s="2314">
        <v>0</v>
      </c>
      <c r="G178" s="2314">
        <v>0</v>
      </c>
      <c r="H178" s="2314">
        <v>0</v>
      </c>
      <c r="I178" s="2314">
        <v>0</v>
      </c>
      <c r="J178" s="2314">
        <v>0</v>
      </c>
      <c r="K178" s="2314">
        <v>0</v>
      </c>
      <c r="L178" s="2314">
        <v>0</v>
      </c>
      <c r="M178" s="2314">
        <v>0</v>
      </c>
      <c r="N178" s="2314">
        <v>0</v>
      </c>
      <c r="O178" s="2314">
        <v>0</v>
      </c>
      <c r="P178" s="2314">
        <v>0</v>
      </c>
      <c r="Q178" s="2314">
        <v>0</v>
      </c>
      <c r="R178" s="2314">
        <v>0</v>
      </c>
      <c r="S178" s="2314">
        <v>0</v>
      </c>
      <c r="T178" s="2314">
        <v>0</v>
      </c>
      <c r="U178" s="2314">
        <v>0</v>
      </c>
      <c r="V178" s="2314">
        <v>0</v>
      </c>
      <c r="W178" s="2314">
        <v>0</v>
      </c>
      <c r="X178" s="2314">
        <v>0</v>
      </c>
      <c r="Y178" s="2314">
        <v>0</v>
      </c>
      <c r="Z178" s="2314">
        <v>0</v>
      </c>
      <c r="AA178" s="2314">
        <v>0</v>
      </c>
      <c r="AB178" s="2314">
        <v>0</v>
      </c>
      <c r="AC178" s="2314">
        <v>0</v>
      </c>
      <c r="AD178" s="2314">
        <v>0</v>
      </c>
      <c r="AE178" s="2314">
        <v>0</v>
      </c>
      <c r="AF178" s="2314">
        <v>0</v>
      </c>
      <c r="AG178" s="2314">
        <v>0</v>
      </c>
      <c r="AH178" s="2314">
        <v>0</v>
      </c>
      <c r="AI178" s="2314">
        <v>0</v>
      </c>
      <c r="AJ178" s="2314">
        <v>0</v>
      </c>
      <c r="AK178" s="2314">
        <v>0</v>
      </c>
      <c r="AL178" s="2314">
        <v>0</v>
      </c>
      <c r="AM178" s="2314">
        <v>0</v>
      </c>
      <c r="AN178" s="2314">
        <v>0</v>
      </c>
      <c r="AO178" s="2314">
        <v>0</v>
      </c>
      <c r="AP178" s="2314">
        <v>0</v>
      </c>
      <c r="AQ178" s="2314">
        <v>0</v>
      </c>
      <c r="AR178" s="2314">
        <v>0</v>
      </c>
      <c r="AS178" s="2314">
        <v>0</v>
      </c>
      <c r="AT178" s="2314">
        <v>0</v>
      </c>
      <c r="AU178" s="2314">
        <v>0</v>
      </c>
      <c r="AV178" s="2314">
        <v>0</v>
      </c>
      <c r="AW178" s="2314">
        <v>0</v>
      </c>
      <c r="AX178" s="2314">
        <v>0</v>
      </c>
      <c r="AY178" s="2314">
        <v>0</v>
      </c>
      <c r="AZ178" s="2314">
        <v>0</v>
      </c>
      <c r="BA178" s="2314">
        <v>0</v>
      </c>
      <c r="BB178" s="2314">
        <v>0</v>
      </c>
      <c r="BC178" s="2308"/>
      <c r="BD178" s="2208"/>
    </row>
    <row r="179" spans="2:56" ht="15" hidden="1" customHeight="1" outlineLevel="2">
      <c r="B179" s="2298"/>
      <c r="C179" s="2317" t="s">
        <v>1914</v>
      </c>
      <c r="D179" s="2300" t="s">
        <v>1915</v>
      </c>
      <c r="E179" s="2293">
        <v>0</v>
      </c>
      <c r="F179" s="2293">
        <v>0</v>
      </c>
      <c r="G179" s="2293">
        <v>0</v>
      </c>
      <c r="H179" s="2293">
        <v>0</v>
      </c>
      <c r="I179" s="2293">
        <v>0</v>
      </c>
      <c r="J179" s="2293">
        <v>0</v>
      </c>
      <c r="K179" s="2293">
        <v>0</v>
      </c>
      <c r="L179" s="2293">
        <v>0</v>
      </c>
      <c r="M179" s="2293">
        <v>0</v>
      </c>
      <c r="N179" s="2293">
        <v>0</v>
      </c>
      <c r="O179" s="2293">
        <v>0</v>
      </c>
      <c r="P179" s="2293">
        <v>0</v>
      </c>
      <c r="Q179" s="2293">
        <v>0</v>
      </c>
      <c r="R179" s="2293">
        <v>0</v>
      </c>
      <c r="S179" s="2293">
        <v>0</v>
      </c>
      <c r="T179" s="2293">
        <v>0</v>
      </c>
      <c r="U179" s="2293">
        <v>0</v>
      </c>
      <c r="V179" s="2293">
        <v>0</v>
      </c>
      <c r="W179" s="2293">
        <v>0</v>
      </c>
      <c r="X179" s="2293">
        <v>0</v>
      </c>
      <c r="Y179" s="2293">
        <v>0</v>
      </c>
      <c r="Z179" s="2293">
        <v>0</v>
      </c>
      <c r="AA179" s="2293">
        <v>0</v>
      </c>
      <c r="AB179" s="2293">
        <v>0</v>
      </c>
      <c r="AC179" s="2293">
        <v>0</v>
      </c>
      <c r="AD179" s="2293">
        <v>0</v>
      </c>
      <c r="AE179" s="2293">
        <v>0</v>
      </c>
      <c r="AF179" s="2293">
        <v>0</v>
      </c>
      <c r="AG179" s="2293">
        <v>0</v>
      </c>
      <c r="AH179" s="2293">
        <v>0</v>
      </c>
      <c r="AI179" s="2293">
        <v>0</v>
      </c>
      <c r="AJ179" s="2293">
        <v>0</v>
      </c>
      <c r="AK179" s="2293">
        <v>0</v>
      </c>
      <c r="AL179" s="2293">
        <v>0</v>
      </c>
      <c r="AM179" s="2293">
        <v>0</v>
      </c>
      <c r="AN179" s="2293">
        <v>0</v>
      </c>
      <c r="AO179" s="2293">
        <v>0</v>
      </c>
      <c r="AP179" s="2293">
        <v>0</v>
      </c>
      <c r="AQ179" s="2293">
        <v>0</v>
      </c>
      <c r="AR179" s="2293">
        <v>0</v>
      </c>
      <c r="AS179" s="2293">
        <v>0</v>
      </c>
      <c r="AT179" s="2293">
        <v>0</v>
      </c>
      <c r="AU179" s="2293">
        <v>0</v>
      </c>
      <c r="AV179" s="2293">
        <v>0</v>
      </c>
      <c r="AW179" s="2293">
        <v>0</v>
      </c>
      <c r="AX179" s="2293">
        <v>0</v>
      </c>
      <c r="AY179" s="2293">
        <v>0</v>
      </c>
      <c r="AZ179" s="2293">
        <v>0</v>
      </c>
      <c r="BA179" s="2293">
        <v>0</v>
      </c>
      <c r="BB179" s="2293">
        <v>0</v>
      </c>
      <c r="BC179" s="2310"/>
      <c r="BD179" s="2240"/>
    </row>
    <row r="180" spans="2:56" s="2203" customFormat="1" ht="15" hidden="1" customHeight="1" outlineLevel="2">
      <c r="B180" s="2311"/>
      <c r="C180" s="2316" t="s">
        <v>1916</v>
      </c>
      <c r="D180" s="2313" t="s">
        <v>1917</v>
      </c>
      <c r="E180" s="2314">
        <f>E177+E178+E179</f>
        <v>252931</v>
      </c>
      <c r="F180" s="2314">
        <f t="shared" ref="F180:Z180" si="57">F177+F178+F179</f>
        <v>788517</v>
      </c>
      <c r="G180" s="2314">
        <f t="shared" si="57"/>
        <v>1368533.82</v>
      </c>
      <c r="H180" s="2314">
        <f t="shared" si="57"/>
        <v>2407436.8199999998</v>
      </c>
      <c r="I180" s="2314">
        <f t="shared" si="57"/>
        <v>4036135.1</v>
      </c>
      <c r="J180" s="2314">
        <f t="shared" si="57"/>
        <v>6076103.8200000003</v>
      </c>
      <c r="K180" s="2314">
        <f t="shared" si="57"/>
        <v>9385869.8200000003</v>
      </c>
      <c r="L180" s="2314">
        <f t="shared" si="57"/>
        <v>12971852.76</v>
      </c>
      <c r="M180" s="2314">
        <f t="shared" si="57"/>
        <v>14526575.17</v>
      </c>
      <c r="N180" s="2314">
        <f t="shared" si="57"/>
        <v>24389411.91</v>
      </c>
      <c r="O180" s="2314">
        <f t="shared" si="57"/>
        <v>28088742.469999999</v>
      </c>
      <c r="P180" s="2314">
        <f t="shared" si="57"/>
        <v>30455903.82</v>
      </c>
      <c r="Q180" s="2314">
        <f t="shared" si="57"/>
        <v>34141754.18</v>
      </c>
      <c r="R180" s="2314">
        <f t="shared" si="57"/>
        <v>38326488.939999998</v>
      </c>
      <c r="S180" s="2314">
        <f t="shared" si="57"/>
        <v>41604487.869999997</v>
      </c>
      <c r="T180" s="2314">
        <f t="shared" si="57"/>
        <v>45771266.119999997</v>
      </c>
      <c r="U180" s="2314">
        <f t="shared" si="57"/>
        <v>52661081.399999999</v>
      </c>
      <c r="V180" s="2314">
        <f t="shared" si="57"/>
        <v>58458574.049999997</v>
      </c>
      <c r="W180" s="2314">
        <f t="shared" si="57"/>
        <v>63354535.659999996</v>
      </c>
      <c r="X180" s="2314">
        <f t="shared" si="57"/>
        <v>68652105.979999989</v>
      </c>
      <c r="Y180" s="2314">
        <f t="shared" si="57"/>
        <v>75153981.909999996</v>
      </c>
      <c r="Z180" s="2314">
        <f t="shared" si="57"/>
        <v>82227931.370000005</v>
      </c>
      <c r="AA180" s="2314">
        <f>AA177+AA178+AA179</f>
        <v>0</v>
      </c>
      <c r="AB180" s="2314">
        <f>AB177+AB178+AB179</f>
        <v>0</v>
      </c>
      <c r="AC180" s="2314">
        <f t="shared" ref="AC180:BB180" si="58">AC177+AC178+AC179</f>
        <v>0</v>
      </c>
      <c r="AD180" s="2314">
        <f t="shared" si="58"/>
        <v>0</v>
      </c>
      <c r="AE180" s="2314">
        <f t="shared" si="58"/>
        <v>0</v>
      </c>
      <c r="AF180" s="2315">
        <f t="shared" si="58"/>
        <v>0</v>
      </c>
      <c r="AG180" s="2315">
        <f t="shared" si="58"/>
        <v>0</v>
      </c>
      <c r="AH180" s="2315">
        <f t="shared" si="58"/>
        <v>0</v>
      </c>
      <c r="AI180" s="2315">
        <f t="shared" si="58"/>
        <v>0</v>
      </c>
      <c r="AJ180" s="2315">
        <f t="shared" si="58"/>
        <v>0</v>
      </c>
      <c r="AK180" s="2315">
        <f t="shared" si="58"/>
        <v>0</v>
      </c>
      <c r="AL180" s="2315">
        <f t="shared" si="58"/>
        <v>0</v>
      </c>
      <c r="AM180" s="2315">
        <f t="shared" si="58"/>
        <v>0</v>
      </c>
      <c r="AN180" s="2315">
        <f t="shared" si="58"/>
        <v>0</v>
      </c>
      <c r="AO180" s="2315">
        <f t="shared" si="58"/>
        <v>0</v>
      </c>
      <c r="AP180" s="2315">
        <f t="shared" si="58"/>
        <v>0</v>
      </c>
      <c r="AQ180" s="2315">
        <f t="shared" si="58"/>
        <v>0</v>
      </c>
      <c r="AR180" s="2315">
        <f t="shared" si="58"/>
        <v>0</v>
      </c>
      <c r="AS180" s="2315">
        <f t="shared" si="58"/>
        <v>0</v>
      </c>
      <c r="AT180" s="2315">
        <f t="shared" si="58"/>
        <v>0</v>
      </c>
      <c r="AU180" s="2315">
        <f t="shared" si="58"/>
        <v>0</v>
      </c>
      <c r="AV180" s="2315">
        <f t="shared" si="58"/>
        <v>0</v>
      </c>
      <c r="AW180" s="2315">
        <f t="shared" si="58"/>
        <v>0</v>
      </c>
      <c r="AX180" s="2315">
        <f t="shared" si="58"/>
        <v>0</v>
      </c>
      <c r="AY180" s="2315">
        <f t="shared" si="58"/>
        <v>0</v>
      </c>
      <c r="AZ180" s="2315">
        <f t="shared" si="58"/>
        <v>0</v>
      </c>
      <c r="BA180" s="2315">
        <f t="shared" si="58"/>
        <v>0</v>
      </c>
      <c r="BB180" s="2315">
        <f t="shared" si="58"/>
        <v>0</v>
      </c>
      <c r="BC180" s="2308"/>
      <c r="BD180" s="2208"/>
    </row>
    <row r="181" spans="2:56" ht="15" hidden="1" customHeight="1" outlineLevel="2">
      <c r="B181" s="2298"/>
      <c r="C181" s="2317" t="s">
        <v>1918</v>
      </c>
      <c r="D181" s="2300" t="s">
        <v>1919</v>
      </c>
      <c r="E181" s="2293">
        <v>0</v>
      </c>
      <c r="F181" s="2293">
        <v>0</v>
      </c>
      <c r="G181" s="2293">
        <v>0</v>
      </c>
      <c r="H181" s="2293">
        <v>0</v>
      </c>
      <c r="I181" s="2293">
        <v>0</v>
      </c>
      <c r="J181" s="2293">
        <v>0</v>
      </c>
      <c r="K181" s="2293">
        <v>0</v>
      </c>
      <c r="L181" s="2293">
        <v>0</v>
      </c>
      <c r="M181" s="2293">
        <v>0</v>
      </c>
      <c r="N181" s="2293">
        <v>0</v>
      </c>
      <c r="O181" s="2293">
        <v>0</v>
      </c>
      <c r="P181" s="2293">
        <v>0</v>
      </c>
      <c r="Q181" s="2293">
        <v>0</v>
      </c>
      <c r="R181" s="2293">
        <v>0</v>
      </c>
      <c r="S181" s="2293">
        <v>0</v>
      </c>
      <c r="T181" s="2293">
        <v>0</v>
      </c>
      <c r="U181" s="2293">
        <v>0</v>
      </c>
      <c r="V181" s="2293">
        <v>0</v>
      </c>
      <c r="W181" s="2293">
        <v>0</v>
      </c>
      <c r="X181" s="2293">
        <v>0</v>
      </c>
      <c r="Y181" s="2293">
        <v>0</v>
      </c>
      <c r="Z181" s="2293">
        <v>0</v>
      </c>
      <c r="AA181" s="2293">
        <v>0</v>
      </c>
      <c r="AB181" s="2293">
        <v>0</v>
      </c>
      <c r="AC181" s="2293">
        <v>0</v>
      </c>
      <c r="AD181" s="2293">
        <v>0</v>
      </c>
      <c r="AE181" s="2293">
        <v>0</v>
      </c>
      <c r="AF181" s="2295">
        <v>0</v>
      </c>
      <c r="AG181" s="2295">
        <v>0</v>
      </c>
      <c r="AH181" s="2295">
        <v>0</v>
      </c>
      <c r="AI181" s="2295">
        <v>0</v>
      </c>
      <c r="AJ181" s="2295">
        <v>0</v>
      </c>
      <c r="AK181" s="2295">
        <v>0</v>
      </c>
      <c r="AL181" s="2295">
        <v>0</v>
      </c>
      <c r="AM181" s="2295">
        <v>0</v>
      </c>
      <c r="AN181" s="2295">
        <v>0</v>
      </c>
      <c r="AO181" s="2295">
        <v>0</v>
      </c>
      <c r="AP181" s="2295">
        <v>0</v>
      </c>
      <c r="AQ181" s="2295">
        <v>0</v>
      </c>
      <c r="AR181" s="2295">
        <v>0</v>
      </c>
      <c r="AS181" s="2295">
        <v>0</v>
      </c>
      <c r="AT181" s="2295">
        <v>0</v>
      </c>
      <c r="AU181" s="2295">
        <v>0</v>
      </c>
      <c r="AV181" s="2295">
        <v>0</v>
      </c>
      <c r="AW181" s="2295">
        <v>0</v>
      </c>
      <c r="AX181" s="2295">
        <v>0</v>
      </c>
      <c r="AY181" s="2295">
        <v>0</v>
      </c>
      <c r="AZ181" s="2295">
        <v>0</v>
      </c>
      <c r="BA181" s="2295">
        <v>0</v>
      </c>
      <c r="BB181" s="2295">
        <v>0</v>
      </c>
      <c r="BC181" s="2310"/>
      <c r="BD181" s="2240"/>
    </row>
    <row r="182" spans="2:56" ht="15" hidden="1" customHeight="1" outlineLevel="2">
      <c r="B182" s="2298"/>
      <c r="C182" s="2317" t="s">
        <v>1920</v>
      </c>
      <c r="D182" s="2319" t="s">
        <v>1921</v>
      </c>
      <c r="E182" s="2293">
        <v>0</v>
      </c>
      <c r="F182" s="2293">
        <v>0</v>
      </c>
      <c r="G182" s="2293">
        <v>0</v>
      </c>
      <c r="H182" s="2293">
        <v>0</v>
      </c>
      <c r="I182" s="2293">
        <v>0</v>
      </c>
      <c r="J182" s="2293">
        <v>0</v>
      </c>
      <c r="K182" s="2293">
        <v>0</v>
      </c>
      <c r="L182" s="2293">
        <v>0</v>
      </c>
      <c r="M182" s="2293">
        <v>0</v>
      </c>
      <c r="N182" s="2293">
        <v>0</v>
      </c>
      <c r="O182" s="2293">
        <v>0</v>
      </c>
      <c r="P182" s="2293">
        <v>0</v>
      </c>
      <c r="Q182" s="2293">
        <v>0</v>
      </c>
      <c r="R182" s="2293">
        <v>0</v>
      </c>
      <c r="S182" s="2293">
        <v>0</v>
      </c>
      <c r="T182" s="2293">
        <v>0</v>
      </c>
      <c r="U182" s="2293">
        <v>0</v>
      </c>
      <c r="V182" s="2293">
        <v>0</v>
      </c>
      <c r="W182" s="2293">
        <v>0</v>
      </c>
      <c r="X182" s="2293">
        <v>0</v>
      </c>
      <c r="Y182" s="2293">
        <v>0</v>
      </c>
      <c r="Z182" s="2293">
        <v>0</v>
      </c>
      <c r="AA182" s="2293">
        <v>0</v>
      </c>
      <c r="AB182" s="2293">
        <v>0</v>
      </c>
      <c r="AC182" s="2293">
        <v>0</v>
      </c>
      <c r="AD182" s="2293">
        <v>0</v>
      </c>
      <c r="AE182" s="2293">
        <v>0</v>
      </c>
      <c r="AF182" s="2295">
        <v>0</v>
      </c>
      <c r="AG182" s="2295">
        <v>0</v>
      </c>
      <c r="AH182" s="2295">
        <v>0</v>
      </c>
      <c r="AI182" s="2295">
        <v>0</v>
      </c>
      <c r="AJ182" s="2295">
        <v>0</v>
      </c>
      <c r="AK182" s="2295">
        <v>0</v>
      </c>
      <c r="AL182" s="2295">
        <v>0</v>
      </c>
      <c r="AM182" s="2295">
        <v>0</v>
      </c>
      <c r="AN182" s="2295">
        <v>0</v>
      </c>
      <c r="AO182" s="2295">
        <v>0</v>
      </c>
      <c r="AP182" s="2295">
        <v>0</v>
      </c>
      <c r="AQ182" s="2295">
        <v>0</v>
      </c>
      <c r="AR182" s="2295">
        <v>0</v>
      </c>
      <c r="AS182" s="2295">
        <v>0</v>
      </c>
      <c r="AT182" s="2295">
        <v>0</v>
      </c>
      <c r="AU182" s="2295">
        <v>0</v>
      </c>
      <c r="AV182" s="2295">
        <v>0</v>
      </c>
      <c r="AW182" s="2295">
        <v>0</v>
      </c>
      <c r="AX182" s="2295">
        <v>0</v>
      </c>
      <c r="AY182" s="2295">
        <v>0</v>
      </c>
      <c r="AZ182" s="2295">
        <v>0</v>
      </c>
      <c r="BA182" s="2295">
        <v>0</v>
      </c>
      <c r="BB182" s="2295">
        <v>0</v>
      </c>
      <c r="BC182" s="2310"/>
      <c r="BD182" s="2240"/>
    </row>
    <row r="183" spans="2:56" ht="15" hidden="1" customHeight="1" outlineLevel="2">
      <c r="B183" s="2298"/>
      <c r="C183" s="2317" t="s">
        <v>1922</v>
      </c>
      <c r="D183" s="2319" t="s">
        <v>1923</v>
      </c>
      <c r="E183" s="2293">
        <v>0</v>
      </c>
      <c r="F183" s="2293">
        <v>0</v>
      </c>
      <c r="G183" s="2293">
        <v>0</v>
      </c>
      <c r="H183" s="2293">
        <v>0</v>
      </c>
      <c r="I183" s="2293">
        <v>0</v>
      </c>
      <c r="J183" s="2293">
        <v>0</v>
      </c>
      <c r="K183" s="2293">
        <v>0</v>
      </c>
      <c r="L183" s="2293">
        <v>0</v>
      </c>
      <c r="M183" s="2293">
        <v>0</v>
      </c>
      <c r="N183" s="2293">
        <v>0</v>
      </c>
      <c r="O183" s="2293">
        <v>0</v>
      </c>
      <c r="P183" s="2293">
        <v>0</v>
      </c>
      <c r="Q183" s="2293">
        <v>0</v>
      </c>
      <c r="R183" s="2293">
        <v>0</v>
      </c>
      <c r="S183" s="2293">
        <v>0</v>
      </c>
      <c r="T183" s="2293">
        <v>0</v>
      </c>
      <c r="U183" s="2293">
        <v>0</v>
      </c>
      <c r="V183" s="2293">
        <v>0</v>
      </c>
      <c r="W183" s="2293">
        <v>0</v>
      </c>
      <c r="X183" s="2293">
        <v>0</v>
      </c>
      <c r="Y183" s="2293">
        <v>0</v>
      </c>
      <c r="Z183" s="2293">
        <v>0</v>
      </c>
      <c r="AA183" s="2293">
        <v>0</v>
      </c>
      <c r="AB183" s="2293">
        <v>0</v>
      </c>
      <c r="AC183" s="2293">
        <v>0</v>
      </c>
      <c r="AD183" s="2293">
        <v>0</v>
      </c>
      <c r="AE183" s="2293">
        <v>0</v>
      </c>
      <c r="AF183" s="2295">
        <v>0</v>
      </c>
      <c r="AG183" s="2295">
        <v>0</v>
      </c>
      <c r="AH183" s="2295">
        <v>0</v>
      </c>
      <c r="AI183" s="2295">
        <v>0</v>
      </c>
      <c r="AJ183" s="2295">
        <v>0</v>
      </c>
      <c r="AK183" s="2295">
        <v>0</v>
      </c>
      <c r="AL183" s="2295">
        <v>0</v>
      </c>
      <c r="AM183" s="2295">
        <v>0</v>
      </c>
      <c r="AN183" s="2295">
        <v>0</v>
      </c>
      <c r="AO183" s="2295">
        <v>0</v>
      </c>
      <c r="AP183" s="2295">
        <v>0</v>
      </c>
      <c r="AQ183" s="2295">
        <v>0</v>
      </c>
      <c r="AR183" s="2295">
        <v>0</v>
      </c>
      <c r="AS183" s="2295">
        <v>0</v>
      </c>
      <c r="AT183" s="2295">
        <v>0</v>
      </c>
      <c r="AU183" s="2295">
        <v>0</v>
      </c>
      <c r="AV183" s="2295">
        <v>0</v>
      </c>
      <c r="AW183" s="2295">
        <v>0</v>
      </c>
      <c r="AX183" s="2295">
        <v>0</v>
      </c>
      <c r="AY183" s="2295">
        <v>0</v>
      </c>
      <c r="AZ183" s="2295">
        <v>0</v>
      </c>
      <c r="BA183" s="2295">
        <v>0</v>
      </c>
      <c r="BB183" s="2295">
        <v>0</v>
      </c>
      <c r="BC183" s="2320"/>
      <c r="BD183" s="2240"/>
    </row>
    <row r="184" spans="2:56" ht="15" hidden="1" customHeight="1" outlineLevel="1">
      <c r="B184" s="2298"/>
      <c r="C184" s="2316" t="s">
        <v>1924</v>
      </c>
      <c r="D184" s="2321" t="s">
        <v>1925</v>
      </c>
      <c r="E184" s="2314">
        <f t="shared" ref="E184:BB184" si="59">E180+E181+E183</f>
        <v>252931</v>
      </c>
      <c r="F184" s="2314">
        <f>F180+F181+F183</f>
        <v>788517</v>
      </c>
      <c r="G184" s="2314">
        <f>G180+G181+G182+G183</f>
        <v>1368533.82</v>
      </c>
      <c r="H184" s="2314">
        <f>H180+H181+H183</f>
        <v>2407436.8199999998</v>
      </c>
      <c r="I184" s="2314">
        <f t="shared" si="59"/>
        <v>4036135.1</v>
      </c>
      <c r="J184" s="2314">
        <f t="shared" si="59"/>
        <v>6076103.8200000003</v>
      </c>
      <c r="K184" s="2314">
        <f t="shared" si="59"/>
        <v>9385869.8200000003</v>
      </c>
      <c r="L184" s="2314">
        <f t="shared" si="59"/>
        <v>12971852.76</v>
      </c>
      <c r="M184" s="2314">
        <f t="shared" si="59"/>
        <v>14526575.17</v>
      </c>
      <c r="N184" s="2314">
        <f t="shared" si="59"/>
        <v>24389411.91</v>
      </c>
      <c r="O184" s="2314">
        <f t="shared" si="59"/>
        <v>28088742.469999999</v>
      </c>
      <c r="P184" s="2314">
        <f t="shared" si="59"/>
        <v>30455903.82</v>
      </c>
      <c r="Q184" s="2314">
        <f t="shared" si="59"/>
        <v>34141754.18</v>
      </c>
      <c r="R184" s="2314">
        <f t="shared" si="59"/>
        <v>38326488.939999998</v>
      </c>
      <c r="S184" s="2314">
        <f t="shared" si="59"/>
        <v>41604487.869999997</v>
      </c>
      <c r="T184" s="2314">
        <f t="shared" si="59"/>
        <v>45771266.119999997</v>
      </c>
      <c r="U184" s="2314">
        <f t="shared" si="59"/>
        <v>52661081.399999999</v>
      </c>
      <c r="V184" s="2314">
        <f t="shared" si="59"/>
        <v>58458574.049999997</v>
      </c>
      <c r="W184" s="2314">
        <f t="shared" si="59"/>
        <v>63354535.659999996</v>
      </c>
      <c r="X184" s="2314">
        <f t="shared" si="59"/>
        <v>68652105.979999989</v>
      </c>
      <c r="Y184" s="2314">
        <f t="shared" si="59"/>
        <v>75153981.909999996</v>
      </c>
      <c r="Z184" s="2314">
        <f t="shared" si="59"/>
        <v>82227931.370000005</v>
      </c>
      <c r="AA184" s="2314">
        <f t="shared" si="59"/>
        <v>0</v>
      </c>
      <c r="AB184" s="2314">
        <f t="shared" si="59"/>
        <v>0</v>
      </c>
      <c r="AC184" s="2314">
        <f t="shared" si="59"/>
        <v>0</v>
      </c>
      <c r="AD184" s="2314">
        <f t="shared" si="59"/>
        <v>0</v>
      </c>
      <c r="AE184" s="2314">
        <f>AE180+AE181+AE183</f>
        <v>0</v>
      </c>
      <c r="AF184" s="2315">
        <f t="shared" si="59"/>
        <v>0</v>
      </c>
      <c r="AG184" s="2315">
        <f t="shared" si="59"/>
        <v>0</v>
      </c>
      <c r="AH184" s="2315">
        <f t="shared" si="59"/>
        <v>0</v>
      </c>
      <c r="AI184" s="2315">
        <f t="shared" si="59"/>
        <v>0</v>
      </c>
      <c r="AJ184" s="2315">
        <f t="shared" si="59"/>
        <v>0</v>
      </c>
      <c r="AK184" s="2315">
        <f t="shared" si="59"/>
        <v>0</v>
      </c>
      <c r="AL184" s="2315">
        <f t="shared" si="59"/>
        <v>0</v>
      </c>
      <c r="AM184" s="2315">
        <f t="shared" si="59"/>
        <v>0</v>
      </c>
      <c r="AN184" s="2315">
        <f t="shared" si="59"/>
        <v>0</v>
      </c>
      <c r="AO184" s="2315">
        <f t="shared" si="59"/>
        <v>0</v>
      </c>
      <c r="AP184" s="2315">
        <f t="shared" si="59"/>
        <v>0</v>
      </c>
      <c r="AQ184" s="2315">
        <f t="shared" si="59"/>
        <v>0</v>
      </c>
      <c r="AR184" s="2315">
        <f t="shared" si="59"/>
        <v>0</v>
      </c>
      <c r="AS184" s="2315">
        <f t="shared" si="59"/>
        <v>0</v>
      </c>
      <c r="AT184" s="2315">
        <f t="shared" si="59"/>
        <v>0</v>
      </c>
      <c r="AU184" s="2315">
        <f t="shared" si="59"/>
        <v>0</v>
      </c>
      <c r="AV184" s="2315">
        <f t="shared" si="59"/>
        <v>0</v>
      </c>
      <c r="AW184" s="2315">
        <f t="shared" si="59"/>
        <v>0</v>
      </c>
      <c r="AX184" s="2315">
        <f t="shared" si="59"/>
        <v>0</v>
      </c>
      <c r="AY184" s="2315">
        <f t="shared" si="59"/>
        <v>0</v>
      </c>
      <c r="AZ184" s="2315">
        <f t="shared" si="59"/>
        <v>0</v>
      </c>
      <c r="BA184" s="2315">
        <f t="shared" si="59"/>
        <v>0</v>
      </c>
      <c r="BB184" s="2315">
        <f t="shared" si="59"/>
        <v>0</v>
      </c>
      <c r="BC184" s="2310"/>
      <c r="BD184" s="2240"/>
    </row>
    <row r="185" spans="2:56" ht="15" hidden="1" customHeight="1" outlineLevel="1">
      <c r="B185" s="2298"/>
      <c r="C185" s="2316" t="s">
        <v>1926</v>
      </c>
      <c r="D185" s="2313" t="s">
        <v>1927</v>
      </c>
      <c r="E185" s="2314">
        <f>E184</f>
        <v>252931</v>
      </c>
      <c r="F185" s="2314">
        <f>F184-E184</f>
        <v>535586</v>
      </c>
      <c r="G185" s="2314">
        <f t="shared" ref="G185:Z185" si="60">G184-F184</f>
        <v>580016.82000000007</v>
      </c>
      <c r="H185" s="2314">
        <f t="shared" si="60"/>
        <v>1038902.9999999998</v>
      </c>
      <c r="I185" s="2314">
        <f t="shared" si="60"/>
        <v>1628698.2800000003</v>
      </c>
      <c r="J185" s="2314">
        <f t="shared" si="60"/>
        <v>2039968.7200000002</v>
      </c>
      <c r="K185" s="2314">
        <f t="shared" si="60"/>
        <v>3309766</v>
      </c>
      <c r="L185" s="2314">
        <f t="shared" si="60"/>
        <v>3585982.9399999995</v>
      </c>
      <c r="M185" s="2314">
        <f t="shared" si="60"/>
        <v>1554722.4100000001</v>
      </c>
      <c r="N185" s="2314">
        <f t="shared" si="60"/>
        <v>9862836.7400000002</v>
      </c>
      <c r="O185" s="2314">
        <f t="shared" si="60"/>
        <v>3699330.5599999987</v>
      </c>
      <c r="P185" s="2314">
        <f t="shared" si="60"/>
        <v>2367161.3500000015</v>
      </c>
      <c r="Q185" s="2314">
        <f t="shared" si="60"/>
        <v>3685850.3599999994</v>
      </c>
      <c r="R185" s="2314">
        <f t="shared" si="60"/>
        <v>4184734.7599999979</v>
      </c>
      <c r="S185" s="2314">
        <f t="shared" si="60"/>
        <v>3277998.9299999997</v>
      </c>
      <c r="T185" s="2314">
        <f t="shared" si="60"/>
        <v>4166778.25</v>
      </c>
      <c r="U185" s="2314">
        <f t="shared" si="60"/>
        <v>6889815.2800000012</v>
      </c>
      <c r="V185" s="2314">
        <f t="shared" si="60"/>
        <v>5797492.6499999985</v>
      </c>
      <c r="W185" s="2314">
        <f t="shared" si="60"/>
        <v>4895961.6099999994</v>
      </c>
      <c r="X185" s="2314">
        <f t="shared" si="60"/>
        <v>5297570.3199999928</v>
      </c>
      <c r="Y185" s="2314">
        <f t="shared" si="60"/>
        <v>6501875.9300000072</v>
      </c>
      <c r="Z185" s="2314">
        <f t="shared" si="60"/>
        <v>7073949.4600000083</v>
      </c>
      <c r="AA185" s="2314"/>
      <c r="AB185" s="2314">
        <f t="shared" ref="AB185:BB185" si="61">AB184-AA184</f>
        <v>0</v>
      </c>
      <c r="AC185" s="2314">
        <f t="shared" si="61"/>
        <v>0</v>
      </c>
      <c r="AD185" s="2314">
        <f t="shared" si="61"/>
        <v>0</v>
      </c>
      <c r="AE185" s="2314">
        <f t="shared" si="61"/>
        <v>0</v>
      </c>
      <c r="AF185" s="2315">
        <f t="shared" si="61"/>
        <v>0</v>
      </c>
      <c r="AG185" s="2315">
        <f t="shared" si="61"/>
        <v>0</v>
      </c>
      <c r="AH185" s="2315">
        <f t="shared" si="61"/>
        <v>0</v>
      </c>
      <c r="AI185" s="2315">
        <f t="shared" si="61"/>
        <v>0</v>
      </c>
      <c r="AJ185" s="2315">
        <f t="shared" si="61"/>
        <v>0</v>
      </c>
      <c r="AK185" s="2315">
        <f t="shared" si="61"/>
        <v>0</v>
      </c>
      <c r="AL185" s="2315">
        <f t="shared" si="61"/>
        <v>0</v>
      </c>
      <c r="AM185" s="2315">
        <f t="shared" si="61"/>
        <v>0</v>
      </c>
      <c r="AN185" s="2315">
        <f t="shared" si="61"/>
        <v>0</v>
      </c>
      <c r="AO185" s="2315">
        <f t="shared" si="61"/>
        <v>0</v>
      </c>
      <c r="AP185" s="2315">
        <v>0</v>
      </c>
      <c r="AQ185" s="2315">
        <f t="shared" ref="AQ185:AY185" si="62">AQ184-AP184</f>
        <v>0</v>
      </c>
      <c r="AR185" s="2315">
        <f t="shared" si="62"/>
        <v>0</v>
      </c>
      <c r="AS185" s="2315">
        <f t="shared" si="62"/>
        <v>0</v>
      </c>
      <c r="AT185" s="2315">
        <f t="shared" si="62"/>
        <v>0</v>
      </c>
      <c r="AU185" s="2315">
        <f t="shared" si="62"/>
        <v>0</v>
      </c>
      <c r="AV185" s="2315">
        <f t="shared" si="62"/>
        <v>0</v>
      </c>
      <c r="AW185" s="2315">
        <f t="shared" si="62"/>
        <v>0</v>
      </c>
      <c r="AX185" s="2315">
        <f t="shared" si="62"/>
        <v>0</v>
      </c>
      <c r="AY185" s="2315">
        <f t="shared" si="62"/>
        <v>0</v>
      </c>
      <c r="AZ185" s="2315">
        <v>0</v>
      </c>
      <c r="BA185" s="2315">
        <f>BA184-AP184</f>
        <v>0</v>
      </c>
      <c r="BB185" s="2315">
        <f t="shared" si="61"/>
        <v>0</v>
      </c>
      <c r="BC185" s="2310"/>
      <c r="BD185" s="2240"/>
    </row>
    <row r="186" spans="2:56" ht="15" hidden="1" customHeight="1" outlineLevel="1">
      <c r="B186" s="2298"/>
      <c r="C186" s="2316"/>
      <c r="D186" s="2313"/>
      <c r="E186" s="2314"/>
      <c r="F186" s="2314"/>
      <c r="G186" s="2314"/>
      <c r="H186" s="2314"/>
      <c r="I186" s="2314"/>
      <c r="J186" s="2314"/>
      <c r="K186" s="2314"/>
      <c r="L186" s="2314"/>
      <c r="M186" s="2314"/>
      <c r="N186" s="2314"/>
      <c r="O186" s="2314"/>
      <c r="P186" s="2314"/>
      <c r="Q186" s="2314"/>
      <c r="R186" s="2314"/>
      <c r="S186" s="2314"/>
      <c r="T186" s="2314"/>
      <c r="U186" s="2314"/>
      <c r="V186" s="2314"/>
      <c r="W186" s="2314"/>
      <c r="X186" s="2314"/>
      <c r="Y186" s="2314"/>
      <c r="Z186" s="2293"/>
      <c r="AA186" s="2293"/>
      <c r="AB186" s="2293"/>
      <c r="AC186" s="2293"/>
      <c r="AD186" s="2293"/>
      <c r="AE186" s="2294"/>
      <c r="AF186" s="2295"/>
      <c r="AG186" s="2295"/>
      <c r="AH186" s="2295"/>
      <c r="AI186" s="2295"/>
      <c r="AJ186" s="2295"/>
      <c r="AK186" s="2295"/>
      <c r="AL186" s="2295"/>
      <c r="AM186" s="2295"/>
      <c r="AN186" s="2295"/>
      <c r="AO186" s="2295"/>
      <c r="AP186" s="2295"/>
      <c r="AQ186" s="2295"/>
      <c r="AR186" s="2295"/>
      <c r="AS186" s="2295"/>
      <c r="AT186" s="2295"/>
      <c r="AU186" s="2295"/>
      <c r="AV186" s="2295"/>
      <c r="AW186" s="2295"/>
      <c r="AX186" s="2295"/>
      <c r="AY186" s="2295"/>
      <c r="AZ186" s="2295"/>
      <c r="BA186" s="2295"/>
      <c r="BB186" s="2295"/>
      <c r="BC186" s="2310"/>
      <c r="BD186" s="2240"/>
    </row>
    <row r="187" spans="2:56" ht="15" hidden="1" customHeight="1" outlineLevel="1">
      <c r="B187" s="2298"/>
      <c r="C187" s="2322"/>
      <c r="D187" s="2313"/>
      <c r="E187" s="2314"/>
      <c r="F187" s="2314"/>
      <c r="G187" s="2314"/>
      <c r="H187" s="2314"/>
      <c r="I187" s="2314"/>
      <c r="J187" s="2314"/>
      <c r="K187" s="2314"/>
      <c r="L187" s="2314"/>
      <c r="M187" s="2314"/>
      <c r="N187" s="2314"/>
      <c r="O187" s="2314"/>
      <c r="P187" s="2314"/>
      <c r="Q187" s="2314"/>
      <c r="R187" s="2314"/>
      <c r="S187" s="2314"/>
      <c r="T187" s="2314"/>
      <c r="U187" s="2314"/>
      <c r="V187" s="2314"/>
      <c r="W187" s="2314"/>
      <c r="X187" s="2314"/>
      <c r="Y187" s="2314"/>
      <c r="Z187" s="2293"/>
      <c r="AA187" s="2293"/>
      <c r="AB187" s="2293"/>
      <c r="AC187" s="2293"/>
      <c r="AD187" s="2293"/>
      <c r="AE187" s="2294"/>
      <c r="AF187" s="2295"/>
      <c r="AG187" s="2295"/>
      <c r="AH187" s="2295"/>
      <c r="AI187" s="2295"/>
      <c r="AJ187" s="2295"/>
      <c r="AK187" s="2295"/>
      <c r="AL187" s="2295"/>
      <c r="AM187" s="2295"/>
      <c r="AN187" s="2295"/>
      <c r="AO187" s="2295"/>
      <c r="AP187" s="2295"/>
      <c r="AQ187" s="2295"/>
      <c r="AR187" s="2295"/>
      <c r="AS187" s="2295"/>
      <c r="AT187" s="2295"/>
      <c r="AU187" s="2295"/>
      <c r="AV187" s="2295"/>
      <c r="AW187" s="2295"/>
      <c r="AX187" s="2295"/>
      <c r="AY187" s="2295"/>
      <c r="AZ187" s="2295"/>
      <c r="BA187" s="2295"/>
      <c r="BB187" s="2295"/>
      <c r="BC187" s="2308"/>
      <c r="BD187" s="2240"/>
    </row>
    <row r="188" spans="2:56" hidden="1" outlineLevel="1">
      <c r="B188" s="2323">
        <v>200</v>
      </c>
      <c r="C188" s="2324" t="s">
        <v>1928</v>
      </c>
      <c r="D188" s="2325" t="s">
        <v>1896</v>
      </c>
      <c r="E188" s="2296">
        <f t="shared" ref="E188:Y189" si="63">E205</f>
        <v>0</v>
      </c>
      <c r="F188" s="2296">
        <f t="shared" si="63"/>
        <v>0</v>
      </c>
      <c r="G188" s="2296">
        <f t="shared" si="63"/>
        <v>0</v>
      </c>
      <c r="H188" s="2296">
        <f t="shared" si="63"/>
        <v>0</v>
      </c>
      <c r="I188" s="2296">
        <f t="shared" si="63"/>
        <v>0</v>
      </c>
      <c r="J188" s="2296">
        <f t="shared" si="63"/>
        <v>0</v>
      </c>
      <c r="K188" s="2296">
        <f t="shared" si="63"/>
        <v>0</v>
      </c>
      <c r="L188" s="2296">
        <f t="shared" si="63"/>
        <v>0</v>
      </c>
      <c r="M188" s="2296">
        <f t="shared" si="63"/>
        <v>0</v>
      </c>
      <c r="N188" s="2296">
        <f t="shared" si="63"/>
        <v>0</v>
      </c>
      <c r="O188" s="2296">
        <f t="shared" si="63"/>
        <v>0</v>
      </c>
      <c r="P188" s="2296">
        <f t="shared" si="63"/>
        <v>0</v>
      </c>
      <c r="Q188" s="2296">
        <f t="shared" si="63"/>
        <v>0</v>
      </c>
      <c r="R188" s="2296">
        <f t="shared" si="63"/>
        <v>0</v>
      </c>
      <c r="S188" s="2296">
        <f t="shared" si="63"/>
        <v>0</v>
      </c>
      <c r="T188" s="2296">
        <f t="shared" si="63"/>
        <v>0</v>
      </c>
      <c r="U188" s="2296">
        <f t="shared" si="63"/>
        <v>0</v>
      </c>
      <c r="V188" s="2296">
        <f t="shared" si="63"/>
        <v>0</v>
      </c>
      <c r="W188" s="2296">
        <f t="shared" si="63"/>
        <v>0</v>
      </c>
      <c r="X188" s="2296">
        <f t="shared" si="63"/>
        <v>0</v>
      </c>
      <c r="Y188" s="2296">
        <f t="shared" si="63"/>
        <v>0</v>
      </c>
      <c r="Z188" s="2326"/>
      <c r="AA188" s="2326"/>
      <c r="AB188" s="2326"/>
      <c r="AC188" s="2326"/>
      <c r="AD188" s="2326"/>
      <c r="AE188" s="2327"/>
      <c r="AF188" s="2328"/>
      <c r="AG188" s="2328"/>
      <c r="AH188" s="2328"/>
      <c r="AI188" s="2328"/>
      <c r="AJ188" s="2328"/>
      <c r="AK188" s="2328"/>
      <c r="AL188" s="2328"/>
      <c r="AM188" s="2328"/>
      <c r="AN188" s="2328"/>
      <c r="AO188" s="2328"/>
      <c r="AP188" s="2328"/>
      <c r="AQ188" s="2328"/>
      <c r="AR188" s="2328"/>
      <c r="AS188" s="2328"/>
      <c r="AT188" s="2328"/>
      <c r="AU188" s="2328"/>
      <c r="AV188" s="2328"/>
      <c r="AW188" s="2328"/>
      <c r="AX188" s="2328"/>
      <c r="AY188" s="2328"/>
      <c r="AZ188" s="2328"/>
      <c r="BA188" s="2328"/>
      <c r="BB188" s="2328"/>
      <c r="BC188" s="2301"/>
      <c r="BD188" s="2240"/>
    </row>
    <row r="189" spans="2:56" ht="15.75" hidden="1" customHeight="1" outlineLevel="1">
      <c r="B189" s="2323"/>
      <c r="C189" s="2324"/>
      <c r="D189" s="2325" t="s">
        <v>1897</v>
      </c>
      <c r="E189" s="2296">
        <f t="shared" si="63"/>
        <v>0</v>
      </c>
      <c r="F189" s="2296">
        <f t="shared" si="63"/>
        <v>0</v>
      </c>
      <c r="G189" s="2296">
        <f t="shared" si="63"/>
        <v>0</v>
      </c>
      <c r="H189" s="2296">
        <f t="shared" si="63"/>
        <v>0</v>
      </c>
      <c r="I189" s="2296">
        <f t="shared" si="63"/>
        <v>0</v>
      </c>
      <c r="J189" s="2296">
        <f t="shared" si="63"/>
        <v>0</v>
      </c>
      <c r="K189" s="2296">
        <f t="shared" si="63"/>
        <v>0</v>
      </c>
      <c r="L189" s="2296">
        <f t="shared" si="63"/>
        <v>0</v>
      </c>
      <c r="M189" s="2296">
        <f t="shared" si="63"/>
        <v>0</v>
      </c>
      <c r="N189" s="2296">
        <f t="shared" si="63"/>
        <v>0</v>
      </c>
      <c r="O189" s="2296">
        <f t="shared" si="63"/>
        <v>0</v>
      </c>
      <c r="P189" s="2296">
        <f t="shared" si="63"/>
        <v>0</v>
      </c>
      <c r="Q189" s="2296">
        <f t="shared" si="63"/>
        <v>0</v>
      </c>
      <c r="R189" s="2296">
        <f t="shared" si="63"/>
        <v>0</v>
      </c>
      <c r="S189" s="2296">
        <f t="shared" si="63"/>
        <v>0</v>
      </c>
      <c r="T189" s="2296">
        <f t="shared" si="63"/>
        <v>0</v>
      </c>
      <c r="U189" s="2296">
        <f t="shared" si="63"/>
        <v>0</v>
      </c>
      <c r="V189" s="2296">
        <f t="shared" si="63"/>
        <v>0</v>
      </c>
      <c r="W189" s="2296">
        <f t="shared" si="63"/>
        <v>0</v>
      </c>
      <c r="X189" s="2296">
        <f t="shared" si="63"/>
        <v>0</v>
      </c>
      <c r="Y189" s="2296">
        <f t="shared" si="63"/>
        <v>0</v>
      </c>
      <c r="Z189" s="2326"/>
      <c r="AA189" s="2326"/>
      <c r="AB189" s="2326"/>
      <c r="AC189" s="2326"/>
      <c r="AD189" s="2326"/>
      <c r="AE189" s="2327"/>
      <c r="AF189" s="2328"/>
      <c r="AG189" s="2328"/>
      <c r="AH189" s="2328"/>
      <c r="AI189" s="2328"/>
      <c r="AJ189" s="2328"/>
      <c r="AK189" s="2328"/>
      <c r="AL189" s="2328"/>
      <c r="AM189" s="2328"/>
      <c r="AN189" s="2328"/>
      <c r="AO189" s="2328"/>
      <c r="AP189" s="2328"/>
      <c r="AQ189" s="2328"/>
      <c r="AR189" s="2328"/>
      <c r="AS189" s="2328"/>
      <c r="AT189" s="2328"/>
      <c r="AU189" s="2328"/>
      <c r="AV189" s="2328"/>
      <c r="AW189" s="2328"/>
      <c r="AX189" s="2328"/>
      <c r="AY189" s="2328"/>
      <c r="AZ189" s="2328"/>
      <c r="BA189" s="2328"/>
      <c r="BB189" s="2328"/>
      <c r="BC189" s="2308">
        <f>SUM(E189:BB189)</f>
        <v>0</v>
      </c>
      <c r="BD189" s="2240"/>
    </row>
    <row r="190" spans="2:56" ht="15.75" hidden="1" customHeight="1" outlineLevel="2">
      <c r="B190" s="2298"/>
      <c r="C190" s="2299"/>
      <c r="D190" s="2300"/>
      <c r="E190" s="2293"/>
      <c r="F190" s="2293"/>
      <c r="G190" s="2293"/>
      <c r="H190" s="2293"/>
      <c r="I190" s="2293"/>
      <c r="J190" s="2293"/>
      <c r="K190" s="2293"/>
      <c r="L190" s="2293"/>
      <c r="M190" s="2293"/>
      <c r="N190" s="2293"/>
      <c r="O190" s="2293"/>
      <c r="P190" s="2293"/>
      <c r="Q190" s="2293"/>
      <c r="R190" s="2293"/>
      <c r="S190" s="2293"/>
      <c r="T190" s="2293"/>
      <c r="U190" s="2293"/>
      <c r="V190" s="2293"/>
      <c r="W190" s="2293"/>
      <c r="X190" s="2293"/>
      <c r="Y190" s="2293"/>
      <c r="Z190" s="2293"/>
      <c r="AA190" s="2293"/>
      <c r="AB190" s="2293"/>
      <c r="AC190" s="2293"/>
      <c r="AD190" s="2293"/>
      <c r="AE190" s="2294"/>
      <c r="AF190" s="2295"/>
      <c r="AG190" s="2295"/>
      <c r="AH190" s="2295"/>
      <c r="AI190" s="2295"/>
      <c r="AJ190" s="2295"/>
      <c r="AK190" s="2295"/>
      <c r="AL190" s="2295"/>
      <c r="AM190" s="2295"/>
      <c r="AN190" s="2295"/>
      <c r="AO190" s="2295"/>
      <c r="AP190" s="2295"/>
      <c r="AQ190" s="2295"/>
      <c r="AR190" s="2295"/>
      <c r="AS190" s="2295"/>
      <c r="AT190" s="2295"/>
      <c r="AU190" s="2295"/>
      <c r="AV190" s="2295"/>
      <c r="AW190" s="2295"/>
      <c r="AX190" s="2295"/>
      <c r="AY190" s="2295"/>
      <c r="AZ190" s="2295"/>
      <c r="BA190" s="2295"/>
      <c r="BB190" s="2295"/>
      <c r="BC190" s="2301"/>
      <c r="BD190" s="2240"/>
    </row>
    <row r="191" spans="2:56" ht="18.75" hidden="1" customHeight="1" outlineLevel="2">
      <c r="B191" s="2302">
        <v>200.1</v>
      </c>
      <c r="C191" s="2303" t="s">
        <v>1939</v>
      </c>
      <c r="D191" s="2304"/>
      <c r="E191" s="2305"/>
      <c r="F191" s="2305"/>
      <c r="G191" s="2305"/>
      <c r="H191" s="2305"/>
      <c r="I191" s="2305"/>
      <c r="J191" s="2305"/>
      <c r="K191" s="2305"/>
      <c r="L191" s="2305"/>
      <c r="M191" s="2305"/>
      <c r="N191" s="2305"/>
      <c r="O191" s="2305"/>
      <c r="P191" s="2305"/>
      <c r="Q191" s="2305"/>
      <c r="R191" s="2305"/>
      <c r="S191" s="2305"/>
      <c r="T191" s="2305"/>
      <c r="U191" s="2305"/>
      <c r="V191" s="2305"/>
      <c r="W191" s="2305"/>
      <c r="X191" s="2305"/>
      <c r="Y191" s="2305"/>
      <c r="Z191" s="2305"/>
      <c r="AA191" s="2305"/>
      <c r="AB191" s="2305"/>
      <c r="AC191" s="2305"/>
      <c r="AD191" s="2305"/>
      <c r="AE191" s="2306"/>
      <c r="AF191" s="2307"/>
      <c r="AG191" s="2307"/>
      <c r="AH191" s="2307"/>
      <c r="AI191" s="2307"/>
      <c r="AJ191" s="2307"/>
      <c r="AK191" s="2307"/>
      <c r="AL191" s="2307"/>
      <c r="AM191" s="2307"/>
      <c r="AN191" s="2307"/>
      <c r="AO191" s="2307"/>
      <c r="AP191" s="2307"/>
      <c r="AQ191" s="2307"/>
      <c r="AR191" s="2307"/>
      <c r="AS191" s="2307"/>
      <c r="AT191" s="2307"/>
      <c r="AU191" s="2307"/>
      <c r="AV191" s="2307"/>
      <c r="AW191" s="2307"/>
      <c r="AX191" s="2307"/>
      <c r="AY191" s="2307"/>
      <c r="AZ191" s="2307"/>
      <c r="BA191" s="2307"/>
      <c r="BB191" s="2307"/>
      <c r="BC191" s="2308"/>
      <c r="BD191" s="2240"/>
    </row>
    <row r="192" spans="2:56" ht="15" hidden="1" customHeight="1" outlineLevel="3">
      <c r="B192" s="2298"/>
      <c r="C192" s="2309" t="s">
        <v>1898</v>
      </c>
      <c r="D192" s="2300" t="s">
        <v>1899</v>
      </c>
      <c r="E192" s="2293">
        <v>0</v>
      </c>
      <c r="F192" s="2293">
        <v>0</v>
      </c>
      <c r="G192" s="2293">
        <v>0</v>
      </c>
      <c r="H192" s="2293">
        <v>0</v>
      </c>
      <c r="I192" s="2293">
        <v>0</v>
      </c>
      <c r="J192" s="2293">
        <v>0</v>
      </c>
      <c r="K192" s="2293">
        <v>0</v>
      </c>
      <c r="L192" s="2293">
        <v>0</v>
      </c>
      <c r="M192" s="2293">
        <v>0</v>
      </c>
      <c r="N192" s="2293">
        <v>0</v>
      </c>
      <c r="O192" s="2293">
        <v>0</v>
      </c>
      <c r="P192" s="2293">
        <v>0</v>
      </c>
      <c r="Q192" s="2293">
        <v>0</v>
      </c>
      <c r="R192" s="2293">
        <v>0</v>
      </c>
      <c r="S192" s="2293">
        <v>0</v>
      </c>
      <c r="T192" s="2293">
        <v>0</v>
      </c>
      <c r="U192" s="2293">
        <v>0</v>
      </c>
      <c r="V192" s="2293">
        <v>0</v>
      </c>
      <c r="W192" s="2293">
        <v>0</v>
      </c>
      <c r="X192" s="2293">
        <v>0</v>
      </c>
      <c r="Y192" s="2293">
        <v>0</v>
      </c>
      <c r="Z192" s="2293">
        <v>0</v>
      </c>
      <c r="AA192" s="2293">
        <v>0</v>
      </c>
      <c r="AB192" s="2293">
        <v>0</v>
      </c>
      <c r="AC192" s="2293">
        <v>0</v>
      </c>
      <c r="AD192" s="2293">
        <v>0</v>
      </c>
      <c r="AE192" s="2294">
        <v>0</v>
      </c>
      <c r="AF192" s="2295">
        <v>0</v>
      </c>
      <c r="AG192" s="2295">
        <v>0</v>
      </c>
      <c r="AH192" s="2295">
        <v>0</v>
      </c>
      <c r="AI192" s="2295">
        <v>0</v>
      </c>
      <c r="AJ192" s="2295">
        <v>0</v>
      </c>
      <c r="AK192" s="2295">
        <v>0</v>
      </c>
      <c r="AL192" s="2295">
        <v>0</v>
      </c>
      <c r="AM192" s="2295">
        <v>0</v>
      </c>
      <c r="AN192" s="2295">
        <v>0</v>
      </c>
      <c r="AO192" s="2295">
        <v>0</v>
      </c>
      <c r="AP192" s="2295">
        <v>0</v>
      </c>
      <c r="AQ192" s="2295">
        <v>0</v>
      </c>
      <c r="AR192" s="2295">
        <v>0</v>
      </c>
      <c r="AS192" s="2295">
        <v>0</v>
      </c>
      <c r="AT192" s="2295">
        <v>0</v>
      </c>
      <c r="AU192" s="2295">
        <v>0</v>
      </c>
      <c r="AV192" s="2295">
        <v>0</v>
      </c>
      <c r="AW192" s="2295">
        <v>0</v>
      </c>
      <c r="AX192" s="2295">
        <v>0</v>
      </c>
      <c r="AY192" s="2295">
        <v>0</v>
      </c>
      <c r="AZ192" s="2295">
        <v>0</v>
      </c>
      <c r="BA192" s="2295">
        <v>0</v>
      </c>
      <c r="BB192" s="2295">
        <v>0</v>
      </c>
      <c r="BC192" s="2310"/>
      <c r="BD192" s="2240"/>
    </row>
    <row r="193" spans="2:56" ht="15" hidden="1" customHeight="1" outlineLevel="3">
      <c r="B193" s="2298"/>
      <c r="C193" s="2309" t="s">
        <v>1901</v>
      </c>
      <c r="D193" s="2300" t="s">
        <v>1902</v>
      </c>
      <c r="E193" s="2293">
        <v>0</v>
      </c>
      <c r="F193" s="2293">
        <v>0</v>
      </c>
      <c r="G193" s="2293">
        <v>0</v>
      </c>
      <c r="H193" s="2293">
        <v>0</v>
      </c>
      <c r="I193" s="2293">
        <v>0</v>
      </c>
      <c r="J193" s="2293">
        <v>0</v>
      </c>
      <c r="K193" s="2293">
        <v>0</v>
      </c>
      <c r="L193" s="2293">
        <v>0</v>
      </c>
      <c r="M193" s="2293">
        <v>0</v>
      </c>
      <c r="N193" s="2293">
        <v>0</v>
      </c>
      <c r="O193" s="2293">
        <v>0</v>
      </c>
      <c r="P193" s="2293">
        <v>0</v>
      </c>
      <c r="Q193" s="2293">
        <v>0</v>
      </c>
      <c r="R193" s="2293">
        <v>0</v>
      </c>
      <c r="S193" s="2293">
        <v>0</v>
      </c>
      <c r="T193" s="2293">
        <v>0</v>
      </c>
      <c r="U193" s="2293">
        <v>0</v>
      </c>
      <c r="V193" s="2293">
        <v>0</v>
      </c>
      <c r="W193" s="2293">
        <v>0</v>
      </c>
      <c r="X193" s="2293">
        <v>0</v>
      </c>
      <c r="Y193" s="2293">
        <v>0</v>
      </c>
      <c r="Z193" s="2293">
        <v>0</v>
      </c>
      <c r="AA193" s="2293">
        <v>0</v>
      </c>
      <c r="AB193" s="2293">
        <v>0</v>
      </c>
      <c r="AC193" s="2293">
        <v>0</v>
      </c>
      <c r="AD193" s="2293">
        <v>0</v>
      </c>
      <c r="AE193" s="2294">
        <v>0</v>
      </c>
      <c r="AF193" s="2295">
        <v>0</v>
      </c>
      <c r="AG193" s="2295">
        <v>0</v>
      </c>
      <c r="AH193" s="2295">
        <v>0</v>
      </c>
      <c r="AI193" s="2295">
        <v>0</v>
      </c>
      <c r="AJ193" s="2295">
        <v>0</v>
      </c>
      <c r="AK193" s="2295">
        <v>0</v>
      </c>
      <c r="AL193" s="2295">
        <v>0</v>
      </c>
      <c r="AM193" s="2295">
        <v>0</v>
      </c>
      <c r="AN193" s="2295">
        <v>0</v>
      </c>
      <c r="AO193" s="2295">
        <v>0</v>
      </c>
      <c r="AP193" s="2295">
        <v>0</v>
      </c>
      <c r="AQ193" s="2295">
        <v>0</v>
      </c>
      <c r="AR193" s="2295">
        <v>0</v>
      </c>
      <c r="AS193" s="2295">
        <v>0</v>
      </c>
      <c r="AT193" s="2295">
        <v>0</v>
      </c>
      <c r="AU193" s="2295">
        <v>0</v>
      </c>
      <c r="AV193" s="2295">
        <v>0</v>
      </c>
      <c r="AW193" s="2295">
        <v>0</v>
      </c>
      <c r="AX193" s="2295">
        <v>0</v>
      </c>
      <c r="AY193" s="2295">
        <v>0</v>
      </c>
      <c r="AZ193" s="2295">
        <v>0</v>
      </c>
      <c r="BA193" s="2295">
        <v>0</v>
      </c>
      <c r="BB193" s="2295">
        <v>0</v>
      </c>
      <c r="BC193" s="2310"/>
      <c r="BD193" s="2240"/>
    </row>
    <row r="194" spans="2:56" ht="15" hidden="1" customHeight="1" outlineLevel="3">
      <c r="B194" s="2298"/>
      <c r="C194" s="2309" t="s">
        <v>1903</v>
      </c>
      <c r="D194" s="2300" t="s">
        <v>1904</v>
      </c>
      <c r="E194" s="2293">
        <v>0</v>
      </c>
      <c r="F194" s="2293">
        <v>0</v>
      </c>
      <c r="G194" s="2293">
        <v>0</v>
      </c>
      <c r="H194" s="2293">
        <v>0</v>
      </c>
      <c r="I194" s="2293">
        <v>0</v>
      </c>
      <c r="J194" s="2293">
        <v>0</v>
      </c>
      <c r="K194" s="2293">
        <v>0</v>
      </c>
      <c r="L194" s="2293">
        <v>0</v>
      </c>
      <c r="M194" s="2293">
        <v>0</v>
      </c>
      <c r="N194" s="2293">
        <v>0</v>
      </c>
      <c r="O194" s="2293">
        <v>0</v>
      </c>
      <c r="P194" s="2293">
        <v>0</v>
      </c>
      <c r="Q194" s="2293">
        <v>0</v>
      </c>
      <c r="R194" s="2293">
        <v>0</v>
      </c>
      <c r="S194" s="2293">
        <v>0</v>
      </c>
      <c r="T194" s="2293">
        <v>0</v>
      </c>
      <c r="U194" s="2293">
        <v>0</v>
      </c>
      <c r="V194" s="2293">
        <v>0</v>
      </c>
      <c r="W194" s="2293">
        <v>0</v>
      </c>
      <c r="X194" s="2293">
        <v>0</v>
      </c>
      <c r="Y194" s="2293">
        <v>0</v>
      </c>
      <c r="Z194" s="2293">
        <v>0</v>
      </c>
      <c r="AA194" s="2293">
        <v>0</v>
      </c>
      <c r="AB194" s="2293">
        <v>0</v>
      </c>
      <c r="AC194" s="2293">
        <v>0</v>
      </c>
      <c r="AD194" s="2293">
        <v>0</v>
      </c>
      <c r="AE194" s="2294">
        <v>0</v>
      </c>
      <c r="AF194" s="2295">
        <v>0</v>
      </c>
      <c r="AG194" s="2295">
        <v>0</v>
      </c>
      <c r="AH194" s="2295">
        <v>0</v>
      </c>
      <c r="AI194" s="2295">
        <v>0</v>
      </c>
      <c r="AJ194" s="2295">
        <v>0</v>
      </c>
      <c r="AK194" s="2295">
        <v>0</v>
      </c>
      <c r="AL194" s="2295">
        <v>0</v>
      </c>
      <c r="AM194" s="2295">
        <v>0</v>
      </c>
      <c r="AN194" s="2295">
        <v>0</v>
      </c>
      <c r="AO194" s="2295">
        <v>0</v>
      </c>
      <c r="AP194" s="2295">
        <v>0</v>
      </c>
      <c r="AQ194" s="2295">
        <v>0</v>
      </c>
      <c r="AR194" s="2295">
        <v>0</v>
      </c>
      <c r="AS194" s="2295">
        <v>0</v>
      </c>
      <c r="AT194" s="2295">
        <v>0</v>
      </c>
      <c r="AU194" s="2295">
        <v>0</v>
      </c>
      <c r="AV194" s="2295">
        <v>0</v>
      </c>
      <c r="AW194" s="2295">
        <v>0</v>
      </c>
      <c r="AX194" s="2295">
        <v>0</v>
      </c>
      <c r="AY194" s="2295">
        <v>0</v>
      </c>
      <c r="AZ194" s="2295">
        <v>0</v>
      </c>
      <c r="BA194" s="2295">
        <v>0</v>
      </c>
      <c r="BB194" s="2295">
        <v>0</v>
      </c>
      <c r="BC194" s="2310"/>
      <c r="BD194" s="2240"/>
    </row>
    <row r="195" spans="2:56" ht="15" hidden="1" customHeight="1" outlineLevel="3">
      <c r="B195" s="2298"/>
      <c r="C195" s="2312" t="s">
        <v>1905</v>
      </c>
      <c r="D195" s="2313" t="s">
        <v>1906</v>
      </c>
      <c r="E195" s="2314">
        <f>E192+E193+E194</f>
        <v>0</v>
      </c>
      <c r="F195" s="2314">
        <f t="shared" ref="F195:Y195" si="64">F192+F193+F194</f>
        <v>0</v>
      </c>
      <c r="G195" s="2314">
        <f t="shared" si="64"/>
        <v>0</v>
      </c>
      <c r="H195" s="2314">
        <f t="shared" si="64"/>
        <v>0</v>
      </c>
      <c r="I195" s="2314">
        <f t="shared" si="64"/>
        <v>0</v>
      </c>
      <c r="J195" s="2314">
        <f t="shared" si="64"/>
        <v>0</v>
      </c>
      <c r="K195" s="2314">
        <f t="shared" si="64"/>
        <v>0</v>
      </c>
      <c r="L195" s="2314">
        <f t="shared" si="64"/>
        <v>0</v>
      </c>
      <c r="M195" s="2314">
        <f t="shared" si="64"/>
        <v>0</v>
      </c>
      <c r="N195" s="2314">
        <f t="shared" si="64"/>
        <v>0</v>
      </c>
      <c r="O195" s="2314">
        <f t="shared" si="64"/>
        <v>0</v>
      </c>
      <c r="P195" s="2314">
        <f t="shared" si="64"/>
        <v>0</v>
      </c>
      <c r="Q195" s="2314">
        <f t="shared" si="64"/>
        <v>0</v>
      </c>
      <c r="R195" s="2314">
        <f t="shared" si="64"/>
        <v>0</v>
      </c>
      <c r="S195" s="2314">
        <f t="shared" si="64"/>
        <v>0</v>
      </c>
      <c r="T195" s="2314">
        <f t="shared" si="64"/>
        <v>0</v>
      </c>
      <c r="U195" s="2314">
        <f t="shared" si="64"/>
        <v>0</v>
      </c>
      <c r="V195" s="2314">
        <f t="shared" si="64"/>
        <v>0</v>
      </c>
      <c r="W195" s="2314">
        <f t="shared" si="64"/>
        <v>0</v>
      </c>
      <c r="X195" s="2314">
        <f t="shared" si="64"/>
        <v>0</v>
      </c>
      <c r="Y195" s="2314">
        <f t="shared" si="64"/>
        <v>0</v>
      </c>
      <c r="Z195" s="2293"/>
      <c r="AA195" s="2293"/>
      <c r="AB195" s="2293"/>
      <c r="AC195" s="2293"/>
      <c r="AD195" s="2293"/>
      <c r="AE195" s="2294"/>
      <c r="AF195" s="2295"/>
      <c r="AG195" s="2295"/>
      <c r="AH195" s="2295"/>
      <c r="AI195" s="2295"/>
      <c r="AJ195" s="2295"/>
      <c r="AK195" s="2295"/>
      <c r="AL195" s="2295"/>
      <c r="AM195" s="2295"/>
      <c r="AN195" s="2295"/>
      <c r="AO195" s="2295"/>
      <c r="AP195" s="2295"/>
      <c r="AQ195" s="2295"/>
      <c r="AR195" s="2295"/>
      <c r="AS195" s="2295"/>
      <c r="AT195" s="2295"/>
      <c r="AU195" s="2295"/>
      <c r="AV195" s="2295"/>
      <c r="AW195" s="2295"/>
      <c r="AX195" s="2295"/>
      <c r="AY195" s="2295"/>
      <c r="AZ195" s="2295"/>
      <c r="BA195" s="2295"/>
      <c r="BB195" s="2295"/>
      <c r="BC195" s="2310"/>
      <c r="BD195" s="2240"/>
    </row>
    <row r="196" spans="2:56" ht="15" hidden="1" customHeight="1" outlineLevel="3">
      <c r="B196" s="2298"/>
      <c r="C196" s="2316" t="s">
        <v>1907</v>
      </c>
      <c r="D196" s="2313" t="s">
        <v>1908</v>
      </c>
      <c r="E196" s="2314">
        <v>0</v>
      </c>
      <c r="F196" s="2314">
        <v>0</v>
      </c>
      <c r="G196" s="2314">
        <v>0</v>
      </c>
      <c r="H196" s="2314">
        <v>0</v>
      </c>
      <c r="I196" s="2314">
        <v>0</v>
      </c>
      <c r="J196" s="2314">
        <v>0</v>
      </c>
      <c r="K196" s="2314">
        <v>0</v>
      </c>
      <c r="L196" s="2314">
        <v>0</v>
      </c>
      <c r="M196" s="2314">
        <v>0</v>
      </c>
      <c r="N196" s="2314">
        <v>0</v>
      </c>
      <c r="O196" s="2314">
        <v>0</v>
      </c>
      <c r="P196" s="2314">
        <v>0</v>
      </c>
      <c r="Q196" s="2314">
        <v>0</v>
      </c>
      <c r="R196" s="2314">
        <v>0</v>
      </c>
      <c r="S196" s="2314">
        <v>0</v>
      </c>
      <c r="T196" s="2314">
        <v>0</v>
      </c>
      <c r="U196" s="2314">
        <v>0</v>
      </c>
      <c r="V196" s="2314">
        <v>0</v>
      </c>
      <c r="W196" s="2314">
        <v>0</v>
      </c>
      <c r="X196" s="2314">
        <v>0</v>
      </c>
      <c r="Y196" s="2314">
        <v>0</v>
      </c>
      <c r="Z196" s="2314">
        <v>0</v>
      </c>
      <c r="AA196" s="2314">
        <v>0</v>
      </c>
      <c r="AB196" s="2314">
        <v>0</v>
      </c>
      <c r="AC196" s="2314">
        <v>0</v>
      </c>
      <c r="AD196" s="2314">
        <v>0</v>
      </c>
      <c r="AE196" s="2329">
        <v>0</v>
      </c>
      <c r="AF196" s="2315">
        <v>0</v>
      </c>
      <c r="AG196" s="2315">
        <v>0</v>
      </c>
      <c r="AH196" s="2315">
        <v>0</v>
      </c>
      <c r="AI196" s="2315">
        <v>0</v>
      </c>
      <c r="AJ196" s="2315">
        <v>0</v>
      </c>
      <c r="AK196" s="2315">
        <v>0</v>
      </c>
      <c r="AL196" s="2315">
        <v>0</v>
      </c>
      <c r="AM196" s="2315">
        <v>0</v>
      </c>
      <c r="AN196" s="2315">
        <v>0</v>
      </c>
      <c r="AO196" s="2315">
        <v>0</v>
      </c>
      <c r="AP196" s="2315">
        <v>0</v>
      </c>
      <c r="AQ196" s="2315">
        <v>0</v>
      </c>
      <c r="AR196" s="2315">
        <v>0</v>
      </c>
      <c r="AS196" s="2315">
        <v>0</v>
      </c>
      <c r="AT196" s="2315">
        <v>0</v>
      </c>
      <c r="AU196" s="2315">
        <v>0</v>
      </c>
      <c r="AV196" s="2315">
        <v>0</v>
      </c>
      <c r="AW196" s="2315">
        <v>0</v>
      </c>
      <c r="AX196" s="2315">
        <v>0</v>
      </c>
      <c r="AY196" s="2315">
        <v>0</v>
      </c>
      <c r="AZ196" s="2315">
        <v>0</v>
      </c>
      <c r="BA196" s="2315">
        <v>0</v>
      </c>
      <c r="BB196" s="2315">
        <v>0</v>
      </c>
      <c r="BC196" s="2310"/>
      <c r="BD196" s="2240"/>
    </row>
    <row r="197" spans="2:56" s="2226" customFormat="1" ht="15" hidden="1" customHeight="1" outlineLevel="3">
      <c r="B197" s="2298"/>
      <c r="C197" s="2317" t="s">
        <v>1579</v>
      </c>
      <c r="D197" s="2300" t="s">
        <v>1909</v>
      </c>
      <c r="E197" s="2293">
        <v>0</v>
      </c>
      <c r="F197" s="2293">
        <v>0</v>
      </c>
      <c r="G197" s="2293">
        <v>0</v>
      </c>
      <c r="H197" s="2293">
        <v>0</v>
      </c>
      <c r="I197" s="2293">
        <v>0</v>
      </c>
      <c r="J197" s="2293">
        <v>0</v>
      </c>
      <c r="K197" s="2293">
        <v>0</v>
      </c>
      <c r="L197" s="2293">
        <v>0</v>
      </c>
      <c r="M197" s="2293">
        <v>0</v>
      </c>
      <c r="N197" s="2293">
        <v>0</v>
      </c>
      <c r="O197" s="2293">
        <v>0</v>
      </c>
      <c r="P197" s="2293">
        <v>0</v>
      </c>
      <c r="Q197" s="2293">
        <v>0</v>
      </c>
      <c r="R197" s="2293">
        <v>0</v>
      </c>
      <c r="S197" s="2293">
        <v>0</v>
      </c>
      <c r="T197" s="2293">
        <v>0</v>
      </c>
      <c r="U197" s="2293">
        <v>0</v>
      </c>
      <c r="V197" s="2293">
        <v>0</v>
      </c>
      <c r="W197" s="2293">
        <v>0</v>
      </c>
      <c r="X197" s="2293">
        <v>0</v>
      </c>
      <c r="Y197" s="2293">
        <v>0</v>
      </c>
      <c r="Z197" s="2293">
        <v>0</v>
      </c>
      <c r="AA197" s="2293">
        <v>0</v>
      </c>
      <c r="AB197" s="2293">
        <v>0</v>
      </c>
      <c r="AC197" s="2293">
        <v>0</v>
      </c>
      <c r="AD197" s="2293">
        <v>0</v>
      </c>
      <c r="AE197" s="2294">
        <v>0</v>
      </c>
      <c r="AF197" s="2295">
        <v>0</v>
      </c>
      <c r="AG197" s="2295">
        <v>0</v>
      </c>
      <c r="AH197" s="2295">
        <v>0</v>
      </c>
      <c r="AI197" s="2295">
        <v>0</v>
      </c>
      <c r="AJ197" s="2295">
        <v>0</v>
      </c>
      <c r="AK197" s="2295">
        <v>0</v>
      </c>
      <c r="AL197" s="2295">
        <v>0</v>
      </c>
      <c r="AM197" s="2295">
        <v>0</v>
      </c>
      <c r="AN197" s="2295">
        <v>0</v>
      </c>
      <c r="AO197" s="2295">
        <v>0</v>
      </c>
      <c r="AP197" s="2295">
        <v>0</v>
      </c>
      <c r="AQ197" s="2295">
        <v>0</v>
      </c>
      <c r="AR197" s="2295">
        <v>0</v>
      </c>
      <c r="AS197" s="2295">
        <v>0</v>
      </c>
      <c r="AT197" s="2295">
        <v>0</v>
      </c>
      <c r="AU197" s="2295">
        <v>0</v>
      </c>
      <c r="AV197" s="2295">
        <v>0</v>
      </c>
      <c r="AW197" s="2295">
        <v>0</v>
      </c>
      <c r="AX197" s="2295">
        <v>0</v>
      </c>
      <c r="AY197" s="2295">
        <v>0</v>
      </c>
      <c r="AZ197" s="2295">
        <v>0</v>
      </c>
      <c r="BA197" s="2295">
        <v>0</v>
      </c>
      <c r="BB197" s="2295">
        <v>0</v>
      </c>
      <c r="BC197" s="2310">
        <f>+AA197</f>
        <v>0</v>
      </c>
      <c r="BD197" s="2318"/>
    </row>
    <row r="198" spans="2:56" ht="15" hidden="1" customHeight="1" outlineLevel="3">
      <c r="B198" s="2298"/>
      <c r="C198" s="2316" t="s">
        <v>1910</v>
      </c>
      <c r="D198" s="2313" t="s">
        <v>1911</v>
      </c>
      <c r="E198" s="2314">
        <f>E195+E196+E197</f>
        <v>0</v>
      </c>
      <c r="F198" s="2314">
        <f t="shared" ref="F198:Y198" si="65">F195+F196+F197</f>
        <v>0</v>
      </c>
      <c r="G198" s="2314">
        <f t="shared" si="65"/>
        <v>0</v>
      </c>
      <c r="H198" s="2314">
        <f t="shared" si="65"/>
        <v>0</v>
      </c>
      <c r="I198" s="2314">
        <f t="shared" si="65"/>
        <v>0</v>
      </c>
      <c r="J198" s="2314">
        <f t="shared" si="65"/>
        <v>0</v>
      </c>
      <c r="K198" s="2314">
        <f t="shared" si="65"/>
        <v>0</v>
      </c>
      <c r="L198" s="2314">
        <f t="shared" si="65"/>
        <v>0</v>
      </c>
      <c r="M198" s="2314">
        <f t="shared" si="65"/>
        <v>0</v>
      </c>
      <c r="N198" s="2314">
        <f t="shared" si="65"/>
        <v>0</v>
      </c>
      <c r="O198" s="2314">
        <f t="shared" si="65"/>
        <v>0</v>
      </c>
      <c r="P198" s="2314">
        <f t="shared" si="65"/>
        <v>0</v>
      </c>
      <c r="Q198" s="2314">
        <f t="shared" si="65"/>
        <v>0</v>
      </c>
      <c r="R198" s="2314">
        <f t="shared" si="65"/>
        <v>0</v>
      </c>
      <c r="S198" s="2314">
        <f t="shared" si="65"/>
        <v>0</v>
      </c>
      <c r="T198" s="2314">
        <f t="shared" si="65"/>
        <v>0</v>
      </c>
      <c r="U198" s="2314">
        <f t="shared" si="65"/>
        <v>0</v>
      </c>
      <c r="V198" s="2314">
        <f t="shared" si="65"/>
        <v>0</v>
      </c>
      <c r="W198" s="2314">
        <f t="shared" si="65"/>
        <v>0</v>
      </c>
      <c r="X198" s="2314">
        <f t="shared" si="65"/>
        <v>0</v>
      </c>
      <c r="Y198" s="2314">
        <f t="shared" si="65"/>
        <v>0</v>
      </c>
      <c r="Z198" s="2293"/>
      <c r="AA198" s="2293"/>
      <c r="AB198" s="2293"/>
      <c r="AC198" s="2293"/>
      <c r="AD198" s="2293"/>
      <c r="AE198" s="2294"/>
      <c r="AF198" s="2295"/>
      <c r="AG198" s="2295"/>
      <c r="AH198" s="2295"/>
      <c r="AI198" s="2295"/>
      <c r="AJ198" s="2295"/>
      <c r="AK198" s="2295"/>
      <c r="AL198" s="2295"/>
      <c r="AM198" s="2295"/>
      <c r="AN198" s="2295"/>
      <c r="AO198" s="2295"/>
      <c r="AP198" s="2295"/>
      <c r="AQ198" s="2295"/>
      <c r="AR198" s="2295"/>
      <c r="AS198" s="2295"/>
      <c r="AT198" s="2295"/>
      <c r="AU198" s="2295"/>
      <c r="AV198" s="2295"/>
      <c r="AW198" s="2295"/>
      <c r="AX198" s="2295"/>
      <c r="AY198" s="2295"/>
      <c r="AZ198" s="2295"/>
      <c r="BA198" s="2295"/>
      <c r="BB198" s="2295"/>
      <c r="BC198" s="2310"/>
      <c r="BD198" s="2240"/>
    </row>
    <row r="199" spans="2:56" ht="15" hidden="1" customHeight="1" outlineLevel="3">
      <c r="B199" s="2298"/>
      <c r="C199" s="2316" t="s">
        <v>1930</v>
      </c>
      <c r="D199" s="2313" t="s">
        <v>1913</v>
      </c>
      <c r="E199" s="2314">
        <v>0</v>
      </c>
      <c r="F199" s="2314">
        <v>0</v>
      </c>
      <c r="G199" s="2314">
        <v>0</v>
      </c>
      <c r="H199" s="2314">
        <v>0</v>
      </c>
      <c r="I199" s="2314">
        <v>0</v>
      </c>
      <c r="J199" s="2314">
        <v>0</v>
      </c>
      <c r="K199" s="2314">
        <v>0</v>
      </c>
      <c r="L199" s="2314">
        <v>0</v>
      </c>
      <c r="M199" s="2314">
        <v>0</v>
      </c>
      <c r="N199" s="2314">
        <v>0</v>
      </c>
      <c r="O199" s="2314">
        <v>0</v>
      </c>
      <c r="P199" s="2314">
        <v>0</v>
      </c>
      <c r="Q199" s="2314">
        <v>0</v>
      </c>
      <c r="R199" s="2314">
        <v>0</v>
      </c>
      <c r="S199" s="2314">
        <v>0</v>
      </c>
      <c r="T199" s="2314">
        <v>0</v>
      </c>
      <c r="U199" s="2314">
        <v>0</v>
      </c>
      <c r="V199" s="2314">
        <v>0</v>
      </c>
      <c r="W199" s="2314">
        <v>0</v>
      </c>
      <c r="X199" s="2314">
        <v>0</v>
      </c>
      <c r="Y199" s="2314">
        <v>0</v>
      </c>
      <c r="Z199" s="2314">
        <v>0</v>
      </c>
      <c r="AA199" s="2314">
        <v>0</v>
      </c>
      <c r="AB199" s="2314">
        <v>0</v>
      </c>
      <c r="AC199" s="2314">
        <v>0</v>
      </c>
      <c r="AD199" s="2314">
        <v>0</v>
      </c>
      <c r="AE199" s="2329">
        <v>0</v>
      </c>
      <c r="AF199" s="2315">
        <v>0</v>
      </c>
      <c r="AG199" s="2315">
        <v>0</v>
      </c>
      <c r="AH199" s="2315">
        <v>0</v>
      </c>
      <c r="AI199" s="2315">
        <v>0</v>
      </c>
      <c r="AJ199" s="2315">
        <v>0</v>
      </c>
      <c r="AK199" s="2315">
        <v>0</v>
      </c>
      <c r="AL199" s="2315">
        <v>0</v>
      </c>
      <c r="AM199" s="2315">
        <v>0</v>
      </c>
      <c r="AN199" s="2315">
        <v>0</v>
      </c>
      <c r="AO199" s="2315">
        <v>0</v>
      </c>
      <c r="AP199" s="2315">
        <v>0</v>
      </c>
      <c r="AQ199" s="2315">
        <v>0</v>
      </c>
      <c r="AR199" s="2315">
        <v>0</v>
      </c>
      <c r="AS199" s="2315">
        <v>0</v>
      </c>
      <c r="AT199" s="2315">
        <v>0</v>
      </c>
      <c r="AU199" s="2315">
        <v>0</v>
      </c>
      <c r="AV199" s="2315">
        <v>0</v>
      </c>
      <c r="AW199" s="2315">
        <v>0</v>
      </c>
      <c r="AX199" s="2315">
        <v>0</v>
      </c>
      <c r="AY199" s="2315">
        <v>0</v>
      </c>
      <c r="AZ199" s="2315">
        <v>0</v>
      </c>
      <c r="BA199" s="2315">
        <v>0</v>
      </c>
      <c r="BB199" s="2315">
        <v>0</v>
      </c>
      <c r="BC199" s="2310"/>
      <c r="BD199" s="2240"/>
    </row>
    <row r="200" spans="2:56" ht="15" hidden="1" customHeight="1" outlineLevel="3">
      <c r="B200" s="2298"/>
      <c r="C200" s="2317" t="s">
        <v>1914</v>
      </c>
      <c r="D200" s="2300" t="s">
        <v>1915</v>
      </c>
      <c r="E200" s="2293">
        <v>0</v>
      </c>
      <c r="F200" s="2293">
        <v>0</v>
      </c>
      <c r="G200" s="2293">
        <v>0</v>
      </c>
      <c r="H200" s="2293">
        <v>0</v>
      </c>
      <c r="I200" s="2293">
        <v>0</v>
      </c>
      <c r="J200" s="2293">
        <v>0</v>
      </c>
      <c r="K200" s="2293">
        <v>0</v>
      </c>
      <c r="L200" s="2293">
        <v>0</v>
      </c>
      <c r="M200" s="2293">
        <v>0</v>
      </c>
      <c r="N200" s="2293">
        <v>0</v>
      </c>
      <c r="O200" s="2293">
        <v>0</v>
      </c>
      <c r="P200" s="2293">
        <v>0</v>
      </c>
      <c r="Q200" s="2293">
        <v>0</v>
      </c>
      <c r="R200" s="2293">
        <v>0</v>
      </c>
      <c r="S200" s="2293">
        <v>0</v>
      </c>
      <c r="T200" s="2293">
        <v>0</v>
      </c>
      <c r="U200" s="2293">
        <v>0</v>
      </c>
      <c r="V200" s="2293">
        <v>0</v>
      </c>
      <c r="W200" s="2293">
        <v>0</v>
      </c>
      <c r="X200" s="2293">
        <v>0</v>
      </c>
      <c r="Y200" s="2293">
        <v>0</v>
      </c>
      <c r="Z200" s="2293">
        <v>0</v>
      </c>
      <c r="AA200" s="2293">
        <v>0</v>
      </c>
      <c r="AB200" s="2293">
        <v>0</v>
      </c>
      <c r="AC200" s="2293">
        <v>0</v>
      </c>
      <c r="AD200" s="2293">
        <v>0</v>
      </c>
      <c r="AE200" s="2294">
        <v>0</v>
      </c>
      <c r="AF200" s="2295">
        <v>0</v>
      </c>
      <c r="AG200" s="2295">
        <v>0</v>
      </c>
      <c r="AH200" s="2295">
        <v>0</v>
      </c>
      <c r="AI200" s="2295">
        <v>0</v>
      </c>
      <c r="AJ200" s="2295">
        <v>0</v>
      </c>
      <c r="AK200" s="2295">
        <v>0</v>
      </c>
      <c r="AL200" s="2295">
        <v>0</v>
      </c>
      <c r="AM200" s="2295">
        <v>0</v>
      </c>
      <c r="AN200" s="2295">
        <v>0</v>
      </c>
      <c r="AO200" s="2295">
        <v>0</v>
      </c>
      <c r="AP200" s="2295">
        <v>0</v>
      </c>
      <c r="AQ200" s="2295">
        <v>0</v>
      </c>
      <c r="AR200" s="2295">
        <v>0</v>
      </c>
      <c r="AS200" s="2295">
        <v>0</v>
      </c>
      <c r="AT200" s="2295">
        <v>0</v>
      </c>
      <c r="AU200" s="2295">
        <v>0</v>
      </c>
      <c r="AV200" s="2295">
        <v>0</v>
      </c>
      <c r="AW200" s="2295">
        <v>0</v>
      </c>
      <c r="AX200" s="2295">
        <v>0</v>
      </c>
      <c r="AY200" s="2295">
        <v>0</v>
      </c>
      <c r="AZ200" s="2295">
        <v>0</v>
      </c>
      <c r="BA200" s="2295">
        <v>0</v>
      </c>
      <c r="BB200" s="2295">
        <v>0</v>
      </c>
      <c r="BC200" s="2310"/>
      <c r="BD200" s="2240"/>
    </row>
    <row r="201" spans="2:56" ht="15" hidden="1" customHeight="1" outlineLevel="3">
      <c r="B201" s="2298"/>
      <c r="C201" s="2316" t="s">
        <v>1916</v>
      </c>
      <c r="D201" s="2313" t="s">
        <v>1917</v>
      </c>
      <c r="E201" s="2314">
        <f>E198+E199+E200</f>
        <v>0</v>
      </c>
      <c r="F201" s="2314">
        <f t="shared" ref="F201:Y201" si="66">F198+F199+F200</f>
        <v>0</v>
      </c>
      <c r="G201" s="2314">
        <f t="shared" si="66"/>
        <v>0</v>
      </c>
      <c r="H201" s="2314">
        <f t="shared" si="66"/>
        <v>0</v>
      </c>
      <c r="I201" s="2314">
        <f t="shared" si="66"/>
        <v>0</v>
      </c>
      <c r="J201" s="2314">
        <f t="shared" si="66"/>
        <v>0</v>
      </c>
      <c r="K201" s="2314">
        <f t="shared" si="66"/>
        <v>0</v>
      </c>
      <c r="L201" s="2314">
        <f t="shared" si="66"/>
        <v>0</v>
      </c>
      <c r="M201" s="2314">
        <f t="shared" si="66"/>
        <v>0</v>
      </c>
      <c r="N201" s="2314">
        <f t="shared" si="66"/>
        <v>0</v>
      </c>
      <c r="O201" s="2314">
        <f t="shared" si="66"/>
        <v>0</v>
      </c>
      <c r="P201" s="2314">
        <f t="shared" si="66"/>
        <v>0</v>
      </c>
      <c r="Q201" s="2314">
        <f t="shared" si="66"/>
        <v>0</v>
      </c>
      <c r="R201" s="2314">
        <f t="shared" si="66"/>
        <v>0</v>
      </c>
      <c r="S201" s="2314">
        <f t="shared" si="66"/>
        <v>0</v>
      </c>
      <c r="T201" s="2314">
        <f t="shared" si="66"/>
        <v>0</v>
      </c>
      <c r="U201" s="2314">
        <f t="shared" si="66"/>
        <v>0</v>
      </c>
      <c r="V201" s="2314">
        <f t="shared" si="66"/>
        <v>0</v>
      </c>
      <c r="W201" s="2314">
        <f t="shared" si="66"/>
        <v>0</v>
      </c>
      <c r="X201" s="2314">
        <f t="shared" si="66"/>
        <v>0</v>
      </c>
      <c r="Y201" s="2314">
        <f t="shared" si="66"/>
        <v>0</v>
      </c>
      <c r="Z201" s="2293"/>
      <c r="AA201" s="2293"/>
      <c r="AB201" s="2293"/>
      <c r="AC201" s="2293"/>
      <c r="AD201" s="2293"/>
      <c r="AE201" s="2294"/>
      <c r="AF201" s="2295"/>
      <c r="AG201" s="2295"/>
      <c r="AH201" s="2295"/>
      <c r="AI201" s="2295"/>
      <c r="AJ201" s="2295"/>
      <c r="AK201" s="2295"/>
      <c r="AL201" s="2295"/>
      <c r="AM201" s="2295"/>
      <c r="AN201" s="2295"/>
      <c r="AO201" s="2295"/>
      <c r="AP201" s="2295"/>
      <c r="AQ201" s="2295"/>
      <c r="AR201" s="2295"/>
      <c r="AS201" s="2295"/>
      <c r="AT201" s="2295"/>
      <c r="AU201" s="2295"/>
      <c r="AV201" s="2295"/>
      <c r="AW201" s="2295"/>
      <c r="AX201" s="2295"/>
      <c r="AY201" s="2295"/>
      <c r="AZ201" s="2295"/>
      <c r="BA201" s="2295"/>
      <c r="BB201" s="2295"/>
      <c r="BC201" s="2310"/>
      <c r="BD201" s="2240"/>
    </row>
    <row r="202" spans="2:56" ht="15" hidden="1" customHeight="1" outlineLevel="3">
      <c r="B202" s="2298"/>
      <c r="C202" s="2317" t="s">
        <v>1918</v>
      </c>
      <c r="D202" s="2300" t="s">
        <v>1919</v>
      </c>
      <c r="E202" s="2293">
        <v>0</v>
      </c>
      <c r="F202" s="2293">
        <v>0</v>
      </c>
      <c r="G202" s="2293">
        <v>0</v>
      </c>
      <c r="H202" s="2293">
        <v>0</v>
      </c>
      <c r="I202" s="2293">
        <v>0</v>
      </c>
      <c r="J202" s="2293">
        <v>0</v>
      </c>
      <c r="K202" s="2293">
        <v>0</v>
      </c>
      <c r="L202" s="2293">
        <v>0</v>
      </c>
      <c r="M202" s="2293">
        <v>0</v>
      </c>
      <c r="N202" s="2293">
        <v>0</v>
      </c>
      <c r="O202" s="2293">
        <v>0</v>
      </c>
      <c r="P202" s="2293">
        <v>0</v>
      </c>
      <c r="Q202" s="2293">
        <v>0</v>
      </c>
      <c r="R202" s="2293">
        <v>0</v>
      </c>
      <c r="S202" s="2293">
        <v>0</v>
      </c>
      <c r="T202" s="2293">
        <v>0</v>
      </c>
      <c r="U202" s="2293">
        <v>0</v>
      </c>
      <c r="V202" s="2293">
        <v>0</v>
      </c>
      <c r="W202" s="2293">
        <v>0</v>
      </c>
      <c r="X202" s="2293">
        <v>0</v>
      </c>
      <c r="Y202" s="2293">
        <v>0</v>
      </c>
      <c r="Z202" s="2293">
        <v>0</v>
      </c>
      <c r="AA202" s="2293">
        <v>0</v>
      </c>
      <c r="AB202" s="2293">
        <v>0</v>
      </c>
      <c r="AC202" s="2293">
        <v>0</v>
      </c>
      <c r="AD202" s="2293">
        <v>0</v>
      </c>
      <c r="AE202" s="2294">
        <v>0</v>
      </c>
      <c r="AF202" s="2295">
        <v>0</v>
      </c>
      <c r="AG202" s="2295">
        <v>0</v>
      </c>
      <c r="AH202" s="2295">
        <v>0</v>
      </c>
      <c r="AI202" s="2295">
        <v>0</v>
      </c>
      <c r="AJ202" s="2295">
        <v>0</v>
      </c>
      <c r="AK202" s="2295">
        <v>0</v>
      </c>
      <c r="AL202" s="2295">
        <v>0</v>
      </c>
      <c r="AM202" s="2295">
        <v>0</v>
      </c>
      <c r="AN202" s="2295">
        <v>0</v>
      </c>
      <c r="AO202" s="2295">
        <v>0</v>
      </c>
      <c r="AP202" s="2295">
        <v>0</v>
      </c>
      <c r="AQ202" s="2295">
        <v>0</v>
      </c>
      <c r="AR202" s="2295">
        <v>0</v>
      </c>
      <c r="AS202" s="2295">
        <v>0</v>
      </c>
      <c r="AT202" s="2295">
        <v>0</v>
      </c>
      <c r="AU202" s="2295">
        <v>0</v>
      </c>
      <c r="AV202" s="2295">
        <v>0</v>
      </c>
      <c r="AW202" s="2295">
        <v>0</v>
      </c>
      <c r="AX202" s="2295">
        <v>0</v>
      </c>
      <c r="AY202" s="2295">
        <v>0</v>
      </c>
      <c r="AZ202" s="2295">
        <v>0</v>
      </c>
      <c r="BA202" s="2295">
        <v>0</v>
      </c>
      <c r="BB202" s="2295">
        <v>0</v>
      </c>
      <c r="BC202" s="2310"/>
      <c r="BD202" s="2240"/>
    </row>
    <row r="203" spans="2:56" ht="15" hidden="1" customHeight="1" outlineLevel="3">
      <c r="B203" s="2298"/>
      <c r="C203" s="2317" t="s">
        <v>1920</v>
      </c>
      <c r="D203" s="2319" t="s">
        <v>1921</v>
      </c>
      <c r="E203" s="2293">
        <v>0</v>
      </c>
      <c r="F203" s="2293">
        <v>0</v>
      </c>
      <c r="G203" s="2293">
        <v>0</v>
      </c>
      <c r="H203" s="2293">
        <v>0</v>
      </c>
      <c r="I203" s="2293">
        <v>0</v>
      </c>
      <c r="J203" s="2293">
        <v>0</v>
      </c>
      <c r="K203" s="2293">
        <v>0</v>
      </c>
      <c r="L203" s="2293">
        <v>0</v>
      </c>
      <c r="M203" s="2293">
        <v>0</v>
      </c>
      <c r="N203" s="2293">
        <v>0</v>
      </c>
      <c r="O203" s="2293">
        <v>0</v>
      </c>
      <c r="P203" s="2293">
        <v>0</v>
      </c>
      <c r="Q203" s="2293">
        <v>0</v>
      </c>
      <c r="R203" s="2293">
        <v>0</v>
      </c>
      <c r="S203" s="2293">
        <v>0</v>
      </c>
      <c r="T203" s="2293">
        <v>0</v>
      </c>
      <c r="U203" s="2293">
        <v>0</v>
      </c>
      <c r="V203" s="2293">
        <v>0</v>
      </c>
      <c r="W203" s="2293">
        <v>0</v>
      </c>
      <c r="X203" s="2293">
        <v>0</v>
      </c>
      <c r="Y203" s="2293">
        <v>0</v>
      </c>
      <c r="Z203" s="2293">
        <v>0</v>
      </c>
      <c r="AA203" s="2293">
        <v>0</v>
      </c>
      <c r="AB203" s="2293">
        <v>0</v>
      </c>
      <c r="AC203" s="2293">
        <v>0</v>
      </c>
      <c r="AD203" s="2293">
        <v>0</v>
      </c>
      <c r="AE203" s="2294">
        <v>0</v>
      </c>
      <c r="AF203" s="2295">
        <v>0</v>
      </c>
      <c r="AG203" s="2295">
        <v>0</v>
      </c>
      <c r="AH203" s="2295">
        <v>0</v>
      </c>
      <c r="AI203" s="2295">
        <v>0</v>
      </c>
      <c r="AJ203" s="2295">
        <v>0</v>
      </c>
      <c r="AK203" s="2295">
        <v>0</v>
      </c>
      <c r="AL203" s="2295">
        <v>0</v>
      </c>
      <c r="AM203" s="2295">
        <v>0</v>
      </c>
      <c r="AN203" s="2295">
        <v>0</v>
      </c>
      <c r="AO203" s="2295">
        <v>0</v>
      </c>
      <c r="AP203" s="2295">
        <v>0</v>
      </c>
      <c r="AQ203" s="2295">
        <v>0</v>
      </c>
      <c r="AR203" s="2295">
        <v>0</v>
      </c>
      <c r="AS203" s="2295">
        <v>0</v>
      </c>
      <c r="AT203" s="2295">
        <v>0</v>
      </c>
      <c r="AU203" s="2295">
        <v>0</v>
      </c>
      <c r="AV203" s="2295">
        <v>0</v>
      </c>
      <c r="AW203" s="2295">
        <v>0</v>
      </c>
      <c r="AX203" s="2295">
        <v>0</v>
      </c>
      <c r="AY203" s="2295">
        <v>0</v>
      </c>
      <c r="AZ203" s="2295">
        <v>0</v>
      </c>
      <c r="BA203" s="2295">
        <v>0</v>
      </c>
      <c r="BB203" s="2295">
        <v>0</v>
      </c>
      <c r="BC203" s="2310"/>
      <c r="BD203" s="2240"/>
    </row>
    <row r="204" spans="2:56" ht="15" hidden="1" customHeight="1" outlineLevel="3">
      <c r="B204" s="2298"/>
      <c r="C204" s="2317" t="s">
        <v>1922</v>
      </c>
      <c r="D204" s="2319" t="s">
        <v>1923</v>
      </c>
      <c r="E204" s="2293">
        <v>0</v>
      </c>
      <c r="F204" s="2293">
        <v>0</v>
      </c>
      <c r="G204" s="2293">
        <v>0</v>
      </c>
      <c r="H204" s="2293">
        <v>0</v>
      </c>
      <c r="I204" s="2293">
        <v>0</v>
      </c>
      <c r="J204" s="2293">
        <v>0</v>
      </c>
      <c r="K204" s="2293">
        <v>0</v>
      </c>
      <c r="L204" s="2293">
        <v>0</v>
      </c>
      <c r="M204" s="2293">
        <v>0</v>
      </c>
      <c r="N204" s="2293">
        <v>0</v>
      </c>
      <c r="O204" s="2293">
        <v>0</v>
      </c>
      <c r="P204" s="2293">
        <v>0</v>
      </c>
      <c r="Q204" s="2293">
        <v>0</v>
      </c>
      <c r="R204" s="2293">
        <v>0</v>
      </c>
      <c r="S204" s="2293">
        <v>0</v>
      </c>
      <c r="T204" s="2293">
        <v>0</v>
      </c>
      <c r="U204" s="2293">
        <v>0</v>
      </c>
      <c r="V204" s="2293">
        <v>0</v>
      </c>
      <c r="W204" s="2293">
        <v>0</v>
      </c>
      <c r="X204" s="2293">
        <v>0</v>
      </c>
      <c r="Y204" s="2293">
        <v>0</v>
      </c>
      <c r="Z204" s="2293">
        <v>0</v>
      </c>
      <c r="AA204" s="2293">
        <v>0</v>
      </c>
      <c r="AB204" s="2293">
        <v>0</v>
      </c>
      <c r="AC204" s="2293">
        <v>0</v>
      </c>
      <c r="AD204" s="2293">
        <v>0</v>
      </c>
      <c r="AE204" s="2294">
        <v>0</v>
      </c>
      <c r="AF204" s="2295">
        <v>0</v>
      </c>
      <c r="AG204" s="2295">
        <v>0</v>
      </c>
      <c r="AH204" s="2295">
        <v>0</v>
      </c>
      <c r="AI204" s="2295">
        <v>0</v>
      </c>
      <c r="AJ204" s="2295">
        <v>0</v>
      </c>
      <c r="AK204" s="2295">
        <v>0</v>
      </c>
      <c r="AL204" s="2295">
        <v>0</v>
      </c>
      <c r="AM204" s="2295">
        <v>0</v>
      </c>
      <c r="AN204" s="2295">
        <v>0</v>
      </c>
      <c r="AO204" s="2295">
        <v>0</v>
      </c>
      <c r="AP204" s="2295">
        <v>0</v>
      </c>
      <c r="AQ204" s="2295">
        <v>0</v>
      </c>
      <c r="AR204" s="2295">
        <v>0</v>
      </c>
      <c r="AS204" s="2295">
        <v>0</v>
      </c>
      <c r="AT204" s="2295">
        <v>0</v>
      </c>
      <c r="AU204" s="2295">
        <v>0</v>
      </c>
      <c r="AV204" s="2295">
        <v>0</v>
      </c>
      <c r="AW204" s="2295">
        <v>0</v>
      </c>
      <c r="AX204" s="2295">
        <v>0</v>
      </c>
      <c r="AY204" s="2295">
        <v>0</v>
      </c>
      <c r="AZ204" s="2295">
        <v>0</v>
      </c>
      <c r="BA204" s="2295">
        <v>0</v>
      </c>
      <c r="BB204" s="2295">
        <v>0</v>
      </c>
      <c r="BC204" s="2320"/>
      <c r="BD204" s="2240"/>
    </row>
    <row r="205" spans="2:56" ht="15" hidden="1" customHeight="1" outlineLevel="2">
      <c r="B205" s="2298"/>
      <c r="C205" s="2316" t="s">
        <v>1924</v>
      </c>
      <c r="D205" s="2321" t="s">
        <v>1925</v>
      </c>
      <c r="E205" s="2314">
        <f t="shared" ref="E205:BB205" si="67">E201+E202+E204</f>
        <v>0</v>
      </c>
      <c r="F205" s="2314">
        <f t="shared" si="67"/>
        <v>0</v>
      </c>
      <c r="G205" s="2314">
        <f t="shared" si="67"/>
        <v>0</v>
      </c>
      <c r="H205" s="2314">
        <f t="shared" si="67"/>
        <v>0</v>
      </c>
      <c r="I205" s="2314">
        <f t="shared" si="67"/>
        <v>0</v>
      </c>
      <c r="J205" s="2314">
        <f t="shared" si="67"/>
        <v>0</v>
      </c>
      <c r="K205" s="2314">
        <f t="shared" si="67"/>
        <v>0</v>
      </c>
      <c r="L205" s="2314">
        <f t="shared" si="67"/>
        <v>0</v>
      </c>
      <c r="M205" s="2314">
        <f t="shared" si="67"/>
        <v>0</v>
      </c>
      <c r="N205" s="2314">
        <f t="shared" si="67"/>
        <v>0</v>
      </c>
      <c r="O205" s="2314">
        <f t="shared" si="67"/>
        <v>0</v>
      </c>
      <c r="P205" s="2314">
        <f t="shared" si="67"/>
        <v>0</v>
      </c>
      <c r="Q205" s="2314">
        <f t="shared" si="67"/>
        <v>0</v>
      </c>
      <c r="R205" s="2314">
        <f t="shared" si="67"/>
        <v>0</v>
      </c>
      <c r="S205" s="2314">
        <f t="shared" si="67"/>
        <v>0</v>
      </c>
      <c r="T205" s="2314">
        <f t="shared" si="67"/>
        <v>0</v>
      </c>
      <c r="U205" s="2314">
        <f t="shared" si="67"/>
        <v>0</v>
      </c>
      <c r="V205" s="2314">
        <f t="shared" si="67"/>
        <v>0</v>
      </c>
      <c r="W205" s="2314">
        <f t="shared" si="67"/>
        <v>0</v>
      </c>
      <c r="X205" s="2314">
        <f t="shared" si="67"/>
        <v>0</v>
      </c>
      <c r="Y205" s="2314">
        <f t="shared" si="67"/>
        <v>0</v>
      </c>
      <c r="Z205" s="2314">
        <f t="shared" si="67"/>
        <v>0</v>
      </c>
      <c r="AA205" s="2314">
        <f t="shared" si="67"/>
        <v>0</v>
      </c>
      <c r="AB205" s="2314">
        <f t="shared" si="67"/>
        <v>0</v>
      </c>
      <c r="AC205" s="2314">
        <f t="shared" si="67"/>
        <v>0</v>
      </c>
      <c r="AD205" s="2314">
        <f t="shared" si="67"/>
        <v>0</v>
      </c>
      <c r="AE205" s="2329">
        <f t="shared" si="67"/>
        <v>0</v>
      </c>
      <c r="AF205" s="2315">
        <f t="shared" si="67"/>
        <v>0</v>
      </c>
      <c r="AG205" s="2315">
        <f t="shared" si="67"/>
        <v>0</v>
      </c>
      <c r="AH205" s="2315">
        <f t="shared" si="67"/>
        <v>0</v>
      </c>
      <c r="AI205" s="2315">
        <f t="shared" si="67"/>
        <v>0</v>
      </c>
      <c r="AJ205" s="2315">
        <f t="shared" si="67"/>
        <v>0</v>
      </c>
      <c r="AK205" s="2315">
        <f t="shared" si="67"/>
        <v>0</v>
      </c>
      <c r="AL205" s="2315">
        <f t="shared" si="67"/>
        <v>0</v>
      </c>
      <c r="AM205" s="2315">
        <f t="shared" si="67"/>
        <v>0</v>
      </c>
      <c r="AN205" s="2315">
        <f t="shared" si="67"/>
        <v>0</v>
      </c>
      <c r="AO205" s="2315">
        <f t="shared" si="67"/>
        <v>0</v>
      </c>
      <c r="AP205" s="2315">
        <f t="shared" si="67"/>
        <v>0</v>
      </c>
      <c r="AQ205" s="2315">
        <f t="shared" si="67"/>
        <v>0</v>
      </c>
      <c r="AR205" s="2315">
        <f t="shared" si="67"/>
        <v>0</v>
      </c>
      <c r="AS205" s="2315">
        <f t="shared" si="67"/>
        <v>0</v>
      </c>
      <c r="AT205" s="2315">
        <f t="shared" si="67"/>
        <v>0</v>
      </c>
      <c r="AU205" s="2315">
        <f t="shared" si="67"/>
        <v>0</v>
      </c>
      <c r="AV205" s="2315">
        <f t="shared" si="67"/>
        <v>0</v>
      </c>
      <c r="AW205" s="2315">
        <f t="shared" si="67"/>
        <v>0</v>
      </c>
      <c r="AX205" s="2315">
        <f t="shared" si="67"/>
        <v>0</v>
      </c>
      <c r="AY205" s="2315">
        <f t="shared" si="67"/>
        <v>0</v>
      </c>
      <c r="AZ205" s="2315">
        <f t="shared" si="67"/>
        <v>0</v>
      </c>
      <c r="BA205" s="2315">
        <f t="shared" si="67"/>
        <v>0</v>
      </c>
      <c r="BB205" s="2315">
        <f t="shared" si="67"/>
        <v>0</v>
      </c>
      <c r="BC205" s="2310"/>
      <c r="BD205" s="2240"/>
    </row>
    <row r="206" spans="2:56" ht="15" hidden="1" customHeight="1" outlineLevel="2">
      <c r="B206" s="2298"/>
      <c r="C206" s="2316" t="s">
        <v>1926</v>
      </c>
      <c r="D206" s="2313" t="s">
        <v>1927</v>
      </c>
      <c r="E206" s="2314">
        <f>E205</f>
        <v>0</v>
      </c>
      <c r="F206" s="2314">
        <f t="shared" ref="F206:BB206" si="68">F205-E205</f>
        <v>0</v>
      </c>
      <c r="G206" s="2314">
        <f t="shared" si="68"/>
        <v>0</v>
      </c>
      <c r="H206" s="2314">
        <f t="shared" si="68"/>
        <v>0</v>
      </c>
      <c r="I206" s="2314">
        <f t="shared" si="68"/>
        <v>0</v>
      </c>
      <c r="J206" s="2314">
        <f t="shared" si="68"/>
        <v>0</v>
      </c>
      <c r="K206" s="2314">
        <f t="shared" si="68"/>
        <v>0</v>
      </c>
      <c r="L206" s="2314">
        <f t="shared" si="68"/>
        <v>0</v>
      </c>
      <c r="M206" s="2314">
        <f t="shared" si="68"/>
        <v>0</v>
      </c>
      <c r="N206" s="2314">
        <f t="shared" si="68"/>
        <v>0</v>
      </c>
      <c r="O206" s="2314">
        <f t="shared" si="68"/>
        <v>0</v>
      </c>
      <c r="P206" s="2314">
        <f t="shared" si="68"/>
        <v>0</v>
      </c>
      <c r="Q206" s="2314">
        <f t="shared" si="68"/>
        <v>0</v>
      </c>
      <c r="R206" s="2314">
        <f t="shared" si="68"/>
        <v>0</v>
      </c>
      <c r="S206" s="2314">
        <f t="shared" si="68"/>
        <v>0</v>
      </c>
      <c r="T206" s="2314">
        <f t="shared" si="68"/>
        <v>0</v>
      </c>
      <c r="U206" s="2314">
        <f t="shared" si="68"/>
        <v>0</v>
      </c>
      <c r="V206" s="2314">
        <f t="shared" si="68"/>
        <v>0</v>
      </c>
      <c r="W206" s="2314">
        <f t="shared" si="68"/>
        <v>0</v>
      </c>
      <c r="X206" s="2314">
        <f t="shared" si="68"/>
        <v>0</v>
      </c>
      <c r="Y206" s="2314">
        <f t="shared" si="68"/>
        <v>0</v>
      </c>
      <c r="Z206" s="2314">
        <f t="shared" si="68"/>
        <v>0</v>
      </c>
      <c r="AA206" s="2314">
        <f t="shared" si="68"/>
        <v>0</v>
      </c>
      <c r="AB206" s="2314">
        <f t="shared" si="68"/>
        <v>0</v>
      </c>
      <c r="AC206" s="2314">
        <f t="shared" si="68"/>
        <v>0</v>
      </c>
      <c r="AD206" s="2314">
        <f t="shared" si="68"/>
        <v>0</v>
      </c>
      <c r="AE206" s="2329">
        <f t="shared" si="68"/>
        <v>0</v>
      </c>
      <c r="AF206" s="2315">
        <f t="shared" si="68"/>
        <v>0</v>
      </c>
      <c r="AG206" s="2315">
        <f t="shared" si="68"/>
        <v>0</v>
      </c>
      <c r="AH206" s="2315">
        <f t="shared" si="68"/>
        <v>0</v>
      </c>
      <c r="AI206" s="2315">
        <f t="shared" si="68"/>
        <v>0</v>
      </c>
      <c r="AJ206" s="2315">
        <f t="shared" si="68"/>
        <v>0</v>
      </c>
      <c r="AK206" s="2315">
        <f t="shared" si="68"/>
        <v>0</v>
      </c>
      <c r="AL206" s="2315">
        <f t="shared" si="68"/>
        <v>0</v>
      </c>
      <c r="AM206" s="2315">
        <f t="shared" si="68"/>
        <v>0</v>
      </c>
      <c r="AN206" s="2315">
        <f t="shared" si="68"/>
        <v>0</v>
      </c>
      <c r="AO206" s="2315">
        <f t="shared" si="68"/>
        <v>0</v>
      </c>
      <c r="AP206" s="2315">
        <f t="shared" si="68"/>
        <v>0</v>
      </c>
      <c r="AQ206" s="2315">
        <f t="shared" si="68"/>
        <v>0</v>
      </c>
      <c r="AR206" s="2315">
        <f t="shared" si="68"/>
        <v>0</v>
      </c>
      <c r="AS206" s="2315">
        <f t="shared" si="68"/>
        <v>0</v>
      </c>
      <c r="AT206" s="2315">
        <f t="shared" si="68"/>
        <v>0</v>
      </c>
      <c r="AU206" s="2315">
        <f t="shared" si="68"/>
        <v>0</v>
      </c>
      <c r="AV206" s="2315">
        <f t="shared" si="68"/>
        <v>0</v>
      </c>
      <c r="AW206" s="2315">
        <f t="shared" si="68"/>
        <v>0</v>
      </c>
      <c r="AX206" s="2315">
        <f t="shared" si="68"/>
        <v>0</v>
      </c>
      <c r="AY206" s="2315">
        <f t="shared" si="68"/>
        <v>0</v>
      </c>
      <c r="AZ206" s="2315">
        <f t="shared" si="68"/>
        <v>0</v>
      </c>
      <c r="BA206" s="2315">
        <f>BA205-AP205</f>
        <v>0</v>
      </c>
      <c r="BB206" s="2315">
        <f t="shared" si="68"/>
        <v>0</v>
      </c>
      <c r="BC206" s="2310"/>
      <c r="BD206" s="2240"/>
    </row>
    <row r="207" spans="2:56" ht="15" hidden="1" customHeight="1" outlineLevel="2">
      <c r="B207" s="2298"/>
      <c r="C207" s="2322"/>
      <c r="D207" s="2313"/>
      <c r="E207" s="2314"/>
      <c r="F207" s="2314"/>
      <c r="G207" s="2314"/>
      <c r="H207" s="2314"/>
      <c r="I207" s="2314"/>
      <c r="J207" s="2314"/>
      <c r="K207" s="2314"/>
      <c r="L207" s="2314"/>
      <c r="M207" s="2314"/>
      <c r="N207" s="2314"/>
      <c r="O207" s="2314"/>
      <c r="P207" s="2314"/>
      <c r="Q207" s="2314"/>
      <c r="R207" s="2314"/>
      <c r="S207" s="2314"/>
      <c r="T207" s="2314"/>
      <c r="U207" s="2314"/>
      <c r="V207" s="2314"/>
      <c r="W207" s="2314"/>
      <c r="X207" s="2314"/>
      <c r="Y207" s="2314"/>
      <c r="Z207" s="2293"/>
      <c r="AA207" s="2293"/>
      <c r="AB207" s="2293"/>
      <c r="AC207" s="2293"/>
      <c r="AD207" s="2293"/>
      <c r="AE207" s="2294"/>
      <c r="AF207" s="2295"/>
      <c r="AG207" s="2295"/>
      <c r="AH207" s="2295"/>
      <c r="AI207" s="2295"/>
      <c r="AJ207" s="2295"/>
      <c r="AK207" s="2295"/>
      <c r="AL207" s="2295"/>
      <c r="AM207" s="2295"/>
      <c r="AN207" s="2295"/>
      <c r="AO207" s="2295"/>
      <c r="AP207" s="2295"/>
      <c r="AQ207" s="2295"/>
      <c r="AR207" s="2295"/>
      <c r="AS207" s="2295"/>
      <c r="AT207" s="2295"/>
      <c r="AU207" s="2295"/>
      <c r="AV207" s="2295"/>
      <c r="AW207" s="2295"/>
      <c r="AX207" s="2295"/>
      <c r="AY207" s="2295"/>
      <c r="AZ207" s="2295"/>
      <c r="BA207" s="2295"/>
      <c r="BB207" s="2295"/>
      <c r="BC207" s="2308"/>
      <c r="BD207" s="2240"/>
    </row>
    <row r="208" spans="2:56" ht="11.25" hidden="1" customHeight="1" outlineLevel="2">
      <c r="B208" s="2298"/>
      <c r="C208" s="2299"/>
      <c r="D208" s="2300"/>
      <c r="E208" s="2293"/>
      <c r="F208" s="2293"/>
      <c r="G208" s="2293"/>
      <c r="H208" s="2293"/>
      <c r="I208" s="2293"/>
      <c r="J208" s="2293"/>
      <c r="K208" s="2293"/>
      <c r="L208" s="2293"/>
      <c r="M208" s="2293"/>
      <c r="N208" s="2293"/>
      <c r="O208" s="2293"/>
      <c r="P208" s="2293"/>
      <c r="Q208" s="2293"/>
      <c r="R208" s="2293"/>
      <c r="S208" s="2293"/>
      <c r="T208" s="2293"/>
      <c r="U208" s="2293"/>
      <c r="V208" s="2293"/>
      <c r="W208" s="2293"/>
      <c r="X208" s="2293"/>
      <c r="Y208" s="2293"/>
      <c r="Z208" s="2293"/>
      <c r="AA208" s="2293"/>
      <c r="AB208" s="2293"/>
      <c r="AC208" s="2293"/>
      <c r="AD208" s="2293"/>
      <c r="AE208" s="2294"/>
      <c r="AF208" s="2295"/>
      <c r="AG208" s="2295"/>
      <c r="AH208" s="2295"/>
      <c r="AI208" s="2295"/>
      <c r="AJ208" s="2295"/>
      <c r="AK208" s="2295"/>
      <c r="AL208" s="2295"/>
      <c r="AM208" s="2295"/>
      <c r="AN208" s="2295"/>
      <c r="AO208" s="2295"/>
      <c r="AP208" s="2295"/>
      <c r="AQ208" s="2295"/>
      <c r="AR208" s="2295"/>
      <c r="AS208" s="2295"/>
      <c r="AT208" s="2295"/>
      <c r="AU208" s="2295"/>
      <c r="AV208" s="2295"/>
      <c r="AW208" s="2295"/>
      <c r="AX208" s="2295"/>
      <c r="AY208" s="2295"/>
      <c r="AZ208" s="2295"/>
      <c r="BA208" s="2295"/>
      <c r="BB208" s="2295"/>
      <c r="BC208" s="2308"/>
      <c r="BD208" s="2240"/>
    </row>
    <row r="209" spans="2:57" s="2203" customFormat="1" hidden="1" outlineLevel="1">
      <c r="B209" s="2323">
        <v>300</v>
      </c>
      <c r="C209" s="2324" t="s">
        <v>1931</v>
      </c>
      <c r="D209" s="2325" t="s">
        <v>1896</v>
      </c>
      <c r="E209" s="2296">
        <f>E226</f>
        <v>0</v>
      </c>
      <c r="F209" s="2296">
        <f t="shared" ref="F209:BB210" si="69">F226</f>
        <v>0</v>
      </c>
      <c r="G209" s="2296">
        <f t="shared" si="69"/>
        <v>0</v>
      </c>
      <c r="H209" s="2296">
        <f t="shared" si="69"/>
        <v>0</v>
      </c>
      <c r="I209" s="2296">
        <f t="shared" si="69"/>
        <v>0</v>
      </c>
      <c r="J209" s="2296">
        <f t="shared" si="69"/>
        <v>0</v>
      </c>
      <c r="K209" s="2296">
        <f t="shared" si="69"/>
        <v>0</v>
      </c>
      <c r="L209" s="2296">
        <f t="shared" si="69"/>
        <v>0</v>
      </c>
      <c r="M209" s="2296">
        <f t="shared" si="69"/>
        <v>0</v>
      </c>
      <c r="N209" s="2296">
        <f t="shared" si="69"/>
        <v>0</v>
      </c>
      <c r="O209" s="2296">
        <f t="shared" si="69"/>
        <v>0</v>
      </c>
      <c r="P209" s="2296">
        <f t="shared" si="69"/>
        <v>0</v>
      </c>
      <c r="Q209" s="2296">
        <f t="shared" si="69"/>
        <v>0</v>
      </c>
      <c r="R209" s="2296">
        <f t="shared" si="69"/>
        <v>0</v>
      </c>
      <c r="S209" s="2296">
        <f t="shared" si="69"/>
        <v>0</v>
      </c>
      <c r="T209" s="2296">
        <f t="shared" si="69"/>
        <v>0</v>
      </c>
      <c r="U209" s="2296">
        <f t="shared" si="69"/>
        <v>0</v>
      </c>
      <c r="V209" s="2296">
        <f t="shared" si="69"/>
        <v>0</v>
      </c>
      <c r="W209" s="2296">
        <f t="shared" si="69"/>
        <v>0</v>
      </c>
      <c r="X209" s="2296">
        <f t="shared" si="69"/>
        <v>0</v>
      </c>
      <c r="Y209" s="2296">
        <f t="shared" si="69"/>
        <v>0</v>
      </c>
      <c r="Z209" s="2296">
        <f t="shared" si="69"/>
        <v>0</v>
      </c>
      <c r="AA209" s="2296">
        <f t="shared" si="69"/>
        <v>0</v>
      </c>
      <c r="AB209" s="2296">
        <f t="shared" si="69"/>
        <v>0</v>
      </c>
      <c r="AC209" s="2296">
        <f t="shared" si="69"/>
        <v>0</v>
      </c>
      <c r="AD209" s="2296">
        <f t="shared" si="69"/>
        <v>0</v>
      </c>
      <c r="AE209" s="2296">
        <f t="shared" si="69"/>
        <v>0</v>
      </c>
      <c r="AF209" s="2296">
        <f t="shared" si="69"/>
        <v>0</v>
      </c>
      <c r="AG209" s="2296">
        <f t="shared" si="69"/>
        <v>0</v>
      </c>
      <c r="AH209" s="2296">
        <f t="shared" si="69"/>
        <v>0</v>
      </c>
      <c r="AI209" s="2296">
        <f t="shared" si="69"/>
        <v>0</v>
      </c>
      <c r="AJ209" s="2296">
        <f t="shared" si="69"/>
        <v>0</v>
      </c>
      <c r="AK209" s="2296">
        <f t="shared" si="69"/>
        <v>0</v>
      </c>
      <c r="AL209" s="2296">
        <f t="shared" si="69"/>
        <v>0</v>
      </c>
      <c r="AM209" s="2296">
        <f t="shared" si="69"/>
        <v>0</v>
      </c>
      <c r="AN209" s="2296">
        <f t="shared" si="69"/>
        <v>0</v>
      </c>
      <c r="AO209" s="2296">
        <f t="shared" si="69"/>
        <v>0</v>
      </c>
      <c r="AP209" s="2296">
        <f t="shared" si="69"/>
        <v>0</v>
      </c>
      <c r="AQ209" s="2296">
        <f t="shared" si="69"/>
        <v>0</v>
      </c>
      <c r="AR209" s="2296">
        <f t="shared" si="69"/>
        <v>0</v>
      </c>
      <c r="AS209" s="2296">
        <f t="shared" si="69"/>
        <v>0</v>
      </c>
      <c r="AT209" s="2296">
        <f t="shared" si="69"/>
        <v>0</v>
      </c>
      <c r="AU209" s="2296">
        <f t="shared" si="69"/>
        <v>0</v>
      </c>
      <c r="AV209" s="2296">
        <f t="shared" si="69"/>
        <v>0</v>
      </c>
      <c r="AW209" s="2296">
        <f t="shared" si="69"/>
        <v>0</v>
      </c>
      <c r="AX209" s="2296">
        <f t="shared" si="69"/>
        <v>0</v>
      </c>
      <c r="AY209" s="2296">
        <f t="shared" si="69"/>
        <v>0</v>
      </c>
      <c r="AZ209" s="2296">
        <f t="shared" si="69"/>
        <v>0</v>
      </c>
      <c r="BA209" s="2296">
        <f t="shared" si="69"/>
        <v>0</v>
      </c>
      <c r="BB209" s="2296">
        <f t="shared" si="69"/>
        <v>0</v>
      </c>
      <c r="BC209" s="2301"/>
      <c r="BD209" s="2208"/>
      <c r="BE209" s="2297"/>
    </row>
    <row r="210" spans="2:57" s="2203" customFormat="1" hidden="1" outlineLevel="1">
      <c r="B210" s="2323"/>
      <c r="C210" s="2324"/>
      <c r="D210" s="2325" t="s">
        <v>1897</v>
      </c>
      <c r="E210" s="2296">
        <f>E227</f>
        <v>0</v>
      </c>
      <c r="F210" s="2296">
        <f t="shared" si="69"/>
        <v>0</v>
      </c>
      <c r="G210" s="2296">
        <f t="shared" si="69"/>
        <v>0</v>
      </c>
      <c r="H210" s="2296">
        <f t="shared" si="69"/>
        <v>0</v>
      </c>
      <c r="I210" s="2296">
        <f t="shared" si="69"/>
        <v>0</v>
      </c>
      <c r="J210" s="2296">
        <f t="shared" si="69"/>
        <v>0</v>
      </c>
      <c r="K210" s="2296">
        <f t="shared" si="69"/>
        <v>0</v>
      </c>
      <c r="L210" s="2296">
        <f t="shared" si="69"/>
        <v>0</v>
      </c>
      <c r="M210" s="2296">
        <f t="shared" si="69"/>
        <v>0</v>
      </c>
      <c r="N210" s="2296">
        <f t="shared" si="69"/>
        <v>0</v>
      </c>
      <c r="O210" s="2296">
        <f t="shared" si="69"/>
        <v>0</v>
      </c>
      <c r="P210" s="2296">
        <f t="shared" si="69"/>
        <v>0</v>
      </c>
      <c r="Q210" s="2296">
        <f t="shared" si="69"/>
        <v>0</v>
      </c>
      <c r="R210" s="2296">
        <f t="shared" si="69"/>
        <v>0</v>
      </c>
      <c r="S210" s="2296">
        <f t="shared" si="69"/>
        <v>0</v>
      </c>
      <c r="T210" s="2296">
        <f t="shared" si="69"/>
        <v>0</v>
      </c>
      <c r="U210" s="2296">
        <f t="shared" si="69"/>
        <v>0</v>
      </c>
      <c r="V210" s="2296">
        <f t="shared" si="69"/>
        <v>0</v>
      </c>
      <c r="W210" s="2296">
        <f t="shared" si="69"/>
        <v>0</v>
      </c>
      <c r="X210" s="2296">
        <f t="shared" si="69"/>
        <v>0</v>
      </c>
      <c r="Y210" s="2296">
        <f t="shared" si="69"/>
        <v>0</v>
      </c>
      <c r="Z210" s="2296">
        <f t="shared" si="69"/>
        <v>0</v>
      </c>
      <c r="AA210" s="2296">
        <f t="shared" si="69"/>
        <v>0</v>
      </c>
      <c r="AB210" s="2296">
        <f t="shared" si="69"/>
        <v>0</v>
      </c>
      <c r="AC210" s="2296">
        <f t="shared" si="69"/>
        <v>0</v>
      </c>
      <c r="AD210" s="2296">
        <f t="shared" si="69"/>
        <v>0</v>
      </c>
      <c r="AE210" s="2296">
        <f t="shared" si="69"/>
        <v>0</v>
      </c>
      <c r="AF210" s="2296">
        <f t="shared" si="69"/>
        <v>0</v>
      </c>
      <c r="AG210" s="2296">
        <f t="shared" si="69"/>
        <v>0</v>
      </c>
      <c r="AH210" s="2296">
        <f t="shared" si="69"/>
        <v>0</v>
      </c>
      <c r="AI210" s="2296">
        <f t="shared" si="69"/>
        <v>0</v>
      </c>
      <c r="AJ210" s="2296">
        <f t="shared" si="69"/>
        <v>0</v>
      </c>
      <c r="AK210" s="2296">
        <f t="shared" si="69"/>
        <v>0</v>
      </c>
      <c r="AL210" s="2296">
        <f t="shared" si="69"/>
        <v>0</v>
      </c>
      <c r="AM210" s="2296">
        <f t="shared" si="69"/>
        <v>0</v>
      </c>
      <c r="AN210" s="2296">
        <f t="shared" si="69"/>
        <v>0</v>
      </c>
      <c r="AO210" s="2296">
        <f t="shared" si="69"/>
        <v>0</v>
      </c>
      <c r="AP210" s="2296">
        <f t="shared" si="69"/>
        <v>0</v>
      </c>
      <c r="AQ210" s="2296">
        <f t="shared" si="69"/>
        <v>0</v>
      </c>
      <c r="AR210" s="2296">
        <f t="shared" si="69"/>
        <v>0</v>
      </c>
      <c r="AS210" s="2296">
        <f t="shared" si="69"/>
        <v>0</v>
      </c>
      <c r="AT210" s="2296">
        <f t="shared" si="69"/>
        <v>0</v>
      </c>
      <c r="AU210" s="2296">
        <f t="shared" si="69"/>
        <v>0</v>
      </c>
      <c r="AV210" s="2296">
        <f t="shared" si="69"/>
        <v>0</v>
      </c>
      <c r="AW210" s="2296">
        <f t="shared" si="69"/>
        <v>0</v>
      </c>
      <c r="AX210" s="2296">
        <f t="shared" si="69"/>
        <v>0</v>
      </c>
      <c r="AY210" s="2296">
        <f t="shared" si="69"/>
        <v>0</v>
      </c>
      <c r="AZ210" s="2296">
        <f t="shared" si="69"/>
        <v>0</v>
      </c>
      <c r="BA210" s="2296">
        <f t="shared" si="69"/>
        <v>0</v>
      </c>
      <c r="BB210" s="2296">
        <f t="shared" si="69"/>
        <v>0</v>
      </c>
      <c r="BC210" s="2308"/>
      <c r="BD210" s="2208"/>
    </row>
    <row r="211" spans="2:57" ht="9" hidden="1" customHeight="1" outlineLevel="2">
      <c r="B211" s="2298"/>
      <c r="C211" s="2299"/>
      <c r="D211" s="2300"/>
      <c r="E211" s="2293"/>
      <c r="F211" s="2293"/>
      <c r="G211" s="2293"/>
      <c r="H211" s="2293"/>
      <c r="I211" s="2293"/>
      <c r="J211" s="2293"/>
      <c r="K211" s="2293"/>
      <c r="L211" s="2293"/>
      <c r="M211" s="2293"/>
      <c r="N211" s="2293"/>
      <c r="O211" s="2293"/>
      <c r="P211" s="2293"/>
      <c r="Q211" s="2293"/>
      <c r="R211" s="2293"/>
      <c r="S211" s="2293"/>
      <c r="T211" s="2293"/>
      <c r="U211" s="2293"/>
      <c r="V211" s="2293"/>
      <c r="W211" s="2293"/>
      <c r="X211" s="2293"/>
      <c r="Y211" s="2293"/>
      <c r="Z211" s="2293"/>
      <c r="AA211" s="2293"/>
      <c r="AB211" s="2293"/>
      <c r="AC211" s="2293"/>
      <c r="AD211" s="2293"/>
      <c r="AE211" s="2294"/>
      <c r="AF211" s="2295"/>
      <c r="AG211" s="2295"/>
      <c r="AH211" s="2295"/>
      <c r="AI211" s="2295"/>
      <c r="AJ211" s="2295"/>
      <c r="AK211" s="2295"/>
      <c r="AL211" s="2295"/>
      <c r="AM211" s="2295"/>
      <c r="AN211" s="2295"/>
      <c r="AO211" s="2295"/>
      <c r="AP211" s="2295"/>
      <c r="AQ211" s="2295"/>
      <c r="AR211" s="2295"/>
      <c r="AS211" s="2295"/>
      <c r="AT211" s="2295"/>
      <c r="AU211" s="2295"/>
      <c r="AV211" s="2295"/>
      <c r="AW211" s="2295"/>
      <c r="AX211" s="2295"/>
      <c r="AY211" s="2295"/>
      <c r="AZ211" s="2295"/>
      <c r="BA211" s="2295"/>
      <c r="BB211" s="2295"/>
      <c r="BC211" s="2301"/>
      <c r="BD211" s="2240"/>
    </row>
    <row r="212" spans="2:57" ht="18.75" hidden="1" customHeight="1" outlineLevel="2">
      <c r="B212" s="2330">
        <v>300.10000000000002</v>
      </c>
      <c r="C212" s="2331" t="s">
        <v>1940</v>
      </c>
      <c r="D212" s="2332">
        <v>0</v>
      </c>
      <c r="E212" s="2305"/>
      <c r="F212" s="2305"/>
      <c r="G212" s="2305"/>
      <c r="H212" s="2305"/>
      <c r="I212" s="2305"/>
      <c r="J212" s="2305"/>
      <c r="K212" s="2305"/>
      <c r="L212" s="2305"/>
      <c r="M212" s="2305"/>
      <c r="N212" s="2305"/>
      <c r="O212" s="2305"/>
      <c r="P212" s="2305"/>
      <c r="Q212" s="2305"/>
      <c r="R212" s="2305"/>
      <c r="S212" s="2305"/>
      <c r="T212" s="2305"/>
      <c r="U212" s="2305"/>
      <c r="V212" s="2305"/>
      <c r="W212" s="2305"/>
      <c r="X212" s="2305"/>
      <c r="Y212" s="2305"/>
      <c r="Z212" s="2305"/>
      <c r="AA212" s="2305"/>
      <c r="AB212" s="2305"/>
      <c r="AC212" s="2305"/>
      <c r="AD212" s="2305"/>
      <c r="AE212" s="2306"/>
      <c r="AF212" s="2307"/>
      <c r="AG212" s="2307"/>
      <c r="AH212" s="2307"/>
      <c r="AI212" s="2307"/>
      <c r="AJ212" s="2307"/>
      <c r="AK212" s="2307"/>
      <c r="AL212" s="2307"/>
      <c r="AM212" s="2307"/>
      <c r="AN212" s="2307"/>
      <c r="AO212" s="2307"/>
      <c r="AP212" s="2307"/>
      <c r="AQ212" s="2307"/>
      <c r="AR212" s="2307"/>
      <c r="AS212" s="2307"/>
      <c r="AT212" s="2307"/>
      <c r="AU212" s="2307"/>
      <c r="AV212" s="2307"/>
      <c r="AW212" s="2307"/>
      <c r="AX212" s="2307"/>
      <c r="AY212" s="2307"/>
      <c r="AZ212" s="2307"/>
      <c r="BA212" s="2307"/>
      <c r="BB212" s="2307"/>
      <c r="BC212" s="2308"/>
      <c r="BD212" s="2240"/>
    </row>
    <row r="213" spans="2:57" ht="15" hidden="1" customHeight="1" outlineLevel="3">
      <c r="B213" s="2298"/>
      <c r="C213" s="2309" t="s">
        <v>1898</v>
      </c>
      <c r="D213" s="2300" t="s">
        <v>1899</v>
      </c>
      <c r="E213" s="2293">
        <v>0</v>
      </c>
      <c r="F213" s="2293">
        <v>0</v>
      </c>
      <c r="G213" s="2293">
        <v>0</v>
      </c>
      <c r="H213" s="2293">
        <v>0</v>
      </c>
      <c r="I213" s="2293">
        <v>0</v>
      </c>
      <c r="J213" s="2293">
        <v>0</v>
      </c>
      <c r="K213" s="2293">
        <v>0</v>
      </c>
      <c r="L213" s="2293">
        <v>0</v>
      </c>
      <c r="M213" s="2293">
        <v>0</v>
      </c>
      <c r="N213" s="2293">
        <v>0</v>
      </c>
      <c r="O213" s="2293">
        <v>0</v>
      </c>
      <c r="P213" s="2293">
        <v>0</v>
      </c>
      <c r="Q213" s="2293">
        <v>0</v>
      </c>
      <c r="R213" s="2293">
        <v>0</v>
      </c>
      <c r="S213" s="2293">
        <v>0</v>
      </c>
      <c r="T213" s="2293">
        <v>0</v>
      </c>
      <c r="U213" s="2293">
        <v>0</v>
      </c>
      <c r="V213" s="2293">
        <v>0</v>
      </c>
      <c r="W213" s="2293">
        <v>0</v>
      </c>
      <c r="X213" s="2293">
        <v>0</v>
      </c>
      <c r="Y213" s="2293">
        <v>0</v>
      </c>
      <c r="Z213" s="2293">
        <v>0</v>
      </c>
      <c r="AA213" s="2293">
        <v>0</v>
      </c>
      <c r="AB213" s="2293">
        <f t="shared" ref="AB213:BB213" si="70">AB102</f>
        <v>0</v>
      </c>
      <c r="AC213" s="2293">
        <f t="shared" si="70"/>
        <v>0</v>
      </c>
      <c r="AD213" s="2293">
        <f t="shared" si="70"/>
        <v>0</v>
      </c>
      <c r="AE213" s="2294">
        <f t="shared" si="70"/>
        <v>0</v>
      </c>
      <c r="AF213" s="2295">
        <f t="shared" si="70"/>
        <v>0</v>
      </c>
      <c r="AG213" s="2295">
        <f t="shared" si="70"/>
        <v>0</v>
      </c>
      <c r="AH213" s="2295">
        <f t="shared" si="70"/>
        <v>0</v>
      </c>
      <c r="AI213" s="2295">
        <f t="shared" si="70"/>
        <v>0</v>
      </c>
      <c r="AJ213" s="2295">
        <f t="shared" si="70"/>
        <v>0</v>
      </c>
      <c r="AK213" s="2295">
        <f t="shared" si="70"/>
        <v>0</v>
      </c>
      <c r="AL213" s="2295">
        <f t="shared" si="70"/>
        <v>0</v>
      </c>
      <c r="AM213" s="2295">
        <f t="shared" si="70"/>
        <v>0</v>
      </c>
      <c r="AN213" s="2295">
        <f t="shared" si="70"/>
        <v>0</v>
      </c>
      <c r="AO213" s="2295">
        <f t="shared" si="70"/>
        <v>0</v>
      </c>
      <c r="AP213" s="2295">
        <f t="shared" si="70"/>
        <v>0</v>
      </c>
      <c r="AQ213" s="2295">
        <f t="shared" si="70"/>
        <v>0</v>
      </c>
      <c r="AR213" s="2295">
        <f t="shared" si="70"/>
        <v>0</v>
      </c>
      <c r="AS213" s="2295">
        <f t="shared" si="70"/>
        <v>0</v>
      </c>
      <c r="AT213" s="2295">
        <f t="shared" si="70"/>
        <v>0</v>
      </c>
      <c r="AU213" s="2295">
        <f t="shared" si="70"/>
        <v>0</v>
      </c>
      <c r="AV213" s="2295">
        <f t="shared" si="70"/>
        <v>0</v>
      </c>
      <c r="AW213" s="2295">
        <f t="shared" si="70"/>
        <v>0</v>
      </c>
      <c r="AX213" s="2295">
        <f t="shared" si="70"/>
        <v>0</v>
      </c>
      <c r="AY213" s="2295">
        <f t="shared" si="70"/>
        <v>0</v>
      </c>
      <c r="AZ213" s="2295">
        <f t="shared" si="70"/>
        <v>0</v>
      </c>
      <c r="BA213" s="2295">
        <f t="shared" si="70"/>
        <v>0</v>
      </c>
      <c r="BB213" s="2295">
        <f t="shared" si="70"/>
        <v>0</v>
      </c>
      <c r="BC213" s="2310"/>
      <c r="BD213" s="2240"/>
    </row>
    <row r="214" spans="2:57" ht="15" hidden="1" customHeight="1" outlineLevel="3">
      <c r="B214" s="2298"/>
      <c r="C214" s="2309" t="s">
        <v>1901</v>
      </c>
      <c r="D214" s="2300" t="s">
        <v>1902</v>
      </c>
      <c r="E214" s="2293">
        <v>0</v>
      </c>
      <c r="F214" s="2293">
        <v>0</v>
      </c>
      <c r="G214" s="2293">
        <v>0</v>
      </c>
      <c r="H214" s="2293">
        <v>0</v>
      </c>
      <c r="I214" s="2293">
        <v>0</v>
      </c>
      <c r="J214" s="2293">
        <v>0</v>
      </c>
      <c r="K214" s="2293">
        <v>0</v>
      </c>
      <c r="L214" s="2293">
        <v>0</v>
      </c>
      <c r="M214" s="2293">
        <v>0</v>
      </c>
      <c r="N214" s="2293">
        <v>0</v>
      </c>
      <c r="O214" s="2293">
        <v>0</v>
      </c>
      <c r="P214" s="2293">
        <v>0</v>
      </c>
      <c r="Q214" s="2293">
        <v>0</v>
      </c>
      <c r="R214" s="2293">
        <v>0</v>
      </c>
      <c r="S214" s="2293">
        <v>0</v>
      </c>
      <c r="T214" s="2293">
        <v>0</v>
      </c>
      <c r="U214" s="2293">
        <v>0</v>
      </c>
      <c r="V214" s="2293">
        <v>0</v>
      </c>
      <c r="W214" s="2293">
        <v>0</v>
      </c>
      <c r="X214" s="2293">
        <v>0</v>
      </c>
      <c r="Y214" s="2293">
        <v>0</v>
      </c>
      <c r="Z214" s="2293">
        <v>0</v>
      </c>
      <c r="AA214" s="2293">
        <v>0</v>
      </c>
      <c r="AB214" s="2293">
        <v>0</v>
      </c>
      <c r="AC214" s="2293">
        <v>0</v>
      </c>
      <c r="AD214" s="2293">
        <v>0</v>
      </c>
      <c r="AE214" s="2294">
        <v>0</v>
      </c>
      <c r="AF214" s="2295">
        <v>0</v>
      </c>
      <c r="AG214" s="2295">
        <v>0</v>
      </c>
      <c r="AH214" s="2295">
        <v>0</v>
      </c>
      <c r="AI214" s="2295">
        <v>0</v>
      </c>
      <c r="AJ214" s="2295">
        <v>0</v>
      </c>
      <c r="AK214" s="2295">
        <v>0</v>
      </c>
      <c r="AL214" s="2295">
        <v>0</v>
      </c>
      <c r="AM214" s="2295">
        <v>0</v>
      </c>
      <c r="AN214" s="2295">
        <v>0</v>
      </c>
      <c r="AO214" s="2295">
        <v>0</v>
      </c>
      <c r="AP214" s="2295">
        <v>0</v>
      </c>
      <c r="AQ214" s="2295">
        <v>0</v>
      </c>
      <c r="AR214" s="2295">
        <v>0</v>
      </c>
      <c r="AS214" s="2295">
        <v>0</v>
      </c>
      <c r="AT214" s="2295">
        <v>0</v>
      </c>
      <c r="AU214" s="2295">
        <v>0</v>
      </c>
      <c r="AV214" s="2295">
        <v>0</v>
      </c>
      <c r="AW214" s="2295">
        <v>0</v>
      </c>
      <c r="AX214" s="2295">
        <v>0</v>
      </c>
      <c r="AY214" s="2295">
        <v>0</v>
      </c>
      <c r="AZ214" s="2295">
        <v>0</v>
      </c>
      <c r="BA214" s="2295">
        <v>0</v>
      </c>
      <c r="BB214" s="2295">
        <v>0</v>
      </c>
      <c r="BC214" s="2310"/>
      <c r="BD214" s="2240"/>
    </row>
    <row r="215" spans="2:57" ht="15" hidden="1" customHeight="1" outlineLevel="3">
      <c r="B215" s="2298"/>
      <c r="C215" s="2309" t="s">
        <v>1903</v>
      </c>
      <c r="D215" s="2300" t="s">
        <v>1904</v>
      </c>
      <c r="E215" s="2293">
        <v>0</v>
      </c>
      <c r="F215" s="2293">
        <v>0</v>
      </c>
      <c r="G215" s="2293">
        <v>0</v>
      </c>
      <c r="H215" s="2293">
        <v>0</v>
      </c>
      <c r="I215" s="2293">
        <v>0</v>
      </c>
      <c r="J215" s="2293">
        <v>0</v>
      </c>
      <c r="K215" s="2293">
        <v>0</v>
      </c>
      <c r="L215" s="2293">
        <v>0</v>
      </c>
      <c r="M215" s="2293">
        <v>0</v>
      </c>
      <c r="N215" s="2293">
        <v>0</v>
      </c>
      <c r="O215" s="2293">
        <v>0</v>
      </c>
      <c r="P215" s="2293">
        <v>0</v>
      </c>
      <c r="Q215" s="2293">
        <v>0</v>
      </c>
      <c r="R215" s="2293">
        <v>0</v>
      </c>
      <c r="S215" s="2293">
        <v>0</v>
      </c>
      <c r="T215" s="2293">
        <v>0</v>
      </c>
      <c r="U215" s="2293">
        <v>0</v>
      </c>
      <c r="V215" s="2293">
        <v>0</v>
      </c>
      <c r="W215" s="2293">
        <v>0</v>
      </c>
      <c r="X215" s="2293">
        <v>0</v>
      </c>
      <c r="Y215" s="2293">
        <v>0</v>
      </c>
      <c r="Z215" s="2293">
        <v>0</v>
      </c>
      <c r="AA215" s="2293">
        <v>0</v>
      </c>
      <c r="AB215" s="2293">
        <v>0</v>
      </c>
      <c r="AC215" s="2293">
        <v>0</v>
      </c>
      <c r="AD215" s="2293">
        <v>0</v>
      </c>
      <c r="AE215" s="2294">
        <v>0</v>
      </c>
      <c r="AF215" s="2295">
        <v>0</v>
      </c>
      <c r="AG215" s="2295">
        <v>0</v>
      </c>
      <c r="AH215" s="2295">
        <v>0</v>
      </c>
      <c r="AI215" s="2295">
        <v>0</v>
      </c>
      <c r="AJ215" s="2295">
        <v>0</v>
      </c>
      <c r="AK215" s="2295">
        <v>0</v>
      </c>
      <c r="AL215" s="2295">
        <v>0</v>
      </c>
      <c r="AM215" s="2295">
        <v>0</v>
      </c>
      <c r="AN215" s="2295">
        <v>0</v>
      </c>
      <c r="AO215" s="2295">
        <v>0</v>
      </c>
      <c r="AP215" s="2295">
        <v>0</v>
      </c>
      <c r="AQ215" s="2295">
        <v>0</v>
      </c>
      <c r="AR215" s="2295">
        <v>0</v>
      </c>
      <c r="AS215" s="2295">
        <v>0</v>
      </c>
      <c r="AT215" s="2295">
        <v>0</v>
      </c>
      <c r="AU215" s="2295">
        <v>0</v>
      </c>
      <c r="AV215" s="2295">
        <v>0</v>
      </c>
      <c r="AW215" s="2295">
        <v>0</v>
      </c>
      <c r="AX215" s="2295">
        <v>0</v>
      </c>
      <c r="AY215" s="2295">
        <v>0</v>
      </c>
      <c r="AZ215" s="2295">
        <v>0</v>
      </c>
      <c r="BA215" s="2295">
        <v>0</v>
      </c>
      <c r="BB215" s="2295">
        <v>0</v>
      </c>
      <c r="BC215" s="2310"/>
      <c r="BD215" s="2240"/>
    </row>
    <row r="216" spans="2:57" s="2203" customFormat="1" ht="15" hidden="1" customHeight="1" outlineLevel="3">
      <c r="B216" s="2311"/>
      <c r="C216" s="2312" t="s">
        <v>1905</v>
      </c>
      <c r="D216" s="2313" t="s">
        <v>1906</v>
      </c>
      <c r="E216" s="2314">
        <f>E213+E214+E215</f>
        <v>0</v>
      </c>
      <c r="F216" s="2314">
        <f t="shared" ref="F216:Y216" si="71">F213+F214+F215</f>
        <v>0</v>
      </c>
      <c r="G216" s="2314">
        <f t="shared" si="71"/>
        <v>0</v>
      </c>
      <c r="H216" s="2314">
        <f t="shared" si="71"/>
        <v>0</v>
      </c>
      <c r="I216" s="2314">
        <f t="shared" si="71"/>
        <v>0</v>
      </c>
      <c r="J216" s="2314">
        <f t="shared" si="71"/>
        <v>0</v>
      </c>
      <c r="K216" s="2314">
        <f t="shared" si="71"/>
        <v>0</v>
      </c>
      <c r="L216" s="2314">
        <f t="shared" si="71"/>
        <v>0</v>
      </c>
      <c r="M216" s="2314">
        <f t="shared" si="71"/>
        <v>0</v>
      </c>
      <c r="N216" s="2314">
        <f t="shared" si="71"/>
        <v>0</v>
      </c>
      <c r="O216" s="2314">
        <f t="shared" si="71"/>
        <v>0</v>
      </c>
      <c r="P216" s="2314">
        <f t="shared" si="71"/>
        <v>0</v>
      </c>
      <c r="Q216" s="2314">
        <f t="shared" si="71"/>
        <v>0</v>
      </c>
      <c r="R216" s="2314">
        <f t="shared" si="71"/>
        <v>0</v>
      </c>
      <c r="S216" s="2314">
        <f t="shared" si="71"/>
        <v>0</v>
      </c>
      <c r="T216" s="2314">
        <f t="shared" si="71"/>
        <v>0</v>
      </c>
      <c r="U216" s="2314">
        <f t="shared" si="71"/>
        <v>0</v>
      </c>
      <c r="V216" s="2314">
        <f t="shared" si="71"/>
        <v>0</v>
      </c>
      <c r="W216" s="2314">
        <f t="shared" si="71"/>
        <v>0</v>
      </c>
      <c r="X216" s="2314">
        <f t="shared" si="71"/>
        <v>0</v>
      </c>
      <c r="Y216" s="2314">
        <f t="shared" si="71"/>
        <v>0</v>
      </c>
      <c r="Z216" s="2314"/>
      <c r="AA216" s="2314"/>
      <c r="AB216" s="2314">
        <f t="shared" ref="AB216:BB216" si="72">AB213+AB214+AB215</f>
        <v>0</v>
      </c>
      <c r="AC216" s="2314">
        <f t="shared" si="72"/>
        <v>0</v>
      </c>
      <c r="AD216" s="2314">
        <f t="shared" si="72"/>
        <v>0</v>
      </c>
      <c r="AE216" s="2329">
        <f t="shared" si="72"/>
        <v>0</v>
      </c>
      <c r="AF216" s="2315">
        <f t="shared" si="72"/>
        <v>0</v>
      </c>
      <c r="AG216" s="2315">
        <f t="shared" si="72"/>
        <v>0</v>
      </c>
      <c r="AH216" s="2315">
        <f t="shared" si="72"/>
        <v>0</v>
      </c>
      <c r="AI216" s="2315">
        <f t="shared" si="72"/>
        <v>0</v>
      </c>
      <c r="AJ216" s="2315">
        <f t="shared" si="72"/>
        <v>0</v>
      </c>
      <c r="AK216" s="2315">
        <f t="shared" si="72"/>
        <v>0</v>
      </c>
      <c r="AL216" s="2315">
        <f t="shared" si="72"/>
        <v>0</v>
      </c>
      <c r="AM216" s="2315">
        <f t="shared" si="72"/>
        <v>0</v>
      </c>
      <c r="AN216" s="2315">
        <f t="shared" si="72"/>
        <v>0</v>
      </c>
      <c r="AO216" s="2315">
        <f t="shared" si="72"/>
        <v>0</v>
      </c>
      <c r="AP216" s="2315">
        <f t="shared" si="72"/>
        <v>0</v>
      </c>
      <c r="AQ216" s="2315">
        <f t="shared" si="72"/>
        <v>0</v>
      </c>
      <c r="AR216" s="2315">
        <f t="shared" si="72"/>
        <v>0</v>
      </c>
      <c r="AS216" s="2315">
        <f t="shared" si="72"/>
        <v>0</v>
      </c>
      <c r="AT216" s="2315">
        <f t="shared" si="72"/>
        <v>0</v>
      </c>
      <c r="AU216" s="2315">
        <f t="shared" si="72"/>
        <v>0</v>
      </c>
      <c r="AV216" s="2315">
        <f t="shared" si="72"/>
        <v>0</v>
      </c>
      <c r="AW216" s="2315">
        <f t="shared" si="72"/>
        <v>0</v>
      </c>
      <c r="AX216" s="2315">
        <f t="shared" si="72"/>
        <v>0</v>
      </c>
      <c r="AY216" s="2315">
        <f t="shared" si="72"/>
        <v>0</v>
      </c>
      <c r="AZ216" s="2315">
        <f t="shared" si="72"/>
        <v>0</v>
      </c>
      <c r="BA216" s="2315">
        <f t="shared" si="72"/>
        <v>0</v>
      </c>
      <c r="BB216" s="2315">
        <f t="shared" si="72"/>
        <v>0</v>
      </c>
      <c r="BC216" s="2308"/>
      <c r="BD216" s="2208"/>
    </row>
    <row r="217" spans="2:57" s="2203" customFormat="1" ht="15" hidden="1" customHeight="1" outlineLevel="3">
      <c r="B217" s="2311"/>
      <c r="C217" s="2316" t="s">
        <v>1907</v>
      </c>
      <c r="D217" s="2313" t="s">
        <v>1908</v>
      </c>
      <c r="E217" s="2314">
        <v>0</v>
      </c>
      <c r="F217" s="2314">
        <v>0</v>
      </c>
      <c r="G217" s="2314">
        <v>0</v>
      </c>
      <c r="H217" s="2314">
        <v>0</v>
      </c>
      <c r="I217" s="2314">
        <v>0</v>
      </c>
      <c r="J217" s="2314">
        <v>0</v>
      </c>
      <c r="K217" s="2314">
        <v>0</v>
      </c>
      <c r="L217" s="2314">
        <v>0</v>
      </c>
      <c r="M217" s="2314">
        <v>0</v>
      </c>
      <c r="N217" s="2314">
        <v>0</v>
      </c>
      <c r="O217" s="2314">
        <v>0</v>
      </c>
      <c r="P217" s="2314">
        <v>0</v>
      </c>
      <c r="Q217" s="2314">
        <v>0</v>
      </c>
      <c r="R217" s="2314">
        <v>0</v>
      </c>
      <c r="S217" s="2314">
        <v>0</v>
      </c>
      <c r="T217" s="2314">
        <v>0</v>
      </c>
      <c r="U217" s="2314">
        <v>0</v>
      </c>
      <c r="V217" s="2314">
        <v>0</v>
      </c>
      <c r="W217" s="2314">
        <v>0</v>
      </c>
      <c r="X217" s="2314">
        <v>0</v>
      </c>
      <c r="Y217" s="2314">
        <v>0</v>
      </c>
      <c r="Z217" s="2314">
        <v>0</v>
      </c>
      <c r="AA217" s="2314">
        <v>0</v>
      </c>
      <c r="AB217" s="2314">
        <v>0</v>
      </c>
      <c r="AC217" s="2314">
        <v>0</v>
      </c>
      <c r="AD217" s="2314">
        <v>0</v>
      </c>
      <c r="AE217" s="2329">
        <v>0</v>
      </c>
      <c r="AF217" s="2315">
        <v>0</v>
      </c>
      <c r="AG217" s="2315">
        <v>0</v>
      </c>
      <c r="AH217" s="2315">
        <v>0</v>
      </c>
      <c r="AI217" s="2315">
        <v>0</v>
      </c>
      <c r="AJ217" s="2315">
        <v>0</v>
      </c>
      <c r="AK217" s="2315">
        <v>0</v>
      </c>
      <c r="AL217" s="2315">
        <v>0</v>
      </c>
      <c r="AM217" s="2315">
        <v>0</v>
      </c>
      <c r="AN217" s="2315">
        <v>0</v>
      </c>
      <c r="AO217" s="2315">
        <v>0</v>
      </c>
      <c r="AP217" s="2315">
        <v>0</v>
      </c>
      <c r="AQ217" s="2315">
        <v>0</v>
      </c>
      <c r="AR217" s="2315">
        <v>0</v>
      </c>
      <c r="AS217" s="2315">
        <v>0</v>
      </c>
      <c r="AT217" s="2315">
        <v>0</v>
      </c>
      <c r="AU217" s="2315">
        <v>0</v>
      </c>
      <c r="AV217" s="2315">
        <v>0</v>
      </c>
      <c r="AW217" s="2315">
        <v>0</v>
      </c>
      <c r="AX217" s="2315">
        <v>0</v>
      </c>
      <c r="AY217" s="2315">
        <v>0</v>
      </c>
      <c r="AZ217" s="2315">
        <v>0</v>
      </c>
      <c r="BA217" s="2315">
        <v>0</v>
      </c>
      <c r="BB217" s="2315">
        <v>0</v>
      </c>
      <c r="BC217" s="2308"/>
      <c r="BD217" s="2208"/>
    </row>
    <row r="218" spans="2:57" s="2226" customFormat="1" ht="15" hidden="1" customHeight="1" outlineLevel="3">
      <c r="B218" s="2298"/>
      <c r="C218" s="2317" t="s">
        <v>1579</v>
      </c>
      <c r="D218" s="2300" t="s">
        <v>1909</v>
      </c>
      <c r="E218" s="2293">
        <v>0</v>
      </c>
      <c r="F218" s="2293">
        <v>0</v>
      </c>
      <c r="G218" s="2293">
        <v>0</v>
      </c>
      <c r="H218" s="2293">
        <v>0</v>
      </c>
      <c r="I218" s="2293">
        <v>0</v>
      </c>
      <c r="J218" s="2293">
        <v>0</v>
      </c>
      <c r="K218" s="2293">
        <v>0</v>
      </c>
      <c r="L218" s="2293">
        <v>0</v>
      </c>
      <c r="M218" s="2293">
        <v>0</v>
      </c>
      <c r="N218" s="2293">
        <v>0</v>
      </c>
      <c r="O218" s="2293">
        <v>0</v>
      </c>
      <c r="P218" s="2293">
        <v>0</v>
      </c>
      <c r="Q218" s="2293">
        <v>0</v>
      </c>
      <c r="R218" s="2293">
        <v>0</v>
      </c>
      <c r="S218" s="2293">
        <v>0</v>
      </c>
      <c r="T218" s="2293">
        <v>0</v>
      </c>
      <c r="U218" s="2293">
        <v>0</v>
      </c>
      <c r="V218" s="2293">
        <v>0</v>
      </c>
      <c r="W218" s="2293">
        <v>0</v>
      </c>
      <c r="X218" s="2293">
        <v>0</v>
      </c>
      <c r="Y218" s="2293">
        <v>0</v>
      </c>
      <c r="Z218" s="2293">
        <v>0</v>
      </c>
      <c r="AA218" s="2293">
        <v>0</v>
      </c>
      <c r="AB218" s="2293">
        <v>0</v>
      </c>
      <c r="AC218" s="2293">
        <v>0</v>
      </c>
      <c r="AD218" s="2293">
        <v>0</v>
      </c>
      <c r="AE218" s="2294">
        <v>0</v>
      </c>
      <c r="AF218" s="2295">
        <v>0</v>
      </c>
      <c r="AG218" s="2295">
        <v>0</v>
      </c>
      <c r="AH218" s="2295">
        <v>0</v>
      </c>
      <c r="AI218" s="2295">
        <v>0</v>
      </c>
      <c r="AJ218" s="2295">
        <v>0</v>
      </c>
      <c r="AK218" s="2295">
        <v>0</v>
      </c>
      <c r="AL218" s="2295">
        <v>0</v>
      </c>
      <c r="AM218" s="2295">
        <v>0</v>
      </c>
      <c r="AN218" s="2295">
        <v>0</v>
      </c>
      <c r="AO218" s="2295">
        <v>0</v>
      </c>
      <c r="AP218" s="2295">
        <v>0</v>
      </c>
      <c r="AQ218" s="2295">
        <v>0</v>
      </c>
      <c r="AR218" s="2295">
        <v>0</v>
      </c>
      <c r="AS218" s="2295">
        <v>0</v>
      </c>
      <c r="AT218" s="2295">
        <v>0</v>
      </c>
      <c r="AU218" s="2295">
        <v>0</v>
      </c>
      <c r="AV218" s="2295">
        <v>0</v>
      </c>
      <c r="AW218" s="2295">
        <v>0</v>
      </c>
      <c r="AX218" s="2295">
        <v>0</v>
      </c>
      <c r="AY218" s="2295">
        <v>0</v>
      </c>
      <c r="AZ218" s="2295">
        <v>0</v>
      </c>
      <c r="BA218" s="2295">
        <v>0</v>
      </c>
      <c r="BB218" s="2295">
        <v>0</v>
      </c>
      <c r="BC218" s="2310">
        <f>+AA218</f>
        <v>0</v>
      </c>
      <c r="BD218" s="2318"/>
    </row>
    <row r="219" spans="2:57" s="2203" customFormat="1" ht="15" hidden="1" customHeight="1" outlineLevel="3">
      <c r="B219" s="2311"/>
      <c r="C219" s="2316" t="s">
        <v>1910</v>
      </c>
      <c r="D219" s="2313" t="s">
        <v>1911</v>
      </c>
      <c r="E219" s="2314">
        <f>E216+E217+E218</f>
        <v>0</v>
      </c>
      <c r="F219" s="2314">
        <f t="shared" ref="F219:Y219" si="73">F216+F217+F218</f>
        <v>0</v>
      </c>
      <c r="G219" s="2314">
        <f t="shared" si="73"/>
        <v>0</v>
      </c>
      <c r="H219" s="2314">
        <f t="shared" si="73"/>
        <v>0</v>
      </c>
      <c r="I219" s="2314">
        <f t="shared" si="73"/>
        <v>0</v>
      </c>
      <c r="J219" s="2314">
        <f t="shared" si="73"/>
        <v>0</v>
      </c>
      <c r="K219" s="2314">
        <f t="shared" si="73"/>
        <v>0</v>
      </c>
      <c r="L219" s="2314">
        <f t="shared" si="73"/>
        <v>0</v>
      </c>
      <c r="M219" s="2314">
        <f t="shared" si="73"/>
        <v>0</v>
      </c>
      <c r="N219" s="2314">
        <f t="shared" si="73"/>
        <v>0</v>
      </c>
      <c r="O219" s="2314">
        <f t="shared" si="73"/>
        <v>0</v>
      </c>
      <c r="P219" s="2314">
        <f t="shared" si="73"/>
        <v>0</v>
      </c>
      <c r="Q219" s="2314">
        <f t="shared" si="73"/>
        <v>0</v>
      </c>
      <c r="R219" s="2314">
        <f t="shared" si="73"/>
        <v>0</v>
      </c>
      <c r="S219" s="2314">
        <f t="shared" si="73"/>
        <v>0</v>
      </c>
      <c r="T219" s="2314">
        <f t="shared" si="73"/>
        <v>0</v>
      </c>
      <c r="U219" s="2314">
        <f t="shared" si="73"/>
        <v>0</v>
      </c>
      <c r="V219" s="2314">
        <f t="shared" si="73"/>
        <v>0</v>
      </c>
      <c r="W219" s="2314">
        <f t="shared" si="73"/>
        <v>0</v>
      </c>
      <c r="X219" s="2314">
        <f t="shared" si="73"/>
        <v>0</v>
      </c>
      <c r="Y219" s="2314">
        <f t="shared" si="73"/>
        <v>0</v>
      </c>
      <c r="Z219" s="2314"/>
      <c r="AA219" s="2314"/>
      <c r="AB219" s="2314">
        <f t="shared" ref="AB219:BB219" si="74">AB216+AB217+AB218</f>
        <v>0</v>
      </c>
      <c r="AC219" s="2314">
        <f t="shared" si="74"/>
        <v>0</v>
      </c>
      <c r="AD219" s="2314">
        <f t="shared" si="74"/>
        <v>0</v>
      </c>
      <c r="AE219" s="2329">
        <f t="shared" si="74"/>
        <v>0</v>
      </c>
      <c r="AF219" s="2315">
        <f t="shared" si="74"/>
        <v>0</v>
      </c>
      <c r="AG219" s="2315">
        <f t="shared" si="74"/>
        <v>0</v>
      </c>
      <c r="AH219" s="2315">
        <f t="shared" si="74"/>
        <v>0</v>
      </c>
      <c r="AI219" s="2315">
        <f t="shared" si="74"/>
        <v>0</v>
      </c>
      <c r="AJ219" s="2315">
        <f t="shared" si="74"/>
        <v>0</v>
      </c>
      <c r="AK219" s="2315">
        <f t="shared" si="74"/>
        <v>0</v>
      </c>
      <c r="AL219" s="2315">
        <f t="shared" si="74"/>
        <v>0</v>
      </c>
      <c r="AM219" s="2315">
        <f t="shared" si="74"/>
        <v>0</v>
      </c>
      <c r="AN219" s="2315">
        <f t="shared" si="74"/>
        <v>0</v>
      </c>
      <c r="AO219" s="2315">
        <f t="shared" si="74"/>
        <v>0</v>
      </c>
      <c r="AP219" s="2315">
        <f t="shared" si="74"/>
        <v>0</v>
      </c>
      <c r="AQ219" s="2315">
        <f t="shared" si="74"/>
        <v>0</v>
      </c>
      <c r="AR219" s="2315">
        <f t="shared" si="74"/>
        <v>0</v>
      </c>
      <c r="AS219" s="2315">
        <f t="shared" si="74"/>
        <v>0</v>
      </c>
      <c r="AT219" s="2315">
        <f t="shared" si="74"/>
        <v>0</v>
      </c>
      <c r="AU219" s="2315">
        <f t="shared" si="74"/>
        <v>0</v>
      </c>
      <c r="AV219" s="2315">
        <f t="shared" si="74"/>
        <v>0</v>
      </c>
      <c r="AW219" s="2315">
        <f t="shared" si="74"/>
        <v>0</v>
      </c>
      <c r="AX219" s="2315">
        <f t="shared" si="74"/>
        <v>0</v>
      </c>
      <c r="AY219" s="2315">
        <f t="shared" si="74"/>
        <v>0</v>
      </c>
      <c r="AZ219" s="2315">
        <f t="shared" si="74"/>
        <v>0</v>
      </c>
      <c r="BA219" s="2315">
        <f t="shared" si="74"/>
        <v>0</v>
      </c>
      <c r="BB219" s="2315">
        <f t="shared" si="74"/>
        <v>0</v>
      </c>
      <c r="BC219" s="2308"/>
      <c r="BD219" s="2208"/>
    </row>
    <row r="220" spans="2:57" s="2203" customFormat="1" ht="15" hidden="1" customHeight="1" outlineLevel="3">
      <c r="B220" s="2311"/>
      <c r="C220" s="2316" t="s">
        <v>1930</v>
      </c>
      <c r="D220" s="2313" t="s">
        <v>1913</v>
      </c>
      <c r="E220" s="2314">
        <v>0</v>
      </c>
      <c r="F220" s="2314">
        <v>0</v>
      </c>
      <c r="G220" s="2314">
        <v>0</v>
      </c>
      <c r="H220" s="2314">
        <v>0</v>
      </c>
      <c r="I220" s="2314">
        <v>0</v>
      </c>
      <c r="J220" s="2314">
        <v>0</v>
      </c>
      <c r="K220" s="2314">
        <v>0</v>
      </c>
      <c r="L220" s="2314">
        <v>0</v>
      </c>
      <c r="M220" s="2314">
        <v>0</v>
      </c>
      <c r="N220" s="2314">
        <v>0</v>
      </c>
      <c r="O220" s="2314">
        <v>0</v>
      </c>
      <c r="P220" s="2314">
        <v>0</v>
      </c>
      <c r="Q220" s="2314">
        <v>0</v>
      </c>
      <c r="R220" s="2314">
        <v>0</v>
      </c>
      <c r="S220" s="2314">
        <v>0</v>
      </c>
      <c r="T220" s="2314">
        <v>0</v>
      </c>
      <c r="U220" s="2314">
        <v>0</v>
      </c>
      <c r="V220" s="2314">
        <v>0</v>
      </c>
      <c r="W220" s="2314">
        <v>0</v>
      </c>
      <c r="X220" s="2314">
        <v>0</v>
      </c>
      <c r="Y220" s="2314">
        <v>0</v>
      </c>
      <c r="Z220" s="2314">
        <v>0</v>
      </c>
      <c r="AA220" s="2314">
        <v>0</v>
      </c>
      <c r="AB220" s="2314">
        <v>0</v>
      </c>
      <c r="AC220" s="2314">
        <v>0</v>
      </c>
      <c r="AD220" s="2314">
        <v>0</v>
      </c>
      <c r="AE220" s="2329">
        <v>0</v>
      </c>
      <c r="AF220" s="2315">
        <v>0</v>
      </c>
      <c r="AG220" s="2315">
        <v>0</v>
      </c>
      <c r="AH220" s="2315">
        <v>0</v>
      </c>
      <c r="AI220" s="2315">
        <v>0</v>
      </c>
      <c r="AJ220" s="2315">
        <v>0</v>
      </c>
      <c r="AK220" s="2315">
        <v>0</v>
      </c>
      <c r="AL220" s="2315">
        <v>0</v>
      </c>
      <c r="AM220" s="2315">
        <v>0</v>
      </c>
      <c r="AN220" s="2315">
        <v>0</v>
      </c>
      <c r="AO220" s="2315">
        <v>0</v>
      </c>
      <c r="AP220" s="2315">
        <v>0</v>
      </c>
      <c r="AQ220" s="2315">
        <v>0</v>
      </c>
      <c r="AR220" s="2315">
        <v>0</v>
      </c>
      <c r="AS220" s="2315">
        <v>0</v>
      </c>
      <c r="AT220" s="2315">
        <v>0</v>
      </c>
      <c r="AU220" s="2315">
        <v>0</v>
      </c>
      <c r="AV220" s="2315">
        <v>0</v>
      </c>
      <c r="AW220" s="2315">
        <v>0</v>
      </c>
      <c r="AX220" s="2315">
        <v>0</v>
      </c>
      <c r="AY220" s="2315">
        <v>0</v>
      </c>
      <c r="AZ220" s="2315">
        <v>0</v>
      </c>
      <c r="BA220" s="2315">
        <v>0</v>
      </c>
      <c r="BB220" s="2315">
        <v>0</v>
      </c>
      <c r="BC220" s="2308"/>
      <c r="BD220" s="2208"/>
    </row>
    <row r="221" spans="2:57" ht="15" hidden="1" customHeight="1" outlineLevel="3">
      <c r="B221" s="2298"/>
      <c r="C221" s="2317" t="s">
        <v>1914</v>
      </c>
      <c r="D221" s="2300" t="s">
        <v>1915</v>
      </c>
      <c r="E221" s="2293">
        <v>0</v>
      </c>
      <c r="F221" s="2293">
        <v>0</v>
      </c>
      <c r="G221" s="2293">
        <v>0</v>
      </c>
      <c r="H221" s="2293">
        <v>0</v>
      </c>
      <c r="I221" s="2293">
        <v>0</v>
      </c>
      <c r="J221" s="2293">
        <v>0</v>
      </c>
      <c r="K221" s="2293">
        <v>0</v>
      </c>
      <c r="L221" s="2293">
        <v>0</v>
      </c>
      <c r="M221" s="2293">
        <v>0</v>
      </c>
      <c r="N221" s="2293">
        <v>0</v>
      </c>
      <c r="O221" s="2293">
        <v>0</v>
      </c>
      <c r="P221" s="2293">
        <v>0</v>
      </c>
      <c r="Q221" s="2293">
        <v>0</v>
      </c>
      <c r="R221" s="2293">
        <v>0</v>
      </c>
      <c r="S221" s="2293">
        <v>0</v>
      </c>
      <c r="T221" s="2293">
        <v>0</v>
      </c>
      <c r="U221" s="2293">
        <v>0</v>
      </c>
      <c r="V221" s="2293">
        <v>0</v>
      </c>
      <c r="W221" s="2293">
        <v>0</v>
      </c>
      <c r="X221" s="2293">
        <v>0</v>
      </c>
      <c r="Y221" s="2293">
        <v>0</v>
      </c>
      <c r="Z221" s="2293">
        <v>0</v>
      </c>
      <c r="AA221" s="2293">
        <v>0</v>
      </c>
      <c r="AB221" s="2293">
        <v>0</v>
      </c>
      <c r="AC221" s="2293">
        <v>0</v>
      </c>
      <c r="AD221" s="2293">
        <v>0</v>
      </c>
      <c r="AE221" s="2294">
        <v>0</v>
      </c>
      <c r="AF221" s="2295">
        <v>0</v>
      </c>
      <c r="AG221" s="2295">
        <v>0</v>
      </c>
      <c r="AH221" s="2295">
        <v>0</v>
      </c>
      <c r="AI221" s="2295">
        <v>0</v>
      </c>
      <c r="AJ221" s="2295">
        <v>0</v>
      </c>
      <c r="AK221" s="2295">
        <v>0</v>
      </c>
      <c r="AL221" s="2295">
        <v>0</v>
      </c>
      <c r="AM221" s="2295">
        <v>0</v>
      </c>
      <c r="AN221" s="2295">
        <v>0</v>
      </c>
      <c r="AO221" s="2295">
        <v>0</v>
      </c>
      <c r="AP221" s="2295">
        <v>0</v>
      </c>
      <c r="AQ221" s="2295">
        <v>0</v>
      </c>
      <c r="AR221" s="2295">
        <v>0</v>
      </c>
      <c r="AS221" s="2295">
        <v>0</v>
      </c>
      <c r="AT221" s="2295">
        <v>0</v>
      </c>
      <c r="AU221" s="2295">
        <v>0</v>
      </c>
      <c r="AV221" s="2295">
        <v>0</v>
      </c>
      <c r="AW221" s="2295">
        <v>0</v>
      </c>
      <c r="AX221" s="2295">
        <v>0</v>
      </c>
      <c r="AY221" s="2295">
        <v>0</v>
      </c>
      <c r="AZ221" s="2295">
        <v>0</v>
      </c>
      <c r="BA221" s="2295">
        <v>0</v>
      </c>
      <c r="BB221" s="2295">
        <v>0</v>
      </c>
      <c r="BC221" s="2310"/>
      <c r="BD221" s="2240"/>
    </row>
    <row r="222" spans="2:57" s="2203" customFormat="1" ht="15" hidden="1" customHeight="1" outlineLevel="3">
      <c r="B222" s="2311"/>
      <c r="C222" s="2316" t="s">
        <v>1916</v>
      </c>
      <c r="D222" s="2313" t="s">
        <v>1917</v>
      </c>
      <c r="E222" s="2314">
        <f>E219+E220+E221</f>
        <v>0</v>
      </c>
      <c r="F222" s="2314">
        <f t="shared" ref="F222:Y222" si="75">F219+F220+F221</f>
        <v>0</v>
      </c>
      <c r="G222" s="2314">
        <f t="shared" si="75"/>
        <v>0</v>
      </c>
      <c r="H222" s="2314">
        <f t="shared" si="75"/>
        <v>0</v>
      </c>
      <c r="I222" s="2314">
        <f t="shared" si="75"/>
        <v>0</v>
      </c>
      <c r="J222" s="2314">
        <f t="shared" si="75"/>
        <v>0</v>
      </c>
      <c r="K222" s="2314">
        <f t="shared" si="75"/>
        <v>0</v>
      </c>
      <c r="L222" s="2314">
        <f t="shared" si="75"/>
        <v>0</v>
      </c>
      <c r="M222" s="2314">
        <f t="shared" si="75"/>
        <v>0</v>
      </c>
      <c r="N222" s="2314">
        <f t="shared" si="75"/>
        <v>0</v>
      </c>
      <c r="O222" s="2314">
        <f t="shared" si="75"/>
        <v>0</v>
      </c>
      <c r="P222" s="2314">
        <f t="shared" si="75"/>
        <v>0</v>
      </c>
      <c r="Q222" s="2314">
        <f t="shared" si="75"/>
        <v>0</v>
      </c>
      <c r="R222" s="2314">
        <f t="shared" si="75"/>
        <v>0</v>
      </c>
      <c r="S222" s="2314">
        <f t="shared" si="75"/>
        <v>0</v>
      </c>
      <c r="T222" s="2314">
        <f t="shared" si="75"/>
        <v>0</v>
      </c>
      <c r="U222" s="2314">
        <f t="shared" si="75"/>
        <v>0</v>
      </c>
      <c r="V222" s="2314">
        <f t="shared" si="75"/>
        <v>0</v>
      </c>
      <c r="W222" s="2314">
        <f t="shared" si="75"/>
        <v>0</v>
      </c>
      <c r="X222" s="2314">
        <f t="shared" si="75"/>
        <v>0</v>
      </c>
      <c r="Y222" s="2314">
        <f t="shared" si="75"/>
        <v>0</v>
      </c>
      <c r="Z222" s="2314"/>
      <c r="AA222" s="2314"/>
      <c r="AB222" s="2314">
        <f t="shared" ref="AB222:BB222" si="76">AB219+AB220+AB221</f>
        <v>0</v>
      </c>
      <c r="AC222" s="2314">
        <f t="shared" si="76"/>
        <v>0</v>
      </c>
      <c r="AD222" s="2314">
        <f t="shared" si="76"/>
        <v>0</v>
      </c>
      <c r="AE222" s="2329">
        <f t="shared" si="76"/>
        <v>0</v>
      </c>
      <c r="AF222" s="2315">
        <f t="shared" si="76"/>
        <v>0</v>
      </c>
      <c r="AG222" s="2315">
        <f t="shared" si="76"/>
        <v>0</v>
      </c>
      <c r="AH222" s="2315">
        <f t="shared" si="76"/>
        <v>0</v>
      </c>
      <c r="AI222" s="2315">
        <f t="shared" si="76"/>
        <v>0</v>
      </c>
      <c r="AJ222" s="2315">
        <f t="shared" si="76"/>
        <v>0</v>
      </c>
      <c r="AK222" s="2315">
        <f t="shared" si="76"/>
        <v>0</v>
      </c>
      <c r="AL222" s="2315">
        <f t="shared" si="76"/>
        <v>0</v>
      </c>
      <c r="AM222" s="2315">
        <f t="shared" si="76"/>
        <v>0</v>
      </c>
      <c r="AN222" s="2315">
        <f t="shared" si="76"/>
        <v>0</v>
      </c>
      <c r="AO222" s="2315">
        <f t="shared" si="76"/>
        <v>0</v>
      </c>
      <c r="AP222" s="2315">
        <f t="shared" si="76"/>
        <v>0</v>
      </c>
      <c r="AQ222" s="2315">
        <f t="shared" si="76"/>
        <v>0</v>
      </c>
      <c r="AR222" s="2315">
        <f t="shared" si="76"/>
        <v>0</v>
      </c>
      <c r="AS222" s="2315">
        <f t="shared" si="76"/>
        <v>0</v>
      </c>
      <c r="AT222" s="2315">
        <f t="shared" si="76"/>
        <v>0</v>
      </c>
      <c r="AU222" s="2315">
        <f t="shared" si="76"/>
        <v>0</v>
      </c>
      <c r="AV222" s="2315">
        <f t="shared" si="76"/>
        <v>0</v>
      </c>
      <c r="AW222" s="2315">
        <f t="shared" si="76"/>
        <v>0</v>
      </c>
      <c r="AX222" s="2315">
        <f t="shared" si="76"/>
        <v>0</v>
      </c>
      <c r="AY222" s="2315">
        <f t="shared" si="76"/>
        <v>0</v>
      </c>
      <c r="AZ222" s="2315">
        <f t="shared" si="76"/>
        <v>0</v>
      </c>
      <c r="BA222" s="2315">
        <f t="shared" si="76"/>
        <v>0</v>
      </c>
      <c r="BB222" s="2315">
        <f t="shared" si="76"/>
        <v>0</v>
      </c>
      <c r="BC222" s="2308"/>
      <c r="BD222" s="2208"/>
    </row>
    <row r="223" spans="2:57" ht="15" hidden="1" customHeight="1" outlineLevel="3">
      <c r="B223" s="2298"/>
      <c r="C223" s="2317" t="s">
        <v>1918</v>
      </c>
      <c r="D223" s="2300" t="s">
        <v>1919</v>
      </c>
      <c r="E223" s="2293">
        <v>0</v>
      </c>
      <c r="F223" s="2293">
        <v>0</v>
      </c>
      <c r="G223" s="2293">
        <v>0</v>
      </c>
      <c r="H223" s="2293">
        <v>0</v>
      </c>
      <c r="I223" s="2293">
        <v>0</v>
      </c>
      <c r="J223" s="2293">
        <v>0</v>
      </c>
      <c r="K223" s="2293">
        <v>0</v>
      </c>
      <c r="L223" s="2293">
        <v>0</v>
      </c>
      <c r="M223" s="2293">
        <v>0</v>
      </c>
      <c r="N223" s="2293">
        <v>0</v>
      </c>
      <c r="O223" s="2293">
        <v>0</v>
      </c>
      <c r="P223" s="2293">
        <v>0</v>
      </c>
      <c r="Q223" s="2293">
        <v>0</v>
      </c>
      <c r="R223" s="2293">
        <v>0</v>
      </c>
      <c r="S223" s="2293">
        <v>0</v>
      </c>
      <c r="T223" s="2293">
        <v>0</v>
      </c>
      <c r="U223" s="2293">
        <v>0</v>
      </c>
      <c r="V223" s="2293">
        <v>0</v>
      </c>
      <c r="W223" s="2293">
        <v>0</v>
      </c>
      <c r="X223" s="2293">
        <v>0</v>
      </c>
      <c r="Y223" s="2293">
        <v>0</v>
      </c>
      <c r="Z223" s="2293">
        <v>0</v>
      </c>
      <c r="AA223" s="2293">
        <v>0</v>
      </c>
      <c r="AB223" s="2293">
        <v>0</v>
      </c>
      <c r="AC223" s="2293">
        <v>0</v>
      </c>
      <c r="AD223" s="2293">
        <v>0</v>
      </c>
      <c r="AE223" s="2294">
        <v>0</v>
      </c>
      <c r="AF223" s="2295">
        <v>0</v>
      </c>
      <c r="AG223" s="2295">
        <v>0</v>
      </c>
      <c r="AH223" s="2295">
        <v>0</v>
      </c>
      <c r="AI223" s="2295">
        <v>0</v>
      </c>
      <c r="AJ223" s="2295">
        <v>0</v>
      </c>
      <c r="AK223" s="2295">
        <v>0</v>
      </c>
      <c r="AL223" s="2295">
        <v>0</v>
      </c>
      <c r="AM223" s="2295">
        <v>0</v>
      </c>
      <c r="AN223" s="2295">
        <v>0</v>
      </c>
      <c r="AO223" s="2295">
        <v>0</v>
      </c>
      <c r="AP223" s="2295">
        <v>0</v>
      </c>
      <c r="AQ223" s="2295">
        <v>0</v>
      </c>
      <c r="AR223" s="2295">
        <v>0</v>
      </c>
      <c r="AS223" s="2295">
        <v>0</v>
      </c>
      <c r="AT223" s="2295">
        <v>0</v>
      </c>
      <c r="AU223" s="2295">
        <v>0</v>
      </c>
      <c r="AV223" s="2295">
        <v>0</v>
      </c>
      <c r="AW223" s="2295">
        <v>0</v>
      </c>
      <c r="AX223" s="2295">
        <v>0</v>
      </c>
      <c r="AY223" s="2295">
        <v>0</v>
      </c>
      <c r="AZ223" s="2295">
        <v>0</v>
      </c>
      <c r="BA223" s="2295">
        <v>0</v>
      </c>
      <c r="BB223" s="2295">
        <v>0</v>
      </c>
      <c r="BC223" s="2310"/>
      <c r="BD223" s="2240"/>
    </row>
    <row r="224" spans="2:57" ht="15" hidden="1" customHeight="1" outlineLevel="3">
      <c r="B224" s="2298"/>
      <c r="C224" s="2317" t="s">
        <v>1920</v>
      </c>
      <c r="D224" s="2319" t="s">
        <v>1921</v>
      </c>
      <c r="E224" s="2293">
        <v>0</v>
      </c>
      <c r="F224" s="2293">
        <v>0</v>
      </c>
      <c r="G224" s="2293">
        <v>0</v>
      </c>
      <c r="H224" s="2293">
        <v>0</v>
      </c>
      <c r="I224" s="2293">
        <v>0</v>
      </c>
      <c r="J224" s="2293">
        <v>0</v>
      </c>
      <c r="K224" s="2293">
        <v>0</v>
      </c>
      <c r="L224" s="2293">
        <v>0</v>
      </c>
      <c r="M224" s="2293">
        <v>0</v>
      </c>
      <c r="N224" s="2293">
        <v>0</v>
      </c>
      <c r="O224" s="2293">
        <v>0</v>
      </c>
      <c r="P224" s="2293">
        <v>0</v>
      </c>
      <c r="Q224" s="2293">
        <v>0</v>
      </c>
      <c r="R224" s="2293">
        <v>0</v>
      </c>
      <c r="S224" s="2293">
        <v>0</v>
      </c>
      <c r="T224" s="2293">
        <v>0</v>
      </c>
      <c r="U224" s="2293">
        <v>0</v>
      </c>
      <c r="V224" s="2293">
        <v>0</v>
      </c>
      <c r="W224" s="2293">
        <v>0</v>
      </c>
      <c r="X224" s="2293">
        <v>0</v>
      </c>
      <c r="Y224" s="2293">
        <v>0</v>
      </c>
      <c r="Z224" s="2293">
        <v>0</v>
      </c>
      <c r="AA224" s="2293">
        <v>0</v>
      </c>
      <c r="AB224" s="2293">
        <v>0</v>
      </c>
      <c r="AC224" s="2293">
        <v>0</v>
      </c>
      <c r="AD224" s="2293">
        <v>0</v>
      </c>
      <c r="AE224" s="2294">
        <v>0</v>
      </c>
      <c r="AF224" s="2295">
        <v>0</v>
      </c>
      <c r="AG224" s="2295">
        <v>0</v>
      </c>
      <c r="AH224" s="2295">
        <v>0</v>
      </c>
      <c r="AI224" s="2295">
        <v>0</v>
      </c>
      <c r="AJ224" s="2295">
        <v>0</v>
      </c>
      <c r="AK224" s="2295">
        <v>0</v>
      </c>
      <c r="AL224" s="2295">
        <v>0</v>
      </c>
      <c r="AM224" s="2295">
        <v>0</v>
      </c>
      <c r="AN224" s="2295">
        <v>0</v>
      </c>
      <c r="AO224" s="2295">
        <v>0</v>
      </c>
      <c r="AP224" s="2295">
        <v>0</v>
      </c>
      <c r="AQ224" s="2295">
        <v>0</v>
      </c>
      <c r="AR224" s="2295">
        <v>0</v>
      </c>
      <c r="AS224" s="2295">
        <v>0</v>
      </c>
      <c r="AT224" s="2295">
        <v>0</v>
      </c>
      <c r="AU224" s="2295">
        <v>0</v>
      </c>
      <c r="AV224" s="2295">
        <v>0</v>
      </c>
      <c r="AW224" s="2295">
        <v>0</v>
      </c>
      <c r="AX224" s="2295">
        <v>0</v>
      </c>
      <c r="AY224" s="2295">
        <v>0</v>
      </c>
      <c r="AZ224" s="2295">
        <v>0</v>
      </c>
      <c r="BA224" s="2295">
        <v>0</v>
      </c>
      <c r="BB224" s="2295">
        <v>0</v>
      </c>
      <c r="BC224" s="2310"/>
      <c r="BD224" s="2240"/>
    </row>
    <row r="225" spans="1:57" ht="15" hidden="1" customHeight="1" outlineLevel="3">
      <c r="B225" s="2298"/>
      <c r="C225" s="2317" t="s">
        <v>1922</v>
      </c>
      <c r="D225" s="2319" t="s">
        <v>1923</v>
      </c>
      <c r="E225" s="2293">
        <v>0</v>
      </c>
      <c r="F225" s="2293">
        <v>0</v>
      </c>
      <c r="G225" s="2293">
        <v>0</v>
      </c>
      <c r="H225" s="2293">
        <v>0</v>
      </c>
      <c r="I225" s="2293">
        <v>0</v>
      </c>
      <c r="J225" s="2293">
        <v>0</v>
      </c>
      <c r="K225" s="2293">
        <v>0</v>
      </c>
      <c r="L225" s="2293">
        <v>0</v>
      </c>
      <c r="M225" s="2293">
        <v>0</v>
      </c>
      <c r="N225" s="2293">
        <v>0</v>
      </c>
      <c r="O225" s="2293">
        <v>0</v>
      </c>
      <c r="P225" s="2293">
        <v>0</v>
      </c>
      <c r="Q225" s="2293">
        <v>0</v>
      </c>
      <c r="R225" s="2293">
        <v>0</v>
      </c>
      <c r="S225" s="2293">
        <v>0</v>
      </c>
      <c r="T225" s="2293">
        <v>0</v>
      </c>
      <c r="U225" s="2293">
        <v>0</v>
      </c>
      <c r="V225" s="2293">
        <v>0</v>
      </c>
      <c r="W225" s="2293">
        <v>0</v>
      </c>
      <c r="X225" s="2293">
        <v>0</v>
      </c>
      <c r="Y225" s="2293">
        <v>0</v>
      </c>
      <c r="Z225" s="2293">
        <v>0</v>
      </c>
      <c r="AA225" s="2293">
        <v>0</v>
      </c>
      <c r="AB225" s="2293">
        <v>0</v>
      </c>
      <c r="AC225" s="2293">
        <v>0</v>
      </c>
      <c r="AD225" s="2293">
        <v>0</v>
      </c>
      <c r="AE225" s="2294">
        <v>0</v>
      </c>
      <c r="AF225" s="2295">
        <v>0</v>
      </c>
      <c r="AG225" s="2295">
        <v>0</v>
      </c>
      <c r="AH225" s="2295">
        <v>0</v>
      </c>
      <c r="AI225" s="2295">
        <v>0</v>
      </c>
      <c r="AJ225" s="2295">
        <v>0</v>
      </c>
      <c r="AK225" s="2295">
        <v>0</v>
      </c>
      <c r="AL225" s="2295">
        <v>0</v>
      </c>
      <c r="AM225" s="2295">
        <v>0</v>
      </c>
      <c r="AN225" s="2295">
        <v>0</v>
      </c>
      <c r="AO225" s="2295">
        <v>0</v>
      </c>
      <c r="AP225" s="2295">
        <v>0</v>
      </c>
      <c r="AQ225" s="2295">
        <v>0</v>
      </c>
      <c r="AR225" s="2295">
        <v>0</v>
      </c>
      <c r="AS225" s="2295">
        <v>0</v>
      </c>
      <c r="AT225" s="2295">
        <v>0</v>
      </c>
      <c r="AU225" s="2295">
        <v>0</v>
      </c>
      <c r="AV225" s="2295">
        <v>0</v>
      </c>
      <c r="AW225" s="2295">
        <v>0</v>
      </c>
      <c r="AX225" s="2295">
        <v>0</v>
      </c>
      <c r="AY225" s="2295">
        <v>0</v>
      </c>
      <c r="AZ225" s="2295">
        <v>0</v>
      </c>
      <c r="BA225" s="2295">
        <v>0</v>
      </c>
      <c r="BB225" s="2295">
        <v>0</v>
      </c>
      <c r="BC225" s="2320"/>
      <c r="BD225" s="2240"/>
    </row>
    <row r="226" spans="1:57" s="2203" customFormat="1" ht="15" hidden="1" customHeight="1" outlineLevel="2">
      <c r="B226" s="2311"/>
      <c r="C226" s="2316" t="s">
        <v>1924</v>
      </c>
      <c r="D226" s="2321" t="s">
        <v>1925</v>
      </c>
      <c r="E226" s="2314">
        <f t="shared" ref="E226:AA226" si="77">E222+E223+E225</f>
        <v>0</v>
      </c>
      <c r="F226" s="2314">
        <f t="shared" si="77"/>
        <v>0</v>
      </c>
      <c r="G226" s="2314">
        <f t="shared" si="77"/>
        <v>0</v>
      </c>
      <c r="H226" s="2314">
        <f t="shared" si="77"/>
        <v>0</v>
      </c>
      <c r="I226" s="2314">
        <f t="shared" si="77"/>
        <v>0</v>
      </c>
      <c r="J226" s="2314">
        <f t="shared" si="77"/>
        <v>0</v>
      </c>
      <c r="K226" s="2314">
        <f t="shared" si="77"/>
        <v>0</v>
      </c>
      <c r="L226" s="2314">
        <f t="shared" si="77"/>
        <v>0</v>
      </c>
      <c r="M226" s="2314">
        <f t="shared" si="77"/>
        <v>0</v>
      </c>
      <c r="N226" s="2314">
        <f t="shared" si="77"/>
        <v>0</v>
      </c>
      <c r="O226" s="2314">
        <f t="shared" si="77"/>
        <v>0</v>
      </c>
      <c r="P226" s="2314">
        <f t="shared" si="77"/>
        <v>0</v>
      </c>
      <c r="Q226" s="2314">
        <f t="shared" si="77"/>
        <v>0</v>
      </c>
      <c r="R226" s="2314">
        <f t="shared" si="77"/>
        <v>0</v>
      </c>
      <c r="S226" s="2314">
        <f t="shared" si="77"/>
        <v>0</v>
      </c>
      <c r="T226" s="2314">
        <f t="shared" si="77"/>
        <v>0</v>
      </c>
      <c r="U226" s="2314">
        <f t="shared" si="77"/>
        <v>0</v>
      </c>
      <c r="V226" s="2314">
        <f t="shared" si="77"/>
        <v>0</v>
      </c>
      <c r="W226" s="2314">
        <f t="shared" si="77"/>
        <v>0</v>
      </c>
      <c r="X226" s="2314">
        <f t="shared" si="77"/>
        <v>0</v>
      </c>
      <c r="Y226" s="2314">
        <f t="shared" si="77"/>
        <v>0</v>
      </c>
      <c r="Z226" s="2314">
        <f t="shared" si="77"/>
        <v>0</v>
      </c>
      <c r="AA226" s="2314">
        <f t="shared" si="77"/>
        <v>0</v>
      </c>
      <c r="AB226" s="2314">
        <f t="shared" ref="AB226:BB226" si="78">AB222+AB223+AB224+AB225</f>
        <v>0</v>
      </c>
      <c r="AC226" s="2314">
        <f t="shared" si="78"/>
        <v>0</v>
      </c>
      <c r="AD226" s="2314">
        <f t="shared" si="78"/>
        <v>0</v>
      </c>
      <c r="AE226" s="2329">
        <f t="shared" si="78"/>
        <v>0</v>
      </c>
      <c r="AF226" s="2315">
        <f t="shared" si="78"/>
        <v>0</v>
      </c>
      <c r="AG226" s="2315">
        <f t="shared" si="78"/>
        <v>0</v>
      </c>
      <c r="AH226" s="2315">
        <f t="shared" si="78"/>
        <v>0</v>
      </c>
      <c r="AI226" s="2315">
        <f t="shared" si="78"/>
        <v>0</v>
      </c>
      <c r="AJ226" s="2315">
        <f t="shared" si="78"/>
        <v>0</v>
      </c>
      <c r="AK226" s="2315">
        <f t="shared" si="78"/>
        <v>0</v>
      </c>
      <c r="AL226" s="2315">
        <f t="shared" si="78"/>
        <v>0</v>
      </c>
      <c r="AM226" s="2315">
        <f t="shared" si="78"/>
        <v>0</v>
      </c>
      <c r="AN226" s="2315">
        <f t="shared" si="78"/>
        <v>0</v>
      </c>
      <c r="AO226" s="2315">
        <f t="shared" si="78"/>
        <v>0</v>
      </c>
      <c r="AP226" s="2315">
        <f t="shared" si="78"/>
        <v>0</v>
      </c>
      <c r="AQ226" s="2315">
        <f t="shared" si="78"/>
        <v>0</v>
      </c>
      <c r="AR226" s="2315">
        <f t="shared" si="78"/>
        <v>0</v>
      </c>
      <c r="AS226" s="2315">
        <f t="shared" si="78"/>
        <v>0</v>
      </c>
      <c r="AT226" s="2315">
        <f t="shared" si="78"/>
        <v>0</v>
      </c>
      <c r="AU226" s="2315">
        <f t="shared" si="78"/>
        <v>0</v>
      </c>
      <c r="AV226" s="2315">
        <f t="shared" si="78"/>
        <v>0</v>
      </c>
      <c r="AW226" s="2315">
        <f t="shared" si="78"/>
        <v>0</v>
      </c>
      <c r="AX226" s="2315">
        <f t="shared" si="78"/>
        <v>0</v>
      </c>
      <c r="AY226" s="2315">
        <f t="shared" si="78"/>
        <v>0</v>
      </c>
      <c r="AZ226" s="2315">
        <f t="shared" si="78"/>
        <v>0</v>
      </c>
      <c r="BA226" s="2315">
        <f t="shared" si="78"/>
        <v>0</v>
      </c>
      <c r="BB226" s="2315">
        <f t="shared" si="78"/>
        <v>0</v>
      </c>
      <c r="BC226" s="2308"/>
      <c r="BD226" s="2208"/>
    </row>
    <row r="227" spans="1:57" s="2203" customFormat="1" ht="15" hidden="1" customHeight="1" outlineLevel="2">
      <c r="B227" s="2311"/>
      <c r="C227" s="2316" t="s">
        <v>1926</v>
      </c>
      <c r="D227" s="2313" t="s">
        <v>1927</v>
      </c>
      <c r="E227" s="2314">
        <f>E226</f>
        <v>0</v>
      </c>
      <c r="F227" s="2314">
        <f t="shared" ref="F227:BB227" si="79">F226-E226</f>
        <v>0</v>
      </c>
      <c r="G227" s="2314">
        <f t="shared" si="79"/>
        <v>0</v>
      </c>
      <c r="H227" s="2314">
        <f t="shared" si="79"/>
        <v>0</v>
      </c>
      <c r="I227" s="2314">
        <f t="shared" si="79"/>
        <v>0</v>
      </c>
      <c r="J227" s="2314">
        <f t="shared" si="79"/>
        <v>0</v>
      </c>
      <c r="K227" s="2314">
        <f t="shared" si="79"/>
        <v>0</v>
      </c>
      <c r="L227" s="2314">
        <f t="shared" si="79"/>
        <v>0</v>
      </c>
      <c r="M227" s="2314">
        <f t="shared" si="79"/>
        <v>0</v>
      </c>
      <c r="N227" s="2314">
        <f t="shared" si="79"/>
        <v>0</v>
      </c>
      <c r="O227" s="2314">
        <f t="shared" si="79"/>
        <v>0</v>
      </c>
      <c r="P227" s="2314">
        <f t="shared" si="79"/>
        <v>0</v>
      </c>
      <c r="Q227" s="2314">
        <f t="shared" si="79"/>
        <v>0</v>
      </c>
      <c r="R227" s="2314">
        <f t="shared" si="79"/>
        <v>0</v>
      </c>
      <c r="S227" s="2314">
        <f t="shared" si="79"/>
        <v>0</v>
      </c>
      <c r="T227" s="2314">
        <f t="shared" si="79"/>
        <v>0</v>
      </c>
      <c r="U227" s="2314">
        <f t="shared" si="79"/>
        <v>0</v>
      </c>
      <c r="V227" s="2314">
        <f t="shared" si="79"/>
        <v>0</v>
      </c>
      <c r="W227" s="2314">
        <f t="shared" si="79"/>
        <v>0</v>
      </c>
      <c r="X227" s="2314">
        <f t="shared" si="79"/>
        <v>0</v>
      </c>
      <c r="Y227" s="2314">
        <f t="shared" si="79"/>
        <v>0</v>
      </c>
      <c r="Z227" s="2314">
        <f t="shared" si="79"/>
        <v>0</v>
      </c>
      <c r="AA227" s="2314">
        <f t="shared" si="79"/>
        <v>0</v>
      </c>
      <c r="AB227" s="2314">
        <f t="shared" si="79"/>
        <v>0</v>
      </c>
      <c r="AC227" s="2314">
        <f t="shared" si="79"/>
        <v>0</v>
      </c>
      <c r="AD227" s="2314">
        <f t="shared" si="79"/>
        <v>0</v>
      </c>
      <c r="AE227" s="2329">
        <f t="shared" si="79"/>
        <v>0</v>
      </c>
      <c r="AF227" s="2315">
        <f t="shared" si="79"/>
        <v>0</v>
      </c>
      <c r="AG227" s="2315">
        <f t="shared" si="79"/>
        <v>0</v>
      </c>
      <c r="AH227" s="2315">
        <f t="shared" si="79"/>
        <v>0</v>
      </c>
      <c r="AI227" s="2315">
        <f t="shared" si="79"/>
        <v>0</v>
      </c>
      <c r="AJ227" s="2315">
        <f t="shared" si="79"/>
        <v>0</v>
      </c>
      <c r="AK227" s="2315">
        <f t="shared" si="79"/>
        <v>0</v>
      </c>
      <c r="AL227" s="2315">
        <f t="shared" si="79"/>
        <v>0</v>
      </c>
      <c r="AM227" s="2315">
        <f t="shared" si="79"/>
        <v>0</v>
      </c>
      <c r="AN227" s="2315">
        <f t="shared" si="79"/>
        <v>0</v>
      </c>
      <c r="AO227" s="2315">
        <f t="shared" si="79"/>
        <v>0</v>
      </c>
      <c r="AP227" s="2315">
        <f t="shared" si="79"/>
        <v>0</v>
      </c>
      <c r="AQ227" s="2315">
        <f t="shared" si="79"/>
        <v>0</v>
      </c>
      <c r="AR227" s="2315">
        <f t="shared" si="79"/>
        <v>0</v>
      </c>
      <c r="AS227" s="2315">
        <f t="shared" si="79"/>
        <v>0</v>
      </c>
      <c r="AT227" s="2315">
        <f t="shared" si="79"/>
        <v>0</v>
      </c>
      <c r="AU227" s="2315">
        <f t="shared" si="79"/>
        <v>0</v>
      </c>
      <c r="AV227" s="2315">
        <f t="shared" si="79"/>
        <v>0</v>
      </c>
      <c r="AW227" s="2315">
        <f t="shared" si="79"/>
        <v>0</v>
      </c>
      <c r="AX227" s="2315">
        <f t="shared" si="79"/>
        <v>0</v>
      </c>
      <c r="AY227" s="2315">
        <f t="shared" si="79"/>
        <v>0</v>
      </c>
      <c r="AZ227" s="2315">
        <f t="shared" si="79"/>
        <v>0</v>
      </c>
      <c r="BA227" s="2315">
        <f>BA226-AP226</f>
        <v>0</v>
      </c>
      <c r="BB227" s="2315">
        <f t="shared" si="79"/>
        <v>0</v>
      </c>
      <c r="BC227" s="2308"/>
      <c r="BD227" s="2208"/>
    </row>
    <row r="228" spans="1:57" s="2334" customFormat="1" ht="16.5" hidden="1" customHeight="1" outlineLevel="2">
      <c r="A228" s="2219"/>
      <c r="B228" s="2311"/>
      <c r="C228" s="2322"/>
      <c r="D228" s="2313"/>
      <c r="E228" s="2314"/>
      <c r="F228" s="2314"/>
      <c r="G228" s="2314"/>
      <c r="H228" s="2314"/>
      <c r="I228" s="2314"/>
      <c r="J228" s="2293"/>
      <c r="K228" s="2293"/>
      <c r="L228" s="2293"/>
      <c r="M228" s="2293"/>
      <c r="N228" s="2293"/>
      <c r="O228" s="2293"/>
      <c r="P228" s="2293"/>
      <c r="Q228" s="2293"/>
      <c r="R228" s="2293"/>
      <c r="S228" s="2293"/>
      <c r="T228" s="2293"/>
      <c r="U228" s="2293"/>
      <c r="V228" s="2293"/>
      <c r="W228" s="2293"/>
      <c r="X228" s="2293"/>
      <c r="Y228" s="2293"/>
      <c r="Z228" s="2293"/>
      <c r="AA228" s="2293"/>
      <c r="AB228" s="2293"/>
      <c r="AC228" s="2293"/>
      <c r="AD228" s="2293"/>
      <c r="AE228" s="2294"/>
      <c r="AF228" s="2295"/>
      <c r="AG228" s="2295"/>
      <c r="AH228" s="2295"/>
      <c r="AI228" s="2295"/>
      <c r="AJ228" s="2295"/>
      <c r="AK228" s="2295"/>
      <c r="AL228" s="2295"/>
      <c r="AM228" s="2295"/>
      <c r="AN228" s="2295"/>
      <c r="AO228" s="2295"/>
      <c r="AP228" s="2295"/>
      <c r="AQ228" s="2295"/>
      <c r="AR228" s="2295"/>
      <c r="AS228" s="2295"/>
      <c r="AT228" s="2295"/>
      <c r="AU228" s="2295"/>
      <c r="AV228" s="2295"/>
      <c r="AW228" s="2295"/>
      <c r="AX228" s="2295"/>
      <c r="AY228" s="2295"/>
      <c r="AZ228" s="2295"/>
      <c r="BA228" s="2295"/>
      <c r="BB228" s="2295"/>
      <c r="BC228" s="2308"/>
      <c r="BD228" s="2333"/>
    </row>
    <row r="229" spans="1:57" s="2334" customFormat="1" ht="16.5" hidden="1" customHeight="1" outlineLevel="2">
      <c r="A229" s="2219"/>
      <c r="B229" s="2311"/>
      <c r="C229" s="2322"/>
      <c r="D229" s="2313"/>
      <c r="E229" s="2314"/>
      <c r="F229" s="2314"/>
      <c r="G229" s="2314"/>
      <c r="H229" s="2314"/>
      <c r="I229" s="2314"/>
      <c r="J229" s="2293"/>
      <c r="K229" s="2293"/>
      <c r="L229" s="2293"/>
      <c r="M229" s="2293"/>
      <c r="N229" s="2293"/>
      <c r="O229" s="2293"/>
      <c r="P229" s="2293"/>
      <c r="Q229" s="2293"/>
      <c r="R229" s="2293"/>
      <c r="S229" s="2293"/>
      <c r="T229" s="2293"/>
      <c r="U229" s="2293"/>
      <c r="V229" s="2293"/>
      <c r="W229" s="2293"/>
      <c r="X229" s="2293"/>
      <c r="Y229" s="2293"/>
      <c r="Z229" s="2293"/>
      <c r="AA229" s="2293"/>
      <c r="AB229" s="2293"/>
      <c r="AC229" s="2293"/>
      <c r="AD229" s="2293"/>
      <c r="AE229" s="2294"/>
      <c r="AF229" s="2295"/>
      <c r="AG229" s="2295"/>
      <c r="AH229" s="2295"/>
      <c r="AI229" s="2295"/>
      <c r="AJ229" s="2295"/>
      <c r="AK229" s="2295"/>
      <c r="AL229" s="2295"/>
      <c r="AM229" s="2295"/>
      <c r="AN229" s="2295"/>
      <c r="AO229" s="2295"/>
      <c r="AP229" s="2295"/>
      <c r="AQ229" s="2295"/>
      <c r="AR229" s="2295"/>
      <c r="AS229" s="2295"/>
      <c r="AT229" s="2295"/>
      <c r="AU229" s="2295"/>
      <c r="AV229" s="2295"/>
      <c r="AW229" s="2295"/>
      <c r="AX229" s="2295"/>
      <c r="AY229" s="2295"/>
      <c r="AZ229" s="2295"/>
      <c r="BA229" s="2295"/>
      <c r="BB229" s="2295"/>
      <c r="BC229" s="2308"/>
      <c r="BD229" s="2333"/>
    </row>
    <row r="230" spans="1:57" hidden="1" outlineLevel="1">
      <c r="B230" s="2323">
        <v>400</v>
      </c>
      <c r="C230" s="2324" t="s">
        <v>1932</v>
      </c>
      <c r="D230" s="2325" t="s">
        <v>1896</v>
      </c>
      <c r="E230" s="2326">
        <f>E247</f>
        <v>0</v>
      </c>
      <c r="F230" s="2326">
        <f>F247</f>
        <v>0</v>
      </c>
      <c r="G230" s="2326">
        <f t="shared" ref="G230:BB231" si="80">G247</f>
        <v>0</v>
      </c>
      <c r="H230" s="2326">
        <f t="shared" si="80"/>
        <v>0</v>
      </c>
      <c r="I230" s="2326">
        <f t="shared" si="80"/>
        <v>0</v>
      </c>
      <c r="J230" s="2326">
        <f t="shared" si="80"/>
        <v>0</v>
      </c>
      <c r="K230" s="2326">
        <f t="shared" si="80"/>
        <v>0</v>
      </c>
      <c r="L230" s="2326">
        <f t="shared" si="80"/>
        <v>0</v>
      </c>
      <c r="M230" s="2326">
        <f t="shared" si="80"/>
        <v>0</v>
      </c>
      <c r="N230" s="2326">
        <f t="shared" si="80"/>
        <v>0</v>
      </c>
      <c r="O230" s="2326">
        <f t="shared" si="80"/>
        <v>0</v>
      </c>
      <c r="P230" s="2326">
        <f t="shared" si="80"/>
        <v>0</v>
      </c>
      <c r="Q230" s="2326">
        <f t="shared" si="80"/>
        <v>0</v>
      </c>
      <c r="R230" s="2326">
        <f t="shared" si="80"/>
        <v>0</v>
      </c>
      <c r="S230" s="2326">
        <f t="shared" si="80"/>
        <v>0</v>
      </c>
      <c r="T230" s="2326">
        <f t="shared" si="80"/>
        <v>0</v>
      </c>
      <c r="U230" s="2326">
        <f t="shared" si="80"/>
        <v>0</v>
      </c>
      <c r="V230" s="2326">
        <f t="shared" si="80"/>
        <v>0</v>
      </c>
      <c r="W230" s="2326">
        <f t="shared" si="80"/>
        <v>0</v>
      </c>
      <c r="X230" s="2326">
        <f t="shared" si="80"/>
        <v>0</v>
      </c>
      <c r="Y230" s="2326">
        <f t="shared" si="80"/>
        <v>0</v>
      </c>
      <c r="Z230" s="2326">
        <f t="shared" si="80"/>
        <v>0</v>
      </c>
      <c r="AA230" s="2326">
        <f t="shared" si="80"/>
        <v>0</v>
      </c>
      <c r="AB230" s="2326">
        <f t="shared" si="80"/>
        <v>0</v>
      </c>
      <c r="AC230" s="2326">
        <f t="shared" si="80"/>
        <v>0</v>
      </c>
      <c r="AD230" s="2326">
        <f t="shared" si="80"/>
        <v>0</v>
      </c>
      <c r="AE230" s="2326">
        <f t="shared" si="80"/>
        <v>0</v>
      </c>
      <c r="AF230" s="2326">
        <f t="shared" si="80"/>
        <v>0</v>
      </c>
      <c r="AG230" s="2326">
        <f t="shared" si="80"/>
        <v>0</v>
      </c>
      <c r="AH230" s="2326">
        <f t="shared" si="80"/>
        <v>0</v>
      </c>
      <c r="AI230" s="2326">
        <f t="shared" si="80"/>
        <v>0</v>
      </c>
      <c r="AJ230" s="2326">
        <f t="shared" si="80"/>
        <v>0</v>
      </c>
      <c r="AK230" s="2326">
        <f t="shared" si="80"/>
        <v>0</v>
      </c>
      <c r="AL230" s="2326">
        <f t="shared" si="80"/>
        <v>0</v>
      </c>
      <c r="AM230" s="2326">
        <f t="shared" si="80"/>
        <v>0</v>
      </c>
      <c r="AN230" s="2326">
        <f t="shared" si="80"/>
        <v>0</v>
      </c>
      <c r="AO230" s="2326">
        <f t="shared" si="80"/>
        <v>0</v>
      </c>
      <c r="AP230" s="2326">
        <f t="shared" si="80"/>
        <v>0</v>
      </c>
      <c r="AQ230" s="2326">
        <f t="shared" si="80"/>
        <v>0</v>
      </c>
      <c r="AR230" s="2326">
        <f t="shared" si="80"/>
        <v>0</v>
      </c>
      <c r="AS230" s="2326">
        <f t="shared" si="80"/>
        <v>0</v>
      </c>
      <c r="AT230" s="2326">
        <f t="shared" si="80"/>
        <v>0</v>
      </c>
      <c r="AU230" s="2326">
        <f t="shared" si="80"/>
        <v>0</v>
      </c>
      <c r="AV230" s="2326">
        <f t="shared" si="80"/>
        <v>0</v>
      </c>
      <c r="AW230" s="2326">
        <f t="shared" si="80"/>
        <v>0</v>
      </c>
      <c r="AX230" s="2326">
        <f t="shared" si="80"/>
        <v>0</v>
      </c>
      <c r="AY230" s="2326">
        <f t="shared" si="80"/>
        <v>0</v>
      </c>
      <c r="AZ230" s="2326">
        <f t="shared" si="80"/>
        <v>0</v>
      </c>
      <c r="BA230" s="2326">
        <f t="shared" si="80"/>
        <v>0</v>
      </c>
      <c r="BB230" s="2326">
        <f t="shared" si="80"/>
        <v>0</v>
      </c>
      <c r="BC230" s="2301"/>
      <c r="BD230" s="2208"/>
      <c r="BE230" s="2297"/>
    </row>
    <row r="231" spans="1:57" ht="15.75" hidden="1" customHeight="1" outlineLevel="1">
      <c r="B231" s="2323"/>
      <c r="C231" s="2324"/>
      <c r="D231" s="2325" t="s">
        <v>1897</v>
      </c>
      <c r="E231" s="2326">
        <f>E248</f>
        <v>0</v>
      </c>
      <c r="F231" s="2326">
        <f>F248</f>
        <v>0</v>
      </c>
      <c r="G231" s="2326">
        <f t="shared" si="80"/>
        <v>0</v>
      </c>
      <c r="H231" s="2326">
        <f t="shared" si="80"/>
        <v>0</v>
      </c>
      <c r="I231" s="2326">
        <f t="shared" si="80"/>
        <v>0</v>
      </c>
      <c r="J231" s="2326">
        <f t="shared" si="80"/>
        <v>0</v>
      </c>
      <c r="K231" s="2326">
        <f t="shared" si="80"/>
        <v>0</v>
      </c>
      <c r="L231" s="2326">
        <f t="shared" si="80"/>
        <v>0</v>
      </c>
      <c r="M231" s="2326">
        <f t="shared" si="80"/>
        <v>0</v>
      </c>
      <c r="N231" s="2326">
        <f t="shared" si="80"/>
        <v>0</v>
      </c>
      <c r="O231" s="2326">
        <f t="shared" si="80"/>
        <v>0</v>
      </c>
      <c r="P231" s="2326">
        <f t="shared" si="80"/>
        <v>0</v>
      </c>
      <c r="Q231" s="2326">
        <f t="shared" si="80"/>
        <v>0</v>
      </c>
      <c r="R231" s="2326">
        <f t="shared" si="80"/>
        <v>0</v>
      </c>
      <c r="S231" s="2326">
        <f t="shared" si="80"/>
        <v>0</v>
      </c>
      <c r="T231" s="2326">
        <f t="shared" si="80"/>
        <v>0</v>
      </c>
      <c r="U231" s="2326">
        <f t="shared" si="80"/>
        <v>0</v>
      </c>
      <c r="V231" s="2326">
        <f t="shared" si="80"/>
        <v>0</v>
      </c>
      <c r="W231" s="2326">
        <f t="shared" si="80"/>
        <v>0</v>
      </c>
      <c r="X231" s="2326">
        <f t="shared" si="80"/>
        <v>0</v>
      </c>
      <c r="Y231" s="2326">
        <f t="shared" si="80"/>
        <v>0</v>
      </c>
      <c r="Z231" s="2326">
        <f t="shared" si="80"/>
        <v>0</v>
      </c>
      <c r="AA231" s="2326">
        <f t="shared" si="80"/>
        <v>0</v>
      </c>
      <c r="AB231" s="2326">
        <f t="shared" si="80"/>
        <v>0</v>
      </c>
      <c r="AC231" s="2326">
        <f t="shared" si="80"/>
        <v>0</v>
      </c>
      <c r="AD231" s="2326">
        <f t="shared" si="80"/>
        <v>0</v>
      </c>
      <c r="AE231" s="2326">
        <f t="shared" si="80"/>
        <v>0</v>
      </c>
      <c r="AF231" s="2326">
        <f t="shared" si="80"/>
        <v>0</v>
      </c>
      <c r="AG231" s="2326">
        <f t="shared" si="80"/>
        <v>0</v>
      </c>
      <c r="AH231" s="2326">
        <f t="shared" si="80"/>
        <v>0</v>
      </c>
      <c r="AI231" s="2326">
        <f t="shared" si="80"/>
        <v>0</v>
      </c>
      <c r="AJ231" s="2326">
        <f t="shared" si="80"/>
        <v>0</v>
      </c>
      <c r="AK231" s="2326">
        <f t="shared" si="80"/>
        <v>0</v>
      </c>
      <c r="AL231" s="2326">
        <f t="shared" si="80"/>
        <v>0</v>
      </c>
      <c r="AM231" s="2326">
        <f t="shared" si="80"/>
        <v>0</v>
      </c>
      <c r="AN231" s="2326">
        <f t="shared" si="80"/>
        <v>0</v>
      </c>
      <c r="AO231" s="2326">
        <f t="shared" si="80"/>
        <v>0</v>
      </c>
      <c r="AP231" s="2326">
        <f t="shared" si="80"/>
        <v>0</v>
      </c>
      <c r="AQ231" s="2326">
        <f t="shared" si="80"/>
        <v>0</v>
      </c>
      <c r="AR231" s="2326">
        <f t="shared" si="80"/>
        <v>0</v>
      </c>
      <c r="AS231" s="2326">
        <f t="shared" si="80"/>
        <v>0</v>
      </c>
      <c r="AT231" s="2326">
        <f t="shared" si="80"/>
        <v>0</v>
      </c>
      <c r="AU231" s="2326">
        <f t="shared" si="80"/>
        <v>0</v>
      </c>
      <c r="AV231" s="2326">
        <f t="shared" si="80"/>
        <v>0</v>
      </c>
      <c r="AW231" s="2326">
        <f t="shared" si="80"/>
        <v>0</v>
      </c>
      <c r="AX231" s="2326">
        <f t="shared" si="80"/>
        <v>0</v>
      </c>
      <c r="AY231" s="2326">
        <f t="shared" si="80"/>
        <v>0</v>
      </c>
      <c r="AZ231" s="2326">
        <f t="shared" si="80"/>
        <v>0</v>
      </c>
      <c r="BA231" s="2326">
        <f t="shared" si="80"/>
        <v>0</v>
      </c>
      <c r="BB231" s="2326">
        <f t="shared" si="80"/>
        <v>0</v>
      </c>
      <c r="BC231" s="2310"/>
      <c r="BD231" s="2208"/>
    </row>
    <row r="232" spans="1:57" ht="11.25" hidden="1" customHeight="1" outlineLevel="2">
      <c r="B232" s="2311"/>
      <c r="C232" s="2322"/>
      <c r="D232" s="2300"/>
      <c r="E232" s="2293"/>
      <c r="F232" s="2293"/>
      <c r="G232" s="2293"/>
      <c r="H232" s="2293"/>
      <c r="I232" s="2293"/>
      <c r="J232" s="2293"/>
      <c r="K232" s="2293"/>
      <c r="L232" s="2293"/>
      <c r="M232" s="2293"/>
      <c r="N232" s="2293"/>
      <c r="O232" s="2293"/>
      <c r="P232" s="2293"/>
      <c r="Q232" s="2293"/>
      <c r="R232" s="2293"/>
      <c r="S232" s="2293"/>
      <c r="T232" s="2293"/>
      <c r="U232" s="2293"/>
      <c r="V232" s="2293"/>
      <c r="W232" s="2293"/>
      <c r="X232" s="2293"/>
      <c r="Y232" s="2293"/>
      <c r="Z232" s="2293"/>
      <c r="AA232" s="2293"/>
      <c r="AB232" s="2293"/>
      <c r="AC232" s="2293"/>
      <c r="AD232" s="2293"/>
      <c r="AE232" s="2294"/>
      <c r="AF232" s="2295"/>
      <c r="AG232" s="2295"/>
      <c r="AH232" s="2295"/>
      <c r="AI232" s="2295"/>
      <c r="AJ232" s="2295"/>
      <c r="AK232" s="2295"/>
      <c r="AL232" s="2295"/>
      <c r="AM232" s="2295"/>
      <c r="AN232" s="2295"/>
      <c r="AO232" s="2295"/>
      <c r="AP232" s="2295"/>
      <c r="AQ232" s="2295"/>
      <c r="AR232" s="2295"/>
      <c r="AS232" s="2295"/>
      <c r="AT232" s="2295"/>
      <c r="AU232" s="2295"/>
      <c r="AV232" s="2295"/>
      <c r="AW232" s="2295"/>
      <c r="AX232" s="2295"/>
      <c r="AY232" s="2295"/>
      <c r="AZ232" s="2295"/>
      <c r="BA232" s="2295"/>
      <c r="BB232" s="2295"/>
      <c r="BC232" s="2320"/>
      <c r="BD232" s="2240"/>
    </row>
    <row r="233" spans="1:57" ht="16.5" hidden="1" customHeight="1" outlineLevel="2">
      <c r="B233" s="2302">
        <v>400.1</v>
      </c>
      <c r="C233" s="2335">
        <v>0</v>
      </c>
      <c r="D233" s="2332">
        <v>0</v>
      </c>
      <c r="E233" s="2305"/>
      <c r="F233" s="2305"/>
      <c r="G233" s="2305"/>
      <c r="H233" s="2305"/>
      <c r="I233" s="2305"/>
      <c r="J233" s="2305"/>
      <c r="K233" s="2305"/>
      <c r="L233" s="2305"/>
      <c r="M233" s="2305"/>
      <c r="N233" s="2305"/>
      <c r="O233" s="2305"/>
      <c r="P233" s="2305"/>
      <c r="Q233" s="2305"/>
      <c r="R233" s="2305"/>
      <c r="S233" s="2305"/>
      <c r="T233" s="2305"/>
      <c r="U233" s="2305"/>
      <c r="V233" s="2305"/>
      <c r="W233" s="2305"/>
      <c r="X233" s="2305"/>
      <c r="Y233" s="2305"/>
      <c r="Z233" s="2305"/>
      <c r="AA233" s="2305"/>
      <c r="AB233" s="2305"/>
      <c r="AC233" s="2305"/>
      <c r="AD233" s="2305"/>
      <c r="AE233" s="2306"/>
      <c r="AF233" s="2307"/>
      <c r="AG233" s="2307"/>
      <c r="AH233" s="2307"/>
      <c r="AI233" s="2307"/>
      <c r="AJ233" s="2307"/>
      <c r="AK233" s="2307"/>
      <c r="AL233" s="2307"/>
      <c r="AM233" s="2307"/>
      <c r="AN233" s="2307"/>
      <c r="AO233" s="2307"/>
      <c r="AP233" s="2307"/>
      <c r="AQ233" s="2307"/>
      <c r="AR233" s="2307"/>
      <c r="AS233" s="2307"/>
      <c r="AT233" s="2307"/>
      <c r="AU233" s="2307"/>
      <c r="AV233" s="2307"/>
      <c r="AW233" s="2307"/>
      <c r="AX233" s="2307"/>
      <c r="AY233" s="2307"/>
      <c r="AZ233" s="2307"/>
      <c r="BA233" s="2307"/>
      <c r="BB233" s="2307"/>
      <c r="BC233" s="2320"/>
      <c r="BD233" s="2240"/>
    </row>
    <row r="234" spans="1:57" ht="15" hidden="1" customHeight="1" outlineLevel="3">
      <c r="B234" s="2298"/>
      <c r="C234" s="2309" t="s">
        <v>1898</v>
      </c>
      <c r="D234" s="2300" t="s">
        <v>1899</v>
      </c>
      <c r="E234" s="2293">
        <v>0</v>
      </c>
      <c r="F234" s="2293">
        <v>0</v>
      </c>
      <c r="G234" s="2293">
        <v>0</v>
      </c>
      <c r="H234" s="2293">
        <v>0</v>
      </c>
      <c r="I234" s="2293">
        <v>0</v>
      </c>
      <c r="J234" s="2293">
        <v>0</v>
      </c>
      <c r="K234" s="2293">
        <v>0</v>
      </c>
      <c r="L234" s="2293">
        <v>0</v>
      </c>
      <c r="M234" s="2293">
        <v>0</v>
      </c>
      <c r="N234" s="2293">
        <v>0</v>
      </c>
      <c r="O234" s="2293">
        <v>0</v>
      </c>
      <c r="P234" s="2293">
        <v>0</v>
      </c>
      <c r="Q234" s="2293">
        <v>0</v>
      </c>
      <c r="R234" s="2293">
        <v>0</v>
      </c>
      <c r="S234" s="2293">
        <v>0</v>
      </c>
      <c r="T234" s="2293">
        <v>0</v>
      </c>
      <c r="U234" s="2293">
        <v>0</v>
      </c>
      <c r="V234" s="2293">
        <v>0</v>
      </c>
      <c r="W234" s="2293">
        <v>0</v>
      </c>
      <c r="X234" s="2293">
        <v>0</v>
      </c>
      <c r="Y234" s="2293">
        <v>0</v>
      </c>
      <c r="Z234" s="2293">
        <v>0</v>
      </c>
      <c r="AA234" s="2293"/>
      <c r="AB234" s="2293"/>
      <c r="AC234" s="2293"/>
      <c r="AD234" s="2293"/>
      <c r="AE234" s="2294">
        <v>0</v>
      </c>
      <c r="AF234" s="2295">
        <f t="shared" ref="AF234:BB234" si="81">AF124-AE124+AF382+AE234</f>
        <v>0</v>
      </c>
      <c r="AG234" s="2295">
        <f t="shared" si="81"/>
        <v>0</v>
      </c>
      <c r="AH234" s="2295">
        <f t="shared" si="81"/>
        <v>0</v>
      </c>
      <c r="AI234" s="2295">
        <f t="shared" si="81"/>
        <v>0</v>
      </c>
      <c r="AJ234" s="2295">
        <f t="shared" si="81"/>
        <v>0</v>
      </c>
      <c r="AK234" s="2295">
        <f t="shared" si="81"/>
        <v>0</v>
      </c>
      <c r="AL234" s="2295">
        <f t="shared" si="81"/>
        <v>0</v>
      </c>
      <c r="AM234" s="2295">
        <f t="shared" si="81"/>
        <v>0</v>
      </c>
      <c r="AN234" s="2295">
        <f t="shared" si="81"/>
        <v>0</v>
      </c>
      <c r="AO234" s="2295">
        <f t="shared" si="81"/>
        <v>0</v>
      </c>
      <c r="AP234" s="2295">
        <f t="shared" si="81"/>
        <v>0</v>
      </c>
      <c r="AQ234" s="2295">
        <f t="shared" si="81"/>
        <v>0</v>
      </c>
      <c r="AR234" s="2295">
        <f t="shared" si="81"/>
        <v>0</v>
      </c>
      <c r="AS234" s="2295">
        <f t="shared" si="81"/>
        <v>0</v>
      </c>
      <c r="AT234" s="2295">
        <f t="shared" si="81"/>
        <v>0</v>
      </c>
      <c r="AU234" s="2295">
        <f t="shared" si="81"/>
        <v>0</v>
      </c>
      <c r="AV234" s="2295">
        <f t="shared" si="81"/>
        <v>0</v>
      </c>
      <c r="AW234" s="2295">
        <f t="shared" si="81"/>
        <v>0</v>
      </c>
      <c r="AX234" s="2295">
        <f t="shared" si="81"/>
        <v>0</v>
      </c>
      <c r="AY234" s="2295">
        <f t="shared" si="81"/>
        <v>0</v>
      </c>
      <c r="AZ234" s="2295">
        <f t="shared" si="81"/>
        <v>0</v>
      </c>
      <c r="BA234" s="2295">
        <f>BA124-AP124+BA382+AP234</f>
        <v>0</v>
      </c>
      <c r="BB234" s="2295">
        <f t="shared" si="81"/>
        <v>0</v>
      </c>
      <c r="BC234" s="2310"/>
      <c r="BD234" s="2240"/>
    </row>
    <row r="235" spans="1:57" ht="15" hidden="1" customHeight="1" outlineLevel="3">
      <c r="B235" s="2298"/>
      <c r="C235" s="2309" t="s">
        <v>1901</v>
      </c>
      <c r="D235" s="2300" t="s">
        <v>1902</v>
      </c>
      <c r="E235" s="2293">
        <v>0</v>
      </c>
      <c r="F235" s="2293">
        <v>0</v>
      </c>
      <c r="G235" s="2293">
        <v>0</v>
      </c>
      <c r="H235" s="2293">
        <v>0</v>
      </c>
      <c r="I235" s="2293">
        <v>0</v>
      </c>
      <c r="J235" s="2293">
        <v>0</v>
      </c>
      <c r="K235" s="2293">
        <v>0</v>
      </c>
      <c r="L235" s="2293">
        <v>0</v>
      </c>
      <c r="M235" s="2293">
        <v>0</v>
      </c>
      <c r="N235" s="2293">
        <v>0</v>
      </c>
      <c r="O235" s="2293">
        <v>0</v>
      </c>
      <c r="P235" s="2293">
        <v>0</v>
      </c>
      <c r="Q235" s="2293">
        <v>0</v>
      </c>
      <c r="R235" s="2293">
        <v>0</v>
      </c>
      <c r="S235" s="2293">
        <v>0</v>
      </c>
      <c r="T235" s="2293">
        <v>0</v>
      </c>
      <c r="U235" s="2293">
        <v>0</v>
      </c>
      <c r="V235" s="2293">
        <v>0</v>
      </c>
      <c r="W235" s="2293">
        <v>0</v>
      </c>
      <c r="X235" s="2293">
        <v>0</v>
      </c>
      <c r="Y235" s="2293">
        <v>0</v>
      </c>
      <c r="Z235" s="2293">
        <v>0</v>
      </c>
      <c r="AA235" s="2293">
        <v>0</v>
      </c>
      <c r="AB235" s="2293">
        <v>0</v>
      </c>
      <c r="AC235" s="2293">
        <v>0</v>
      </c>
      <c r="AD235" s="2293">
        <v>0</v>
      </c>
      <c r="AE235" s="2294">
        <v>0</v>
      </c>
      <c r="AF235" s="2295">
        <v>0</v>
      </c>
      <c r="AG235" s="2295">
        <v>0</v>
      </c>
      <c r="AH235" s="2295">
        <v>0</v>
      </c>
      <c r="AI235" s="2295">
        <v>0</v>
      </c>
      <c r="AJ235" s="2295">
        <v>0</v>
      </c>
      <c r="AK235" s="2295">
        <v>0</v>
      </c>
      <c r="AL235" s="2295">
        <v>0</v>
      </c>
      <c r="AM235" s="2295">
        <v>0</v>
      </c>
      <c r="AN235" s="2295">
        <v>0</v>
      </c>
      <c r="AO235" s="2295">
        <v>0</v>
      </c>
      <c r="AP235" s="2295">
        <v>0</v>
      </c>
      <c r="AQ235" s="2295">
        <v>0</v>
      </c>
      <c r="AR235" s="2295">
        <v>0</v>
      </c>
      <c r="AS235" s="2295">
        <v>0</v>
      </c>
      <c r="AT235" s="2295">
        <v>0</v>
      </c>
      <c r="AU235" s="2295">
        <v>0</v>
      </c>
      <c r="AV235" s="2295">
        <v>0</v>
      </c>
      <c r="AW235" s="2295">
        <v>0</v>
      </c>
      <c r="AX235" s="2295">
        <v>0</v>
      </c>
      <c r="AY235" s="2295">
        <v>0</v>
      </c>
      <c r="AZ235" s="2295">
        <v>0</v>
      </c>
      <c r="BA235" s="2295">
        <v>0</v>
      </c>
      <c r="BB235" s="2295">
        <v>0</v>
      </c>
      <c r="BC235" s="2310"/>
      <c r="BD235" s="2240"/>
    </row>
    <row r="236" spans="1:57" ht="15" hidden="1" customHeight="1" outlineLevel="3">
      <c r="B236" s="2298"/>
      <c r="C236" s="2309" t="s">
        <v>1903</v>
      </c>
      <c r="D236" s="2300" t="s">
        <v>1904</v>
      </c>
      <c r="E236" s="2293">
        <v>0</v>
      </c>
      <c r="F236" s="2293">
        <v>0</v>
      </c>
      <c r="G236" s="2293">
        <v>0</v>
      </c>
      <c r="H236" s="2293">
        <v>0</v>
      </c>
      <c r="I236" s="2293">
        <v>0</v>
      </c>
      <c r="J236" s="2293">
        <v>0</v>
      </c>
      <c r="K236" s="2293">
        <v>0</v>
      </c>
      <c r="L236" s="2293">
        <v>0</v>
      </c>
      <c r="M236" s="2293">
        <v>0</v>
      </c>
      <c r="N236" s="2293">
        <v>0</v>
      </c>
      <c r="O236" s="2293">
        <v>0</v>
      </c>
      <c r="P236" s="2293">
        <v>0</v>
      </c>
      <c r="Q236" s="2293">
        <v>0</v>
      </c>
      <c r="R236" s="2293">
        <v>0</v>
      </c>
      <c r="S236" s="2293">
        <v>0</v>
      </c>
      <c r="T236" s="2293">
        <v>0</v>
      </c>
      <c r="U236" s="2293">
        <v>0</v>
      </c>
      <c r="V236" s="2293">
        <v>0</v>
      </c>
      <c r="W236" s="2293">
        <v>0</v>
      </c>
      <c r="X236" s="2293">
        <v>0</v>
      </c>
      <c r="Y236" s="2293">
        <v>0</v>
      </c>
      <c r="Z236" s="2293">
        <v>0</v>
      </c>
      <c r="AA236" s="2293">
        <v>0</v>
      </c>
      <c r="AB236" s="2293">
        <v>0</v>
      </c>
      <c r="AC236" s="2293">
        <v>0</v>
      </c>
      <c r="AD236" s="2293">
        <v>0</v>
      </c>
      <c r="AE236" s="2294">
        <v>0</v>
      </c>
      <c r="AF236" s="2295">
        <v>0</v>
      </c>
      <c r="AG236" s="2295">
        <v>0</v>
      </c>
      <c r="AH236" s="2295">
        <v>0</v>
      </c>
      <c r="AI236" s="2295">
        <v>0</v>
      </c>
      <c r="AJ236" s="2295">
        <v>0</v>
      </c>
      <c r="AK236" s="2295">
        <v>0</v>
      </c>
      <c r="AL236" s="2295">
        <v>0</v>
      </c>
      <c r="AM236" s="2295">
        <v>0</v>
      </c>
      <c r="AN236" s="2295">
        <v>0</v>
      </c>
      <c r="AO236" s="2295">
        <v>0</v>
      </c>
      <c r="AP236" s="2295">
        <v>0</v>
      </c>
      <c r="AQ236" s="2295">
        <v>0</v>
      </c>
      <c r="AR236" s="2295">
        <v>0</v>
      </c>
      <c r="AS236" s="2295">
        <v>0</v>
      </c>
      <c r="AT236" s="2295">
        <v>0</v>
      </c>
      <c r="AU236" s="2295">
        <v>0</v>
      </c>
      <c r="AV236" s="2295">
        <v>0</v>
      </c>
      <c r="AW236" s="2295">
        <v>0</v>
      </c>
      <c r="AX236" s="2295">
        <v>0</v>
      </c>
      <c r="AY236" s="2295">
        <v>0</v>
      </c>
      <c r="AZ236" s="2295">
        <v>0</v>
      </c>
      <c r="BA236" s="2295">
        <v>0</v>
      </c>
      <c r="BB236" s="2295">
        <v>0</v>
      </c>
      <c r="BC236" s="2310"/>
      <c r="BD236" s="2240"/>
    </row>
    <row r="237" spans="1:57" s="2203" customFormat="1" ht="15" hidden="1" customHeight="1" outlineLevel="3">
      <c r="B237" s="2311"/>
      <c r="C237" s="2312" t="s">
        <v>1905</v>
      </c>
      <c r="D237" s="2313" t="s">
        <v>1906</v>
      </c>
      <c r="E237" s="2314">
        <f>E234+E235+E236</f>
        <v>0</v>
      </c>
      <c r="F237" s="2314">
        <f t="shared" ref="F237:Y237" si="82">F234+F235+F236</f>
        <v>0</v>
      </c>
      <c r="G237" s="2314">
        <f t="shared" si="82"/>
        <v>0</v>
      </c>
      <c r="H237" s="2314">
        <f t="shared" si="82"/>
        <v>0</v>
      </c>
      <c r="I237" s="2314">
        <f t="shared" si="82"/>
        <v>0</v>
      </c>
      <c r="J237" s="2314">
        <f t="shared" si="82"/>
        <v>0</v>
      </c>
      <c r="K237" s="2314">
        <f t="shared" si="82"/>
        <v>0</v>
      </c>
      <c r="L237" s="2314">
        <f t="shared" si="82"/>
        <v>0</v>
      </c>
      <c r="M237" s="2314">
        <f t="shared" si="82"/>
        <v>0</v>
      </c>
      <c r="N237" s="2314">
        <f t="shared" si="82"/>
        <v>0</v>
      </c>
      <c r="O237" s="2314">
        <f t="shared" si="82"/>
        <v>0</v>
      </c>
      <c r="P237" s="2314">
        <f t="shared" si="82"/>
        <v>0</v>
      </c>
      <c r="Q237" s="2314">
        <f t="shared" si="82"/>
        <v>0</v>
      </c>
      <c r="R237" s="2314">
        <f t="shared" si="82"/>
        <v>0</v>
      </c>
      <c r="S237" s="2314">
        <f t="shared" si="82"/>
        <v>0</v>
      </c>
      <c r="T237" s="2314">
        <f t="shared" si="82"/>
        <v>0</v>
      </c>
      <c r="U237" s="2314">
        <f t="shared" si="82"/>
        <v>0</v>
      </c>
      <c r="V237" s="2314">
        <f t="shared" si="82"/>
        <v>0</v>
      </c>
      <c r="W237" s="2314">
        <f t="shared" si="82"/>
        <v>0</v>
      </c>
      <c r="X237" s="2314">
        <f t="shared" si="82"/>
        <v>0</v>
      </c>
      <c r="Y237" s="2314">
        <f t="shared" si="82"/>
        <v>0</v>
      </c>
      <c r="Z237" s="2314"/>
      <c r="AA237" s="2314">
        <f t="shared" ref="AA237:BB237" si="83">AA234+AA235+AA236</f>
        <v>0</v>
      </c>
      <c r="AB237" s="2314">
        <f t="shared" si="83"/>
        <v>0</v>
      </c>
      <c r="AC237" s="2314">
        <f t="shared" si="83"/>
        <v>0</v>
      </c>
      <c r="AD237" s="2314">
        <f t="shared" si="83"/>
        <v>0</v>
      </c>
      <c r="AE237" s="2329">
        <f t="shared" si="83"/>
        <v>0</v>
      </c>
      <c r="AF237" s="2315">
        <f t="shared" si="83"/>
        <v>0</v>
      </c>
      <c r="AG237" s="2315">
        <f t="shared" si="83"/>
        <v>0</v>
      </c>
      <c r="AH237" s="2315">
        <f t="shared" si="83"/>
        <v>0</v>
      </c>
      <c r="AI237" s="2315">
        <f t="shared" si="83"/>
        <v>0</v>
      </c>
      <c r="AJ237" s="2315">
        <f t="shared" si="83"/>
        <v>0</v>
      </c>
      <c r="AK237" s="2315">
        <f t="shared" si="83"/>
        <v>0</v>
      </c>
      <c r="AL237" s="2315">
        <f t="shared" si="83"/>
        <v>0</v>
      </c>
      <c r="AM237" s="2315">
        <f t="shared" si="83"/>
        <v>0</v>
      </c>
      <c r="AN237" s="2315">
        <f t="shared" si="83"/>
        <v>0</v>
      </c>
      <c r="AO237" s="2315">
        <f t="shared" si="83"/>
        <v>0</v>
      </c>
      <c r="AP237" s="2315">
        <f t="shared" si="83"/>
        <v>0</v>
      </c>
      <c r="AQ237" s="2315">
        <f t="shared" si="83"/>
        <v>0</v>
      </c>
      <c r="AR237" s="2315">
        <f t="shared" si="83"/>
        <v>0</v>
      </c>
      <c r="AS237" s="2315">
        <f t="shared" si="83"/>
        <v>0</v>
      </c>
      <c r="AT237" s="2315">
        <f t="shared" si="83"/>
        <v>0</v>
      </c>
      <c r="AU237" s="2315">
        <f t="shared" si="83"/>
        <v>0</v>
      </c>
      <c r="AV237" s="2315">
        <f t="shared" si="83"/>
        <v>0</v>
      </c>
      <c r="AW237" s="2315">
        <f t="shared" si="83"/>
        <v>0</v>
      </c>
      <c r="AX237" s="2315">
        <f t="shared" si="83"/>
        <v>0</v>
      </c>
      <c r="AY237" s="2315">
        <f t="shared" si="83"/>
        <v>0</v>
      </c>
      <c r="AZ237" s="2315">
        <f t="shared" si="83"/>
        <v>0</v>
      </c>
      <c r="BA237" s="2315">
        <f t="shared" si="83"/>
        <v>0</v>
      </c>
      <c r="BB237" s="2315">
        <f t="shared" si="83"/>
        <v>0</v>
      </c>
      <c r="BC237" s="2308"/>
      <c r="BD237" s="2208"/>
    </row>
    <row r="238" spans="1:57" s="2203" customFormat="1" ht="15" hidden="1" customHeight="1" outlineLevel="3">
      <c r="B238" s="2311"/>
      <c r="C238" s="2316" t="s">
        <v>1907</v>
      </c>
      <c r="D238" s="2313" t="s">
        <v>1908</v>
      </c>
      <c r="E238" s="2314">
        <v>0</v>
      </c>
      <c r="F238" s="2314">
        <v>0</v>
      </c>
      <c r="G238" s="2314">
        <v>0</v>
      </c>
      <c r="H238" s="2314">
        <v>0</v>
      </c>
      <c r="I238" s="2314">
        <v>0</v>
      </c>
      <c r="J238" s="2314">
        <v>0</v>
      </c>
      <c r="K238" s="2314">
        <v>0</v>
      </c>
      <c r="L238" s="2314">
        <v>0</v>
      </c>
      <c r="M238" s="2314">
        <v>0</v>
      </c>
      <c r="N238" s="2314">
        <v>0</v>
      </c>
      <c r="O238" s="2314">
        <v>0</v>
      </c>
      <c r="P238" s="2314">
        <v>0</v>
      </c>
      <c r="Q238" s="2314">
        <v>0</v>
      </c>
      <c r="R238" s="2314">
        <v>0</v>
      </c>
      <c r="S238" s="2314">
        <v>0</v>
      </c>
      <c r="T238" s="2314">
        <v>0</v>
      </c>
      <c r="U238" s="2314">
        <v>0</v>
      </c>
      <c r="V238" s="2314">
        <v>0</v>
      </c>
      <c r="W238" s="2314">
        <v>0</v>
      </c>
      <c r="X238" s="2314">
        <v>0</v>
      </c>
      <c r="Y238" s="2314">
        <v>0</v>
      </c>
      <c r="Z238" s="2314">
        <v>0</v>
      </c>
      <c r="AA238" s="2314">
        <v>0</v>
      </c>
      <c r="AB238" s="2314">
        <v>0</v>
      </c>
      <c r="AC238" s="2314">
        <v>0</v>
      </c>
      <c r="AD238" s="2314">
        <v>0</v>
      </c>
      <c r="AE238" s="2329">
        <v>0</v>
      </c>
      <c r="AF238" s="2315">
        <v>0</v>
      </c>
      <c r="AG238" s="2315">
        <v>0</v>
      </c>
      <c r="AH238" s="2315">
        <v>0</v>
      </c>
      <c r="AI238" s="2315">
        <v>0</v>
      </c>
      <c r="AJ238" s="2315">
        <v>0</v>
      </c>
      <c r="AK238" s="2315">
        <v>0</v>
      </c>
      <c r="AL238" s="2315">
        <v>0</v>
      </c>
      <c r="AM238" s="2315">
        <v>0</v>
      </c>
      <c r="AN238" s="2315">
        <v>0</v>
      </c>
      <c r="AO238" s="2315">
        <v>0</v>
      </c>
      <c r="AP238" s="2315">
        <v>0</v>
      </c>
      <c r="AQ238" s="2315">
        <v>0</v>
      </c>
      <c r="AR238" s="2315">
        <v>0</v>
      </c>
      <c r="AS238" s="2315">
        <v>0</v>
      </c>
      <c r="AT238" s="2315">
        <v>0</v>
      </c>
      <c r="AU238" s="2315">
        <v>0</v>
      </c>
      <c r="AV238" s="2315">
        <v>0</v>
      </c>
      <c r="AW238" s="2315">
        <v>0</v>
      </c>
      <c r="AX238" s="2315">
        <v>0</v>
      </c>
      <c r="AY238" s="2315">
        <v>0</v>
      </c>
      <c r="AZ238" s="2315">
        <v>0</v>
      </c>
      <c r="BA238" s="2315">
        <v>0</v>
      </c>
      <c r="BB238" s="2315">
        <v>0</v>
      </c>
      <c r="BC238" s="2308"/>
      <c r="BD238" s="2208"/>
    </row>
    <row r="239" spans="1:57" s="2226" customFormat="1" ht="15" hidden="1" customHeight="1" outlineLevel="3">
      <c r="A239" s="2219"/>
      <c r="B239" s="2298"/>
      <c r="C239" s="2317" t="s">
        <v>1579</v>
      </c>
      <c r="D239" s="2300" t="s">
        <v>1909</v>
      </c>
      <c r="E239" s="2293">
        <v>0</v>
      </c>
      <c r="F239" s="2293">
        <v>0</v>
      </c>
      <c r="G239" s="2293">
        <v>0</v>
      </c>
      <c r="H239" s="2293">
        <v>0</v>
      </c>
      <c r="I239" s="2293">
        <v>0</v>
      </c>
      <c r="J239" s="2293">
        <v>0</v>
      </c>
      <c r="K239" s="2293">
        <v>0</v>
      </c>
      <c r="L239" s="2293">
        <v>0</v>
      </c>
      <c r="M239" s="2293">
        <v>0</v>
      </c>
      <c r="N239" s="2293">
        <v>0</v>
      </c>
      <c r="O239" s="2293">
        <v>0</v>
      </c>
      <c r="P239" s="2293">
        <v>0</v>
      </c>
      <c r="Q239" s="2293">
        <v>0</v>
      </c>
      <c r="R239" s="2293">
        <v>0</v>
      </c>
      <c r="S239" s="2293">
        <v>0</v>
      </c>
      <c r="T239" s="2293">
        <v>0</v>
      </c>
      <c r="U239" s="2293">
        <v>0</v>
      </c>
      <c r="V239" s="2293">
        <v>0</v>
      </c>
      <c r="W239" s="2293">
        <v>0</v>
      </c>
      <c r="X239" s="2293">
        <v>0</v>
      </c>
      <c r="Y239" s="2293">
        <v>0</v>
      </c>
      <c r="Z239" s="2293">
        <v>0</v>
      </c>
      <c r="AA239" s="2293">
        <v>0</v>
      </c>
      <c r="AB239" s="2293">
        <v>0</v>
      </c>
      <c r="AC239" s="2293">
        <v>0</v>
      </c>
      <c r="AD239" s="2293">
        <v>0</v>
      </c>
      <c r="AE239" s="2294">
        <v>0</v>
      </c>
      <c r="AF239" s="2295">
        <v>0</v>
      </c>
      <c r="AG239" s="2295">
        <v>0</v>
      </c>
      <c r="AH239" s="2295">
        <v>0</v>
      </c>
      <c r="AI239" s="2295">
        <v>0</v>
      </c>
      <c r="AJ239" s="2295">
        <v>0</v>
      </c>
      <c r="AK239" s="2295">
        <v>0</v>
      </c>
      <c r="AL239" s="2295">
        <v>0</v>
      </c>
      <c r="AM239" s="2295">
        <v>0</v>
      </c>
      <c r="AN239" s="2295">
        <v>0</v>
      </c>
      <c r="AO239" s="2295">
        <v>0</v>
      </c>
      <c r="AP239" s="2295">
        <v>0</v>
      </c>
      <c r="AQ239" s="2295">
        <v>0</v>
      </c>
      <c r="AR239" s="2295">
        <v>0</v>
      </c>
      <c r="AS239" s="2295">
        <v>0</v>
      </c>
      <c r="AT239" s="2295">
        <v>0</v>
      </c>
      <c r="AU239" s="2295">
        <v>0</v>
      </c>
      <c r="AV239" s="2295">
        <v>0</v>
      </c>
      <c r="AW239" s="2295">
        <v>0</v>
      </c>
      <c r="AX239" s="2295">
        <v>0</v>
      </c>
      <c r="AY239" s="2295">
        <v>0</v>
      </c>
      <c r="AZ239" s="2295">
        <v>0</v>
      </c>
      <c r="BA239" s="2295">
        <v>0</v>
      </c>
      <c r="BB239" s="2295">
        <v>0</v>
      </c>
      <c r="BC239" s="2310">
        <f>+AA239</f>
        <v>0</v>
      </c>
      <c r="BD239" s="2318"/>
    </row>
    <row r="240" spans="1:57" s="2203" customFormat="1" ht="15" hidden="1" customHeight="1" outlineLevel="3">
      <c r="B240" s="2311"/>
      <c r="C240" s="2316" t="s">
        <v>1910</v>
      </c>
      <c r="D240" s="2313" t="s">
        <v>1911</v>
      </c>
      <c r="E240" s="2314">
        <f>E237+E238+E239</f>
        <v>0</v>
      </c>
      <c r="F240" s="2314">
        <f t="shared" ref="F240:Y240" si="84">F237+F238+F239</f>
        <v>0</v>
      </c>
      <c r="G240" s="2314">
        <f t="shared" si="84"/>
        <v>0</v>
      </c>
      <c r="H240" s="2314">
        <f t="shared" si="84"/>
        <v>0</v>
      </c>
      <c r="I240" s="2314">
        <f t="shared" si="84"/>
        <v>0</v>
      </c>
      <c r="J240" s="2314">
        <f t="shared" si="84"/>
        <v>0</v>
      </c>
      <c r="K240" s="2314">
        <f t="shared" si="84"/>
        <v>0</v>
      </c>
      <c r="L240" s="2314">
        <f t="shared" si="84"/>
        <v>0</v>
      </c>
      <c r="M240" s="2314">
        <f t="shared" si="84"/>
        <v>0</v>
      </c>
      <c r="N240" s="2314">
        <f t="shared" si="84"/>
        <v>0</v>
      </c>
      <c r="O240" s="2314">
        <f t="shared" si="84"/>
        <v>0</v>
      </c>
      <c r="P240" s="2314">
        <f t="shared" si="84"/>
        <v>0</v>
      </c>
      <c r="Q240" s="2314">
        <f t="shared" si="84"/>
        <v>0</v>
      </c>
      <c r="R240" s="2314">
        <f t="shared" si="84"/>
        <v>0</v>
      </c>
      <c r="S240" s="2314">
        <f t="shared" si="84"/>
        <v>0</v>
      </c>
      <c r="T240" s="2314">
        <f t="shared" si="84"/>
        <v>0</v>
      </c>
      <c r="U240" s="2314">
        <f t="shared" si="84"/>
        <v>0</v>
      </c>
      <c r="V240" s="2314">
        <f t="shared" si="84"/>
        <v>0</v>
      </c>
      <c r="W240" s="2314">
        <f t="shared" si="84"/>
        <v>0</v>
      </c>
      <c r="X240" s="2314">
        <f t="shared" si="84"/>
        <v>0</v>
      </c>
      <c r="Y240" s="2314">
        <f t="shared" si="84"/>
        <v>0</v>
      </c>
      <c r="Z240" s="2314"/>
      <c r="AA240" s="2314">
        <f t="shared" ref="AA240:BB240" si="85">AA237+AA238+AA239</f>
        <v>0</v>
      </c>
      <c r="AB240" s="2314">
        <f t="shared" si="85"/>
        <v>0</v>
      </c>
      <c r="AC240" s="2314">
        <f t="shared" si="85"/>
        <v>0</v>
      </c>
      <c r="AD240" s="2314">
        <f t="shared" si="85"/>
        <v>0</v>
      </c>
      <c r="AE240" s="2329">
        <f t="shared" si="85"/>
        <v>0</v>
      </c>
      <c r="AF240" s="2315">
        <f t="shared" si="85"/>
        <v>0</v>
      </c>
      <c r="AG240" s="2315">
        <f t="shared" si="85"/>
        <v>0</v>
      </c>
      <c r="AH240" s="2315">
        <f t="shared" si="85"/>
        <v>0</v>
      </c>
      <c r="AI240" s="2315">
        <f t="shared" si="85"/>
        <v>0</v>
      </c>
      <c r="AJ240" s="2315">
        <f t="shared" si="85"/>
        <v>0</v>
      </c>
      <c r="AK240" s="2315">
        <f t="shared" si="85"/>
        <v>0</v>
      </c>
      <c r="AL240" s="2315">
        <f t="shared" si="85"/>
        <v>0</v>
      </c>
      <c r="AM240" s="2315">
        <f t="shared" si="85"/>
        <v>0</v>
      </c>
      <c r="AN240" s="2315">
        <f t="shared" si="85"/>
        <v>0</v>
      </c>
      <c r="AO240" s="2315">
        <f t="shared" si="85"/>
        <v>0</v>
      </c>
      <c r="AP240" s="2315">
        <f t="shared" si="85"/>
        <v>0</v>
      </c>
      <c r="AQ240" s="2315">
        <f t="shared" si="85"/>
        <v>0</v>
      </c>
      <c r="AR240" s="2315">
        <f t="shared" si="85"/>
        <v>0</v>
      </c>
      <c r="AS240" s="2315">
        <f t="shared" si="85"/>
        <v>0</v>
      </c>
      <c r="AT240" s="2315">
        <f t="shared" si="85"/>
        <v>0</v>
      </c>
      <c r="AU240" s="2315">
        <f t="shared" si="85"/>
        <v>0</v>
      </c>
      <c r="AV240" s="2315">
        <f t="shared" si="85"/>
        <v>0</v>
      </c>
      <c r="AW240" s="2315">
        <f t="shared" si="85"/>
        <v>0</v>
      </c>
      <c r="AX240" s="2315">
        <f t="shared" si="85"/>
        <v>0</v>
      </c>
      <c r="AY240" s="2315">
        <f t="shared" si="85"/>
        <v>0</v>
      </c>
      <c r="AZ240" s="2315">
        <f t="shared" si="85"/>
        <v>0</v>
      </c>
      <c r="BA240" s="2315">
        <f t="shared" si="85"/>
        <v>0</v>
      </c>
      <c r="BB240" s="2315">
        <f t="shared" si="85"/>
        <v>0</v>
      </c>
      <c r="BC240" s="2308"/>
      <c r="BD240" s="2208"/>
    </row>
    <row r="241" spans="1:56" s="2203" customFormat="1" ht="15" hidden="1" customHeight="1" outlineLevel="3">
      <c r="B241" s="2311"/>
      <c r="C241" s="2316" t="s">
        <v>1930</v>
      </c>
      <c r="D241" s="2313" t="s">
        <v>1913</v>
      </c>
      <c r="E241" s="2314">
        <v>0</v>
      </c>
      <c r="F241" s="2314">
        <v>0</v>
      </c>
      <c r="G241" s="2314">
        <v>0</v>
      </c>
      <c r="H241" s="2314">
        <v>0</v>
      </c>
      <c r="I241" s="2314">
        <v>0</v>
      </c>
      <c r="J241" s="2314">
        <v>0</v>
      </c>
      <c r="K241" s="2314">
        <v>0</v>
      </c>
      <c r="L241" s="2314">
        <v>0</v>
      </c>
      <c r="M241" s="2314">
        <v>0</v>
      </c>
      <c r="N241" s="2314">
        <v>0</v>
      </c>
      <c r="O241" s="2314">
        <v>0</v>
      </c>
      <c r="P241" s="2314">
        <v>0</v>
      </c>
      <c r="Q241" s="2314">
        <v>0</v>
      </c>
      <c r="R241" s="2314">
        <v>0</v>
      </c>
      <c r="S241" s="2314">
        <v>0</v>
      </c>
      <c r="T241" s="2314">
        <v>0</v>
      </c>
      <c r="U241" s="2314">
        <v>0</v>
      </c>
      <c r="V241" s="2314">
        <v>0</v>
      </c>
      <c r="W241" s="2314">
        <v>0</v>
      </c>
      <c r="X241" s="2314">
        <v>0</v>
      </c>
      <c r="Y241" s="2314">
        <v>0</v>
      </c>
      <c r="Z241" s="2314">
        <v>0</v>
      </c>
      <c r="AA241" s="2314">
        <f t="shared" ref="AA241:BB241" si="86">AA232*-0.1</f>
        <v>0</v>
      </c>
      <c r="AB241" s="2314">
        <f t="shared" si="86"/>
        <v>0</v>
      </c>
      <c r="AC241" s="2314">
        <f t="shared" si="86"/>
        <v>0</v>
      </c>
      <c r="AD241" s="2314">
        <f t="shared" si="86"/>
        <v>0</v>
      </c>
      <c r="AE241" s="2329">
        <f t="shared" si="86"/>
        <v>0</v>
      </c>
      <c r="AF241" s="2315">
        <f t="shared" si="86"/>
        <v>0</v>
      </c>
      <c r="AG241" s="2315">
        <f t="shared" si="86"/>
        <v>0</v>
      </c>
      <c r="AH241" s="2315">
        <f t="shared" si="86"/>
        <v>0</v>
      </c>
      <c r="AI241" s="2315">
        <f t="shared" si="86"/>
        <v>0</v>
      </c>
      <c r="AJ241" s="2315">
        <f t="shared" si="86"/>
        <v>0</v>
      </c>
      <c r="AK241" s="2315">
        <f t="shared" si="86"/>
        <v>0</v>
      </c>
      <c r="AL241" s="2315">
        <f t="shared" si="86"/>
        <v>0</v>
      </c>
      <c r="AM241" s="2315">
        <f t="shared" si="86"/>
        <v>0</v>
      </c>
      <c r="AN241" s="2315">
        <f t="shared" si="86"/>
        <v>0</v>
      </c>
      <c r="AO241" s="2315">
        <f t="shared" si="86"/>
        <v>0</v>
      </c>
      <c r="AP241" s="2315">
        <f t="shared" si="86"/>
        <v>0</v>
      </c>
      <c r="AQ241" s="2315">
        <f t="shared" si="86"/>
        <v>0</v>
      </c>
      <c r="AR241" s="2315">
        <f t="shared" si="86"/>
        <v>0</v>
      </c>
      <c r="AS241" s="2315">
        <f t="shared" si="86"/>
        <v>0</v>
      </c>
      <c r="AT241" s="2315">
        <f t="shared" si="86"/>
        <v>0</v>
      </c>
      <c r="AU241" s="2315">
        <f t="shared" si="86"/>
        <v>0</v>
      </c>
      <c r="AV241" s="2315">
        <f t="shared" si="86"/>
        <v>0</v>
      </c>
      <c r="AW241" s="2315">
        <f t="shared" si="86"/>
        <v>0</v>
      </c>
      <c r="AX241" s="2315">
        <f t="shared" si="86"/>
        <v>0</v>
      </c>
      <c r="AY241" s="2315">
        <f t="shared" si="86"/>
        <v>0</v>
      </c>
      <c r="AZ241" s="2315">
        <f t="shared" si="86"/>
        <v>0</v>
      </c>
      <c r="BA241" s="2315">
        <f t="shared" si="86"/>
        <v>0</v>
      </c>
      <c r="BB241" s="2315">
        <f t="shared" si="86"/>
        <v>0</v>
      </c>
      <c r="BC241" s="2308"/>
      <c r="BD241" s="2208"/>
    </row>
    <row r="242" spans="1:56" ht="15" hidden="1" customHeight="1" outlineLevel="3">
      <c r="B242" s="2298"/>
      <c r="C242" s="2317" t="s">
        <v>1914</v>
      </c>
      <c r="D242" s="2300" t="s">
        <v>1915</v>
      </c>
      <c r="E242" s="2293">
        <v>0</v>
      </c>
      <c r="F242" s="2293">
        <v>0</v>
      </c>
      <c r="G242" s="2293">
        <v>0</v>
      </c>
      <c r="H242" s="2293">
        <v>0</v>
      </c>
      <c r="I242" s="2293">
        <v>0</v>
      </c>
      <c r="J242" s="2293">
        <v>0</v>
      </c>
      <c r="K242" s="2293">
        <v>0</v>
      </c>
      <c r="L242" s="2293">
        <v>0</v>
      </c>
      <c r="M242" s="2293">
        <v>0</v>
      </c>
      <c r="N242" s="2293">
        <v>0</v>
      </c>
      <c r="O242" s="2293">
        <v>0</v>
      </c>
      <c r="P242" s="2293">
        <v>0</v>
      </c>
      <c r="Q242" s="2293">
        <v>0</v>
      </c>
      <c r="R242" s="2293">
        <v>0</v>
      </c>
      <c r="S242" s="2293">
        <v>0</v>
      </c>
      <c r="T242" s="2293">
        <v>0</v>
      </c>
      <c r="U242" s="2293">
        <v>0</v>
      </c>
      <c r="V242" s="2293">
        <v>0</v>
      </c>
      <c r="W242" s="2293">
        <v>0</v>
      </c>
      <c r="X242" s="2293">
        <v>0</v>
      </c>
      <c r="Y242" s="2293">
        <v>0</v>
      </c>
      <c r="Z242" s="2293">
        <v>0</v>
      </c>
      <c r="AA242" s="2293">
        <v>0</v>
      </c>
      <c r="AB242" s="2293">
        <v>0</v>
      </c>
      <c r="AC242" s="2293">
        <v>0</v>
      </c>
      <c r="AD242" s="2293">
        <v>0</v>
      </c>
      <c r="AE242" s="2294">
        <v>0</v>
      </c>
      <c r="AF242" s="2295">
        <v>0</v>
      </c>
      <c r="AG242" s="2295">
        <v>0</v>
      </c>
      <c r="AH242" s="2295">
        <v>0</v>
      </c>
      <c r="AI242" s="2295">
        <v>0</v>
      </c>
      <c r="AJ242" s="2295">
        <v>0</v>
      </c>
      <c r="AK242" s="2295">
        <v>0</v>
      </c>
      <c r="AL242" s="2295">
        <v>0</v>
      </c>
      <c r="AM242" s="2295">
        <v>0</v>
      </c>
      <c r="AN242" s="2295">
        <v>0</v>
      </c>
      <c r="AO242" s="2295">
        <v>0</v>
      </c>
      <c r="AP242" s="2295">
        <v>0</v>
      </c>
      <c r="AQ242" s="2295">
        <v>0</v>
      </c>
      <c r="AR242" s="2295">
        <v>0</v>
      </c>
      <c r="AS242" s="2295">
        <v>0</v>
      </c>
      <c r="AT242" s="2295">
        <v>0</v>
      </c>
      <c r="AU242" s="2295">
        <v>0</v>
      </c>
      <c r="AV242" s="2295">
        <v>0</v>
      </c>
      <c r="AW242" s="2295">
        <v>0</v>
      </c>
      <c r="AX242" s="2295">
        <v>0</v>
      </c>
      <c r="AY242" s="2295">
        <v>0</v>
      </c>
      <c r="AZ242" s="2295">
        <v>0</v>
      </c>
      <c r="BA242" s="2295">
        <v>0</v>
      </c>
      <c r="BB242" s="2295">
        <v>0</v>
      </c>
      <c r="BC242" s="2310"/>
      <c r="BD242" s="2240"/>
    </row>
    <row r="243" spans="1:56" s="2203" customFormat="1" ht="15" hidden="1" customHeight="1" outlineLevel="3">
      <c r="B243" s="2311"/>
      <c r="C243" s="2316" t="s">
        <v>1916</v>
      </c>
      <c r="D243" s="2313" t="s">
        <v>1917</v>
      </c>
      <c r="E243" s="2314">
        <f>E240+E241+E242</f>
        <v>0</v>
      </c>
      <c r="F243" s="2314">
        <f t="shared" ref="F243:Y243" si="87">F240+F241+F242</f>
        <v>0</v>
      </c>
      <c r="G243" s="2314">
        <f t="shared" si="87"/>
        <v>0</v>
      </c>
      <c r="H243" s="2314">
        <f t="shared" si="87"/>
        <v>0</v>
      </c>
      <c r="I243" s="2314">
        <f t="shared" si="87"/>
        <v>0</v>
      </c>
      <c r="J243" s="2314">
        <f t="shared" si="87"/>
        <v>0</v>
      </c>
      <c r="K243" s="2314">
        <f t="shared" si="87"/>
        <v>0</v>
      </c>
      <c r="L243" s="2314">
        <f t="shared" si="87"/>
        <v>0</v>
      </c>
      <c r="M243" s="2314">
        <f t="shared" si="87"/>
        <v>0</v>
      </c>
      <c r="N243" s="2314">
        <f t="shared" si="87"/>
        <v>0</v>
      </c>
      <c r="O243" s="2314">
        <f t="shared" si="87"/>
        <v>0</v>
      </c>
      <c r="P243" s="2314">
        <f t="shared" si="87"/>
        <v>0</v>
      </c>
      <c r="Q243" s="2314">
        <f t="shared" si="87"/>
        <v>0</v>
      </c>
      <c r="R243" s="2314">
        <f t="shared" si="87"/>
        <v>0</v>
      </c>
      <c r="S243" s="2314">
        <f t="shared" si="87"/>
        <v>0</v>
      </c>
      <c r="T243" s="2314">
        <f t="shared" si="87"/>
        <v>0</v>
      </c>
      <c r="U243" s="2314">
        <f t="shared" si="87"/>
        <v>0</v>
      </c>
      <c r="V243" s="2314">
        <f t="shared" si="87"/>
        <v>0</v>
      </c>
      <c r="W243" s="2314">
        <f t="shared" si="87"/>
        <v>0</v>
      </c>
      <c r="X243" s="2314">
        <f t="shared" si="87"/>
        <v>0</v>
      </c>
      <c r="Y243" s="2314">
        <f t="shared" si="87"/>
        <v>0</v>
      </c>
      <c r="Z243" s="2314"/>
      <c r="AA243" s="2314">
        <f t="shared" ref="AA243:BB243" si="88">AA240+AA241+AA242</f>
        <v>0</v>
      </c>
      <c r="AB243" s="2314">
        <f t="shared" si="88"/>
        <v>0</v>
      </c>
      <c r="AC243" s="2314">
        <f t="shared" si="88"/>
        <v>0</v>
      </c>
      <c r="AD243" s="2314">
        <f t="shared" si="88"/>
        <v>0</v>
      </c>
      <c r="AE243" s="2329">
        <f t="shared" si="88"/>
        <v>0</v>
      </c>
      <c r="AF243" s="2315">
        <f t="shared" si="88"/>
        <v>0</v>
      </c>
      <c r="AG243" s="2315">
        <f t="shared" si="88"/>
        <v>0</v>
      </c>
      <c r="AH243" s="2315">
        <f t="shared" si="88"/>
        <v>0</v>
      </c>
      <c r="AI243" s="2315">
        <f t="shared" si="88"/>
        <v>0</v>
      </c>
      <c r="AJ243" s="2315">
        <f t="shared" si="88"/>
        <v>0</v>
      </c>
      <c r="AK243" s="2315">
        <f t="shared" si="88"/>
        <v>0</v>
      </c>
      <c r="AL243" s="2315">
        <f t="shared" si="88"/>
        <v>0</v>
      </c>
      <c r="AM243" s="2315">
        <f t="shared" si="88"/>
        <v>0</v>
      </c>
      <c r="AN243" s="2315">
        <f t="shared" si="88"/>
        <v>0</v>
      </c>
      <c r="AO243" s="2315">
        <f t="shared" si="88"/>
        <v>0</v>
      </c>
      <c r="AP243" s="2315">
        <f t="shared" si="88"/>
        <v>0</v>
      </c>
      <c r="AQ243" s="2315">
        <f t="shared" si="88"/>
        <v>0</v>
      </c>
      <c r="AR243" s="2315">
        <f t="shared" si="88"/>
        <v>0</v>
      </c>
      <c r="AS243" s="2315">
        <f t="shared" si="88"/>
        <v>0</v>
      </c>
      <c r="AT243" s="2315">
        <f t="shared" si="88"/>
        <v>0</v>
      </c>
      <c r="AU243" s="2315">
        <f t="shared" si="88"/>
        <v>0</v>
      </c>
      <c r="AV243" s="2315">
        <f t="shared" si="88"/>
        <v>0</v>
      </c>
      <c r="AW243" s="2315">
        <f t="shared" si="88"/>
        <v>0</v>
      </c>
      <c r="AX243" s="2315">
        <f t="shared" si="88"/>
        <v>0</v>
      </c>
      <c r="AY243" s="2315">
        <f t="shared" si="88"/>
        <v>0</v>
      </c>
      <c r="AZ243" s="2315">
        <f t="shared" si="88"/>
        <v>0</v>
      </c>
      <c r="BA243" s="2315">
        <f t="shared" si="88"/>
        <v>0</v>
      </c>
      <c r="BB243" s="2315">
        <f t="shared" si="88"/>
        <v>0</v>
      </c>
      <c r="BC243" s="2308"/>
      <c r="BD243" s="2208"/>
    </row>
    <row r="244" spans="1:56" ht="15" hidden="1" customHeight="1" outlineLevel="3">
      <c r="B244" s="2298"/>
      <c r="C244" s="2317" t="s">
        <v>1918</v>
      </c>
      <c r="D244" s="2300" t="s">
        <v>1919</v>
      </c>
      <c r="E244" s="2293">
        <v>0</v>
      </c>
      <c r="F244" s="2293">
        <v>0</v>
      </c>
      <c r="G244" s="2293">
        <v>0</v>
      </c>
      <c r="H244" s="2293">
        <v>0</v>
      </c>
      <c r="I244" s="2293">
        <v>0</v>
      </c>
      <c r="J244" s="2293">
        <v>0</v>
      </c>
      <c r="K244" s="2293">
        <v>0</v>
      </c>
      <c r="L244" s="2293">
        <v>0</v>
      </c>
      <c r="M244" s="2293">
        <v>0</v>
      </c>
      <c r="N244" s="2293">
        <v>0</v>
      </c>
      <c r="O244" s="2293">
        <v>0</v>
      </c>
      <c r="P244" s="2293">
        <v>0</v>
      </c>
      <c r="Q244" s="2293">
        <v>0</v>
      </c>
      <c r="R244" s="2293">
        <v>0</v>
      </c>
      <c r="S244" s="2293">
        <v>0</v>
      </c>
      <c r="T244" s="2293">
        <v>0</v>
      </c>
      <c r="U244" s="2293">
        <v>0</v>
      </c>
      <c r="V244" s="2293">
        <v>0</v>
      </c>
      <c r="W244" s="2293">
        <v>0</v>
      </c>
      <c r="X244" s="2293">
        <v>0</v>
      </c>
      <c r="Y244" s="2293">
        <v>0</v>
      </c>
      <c r="Z244" s="2293">
        <v>0</v>
      </c>
      <c r="AA244" s="2293">
        <v>0</v>
      </c>
      <c r="AB244" s="2293">
        <v>0</v>
      </c>
      <c r="AC244" s="2293">
        <v>0</v>
      </c>
      <c r="AD244" s="2293">
        <v>0</v>
      </c>
      <c r="AE244" s="2294">
        <v>0</v>
      </c>
      <c r="AF244" s="2295">
        <v>0</v>
      </c>
      <c r="AG244" s="2295">
        <v>0</v>
      </c>
      <c r="AH244" s="2295">
        <v>0</v>
      </c>
      <c r="AI244" s="2295">
        <v>0</v>
      </c>
      <c r="AJ244" s="2295">
        <v>0</v>
      </c>
      <c r="AK244" s="2295">
        <v>0</v>
      </c>
      <c r="AL244" s="2295">
        <v>0</v>
      </c>
      <c r="AM244" s="2295">
        <v>0</v>
      </c>
      <c r="AN244" s="2295">
        <v>0</v>
      </c>
      <c r="AO244" s="2295">
        <v>0</v>
      </c>
      <c r="AP244" s="2295">
        <v>0</v>
      </c>
      <c r="AQ244" s="2295">
        <v>0</v>
      </c>
      <c r="AR244" s="2295">
        <v>0</v>
      </c>
      <c r="AS244" s="2295">
        <v>0</v>
      </c>
      <c r="AT244" s="2295">
        <v>0</v>
      </c>
      <c r="AU244" s="2295">
        <v>0</v>
      </c>
      <c r="AV244" s="2295">
        <v>0</v>
      </c>
      <c r="AW244" s="2295">
        <v>0</v>
      </c>
      <c r="AX244" s="2295">
        <v>0</v>
      </c>
      <c r="AY244" s="2295">
        <v>0</v>
      </c>
      <c r="AZ244" s="2295">
        <v>0</v>
      </c>
      <c r="BA244" s="2295">
        <v>0</v>
      </c>
      <c r="BB244" s="2295">
        <v>0</v>
      </c>
      <c r="BC244" s="2310"/>
      <c r="BD244" s="2240"/>
    </row>
    <row r="245" spans="1:56" ht="15" hidden="1" customHeight="1" outlineLevel="3">
      <c r="B245" s="2298"/>
      <c r="C245" s="2317" t="s">
        <v>1920</v>
      </c>
      <c r="D245" s="2319" t="s">
        <v>1921</v>
      </c>
      <c r="E245" s="2293">
        <v>0</v>
      </c>
      <c r="F245" s="2293">
        <v>0</v>
      </c>
      <c r="G245" s="2293">
        <v>0</v>
      </c>
      <c r="H245" s="2293">
        <v>0</v>
      </c>
      <c r="I245" s="2293">
        <v>0</v>
      </c>
      <c r="J245" s="2293">
        <v>0</v>
      </c>
      <c r="K245" s="2293">
        <v>0</v>
      </c>
      <c r="L245" s="2293">
        <v>0</v>
      </c>
      <c r="M245" s="2293">
        <v>0</v>
      </c>
      <c r="N245" s="2293">
        <v>0</v>
      </c>
      <c r="O245" s="2293">
        <v>0</v>
      </c>
      <c r="P245" s="2293">
        <v>0</v>
      </c>
      <c r="Q245" s="2293">
        <v>0</v>
      </c>
      <c r="R245" s="2293">
        <v>0</v>
      </c>
      <c r="S245" s="2293">
        <v>0</v>
      </c>
      <c r="T245" s="2293">
        <v>0</v>
      </c>
      <c r="U245" s="2293">
        <v>0</v>
      </c>
      <c r="V245" s="2293">
        <v>0</v>
      </c>
      <c r="W245" s="2293">
        <v>0</v>
      </c>
      <c r="X245" s="2293">
        <v>0</v>
      </c>
      <c r="Y245" s="2293">
        <v>0</v>
      </c>
      <c r="Z245" s="2293">
        <v>0</v>
      </c>
      <c r="AA245" s="2293">
        <v>0</v>
      </c>
      <c r="AB245" s="2293">
        <v>0</v>
      </c>
      <c r="AC245" s="2293">
        <v>0</v>
      </c>
      <c r="AD245" s="2293">
        <v>0</v>
      </c>
      <c r="AE245" s="2294">
        <v>0</v>
      </c>
      <c r="AF245" s="2295">
        <v>0</v>
      </c>
      <c r="AG245" s="2295">
        <v>0</v>
      </c>
      <c r="AH245" s="2295">
        <v>0</v>
      </c>
      <c r="AI245" s="2295">
        <v>0</v>
      </c>
      <c r="AJ245" s="2295">
        <v>0</v>
      </c>
      <c r="AK245" s="2295">
        <v>0</v>
      </c>
      <c r="AL245" s="2295">
        <v>0</v>
      </c>
      <c r="AM245" s="2295">
        <v>0</v>
      </c>
      <c r="AN245" s="2295">
        <v>0</v>
      </c>
      <c r="AO245" s="2295">
        <v>0</v>
      </c>
      <c r="AP245" s="2295">
        <v>0</v>
      </c>
      <c r="AQ245" s="2295">
        <v>0</v>
      </c>
      <c r="AR245" s="2295">
        <v>0</v>
      </c>
      <c r="AS245" s="2295">
        <v>0</v>
      </c>
      <c r="AT245" s="2295">
        <v>0</v>
      </c>
      <c r="AU245" s="2295">
        <v>0</v>
      </c>
      <c r="AV245" s="2295">
        <v>0</v>
      </c>
      <c r="AW245" s="2295">
        <v>0</v>
      </c>
      <c r="AX245" s="2295">
        <v>0</v>
      </c>
      <c r="AY245" s="2295">
        <v>0</v>
      </c>
      <c r="AZ245" s="2295">
        <v>0</v>
      </c>
      <c r="BA245" s="2295">
        <v>0</v>
      </c>
      <c r="BB245" s="2295">
        <v>0</v>
      </c>
      <c r="BC245" s="2310"/>
      <c r="BD245" s="2240"/>
    </row>
    <row r="246" spans="1:56" ht="15" hidden="1" customHeight="1" outlineLevel="3">
      <c r="B246" s="2298"/>
      <c r="C246" s="2317" t="s">
        <v>1922</v>
      </c>
      <c r="D246" s="2319" t="s">
        <v>1923</v>
      </c>
      <c r="E246" s="2293">
        <v>0</v>
      </c>
      <c r="F246" s="2293">
        <v>0</v>
      </c>
      <c r="G246" s="2293">
        <v>0</v>
      </c>
      <c r="H246" s="2293">
        <v>0</v>
      </c>
      <c r="I246" s="2293">
        <v>0</v>
      </c>
      <c r="J246" s="2293">
        <v>0</v>
      </c>
      <c r="K246" s="2293">
        <v>0</v>
      </c>
      <c r="L246" s="2293">
        <v>0</v>
      </c>
      <c r="M246" s="2293">
        <v>0</v>
      </c>
      <c r="N246" s="2293">
        <v>0</v>
      </c>
      <c r="O246" s="2293">
        <v>0</v>
      </c>
      <c r="P246" s="2293">
        <v>0</v>
      </c>
      <c r="Q246" s="2293">
        <v>0</v>
      </c>
      <c r="R246" s="2293">
        <v>0</v>
      </c>
      <c r="S246" s="2293">
        <v>0</v>
      </c>
      <c r="T246" s="2293">
        <v>0</v>
      </c>
      <c r="U246" s="2293">
        <v>0</v>
      </c>
      <c r="V246" s="2293">
        <v>0</v>
      </c>
      <c r="W246" s="2293">
        <v>0</v>
      </c>
      <c r="X246" s="2293">
        <v>0</v>
      </c>
      <c r="Y246" s="2293">
        <v>0</v>
      </c>
      <c r="Z246" s="2293">
        <v>0</v>
      </c>
      <c r="AA246" s="2293">
        <v>0</v>
      </c>
      <c r="AB246" s="2293">
        <v>0</v>
      </c>
      <c r="AC246" s="2293">
        <v>0</v>
      </c>
      <c r="AD246" s="2293">
        <v>0</v>
      </c>
      <c r="AE246" s="2294">
        <v>0</v>
      </c>
      <c r="AF246" s="2295">
        <v>0</v>
      </c>
      <c r="AG246" s="2295">
        <v>0</v>
      </c>
      <c r="AH246" s="2295">
        <v>0</v>
      </c>
      <c r="AI246" s="2295">
        <v>0</v>
      </c>
      <c r="AJ246" s="2295">
        <v>0</v>
      </c>
      <c r="AK246" s="2295">
        <v>0</v>
      </c>
      <c r="AL246" s="2295">
        <v>0</v>
      </c>
      <c r="AM246" s="2295">
        <v>0</v>
      </c>
      <c r="AN246" s="2295">
        <v>0</v>
      </c>
      <c r="AO246" s="2295">
        <v>0</v>
      </c>
      <c r="AP246" s="2295">
        <v>0</v>
      </c>
      <c r="AQ246" s="2295">
        <v>0</v>
      </c>
      <c r="AR246" s="2295">
        <v>0</v>
      </c>
      <c r="AS246" s="2295">
        <v>0</v>
      </c>
      <c r="AT246" s="2295">
        <v>0</v>
      </c>
      <c r="AU246" s="2295">
        <v>0</v>
      </c>
      <c r="AV246" s="2295">
        <v>0</v>
      </c>
      <c r="AW246" s="2295">
        <v>0</v>
      </c>
      <c r="AX246" s="2295">
        <v>0</v>
      </c>
      <c r="AY246" s="2295">
        <v>0</v>
      </c>
      <c r="AZ246" s="2295">
        <v>0</v>
      </c>
      <c r="BA246" s="2295">
        <v>0</v>
      </c>
      <c r="BB246" s="2295">
        <v>0</v>
      </c>
      <c r="BC246" s="2320"/>
      <c r="BD246" s="2240"/>
    </row>
    <row r="247" spans="1:56" s="2203" customFormat="1" ht="15" hidden="1" customHeight="1" outlineLevel="2">
      <c r="B247" s="2311"/>
      <c r="C247" s="2316" t="s">
        <v>1924</v>
      </c>
      <c r="D247" s="2321" t="s">
        <v>1925</v>
      </c>
      <c r="E247" s="2314">
        <f t="shared" ref="E247:Z247" si="89">E243+E244+E246</f>
        <v>0</v>
      </c>
      <c r="F247" s="2314">
        <f t="shared" si="89"/>
        <v>0</v>
      </c>
      <c r="G247" s="2314">
        <f t="shared" si="89"/>
        <v>0</v>
      </c>
      <c r="H247" s="2314">
        <f t="shared" si="89"/>
        <v>0</v>
      </c>
      <c r="I247" s="2314">
        <f t="shared" si="89"/>
        <v>0</v>
      </c>
      <c r="J247" s="2314">
        <f t="shared" si="89"/>
        <v>0</v>
      </c>
      <c r="K247" s="2314">
        <f t="shared" si="89"/>
        <v>0</v>
      </c>
      <c r="L247" s="2314">
        <f t="shared" si="89"/>
        <v>0</v>
      </c>
      <c r="M247" s="2314">
        <f t="shared" si="89"/>
        <v>0</v>
      </c>
      <c r="N247" s="2314">
        <f t="shared" si="89"/>
        <v>0</v>
      </c>
      <c r="O247" s="2314">
        <f t="shared" si="89"/>
        <v>0</v>
      </c>
      <c r="P247" s="2314">
        <f t="shared" si="89"/>
        <v>0</v>
      </c>
      <c r="Q247" s="2314">
        <f t="shared" si="89"/>
        <v>0</v>
      </c>
      <c r="R247" s="2314">
        <f t="shared" si="89"/>
        <v>0</v>
      </c>
      <c r="S247" s="2314">
        <f t="shared" si="89"/>
        <v>0</v>
      </c>
      <c r="T247" s="2314">
        <f t="shared" si="89"/>
        <v>0</v>
      </c>
      <c r="U247" s="2314">
        <f t="shared" si="89"/>
        <v>0</v>
      </c>
      <c r="V247" s="2314">
        <f t="shared" si="89"/>
        <v>0</v>
      </c>
      <c r="W247" s="2314">
        <f t="shared" si="89"/>
        <v>0</v>
      </c>
      <c r="X247" s="2314">
        <f t="shared" si="89"/>
        <v>0</v>
      </c>
      <c r="Y247" s="2314">
        <f t="shared" si="89"/>
        <v>0</v>
      </c>
      <c r="Z247" s="2314">
        <f t="shared" si="89"/>
        <v>0</v>
      </c>
      <c r="AA247" s="2314">
        <f>AA243+AA244+AA246</f>
        <v>0</v>
      </c>
      <c r="AB247" s="2314">
        <f t="shared" ref="AB247:BB247" si="90">AB243+AB244+AB246</f>
        <v>0</v>
      </c>
      <c r="AC247" s="2314">
        <f t="shared" si="90"/>
        <v>0</v>
      </c>
      <c r="AD247" s="2314">
        <f t="shared" si="90"/>
        <v>0</v>
      </c>
      <c r="AE247" s="2329">
        <f t="shared" si="90"/>
        <v>0</v>
      </c>
      <c r="AF247" s="2315">
        <f t="shared" si="90"/>
        <v>0</v>
      </c>
      <c r="AG247" s="2315">
        <f t="shared" si="90"/>
        <v>0</v>
      </c>
      <c r="AH247" s="2315">
        <f t="shared" si="90"/>
        <v>0</v>
      </c>
      <c r="AI247" s="2315">
        <f t="shared" si="90"/>
        <v>0</v>
      </c>
      <c r="AJ247" s="2315">
        <f t="shared" si="90"/>
        <v>0</v>
      </c>
      <c r="AK247" s="2315">
        <f t="shared" si="90"/>
        <v>0</v>
      </c>
      <c r="AL247" s="2315">
        <f t="shared" si="90"/>
        <v>0</v>
      </c>
      <c r="AM247" s="2315">
        <f t="shared" si="90"/>
        <v>0</v>
      </c>
      <c r="AN247" s="2315">
        <f t="shared" si="90"/>
        <v>0</v>
      </c>
      <c r="AO247" s="2315">
        <f t="shared" si="90"/>
        <v>0</v>
      </c>
      <c r="AP247" s="2315">
        <f t="shared" si="90"/>
        <v>0</v>
      </c>
      <c r="AQ247" s="2315">
        <f t="shared" si="90"/>
        <v>0</v>
      </c>
      <c r="AR247" s="2315">
        <f t="shared" si="90"/>
        <v>0</v>
      </c>
      <c r="AS247" s="2315">
        <f t="shared" si="90"/>
        <v>0</v>
      </c>
      <c r="AT247" s="2315">
        <f t="shared" si="90"/>
        <v>0</v>
      </c>
      <c r="AU247" s="2315">
        <f t="shared" si="90"/>
        <v>0</v>
      </c>
      <c r="AV247" s="2315">
        <f t="shared" si="90"/>
        <v>0</v>
      </c>
      <c r="AW247" s="2315">
        <f t="shared" si="90"/>
        <v>0</v>
      </c>
      <c r="AX247" s="2315">
        <f t="shared" si="90"/>
        <v>0</v>
      </c>
      <c r="AY247" s="2315">
        <f t="shared" si="90"/>
        <v>0</v>
      </c>
      <c r="AZ247" s="2315">
        <f t="shared" si="90"/>
        <v>0</v>
      </c>
      <c r="BA247" s="2315">
        <f t="shared" si="90"/>
        <v>0</v>
      </c>
      <c r="BB247" s="2315">
        <f t="shared" si="90"/>
        <v>0</v>
      </c>
      <c r="BC247" s="2308"/>
      <c r="BD247" s="2208"/>
    </row>
    <row r="248" spans="1:56" s="2203" customFormat="1" ht="15" hidden="1" customHeight="1" outlineLevel="2">
      <c r="B248" s="2311"/>
      <c r="C248" s="2316" t="s">
        <v>1926</v>
      </c>
      <c r="D248" s="2313" t="s">
        <v>1927</v>
      </c>
      <c r="E248" s="2314">
        <f>E247</f>
        <v>0</v>
      </c>
      <c r="F248" s="2314">
        <f t="shared" ref="F248:Z248" si="91">F247-E247</f>
        <v>0</v>
      </c>
      <c r="G248" s="2314">
        <f t="shared" si="91"/>
        <v>0</v>
      </c>
      <c r="H248" s="2314">
        <f t="shared" si="91"/>
        <v>0</v>
      </c>
      <c r="I248" s="2314">
        <f t="shared" si="91"/>
        <v>0</v>
      </c>
      <c r="J248" s="2314">
        <f t="shared" si="91"/>
        <v>0</v>
      </c>
      <c r="K248" s="2314">
        <f t="shared" si="91"/>
        <v>0</v>
      </c>
      <c r="L248" s="2314">
        <f t="shared" si="91"/>
        <v>0</v>
      </c>
      <c r="M248" s="2314">
        <f t="shared" si="91"/>
        <v>0</v>
      </c>
      <c r="N248" s="2314">
        <f t="shared" si="91"/>
        <v>0</v>
      </c>
      <c r="O248" s="2314">
        <f t="shared" si="91"/>
        <v>0</v>
      </c>
      <c r="P248" s="2314">
        <f t="shared" si="91"/>
        <v>0</v>
      </c>
      <c r="Q248" s="2314">
        <f t="shared" si="91"/>
        <v>0</v>
      </c>
      <c r="R248" s="2314">
        <f t="shared" si="91"/>
        <v>0</v>
      </c>
      <c r="S248" s="2314">
        <f t="shared" si="91"/>
        <v>0</v>
      </c>
      <c r="T248" s="2314">
        <f t="shared" si="91"/>
        <v>0</v>
      </c>
      <c r="U248" s="2314">
        <f t="shared" si="91"/>
        <v>0</v>
      </c>
      <c r="V248" s="2314">
        <f t="shared" si="91"/>
        <v>0</v>
      </c>
      <c r="W248" s="2314">
        <f t="shared" si="91"/>
        <v>0</v>
      </c>
      <c r="X248" s="2314">
        <f t="shared" si="91"/>
        <v>0</v>
      </c>
      <c r="Y248" s="2314">
        <f t="shared" si="91"/>
        <v>0</v>
      </c>
      <c r="Z248" s="2314">
        <f t="shared" si="91"/>
        <v>0</v>
      </c>
      <c r="AA248" s="2314">
        <f t="shared" ref="AA248:BB248" si="92">(AA247-Z247)</f>
        <v>0</v>
      </c>
      <c r="AB248" s="2314">
        <f t="shared" si="92"/>
        <v>0</v>
      </c>
      <c r="AC248" s="2314">
        <f t="shared" si="92"/>
        <v>0</v>
      </c>
      <c r="AD248" s="2314">
        <f t="shared" si="92"/>
        <v>0</v>
      </c>
      <c r="AE248" s="2329">
        <f t="shared" si="92"/>
        <v>0</v>
      </c>
      <c r="AF248" s="2315">
        <f t="shared" si="92"/>
        <v>0</v>
      </c>
      <c r="AG248" s="2315">
        <f t="shared" si="92"/>
        <v>0</v>
      </c>
      <c r="AH248" s="2315">
        <f t="shared" si="92"/>
        <v>0</v>
      </c>
      <c r="AI248" s="2315">
        <f t="shared" si="92"/>
        <v>0</v>
      </c>
      <c r="AJ248" s="2315">
        <f t="shared" si="92"/>
        <v>0</v>
      </c>
      <c r="AK248" s="2315">
        <f t="shared" si="92"/>
        <v>0</v>
      </c>
      <c r="AL248" s="2315">
        <f t="shared" si="92"/>
        <v>0</v>
      </c>
      <c r="AM248" s="2315">
        <f t="shared" si="92"/>
        <v>0</v>
      </c>
      <c r="AN248" s="2315">
        <f t="shared" si="92"/>
        <v>0</v>
      </c>
      <c r="AO248" s="2315">
        <f t="shared" si="92"/>
        <v>0</v>
      </c>
      <c r="AP248" s="2315">
        <f t="shared" si="92"/>
        <v>0</v>
      </c>
      <c r="AQ248" s="2315">
        <f t="shared" si="92"/>
        <v>0</v>
      </c>
      <c r="AR248" s="2315">
        <f t="shared" si="92"/>
        <v>0</v>
      </c>
      <c r="AS248" s="2315">
        <f t="shared" si="92"/>
        <v>0</v>
      </c>
      <c r="AT248" s="2315">
        <f t="shared" si="92"/>
        <v>0</v>
      </c>
      <c r="AU248" s="2315">
        <f t="shared" si="92"/>
        <v>0</v>
      </c>
      <c r="AV248" s="2315">
        <f t="shared" si="92"/>
        <v>0</v>
      </c>
      <c r="AW248" s="2315">
        <f t="shared" si="92"/>
        <v>0</v>
      </c>
      <c r="AX248" s="2315">
        <f t="shared" si="92"/>
        <v>0</v>
      </c>
      <c r="AY248" s="2315">
        <f t="shared" si="92"/>
        <v>0</v>
      </c>
      <c r="AZ248" s="2315">
        <f t="shared" si="92"/>
        <v>0</v>
      </c>
      <c r="BA248" s="2315">
        <f>(BA247-AP247)</f>
        <v>0</v>
      </c>
      <c r="BB248" s="2315">
        <f t="shared" si="92"/>
        <v>0</v>
      </c>
      <c r="BC248" s="2308"/>
      <c r="BD248" s="2208"/>
    </row>
    <row r="249" spans="1:56" s="2334" customFormat="1" ht="16.5" hidden="1" customHeight="1" outlineLevel="2">
      <c r="A249" s="2219"/>
      <c r="B249" s="2311"/>
      <c r="C249" s="2322"/>
      <c r="D249" s="2313"/>
      <c r="E249" s="2314"/>
      <c r="F249" s="2314"/>
      <c r="G249" s="2314"/>
      <c r="H249" s="2314"/>
      <c r="I249" s="2314"/>
      <c r="J249" s="2293"/>
      <c r="K249" s="2293"/>
      <c r="L249" s="2293"/>
      <c r="M249" s="2293"/>
      <c r="N249" s="2293"/>
      <c r="O249" s="2293"/>
      <c r="P249" s="2293"/>
      <c r="Q249" s="2293"/>
      <c r="R249" s="2293"/>
      <c r="S249" s="2293"/>
      <c r="T249" s="2293"/>
      <c r="U249" s="2293"/>
      <c r="V249" s="2293"/>
      <c r="W249" s="2293"/>
      <c r="X249" s="2293"/>
      <c r="Y249" s="2293"/>
      <c r="Z249" s="2293"/>
      <c r="AA249" s="2293"/>
      <c r="AB249" s="2293"/>
      <c r="AC249" s="2293"/>
      <c r="AD249" s="2293"/>
      <c r="AE249" s="2294"/>
      <c r="AF249" s="2295"/>
      <c r="AG249" s="2295"/>
      <c r="AH249" s="2295"/>
      <c r="AI249" s="2295"/>
      <c r="AJ249" s="2295"/>
      <c r="AK249" s="2295"/>
      <c r="AL249" s="2295"/>
      <c r="AM249" s="2295"/>
      <c r="AN249" s="2295"/>
      <c r="AO249" s="2295"/>
      <c r="AP249" s="2295"/>
      <c r="AQ249" s="2295"/>
      <c r="AR249" s="2295"/>
      <c r="AS249" s="2295"/>
      <c r="AT249" s="2295"/>
      <c r="AU249" s="2295"/>
      <c r="AV249" s="2295"/>
      <c r="AW249" s="2295"/>
      <c r="AX249" s="2295"/>
      <c r="AY249" s="2295"/>
      <c r="AZ249" s="2295"/>
      <c r="BA249" s="2295"/>
      <c r="BB249" s="2295"/>
      <c r="BC249" s="2308"/>
      <c r="BD249" s="2333"/>
    </row>
    <row r="250" spans="1:56" hidden="1" outlineLevel="1">
      <c r="B250" s="2323">
        <v>500</v>
      </c>
      <c r="C250" s="2324" t="s">
        <v>1934</v>
      </c>
      <c r="D250" s="2325" t="s">
        <v>1896</v>
      </c>
      <c r="E250" s="2326">
        <f t="shared" ref="E250:BB251" si="93">E267</f>
        <v>0</v>
      </c>
      <c r="F250" s="2326">
        <f t="shared" si="93"/>
        <v>0</v>
      </c>
      <c r="G250" s="2326">
        <f t="shared" si="93"/>
        <v>0</v>
      </c>
      <c r="H250" s="2326">
        <f t="shared" si="93"/>
        <v>0</v>
      </c>
      <c r="I250" s="2326">
        <f t="shared" si="93"/>
        <v>0</v>
      </c>
      <c r="J250" s="2326">
        <f t="shared" si="93"/>
        <v>0</v>
      </c>
      <c r="K250" s="2326">
        <f t="shared" si="93"/>
        <v>0</v>
      </c>
      <c r="L250" s="2326">
        <f t="shared" si="93"/>
        <v>0</v>
      </c>
      <c r="M250" s="2326">
        <f t="shared" si="93"/>
        <v>0</v>
      </c>
      <c r="N250" s="2326">
        <f t="shared" si="93"/>
        <v>0</v>
      </c>
      <c r="O250" s="2326">
        <f t="shared" si="93"/>
        <v>0</v>
      </c>
      <c r="P250" s="2326">
        <f t="shared" si="93"/>
        <v>0</v>
      </c>
      <c r="Q250" s="2326">
        <f t="shared" si="93"/>
        <v>0</v>
      </c>
      <c r="R250" s="2326">
        <f t="shared" si="93"/>
        <v>0</v>
      </c>
      <c r="S250" s="2326">
        <f t="shared" si="93"/>
        <v>0</v>
      </c>
      <c r="T250" s="2326">
        <f t="shared" si="93"/>
        <v>0</v>
      </c>
      <c r="U250" s="2326">
        <f t="shared" si="93"/>
        <v>0</v>
      </c>
      <c r="V250" s="2326">
        <f t="shared" si="93"/>
        <v>0</v>
      </c>
      <c r="W250" s="2326">
        <f t="shared" si="93"/>
        <v>0</v>
      </c>
      <c r="X250" s="2326">
        <f t="shared" si="93"/>
        <v>0</v>
      </c>
      <c r="Y250" s="2326">
        <f t="shared" si="93"/>
        <v>0</v>
      </c>
      <c r="Z250" s="2326">
        <f t="shared" si="93"/>
        <v>0</v>
      </c>
      <c r="AA250" s="2326">
        <f t="shared" si="93"/>
        <v>0</v>
      </c>
      <c r="AB250" s="2326">
        <f t="shared" si="93"/>
        <v>0</v>
      </c>
      <c r="AC250" s="2326">
        <f t="shared" si="93"/>
        <v>0</v>
      </c>
      <c r="AD250" s="2326">
        <f t="shared" si="93"/>
        <v>0</v>
      </c>
      <c r="AE250" s="2327">
        <f t="shared" si="93"/>
        <v>0</v>
      </c>
      <c r="AF250" s="2328">
        <f t="shared" si="93"/>
        <v>0</v>
      </c>
      <c r="AG250" s="2328">
        <f t="shared" si="93"/>
        <v>0</v>
      </c>
      <c r="AH250" s="2328">
        <f t="shared" si="93"/>
        <v>0</v>
      </c>
      <c r="AI250" s="2328">
        <f t="shared" si="93"/>
        <v>0</v>
      </c>
      <c r="AJ250" s="2328">
        <f t="shared" si="93"/>
        <v>0</v>
      </c>
      <c r="AK250" s="2328">
        <f t="shared" si="93"/>
        <v>0</v>
      </c>
      <c r="AL250" s="2328">
        <f t="shared" si="93"/>
        <v>0</v>
      </c>
      <c r="AM250" s="2328">
        <f t="shared" si="93"/>
        <v>0</v>
      </c>
      <c r="AN250" s="2328">
        <f t="shared" si="93"/>
        <v>0</v>
      </c>
      <c r="AO250" s="2328">
        <f t="shared" si="93"/>
        <v>0</v>
      </c>
      <c r="AP250" s="2328">
        <f t="shared" si="93"/>
        <v>0</v>
      </c>
      <c r="AQ250" s="2328">
        <f t="shared" si="93"/>
        <v>0</v>
      </c>
      <c r="AR250" s="2328">
        <f t="shared" si="93"/>
        <v>0</v>
      </c>
      <c r="AS250" s="2328">
        <f t="shared" si="93"/>
        <v>0</v>
      </c>
      <c r="AT250" s="2328">
        <f t="shared" si="93"/>
        <v>0</v>
      </c>
      <c r="AU250" s="2328">
        <f t="shared" si="93"/>
        <v>0</v>
      </c>
      <c r="AV250" s="2328">
        <f t="shared" si="93"/>
        <v>0</v>
      </c>
      <c r="AW250" s="2328">
        <f t="shared" si="93"/>
        <v>0</v>
      </c>
      <c r="AX250" s="2328">
        <f t="shared" si="93"/>
        <v>0</v>
      </c>
      <c r="AY250" s="2328">
        <f t="shared" si="93"/>
        <v>0</v>
      </c>
      <c r="AZ250" s="2328">
        <f t="shared" si="93"/>
        <v>0</v>
      </c>
      <c r="BA250" s="2328">
        <f t="shared" si="93"/>
        <v>0</v>
      </c>
      <c r="BB250" s="2328">
        <f t="shared" si="93"/>
        <v>0</v>
      </c>
      <c r="BC250" s="2320">
        <f>AA250</f>
        <v>0</v>
      </c>
      <c r="BD250" s="2240"/>
    </row>
    <row r="251" spans="1:56" hidden="1" outlineLevel="1">
      <c r="B251" s="2323"/>
      <c r="C251" s="2324"/>
      <c r="D251" s="2325" t="s">
        <v>1897</v>
      </c>
      <c r="E251" s="2326">
        <f t="shared" si="93"/>
        <v>0</v>
      </c>
      <c r="F251" s="2326">
        <f t="shared" si="93"/>
        <v>0</v>
      </c>
      <c r="G251" s="2326">
        <f t="shared" si="93"/>
        <v>0</v>
      </c>
      <c r="H251" s="2326">
        <f t="shared" si="93"/>
        <v>0</v>
      </c>
      <c r="I251" s="2326">
        <f t="shared" si="93"/>
        <v>0</v>
      </c>
      <c r="J251" s="2326">
        <f t="shared" si="93"/>
        <v>0</v>
      </c>
      <c r="K251" s="2326">
        <f t="shared" si="93"/>
        <v>0</v>
      </c>
      <c r="L251" s="2326">
        <f t="shared" si="93"/>
        <v>0</v>
      </c>
      <c r="M251" s="2326">
        <f t="shared" si="93"/>
        <v>0</v>
      </c>
      <c r="N251" s="2326">
        <f t="shared" si="93"/>
        <v>0</v>
      </c>
      <c r="O251" s="2326">
        <f t="shared" si="93"/>
        <v>0</v>
      </c>
      <c r="P251" s="2326">
        <f t="shared" si="93"/>
        <v>0</v>
      </c>
      <c r="Q251" s="2326">
        <f t="shared" si="93"/>
        <v>0</v>
      </c>
      <c r="R251" s="2326">
        <f t="shared" si="93"/>
        <v>0</v>
      </c>
      <c r="S251" s="2326">
        <f t="shared" si="93"/>
        <v>0</v>
      </c>
      <c r="T251" s="2326">
        <f t="shared" si="93"/>
        <v>0</v>
      </c>
      <c r="U251" s="2326">
        <f t="shared" si="93"/>
        <v>0</v>
      </c>
      <c r="V251" s="2326">
        <f t="shared" si="93"/>
        <v>0</v>
      </c>
      <c r="W251" s="2326">
        <f t="shared" si="93"/>
        <v>0</v>
      </c>
      <c r="X251" s="2326">
        <f t="shared" si="93"/>
        <v>0</v>
      </c>
      <c r="Y251" s="2326">
        <f t="shared" si="93"/>
        <v>0</v>
      </c>
      <c r="Z251" s="2326">
        <f t="shared" si="93"/>
        <v>0</v>
      </c>
      <c r="AA251" s="2326">
        <f t="shared" si="93"/>
        <v>0</v>
      </c>
      <c r="AB251" s="2326">
        <f t="shared" si="93"/>
        <v>0</v>
      </c>
      <c r="AC251" s="2326">
        <f t="shared" si="93"/>
        <v>0</v>
      </c>
      <c r="AD251" s="2326">
        <f t="shared" si="93"/>
        <v>0</v>
      </c>
      <c r="AE251" s="2327">
        <f t="shared" si="93"/>
        <v>0</v>
      </c>
      <c r="AF251" s="2328">
        <f t="shared" si="93"/>
        <v>0</v>
      </c>
      <c r="AG251" s="2328">
        <f t="shared" si="93"/>
        <v>0</v>
      </c>
      <c r="AH251" s="2328">
        <f t="shared" si="93"/>
        <v>0</v>
      </c>
      <c r="AI251" s="2328">
        <f t="shared" si="93"/>
        <v>0</v>
      </c>
      <c r="AJ251" s="2328">
        <f t="shared" si="93"/>
        <v>0</v>
      </c>
      <c r="AK251" s="2328">
        <f t="shared" si="93"/>
        <v>0</v>
      </c>
      <c r="AL251" s="2328">
        <f t="shared" si="93"/>
        <v>0</v>
      </c>
      <c r="AM251" s="2328">
        <f t="shared" si="93"/>
        <v>0</v>
      </c>
      <c r="AN251" s="2328">
        <f t="shared" si="93"/>
        <v>0</v>
      </c>
      <c r="AO251" s="2328">
        <f t="shared" si="93"/>
        <v>0</v>
      </c>
      <c r="AP251" s="2328">
        <f t="shared" si="93"/>
        <v>0</v>
      </c>
      <c r="AQ251" s="2328">
        <f t="shared" si="93"/>
        <v>0</v>
      </c>
      <c r="AR251" s="2328">
        <f t="shared" si="93"/>
        <v>0</v>
      </c>
      <c r="AS251" s="2328">
        <f t="shared" si="93"/>
        <v>0</v>
      </c>
      <c r="AT251" s="2328">
        <f t="shared" si="93"/>
        <v>0</v>
      </c>
      <c r="AU251" s="2328">
        <f t="shared" si="93"/>
        <v>0</v>
      </c>
      <c r="AV251" s="2328">
        <f t="shared" si="93"/>
        <v>0</v>
      </c>
      <c r="AW251" s="2328">
        <f t="shared" si="93"/>
        <v>0</v>
      </c>
      <c r="AX251" s="2328">
        <f t="shared" si="93"/>
        <v>0</v>
      </c>
      <c r="AY251" s="2328">
        <f t="shared" si="93"/>
        <v>0</v>
      </c>
      <c r="AZ251" s="2328">
        <f t="shared" si="93"/>
        <v>0</v>
      </c>
      <c r="BA251" s="2328">
        <f t="shared" si="93"/>
        <v>0</v>
      </c>
      <c r="BB251" s="2328">
        <f t="shared" si="93"/>
        <v>0</v>
      </c>
      <c r="BC251" s="2310">
        <f>SUM(E251:BB251)</f>
        <v>0</v>
      </c>
      <c r="BD251" s="2240"/>
    </row>
    <row r="252" spans="1:56" ht="15" hidden="1" customHeight="1" outlineLevel="2">
      <c r="B252" s="2298"/>
      <c r="C252" s="2299"/>
      <c r="D252" s="2300"/>
      <c r="E252" s="2293"/>
      <c r="F252" s="2293"/>
      <c r="G252" s="2293"/>
      <c r="H252" s="2293"/>
      <c r="I252" s="2293"/>
      <c r="J252" s="2293"/>
      <c r="K252" s="2293"/>
      <c r="L252" s="2293"/>
      <c r="M252" s="2293"/>
      <c r="N252" s="2293"/>
      <c r="O252" s="2293"/>
      <c r="P252" s="2293"/>
      <c r="Q252" s="2293"/>
      <c r="R252" s="2293"/>
      <c r="S252" s="2293"/>
      <c r="T252" s="2293"/>
      <c r="U252" s="2293"/>
      <c r="V252" s="2293"/>
      <c r="W252" s="2293"/>
      <c r="X252" s="2293"/>
      <c r="Y252" s="2293"/>
      <c r="Z252" s="2293"/>
      <c r="AA252" s="2293"/>
      <c r="AB252" s="2293"/>
      <c r="AC252" s="2293"/>
      <c r="AD252" s="2293"/>
      <c r="AE252" s="2294"/>
      <c r="AF252" s="2295"/>
      <c r="AG252" s="2295"/>
      <c r="AH252" s="2295"/>
      <c r="AI252" s="2295"/>
      <c r="AJ252" s="2295"/>
      <c r="AK252" s="2295"/>
      <c r="AL252" s="2295"/>
      <c r="AM252" s="2295"/>
      <c r="AN252" s="2295"/>
      <c r="AO252" s="2295"/>
      <c r="AP252" s="2295"/>
      <c r="AQ252" s="2295"/>
      <c r="AR252" s="2295"/>
      <c r="AS252" s="2295"/>
      <c r="AT252" s="2295"/>
      <c r="AU252" s="2295"/>
      <c r="AV252" s="2295"/>
      <c r="AW252" s="2295"/>
      <c r="AX252" s="2295"/>
      <c r="AY252" s="2295"/>
      <c r="AZ252" s="2295"/>
      <c r="BA252" s="2295"/>
      <c r="BB252" s="2295"/>
      <c r="BC252" s="2320"/>
      <c r="BD252" s="2240"/>
    </row>
    <row r="253" spans="1:56" ht="16.5" hidden="1" customHeight="1" outlineLevel="2">
      <c r="B253" s="2330">
        <v>500.1</v>
      </c>
      <c r="C253" s="2331" t="s">
        <v>1941</v>
      </c>
      <c r="D253" s="2332"/>
      <c r="E253" s="2305"/>
      <c r="F253" s="2305"/>
      <c r="G253" s="2305"/>
      <c r="H253" s="2305"/>
      <c r="I253" s="2305"/>
      <c r="J253" s="2305"/>
      <c r="K253" s="2305"/>
      <c r="L253" s="2305"/>
      <c r="M253" s="2305"/>
      <c r="N253" s="2305"/>
      <c r="O253" s="2305"/>
      <c r="P253" s="2305"/>
      <c r="Q253" s="2305"/>
      <c r="R253" s="2305"/>
      <c r="S253" s="2305"/>
      <c r="T253" s="2305"/>
      <c r="U253" s="2305"/>
      <c r="V253" s="2305"/>
      <c r="W253" s="2305"/>
      <c r="X253" s="2305"/>
      <c r="Y253" s="2305"/>
      <c r="Z253" s="2305"/>
      <c r="AA253" s="2305"/>
      <c r="AB253" s="2305"/>
      <c r="AC253" s="2305"/>
      <c r="AD253" s="2305"/>
      <c r="AE253" s="2306"/>
      <c r="AF253" s="2307"/>
      <c r="AG253" s="2307"/>
      <c r="AH253" s="2307"/>
      <c r="AI253" s="2307"/>
      <c r="AJ253" s="2307"/>
      <c r="AK253" s="2307"/>
      <c r="AL253" s="2307"/>
      <c r="AM253" s="2307"/>
      <c r="AN253" s="2307"/>
      <c r="AO253" s="2307"/>
      <c r="AP253" s="2307"/>
      <c r="AQ253" s="2307"/>
      <c r="AR253" s="2307"/>
      <c r="AS253" s="2307"/>
      <c r="AT253" s="2307"/>
      <c r="AU253" s="2307"/>
      <c r="AV253" s="2307"/>
      <c r="AW253" s="2307"/>
      <c r="AX253" s="2307"/>
      <c r="AY253" s="2307"/>
      <c r="AZ253" s="2307"/>
      <c r="BA253" s="2307"/>
      <c r="BB253" s="2307"/>
      <c r="BC253" s="2320"/>
      <c r="BD253" s="2240"/>
    </row>
    <row r="254" spans="1:56" ht="15" hidden="1" customHeight="1" outlineLevel="3">
      <c r="B254" s="2298"/>
      <c r="C254" s="2309" t="s">
        <v>1898</v>
      </c>
      <c r="D254" s="2300" t="s">
        <v>1899</v>
      </c>
      <c r="E254" s="2293">
        <v>0</v>
      </c>
      <c r="F254" s="2293">
        <v>0</v>
      </c>
      <c r="G254" s="2293">
        <v>0</v>
      </c>
      <c r="H254" s="2293">
        <v>0</v>
      </c>
      <c r="I254" s="2293">
        <v>0</v>
      </c>
      <c r="J254" s="2293">
        <v>0</v>
      </c>
      <c r="K254" s="2293">
        <v>0</v>
      </c>
      <c r="L254" s="2293">
        <v>0</v>
      </c>
      <c r="M254" s="2293">
        <v>0</v>
      </c>
      <c r="N254" s="2293">
        <v>0</v>
      </c>
      <c r="O254" s="2293">
        <v>0</v>
      </c>
      <c r="P254" s="2293">
        <v>0</v>
      </c>
      <c r="Q254" s="2293">
        <v>0</v>
      </c>
      <c r="R254" s="2293">
        <v>0</v>
      </c>
      <c r="S254" s="2293">
        <v>0</v>
      </c>
      <c r="T254" s="2293">
        <v>0</v>
      </c>
      <c r="U254" s="2293">
        <v>0</v>
      </c>
      <c r="V254" s="2293">
        <v>0</v>
      </c>
      <c r="W254" s="2293">
        <v>0</v>
      </c>
      <c r="X254" s="2293">
        <v>0</v>
      </c>
      <c r="Y254" s="2293">
        <v>0</v>
      </c>
      <c r="Z254" s="2293">
        <v>0</v>
      </c>
      <c r="AA254" s="2293">
        <v>0</v>
      </c>
      <c r="AB254" s="2293">
        <v>0</v>
      </c>
      <c r="AC254" s="2293">
        <v>0</v>
      </c>
      <c r="AD254" s="2293">
        <v>0</v>
      </c>
      <c r="AE254" s="2294">
        <v>0</v>
      </c>
      <c r="AF254" s="2295">
        <v>0</v>
      </c>
      <c r="AG254" s="2295">
        <v>0</v>
      </c>
      <c r="AH254" s="2295">
        <v>0</v>
      </c>
      <c r="AI254" s="2295">
        <v>0</v>
      </c>
      <c r="AJ254" s="2295">
        <v>0</v>
      </c>
      <c r="AK254" s="2295">
        <v>0</v>
      </c>
      <c r="AL254" s="2295">
        <v>0</v>
      </c>
      <c r="AM254" s="2295">
        <v>0</v>
      </c>
      <c r="AN254" s="2295">
        <v>0</v>
      </c>
      <c r="AO254" s="2295">
        <v>0</v>
      </c>
      <c r="AP254" s="2295">
        <v>0</v>
      </c>
      <c r="AQ254" s="2295">
        <v>0</v>
      </c>
      <c r="AR254" s="2295">
        <v>0</v>
      </c>
      <c r="AS254" s="2295">
        <v>0</v>
      </c>
      <c r="AT254" s="2295">
        <v>0</v>
      </c>
      <c r="AU254" s="2295">
        <v>0</v>
      </c>
      <c r="AV254" s="2295">
        <v>0</v>
      </c>
      <c r="AW254" s="2295">
        <v>0</v>
      </c>
      <c r="AX254" s="2295">
        <v>0</v>
      </c>
      <c r="AY254" s="2295">
        <v>0</v>
      </c>
      <c r="AZ254" s="2295">
        <v>0</v>
      </c>
      <c r="BA254" s="2295">
        <v>0</v>
      </c>
      <c r="BB254" s="2295">
        <v>0</v>
      </c>
      <c r="BC254" s="2310"/>
      <c r="BD254" s="2240"/>
    </row>
    <row r="255" spans="1:56" ht="15" hidden="1" customHeight="1" outlineLevel="3">
      <c r="B255" s="2298"/>
      <c r="C255" s="2309" t="s">
        <v>1901</v>
      </c>
      <c r="D255" s="2300" t="s">
        <v>1902</v>
      </c>
      <c r="E255" s="2293">
        <v>0</v>
      </c>
      <c r="F255" s="2293">
        <v>0</v>
      </c>
      <c r="G255" s="2293">
        <v>0</v>
      </c>
      <c r="H255" s="2293">
        <v>0</v>
      </c>
      <c r="I255" s="2293">
        <v>0</v>
      </c>
      <c r="J255" s="2293">
        <v>0</v>
      </c>
      <c r="K255" s="2293">
        <v>0</v>
      </c>
      <c r="L255" s="2293">
        <v>0</v>
      </c>
      <c r="M255" s="2293">
        <v>0</v>
      </c>
      <c r="N255" s="2293">
        <v>0</v>
      </c>
      <c r="O255" s="2293">
        <v>0</v>
      </c>
      <c r="P255" s="2293">
        <v>0</v>
      </c>
      <c r="Q255" s="2293">
        <v>0</v>
      </c>
      <c r="R255" s="2293">
        <v>0</v>
      </c>
      <c r="S255" s="2293">
        <v>0</v>
      </c>
      <c r="T255" s="2293">
        <v>0</v>
      </c>
      <c r="U255" s="2293">
        <v>0</v>
      </c>
      <c r="V255" s="2293">
        <v>0</v>
      </c>
      <c r="W255" s="2293">
        <v>0</v>
      </c>
      <c r="X255" s="2293">
        <v>0</v>
      </c>
      <c r="Y255" s="2293">
        <v>0</v>
      </c>
      <c r="Z255" s="2293">
        <v>0</v>
      </c>
      <c r="AA255" s="2293">
        <v>0</v>
      </c>
      <c r="AB255" s="2293">
        <v>0</v>
      </c>
      <c r="AC255" s="2293">
        <v>0</v>
      </c>
      <c r="AD255" s="2293">
        <v>0</v>
      </c>
      <c r="AE255" s="2294">
        <v>0</v>
      </c>
      <c r="AF255" s="2295">
        <v>0</v>
      </c>
      <c r="AG255" s="2295">
        <v>0</v>
      </c>
      <c r="AH255" s="2295">
        <v>0</v>
      </c>
      <c r="AI255" s="2295">
        <v>0</v>
      </c>
      <c r="AJ255" s="2295">
        <v>0</v>
      </c>
      <c r="AK255" s="2295">
        <v>0</v>
      </c>
      <c r="AL255" s="2295">
        <v>0</v>
      </c>
      <c r="AM255" s="2295">
        <v>0</v>
      </c>
      <c r="AN255" s="2295">
        <v>0</v>
      </c>
      <c r="AO255" s="2295">
        <v>0</v>
      </c>
      <c r="AP255" s="2295">
        <v>0</v>
      </c>
      <c r="AQ255" s="2295">
        <v>0</v>
      </c>
      <c r="AR255" s="2295">
        <v>0</v>
      </c>
      <c r="AS255" s="2295">
        <v>0</v>
      </c>
      <c r="AT255" s="2295">
        <v>0</v>
      </c>
      <c r="AU255" s="2295">
        <v>0</v>
      </c>
      <c r="AV255" s="2295">
        <v>0</v>
      </c>
      <c r="AW255" s="2295">
        <v>0</v>
      </c>
      <c r="AX255" s="2295">
        <v>0</v>
      </c>
      <c r="AY255" s="2295">
        <v>0</v>
      </c>
      <c r="AZ255" s="2295">
        <v>0</v>
      </c>
      <c r="BA255" s="2295">
        <v>0</v>
      </c>
      <c r="BB255" s="2295">
        <v>0</v>
      </c>
      <c r="BC255" s="2310"/>
      <c r="BD255" s="2240"/>
    </row>
    <row r="256" spans="1:56" ht="15" hidden="1" customHeight="1" outlineLevel="3">
      <c r="B256" s="2298"/>
      <c r="C256" s="2309" t="s">
        <v>1903</v>
      </c>
      <c r="D256" s="2300" t="s">
        <v>1904</v>
      </c>
      <c r="E256" s="2293">
        <v>0</v>
      </c>
      <c r="F256" s="2293">
        <v>0</v>
      </c>
      <c r="G256" s="2293">
        <v>0</v>
      </c>
      <c r="H256" s="2293">
        <v>0</v>
      </c>
      <c r="I256" s="2293">
        <v>0</v>
      </c>
      <c r="J256" s="2293">
        <v>0</v>
      </c>
      <c r="K256" s="2293">
        <v>0</v>
      </c>
      <c r="L256" s="2293">
        <v>0</v>
      </c>
      <c r="M256" s="2293">
        <v>0</v>
      </c>
      <c r="N256" s="2293">
        <v>0</v>
      </c>
      <c r="O256" s="2293">
        <v>0</v>
      </c>
      <c r="P256" s="2293">
        <v>0</v>
      </c>
      <c r="Q256" s="2293">
        <v>0</v>
      </c>
      <c r="R256" s="2293">
        <v>0</v>
      </c>
      <c r="S256" s="2293">
        <v>0</v>
      </c>
      <c r="T256" s="2293">
        <v>0</v>
      </c>
      <c r="U256" s="2293">
        <v>0</v>
      </c>
      <c r="V256" s="2293">
        <v>0</v>
      </c>
      <c r="W256" s="2293">
        <v>0</v>
      </c>
      <c r="X256" s="2293">
        <v>0</v>
      </c>
      <c r="Y256" s="2293">
        <v>0</v>
      </c>
      <c r="Z256" s="2293">
        <v>0</v>
      </c>
      <c r="AA256" s="2293">
        <v>0</v>
      </c>
      <c r="AB256" s="2293">
        <v>0</v>
      </c>
      <c r="AC256" s="2293">
        <v>0</v>
      </c>
      <c r="AD256" s="2293">
        <v>0</v>
      </c>
      <c r="AE256" s="2294">
        <v>0</v>
      </c>
      <c r="AF256" s="2295">
        <v>0</v>
      </c>
      <c r="AG256" s="2295">
        <v>0</v>
      </c>
      <c r="AH256" s="2295">
        <v>0</v>
      </c>
      <c r="AI256" s="2295">
        <v>0</v>
      </c>
      <c r="AJ256" s="2295">
        <v>0</v>
      </c>
      <c r="AK256" s="2295">
        <v>0</v>
      </c>
      <c r="AL256" s="2295">
        <v>0</v>
      </c>
      <c r="AM256" s="2295">
        <v>0</v>
      </c>
      <c r="AN256" s="2295">
        <v>0</v>
      </c>
      <c r="AO256" s="2295">
        <v>0</v>
      </c>
      <c r="AP256" s="2295">
        <v>0</v>
      </c>
      <c r="AQ256" s="2295">
        <v>0</v>
      </c>
      <c r="AR256" s="2295">
        <v>0</v>
      </c>
      <c r="AS256" s="2295">
        <v>0</v>
      </c>
      <c r="AT256" s="2295">
        <v>0</v>
      </c>
      <c r="AU256" s="2295">
        <v>0</v>
      </c>
      <c r="AV256" s="2295">
        <v>0</v>
      </c>
      <c r="AW256" s="2295">
        <v>0</v>
      </c>
      <c r="AX256" s="2295">
        <v>0</v>
      </c>
      <c r="AY256" s="2295">
        <v>0</v>
      </c>
      <c r="AZ256" s="2295">
        <v>0</v>
      </c>
      <c r="BA256" s="2295">
        <v>0</v>
      </c>
      <c r="BB256" s="2295">
        <v>0</v>
      </c>
      <c r="BC256" s="2310"/>
      <c r="BD256" s="2240"/>
    </row>
    <row r="257" spans="1:56" s="2203" customFormat="1" ht="15" hidden="1" customHeight="1" outlineLevel="3">
      <c r="B257" s="2311"/>
      <c r="C257" s="2312" t="s">
        <v>1905</v>
      </c>
      <c r="D257" s="2313" t="s">
        <v>1906</v>
      </c>
      <c r="E257" s="2314">
        <f>E254+E255+E256</f>
        <v>0</v>
      </c>
      <c r="F257" s="2314">
        <f t="shared" ref="F257:Y257" si="94">F254+F255+F256</f>
        <v>0</v>
      </c>
      <c r="G257" s="2314">
        <f t="shared" si="94"/>
        <v>0</v>
      </c>
      <c r="H257" s="2314">
        <f t="shared" si="94"/>
        <v>0</v>
      </c>
      <c r="I257" s="2314">
        <f t="shared" si="94"/>
        <v>0</v>
      </c>
      <c r="J257" s="2314">
        <f t="shared" si="94"/>
        <v>0</v>
      </c>
      <c r="K257" s="2314">
        <f t="shared" si="94"/>
        <v>0</v>
      </c>
      <c r="L257" s="2314">
        <f t="shared" si="94"/>
        <v>0</v>
      </c>
      <c r="M257" s="2314">
        <f t="shared" si="94"/>
        <v>0</v>
      </c>
      <c r="N257" s="2314">
        <f t="shared" si="94"/>
        <v>0</v>
      </c>
      <c r="O257" s="2314">
        <f t="shared" si="94"/>
        <v>0</v>
      </c>
      <c r="P257" s="2314">
        <f t="shared" si="94"/>
        <v>0</v>
      </c>
      <c r="Q257" s="2314">
        <f t="shared" si="94"/>
        <v>0</v>
      </c>
      <c r="R257" s="2314">
        <f t="shared" si="94"/>
        <v>0</v>
      </c>
      <c r="S257" s="2314">
        <f t="shared" si="94"/>
        <v>0</v>
      </c>
      <c r="T257" s="2314">
        <f t="shared" si="94"/>
        <v>0</v>
      </c>
      <c r="U257" s="2314">
        <f t="shared" si="94"/>
        <v>0</v>
      </c>
      <c r="V257" s="2314">
        <f t="shared" si="94"/>
        <v>0</v>
      </c>
      <c r="W257" s="2314">
        <f t="shared" si="94"/>
        <v>0</v>
      </c>
      <c r="X257" s="2314">
        <f t="shared" si="94"/>
        <v>0</v>
      </c>
      <c r="Y257" s="2314">
        <f t="shared" si="94"/>
        <v>0</v>
      </c>
      <c r="Z257" s="2314"/>
      <c r="AA257" s="2314"/>
      <c r="AB257" s="2314"/>
      <c r="AC257" s="2314"/>
      <c r="AD257" s="2314"/>
      <c r="AE257" s="2329"/>
      <c r="AF257" s="2315"/>
      <c r="AG257" s="2315"/>
      <c r="AH257" s="2315"/>
      <c r="AI257" s="2315"/>
      <c r="AJ257" s="2315"/>
      <c r="AK257" s="2315"/>
      <c r="AL257" s="2315"/>
      <c r="AM257" s="2315"/>
      <c r="AN257" s="2315"/>
      <c r="AO257" s="2315"/>
      <c r="AP257" s="2315"/>
      <c r="AQ257" s="2315"/>
      <c r="AR257" s="2315"/>
      <c r="AS257" s="2315"/>
      <c r="AT257" s="2315"/>
      <c r="AU257" s="2315"/>
      <c r="AV257" s="2315"/>
      <c r="AW257" s="2315"/>
      <c r="AX257" s="2315"/>
      <c r="AY257" s="2315"/>
      <c r="AZ257" s="2315"/>
      <c r="BA257" s="2315"/>
      <c r="BB257" s="2315"/>
      <c r="BC257" s="2308"/>
      <c r="BD257" s="2208"/>
    </row>
    <row r="258" spans="1:56" s="2203" customFormat="1" ht="15" hidden="1" customHeight="1" outlineLevel="3">
      <c r="B258" s="2311"/>
      <c r="C258" s="2316" t="s">
        <v>1907</v>
      </c>
      <c r="D258" s="2313" t="s">
        <v>1908</v>
      </c>
      <c r="E258" s="2314">
        <v>0</v>
      </c>
      <c r="F258" s="2314">
        <v>0</v>
      </c>
      <c r="G258" s="2314">
        <v>0</v>
      </c>
      <c r="H258" s="2314">
        <v>0</v>
      </c>
      <c r="I258" s="2314">
        <v>0</v>
      </c>
      <c r="J258" s="2314">
        <v>0</v>
      </c>
      <c r="K258" s="2314">
        <v>0</v>
      </c>
      <c r="L258" s="2314">
        <v>0</v>
      </c>
      <c r="M258" s="2314">
        <v>0</v>
      </c>
      <c r="N258" s="2314">
        <v>0</v>
      </c>
      <c r="O258" s="2314">
        <v>0</v>
      </c>
      <c r="P258" s="2314">
        <v>0</v>
      </c>
      <c r="Q258" s="2314">
        <v>0</v>
      </c>
      <c r="R258" s="2314">
        <v>0</v>
      </c>
      <c r="S258" s="2314">
        <v>0</v>
      </c>
      <c r="T258" s="2314">
        <v>0</v>
      </c>
      <c r="U258" s="2314">
        <v>0</v>
      </c>
      <c r="V258" s="2314">
        <v>0</v>
      </c>
      <c r="W258" s="2314">
        <v>0</v>
      </c>
      <c r="X258" s="2314">
        <v>0</v>
      </c>
      <c r="Y258" s="2314">
        <v>0</v>
      </c>
      <c r="Z258" s="2314">
        <v>0</v>
      </c>
      <c r="AA258" s="2314">
        <v>0</v>
      </c>
      <c r="AB258" s="2314">
        <v>0</v>
      </c>
      <c r="AC258" s="2314">
        <v>0</v>
      </c>
      <c r="AD258" s="2314">
        <v>0</v>
      </c>
      <c r="AE258" s="2329">
        <v>0</v>
      </c>
      <c r="AF258" s="2315">
        <v>0</v>
      </c>
      <c r="AG258" s="2315">
        <v>0</v>
      </c>
      <c r="AH258" s="2315">
        <v>0</v>
      </c>
      <c r="AI258" s="2315">
        <v>0</v>
      </c>
      <c r="AJ258" s="2315">
        <v>0</v>
      </c>
      <c r="AK258" s="2315">
        <v>0</v>
      </c>
      <c r="AL258" s="2315">
        <v>0</v>
      </c>
      <c r="AM258" s="2315">
        <v>0</v>
      </c>
      <c r="AN258" s="2315">
        <v>0</v>
      </c>
      <c r="AO258" s="2315">
        <v>0</v>
      </c>
      <c r="AP258" s="2315">
        <v>0</v>
      </c>
      <c r="AQ258" s="2315">
        <v>0</v>
      </c>
      <c r="AR258" s="2315">
        <v>0</v>
      </c>
      <c r="AS258" s="2315">
        <v>0</v>
      </c>
      <c r="AT258" s="2315">
        <v>0</v>
      </c>
      <c r="AU258" s="2315">
        <v>0</v>
      </c>
      <c r="AV258" s="2315">
        <v>0</v>
      </c>
      <c r="AW258" s="2315">
        <v>0</v>
      </c>
      <c r="AX258" s="2315">
        <v>0</v>
      </c>
      <c r="AY258" s="2315">
        <v>0</v>
      </c>
      <c r="AZ258" s="2315">
        <v>0</v>
      </c>
      <c r="BA258" s="2315">
        <v>0</v>
      </c>
      <c r="BB258" s="2315">
        <v>0</v>
      </c>
      <c r="BC258" s="2308"/>
      <c r="BD258" s="2208"/>
    </row>
    <row r="259" spans="1:56" s="2226" customFormat="1" ht="15" hidden="1" customHeight="1" outlineLevel="3">
      <c r="A259" s="2219"/>
      <c r="B259" s="2298"/>
      <c r="C259" s="2317" t="s">
        <v>1579</v>
      </c>
      <c r="D259" s="2300" t="s">
        <v>1909</v>
      </c>
      <c r="E259" s="2293">
        <v>0</v>
      </c>
      <c r="F259" s="2293">
        <v>0</v>
      </c>
      <c r="G259" s="2293">
        <v>0</v>
      </c>
      <c r="H259" s="2293">
        <v>0</v>
      </c>
      <c r="I259" s="2293">
        <v>0</v>
      </c>
      <c r="J259" s="2293">
        <v>0</v>
      </c>
      <c r="K259" s="2293">
        <v>0</v>
      </c>
      <c r="L259" s="2293">
        <v>0</v>
      </c>
      <c r="M259" s="2293">
        <v>0</v>
      </c>
      <c r="N259" s="2293">
        <v>0</v>
      </c>
      <c r="O259" s="2293">
        <v>0</v>
      </c>
      <c r="P259" s="2293">
        <v>0</v>
      </c>
      <c r="Q259" s="2293">
        <v>0</v>
      </c>
      <c r="R259" s="2293">
        <v>0</v>
      </c>
      <c r="S259" s="2293">
        <v>0</v>
      </c>
      <c r="T259" s="2293">
        <v>0</v>
      </c>
      <c r="U259" s="2293">
        <v>0</v>
      </c>
      <c r="V259" s="2293">
        <v>0</v>
      </c>
      <c r="W259" s="2293">
        <v>0</v>
      </c>
      <c r="X259" s="2293">
        <v>0</v>
      </c>
      <c r="Y259" s="2293">
        <v>0</v>
      </c>
      <c r="Z259" s="2293">
        <v>0</v>
      </c>
      <c r="AA259" s="2293">
        <v>0</v>
      </c>
      <c r="AB259" s="2293">
        <v>0</v>
      </c>
      <c r="AC259" s="2293">
        <v>0</v>
      </c>
      <c r="AD259" s="2293">
        <v>0</v>
      </c>
      <c r="AE259" s="2294">
        <v>0</v>
      </c>
      <c r="AF259" s="2295">
        <v>0</v>
      </c>
      <c r="AG259" s="2295">
        <v>0</v>
      </c>
      <c r="AH259" s="2295">
        <v>0</v>
      </c>
      <c r="AI259" s="2295">
        <v>0</v>
      </c>
      <c r="AJ259" s="2295">
        <v>0</v>
      </c>
      <c r="AK259" s="2295">
        <v>0</v>
      </c>
      <c r="AL259" s="2295">
        <v>0</v>
      </c>
      <c r="AM259" s="2295">
        <v>0</v>
      </c>
      <c r="AN259" s="2295">
        <v>0</v>
      </c>
      <c r="AO259" s="2295">
        <v>0</v>
      </c>
      <c r="AP259" s="2295">
        <v>0</v>
      </c>
      <c r="AQ259" s="2295">
        <v>0</v>
      </c>
      <c r="AR259" s="2295">
        <v>0</v>
      </c>
      <c r="AS259" s="2295">
        <v>0</v>
      </c>
      <c r="AT259" s="2295">
        <v>0</v>
      </c>
      <c r="AU259" s="2295">
        <v>0</v>
      </c>
      <c r="AV259" s="2295">
        <v>0</v>
      </c>
      <c r="AW259" s="2295">
        <v>0</v>
      </c>
      <c r="AX259" s="2295">
        <v>0</v>
      </c>
      <c r="AY259" s="2295">
        <v>0</v>
      </c>
      <c r="AZ259" s="2295">
        <v>0</v>
      </c>
      <c r="BA259" s="2295">
        <v>0</v>
      </c>
      <c r="BB259" s="2295">
        <v>0</v>
      </c>
      <c r="BC259" s="2310">
        <f>+AA259</f>
        <v>0</v>
      </c>
      <c r="BD259" s="2318"/>
    </row>
    <row r="260" spans="1:56" s="2203" customFormat="1" ht="15" hidden="1" customHeight="1" outlineLevel="3">
      <c r="B260" s="2311"/>
      <c r="C260" s="2316" t="s">
        <v>1910</v>
      </c>
      <c r="D260" s="2313" t="s">
        <v>1911</v>
      </c>
      <c r="E260" s="2314">
        <f>E257+E258+E259</f>
        <v>0</v>
      </c>
      <c r="F260" s="2314">
        <f t="shared" ref="F260:Y260" si="95">F257+F258+F259</f>
        <v>0</v>
      </c>
      <c r="G260" s="2314">
        <f t="shared" si="95"/>
        <v>0</v>
      </c>
      <c r="H260" s="2314">
        <f t="shared" si="95"/>
        <v>0</v>
      </c>
      <c r="I260" s="2314">
        <f t="shared" si="95"/>
        <v>0</v>
      </c>
      <c r="J260" s="2314">
        <f t="shared" si="95"/>
        <v>0</v>
      </c>
      <c r="K260" s="2314">
        <f t="shared" si="95"/>
        <v>0</v>
      </c>
      <c r="L260" s="2314">
        <f t="shared" si="95"/>
        <v>0</v>
      </c>
      <c r="M260" s="2314">
        <f t="shared" si="95"/>
        <v>0</v>
      </c>
      <c r="N260" s="2314">
        <f t="shared" si="95"/>
        <v>0</v>
      </c>
      <c r="O260" s="2314">
        <f t="shared" si="95"/>
        <v>0</v>
      </c>
      <c r="P260" s="2314">
        <f t="shared" si="95"/>
        <v>0</v>
      </c>
      <c r="Q260" s="2314">
        <f t="shared" si="95"/>
        <v>0</v>
      </c>
      <c r="R260" s="2314">
        <f t="shared" si="95"/>
        <v>0</v>
      </c>
      <c r="S260" s="2314">
        <f t="shared" si="95"/>
        <v>0</v>
      </c>
      <c r="T260" s="2314">
        <f t="shared" si="95"/>
        <v>0</v>
      </c>
      <c r="U260" s="2314">
        <f t="shared" si="95"/>
        <v>0</v>
      </c>
      <c r="V260" s="2314">
        <f t="shared" si="95"/>
        <v>0</v>
      </c>
      <c r="W260" s="2314">
        <f t="shared" si="95"/>
        <v>0</v>
      </c>
      <c r="X260" s="2314">
        <f t="shared" si="95"/>
        <v>0</v>
      </c>
      <c r="Y260" s="2314">
        <f t="shared" si="95"/>
        <v>0</v>
      </c>
      <c r="Z260" s="2314"/>
      <c r="AA260" s="2314"/>
      <c r="AB260" s="2314"/>
      <c r="AC260" s="2314"/>
      <c r="AD260" s="2314"/>
      <c r="AE260" s="2329"/>
      <c r="AF260" s="2315"/>
      <c r="AG260" s="2315"/>
      <c r="AH260" s="2315"/>
      <c r="AI260" s="2315"/>
      <c r="AJ260" s="2315"/>
      <c r="AK260" s="2315"/>
      <c r="AL260" s="2315"/>
      <c r="AM260" s="2315"/>
      <c r="AN260" s="2315"/>
      <c r="AO260" s="2315"/>
      <c r="AP260" s="2315"/>
      <c r="AQ260" s="2315"/>
      <c r="AR260" s="2315"/>
      <c r="AS260" s="2315"/>
      <c r="AT260" s="2315"/>
      <c r="AU260" s="2315"/>
      <c r="AV260" s="2315"/>
      <c r="AW260" s="2315"/>
      <c r="AX260" s="2315"/>
      <c r="AY260" s="2315"/>
      <c r="AZ260" s="2315"/>
      <c r="BA260" s="2315"/>
      <c r="BB260" s="2315"/>
      <c r="BC260" s="2308"/>
      <c r="BD260" s="2208"/>
    </row>
    <row r="261" spans="1:56" s="2203" customFormat="1" ht="15" hidden="1" customHeight="1" outlineLevel="3">
      <c r="B261" s="2311"/>
      <c r="C261" s="2316" t="s">
        <v>1930</v>
      </c>
      <c r="D261" s="2313" t="s">
        <v>1913</v>
      </c>
      <c r="E261" s="2314">
        <v>0</v>
      </c>
      <c r="F261" s="2314">
        <v>0</v>
      </c>
      <c r="G261" s="2314">
        <v>0</v>
      </c>
      <c r="H261" s="2314">
        <v>0</v>
      </c>
      <c r="I261" s="2314">
        <v>0</v>
      </c>
      <c r="J261" s="2314">
        <v>0</v>
      </c>
      <c r="K261" s="2314">
        <v>0</v>
      </c>
      <c r="L261" s="2314">
        <v>0</v>
      </c>
      <c r="M261" s="2314">
        <v>0</v>
      </c>
      <c r="N261" s="2314">
        <v>0</v>
      </c>
      <c r="O261" s="2314">
        <v>0</v>
      </c>
      <c r="P261" s="2314">
        <v>0</v>
      </c>
      <c r="Q261" s="2314">
        <v>0</v>
      </c>
      <c r="R261" s="2314">
        <v>0</v>
      </c>
      <c r="S261" s="2314">
        <v>0</v>
      </c>
      <c r="T261" s="2314">
        <v>0</v>
      </c>
      <c r="U261" s="2314">
        <v>0</v>
      </c>
      <c r="V261" s="2314">
        <v>0</v>
      </c>
      <c r="W261" s="2314">
        <v>0</v>
      </c>
      <c r="X261" s="2314">
        <v>0</v>
      </c>
      <c r="Y261" s="2314">
        <v>0</v>
      </c>
      <c r="Z261" s="2314">
        <v>0</v>
      </c>
      <c r="AA261" s="2314">
        <v>0</v>
      </c>
      <c r="AB261" s="2314">
        <v>0</v>
      </c>
      <c r="AC261" s="2314">
        <v>0</v>
      </c>
      <c r="AD261" s="2314">
        <v>0</v>
      </c>
      <c r="AE261" s="2329">
        <v>0</v>
      </c>
      <c r="AF261" s="2315">
        <v>0</v>
      </c>
      <c r="AG261" s="2315">
        <v>0</v>
      </c>
      <c r="AH261" s="2315">
        <v>0</v>
      </c>
      <c r="AI261" s="2315">
        <v>0</v>
      </c>
      <c r="AJ261" s="2315">
        <v>0</v>
      </c>
      <c r="AK261" s="2315">
        <v>0</v>
      </c>
      <c r="AL261" s="2315">
        <v>0</v>
      </c>
      <c r="AM261" s="2315">
        <v>0</v>
      </c>
      <c r="AN261" s="2315">
        <v>0</v>
      </c>
      <c r="AO261" s="2315">
        <v>0</v>
      </c>
      <c r="AP261" s="2315">
        <v>0</v>
      </c>
      <c r="AQ261" s="2315">
        <v>0</v>
      </c>
      <c r="AR261" s="2315">
        <v>0</v>
      </c>
      <c r="AS261" s="2315">
        <v>0</v>
      </c>
      <c r="AT261" s="2315">
        <v>0</v>
      </c>
      <c r="AU261" s="2315">
        <v>0</v>
      </c>
      <c r="AV261" s="2315">
        <v>0</v>
      </c>
      <c r="AW261" s="2315">
        <v>0</v>
      </c>
      <c r="AX261" s="2315">
        <v>0</v>
      </c>
      <c r="AY261" s="2315">
        <v>0</v>
      </c>
      <c r="AZ261" s="2315">
        <v>0</v>
      </c>
      <c r="BA261" s="2315">
        <v>0</v>
      </c>
      <c r="BB261" s="2315">
        <v>0</v>
      </c>
      <c r="BC261" s="2308"/>
      <c r="BD261" s="2208"/>
    </row>
    <row r="262" spans="1:56" ht="15" hidden="1" customHeight="1" outlineLevel="3">
      <c r="B262" s="2298"/>
      <c r="C262" s="2317" t="s">
        <v>1914</v>
      </c>
      <c r="D262" s="2300" t="s">
        <v>1915</v>
      </c>
      <c r="E262" s="2293">
        <v>0</v>
      </c>
      <c r="F262" s="2293">
        <v>0</v>
      </c>
      <c r="G262" s="2293">
        <v>0</v>
      </c>
      <c r="H262" s="2293">
        <v>0</v>
      </c>
      <c r="I262" s="2293">
        <v>0</v>
      </c>
      <c r="J262" s="2293">
        <v>0</v>
      </c>
      <c r="K262" s="2293">
        <v>0</v>
      </c>
      <c r="L262" s="2293">
        <v>0</v>
      </c>
      <c r="M262" s="2293">
        <v>0</v>
      </c>
      <c r="N262" s="2293">
        <v>0</v>
      </c>
      <c r="O262" s="2293">
        <v>0</v>
      </c>
      <c r="P262" s="2293">
        <v>0</v>
      </c>
      <c r="Q262" s="2293">
        <v>0</v>
      </c>
      <c r="R262" s="2293">
        <v>0</v>
      </c>
      <c r="S262" s="2293">
        <v>0</v>
      </c>
      <c r="T262" s="2293">
        <v>0</v>
      </c>
      <c r="U262" s="2293">
        <v>0</v>
      </c>
      <c r="V262" s="2293">
        <v>0</v>
      </c>
      <c r="W262" s="2293">
        <v>0</v>
      </c>
      <c r="X262" s="2293">
        <v>0</v>
      </c>
      <c r="Y262" s="2293">
        <v>0</v>
      </c>
      <c r="Z262" s="2293">
        <v>0</v>
      </c>
      <c r="AA262" s="2293">
        <v>0</v>
      </c>
      <c r="AB262" s="2293">
        <v>0</v>
      </c>
      <c r="AC262" s="2293">
        <v>0</v>
      </c>
      <c r="AD262" s="2293">
        <v>0</v>
      </c>
      <c r="AE262" s="2294">
        <v>0</v>
      </c>
      <c r="AF262" s="2295">
        <v>0</v>
      </c>
      <c r="AG262" s="2295">
        <v>0</v>
      </c>
      <c r="AH262" s="2295">
        <v>0</v>
      </c>
      <c r="AI262" s="2295">
        <v>0</v>
      </c>
      <c r="AJ262" s="2295">
        <v>0</v>
      </c>
      <c r="AK262" s="2295">
        <v>0</v>
      </c>
      <c r="AL262" s="2295">
        <v>0</v>
      </c>
      <c r="AM262" s="2295">
        <v>0</v>
      </c>
      <c r="AN262" s="2295">
        <v>0</v>
      </c>
      <c r="AO262" s="2295">
        <v>0</v>
      </c>
      <c r="AP262" s="2295">
        <v>0</v>
      </c>
      <c r="AQ262" s="2295">
        <v>0</v>
      </c>
      <c r="AR262" s="2295">
        <v>0</v>
      </c>
      <c r="AS262" s="2295">
        <v>0</v>
      </c>
      <c r="AT262" s="2295">
        <v>0</v>
      </c>
      <c r="AU262" s="2295">
        <v>0</v>
      </c>
      <c r="AV262" s="2295">
        <v>0</v>
      </c>
      <c r="AW262" s="2295">
        <v>0</v>
      </c>
      <c r="AX262" s="2295">
        <v>0</v>
      </c>
      <c r="AY262" s="2295">
        <v>0</v>
      </c>
      <c r="AZ262" s="2295">
        <v>0</v>
      </c>
      <c r="BA262" s="2295">
        <v>0</v>
      </c>
      <c r="BB262" s="2295">
        <v>0</v>
      </c>
      <c r="BC262" s="2310"/>
      <c r="BD262" s="2240"/>
    </row>
    <row r="263" spans="1:56" s="2203" customFormat="1" ht="15" hidden="1" customHeight="1" outlineLevel="3">
      <c r="B263" s="2311"/>
      <c r="C263" s="2316" t="s">
        <v>1916</v>
      </c>
      <c r="D263" s="2313" t="s">
        <v>1917</v>
      </c>
      <c r="E263" s="2314">
        <f>E260+E261+E262</f>
        <v>0</v>
      </c>
      <c r="F263" s="2314">
        <f t="shared" ref="F263:Y263" si="96">F260+F261+F262</f>
        <v>0</v>
      </c>
      <c r="G263" s="2314">
        <f t="shared" si="96"/>
        <v>0</v>
      </c>
      <c r="H263" s="2314">
        <f t="shared" si="96"/>
        <v>0</v>
      </c>
      <c r="I263" s="2314">
        <f t="shared" si="96"/>
        <v>0</v>
      </c>
      <c r="J263" s="2314">
        <f t="shared" si="96"/>
        <v>0</v>
      </c>
      <c r="K263" s="2314">
        <f t="shared" si="96"/>
        <v>0</v>
      </c>
      <c r="L263" s="2314">
        <f t="shared" si="96"/>
        <v>0</v>
      </c>
      <c r="M263" s="2314">
        <f t="shared" si="96"/>
        <v>0</v>
      </c>
      <c r="N263" s="2314">
        <f t="shared" si="96"/>
        <v>0</v>
      </c>
      <c r="O263" s="2314">
        <f t="shared" si="96"/>
        <v>0</v>
      </c>
      <c r="P263" s="2314">
        <f t="shared" si="96"/>
        <v>0</v>
      </c>
      <c r="Q263" s="2314">
        <f t="shared" si="96"/>
        <v>0</v>
      </c>
      <c r="R263" s="2314">
        <f t="shared" si="96"/>
        <v>0</v>
      </c>
      <c r="S263" s="2314">
        <f t="shared" si="96"/>
        <v>0</v>
      </c>
      <c r="T263" s="2314">
        <f t="shared" si="96"/>
        <v>0</v>
      </c>
      <c r="U263" s="2314">
        <f t="shared" si="96"/>
        <v>0</v>
      </c>
      <c r="V263" s="2314">
        <f t="shared" si="96"/>
        <v>0</v>
      </c>
      <c r="W263" s="2314">
        <f t="shared" si="96"/>
        <v>0</v>
      </c>
      <c r="X263" s="2314">
        <f t="shared" si="96"/>
        <v>0</v>
      </c>
      <c r="Y263" s="2314">
        <f t="shared" si="96"/>
        <v>0</v>
      </c>
      <c r="Z263" s="2314"/>
      <c r="AA263" s="2314"/>
      <c r="AB263" s="2314"/>
      <c r="AC263" s="2314"/>
      <c r="AD263" s="2314"/>
      <c r="AE263" s="2329"/>
      <c r="AF263" s="2315"/>
      <c r="AG263" s="2315"/>
      <c r="AH263" s="2315"/>
      <c r="AI263" s="2315"/>
      <c r="AJ263" s="2315"/>
      <c r="AK263" s="2315"/>
      <c r="AL263" s="2315"/>
      <c r="AM263" s="2315"/>
      <c r="AN263" s="2315"/>
      <c r="AO263" s="2315"/>
      <c r="AP263" s="2315"/>
      <c r="AQ263" s="2315"/>
      <c r="AR263" s="2315"/>
      <c r="AS263" s="2315"/>
      <c r="AT263" s="2315"/>
      <c r="AU263" s="2315"/>
      <c r="AV263" s="2315"/>
      <c r="AW263" s="2315"/>
      <c r="AX263" s="2315"/>
      <c r="AY263" s="2315"/>
      <c r="AZ263" s="2315"/>
      <c r="BA263" s="2315"/>
      <c r="BB263" s="2315"/>
      <c r="BC263" s="2308"/>
      <c r="BD263" s="2208"/>
    </row>
    <row r="264" spans="1:56" ht="15" hidden="1" customHeight="1" outlineLevel="3">
      <c r="B264" s="2298"/>
      <c r="C264" s="2317" t="s">
        <v>1918</v>
      </c>
      <c r="D264" s="2300" t="s">
        <v>1919</v>
      </c>
      <c r="E264" s="2293">
        <v>0</v>
      </c>
      <c r="F264" s="2293">
        <v>0</v>
      </c>
      <c r="G264" s="2293">
        <v>0</v>
      </c>
      <c r="H264" s="2293">
        <v>0</v>
      </c>
      <c r="I264" s="2293">
        <v>0</v>
      </c>
      <c r="J264" s="2293">
        <v>0</v>
      </c>
      <c r="K264" s="2293">
        <v>0</v>
      </c>
      <c r="L264" s="2293">
        <v>0</v>
      </c>
      <c r="M264" s="2293">
        <v>0</v>
      </c>
      <c r="N264" s="2293">
        <v>0</v>
      </c>
      <c r="O264" s="2293">
        <v>0</v>
      </c>
      <c r="P264" s="2293">
        <v>0</v>
      </c>
      <c r="Q264" s="2293">
        <v>0</v>
      </c>
      <c r="R264" s="2293">
        <v>0</v>
      </c>
      <c r="S264" s="2293">
        <v>0</v>
      </c>
      <c r="T264" s="2293">
        <v>0</v>
      </c>
      <c r="U264" s="2293">
        <v>0</v>
      </c>
      <c r="V264" s="2293">
        <v>0</v>
      </c>
      <c r="W264" s="2293">
        <v>0</v>
      </c>
      <c r="X264" s="2293">
        <v>0</v>
      </c>
      <c r="Y264" s="2293">
        <v>0</v>
      </c>
      <c r="Z264" s="2293">
        <v>0</v>
      </c>
      <c r="AA264" s="2293">
        <v>0</v>
      </c>
      <c r="AB264" s="2293">
        <v>0</v>
      </c>
      <c r="AC264" s="2293">
        <v>0</v>
      </c>
      <c r="AD264" s="2293">
        <v>0</v>
      </c>
      <c r="AE264" s="2294">
        <v>0</v>
      </c>
      <c r="AF264" s="2295">
        <v>0</v>
      </c>
      <c r="AG264" s="2295">
        <v>0</v>
      </c>
      <c r="AH264" s="2295">
        <v>0</v>
      </c>
      <c r="AI264" s="2295">
        <v>0</v>
      </c>
      <c r="AJ264" s="2295">
        <v>0</v>
      </c>
      <c r="AK264" s="2295">
        <v>0</v>
      </c>
      <c r="AL264" s="2295">
        <v>0</v>
      </c>
      <c r="AM264" s="2295">
        <v>0</v>
      </c>
      <c r="AN264" s="2295">
        <v>0</v>
      </c>
      <c r="AO264" s="2295">
        <v>0</v>
      </c>
      <c r="AP264" s="2295">
        <v>0</v>
      </c>
      <c r="AQ264" s="2295">
        <v>0</v>
      </c>
      <c r="AR264" s="2295">
        <v>0</v>
      </c>
      <c r="AS264" s="2295">
        <v>0</v>
      </c>
      <c r="AT264" s="2295">
        <v>0</v>
      </c>
      <c r="AU264" s="2295">
        <v>0</v>
      </c>
      <c r="AV264" s="2295">
        <v>0</v>
      </c>
      <c r="AW264" s="2295">
        <v>0</v>
      </c>
      <c r="AX264" s="2295">
        <v>0</v>
      </c>
      <c r="AY264" s="2295">
        <v>0</v>
      </c>
      <c r="AZ264" s="2295">
        <v>0</v>
      </c>
      <c r="BA264" s="2295">
        <v>0</v>
      </c>
      <c r="BB264" s="2295">
        <v>0</v>
      </c>
      <c r="BC264" s="2310"/>
      <c r="BD264" s="2240"/>
    </row>
    <row r="265" spans="1:56" ht="15" hidden="1" customHeight="1" outlineLevel="3">
      <c r="B265" s="2298"/>
      <c r="C265" s="2317" t="s">
        <v>1920</v>
      </c>
      <c r="D265" s="2319" t="s">
        <v>1921</v>
      </c>
      <c r="E265" s="2293">
        <v>0</v>
      </c>
      <c r="F265" s="2293">
        <v>0</v>
      </c>
      <c r="G265" s="2293">
        <v>0</v>
      </c>
      <c r="H265" s="2293">
        <v>0</v>
      </c>
      <c r="I265" s="2293">
        <v>0</v>
      </c>
      <c r="J265" s="2293">
        <v>0</v>
      </c>
      <c r="K265" s="2293">
        <v>0</v>
      </c>
      <c r="L265" s="2293">
        <v>0</v>
      </c>
      <c r="M265" s="2293">
        <v>0</v>
      </c>
      <c r="N265" s="2293">
        <v>0</v>
      </c>
      <c r="O265" s="2293">
        <v>0</v>
      </c>
      <c r="P265" s="2293">
        <v>0</v>
      </c>
      <c r="Q265" s="2293">
        <v>0</v>
      </c>
      <c r="R265" s="2293">
        <v>0</v>
      </c>
      <c r="S265" s="2293">
        <v>0</v>
      </c>
      <c r="T265" s="2293">
        <v>0</v>
      </c>
      <c r="U265" s="2293">
        <v>0</v>
      </c>
      <c r="V265" s="2293">
        <v>0</v>
      </c>
      <c r="W265" s="2293">
        <v>0</v>
      </c>
      <c r="X265" s="2293">
        <v>0</v>
      </c>
      <c r="Y265" s="2293">
        <v>0</v>
      </c>
      <c r="Z265" s="2293">
        <v>0</v>
      </c>
      <c r="AA265" s="2293">
        <v>0</v>
      </c>
      <c r="AB265" s="2293">
        <v>0</v>
      </c>
      <c r="AC265" s="2293">
        <v>0</v>
      </c>
      <c r="AD265" s="2293">
        <v>0</v>
      </c>
      <c r="AE265" s="2294">
        <v>0</v>
      </c>
      <c r="AF265" s="2295">
        <v>0</v>
      </c>
      <c r="AG265" s="2295">
        <v>0</v>
      </c>
      <c r="AH265" s="2295">
        <v>0</v>
      </c>
      <c r="AI265" s="2295">
        <v>0</v>
      </c>
      <c r="AJ265" s="2295">
        <v>0</v>
      </c>
      <c r="AK265" s="2295">
        <v>0</v>
      </c>
      <c r="AL265" s="2295">
        <v>0</v>
      </c>
      <c r="AM265" s="2295">
        <v>0</v>
      </c>
      <c r="AN265" s="2295">
        <v>0</v>
      </c>
      <c r="AO265" s="2295">
        <v>0</v>
      </c>
      <c r="AP265" s="2295">
        <v>0</v>
      </c>
      <c r="AQ265" s="2295">
        <v>0</v>
      </c>
      <c r="AR265" s="2295">
        <v>0</v>
      </c>
      <c r="AS265" s="2295">
        <v>0</v>
      </c>
      <c r="AT265" s="2295">
        <v>0</v>
      </c>
      <c r="AU265" s="2295">
        <v>0</v>
      </c>
      <c r="AV265" s="2295">
        <v>0</v>
      </c>
      <c r="AW265" s="2295">
        <v>0</v>
      </c>
      <c r="AX265" s="2295">
        <v>0</v>
      </c>
      <c r="AY265" s="2295">
        <v>0</v>
      </c>
      <c r="AZ265" s="2295">
        <v>0</v>
      </c>
      <c r="BA265" s="2295">
        <v>0</v>
      </c>
      <c r="BB265" s="2295">
        <v>0</v>
      </c>
      <c r="BC265" s="2310"/>
      <c r="BD265" s="2240"/>
    </row>
    <row r="266" spans="1:56" ht="15" hidden="1" customHeight="1" outlineLevel="3">
      <c r="B266" s="2298"/>
      <c r="C266" s="2317" t="s">
        <v>1922</v>
      </c>
      <c r="D266" s="2319" t="s">
        <v>1923</v>
      </c>
      <c r="E266" s="2293">
        <v>0</v>
      </c>
      <c r="F266" s="2293">
        <v>0</v>
      </c>
      <c r="G266" s="2293">
        <v>0</v>
      </c>
      <c r="H266" s="2293">
        <v>0</v>
      </c>
      <c r="I266" s="2293">
        <v>0</v>
      </c>
      <c r="J266" s="2293">
        <v>0</v>
      </c>
      <c r="K266" s="2293">
        <v>0</v>
      </c>
      <c r="L266" s="2293">
        <v>0</v>
      </c>
      <c r="M266" s="2293">
        <v>0</v>
      </c>
      <c r="N266" s="2293">
        <v>0</v>
      </c>
      <c r="O266" s="2293">
        <v>0</v>
      </c>
      <c r="P266" s="2293">
        <v>0</v>
      </c>
      <c r="Q266" s="2293">
        <v>0</v>
      </c>
      <c r="R266" s="2293">
        <v>0</v>
      </c>
      <c r="S266" s="2293">
        <v>0</v>
      </c>
      <c r="T266" s="2293">
        <v>0</v>
      </c>
      <c r="U266" s="2293">
        <v>0</v>
      </c>
      <c r="V266" s="2293">
        <v>0</v>
      </c>
      <c r="W266" s="2293">
        <v>0</v>
      </c>
      <c r="X266" s="2293">
        <v>0</v>
      </c>
      <c r="Y266" s="2293">
        <v>0</v>
      </c>
      <c r="Z266" s="2293">
        <v>0</v>
      </c>
      <c r="AA266" s="2293">
        <v>0</v>
      </c>
      <c r="AB266" s="2293">
        <v>0</v>
      </c>
      <c r="AC266" s="2293">
        <v>0</v>
      </c>
      <c r="AD266" s="2293">
        <v>0</v>
      </c>
      <c r="AE266" s="2294">
        <v>0</v>
      </c>
      <c r="AF266" s="2295">
        <v>0</v>
      </c>
      <c r="AG266" s="2295">
        <v>0</v>
      </c>
      <c r="AH266" s="2295">
        <v>0</v>
      </c>
      <c r="AI266" s="2295">
        <v>0</v>
      </c>
      <c r="AJ266" s="2295">
        <v>0</v>
      </c>
      <c r="AK266" s="2295">
        <v>0</v>
      </c>
      <c r="AL266" s="2295">
        <v>0</v>
      </c>
      <c r="AM266" s="2295">
        <v>0</v>
      </c>
      <c r="AN266" s="2295">
        <v>0</v>
      </c>
      <c r="AO266" s="2295">
        <v>0</v>
      </c>
      <c r="AP266" s="2295">
        <v>0</v>
      </c>
      <c r="AQ266" s="2295">
        <v>0</v>
      </c>
      <c r="AR266" s="2295">
        <v>0</v>
      </c>
      <c r="AS266" s="2295">
        <v>0</v>
      </c>
      <c r="AT266" s="2295">
        <v>0</v>
      </c>
      <c r="AU266" s="2295">
        <v>0</v>
      </c>
      <c r="AV266" s="2295">
        <v>0</v>
      </c>
      <c r="AW266" s="2295">
        <v>0</v>
      </c>
      <c r="AX266" s="2295">
        <v>0</v>
      </c>
      <c r="AY266" s="2295">
        <v>0</v>
      </c>
      <c r="AZ266" s="2295">
        <v>0</v>
      </c>
      <c r="BA266" s="2295">
        <v>0</v>
      </c>
      <c r="BB266" s="2295">
        <v>0</v>
      </c>
      <c r="BC266" s="2320"/>
      <c r="BD266" s="2240"/>
    </row>
    <row r="267" spans="1:56" s="2203" customFormat="1" ht="15" hidden="1" customHeight="1" outlineLevel="2">
      <c r="B267" s="2311"/>
      <c r="C267" s="2316" t="s">
        <v>1924</v>
      </c>
      <c r="D267" s="2321" t="s">
        <v>1925</v>
      </c>
      <c r="E267" s="2314">
        <f t="shared" ref="E267:BB267" si="97">E263+E264+E266</f>
        <v>0</v>
      </c>
      <c r="F267" s="2314">
        <f t="shared" si="97"/>
        <v>0</v>
      </c>
      <c r="G267" s="2314">
        <f t="shared" si="97"/>
        <v>0</v>
      </c>
      <c r="H267" s="2314">
        <f t="shared" si="97"/>
        <v>0</v>
      </c>
      <c r="I267" s="2314">
        <f t="shared" si="97"/>
        <v>0</v>
      </c>
      <c r="J267" s="2314">
        <f t="shared" si="97"/>
        <v>0</v>
      </c>
      <c r="K267" s="2314">
        <f t="shared" si="97"/>
        <v>0</v>
      </c>
      <c r="L267" s="2314">
        <f t="shared" si="97"/>
        <v>0</v>
      </c>
      <c r="M267" s="2314">
        <f t="shared" si="97"/>
        <v>0</v>
      </c>
      <c r="N267" s="2314">
        <f t="shared" si="97"/>
        <v>0</v>
      </c>
      <c r="O267" s="2314">
        <f t="shared" si="97"/>
        <v>0</v>
      </c>
      <c r="P267" s="2314">
        <f t="shared" si="97"/>
        <v>0</v>
      </c>
      <c r="Q267" s="2314">
        <f t="shared" si="97"/>
        <v>0</v>
      </c>
      <c r="R267" s="2314">
        <f t="shared" si="97"/>
        <v>0</v>
      </c>
      <c r="S267" s="2314">
        <f t="shared" si="97"/>
        <v>0</v>
      </c>
      <c r="T267" s="2314">
        <f t="shared" si="97"/>
        <v>0</v>
      </c>
      <c r="U267" s="2314">
        <f t="shared" si="97"/>
        <v>0</v>
      </c>
      <c r="V267" s="2314">
        <f t="shared" si="97"/>
        <v>0</v>
      </c>
      <c r="W267" s="2314">
        <f t="shared" si="97"/>
        <v>0</v>
      </c>
      <c r="X267" s="2314">
        <f t="shared" si="97"/>
        <v>0</v>
      </c>
      <c r="Y267" s="2314">
        <f t="shared" si="97"/>
        <v>0</v>
      </c>
      <c r="Z267" s="2314">
        <f t="shared" si="97"/>
        <v>0</v>
      </c>
      <c r="AA267" s="2314">
        <f t="shared" si="97"/>
        <v>0</v>
      </c>
      <c r="AB267" s="2314">
        <f t="shared" si="97"/>
        <v>0</v>
      </c>
      <c r="AC267" s="2314">
        <f t="shared" si="97"/>
        <v>0</v>
      </c>
      <c r="AD267" s="2314">
        <f t="shared" si="97"/>
        <v>0</v>
      </c>
      <c r="AE267" s="2329">
        <f t="shared" si="97"/>
        <v>0</v>
      </c>
      <c r="AF267" s="2315">
        <f t="shared" si="97"/>
        <v>0</v>
      </c>
      <c r="AG267" s="2315">
        <f t="shared" si="97"/>
        <v>0</v>
      </c>
      <c r="AH267" s="2315">
        <f t="shared" si="97"/>
        <v>0</v>
      </c>
      <c r="AI267" s="2315">
        <f t="shared" si="97"/>
        <v>0</v>
      </c>
      <c r="AJ267" s="2315">
        <f t="shared" si="97"/>
        <v>0</v>
      </c>
      <c r="AK267" s="2315">
        <f t="shared" si="97"/>
        <v>0</v>
      </c>
      <c r="AL267" s="2315">
        <f t="shared" si="97"/>
        <v>0</v>
      </c>
      <c r="AM267" s="2315">
        <f t="shared" si="97"/>
        <v>0</v>
      </c>
      <c r="AN267" s="2315">
        <f t="shared" si="97"/>
        <v>0</v>
      </c>
      <c r="AO267" s="2315">
        <f t="shared" si="97"/>
        <v>0</v>
      </c>
      <c r="AP267" s="2315">
        <f t="shared" si="97"/>
        <v>0</v>
      </c>
      <c r="AQ267" s="2315">
        <f t="shared" si="97"/>
        <v>0</v>
      </c>
      <c r="AR267" s="2315">
        <f t="shared" si="97"/>
        <v>0</v>
      </c>
      <c r="AS267" s="2315">
        <f t="shared" si="97"/>
        <v>0</v>
      </c>
      <c r="AT267" s="2315">
        <f t="shared" si="97"/>
        <v>0</v>
      </c>
      <c r="AU267" s="2315">
        <f t="shared" si="97"/>
        <v>0</v>
      </c>
      <c r="AV267" s="2315">
        <f t="shared" si="97"/>
        <v>0</v>
      </c>
      <c r="AW267" s="2315">
        <f t="shared" si="97"/>
        <v>0</v>
      </c>
      <c r="AX267" s="2315">
        <f t="shared" si="97"/>
        <v>0</v>
      </c>
      <c r="AY267" s="2315">
        <f t="shared" si="97"/>
        <v>0</v>
      </c>
      <c r="AZ267" s="2315">
        <f t="shared" si="97"/>
        <v>0</v>
      </c>
      <c r="BA267" s="2315">
        <f t="shared" si="97"/>
        <v>0</v>
      </c>
      <c r="BB267" s="2315">
        <f t="shared" si="97"/>
        <v>0</v>
      </c>
      <c r="BC267" s="2308"/>
      <c r="BD267" s="2208"/>
    </row>
    <row r="268" spans="1:56" s="2203" customFormat="1" ht="15" hidden="1" customHeight="1" outlineLevel="2">
      <c r="B268" s="2311"/>
      <c r="C268" s="2316" t="s">
        <v>1926</v>
      </c>
      <c r="D268" s="2313" t="s">
        <v>1927</v>
      </c>
      <c r="E268" s="2314">
        <f>E267</f>
        <v>0</v>
      </c>
      <c r="F268" s="2314">
        <f t="shared" ref="F268:BB268" si="98">F267-E267</f>
        <v>0</v>
      </c>
      <c r="G268" s="2314">
        <f t="shared" si="98"/>
        <v>0</v>
      </c>
      <c r="H268" s="2314">
        <f t="shared" si="98"/>
        <v>0</v>
      </c>
      <c r="I268" s="2314">
        <f t="shared" si="98"/>
        <v>0</v>
      </c>
      <c r="J268" s="2314">
        <f t="shared" si="98"/>
        <v>0</v>
      </c>
      <c r="K268" s="2314">
        <f t="shared" si="98"/>
        <v>0</v>
      </c>
      <c r="L268" s="2314">
        <f t="shared" si="98"/>
        <v>0</v>
      </c>
      <c r="M268" s="2314">
        <f t="shared" si="98"/>
        <v>0</v>
      </c>
      <c r="N268" s="2314">
        <f t="shared" si="98"/>
        <v>0</v>
      </c>
      <c r="O268" s="2314">
        <f t="shared" si="98"/>
        <v>0</v>
      </c>
      <c r="P268" s="2314">
        <f t="shared" si="98"/>
        <v>0</v>
      </c>
      <c r="Q268" s="2314">
        <f t="shared" si="98"/>
        <v>0</v>
      </c>
      <c r="R268" s="2314">
        <f t="shared" si="98"/>
        <v>0</v>
      </c>
      <c r="S268" s="2314">
        <f t="shared" si="98"/>
        <v>0</v>
      </c>
      <c r="T268" s="2314">
        <f t="shared" si="98"/>
        <v>0</v>
      </c>
      <c r="U268" s="2314">
        <f t="shared" si="98"/>
        <v>0</v>
      </c>
      <c r="V268" s="2314">
        <f t="shared" si="98"/>
        <v>0</v>
      </c>
      <c r="W268" s="2314">
        <f t="shared" si="98"/>
        <v>0</v>
      </c>
      <c r="X268" s="2314">
        <f t="shared" si="98"/>
        <v>0</v>
      </c>
      <c r="Y268" s="2314">
        <f t="shared" si="98"/>
        <v>0</v>
      </c>
      <c r="Z268" s="2314">
        <f t="shared" si="98"/>
        <v>0</v>
      </c>
      <c r="AA268" s="2314">
        <f t="shared" si="98"/>
        <v>0</v>
      </c>
      <c r="AB268" s="2314">
        <f t="shared" si="98"/>
        <v>0</v>
      </c>
      <c r="AC268" s="2314">
        <f t="shared" si="98"/>
        <v>0</v>
      </c>
      <c r="AD268" s="2314">
        <f t="shared" si="98"/>
        <v>0</v>
      </c>
      <c r="AE268" s="2329">
        <f t="shared" si="98"/>
        <v>0</v>
      </c>
      <c r="AF268" s="2315">
        <f t="shared" si="98"/>
        <v>0</v>
      </c>
      <c r="AG268" s="2315">
        <f t="shared" si="98"/>
        <v>0</v>
      </c>
      <c r="AH268" s="2315">
        <f t="shared" si="98"/>
        <v>0</v>
      </c>
      <c r="AI268" s="2315">
        <f t="shared" si="98"/>
        <v>0</v>
      </c>
      <c r="AJ268" s="2315">
        <f t="shared" si="98"/>
        <v>0</v>
      </c>
      <c r="AK268" s="2315">
        <f t="shared" si="98"/>
        <v>0</v>
      </c>
      <c r="AL268" s="2315">
        <f t="shared" si="98"/>
        <v>0</v>
      </c>
      <c r="AM268" s="2315">
        <f t="shared" si="98"/>
        <v>0</v>
      </c>
      <c r="AN268" s="2315">
        <f t="shared" si="98"/>
        <v>0</v>
      </c>
      <c r="AO268" s="2315">
        <f t="shared" si="98"/>
        <v>0</v>
      </c>
      <c r="AP268" s="2315">
        <f t="shared" si="98"/>
        <v>0</v>
      </c>
      <c r="AQ268" s="2315">
        <f t="shared" si="98"/>
        <v>0</v>
      </c>
      <c r="AR268" s="2315">
        <f t="shared" si="98"/>
        <v>0</v>
      </c>
      <c r="AS268" s="2315">
        <f t="shared" si="98"/>
        <v>0</v>
      </c>
      <c r="AT268" s="2315">
        <f t="shared" si="98"/>
        <v>0</v>
      </c>
      <c r="AU268" s="2315">
        <f t="shared" si="98"/>
        <v>0</v>
      </c>
      <c r="AV268" s="2315">
        <f t="shared" si="98"/>
        <v>0</v>
      </c>
      <c r="AW268" s="2315">
        <f t="shared" si="98"/>
        <v>0</v>
      </c>
      <c r="AX268" s="2315">
        <f t="shared" si="98"/>
        <v>0</v>
      </c>
      <c r="AY268" s="2315">
        <f t="shared" si="98"/>
        <v>0</v>
      </c>
      <c r="AZ268" s="2315">
        <f t="shared" si="98"/>
        <v>0</v>
      </c>
      <c r="BA268" s="2315">
        <f>BA267-AP267</f>
        <v>0</v>
      </c>
      <c r="BB268" s="2315">
        <f t="shared" si="98"/>
        <v>0</v>
      </c>
      <c r="BC268" s="2308"/>
      <c r="BD268" s="2208"/>
    </row>
    <row r="269" spans="1:56" s="2334" customFormat="1" ht="16.5" hidden="1" customHeight="1" outlineLevel="2">
      <c r="A269" s="2219"/>
      <c r="B269" s="2311"/>
      <c r="C269" s="2322"/>
      <c r="D269" s="2313"/>
      <c r="E269" s="2314"/>
      <c r="F269" s="2314"/>
      <c r="G269" s="2314"/>
      <c r="H269" s="2314"/>
      <c r="I269" s="2314"/>
      <c r="J269" s="2293"/>
      <c r="K269" s="2293"/>
      <c r="L269" s="2293"/>
      <c r="M269" s="2293"/>
      <c r="N269" s="2293"/>
      <c r="O269" s="2293"/>
      <c r="P269" s="2293"/>
      <c r="Q269" s="2293"/>
      <c r="R269" s="2293"/>
      <c r="S269" s="2293"/>
      <c r="T269" s="2293"/>
      <c r="U269" s="2293"/>
      <c r="V269" s="2293"/>
      <c r="W269" s="2293"/>
      <c r="X269" s="2293"/>
      <c r="Y269" s="2293"/>
      <c r="Z269" s="2293"/>
      <c r="AA269" s="2293"/>
      <c r="AB269" s="2293"/>
      <c r="AC269" s="2293"/>
      <c r="AD269" s="2293"/>
      <c r="AE269" s="2294"/>
      <c r="AF269" s="2295"/>
      <c r="AG269" s="2295"/>
      <c r="AH269" s="2295"/>
      <c r="AI269" s="2295"/>
      <c r="AJ269" s="2295"/>
      <c r="AK269" s="2295"/>
      <c r="AL269" s="2295"/>
      <c r="AM269" s="2295"/>
      <c r="AN269" s="2295"/>
      <c r="AO269" s="2295"/>
      <c r="AP269" s="2295"/>
      <c r="AQ269" s="2295"/>
      <c r="AR269" s="2295"/>
      <c r="AS269" s="2295"/>
      <c r="AT269" s="2295"/>
      <c r="AU269" s="2295"/>
      <c r="AV269" s="2295"/>
      <c r="AW269" s="2295"/>
      <c r="AX269" s="2295"/>
      <c r="AY269" s="2295"/>
      <c r="AZ269" s="2295"/>
      <c r="BA269" s="2295"/>
      <c r="BB269" s="2295"/>
      <c r="BC269" s="2308"/>
      <c r="BD269" s="2333"/>
    </row>
    <row r="270" spans="1:56" collapsed="1">
      <c r="E270" s="2223"/>
      <c r="F270" s="2223"/>
      <c r="G270" s="2223"/>
      <c r="H270" s="2223"/>
      <c r="I270" s="2223"/>
      <c r="J270" s="2223"/>
      <c r="K270" s="2223"/>
      <c r="L270" s="2223"/>
      <c r="M270" s="2223"/>
      <c r="N270" s="2223"/>
      <c r="O270" s="2223"/>
      <c r="P270" s="2223"/>
      <c r="Q270" s="2223"/>
      <c r="R270" s="2223"/>
      <c r="S270" s="2223"/>
      <c r="T270" s="2223"/>
      <c r="U270" s="2223"/>
      <c r="V270" s="2223"/>
      <c r="W270" s="2223"/>
      <c r="X270" s="2223"/>
      <c r="Y270" s="2223"/>
      <c r="Z270" s="2223"/>
      <c r="AA270" s="2223"/>
      <c r="AB270" s="2223"/>
      <c r="AC270" s="2223"/>
      <c r="AD270" s="2223"/>
      <c r="AE270" s="2223"/>
      <c r="AF270" s="2223"/>
      <c r="AG270" s="2223"/>
      <c r="AH270" s="2223"/>
      <c r="AI270" s="2223"/>
      <c r="AJ270" s="2223"/>
      <c r="AK270" s="2223"/>
      <c r="AL270" s="2223"/>
      <c r="AM270" s="2223"/>
      <c r="AN270" s="2223"/>
      <c r="AO270" s="2223"/>
      <c r="AP270" s="2223"/>
      <c r="AQ270" s="2223"/>
      <c r="AR270" s="2223"/>
      <c r="AS270" s="2223"/>
      <c r="AT270" s="2223"/>
      <c r="AU270" s="2223"/>
      <c r="AV270" s="2223"/>
      <c r="AW270" s="2223"/>
      <c r="AX270" s="2223"/>
      <c r="AY270" s="2223"/>
      <c r="AZ270" s="2223"/>
      <c r="BA270" s="2223"/>
      <c r="BB270" s="2223"/>
      <c r="BC270" s="2223"/>
    </row>
    <row r="271" spans="1:56" s="2203" customFormat="1" ht="15" customHeight="1">
      <c r="B271" s="2400"/>
      <c r="C271" s="2401"/>
      <c r="D271" s="2402" t="s">
        <v>1892</v>
      </c>
      <c r="E271" s="2403">
        <v>1</v>
      </c>
      <c r="F271" s="2403">
        <f t="shared" ref="F271:AZ271" si="99">E271+1</f>
        <v>2</v>
      </c>
      <c r="G271" s="2403">
        <f t="shared" si="99"/>
        <v>3</v>
      </c>
      <c r="H271" s="2403">
        <f t="shared" si="99"/>
        <v>4</v>
      </c>
      <c r="I271" s="2403">
        <f t="shared" si="99"/>
        <v>5</v>
      </c>
      <c r="J271" s="2403">
        <f t="shared" si="99"/>
        <v>6</v>
      </c>
      <c r="K271" s="2403">
        <f t="shared" si="99"/>
        <v>7</v>
      </c>
      <c r="L271" s="2403">
        <f t="shared" si="99"/>
        <v>8</v>
      </c>
      <c r="M271" s="2403">
        <f t="shared" si="99"/>
        <v>9</v>
      </c>
      <c r="N271" s="2403">
        <f t="shared" si="99"/>
        <v>10</v>
      </c>
      <c r="O271" s="2403">
        <f t="shared" si="99"/>
        <v>11</v>
      </c>
      <c r="P271" s="2403">
        <f t="shared" si="99"/>
        <v>12</v>
      </c>
      <c r="Q271" s="2403">
        <f t="shared" si="99"/>
        <v>13</v>
      </c>
      <c r="R271" s="2403">
        <f t="shared" si="99"/>
        <v>14</v>
      </c>
      <c r="S271" s="2403">
        <f t="shared" si="99"/>
        <v>15</v>
      </c>
      <c r="T271" s="2403">
        <f t="shared" si="99"/>
        <v>16</v>
      </c>
      <c r="U271" s="2403">
        <f t="shared" si="99"/>
        <v>17</v>
      </c>
      <c r="V271" s="2403">
        <f t="shared" si="99"/>
        <v>18</v>
      </c>
      <c r="W271" s="2403">
        <f t="shared" si="99"/>
        <v>19</v>
      </c>
      <c r="X271" s="2403">
        <f t="shared" si="99"/>
        <v>20</v>
      </c>
      <c r="Y271" s="2403">
        <f t="shared" si="99"/>
        <v>21</v>
      </c>
      <c r="Z271" s="2403">
        <f t="shared" si="99"/>
        <v>22</v>
      </c>
      <c r="AA271" s="2403">
        <f t="shared" si="99"/>
        <v>23</v>
      </c>
      <c r="AB271" s="2403">
        <f t="shared" si="99"/>
        <v>24</v>
      </c>
      <c r="AC271" s="2403">
        <f t="shared" si="99"/>
        <v>25</v>
      </c>
      <c r="AD271" s="2404">
        <f t="shared" si="99"/>
        <v>26</v>
      </c>
      <c r="AE271" s="2405">
        <f t="shared" si="99"/>
        <v>27</v>
      </c>
      <c r="AF271" s="2404">
        <f t="shared" si="99"/>
        <v>28</v>
      </c>
      <c r="AG271" s="2404">
        <f t="shared" si="99"/>
        <v>29</v>
      </c>
      <c r="AH271" s="2404">
        <f t="shared" si="99"/>
        <v>30</v>
      </c>
      <c r="AI271" s="2404">
        <f t="shared" si="99"/>
        <v>31</v>
      </c>
      <c r="AJ271" s="2404">
        <f t="shared" si="99"/>
        <v>32</v>
      </c>
      <c r="AK271" s="2404">
        <f t="shared" si="99"/>
        <v>33</v>
      </c>
      <c r="AL271" s="2404">
        <f t="shared" si="99"/>
        <v>34</v>
      </c>
      <c r="AM271" s="2404">
        <f t="shared" si="99"/>
        <v>35</v>
      </c>
      <c r="AN271" s="2404">
        <f t="shared" si="99"/>
        <v>36</v>
      </c>
      <c r="AO271" s="2404">
        <f t="shared" si="99"/>
        <v>37</v>
      </c>
      <c r="AP271" s="2404">
        <f t="shared" si="99"/>
        <v>38</v>
      </c>
      <c r="AQ271" s="2404">
        <f t="shared" si="99"/>
        <v>39</v>
      </c>
      <c r="AR271" s="2404">
        <f t="shared" si="99"/>
        <v>40</v>
      </c>
      <c r="AS271" s="2404">
        <f t="shared" si="99"/>
        <v>41</v>
      </c>
      <c r="AT271" s="2404">
        <f t="shared" si="99"/>
        <v>42</v>
      </c>
      <c r="AU271" s="2404">
        <f t="shared" si="99"/>
        <v>43</v>
      </c>
      <c r="AV271" s="2404">
        <f t="shared" si="99"/>
        <v>44</v>
      </c>
      <c r="AW271" s="2404">
        <f t="shared" si="99"/>
        <v>45</v>
      </c>
      <c r="AX271" s="2404">
        <f t="shared" si="99"/>
        <v>46</v>
      </c>
      <c r="AY271" s="2404">
        <f t="shared" si="99"/>
        <v>47</v>
      </c>
      <c r="AZ271" s="2404">
        <f t="shared" si="99"/>
        <v>48</v>
      </c>
      <c r="BA271" s="2404">
        <f>AP271+1</f>
        <v>39</v>
      </c>
      <c r="BB271" s="2404">
        <f>BA271+1</f>
        <v>40</v>
      </c>
      <c r="BC271" s="6118" t="s">
        <v>1886</v>
      </c>
      <c r="BD271" s="2208"/>
    </row>
    <row r="272" spans="1:56" s="2203" customFormat="1">
      <c r="B272" s="2406"/>
      <c r="C272" s="2407"/>
      <c r="D272" s="2408" t="s">
        <v>1942</v>
      </c>
      <c r="E272" s="2409">
        <f>E163</f>
        <v>43038</v>
      </c>
      <c r="F272" s="2409">
        <f t="shared" ref="F272:BB272" si="100">F163</f>
        <v>43068</v>
      </c>
      <c r="G272" s="2409">
        <f t="shared" si="100"/>
        <v>43098</v>
      </c>
      <c r="H272" s="2409">
        <f t="shared" si="100"/>
        <v>43128</v>
      </c>
      <c r="I272" s="2409">
        <f t="shared" si="100"/>
        <v>43158</v>
      </c>
      <c r="J272" s="2409">
        <f t="shared" si="100"/>
        <v>43188</v>
      </c>
      <c r="K272" s="2409">
        <f t="shared" si="100"/>
        <v>43218</v>
      </c>
      <c r="L272" s="2409">
        <f t="shared" si="100"/>
        <v>43248</v>
      </c>
      <c r="M272" s="2409">
        <f t="shared" si="100"/>
        <v>43278</v>
      </c>
      <c r="N272" s="2409">
        <f t="shared" si="100"/>
        <v>43308</v>
      </c>
      <c r="O272" s="2409">
        <f t="shared" si="100"/>
        <v>43338</v>
      </c>
      <c r="P272" s="2409">
        <f t="shared" si="100"/>
        <v>43368</v>
      </c>
      <c r="Q272" s="2409">
        <f t="shared" si="100"/>
        <v>43398</v>
      </c>
      <c r="R272" s="2409">
        <f t="shared" si="100"/>
        <v>43428</v>
      </c>
      <c r="S272" s="2409">
        <f t="shared" si="100"/>
        <v>43458</v>
      </c>
      <c r="T272" s="2409">
        <f t="shared" si="100"/>
        <v>43488</v>
      </c>
      <c r="U272" s="2409">
        <f t="shared" si="100"/>
        <v>43518</v>
      </c>
      <c r="V272" s="2409">
        <f t="shared" si="100"/>
        <v>43548</v>
      </c>
      <c r="W272" s="2409">
        <f t="shared" si="100"/>
        <v>43578</v>
      </c>
      <c r="X272" s="2409">
        <f t="shared" si="100"/>
        <v>43608</v>
      </c>
      <c r="Y272" s="2409">
        <f t="shared" si="100"/>
        <v>43638</v>
      </c>
      <c r="Z272" s="2409">
        <f t="shared" si="100"/>
        <v>43668</v>
      </c>
      <c r="AA272" s="2409">
        <f t="shared" si="100"/>
        <v>43698</v>
      </c>
      <c r="AB272" s="2409">
        <f t="shared" si="100"/>
        <v>43728</v>
      </c>
      <c r="AC272" s="2409">
        <f t="shared" si="100"/>
        <v>43758</v>
      </c>
      <c r="AD272" s="2410">
        <f t="shared" si="100"/>
        <v>43788</v>
      </c>
      <c r="AE272" s="2410">
        <f t="shared" si="100"/>
        <v>43818</v>
      </c>
      <c r="AF272" s="2410">
        <f t="shared" si="100"/>
        <v>43848</v>
      </c>
      <c r="AG272" s="2410">
        <f t="shared" si="100"/>
        <v>43878</v>
      </c>
      <c r="AH272" s="2410">
        <f t="shared" si="100"/>
        <v>43908</v>
      </c>
      <c r="AI272" s="2410">
        <f t="shared" si="100"/>
        <v>43938</v>
      </c>
      <c r="AJ272" s="2410">
        <f t="shared" si="100"/>
        <v>43968</v>
      </c>
      <c r="AK272" s="2410">
        <f t="shared" si="100"/>
        <v>43998</v>
      </c>
      <c r="AL272" s="2410">
        <f t="shared" si="100"/>
        <v>44028</v>
      </c>
      <c r="AM272" s="2410">
        <f t="shared" si="100"/>
        <v>44058</v>
      </c>
      <c r="AN272" s="2410">
        <f t="shared" si="100"/>
        <v>44088</v>
      </c>
      <c r="AO272" s="2410">
        <f t="shared" si="100"/>
        <v>44118</v>
      </c>
      <c r="AP272" s="2410">
        <f t="shared" si="100"/>
        <v>44148</v>
      </c>
      <c r="AQ272" s="2410">
        <f t="shared" si="100"/>
        <v>44178</v>
      </c>
      <c r="AR272" s="2410">
        <f t="shared" si="100"/>
        <v>44208</v>
      </c>
      <c r="AS272" s="2410">
        <f t="shared" si="100"/>
        <v>44238</v>
      </c>
      <c r="AT272" s="2410">
        <f t="shared" si="100"/>
        <v>44268</v>
      </c>
      <c r="AU272" s="2410">
        <f t="shared" si="100"/>
        <v>44298</v>
      </c>
      <c r="AV272" s="2410">
        <f t="shared" si="100"/>
        <v>44328</v>
      </c>
      <c r="AW272" s="2410">
        <f t="shared" si="100"/>
        <v>44358</v>
      </c>
      <c r="AX272" s="2410">
        <f t="shared" si="100"/>
        <v>44388</v>
      </c>
      <c r="AY272" s="2410">
        <f t="shared" si="100"/>
        <v>44418</v>
      </c>
      <c r="AZ272" s="2410">
        <f t="shared" si="100"/>
        <v>44448</v>
      </c>
      <c r="BA272" s="2410">
        <f t="shared" si="100"/>
        <v>44478</v>
      </c>
      <c r="BB272" s="2410">
        <f t="shared" si="100"/>
        <v>44508</v>
      </c>
      <c r="BC272" s="6119"/>
      <c r="BD272" s="2208"/>
    </row>
    <row r="273" spans="2:57" s="2203" customFormat="1">
      <c r="B273" s="2284"/>
      <c r="C273" s="2285" t="s">
        <v>1943</v>
      </c>
      <c r="D273" s="6120">
        <v>340254842</v>
      </c>
      <c r="E273" s="2286">
        <f>+E276+E297+E318+E339+E359</f>
        <v>252931</v>
      </c>
      <c r="F273" s="2286">
        <f>+F276+F297+F318+F339+F359</f>
        <v>788517</v>
      </c>
      <c r="G273" s="2286">
        <f t="shared" ref="G273:AF273" si="101">+G276+G297+G318+G339+G359</f>
        <v>1368354</v>
      </c>
      <c r="H273" s="2286">
        <f t="shared" si="101"/>
        <v>2407437</v>
      </c>
      <c r="I273" s="2286">
        <f t="shared" si="101"/>
        <v>4036135</v>
      </c>
      <c r="J273" s="2286">
        <f t="shared" si="101"/>
        <v>6076104</v>
      </c>
      <c r="K273" s="2286">
        <f t="shared" si="101"/>
        <v>9385870</v>
      </c>
      <c r="L273" s="2286">
        <f t="shared" si="101"/>
        <v>12971853</v>
      </c>
      <c r="M273" s="2286">
        <f t="shared" si="101"/>
        <v>14526575</v>
      </c>
      <c r="N273" s="2286">
        <f t="shared" si="101"/>
        <v>24389412</v>
      </c>
      <c r="O273" s="2286">
        <f t="shared" si="101"/>
        <v>28088741</v>
      </c>
      <c r="P273" s="2286">
        <f t="shared" si="101"/>
        <v>30455904</v>
      </c>
      <c r="Q273" s="2286">
        <f t="shared" si="101"/>
        <v>34141752</v>
      </c>
      <c r="R273" s="2286">
        <f t="shared" si="101"/>
        <v>38326487</v>
      </c>
      <c r="S273" s="2286">
        <f t="shared" si="101"/>
        <v>41604486</v>
      </c>
      <c r="T273" s="2286">
        <f t="shared" si="101"/>
        <v>45771264</v>
      </c>
      <c r="U273" s="2286">
        <f t="shared" si="101"/>
        <v>52661083</v>
      </c>
      <c r="V273" s="2286">
        <f t="shared" si="101"/>
        <v>58458576</v>
      </c>
      <c r="W273" s="2286">
        <f t="shared" si="101"/>
        <v>63354541</v>
      </c>
      <c r="X273" s="2286">
        <f t="shared" si="101"/>
        <v>69951821</v>
      </c>
      <c r="Y273" s="2286">
        <f t="shared" si="101"/>
        <v>78915068</v>
      </c>
      <c r="Z273" s="2286">
        <f t="shared" si="101"/>
        <v>89038178</v>
      </c>
      <c r="AA273" s="2286">
        <f t="shared" si="101"/>
        <v>96941258</v>
      </c>
      <c r="AB273" s="2286">
        <f t="shared" si="101"/>
        <v>109754198</v>
      </c>
      <c r="AC273" s="2286">
        <f t="shared" si="101"/>
        <v>123157738</v>
      </c>
      <c r="AD273" s="2286">
        <f t="shared" si="101"/>
        <v>137058937</v>
      </c>
      <c r="AE273" s="2286">
        <f t="shared" si="101"/>
        <v>149330446</v>
      </c>
      <c r="AF273" s="2286">
        <f t="shared" si="101"/>
        <v>160478869</v>
      </c>
      <c r="AG273" s="2286">
        <f>+AG276+AG297+AG318+AG339+AG359</f>
        <v>174860365</v>
      </c>
      <c r="AH273" s="2286">
        <f t="shared" ref="AH273:BB273" si="102">+AH276+AH297+AH318+AH339+AH359</f>
        <v>191142014</v>
      </c>
      <c r="AI273" s="2286">
        <f t="shared" si="102"/>
        <v>206678181</v>
      </c>
      <c r="AJ273" s="2286">
        <f t="shared" si="102"/>
        <v>224766961</v>
      </c>
      <c r="AK273" s="2286">
        <f t="shared" si="102"/>
        <v>240086514</v>
      </c>
      <c r="AL273" s="2286">
        <f t="shared" si="102"/>
        <v>255365398</v>
      </c>
      <c r="AM273" s="2286">
        <f t="shared" si="102"/>
        <v>269471295</v>
      </c>
      <c r="AN273" s="2286">
        <f t="shared" si="102"/>
        <v>282195252</v>
      </c>
      <c r="AO273" s="2286">
        <f t="shared" si="102"/>
        <v>295675731</v>
      </c>
      <c r="AP273" s="2286">
        <f t="shared" si="102"/>
        <v>307407170</v>
      </c>
      <c r="AQ273" s="2286">
        <f>+AQ276+AQ297+AQ318+AQ339+AQ359</f>
        <v>316387357</v>
      </c>
      <c r="AR273" s="2286">
        <f t="shared" ref="AR273:AZ273" si="103">+AR276+AR297+AR318+AR339+AR359</f>
        <v>323624009</v>
      </c>
      <c r="AS273" s="2286">
        <f t="shared" si="103"/>
        <v>330876746</v>
      </c>
      <c r="AT273" s="2286">
        <f t="shared" si="103"/>
        <v>335752727</v>
      </c>
      <c r="AU273" s="2286">
        <f t="shared" si="103"/>
        <v>338805988</v>
      </c>
      <c r="AV273" s="2286">
        <f t="shared" si="103"/>
        <v>340156015</v>
      </c>
      <c r="AW273" s="2286">
        <f t="shared" si="103"/>
        <v>340254842</v>
      </c>
      <c r="AX273" s="2286">
        <f t="shared" si="103"/>
        <v>340254842</v>
      </c>
      <c r="AY273" s="2286">
        <f t="shared" si="103"/>
        <v>0</v>
      </c>
      <c r="AZ273" s="2286">
        <f t="shared" si="103"/>
        <v>0</v>
      </c>
      <c r="BA273" s="2286">
        <f t="shared" si="102"/>
        <v>0</v>
      </c>
      <c r="BB273" s="2286">
        <f t="shared" si="102"/>
        <v>0</v>
      </c>
      <c r="BC273" s="6122"/>
      <c r="BD273" s="2208"/>
    </row>
    <row r="274" spans="2:57" s="2203" customFormat="1" ht="18.75" customHeight="1">
      <c r="B274" s="2287"/>
      <c r="C274" s="2288" t="s">
        <v>1944</v>
      </c>
      <c r="D274" s="6121"/>
      <c r="E274" s="2289">
        <f>+E277+E298+E319+E340+E360</f>
        <v>252931</v>
      </c>
      <c r="F274" s="2289">
        <f t="shared" ref="F274:BB274" si="104">+F277+F298+F319+F340+F360</f>
        <v>535586</v>
      </c>
      <c r="G274" s="2289">
        <f t="shared" si="104"/>
        <v>579837</v>
      </c>
      <c r="H274" s="2289">
        <f t="shared" si="104"/>
        <v>1039083</v>
      </c>
      <c r="I274" s="2289">
        <f t="shared" si="104"/>
        <v>1628698</v>
      </c>
      <c r="J274" s="2289">
        <f t="shared" si="104"/>
        <v>2039969</v>
      </c>
      <c r="K274" s="2289">
        <f t="shared" si="104"/>
        <v>3309766</v>
      </c>
      <c r="L274" s="2289">
        <f t="shared" si="104"/>
        <v>3585983</v>
      </c>
      <c r="M274" s="2289">
        <f t="shared" si="104"/>
        <v>1554722</v>
      </c>
      <c r="N274" s="2289">
        <f t="shared" si="104"/>
        <v>9862837</v>
      </c>
      <c r="O274" s="2289">
        <f t="shared" si="104"/>
        <v>3699329</v>
      </c>
      <c r="P274" s="2289">
        <f t="shared" si="104"/>
        <v>2367163</v>
      </c>
      <c r="Q274" s="2289">
        <f t="shared" si="104"/>
        <v>3685848</v>
      </c>
      <c r="R274" s="2289">
        <f t="shared" si="104"/>
        <v>4184735</v>
      </c>
      <c r="S274" s="2289">
        <f t="shared" si="104"/>
        <v>3277999</v>
      </c>
      <c r="T274" s="2289">
        <f t="shared" si="104"/>
        <v>4166778</v>
      </c>
      <c r="U274" s="2289">
        <f t="shared" si="104"/>
        <v>6889819</v>
      </c>
      <c r="V274" s="2289">
        <f t="shared" si="104"/>
        <v>5797493</v>
      </c>
      <c r="W274" s="2289">
        <f t="shared" si="104"/>
        <v>4895965</v>
      </c>
      <c r="X274" s="2289">
        <f t="shared" si="104"/>
        <v>6597280</v>
      </c>
      <c r="Y274" s="2289">
        <f t="shared" si="104"/>
        <v>8963247</v>
      </c>
      <c r="Z274" s="2289">
        <f t="shared" si="104"/>
        <v>10123110</v>
      </c>
      <c r="AA274" s="2289">
        <f t="shared" si="104"/>
        <v>7903080</v>
      </c>
      <c r="AB274" s="2289">
        <f t="shared" si="104"/>
        <v>12812940</v>
      </c>
      <c r="AC274" s="2289">
        <f t="shared" si="104"/>
        <v>13403540</v>
      </c>
      <c r="AD274" s="2289">
        <f t="shared" si="104"/>
        <v>13901199</v>
      </c>
      <c r="AE274" s="2289">
        <f t="shared" si="104"/>
        <v>12271509</v>
      </c>
      <c r="AF274" s="2289">
        <f t="shared" si="104"/>
        <v>11148423</v>
      </c>
      <c r="AG274" s="2289">
        <f t="shared" si="104"/>
        <v>14381496</v>
      </c>
      <c r="AH274" s="2289">
        <f t="shared" si="104"/>
        <v>16281649</v>
      </c>
      <c r="AI274" s="2289">
        <f t="shared" si="104"/>
        <v>15536167</v>
      </c>
      <c r="AJ274" s="2289">
        <f t="shared" si="104"/>
        <v>18088780</v>
      </c>
      <c r="AK274" s="2289">
        <f t="shared" si="104"/>
        <v>15319553</v>
      </c>
      <c r="AL274" s="2289">
        <f t="shared" si="104"/>
        <v>15278884</v>
      </c>
      <c r="AM274" s="2289">
        <f t="shared" si="104"/>
        <v>14105897</v>
      </c>
      <c r="AN274" s="2289">
        <f t="shared" si="104"/>
        <v>12723957</v>
      </c>
      <c r="AO274" s="2289">
        <f t="shared" si="104"/>
        <v>13480479</v>
      </c>
      <c r="AP274" s="2289">
        <f t="shared" si="104"/>
        <v>11731439</v>
      </c>
      <c r="AQ274" s="2289">
        <f t="shared" si="104"/>
        <v>8980187</v>
      </c>
      <c r="AR274" s="2289">
        <f t="shared" si="104"/>
        <v>7236652</v>
      </c>
      <c r="AS274" s="2289">
        <f t="shared" si="104"/>
        <v>7252737</v>
      </c>
      <c r="AT274" s="2289">
        <f t="shared" si="104"/>
        <v>4875981</v>
      </c>
      <c r="AU274" s="2289">
        <f t="shared" si="104"/>
        <v>3053261</v>
      </c>
      <c r="AV274" s="2289">
        <f t="shared" si="104"/>
        <v>1350027</v>
      </c>
      <c r="AW274" s="2289">
        <f t="shared" si="104"/>
        <v>98827</v>
      </c>
      <c r="AX274" s="2289">
        <f t="shared" si="104"/>
        <v>0</v>
      </c>
      <c r="AY274" s="2289">
        <f t="shared" si="104"/>
        <v>-340254842</v>
      </c>
      <c r="AZ274" s="2289">
        <f t="shared" si="104"/>
        <v>0</v>
      </c>
      <c r="BA274" s="2289">
        <f t="shared" si="104"/>
        <v>-307407170</v>
      </c>
      <c r="BB274" s="2289">
        <f t="shared" si="104"/>
        <v>0</v>
      </c>
      <c r="BC274" s="6119"/>
      <c r="BD274" s="2208"/>
    </row>
    <row r="275" spans="2:57" ht="18.75" customHeight="1">
      <c r="B275" s="2290"/>
      <c r="C275" s="2291"/>
      <c r="D275" s="2292"/>
      <c r="E275" s="2281"/>
      <c r="F275" s="2281"/>
      <c r="G275" s="2281"/>
      <c r="H275" s="2281"/>
      <c r="I275" s="2281"/>
      <c r="J275" s="2281"/>
      <c r="K275" s="2281"/>
      <c r="L275" s="2281"/>
      <c r="M275" s="2281"/>
      <c r="N275" s="2281"/>
      <c r="O275" s="2281"/>
      <c r="P275" s="2281"/>
      <c r="Q275" s="2281"/>
      <c r="R275" s="2281"/>
      <c r="S275" s="2281"/>
      <c r="T275" s="2281"/>
      <c r="U275" s="2281"/>
      <c r="V275" s="2281"/>
      <c r="W275" s="2281"/>
      <c r="X275" s="2281"/>
      <c r="Y275" s="2281"/>
      <c r="Z275" s="2281"/>
      <c r="AA275" s="2281"/>
      <c r="AB275" s="2281"/>
      <c r="AC275" s="2281"/>
      <c r="AD275" s="2281"/>
      <c r="AE275" s="2433"/>
      <c r="AF275" s="2281"/>
      <c r="AG275" s="2281"/>
      <c r="AH275" s="2281"/>
      <c r="AI275" s="2281"/>
      <c r="AJ275" s="2281"/>
      <c r="AK275" s="2281"/>
      <c r="AL275" s="2281"/>
      <c r="AM275" s="2281"/>
      <c r="AN275" s="2281"/>
      <c r="AO275" s="2281"/>
      <c r="AP275" s="2281"/>
      <c r="AQ275" s="2281"/>
      <c r="AR275" s="2281"/>
      <c r="AS275" s="2281"/>
      <c r="AT275" s="2281"/>
      <c r="AU275" s="2281"/>
      <c r="AV275" s="2281"/>
      <c r="AW275" s="2281"/>
      <c r="AX275" s="2281"/>
      <c r="AY275" s="2281"/>
      <c r="AZ275" s="2281"/>
      <c r="BA275" s="2281"/>
      <c r="BB275" s="2281"/>
      <c r="BC275" s="2411"/>
      <c r="BD275" s="2240"/>
    </row>
    <row r="276" spans="2:57" s="2203" customFormat="1">
      <c r="B276" s="2414">
        <v>100</v>
      </c>
      <c r="C276" s="2415" t="s">
        <v>509</v>
      </c>
      <c r="D276" s="2416" t="s">
        <v>1896</v>
      </c>
      <c r="E276" s="2417">
        <f>E293</f>
        <v>252931</v>
      </c>
      <c r="F276" s="2417">
        <f t="shared" ref="F276:AF277" si="105">F293</f>
        <v>788517</v>
      </c>
      <c r="G276" s="2417">
        <f t="shared" si="105"/>
        <v>1368354</v>
      </c>
      <c r="H276" s="2417">
        <f t="shared" si="105"/>
        <v>2407437</v>
      </c>
      <c r="I276" s="2417">
        <f t="shared" si="105"/>
        <v>4036135</v>
      </c>
      <c r="J276" s="2417">
        <f t="shared" si="105"/>
        <v>6076104</v>
      </c>
      <c r="K276" s="2417">
        <f t="shared" si="105"/>
        <v>9385870</v>
      </c>
      <c r="L276" s="2417">
        <f t="shared" si="105"/>
        <v>12971853</v>
      </c>
      <c r="M276" s="2417">
        <f t="shared" si="105"/>
        <v>14526575</v>
      </c>
      <c r="N276" s="2417">
        <f t="shared" si="105"/>
        <v>24389412</v>
      </c>
      <c r="O276" s="2417">
        <f t="shared" si="105"/>
        <v>28088741</v>
      </c>
      <c r="P276" s="2417">
        <f t="shared" si="105"/>
        <v>30455904</v>
      </c>
      <c r="Q276" s="2417">
        <f t="shared" si="105"/>
        <v>34141752</v>
      </c>
      <c r="R276" s="2417">
        <f t="shared" si="105"/>
        <v>38326487</v>
      </c>
      <c r="S276" s="2417">
        <f t="shared" si="105"/>
        <v>41604486</v>
      </c>
      <c r="T276" s="2417">
        <f t="shared" si="105"/>
        <v>45771264</v>
      </c>
      <c r="U276" s="2417">
        <f t="shared" si="105"/>
        <v>52661083</v>
      </c>
      <c r="V276" s="2417">
        <f t="shared" si="105"/>
        <v>58458576</v>
      </c>
      <c r="W276" s="2417">
        <f t="shared" si="105"/>
        <v>63354541</v>
      </c>
      <c r="X276" s="2417">
        <f t="shared" si="105"/>
        <v>69951821</v>
      </c>
      <c r="Y276" s="2417">
        <f t="shared" si="105"/>
        <v>78915068</v>
      </c>
      <c r="Z276" s="2417">
        <f t="shared" si="105"/>
        <v>89038178</v>
      </c>
      <c r="AA276" s="2417">
        <f t="shared" si="105"/>
        <v>96941258</v>
      </c>
      <c r="AB276" s="2417">
        <f t="shared" si="105"/>
        <v>109754198</v>
      </c>
      <c r="AC276" s="2417">
        <f t="shared" si="105"/>
        <v>123157738</v>
      </c>
      <c r="AD276" s="2432">
        <f t="shared" si="105"/>
        <v>137058937</v>
      </c>
      <c r="AE276" s="2432">
        <f t="shared" si="105"/>
        <v>149330446</v>
      </c>
      <c r="AF276" s="2432">
        <f t="shared" si="105"/>
        <v>160478869</v>
      </c>
      <c r="AG276" s="2432">
        <f>AG293</f>
        <v>174860365</v>
      </c>
      <c r="AH276" s="2432">
        <f t="shared" ref="AH276:BB276" si="106">AH293</f>
        <v>191142014</v>
      </c>
      <c r="AI276" s="2432">
        <f t="shared" si="106"/>
        <v>206678181</v>
      </c>
      <c r="AJ276" s="2432">
        <f t="shared" si="106"/>
        <v>224766961</v>
      </c>
      <c r="AK276" s="2432">
        <f t="shared" si="106"/>
        <v>240086514</v>
      </c>
      <c r="AL276" s="2432">
        <f t="shared" si="106"/>
        <v>255365398</v>
      </c>
      <c r="AM276" s="2432">
        <f t="shared" si="106"/>
        <v>269471295</v>
      </c>
      <c r="AN276" s="2432">
        <f t="shared" si="106"/>
        <v>282195252</v>
      </c>
      <c r="AO276" s="2432">
        <f>AO293</f>
        <v>295675731</v>
      </c>
      <c r="AP276" s="2432">
        <f t="shared" si="106"/>
        <v>307407170</v>
      </c>
      <c r="AQ276" s="2432">
        <f>AQ293</f>
        <v>316387357</v>
      </c>
      <c r="AR276" s="2432">
        <f t="shared" ref="AR276:AX276" si="107">AR293</f>
        <v>323624009</v>
      </c>
      <c r="AS276" s="2432">
        <f t="shared" si="107"/>
        <v>330876746</v>
      </c>
      <c r="AT276" s="2432">
        <f t="shared" si="107"/>
        <v>335752727</v>
      </c>
      <c r="AU276" s="2432">
        <f t="shared" si="107"/>
        <v>338805988</v>
      </c>
      <c r="AV276" s="2432">
        <f t="shared" si="107"/>
        <v>340156015</v>
      </c>
      <c r="AW276" s="2432">
        <f t="shared" si="107"/>
        <v>340254842</v>
      </c>
      <c r="AX276" s="2432">
        <f t="shared" si="107"/>
        <v>340254842</v>
      </c>
      <c r="AY276" s="2432">
        <f>AY293</f>
        <v>0</v>
      </c>
      <c r="AZ276" s="2432">
        <f>AZ293</f>
        <v>0</v>
      </c>
      <c r="BA276" s="2432">
        <f t="shared" si="106"/>
        <v>0</v>
      </c>
      <c r="BB276" s="2432">
        <f t="shared" si="106"/>
        <v>0</v>
      </c>
      <c r="BC276" s="2412"/>
      <c r="BD276" s="2208"/>
      <c r="BE276" s="2297"/>
    </row>
    <row r="277" spans="2:57" s="2203" customFormat="1">
      <c r="B277" s="2414"/>
      <c r="C277" s="2415"/>
      <c r="D277" s="2416" t="s">
        <v>1897</v>
      </c>
      <c r="E277" s="2417">
        <f>E294</f>
        <v>252931</v>
      </c>
      <c r="F277" s="2417">
        <f t="shared" si="105"/>
        <v>535586</v>
      </c>
      <c r="G277" s="2417">
        <f t="shared" si="105"/>
        <v>579837</v>
      </c>
      <c r="H277" s="2417">
        <f>H294</f>
        <v>1039083</v>
      </c>
      <c r="I277" s="2417">
        <f t="shared" si="105"/>
        <v>1628698</v>
      </c>
      <c r="J277" s="2417">
        <f t="shared" si="105"/>
        <v>2039969</v>
      </c>
      <c r="K277" s="2417">
        <f t="shared" si="105"/>
        <v>3309766</v>
      </c>
      <c r="L277" s="2417">
        <f t="shared" si="105"/>
        <v>3585983</v>
      </c>
      <c r="M277" s="2417">
        <f t="shared" si="105"/>
        <v>1554722</v>
      </c>
      <c r="N277" s="2417">
        <f t="shared" si="105"/>
        <v>9862837</v>
      </c>
      <c r="O277" s="2417">
        <f t="shared" si="105"/>
        <v>3699329</v>
      </c>
      <c r="P277" s="2417">
        <f t="shared" si="105"/>
        <v>2367163</v>
      </c>
      <c r="Q277" s="2417">
        <f t="shared" si="105"/>
        <v>3685848</v>
      </c>
      <c r="R277" s="2417">
        <f t="shared" si="105"/>
        <v>4184735</v>
      </c>
      <c r="S277" s="2417">
        <f t="shared" si="105"/>
        <v>3277999</v>
      </c>
      <c r="T277" s="2417">
        <f t="shared" si="105"/>
        <v>4166778</v>
      </c>
      <c r="U277" s="2417">
        <f t="shared" si="105"/>
        <v>6889819</v>
      </c>
      <c r="V277" s="2417">
        <f t="shared" si="105"/>
        <v>5797493</v>
      </c>
      <c r="W277" s="2417">
        <f t="shared" si="105"/>
        <v>4895965</v>
      </c>
      <c r="X277" s="2417">
        <f t="shared" si="105"/>
        <v>6597280</v>
      </c>
      <c r="Y277" s="2417">
        <f t="shared" si="105"/>
        <v>8963247</v>
      </c>
      <c r="Z277" s="2417">
        <f t="shared" si="105"/>
        <v>10123110</v>
      </c>
      <c r="AA277" s="2417">
        <f t="shared" si="105"/>
        <v>7903080</v>
      </c>
      <c r="AB277" s="2417">
        <f t="shared" si="105"/>
        <v>12812940</v>
      </c>
      <c r="AC277" s="2417">
        <f t="shared" si="105"/>
        <v>13403540</v>
      </c>
      <c r="AD277" s="2432">
        <f t="shared" si="105"/>
        <v>13901199</v>
      </c>
      <c r="AE277" s="2432">
        <f t="shared" si="105"/>
        <v>12271509</v>
      </c>
      <c r="AF277" s="2432">
        <f t="shared" si="105"/>
        <v>11148423</v>
      </c>
      <c r="AG277" s="2432">
        <f t="shared" ref="AG277:BB277" si="108">AG294</f>
        <v>14381496</v>
      </c>
      <c r="AH277" s="2432">
        <f t="shared" si="108"/>
        <v>16281649</v>
      </c>
      <c r="AI277" s="2432">
        <f t="shared" si="108"/>
        <v>15536167</v>
      </c>
      <c r="AJ277" s="2432">
        <f t="shared" si="108"/>
        <v>18088780</v>
      </c>
      <c r="AK277" s="2432">
        <f t="shared" si="108"/>
        <v>15319553</v>
      </c>
      <c r="AL277" s="2432">
        <f t="shared" si="108"/>
        <v>15278884</v>
      </c>
      <c r="AM277" s="2432">
        <f t="shared" si="108"/>
        <v>14105897</v>
      </c>
      <c r="AN277" s="2432">
        <f>AN294</f>
        <v>12723957</v>
      </c>
      <c r="AO277" s="2432">
        <f t="shared" si="108"/>
        <v>13480479</v>
      </c>
      <c r="AP277" s="2432">
        <f t="shared" si="108"/>
        <v>11731439</v>
      </c>
      <c r="AQ277" s="2432">
        <f t="shared" si="108"/>
        <v>8980187</v>
      </c>
      <c r="AR277" s="2432">
        <f t="shared" si="108"/>
        <v>7236652</v>
      </c>
      <c r="AS277" s="2432">
        <f t="shared" si="108"/>
        <v>7252737</v>
      </c>
      <c r="AT277" s="2432">
        <f t="shared" si="108"/>
        <v>4875981</v>
      </c>
      <c r="AU277" s="2432">
        <f t="shared" si="108"/>
        <v>3053261</v>
      </c>
      <c r="AV277" s="2432">
        <f t="shared" si="108"/>
        <v>1350027</v>
      </c>
      <c r="AW277" s="2432">
        <f t="shared" si="108"/>
        <v>98827</v>
      </c>
      <c r="AX277" s="2432">
        <f>AX294</f>
        <v>0</v>
      </c>
      <c r="AY277" s="2432">
        <f>AY294</f>
        <v>-340254842</v>
      </c>
      <c r="AZ277" s="2432">
        <f>AZ294</f>
        <v>0</v>
      </c>
      <c r="BA277" s="2432">
        <f t="shared" si="108"/>
        <v>-307407170</v>
      </c>
      <c r="BB277" s="2432">
        <f t="shared" si="108"/>
        <v>0</v>
      </c>
      <c r="BC277" s="2413"/>
      <c r="BD277" s="2208"/>
    </row>
    <row r="278" spans="2:57" ht="15" hidden="1" customHeight="1" outlineLevel="1">
      <c r="B278" s="2339"/>
      <c r="C278" s="2340"/>
      <c r="D278" s="2341"/>
      <c r="E278" s="2336"/>
      <c r="F278" s="2336"/>
      <c r="G278" s="2336"/>
      <c r="H278" s="2336"/>
      <c r="I278" s="2336"/>
      <c r="J278" s="2336"/>
      <c r="K278" s="2336"/>
      <c r="L278" s="2336"/>
      <c r="M278" s="2336"/>
      <c r="N278" s="2336"/>
      <c r="O278" s="2336"/>
      <c r="P278" s="2336"/>
      <c r="Q278" s="2336"/>
      <c r="R278" s="2336"/>
      <c r="S278" s="2336"/>
      <c r="T278" s="2336"/>
      <c r="U278" s="2336"/>
      <c r="V278" s="2336"/>
      <c r="W278" s="2336"/>
      <c r="X278" s="2336"/>
      <c r="Y278" s="2336"/>
      <c r="Z278" s="2336"/>
      <c r="AA278" s="2336"/>
      <c r="AB278" s="2336"/>
      <c r="AC278" s="2336"/>
      <c r="AD278" s="2336"/>
      <c r="AE278" s="2337"/>
      <c r="AF278" s="2336"/>
      <c r="AG278" s="2336"/>
      <c r="AH278" s="2336"/>
      <c r="AI278" s="2336"/>
      <c r="AJ278" s="2336"/>
      <c r="AK278" s="2336"/>
      <c r="AL278" s="2336"/>
      <c r="AM278" s="2336"/>
      <c r="AN278" s="2336"/>
      <c r="AO278" s="2336"/>
      <c r="AP278" s="2336"/>
      <c r="AQ278" s="2336"/>
      <c r="AR278" s="2336"/>
      <c r="AS278" s="2336"/>
      <c r="AT278" s="2336"/>
      <c r="AU278" s="2336"/>
      <c r="AV278" s="2336"/>
      <c r="AW278" s="2336"/>
      <c r="AX278" s="2336"/>
      <c r="AY278" s="2336"/>
      <c r="AZ278" s="2336"/>
      <c r="BA278" s="2336"/>
      <c r="BB278" s="2336"/>
      <c r="BC278" s="2301"/>
      <c r="BD278" s="2240"/>
    </row>
    <row r="279" spans="2:57" ht="18.75" hidden="1" customHeight="1" outlineLevel="1">
      <c r="B279" s="2342">
        <v>100.1</v>
      </c>
      <c r="C279" s="2343">
        <v>0</v>
      </c>
      <c r="D279" s="2344">
        <f>D41</f>
        <v>0</v>
      </c>
      <c r="E279" s="2345"/>
      <c r="F279" s="2345"/>
      <c r="G279" s="2345"/>
      <c r="H279" s="2345"/>
      <c r="I279" s="2345"/>
      <c r="J279" s="2345"/>
      <c r="K279" s="2345"/>
      <c r="L279" s="2345"/>
      <c r="M279" s="2345"/>
      <c r="N279" s="2345"/>
      <c r="O279" s="2345"/>
      <c r="P279" s="2345"/>
      <c r="Q279" s="2345"/>
      <c r="R279" s="2345"/>
      <c r="S279" s="2345"/>
      <c r="T279" s="2345"/>
      <c r="U279" s="2345"/>
      <c r="V279" s="2345"/>
      <c r="W279" s="2345"/>
      <c r="X279" s="2345"/>
      <c r="Y279" s="2345"/>
      <c r="Z279" s="2345"/>
      <c r="AA279" s="2345"/>
      <c r="AB279" s="2345"/>
      <c r="AC279" s="2345"/>
      <c r="AD279" s="2345"/>
      <c r="AE279" s="2346"/>
      <c r="AF279" s="2345"/>
      <c r="AG279" s="2345"/>
      <c r="AH279" s="2345"/>
      <c r="AI279" s="2345"/>
      <c r="AJ279" s="2345"/>
      <c r="AK279" s="2345"/>
      <c r="AL279" s="2345"/>
      <c r="AM279" s="2345"/>
      <c r="AN279" s="2345"/>
      <c r="AO279" s="2345"/>
      <c r="AP279" s="2345"/>
      <c r="AQ279" s="2345"/>
      <c r="AR279" s="2345"/>
      <c r="AS279" s="2345"/>
      <c r="AT279" s="2345"/>
      <c r="AU279" s="2345"/>
      <c r="AV279" s="2345"/>
      <c r="AW279" s="2345"/>
      <c r="AX279" s="2345"/>
      <c r="AY279" s="2345"/>
      <c r="AZ279" s="2345"/>
      <c r="BA279" s="2345"/>
      <c r="BB279" s="2345"/>
      <c r="BC279" s="2308"/>
      <c r="BD279" s="2240"/>
    </row>
    <row r="280" spans="2:57" ht="15" hidden="1" customHeight="1" outlineLevel="2">
      <c r="B280" s="2339"/>
      <c r="C280" s="2347" t="s">
        <v>1898</v>
      </c>
      <c r="D280" s="2341" t="s">
        <v>1899</v>
      </c>
      <c r="E280" s="2336">
        <v>252931</v>
      </c>
      <c r="F280" s="2336">
        <v>788517</v>
      </c>
      <c r="G280" s="2336">
        <v>1368354</v>
      </c>
      <c r="H280" s="2336">
        <v>2407437</v>
      </c>
      <c r="I280" s="2336">
        <v>4036135</v>
      </c>
      <c r="J280" s="2336">
        <v>6076104</v>
      </c>
      <c r="K280" s="2336">
        <v>9385870</v>
      </c>
      <c r="L280" s="2336">
        <v>12971853</v>
      </c>
      <c r="M280" s="2336">
        <v>14526575</v>
      </c>
      <c r="N280" s="2336">
        <v>24389412</v>
      </c>
      <c r="O280" s="2336">
        <v>28088741</v>
      </c>
      <c r="P280" s="2336">
        <v>30455904</v>
      </c>
      <c r="Q280" s="2336">
        <v>34141752</v>
      </c>
      <c r="R280" s="2336">
        <v>38326487</v>
      </c>
      <c r="S280" s="2336">
        <v>41604486</v>
      </c>
      <c r="T280" s="2336">
        <v>45771264</v>
      </c>
      <c r="U280" s="2336">
        <v>52661083</v>
      </c>
      <c r="V280" s="2336">
        <v>58458576</v>
      </c>
      <c r="W280" s="2336">
        <v>63354541</v>
      </c>
      <c r="X280" s="2336">
        <v>69951821</v>
      </c>
      <c r="Y280" s="2336">
        <v>78915068</v>
      </c>
      <c r="Z280" s="2336">
        <v>89038178</v>
      </c>
      <c r="AA280" s="2336">
        <v>96941258</v>
      </c>
      <c r="AB280" s="2336">
        <v>109754198</v>
      </c>
      <c r="AC280" s="2336">
        <v>123157738</v>
      </c>
      <c r="AD280" s="2336">
        <v>137058937</v>
      </c>
      <c r="AE280" s="2337">
        <v>149330446</v>
      </c>
      <c r="AF280" s="2336">
        <v>160478869</v>
      </c>
      <c r="AG280" s="2336">
        <v>174860365</v>
      </c>
      <c r="AH280" s="2336">
        <v>191142014</v>
      </c>
      <c r="AI280" s="2336">
        <v>206678181</v>
      </c>
      <c r="AJ280" s="2336">
        <v>224766961</v>
      </c>
      <c r="AK280" s="2336">
        <v>240086514</v>
      </c>
      <c r="AL280" s="2336">
        <v>255365398</v>
      </c>
      <c r="AM280" s="2336">
        <v>269471295</v>
      </c>
      <c r="AN280" s="2336">
        <v>282195252</v>
      </c>
      <c r="AO280" s="2336">
        <v>295675731</v>
      </c>
      <c r="AP280" s="2336">
        <v>307407170</v>
      </c>
      <c r="AQ280" s="2336">
        <v>316387357</v>
      </c>
      <c r="AR280" s="2336">
        <v>323624009</v>
      </c>
      <c r="AS280" s="2336">
        <v>330876746</v>
      </c>
      <c r="AT280" s="2336">
        <v>335752727</v>
      </c>
      <c r="AU280" s="2336">
        <v>338805988</v>
      </c>
      <c r="AV280" s="2336">
        <v>340156015</v>
      </c>
      <c r="AW280" s="2336">
        <v>340254842</v>
      </c>
      <c r="AX280" s="2336">
        <v>340254842</v>
      </c>
      <c r="AY280" s="2336">
        <v>0</v>
      </c>
      <c r="AZ280" s="2336">
        <v>0</v>
      </c>
      <c r="BA280" s="2336">
        <v>0</v>
      </c>
      <c r="BB280" s="2336">
        <f>BB168+BB169-BA168-BA169+BB490+BA280</f>
        <v>0</v>
      </c>
      <c r="BC280" s="2310"/>
      <c r="BD280" s="2240"/>
      <c r="BE280" s="2297"/>
    </row>
    <row r="281" spans="2:57" ht="15" hidden="1" customHeight="1" outlineLevel="2">
      <c r="B281" s="2339"/>
      <c r="C281" s="2347" t="s">
        <v>1901</v>
      </c>
      <c r="D281" s="2341" t="s">
        <v>1902</v>
      </c>
      <c r="E281" s="2336">
        <v>0</v>
      </c>
      <c r="F281" s="2336">
        <v>0</v>
      </c>
      <c r="G281" s="2336">
        <v>0</v>
      </c>
      <c r="H281" s="2336">
        <v>0</v>
      </c>
      <c r="I281" s="2336">
        <v>0</v>
      </c>
      <c r="J281" s="2336">
        <v>0</v>
      </c>
      <c r="K281" s="2336">
        <v>0</v>
      </c>
      <c r="L281" s="2336">
        <v>0</v>
      </c>
      <c r="M281" s="2336">
        <v>0</v>
      </c>
      <c r="N281" s="2336">
        <v>0</v>
      </c>
      <c r="O281" s="2336">
        <v>0</v>
      </c>
      <c r="P281" s="2336">
        <v>0</v>
      </c>
      <c r="Q281" s="2336">
        <v>0</v>
      </c>
      <c r="R281" s="2336">
        <v>0</v>
      </c>
      <c r="S281" s="2336">
        <v>0</v>
      </c>
      <c r="T281" s="2336">
        <v>0</v>
      </c>
      <c r="U281" s="2336">
        <v>0</v>
      </c>
      <c r="V281" s="2336">
        <v>0</v>
      </c>
      <c r="W281" s="2336">
        <v>0</v>
      </c>
      <c r="X281" s="2336">
        <v>0</v>
      </c>
      <c r="Y281" s="2336">
        <v>0</v>
      </c>
      <c r="Z281" s="2336">
        <v>0</v>
      </c>
      <c r="AA281" s="2336">
        <v>0</v>
      </c>
      <c r="AB281" s="2336">
        <v>0</v>
      </c>
      <c r="AC281" s="2336">
        <v>0</v>
      </c>
      <c r="AD281" s="2336">
        <v>0</v>
      </c>
      <c r="AE281" s="2337">
        <v>0</v>
      </c>
      <c r="AF281" s="2336">
        <v>0</v>
      </c>
      <c r="AG281" s="2336">
        <v>0</v>
      </c>
      <c r="AH281" s="2336">
        <v>0</v>
      </c>
      <c r="AI281" s="2336">
        <v>0</v>
      </c>
      <c r="AJ281" s="2336">
        <v>0</v>
      </c>
      <c r="AK281" s="2336">
        <v>0</v>
      </c>
      <c r="AL281" s="2336">
        <v>0</v>
      </c>
      <c r="AM281" s="2336">
        <v>0</v>
      </c>
      <c r="AN281" s="2336">
        <v>0</v>
      </c>
      <c r="AO281" s="2336">
        <v>0</v>
      </c>
      <c r="AP281" s="2336">
        <v>0</v>
      </c>
      <c r="AQ281" s="2336">
        <v>0</v>
      </c>
      <c r="AR281" s="2336">
        <v>0</v>
      </c>
      <c r="AS281" s="2336">
        <v>0</v>
      </c>
      <c r="AT281" s="2336">
        <v>0</v>
      </c>
      <c r="AU281" s="2336">
        <v>0</v>
      </c>
      <c r="AV281" s="2336">
        <v>0</v>
      </c>
      <c r="AW281" s="2336">
        <v>0</v>
      </c>
      <c r="AX281" s="2336">
        <v>0</v>
      </c>
      <c r="AY281" s="2336">
        <v>0</v>
      </c>
      <c r="AZ281" s="2336">
        <v>0</v>
      </c>
      <c r="BA281" s="2336">
        <v>0</v>
      </c>
      <c r="BB281" s="2336">
        <v>0</v>
      </c>
      <c r="BC281" s="2310"/>
      <c r="BD281" s="2240"/>
    </row>
    <row r="282" spans="2:57" ht="15" hidden="1" customHeight="1" outlineLevel="2">
      <c r="B282" s="2339"/>
      <c r="C282" s="2347" t="s">
        <v>1903</v>
      </c>
      <c r="D282" s="2341" t="s">
        <v>1904</v>
      </c>
      <c r="E282" s="2336">
        <v>0</v>
      </c>
      <c r="F282" s="2336">
        <v>0</v>
      </c>
      <c r="G282" s="2336">
        <v>0</v>
      </c>
      <c r="H282" s="2336">
        <v>0</v>
      </c>
      <c r="I282" s="2336">
        <v>0</v>
      </c>
      <c r="J282" s="2336">
        <v>0</v>
      </c>
      <c r="K282" s="2336">
        <v>0</v>
      </c>
      <c r="L282" s="2336">
        <v>0</v>
      </c>
      <c r="M282" s="2336">
        <v>0</v>
      </c>
      <c r="N282" s="2336">
        <v>0</v>
      </c>
      <c r="O282" s="2336">
        <v>0</v>
      </c>
      <c r="P282" s="2336">
        <v>0</v>
      </c>
      <c r="Q282" s="2336">
        <v>0</v>
      </c>
      <c r="R282" s="2336">
        <v>0</v>
      </c>
      <c r="S282" s="2336">
        <v>0</v>
      </c>
      <c r="T282" s="2336">
        <v>0</v>
      </c>
      <c r="U282" s="2336">
        <v>0</v>
      </c>
      <c r="V282" s="2336">
        <v>0</v>
      </c>
      <c r="W282" s="2336">
        <v>0</v>
      </c>
      <c r="X282" s="2336">
        <v>0</v>
      </c>
      <c r="Y282" s="2336">
        <v>0</v>
      </c>
      <c r="Z282" s="2336">
        <v>0</v>
      </c>
      <c r="AA282" s="2336">
        <v>0</v>
      </c>
      <c r="AB282" s="2336">
        <v>0</v>
      </c>
      <c r="AC282" s="2336">
        <v>0</v>
      </c>
      <c r="AD282" s="2336">
        <v>0</v>
      </c>
      <c r="AE282" s="2337">
        <v>0</v>
      </c>
      <c r="AF282" s="2336">
        <v>0</v>
      </c>
      <c r="AG282" s="2336">
        <v>0</v>
      </c>
      <c r="AH282" s="2336">
        <v>0</v>
      </c>
      <c r="AI282" s="2336">
        <v>0</v>
      </c>
      <c r="AJ282" s="2336">
        <v>0</v>
      </c>
      <c r="AK282" s="2336">
        <v>0</v>
      </c>
      <c r="AL282" s="2336">
        <v>0</v>
      </c>
      <c r="AM282" s="2336">
        <v>0</v>
      </c>
      <c r="AN282" s="2336">
        <v>0</v>
      </c>
      <c r="AO282" s="2336">
        <v>0</v>
      </c>
      <c r="AP282" s="2336">
        <v>0</v>
      </c>
      <c r="AQ282" s="2336">
        <v>0</v>
      </c>
      <c r="AR282" s="2336">
        <v>0</v>
      </c>
      <c r="AS282" s="2336">
        <v>0</v>
      </c>
      <c r="AT282" s="2336">
        <v>0</v>
      </c>
      <c r="AU282" s="2336">
        <v>0</v>
      </c>
      <c r="AV282" s="2336">
        <v>0</v>
      </c>
      <c r="AW282" s="2336">
        <v>0</v>
      </c>
      <c r="AX282" s="2336">
        <v>0</v>
      </c>
      <c r="AY282" s="2336">
        <v>0</v>
      </c>
      <c r="AZ282" s="2336">
        <v>0</v>
      </c>
      <c r="BA282" s="2336">
        <v>0</v>
      </c>
      <c r="BB282" s="2336">
        <v>0</v>
      </c>
      <c r="BC282" s="2310"/>
      <c r="BD282" s="2240"/>
    </row>
    <row r="283" spans="2:57" s="2203" customFormat="1" ht="15" hidden="1" customHeight="1" outlineLevel="2">
      <c r="B283" s="2348"/>
      <c r="C283" s="2349" t="s">
        <v>1905</v>
      </c>
      <c r="D283" s="2350" t="s">
        <v>1906</v>
      </c>
      <c r="E283" s="2351">
        <f>E280+E281+E282</f>
        <v>252931</v>
      </c>
      <c r="F283" s="2351">
        <f>F280+F281+F282</f>
        <v>788517</v>
      </c>
      <c r="G283" s="2351">
        <f>G279+G280+G281+G282</f>
        <v>1368354</v>
      </c>
      <c r="H283" s="2351">
        <f t="shared" ref="H283:Z283" si="109">H280+H281+H282</f>
        <v>2407437</v>
      </c>
      <c r="I283" s="2351">
        <f t="shared" si="109"/>
        <v>4036135</v>
      </c>
      <c r="J283" s="2351">
        <f t="shared" si="109"/>
        <v>6076104</v>
      </c>
      <c r="K283" s="2351">
        <f t="shared" si="109"/>
        <v>9385870</v>
      </c>
      <c r="L283" s="2351">
        <f t="shared" si="109"/>
        <v>12971853</v>
      </c>
      <c r="M283" s="2351">
        <f t="shared" si="109"/>
        <v>14526575</v>
      </c>
      <c r="N283" s="2351">
        <f t="shared" si="109"/>
        <v>24389412</v>
      </c>
      <c r="O283" s="2351">
        <f t="shared" si="109"/>
        <v>28088741</v>
      </c>
      <c r="P283" s="2351">
        <f t="shared" si="109"/>
        <v>30455904</v>
      </c>
      <c r="Q283" s="2351">
        <f t="shared" si="109"/>
        <v>34141752</v>
      </c>
      <c r="R283" s="2351">
        <f t="shared" si="109"/>
        <v>38326487</v>
      </c>
      <c r="S283" s="2351">
        <f t="shared" si="109"/>
        <v>41604486</v>
      </c>
      <c r="T283" s="2351">
        <f t="shared" si="109"/>
        <v>45771264</v>
      </c>
      <c r="U283" s="2351">
        <f t="shared" si="109"/>
        <v>52661083</v>
      </c>
      <c r="V283" s="2351">
        <f t="shared" si="109"/>
        <v>58458576</v>
      </c>
      <c r="W283" s="2351">
        <f t="shared" si="109"/>
        <v>63354541</v>
      </c>
      <c r="X283" s="2351">
        <f t="shared" si="109"/>
        <v>69951821</v>
      </c>
      <c r="Y283" s="2351">
        <f t="shared" si="109"/>
        <v>78915068</v>
      </c>
      <c r="Z283" s="2351">
        <f t="shared" si="109"/>
        <v>89038178</v>
      </c>
      <c r="AA283" s="2351">
        <f t="shared" ref="AA283:AF283" si="110">AA280+AA281+AA282</f>
        <v>96941258</v>
      </c>
      <c r="AB283" s="2351">
        <f t="shared" si="110"/>
        <v>109754198</v>
      </c>
      <c r="AC283" s="2351">
        <f t="shared" si="110"/>
        <v>123157738</v>
      </c>
      <c r="AD283" s="2351">
        <f t="shared" si="110"/>
        <v>137058937</v>
      </c>
      <c r="AE283" s="2351">
        <f t="shared" si="110"/>
        <v>149330446</v>
      </c>
      <c r="AF283" s="2351">
        <f t="shared" si="110"/>
        <v>160478869</v>
      </c>
      <c r="AG283" s="2351">
        <f t="shared" ref="AG283:BB283" si="111">AG280+AG281+AG282</f>
        <v>174860365</v>
      </c>
      <c r="AH283" s="2351">
        <f t="shared" si="111"/>
        <v>191142014</v>
      </c>
      <c r="AI283" s="2351">
        <f t="shared" si="111"/>
        <v>206678181</v>
      </c>
      <c r="AJ283" s="2351">
        <f t="shared" si="111"/>
        <v>224766961</v>
      </c>
      <c r="AK283" s="2351">
        <f t="shared" si="111"/>
        <v>240086514</v>
      </c>
      <c r="AL283" s="2351">
        <f t="shared" si="111"/>
        <v>255365398</v>
      </c>
      <c r="AM283" s="2351">
        <f t="shared" si="111"/>
        <v>269471295</v>
      </c>
      <c r="AN283" s="2351">
        <f t="shared" si="111"/>
        <v>282195252</v>
      </c>
      <c r="AO283" s="2351">
        <f t="shared" si="111"/>
        <v>295675731</v>
      </c>
      <c r="AP283" s="2351">
        <f t="shared" si="111"/>
        <v>307407170</v>
      </c>
      <c r="AQ283" s="2351">
        <f t="shared" si="111"/>
        <v>316387357</v>
      </c>
      <c r="AR283" s="2351">
        <f t="shared" si="111"/>
        <v>323624009</v>
      </c>
      <c r="AS283" s="2351">
        <f t="shared" si="111"/>
        <v>330876746</v>
      </c>
      <c r="AT283" s="2351">
        <f t="shared" si="111"/>
        <v>335752727</v>
      </c>
      <c r="AU283" s="2351">
        <f t="shared" si="111"/>
        <v>338805988</v>
      </c>
      <c r="AV283" s="2351">
        <f t="shared" si="111"/>
        <v>340156015</v>
      </c>
      <c r="AW283" s="2351">
        <f t="shared" si="111"/>
        <v>340254842</v>
      </c>
      <c r="AX283" s="2351">
        <f t="shared" si="111"/>
        <v>340254842</v>
      </c>
      <c r="AY283" s="2351">
        <f t="shared" si="111"/>
        <v>0</v>
      </c>
      <c r="AZ283" s="2351">
        <f t="shared" si="111"/>
        <v>0</v>
      </c>
      <c r="BA283" s="2351">
        <f t="shared" si="111"/>
        <v>0</v>
      </c>
      <c r="BB283" s="2351">
        <f t="shared" si="111"/>
        <v>0</v>
      </c>
      <c r="BC283" s="2308"/>
      <c r="BD283" s="2208"/>
    </row>
    <row r="284" spans="2:57" s="2203" customFormat="1" ht="15" hidden="1" customHeight="1" outlineLevel="2">
      <c r="B284" s="2348"/>
      <c r="C284" s="2352" t="s">
        <v>1907</v>
      </c>
      <c r="D284" s="2350" t="s">
        <v>1908</v>
      </c>
      <c r="E284" s="2351">
        <f>E283*0</f>
        <v>0</v>
      </c>
      <c r="F284" s="2351">
        <v>0</v>
      </c>
      <c r="G284" s="2351">
        <v>0</v>
      </c>
      <c r="H284" s="2351">
        <v>0</v>
      </c>
      <c r="I284" s="2351">
        <v>0</v>
      </c>
      <c r="J284" s="2351">
        <v>0</v>
      </c>
      <c r="K284" s="2351">
        <v>0</v>
      </c>
      <c r="L284" s="2351">
        <v>0</v>
      </c>
      <c r="M284" s="2351">
        <v>0</v>
      </c>
      <c r="N284" s="2351">
        <v>0</v>
      </c>
      <c r="O284" s="2351">
        <v>0</v>
      </c>
      <c r="P284" s="2351">
        <v>0</v>
      </c>
      <c r="Q284" s="2351">
        <v>0</v>
      </c>
      <c r="R284" s="2351">
        <v>0</v>
      </c>
      <c r="S284" s="2351">
        <v>0</v>
      </c>
      <c r="T284" s="2351">
        <v>0</v>
      </c>
      <c r="U284" s="2351">
        <v>0</v>
      </c>
      <c r="V284" s="2351">
        <v>0</v>
      </c>
      <c r="W284" s="2351">
        <v>0</v>
      </c>
      <c r="X284" s="2351">
        <v>0</v>
      </c>
      <c r="Y284" s="2351">
        <v>0</v>
      </c>
      <c r="Z284" s="2351">
        <v>0</v>
      </c>
      <c r="AA284" s="2351">
        <v>0</v>
      </c>
      <c r="AB284" s="2351">
        <v>0</v>
      </c>
      <c r="AC284" s="2351">
        <v>0</v>
      </c>
      <c r="AD284" s="2351">
        <v>0</v>
      </c>
      <c r="AE284" s="2351">
        <v>0</v>
      </c>
      <c r="AF284" s="2351">
        <v>0</v>
      </c>
      <c r="AG284" s="2351">
        <v>0</v>
      </c>
      <c r="AH284" s="2351">
        <v>0</v>
      </c>
      <c r="AI284" s="2351">
        <v>0</v>
      </c>
      <c r="AJ284" s="2351">
        <v>0</v>
      </c>
      <c r="AK284" s="2351">
        <v>0</v>
      </c>
      <c r="AL284" s="2351">
        <v>0</v>
      </c>
      <c r="AM284" s="2351">
        <v>0</v>
      </c>
      <c r="AN284" s="2351">
        <v>0</v>
      </c>
      <c r="AO284" s="2351">
        <v>0</v>
      </c>
      <c r="AP284" s="2351">
        <v>0</v>
      </c>
      <c r="AQ284" s="2351">
        <v>0</v>
      </c>
      <c r="AR284" s="2351">
        <v>0</v>
      </c>
      <c r="AS284" s="2351">
        <v>0</v>
      </c>
      <c r="AT284" s="2351">
        <v>0</v>
      </c>
      <c r="AU284" s="2351">
        <v>0</v>
      </c>
      <c r="AV284" s="2351">
        <v>0</v>
      </c>
      <c r="AW284" s="2351">
        <v>0</v>
      </c>
      <c r="AX284" s="2351">
        <v>0</v>
      </c>
      <c r="AY284" s="2351">
        <v>0</v>
      </c>
      <c r="AZ284" s="2351">
        <v>0</v>
      </c>
      <c r="BA284" s="2351">
        <v>0</v>
      </c>
      <c r="BB284" s="2351">
        <v>0</v>
      </c>
      <c r="BC284" s="2308"/>
      <c r="BD284" s="2208"/>
    </row>
    <row r="285" spans="2:57" s="2226" customFormat="1" ht="15" hidden="1" customHeight="1" outlineLevel="2">
      <c r="B285" s="2339"/>
      <c r="C285" s="2353" t="s">
        <v>1579</v>
      </c>
      <c r="D285" s="2341" t="s">
        <v>1909</v>
      </c>
      <c r="E285" s="2336">
        <v>0</v>
      </c>
      <c r="F285" s="2336">
        <v>0</v>
      </c>
      <c r="G285" s="2336">
        <v>0</v>
      </c>
      <c r="H285" s="2336">
        <v>0</v>
      </c>
      <c r="I285" s="2336">
        <v>0</v>
      </c>
      <c r="J285" s="2336">
        <v>0</v>
      </c>
      <c r="K285" s="2336">
        <v>0</v>
      </c>
      <c r="L285" s="2336">
        <v>0</v>
      </c>
      <c r="M285" s="2336">
        <v>0</v>
      </c>
      <c r="N285" s="2336">
        <v>0</v>
      </c>
      <c r="O285" s="2336">
        <v>0</v>
      </c>
      <c r="P285" s="2336">
        <v>0</v>
      </c>
      <c r="Q285" s="2336">
        <v>0</v>
      </c>
      <c r="R285" s="2336">
        <v>0</v>
      </c>
      <c r="S285" s="2336">
        <v>0</v>
      </c>
      <c r="T285" s="2336">
        <v>0</v>
      </c>
      <c r="U285" s="2336">
        <v>0</v>
      </c>
      <c r="V285" s="2336">
        <v>0</v>
      </c>
      <c r="W285" s="2336">
        <v>0</v>
      </c>
      <c r="X285" s="2336">
        <v>0</v>
      </c>
      <c r="Y285" s="2336">
        <v>0</v>
      </c>
      <c r="Z285" s="2336">
        <v>0</v>
      </c>
      <c r="AA285" s="2336">
        <v>0</v>
      </c>
      <c r="AB285" s="2336">
        <v>0</v>
      </c>
      <c r="AC285" s="2336">
        <v>0</v>
      </c>
      <c r="AD285" s="2336">
        <v>0</v>
      </c>
      <c r="AE285" s="2336">
        <v>0</v>
      </c>
      <c r="AF285" s="2336">
        <v>0</v>
      </c>
      <c r="AG285" s="2336">
        <v>0</v>
      </c>
      <c r="AH285" s="2336">
        <v>0</v>
      </c>
      <c r="AI285" s="2336">
        <v>0</v>
      </c>
      <c r="AJ285" s="2336">
        <v>0</v>
      </c>
      <c r="AK285" s="2336">
        <v>0</v>
      </c>
      <c r="AL285" s="2336">
        <v>0</v>
      </c>
      <c r="AM285" s="2336">
        <v>0</v>
      </c>
      <c r="AN285" s="2336">
        <v>0</v>
      </c>
      <c r="AO285" s="2336">
        <v>0</v>
      </c>
      <c r="AP285" s="2336">
        <v>0</v>
      </c>
      <c r="AQ285" s="2336">
        <v>0</v>
      </c>
      <c r="AR285" s="2336">
        <v>0</v>
      </c>
      <c r="AS285" s="2336">
        <v>0</v>
      </c>
      <c r="AT285" s="2336">
        <v>0</v>
      </c>
      <c r="AU285" s="2336">
        <v>0</v>
      </c>
      <c r="AV285" s="2336">
        <v>0</v>
      </c>
      <c r="AW285" s="2336">
        <v>0</v>
      </c>
      <c r="AX285" s="2336">
        <v>0</v>
      </c>
      <c r="AY285" s="2336">
        <v>0</v>
      </c>
      <c r="AZ285" s="2336">
        <v>0</v>
      </c>
      <c r="BA285" s="2336">
        <v>0</v>
      </c>
      <c r="BB285" s="2336">
        <v>0</v>
      </c>
      <c r="BC285" s="2310"/>
      <c r="BD285" s="2318"/>
    </row>
    <row r="286" spans="2:57" s="2203" customFormat="1" ht="15" hidden="1" customHeight="1" outlineLevel="2">
      <c r="B286" s="2348"/>
      <c r="C286" s="2352" t="s">
        <v>1910</v>
      </c>
      <c r="D286" s="2350" t="s">
        <v>1911</v>
      </c>
      <c r="E286" s="2351">
        <f>E283+E284+E285</f>
        <v>252931</v>
      </c>
      <c r="F286" s="2351">
        <f>F283+F284+F285</f>
        <v>788517</v>
      </c>
      <c r="G286" s="2351">
        <f>G283+G284+G285</f>
        <v>1368354</v>
      </c>
      <c r="H286" s="2351">
        <f>H283+H284+H285</f>
        <v>2407437</v>
      </c>
      <c r="I286" s="2351">
        <f t="shared" ref="I286:Z286" si="112">I283+I284+I285</f>
        <v>4036135</v>
      </c>
      <c r="J286" s="2351">
        <f t="shared" si="112"/>
        <v>6076104</v>
      </c>
      <c r="K286" s="2351">
        <f t="shared" si="112"/>
        <v>9385870</v>
      </c>
      <c r="L286" s="2351">
        <f t="shared" si="112"/>
        <v>12971853</v>
      </c>
      <c r="M286" s="2351">
        <f t="shared" si="112"/>
        <v>14526575</v>
      </c>
      <c r="N286" s="2351">
        <f t="shared" si="112"/>
        <v>24389412</v>
      </c>
      <c r="O286" s="2351">
        <f t="shared" si="112"/>
        <v>28088741</v>
      </c>
      <c r="P286" s="2351">
        <f t="shared" si="112"/>
        <v>30455904</v>
      </c>
      <c r="Q286" s="2351">
        <f t="shared" si="112"/>
        <v>34141752</v>
      </c>
      <c r="R286" s="2351">
        <f t="shared" si="112"/>
        <v>38326487</v>
      </c>
      <c r="S286" s="2351">
        <f t="shared" si="112"/>
        <v>41604486</v>
      </c>
      <c r="T286" s="2351">
        <f t="shared" si="112"/>
        <v>45771264</v>
      </c>
      <c r="U286" s="2351">
        <f t="shared" si="112"/>
        <v>52661083</v>
      </c>
      <c r="V286" s="2351">
        <f t="shared" si="112"/>
        <v>58458576</v>
      </c>
      <c r="W286" s="2351">
        <f t="shared" si="112"/>
        <v>63354541</v>
      </c>
      <c r="X286" s="2351">
        <f t="shared" si="112"/>
        <v>69951821</v>
      </c>
      <c r="Y286" s="2351">
        <f t="shared" si="112"/>
        <v>78915068</v>
      </c>
      <c r="Z286" s="2351">
        <f t="shared" si="112"/>
        <v>89038178</v>
      </c>
      <c r="AA286" s="2351">
        <f>AA283+AA284+AA285</f>
        <v>96941258</v>
      </c>
      <c r="AB286" s="2351">
        <f>AB283+AB284+AB285</f>
        <v>109754198</v>
      </c>
      <c r="AC286" s="2351">
        <f t="shared" ref="AC286:BB286" si="113">AC283+AC284+AC285</f>
        <v>123157738</v>
      </c>
      <c r="AD286" s="2351">
        <f t="shared" si="113"/>
        <v>137058937</v>
      </c>
      <c r="AE286" s="2351">
        <f t="shared" si="113"/>
        <v>149330446</v>
      </c>
      <c r="AF286" s="2351">
        <f t="shared" si="113"/>
        <v>160478869</v>
      </c>
      <c r="AG286" s="2351">
        <f t="shared" si="113"/>
        <v>174860365</v>
      </c>
      <c r="AH286" s="2351">
        <f t="shared" si="113"/>
        <v>191142014</v>
      </c>
      <c r="AI286" s="2351">
        <f t="shared" si="113"/>
        <v>206678181</v>
      </c>
      <c r="AJ286" s="2351">
        <f t="shared" si="113"/>
        <v>224766961</v>
      </c>
      <c r="AK286" s="2351">
        <f t="shared" si="113"/>
        <v>240086514</v>
      </c>
      <c r="AL286" s="2351">
        <f t="shared" si="113"/>
        <v>255365398</v>
      </c>
      <c r="AM286" s="2351">
        <f t="shared" si="113"/>
        <v>269471295</v>
      </c>
      <c r="AN286" s="2351">
        <f t="shared" si="113"/>
        <v>282195252</v>
      </c>
      <c r="AO286" s="2351">
        <f t="shared" si="113"/>
        <v>295675731</v>
      </c>
      <c r="AP286" s="2351">
        <f t="shared" si="113"/>
        <v>307407170</v>
      </c>
      <c r="AQ286" s="2351">
        <f t="shared" si="113"/>
        <v>316387357</v>
      </c>
      <c r="AR286" s="2351">
        <f t="shared" si="113"/>
        <v>323624009</v>
      </c>
      <c r="AS286" s="2351">
        <f t="shared" si="113"/>
        <v>330876746</v>
      </c>
      <c r="AT286" s="2351">
        <f t="shared" si="113"/>
        <v>335752727</v>
      </c>
      <c r="AU286" s="2351">
        <f t="shared" si="113"/>
        <v>338805988</v>
      </c>
      <c r="AV286" s="2351">
        <f t="shared" si="113"/>
        <v>340156015</v>
      </c>
      <c r="AW286" s="2351">
        <f t="shared" si="113"/>
        <v>340254842</v>
      </c>
      <c r="AX286" s="2351">
        <f t="shared" si="113"/>
        <v>340254842</v>
      </c>
      <c r="AY286" s="2351">
        <f t="shared" si="113"/>
        <v>0</v>
      </c>
      <c r="AZ286" s="2351">
        <f t="shared" si="113"/>
        <v>0</v>
      </c>
      <c r="BA286" s="2351">
        <f t="shared" si="113"/>
        <v>0</v>
      </c>
      <c r="BB286" s="2351">
        <f t="shared" si="113"/>
        <v>0</v>
      </c>
      <c r="BC286" s="2308"/>
      <c r="BD286" s="2208"/>
    </row>
    <row r="287" spans="2:57" s="2203" customFormat="1" ht="15" hidden="1" customHeight="1" outlineLevel="2">
      <c r="B287" s="2348"/>
      <c r="C287" s="2352" t="s">
        <v>1938</v>
      </c>
      <c r="D287" s="2350" t="s">
        <v>1913</v>
      </c>
      <c r="E287" s="2351">
        <f>E283*0</f>
        <v>0</v>
      </c>
      <c r="F287" s="2351">
        <v>0</v>
      </c>
      <c r="G287" s="2351">
        <v>0</v>
      </c>
      <c r="H287" s="2351">
        <v>0</v>
      </c>
      <c r="I287" s="2351">
        <v>0</v>
      </c>
      <c r="J287" s="2351">
        <v>0</v>
      </c>
      <c r="K287" s="2351">
        <v>0</v>
      </c>
      <c r="L287" s="2351">
        <v>0</v>
      </c>
      <c r="M287" s="2351">
        <v>0</v>
      </c>
      <c r="N287" s="2351">
        <v>0</v>
      </c>
      <c r="O287" s="2351">
        <v>0</v>
      </c>
      <c r="P287" s="2351">
        <v>0</v>
      </c>
      <c r="Q287" s="2351">
        <v>0</v>
      </c>
      <c r="R287" s="2351">
        <v>0</v>
      </c>
      <c r="S287" s="2351">
        <v>0</v>
      </c>
      <c r="T287" s="2351">
        <v>0</v>
      </c>
      <c r="U287" s="2351">
        <v>0</v>
      </c>
      <c r="V287" s="2351">
        <v>0</v>
      </c>
      <c r="W287" s="2351">
        <v>0</v>
      </c>
      <c r="X287" s="2351">
        <v>0</v>
      </c>
      <c r="Y287" s="2351">
        <v>0</v>
      </c>
      <c r="Z287" s="2351">
        <v>0</v>
      </c>
      <c r="AA287" s="2351">
        <v>0</v>
      </c>
      <c r="AB287" s="2351">
        <v>0</v>
      </c>
      <c r="AC287" s="2351">
        <v>0</v>
      </c>
      <c r="AD287" s="2351">
        <v>0</v>
      </c>
      <c r="AE287" s="2351">
        <f>+AE283*0</f>
        <v>0</v>
      </c>
      <c r="AF287" s="2351">
        <v>0</v>
      </c>
      <c r="AG287" s="2351">
        <v>0</v>
      </c>
      <c r="AH287" s="2351">
        <v>0</v>
      </c>
      <c r="AI287" s="2351">
        <v>0</v>
      </c>
      <c r="AJ287" s="2351">
        <v>0</v>
      </c>
      <c r="AK287" s="2351">
        <v>0</v>
      </c>
      <c r="AL287" s="2351">
        <v>0</v>
      </c>
      <c r="AM287" s="2351">
        <v>0</v>
      </c>
      <c r="AN287" s="2351">
        <v>0</v>
      </c>
      <c r="AO287" s="2351">
        <v>0</v>
      </c>
      <c r="AP287" s="2351">
        <v>0</v>
      </c>
      <c r="AQ287" s="2351">
        <v>0</v>
      </c>
      <c r="AR287" s="2351">
        <v>0</v>
      </c>
      <c r="AS287" s="2351">
        <v>0</v>
      </c>
      <c r="AT287" s="2351">
        <v>0</v>
      </c>
      <c r="AU287" s="2351">
        <v>0</v>
      </c>
      <c r="AV287" s="2351">
        <v>0</v>
      </c>
      <c r="AW287" s="2351">
        <v>0</v>
      </c>
      <c r="AX287" s="2351">
        <v>0</v>
      </c>
      <c r="AY287" s="2351">
        <v>0</v>
      </c>
      <c r="AZ287" s="2351">
        <v>0</v>
      </c>
      <c r="BA287" s="2351">
        <v>0</v>
      </c>
      <c r="BB287" s="2351">
        <v>0</v>
      </c>
      <c r="BC287" s="2308"/>
      <c r="BD287" s="2208"/>
    </row>
    <row r="288" spans="2:57" ht="15" hidden="1" customHeight="1" outlineLevel="2">
      <c r="B288" s="2339"/>
      <c r="C288" s="2353" t="s">
        <v>1914</v>
      </c>
      <c r="D288" s="2341" t="s">
        <v>1915</v>
      </c>
      <c r="E288" s="2336">
        <v>0</v>
      </c>
      <c r="F288" s="2336">
        <v>0</v>
      </c>
      <c r="G288" s="2336">
        <v>0</v>
      </c>
      <c r="H288" s="2336">
        <v>0</v>
      </c>
      <c r="I288" s="2336">
        <v>0</v>
      </c>
      <c r="J288" s="2336">
        <v>0</v>
      </c>
      <c r="K288" s="2336">
        <v>0</v>
      </c>
      <c r="L288" s="2336">
        <v>0</v>
      </c>
      <c r="M288" s="2336">
        <v>0</v>
      </c>
      <c r="N288" s="2336">
        <v>0</v>
      </c>
      <c r="O288" s="2336">
        <v>0</v>
      </c>
      <c r="P288" s="2336">
        <v>0</v>
      </c>
      <c r="Q288" s="2336">
        <v>0</v>
      </c>
      <c r="R288" s="2336">
        <v>0</v>
      </c>
      <c r="S288" s="2336">
        <v>0</v>
      </c>
      <c r="T288" s="2336">
        <v>0</v>
      </c>
      <c r="U288" s="2336">
        <v>0</v>
      </c>
      <c r="V288" s="2336">
        <v>0</v>
      </c>
      <c r="W288" s="2336">
        <v>0</v>
      </c>
      <c r="X288" s="2336">
        <v>0</v>
      </c>
      <c r="Y288" s="2336">
        <v>0</v>
      </c>
      <c r="Z288" s="2336">
        <v>0</v>
      </c>
      <c r="AA288" s="2336">
        <v>0</v>
      </c>
      <c r="AB288" s="2336">
        <v>0</v>
      </c>
      <c r="AC288" s="2336">
        <v>0</v>
      </c>
      <c r="AD288" s="2336">
        <v>0</v>
      </c>
      <c r="AE288" s="2336">
        <v>0</v>
      </c>
      <c r="AF288" s="2336">
        <v>0</v>
      </c>
      <c r="AG288" s="2336">
        <v>0</v>
      </c>
      <c r="AH288" s="2336">
        <v>0</v>
      </c>
      <c r="AI288" s="2336">
        <v>0</v>
      </c>
      <c r="AJ288" s="2336">
        <v>0</v>
      </c>
      <c r="AK288" s="2336">
        <v>0</v>
      </c>
      <c r="AL288" s="2336">
        <v>0</v>
      </c>
      <c r="AM288" s="2336">
        <v>0</v>
      </c>
      <c r="AN288" s="2336">
        <v>0</v>
      </c>
      <c r="AO288" s="2336">
        <v>0</v>
      </c>
      <c r="AP288" s="2336">
        <v>0</v>
      </c>
      <c r="AQ288" s="2336">
        <v>0</v>
      </c>
      <c r="AR288" s="2336">
        <v>0</v>
      </c>
      <c r="AS288" s="2336">
        <v>0</v>
      </c>
      <c r="AT288" s="2336">
        <v>0</v>
      </c>
      <c r="AU288" s="2336">
        <v>0</v>
      </c>
      <c r="AV288" s="2336">
        <v>0</v>
      </c>
      <c r="AW288" s="2336">
        <v>0</v>
      </c>
      <c r="AX288" s="2336">
        <v>0</v>
      </c>
      <c r="AY288" s="2336">
        <v>0</v>
      </c>
      <c r="AZ288" s="2336">
        <v>0</v>
      </c>
      <c r="BA288" s="2336">
        <v>0</v>
      </c>
      <c r="BB288" s="2336">
        <f>-BB287/2</f>
        <v>0</v>
      </c>
      <c r="BC288" s="2310"/>
      <c r="BD288" s="2240"/>
    </row>
    <row r="289" spans="2:56" s="2203" customFormat="1" ht="15" hidden="1" customHeight="1" outlineLevel="2">
      <c r="B289" s="2348"/>
      <c r="C289" s="2352" t="s">
        <v>1916</v>
      </c>
      <c r="D289" s="2350" t="s">
        <v>1917</v>
      </c>
      <c r="E289" s="2351">
        <f>E286+E287+E288</f>
        <v>252931</v>
      </c>
      <c r="F289" s="2351">
        <f t="shared" ref="F289:Z289" si="114">F286+F287+F288</f>
        <v>788517</v>
      </c>
      <c r="G289" s="2351">
        <f t="shared" si="114"/>
        <v>1368354</v>
      </c>
      <c r="H289" s="2351">
        <f t="shared" si="114"/>
        <v>2407437</v>
      </c>
      <c r="I289" s="2351">
        <f t="shared" si="114"/>
        <v>4036135</v>
      </c>
      <c r="J289" s="2351">
        <f t="shared" si="114"/>
        <v>6076104</v>
      </c>
      <c r="K289" s="2351">
        <f t="shared" si="114"/>
        <v>9385870</v>
      </c>
      <c r="L289" s="2351">
        <f t="shared" si="114"/>
        <v>12971853</v>
      </c>
      <c r="M289" s="2351">
        <f t="shared" si="114"/>
        <v>14526575</v>
      </c>
      <c r="N289" s="2351">
        <f t="shared" si="114"/>
        <v>24389412</v>
      </c>
      <c r="O289" s="2351">
        <f t="shared" si="114"/>
        <v>28088741</v>
      </c>
      <c r="P289" s="2351">
        <f t="shared" si="114"/>
        <v>30455904</v>
      </c>
      <c r="Q289" s="2351">
        <f t="shared" si="114"/>
        <v>34141752</v>
      </c>
      <c r="R289" s="2351">
        <f t="shared" si="114"/>
        <v>38326487</v>
      </c>
      <c r="S289" s="2351">
        <f t="shared" si="114"/>
        <v>41604486</v>
      </c>
      <c r="T289" s="2351">
        <f t="shared" si="114"/>
        <v>45771264</v>
      </c>
      <c r="U289" s="2351">
        <f t="shared" si="114"/>
        <v>52661083</v>
      </c>
      <c r="V289" s="2351">
        <f t="shared" si="114"/>
        <v>58458576</v>
      </c>
      <c r="W289" s="2351">
        <f t="shared" si="114"/>
        <v>63354541</v>
      </c>
      <c r="X289" s="2351">
        <f t="shared" si="114"/>
        <v>69951821</v>
      </c>
      <c r="Y289" s="2351">
        <f t="shared" si="114"/>
        <v>78915068</v>
      </c>
      <c r="Z289" s="2351">
        <f t="shared" si="114"/>
        <v>89038178</v>
      </c>
      <c r="AA289" s="2351">
        <f>AA286+AA287+AA288</f>
        <v>96941258</v>
      </c>
      <c r="AB289" s="2351">
        <f>AB286+AB287+AB288</f>
        <v>109754198</v>
      </c>
      <c r="AC289" s="2351">
        <f t="shared" ref="AC289:BB289" si="115">AC286+AC287+AC288</f>
        <v>123157738</v>
      </c>
      <c r="AD289" s="2351">
        <f t="shared" si="115"/>
        <v>137058937</v>
      </c>
      <c r="AE289" s="2351">
        <f t="shared" si="115"/>
        <v>149330446</v>
      </c>
      <c r="AF289" s="2351">
        <f t="shared" si="115"/>
        <v>160478869</v>
      </c>
      <c r="AG289" s="2351">
        <f t="shared" si="115"/>
        <v>174860365</v>
      </c>
      <c r="AH289" s="2351">
        <f t="shared" si="115"/>
        <v>191142014</v>
      </c>
      <c r="AI289" s="2351">
        <f t="shared" si="115"/>
        <v>206678181</v>
      </c>
      <c r="AJ289" s="2351">
        <f t="shared" si="115"/>
        <v>224766961</v>
      </c>
      <c r="AK289" s="2351">
        <f t="shared" si="115"/>
        <v>240086514</v>
      </c>
      <c r="AL289" s="2351">
        <f t="shared" si="115"/>
        <v>255365398</v>
      </c>
      <c r="AM289" s="2351">
        <f t="shared" si="115"/>
        <v>269471295</v>
      </c>
      <c r="AN289" s="2351">
        <f t="shared" si="115"/>
        <v>282195252</v>
      </c>
      <c r="AO289" s="2351">
        <f t="shared" si="115"/>
        <v>295675731</v>
      </c>
      <c r="AP289" s="2351">
        <f t="shared" si="115"/>
        <v>307407170</v>
      </c>
      <c r="AQ289" s="2351">
        <f t="shared" si="115"/>
        <v>316387357</v>
      </c>
      <c r="AR289" s="2351">
        <f t="shared" si="115"/>
        <v>323624009</v>
      </c>
      <c r="AS289" s="2351">
        <f t="shared" si="115"/>
        <v>330876746</v>
      </c>
      <c r="AT289" s="2351">
        <f t="shared" si="115"/>
        <v>335752727</v>
      </c>
      <c r="AU289" s="2351">
        <f t="shared" si="115"/>
        <v>338805988</v>
      </c>
      <c r="AV289" s="2351">
        <f t="shared" si="115"/>
        <v>340156015</v>
      </c>
      <c r="AW289" s="2351">
        <f t="shared" si="115"/>
        <v>340254842</v>
      </c>
      <c r="AX289" s="2351">
        <f t="shared" si="115"/>
        <v>340254842</v>
      </c>
      <c r="AY289" s="2351">
        <f t="shared" si="115"/>
        <v>0</v>
      </c>
      <c r="AZ289" s="2351">
        <f t="shared" si="115"/>
        <v>0</v>
      </c>
      <c r="BA289" s="2351">
        <f t="shared" si="115"/>
        <v>0</v>
      </c>
      <c r="BB289" s="2351">
        <f t="shared" si="115"/>
        <v>0</v>
      </c>
      <c r="BC289" s="2308"/>
      <c r="BD289" s="2208"/>
    </row>
    <row r="290" spans="2:56" ht="15" hidden="1" customHeight="1" outlineLevel="2">
      <c r="B290" s="2339"/>
      <c r="C290" s="2353" t="s">
        <v>1918</v>
      </c>
      <c r="D290" s="2341" t="s">
        <v>1919</v>
      </c>
      <c r="E290" s="2336">
        <v>0</v>
      </c>
      <c r="F290" s="2336">
        <v>0</v>
      </c>
      <c r="G290" s="2336">
        <v>0</v>
      </c>
      <c r="H290" s="2336">
        <v>0</v>
      </c>
      <c r="I290" s="2336">
        <v>0</v>
      </c>
      <c r="J290" s="2336">
        <v>0</v>
      </c>
      <c r="K290" s="2336">
        <v>0</v>
      </c>
      <c r="L290" s="2336">
        <v>0</v>
      </c>
      <c r="M290" s="2336">
        <v>0</v>
      </c>
      <c r="N290" s="2336">
        <v>0</v>
      </c>
      <c r="O290" s="2336">
        <v>0</v>
      </c>
      <c r="P290" s="2336">
        <v>0</v>
      </c>
      <c r="Q290" s="2336">
        <v>0</v>
      </c>
      <c r="R290" s="2336">
        <v>0</v>
      </c>
      <c r="S290" s="2336">
        <v>0</v>
      </c>
      <c r="T290" s="2336">
        <v>0</v>
      </c>
      <c r="U290" s="2336">
        <v>0</v>
      </c>
      <c r="V290" s="2336">
        <v>0</v>
      </c>
      <c r="W290" s="2336">
        <v>0</v>
      </c>
      <c r="X290" s="2336">
        <v>0</v>
      </c>
      <c r="Y290" s="2336">
        <v>0</v>
      </c>
      <c r="Z290" s="2336">
        <v>0</v>
      </c>
      <c r="AA290" s="2336">
        <v>0</v>
      </c>
      <c r="AB290" s="2336">
        <v>0</v>
      </c>
      <c r="AC290" s="2336">
        <v>0</v>
      </c>
      <c r="AD290" s="2336">
        <v>0</v>
      </c>
      <c r="AE290" s="2336">
        <v>0</v>
      </c>
      <c r="AF290" s="2336">
        <v>0</v>
      </c>
      <c r="AG290" s="2336">
        <v>0</v>
      </c>
      <c r="AH290" s="2336">
        <v>0</v>
      </c>
      <c r="AI290" s="2336">
        <v>0</v>
      </c>
      <c r="AJ290" s="2336">
        <v>0</v>
      </c>
      <c r="AK290" s="2336">
        <v>0</v>
      </c>
      <c r="AL290" s="2336">
        <v>0</v>
      </c>
      <c r="AM290" s="2336">
        <v>0</v>
      </c>
      <c r="AN290" s="2336">
        <v>0</v>
      </c>
      <c r="AO290" s="2336">
        <v>0</v>
      </c>
      <c r="AP290" s="2336">
        <v>0</v>
      </c>
      <c r="AQ290" s="2336">
        <v>0</v>
      </c>
      <c r="AR290" s="2336">
        <v>0</v>
      </c>
      <c r="AS290" s="2336">
        <v>0</v>
      </c>
      <c r="AT290" s="2336">
        <v>0</v>
      </c>
      <c r="AU290" s="2336">
        <v>0</v>
      </c>
      <c r="AV290" s="2336">
        <v>0</v>
      </c>
      <c r="AW290" s="2336">
        <v>0</v>
      </c>
      <c r="AX290" s="2336">
        <v>0</v>
      </c>
      <c r="AY290" s="2336">
        <v>0</v>
      </c>
      <c r="AZ290" s="2336">
        <v>0</v>
      </c>
      <c r="BA290" s="2336">
        <v>0</v>
      </c>
      <c r="BB290" s="2336">
        <v>0</v>
      </c>
      <c r="BC290" s="2310"/>
      <c r="BD290" s="2240"/>
    </row>
    <row r="291" spans="2:56" ht="15" hidden="1" customHeight="1" outlineLevel="2">
      <c r="B291" s="2339"/>
      <c r="C291" s="2353" t="s">
        <v>1920</v>
      </c>
      <c r="D291" s="2354" t="s">
        <v>1921</v>
      </c>
      <c r="E291" s="2336">
        <v>0</v>
      </c>
      <c r="F291" s="2336">
        <v>0</v>
      </c>
      <c r="G291" s="2336">
        <v>0</v>
      </c>
      <c r="H291" s="2336">
        <v>0</v>
      </c>
      <c r="I291" s="2336">
        <v>0</v>
      </c>
      <c r="J291" s="2336">
        <v>0</v>
      </c>
      <c r="K291" s="2336">
        <v>0</v>
      </c>
      <c r="L291" s="2336">
        <v>0</v>
      </c>
      <c r="M291" s="2336">
        <v>0</v>
      </c>
      <c r="N291" s="2336">
        <v>0</v>
      </c>
      <c r="O291" s="2336">
        <v>0</v>
      </c>
      <c r="P291" s="2336">
        <v>0</v>
      </c>
      <c r="Q291" s="2336">
        <v>0</v>
      </c>
      <c r="R291" s="2336">
        <v>0</v>
      </c>
      <c r="S291" s="2336">
        <v>0</v>
      </c>
      <c r="T291" s="2336">
        <v>0</v>
      </c>
      <c r="U291" s="2336">
        <v>0</v>
      </c>
      <c r="V291" s="2336">
        <v>0</v>
      </c>
      <c r="W291" s="2336">
        <v>0</v>
      </c>
      <c r="X291" s="2336">
        <v>0</v>
      </c>
      <c r="Y291" s="2336">
        <v>0</v>
      </c>
      <c r="Z291" s="2336">
        <v>0</v>
      </c>
      <c r="AA291" s="2336">
        <v>0</v>
      </c>
      <c r="AB291" s="2336">
        <v>0</v>
      </c>
      <c r="AC291" s="2336">
        <v>0</v>
      </c>
      <c r="AD291" s="2336">
        <v>0</v>
      </c>
      <c r="AE291" s="2336">
        <v>0</v>
      </c>
      <c r="AF291" s="2336">
        <v>0</v>
      </c>
      <c r="AG291" s="2336">
        <v>0</v>
      </c>
      <c r="AH291" s="2336">
        <v>0</v>
      </c>
      <c r="AI291" s="2336">
        <v>0</v>
      </c>
      <c r="AJ291" s="2336">
        <v>0</v>
      </c>
      <c r="AK291" s="2336">
        <v>0</v>
      </c>
      <c r="AL291" s="2336">
        <v>0</v>
      </c>
      <c r="AM291" s="2336">
        <v>0</v>
      </c>
      <c r="AN291" s="2336">
        <v>0</v>
      </c>
      <c r="AO291" s="2336">
        <v>0</v>
      </c>
      <c r="AP291" s="2336">
        <v>0</v>
      </c>
      <c r="AQ291" s="2336">
        <v>0</v>
      </c>
      <c r="AR291" s="2336">
        <v>0</v>
      </c>
      <c r="AS291" s="2336">
        <v>0</v>
      </c>
      <c r="AT291" s="2336">
        <v>0</v>
      </c>
      <c r="AU291" s="2336">
        <v>0</v>
      </c>
      <c r="AV291" s="2336">
        <v>0</v>
      </c>
      <c r="AW291" s="2336">
        <v>0</v>
      </c>
      <c r="AX291" s="2336">
        <v>0</v>
      </c>
      <c r="AY291" s="2336">
        <v>0</v>
      </c>
      <c r="AZ291" s="2336">
        <v>0</v>
      </c>
      <c r="BA291" s="2336">
        <v>0</v>
      </c>
      <c r="BB291" s="2336">
        <v>0</v>
      </c>
      <c r="BC291" s="2310"/>
      <c r="BD291" s="2240"/>
    </row>
    <row r="292" spans="2:56" ht="15" hidden="1" customHeight="1" outlineLevel="2">
      <c r="B292" s="2339"/>
      <c r="C292" s="2353" t="s">
        <v>1922</v>
      </c>
      <c r="D292" s="2354" t="s">
        <v>1923</v>
      </c>
      <c r="E292" s="2336">
        <v>0</v>
      </c>
      <c r="F292" s="2336">
        <v>0</v>
      </c>
      <c r="G292" s="2336">
        <v>0</v>
      </c>
      <c r="H292" s="2336">
        <v>0</v>
      </c>
      <c r="I292" s="2336">
        <v>0</v>
      </c>
      <c r="J292" s="2336">
        <v>0</v>
      </c>
      <c r="K292" s="2336">
        <v>0</v>
      </c>
      <c r="L292" s="2336">
        <v>0</v>
      </c>
      <c r="M292" s="2336">
        <v>0</v>
      </c>
      <c r="N292" s="2336">
        <v>0</v>
      </c>
      <c r="O292" s="2336">
        <v>0</v>
      </c>
      <c r="P292" s="2336">
        <v>0</v>
      </c>
      <c r="Q292" s="2336">
        <v>0</v>
      </c>
      <c r="R292" s="2336">
        <v>0</v>
      </c>
      <c r="S292" s="2336">
        <v>0</v>
      </c>
      <c r="T292" s="2336">
        <v>0</v>
      </c>
      <c r="U292" s="2336">
        <v>0</v>
      </c>
      <c r="V292" s="2336">
        <v>0</v>
      </c>
      <c r="W292" s="2336">
        <v>0</v>
      </c>
      <c r="X292" s="2336">
        <v>0</v>
      </c>
      <c r="Y292" s="2336">
        <v>0</v>
      </c>
      <c r="Z292" s="2336">
        <v>0</v>
      </c>
      <c r="AA292" s="2336">
        <v>0</v>
      </c>
      <c r="AB292" s="2336">
        <v>0</v>
      </c>
      <c r="AC292" s="2336">
        <v>0</v>
      </c>
      <c r="AD292" s="2336">
        <v>0</v>
      </c>
      <c r="AE292" s="2336">
        <v>0</v>
      </c>
      <c r="AF292" s="2336">
        <v>0</v>
      </c>
      <c r="AG292" s="2336">
        <v>0</v>
      </c>
      <c r="AH292" s="2336">
        <v>0</v>
      </c>
      <c r="AI292" s="2336">
        <v>0</v>
      </c>
      <c r="AJ292" s="2336">
        <v>0</v>
      </c>
      <c r="AK292" s="2336">
        <v>0</v>
      </c>
      <c r="AL292" s="2336">
        <v>0</v>
      </c>
      <c r="AM292" s="2336">
        <v>0</v>
      </c>
      <c r="AN292" s="2336">
        <v>0</v>
      </c>
      <c r="AO292" s="2336">
        <v>0</v>
      </c>
      <c r="AP292" s="2336">
        <v>0</v>
      </c>
      <c r="AQ292" s="2336">
        <v>0</v>
      </c>
      <c r="AR292" s="2336">
        <v>0</v>
      </c>
      <c r="AS292" s="2336">
        <v>0</v>
      </c>
      <c r="AT292" s="2336">
        <v>0</v>
      </c>
      <c r="AU292" s="2336">
        <v>0</v>
      </c>
      <c r="AV292" s="2336">
        <v>0</v>
      </c>
      <c r="AW292" s="2336">
        <v>0</v>
      </c>
      <c r="AX292" s="2336">
        <v>0</v>
      </c>
      <c r="AY292" s="2336">
        <v>0</v>
      </c>
      <c r="AZ292" s="2336">
        <v>0</v>
      </c>
      <c r="BA292" s="2336">
        <v>0</v>
      </c>
      <c r="BB292" s="2336">
        <v>0</v>
      </c>
      <c r="BC292" s="2320"/>
      <c r="BD292" s="2240"/>
    </row>
    <row r="293" spans="2:56" ht="15" hidden="1" customHeight="1" outlineLevel="1">
      <c r="B293" s="2339"/>
      <c r="C293" s="2352" t="s">
        <v>1924</v>
      </c>
      <c r="D293" s="2355" t="s">
        <v>1925</v>
      </c>
      <c r="E293" s="2351">
        <f>E289+E290+E292</f>
        <v>252931</v>
      </c>
      <c r="F293" s="2351">
        <f>F289+F290+F292</f>
        <v>788517</v>
      </c>
      <c r="G293" s="2351">
        <f>G289+G290+G291+G292</f>
        <v>1368354</v>
      </c>
      <c r="H293" s="2351">
        <f>H289+H290+H292</f>
        <v>2407437</v>
      </c>
      <c r="I293" s="2351">
        <f t="shared" ref="I293:AD293" si="116">I289+I290+I292</f>
        <v>4036135</v>
      </c>
      <c r="J293" s="2351">
        <f t="shared" si="116"/>
        <v>6076104</v>
      </c>
      <c r="K293" s="2351">
        <f t="shared" si="116"/>
        <v>9385870</v>
      </c>
      <c r="L293" s="2351">
        <f t="shared" si="116"/>
        <v>12971853</v>
      </c>
      <c r="M293" s="2351">
        <f t="shared" si="116"/>
        <v>14526575</v>
      </c>
      <c r="N293" s="2351">
        <f t="shared" si="116"/>
        <v>24389412</v>
      </c>
      <c r="O293" s="2351">
        <f t="shared" si="116"/>
        <v>28088741</v>
      </c>
      <c r="P293" s="2351">
        <f t="shared" si="116"/>
        <v>30455904</v>
      </c>
      <c r="Q293" s="2351">
        <f t="shared" si="116"/>
        <v>34141752</v>
      </c>
      <c r="R293" s="2351">
        <f t="shared" si="116"/>
        <v>38326487</v>
      </c>
      <c r="S293" s="2351">
        <f t="shared" si="116"/>
        <v>41604486</v>
      </c>
      <c r="T293" s="2351">
        <f t="shared" si="116"/>
        <v>45771264</v>
      </c>
      <c r="U293" s="2351">
        <f t="shared" si="116"/>
        <v>52661083</v>
      </c>
      <c r="V293" s="2351">
        <f t="shared" si="116"/>
        <v>58458576</v>
      </c>
      <c r="W293" s="2351">
        <f t="shared" si="116"/>
        <v>63354541</v>
      </c>
      <c r="X293" s="2351">
        <f t="shared" si="116"/>
        <v>69951821</v>
      </c>
      <c r="Y293" s="2351">
        <f t="shared" si="116"/>
        <v>78915068</v>
      </c>
      <c r="Z293" s="2351">
        <f t="shared" si="116"/>
        <v>89038178</v>
      </c>
      <c r="AA293" s="2351">
        <f t="shared" si="116"/>
        <v>96941258</v>
      </c>
      <c r="AB293" s="2351">
        <f t="shared" si="116"/>
        <v>109754198</v>
      </c>
      <c r="AC293" s="2351">
        <f t="shared" si="116"/>
        <v>123157738</v>
      </c>
      <c r="AD293" s="2351">
        <f t="shared" si="116"/>
        <v>137058937</v>
      </c>
      <c r="AE293" s="2351">
        <f>AE289+AE290+AE292</f>
        <v>149330446</v>
      </c>
      <c r="AF293" s="2351">
        <f t="shared" ref="AF293:BB293" si="117">AF289+AF290+AF292</f>
        <v>160478869</v>
      </c>
      <c r="AG293" s="2351">
        <f t="shared" si="117"/>
        <v>174860365</v>
      </c>
      <c r="AH293" s="2351">
        <f t="shared" si="117"/>
        <v>191142014</v>
      </c>
      <c r="AI293" s="2351">
        <f t="shared" si="117"/>
        <v>206678181</v>
      </c>
      <c r="AJ293" s="2351">
        <f t="shared" si="117"/>
        <v>224766961</v>
      </c>
      <c r="AK293" s="2351">
        <f t="shared" si="117"/>
        <v>240086514</v>
      </c>
      <c r="AL293" s="2351">
        <f t="shared" si="117"/>
        <v>255365398</v>
      </c>
      <c r="AM293" s="2351">
        <f t="shared" si="117"/>
        <v>269471295</v>
      </c>
      <c r="AN293" s="2351">
        <f t="shared" si="117"/>
        <v>282195252</v>
      </c>
      <c r="AO293" s="2351">
        <f t="shared" si="117"/>
        <v>295675731</v>
      </c>
      <c r="AP293" s="2351">
        <f t="shared" si="117"/>
        <v>307407170</v>
      </c>
      <c r="AQ293" s="2351">
        <f t="shared" si="117"/>
        <v>316387357</v>
      </c>
      <c r="AR293" s="2351">
        <f t="shared" si="117"/>
        <v>323624009</v>
      </c>
      <c r="AS293" s="2351">
        <f t="shared" si="117"/>
        <v>330876746</v>
      </c>
      <c r="AT293" s="2351">
        <f t="shared" si="117"/>
        <v>335752727</v>
      </c>
      <c r="AU293" s="2351">
        <f t="shared" si="117"/>
        <v>338805988</v>
      </c>
      <c r="AV293" s="2351">
        <f t="shared" si="117"/>
        <v>340156015</v>
      </c>
      <c r="AW293" s="2351">
        <f t="shared" si="117"/>
        <v>340254842</v>
      </c>
      <c r="AX293" s="2351">
        <f t="shared" si="117"/>
        <v>340254842</v>
      </c>
      <c r="AY293" s="2351">
        <f t="shared" si="117"/>
        <v>0</v>
      </c>
      <c r="AZ293" s="2351">
        <f t="shared" si="117"/>
        <v>0</v>
      </c>
      <c r="BA293" s="2351">
        <f t="shared" si="117"/>
        <v>0</v>
      </c>
      <c r="BB293" s="2351">
        <f t="shared" si="117"/>
        <v>0</v>
      </c>
      <c r="BC293" s="2310"/>
      <c r="BD293" s="2240"/>
    </row>
    <row r="294" spans="2:56" ht="15" hidden="1" customHeight="1" outlineLevel="1">
      <c r="B294" s="2339"/>
      <c r="C294" s="2352" t="s">
        <v>1926</v>
      </c>
      <c r="D294" s="2350" t="s">
        <v>1927</v>
      </c>
      <c r="E294" s="2351">
        <f>E293</f>
        <v>252931</v>
      </c>
      <c r="F294" s="2351">
        <f>F293-E293</f>
        <v>535586</v>
      </c>
      <c r="G294" s="2351">
        <f>G293-F293</f>
        <v>579837</v>
      </c>
      <c r="H294" s="2351">
        <f>H293-G293</f>
        <v>1039083</v>
      </c>
      <c r="I294" s="2351">
        <f>I293-H293</f>
        <v>1628698</v>
      </c>
      <c r="J294" s="2351">
        <f>J293-I293</f>
        <v>2039969</v>
      </c>
      <c r="K294" s="2351">
        <f t="shared" ref="K294:AW294" si="118">K293-J293</f>
        <v>3309766</v>
      </c>
      <c r="L294" s="2351">
        <f t="shared" si="118"/>
        <v>3585983</v>
      </c>
      <c r="M294" s="2351">
        <f t="shared" si="118"/>
        <v>1554722</v>
      </c>
      <c r="N294" s="2351">
        <f t="shared" si="118"/>
        <v>9862837</v>
      </c>
      <c r="O294" s="2351">
        <f t="shared" si="118"/>
        <v>3699329</v>
      </c>
      <c r="P294" s="2351">
        <f t="shared" si="118"/>
        <v>2367163</v>
      </c>
      <c r="Q294" s="2351">
        <f t="shared" si="118"/>
        <v>3685848</v>
      </c>
      <c r="R294" s="2351">
        <f t="shared" si="118"/>
        <v>4184735</v>
      </c>
      <c r="S294" s="2351">
        <f t="shared" si="118"/>
        <v>3277999</v>
      </c>
      <c r="T294" s="2351">
        <f t="shared" si="118"/>
        <v>4166778</v>
      </c>
      <c r="U294" s="2351">
        <f t="shared" si="118"/>
        <v>6889819</v>
      </c>
      <c r="V294" s="2351">
        <f t="shared" si="118"/>
        <v>5797493</v>
      </c>
      <c r="W294" s="2351">
        <f t="shared" si="118"/>
        <v>4895965</v>
      </c>
      <c r="X294" s="2351">
        <f t="shared" si="118"/>
        <v>6597280</v>
      </c>
      <c r="Y294" s="2351">
        <f t="shared" si="118"/>
        <v>8963247</v>
      </c>
      <c r="Z294" s="2351">
        <f t="shared" si="118"/>
        <v>10123110</v>
      </c>
      <c r="AA294" s="2351">
        <f t="shared" si="118"/>
        <v>7903080</v>
      </c>
      <c r="AB294" s="2351">
        <f t="shared" si="118"/>
        <v>12812940</v>
      </c>
      <c r="AC294" s="2351">
        <f t="shared" si="118"/>
        <v>13403540</v>
      </c>
      <c r="AD294" s="2351">
        <f t="shared" si="118"/>
        <v>13901199</v>
      </c>
      <c r="AE294" s="2351">
        <f t="shared" si="118"/>
        <v>12271509</v>
      </c>
      <c r="AF294" s="2351">
        <f t="shared" si="118"/>
        <v>11148423</v>
      </c>
      <c r="AG294" s="2351">
        <f t="shared" si="118"/>
        <v>14381496</v>
      </c>
      <c r="AH294" s="2351">
        <f t="shared" si="118"/>
        <v>16281649</v>
      </c>
      <c r="AI294" s="2351">
        <f t="shared" si="118"/>
        <v>15536167</v>
      </c>
      <c r="AJ294" s="2351">
        <f t="shared" si="118"/>
        <v>18088780</v>
      </c>
      <c r="AK294" s="2351">
        <f t="shared" si="118"/>
        <v>15319553</v>
      </c>
      <c r="AL294" s="2351">
        <f t="shared" si="118"/>
        <v>15278884</v>
      </c>
      <c r="AM294" s="2351">
        <f t="shared" si="118"/>
        <v>14105897</v>
      </c>
      <c r="AN294" s="2351">
        <f t="shared" si="118"/>
        <v>12723957</v>
      </c>
      <c r="AO294" s="2351">
        <f t="shared" si="118"/>
        <v>13480479</v>
      </c>
      <c r="AP294" s="2351">
        <f t="shared" si="118"/>
        <v>11731439</v>
      </c>
      <c r="AQ294" s="2351">
        <f t="shared" si="118"/>
        <v>8980187</v>
      </c>
      <c r="AR294" s="2351">
        <f t="shared" si="118"/>
        <v>7236652</v>
      </c>
      <c r="AS294" s="2351">
        <f t="shared" si="118"/>
        <v>7252737</v>
      </c>
      <c r="AT294" s="2351">
        <f t="shared" si="118"/>
        <v>4875981</v>
      </c>
      <c r="AU294" s="2351">
        <f t="shared" si="118"/>
        <v>3053261</v>
      </c>
      <c r="AV294" s="2351">
        <f t="shared" si="118"/>
        <v>1350027</v>
      </c>
      <c r="AW294" s="2351">
        <f t="shared" si="118"/>
        <v>98827</v>
      </c>
      <c r="AX294" s="2351"/>
      <c r="AY294" s="2351">
        <f>AY293-AX293</f>
        <v>-340254842</v>
      </c>
      <c r="AZ294" s="2351">
        <v>0</v>
      </c>
      <c r="BA294" s="2351">
        <f>BA293-AP293</f>
        <v>-307407170</v>
      </c>
      <c r="BB294" s="2351">
        <f>BB293-BA293</f>
        <v>0</v>
      </c>
      <c r="BC294" s="2310"/>
      <c r="BD294" s="2240"/>
    </row>
    <row r="295" spans="2:56" ht="15" hidden="1" customHeight="1" outlineLevel="1">
      <c r="B295" s="2339"/>
      <c r="C295" s="2352"/>
      <c r="D295" s="2350"/>
      <c r="E295" s="2351"/>
      <c r="F295" s="2351"/>
      <c r="G295" s="2351"/>
      <c r="H295" s="2351"/>
      <c r="I295" s="2351"/>
      <c r="J295" s="2351"/>
      <c r="K295" s="2351"/>
      <c r="L295" s="2351"/>
      <c r="M295" s="2351"/>
      <c r="N295" s="2351"/>
      <c r="O295" s="2351"/>
      <c r="P295" s="2351"/>
      <c r="Q295" s="2351"/>
      <c r="R295" s="2351"/>
      <c r="S295" s="2351"/>
      <c r="T295" s="2351"/>
      <c r="U295" s="2351"/>
      <c r="V295" s="2351"/>
      <c r="W295" s="2351"/>
      <c r="X295" s="2351"/>
      <c r="Y295" s="2351"/>
      <c r="Z295" s="2336"/>
      <c r="AA295" s="2336"/>
      <c r="AB295" s="2336"/>
      <c r="AC295" s="2336"/>
      <c r="AD295" s="2336"/>
      <c r="AE295" s="2337"/>
      <c r="AF295" s="2336"/>
      <c r="AG295" s="2336"/>
      <c r="AH295" s="2336"/>
      <c r="AI295" s="2336"/>
      <c r="AJ295" s="2336"/>
      <c r="AK295" s="2336"/>
      <c r="AL295" s="2336"/>
      <c r="AM295" s="2336"/>
      <c r="AN295" s="2336"/>
      <c r="AO295" s="2336"/>
      <c r="AP295" s="2336"/>
      <c r="AQ295" s="2336"/>
      <c r="AR295" s="2336"/>
      <c r="AS295" s="2336"/>
      <c r="AT295" s="2336"/>
      <c r="AU295" s="2336"/>
      <c r="AV295" s="2336"/>
      <c r="AW295" s="2336"/>
      <c r="AX295" s="2336"/>
      <c r="AY295" s="2336"/>
      <c r="AZ295" s="2336"/>
      <c r="BA295" s="2336"/>
      <c r="BB295" s="2336"/>
      <c r="BC295" s="2310"/>
      <c r="BD295" s="2240"/>
    </row>
    <row r="296" spans="2:56" ht="15" hidden="1" customHeight="1" outlineLevel="1">
      <c r="B296" s="2339"/>
      <c r="C296" s="2356"/>
      <c r="D296" s="2350"/>
      <c r="E296" s="2351"/>
      <c r="F296" s="2351"/>
      <c r="G296" s="2351">
        <v>0</v>
      </c>
      <c r="H296" s="2351">
        <v>0</v>
      </c>
      <c r="I296" s="2351">
        <v>0</v>
      </c>
      <c r="J296" s="2351">
        <v>0</v>
      </c>
      <c r="K296" s="2351">
        <v>0</v>
      </c>
      <c r="L296" s="2351">
        <v>0</v>
      </c>
      <c r="M296" s="2351">
        <v>0</v>
      </c>
      <c r="N296" s="2351">
        <v>0</v>
      </c>
      <c r="O296" s="2351">
        <v>0</v>
      </c>
      <c r="P296" s="2351">
        <v>0</v>
      </c>
      <c r="Q296" s="2351">
        <v>0</v>
      </c>
      <c r="R296" s="2351">
        <v>0</v>
      </c>
      <c r="S296" s="2351">
        <v>0</v>
      </c>
      <c r="T296" s="2351">
        <v>0</v>
      </c>
      <c r="U296" s="2351">
        <v>0</v>
      </c>
      <c r="V296" s="2351">
        <v>0</v>
      </c>
      <c r="W296" s="2351">
        <v>0</v>
      </c>
      <c r="X296" s="2351">
        <v>0</v>
      </c>
      <c r="Y296" s="2351">
        <v>0</v>
      </c>
      <c r="Z296" s="2336">
        <v>0</v>
      </c>
      <c r="AA296" s="2336">
        <v>0</v>
      </c>
      <c r="AB296" s="2336">
        <v>0</v>
      </c>
      <c r="AC296" s="2336">
        <v>0</v>
      </c>
      <c r="AD296" s="2336"/>
      <c r="AE296" s="2337"/>
      <c r="AF296" s="2336">
        <v>14260023</v>
      </c>
      <c r="AG296" s="2336"/>
      <c r="AH296" s="2336"/>
      <c r="AI296" s="2336"/>
      <c r="AJ296" s="2336"/>
      <c r="AK296" s="2336"/>
      <c r="AL296" s="2336"/>
      <c r="AM296" s="2336"/>
      <c r="AN296" s="2336"/>
      <c r="AO296" s="2336"/>
      <c r="AP296" s="2336"/>
      <c r="AQ296" s="2336"/>
      <c r="AR296" s="2336"/>
      <c r="AS296" s="2336"/>
      <c r="AT296" s="2336"/>
      <c r="AU296" s="2336"/>
      <c r="AV296" s="2336"/>
      <c r="AW296" s="2336"/>
      <c r="AX296" s="2336"/>
      <c r="AY296" s="2336"/>
      <c r="AZ296" s="2336"/>
      <c r="BA296" s="2336"/>
      <c r="BB296" s="2336"/>
      <c r="BC296" s="2308"/>
      <c r="BD296" s="2240"/>
    </row>
    <row r="297" spans="2:56" hidden="1" outlineLevel="1">
      <c r="B297" s="2342">
        <v>200</v>
      </c>
      <c r="C297" s="2357" t="s">
        <v>1928</v>
      </c>
      <c r="D297" s="2358" t="s">
        <v>1896</v>
      </c>
      <c r="E297" s="2338">
        <f t="shared" ref="E297:Y298" si="119">E314</f>
        <v>0</v>
      </c>
      <c r="F297" s="2338">
        <f t="shared" si="119"/>
        <v>0</v>
      </c>
      <c r="G297" s="2338">
        <f t="shared" si="119"/>
        <v>0</v>
      </c>
      <c r="H297" s="2338">
        <f t="shared" si="119"/>
        <v>0</v>
      </c>
      <c r="I297" s="2338">
        <f t="shared" si="119"/>
        <v>0</v>
      </c>
      <c r="J297" s="2338">
        <f t="shared" si="119"/>
        <v>0</v>
      </c>
      <c r="K297" s="2338">
        <f t="shared" si="119"/>
        <v>0</v>
      </c>
      <c r="L297" s="2338">
        <f t="shared" si="119"/>
        <v>0</v>
      </c>
      <c r="M297" s="2338">
        <f t="shared" si="119"/>
        <v>0</v>
      </c>
      <c r="N297" s="2338">
        <f t="shared" si="119"/>
        <v>0</v>
      </c>
      <c r="O297" s="2338">
        <f t="shared" si="119"/>
        <v>0</v>
      </c>
      <c r="P297" s="2338">
        <f t="shared" si="119"/>
        <v>0</v>
      </c>
      <c r="Q297" s="2338">
        <f t="shared" si="119"/>
        <v>0</v>
      </c>
      <c r="R297" s="2338">
        <f t="shared" si="119"/>
        <v>0</v>
      </c>
      <c r="S297" s="2338">
        <f t="shared" si="119"/>
        <v>0</v>
      </c>
      <c r="T297" s="2338">
        <f t="shared" si="119"/>
        <v>0</v>
      </c>
      <c r="U297" s="2338">
        <f t="shared" si="119"/>
        <v>0</v>
      </c>
      <c r="V297" s="2338">
        <f t="shared" si="119"/>
        <v>0</v>
      </c>
      <c r="W297" s="2338">
        <f t="shared" si="119"/>
        <v>0</v>
      </c>
      <c r="X297" s="2338">
        <f t="shared" si="119"/>
        <v>0</v>
      </c>
      <c r="Y297" s="2338">
        <f t="shared" si="119"/>
        <v>0</v>
      </c>
      <c r="Z297" s="2345"/>
      <c r="AA297" s="2345"/>
      <c r="AB297" s="2345"/>
      <c r="AC297" s="2345"/>
      <c r="AD297" s="2345"/>
      <c r="AE297" s="2346"/>
      <c r="AF297" s="2345"/>
      <c r="AG297" s="2345"/>
      <c r="AH297" s="2345"/>
      <c r="AI297" s="2345"/>
      <c r="AJ297" s="2345"/>
      <c r="AK297" s="2345"/>
      <c r="AL297" s="2345"/>
      <c r="AM297" s="2345"/>
      <c r="AN297" s="2345"/>
      <c r="AO297" s="2345"/>
      <c r="AP297" s="2345"/>
      <c r="AQ297" s="2345"/>
      <c r="AR297" s="2345"/>
      <c r="AS297" s="2345"/>
      <c r="AT297" s="2345"/>
      <c r="AU297" s="2345"/>
      <c r="AV297" s="2345"/>
      <c r="AW297" s="2345"/>
      <c r="AX297" s="2345"/>
      <c r="AY297" s="2345"/>
      <c r="AZ297" s="2345"/>
      <c r="BA297" s="2345"/>
      <c r="BB297" s="2345"/>
      <c r="BC297" s="2301"/>
      <c r="BD297" s="2240"/>
    </row>
    <row r="298" spans="2:56" ht="15.75" hidden="1" customHeight="1" outlineLevel="1">
      <c r="B298" s="2342"/>
      <c r="C298" s="2357"/>
      <c r="D298" s="2358" t="s">
        <v>1897</v>
      </c>
      <c r="E298" s="2338">
        <f t="shared" si="119"/>
        <v>0</v>
      </c>
      <c r="F298" s="2338">
        <f t="shared" si="119"/>
        <v>0</v>
      </c>
      <c r="G298" s="2338">
        <f t="shared" si="119"/>
        <v>0</v>
      </c>
      <c r="H298" s="2338">
        <f t="shared" si="119"/>
        <v>0</v>
      </c>
      <c r="I298" s="2338">
        <f t="shared" si="119"/>
        <v>0</v>
      </c>
      <c r="J298" s="2338">
        <f t="shared" si="119"/>
        <v>0</v>
      </c>
      <c r="K298" s="2338">
        <f t="shared" si="119"/>
        <v>0</v>
      </c>
      <c r="L298" s="2338">
        <f t="shared" si="119"/>
        <v>0</v>
      </c>
      <c r="M298" s="2338">
        <f t="shared" si="119"/>
        <v>0</v>
      </c>
      <c r="N298" s="2338">
        <f t="shared" si="119"/>
        <v>0</v>
      </c>
      <c r="O298" s="2338">
        <f t="shared" si="119"/>
        <v>0</v>
      </c>
      <c r="P298" s="2338">
        <f t="shared" si="119"/>
        <v>0</v>
      </c>
      <c r="Q298" s="2338">
        <f t="shared" si="119"/>
        <v>0</v>
      </c>
      <c r="R298" s="2338">
        <f t="shared" si="119"/>
        <v>0</v>
      </c>
      <c r="S298" s="2338">
        <f t="shared" si="119"/>
        <v>0</v>
      </c>
      <c r="T298" s="2338">
        <f t="shared" si="119"/>
        <v>0</v>
      </c>
      <c r="U298" s="2338">
        <f t="shared" si="119"/>
        <v>0</v>
      </c>
      <c r="V298" s="2338">
        <f t="shared" si="119"/>
        <v>0</v>
      </c>
      <c r="W298" s="2338">
        <f t="shared" si="119"/>
        <v>0</v>
      </c>
      <c r="X298" s="2338">
        <f t="shared" si="119"/>
        <v>0</v>
      </c>
      <c r="Y298" s="2338">
        <f t="shared" si="119"/>
        <v>0</v>
      </c>
      <c r="Z298" s="2345"/>
      <c r="AA298" s="2345"/>
      <c r="AB298" s="2345"/>
      <c r="AC298" s="2345"/>
      <c r="AD298" s="2345"/>
      <c r="AE298" s="2346"/>
      <c r="AF298" s="2345"/>
      <c r="AG298" s="2345"/>
      <c r="AH298" s="2345"/>
      <c r="AI298" s="2345"/>
      <c r="AJ298" s="2345"/>
      <c r="AK298" s="2345"/>
      <c r="AL298" s="2345"/>
      <c r="AM298" s="2345"/>
      <c r="AN298" s="2345"/>
      <c r="AO298" s="2345"/>
      <c r="AP298" s="2345"/>
      <c r="AQ298" s="2345"/>
      <c r="AR298" s="2345"/>
      <c r="AS298" s="2345"/>
      <c r="AT298" s="2345"/>
      <c r="AU298" s="2345"/>
      <c r="AV298" s="2345"/>
      <c r="AW298" s="2345"/>
      <c r="AX298" s="2345"/>
      <c r="AY298" s="2345"/>
      <c r="AZ298" s="2345"/>
      <c r="BA298" s="2345"/>
      <c r="BB298" s="2345"/>
      <c r="BC298" s="2308">
        <f>SUM(E298:BB298)</f>
        <v>0</v>
      </c>
      <c r="BD298" s="2240"/>
    </row>
    <row r="299" spans="2:56" ht="15.75" hidden="1" customHeight="1" outlineLevel="2">
      <c r="B299" s="2339"/>
      <c r="C299" s="2340"/>
      <c r="D299" s="2341"/>
      <c r="E299" s="2336"/>
      <c r="F299" s="2336"/>
      <c r="G299" s="2336"/>
      <c r="H299" s="2336"/>
      <c r="I299" s="2336"/>
      <c r="J299" s="2336"/>
      <c r="K299" s="2336"/>
      <c r="L299" s="2336"/>
      <c r="M299" s="2336"/>
      <c r="N299" s="2336"/>
      <c r="O299" s="2336"/>
      <c r="P299" s="2336"/>
      <c r="Q299" s="2336"/>
      <c r="R299" s="2336"/>
      <c r="S299" s="2336"/>
      <c r="T299" s="2336"/>
      <c r="U299" s="2336"/>
      <c r="V299" s="2336"/>
      <c r="W299" s="2336"/>
      <c r="X299" s="2336"/>
      <c r="Y299" s="2336"/>
      <c r="Z299" s="2336"/>
      <c r="AA299" s="2336"/>
      <c r="AB299" s="2336"/>
      <c r="AC299" s="2336"/>
      <c r="AD299" s="2336"/>
      <c r="AE299" s="2337"/>
      <c r="AF299" s="2336"/>
      <c r="AG299" s="2336"/>
      <c r="AH299" s="2336"/>
      <c r="AI299" s="2336"/>
      <c r="AJ299" s="2336"/>
      <c r="AK299" s="2336"/>
      <c r="AL299" s="2336"/>
      <c r="AM299" s="2336"/>
      <c r="AN299" s="2336"/>
      <c r="AO299" s="2336"/>
      <c r="AP299" s="2336"/>
      <c r="AQ299" s="2336"/>
      <c r="AR299" s="2336"/>
      <c r="AS299" s="2336"/>
      <c r="AT299" s="2336"/>
      <c r="AU299" s="2336"/>
      <c r="AV299" s="2336"/>
      <c r="AW299" s="2336"/>
      <c r="AX299" s="2336"/>
      <c r="AY299" s="2336"/>
      <c r="AZ299" s="2336"/>
      <c r="BA299" s="2336"/>
      <c r="BB299" s="2336"/>
      <c r="BC299" s="2301"/>
      <c r="BD299" s="2240"/>
    </row>
    <row r="300" spans="2:56" ht="18.75" hidden="1" customHeight="1" outlineLevel="2">
      <c r="B300" s="2342">
        <v>200.1</v>
      </c>
      <c r="C300" s="2343" t="s">
        <v>1939</v>
      </c>
      <c r="D300" s="2344"/>
      <c r="E300" s="2345"/>
      <c r="F300" s="2345"/>
      <c r="G300" s="2345"/>
      <c r="H300" s="2345"/>
      <c r="I300" s="2345"/>
      <c r="J300" s="2345"/>
      <c r="K300" s="2345"/>
      <c r="L300" s="2345"/>
      <c r="M300" s="2345"/>
      <c r="N300" s="2345"/>
      <c r="O300" s="2345"/>
      <c r="P300" s="2345"/>
      <c r="Q300" s="2345"/>
      <c r="R300" s="2345"/>
      <c r="S300" s="2345"/>
      <c r="T300" s="2345"/>
      <c r="U300" s="2345"/>
      <c r="V300" s="2345"/>
      <c r="W300" s="2345"/>
      <c r="X300" s="2345"/>
      <c r="Y300" s="2345"/>
      <c r="Z300" s="2345"/>
      <c r="AA300" s="2345"/>
      <c r="AB300" s="2345"/>
      <c r="AC300" s="2345"/>
      <c r="AD300" s="2345"/>
      <c r="AE300" s="2346"/>
      <c r="AF300" s="2345"/>
      <c r="AG300" s="2345"/>
      <c r="AH300" s="2345"/>
      <c r="AI300" s="2345"/>
      <c r="AJ300" s="2345"/>
      <c r="AK300" s="2345"/>
      <c r="AL300" s="2345"/>
      <c r="AM300" s="2345"/>
      <c r="AN300" s="2345"/>
      <c r="AO300" s="2345"/>
      <c r="AP300" s="2345"/>
      <c r="AQ300" s="2345"/>
      <c r="AR300" s="2345"/>
      <c r="AS300" s="2345"/>
      <c r="AT300" s="2345"/>
      <c r="AU300" s="2345"/>
      <c r="AV300" s="2345"/>
      <c r="AW300" s="2345"/>
      <c r="AX300" s="2345"/>
      <c r="AY300" s="2345"/>
      <c r="AZ300" s="2345"/>
      <c r="BA300" s="2345"/>
      <c r="BB300" s="2345"/>
      <c r="BC300" s="2308"/>
      <c r="BD300" s="2240"/>
    </row>
    <row r="301" spans="2:56" ht="15" hidden="1" customHeight="1" outlineLevel="3">
      <c r="B301" s="2339"/>
      <c r="C301" s="2347" t="s">
        <v>1898</v>
      </c>
      <c r="D301" s="2341" t="s">
        <v>1899</v>
      </c>
      <c r="E301" s="2336">
        <v>0</v>
      </c>
      <c r="F301" s="2336">
        <v>0</v>
      </c>
      <c r="G301" s="2336">
        <v>0</v>
      </c>
      <c r="H301" s="2336">
        <v>0</v>
      </c>
      <c r="I301" s="2336">
        <v>0</v>
      </c>
      <c r="J301" s="2336">
        <v>0</v>
      </c>
      <c r="K301" s="2336">
        <v>0</v>
      </c>
      <c r="L301" s="2336">
        <v>0</v>
      </c>
      <c r="M301" s="2336">
        <v>0</v>
      </c>
      <c r="N301" s="2336">
        <v>0</v>
      </c>
      <c r="O301" s="2336">
        <v>0</v>
      </c>
      <c r="P301" s="2336">
        <v>0</v>
      </c>
      <c r="Q301" s="2336">
        <v>0</v>
      </c>
      <c r="R301" s="2336">
        <v>0</v>
      </c>
      <c r="S301" s="2336">
        <v>0</v>
      </c>
      <c r="T301" s="2336">
        <v>0</v>
      </c>
      <c r="U301" s="2336">
        <v>0</v>
      </c>
      <c r="V301" s="2336">
        <v>0</v>
      </c>
      <c r="W301" s="2336">
        <v>0</v>
      </c>
      <c r="X301" s="2336">
        <v>0</v>
      </c>
      <c r="Y301" s="2336">
        <v>0</v>
      </c>
      <c r="Z301" s="2336">
        <v>0</v>
      </c>
      <c r="AA301" s="2336">
        <v>0</v>
      </c>
      <c r="AB301" s="2336">
        <v>0</v>
      </c>
      <c r="AC301" s="2336">
        <v>0</v>
      </c>
      <c r="AD301" s="2336">
        <v>0</v>
      </c>
      <c r="AE301" s="2337">
        <v>0</v>
      </c>
      <c r="AF301" s="2336">
        <v>0</v>
      </c>
      <c r="AG301" s="2336">
        <v>0</v>
      </c>
      <c r="AH301" s="2336">
        <v>0</v>
      </c>
      <c r="AI301" s="2336">
        <v>0</v>
      </c>
      <c r="AJ301" s="2336">
        <v>0</v>
      </c>
      <c r="AK301" s="2336">
        <v>0</v>
      </c>
      <c r="AL301" s="2336">
        <v>0</v>
      </c>
      <c r="AM301" s="2336">
        <v>0</v>
      </c>
      <c r="AN301" s="2336">
        <v>0</v>
      </c>
      <c r="AO301" s="2336">
        <v>0</v>
      </c>
      <c r="AP301" s="2336">
        <v>0</v>
      </c>
      <c r="AQ301" s="2336">
        <v>0</v>
      </c>
      <c r="AR301" s="2336">
        <v>0</v>
      </c>
      <c r="AS301" s="2336">
        <v>0</v>
      </c>
      <c r="AT301" s="2336">
        <v>0</v>
      </c>
      <c r="AU301" s="2336">
        <v>0</v>
      </c>
      <c r="AV301" s="2336">
        <v>0</v>
      </c>
      <c r="AW301" s="2336">
        <v>0</v>
      </c>
      <c r="AX301" s="2336">
        <v>0</v>
      </c>
      <c r="AY301" s="2336">
        <v>0</v>
      </c>
      <c r="AZ301" s="2336">
        <v>0</v>
      </c>
      <c r="BA301" s="2336">
        <v>0</v>
      </c>
      <c r="BB301" s="2336">
        <v>0</v>
      </c>
      <c r="BC301" s="2310"/>
      <c r="BD301" s="2240"/>
    </row>
    <row r="302" spans="2:56" ht="15" hidden="1" customHeight="1" outlineLevel="3">
      <c r="B302" s="2339"/>
      <c r="C302" s="2347" t="s">
        <v>1901</v>
      </c>
      <c r="D302" s="2341" t="s">
        <v>1902</v>
      </c>
      <c r="E302" s="2336">
        <v>0</v>
      </c>
      <c r="F302" s="2336">
        <v>0</v>
      </c>
      <c r="G302" s="2336">
        <v>0</v>
      </c>
      <c r="H302" s="2336">
        <v>0</v>
      </c>
      <c r="I302" s="2336">
        <v>0</v>
      </c>
      <c r="J302" s="2336">
        <v>0</v>
      </c>
      <c r="K302" s="2336">
        <v>0</v>
      </c>
      <c r="L302" s="2336">
        <v>0</v>
      </c>
      <c r="M302" s="2336">
        <v>0</v>
      </c>
      <c r="N302" s="2336">
        <v>0</v>
      </c>
      <c r="O302" s="2336">
        <v>0</v>
      </c>
      <c r="P302" s="2336">
        <v>0</v>
      </c>
      <c r="Q302" s="2336">
        <v>0</v>
      </c>
      <c r="R302" s="2336">
        <v>0</v>
      </c>
      <c r="S302" s="2336">
        <v>0</v>
      </c>
      <c r="T302" s="2336">
        <v>0</v>
      </c>
      <c r="U302" s="2336">
        <v>0</v>
      </c>
      <c r="V302" s="2336">
        <v>0</v>
      </c>
      <c r="W302" s="2336">
        <v>0</v>
      </c>
      <c r="X302" s="2336">
        <v>0</v>
      </c>
      <c r="Y302" s="2336">
        <v>0</v>
      </c>
      <c r="Z302" s="2336">
        <v>0</v>
      </c>
      <c r="AA302" s="2336">
        <v>0</v>
      </c>
      <c r="AB302" s="2336">
        <v>0</v>
      </c>
      <c r="AC302" s="2336">
        <v>0</v>
      </c>
      <c r="AD302" s="2336">
        <v>0</v>
      </c>
      <c r="AE302" s="2337">
        <v>0</v>
      </c>
      <c r="AF302" s="2336">
        <v>0</v>
      </c>
      <c r="AG302" s="2336">
        <v>0</v>
      </c>
      <c r="AH302" s="2336">
        <v>0</v>
      </c>
      <c r="AI302" s="2336">
        <v>0</v>
      </c>
      <c r="AJ302" s="2336">
        <v>0</v>
      </c>
      <c r="AK302" s="2336">
        <v>0</v>
      </c>
      <c r="AL302" s="2336">
        <v>0</v>
      </c>
      <c r="AM302" s="2336">
        <v>0</v>
      </c>
      <c r="AN302" s="2336">
        <v>0</v>
      </c>
      <c r="AO302" s="2336">
        <v>0</v>
      </c>
      <c r="AP302" s="2336">
        <v>0</v>
      </c>
      <c r="AQ302" s="2336">
        <v>0</v>
      </c>
      <c r="AR302" s="2336">
        <v>0</v>
      </c>
      <c r="AS302" s="2336">
        <v>0</v>
      </c>
      <c r="AT302" s="2336">
        <v>0</v>
      </c>
      <c r="AU302" s="2336">
        <v>0</v>
      </c>
      <c r="AV302" s="2336">
        <v>0</v>
      </c>
      <c r="AW302" s="2336">
        <v>0</v>
      </c>
      <c r="AX302" s="2336">
        <v>0</v>
      </c>
      <c r="AY302" s="2336">
        <v>0</v>
      </c>
      <c r="AZ302" s="2336">
        <v>0</v>
      </c>
      <c r="BA302" s="2336">
        <v>0</v>
      </c>
      <c r="BB302" s="2336">
        <v>0</v>
      </c>
      <c r="BC302" s="2310"/>
      <c r="BD302" s="2240"/>
    </row>
    <row r="303" spans="2:56" ht="15" hidden="1" customHeight="1" outlineLevel="3">
      <c r="B303" s="2339"/>
      <c r="C303" s="2347" t="s">
        <v>1903</v>
      </c>
      <c r="D303" s="2341" t="s">
        <v>1904</v>
      </c>
      <c r="E303" s="2336">
        <v>0</v>
      </c>
      <c r="F303" s="2336">
        <v>0</v>
      </c>
      <c r="G303" s="2336">
        <v>0</v>
      </c>
      <c r="H303" s="2336">
        <v>0</v>
      </c>
      <c r="I303" s="2336">
        <v>0</v>
      </c>
      <c r="J303" s="2336">
        <v>0</v>
      </c>
      <c r="K303" s="2336">
        <v>0</v>
      </c>
      <c r="L303" s="2336">
        <v>0</v>
      </c>
      <c r="M303" s="2336">
        <v>0</v>
      </c>
      <c r="N303" s="2336">
        <v>0</v>
      </c>
      <c r="O303" s="2336">
        <v>0</v>
      </c>
      <c r="P303" s="2336">
        <v>0</v>
      </c>
      <c r="Q303" s="2336">
        <v>0</v>
      </c>
      <c r="R303" s="2336">
        <v>0</v>
      </c>
      <c r="S303" s="2336">
        <v>0</v>
      </c>
      <c r="T303" s="2336">
        <v>0</v>
      </c>
      <c r="U303" s="2336">
        <v>0</v>
      </c>
      <c r="V303" s="2336">
        <v>0</v>
      </c>
      <c r="W303" s="2336">
        <v>0</v>
      </c>
      <c r="X303" s="2336">
        <v>0</v>
      </c>
      <c r="Y303" s="2336">
        <v>0</v>
      </c>
      <c r="Z303" s="2336">
        <v>0</v>
      </c>
      <c r="AA303" s="2336">
        <v>0</v>
      </c>
      <c r="AB303" s="2336">
        <v>0</v>
      </c>
      <c r="AC303" s="2336">
        <v>0</v>
      </c>
      <c r="AD303" s="2336">
        <v>0</v>
      </c>
      <c r="AE303" s="2337">
        <v>0</v>
      </c>
      <c r="AF303" s="2336">
        <v>0</v>
      </c>
      <c r="AG303" s="2336">
        <v>0</v>
      </c>
      <c r="AH303" s="2336">
        <v>0</v>
      </c>
      <c r="AI303" s="2336">
        <v>0</v>
      </c>
      <c r="AJ303" s="2336">
        <v>0</v>
      </c>
      <c r="AK303" s="2336">
        <v>0</v>
      </c>
      <c r="AL303" s="2336">
        <v>0</v>
      </c>
      <c r="AM303" s="2336">
        <v>0</v>
      </c>
      <c r="AN303" s="2336">
        <v>0</v>
      </c>
      <c r="AO303" s="2336">
        <v>0</v>
      </c>
      <c r="AP303" s="2336">
        <v>0</v>
      </c>
      <c r="AQ303" s="2336">
        <v>0</v>
      </c>
      <c r="AR303" s="2336">
        <v>0</v>
      </c>
      <c r="AS303" s="2336">
        <v>0</v>
      </c>
      <c r="AT303" s="2336">
        <v>0</v>
      </c>
      <c r="AU303" s="2336">
        <v>0</v>
      </c>
      <c r="AV303" s="2336">
        <v>0</v>
      </c>
      <c r="AW303" s="2336">
        <v>0</v>
      </c>
      <c r="AX303" s="2336">
        <v>0</v>
      </c>
      <c r="AY303" s="2336">
        <v>0</v>
      </c>
      <c r="AZ303" s="2336">
        <v>0</v>
      </c>
      <c r="BA303" s="2336">
        <v>0</v>
      </c>
      <c r="BB303" s="2336">
        <v>0</v>
      </c>
      <c r="BC303" s="2310"/>
      <c r="BD303" s="2240"/>
    </row>
    <row r="304" spans="2:56" ht="15" hidden="1" customHeight="1" outlineLevel="3">
      <c r="B304" s="2339"/>
      <c r="C304" s="2349" t="s">
        <v>1905</v>
      </c>
      <c r="D304" s="2350" t="s">
        <v>1906</v>
      </c>
      <c r="E304" s="2351">
        <f>E301+E302+E303</f>
        <v>0</v>
      </c>
      <c r="F304" s="2351">
        <f t="shared" ref="F304:Y304" si="120">F301+F302+F303</f>
        <v>0</v>
      </c>
      <c r="G304" s="2351">
        <f t="shared" si="120"/>
        <v>0</v>
      </c>
      <c r="H304" s="2351">
        <f t="shared" si="120"/>
        <v>0</v>
      </c>
      <c r="I304" s="2351">
        <f t="shared" si="120"/>
        <v>0</v>
      </c>
      <c r="J304" s="2351">
        <f t="shared" si="120"/>
        <v>0</v>
      </c>
      <c r="K304" s="2351">
        <f t="shared" si="120"/>
        <v>0</v>
      </c>
      <c r="L304" s="2351">
        <f t="shared" si="120"/>
        <v>0</v>
      </c>
      <c r="M304" s="2351">
        <f t="shared" si="120"/>
        <v>0</v>
      </c>
      <c r="N304" s="2351">
        <f t="shared" si="120"/>
        <v>0</v>
      </c>
      <c r="O304" s="2351">
        <f t="shared" si="120"/>
        <v>0</v>
      </c>
      <c r="P304" s="2351">
        <f t="shared" si="120"/>
        <v>0</v>
      </c>
      <c r="Q304" s="2351">
        <f t="shared" si="120"/>
        <v>0</v>
      </c>
      <c r="R304" s="2351">
        <f t="shared" si="120"/>
        <v>0</v>
      </c>
      <c r="S304" s="2351">
        <f t="shared" si="120"/>
        <v>0</v>
      </c>
      <c r="T304" s="2351">
        <f t="shared" si="120"/>
        <v>0</v>
      </c>
      <c r="U304" s="2351">
        <f t="shared" si="120"/>
        <v>0</v>
      </c>
      <c r="V304" s="2351">
        <f t="shared" si="120"/>
        <v>0</v>
      </c>
      <c r="W304" s="2351">
        <f t="shared" si="120"/>
        <v>0</v>
      </c>
      <c r="X304" s="2351">
        <f t="shared" si="120"/>
        <v>0</v>
      </c>
      <c r="Y304" s="2351">
        <f t="shared" si="120"/>
        <v>0</v>
      </c>
      <c r="Z304" s="2336"/>
      <c r="AA304" s="2336"/>
      <c r="AB304" s="2336"/>
      <c r="AC304" s="2336"/>
      <c r="AD304" s="2336"/>
      <c r="AE304" s="2337"/>
      <c r="AF304" s="2336"/>
      <c r="AG304" s="2336"/>
      <c r="AH304" s="2336"/>
      <c r="AI304" s="2336"/>
      <c r="AJ304" s="2336"/>
      <c r="AK304" s="2336"/>
      <c r="AL304" s="2336"/>
      <c r="AM304" s="2336"/>
      <c r="AN304" s="2336"/>
      <c r="AO304" s="2336"/>
      <c r="AP304" s="2336"/>
      <c r="AQ304" s="2336"/>
      <c r="AR304" s="2336"/>
      <c r="AS304" s="2336"/>
      <c r="AT304" s="2336"/>
      <c r="AU304" s="2336"/>
      <c r="AV304" s="2336"/>
      <c r="AW304" s="2336"/>
      <c r="AX304" s="2336"/>
      <c r="AY304" s="2336"/>
      <c r="AZ304" s="2336"/>
      <c r="BA304" s="2336"/>
      <c r="BB304" s="2336"/>
      <c r="BC304" s="2310"/>
      <c r="BD304" s="2240"/>
    </row>
    <row r="305" spans="2:57" ht="15" hidden="1" customHeight="1" outlineLevel="3">
      <c r="B305" s="2339"/>
      <c r="C305" s="2352" t="s">
        <v>1907</v>
      </c>
      <c r="D305" s="2350" t="s">
        <v>1908</v>
      </c>
      <c r="E305" s="2351">
        <v>0</v>
      </c>
      <c r="F305" s="2351">
        <v>0</v>
      </c>
      <c r="G305" s="2351">
        <v>0</v>
      </c>
      <c r="H305" s="2351">
        <v>0</v>
      </c>
      <c r="I305" s="2351">
        <v>0</v>
      </c>
      <c r="J305" s="2351">
        <v>0</v>
      </c>
      <c r="K305" s="2351">
        <v>0</v>
      </c>
      <c r="L305" s="2351">
        <v>0</v>
      </c>
      <c r="M305" s="2351">
        <v>0</v>
      </c>
      <c r="N305" s="2351">
        <v>0</v>
      </c>
      <c r="O305" s="2351">
        <v>0</v>
      </c>
      <c r="P305" s="2351">
        <v>0</v>
      </c>
      <c r="Q305" s="2351">
        <v>0</v>
      </c>
      <c r="R305" s="2351">
        <v>0</v>
      </c>
      <c r="S305" s="2351">
        <v>0</v>
      </c>
      <c r="T305" s="2351">
        <v>0</v>
      </c>
      <c r="U305" s="2351">
        <v>0</v>
      </c>
      <c r="V305" s="2351">
        <v>0</v>
      </c>
      <c r="W305" s="2351">
        <v>0</v>
      </c>
      <c r="X305" s="2351">
        <v>0</v>
      </c>
      <c r="Y305" s="2351">
        <v>0</v>
      </c>
      <c r="Z305" s="2351">
        <v>0</v>
      </c>
      <c r="AA305" s="2351">
        <v>0</v>
      </c>
      <c r="AB305" s="2351">
        <v>0</v>
      </c>
      <c r="AC305" s="2351">
        <v>0</v>
      </c>
      <c r="AD305" s="2351">
        <v>0</v>
      </c>
      <c r="AE305" s="2359">
        <v>0</v>
      </c>
      <c r="AF305" s="2351">
        <v>0</v>
      </c>
      <c r="AG305" s="2351">
        <v>0</v>
      </c>
      <c r="AH305" s="2351">
        <v>0</v>
      </c>
      <c r="AI305" s="2351">
        <v>0</v>
      </c>
      <c r="AJ305" s="2351">
        <v>0</v>
      </c>
      <c r="AK305" s="2351">
        <v>0</v>
      </c>
      <c r="AL305" s="2351">
        <v>0</v>
      </c>
      <c r="AM305" s="2351">
        <v>0</v>
      </c>
      <c r="AN305" s="2351">
        <v>0</v>
      </c>
      <c r="AO305" s="2351">
        <v>0</v>
      </c>
      <c r="AP305" s="2351">
        <v>0</v>
      </c>
      <c r="AQ305" s="2351">
        <v>0</v>
      </c>
      <c r="AR305" s="2351">
        <v>0</v>
      </c>
      <c r="AS305" s="2351">
        <v>0</v>
      </c>
      <c r="AT305" s="2351">
        <v>0</v>
      </c>
      <c r="AU305" s="2351">
        <v>0</v>
      </c>
      <c r="AV305" s="2351">
        <v>0</v>
      </c>
      <c r="AW305" s="2351">
        <v>0</v>
      </c>
      <c r="AX305" s="2351">
        <v>0</v>
      </c>
      <c r="AY305" s="2351">
        <v>0</v>
      </c>
      <c r="AZ305" s="2351">
        <v>0</v>
      </c>
      <c r="BA305" s="2351">
        <v>0</v>
      </c>
      <c r="BB305" s="2351">
        <v>0</v>
      </c>
      <c r="BC305" s="2310"/>
      <c r="BD305" s="2240"/>
    </row>
    <row r="306" spans="2:57" s="2226" customFormat="1" ht="15" hidden="1" customHeight="1" outlineLevel="3">
      <c r="B306" s="2339"/>
      <c r="C306" s="2353" t="s">
        <v>1579</v>
      </c>
      <c r="D306" s="2341" t="s">
        <v>1909</v>
      </c>
      <c r="E306" s="2336">
        <v>0</v>
      </c>
      <c r="F306" s="2336">
        <v>0</v>
      </c>
      <c r="G306" s="2336">
        <v>0</v>
      </c>
      <c r="H306" s="2336">
        <v>0</v>
      </c>
      <c r="I306" s="2336">
        <v>0</v>
      </c>
      <c r="J306" s="2336">
        <v>0</v>
      </c>
      <c r="K306" s="2336">
        <v>0</v>
      </c>
      <c r="L306" s="2336">
        <v>0</v>
      </c>
      <c r="M306" s="2336">
        <v>0</v>
      </c>
      <c r="N306" s="2336">
        <v>0</v>
      </c>
      <c r="O306" s="2336">
        <v>0</v>
      </c>
      <c r="P306" s="2336">
        <v>0</v>
      </c>
      <c r="Q306" s="2336">
        <v>0</v>
      </c>
      <c r="R306" s="2336">
        <v>0</v>
      </c>
      <c r="S306" s="2336">
        <v>0</v>
      </c>
      <c r="T306" s="2336">
        <v>0</v>
      </c>
      <c r="U306" s="2336">
        <v>0</v>
      </c>
      <c r="V306" s="2336">
        <v>0</v>
      </c>
      <c r="W306" s="2336">
        <v>0</v>
      </c>
      <c r="X306" s="2336">
        <v>0</v>
      </c>
      <c r="Y306" s="2336">
        <v>0</v>
      </c>
      <c r="Z306" s="2336">
        <v>0</v>
      </c>
      <c r="AA306" s="2336">
        <v>0</v>
      </c>
      <c r="AB306" s="2336">
        <v>0</v>
      </c>
      <c r="AC306" s="2336">
        <v>0</v>
      </c>
      <c r="AD306" s="2336">
        <v>0</v>
      </c>
      <c r="AE306" s="2337">
        <v>0</v>
      </c>
      <c r="AF306" s="2336">
        <v>0</v>
      </c>
      <c r="AG306" s="2336">
        <v>0</v>
      </c>
      <c r="AH306" s="2336">
        <v>0</v>
      </c>
      <c r="AI306" s="2336">
        <v>0</v>
      </c>
      <c r="AJ306" s="2336">
        <v>0</v>
      </c>
      <c r="AK306" s="2336">
        <v>0</v>
      </c>
      <c r="AL306" s="2336">
        <v>0</v>
      </c>
      <c r="AM306" s="2336">
        <v>0</v>
      </c>
      <c r="AN306" s="2336">
        <v>0</v>
      </c>
      <c r="AO306" s="2336">
        <v>0</v>
      </c>
      <c r="AP306" s="2336">
        <v>0</v>
      </c>
      <c r="AQ306" s="2336">
        <v>0</v>
      </c>
      <c r="AR306" s="2336">
        <v>0</v>
      </c>
      <c r="AS306" s="2336">
        <v>0</v>
      </c>
      <c r="AT306" s="2336">
        <v>0</v>
      </c>
      <c r="AU306" s="2336">
        <v>0</v>
      </c>
      <c r="AV306" s="2336">
        <v>0</v>
      </c>
      <c r="AW306" s="2336">
        <v>0</v>
      </c>
      <c r="AX306" s="2336">
        <v>0</v>
      </c>
      <c r="AY306" s="2336">
        <v>0</v>
      </c>
      <c r="AZ306" s="2336">
        <v>0</v>
      </c>
      <c r="BA306" s="2336">
        <v>0</v>
      </c>
      <c r="BB306" s="2336">
        <v>0</v>
      </c>
      <c r="BC306" s="2310">
        <f>+AA306</f>
        <v>0</v>
      </c>
      <c r="BD306" s="2318"/>
    </row>
    <row r="307" spans="2:57" ht="15" hidden="1" customHeight="1" outlineLevel="3">
      <c r="B307" s="2339"/>
      <c r="C307" s="2352" t="s">
        <v>1910</v>
      </c>
      <c r="D307" s="2350" t="s">
        <v>1911</v>
      </c>
      <c r="E307" s="2351">
        <f>E304+E305+E306</f>
        <v>0</v>
      </c>
      <c r="F307" s="2351">
        <f t="shared" ref="F307:Y307" si="121">F304+F305+F306</f>
        <v>0</v>
      </c>
      <c r="G307" s="2351">
        <f t="shared" si="121"/>
        <v>0</v>
      </c>
      <c r="H307" s="2351">
        <f t="shared" si="121"/>
        <v>0</v>
      </c>
      <c r="I307" s="2351">
        <f t="shared" si="121"/>
        <v>0</v>
      </c>
      <c r="J307" s="2351">
        <f t="shared" si="121"/>
        <v>0</v>
      </c>
      <c r="K307" s="2351">
        <f t="shared" si="121"/>
        <v>0</v>
      </c>
      <c r="L307" s="2351">
        <f t="shared" si="121"/>
        <v>0</v>
      </c>
      <c r="M307" s="2351">
        <f t="shared" si="121"/>
        <v>0</v>
      </c>
      <c r="N307" s="2351">
        <f t="shared" si="121"/>
        <v>0</v>
      </c>
      <c r="O307" s="2351">
        <f t="shared" si="121"/>
        <v>0</v>
      </c>
      <c r="P307" s="2351">
        <f t="shared" si="121"/>
        <v>0</v>
      </c>
      <c r="Q307" s="2351">
        <f t="shared" si="121"/>
        <v>0</v>
      </c>
      <c r="R307" s="2351">
        <f t="shared" si="121"/>
        <v>0</v>
      </c>
      <c r="S307" s="2351">
        <f t="shared" si="121"/>
        <v>0</v>
      </c>
      <c r="T307" s="2351">
        <f t="shared" si="121"/>
        <v>0</v>
      </c>
      <c r="U307" s="2351">
        <f t="shared" si="121"/>
        <v>0</v>
      </c>
      <c r="V307" s="2351">
        <f t="shared" si="121"/>
        <v>0</v>
      </c>
      <c r="W307" s="2351">
        <f t="shared" si="121"/>
        <v>0</v>
      </c>
      <c r="X307" s="2351">
        <f t="shared" si="121"/>
        <v>0</v>
      </c>
      <c r="Y307" s="2351">
        <f t="shared" si="121"/>
        <v>0</v>
      </c>
      <c r="Z307" s="2336"/>
      <c r="AA307" s="2336"/>
      <c r="AB307" s="2336"/>
      <c r="AC307" s="2336"/>
      <c r="AD307" s="2336"/>
      <c r="AE307" s="2337"/>
      <c r="AF307" s="2336"/>
      <c r="AG307" s="2336"/>
      <c r="AH307" s="2336"/>
      <c r="AI307" s="2336"/>
      <c r="AJ307" s="2336"/>
      <c r="AK307" s="2336"/>
      <c r="AL307" s="2336"/>
      <c r="AM307" s="2336"/>
      <c r="AN307" s="2336"/>
      <c r="AO307" s="2336"/>
      <c r="AP307" s="2336"/>
      <c r="AQ307" s="2336"/>
      <c r="AR307" s="2336"/>
      <c r="AS307" s="2336"/>
      <c r="AT307" s="2336"/>
      <c r="AU307" s="2336"/>
      <c r="AV307" s="2336"/>
      <c r="AW307" s="2336"/>
      <c r="AX307" s="2336"/>
      <c r="AY307" s="2336"/>
      <c r="AZ307" s="2336"/>
      <c r="BA307" s="2336"/>
      <c r="BB307" s="2336"/>
      <c r="BC307" s="2310"/>
      <c r="BD307" s="2240"/>
    </row>
    <row r="308" spans="2:57" ht="15" hidden="1" customHeight="1" outlineLevel="3">
      <c r="B308" s="2339"/>
      <c r="C308" s="2352" t="s">
        <v>1930</v>
      </c>
      <c r="D308" s="2350" t="s">
        <v>1913</v>
      </c>
      <c r="E308" s="2351">
        <v>0</v>
      </c>
      <c r="F308" s="2351">
        <v>0</v>
      </c>
      <c r="G308" s="2351">
        <v>0</v>
      </c>
      <c r="H308" s="2351">
        <v>0</v>
      </c>
      <c r="I308" s="2351">
        <v>0</v>
      </c>
      <c r="J308" s="2351">
        <v>0</v>
      </c>
      <c r="K308" s="2351">
        <v>0</v>
      </c>
      <c r="L308" s="2351">
        <v>0</v>
      </c>
      <c r="M308" s="2351">
        <v>0</v>
      </c>
      <c r="N308" s="2351">
        <v>0</v>
      </c>
      <c r="O308" s="2351">
        <v>0</v>
      </c>
      <c r="P308" s="2351">
        <v>0</v>
      </c>
      <c r="Q308" s="2351">
        <v>0</v>
      </c>
      <c r="R308" s="2351">
        <v>0</v>
      </c>
      <c r="S308" s="2351">
        <v>0</v>
      </c>
      <c r="T308" s="2351">
        <v>0</v>
      </c>
      <c r="U308" s="2351">
        <v>0</v>
      </c>
      <c r="V308" s="2351">
        <v>0</v>
      </c>
      <c r="W308" s="2351">
        <v>0</v>
      </c>
      <c r="X308" s="2351">
        <v>0</v>
      </c>
      <c r="Y308" s="2351">
        <v>0</v>
      </c>
      <c r="Z308" s="2351">
        <v>0</v>
      </c>
      <c r="AA308" s="2351">
        <v>0</v>
      </c>
      <c r="AB308" s="2351">
        <v>0</v>
      </c>
      <c r="AC308" s="2351">
        <v>0</v>
      </c>
      <c r="AD308" s="2351">
        <v>0</v>
      </c>
      <c r="AE308" s="2359">
        <v>0</v>
      </c>
      <c r="AF308" s="2351">
        <v>0</v>
      </c>
      <c r="AG308" s="2351">
        <v>0</v>
      </c>
      <c r="AH308" s="2351">
        <v>0</v>
      </c>
      <c r="AI308" s="2351">
        <v>0</v>
      </c>
      <c r="AJ308" s="2351">
        <v>0</v>
      </c>
      <c r="AK308" s="2351">
        <v>0</v>
      </c>
      <c r="AL308" s="2351">
        <v>0</v>
      </c>
      <c r="AM308" s="2351">
        <v>0</v>
      </c>
      <c r="AN308" s="2351">
        <v>0</v>
      </c>
      <c r="AO308" s="2351">
        <v>0</v>
      </c>
      <c r="AP308" s="2351">
        <v>0</v>
      </c>
      <c r="AQ308" s="2351">
        <v>0</v>
      </c>
      <c r="AR308" s="2351">
        <v>0</v>
      </c>
      <c r="AS308" s="2351">
        <v>0</v>
      </c>
      <c r="AT308" s="2351">
        <v>0</v>
      </c>
      <c r="AU308" s="2351">
        <v>0</v>
      </c>
      <c r="AV308" s="2351">
        <v>0</v>
      </c>
      <c r="AW308" s="2351">
        <v>0</v>
      </c>
      <c r="AX308" s="2351">
        <v>0</v>
      </c>
      <c r="AY308" s="2351">
        <v>0</v>
      </c>
      <c r="AZ308" s="2351">
        <v>0</v>
      </c>
      <c r="BA308" s="2351">
        <v>0</v>
      </c>
      <c r="BB308" s="2351">
        <v>0</v>
      </c>
      <c r="BC308" s="2310"/>
      <c r="BD308" s="2240"/>
    </row>
    <row r="309" spans="2:57" ht="15" hidden="1" customHeight="1" outlineLevel="3">
      <c r="B309" s="2339"/>
      <c r="C309" s="2353" t="s">
        <v>1914</v>
      </c>
      <c r="D309" s="2341" t="s">
        <v>1915</v>
      </c>
      <c r="E309" s="2336">
        <v>0</v>
      </c>
      <c r="F309" s="2336">
        <v>0</v>
      </c>
      <c r="G309" s="2336">
        <v>0</v>
      </c>
      <c r="H309" s="2336">
        <v>0</v>
      </c>
      <c r="I309" s="2336">
        <v>0</v>
      </c>
      <c r="J309" s="2336">
        <v>0</v>
      </c>
      <c r="K309" s="2336">
        <v>0</v>
      </c>
      <c r="L309" s="2336">
        <v>0</v>
      </c>
      <c r="M309" s="2336">
        <v>0</v>
      </c>
      <c r="N309" s="2336">
        <v>0</v>
      </c>
      <c r="O309" s="2336">
        <v>0</v>
      </c>
      <c r="P309" s="2336">
        <v>0</v>
      </c>
      <c r="Q309" s="2336">
        <v>0</v>
      </c>
      <c r="R309" s="2336">
        <v>0</v>
      </c>
      <c r="S309" s="2336">
        <v>0</v>
      </c>
      <c r="T309" s="2336">
        <v>0</v>
      </c>
      <c r="U309" s="2336">
        <v>0</v>
      </c>
      <c r="V309" s="2336">
        <v>0</v>
      </c>
      <c r="W309" s="2336">
        <v>0</v>
      </c>
      <c r="X309" s="2336">
        <v>0</v>
      </c>
      <c r="Y309" s="2336">
        <v>0</v>
      </c>
      <c r="Z309" s="2336">
        <v>0</v>
      </c>
      <c r="AA309" s="2336">
        <v>0</v>
      </c>
      <c r="AB309" s="2336">
        <v>0</v>
      </c>
      <c r="AC309" s="2336">
        <v>0</v>
      </c>
      <c r="AD309" s="2336">
        <v>0</v>
      </c>
      <c r="AE309" s="2337">
        <v>0</v>
      </c>
      <c r="AF309" s="2336">
        <v>0</v>
      </c>
      <c r="AG309" s="2336">
        <v>0</v>
      </c>
      <c r="AH309" s="2336">
        <v>0</v>
      </c>
      <c r="AI309" s="2336">
        <v>0</v>
      </c>
      <c r="AJ309" s="2336">
        <v>0</v>
      </c>
      <c r="AK309" s="2336">
        <v>0</v>
      </c>
      <c r="AL309" s="2336">
        <v>0</v>
      </c>
      <c r="AM309" s="2336">
        <v>0</v>
      </c>
      <c r="AN309" s="2336">
        <v>0</v>
      </c>
      <c r="AO309" s="2336">
        <v>0</v>
      </c>
      <c r="AP309" s="2336">
        <v>0</v>
      </c>
      <c r="AQ309" s="2336">
        <v>0</v>
      </c>
      <c r="AR309" s="2336">
        <v>0</v>
      </c>
      <c r="AS309" s="2336">
        <v>0</v>
      </c>
      <c r="AT309" s="2336">
        <v>0</v>
      </c>
      <c r="AU309" s="2336">
        <v>0</v>
      </c>
      <c r="AV309" s="2336">
        <v>0</v>
      </c>
      <c r="AW309" s="2336">
        <v>0</v>
      </c>
      <c r="AX309" s="2336">
        <v>0</v>
      </c>
      <c r="AY309" s="2336">
        <v>0</v>
      </c>
      <c r="AZ309" s="2336">
        <v>0</v>
      </c>
      <c r="BA309" s="2336">
        <v>0</v>
      </c>
      <c r="BB309" s="2336">
        <v>0</v>
      </c>
      <c r="BC309" s="2310"/>
      <c r="BD309" s="2240"/>
    </row>
    <row r="310" spans="2:57" ht="15" hidden="1" customHeight="1" outlineLevel="3">
      <c r="B310" s="2339"/>
      <c r="C310" s="2352" t="s">
        <v>1916</v>
      </c>
      <c r="D310" s="2350" t="s">
        <v>1917</v>
      </c>
      <c r="E310" s="2351">
        <f>E307+E308+E309</f>
        <v>0</v>
      </c>
      <c r="F310" s="2351">
        <f t="shared" ref="F310:Y310" si="122">F307+F308+F309</f>
        <v>0</v>
      </c>
      <c r="G310" s="2351">
        <f t="shared" si="122"/>
        <v>0</v>
      </c>
      <c r="H310" s="2351">
        <f t="shared" si="122"/>
        <v>0</v>
      </c>
      <c r="I310" s="2351">
        <f t="shared" si="122"/>
        <v>0</v>
      </c>
      <c r="J310" s="2351">
        <f t="shared" si="122"/>
        <v>0</v>
      </c>
      <c r="K310" s="2351">
        <f t="shared" si="122"/>
        <v>0</v>
      </c>
      <c r="L310" s="2351">
        <f t="shared" si="122"/>
        <v>0</v>
      </c>
      <c r="M310" s="2351">
        <f t="shared" si="122"/>
        <v>0</v>
      </c>
      <c r="N310" s="2351">
        <f t="shared" si="122"/>
        <v>0</v>
      </c>
      <c r="O310" s="2351">
        <f t="shared" si="122"/>
        <v>0</v>
      </c>
      <c r="P310" s="2351">
        <f t="shared" si="122"/>
        <v>0</v>
      </c>
      <c r="Q310" s="2351">
        <f t="shared" si="122"/>
        <v>0</v>
      </c>
      <c r="R310" s="2351">
        <f t="shared" si="122"/>
        <v>0</v>
      </c>
      <c r="S310" s="2351">
        <f t="shared" si="122"/>
        <v>0</v>
      </c>
      <c r="T310" s="2351">
        <f t="shared" si="122"/>
        <v>0</v>
      </c>
      <c r="U310" s="2351">
        <f t="shared" si="122"/>
        <v>0</v>
      </c>
      <c r="V310" s="2351">
        <f t="shared" si="122"/>
        <v>0</v>
      </c>
      <c r="W310" s="2351">
        <f t="shared" si="122"/>
        <v>0</v>
      </c>
      <c r="X310" s="2351">
        <f t="shared" si="122"/>
        <v>0</v>
      </c>
      <c r="Y310" s="2351">
        <f t="shared" si="122"/>
        <v>0</v>
      </c>
      <c r="Z310" s="2336"/>
      <c r="AA310" s="2336"/>
      <c r="AB310" s="2336"/>
      <c r="AC310" s="2336"/>
      <c r="AD310" s="2336"/>
      <c r="AE310" s="2337"/>
      <c r="AF310" s="2336"/>
      <c r="AG310" s="2336"/>
      <c r="AH310" s="2336"/>
      <c r="AI310" s="2336"/>
      <c r="AJ310" s="2336"/>
      <c r="AK310" s="2336"/>
      <c r="AL310" s="2336"/>
      <c r="AM310" s="2336"/>
      <c r="AN310" s="2336"/>
      <c r="AO310" s="2336"/>
      <c r="AP310" s="2336"/>
      <c r="AQ310" s="2336"/>
      <c r="AR310" s="2336"/>
      <c r="AS310" s="2336"/>
      <c r="AT310" s="2336"/>
      <c r="AU310" s="2336"/>
      <c r="AV310" s="2336"/>
      <c r="AW310" s="2336"/>
      <c r="AX310" s="2336"/>
      <c r="AY310" s="2336"/>
      <c r="AZ310" s="2336"/>
      <c r="BA310" s="2336"/>
      <c r="BB310" s="2336"/>
      <c r="BC310" s="2310"/>
      <c r="BD310" s="2240"/>
    </row>
    <row r="311" spans="2:57" ht="15" hidden="1" customHeight="1" outlineLevel="3">
      <c r="B311" s="2339"/>
      <c r="C311" s="2353" t="s">
        <v>1918</v>
      </c>
      <c r="D311" s="2341" t="s">
        <v>1919</v>
      </c>
      <c r="E311" s="2336">
        <v>0</v>
      </c>
      <c r="F311" s="2336">
        <v>0</v>
      </c>
      <c r="G311" s="2336">
        <v>0</v>
      </c>
      <c r="H311" s="2336">
        <v>0</v>
      </c>
      <c r="I311" s="2336">
        <v>0</v>
      </c>
      <c r="J311" s="2336">
        <v>0</v>
      </c>
      <c r="K311" s="2336">
        <v>0</v>
      </c>
      <c r="L311" s="2336">
        <v>0</v>
      </c>
      <c r="M311" s="2336">
        <v>0</v>
      </c>
      <c r="N311" s="2336">
        <v>0</v>
      </c>
      <c r="O311" s="2336">
        <v>0</v>
      </c>
      <c r="P311" s="2336">
        <v>0</v>
      </c>
      <c r="Q311" s="2336">
        <v>0</v>
      </c>
      <c r="R311" s="2336">
        <v>0</v>
      </c>
      <c r="S311" s="2336">
        <v>0</v>
      </c>
      <c r="T311" s="2336">
        <v>0</v>
      </c>
      <c r="U311" s="2336">
        <v>0</v>
      </c>
      <c r="V311" s="2336">
        <v>0</v>
      </c>
      <c r="W311" s="2336">
        <v>0</v>
      </c>
      <c r="X311" s="2336">
        <v>0</v>
      </c>
      <c r="Y311" s="2336">
        <v>0</v>
      </c>
      <c r="Z311" s="2336">
        <v>0</v>
      </c>
      <c r="AA311" s="2336">
        <v>0</v>
      </c>
      <c r="AB311" s="2336">
        <v>0</v>
      </c>
      <c r="AC311" s="2336">
        <v>0</v>
      </c>
      <c r="AD311" s="2336">
        <v>0</v>
      </c>
      <c r="AE311" s="2337">
        <v>0</v>
      </c>
      <c r="AF311" s="2336">
        <v>0</v>
      </c>
      <c r="AG311" s="2336">
        <v>0</v>
      </c>
      <c r="AH311" s="2336">
        <v>0</v>
      </c>
      <c r="AI311" s="2336">
        <v>0</v>
      </c>
      <c r="AJ311" s="2336">
        <v>0</v>
      </c>
      <c r="AK311" s="2336">
        <v>0</v>
      </c>
      <c r="AL311" s="2336">
        <v>0</v>
      </c>
      <c r="AM311" s="2336">
        <v>0</v>
      </c>
      <c r="AN311" s="2336">
        <v>0</v>
      </c>
      <c r="AO311" s="2336">
        <v>0</v>
      </c>
      <c r="AP311" s="2336">
        <v>0</v>
      </c>
      <c r="AQ311" s="2336">
        <v>0</v>
      </c>
      <c r="AR311" s="2336">
        <v>0</v>
      </c>
      <c r="AS311" s="2336">
        <v>0</v>
      </c>
      <c r="AT311" s="2336">
        <v>0</v>
      </c>
      <c r="AU311" s="2336">
        <v>0</v>
      </c>
      <c r="AV311" s="2336">
        <v>0</v>
      </c>
      <c r="AW311" s="2336">
        <v>0</v>
      </c>
      <c r="AX311" s="2336">
        <v>0</v>
      </c>
      <c r="AY311" s="2336">
        <v>0</v>
      </c>
      <c r="AZ311" s="2336">
        <v>0</v>
      </c>
      <c r="BA311" s="2336">
        <v>0</v>
      </c>
      <c r="BB311" s="2336">
        <v>0</v>
      </c>
      <c r="BC311" s="2310"/>
      <c r="BD311" s="2240"/>
    </row>
    <row r="312" spans="2:57" ht="15" hidden="1" customHeight="1" outlineLevel="3">
      <c r="B312" s="2339"/>
      <c r="C312" s="2353" t="s">
        <v>1920</v>
      </c>
      <c r="D312" s="2354" t="s">
        <v>1921</v>
      </c>
      <c r="E312" s="2336">
        <v>0</v>
      </c>
      <c r="F312" s="2336">
        <v>0</v>
      </c>
      <c r="G312" s="2336">
        <v>0</v>
      </c>
      <c r="H312" s="2336">
        <v>0</v>
      </c>
      <c r="I312" s="2336">
        <v>0</v>
      </c>
      <c r="J312" s="2336">
        <v>0</v>
      </c>
      <c r="K312" s="2336">
        <v>0</v>
      </c>
      <c r="L312" s="2336">
        <v>0</v>
      </c>
      <c r="M312" s="2336">
        <v>0</v>
      </c>
      <c r="N312" s="2336">
        <v>0</v>
      </c>
      <c r="O312" s="2336">
        <v>0</v>
      </c>
      <c r="P312" s="2336">
        <v>0</v>
      </c>
      <c r="Q312" s="2336">
        <v>0</v>
      </c>
      <c r="R312" s="2336">
        <v>0</v>
      </c>
      <c r="S312" s="2336">
        <v>0</v>
      </c>
      <c r="T312" s="2336">
        <v>0</v>
      </c>
      <c r="U312" s="2336">
        <v>0</v>
      </c>
      <c r="V312" s="2336">
        <v>0</v>
      </c>
      <c r="W312" s="2336">
        <v>0</v>
      </c>
      <c r="X312" s="2336">
        <v>0</v>
      </c>
      <c r="Y312" s="2336">
        <v>0</v>
      </c>
      <c r="Z312" s="2336">
        <v>0</v>
      </c>
      <c r="AA312" s="2336">
        <v>0</v>
      </c>
      <c r="AB312" s="2336">
        <v>0</v>
      </c>
      <c r="AC312" s="2336">
        <v>0</v>
      </c>
      <c r="AD312" s="2336">
        <v>0</v>
      </c>
      <c r="AE312" s="2337">
        <v>0</v>
      </c>
      <c r="AF312" s="2336">
        <v>0</v>
      </c>
      <c r="AG312" s="2336">
        <v>0</v>
      </c>
      <c r="AH312" s="2336">
        <v>0</v>
      </c>
      <c r="AI312" s="2336">
        <v>0</v>
      </c>
      <c r="AJ312" s="2336">
        <v>0</v>
      </c>
      <c r="AK312" s="2336">
        <v>0</v>
      </c>
      <c r="AL312" s="2336">
        <v>0</v>
      </c>
      <c r="AM312" s="2336">
        <v>0</v>
      </c>
      <c r="AN312" s="2336">
        <v>0</v>
      </c>
      <c r="AO312" s="2336">
        <v>0</v>
      </c>
      <c r="AP312" s="2336">
        <v>0</v>
      </c>
      <c r="AQ312" s="2336">
        <v>0</v>
      </c>
      <c r="AR312" s="2336">
        <v>0</v>
      </c>
      <c r="AS312" s="2336">
        <v>0</v>
      </c>
      <c r="AT312" s="2336">
        <v>0</v>
      </c>
      <c r="AU312" s="2336">
        <v>0</v>
      </c>
      <c r="AV312" s="2336">
        <v>0</v>
      </c>
      <c r="AW312" s="2336">
        <v>0</v>
      </c>
      <c r="AX312" s="2336">
        <v>0</v>
      </c>
      <c r="AY312" s="2336">
        <v>0</v>
      </c>
      <c r="AZ312" s="2336">
        <v>0</v>
      </c>
      <c r="BA312" s="2336">
        <v>0</v>
      </c>
      <c r="BB312" s="2336">
        <v>0</v>
      </c>
      <c r="BC312" s="2310"/>
      <c r="BD312" s="2240"/>
    </row>
    <row r="313" spans="2:57" ht="15" hidden="1" customHeight="1" outlineLevel="3">
      <c r="B313" s="2339"/>
      <c r="C313" s="2353" t="s">
        <v>1922</v>
      </c>
      <c r="D313" s="2354" t="s">
        <v>1923</v>
      </c>
      <c r="E313" s="2336">
        <v>0</v>
      </c>
      <c r="F313" s="2336">
        <v>0</v>
      </c>
      <c r="G313" s="2336">
        <v>0</v>
      </c>
      <c r="H313" s="2336">
        <v>0</v>
      </c>
      <c r="I313" s="2336">
        <v>0</v>
      </c>
      <c r="J313" s="2336">
        <v>0</v>
      </c>
      <c r="K313" s="2336">
        <v>0</v>
      </c>
      <c r="L313" s="2336">
        <v>0</v>
      </c>
      <c r="M313" s="2336">
        <v>0</v>
      </c>
      <c r="N313" s="2336">
        <v>0</v>
      </c>
      <c r="O313" s="2336">
        <v>0</v>
      </c>
      <c r="P313" s="2336">
        <v>0</v>
      </c>
      <c r="Q313" s="2336">
        <v>0</v>
      </c>
      <c r="R313" s="2336">
        <v>0</v>
      </c>
      <c r="S313" s="2336">
        <v>0</v>
      </c>
      <c r="T313" s="2336">
        <v>0</v>
      </c>
      <c r="U313" s="2336">
        <v>0</v>
      </c>
      <c r="V313" s="2336">
        <v>0</v>
      </c>
      <c r="W313" s="2336">
        <v>0</v>
      </c>
      <c r="X313" s="2336">
        <v>0</v>
      </c>
      <c r="Y313" s="2336">
        <v>0</v>
      </c>
      <c r="Z313" s="2336">
        <v>0</v>
      </c>
      <c r="AA313" s="2336">
        <v>0</v>
      </c>
      <c r="AB313" s="2336">
        <v>0</v>
      </c>
      <c r="AC313" s="2336">
        <v>0</v>
      </c>
      <c r="AD313" s="2336">
        <v>0</v>
      </c>
      <c r="AE313" s="2337">
        <v>0</v>
      </c>
      <c r="AF313" s="2336">
        <v>0</v>
      </c>
      <c r="AG313" s="2336">
        <v>0</v>
      </c>
      <c r="AH313" s="2336">
        <v>0</v>
      </c>
      <c r="AI313" s="2336">
        <v>0</v>
      </c>
      <c r="AJ313" s="2336">
        <v>0</v>
      </c>
      <c r="AK313" s="2336">
        <v>0</v>
      </c>
      <c r="AL313" s="2336">
        <v>0</v>
      </c>
      <c r="AM313" s="2336">
        <v>0</v>
      </c>
      <c r="AN313" s="2336">
        <v>0</v>
      </c>
      <c r="AO313" s="2336">
        <v>0</v>
      </c>
      <c r="AP313" s="2336">
        <v>0</v>
      </c>
      <c r="AQ313" s="2336">
        <v>0</v>
      </c>
      <c r="AR313" s="2336">
        <v>0</v>
      </c>
      <c r="AS313" s="2336">
        <v>0</v>
      </c>
      <c r="AT313" s="2336">
        <v>0</v>
      </c>
      <c r="AU313" s="2336">
        <v>0</v>
      </c>
      <c r="AV313" s="2336">
        <v>0</v>
      </c>
      <c r="AW313" s="2336">
        <v>0</v>
      </c>
      <c r="AX313" s="2336">
        <v>0</v>
      </c>
      <c r="AY313" s="2336">
        <v>0</v>
      </c>
      <c r="AZ313" s="2336">
        <v>0</v>
      </c>
      <c r="BA313" s="2336">
        <v>0</v>
      </c>
      <c r="BB313" s="2336">
        <v>0</v>
      </c>
      <c r="BC313" s="2320"/>
      <c r="BD313" s="2240"/>
    </row>
    <row r="314" spans="2:57" ht="15" hidden="1" customHeight="1" outlineLevel="2">
      <c r="B314" s="2339"/>
      <c r="C314" s="2352" t="s">
        <v>1924</v>
      </c>
      <c r="D314" s="2355" t="s">
        <v>1925</v>
      </c>
      <c r="E314" s="2351">
        <f t="shared" ref="E314:BB314" si="123">E310+E311+E313</f>
        <v>0</v>
      </c>
      <c r="F314" s="2351">
        <f t="shared" si="123"/>
        <v>0</v>
      </c>
      <c r="G314" s="2351">
        <f t="shared" si="123"/>
        <v>0</v>
      </c>
      <c r="H314" s="2351">
        <f t="shared" si="123"/>
        <v>0</v>
      </c>
      <c r="I314" s="2351">
        <f t="shared" si="123"/>
        <v>0</v>
      </c>
      <c r="J314" s="2351">
        <f t="shared" si="123"/>
        <v>0</v>
      </c>
      <c r="K314" s="2351">
        <f t="shared" si="123"/>
        <v>0</v>
      </c>
      <c r="L314" s="2351">
        <f t="shared" si="123"/>
        <v>0</v>
      </c>
      <c r="M314" s="2351">
        <f t="shared" si="123"/>
        <v>0</v>
      </c>
      <c r="N314" s="2351">
        <f t="shared" si="123"/>
        <v>0</v>
      </c>
      <c r="O314" s="2351">
        <f t="shared" si="123"/>
        <v>0</v>
      </c>
      <c r="P314" s="2351">
        <f t="shared" si="123"/>
        <v>0</v>
      </c>
      <c r="Q314" s="2351">
        <f t="shared" si="123"/>
        <v>0</v>
      </c>
      <c r="R314" s="2351">
        <f t="shared" si="123"/>
        <v>0</v>
      </c>
      <c r="S314" s="2351">
        <f t="shared" si="123"/>
        <v>0</v>
      </c>
      <c r="T314" s="2351">
        <f t="shared" si="123"/>
        <v>0</v>
      </c>
      <c r="U314" s="2351">
        <f t="shared" si="123"/>
        <v>0</v>
      </c>
      <c r="V314" s="2351">
        <f t="shared" si="123"/>
        <v>0</v>
      </c>
      <c r="W314" s="2351">
        <f t="shared" si="123"/>
        <v>0</v>
      </c>
      <c r="X314" s="2351">
        <f t="shared" si="123"/>
        <v>0</v>
      </c>
      <c r="Y314" s="2351">
        <f t="shared" si="123"/>
        <v>0</v>
      </c>
      <c r="Z314" s="2351">
        <f t="shared" si="123"/>
        <v>0</v>
      </c>
      <c r="AA314" s="2351">
        <f t="shared" si="123"/>
        <v>0</v>
      </c>
      <c r="AB314" s="2351">
        <f t="shared" si="123"/>
        <v>0</v>
      </c>
      <c r="AC314" s="2351">
        <f t="shared" si="123"/>
        <v>0</v>
      </c>
      <c r="AD314" s="2351">
        <f t="shared" si="123"/>
        <v>0</v>
      </c>
      <c r="AE314" s="2359">
        <f t="shared" si="123"/>
        <v>0</v>
      </c>
      <c r="AF314" s="2351">
        <f t="shared" si="123"/>
        <v>0</v>
      </c>
      <c r="AG314" s="2351">
        <f t="shared" si="123"/>
        <v>0</v>
      </c>
      <c r="AH314" s="2351">
        <f t="shared" si="123"/>
        <v>0</v>
      </c>
      <c r="AI314" s="2351">
        <f t="shared" si="123"/>
        <v>0</v>
      </c>
      <c r="AJ314" s="2351">
        <f t="shared" si="123"/>
        <v>0</v>
      </c>
      <c r="AK314" s="2351">
        <f t="shared" si="123"/>
        <v>0</v>
      </c>
      <c r="AL314" s="2351">
        <f t="shared" si="123"/>
        <v>0</v>
      </c>
      <c r="AM314" s="2351">
        <f t="shared" si="123"/>
        <v>0</v>
      </c>
      <c r="AN314" s="2351">
        <f t="shared" si="123"/>
        <v>0</v>
      </c>
      <c r="AO314" s="2351">
        <f t="shared" si="123"/>
        <v>0</v>
      </c>
      <c r="AP314" s="2351">
        <f t="shared" si="123"/>
        <v>0</v>
      </c>
      <c r="AQ314" s="2351">
        <f t="shared" si="123"/>
        <v>0</v>
      </c>
      <c r="AR314" s="2351">
        <f t="shared" si="123"/>
        <v>0</v>
      </c>
      <c r="AS314" s="2351">
        <f t="shared" si="123"/>
        <v>0</v>
      </c>
      <c r="AT314" s="2351">
        <f t="shared" si="123"/>
        <v>0</v>
      </c>
      <c r="AU314" s="2351">
        <f t="shared" si="123"/>
        <v>0</v>
      </c>
      <c r="AV314" s="2351">
        <f t="shared" si="123"/>
        <v>0</v>
      </c>
      <c r="AW314" s="2351">
        <f t="shared" si="123"/>
        <v>0</v>
      </c>
      <c r="AX314" s="2351">
        <f t="shared" si="123"/>
        <v>0</v>
      </c>
      <c r="AY314" s="2351">
        <f t="shared" si="123"/>
        <v>0</v>
      </c>
      <c r="AZ314" s="2351">
        <f t="shared" si="123"/>
        <v>0</v>
      </c>
      <c r="BA314" s="2351">
        <f t="shared" si="123"/>
        <v>0</v>
      </c>
      <c r="BB314" s="2351">
        <f t="shared" si="123"/>
        <v>0</v>
      </c>
      <c r="BC314" s="2310"/>
      <c r="BD314" s="2240"/>
    </row>
    <row r="315" spans="2:57" ht="15" hidden="1" customHeight="1" outlineLevel="2">
      <c r="B315" s="2339"/>
      <c r="C315" s="2352" t="s">
        <v>1926</v>
      </c>
      <c r="D315" s="2350" t="s">
        <v>1927</v>
      </c>
      <c r="E315" s="2351">
        <f>E314</f>
        <v>0</v>
      </c>
      <c r="F315" s="2351">
        <f t="shared" ref="F315:AZ315" si="124">F314-E314</f>
        <v>0</v>
      </c>
      <c r="G315" s="2351">
        <f t="shared" si="124"/>
        <v>0</v>
      </c>
      <c r="H315" s="2351">
        <f t="shared" si="124"/>
        <v>0</v>
      </c>
      <c r="I315" s="2351">
        <f t="shared" si="124"/>
        <v>0</v>
      </c>
      <c r="J315" s="2351">
        <f t="shared" si="124"/>
        <v>0</v>
      </c>
      <c r="K315" s="2351">
        <f t="shared" si="124"/>
        <v>0</v>
      </c>
      <c r="L315" s="2351">
        <f t="shared" si="124"/>
        <v>0</v>
      </c>
      <c r="M315" s="2351">
        <f t="shared" si="124"/>
        <v>0</v>
      </c>
      <c r="N315" s="2351">
        <f t="shared" si="124"/>
        <v>0</v>
      </c>
      <c r="O315" s="2351">
        <f t="shared" si="124"/>
        <v>0</v>
      </c>
      <c r="P315" s="2351">
        <f t="shared" si="124"/>
        <v>0</v>
      </c>
      <c r="Q315" s="2351">
        <f t="shared" si="124"/>
        <v>0</v>
      </c>
      <c r="R315" s="2351">
        <f t="shared" si="124"/>
        <v>0</v>
      </c>
      <c r="S315" s="2351">
        <f t="shared" si="124"/>
        <v>0</v>
      </c>
      <c r="T315" s="2351">
        <f t="shared" si="124"/>
        <v>0</v>
      </c>
      <c r="U315" s="2351">
        <f t="shared" si="124"/>
        <v>0</v>
      </c>
      <c r="V315" s="2351">
        <f t="shared" si="124"/>
        <v>0</v>
      </c>
      <c r="W315" s="2351">
        <f t="shared" si="124"/>
        <v>0</v>
      </c>
      <c r="X315" s="2351">
        <f t="shared" si="124"/>
        <v>0</v>
      </c>
      <c r="Y315" s="2351">
        <f t="shared" si="124"/>
        <v>0</v>
      </c>
      <c r="Z315" s="2351">
        <f t="shared" si="124"/>
        <v>0</v>
      </c>
      <c r="AA315" s="2351">
        <f t="shared" si="124"/>
        <v>0</v>
      </c>
      <c r="AB315" s="2351">
        <f t="shared" si="124"/>
        <v>0</v>
      </c>
      <c r="AC315" s="2351">
        <f t="shared" si="124"/>
        <v>0</v>
      </c>
      <c r="AD315" s="2351">
        <f t="shared" si="124"/>
        <v>0</v>
      </c>
      <c r="AE315" s="2359">
        <f t="shared" si="124"/>
        <v>0</v>
      </c>
      <c r="AF315" s="2351">
        <f t="shared" si="124"/>
        <v>0</v>
      </c>
      <c r="AG315" s="2351">
        <f t="shared" si="124"/>
        <v>0</v>
      </c>
      <c r="AH315" s="2351">
        <f t="shared" si="124"/>
        <v>0</v>
      </c>
      <c r="AI315" s="2351">
        <f t="shared" si="124"/>
        <v>0</v>
      </c>
      <c r="AJ315" s="2351">
        <f t="shared" si="124"/>
        <v>0</v>
      </c>
      <c r="AK315" s="2351">
        <f t="shared" si="124"/>
        <v>0</v>
      </c>
      <c r="AL315" s="2351">
        <f t="shared" si="124"/>
        <v>0</v>
      </c>
      <c r="AM315" s="2351">
        <f t="shared" si="124"/>
        <v>0</v>
      </c>
      <c r="AN315" s="2351">
        <f t="shared" si="124"/>
        <v>0</v>
      </c>
      <c r="AO315" s="2351">
        <f t="shared" si="124"/>
        <v>0</v>
      </c>
      <c r="AP315" s="2351">
        <f t="shared" si="124"/>
        <v>0</v>
      </c>
      <c r="AQ315" s="2351">
        <f t="shared" si="124"/>
        <v>0</v>
      </c>
      <c r="AR315" s="2351">
        <f t="shared" si="124"/>
        <v>0</v>
      </c>
      <c r="AS315" s="2351">
        <f t="shared" si="124"/>
        <v>0</v>
      </c>
      <c r="AT315" s="2351">
        <f t="shared" si="124"/>
        <v>0</v>
      </c>
      <c r="AU315" s="2351">
        <f t="shared" si="124"/>
        <v>0</v>
      </c>
      <c r="AV315" s="2351">
        <f t="shared" si="124"/>
        <v>0</v>
      </c>
      <c r="AW315" s="2351">
        <f t="shared" si="124"/>
        <v>0</v>
      </c>
      <c r="AX315" s="2351">
        <f t="shared" si="124"/>
        <v>0</v>
      </c>
      <c r="AY315" s="2351">
        <f t="shared" si="124"/>
        <v>0</v>
      </c>
      <c r="AZ315" s="2351">
        <f t="shared" si="124"/>
        <v>0</v>
      </c>
      <c r="BA315" s="2351">
        <f>BA314-AP314</f>
        <v>0</v>
      </c>
      <c r="BB315" s="2351">
        <f>BB314-BA314</f>
        <v>0</v>
      </c>
      <c r="BC315" s="2310"/>
      <c r="BD315" s="2240"/>
    </row>
    <row r="316" spans="2:57" ht="15" hidden="1" customHeight="1" outlineLevel="2">
      <c r="B316" s="2339"/>
      <c r="C316" s="2356"/>
      <c r="D316" s="2350"/>
      <c r="E316" s="2351"/>
      <c r="F316" s="2351"/>
      <c r="G316" s="2351"/>
      <c r="H316" s="2351"/>
      <c r="I316" s="2351"/>
      <c r="J316" s="2351"/>
      <c r="K316" s="2351"/>
      <c r="L316" s="2351"/>
      <c r="M316" s="2351"/>
      <c r="N316" s="2351"/>
      <c r="O316" s="2351"/>
      <c r="P316" s="2351"/>
      <c r="Q316" s="2351"/>
      <c r="R316" s="2351"/>
      <c r="S316" s="2351"/>
      <c r="T316" s="2351"/>
      <c r="U316" s="2351"/>
      <c r="V316" s="2351"/>
      <c r="W316" s="2351"/>
      <c r="X316" s="2351"/>
      <c r="Y316" s="2351"/>
      <c r="Z316" s="2336"/>
      <c r="AA316" s="2336"/>
      <c r="AB316" s="2336"/>
      <c r="AC316" s="2336"/>
      <c r="AD316" s="2336"/>
      <c r="AE316" s="2337"/>
      <c r="AF316" s="2336"/>
      <c r="AG316" s="2336"/>
      <c r="AH316" s="2336"/>
      <c r="AI316" s="2336"/>
      <c r="AJ316" s="2336"/>
      <c r="AK316" s="2336"/>
      <c r="AL316" s="2336"/>
      <c r="AM316" s="2336"/>
      <c r="AN316" s="2336"/>
      <c r="AO316" s="2336"/>
      <c r="AP316" s="2336"/>
      <c r="AQ316" s="2336"/>
      <c r="AR316" s="2336"/>
      <c r="AS316" s="2336"/>
      <c r="AT316" s="2336"/>
      <c r="AU316" s="2336"/>
      <c r="AV316" s="2336"/>
      <c r="AW316" s="2336"/>
      <c r="AX316" s="2336"/>
      <c r="AY316" s="2336"/>
      <c r="AZ316" s="2336"/>
      <c r="BA316" s="2336"/>
      <c r="BB316" s="2336"/>
      <c r="BC316" s="2308"/>
      <c r="BD316" s="2240"/>
    </row>
    <row r="317" spans="2:57" ht="11.25" hidden="1" customHeight="1" outlineLevel="2">
      <c r="B317" s="2339"/>
      <c r="C317" s="2340"/>
      <c r="D317" s="2341"/>
      <c r="E317" s="2336"/>
      <c r="F317" s="2336"/>
      <c r="G317" s="2336"/>
      <c r="H317" s="2336"/>
      <c r="I317" s="2336"/>
      <c r="J317" s="2336"/>
      <c r="K317" s="2336"/>
      <c r="L317" s="2336"/>
      <c r="M317" s="2336"/>
      <c r="N317" s="2336"/>
      <c r="O317" s="2336"/>
      <c r="P317" s="2336"/>
      <c r="Q317" s="2336"/>
      <c r="R317" s="2336"/>
      <c r="S317" s="2336"/>
      <c r="T317" s="2336"/>
      <c r="U317" s="2336"/>
      <c r="V317" s="2336"/>
      <c r="W317" s="2336"/>
      <c r="X317" s="2336"/>
      <c r="Y317" s="2336"/>
      <c r="Z317" s="2336"/>
      <c r="AA317" s="2336"/>
      <c r="AB317" s="2336"/>
      <c r="AC317" s="2336"/>
      <c r="AD317" s="2336"/>
      <c r="AE317" s="2337"/>
      <c r="AF317" s="2336"/>
      <c r="AG317" s="2336"/>
      <c r="AH317" s="2336"/>
      <c r="AI317" s="2336"/>
      <c r="AJ317" s="2336"/>
      <c r="AK317" s="2336"/>
      <c r="AL317" s="2336"/>
      <c r="AM317" s="2336"/>
      <c r="AN317" s="2336"/>
      <c r="AO317" s="2336"/>
      <c r="AP317" s="2336"/>
      <c r="AQ317" s="2336"/>
      <c r="AR317" s="2336"/>
      <c r="AS317" s="2336"/>
      <c r="AT317" s="2336"/>
      <c r="AU317" s="2336"/>
      <c r="AV317" s="2336"/>
      <c r="AW317" s="2336"/>
      <c r="AX317" s="2336"/>
      <c r="AY317" s="2336"/>
      <c r="AZ317" s="2336"/>
      <c r="BA317" s="2336"/>
      <c r="BB317" s="2336"/>
      <c r="BC317" s="2308"/>
      <c r="BD317" s="2240"/>
    </row>
    <row r="318" spans="2:57" s="2203" customFormat="1" hidden="1" outlineLevel="1">
      <c r="B318" s="2342">
        <v>300</v>
      </c>
      <c r="C318" s="2357" t="s">
        <v>1931</v>
      </c>
      <c r="D318" s="2358" t="s">
        <v>1896</v>
      </c>
      <c r="E318" s="2338">
        <f>E335</f>
        <v>0</v>
      </c>
      <c r="F318" s="2338">
        <f t="shared" ref="F318:BB319" si="125">F335</f>
        <v>0</v>
      </c>
      <c r="G318" s="2338">
        <f t="shared" si="125"/>
        <v>0</v>
      </c>
      <c r="H318" s="2338">
        <f t="shared" si="125"/>
        <v>0</v>
      </c>
      <c r="I318" s="2338">
        <f t="shared" si="125"/>
        <v>0</v>
      </c>
      <c r="J318" s="2338">
        <f t="shared" si="125"/>
        <v>0</v>
      </c>
      <c r="K318" s="2338">
        <f t="shared" si="125"/>
        <v>0</v>
      </c>
      <c r="L318" s="2338">
        <f t="shared" si="125"/>
        <v>0</v>
      </c>
      <c r="M318" s="2338">
        <f t="shared" si="125"/>
        <v>0</v>
      </c>
      <c r="N318" s="2338">
        <f t="shared" si="125"/>
        <v>0</v>
      </c>
      <c r="O318" s="2338">
        <f t="shared" si="125"/>
        <v>0</v>
      </c>
      <c r="P318" s="2338">
        <f t="shared" si="125"/>
        <v>0</v>
      </c>
      <c r="Q318" s="2338">
        <f t="shared" si="125"/>
        <v>0</v>
      </c>
      <c r="R318" s="2338">
        <f t="shared" si="125"/>
        <v>0</v>
      </c>
      <c r="S318" s="2338">
        <f t="shared" si="125"/>
        <v>0</v>
      </c>
      <c r="T318" s="2338">
        <f t="shared" si="125"/>
        <v>0</v>
      </c>
      <c r="U318" s="2338">
        <f t="shared" si="125"/>
        <v>0</v>
      </c>
      <c r="V318" s="2338">
        <f t="shared" si="125"/>
        <v>0</v>
      </c>
      <c r="W318" s="2338">
        <f t="shared" si="125"/>
        <v>0</v>
      </c>
      <c r="X318" s="2338">
        <f t="shared" si="125"/>
        <v>0</v>
      </c>
      <c r="Y318" s="2338">
        <f t="shared" si="125"/>
        <v>0</v>
      </c>
      <c r="Z318" s="2338">
        <f t="shared" si="125"/>
        <v>0</v>
      </c>
      <c r="AA318" s="2338">
        <f t="shared" si="125"/>
        <v>0</v>
      </c>
      <c r="AB318" s="2338">
        <f t="shared" si="125"/>
        <v>0</v>
      </c>
      <c r="AC318" s="2338">
        <f t="shared" si="125"/>
        <v>0</v>
      </c>
      <c r="AD318" s="2338">
        <f t="shared" si="125"/>
        <v>0</v>
      </c>
      <c r="AE318" s="2338">
        <f t="shared" si="125"/>
        <v>0</v>
      </c>
      <c r="AF318" s="2338">
        <f t="shared" si="125"/>
        <v>0</v>
      </c>
      <c r="AG318" s="2338">
        <f t="shared" si="125"/>
        <v>0</v>
      </c>
      <c r="AH318" s="2338">
        <f t="shared" si="125"/>
        <v>0</v>
      </c>
      <c r="AI318" s="2338">
        <f t="shared" si="125"/>
        <v>0</v>
      </c>
      <c r="AJ318" s="2338">
        <f t="shared" si="125"/>
        <v>0</v>
      </c>
      <c r="AK318" s="2338">
        <f t="shared" si="125"/>
        <v>0</v>
      </c>
      <c r="AL318" s="2338">
        <f t="shared" si="125"/>
        <v>0</v>
      </c>
      <c r="AM318" s="2338">
        <f t="shared" si="125"/>
        <v>0</v>
      </c>
      <c r="AN318" s="2338">
        <f t="shared" si="125"/>
        <v>0</v>
      </c>
      <c r="AO318" s="2338">
        <f t="shared" si="125"/>
        <v>0</v>
      </c>
      <c r="AP318" s="2338">
        <f t="shared" si="125"/>
        <v>0</v>
      </c>
      <c r="AQ318" s="2338">
        <f t="shared" si="125"/>
        <v>0</v>
      </c>
      <c r="AR318" s="2338">
        <f t="shared" si="125"/>
        <v>0</v>
      </c>
      <c r="AS318" s="2338">
        <f t="shared" si="125"/>
        <v>0</v>
      </c>
      <c r="AT318" s="2338">
        <f t="shared" si="125"/>
        <v>0</v>
      </c>
      <c r="AU318" s="2338">
        <f t="shared" si="125"/>
        <v>0</v>
      </c>
      <c r="AV318" s="2338">
        <f t="shared" si="125"/>
        <v>0</v>
      </c>
      <c r="AW318" s="2338">
        <f t="shared" si="125"/>
        <v>0</v>
      </c>
      <c r="AX318" s="2338">
        <f t="shared" si="125"/>
        <v>0</v>
      </c>
      <c r="AY318" s="2338">
        <f t="shared" si="125"/>
        <v>0</v>
      </c>
      <c r="AZ318" s="2338">
        <f t="shared" si="125"/>
        <v>0</v>
      </c>
      <c r="BA318" s="2338">
        <f t="shared" si="125"/>
        <v>0</v>
      </c>
      <c r="BB318" s="2338">
        <f t="shared" si="125"/>
        <v>0</v>
      </c>
      <c r="BC318" s="2301"/>
      <c r="BD318" s="2208"/>
      <c r="BE318" s="2297"/>
    </row>
    <row r="319" spans="2:57" s="2203" customFormat="1" hidden="1" outlineLevel="1">
      <c r="B319" s="2342"/>
      <c r="C319" s="2357"/>
      <c r="D319" s="2358" t="s">
        <v>1897</v>
      </c>
      <c r="E319" s="2338">
        <f>E336</f>
        <v>0</v>
      </c>
      <c r="F319" s="2338">
        <f t="shared" si="125"/>
        <v>0</v>
      </c>
      <c r="G319" s="2338">
        <f t="shared" si="125"/>
        <v>0</v>
      </c>
      <c r="H319" s="2338">
        <f t="shared" si="125"/>
        <v>0</v>
      </c>
      <c r="I319" s="2338">
        <f t="shared" si="125"/>
        <v>0</v>
      </c>
      <c r="J319" s="2338">
        <f t="shared" si="125"/>
        <v>0</v>
      </c>
      <c r="K319" s="2338">
        <f t="shared" si="125"/>
        <v>0</v>
      </c>
      <c r="L319" s="2338">
        <f t="shared" si="125"/>
        <v>0</v>
      </c>
      <c r="M319" s="2338">
        <f t="shared" si="125"/>
        <v>0</v>
      </c>
      <c r="N319" s="2338">
        <f t="shared" si="125"/>
        <v>0</v>
      </c>
      <c r="O319" s="2338">
        <f t="shared" si="125"/>
        <v>0</v>
      </c>
      <c r="P319" s="2338">
        <f t="shared" si="125"/>
        <v>0</v>
      </c>
      <c r="Q319" s="2338">
        <f t="shared" si="125"/>
        <v>0</v>
      </c>
      <c r="R319" s="2338">
        <f t="shared" si="125"/>
        <v>0</v>
      </c>
      <c r="S319" s="2338">
        <f t="shared" si="125"/>
        <v>0</v>
      </c>
      <c r="T319" s="2338">
        <f t="shared" si="125"/>
        <v>0</v>
      </c>
      <c r="U319" s="2338">
        <f t="shared" si="125"/>
        <v>0</v>
      </c>
      <c r="V319" s="2338">
        <f t="shared" si="125"/>
        <v>0</v>
      </c>
      <c r="W319" s="2338">
        <f t="shared" si="125"/>
        <v>0</v>
      </c>
      <c r="X319" s="2338">
        <f t="shared" si="125"/>
        <v>0</v>
      </c>
      <c r="Y319" s="2338">
        <f t="shared" si="125"/>
        <v>0</v>
      </c>
      <c r="Z319" s="2338">
        <f t="shared" si="125"/>
        <v>0</v>
      </c>
      <c r="AA319" s="2338">
        <f t="shared" si="125"/>
        <v>0</v>
      </c>
      <c r="AB319" s="2338">
        <f t="shared" si="125"/>
        <v>0</v>
      </c>
      <c r="AC319" s="2338">
        <f t="shared" si="125"/>
        <v>0</v>
      </c>
      <c r="AD319" s="2338">
        <f t="shared" si="125"/>
        <v>0</v>
      </c>
      <c r="AE319" s="2338">
        <f t="shared" si="125"/>
        <v>0</v>
      </c>
      <c r="AF319" s="2338">
        <f t="shared" si="125"/>
        <v>0</v>
      </c>
      <c r="AG319" s="2338">
        <f t="shared" si="125"/>
        <v>0</v>
      </c>
      <c r="AH319" s="2338">
        <f t="shared" si="125"/>
        <v>0</v>
      </c>
      <c r="AI319" s="2338">
        <f t="shared" si="125"/>
        <v>0</v>
      </c>
      <c r="AJ319" s="2338">
        <f t="shared" si="125"/>
        <v>0</v>
      </c>
      <c r="AK319" s="2338">
        <f t="shared" si="125"/>
        <v>0</v>
      </c>
      <c r="AL319" s="2338">
        <f t="shared" si="125"/>
        <v>0</v>
      </c>
      <c r="AM319" s="2338">
        <f t="shared" si="125"/>
        <v>0</v>
      </c>
      <c r="AN319" s="2338">
        <f t="shared" si="125"/>
        <v>0</v>
      </c>
      <c r="AO319" s="2338">
        <f t="shared" si="125"/>
        <v>0</v>
      </c>
      <c r="AP319" s="2338">
        <f t="shared" si="125"/>
        <v>0</v>
      </c>
      <c r="AQ319" s="2338">
        <f t="shared" si="125"/>
        <v>0</v>
      </c>
      <c r="AR319" s="2338">
        <f t="shared" si="125"/>
        <v>0</v>
      </c>
      <c r="AS319" s="2338">
        <f t="shared" si="125"/>
        <v>0</v>
      </c>
      <c r="AT319" s="2338">
        <f t="shared" si="125"/>
        <v>0</v>
      </c>
      <c r="AU319" s="2338">
        <f t="shared" si="125"/>
        <v>0</v>
      </c>
      <c r="AV319" s="2338">
        <f t="shared" si="125"/>
        <v>0</v>
      </c>
      <c r="AW319" s="2338">
        <f t="shared" si="125"/>
        <v>0</v>
      </c>
      <c r="AX319" s="2338">
        <f t="shared" si="125"/>
        <v>0</v>
      </c>
      <c r="AY319" s="2338">
        <f t="shared" si="125"/>
        <v>0</v>
      </c>
      <c r="AZ319" s="2338">
        <f t="shared" si="125"/>
        <v>0</v>
      </c>
      <c r="BA319" s="2338">
        <f t="shared" si="125"/>
        <v>0</v>
      </c>
      <c r="BB319" s="2338">
        <f t="shared" si="125"/>
        <v>0</v>
      </c>
      <c r="BC319" s="2308"/>
      <c r="BD319" s="2208"/>
    </row>
    <row r="320" spans="2:57" ht="9" hidden="1" customHeight="1" outlineLevel="2">
      <c r="B320" s="2298"/>
      <c r="C320" s="2299"/>
      <c r="D320" s="2300"/>
      <c r="E320" s="2293"/>
      <c r="F320" s="2293"/>
      <c r="G320" s="2293"/>
      <c r="H320" s="2293"/>
      <c r="I320" s="2293"/>
      <c r="J320" s="2293"/>
      <c r="K320" s="2293"/>
      <c r="L320" s="2293"/>
      <c r="M320" s="2293"/>
      <c r="N320" s="2293"/>
      <c r="O320" s="2293"/>
      <c r="P320" s="2293"/>
      <c r="Q320" s="2293"/>
      <c r="R320" s="2293"/>
      <c r="S320" s="2293"/>
      <c r="T320" s="2293"/>
      <c r="U320" s="2293"/>
      <c r="V320" s="2293"/>
      <c r="W320" s="2293"/>
      <c r="X320" s="2293"/>
      <c r="Y320" s="2293"/>
      <c r="Z320" s="2293"/>
      <c r="AA320" s="2293"/>
      <c r="AB320" s="2293"/>
      <c r="AC320" s="2293"/>
      <c r="AD320" s="2293"/>
      <c r="AE320" s="2294"/>
      <c r="AF320" s="2295"/>
      <c r="AG320" s="2295"/>
      <c r="AH320" s="2295"/>
      <c r="AI320" s="2295"/>
      <c r="AJ320" s="2295"/>
      <c r="AK320" s="2295"/>
      <c r="AL320" s="2295"/>
      <c r="AM320" s="2295"/>
      <c r="AN320" s="2295"/>
      <c r="AO320" s="2295"/>
      <c r="AP320" s="2295"/>
      <c r="AQ320" s="2295"/>
      <c r="AR320" s="2295"/>
      <c r="AS320" s="2295"/>
      <c r="AT320" s="2295"/>
      <c r="AU320" s="2295"/>
      <c r="AV320" s="2295"/>
      <c r="AW320" s="2295"/>
      <c r="AX320" s="2295"/>
      <c r="AY320" s="2295"/>
      <c r="AZ320" s="2295"/>
      <c r="BA320" s="2295"/>
      <c r="BB320" s="2295"/>
      <c r="BC320" s="2301"/>
      <c r="BD320" s="2240"/>
    </row>
    <row r="321" spans="2:56" ht="18.75" hidden="1" customHeight="1" outlineLevel="2">
      <c r="B321" s="2360">
        <v>300.10000000000002</v>
      </c>
      <c r="C321" s="2361" t="s">
        <v>1940</v>
      </c>
      <c r="D321" s="2362">
        <v>0</v>
      </c>
      <c r="E321" s="2345"/>
      <c r="F321" s="2345"/>
      <c r="G321" s="2345"/>
      <c r="H321" s="2345"/>
      <c r="I321" s="2345"/>
      <c r="J321" s="2345"/>
      <c r="K321" s="2345"/>
      <c r="L321" s="2345"/>
      <c r="M321" s="2345"/>
      <c r="N321" s="2345"/>
      <c r="O321" s="2345"/>
      <c r="P321" s="2345"/>
      <c r="Q321" s="2345"/>
      <c r="R321" s="2345"/>
      <c r="S321" s="2345"/>
      <c r="T321" s="2345"/>
      <c r="U321" s="2345"/>
      <c r="V321" s="2345"/>
      <c r="W321" s="2345"/>
      <c r="X321" s="2345"/>
      <c r="Y321" s="2345"/>
      <c r="Z321" s="2345"/>
      <c r="AA321" s="2345"/>
      <c r="AB321" s="2345"/>
      <c r="AC321" s="2345"/>
      <c r="AD321" s="2345"/>
      <c r="AE321" s="2346"/>
      <c r="AF321" s="2345"/>
      <c r="AG321" s="2345"/>
      <c r="AH321" s="2345"/>
      <c r="AI321" s="2345"/>
      <c r="AJ321" s="2345"/>
      <c r="AK321" s="2345"/>
      <c r="AL321" s="2345"/>
      <c r="AM321" s="2345"/>
      <c r="AN321" s="2345"/>
      <c r="AO321" s="2345"/>
      <c r="AP321" s="2345"/>
      <c r="AQ321" s="2345"/>
      <c r="AR321" s="2345"/>
      <c r="AS321" s="2345"/>
      <c r="AT321" s="2345"/>
      <c r="AU321" s="2345"/>
      <c r="AV321" s="2345"/>
      <c r="AW321" s="2345"/>
      <c r="AX321" s="2345"/>
      <c r="AY321" s="2345"/>
      <c r="AZ321" s="2345"/>
      <c r="BA321" s="2345"/>
      <c r="BB321" s="2345"/>
      <c r="BC321" s="2308"/>
      <c r="BD321" s="2240"/>
    </row>
    <row r="322" spans="2:56" ht="15" hidden="1" customHeight="1" outlineLevel="3">
      <c r="B322" s="2339"/>
      <c r="C322" s="2347" t="s">
        <v>1898</v>
      </c>
      <c r="D322" s="2341" t="s">
        <v>1899</v>
      </c>
      <c r="E322" s="2336">
        <v>0</v>
      </c>
      <c r="F322" s="2336">
        <v>0</v>
      </c>
      <c r="G322" s="2336">
        <v>0</v>
      </c>
      <c r="H322" s="2336">
        <v>0</v>
      </c>
      <c r="I322" s="2336">
        <v>0</v>
      </c>
      <c r="J322" s="2336">
        <v>0</v>
      </c>
      <c r="K322" s="2336">
        <v>0</v>
      </c>
      <c r="L322" s="2336">
        <v>0</v>
      </c>
      <c r="M322" s="2336">
        <v>0</v>
      </c>
      <c r="N322" s="2336">
        <v>0</v>
      </c>
      <c r="O322" s="2336">
        <v>0</v>
      </c>
      <c r="P322" s="2336">
        <v>0</v>
      </c>
      <c r="Q322" s="2336">
        <v>0</v>
      </c>
      <c r="R322" s="2336">
        <v>0</v>
      </c>
      <c r="S322" s="2336">
        <v>0</v>
      </c>
      <c r="T322" s="2336">
        <v>0</v>
      </c>
      <c r="U322" s="2336">
        <v>0</v>
      </c>
      <c r="V322" s="2336">
        <v>0</v>
      </c>
      <c r="W322" s="2336">
        <v>0</v>
      </c>
      <c r="X322" s="2336">
        <v>0</v>
      </c>
      <c r="Y322" s="2336">
        <v>0</v>
      </c>
      <c r="Z322" s="2336">
        <v>0</v>
      </c>
      <c r="AA322" s="2336">
        <v>0</v>
      </c>
      <c r="AB322" s="2336">
        <f t="shared" ref="AB322:BB322" si="126">AB211</f>
        <v>0</v>
      </c>
      <c r="AC322" s="2336">
        <f t="shared" si="126"/>
        <v>0</v>
      </c>
      <c r="AD322" s="2336">
        <f t="shared" si="126"/>
        <v>0</v>
      </c>
      <c r="AE322" s="2337">
        <f t="shared" si="126"/>
        <v>0</v>
      </c>
      <c r="AF322" s="2336">
        <f t="shared" si="126"/>
        <v>0</v>
      </c>
      <c r="AG322" s="2336">
        <f t="shared" si="126"/>
        <v>0</v>
      </c>
      <c r="AH322" s="2336">
        <f t="shared" si="126"/>
        <v>0</v>
      </c>
      <c r="AI322" s="2336">
        <f t="shared" si="126"/>
        <v>0</v>
      </c>
      <c r="AJ322" s="2336">
        <f t="shared" si="126"/>
        <v>0</v>
      </c>
      <c r="AK322" s="2336">
        <f t="shared" si="126"/>
        <v>0</v>
      </c>
      <c r="AL322" s="2336">
        <f t="shared" si="126"/>
        <v>0</v>
      </c>
      <c r="AM322" s="2336">
        <f t="shared" si="126"/>
        <v>0</v>
      </c>
      <c r="AN322" s="2336">
        <f t="shared" si="126"/>
        <v>0</v>
      </c>
      <c r="AO322" s="2336">
        <f t="shared" si="126"/>
        <v>0</v>
      </c>
      <c r="AP322" s="2336">
        <f t="shared" si="126"/>
        <v>0</v>
      </c>
      <c r="AQ322" s="2336">
        <f t="shared" si="126"/>
        <v>0</v>
      </c>
      <c r="AR322" s="2336">
        <f t="shared" si="126"/>
        <v>0</v>
      </c>
      <c r="AS322" s="2336">
        <f t="shared" si="126"/>
        <v>0</v>
      </c>
      <c r="AT322" s="2336">
        <f t="shared" si="126"/>
        <v>0</v>
      </c>
      <c r="AU322" s="2336">
        <f t="shared" si="126"/>
        <v>0</v>
      </c>
      <c r="AV322" s="2336">
        <f t="shared" si="126"/>
        <v>0</v>
      </c>
      <c r="AW322" s="2336">
        <f t="shared" si="126"/>
        <v>0</v>
      </c>
      <c r="AX322" s="2336">
        <f t="shared" si="126"/>
        <v>0</v>
      </c>
      <c r="AY322" s="2336">
        <f t="shared" si="126"/>
        <v>0</v>
      </c>
      <c r="AZ322" s="2336">
        <f t="shared" si="126"/>
        <v>0</v>
      </c>
      <c r="BA322" s="2336">
        <f t="shared" si="126"/>
        <v>0</v>
      </c>
      <c r="BB322" s="2336">
        <f t="shared" si="126"/>
        <v>0</v>
      </c>
      <c r="BC322" s="2310"/>
      <c r="BD322" s="2240"/>
    </row>
    <row r="323" spans="2:56" ht="15" hidden="1" customHeight="1" outlineLevel="3">
      <c r="B323" s="2339"/>
      <c r="C323" s="2347" t="s">
        <v>1901</v>
      </c>
      <c r="D323" s="2341" t="s">
        <v>1902</v>
      </c>
      <c r="E323" s="2336">
        <v>0</v>
      </c>
      <c r="F323" s="2336">
        <v>0</v>
      </c>
      <c r="G323" s="2336">
        <v>0</v>
      </c>
      <c r="H323" s="2336">
        <v>0</v>
      </c>
      <c r="I323" s="2336">
        <v>0</v>
      </c>
      <c r="J323" s="2336">
        <v>0</v>
      </c>
      <c r="K323" s="2336">
        <v>0</v>
      </c>
      <c r="L323" s="2336">
        <v>0</v>
      </c>
      <c r="M323" s="2336">
        <v>0</v>
      </c>
      <c r="N323" s="2336">
        <v>0</v>
      </c>
      <c r="O323" s="2336">
        <v>0</v>
      </c>
      <c r="P323" s="2336">
        <v>0</v>
      </c>
      <c r="Q323" s="2336">
        <v>0</v>
      </c>
      <c r="R323" s="2336">
        <v>0</v>
      </c>
      <c r="S323" s="2336">
        <v>0</v>
      </c>
      <c r="T323" s="2336">
        <v>0</v>
      </c>
      <c r="U323" s="2336">
        <v>0</v>
      </c>
      <c r="V323" s="2336">
        <v>0</v>
      </c>
      <c r="W323" s="2336">
        <v>0</v>
      </c>
      <c r="X323" s="2336">
        <v>0</v>
      </c>
      <c r="Y323" s="2336">
        <v>0</v>
      </c>
      <c r="Z323" s="2336">
        <v>0</v>
      </c>
      <c r="AA323" s="2336">
        <v>0</v>
      </c>
      <c r="AB323" s="2336">
        <v>0</v>
      </c>
      <c r="AC323" s="2336">
        <v>0</v>
      </c>
      <c r="AD323" s="2336">
        <v>0</v>
      </c>
      <c r="AE323" s="2337">
        <v>0</v>
      </c>
      <c r="AF323" s="2336">
        <v>0</v>
      </c>
      <c r="AG323" s="2336">
        <v>0</v>
      </c>
      <c r="AH323" s="2336">
        <v>0</v>
      </c>
      <c r="AI323" s="2336">
        <v>0</v>
      </c>
      <c r="AJ323" s="2336">
        <v>0</v>
      </c>
      <c r="AK323" s="2336">
        <v>0</v>
      </c>
      <c r="AL323" s="2336">
        <v>0</v>
      </c>
      <c r="AM323" s="2336">
        <v>0</v>
      </c>
      <c r="AN323" s="2336">
        <v>0</v>
      </c>
      <c r="AO323" s="2336">
        <v>0</v>
      </c>
      <c r="AP323" s="2336">
        <v>0</v>
      </c>
      <c r="AQ323" s="2336">
        <v>0</v>
      </c>
      <c r="AR323" s="2336">
        <v>0</v>
      </c>
      <c r="AS323" s="2336">
        <v>0</v>
      </c>
      <c r="AT323" s="2336">
        <v>0</v>
      </c>
      <c r="AU323" s="2336">
        <v>0</v>
      </c>
      <c r="AV323" s="2336">
        <v>0</v>
      </c>
      <c r="AW323" s="2336">
        <v>0</v>
      </c>
      <c r="AX323" s="2336">
        <v>0</v>
      </c>
      <c r="AY323" s="2336">
        <v>0</v>
      </c>
      <c r="AZ323" s="2336">
        <v>0</v>
      </c>
      <c r="BA323" s="2336">
        <v>0</v>
      </c>
      <c r="BB323" s="2336">
        <v>0</v>
      </c>
      <c r="BC323" s="2310"/>
      <c r="BD323" s="2240"/>
    </row>
    <row r="324" spans="2:56" ht="15" hidden="1" customHeight="1" outlineLevel="3">
      <c r="B324" s="2339"/>
      <c r="C324" s="2347" t="s">
        <v>1903</v>
      </c>
      <c r="D324" s="2341" t="s">
        <v>1904</v>
      </c>
      <c r="E324" s="2336">
        <v>0</v>
      </c>
      <c r="F324" s="2336">
        <v>0</v>
      </c>
      <c r="G324" s="2336">
        <v>0</v>
      </c>
      <c r="H324" s="2336">
        <v>0</v>
      </c>
      <c r="I324" s="2336">
        <v>0</v>
      </c>
      <c r="J324" s="2336">
        <v>0</v>
      </c>
      <c r="K324" s="2336">
        <v>0</v>
      </c>
      <c r="L324" s="2336">
        <v>0</v>
      </c>
      <c r="M324" s="2336">
        <v>0</v>
      </c>
      <c r="N324" s="2336">
        <v>0</v>
      </c>
      <c r="O324" s="2336">
        <v>0</v>
      </c>
      <c r="P324" s="2336">
        <v>0</v>
      </c>
      <c r="Q324" s="2336">
        <v>0</v>
      </c>
      <c r="R324" s="2336">
        <v>0</v>
      </c>
      <c r="S324" s="2336">
        <v>0</v>
      </c>
      <c r="T324" s="2336">
        <v>0</v>
      </c>
      <c r="U324" s="2336">
        <v>0</v>
      </c>
      <c r="V324" s="2336">
        <v>0</v>
      </c>
      <c r="W324" s="2336">
        <v>0</v>
      </c>
      <c r="X324" s="2336">
        <v>0</v>
      </c>
      <c r="Y324" s="2336">
        <v>0</v>
      </c>
      <c r="Z324" s="2336">
        <v>0</v>
      </c>
      <c r="AA324" s="2336">
        <v>0</v>
      </c>
      <c r="AB324" s="2336">
        <v>0</v>
      </c>
      <c r="AC324" s="2336">
        <v>0</v>
      </c>
      <c r="AD324" s="2336">
        <v>0</v>
      </c>
      <c r="AE324" s="2337">
        <v>0</v>
      </c>
      <c r="AF324" s="2336">
        <v>0</v>
      </c>
      <c r="AG324" s="2336">
        <v>0</v>
      </c>
      <c r="AH324" s="2336">
        <v>0</v>
      </c>
      <c r="AI324" s="2336">
        <v>0</v>
      </c>
      <c r="AJ324" s="2336">
        <v>0</v>
      </c>
      <c r="AK324" s="2336">
        <v>0</v>
      </c>
      <c r="AL324" s="2336">
        <v>0</v>
      </c>
      <c r="AM324" s="2336">
        <v>0</v>
      </c>
      <c r="AN324" s="2336">
        <v>0</v>
      </c>
      <c r="AO324" s="2336">
        <v>0</v>
      </c>
      <c r="AP324" s="2336">
        <v>0</v>
      </c>
      <c r="AQ324" s="2336">
        <v>0</v>
      </c>
      <c r="AR324" s="2336">
        <v>0</v>
      </c>
      <c r="AS324" s="2336">
        <v>0</v>
      </c>
      <c r="AT324" s="2336">
        <v>0</v>
      </c>
      <c r="AU324" s="2336">
        <v>0</v>
      </c>
      <c r="AV324" s="2336">
        <v>0</v>
      </c>
      <c r="AW324" s="2336">
        <v>0</v>
      </c>
      <c r="AX324" s="2336">
        <v>0</v>
      </c>
      <c r="AY324" s="2336">
        <v>0</v>
      </c>
      <c r="AZ324" s="2336">
        <v>0</v>
      </c>
      <c r="BA324" s="2336">
        <v>0</v>
      </c>
      <c r="BB324" s="2336">
        <v>0</v>
      </c>
      <c r="BC324" s="2310"/>
      <c r="BD324" s="2240"/>
    </row>
    <row r="325" spans="2:56" s="2203" customFormat="1" ht="15" hidden="1" customHeight="1" outlineLevel="3">
      <c r="B325" s="2348"/>
      <c r="C325" s="2349" t="s">
        <v>1905</v>
      </c>
      <c r="D325" s="2350" t="s">
        <v>1906</v>
      </c>
      <c r="E325" s="2351">
        <f>E322+E323+E324</f>
        <v>0</v>
      </c>
      <c r="F325" s="2351">
        <f t="shared" ref="F325:Y325" si="127">F322+F323+F324</f>
        <v>0</v>
      </c>
      <c r="G325" s="2351">
        <f t="shared" si="127"/>
        <v>0</v>
      </c>
      <c r="H325" s="2351">
        <f t="shared" si="127"/>
        <v>0</v>
      </c>
      <c r="I325" s="2351">
        <f t="shared" si="127"/>
        <v>0</v>
      </c>
      <c r="J325" s="2351">
        <f t="shared" si="127"/>
        <v>0</v>
      </c>
      <c r="K325" s="2351">
        <f t="shared" si="127"/>
        <v>0</v>
      </c>
      <c r="L325" s="2351">
        <f t="shared" si="127"/>
        <v>0</v>
      </c>
      <c r="M325" s="2351">
        <f t="shared" si="127"/>
        <v>0</v>
      </c>
      <c r="N325" s="2351">
        <f t="shared" si="127"/>
        <v>0</v>
      </c>
      <c r="O325" s="2351">
        <f t="shared" si="127"/>
        <v>0</v>
      </c>
      <c r="P325" s="2351">
        <f t="shared" si="127"/>
        <v>0</v>
      </c>
      <c r="Q325" s="2351">
        <f t="shared" si="127"/>
        <v>0</v>
      </c>
      <c r="R325" s="2351">
        <f t="shared" si="127"/>
        <v>0</v>
      </c>
      <c r="S325" s="2351">
        <f t="shared" si="127"/>
        <v>0</v>
      </c>
      <c r="T325" s="2351">
        <f t="shared" si="127"/>
        <v>0</v>
      </c>
      <c r="U325" s="2351">
        <f t="shared" si="127"/>
        <v>0</v>
      </c>
      <c r="V325" s="2351">
        <f t="shared" si="127"/>
        <v>0</v>
      </c>
      <c r="W325" s="2351">
        <f t="shared" si="127"/>
        <v>0</v>
      </c>
      <c r="X325" s="2351">
        <f t="shared" si="127"/>
        <v>0</v>
      </c>
      <c r="Y325" s="2351">
        <f t="shared" si="127"/>
        <v>0</v>
      </c>
      <c r="Z325" s="2351"/>
      <c r="AA325" s="2351"/>
      <c r="AB325" s="2351">
        <f t="shared" ref="AB325:BB325" si="128">AB322+AB323+AB324</f>
        <v>0</v>
      </c>
      <c r="AC325" s="2351">
        <f t="shared" si="128"/>
        <v>0</v>
      </c>
      <c r="AD325" s="2351">
        <f t="shared" si="128"/>
        <v>0</v>
      </c>
      <c r="AE325" s="2359">
        <f t="shared" si="128"/>
        <v>0</v>
      </c>
      <c r="AF325" s="2351">
        <f t="shared" si="128"/>
        <v>0</v>
      </c>
      <c r="AG325" s="2351">
        <f t="shared" si="128"/>
        <v>0</v>
      </c>
      <c r="AH325" s="2351">
        <f t="shared" si="128"/>
        <v>0</v>
      </c>
      <c r="AI325" s="2351">
        <f t="shared" si="128"/>
        <v>0</v>
      </c>
      <c r="AJ325" s="2351">
        <f t="shared" si="128"/>
        <v>0</v>
      </c>
      <c r="AK325" s="2351">
        <f t="shared" si="128"/>
        <v>0</v>
      </c>
      <c r="AL325" s="2351">
        <f t="shared" si="128"/>
        <v>0</v>
      </c>
      <c r="AM325" s="2351">
        <f t="shared" si="128"/>
        <v>0</v>
      </c>
      <c r="AN325" s="2351">
        <f t="shared" si="128"/>
        <v>0</v>
      </c>
      <c r="AO325" s="2351">
        <f t="shared" si="128"/>
        <v>0</v>
      </c>
      <c r="AP325" s="2351">
        <f t="shared" si="128"/>
        <v>0</v>
      </c>
      <c r="AQ325" s="2351">
        <f t="shared" si="128"/>
        <v>0</v>
      </c>
      <c r="AR325" s="2351">
        <f t="shared" si="128"/>
        <v>0</v>
      </c>
      <c r="AS325" s="2351">
        <f t="shared" si="128"/>
        <v>0</v>
      </c>
      <c r="AT325" s="2351">
        <f t="shared" si="128"/>
        <v>0</v>
      </c>
      <c r="AU325" s="2351">
        <f t="shared" si="128"/>
        <v>0</v>
      </c>
      <c r="AV325" s="2351">
        <f t="shared" si="128"/>
        <v>0</v>
      </c>
      <c r="AW325" s="2351">
        <f t="shared" si="128"/>
        <v>0</v>
      </c>
      <c r="AX325" s="2351">
        <f t="shared" si="128"/>
        <v>0</v>
      </c>
      <c r="AY325" s="2351">
        <f t="shared" si="128"/>
        <v>0</v>
      </c>
      <c r="AZ325" s="2351">
        <f t="shared" si="128"/>
        <v>0</v>
      </c>
      <c r="BA325" s="2351">
        <f t="shared" si="128"/>
        <v>0</v>
      </c>
      <c r="BB325" s="2351">
        <f t="shared" si="128"/>
        <v>0</v>
      </c>
      <c r="BC325" s="2308"/>
      <c r="BD325" s="2208"/>
    </row>
    <row r="326" spans="2:56" s="2203" customFormat="1" ht="15" hidden="1" customHeight="1" outlineLevel="3">
      <c r="B326" s="2348"/>
      <c r="C326" s="2352" t="s">
        <v>1907</v>
      </c>
      <c r="D326" s="2350" t="s">
        <v>1908</v>
      </c>
      <c r="E326" s="2351">
        <v>0</v>
      </c>
      <c r="F326" s="2351">
        <v>0</v>
      </c>
      <c r="G326" s="2351">
        <v>0</v>
      </c>
      <c r="H326" s="2351">
        <v>0</v>
      </c>
      <c r="I326" s="2351">
        <v>0</v>
      </c>
      <c r="J326" s="2351">
        <v>0</v>
      </c>
      <c r="K326" s="2351">
        <v>0</v>
      </c>
      <c r="L326" s="2351">
        <v>0</v>
      </c>
      <c r="M326" s="2351">
        <v>0</v>
      </c>
      <c r="N326" s="2351">
        <v>0</v>
      </c>
      <c r="O326" s="2351">
        <v>0</v>
      </c>
      <c r="P326" s="2351">
        <v>0</v>
      </c>
      <c r="Q326" s="2351">
        <v>0</v>
      </c>
      <c r="R326" s="2351">
        <v>0</v>
      </c>
      <c r="S326" s="2351">
        <v>0</v>
      </c>
      <c r="T326" s="2351">
        <v>0</v>
      </c>
      <c r="U326" s="2351">
        <v>0</v>
      </c>
      <c r="V326" s="2351">
        <v>0</v>
      </c>
      <c r="W326" s="2351">
        <v>0</v>
      </c>
      <c r="X326" s="2351">
        <v>0</v>
      </c>
      <c r="Y326" s="2351">
        <v>0</v>
      </c>
      <c r="Z326" s="2351">
        <v>0</v>
      </c>
      <c r="AA326" s="2351">
        <v>0</v>
      </c>
      <c r="AB326" s="2351">
        <v>0</v>
      </c>
      <c r="AC326" s="2351">
        <v>0</v>
      </c>
      <c r="AD326" s="2351">
        <v>0</v>
      </c>
      <c r="AE326" s="2359">
        <v>0</v>
      </c>
      <c r="AF326" s="2351">
        <v>0</v>
      </c>
      <c r="AG326" s="2351">
        <v>0</v>
      </c>
      <c r="AH326" s="2351">
        <v>0</v>
      </c>
      <c r="AI326" s="2351">
        <v>0</v>
      </c>
      <c r="AJ326" s="2351">
        <v>0</v>
      </c>
      <c r="AK326" s="2351">
        <v>0</v>
      </c>
      <c r="AL326" s="2351">
        <v>0</v>
      </c>
      <c r="AM326" s="2351">
        <v>0</v>
      </c>
      <c r="AN326" s="2351">
        <v>0</v>
      </c>
      <c r="AO326" s="2351">
        <v>0</v>
      </c>
      <c r="AP326" s="2351">
        <v>0</v>
      </c>
      <c r="AQ326" s="2351">
        <v>0</v>
      </c>
      <c r="AR326" s="2351">
        <v>0</v>
      </c>
      <c r="AS326" s="2351">
        <v>0</v>
      </c>
      <c r="AT326" s="2351">
        <v>0</v>
      </c>
      <c r="AU326" s="2351">
        <v>0</v>
      </c>
      <c r="AV326" s="2351">
        <v>0</v>
      </c>
      <c r="AW326" s="2351">
        <v>0</v>
      </c>
      <c r="AX326" s="2351">
        <v>0</v>
      </c>
      <c r="AY326" s="2351">
        <v>0</v>
      </c>
      <c r="AZ326" s="2351">
        <v>0</v>
      </c>
      <c r="BA326" s="2351">
        <v>0</v>
      </c>
      <c r="BB326" s="2351">
        <v>0</v>
      </c>
      <c r="BC326" s="2308"/>
      <c r="BD326" s="2208"/>
    </row>
    <row r="327" spans="2:56" s="2226" customFormat="1" ht="15" hidden="1" customHeight="1" outlineLevel="3">
      <c r="B327" s="2339"/>
      <c r="C327" s="2353" t="s">
        <v>1579</v>
      </c>
      <c r="D327" s="2341" t="s">
        <v>1909</v>
      </c>
      <c r="E327" s="2336">
        <v>0</v>
      </c>
      <c r="F327" s="2336">
        <v>0</v>
      </c>
      <c r="G327" s="2336">
        <v>0</v>
      </c>
      <c r="H327" s="2336">
        <v>0</v>
      </c>
      <c r="I327" s="2336">
        <v>0</v>
      </c>
      <c r="J327" s="2336">
        <v>0</v>
      </c>
      <c r="K327" s="2336">
        <v>0</v>
      </c>
      <c r="L327" s="2336">
        <v>0</v>
      </c>
      <c r="M327" s="2336">
        <v>0</v>
      </c>
      <c r="N327" s="2336">
        <v>0</v>
      </c>
      <c r="O327" s="2336">
        <v>0</v>
      </c>
      <c r="P327" s="2336">
        <v>0</v>
      </c>
      <c r="Q327" s="2336">
        <v>0</v>
      </c>
      <c r="R327" s="2336">
        <v>0</v>
      </c>
      <c r="S327" s="2336">
        <v>0</v>
      </c>
      <c r="T327" s="2336">
        <v>0</v>
      </c>
      <c r="U327" s="2336">
        <v>0</v>
      </c>
      <c r="V327" s="2336">
        <v>0</v>
      </c>
      <c r="W327" s="2336">
        <v>0</v>
      </c>
      <c r="X327" s="2336">
        <v>0</v>
      </c>
      <c r="Y327" s="2336">
        <v>0</v>
      </c>
      <c r="Z327" s="2336">
        <v>0</v>
      </c>
      <c r="AA327" s="2336">
        <v>0</v>
      </c>
      <c r="AB327" s="2336">
        <v>0</v>
      </c>
      <c r="AC327" s="2336">
        <v>0</v>
      </c>
      <c r="AD327" s="2336">
        <v>0</v>
      </c>
      <c r="AE327" s="2337">
        <v>0</v>
      </c>
      <c r="AF327" s="2336">
        <v>0</v>
      </c>
      <c r="AG327" s="2336">
        <v>0</v>
      </c>
      <c r="AH327" s="2336">
        <v>0</v>
      </c>
      <c r="AI327" s="2336">
        <v>0</v>
      </c>
      <c r="AJ327" s="2336">
        <v>0</v>
      </c>
      <c r="AK327" s="2336">
        <v>0</v>
      </c>
      <c r="AL327" s="2336">
        <v>0</v>
      </c>
      <c r="AM327" s="2336">
        <v>0</v>
      </c>
      <c r="AN327" s="2336">
        <v>0</v>
      </c>
      <c r="AO327" s="2336">
        <v>0</v>
      </c>
      <c r="AP327" s="2336">
        <v>0</v>
      </c>
      <c r="AQ327" s="2336">
        <v>0</v>
      </c>
      <c r="AR327" s="2336">
        <v>0</v>
      </c>
      <c r="AS327" s="2336">
        <v>0</v>
      </c>
      <c r="AT327" s="2336">
        <v>0</v>
      </c>
      <c r="AU327" s="2336">
        <v>0</v>
      </c>
      <c r="AV327" s="2336">
        <v>0</v>
      </c>
      <c r="AW327" s="2336">
        <v>0</v>
      </c>
      <c r="AX327" s="2336">
        <v>0</v>
      </c>
      <c r="AY327" s="2336">
        <v>0</v>
      </c>
      <c r="AZ327" s="2336">
        <v>0</v>
      </c>
      <c r="BA327" s="2336">
        <v>0</v>
      </c>
      <c r="BB327" s="2336">
        <v>0</v>
      </c>
      <c r="BC327" s="2310">
        <f>+AA327</f>
        <v>0</v>
      </c>
      <c r="BD327" s="2318"/>
    </row>
    <row r="328" spans="2:56" s="2203" customFormat="1" ht="15" hidden="1" customHeight="1" outlineLevel="3">
      <c r="B328" s="2348"/>
      <c r="C328" s="2352" t="s">
        <v>1910</v>
      </c>
      <c r="D328" s="2350" t="s">
        <v>1911</v>
      </c>
      <c r="E328" s="2351">
        <f>E325+E326+E327</f>
        <v>0</v>
      </c>
      <c r="F328" s="2351">
        <f t="shared" ref="F328:Y328" si="129">F325+F326+F327</f>
        <v>0</v>
      </c>
      <c r="G328" s="2351">
        <f t="shared" si="129"/>
        <v>0</v>
      </c>
      <c r="H328" s="2351">
        <f t="shared" si="129"/>
        <v>0</v>
      </c>
      <c r="I328" s="2351">
        <f t="shared" si="129"/>
        <v>0</v>
      </c>
      <c r="J328" s="2351">
        <f t="shared" si="129"/>
        <v>0</v>
      </c>
      <c r="K328" s="2351">
        <f t="shared" si="129"/>
        <v>0</v>
      </c>
      <c r="L328" s="2351">
        <f t="shared" si="129"/>
        <v>0</v>
      </c>
      <c r="M328" s="2351">
        <f t="shared" si="129"/>
        <v>0</v>
      </c>
      <c r="N328" s="2351">
        <f t="shared" si="129"/>
        <v>0</v>
      </c>
      <c r="O328" s="2351">
        <f t="shared" si="129"/>
        <v>0</v>
      </c>
      <c r="P328" s="2351">
        <f t="shared" si="129"/>
        <v>0</v>
      </c>
      <c r="Q328" s="2351">
        <f t="shared" si="129"/>
        <v>0</v>
      </c>
      <c r="R328" s="2351">
        <f t="shared" si="129"/>
        <v>0</v>
      </c>
      <c r="S328" s="2351">
        <f t="shared" si="129"/>
        <v>0</v>
      </c>
      <c r="T328" s="2351">
        <f t="shared" si="129"/>
        <v>0</v>
      </c>
      <c r="U328" s="2351">
        <f t="shared" si="129"/>
        <v>0</v>
      </c>
      <c r="V328" s="2351">
        <f t="shared" si="129"/>
        <v>0</v>
      </c>
      <c r="W328" s="2351">
        <f t="shared" si="129"/>
        <v>0</v>
      </c>
      <c r="X328" s="2351">
        <f t="shared" si="129"/>
        <v>0</v>
      </c>
      <c r="Y328" s="2351">
        <f t="shared" si="129"/>
        <v>0</v>
      </c>
      <c r="Z328" s="2351"/>
      <c r="AA328" s="2351"/>
      <c r="AB328" s="2351">
        <f t="shared" ref="AB328:BB328" si="130">AB325+AB326+AB327</f>
        <v>0</v>
      </c>
      <c r="AC328" s="2351">
        <f t="shared" si="130"/>
        <v>0</v>
      </c>
      <c r="AD328" s="2351">
        <f t="shared" si="130"/>
        <v>0</v>
      </c>
      <c r="AE328" s="2359">
        <f t="shared" si="130"/>
        <v>0</v>
      </c>
      <c r="AF328" s="2351">
        <f t="shared" si="130"/>
        <v>0</v>
      </c>
      <c r="AG328" s="2351">
        <f t="shared" si="130"/>
        <v>0</v>
      </c>
      <c r="AH328" s="2351">
        <f t="shared" si="130"/>
        <v>0</v>
      </c>
      <c r="AI328" s="2351">
        <f t="shared" si="130"/>
        <v>0</v>
      </c>
      <c r="AJ328" s="2351">
        <f t="shared" si="130"/>
        <v>0</v>
      </c>
      <c r="AK328" s="2351">
        <f t="shared" si="130"/>
        <v>0</v>
      </c>
      <c r="AL328" s="2351">
        <f t="shared" si="130"/>
        <v>0</v>
      </c>
      <c r="AM328" s="2351">
        <f t="shared" si="130"/>
        <v>0</v>
      </c>
      <c r="AN328" s="2351">
        <f t="shared" si="130"/>
        <v>0</v>
      </c>
      <c r="AO328" s="2351">
        <f t="shared" si="130"/>
        <v>0</v>
      </c>
      <c r="AP328" s="2351">
        <f t="shared" si="130"/>
        <v>0</v>
      </c>
      <c r="AQ328" s="2351">
        <f t="shared" si="130"/>
        <v>0</v>
      </c>
      <c r="AR328" s="2351">
        <f t="shared" si="130"/>
        <v>0</v>
      </c>
      <c r="AS328" s="2351">
        <f t="shared" si="130"/>
        <v>0</v>
      </c>
      <c r="AT328" s="2351">
        <f t="shared" si="130"/>
        <v>0</v>
      </c>
      <c r="AU328" s="2351">
        <f t="shared" si="130"/>
        <v>0</v>
      </c>
      <c r="AV328" s="2351">
        <f t="shared" si="130"/>
        <v>0</v>
      </c>
      <c r="AW328" s="2351">
        <f t="shared" si="130"/>
        <v>0</v>
      </c>
      <c r="AX328" s="2351">
        <f t="shared" si="130"/>
        <v>0</v>
      </c>
      <c r="AY328" s="2351">
        <f t="shared" si="130"/>
        <v>0</v>
      </c>
      <c r="AZ328" s="2351">
        <f t="shared" si="130"/>
        <v>0</v>
      </c>
      <c r="BA328" s="2351">
        <f t="shared" si="130"/>
        <v>0</v>
      </c>
      <c r="BB328" s="2351">
        <f t="shared" si="130"/>
        <v>0</v>
      </c>
      <c r="BC328" s="2308"/>
      <c r="BD328" s="2208"/>
    </row>
    <row r="329" spans="2:56" s="2203" customFormat="1" ht="15" hidden="1" customHeight="1" outlineLevel="3">
      <c r="B329" s="2348"/>
      <c r="C329" s="2352" t="s">
        <v>1930</v>
      </c>
      <c r="D329" s="2350" t="s">
        <v>1913</v>
      </c>
      <c r="E329" s="2351">
        <v>0</v>
      </c>
      <c r="F329" s="2351">
        <v>0</v>
      </c>
      <c r="G329" s="2351">
        <v>0</v>
      </c>
      <c r="H329" s="2351">
        <v>0</v>
      </c>
      <c r="I329" s="2351">
        <v>0</v>
      </c>
      <c r="J329" s="2351">
        <v>0</v>
      </c>
      <c r="K329" s="2351">
        <v>0</v>
      </c>
      <c r="L329" s="2351">
        <v>0</v>
      </c>
      <c r="M329" s="2351">
        <v>0</v>
      </c>
      <c r="N329" s="2351">
        <v>0</v>
      </c>
      <c r="O329" s="2351">
        <v>0</v>
      </c>
      <c r="P329" s="2351">
        <v>0</v>
      </c>
      <c r="Q329" s="2351">
        <v>0</v>
      </c>
      <c r="R329" s="2351">
        <v>0</v>
      </c>
      <c r="S329" s="2351">
        <v>0</v>
      </c>
      <c r="T329" s="2351">
        <v>0</v>
      </c>
      <c r="U329" s="2351">
        <v>0</v>
      </c>
      <c r="V329" s="2351">
        <v>0</v>
      </c>
      <c r="W329" s="2351">
        <v>0</v>
      </c>
      <c r="X329" s="2351">
        <v>0</v>
      </c>
      <c r="Y329" s="2351">
        <v>0</v>
      </c>
      <c r="Z329" s="2351">
        <v>0</v>
      </c>
      <c r="AA329" s="2351">
        <v>0</v>
      </c>
      <c r="AB329" s="2351">
        <v>0</v>
      </c>
      <c r="AC329" s="2351">
        <v>0</v>
      </c>
      <c r="AD329" s="2351">
        <v>0</v>
      </c>
      <c r="AE329" s="2359">
        <v>0</v>
      </c>
      <c r="AF329" s="2351">
        <v>0</v>
      </c>
      <c r="AG329" s="2351">
        <v>0</v>
      </c>
      <c r="AH329" s="2351">
        <v>0</v>
      </c>
      <c r="AI329" s="2351">
        <v>0</v>
      </c>
      <c r="AJ329" s="2351">
        <v>0</v>
      </c>
      <c r="AK329" s="2351">
        <v>0</v>
      </c>
      <c r="AL329" s="2351">
        <v>0</v>
      </c>
      <c r="AM329" s="2351">
        <v>0</v>
      </c>
      <c r="AN329" s="2351">
        <v>0</v>
      </c>
      <c r="AO329" s="2351">
        <v>0</v>
      </c>
      <c r="AP329" s="2351">
        <v>0</v>
      </c>
      <c r="AQ329" s="2351">
        <v>0</v>
      </c>
      <c r="AR329" s="2351">
        <v>0</v>
      </c>
      <c r="AS329" s="2351">
        <v>0</v>
      </c>
      <c r="AT329" s="2351">
        <v>0</v>
      </c>
      <c r="AU329" s="2351">
        <v>0</v>
      </c>
      <c r="AV329" s="2351">
        <v>0</v>
      </c>
      <c r="AW329" s="2351">
        <v>0</v>
      </c>
      <c r="AX329" s="2351">
        <v>0</v>
      </c>
      <c r="AY329" s="2351">
        <v>0</v>
      </c>
      <c r="AZ329" s="2351">
        <v>0</v>
      </c>
      <c r="BA329" s="2351">
        <v>0</v>
      </c>
      <c r="BB329" s="2351">
        <v>0</v>
      </c>
      <c r="BC329" s="2308"/>
      <c r="BD329" s="2208"/>
    </row>
    <row r="330" spans="2:56" ht="15" hidden="1" customHeight="1" outlineLevel="3">
      <c r="B330" s="2339"/>
      <c r="C330" s="2353" t="s">
        <v>1914</v>
      </c>
      <c r="D330" s="2341" t="s">
        <v>1915</v>
      </c>
      <c r="E330" s="2336">
        <v>0</v>
      </c>
      <c r="F330" s="2336">
        <v>0</v>
      </c>
      <c r="G330" s="2336">
        <v>0</v>
      </c>
      <c r="H330" s="2336">
        <v>0</v>
      </c>
      <c r="I330" s="2336">
        <v>0</v>
      </c>
      <c r="J330" s="2336">
        <v>0</v>
      </c>
      <c r="K330" s="2336">
        <v>0</v>
      </c>
      <c r="L330" s="2336">
        <v>0</v>
      </c>
      <c r="M330" s="2336">
        <v>0</v>
      </c>
      <c r="N330" s="2336">
        <v>0</v>
      </c>
      <c r="O330" s="2336">
        <v>0</v>
      </c>
      <c r="P330" s="2336">
        <v>0</v>
      </c>
      <c r="Q330" s="2336">
        <v>0</v>
      </c>
      <c r="R330" s="2336">
        <v>0</v>
      </c>
      <c r="S330" s="2336">
        <v>0</v>
      </c>
      <c r="T330" s="2336">
        <v>0</v>
      </c>
      <c r="U330" s="2336">
        <v>0</v>
      </c>
      <c r="V330" s="2336">
        <v>0</v>
      </c>
      <c r="W330" s="2336">
        <v>0</v>
      </c>
      <c r="X330" s="2336">
        <v>0</v>
      </c>
      <c r="Y330" s="2336">
        <v>0</v>
      </c>
      <c r="Z330" s="2336">
        <v>0</v>
      </c>
      <c r="AA330" s="2336">
        <v>0</v>
      </c>
      <c r="AB330" s="2336">
        <v>0</v>
      </c>
      <c r="AC330" s="2336">
        <v>0</v>
      </c>
      <c r="AD330" s="2336">
        <v>0</v>
      </c>
      <c r="AE330" s="2337">
        <v>0</v>
      </c>
      <c r="AF330" s="2336">
        <v>0</v>
      </c>
      <c r="AG330" s="2336">
        <v>0</v>
      </c>
      <c r="AH330" s="2336">
        <v>0</v>
      </c>
      <c r="AI330" s="2336">
        <v>0</v>
      </c>
      <c r="AJ330" s="2336">
        <v>0</v>
      </c>
      <c r="AK330" s="2336">
        <v>0</v>
      </c>
      <c r="AL330" s="2336">
        <v>0</v>
      </c>
      <c r="AM330" s="2336">
        <v>0</v>
      </c>
      <c r="AN330" s="2336">
        <v>0</v>
      </c>
      <c r="AO330" s="2336">
        <v>0</v>
      </c>
      <c r="AP330" s="2336">
        <v>0</v>
      </c>
      <c r="AQ330" s="2336">
        <v>0</v>
      </c>
      <c r="AR330" s="2336">
        <v>0</v>
      </c>
      <c r="AS330" s="2336">
        <v>0</v>
      </c>
      <c r="AT330" s="2336">
        <v>0</v>
      </c>
      <c r="AU330" s="2336">
        <v>0</v>
      </c>
      <c r="AV330" s="2336">
        <v>0</v>
      </c>
      <c r="AW330" s="2336">
        <v>0</v>
      </c>
      <c r="AX330" s="2336">
        <v>0</v>
      </c>
      <c r="AY330" s="2336">
        <v>0</v>
      </c>
      <c r="AZ330" s="2336">
        <v>0</v>
      </c>
      <c r="BA330" s="2336">
        <v>0</v>
      </c>
      <c r="BB330" s="2336">
        <v>0</v>
      </c>
      <c r="BC330" s="2310"/>
      <c r="BD330" s="2240"/>
    </row>
    <row r="331" spans="2:56" s="2203" customFormat="1" ht="15" hidden="1" customHeight="1" outlineLevel="3">
      <c r="B331" s="2348"/>
      <c r="C331" s="2352" t="s">
        <v>1916</v>
      </c>
      <c r="D331" s="2350" t="s">
        <v>1917</v>
      </c>
      <c r="E331" s="2351">
        <f>E328+E329+E330</f>
        <v>0</v>
      </c>
      <c r="F331" s="2351">
        <f t="shared" ref="F331:Y331" si="131">F328+F329+F330</f>
        <v>0</v>
      </c>
      <c r="G331" s="2351">
        <f t="shared" si="131"/>
        <v>0</v>
      </c>
      <c r="H331" s="2351">
        <f t="shared" si="131"/>
        <v>0</v>
      </c>
      <c r="I331" s="2351">
        <f t="shared" si="131"/>
        <v>0</v>
      </c>
      <c r="J331" s="2351">
        <f t="shared" si="131"/>
        <v>0</v>
      </c>
      <c r="K331" s="2351">
        <f t="shared" si="131"/>
        <v>0</v>
      </c>
      <c r="L331" s="2351">
        <f t="shared" si="131"/>
        <v>0</v>
      </c>
      <c r="M331" s="2351">
        <f t="shared" si="131"/>
        <v>0</v>
      </c>
      <c r="N331" s="2351">
        <f t="shared" si="131"/>
        <v>0</v>
      </c>
      <c r="O331" s="2351">
        <f t="shared" si="131"/>
        <v>0</v>
      </c>
      <c r="P331" s="2351">
        <f t="shared" si="131"/>
        <v>0</v>
      </c>
      <c r="Q331" s="2351">
        <f t="shared" si="131"/>
        <v>0</v>
      </c>
      <c r="R331" s="2351">
        <f t="shared" si="131"/>
        <v>0</v>
      </c>
      <c r="S331" s="2351">
        <f t="shared" si="131"/>
        <v>0</v>
      </c>
      <c r="T331" s="2351">
        <f t="shared" si="131"/>
        <v>0</v>
      </c>
      <c r="U331" s="2351">
        <f t="shared" si="131"/>
        <v>0</v>
      </c>
      <c r="V331" s="2351">
        <f t="shared" si="131"/>
        <v>0</v>
      </c>
      <c r="W331" s="2351">
        <f t="shared" si="131"/>
        <v>0</v>
      </c>
      <c r="X331" s="2351">
        <f t="shared" si="131"/>
        <v>0</v>
      </c>
      <c r="Y331" s="2351">
        <f t="shared" si="131"/>
        <v>0</v>
      </c>
      <c r="Z331" s="2351"/>
      <c r="AA331" s="2351"/>
      <c r="AB331" s="2351">
        <f t="shared" ref="AB331:BB331" si="132">AB328+AB329+AB330</f>
        <v>0</v>
      </c>
      <c r="AC331" s="2351">
        <f t="shared" si="132"/>
        <v>0</v>
      </c>
      <c r="AD331" s="2351">
        <f t="shared" si="132"/>
        <v>0</v>
      </c>
      <c r="AE331" s="2359">
        <f t="shared" si="132"/>
        <v>0</v>
      </c>
      <c r="AF331" s="2351">
        <f t="shared" si="132"/>
        <v>0</v>
      </c>
      <c r="AG331" s="2351">
        <f t="shared" si="132"/>
        <v>0</v>
      </c>
      <c r="AH331" s="2351">
        <f t="shared" si="132"/>
        <v>0</v>
      </c>
      <c r="AI331" s="2351">
        <f t="shared" si="132"/>
        <v>0</v>
      </c>
      <c r="AJ331" s="2351">
        <f t="shared" si="132"/>
        <v>0</v>
      </c>
      <c r="AK331" s="2351">
        <f t="shared" si="132"/>
        <v>0</v>
      </c>
      <c r="AL331" s="2351">
        <f t="shared" si="132"/>
        <v>0</v>
      </c>
      <c r="AM331" s="2351">
        <f t="shared" si="132"/>
        <v>0</v>
      </c>
      <c r="AN331" s="2351">
        <f t="shared" si="132"/>
        <v>0</v>
      </c>
      <c r="AO331" s="2351">
        <f t="shared" si="132"/>
        <v>0</v>
      </c>
      <c r="AP331" s="2351">
        <f t="shared" si="132"/>
        <v>0</v>
      </c>
      <c r="AQ331" s="2351">
        <f t="shared" si="132"/>
        <v>0</v>
      </c>
      <c r="AR331" s="2351">
        <f t="shared" si="132"/>
        <v>0</v>
      </c>
      <c r="AS331" s="2351">
        <f t="shared" si="132"/>
        <v>0</v>
      </c>
      <c r="AT331" s="2351">
        <f t="shared" si="132"/>
        <v>0</v>
      </c>
      <c r="AU331" s="2351">
        <f t="shared" si="132"/>
        <v>0</v>
      </c>
      <c r="AV331" s="2351">
        <f t="shared" si="132"/>
        <v>0</v>
      </c>
      <c r="AW331" s="2351">
        <f t="shared" si="132"/>
        <v>0</v>
      </c>
      <c r="AX331" s="2351">
        <f t="shared" si="132"/>
        <v>0</v>
      </c>
      <c r="AY331" s="2351">
        <f t="shared" si="132"/>
        <v>0</v>
      </c>
      <c r="AZ331" s="2351">
        <f t="shared" si="132"/>
        <v>0</v>
      </c>
      <c r="BA331" s="2351">
        <f t="shared" si="132"/>
        <v>0</v>
      </c>
      <c r="BB331" s="2351">
        <f t="shared" si="132"/>
        <v>0</v>
      </c>
      <c r="BC331" s="2308"/>
      <c r="BD331" s="2208"/>
    </row>
    <row r="332" spans="2:56" ht="15" hidden="1" customHeight="1" outlineLevel="3">
      <c r="B332" s="2339"/>
      <c r="C332" s="2353" t="s">
        <v>1918</v>
      </c>
      <c r="D332" s="2341" t="s">
        <v>1919</v>
      </c>
      <c r="E332" s="2336">
        <v>0</v>
      </c>
      <c r="F332" s="2336">
        <v>0</v>
      </c>
      <c r="G332" s="2336">
        <v>0</v>
      </c>
      <c r="H332" s="2336">
        <v>0</v>
      </c>
      <c r="I332" s="2336">
        <v>0</v>
      </c>
      <c r="J332" s="2336">
        <v>0</v>
      </c>
      <c r="K332" s="2336">
        <v>0</v>
      </c>
      <c r="L332" s="2336">
        <v>0</v>
      </c>
      <c r="M332" s="2336">
        <v>0</v>
      </c>
      <c r="N332" s="2336">
        <v>0</v>
      </c>
      <c r="O332" s="2336">
        <v>0</v>
      </c>
      <c r="P332" s="2336">
        <v>0</v>
      </c>
      <c r="Q332" s="2336">
        <v>0</v>
      </c>
      <c r="R332" s="2336">
        <v>0</v>
      </c>
      <c r="S332" s="2336">
        <v>0</v>
      </c>
      <c r="T332" s="2336">
        <v>0</v>
      </c>
      <c r="U332" s="2336">
        <v>0</v>
      </c>
      <c r="V332" s="2336">
        <v>0</v>
      </c>
      <c r="W332" s="2336">
        <v>0</v>
      </c>
      <c r="X332" s="2336">
        <v>0</v>
      </c>
      <c r="Y332" s="2336">
        <v>0</v>
      </c>
      <c r="Z332" s="2336">
        <v>0</v>
      </c>
      <c r="AA332" s="2336">
        <v>0</v>
      </c>
      <c r="AB332" s="2336">
        <v>0</v>
      </c>
      <c r="AC332" s="2336">
        <v>0</v>
      </c>
      <c r="AD332" s="2336">
        <v>0</v>
      </c>
      <c r="AE332" s="2337">
        <v>0</v>
      </c>
      <c r="AF332" s="2336">
        <v>0</v>
      </c>
      <c r="AG332" s="2336">
        <v>0</v>
      </c>
      <c r="AH332" s="2336">
        <v>0</v>
      </c>
      <c r="AI332" s="2336">
        <v>0</v>
      </c>
      <c r="AJ332" s="2336">
        <v>0</v>
      </c>
      <c r="AK332" s="2336">
        <v>0</v>
      </c>
      <c r="AL332" s="2336">
        <v>0</v>
      </c>
      <c r="AM332" s="2336">
        <v>0</v>
      </c>
      <c r="AN332" s="2336">
        <v>0</v>
      </c>
      <c r="AO332" s="2336">
        <v>0</v>
      </c>
      <c r="AP332" s="2336">
        <v>0</v>
      </c>
      <c r="AQ332" s="2336">
        <v>0</v>
      </c>
      <c r="AR332" s="2336">
        <v>0</v>
      </c>
      <c r="AS332" s="2336">
        <v>0</v>
      </c>
      <c r="AT332" s="2336">
        <v>0</v>
      </c>
      <c r="AU332" s="2336">
        <v>0</v>
      </c>
      <c r="AV332" s="2336">
        <v>0</v>
      </c>
      <c r="AW332" s="2336">
        <v>0</v>
      </c>
      <c r="AX332" s="2336">
        <v>0</v>
      </c>
      <c r="AY332" s="2336">
        <v>0</v>
      </c>
      <c r="AZ332" s="2336">
        <v>0</v>
      </c>
      <c r="BA332" s="2336">
        <v>0</v>
      </c>
      <c r="BB332" s="2336">
        <v>0</v>
      </c>
      <c r="BC332" s="2310"/>
      <c r="BD332" s="2240"/>
    </row>
    <row r="333" spans="2:56" ht="15" hidden="1" customHeight="1" outlineLevel="3">
      <c r="B333" s="2339"/>
      <c r="C333" s="2353" t="s">
        <v>1920</v>
      </c>
      <c r="D333" s="2354" t="s">
        <v>1921</v>
      </c>
      <c r="E333" s="2336">
        <v>0</v>
      </c>
      <c r="F333" s="2336">
        <v>0</v>
      </c>
      <c r="G333" s="2336">
        <v>0</v>
      </c>
      <c r="H333" s="2336">
        <v>0</v>
      </c>
      <c r="I333" s="2336">
        <v>0</v>
      </c>
      <c r="J333" s="2336">
        <v>0</v>
      </c>
      <c r="K333" s="2336">
        <v>0</v>
      </c>
      <c r="L333" s="2336">
        <v>0</v>
      </c>
      <c r="M333" s="2336">
        <v>0</v>
      </c>
      <c r="N333" s="2336">
        <v>0</v>
      </c>
      <c r="O333" s="2336">
        <v>0</v>
      </c>
      <c r="P333" s="2336">
        <v>0</v>
      </c>
      <c r="Q333" s="2336">
        <v>0</v>
      </c>
      <c r="R333" s="2336">
        <v>0</v>
      </c>
      <c r="S333" s="2336">
        <v>0</v>
      </c>
      <c r="T333" s="2336">
        <v>0</v>
      </c>
      <c r="U333" s="2336">
        <v>0</v>
      </c>
      <c r="V333" s="2336">
        <v>0</v>
      </c>
      <c r="W333" s="2336">
        <v>0</v>
      </c>
      <c r="X333" s="2336">
        <v>0</v>
      </c>
      <c r="Y333" s="2336">
        <v>0</v>
      </c>
      <c r="Z333" s="2336">
        <v>0</v>
      </c>
      <c r="AA333" s="2336">
        <v>0</v>
      </c>
      <c r="AB333" s="2336">
        <v>0</v>
      </c>
      <c r="AC333" s="2336">
        <v>0</v>
      </c>
      <c r="AD333" s="2336">
        <v>0</v>
      </c>
      <c r="AE333" s="2337">
        <v>0</v>
      </c>
      <c r="AF333" s="2336">
        <v>0</v>
      </c>
      <c r="AG333" s="2336">
        <v>0</v>
      </c>
      <c r="AH333" s="2336">
        <v>0</v>
      </c>
      <c r="AI333" s="2336">
        <v>0</v>
      </c>
      <c r="AJ333" s="2336">
        <v>0</v>
      </c>
      <c r="AK333" s="2336">
        <v>0</v>
      </c>
      <c r="AL333" s="2336">
        <v>0</v>
      </c>
      <c r="AM333" s="2336">
        <v>0</v>
      </c>
      <c r="AN333" s="2336">
        <v>0</v>
      </c>
      <c r="AO333" s="2336">
        <v>0</v>
      </c>
      <c r="AP333" s="2336">
        <v>0</v>
      </c>
      <c r="AQ333" s="2336">
        <v>0</v>
      </c>
      <c r="AR333" s="2336">
        <v>0</v>
      </c>
      <c r="AS333" s="2336">
        <v>0</v>
      </c>
      <c r="AT333" s="2336">
        <v>0</v>
      </c>
      <c r="AU333" s="2336">
        <v>0</v>
      </c>
      <c r="AV333" s="2336">
        <v>0</v>
      </c>
      <c r="AW333" s="2336">
        <v>0</v>
      </c>
      <c r="AX333" s="2336">
        <v>0</v>
      </c>
      <c r="AY333" s="2336">
        <v>0</v>
      </c>
      <c r="AZ333" s="2336">
        <v>0</v>
      </c>
      <c r="BA333" s="2336">
        <v>0</v>
      </c>
      <c r="BB333" s="2336">
        <v>0</v>
      </c>
      <c r="BC333" s="2310"/>
      <c r="BD333" s="2240"/>
    </row>
    <row r="334" spans="2:56" ht="15" hidden="1" customHeight="1" outlineLevel="3">
      <c r="B334" s="2339"/>
      <c r="C334" s="2353" t="s">
        <v>1922</v>
      </c>
      <c r="D334" s="2354" t="s">
        <v>1923</v>
      </c>
      <c r="E334" s="2336">
        <v>0</v>
      </c>
      <c r="F334" s="2336">
        <v>0</v>
      </c>
      <c r="G334" s="2336">
        <v>0</v>
      </c>
      <c r="H334" s="2336">
        <v>0</v>
      </c>
      <c r="I334" s="2336">
        <v>0</v>
      </c>
      <c r="J334" s="2336">
        <v>0</v>
      </c>
      <c r="K334" s="2336">
        <v>0</v>
      </c>
      <c r="L334" s="2336">
        <v>0</v>
      </c>
      <c r="M334" s="2336">
        <v>0</v>
      </c>
      <c r="N334" s="2336">
        <v>0</v>
      </c>
      <c r="O334" s="2336">
        <v>0</v>
      </c>
      <c r="P334" s="2336">
        <v>0</v>
      </c>
      <c r="Q334" s="2336">
        <v>0</v>
      </c>
      <c r="R334" s="2336">
        <v>0</v>
      </c>
      <c r="S334" s="2336">
        <v>0</v>
      </c>
      <c r="T334" s="2336">
        <v>0</v>
      </c>
      <c r="U334" s="2336">
        <v>0</v>
      </c>
      <c r="V334" s="2336">
        <v>0</v>
      </c>
      <c r="W334" s="2336">
        <v>0</v>
      </c>
      <c r="X334" s="2336">
        <v>0</v>
      </c>
      <c r="Y334" s="2336">
        <v>0</v>
      </c>
      <c r="Z334" s="2336">
        <v>0</v>
      </c>
      <c r="AA334" s="2336">
        <v>0</v>
      </c>
      <c r="AB334" s="2336">
        <v>0</v>
      </c>
      <c r="AC334" s="2336">
        <v>0</v>
      </c>
      <c r="AD334" s="2336">
        <v>0</v>
      </c>
      <c r="AE334" s="2337">
        <v>0</v>
      </c>
      <c r="AF334" s="2336">
        <v>0</v>
      </c>
      <c r="AG334" s="2336">
        <v>0</v>
      </c>
      <c r="AH334" s="2336">
        <v>0</v>
      </c>
      <c r="AI334" s="2336">
        <v>0</v>
      </c>
      <c r="AJ334" s="2336">
        <v>0</v>
      </c>
      <c r="AK334" s="2336">
        <v>0</v>
      </c>
      <c r="AL334" s="2336">
        <v>0</v>
      </c>
      <c r="AM334" s="2336">
        <v>0</v>
      </c>
      <c r="AN334" s="2336">
        <v>0</v>
      </c>
      <c r="AO334" s="2336">
        <v>0</v>
      </c>
      <c r="AP334" s="2336">
        <v>0</v>
      </c>
      <c r="AQ334" s="2336">
        <v>0</v>
      </c>
      <c r="AR334" s="2336">
        <v>0</v>
      </c>
      <c r="AS334" s="2336">
        <v>0</v>
      </c>
      <c r="AT334" s="2336">
        <v>0</v>
      </c>
      <c r="AU334" s="2336">
        <v>0</v>
      </c>
      <c r="AV334" s="2336">
        <v>0</v>
      </c>
      <c r="AW334" s="2336">
        <v>0</v>
      </c>
      <c r="AX334" s="2336">
        <v>0</v>
      </c>
      <c r="AY334" s="2336">
        <v>0</v>
      </c>
      <c r="AZ334" s="2336">
        <v>0</v>
      </c>
      <c r="BA334" s="2336">
        <v>0</v>
      </c>
      <c r="BB334" s="2336">
        <v>0</v>
      </c>
      <c r="BC334" s="2320"/>
      <c r="BD334" s="2240"/>
    </row>
    <row r="335" spans="2:56" s="2203" customFormat="1" ht="15" hidden="1" customHeight="1" outlineLevel="2">
      <c r="B335" s="2348"/>
      <c r="C335" s="2352" t="s">
        <v>1924</v>
      </c>
      <c r="D335" s="2355" t="s">
        <v>1925</v>
      </c>
      <c r="E335" s="2351">
        <f t="shared" ref="E335:AA335" si="133">E331+E332+E334</f>
        <v>0</v>
      </c>
      <c r="F335" s="2351">
        <f t="shared" si="133"/>
        <v>0</v>
      </c>
      <c r="G335" s="2351">
        <f t="shared" si="133"/>
        <v>0</v>
      </c>
      <c r="H335" s="2351">
        <f t="shared" si="133"/>
        <v>0</v>
      </c>
      <c r="I335" s="2351">
        <f t="shared" si="133"/>
        <v>0</v>
      </c>
      <c r="J335" s="2351">
        <f t="shared" si="133"/>
        <v>0</v>
      </c>
      <c r="K335" s="2351">
        <f t="shared" si="133"/>
        <v>0</v>
      </c>
      <c r="L335" s="2351">
        <f t="shared" si="133"/>
        <v>0</v>
      </c>
      <c r="M335" s="2351">
        <f t="shared" si="133"/>
        <v>0</v>
      </c>
      <c r="N335" s="2351">
        <f t="shared" si="133"/>
        <v>0</v>
      </c>
      <c r="O335" s="2351">
        <f t="shared" si="133"/>
        <v>0</v>
      </c>
      <c r="P335" s="2351">
        <f t="shared" si="133"/>
        <v>0</v>
      </c>
      <c r="Q335" s="2351">
        <f t="shared" si="133"/>
        <v>0</v>
      </c>
      <c r="R335" s="2351">
        <f t="shared" si="133"/>
        <v>0</v>
      </c>
      <c r="S335" s="2351">
        <f t="shared" si="133"/>
        <v>0</v>
      </c>
      <c r="T335" s="2351">
        <f t="shared" si="133"/>
        <v>0</v>
      </c>
      <c r="U335" s="2351">
        <f t="shared" si="133"/>
        <v>0</v>
      </c>
      <c r="V335" s="2351">
        <f t="shared" si="133"/>
        <v>0</v>
      </c>
      <c r="W335" s="2351">
        <f t="shared" si="133"/>
        <v>0</v>
      </c>
      <c r="X335" s="2351">
        <f t="shared" si="133"/>
        <v>0</v>
      </c>
      <c r="Y335" s="2351">
        <f t="shared" si="133"/>
        <v>0</v>
      </c>
      <c r="Z335" s="2351">
        <f t="shared" si="133"/>
        <v>0</v>
      </c>
      <c r="AA335" s="2351">
        <f t="shared" si="133"/>
        <v>0</v>
      </c>
      <c r="AB335" s="2351">
        <f t="shared" ref="AB335:BB335" si="134">AB331+AB332+AB333+AB334</f>
        <v>0</v>
      </c>
      <c r="AC335" s="2351">
        <f t="shared" si="134"/>
        <v>0</v>
      </c>
      <c r="AD335" s="2351">
        <f t="shared" si="134"/>
        <v>0</v>
      </c>
      <c r="AE335" s="2359">
        <f t="shared" si="134"/>
        <v>0</v>
      </c>
      <c r="AF335" s="2351">
        <f t="shared" si="134"/>
        <v>0</v>
      </c>
      <c r="AG335" s="2351">
        <f t="shared" si="134"/>
        <v>0</v>
      </c>
      <c r="AH335" s="2351">
        <f t="shared" si="134"/>
        <v>0</v>
      </c>
      <c r="AI335" s="2351">
        <f t="shared" si="134"/>
        <v>0</v>
      </c>
      <c r="AJ335" s="2351">
        <f t="shared" si="134"/>
        <v>0</v>
      </c>
      <c r="AK335" s="2351">
        <f t="shared" si="134"/>
        <v>0</v>
      </c>
      <c r="AL335" s="2351">
        <f t="shared" si="134"/>
        <v>0</v>
      </c>
      <c r="AM335" s="2351">
        <f t="shared" si="134"/>
        <v>0</v>
      </c>
      <c r="AN335" s="2351">
        <f t="shared" si="134"/>
        <v>0</v>
      </c>
      <c r="AO335" s="2351">
        <f t="shared" si="134"/>
        <v>0</v>
      </c>
      <c r="AP335" s="2351">
        <f t="shared" si="134"/>
        <v>0</v>
      </c>
      <c r="AQ335" s="2351">
        <f t="shared" si="134"/>
        <v>0</v>
      </c>
      <c r="AR335" s="2351">
        <f t="shared" si="134"/>
        <v>0</v>
      </c>
      <c r="AS335" s="2351">
        <f t="shared" si="134"/>
        <v>0</v>
      </c>
      <c r="AT335" s="2351">
        <f t="shared" si="134"/>
        <v>0</v>
      </c>
      <c r="AU335" s="2351">
        <f t="shared" si="134"/>
        <v>0</v>
      </c>
      <c r="AV335" s="2351">
        <f t="shared" si="134"/>
        <v>0</v>
      </c>
      <c r="AW335" s="2351">
        <f t="shared" si="134"/>
        <v>0</v>
      </c>
      <c r="AX335" s="2351">
        <f t="shared" si="134"/>
        <v>0</v>
      </c>
      <c r="AY335" s="2351">
        <f t="shared" si="134"/>
        <v>0</v>
      </c>
      <c r="AZ335" s="2351">
        <f t="shared" si="134"/>
        <v>0</v>
      </c>
      <c r="BA335" s="2351">
        <f t="shared" si="134"/>
        <v>0</v>
      </c>
      <c r="BB335" s="2351">
        <f t="shared" si="134"/>
        <v>0</v>
      </c>
      <c r="BC335" s="2308"/>
      <c r="BD335" s="2208"/>
    </row>
    <row r="336" spans="2:56" s="2203" customFormat="1" ht="15" hidden="1" customHeight="1" outlineLevel="2">
      <c r="B336" s="2348"/>
      <c r="C336" s="2352" t="s">
        <v>1926</v>
      </c>
      <c r="D336" s="2350" t="s">
        <v>1927</v>
      </c>
      <c r="E336" s="2351">
        <f>E335</f>
        <v>0</v>
      </c>
      <c r="F336" s="2351">
        <f t="shared" ref="F336:AZ336" si="135">F335-E335</f>
        <v>0</v>
      </c>
      <c r="G336" s="2351">
        <f t="shared" si="135"/>
        <v>0</v>
      </c>
      <c r="H336" s="2351">
        <f t="shared" si="135"/>
        <v>0</v>
      </c>
      <c r="I336" s="2351">
        <f t="shared" si="135"/>
        <v>0</v>
      </c>
      <c r="J336" s="2351">
        <f t="shared" si="135"/>
        <v>0</v>
      </c>
      <c r="K336" s="2351">
        <f t="shared" si="135"/>
        <v>0</v>
      </c>
      <c r="L336" s="2351">
        <f t="shared" si="135"/>
        <v>0</v>
      </c>
      <c r="M336" s="2351">
        <f t="shared" si="135"/>
        <v>0</v>
      </c>
      <c r="N336" s="2351">
        <f t="shared" si="135"/>
        <v>0</v>
      </c>
      <c r="O336" s="2351">
        <f t="shared" si="135"/>
        <v>0</v>
      </c>
      <c r="P336" s="2351">
        <f t="shared" si="135"/>
        <v>0</v>
      </c>
      <c r="Q336" s="2351">
        <f t="shared" si="135"/>
        <v>0</v>
      </c>
      <c r="R336" s="2351">
        <f t="shared" si="135"/>
        <v>0</v>
      </c>
      <c r="S336" s="2351">
        <f t="shared" si="135"/>
        <v>0</v>
      </c>
      <c r="T336" s="2351">
        <f t="shared" si="135"/>
        <v>0</v>
      </c>
      <c r="U336" s="2351">
        <f t="shared" si="135"/>
        <v>0</v>
      </c>
      <c r="V336" s="2351">
        <f t="shared" si="135"/>
        <v>0</v>
      </c>
      <c r="W336" s="2351">
        <f t="shared" si="135"/>
        <v>0</v>
      </c>
      <c r="X336" s="2351">
        <f t="shared" si="135"/>
        <v>0</v>
      </c>
      <c r="Y336" s="2351">
        <f t="shared" si="135"/>
        <v>0</v>
      </c>
      <c r="Z336" s="2351">
        <f t="shared" si="135"/>
        <v>0</v>
      </c>
      <c r="AA336" s="2351">
        <f t="shared" si="135"/>
        <v>0</v>
      </c>
      <c r="AB336" s="2351">
        <f t="shared" si="135"/>
        <v>0</v>
      </c>
      <c r="AC336" s="2351">
        <f t="shared" si="135"/>
        <v>0</v>
      </c>
      <c r="AD336" s="2351">
        <f t="shared" si="135"/>
        <v>0</v>
      </c>
      <c r="AE336" s="2359">
        <f t="shared" si="135"/>
        <v>0</v>
      </c>
      <c r="AF336" s="2351">
        <f t="shared" si="135"/>
        <v>0</v>
      </c>
      <c r="AG336" s="2351">
        <f t="shared" si="135"/>
        <v>0</v>
      </c>
      <c r="AH336" s="2351">
        <f t="shared" si="135"/>
        <v>0</v>
      </c>
      <c r="AI336" s="2351">
        <f t="shared" si="135"/>
        <v>0</v>
      </c>
      <c r="AJ336" s="2351">
        <f t="shared" si="135"/>
        <v>0</v>
      </c>
      <c r="AK336" s="2351">
        <f t="shared" si="135"/>
        <v>0</v>
      </c>
      <c r="AL336" s="2351">
        <f t="shared" si="135"/>
        <v>0</v>
      </c>
      <c r="AM336" s="2351">
        <f t="shared" si="135"/>
        <v>0</v>
      </c>
      <c r="AN336" s="2351">
        <f t="shared" si="135"/>
        <v>0</v>
      </c>
      <c r="AO336" s="2351">
        <f t="shared" si="135"/>
        <v>0</v>
      </c>
      <c r="AP336" s="2351">
        <f t="shared" si="135"/>
        <v>0</v>
      </c>
      <c r="AQ336" s="2351">
        <f t="shared" si="135"/>
        <v>0</v>
      </c>
      <c r="AR336" s="2351">
        <f t="shared" si="135"/>
        <v>0</v>
      </c>
      <c r="AS336" s="2351">
        <f t="shared" si="135"/>
        <v>0</v>
      </c>
      <c r="AT336" s="2351">
        <f t="shared" si="135"/>
        <v>0</v>
      </c>
      <c r="AU336" s="2351">
        <f t="shared" si="135"/>
        <v>0</v>
      </c>
      <c r="AV336" s="2351">
        <f t="shared" si="135"/>
        <v>0</v>
      </c>
      <c r="AW336" s="2351">
        <f t="shared" si="135"/>
        <v>0</v>
      </c>
      <c r="AX336" s="2351">
        <f t="shared" si="135"/>
        <v>0</v>
      </c>
      <c r="AY336" s="2351">
        <f t="shared" si="135"/>
        <v>0</v>
      </c>
      <c r="AZ336" s="2351">
        <f t="shared" si="135"/>
        <v>0</v>
      </c>
      <c r="BA336" s="2351">
        <f>BA335-AP335</f>
        <v>0</v>
      </c>
      <c r="BB336" s="2351">
        <f>BB335-BA335</f>
        <v>0</v>
      </c>
      <c r="BC336" s="2308"/>
      <c r="BD336" s="2208"/>
    </row>
    <row r="337" spans="1:57" s="2334" customFormat="1" ht="16.5" hidden="1" customHeight="1" outlineLevel="2">
      <c r="A337" s="2219"/>
      <c r="B337" s="2348"/>
      <c r="C337" s="2356"/>
      <c r="D337" s="2350"/>
      <c r="E337" s="2351"/>
      <c r="F337" s="2351"/>
      <c r="G337" s="2351"/>
      <c r="H337" s="2351"/>
      <c r="I337" s="2351"/>
      <c r="J337" s="2336"/>
      <c r="K337" s="2336"/>
      <c r="L337" s="2336"/>
      <c r="M337" s="2336"/>
      <c r="N337" s="2336"/>
      <c r="O337" s="2336"/>
      <c r="P337" s="2336"/>
      <c r="Q337" s="2336"/>
      <c r="R337" s="2336"/>
      <c r="S337" s="2336"/>
      <c r="T337" s="2336"/>
      <c r="U337" s="2336"/>
      <c r="V337" s="2336"/>
      <c r="W337" s="2336"/>
      <c r="X337" s="2336"/>
      <c r="Y337" s="2336"/>
      <c r="Z337" s="2336"/>
      <c r="AA337" s="2336"/>
      <c r="AB337" s="2336"/>
      <c r="AC337" s="2336"/>
      <c r="AD337" s="2336"/>
      <c r="AE337" s="2337"/>
      <c r="AF337" s="2336"/>
      <c r="AG337" s="2336"/>
      <c r="AH337" s="2336"/>
      <c r="AI337" s="2336"/>
      <c r="AJ337" s="2336"/>
      <c r="AK337" s="2336"/>
      <c r="AL337" s="2336"/>
      <c r="AM337" s="2336"/>
      <c r="AN337" s="2336"/>
      <c r="AO337" s="2336"/>
      <c r="AP337" s="2336"/>
      <c r="AQ337" s="2336"/>
      <c r="AR337" s="2336"/>
      <c r="AS337" s="2336"/>
      <c r="AT337" s="2336"/>
      <c r="AU337" s="2336"/>
      <c r="AV337" s="2336"/>
      <c r="AW337" s="2336"/>
      <c r="AX337" s="2336"/>
      <c r="AY337" s="2336"/>
      <c r="AZ337" s="2336"/>
      <c r="BA337" s="2336"/>
      <c r="BB337" s="2336"/>
      <c r="BC337" s="2308"/>
      <c r="BD337" s="2333"/>
    </row>
    <row r="338" spans="1:57" s="2334" customFormat="1" ht="16.5" hidden="1" customHeight="1" outlineLevel="2">
      <c r="A338" s="2219"/>
      <c r="B338" s="2348"/>
      <c r="C338" s="2356"/>
      <c r="D338" s="2350"/>
      <c r="E338" s="2351"/>
      <c r="F338" s="2351"/>
      <c r="G338" s="2351"/>
      <c r="H338" s="2351"/>
      <c r="I338" s="2351"/>
      <c r="J338" s="2336"/>
      <c r="K338" s="2336"/>
      <c r="L338" s="2336"/>
      <c r="M338" s="2336"/>
      <c r="N338" s="2336"/>
      <c r="O338" s="2336"/>
      <c r="P338" s="2336"/>
      <c r="Q338" s="2336"/>
      <c r="R338" s="2336"/>
      <c r="S338" s="2336"/>
      <c r="T338" s="2336"/>
      <c r="U338" s="2336"/>
      <c r="V338" s="2336"/>
      <c r="W338" s="2336"/>
      <c r="X338" s="2336"/>
      <c r="Y338" s="2336"/>
      <c r="Z338" s="2336"/>
      <c r="AA338" s="2336"/>
      <c r="AB338" s="2336"/>
      <c r="AC338" s="2336"/>
      <c r="AD338" s="2336"/>
      <c r="AE338" s="2337"/>
      <c r="AF338" s="2336"/>
      <c r="AG338" s="2336"/>
      <c r="AH338" s="2336"/>
      <c r="AI338" s="2336"/>
      <c r="AJ338" s="2336"/>
      <c r="AK338" s="2336"/>
      <c r="AL338" s="2336"/>
      <c r="AM338" s="2336"/>
      <c r="AN338" s="2336"/>
      <c r="AO338" s="2336"/>
      <c r="AP338" s="2336"/>
      <c r="AQ338" s="2336"/>
      <c r="AR338" s="2336"/>
      <c r="AS338" s="2336"/>
      <c r="AT338" s="2336"/>
      <c r="AU338" s="2336"/>
      <c r="AV338" s="2336"/>
      <c r="AW338" s="2336"/>
      <c r="AX338" s="2336"/>
      <c r="AY338" s="2336"/>
      <c r="AZ338" s="2336"/>
      <c r="BA338" s="2336"/>
      <c r="BB338" s="2336"/>
      <c r="BC338" s="2308"/>
      <c r="BD338" s="2333"/>
    </row>
    <row r="339" spans="1:57" hidden="1" outlineLevel="1">
      <c r="B339" s="2342">
        <v>400</v>
      </c>
      <c r="C339" s="2357" t="s">
        <v>1932</v>
      </c>
      <c r="D339" s="2358" t="s">
        <v>1896</v>
      </c>
      <c r="E339" s="2345">
        <f>E356</f>
        <v>0</v>
      </c>
      <c r="F339" s="2345">
        <f>F356</f>
        <v>0</v>
      </c>
      <c r="G339" s="2345">
        <f t="shared" ref="G339:BB340" si="136">G356</f>
        <v>0</v>
      </c>
      <c r="H339" s="2345">
        <f t="shared" si="136"/>
        <v>0</v>
      </c>
      <c r="I339" s="2345">
        <f t="shared" si="136"/>
        <v>0</v>
      </c>
      <c r="J339" s="2345">
        <f t="shared" si="136"/>
        <v>0</v>
      </c>
      <c r="K339" s="2345">
        <f t="shared" si="136"/>
        <v>0</v>
      </c>
      <c r="L339" s="2345">
        <f t="shared" si="136"/>
        <v>0</v>
      </c>
      <c r="M339" s="2345">
        <f t="shared" si="136"/>
        <v>0</v>
      </c>
      <c r="N339" s="2345">
        <f t="shared" si="136"/>
        <v>0</v>
      </c>
      <c r="O339" s="2345">
        <f t="shared" si="136"/>
        <v>0</v>
      </c>
      <c r="P339" s="2345">
        <f t="shared" si="136"/>
        <v>0</v>
      </c>
      <c r="Q339" s="2345">
        <f t="shared" si="136"/>
        <v>0</v>
      </c>
      <c r="R339" s="2345">
        <f t="shared" si="136"/>
        <v>0</v>
      </c>
      <c r="S339" s="2345">
        <f t="shared" si="136"/>
        <v>0</v>
      </c>
      <c r="T339" s="2345">
        <f t="shared" si="136"/>
        <v>0</v>
      </c>
      <c r="U339" s="2345">
        <f t="shared" si="136"/>
        <v>0</v>
      </c>
      <c r="V339" s="2345">
        <f t="shared" si="136"/>
        <v>0</v>
      </c>
      <c r="W339" s="2345">
        <f t="shared" si="136"/>
        <v>0</v>
      </c>
      <c r="X339" s="2345">
        <f t="shared" si="136"/>
        <v>0</v>
      </c>
      <c r="Y339" s="2345">
        <f t="shared" si="136"/>
        <v>0</v>
      </c>
      <c r="Z339" s="2345">
        <f t="shared" si="136"/>
        <v>0</v>
      </c>
      <c r="AA339" s="2345">
        <f t="shared" si="136"/>
        <v>0</v>
      </c>
      <c r="AB339" s="2345">
        <f t="shared" si="136"/>
        <v>0</v>
      </c>
      <c r="AC339" s="2345">
        <f t="shared" si="136"/>
        <v>0</v>
      </c>
      <c r="AD339" s="2345">
        <f t="shared" si="136"/>
        <v>0</v>
      </c>
      <c r="AE339" s="2345">
        <f t="shared" si="136"/>
        <v>0</v>
      </c>
      <c r="AF339" s="2345">
        <f t="shared" si="136"/>
        <v>0</v>
      </c>
      <c r="AG339" s="2345">
        <f t="shared" si="136"/>
        <v>0</v>
      </c>
      <c r="AH339" s="2345">
        <f t="shared" si="136"/>
        <v>0</v>
      </c>
      <c r="AI339" s="2345">
        <f t="shared" si="136"/>
        <v>0</v>
      </c>
      <c r="AJ339" s="2345">
        <f t="shared" si="136"/>
        <v>0</v>
      </c>
      <c r="AK339" s="2345">
        <f t="shared" si="136"/>
        <v>0</v>
      </c>
      <c r="AL339" s="2345">
        <f t="shared" si="136"/>
        <v>0</v>
      </c>
      <c r="AM339" s="2345">
        <f t="shared" si="136"/>
        <v>0</v>
      </c>
      <c r="AN339" s="2345">
        <f t="shared" si="136"/>
        <v>0</v>
      </c>
      <c r="AO339" s="2345">
        <f t="shared" si="136"/>
        <v>0</v>
      </c>
      <c r="AP339" s="2345">
        <f t="shared" si="136"/>
        <v>0</v>
      </c>
      <c r="AQ339" s="2345">
        <f t="shared" si="136"/>
        <v>0</v>
      </c>
      <c r="AR339" s="2345">
        <f t="shared" si="136"/>
        <v>0</v>
      </c>
      <c r="AS339" s="2345">
        <f t="shared" si="136"/>
        <v>0</v>
      </c>
      <c r="AT339" s="2345">
        <f t="shared" si="136"/>
        <v>0</v>
      </c>
      <c r="AU339" s="2345">
        <f t="shared" si="136"/>
        <v>0</v>
      </c>
      <c r="AV339" s="2345">
        <f t="shared" si="136"/>
        <v>0</v>
      </c>
      <c r="AW339" s="2345">
        <f t="shared" si="136"/>
        <v>0</v>
      </c>
      <c r="AX339" s="2345">
        <f t="shared" si="136"/>
        <v>0</v>
      </c>
      <c r="AY339" s="2345">
        <f t="shared" si="136"/>
        <v>0</v>
      </c>
      <c r="AZ339" s="2345">
        <f t="shared" si="136"/>
        <v>0</v>
      </c>
      <c r="BA339" s="2345">
        <f t="shared" si="136"/>
        <v>0</v>
      </c>
      <c r="BB339" s="2345">
        <f t="shared" si="136"/>
        <v>0</v>
      </c>
      <c r="BC339" s="2301"/>
      <c r="BD339" s="2208"/>
      <c r="BE339" s="2297"/>
    </row>
    <row r="340" spans="1:57" ht="15.75" hidden="1" customHeight="1" outlineLevel="1">
      <c r="B340" s="2342"/>
      <c r="C340" s="2357"/>
      <c r="D340" s="2358" t="s">
        <v>1897</v>
      </c>
      <c r="E340" s="2345">
        <f>E357</f>
        <v>0</v>
      </c>
      <c r="F340" s="2345">
        <f t="shared" ref="F340:BB340" si="137">F357</f>
        <v>0</v>
      </c>
      <c r="G340" s="2345">
        <f t="shared" si="137"/>
        <v>0</v>
      </c>
      <c r="H340" s="2345">
        <f t="shared" si="137"/>
        <v>0</v>
      </c>
      <c r="I340" s="2345">
        <f t="shared" si="137"/>
        <v>0</v>
      </c>
      <c r="J340" s="2345">
        <f t="shared" si="137"/>
        <v>0</v>
      </c>
      <c r="K340" s="2345">
        <f t="shared" si="137"/>
        <v>0</v>
      </c>
      <c r="L340" s="2345">
        <f t="shared" si="137"/>
        <v>0</v>
      </c>
      <c r="M340" s="2345">
        <f t="shared" si="137"/>
        <v>0</v>
      </c>
      <c r="N340" s="2345">
        <f t="shared" si="137"/>
        <v>0</v>
      </c>
      <c r="O340" s="2345">
        <f t="shared" si="137"/>
        <v>0</v>
      </c>
      <c r="P340" s="2345">
        <f t="shared" si="137"/>
        <v>0</v>
      </c>
      <c r="Q340" s="2345">
        <f t="shared" si="137"/>
        <v>0</v>
      </c>
      <c r="R340" s="2345">
        <f t="shared" si="137"/>
        <v>0</v>
      </c>
      <c r="S340" s="2345">
        <f t="shared" si="137"/>
        <v>0</v>
      </c>
      <c r="T340" s="2345">
        <f t="shared" si="137"/>
        <v>0</v>
      </c>
      <c r="U340" s="2345">
        <f t="shared" si="137"/>
        <v>0</v>
      </c>
      <c r="V340" s="2345">
        <f t="shared" si="137"/>
        <v>0</v>
      </c>
      <c r="W340" s="2345">
        <f t="shared" si="137"/>
        <v>0</v>
      </c>
      <c r="X340" s="2345">
        <f t="shared" si="137"/>
        <v>0</v>
      </c>
      <c r="Y340" s="2345">
        <f t="shared" si="137"/>
        <v>0</v>
      </c>
      <c r="Z340" s="2345">
        <f t="shared" si="137"/>
        <v>0</v>
      </c>
      <c r="AA340" s="2345">
        <f t="shared" si="137"/>
        <v>0</v>
      </c>
      <c r="AB340" s="2345">
        <f t="shared" si="137"/>
        <v>0</v>
      </c>
      <c r="AC340" s="2345">
        <f t="shared" si="137"/>
        <v>0</v>
      </c>
      <c r="AD340" s="2345">
        <f t="shared" si="137"/>
        <v>0</v>
      </c>
      <c r="AE340" s="2345">
        <f t="shared" si="137"/>
        <v>0</v>
      </c>
      <c r="AF340" s="2345">
        <f t="shared" si="137"/>
        <v>0</v>
      </c>
      <c r="AG340" s="2345">
        <f t="shared" si="137"/>
        <v>0</v>
      </c>
      <c r="AH340" s="2345">
        <f t="shared" si="137"/>
        <v>0</v>
      </c>
      <c r="AI340" s="2345">
        <f t="shared" si="137"/>
        <v>0</v>
      </c>
      <c r="AJ340" s="2345">
        <f t="shared" si="137"/>
        <v>0</v>
      </c>
      <c r="AK340" s="2345">
        <f t="shared" si="137"/>
        <v>0</v>
      </c>
      <c r="AL340" s="2345">
        <f t="shared" si="137"/>
        <v>0</v>
      </c>
      <c r="AM340" s="2345">
        <f t="shared" si="137"/>
        <v>0</v>
      </c>
      <c r="AN340" s="2345">
        <f t="shared" si="137"/>
        <v>0</v>
      </c>
      <c r="AO340" s="2345">
        <f t="shared" si="137"/>
        <v>0</v>
      </c>
      <c r="AP340" s="2345">
        <f t="shared" si="137"/>
        <v>0</v>
      </c>
      <c r="AQ340" s="2345">
        <f t="shared" si="136"/>
        <v>0</v>
      </c>
      <c r="AR340" s="2345">
        <f t="shared" si="136"/>
        <v>0</v>
      </c>
      <c r="AS340" s="2345">
        <f t="shared" si="136"/>
        <v>0</v>
      </c>
      <c r="AT340" s="2345">
        <f t="shared" si="136"/>
        <v>0</v>
      </c>
      <c r="AU340" s="2345">
        <f t="shared" si="136"/>
        <v>0</v>
      </c>
      <c r="AV340" s="2345">
        <f t="shared" si="136"/>
        <v>0</v>
      </c>
      <c r="AW340" s="2345">
        <f t="shared" si="136"/>
        <v>0</v>
      </c>
      <c r="AX340" s="2345">
        <f t="shared" si="136"/>
        <v>0</v>
      </c>
      <c r="AY340" s="2345">
        <f t="shared" si="136"/>
        <v>0</v>
      </c>
      <c r="AZ340" s="2345">
        <f t="shared" si="136"/>
        <v>0</v>
      </c>
      <c r="BA340" s="2345">
        <f t="shared" si="137"/>
        <v>0</v>
      </c>
      <c r="BB340" s="2345">
        <f t="shared" si="137"/>
        <v>0</v>
      </c>
      <c r="BC340" s="2310"/>
      <c r="BD340" s="2208"/>
    </row>
    <row r="341" spans="1:57" ht="11.25" hidden="1" customHeight="1" outlineLevel="2">
      <c r="B341" s="2311"/>
      <c r="C341" s="2322"/>
      <c r="D341" s="2300"/>
      <c r="E341" s="2293"/>
      <c r="F341" s="2293"/>
      <c r="G341" s="2293"/>
      <c r="H341" s="2293"/>
      <c r="I341" s="2293"/>
      <c r="J341" s="2293"/>
      <c r="K341" s="2293"/>
      <c r="L341" s="2293"/>
      <c r="M341" s="2293"/>
      <c r="N341" s="2293"/>
      <c r="O341" s="2293"/>
      <c r="P341" s="2293"/>
      <c r="Q341" s="2293"/>
      <c r="R341" s="2293"/>
      <c r="S341" s="2293"/>
      <c r="T341" s="2293"/>
      <c r="U341" s="2293"/>
      <c r="V341" s="2293"/>
      <c r="W341" s="2293"/>
      <c r="X341" s="2293"/>
      <c r="Y341" s="2293"/>
      <c r="Z341" s="2293"/>
      <c r="AA341" s="2293"/>
      <c r="AB341" s="2293"/>
      <c r="AC341" s="2293"/>
      <c r="AD341" s="2293"/>
      <c r="AE341" s="2294"/>
      <c r="AF341" s="2295"/>
      <c r="AG341" s="2295"/>
      <c r="AH341" s="2295"/>
      <c r="AI341" s="2295"/>
      <c r="AJ341" s="2295"/>
      <c r="AK341" s="2295"/>
      <c r="AL341" s="2295"/>
      <c r="AM341" s="2295"/>
      <c r="AN341" s="2295"/>
      <c r="AO341" s="2295"/>
      <c r="AP341" s="2295"/>
      <c r="AQ341" s="2295"/>
      <c r="AR341" s="2295"/>
      <c r="AS341" s="2295"/>
      <c r="AT341" s="2295"/>
      <c r="AU341" s="2295"/>
      <c r="AV341" s="2295"/>
      <c r="AW341" s="2295"/>
      <c r="AX341" s="2295"/>
      <c r="AY341" s="2295"/>
      <c r="AZ341" s="2295"/>
      <c r="BA341" s="2295"/>
      <c r="BB341" s="2295"/>
      <c r="BC341" s="2320"/>
      <c r="BD341" s="2240"/>
    </row>
    <row r="342" spans="1:57" ht="16.5" hidden="1" customHeight="1" outlineLevel="2">
      <c r="B342" s="2342">
        <v>400.1</v>
      </c>
      <c r="C342" s="2357">
        <v>0</v>
      </c>
      <c r="D342" s="2362">
        <v>0</v>
      </c>
      <c r="E342" s="2345"/>
      <c r="F342" s="2345"/>
      <c r="G342" s="2345"/>
      <c r="H342" s="2345"/>
      <c r="I342" s="2345"/>
      <c r="J342" s="2345"/>
      <c r="K342" s="2345"/>
      <c r="L342" s="2345"/>
      <c r="M342" s="2345"/>
      <c r="N342" s="2345"/>
      <c r="O342" s="2345"/>
      <c r="P342" s="2345"/>
      <c r="Q342" s="2345"/>
      <c r="R342" s="2345"/>
      <c r="S342" s="2345"/>
      <c r="T342" s="2345"/>
      <c r="U342" s="2345"/>
      <c r="V342" s="2345"/>
      <c r="W342" s="2345"/>
      <c r="X342" s="2345"/>
      <c r="Y342" s="2345"/>
      <c r="Z342" s="2345"/>
      <c r="AA342" s="2345"/>
      <c r="AB342" s="2345"/>
      <c r="AC342" s="2345"/>
      <c r="AD342" s="2345"/>
      <c r="AE342" s="2346"/>
      <c r="AF342" s="2345"/>
      <c r="AG342" s="2345"/>
      <c r="AH342" s="2345"/>
      <c r="AI342" s="2345"/>
      <c r="AJ342" s="2345"/>
      <c r="AK342" s="2345"/>
      <c r="AL342" s="2345"/>
      <c r="AM342" s="2345"/>
      <c r="AN342" s="2345"/>
      <c r="AO342" s="2345"/>
      <c r="AP342" s="2345"/>
      <c r="AQ342" s="2345"/>
      <c r="AR342" s="2345"/>
      <c r="AS342" s="2345"/>
      <c r="AT342" s="2345"/>
      <c r="AU342" s="2345"/>
      <c r="AV342" s="2345"/>
      <c r="AW342" s="2345"/>
      <c r="AX342" s="2345"/>
      <c r="AY342" s="2345"/>
      <c r="AZ342" s="2345"/>
      <c r="BA342" s="2345"/>
      <c r="BB342" s="2345"/>
      <c r="BC342" s="2320"/>
      <c r="BD342" s="2240"/>
    </row>
    <row r="343" spans="1:57" ht="15" hidden="1" customHeight="1" outlineLevel="3">
      <c r="B343" s="2339"/>
      <c r="C343" s="2347" t="s">
        <v>1898</v>
      </c>
      <c r="D343" s="2341" t="s">
        <v>1899</v>
      </c>
      <c r="E343" s="2336">
        <v>0</v>
      </c>
      <c r="F343" s="2336">
        <v>0</v>
      </c>
      <c r="G343" s="2336">
        <v>0</v>
      </c>
      <c r="H343" s="2336">
        <v>0</v>
      </c>
      <c r="I343" s="2336">
        <v>0</v>
      </c>
      <c r="J343" s="2336">
        <v>0</v>
      </c>
      <c r="K343" s="2336">
        <v>0</v>
      </c>
      <c r="L343" s="2336">
        <v>0</v>
      </c>
      <c r="M343" s="2336">
        <v>0</v>
      </c>
      <c r="N343" s="2336">
        <v>0</v>
      </c>
      <c r="O343" s="2336">
        <v>0</v>
      </c>
      <c r="P343" s="2336">
        <v>0</v>
      </c>
      <c r="Q343" s="2336">
        <v>0</v>
      </c>
      <c r="R343" s="2336">
        <v>0</v>
      </c>
      <c r="S343" s="2336">
        <v>0</v>
      </c>
      <c r="T343" s="2336">
        <v>0</v>
      </c>
      <c r="U343" s="2336">
        <v>0</v>
      </c>
      <c r="V343" s="2336">
        <v>0</v>
      </c>
      <c r="W343" s="2336">
        <v>0</v>
      </c>
      <c r="X343" s="2336">
        <v>0</v>
      </c>
      <c r="Y343" s="2336">
        <v>0</v>
      </c>
      <c r="Z343" s="2336">
        <v>0</v>
      </c>
      <c r="AA343" s="2336"/>
      <c r="AB343" s="2336"/>
      <c r="AC343" s="2336"/>
      <c r="AD343" s="2336"/>
      <c r="AE343" s="2337">
        <v>0</v>
      </c>
      <c r="AF343" s="2336">
        <f t="shared" ref="AF343:AZ343" si="138">AF233-AE233+AF491+AE343</f>
        <v>0</v>
      </c>
      <c r="AG343" s="2336">
        <f t="shared" si="138"/>
        <v>0</v>
      </c>
      <c r="AH343" s="2336">
        <f t="shared" si="138"/>
        <v>0</v>
      </c>
      <c r="AI343" s="2336">
        <f t="shared" si="138"/>
        <v>0</v>
      </c>
      <c r="AJ343" s="2336">
        <f t="shared" si="138"/>
        <v>0</v>
      </c>
      <c r="AK343" s="2336">
        <f t="shared" si="138"/>
        <v>0</v>
      </c>
      <c r="AL343" s="2336">
        <f t="shared" si="138"/>
        <v>0</v>
      </c>
      <c r="AM343" s="2336">
        <f t="shared" si="138"/>
        <v>0</v>
      </c>
      <c r="AN343" s="2336">
        <f t="shared" si="138"/>
        <v>0</v>
      </c>
      <c r="AO343" s="2336">
        <f t="shared" si="138"/>
        <v>0</v>
      </c>
      <c r="AP343" s="2336">
        <f t="shared" si="138"/>
        <v>0</v>
      </c>
      <c r="AQ343" s="2336">
        <f t="shared" si="138"/>
        <v>0</v>
      </c>
      <c r="AR343" s="2336">
        <f t="shared" si="138"/>
        <v>0</v>
      </c>
      <c r="AS343" s="2336">
        <f t="shared" si="138"/>
        <v>0</v>
      </c>
      <c r="AT343" s="2336">
        <f t="shared" si="138"/>
        <v>0</v>
      </c>
      <c r="AU343" s="2336">
        <f t="shared" si="138"/>
        <v>0</v>
      </c>
      <c r="AV343" s="2336">
        <f t="shared" si="138"/>
        <v>0</v>
      </c>
      <c r="AW343" s="2336">
        <f t="shared" si="138"/>
        <v>0</v>
      </c>
      <c r="AX343" s="2336">
        <f t="shared" si="138"/>
        <v>0</v>
      </c>
      <c r="AY343" s="2336">
        <f t="shared" si="138"/>
        <v>0</v>
      </c>
      <c r="AZ343" s="2336">
        <f t="shared" si="138"/>
        <v>0</v>
      </c>
      <c r="BA343" s="2336">
        <f>BA233-AP233+BA491+AP343</f>
        <v>0</v>
      </c>
      <c r="BB343" s="2336">
        <f>BB233-BA233+BB491+BA343</f>
        <v>0</v>
      </c>
      <c r="BC343" s="2310"/>
      <c r="BD343" s="2240"/>
    </row>
    <row r="344" spans="1:57" ht="15" hidden="1" customHeight="1" outlineLevel="3">
      <c r="B344" s="2339"/>
      <c r="C344" s="2347" t="s">
        <v>1901</v>
      </c>
      <c r="D344" s="2341" t="s">
        <v>1902</v>
      </c>
      <c r="E344" s="2336">
        <v>0</v>
      </c>
      <c r="F344" s="2336">
        <v>0</v>
      </c>
      <c r="G344" s="2336">
        <v>0</v>
      </c>
      <c r="H344" s="2336">
        <v>0</v>
      </c>
      <c r="I344" s="2336">
        <v>0</v>
      </c>
      <c r="J344" s="2336">
        <v>0</v>
      </c>
      <c r="K344" s="2336">
        <v>0</v>
      </c>
      <c r="L344" s="2336">
        <v>0</v>
      </c>
      <c r="M344" s="2336">
        <v>0</v>
      </c>
      <c r="N344" s="2336">
        <v>0</v>
      </c>
      <c r="O344" s="2336">
        <v>0</v>
      </c>
      <c r="P344" s="2336">
        <v>0</v>
      </c>
      <c r="Q344" s="2336">
        <v>0</v>
      </c>
      <c r="R344" s="2336">
        <v>0</v>
      </c>
      <c r="S344" s="2336">
        <v>0</v>
      </c>
      <c r="T344" s="2336">
        <v>0</v>
      </c>
      <c r="U344" s="2336">
        <v>0</v>
      </c>
      <c r="V344" s="2336">
        <v>0</v>
      </c>
      <c r="W344" s="2336">
        <v>0</v>
      </c>
      <c r="X344" s="2336">
        <v>0</v>
      </c>
      <c r="Y344" s="2336">
        <v>0</v>
      </c>
      <c r="Z344" s="2336">
        <v>0</v>
      </c>
      <c r="AA344" s="2336">
        <v>0</v>
      </c>
      <c r="AB344" s="2336">
        <v>0</v>
      </c>
      <c r="AC344" s="2336">
        <v>0</v>
      </c>
      <c r="AD344" s="2336">
        <v>0</v>
      </c>
      <c r="AE344" s="2337">
        <v>0</v>
      </c>
      <c r="AF344" s="2336">
        <v>0</v>
      </c>
      <c r="AG344" s="2336">
        <v>0</v>
      </c>
      <c r="AH344" s="2336">
        <v>0</v>
      </c>
      <c r="AI344" s="2336">
        <v>0</v>
      </c>
      <c r="AJ344" s="2336">
        <v>0</v>
      </c>
      <c r="AK344" s="2336">
        <v>0</v>
      </c>
      <c r="AL344" s="2336">
        <v>0</v>
      </c>
      <c r="AM344" s="2336">
        <v>0</v>
      </c>
      <c r="AN344" s="2336">
        <v>0</v>
      </c>
      <c r="AO344" s="2336">
        <v>0</v>
      </c>
      <c r="AP344" s="2336">
        <v>0</v>
      </c>
      <c r="AQ344" s="2336">
        <v>0</v>
      </c>
      <c r="AR344" s="2336">
        <v>0</v>
      </c>
      <c r="AS344" s="2336">
        <v>0</v>
      </c>
      <c r="AT344" s="2336">
        <v>0</v>
      </c>
      <c r="AU344" s="2336">
        <v>0</v>
      </c>
      <c r="AV344" s="2336">
        <v>0</v>
      </c>
      <c r="AW344" s="2336">
        <v>0</v>
      </c>
      <c r="AX344" s="2336">
        <v>0</v>
      </c>
      <c r="AY344" s="2336">
        <v>0</v>
      </c>
      <c r="AZ344" s="2336">
        <v>0</v>
      </c>
      <c r="BA344" s="2336">
        <v>0</v>
      </c>
      <c r="BB344" s="2336">
        <v>0</v>
      </c>
      <c r="BC344" s="2310"/>
      <c r="BD344" s="2240"/>
    </row>
    <row r="345" spans="1:57" ht="15" hidden="1" customHeight="1" outlineLevel="3">
      <c r="B345" s="2339"/>
      <c r="C345" s="2347" t="s">
        <v>1903</v>
      </c>
      <c r="D345" s="2341" t="s">
        <v>1904</v>
      </c>
      <c r="E345" s="2336">
        <v>0</v>
      </c>
      <c r="F345" s="2336">
        <v>0</v>
      </c>
      <c r="G345" s="2336">
        <v>0</v>
      </c>
      <c r="H345" s="2336">
        <v>0</v>
      </c>
      <c r="I345" s="2336">
        <v>0</v>
      </c>
      <c r="J345" s="2336">
        <v>0</v>
      </c>
      <c r="K345" s="2336">
        <v>0</v>
      </c>
      <c r="L345" s="2336">
        <v>0</v>
      </c>
      <c r="M345" s="2336">
        <v>0</v>
      </c>
      <c r="N345" s="2336">
        <v>0</v>
      </c>
      <c r="O345" s="2336">
        <v>0</v>
      </c>
      <c r="P345" s="2336">
        <v>0</v>
      </c>
      <c r="Q345" s="2336">
        <v>0</v>
      </c>
      <c r="R345" s="2336">
        <v>0</v>
      </c>
      <c r="S345" s="2336">
        <v>0</v>
      </c>
      <c r="T345" s="2336">
        <v>0</v>
      </c>
      <c r="U345" s="2336">
        <v>0</v>
      </c>
      <c r="V345" s="2336">
        <v>0</v>
      </c>
      <c r="W345" s="2336">
        <v>0</v>
      </c>
      <c r="X345" s="2336">
        <v>0</v>
      </c>
      <c r="Y345" s="2336">
        <v>0</v>
      </c>
      <c r="Z345" s="2336">
        <v>0</v>
      </c>
      <c r="AA345" s="2336">
        <v>0</v>
      </c>
      <c r="AB345" s="2336">
        <v>0</v>
      </c>
      <c r="AC345" s="2336">
        <v>0</v>
      </c>
      <c r="AD345" s="2336">
        <v>0</v>
      </c>
      <c r="AE345" s="2337">
        <v>0</v>
      </c>
      <c r="AF345" s="2336">
        <v>0</v>
      </c>
      <c r="AG345" s="2336">
        <v>0</v>
      </c>
      <c r="AH345" s="2336">
        <v>0</v>
      </c>
      <c r="AI345" s="2336">
        <v>0</v>
      </c>
      <c r="AJ345" s="2336">
        <v>0</v>
      </c>
      <c r="AK345" s="2336">
        <v>0</v>
      </c>
      <c r="AL345" s="2336">
        <v>0</v>
      </c>
      <c r="AM345" s="2336">
        <v>0</v>
      </c>
      <c r="AN345" s="2336">
        <v>0</v>
      </c>
      <c r="AO345" s="2336">
        <v>0</v>
      </c>
      <c r="AP345" s="2336">
        <v>0</v>
      </c>
      <c r="AQ345" s="2336">
        <v>0</v>
      </c>
      <c r="AR345" s="2336">
        <v>0</v>
      </c>
      <c r="AS345" s="2336">
        <v>0</v>
      </c>
      <c r="AT345" s="2336">
        <v>0</v>
      </c>
      <c r="AU345" s="2336">
        <v>0</v>
      </c>
      <c r="AV345" s="2336">
        <v>0</v>
      </c>
      <c r="AW345" s="2336">
        <v>0</v>
      </c>
      <c r="AX345" s="2336">
        <v>0</v>
      </c>
      <c r="AY345" s="2336">
        <v>0</v>
      </c>
      <c r="AZ345" s="2336">
        <v>0</v>
      </c>
      <c r="BA345" s="2336">
        <v>0</v>
      </c>
      <c r="BB345" s="2336">
        <v>0</v>
      </c>
      <c r="BC345" s="2310"/>
      <c r="BD345" s="2240"/>
    </row>
    <row r="346" spans="1:57" s="2203" customFormat="1" ht="15" hidden="1" customHeight="1" outlineLevel="3">
      <c r="B346" s="2348"/>
      <c r="C346" s="2349" t="s">
        <v>1905</v>
      </c>
      <c r="D346" s="2350" t="s">
        <v>1906</v>
      </c>
      <c r="E346" s="2351">
        <f>E343+E344+E345</f>
        <v>0</v>
      </c>
      <c r="F346" s="2351">
        <f t="shared" ref="F346:Y346" si="139">F343+F344+F345</f>
        <v>0</v>
      </c>
      <c r="G346" s="2351">
        <f t="shared" si="139"/>
        <v>0</v>
      </c>
      <c r="H346" s="2351">
        <f t="shared" si="139"/>
        <v>0</v>
      </c>
      <c r="I346" s="2351">
        <f t="shared" si="139"/>
        <v>0</v>
      </c>
      <c r="J346" s="2351">
        <f t="shared" si="139"/>
        <v>0</v>
      </c>
      <c r="K346" s="2351">
        <f t="shared" si="139"/>
        <v>0</v>
      </c>
      <c r="L346" s="2351">
        <f t="shared" si="139"/>
        <v>0</v>
      </c>
      <c r="M346" s="2351">
        <f t="shared" si="139"/>
        <v>0</v>
      </c>
      <c r="N346" s="2351">
        <f t="shared" si="139"/>
        <v>0</v>
      </c>
      <c r="O346" s="2351">
        <f t="shared" si="139"/>
        <v>0</v>
      </c>
      <c r="P346" s="2351">
        <f t="shared" si="139"/>
        <v>0</v>
      </c>
      <c r="Q346" s="2351">
        <f t="shared" si="139"/>
        <v>0</v>
      </c>
      <c r="R346" s="2351">
        <f t="shared" si="139"/>
        <v>0</v>
      </c>
      <c r="S346" s="2351">
        <f t="shared" si="139"/>
        <v>0</v>
      </c>
      <c r="T346" s="2351">
        <f t="shared" si="139"/>
        <v>0</v>
      </c>
      <c r="U346" s="2351">
        <f t="shared" si="139"/>
        <v>0</v>
      </c>
      <c r="V346" s="2351">
        <f t="shared" si="139"/>
        <v>0</v>
      </c>
      <c r="W346" s="2351">
        <f t="shared" si="139"/>
        <v>0</v>
      </c>
      <c r="X346" s="2351">
        <f t="shared" si="139"/>
        <v>0</v>
      </c>
      <c r="Y346" s="2351">
        <f t="shared" si="139"/>
        <v>0</v>
      </c>
      <c r="Z346" s="2351"/>
      <c r="AA346" s="2351">
        <f t="shared" ref="AA346:BB346" si="140">AA343+AA344+AA345</f>
        <v>0</v>
      </c>
      <c r="AB346" s="2351">
        <f t="shared" si="140"/>
        <v>0</v>
      </c>
      <c r="AC346" s="2351">
        <f t="shared" si="140"/>
        <v>0</v>
      </c>
      <c r="AD346" s="2351">
        <f t="shared" si="140"/>
        <v>0</v>
      </c>
      <c r="AE346" s="2359">
        <f t="shared" si="140"/>
        <v>0</v>
      </c>
      <c r="AF346" s="2351">
        <f t="shared" si="140"/>
        <v>0</v>
      </c>
      <c r="AG346" s="2351">
        <f t="shared" si="140"/>
        <v>0</v>
      </c>
      <c r="AH346" s="2351">
        <f t="shared" si="140"/>
        <v>0</v>
      </c>
      <c r="AI346" s="2351">
        <f t="shared" si="140"/>
        <v>0</v>
      </c>
      <c r="AJ346" s="2351">
        <f t="shared" si="140"/>
        <v>0</v>
      </c>
      <c r="AK346" s="2351">
        <f t="shared" si="140"/>
        <v>0</v>
      </c>
      <c r="AL346" s="2351">
        <f t="shared" si="140"/>
        <v>0</v>
      </c>
      <c r="AM346" s="2351">
        <f t="shared" si="140"/>
        <v>0</v>
      </c>
      <c r="AN346" s="2351">
        <f t="shared" si="140"/>
        <v>0</v>
      </c>
      <c r="AO346" s="2351">
        <f t="shared" si="140"/>
        <v>0</v>
      </c>
      <c r="AP346" s="2351">
        <f t="shared" si="140"/>
        <v>0</v>
      </c>
      <c r="AQ346" s="2351">
        <f t="shared" si="140"/>
        <v>0</v>
      </c>
      <c r="AR346" s="2351">
        <f t="shared" si="140"/>
        <v>0</v>
      </c>
      <c r="AS346" s="2351">
        <f t="shared" si="140"/>
        <v>0</v>
      </c>
      <c r="AT346" s="2351">
        <f t="shared" si="140"/>
        <v>0</v>
      </c>
      <c r="AU346" s="2351">
        <f t="shared" si="140"/>
        <v>0</v>
      </c>
      <c r="AV346" s="2351">
        <f t="shared" si="140"/>
        <v>0</v>
      </c>
      <c r="AW346" s="2351">
        <f t="shared" si="140"/>
        <v>0</v>
      </c>
      <c r="AX346" s="2351">
        <f t="shared" si="140"/>
        <v>0</v>
      </c>
      <c r="AY346" s="2351">
        <f t="shared" si="140"/>
        <v>0</v>
      </c>
      <c r="AZ346" s="2351">
        <f t="shared" si="140"/>
        <v>0</v>
      </c>
      <c r="BA346" s="2351">
        <f t="shared" si="140"/>
        <v>0</v>
      </c>
      <c r="BB346" s="2351">
        <f t="shared" si="140"/>
        <v>0</v>
      </c>
      <c r="BC346" s="2308"/>
      <c r="BD346" s="2208"/>
    </row>
    <row r="347" spans="1:57" s="2203" customFormat="1" ht="15" hidden="1" customHeight="1" outlineLevel="3">
      <c r="B347" s="2348"/>
      <c r="C347" s="2352" t="s">
        <v>1907</v>
      </c>
      <c r="D347" s="2350" t="s">
        <v>1908</v>
      </c>
      <c r="E347" s="2351">
        <v>0</v>
      </c>
      <c r="F347" s="2351">
        <v>0</v>
      </c>
      <c r="G347" s="2351">
        <v>0</v>
      </c>
      <c r="H347" s="2351">
        <v>0</v>
      </c>
      <c r="I347" s="2351">
        <v>0</v>
      </c>
      <c r="J347" s="2351">
        <v>0</v>
      </c>
      <c r="K347" s="2351">
        <v>0</v>
      </c>
      <c r="L347" s="2351">
        <v>0</v>
      </c>
      <c r="M347" s="2351">
        <v>0</v>
      </c>
      <c r="N347" s="2351">
        <v>0</v>
      </c>
      <c r="O347" s="2351">
        <v>0</v>
      </c>
      <c r="P347" s="2351">
        <v>0</v>
      </c>
      <c r="Q347" s="2351">
        <v>0</v>
      </c>
      <c r="R347" s="2351">
        <v>0</v>
      </c>
      <c r="S347" s="2351">
        <v>0</v>
      </c>
      <c r="T347" s="2351">
        <v>0</v>
      </c>
      <c r="U347" s="2351">
        <v>0</v>
      </c>
      <c r="V347" s="2351">
        <v>0</v>
      </c>
      <c r="W347" s="2351">
        <v>0</v>
      </c>
      <c r="X347" s="2351">
        <v>0</v>
      </c>
      <c r="Y347" s="2351">
        <v>0</v>
      </c>
      <c r="Z347" s="2351">
        <v>0</v>
      </c>
      <c r="AA347" s="2351">
        <v>0</v>
      </c>
      <c r="AB347" s="2351">
        <v>0</v>
      </c>
      <c r="AC347" s="2351">
        <v>0</v>
      </c>
      <c r="AD347" s="2351">
        <v>0</v>
      </c>
      <c r="AE347" s="2359">
        <v>0</v>
      </c>
      <c r="AF347" s="2351">
        <v>0</v>
      </c>
      <c r="AG347" s="2351">
        <v>0</v>
      </c>
      <c r="AH347" s="2351">
        <v>0</v>
      </c>
      <c r="AI347" s="2351">
        <v>0</v>
      </c>
      <c r="AJ347" s="2351">
        <v>0</v>
      </c>
      <c r="AK347" s="2351">
        <v>0</v>
      </c>
      <c r="AL347" s="2351">
        <v>0</v>
      </c>
      <c r="AM347" s="2351">
        <v>0</v>
      </c>
      <c r="AN347" s="2351">
        <v>0</v>
      </c>
      <c r="AO347" s="2351">
        <v>0</v>
      </c>
      <c r="AP347" s="2351">
        <v>0</v>
      </c>
      <c r="AQ347" s="2351">
        <v>0</v>
      </c>
      <c r="AR347" s="2351">
        <v>0</v>
      </c>
      <c r="AS347" s="2351">
        <v>0</v>
      </c>
      <c r="AT347" s="2351">
        <v>0</v>
      </c>
      <c r="AU347" s="2351">
        <v>0</v>
      </c>
      <c r="AV347" s="2351">
        <v>0</v>
      </c>
      <c r="AW347" s="2351">
        <v>0</v>
      </c>
      <c r="AX347" s="2351">
        <v>0</v>
      </c>
      <c r="AY347" s="2351">
        <v>0</v>
      </c>
      <c r="AZ347" s="2351">
        <v>0</v>
      </c>
      <c r="BA347" s="2351">
        <v>0</v>
      </c>
      <c r="BB347" s="2351">
        <v>0</v>
      </c>
      <c r="BC347" s="2308"/>
      <c r="BD347" s="2208"/>
    </row>
    <row r="348" spans="1:57" s="2226" customFormat="1" ht="15" hidden="1" customHeight="1" outlineLevel="3">
      <c r="A348" s="2219"/>
      <c r="B348" s="2339"/>
      <c r="C348" s="2353" t="s">
        <v>1579</v>
      </c>
      <c r="D348" s="2341" t="s">
        <v>1909</v>
      </c>
      <c r="E348" s="2336">
        <v>0</v>
      </c>
      <c r="F348" s="2336">
        <v>0</v>
      </c>
      <c r="G348" s="2336">
        <v>0</v>
      </c>
      <c r="H348" s="2336">
        <v>0</v>
      </c>
      <c r="I348" s="2336">
        <v>0</v>
      </c>
      <c r="J348" s="2336">
        <v>0</v>
      </c>
      <c r="K348" s="2336">
        <v>0</v>
      </c>
      <c r="L348" s="2336">
        <v>0</v>
      </c>
      <c r="M348" s="2336">
        <v>0</v>
      </c>
      <c r="N348" s="2336">
        <v>0</v>
      </c>
      <c r="O348" s="2336">
        <v>0</v>
      </c>
      <c r="P348" s="2336">
        <v>0</v>
      </c>
      <c r="Q348" s="2336">
        <v>0</v>
      </c>
      <c r="R348" s="2336">
        <v>0</v>
      </c>
      <c r="S348" s="2336">
        <v>0</v>
      </c>
      <c r="T348" s="2336">
        <v>0</v>
      </c>
      <c r="U348" s="2336">
        <v>0</v>
      </c>
      <c r="V348" s="2336">
        <v>0</v>
      </c>
      <c r="W348" s="2336">
        <v>0</v>
      </c>
      <c r="X348" s="2336">
        <v>0</v>
      </c>
      <c r="Y348" s="2336">
        <v>0</v>
      </c>
      <c r="Z348" s="2336">
        <v>0</v>
      </c>
      <c r="AA348" s="2336">
        <v>0</v>
      </c>
      <c r="AB348" s="2336">
        <v>0</v>
      </c>
      <c r="AC348" s="2336">
        <v>0</v>
      </c>
      <c r="AD348" s="2336">
        <v>0</v>
      </c>
      <c r="AE348" s="2337">
        <v>0</v>
      </c>
      <c r="AF348" s="2336">
        <v>0</v>
      </c>
      <c r="AG348" s="2336">
        <v>0</v>
      </c>
      <c r="AH348" s="2336">
        <v>0</v>
      </c>
      <c r="AI348" s="2336">
        <v>0</v>
      </c>
      <c r="AJ348" s="2336">
        <v>0</v>
      </c>
      <c r="AK348" s="2336">
        <v>0</v>
      </c>
      <c r="AL348" s="2336">
        <v>0</v>
      </c>
      <c r="AM348" s="2336">
        <v>0</v>
      </c>
      <c r="AN348" s="2336">
        <v>0</v>
      </c>
      <c r="AO348" s="2336">
        <v>0</v>
      </c>
      <c r="AP348" s="2336">
        <v>0</v>
      </c>
      <c r="AQ348" s="2336">
        <v>0</v>
      </c>
      <c r="AR348" s="2336">
        <v>0</v>
      </c>
      <c r="AS348" s="2336">
        <v>0</v>
      </c>
      <c r="AT348" s="2336">
        <v>0</v>
      </c>
      <c r="AU348" s="2336">
        <v>0</v>
      </c>
      <c r="AV348" s="2336">
        <v>0</v>
      </c>
      <c r="AW348" s="2336">
        <v>0</v>
      </c>
      <c r="AX348" s="2336">
        <v>0</v>
      </c>
      <c r="AY348" s="2336">
        <v>0</v>
      </c>
      <c r="AZ348" s="2336">
        <v>0</v>
      </c>
      <c r="BA348" s="2336">
        <v>0</v>
      </c>
      <c r="BB348" s="2336">
        <v>0</v>
      </c>
      <c r="BC348" s="2310">
        <f>+AA348</f>
        <v>0</v>
      </c>
      <c r="BD348" s="2318"/>
    </row>
    <row r="349" spans="1:57" s="2203" customFormat="1" ht="15" hidden="1" customHeight="1" outlineLevel="3">
      <c r="B349" s="2348"/>
      <c r="C349" s="2352" t="s">
        <v>1910</v>
      </c>
      <c r="D349" s="2350" t="s">
        <v>1911</v>
      </c>
      <c r="E349" s="2351">
        <f>E346+E347+E348</f>
        <v>0</v>
      </c>
      <c r="F349" s="2351">
        <f t="shared" ref="F349:Y349" si="141">F346+F347+F348</f>
        <v>0</v>
      </c>
      <c r="G349" s="2351">
        <f t="shared" si="141"/>
        <v>0</v>
      </c>
      <c r="H349" s="2351">
        <f t="shared" si="141"/>
        <v>0</v>
      </c>
      <c r="I349" s="2351">
        <f t="shared" si="141"/>
        <v>0</v>
      </c>
      <c r="J349" s="2351">
        <f t="shared" si="141"/>
        <v>0</v>
      </c>
      <c r="K349" s="2351">
        <f t="shared" si="141"/>
        <v>0</v>
      </c>
      <c r="L349" s="2351">
        <f t="shared" si="141"/>
        <v>0</v>
      </c>
      <c r="M349" s="2351">
        <f t="shared" si="141"/>
        <v>0</v>
      </c>
      <c r="N349" s="2351">
        <f t="shared" si="141"/>
        <v>0</v>
      </c>
      <c r="O349" s="2351">
        <f t="shared" si="141"/>
        <v>0</v>
      </c>
      <c r="P349" s="2351">
        <f t="shared" si="141"/>
        <v>0</v>
      </c>
      <c r="Q349" s="2351">
        <f t="shared" si="141"/>
        <v>0</v>
      </c>
      <c r="R349" s="2351">
        <f t="shared" si="141"/>
        <v>0</v>
      </c>
      <c r="S349" s="2351">
        <f t="shared" si="141"/>
        <v>0</v>
      </c>
      <c r="T349" s="2351">
        <f t="shared" si="141"/>
        <v>0</v>
      </c>
      <c r="U349" s="2351">
        <f t="shared" si="141"/>
        <v>0</v>
      </c>
      <c r="V349" s="2351">
        <f t="shared" si="141"/>
        <v>0</v>
      </c>
      <c r="W349" s="2351">
        <f t="shared" si="141"/>
        <v>0</v>
      </c>
      <c r="X349" s="2351">
        <f t="shared" si="141"/>
        <v>0</v>
      </c>
      <c r="Y349" s="2351">
        <f t="shared" si="141"/>
        <v>0</v>
      </c>
      <c r="Z349" s="2351"/>
      <c r="AA349" s="2351">
        <f t="shared" ref="AA349:BB349" si="142">AA346+AA347+AA348</f>
        <v>0</v>
      </c>
      <c r="AB349" s="2351">
        <f t="shared" si="142"/>
        <v>0</v>
      </c>
      <c r="AC349" s="2351">
        <f t="shared" si="142"/>
        <v>0</v>
      </c>
      <c r="AD349" s="2351">
        <f t="shared" si="142"/>
        <v>0</v>
      </c>
      <c r="AE349" s="2359">
        <f t="shared" si="142"/>
        <v>0</v>
      </c>
      <c r="AF349" s="2351">
        <f t="shared" si="142"/>
        <v>0</v>
      </c>
      <c r="AG349" s="2351">
        <f t="shared" si="142"/>
        <v>0</v>
      </c>
      <c r="AH349" s="2351">
        <f t="shared" si="142"/>
        <v>0</v>
      </c>
      <c r="AI349" s="2351">
        <f t="shared" si="142"/>
        <v>0</v>
      </c>
      <c r="AJ349" s="2351">
        <f t="shared" si="142"/>
        <v>0</v>
      </c>
      <c r="AK349" s="2351">
        <f t="shared" si="142"/>
        <v>0</v>
      </c>
      <c r="AL349" s="2351">
        <f t="shared" si="142"/>
        <v>0</v>
      </c>
      <c r="AM349" s="2351">
        <f t="shared" si="142"/>
        <v>0</v>
      </c>
      <c r="AN349" s="2351">
        <f t="shared" si="142"/>
        <v>0</v>
      </c>
      <c r="AO349" s="2351">
        <f t="shared" si="142"/>
        <v>0</v>
      </c>
      <c r="AP349" s="2351">
        <f t="shared" si="142"/>
        <v>0</v>
      </c>
      <c r="AQ349" s="2351">
        <f t="shared" si="142"/>
        <v>0</v>
      </c>
      <c r="AR349" s="2351">
        <f t="shared" si="142"/>
        <v>0</v>
      </c>
      <c r="AS349" s="2351">
        <f t="shared" si="142"/>
        <v>0</v>
      </c>
      <c r="AT349" s="2351">
        <f t="shared" si="142"/>
        <v>0</v>
      </c>
      <c r="AU349" s="2351">
        <f t="shared" si="142"/>
        <v>0</v>
      </c>
      <c r="AV349" s="2351">
        <f t="shared" si="142"/>
        <v>0</v>
      </c>
      <c r="AW349" s="2351">
        <f t="shared" si="142"/>
        <v>0</v>
      </c>
      <c r="AX349" s="2351">
        <f t="shared" si="142"/>
        <v>0</v>
      </c>
      <c r="AY349" s="2351">
        <f t="shared" si="142"/>
        <v>0</v>
      </c>
      <c r="AZ349" s="2351">
        <f t="shared" si="142"/>
        <v>0</v>
      </c>
      <c r="BA349" s="2351">
        <f t="shared" si="142"/>
        <v>0</v>
      </c>
      <c r="BB349" s="2351">
        <f t="shared" si="142"/>
        <v>0</v>
      </c>
      <c r="BC349" s="2308"/>
      <c r="BD349" s="2208"/>
    </row>
    <row r="350" spans="1:57" s="2203" customFormat="1" ht="15" hidden="1" customHeight="1" outlineLevel="3">
      <c r="B350" s="2348"/>
      <c r="C350" s="2352" t="s">
        <v>1930</v>
      </c>
      <c r="D350" s="2350" t="s">
        <v>1913</v>
      </c>
      <c r="E350" s="2351">
        <v>0</v>
      </c>
      <c r="F350" s="2351">
        <v>0</v>
      </c>
      <c r="G350" s="2351">
        <v>0</v>
      </c>
      <c r="H350" s="2351">
        <v>0</v>
      </c>
      <c r="I350" s="2351">
        <v>0</v>
      </c>
      <c r="J350" s="2351">
        <v>0</v>
      </c>
      <c r="K350" s="2351">
        <v>0</v>
      </c>
      <c r="L350" s="2351">
        <v>0</v>
      </c>
      <c r="M350" s="2351">
        <v>0</v>
      </c>
      <c r="N350" s="2351">
        <v>0</v>
      </c>
      <c r="O350" s="2351">
        <v>0</v>
      </c>
      <c r="P350" s="2351">
        <v>0</v>
      </c>
      <c r="Q350" s="2351">
        <v>0</v>
      </c>
      <c r="R350" s="2351">
        <v>0</v>
      </c>
      <c r="S350" s="2351">
        <v>0</v>
      </c>
      <c r="T350" s="2351">
        <v>0</v>
      </c>
      <c r="U350" s="2351">
        <v>0</v>
      </c>
      <c r="V350" s="2351">
        <v>0</v>
      </c>
      <c r="W350" s="2351">
        <v>0</v>
      </c>
      <c r="X350" s="2351">
        <v>0</v>
      </c>
      <c r="Y350" s="2351">
        <v>0</v>
      </c>
      <c r="Z350" s="2351">
        <v>0</v>
      </c>
      <c r="AA350" s="2351">
        <f t="shared" ref="AA350:BB350" si="143">AA341*-0.1</f>
        <v>0</v>
      </c>
      <c r="AB350" s="2351">
        <f t="shared" si="143"/>
        <v>0</v>
      </c>
      <c r="AC350" s="2351">
        <f t="shared" si="143"/>
        <v>0</v>
      </c>
      <c r="AD350" s="2351">
        <f t="shared" si="143"/>
        <v>0</v>
      </c>
      <c r="AE350" s="2359">
        <f t="shared" si="143"/>
        <v>0</v>
      </c>
      <c r="AF350" s="2351">
        <f t="shared" si="143"/>
        <v>0</v>
      </c>
      <c r="AG350" s="2351">
        <f t="shared" si="143"/>
        <v>0</v>
      </c>
      <c r="AH350" s="2351">
        <f t="shared" si="143"/>
        <v>0</v>
      </c>
      <c r="AI350" s="2351">
        <f t="shared" si="143"/>
        <v>0</v>
      </c>
      <c r="AJ350" s="2351">
        <f t="shared" si="143"/>
        <v>0</v>
      </c>
      <c r="AK350" s="2351">
        <f t="shared" si="143"/>
        <v>0</v>
      </c>
      <c r="AL350" s="2351">
        <f t="shared" si="143"/>
        <v>0</v>
      </c>
      <c r="AM350" s="2351">
        <f t="shared" si="143"/>
        <v>0</v>
      </c>
      <c r="AN350" s="2351">
        <f t="shared" si="143"/>
        <v>0</v>
      </c>
      <c r="AO350" s="2351">
        <f t="shared" si="143"/>
        <v>0</v>
      </c>
      <c r="AP350" s="2351">
        <f t="shared" si="143"/>
        <v>0</v>
      </c>
      <c r="AQ350" s="2351">
        <f t="shared" si="143"/>
        <v>0</v>
      </c>
      <c r="AR350" s="2351">
        <f t="shared" si="143"/>
        <v>0</v>
      </c>
      <c r="AS350" s="2351">
        <f t="shared" si="143"/>
        <v>0</v>
      </c>
      <c r="AT350" s="2351">
        <f t="shared" si="143"/>
        <v>0</v>
      </c>
      <c r="AU350" s="2351">
        <f t="shared" si="143"/>
        <v>0</v>
      </c>
      <c r="AV350" s="2351">
        <f t="shared" si="143"/>
        <v>0</v>
      </c>
      <c r="AW350" s="2351">
        <f t="shared" si="143"/>
        <v>0</v>
      </c>
      <c r="AX350" s="2351">
        <f t="shared" si="143"/>
        <v>0</v>
      </c>
      <c r="AY350" s="2351">
        <f t="shared" si="143"/>
        <v>0</v>
      </c>
      <c r="AZ350" s="2351">
        <f t="shared" si="143"/>
        <v>0</v>
      </c>
      <c r="BA350" s="2351">
        <f t="shared" si="143"/>
        <v>0</v>
      </c>
      <c r="BB350" s="2351">
        <f t="shared" si="143"/>
        <v>0</v>
      </c>
      <c r="BC350" s="2308"/>
      <c r="BD350" s="2208"/>
    </row>
    <row r="351" spans="1:57" ht="15" hidden="1" customHeight="1" outlineLevel="3">
      <c r="B351" s="2339"/>
      <c r="C351" s="2353" t="s">
        <v>1914</v>
      </c>
      <c r="D351" s="2341" t="s">
        <v>1915</v>
      </c>
      <c r="E351" s="2336">
        <v>0</v>
      </c>
      <c r="F351" s="2336">
        <v>0</v>
      </c>
      <c r="G351" s="2336">
        <v>0</v>
      </c>
      <c r="H351" s="2336">
        <v>0</v>
      </c>
      <c r="I351" s="2336">
        <v>0</v>
      </c>
      <c r="J351" s="2336">
        <v>0</v>
      </c>
      <c r="K351" s="2336">
        <v>0</v>
      </c>
      <c r="L351" s="2336">
        <v>0</v>
      </c>
      <c r="M351" s="2336">
        <v>0</v>
      </c>
      <c r="N351" s="2336">
        <v>0</v>
      </c>
      <c r="O351" s="2336">
        <v>0</v>
      </c>
      <c r="P351" s="2336">
        <v>0</v>
      </c>
      <c r="Q351" s="2336">
        <v>0</v>
      </c>
      <c r="R351" s="2336">
        <v>0</v>
      </c>
      <c r="S351" s="2336">
        <v>0</v>
      </c>
      <c r="T351" s="2336">
        <v>0</v>
      </c>
      <c r="U351" s="2336">
        <v>0</v>
      </c>
      <c r="V351" s="2336">
        <v>0</v>
      </c>
      <c r="W351" s="2336">
        <v>0</v>
      </c>
      <c r="X351" s="2336">
        <v>0</v>
      </c>
      <c r="Y351" s="2336">
        <v>0</v>
      </c>
      <c r="Z351" s="2336">
        <v>0</v>
      </c>
      <c r="AA351" s="2336">
        <v>0</v>
      </c>
      <c r="AB351" s="2336">
        <v>0</v>
      </c>
      <c r="AC351" s="2336">
        <v>0</v>
      </c>
      <c r="AD351" s="2336">
        <v>0</v>
      </c>
      <c r="AE351" s="2337">
        <v>0</v>
      </c>
      <c r="AF351" s="2336">
        <v>0</v>
      </c>
      <c r="AG351" s="2336">
        <v>0</v>
      </c>
      <c r="AH351" s="2336">
        <v>0</v>
      </c>
      <c r="AI351" s="2336">
        <v>0</v>
      </c>
      <c r="AJ351" s="2336">
        <v>0</v>
      </c>
      <c r="AK351" s="2336">
        <v>0</v>
      </c>
      <c r="AL351" s="2336">
        <v>0</v>
      </c>
      <c r="AM351" s="2336">
        <v>0</v>
      </c>
      <c r="AN351" s="2336">
        <v>0</v>
      </c>
      <c r="AO351" s="2336">
        <v>0</v>
      </c>
      <c r="AP351" s="2336">
        <v>0</v>
      </c>
      <c r="AQ351" s="2336">
        <v>0</v>
      </c>
      <c r="AR351" s="2336">
        <v>0</v>
      </c>
      <c r="AS351" s="2336">
        <v>0</v>
      </c>
      <c r="AT351" s="2336">
        <v>0</v>
      </c>
      <c r="AU351" s="2336">
        <v>0</v>
      </c>
      <c r="AV351" s="2336">
        <v>0</v>
      </c>
      <c r="AW351" s="2336">
        <v>0</v>
      </c>
      <c r="AX351" s="2336">
        <v>0</v>
      </c>
      <c r="AY351" s="2336">
        <v>0</v>
      </c>
      <c r="AZ351" s="2336">
        <v>0</v>
      </c>
      <c r="BA351" s="2336">
        <v>0</v>
      </c>
      <c r="BB351" s="2336">
        <v>0</v>
      </c>
      <c r="BC351" s="2310"/>
      <c r="BD351" s="2240"/>
    </row>
    <row r="352" spans="1:57" s="2203" customFormat="1" ht="15" hidden="1" customHeight="1" outlineLevel="3">
      <c r="B352" s="2348"/>
      <c r="C352" s="2352" t="s">
        <v>1916</v>
      </c>
      <c r="D352" s="2350" t="s">
        <v>1917</v>
      </c>
      <c r="E352" s="2351">
        <f>E349+E350+E351</f>
        <v>0</v>
      </c>
      <c r="F352" s="2351">
        <f t="shared" ref="F352:Y352" si="144">F349+F350+F351</f>
        <v>0</v>
      </c>
      <c r="G352" s="2351">
        <f t="shared" si="144"/>
        <v>0</v>
      </c>
      <c r="H352" s="2351">
        <f t="shared" si="144"/>
        <v>0</v>
      </c>
      <c r="I352" s="2351">
        <f t="shared" si="144"/>
        <v>0</v>
      </c>
      <c r="J352" s="2351">
        <f t="shared" si="144"/>
        <v>0</v>
      </c>
      <c r="K352" s="2351">
        <f t="shared" si="144"/>
        <v>0</v>
      </c>
      <c r="L352" s="2351">
        <f t="shared" si="144"/>
        <v>0</v>
      </c>
      <c r="M352" s="2351">
        <f t="shared" si="144"/>
        <v>0</v>
      </c>
      <c r="N352" s="2351">
        <f t="shared" si="144"/>
        <v>0</v>
      </c>
      <c r="O352" s="2351">
        <f t="shared" si="144"/>
        <v>0</v>
      </c>
      <c r="P352" s="2351">
        <f t="shared" si="144"/>
        <v>0</v>
      </c>
      <c r="Q352" s="2351">
        <f t="shared" si="144"/>
        <v>0</v>
      </c>
      <c r="R352" s="2351">
        <f t="shared" si="144"/>
        <v>0</v>
      </c>
      <c r="S352" s="2351">
        <f t="shared" si="144"/>
        <v>0</v>
      </c>
      <c r="T352" s="2351">
        <f t="shared" si="144"/>
        <v>0</v>
      </c>
      <c r="U352" s="2351">
        <f t="shared" si="144"/>
        <v>0</v>
      </c>
      <c r="V352" s="2351">
        <f t="shared" si="144"/>
        <v>0</v>
      </c>
      <c r="W352" s="2351">
        <f t="shared" si="144"/>
        <v>0</v>
      </c>
      <c r="X352" s="2351">
        <f t="shared" si="144"/>
        <v>0</v>
      </c>
      <c r="Y352" s="2351">
        <f t="shared" si="144"/>
        <v>0</v>
      </c>
      <c r="Z352" s="2351"/>
      <c r="AA352" s="2351">
        <f t="shared" ref="AA352:BB352" si="145">AA349+AA350+AA351</f>
        <v>0</v>
      </c>
      <c r="AB352" s="2351">
        <f t="shared" si="145"/>
        <v>0</v>
      </c>
      <c r="AC352" s="2351">
        <f t="shared" si="145"/>
        <v>0</v>
      </c>
      <c r="AD352" s="2351">
        <f t="shared" si="145"/>
        <v>0</v>
      </c>
      <c r="AE352" s="2359">
        <f t="shared" si="145"/>
        <v>0</v>
      </c>
      <c r="AF352" s="2351">
        <f t="shared" si="145"/>
        <v>0</v>
      </c>
      <c r="AG352" s="2351">
        <f t="shared" si="145"/>
        <v>0</v>
      </c>
      <c r="AH352" s="2351">
        <f t="shared" si="145"/>
        <v>0</v>
      </c>
      <c r="AI352" s="2351">
        <f t="shared" si="145"/>
        <v>0</v>
      </c>
      <c r="AJ352" s="2351">
        <f t="shared" si="145"/>
        <v>0</v>
      </c>
      <c r="AK352" s="2351">
        <f t="shared" si="145"/>
        <v>0</v>
      </c>
      <c r="AL352" s="2351">
        <f t="shared" si="145"/>
        <v>0</v>
      </c>
      <c r="AM352" s="2351">
        <f t="shared" si="145"/>
        <v>0</v>
      </c>
      <c r="AN352" s="2351">
        <f t="shared" si="145"/>
        <v>0</v>
      </c>
      <c r="AO352" s="2351">
        <f t="shared" si="145"/>
        <v>0</v>
      </c>
      <c r="AP352" s="2351">
        <f t="shared" si="145"/>
        <v>0</v>
      </c>
      <c r="AQ352" s="2351">
        <f t="shared" si="145"/>
        <v>0</v>
      </c>
      <c r="AR352" s="2351">
        <f t="shared" si="145"/>
        <v>0</v>
      </c>
      <c r="AS352" s="2351">
        <f t="shared" si="145"/>
        <v>0</v>
      </c>
      <c r="AT352" s="2351">
        <f t="shared" si="145"/>
        <v>0</v>
      </c>
      <c r="AU352" s="2351">
        <f t="shared" si="145"/>
        <v>0</v>
      </c>
      <c r="AV352" s="2351">
        <f t="shared" si="145"/>
        <v>0</v>
      </c>
      <c r="AW352" s="2351">
        <f t="shared" si="145"/>
        <v>0</v>
      </c>
      <c r="AX352" s="2351">
        <f t="shared" si="145"/>
        <v>0</v>
      </c>
      <c r="AY352" s="2351">
        <f t="shared" si="145"/>
        <v>0</v>
      </c>
      <c r="AZ352" s="2351">
        <f t="shared" si="145"/>
        <v>0</v>
      </c>
      <c r="BA352" s="2351">
        <f t="shared" si="145"/>
        <v>0</v>
      </c>
      <c r="BB352" s="2351">
        <f t="shared" si="145"/>
        <v>0</v>
      </c>
      <c r="BC352" s="2308"/>
      <c r="BD352" s="2208"/>
    </row>
    <row r="353" spans="1:56" ht="15" hidden="1" customHeight="1" outlineLevel="3">
      <c r="B353" s="2339"/>
      <c r="C353" s="2353" t="s">
        <v>1918</v>
      </c>
      <c r="D353" s="2341" t="s">
        <v>1919</v>
      </c>
      <c r="E353" s="2336">
        <v>0</v>
      </c>
      <c r="F353" s="2336">
        <v>0</v>
      </c>
      <c r="G353" s="2336">
        <v>0</v>
      </c>
      <c r="H353" s="2336">
        <v>0</v>
      </c>
      <c r="I353" s="2336">
        <v>0</v>
      </c>
      <c r="J353" s="2336">
        <v>0</v>
      </c>
      <c r="K353" s="2336">
        <v>0</v>
      </c>
      <c r="L353" s="2336">
        <v>0</v>
      </c>
      <c r="M353" s="2336">
        <v>0</v>
      </c>
      <c r="N353" s="2336">
        <v>0</v>
      </c>
      <c r="O353" s="2336">
        <v>0</v>
      </c>
      <c r="P353" s="2336">
        <v>0</v>
      </c>
      <c r="Q353" s="2336">
        <v>0</v>
      </c>
      <c r="R353" s="2336">
        <v>0</v>
      </c>
      <c r="S353" s="2336">
        <v>0</v>
      </c>
      <c r="T353" s="2336">
        <v>0</v>
      </c>
      <c r="U353" s="2336">
        <v>0</v>
      </c>
      <c r="V353" s="2336">
        <v>0</v>
      </c>
      <c r="W353" s="2336">
        <v>0</v>
      </c>
      <c r="X353" s="2336">
        <v>0</v>
      </c>
      <c r="Y353" s="2336">
        <v>0</v>
      </c>
      <c r="Z353" s="2336">
        <v>0</v>
      </c>
      <c r="AA353" s="2336">
        <v>0</v>
      </c>
      <c r="AB353" s="2336">
        <v>0</v>
      </c>
      <c r="AC353" s="2336">
        <v>0</v>
      </c>
      <c r="AD353" s="2336">
        <v>0</v>
      </c>
      <c r="AE353" s="2337">
        <v>0</v>
      </c>
      <c r="AF353" s="2336">
        <v>0</v>
      </c>
      <c r="AG353" s="2336">
        <v>0</v>
      </c>
      <c r="AH353" s="2336">
        <v>0</v>
      </c>
      <c r="AI353" s="2336">
        <v>0</v>
      </c>
      <c r="AJ353" s="2336">
        <v>0</v>
      </c>
      <c r="AK353" s="2336">
        <v>0</v>
      </c>
      <c r="AL353" s="2336">
        <v>0</v>
      </c>
      <c r="AM353" s="2336">
        <v>0</v>
      </c>
      <c r="AN353" s="2336">
        <v>0</v>
      </c>
      <c r="AO353" s="2336">
        <v>0</v>
      </c>
      <c r="AP353" s="2336">
        <v>0</v>
      </c>
      <c r="AQ353" s="2336">
        <v>0</v>
      </c>
      <c r="AR353" s="2336">
        <v>0</v>
      </c>
      <c r="AS353" s="2336">
        <v>0</v>
      </c>
      <c r="AT353" s="2336">
        <v>0</v>
      </c>
      <c r="AU353" s="2336">
        <v>0</v>
      </c>
      <c r="AV353" s="2336">
        <v>0</v>
      </c>
      <c r="AW353" s="2336">
        <v>0</v>
      </c>
      <c r="AX353" s="2336">
        <v>0</v>
      </c>
      <c r="AY353" s="2336">
        <v>0</v>
      </c>
      <c r="AZ353" s="2336">
        <v>0</v>
      </c>
      <c r="BA353" s="2336">
        <v>0</v>
      </c>
      <c r="BB353" s="2336">
        <v>0</v>
      </c>
      <c r="BC353" s="2310"/>
      <c r="BD353" s="2240"/>
    </row>
    <row r="354" spans="1:56" ht="15" hidden="1" customHeight="1" outlineLevel="3">
      <c r="B354" s="2339"/>
      <c r="C354" s="2353" t="s">
        <v>1920</v>
      </c>
      <c r="D354" s="2354" t="s">
        <v>1921</v>
      </c>
      <c r="E354" s="2336">
        <v>0</v>
      </c>
      <c r="F354" s="2336">
        <v>0</v>
      </c>
      <c r="G354" s="2336">
        <v>0</v>
      </c>
      <c r="H354" s="2336">
        <v>0</v>
      </c>
      <c r="I354" s="2336">
        <v>0</v>
      </c>
      <c r="J354" s="2336">
        <v>0</v>
      </c>
      <c r="K354" s="2336">
        <v>0</v>
      </c>
      <c r="L354" s="2336">
        <v>0</v>
      </c>
      <c r="M354" s="2336">
        <v>0</v>
      </c>
      <c r="N354" s="2336">
        <v>0</v>
      </c>
      <c r="O354" s="2336">
        <v>0</v>
      </c>
      <c r="P354" s="2336">
        <v>0</v>
      </c>
      <c r="Q354" s="2336">
        <v>0</v>
      </c>
      <c r="R354" s="2336">
        <v>0</v>
      </c>
      <c r="S354" s="2336">
        <v>0</v>
      </c>
      <c r="T354" s="2336">
        <v>0</v>
      </c>
      <c r="U354" s="2336">
        <v>0</v>
      </c>
      <c r="V354" s="2336">
        <v>0</v>
      </c>
      <c r="W354" s="2336">
        <v>0</v>
      </c>
      <c r="X354" s="2336">
        <v>0</v>
      </c>
      <c r="Y354" s="2336">
        <v>0</v>
      </c>
      <c r="Z354" s="2336">
        <v>0</v>
      </c>
      <c r="AA354" s="2336">
        <v>0</v>
      </c>
      <c r="AB354" s="2336">
        <v>0</v>
      </c>
      <c r="AC354" s="2336">
        <v>0</v>
      </c>
      <c r="AD354" s="2336">
        <v>0</v>
      </c>
      <c r="AE354" s="2337">
        <v>0</v>
      </c>
      <c r="AF354" s="2336">
        <v>0</v>
      </c>
      <c r="AG354" s="2336">
        <v>0</v>
      </c>
      <c r="AH354" s="2336">
        <v>0</v>
      </c>
      <c r="AI354" s="2336">
        <v>0</v>
      </c>
      <c r="AJ354" s="2336">
        <v>0</v>
      </c>
      <c r="AK354" s="2336">
        <v>0</v>
      </c>
      <c r="AL354" s="2336">
        <v>0</v>
      </c>
      <c r="AM354" s="2336">
        <v>0</v>
      </c>
      <c r="AN354" s="2336">
        <v>0</v>
      </c>
      <c r="AO354" s="2336">
        <v>0</v>
      </c>
      <c r="AP354" s="2336">
        <v>0</v>
      </c>
      <c r="AQ354" s="2336">
        <v>0</v>
      </c>
      <c r="AR354" s="2336">
        <v>0</v>
      </c>
      <c r="AS354" s="2336">
        <v>0</v>
      </c>
      <c r="AT354" s="2336">
        <v>0</v>
      </c>
      <c r="AU354" s="2336">
        <v>0</v>
      </c>
      <c r="AV354" s="2336">
        <v>0</v>
      </c>
      <c r="AW354" s="2336">
        <v>0</v>
      </c>
      <c r="AX354" s="2336">
        <v>0</v>
      </c>
      <c r="AY354" s="2336">
        <v>0</v>
      </c>
      <c r="AZ354" s="2336">
        <v>0</v>
      </c>
      <c r="BA354" s="2336">
        <v>0</v>
      </c>
      <c r="BB354" s="2336">
        <v>0</v>
      </c>
      <c r="BC354" s="2310"/>
      <c r="BD354" s="2240"/>
    </row>
    <row r="355" spans="1:56" ht="15" hidden="1" customHeight="1" outlineLevel="3">
      <c r="B355" s="2339"/>
      <c r="C355" s="2353" t="s">
        <v>1922</v>
      </c>
      <c r="D355" s="2354" t="s">
        <v>1923</v>
      </c>
      <c r="E355" s="2336">
        <v>0</v>
      </c>
      <c r="F355" s="2336">
        <v>0</v>
      </c>
      <c r="G355" s="2336">
        <v>0</v>
      </c>
      <c r="H355" s="2336">
        <v>0</v>
      </c>
      <c r="I355" s="2336">
        <v>0</v>
      </c>
      <c r="J355" s="2336">
        <v>0</v>
      </c>
      <c r="K355" s="2336">
        <v>0</v>
      </c>
      <c r="L355" s="2336">
        <v>0</v>
      </c>
      <c r="M355" s="2336">
        <v>0</v>
      </c>
      <c r="N355" s="2336">
        <v>0</v>
      </c>
      <c r="O355" s="2336">
        <v>0</v>
      </c>
      <c r="P355" s="2336">
        <v>0</v>
      </c>
      <c r="Q355" s="2336">
        <v>0</v>
      </c>
      <c r="R355" s="2336">
        <v>0</v>
      </c>
      <c r="S355" s="2336">
        <v>0</v>
      </c>
      <c r="T355" s="2336">
        <v>0</v>
      </c>
      <c r="U355" s="2336">
        <v>0</v>
      </c>
      <c r="V355" s="2336">
        <v>0</v>
      </c>
      <c r="W355" s="2336">
        <v>0</v>
      </c>
      <c r="X355" s="2336">
        <v>0</v>
      </c>
      <c r="Y355" s="2336">
        <v>0</v>
      </c>
      <c r="Z355" s="2336">
        <v>0</v>
      </c>
      <c r="AA355" s="2336">
        <v>0</v>
      </c>
      <c r="AB355" s="2336">
        <v>0</v>
      </c>
      <c r="AC355" s="2336">
        <v>0</v>
      </c>
      <c r="AD355" s="2336">
        <v>0</v>
      </c>
      <c r="AE355" s="2337">
        <v>0</v>
      </c>
      <c r="AF355" s="2336">
        <v>0</v>
      </c>
      <c r="AG355" s="2336">
        <v>0</v>
      </c>
      <c r="AH355" s="2336">
        <v>0</v>
      </c>
      <c r="AI355" s="2336">
        <v>0</v>
      </c>
      <c r="AJ355" s="2336">
        <v>0</v>
      </c>
      <c r="AK355" s="2336">
        <v>0</v>
      </c>
      <c r="AL355" s="2336">
        <v>0</v>
      </c>
      <c r="AM355" s="2336">
        <v>0</v>
      </c>
      <c r="AN355" s="2336">
        <v>0</v>
      </c>
      <c r="AO355" s="2336">
        <v>0</v>
      </c>
      <c r="AP355" s="2336">
        <v>0</v>
      </c>
      <c r="AQ355" s="2336">
        <v>0</v>
      </c>
      <c r="AR355" s="2336">
        <v>0</v>
      </c>
      <c r="AS355" s="2336">
        <v>0</v>
      </c>
      <c r="AT355" s="2336">
        <v>0</v>
      </c>
      <c r="AU355" s="2336">
        <v>0</v>
      </c>
      <c r="AV355" s="2336">
        <v>0</v>
      </c>
      <c r="AW355" s="2336">
        <v>0</v>
      </c>
      <c r="AX355" s="2336">
        <v>0</v>
      </c>
      <c r="AY355" s="2336">
        <v>0</v>
      </c>
      <c r="AZ355" s="2336">
        <v>0</v>
      </c>
      <c r="BA355" s="2336">
        <v>0</v>
      </c>
      <c r="BB355" s="2336">
        <v>0</v>
      </c>
      <c r="BC355" s="2320"/>
      <c r="BD355" s="2240"/>
    </row>
    <row r="356" spans="1:56" s="2203" customFormat="1" ht="15" hidden="1" customHeight="1" outlineLevel="2">
      <c r="B356" s="2348"/>
      <c r="C356" s="2352" t="s">
        <v>1924</v>
      </c>
      <c r="D356" s="2355" t="s">
        <v>1925</v>
      </c>
      <c r="E356" s="2351">
        <f t="shared" ref="E356:Z356" si="146">E352+E353+E355</f>
        <v>0</v>
      </c>
      <c r="F356" s="2351">
        <f t="shared" si="146"/>
        <v>0</v>
      </c>
      <c r="G356" s="2351">
        <f t="shared" si="146"/>
        <v>0</v>
      </c>
      <c r="H356" s="2351">
        <f t="shared" si="146"/>
        <v>0</v>
      </c>
      <c r="I356" s="2351">
        <f t="shared" si="146"/>
        <v>0</v>
      </c>
      <c r="J356" s="2351">
        <f t="shared" si="146"/>
        <v>0</v>
      </c>
      <c r="K356" s="2351">
        <f t="shared" si="146"/>
        <v>0</v>
      </c>
      <c r="L356" s="2351">
        <f t="shared" si="146"/>
        <v>0</v>
      </c>
      <c r="M356" s="2351">
        <f t="shared" si="146"/>
        <v>0</v>
      </c>
      <c r="N356" s="2351">
        <f t="shared" si="146"/>
        <v>0</v>
      </c>
      <c r="O356" s="2351">
        <f t="shared" si="146"/>
        <v>0</v>
      </c>
      <c r="P356" s="2351">
        <f t="shared" si="146"/>
        <v>0</v>
      </c>
      <c r="Q356" s="2351">
        <f t="shared" si="146"/>
        <v>0</v>
      </c>
      <c r="R356" s="2351">
        <f t="shared" si="146"/>
        <v>0</v>
      </c>
      <c r="S356" s="2351">
        <f t="shared" si="146"/>
        <v>0</v>
      </c>
      <c r="T356" s="2351">
        <f t="shared" si="146"/>
        <v>0</v>
      </c>
      <c r="U356" s="2351">
        <f t="shared" si="146"/>
        <v>0</v>
      </c>
      <c r="V356" s="2351">
        <f t="shared" si="146"/>
        <v>0</v>
      </c>
      <c r="W356" s="2351">
        <f t="shared" si="146"/>
        <v>0</v>
      </c>
      <c r="X356" s="2351">
        <f t="shared" si="146"/>
        <v>0</v>
      </c>
      <c r="Y356" s="2351">
        <f t="shared" si="146"/>
        <v>0</v>
      </c>
      <c r="Z356" s="2351">
        <f t="shared" si="146"/>
        <v>0</v>
      </c>
      <c r="AA356" s="2351">
        <f>AA352+AA353+AA355</f>
        <v>0</v>
      </c>
      <c r="AB356" s="2351">
        <f t="shared" ref="AB356:BB356" si="147">AB352+AB353+AB355</f>
        <v>0</v>
      </c>
      <c r="AC356" s="2351">
        <f t="shared" si="147"/>
        <v>0</v>
      </c>
      <c r="AD356" s="2351">
        <f t="shared" si="147"/>
        <v>0</v>
      </c>
      <c r="AE356" s="2359">
        <f t="shared" si="147"/>
        <v>0</v>
      </c>
      <c r="AF356" s="2351">
        <f t="shared" si="147"/>
        <v>0</v>
      </c>
      <c r="AG356" s="2351">
        <f t="shared" si="147"/>
        <v>0</v>
      </c>
      <c r="AH356" s="2351">
        <f t="shared" si="147"/>
        <v>0</v>
      </c>
      <c r="AI356" s="2351">
        <f t="shared" si="147"/>
        <v>0</v>
      </c>
      <c r="AJ356" s="2351">
        <f t="shared" si="147"/>
        <v>0</v>
      </c>
      <c r="AK356" s="2351">
        <f t="shared" si="147"/>
        <v>0</v>
      </c>
      <c r="AL356" s="2351">
        <f t="shared" si="147"/>
        <v>0</v>
      </c>
      <c r="AM356" s="2351">
        <f t="shared" si="147"/>
        <v>0</v>
      </c>
      <c r="AN356" s="2351">
        <f t="shared" si="147"/>
        <v>0</v>
      </c>
      <c r="AO356" s="2351">
        <f t="shared" si="147"/>
        <v>0</v>
      </c>
      <c r="AP356" s="2351">
        <f t="shared" si="147"/>
        <v>0</v>
      </c>
      <c r="AQ356" s="2351">
        <f t="shared" si="147"/>
        <v>0</v>
      </c>
      <c r="AR356" s="2351">
        <f t="shared" si="147"/>
        <v>0</v>
      </c>
      <c r="AS356" s="2351">
        <f t="shared" si="147"/>
        <v>0</v>
      </c>
      <c r="AT356" s="2351">
        <f t="shared" si="147"/>
        <v>0</v>
      </c>
      <c r="AU356" s="2351">
        <f t="shared" si="147"/>
        <v>0</v>
      </c>
      <c r="AV356" s="2351">
        <f t="shared" si="147"/>
        <v>0</v>
      </c>
      <c r="AW356" s="2351">
        <f t="shared" si="147"/>
        <v>0</v>
      </c>
      <c r="AX356" s="2351">
        <f t="shared" si="147"/>
        <v>0</v>
      </c>
      <c r="AY356" s="2351">
        <f t="shared" si="147"/>
        <v>0</v>
      </c>
      <c r="AZ356" s="2351">
        <f t="shared" si="147"/>
        <v>0</v>
      </c>
      <c r="BA356" s="2351">
        <f t="shared" si="147"/>
        <v>0</v>
      </c>
      <c r="BB356" s="2351">
        <f t="shared" si="147"/>
        <v>0</v>
      </c>
      <c r="BC356" s="2308"/>
      <c r="BD356" s="2208"/>
    </row>
    <row r="357" spans="1:56" s="2203" customFormat="1" ht="15" hidden="1" customHeight="1" outlineLevel="2">
      <c r="B357" s="2348"/>
      <c r="C357" s="2352" t="s">
        <v>1926</v>
      </c>
      <c r="D357" s="2350" t="s">
        <v>1927</v>
      </c>
      <c r="E357" s="2351">
        <f>E356</f>
        <v>0</v>
      </c>
      <c r="F357" s="2351">
        <f t="shared" ref="F357:Z357" si="148">F356-E356</f>
        <v>0</v>
      </c>
      <c r="G357" s="2351">
        <f t="shared" si="148"/>
        <v>0</v>
      </c>
      <c r="H357" s="2351">
        <f t="shared" si="148"/>
        <v>0</v>
      </c>
      <c r="I357" s="2351">
        <f t="shared" si="148"/>
        <v>0</v>
      </c>
      <c r="J357" s="2351">
        <f t="shared" si="148"/>
        <v>0</v>
      </c>
      <c r="K357" s="2351">
        <f t="shared" si="148"/>
        <v>0</v>
      </c>
      <c r="L357" s="2351">
        <f t="shared" si="148"/>
        <v>0</v>
      </c>
      <c r="M357" s="2351">
        <f t="shared" si="148"/>
        <v>0</v>
      </c>
      <c r="N357" s="2351">
        <f t="shared" si="148"/>
        <v>0</v>
      </c>
      <c r="O357" s="2351">
        <f t="shared" si="148"/>
        <v>0</v>
      </c>
      <c r="P357" s="2351">
        <f t="shared" si="148"/>
        <v>0</v>
      </c>
      <c r="Q357" s="2351">
        <f t="shared" si="148"/>
        <v>0</v>
      </c>
      <c r="R357" s="2351">
        <f t="shared" si="148"/>
        <v>0</v>
      </c>
      <c r="S357" s="2351">
        <f t="shared" si="148"/>
        <v>0</v>
      </c>
      <c r="T357" s="2351">
        <f t="shared" si="148"/>
        <v>0</v>
      </c>
      <c r="U357" s="2351">
        <f t="shared" si="148"/>
        <v>0</v>
      </c>
      <c r="V357" s="2351">
        <f t="shared" si="148"/>
        <v>0</v>
      </c>
      <c r="W357" s="2351">
        <f t="shared" si="148"/>
        <v>0</v>
      </c>
      <c r="X357" s="2351">
        <f t="shared" si="148"/>
        <v>0</v>
      </c>
      <c r="Y357" s="2351">
        <f t="shared" si="148"/>
        <v>0</v>
      </c>
      <c r="Z357" s="2351">
        <f t="shared" si="148"/>
        <v>0</v>
      </c>
      <c r="AA357" s="2351">
        <f t="shared" ref="AA357:AZ357" si="149">(AA356-Z356)</f>
        <v>0</v>
      </c>
      <c r="AB357" s="2351">
        <f t="shared" si="149"/>
        <v>0</v>
      </c>
      <c r="AC357" s="2351">
        <f t="shared" si="149"/>
        <v>0</v>
      </c>
      <c r="AD357" s="2351">
        <f t="shared" si="149"/>
        <v>0</v>
      </c>
      <c r="AE357" s="2359">
        <f t="shared" si="149"/>
        <v>0</v>
      </c>
      <c r="AF357" s="2351">
        <f t="shared" si="149"/>
        <v>0</v>
      </c>
      <c r="AG357" s="2351">
        <f t="shared" si="149"/>
        <v>0</v>
      </c>
      <c r="AH357" s="2351">
        <f t="shared" si="149"/>
        <v>0</v>
      </c>
      <c r="AI357" s="2351">
        <f t="shared" si="149"/>
        <v>0</v>
      </c>
      <c r="AJ357" s="2351">
        <f t="shared" si="149"/>
        <v>0</v>
      </c>
      <c r="AK357" s="2351">
        <f t="shared" si="149"/>
        <v>0</v>
      </c>
      <c r="AL357" s="2351">
        <f t="shared" si="149"/>
        <v>0</v>
      </c>
      <c r="AM357" s="2351">
        <f t="shared" si="149"/>
        <v>0</v>
      </c>
      <c r="AN357" s="2351">
        <f t="shared" si="149"/>
        <v>0</v>
      </c>
      <c r="AO357" s="2351">
        <f t="shared" si="149"/>
        <v>0</v>
      </c>
      <c r="AP357" s="2351">
        <f t="shared" si="149"/>
        <v>0</v>
      </c>
      <c r="AQ357" s="2351">
        <f t="shared" si="149"/>
        <v>0</v>
      </c>
      <c r="AR357" s="2351">
        <f t="shared" si="149"/>
        <v>0</v>
      </c>
      <c r="AS357" s="2351">
        <f t="shared" si="149"/>
        <v>0</v>
      </c>
      <c r="AT357" s="2351">
        <f t="shared" si="149"/>
        <v>0</v>
      </c>
      <c r="AU357" s="2351">
        <f t="shared" si="149"/>
        <v>0</v>
      </c>
      <c r="AV357" s="2351">
        <f t="shared" si="149"/>
        <v>0</v>
      </c>
      <c r="AW357" s="2351">
        <f t="shared" si="149"/>
        <v>0</v>
      </c>
      <c r="AX357" s="2351">
        <f t="shared" si="149"/>
        <v>0</v>
      </c>
      <c r="AY357" s="2351">
        <f t="shared" si="149"/>
        <v>0</v>
      </c>
      <c r="AZ357" s="2351">
        <f t="shared" si="149"/>
        <v>0</v>
      </c>
      <c r="BA357" s="2351">
        <f>(BA356-AP356)</f>
        <v>0</v>
      </c>
      <c r="BB357" s="2351">
        <f>(BB356-BA356)</f>
        <v>0</v>
      </c>
      <c r="BC357" s="2308"/>
      <c r="BD357" s="2208"/>
    </row>
    <row r="358" spans="1:56" s="2334" customFormat="1" ht="16.5" hidden="1" customHeight="1" outlineLevel="2">
      <c r="A358" s="2219"/>
      <c r="B358" s="2348"/>
      <c r="C358" s="2356"/>
      <c r="D358" s="2350"/>
      <c r="E358" s="2351"/>
      <c r="F358" s="2351"/>
      <c r="G358" s="2351"/>
      <c r="H358" s="2351"/>
      <c r="I358" s="2351"/>
      <c r="J358" s="2336"/>
      <c r="K358" s="2336"/>
      <c r="L358" s="2336"/>
      <c r="M358" s="2336"/>
      <c r="N358" s="2336"/>
      <c r="O358" s="2336"/>
      <c r="P358" s="2336"/>
      <c r="Q358" s="2336"/>
      <c r="R358" s="2336"/>
      <c r="S358" s="2336"/>
      <c r="T358" s="2336"/>
      <c r="U358" s="2336"/>
      <c r="V358" s="2336"/>
      <c r="W358" s="2336"/>
      <c r="X358" s="2336"/>
      <c r="Y358" s="2336"/>
      <c r="Z358" s="2336"/>
      <c r="AA358" s="2336"/>
      <c r="AB358" s="2336"/>
      <c r="AC358" s="2336"/>
      <c r="AD358" s="2336"/>
      <c r="AE358" s="2337"/>
      <c r="AF358" s="2336"/>
      <c r="AG358" s="2336"/>
      <c r="AH358" s="2336"/>
      <c r="AI358" s="2336"/>
      <c r="AJ358" s="2336"/>
      <c r="AK358" s="2336"/>
      <c r="AL358" s="2336"/>
      <c r="AM358" s="2336"/>
      <c r="AN358" s="2336"/>
      <c r="AO358" s="2336"/>
      <c r="AP358" s="2336"/>
      <c r="AQ358" s="2336"/>
      <c r="AR358" s="2336"/>
      <c r="AS358" s="2336"/>
      <c r="AT358" s="2336"/>
      <c r="AU358" s="2336"/>
      <c r="AV358" s="2336"/>
      <c r="AW358" s="2336"/>
      <c r="AX358" s="2336"/>
      <c r="AY358" s="2336"/>
      <c r="AZ358" s="2336"/>
      <c r="BA358" s="2336"/>
      <c r="BB358" s="2336"/>
      <c r="BC358" s="2308"/>
      <c r="BD358" s="2333"/>
    </row>
    <row r="359" spans="1:56" hidden="1" outlineLevel="1">
      <c r="B359" s="2342">
        <v>500</v>
      </c>
      <c r="C359" s="2357" t="s">
        <v>1934</v>
      </c>
      <c r="D359" s="2358" t="s">
        <v>1896</v>
      </c>
      <c r="E359" s="2345">
        <f t="shared" ref="E359:BB360" si="150">E376</f>
        <v>0</v>
      </c>
      <c r="F359" s="2345">
        <f t="shared" si="150"/>
        <v>0</v>
      </c>
      <c r="G359" s="2345">
        <f t="shared" si="150"/>
        <v>0</v>
      </c>
      <c r="H359" s="2345">
        <f t="shared" si="150"/>
        <v>0</v>
      </c>
      <c r="I359" s="2345">
        <f t="shared" si="150"/>
        <v>0</v>
      </c>
      <c r="J359" s="2345">
        <f t="shared" si="150"/>
        <v>0</v>
      </c>
      <c r="K359" s="2345">
        <f t="shared" si="150"/>
        <v>0</v>
      </c>
      <c r="L359" s="2345">
        <f t="shared" si="150"/>
        <v>0</v>
      </c>
      <c r="M359" s="2345">
        <f t="shared" si="150"/>
        <v>0</v>
      </c>
      <c r="N359" s="2345">
        <f t="shared" si="150"/>
        <v>0</v>
      </c>
      <c r="O359" s="2345">
        <f t="shared" si="150"/>
        <v>0</v>
      </c>
      <c r="P359" s="2345">
        <f t="shared" si="150"/>
        <v>0</v>
      </c>
      <c r="Q359" s="2345">
        <f t="shared" si="150"/>
        <v>0</v>
      </c>
      <c r="R359" s="2345">
        <f t="shared" si="150"/>
        <v>0</v>
      </c>
      <c r="S359" s="2345">
        <f t="shared" si="150"/>
        <v>0</v>
      </c>
      <c r="T359" s="2345">
        <f t="shared" si="150"/>
        <v>0</v>
      </c>
      <c r="U359" s="2345">
        <f t="shared" si="150"/>
        <v>0</v>
      </c>
      <c r="V359" s="2345">
        <f t="shared" si="150"/>
        <v>0</v>
      </c>
      <c r="W359" s="2345">
        <f t="shared" si="150"/>
        <v>0</v>
      </c>
      <c r="X359" s="2345">
        <f t="shared" si="150"/>
        <v>0</v>
      </c>
      <c r="Y359" s="2345">
        <f t="shared" si="150"/>
        <v>0</v>
      </c>
      <c r="Z359" s="2345">
        <f t="shared" si="150"/>
        <v>0</v>
      </c>
      <c r="AA359" s="2345">
        <f t="shared" si="150"/>
        <v>0</v>
      </c>
      <c r="AB359" s="2345">
        <f t="shared" si="150"/>
        <v>0</v>
      </c>
      <c r="AC359" s="2345">
        <f t="shared" si="150"/>
        <v>0</v>
      </c>
      <c r="AD359" s="2345">
        <f t="shared" si="150"/>
        <v>0</v>
      </c>
      <c r="AE359" s="2346">
        <f t="shared" si="150"/>
        <v>0</v>
      </c>
      <c r="AF359" s="2345">
        <f t="shared" si="150"/>
        <v>0</v>
      </c>
      <c r="AG359" s="2345">
        <f t="shared" si="150"/>
        <v>0</v>
      </c>
      <c r="AH359" s="2345">
        <f t="shared" si="150"/>
        <v>0</v>
      </c>
      <c r="AI359" s="2345">
        <f t="shared" si="150"/>
        <v>0</v>
      </c>
      <c r="AJ359" s="2345">
        <f t="shared" si="150"/>
        <v>0</v>
      </c>
      <c r="AK359" s="2345">
        <f t="shared" si="150"/>
        <v>0</v>
      </c>
      <c r="AL359" s="2345">
        <f t="shared" si="150"/>
        <v>0</v>
      </c>
      <c r="AM359" s="2345">
        <f t="shared" si="150"/>
        <v>0</v>
      </c>
      <c r="AN359" s="2345">
        <f t="shared" si="150"/>
        <v>0</v>
      </c>
      <c r="AO359" s="2345">
        <f t="shared" si="150"/>
        <v>0</v>
      </c>
      <c r="AP359" s="2345">
        <f t="shared" si="150"/>
        <v>0</v>
      </c>
      <c r="AQ359" s="2345">
        <f t="shared" si="150"/>
        <v>0</v>
      </c>
      <c r="AR359" s="2345">
        <f t="shared" si="150"/>
        <v>0</v>
      </c>
      <c r="AS359" s="2345">
        <f t="shared" si="150"/>
        <v>0</v>
      </c>
      <c r="AT359" s="2345">
        <f t="shared" si="150"/>
        <v>0</v>
      </c>
      <c r="AU359" s="2345">
        <f t="shared" si="150"/>
        <v>0</v>
      </c>
      <c r="AV359" s="2345">
        <f t="shared" si="150"/>
        <v>0</v>
      </c>
      <c r="AW359" s="2345">
        <f t="shared" si="150"/>
        <v>0</v>
      </c>
      <c r="AX359" s="2345">
        <f t="shared" si="150"/>
        <v>0</v>
      </c>
      <c r="AY359" s="2345">
        <f t="shared" si="150"/>
        <v>0</v>
      </c>
      <c r="AZ359" s="2345">
        <f t="shared" si="150"/>
        <v>0</v>
      </c>
      <c r="BA359" s="2345">
        <f t="shared" si="150"/>
        <v>0</v>
      </c>
      <c r="BB359" s="2345">
        <f t="shared" si="150"/>
        <v>0</v>
      </c>
      <c r="BC359" s="2320">
        <f>AA359</f>
        <v>0</v>
      </c>
      <c r="BD359" s="2240"/>
    </row>
    <row r="360" spans="1:56" hidden="1" outlineLevel="1">
      <c r="B360" s="2342"/>
      <c r="C360" s="2357"/>
      <c r="D360" s="2358" t="s">
        <v>1897</v>
      </c>
      <c r="E360" s="2345">
        <f t="shared" si="150"/>
        <v>0</v>
      </c>
      <c r="F360" s="2345">
        <f t="shared" si="150"/>
        <v>0</v>
      </c>
      <c r="G360" s="2345">
        <f t="shared" si="150"/>
        <v>0</v>
      </c>
      <c r="H360" s="2345">
        <f t="shared" si="150"/>
        <v>0</v>
      </c>
      <c r="I360" s="2345">
        <f t="shared" si="150"/>
        <v>0</v>
      </c>
      <c r="J360" s="2345">
        <f t="shared" si="150"/>
        <v>0</v>
      </c>
      <c r="K360" s="2345">
        <f t="shared" si="150"/>
        <v>0</v>
      </c>
      <c r="L360" s="2345">
        <f t="shared" si="150"/>
        <v>0</v>
      </c>
      <c r="M360" s="2345">
        <f t="shared" si="150"/>
        <v>0</v>
      </c>
      <c r="N360" s="2345">
        <f t="shared" si="150"/>
        <v>0</v>
      </c>
      <c r="O360" s="2345">
        <f t="shared" si="150"/>
        <v>0</v>
      </c>
      <c r="P360" s="2345">
        <f t="shared" si="150"/>
        <v>0</v>
      </c>
      <c r="Q360" s="2345">
        <f t="shared" si="150"/>
        <v>0</v>
      </c>
      <c r="R360" s="2345">
        <f t="shared" si="150"/>
        <v>0</v>
      </c>
      <c r="S360" s="2345">
        <f t="shared" si="150"/>
        <v>0</v>
      </c>
      <c r="T360" s="2345">
        <f t="shared" si="150"/>
        <v>0</v>
      </c>
      <c r="U360" s="2345">
        <f t="shared" si="150"/>
        <v>0</v>
      </c>
      <c r="V360" s="2345">
        <f t="shared" si="150"/>
        <v>0</v>
      </c>
      <c r="W360" s="2345">
        <f t="shared" si="150"/>
        <v>0</v>
      </c>
      <c r="X360" s="2345">
        <f t="shared" si="150"/>
        <v>0</v>
      </c>
      <c r="Y360" s="2345">
        <f t="shared" si="150"/>
        <v>0</v>
      </c>
      <c r="Z360" s="2345">
        <f t="shared" si="150"/>
        <v>0</v>
      </c>
      <c r="AA360" s="2345">
        <f t="shared" si="150"/>
        <v>0</v>
      </c>
      <c r="AB360" s="2345">
        <f t="shared" si="150"/>
        <v>0</v>
      </c>
      <c r="AC360" s="2345">
        <f t="shared" si="150"/>
        <v>0</v>
      </c>
      <c r="AD360" s="2345">
        <f t="shared" si="150"/>
        <v>0</v>
      </c>
      <c r="AE360" s="2346">
        <f t="shared" si="150"/>
        <v>0</v>
      </c>
      <c r="AF360" s="2345">
        <f t="shared" si="150"/>
        <v>0</v>
      </c>
      <c r="AG360" s="2345">
        <f t="shared" si="150"/>
        <v>0</v>
      </c>
      <c r="AH360" s="2345">
        <f t="shared" si="150"/>
        <v>0</v>
      </c>
      <c r="AI360" s="2345">
        <f t="shared" si="150"/>
        <v>0</v>
      </c>
      <c r="AJ360" s="2345">
        <f t="shared" si="150"/>
        <v>0</v>
      </c>
      <c r="AK360" s="2345">
        <f t="shared" si="150"/>
        <v>0</v>
      </c>
      <c r="AL360" s="2345">
        <f t="shared" si="150"/>
        <v>0</v>
      </c>
      <c r="AM360" s="2345">
        <f t="shared" si="150"/>
        <v>0</v>
      </c>
      <c r="AN360" s="2345">
        <f t="shared" si="150"/>
        <v>0</v>
      </c>
      <c r="AO360" s="2345">
        <f t="shared" si="150"/>
        <v>0</v>
      </c>
      <c r="AP360" s="2345">
        <f t="shared" si="150"/>
        <v>0</v>
      </c>
      <c r="AQ360" s="2345">
        <f t="shared" si="150"/>
        <v>0</v>
      </c>
      <c r="AR360" s="2345">
        <f t="shared" si="150"/>
        <v>0</v>
      </c>
      <c r="AS360" s="2345">
        <f t="shared" si="150"/>
        <v>0</v>
      </c>
      <c r="AT360" s="2345">
        <f t="shared" si="150"/>
        <v>0</v>
      </c>
      <c r="AU360" s="2345">
        <f t="shared" si="150"/>
        <v>0</v>
      </c>
      <c r="AV360" s="2345">
        <f t="shared" si="150"/>
        <v>0</v>
      </c>
      <c r="AW360" s="2345">
        <f t="shared" si="150"/>
        <v>0</v>
      </c>
      <c r="AX360" s="2345">
        <f t="shared" si="150"/>
        <v>0</v>
      </c>
      <c r="AY360" s="2345">
        <f t="shared" si="150"/>
        <v>0</v>
      </c>
      <c r="AZ360" s="2345">
        <f t="shared" si="150"/>
        <v>0</v>
      </c>
      <c r="BA360" s="2345">
        <f t="shared" si="150"/>
        <v>0</v>
      </c>
      <c r="BB360" s="2345">
        <f t="shared" si="150"/>
        <v>0</v>
      </c>
      <c r="BC360" s="2310">
        <f>SUM(E360:BB360)</f>
        <v>0</v>
      </c>
      <c r="BD360" s="2240"/>
    </row>
    <row r="361" spans="1:56" ht="15" hidden="1" customHeight="1" outlineLevel="2">
      <c r="B361" s="2339"/>
      <c r="C361" s="2340"/>
      <c r="D361" s="2341"/>
      <c r="E361" s="2336"/>
      <c r="F361" s="2336"/>
      <c r="G361" s="2336"/>
      <c r="H361" s="2336"/>
      <c r="I361" s="2336"/>
      <c r="J361" s="2336"/>
      <c r="K361" s="2336"/>
      <c r="L361" s="2336"/>
      <c r="M361" s="2336"/>
      <c r="N361" s="2336"/>
      <c r="O361" s="2336"/>
      <c r="P361" s="2336"/>
      <c r="Q361" s="2336"/>
      <c r="R361" s="2336"/>
      <c r="S361" s="2336"/>
      <c r="T361" s="2336"/>
      <c r="U361" s="2336"/>
      <c r="V361" s="2336"/>
      <c r="W361" s="2336"/>
      <c r="X361" s="2336"/>
      <c r="Y361" s="2336"/>
      <c r="Z361" s="2336"/>
      <c r="AA361" s="2336"/>
      <c r="AB361" s="2336"/>
      <c r="AC361" s="2336"/>
      <c r="AD361" s="2336"/>
      <c r="AE361" s="2337"/>
      <c r="AF361" s="2336"/>
      <c r="AG361" s="2336"/>
      <c r="AH361" s="2336"/>
      <c r="AI361" s="2336"/>
      <c r="AJ361" s="2336"/>
      <c r="AK361" s="2336"/>
      <c r="AL361" s="2336"/>
      <c r="AM361" s="2336"/>
      <c r="AN361" s="2336"/>
      <c r="AO361" s="2336"/>
      <c r="AP361" s="2336"/>
      <c r="AQ361" s="2336"/>
      <c r="AR361" s="2336"/>
      <c r="AS361" s="2336"/>
      <c r="AT361" s="2336"/>
      <c r="AU361" s="2336"/>
      <c r="AV361" s="2336"/>
      <c r="AW361" s="2336"/>
      <c r="AX361" s="2336"/>
      <c r="AY361" s="2336"/>
      <c r="AZ361" s="2336"/>
      <c r="BA361" s="2336"/>
      <c r="BB361" s="2336"/>
      <c r="BC361" s="2320"/>
      <c r="BD361" s="2240"/>
    </row>
    <row r="362" spans="1:56" ht="16.5" hidden="1" customHeight="1" outlineLevel="2">
      <c r="B362" s="2360">
        <v>500.1</v>
      </c>
      <c r="C362" s="2361" t="s">
        <v>1941</v>
      </c>
      <c r="D362" s="2362"/>
      <c r="E362" s="2345"/>
      <c r="F362" s="2345"/>
      <c r="G362" s="2345"/>
      <c r="H362" s="2345"/>
      <c r="I362" s="2345"/>
      <c r="J362" s="2345"/>
      <c r="K362" s="2345"/>
      <c r="L362" s="2345"/>
      <c r="M362" s="2345"/>
      <c r="N362" s="2345"/>
      <c r="O362" s="2345"/>
      <c r="P362" s="2345"/>
      <c r="Q362" s="2345"/>
      <c r="R362" s="2345"/>
      <c r="S362" s="2345"/>
      <c r="T362" s="2345"/>
      <c r="U362" s="2345"/>
      <c r="V362" s="2345"/>
      <c r="W362" s="2345"/>
      <c r="X362" s="2345"/>
      <c r="Y362" s="2345"/>
      <c r="Z362" s="2345"/>
      <c r="AA362" s="2345"/>
      <c r="AB362" s="2345"/>
      <c r="AC362" s="2345"/>
      <c r="AD362" s="2345"/>
      <c r="AE362" s="2346"/>
      <c r="AF362" s="2345"/>
      <c r="AG362" s="2345"/>
      <c r="AH362" s="2345"/>
      <c r="AI362" s="2345"/>
      <c r="AJ362" s="2345"/>
      <c r="AK362" s="2345"/>
      <c r="AL362" s="2345"/>
      <c r="AM362" s="2345"/>
      <c r="AN362" s="2345"/>
      <c r="AO362" s="2345"/>
      <c r="AP362" s="2345"/>
      <c r="AQ362" s="2345"/>
      <c r="AR362" s="2345"/>
      <c r="AS362" s="2345"/>
      <c r="AT362" s="2345"/>
      <c r="AU362" s="2345"/>
      <c r="AV362" s="2345"/>
      <c r="AW362" s="2345"/>
      <c r="AX362" s="2345"/>
      <c r="AY362" s="2345"/>
      <c r="AZ362" s="2345"/>
      <c r="BA362" s="2345"/>
      <c r="BB362" s="2345"/>
      <c r="BC362" s="2320"/>
      <c r="BD362" s="2240"/>
    </row>
    <row r="363" spans="1:56" ht="15" hidden="1" customHeight="1" outlineLevel="3">
      <c r="B363" s="2339"/>
      <c r="C363" s="2347" t="s">
        <v>1898</v>
      </c>
      <c r="D363" s="2341" t="s">
        <v>1899</v>
      </c>
      <c r="E363" s="2336">
        <v>0</v>
      </c>
      <c r="F363" s="2336">
        <v>0</v>
      </c>
      <c r="G363" s="2336">
        <v>0</v>
      </c>
      <c r="H363" s="2336">
        <v>0</v>
      </c>
      <c r="I363" s="2336">
        <v>0</v>
      </c>
      <c r="J363" s="2336">
        <v>0</v>
      </c>
      <c r="K363" s="2336">
        <v>0</v>
      </c>
      <c r="L363" s="2336">
        <v>0</v>
      </c>
      <c r="M363" s="2336">
        <v>0</v>
      </c>
      <c r="N363" s="2336">
        <v>0</v>
      </c>
      <c r="O363" s="2336">
        <v>0</v>
      </c>
      <c r="P363" s="2336">
        <v>0</v>
      </c>
      <c r="Q363" s="2336">
        <v>0</v>
      </c>
      <c r="R363" s="2336">
        <v>0</v>
      </c>
      <c r="S363" s="2336">
        <v>0</v>
      </c>
      <c r="T363" s="2336">
        <v>0</v>
      </c>
      <c r="U363" s="2336">
        <v>0</v>
      </c>
      <c r="V363" s="2336">
        <v>0</v>
      </c>
      <c r="W363" s="2336">
        <v>0</v>
      </c>
      <c r="X363" s="2336">
        <v>0</v>
      </c>
      <c r="Y363" s="2336">
        <v>0</v>
      </c>
      <c r="Z363" s="2336">
        <v>0</v>
      </c>
      <c r="AA363" s="2336">
        <v>0</v>
      </c>
      <c r="AB363" s="2336">
        <v>0</v>
      </c>
      <c r="AC363" s="2336">
        <v>0</v>
      </c>
      <c r="AD363" s="2336">
        <v>0</v>
      </c>
      <c r="AE363" s="2337">
        <v>0</v>
      </c>
      <c r="AF363" s="2336">
        <v>0</v>
      </c>
      <c r="AG363" s="2336">
        <v>0</v>
      </c>
      <c r="AH363" s="2336">
        <v>0</v>
      </c>
      <c r="AI363" s="2336">
        <v>0</v>
      </c>
      <c r="AJ363" s="2336">
        <v>0</v>
      </c>
      <c r="AK363" s="2336">
        <v>0</v>
      </c>
      <c r="AL363" s="2336">
        <v>0</v>
      </c>
      <c r="AM363" s="2336">
        <v>0</v>
      </c>
      <c r="AN363" s="2336">
        <v>0</v>
      </c>
      <c r="AO363" s="2336">
        <v>0</v>
      </c>
      <c r="AP363" s="2336">
        <v>0</v>
      </c>
      <c r="AQ363" s="2336">
        <v>0</v>
      </c>
      <c r="AR363" s="2336">
        <v>0</v>
      </c>
      <c r="AS363" s="2336">
        <v>0</v>
      </c>
      <c r="AT363" s="2336">
        <v>0</v>
      </c>
      <c r="AU363" s="2336">
        <v>0</v>
      </c>
      <c r="AV363" s="2336">
        <v>0</v>
      </c>
      <c r="AW363" s="2336">
        <v>0</v>
      </c>
      <c r="AX363" s="2336">
        <v>0</v>
      </c>
      <c r="AY363" s="2336">
        <v>0</v>
      </c>
      <c r="AZ363" s="2336">
        <v>0</v>
      </c>
      <c r="BA363" s="2336">
        <v>0</v>
      </c>
      <c r="BB363" s="2336">
        <v>0</v>
      </c>
      <c r="BC363" s="2310"/>
      <c r="BD363" s="2240"/>
    </row>
    <row r="364" spans="1:56" ht="15" hidden="1" customHeight="1" outlineLevel="3">
      <c r="B364" s="2339"/>
      <c r="C364" s="2347" t="s">
        <v>1901</v>
      </c>
      <c r="D364" s="2341" t="s">
        <v>1902</v>
      </c>
      <c r="E364" s="2336">
        <v>0</v>
      </c>
      <c r="F364" s="2336">
        <v>0</v>
      </c>
      <c r="G364" s="2336">
        <v>0</v>
      </c>
      <c r="H364" s="2336">
        <v>0</v>
      </c>
      <c r="I364" s="2336">
        <v>0</v>
      </c>
      <c r="J364" s="2336">
        <v>0</v>
      </c>
      <c r="K364" s="2336">
        <v>0</v>
      </c>
      <c r="L364" s="2336">
        <v>0</v>
      </c>
      <c r="M364" s="2336">
        <v>0</v>
      </c>
      <c r="N364" s="2336">
        <v>0</v>
      </c>
      <c r="O364" s="2336">
        <v>0</v>
      </c>
      <c r="P364" s="2336">
        <v>0</v>
      </c>
      <c r="Q364" s="2336">
        <v>0</v>
      </c>
      <c r="R364" s="2336">
        <v>0</v>
      </c>
      <c r="S364" s="2336">
        <v>0</v>
      </c>
      <c r="T364" s="2336">
        <v>0</v>
      </c>
      <c r="U364" s="2336">
        <v>0</v>
      </c>
      <c r="V364" s="2336">
        <v>0</v>
      </c>
      <c r="W364" s="2336">
        <v>0</v>
      </c>
      <c r="X364" s="2336">
        <v>0</v>
      </c>
      <c r="Y364" s="2336">
        <v>0</v>
      </c>
      <c r="Z364" s="2336">
        <v>0</v>
      </c>
      <c r="AA364" s="2336">
        <v>0</v>
      </c>
      <c r="AB364" s="2336">
        <v>0</v>
      </c>
      <c r="AC364" s="2336">
        <v>0</v>
      </c>
      <c r="AD364" s="2336">
        <v>0</v>
      </c>
      <c r="AE364" s="2337">
        <v>0</v>
      </c>
      <c r="AF364" s="2336">
        <v>0</v>
      </c>
      <c r="AG364" s="2336">
        <v>0</v>
      </c>
      <c r="AH364" s="2336">
        <v>0</v>
      </c>
      <c r="AI364" s="2336">
        <v>0</v>
      </c>
      <c r="AJ364" s="2336">
        <v>0</v>
      </c>
      <c r="AK364" s="2336">
        <v>0</v>
      </c>
      <c r="AL364" s="2336">
        <v>0</v>
      </c>
      <c r="AM364" s="2336">
        <v>0</v>
      </c>
      <c r="AN364" s="2336">
        <v>0</v>
      </c>
      <c r="AO364" s="2336">
        <v>0</v>
      </c>
      <c r="AP364" s="2336">
        <v>0</v>
      </c>
      <c r="AQ364" s="2336">
        <v>0</v>
      </c>
      <c r="AR364" s="2336">
        <v>0</v>
      </c>
      <c r="AS364" s="2336">
        <v>0</v>
      </c>
      <c r="AT364" s="2336">
        <v>0</v>
      </c>
      <c r="AU364" s="2336">
        <v>0</v>
      </c>
      <c r="AV364" s="2336">
        <v>0</v>
      </c>
      <c r="AW364" s="2336">
        <v>0</v>
      </c>
      <c r="AX364" s="2336">
        <v>0</v>
      </c>
      <c r="AY364" s="2336">
        <v>0</v>
      </c>
      <c r="AZ364" s="2336">
        <v>0</v>
      </c>
      <c r="BA364" s="2336">
        <v>0</v>
      </c>
      <c r="BB364" s="2336">
        <v>0</v>
      </c>
      <c r="BC364" s="2310"/>
      <c r="BD364" s="2240"/>
    </row>
    <row r="365" spans="1:56" ht="15" hidden="1" customHeight="1" outlineLevel="3">
      <c r="B365" s="2339"/>
      <c r="C365" s="2347" t="s">
        <v>1903</v>
      </c>
      <c r="D365" s="2341" t="s">
        <v>1904</v>
      </c>
      <c r="E365" s="2336">
        <v>0</v>
      </c>
      <c r="F365" s="2336">
        <v>0</v>
      </c>
      <c r="G365" s="2336">
        <v>0</v>
      </c>
      <c r="H365" s="2336">
        <v>0</v>
      </c>
      <c r="I365" s="2336">
        <v>0</v>
      </c>
      <c r="J365" s="2336">
        <v>0</v>
      </c>
      <c r="K365" s="2336">
        <v>0</v>
      </c>
      <c r="L365" s="2336">
        <v>0</v>
      </c>
      <c r="M365" s="2336">
        <v>0</v>
      </c>
      <c r="N365" s="2336">
        <v>0</v>
      </c>
      <c r="O365" s="2336">
        <v>0</v>
      </c>
      <c r="P365" s="2336">
        <v>0</v>
      </c>
      <c r="Q365" s="2336">
        <v>0</v>
      </c>
      <c r="R365" s="2336">
        <v>0</v>
      </c>
      <c r="S365" s="2336">
        <v>0</v>
      </c>
      <c r="T365" s="2336">
        <v>0</v>
      </c>
      <c r="U365" s="2336">
        <v>0</v>
      </c>
      <c r="V365" s="2336">
        <v>0</v>
      </c>
      <c r="W365" s="2336">
        <v>0</v>
      </c>
      <c r="X365" s="2336">
        <v>0</v>
      </c>
      <c r="Y365" s="2336">
        <v>0</v>
      </c>
      <c r="Z365" s="2336">
        <v>0</v>
      </c>
      <c r="AA365" s="2336">
        <v>0</v>
      </c>
      <c r="AB365" s="2336">
        <v>0</v>
      </c>
      <c r="AC365" s="2336">
        <v>0</v>
      </c>
      <c r="AD365" s="2336">
        <v>0</v>
      </c>
      <c r="AE365" s="2337">
        <v>0</v>
      </c>
      <c r="AF365" s="2336">
        <v>0</v>
      </c>
      <c r="AG365" s="2336">
        <v>0</v>
      </c>
      <c r="AH365" s="2336">
        <v>0</v>
      </c>
      <c r="AI365" s="2336">
        <v>0</v>
      </c>
      <c r="AJ365" s="2336">
        <v>0</v>
      </c>
      <c r="AK365" s="2336">
        <v>0</v>
      </c>
      <c r="AL365" s="2336">
        <v>0</v>
      </c>
      <c r="AM365" s="2336">
        <v>0</v>
      </c>
      <c r="AN365" s="2336">
        <v>0</v>
      </c>
      <c r="AO365" s="2336">
        <v>0</v>
      </c>
      <c r="AP365" s="2336">
        <v>0</v>
      </c>
      <c r="AQ365" s="2336">
        <v>0</v>
      </c>
      <c r="AR365" s="2336">
        <v>0</v>
      </c>
      <c r="AS365" s="2336">
        <v>0</v>
      </c>
      <c r="AT365" s="2336">
        <v>0</v>
      </c>
      <c r="AU365" s="2336">
        <v>0</v>
      </c>
      <c r="AV365" s="2336">
        <v>0</v>
      </c>
      <c r="AW365" s="2336">
        <v>0</v>
      </c>
      <c r="AX365" s="2336">
        <v>0</v>
      </c>
      <c r="AY365" s="2336">
        <v>0</v>
      </c>
      <c r="AZ365" s="2336">
        <v>0</v>
      </c>
      <c r="BA365" s="2336">
        <v>0</v>
      </c>
      <c r="BB365" s="2336">
        <v>0</v>
      </c>
      <c r="BC365" s="2310"/>
      <c r="BD365" s="2240"/>
    </row>
    <row r="366" spans="1:56" s="2203" customFormat="1" ht="15" hidden="1" customHeight="1" outlineLevel="3">
      <c r="B366" s="2348"/>
      <c r="C366" s="2349" t="s">
        <v>1905</v>
      </c>
      <c r="D366" s="2350" t="s">
        <v>1906</v>
      </c>
      <c r="E366" s="2351">
        <f>E363+E364+E365</f>
        <v>0</v>
      </c>
      <c r="F366" s="2351">
        <f t="shared" ref="F366:Y366" si="151">F363+F364+F365</f>
        <v>0</v>
      </c>
      <c r="G366" s="2351">
        <f t="shared" si="151"/>
        <v>0</v>
      </c>
      <c r="H366" s="2351">
        <f t="shared" si="151"/>
        <v>0</v>
      </c>
      <c r="I366" s="2351">
        <f t="shared" si="151"/>
        <v>0</v>
      </c>
      <c r="J366" s="2351">
        <f t="shared" si="151"/>
        <v>0</v>
      </c>
      <c r="K366" s="2351">
        <f t="shared" si="151"/>
        <v>0</v>
      </c>
      <c r="L366" s="2351">
        <f t="shared" si="151"/>
        <v>0</v>
      </c>
      <c r="M366" s="2351">
        <f t="shared" si="151"/>
        <v>0</v>
      </c>
      <c r="N366" s="2351">
        <f t="shared" si="151"/>
        <v>0</v>
      </c>
      <c r="O366" s="2351">
        <f t="shared" si="151"/>
        <v>0</v>
      </c>
      <c r="P366" s="2351">
        <f t="shared" si="151"/>
        <v>0</v>
      </c>
      <c r="Q366" s="2351">
        <f t="shared" si="151"/>
        <v>0</v>
      </c>
      <c r="R366" s="2351">
        <f t="shared" si="151"/>
        <v>0</v>
      </c>
      <c r="S366" s="2351">
        <f t="shared" si="151"/>
        <v>0</v>
      </c>
      <c r="T366" s="2351">
        <f t="shared" si="151"/>
        <v>0</v>
      </c>
      <c r="U366" s="2351">
        <f t="shared" si="151"/>
        <v>0</v>
      </c>
      <c r="V366" s="2351">
        <f t="shared" si="151"/>
        <v>0</v>
      </c>
      <c r="W366" s="2351">
        <f t="shared" si="151"/>
        <v>0</v>
      </c>
      <c r="X366" s="2351">
        <f t="shared" si="151"/>
        <v>0</v>
      </c>
      <c r="Y366" s="2351">
        <f t="shared" si="151"/>
        <v>0</v>
      </c>
      <c r="Z366" s="2351"/>
      <c r="AA366" s="2351"/>
      <c r="AB366" s="2351"/>
      <c r="AC366" s="2351"/>
      <c r="AD366" s="2351"/>
      <c r="AE366" s="2359"/>
      <c r="AF366" s="2351"/>
      <c r="AG366" s="2351"/>
      <c r="AH366" s="2351"/>
      <c r="AI366" s="2351"/>
      <c r="AJ366" s="2351"/>
      <c r="AK366" s="2351"/>
      <c r="AL366" s="2351"/>
      <c r="AM366" s="2351"/>
      <c r="AN366" s="2351"/>
      <c r="AO366" s="2351"/>
      <c r="AP366" s="2351"/>
      <c r="AQ366" s="2351"/>
      <c r="AR366" s="2351"/>
      <c r="AS366" s="2351"/>
      <c r="AT366" s="2351"/>
      <c r="AU366" s="2351"/>
      <c r="AV366" s="2351"/>
      <c r="AW366" s="2351"/>
      <c r="AX366" s="2351"/>
      <c r="AY366" s="2351"/>
      <c r="AZ366" s="2351"/>
      <c r="BA366" s="2351"/>
      <c r="BB366" s="2351"/>
      <c r="BC366" s="2308"/>
      <c r="BD366" s="2208"/>
    </row>
    <row r="367" spans="1:56" s="2203" customFormat="1" ht="15" hidden="1" customHeight="1" outlineLevel="3">
      <c r="B367" s="2348"/>
      <c r="C367" s="2352" t="s">
        <v>1907</v>
      </c>
      <c r="D367" s="2350" t="s">
        <v>1908</v>
      </c>
      <c r="E367" s="2351">
        <v>0</v>
      </c>
      <c r="F367" s="2351">
        <v>0</v>
      </c>
      <c r="G367" s="2351">
        <v>0</v>
      </c>
      <c r="H367" s="2351">
        <v>0</v>
      </c>
      <c r="I367" s="2351">
        <v>0</v>
      </c>
      <c r="J367" s="2351">
        <v>0</v>
      </c>
      <c r="K367" s="2351">
        <v>0</v>
      </c>
      <c r="L367" s="2351">
        <v>0</v>
      </c>
      <c r="M367" s="2351">
        <v>0</v>
      </c>
      <c r="N367" s="2351">
        <v>0</v>
      </c>
      <c r="O367" s="2351">
        <v>0</v>
      </c>
      <c r="P367" s="2351">
        <v>0</v>
      </c>
      <c r="Q367" s="2351">
        <v>0</v>
      </c>
      <c r="R367" s="2351">
        <v>0</v>
      </c>
      <c r="S367" s="2351">
        <v>0</v>
      </c>
      <c r="T367" s="2351">
        <v>0</v>
      </c>
      <c r="U367" s="2351">
        <v>0</v>
      </c>
      <c r="V367" s="2351">
        <v>0</v>
      </c>
      <c r="W367" s="2351">
        <v>0</v>
      </c>
      <c r="X367" s="2351">
        <v>0</v>
      </c>
      <c r="Y367" s="2351">
        <v>0</v>
      </c>
      <c r="Z367" s="2351">
        <v>0</v>
      </c>
      <c r="AA367" s="2351">
        <v>0</v>
      </c>
      <c r="AB367" s="2351">
        <v>0</v>
      </c>
      <c r="AC367" s="2351">
        <v>0</v>
      </c>
      <c r="AD367" s="2351">
        <v>0</v>
      </c>
      <c r="AE367" s="2359">
        <v>0</v>
      </c>
      <c r="AF367" s="2351">
        <v>0</v>
      </c>
      <c r="AG367" s="2351">
        <v>0</v>
      </c>
      <c r="AH367" s="2351">
        <v>0</v>
      </c>
      <c r="AI367" s="2351">
        <v>0</v>
      </c>
      <c r="AJ367" s="2351">
        <v>0</v>
      </c>
      <c r="AK367" s="2351">
        <v>0</v>
      </c>
      <c r="AL367" s="2351">
        <v>0</v>
      </c>
      <c r="AM367" s="2351">
        <v>0</v>
      </c>
      <c r="AN367" s="2351">
        <v>0</v>
      </c>
      <c r="AO367" s="2351">
        <v>0</v>
      </c>
      <c r="AP367" s="2351">
        <v>0</v>
      </c>
      <c r="AQ367" s="2351">
        <v>0</v>
      </c>
      <c r="AR367" s="2351">
        <v>0</v>
      </c>
      <c r="AS367" s="2351">
        <v>0</v>
      </c>
      <c r="AT367" s="2351">
        <v>0</v>
      </c>
      <c r="AU367" s="2351">
        <v>0</v>
      </c>
      <c r="AV367" s="2351">
        <v>0</v>
      </c>
      <c r="AW367" s="2351">
        <v>0</v>
      </c>
      <c r="AX367" s="2351">
        <v>0</v>
      </c>
      <c r="AY367" s="2351">
        <v>0</v>
      </c>
      <c r="AZ367" s="2351">
        <v>0</v>
      </c>
      <c r="BA367" s="2351">
        <v>0</v>
      </c>
      <c r="BB367" s="2351">
        <v>0</v>
      </c>
      <c r="BC367" s="2308"/>
      <c r="BD367" s="2208"/>
    </row>
    <row r="368" spans="1:56" s="2226" customFormat="1" ht="15" hidden="1" customHeight="1" outlineLevel="3">
      <c r="A368" s="2219"/>
      <c r="B368" s="2339"/>
      <c r="C368" s="2353" t="s">
        <v>1579</v>
      </c>
      <c r="D368" s="2341" t="s">
        <v>1909</v>
      </c>
      <c r="E368" s="2336">
        <v>0</v>
      </c>
      <c r="F368" s="2336">
        <v>0</v>
      </c>
      <c r="G368" s="2336">
        <v>0</v>
      </c>
      <c r="H368" s="2336">
        <v>0</v>
      </c>
      <c r="I368" s="2336">
        <v>0</v>
      </c>
      <c r="J368" s="2336">
        <v>0</v>
      </c>
      <c r="K368" s="2336">
        <v>0</v>
      </c>
      <c r="L368" s="2336">
        <v>0</v>
      </c>
      <c r="M368" s="2336">
        <v>0</v>
      </c>
      <c r="N368" s="2336">
        <v>0</v>
      </c>
      <c r="O368" s="2336">
        <v>0</v>
      </c>
      <c r="P368" s="2336">
        <v>0</v>
      </c>
      <c r="Q368" s="2336">
        <v>0</v>
      </c>
      <c r="R368" s="2336">
        <v>0</v>
      </c>
      <c r="S368" s="2336">
        <v>0</v>
      </c>
      <c r="T368" s="2336">
        <v>0</v>
      </c>
      <c r="U368" s="2336">
        <v>0</v>
      </c>
      <c r="V368" s="2336">
        <v>0</v>
      </c>
      <c r="W368" s="2336">
        <v>0</v>
      </c>
      <c r="X368" s="2336">
        <v>0</v>
      </c>
      <c r="Y368" s="2336">
        <v>0</v>
      </c>
      <c r="Z368" s="2336">
        <v>0</v>
      </c>
      <c r="AA368" s="2336">
        <v>0</v>
      </c>
      <c r="AB368" s="2336">
        <v>0</v>
      </c>
      <c r="AC368" s="2336">
        <v>0</v>
      </c>
      <c r="AD368" s="2336">
        <v>0</v>
      </c>
      <c r="AE368" s="2337">
        <v>0</v>
      </c>
      <c r="AF368" s="2336">
        <v>0</v>
      </c>
      <c r="AG368" s="2336">
        <v>0</v>
      </c>
      <c r="AH368" s="2336">
        <v>0</v>
      </c>
      <c r="AI368" s="2336">
        <v>0</v>
      </c>
      <c r="AJ368" s="2336">
        <v>0</v>
      </c>
      <c r="AK368" s="2336">
        <v>0</v>
      </c>
      <c r="AL368" s="2336">
        <v>0</v>
      </c>
      <c r="AM368" s="2336">
        <v>0</v>
      </c>
      <c r="AN368" s="2336">
        <v>0</v>
      </c>
      <c r="AO368" s="2336">
        <v>0</v>
      </c>
      <c r="AP368" s="2336">
        <v>0</v>
      </c>
      <c r="AQ368" s="2336">
        <v>0</v>
      </c>
      <c r="AR368" s="2336">
        <v>0</v>
      </c>
      <c r="AS368" s="2336">
        <v>0</v>
      </c>
      <c r="AT368" s="2336">
        <v>0</v>
      </c>
      <c r="AU368" s="2336">
        <v>0</v>
      </c>
      <c r="AV368" s="2336">
        <v>0</v>
      </c>
      <c r="AW368" s="2336">
        <v>0</v>
      </c>
      <c r="AX368" s="2336">
        <v>0</v>
      </c>
      <c r="AY368" s="2336">
        <v>0</v>
      </c>
      <c r="AZ368" s="2336">
        <v>0</v>
      </c>
      <c r="BA368" s="2336">
        <v>0</v>
      </c>
      <c r="BB368" s="2336">
        <v>0</v>
      </c>
      <c r="BC368" s="2310">
        <f>+AA368</f>
        <v>0</v>
      </c>
      <c r="BD368" s="2318"/>
    </row>
    <row r="369" spans="1:101" s="2203" customFormat="1" ht="15" hidden="1" customHeight="1" outlineLevel="3">
      <c r="B369" s="2348"/>
      <c r="C369" s="2352" t="s">
        <v>1910</v>
      </c>
      <c r="D369" s="2350" t="s">
        <v>1911</v>
      </c>
      <c r="E369" s="2351">
        <f>E366+E367+E368</f>
        <v>0</v>
      </c>
      <c r="F369" s="2351">
        <f t="shared" ref="F369:Y369" si="152">F366+F367+F368</f>
        <v>0</v>
      </c>
      <c r="G369" s="2351">
        <f t="shared" si="152"/>
        <v>0</v>
      </c>
      <c r="H369" s="2351">
        <f t="shared" si="152"/>
        <v>0</v>
      </c>
      <c r="I369" s="2351">
        <f t="shared" si="152"/>
        <v>0</v>
      </c>
      <c r="J369" s="2351">
        <f t="shared" si="152"/>
        <v>0</v>
      </c>
      <c r="K369" s="2351">
        <f t="shared" si="152"/>
        <v>0</v>
      </c>
      <c r="L369" s="2351">
        <f t="shared" si="152"/>
        <v>0</v>
      </c>
      <c r="M369" s="2351">
        <f t="shared" si="152"/>
        <v>0</v>
      </c>
      <c r="N369" s="2351">
        <f t="shared" si="152"/>
        <v>0</v>
      </c>
      <c r="O369" s="2351">
        <f t="shared" si="152"/>
        <v>0</v>
      </c>
      <c r="P369" s="2351">
        <f t="shared" si="152"/>
        <v>0</v>
      </c>
      <c r="Q369" s="2351">
        <f t="shared" si="152"/>
        <v>0</v>
      </c>
      <c r="R369" s="2351">
        <f t="shared" si="152"/>
        <v>0</v>
      </c>
      <c r="S369" s="2351">
        <f t="shared" si="152"/>
        <v>0</v>
      </c>
      <c r="T369" s="2351">
        <f t="shared" si="152"/>
        <v>0</v>
      </c>
      <c r="U369" s="2351">
        <f t="shared" si="152"/>
        <v>0</v>
      </c>
      <c r="V369" s="2351">
        <f t="shared" si="152"/>
        <v>0</v>
      </c>
      <c r="W369" s="2351">
        <f t="shared" si="152"/>
        <v>0</v>
      </c>
      <c r="X369" s="2351">
        <f t="shared" si="152"/>
        <v>0</v>
      </c>
      <c r="Y369" s="2351">
        <f t="shared" si="152"/>
        <v>0</v>
      </c>
      <c r="Z369" s="2351"/>
      <c r="AA369" s="2351"/>
      <c r="AB369" s="2351"/>
      <c r="AC369" s="2351"/>
      <c r="AD369" s="2351"/>
      <c r="AE369" s="2359"/>
      <c r="AF369" s="2351"/>
      <c r="AG369" s="2351"/>
      <c r="AH369" s="2351"/>
      <c r="AI369" s="2351"/>
      <c r="AJ369" s="2351"/>
      <c r="AK369" s="2351"/>
      <c r="AL369" s="2351"/>
      <c r="AM369" s="2351"/>
      <c r="AN369" s="2351"/>
      <c r="AO369" s="2351"/>
      <c r="AP369" s="2351"/>
      <c r="AQ369" s="2351"/>
      <c r="AR369" s="2351"/>
      <c r="AS369" s="2351"/>
      <c r="AT369" s="2351"/>
      <c r="AU369" s="2351"/>
      <c r="AV369" s="2351"/>
      <c r="AW369" s="2351"/>
      <c r="AX369" s="2351"/>
      <c r="AY369" s="2351"/>
      <c r="AZ369" s="2351"/>
      <c r="BA369" s="2351"/>
      <c r="BB369" s="2351"/>
      <c r="BC369" s="2308"/>
      <c r="BD369" s="2208"/>
    </row>
    <row r="370" spans="1:101" s="2203" customFormat="1" ht="15" hidden="1" customHeight="1" outlineLevel="3">
      <c r="B370" s="2348"/>
      <c r="C370" s="2352" t="s">
        <v>1930</v>
      </c>
      <c r="D370" s="2350" t="s">
        <v>1913</v>
      </c>
      <c r="E370" s="2351">
        <v>0</v>
      </c>
      <c r="F370" s="2351">
        <v>0</v>
      </c>
      <c r="G370" s="2351">
        <v>0</v>
      </c>
      <c r="H370" s="2351">
        <v>0</v>
      </c>
      <c r="I370" s="2351">
        <v>0</v>
      </c>
      <c r="J370" s="2351">
        <v>0</v>
      </c>
      <c r="K370" s="2351">
        <v>0</v>
      </c>
      <c r="L370" s="2351">
        <v>0</v>
      </c>
      <c r="M370" s="2351">
        <v>0</v>
      </c>
      <c r="N370" s="2351">
        <v>0</v>
      </c>
      <c r="O370" s="2351">
        <v>0</v>
      </c>
      <c r="P370" s="2351">
        <v>0</v>
      </c>
      <c r="Q370" s="2351">
        <v>0</v>
      </c>
      <c r="R370" s="2351">
        <v>0</v>
      </c>
      <c r="S370" s="2351">
        <v>0</v>
      </c>
      <c r="T370" s="2351">
        <v>0</v>
      </c>
      <c r="U370" s="2351">
        <v>0</v>
      </c>
      <c r="V370" s="2351">
        <v>0</v>
      </c>
      <c r="W370" s="2351">
        <v>0</v>
      </c>
      <c r="X370" s="2351">
        <v>0</v>
      </c>
      <c r="Y370" s="2351">
        <v>0</v>
      </c>
      <c r="Z370" s="2351">
        <v>0</v>
      </c>
      <c r="AA370" s="2351">
        <v>0</v>
      </c>
      <c r="AB370" s="2351">
        <v>0</v>
      </c>
      <c r="AC370" s="2351">
        <v>0</v>
      </c>
      <c r="AD370" s="2351">
        <v>0</v>
      </c>
      <c r="AE370" s="2359">
        <v>0</v>
      </c>
      <c r="AF370" s="2351">
        <v>0</v>
      </c>
      <c r="AG370" s="2351">
        <v>0</v>
      </c>
      <c r="AH370" s="2351">
        <v>0</v>
      </c>
      <c r="AI370" s="2351">
        <v>0</v>
      </c>
      <c r="AJ370" s="2351">
        <v>0</v>
      </c>
      <c r="AK370" s="2351">
        <v>0</v>
      </c>
      <c r="AL370" s="2351">
        <v>0</v>
      </c>
      <c r="AM370" s="2351">
        <v>0</v>
      </c>
      <c r="AN370" s="2351">
        <v>0</v>
      </c>
      <c r="AO370" s="2351">
        <v>0</v>
      </c>
      <c r="AP370" s="2351">
        <v>0</v>
      </c>
      <c r="AQ370" s="2351">
        <v>0</v>
      </c>
      <c r="AR370" s="2351">
        <v>0</v>
      </c>
      <c r="AS370" s="2351">
        <v>0</v>
      </c>
      <c r="AT370" s="2351">
        <v>0</v>
      </c>
      <c r="AU370" s="2351">
        <v>0</v>
      </c>
      <c r="AV370" s="2351">
        <v>0</v>
      </c>
      <c r="AW370" s="2351">
        <v>0</v>
      </c>
      <c r="AX370" s="2351">
        <v>0</v>
      </c>
      <c r="AY370" s="2351">
        <v>0</v>
      </c>
      <c r="AZ370" s="2351">
        <v>0</v>
      </c>
      <c r="BA370" s="2351">
        <v>0</v>
      </c>
      <c r="BB370" s="2351">
        <v>0</v>
      </c>
      <c r="BC370" s="2308"/>
      <c r="BD370" s="2208"/>
    </row>
    <row r="371" spans="1:101" ht="15" hidden="1" customHeight="1" outlineLevel="3">
      <c r="B371" s="2339"/>
      <c r="C371" s="2353" t="s">
        <v>1914</v>
      </c>
      <c r="D371" s="2341" t="s">
        <v>1915</v>
      </c>
      <c r="E371" s="2336">
        <v>0</v>
      </c>
      <c r="F371" s="2336">
        <v>0</v>
      </c>
      <c r="G371" s="2336">
        <v>0</v>
      </c>
      <c r="H371" s="2336">
        <v>0</v>
      </c>
      <c r="I371" s="2336">
        <v>0</v>
      </c>
      <c r="J371" s="2336">
        <v>0</v>
      </c>
      <c r="K371" s="2336">
        <v>0</v>
      </c>
      <c r="L371" s="2336">
        <v>0</v>
      </c>
      <c r="M371" s="2336">
        <v>0</v>
      </c>
      <c r="N371" s="2336">
        <v>0</v>
      </c>
      <c r="O371" s="2336">
        <v>0</v>
      </c>
      <c r="P371" s="2336">
        <v>0</v>
      </c>
      <c r="Q371" s="2336">
        <v>0</v>
      </c>
      <c r="R371" s="2336">
        <v>0</v>
      </c>
      <c r="S371" s="2336">
        <v>0</v>
      </c>
      <c r="T371" s="2336">
        <v>0</v>
      </c>
      <c r="U371" s="2336">
        <v>0</v>
      </c>
      <c r="V371" s="2336">
        <v>0</v>
      </c>
      <c r="W371" s="2336">
        <v>0</v>
      </c>
      <c r="X371" s="2336">
        <v>0</v>
      </c>
      <c r="Y371" s="2336">
        <v>0</v>
      </c>
      <c r="Z371" s="2336">
        <v>0</v>
      </c>
      <c r="AA371" s="2336">
        <v>0</v>
      </c>
      <c r="AB371" s="2336">
        <v>0</v>
      </c>
      <c r="AC371" s="2336">
        <v>0</v>
      </c>
      <c r="AD371" s="2336">
        <v>0</v>
      </c>
      <c r="AE371" s="2337">
        <v>0</v>
      </c>
      <c r="AF371" s="2336">
        <v>0</v>
      </c>
      <c r="AG371" s="2336">
        <v>0</v>
      </c>
      <c r="AH371" s="2336">
        <v>0</v>
      </c>
      <c r="AI371" s="2336">
        <v>0</v>
      </c>
      <c r="AJ371" s="2336">
        <v>0</v>
      </c>
      <c r="AK371" s="2336">
        <v>0</v>
      </c>
      <c r="AL371" s="2336">
        <v>0</v>
      </c>
      <c r="AM371" s="2336">
        <v>0</v>
      </c>
      <c r="AN371" s="2336">
        <v>0</v>
      </c>
      <c r="AO371" s="2336">
        <v>0</v>
      </c>
      <c r="AP371" s="2336">
        <v>0</v>
      </c>
      <c r="AQ371" s="2336">
        <v>0</v>
      </c>
      <c r="AR371" s="2336">
        <v>0</v>
      </c>
      <c r="AS371" s="2336">
        <v>0</v>
      </c>
      <c r="AT371" s="2336">
        <v>0</v>
      </c>
      <c r="AU371" s="2336">
        <v>0</v>
      </c>
      <c r="AV371" s="2336">
        <v>0</v>
      </c>
      <c r="AW371" s="2336">
        <v>0</v>
      </c>
      <c r="AX371" s="2336">
        <v>0</v>
      </c>
      <c r="AY371" s="2336">
        <v>0</v>
      </c>
      <c r="AZ371" s="2336">
        <v>0</v>
      </c>
      <c r="BA371" s="2336">
        <v>0</v>
      </c>
      <c r="BB371" s="2336">
        <v>0</v>
      </c>
      <c r="BC371" s="2310"/>
      <c r="BD371" s="2240"/>
    </row>
    <row r="372" spans="1:101" s="2203" customFormat="1" ht="15" hidden="1" customHeight="1" outlineLevel="3">
      <c r="B372" s="2348"/>
      <c r="C372" s="2352" t="s">
        <v>1916</v>
      </c>
      <c r="D372" s="2350" t="s">
        <v>1917</v>
      </c>
      <c r="E372" s="2351">
        <f>E369+E370+E371</f>
        <v>0</v>
      </c>
      <c r="F372" s="2351">
        <f t="shared" ref="F372:Y372" si="153">F369+F370+F371</f>
        <v>0</v>
      </c>
      <c r="G372" s="2351">
        <f t="shared" si="153"/>
        <v>0</v>
      </c>
      <c r="H372" s="2351">
        <f t="shared" si="153"/>
        <v>0</v>
      </c>
      <c r="I372" s="2351">
        <f t="shared" si="153"/>
        <v>0</v>
      </c>
      <c r="J372" s="2351">
        <f t="shared" si="153"/>
        <v>0</v>
      </c>
      <c r="K372" s="2351">
        <f t="shared" si="153"/>
        <v>0</v>
      </c>
      <c r="L372" s="2351">
        <f t="shared" si="153"/>
        <v>0</v>
      </c>
      <c r="M372" s="2351">
        <f t="shared" si="153"/>
        <v>0</v>
      </c>
      <c r="N372" s="2351">
        <f t="shared" si="153"/>
        <v>0</v>
      </c>
      <c r="O372" s="2351">
        <f t="shared" si="153"/>
        <v>0</v>
      </c>
      <c r="P372" s="2351">
        <f t="shared" si="153"/>
        <v>0</v>
      </c>
      <c r="Q372" s="2351">
        <f t="shared" si="153"/>
        <v>0</v>
      </c>
      <c r="R372" s="2351">
        <f t="shared" si="153"/>
        <v>0</v>
      </c>
      <c r="S372" s="2351">
        <f t="shared" si="153"/>
        <v>0</v>
      </c>
      <c r="T372" s="2351">
        <f t="shared" si="153"/>
        <v>0</v>
      </c>
      <c r="U372" s="2351">
        <f t="shared" si="153"/>
        <v>0</v>
      </c>
      <c r="V372" s="2351">
        <f t="shared" si="153"/>
        <v>0</v>
      </c>
      <c r="W372" s="2351">
        <f t="shared" si="153"/>
        <v>0</v>
      </c>
      <c r="X372" s="2351">
        <f t="shared" si="153"/>
        <v>0</v>
      </c>
      <c r="Y372" s="2351">
        <f t="shared" si="153"/>
        <v>0</v>
      </c>
      <c r="Z372" s="2351"/>
      <c r="AA372" s="2351"/>
      <c r="AB372" s="2351"/>
      <c r="AC372" s="2351"/>
      <c r="AD372" s="2351"/>
      <c r="AE372" s="2359"/>
      <c r="AF372" s="2351"/>
      <c r="AG372" s="2351"/>
      <c r="AH372" s="2351"/>
      <c r="AI372" s="2351"/>
      <c r="AJ372" s="2351"/>
      <c r="AK372" s="2351"/>
      <c r="AL372" s="2351"/>
      <c r="AM372" s="2351"/>
      <c r="AN372" s="2351"/>
      <c r="AO372" s="2351"/>
      <c r="AP372" s="2351"/>
      <c r="AQ372" s="2351"/>
      <c r="AR372" s="2351"/>
      <c r="AS372" s="2351"/>
      <c r="AT372" s="2351"/>
      <c r="AU372" s="2351"/>
      <c r="AV372" s="2351"/>
      <c r="AW372" s="2351"/>
      <c r="AX372" s="2351"/>
      <c r="AY372" s="2351"/>
      <c r="AZ372" s="2351"/>
      <c r="BA372" s="2351"/>
      <c r="BB372" s="2351"/>
      <c r="BC372" s="2308"/>
      <c r="BD372" s="2208"/>
    </row>
    <row r="373" spans="1:101" ht="15" hidden="1" customHeight="1" outlineLevel="3">
      <c r="B373" s="2339"/>
      <c r="C373" s="2353" t="s">
        <v>1918</v>
      </c>
      <c r="D373" s="2341" t="s">
        <v>1919</v>
      </c>
      <c r="E373" s="2336">
        <v>0</v>
      </c>
      <c r="F373" s="2336">
        <v>0</v>
      </c>
      <c r="G373" s="2336">
        <v>0</v>
      </c>
      <c r="H373" s="2336">
        <v>0</v>
      </c>
      <c r="I373" s="2336">
        <v>0</v>
      </c>
      <c r="J373" s="2336">
        <v>0</v>
      </c>
      <c r="K373" s="2336">
        <v>0</v>
      </c>
      <c r="L373" s="2336">
        <v>0</v>
      </c>
      <c r="M373" s="2336">
        <v>0</v>
      </c>
      <c r="N373" s="2336">
        <v>0</v>
      </c>
      <c r="O373" s="2336">
        <v>0</v>
      </c>
      <c r="P373" s="2336">
        <v>0</v>
      </c>
      <c r="Q373" s="2336">
        <v>0</v>
      </c>
      <c r="R373" s="2336">
        <v>0</v>
      </c>
      <c r="S373" s="2336">
        <v>0</v>
      </c>
      <c r="T373" s="2336">
        <v>0</v>
      </c>
      <c r="U373" s="2336">
        <v>0</v>
      </c>
      <c r="V373" s="2336">
        <v>0</v>
      </c>
      <c r="W373" s="2336">
        <v>0</v>
      </c>
      <c r="X373" s="2336">
        <v>0</v>
      </c>
      <c r="Y373" s="2336">
        <v>0</v>
      </c>
      <c r="Z373" s="2336">
        <v>0</v>
      </c>
      <c r="AA373" s="2336">
        <v>0</v>
      </c>
      <c r="AB373" s="2336">
        <v>0</v>
      </c>
      <c r="AC373" s="2336">
        <v>0</v>
      </c>
      <c r="AD373" s="2336">
        <v>0</v>
      </c>
      <c r="AE373" s="2337">
        <v>0</v>
      </c>
      <c r="AF373" s="2336">
        <v>0</v>
      </c>
      <c r="AG373" s="2336">
        <v>0</v>
      </c>
      <c r="AH373" s="2336">
        <v>0</v>
      </c>
      <c r="AI373" s="2336">
        <v>0</v>
      </c>
      <c r="AJ373" s="2336">
        <v>0</v>
      </c>
      <c r="AK373" s="2336">
        <v>0</v>
      </c>
      <c r="AL373" s="2336">
        <v>0</v>
      </c>
      <c r="AM373" s="2336">
        <v>0</v>
      </c>
      <c r="AN373" s="2336">
        <v>0</v>
      </c>
      <c r="AO373" s="2336">
        <v>0</v>
      </c>
      <c r="AP373" s="2336">
        <v>0</v>
      </c>
      <c r="AQ373" s="2336">
        <v>0</v>
      </c>
      <c r="AR373" s="2336">
        <v>0</v>
      </c>
      <c r="AS373" s="2336">
        <v>0</v>
      </c>
      <c r="AT373" s="2336">
        <v>0</v>
      </c>
      <c r="AU373" s="2336">
        <v>0</v>
      </c>
      <c r="AV373" s="2336">
        <v>0</v>
      </c>
      <c r="AW373" s="2336">
        <v>0</v>
      </c>
      <c r="AX373" s="2336">
        <v>0</v>
      </c>
      <c r="AY373" s="2336">
        <v>0</v>
      </c>
      <c r="AZ373" s="2336">
        <v>0</v>
      </c>
      <c r="BA373" s="2336">
        <v>0</v>
      </c>
      <c r="BB373" s="2336">
        <v>0</v>
      </c>
      <c r="BC373" s="2310"/>
      <c r="BD373" s="2240"/>
    </row>
    <row r="374" spans="1:101" ht="15" hidden="1" customHeight="1" outlineLevel="3">
      <c r="B374" s="2339"/>
      <c r="C374" s="2353" t="s">
        <v>1920</v>
      </c>
      <c r="D374" s="2354" t="s">
        <v>1921</v>
      </c>
      <c r="E374" s="2336">
        <v>0</v>
      </c>
      <c r="F374" s="2336">
        <v>0</v>
      </c>
      <c r="G374" s="2336">
        <v>0</v>
      </c>
      <c r="H374" s="2336">
        <v>0</v>
      </c>
      <c r="I374" s="2336">
        <v>0</v>
      </c>
      <c r="J374" s="2336">
        <v>0</v>
      </c>
      <c r="K374" s="2336">
        <v>0</v>
      </c>
      <c r="L374" s="2336">
        <v>0</v>
      </c>
      <c r="M374" s="2336">
        <v>0</v>
      </c>
      <c r="N374" s="2336">
        <v>0</v>
      </c>
      <c r="O374" s="2336">
        <v>0</v>
      </c>
      <c r="P374" s="2336">
        <v>0</v>
      </c>
      <c r="Q374" s="2336">
        <v>0</v>
      </c>
      <c r="R374" s="2336">
        <v>0</v>
      </c>
      <c r="S374" s="2336">
        <v>0</v>
      </c>
      <c r="T374" s="2336">
        <v>0</v>
      </c>
      <c r="U374" s="2336">
        <v>0</v>
      </c>
      <c r="V374" s="2336">
        <v>0</v>
      </c>
      <c r="W374" s="2336">
        <v>0</v>
      </c>
      <c r="X374" s="2336">
        <v>0</v>
      </c>
      <c r="Y374" s="2336">
        <v>0</v>
      </c>
      <c r="Z374" s="2336">
        <v>0</v>
      </c>
      <c r="AA374" s="2336">
        <v>0</v>
      </c>
      <c r="AB374" s="2336">
        <v>0</v>
      </c>
      <c r="AC374" s="2336">
        <v>0</v>
      </c>
      <c r="AD374" s="2336">
        <v>0</v>
      </c>
      <c r="AE374" s="2337">
        <v>0</v>
      </c>
      <c r="AF374" s="2336">
        <v>0</v>
      </c>
      <c r="AG374" s="2336">
        <v>0</v>
      </c>
      <c r="AH374" s="2336">
        <v>0</v>
      </c>
      <c r="AI374" s="2336">
        <v>0</v>
      </c>
      <c r="AJ374" s="2336">
        <v>0</v>
      </c>
      <c r="AK374" s="2336">
        <v>0</v>
      </c>
      <c r="AL374" s="2336">
        <v>0</v>
      </c>
      <c r="AM374" s="2336">
        <v>0</v>
      </c>
      <c r="AN374" s="2336">
        <v>0</v>
      </c>
      <c r="AO374" s="2336">
        <v>0</v>
      </c>
      <c r="AP374" s="2336">
        <v>0</v>
      </c>
      <c r="AQ374" s="2336">
        <v>0</v>
      </c>
      <c r="AR374" s="2336">
        <v>0</v>
      </c>
      <c r="AS374" s="2336">
        <v>0</v>
      </c>
      <c r="AT374" s="2336">
        <v>0</v>
      </c>
      <c r="AU374" s="2336">
        <v>0</v>
      </c>
      <c r="AV374" s="2336">
        <v>0</v>
      </c>
      <c r="AW374" s="2336">
        <v>0</v>
      </c>
      <c r="AX374" s="2336">
        <v>0</v>
      </c>
      <c r="AY374" s="2336">
        <v>0</v>
      </c>
      <c r="AZ374" s="2336">
        <v>0</v>
      </c>
      <c r="BA374" s="2336">
        <v>0</v>
      </c>
      <c r="BB374" s="2336">
        <v>0</v>
      </c>
      <c r="BC374" s="2310"/>
      <c r="BD374" s="2240"/>
    </row>
    <row r="375" spans="1:101" ht="15" hidden="1" customHeight="1" outlineLevel="3">
      <c r="B375" s="2339"/>
      <c r="C375" s="2353" t="s">
        <v>1922</v>
      </c>
      <c r="D375" s="2354" t="s">
        <v>1923</v>
      </c>
      <c r="E375" s="2336">
        <v>0</v>
      </c>
      <c r="F375" s="2336">
        <v>0</v>
      </c>
      <c r="G375" s="2336">
        <v>0</v>
      </c>
      <c r="H375" s="2336">
        <v>0</v>
      </c>
      <c r="I375" s="2336">
        <v>0</v>
      </c>
      <c r="J375" s="2336">
        <v>0</v>
      </c>
      <c r="K375" s="2336">
        <v>0</v>
      </c>
      <c r="L375" s="2336">
        <v>0</v>
      </c>
      <c r="M375" s="2336">
        <v>0</v>
      </c>
      <c r="N375" s="2336">
        <v>0</v>
      </c>
      <c r="O375" s="2336">
        <v>0</v>
      </c>
      <c r="P375" s="2336">
        <v>0</v>
      </c>
      <c r="Q375" s="2336">
        <v>0</v>
      </c>
      <c r="R375" s="2336">
        <v>0</v>
      </c>
      <c r="S375" s="2336">
        <v>0</v>
      </c>
      <c r="T375" s="2336">
        <v>0</v>
      </c>
      <c r="U375" s="2336">
        <v>0</v>
      </c>
      <c r="V375" s="2336">
        <v>0</v>
      </c>
      <c r="W375" s="2336">
        <v>0</v>
      </c>
      <c r="X375" s="2336">
        <v>0</v>
      </c>
      <c r="Y375" s="2336">
        <v>0</v>
      </c>
      <c r="Z375" s="2336">
        <v>0</v>
      </c>
      <c r="AA375" s="2336">
        <v>0</v>
      </c>
      <c r="AB375" s="2336">
        <v>0</v>
      </c>
      <c r="AC375" s="2336">
        <v>0</v>
      </c>
      <c r="AD375" s="2336">
        <v>0</v>
      </c>
      <c r="AE375" s="2337">
        <v>0</v>
      </c>
      <c r="AF375" s="2336">
        <v>0</v>
      </c>
      <c r="AG375" s="2336">
        <v>0</v>
      </c>
      <c r="AH375" s="2336">
        <v>0</v>
      </c>
      <c r="AI375" s="2336">
        <v>0</v>
      </c>
      <c r="AJ375" s="2336">
        <v>0</v>
      </c>
      <c r="AK375" s="2336">
        <v>0</v>
      </c>
      <c r="AL375" s="2336">
        <v>0</v>
      </c>
      <c r="AM375" s="2336">
        <v>0</v>
      </c>
      <c r="AN375" s="2336">
        <v>0</v>
      </c>
      <c r="AO375" s="2336">
        <v>0</v>
      </c>
      <c r="AP375" s="2336">
        <v>0</v>
      </c>
      <c r="AQ375" s="2336">
        <v>0</v>
      </c>
      <c r="AR375" s="2336">
        <v>0</v>
      </c>
      <c r="AS375" s="2336">
        <v>0</v>
      </c>
      <c r="AT375" s="2336">
        <v>0</v>
      </c>
      <c r="AU375" s="2336">
        <v>0</v>
      </c>
      <c r="AV375" s="2336">
        <v>0</v>
      </c>
      <c r="AW375" s="2336">
        <v>0</v>
      </c>
      <c r="AX375" s="2336">
        <v>0</v>
      </c>
      <c r="AY375" s="2336">
        <v>0</v>
      </c>
      <c r="AZ375" s="2336">
        <v>0</v>
      </c>
      <c r="BA375" s="2336">
        <v>0</v>
      </c>
      <c r="BB375" s="2336">
        <v>0</v>
      </c>
      <c r="BC375" s="2320"/>
      <c r="BD375" s="2240"/>
    </row>
    <row r="376" spans="1:101" s="2203" customFormat="1" ht="15" hidden="1" customHeight="1" outlineLevel="2">
      <c r="B376" s="2348"/>
      <c r="C376" s="2352" t="s">
        <v>1924</v>
      </c>
      <c r="D376" s="2355" t="s">
        <v>1925</v>
      </c>
      <c r="E376" s="2351">
        <f t="shared" ref="E376:BB376" si="154">E372+E373+E375</f>
        <v>0</v>
      </c>
      <c r="F376" s="2351">
        <f t="shared" si="154"/>
        <v>0</v>
      </c>
      <c r="G376" s="2351">
        <f t="shared" si="154"/>
        <v>0</v>
      </c>
      <c r="H376" s="2351">
        <f t="shared" si="154"/>
        <v>0</v>
      </c>
      <c r="I376" s="2351">
        <f t="shared" si="154"/>
        <v>0</v>
      </c>
      <c r="J376" s="2351">
        <f t="shared" si="154"/>
        <v>0</v>
      </c>
      <c r="K376" s="2351">
        <f t="shared" si="154"/>
        <v>0</v>
      </c>
      <c r="L376" s="2351">
        <f t="shared" si="154"/>
        <v>0</v>
      </c>
      <c r="M376" s="2351">
        <f t="shared" si="154"/>
        <v>0</v>
      </c>
      <c r="N376" s="2351">
        <f t="shared" si="154"/>
        <v>0</v>
      </c>
      <c r="O376" s="2351">
        <f t="shared" si="154"/>
        <v>0</v>
      </c>
      <c r="P376" s="2351">
        <f t="shared" si="154"/>
        <v>0</v>
      </c>
      <c r="Q376" s="2351">
        <f t="shared" si="154"/>
        <v>0</v>
      </c>
      <c r="R376" s="2351">
        <f t="shared" si="154"/>
        <v>0</v>
      </c>
      <c r="S376" s="2351">
        <f t="shared" si="154"/>
        <v>0</v>
      </c>
      <c r="T376" s="2351">
        <f t="shared" si="154"/>
        <v>0</v>
      </c>
      <c r="U376" s="2351">
        <f t="shared" si="154"/>
        <v>0</v>
      </c>
      <c r="V376" s="2351">
        <f t="shared" si="154"/>
        <v>0</v>
      </c>
      <c r="W376" s="2351">
        <f t="shared" si="154"/>
        <v>0</v>
      </c>
      <c r="X376" s="2351">
        <f t="shared" si="154"/>
        <v>0</v>
      </c>
      <c r="Y376" s="2351">
        <f t="shared" si="154"/>
        <v>0</v>
      </c>
      <c r="Z376" s="2351">
        <f t="shared" si="154"/>
        <v>0</v>
      </c>
      <c r="AA376" s="2351">
        <f t="shared" si="154"/>
        <v>0</v>
      </c>
      <c r="AB376" s="2351">
        <f t="shared" si="154"/>
        <v>0</v>
      </c>
      <c r="AC376" s="2351">
        <f t="shared" si="154"/>
        <v>0</v>
      </c>
      <c r="AD376" s="2351">
        <f t="shared" si="154"/>
        <v>0</v>
      </c>
      <c r="AE376" s="2359">
        <f t="shared" si="154"/>
        <v>0</v>
      </c>
      <c r="AF376" s="2351">
        <f t="shared" si="154"/>
        <v>0</v>
      </c>
      <c r="AG376" s="2351">
        <f t="shared" si="154"/>
        <v>0</v>
      </c>
      <c r="AH376" s="2351">
        <f t="shared" si="154"/>
        <v>0</v>
      </c>
      <c r="AI376" s="2351">
        <f t="shared" si="154"/>
        <v>0</v>
      </c>
      <c r="AJ376" s="2351">
        <f t="shared" si="154"/>
        <v>0</v>
      </c>
      <c r="AK376" s="2351">
        <f t="shared" si="154"/>
        <v>0</v>
      </c>
      <c r="AL376" s="2351">
        <f t="shared" si="154"/>
        <v>0</v>
      </c>
      <c r="AM376" s="2351">
        <f t="shared" si="154"/>
        <v>0</v>
      </c>
      <c r="AN376" s="2351">
        <f t="shared" si="154"/>
        <v>0</v>
      </c>
      <c r="AO376" s="2351">
        <f t="shared" si="154"/>
        <v>0</v>
      </c>
      <c r="AP376" s="2351">
        <f t="shared" si="154"/>
        <v>0</v>
      </c>
      <c r="AQ376" s="2351">
        <f t="shared" si="154"/>
        <v>0</v>
      </c>
      <c r="AR376" s="2351">
        <f t="shared" si="154"/>
        <v>0</v>
      </c>
      <c r="AS376" s="2351">
        <f t="shared" si="154"/>
        <v>0</v>
      </c>
      <c r="AT376" s="2351">
        <f t="shared" si="154"/>
        <v>0</v>
      </c>
      <c r="AU376" s="2351">
        <f t="shared" si="154"/>
        <v>0</v>
      </c>
      <c r="AV376" s="2351">
        <f t="shared" si="154"/>
        <v>0</v>
      </c>
      <c r="AW376" s="2351">
        <f t="shared" si="154"/>
        <v>0</v>
      </c>
      <c r="AX376" s="2351">
        <f t="shared" si="154"/>
        <v>0</v>
      </c>
      <c r="AY376" s="2351">
        <f t="shared" si="154"/>
        <v>0</v>
      </c>
      <c r="AZ376" s="2351">
        <f t="shared" si="154"/>
        <v>0</v>
      </c>
      <c r="BA376" s="2351">
        <f t="shared" si="154"/>
        <v>0</v>
      </c>
      <c r="BB376" s="2351">
        <f t="shared" si="154"/>
        <v>0</v>
      </c>
      <c r="BC376" s="2308"/>
      <c r="BD376" s="2208"/>
    </row>
    <row r="377" spans="1:101" s="2203" customFormat="1" ht="15" hidden="1" customHeight="1" outlineLevel="2">
      <c r="B377" s="2348"/>
      <c r="C377" s="2352" t="s">
        <v>1926</v>
      </c>
      <c r="D377" s="2350" t="s">
        <v>1927</v>
      </c>
      <c r="E377" s="2351">
        <f>E376</f>
        <v>0</v>
      </c>
      <c r="F377" s="2351">
        <f t="shared" ref="F377:AZ377" si="155">F376-E376</f>
        <v>0</v>
      </c>
      <c r="G377" s="2351">
        <f t="shared" si="155"/>
        <v>0</v>
      </c>
      <c r="H377" s="2351">
        <f t="shared" si="155"/>
        <v>0</v>
      </c>
      <c r="I377" s="2351">
        <f t="shared" si="155"/>
        <v>0</v>
      </c>
      <c r="J377" s="2351">
        <f t="shared" si="155"/>
        <v>0</v>
      </c>
      <c r="K377" s="2351">
        <f t="shared" si="155"/>
        <v>0</v>
      </c>
      <c r="L377" s="2351">
        <f t="shared" si="155"/>
        <v>0</v>
      </c>
      <c r="M377" s="2351">
        <f t="shared" si="155"/>
        <v>0</v>
      </c>
      <c r="N377" s="2351">
        <f t="shared" si="155"/>
        <v>0</v>
      </c>
      <c r="O377" s="2351">
        <f t="shared" si="155"/>
        <v>0</v>
      </c>
      <c r="P377" s="2351">
        <f t="shared" si="155"/>
        <v>0</v>
      </c>
      <c r="Q377" s="2351">
        <f t="shared" si="155"/>
        <v>0</v>
      </c>
      <c r="R377" s="2351">
        <f t="shared" si="155"/>
        <v>0</v>
      </c>
      <c r="S377" s="2351">
        <f t="shared" si="155"/>
        <v>0</v>
      </c>
      <c r="T377" s="2351">
        <f t="shared" si="155"/>
        <v>0</v>
      </c>
      <c r="U377" s="2351">
        <f t="shared" si="155"/>
        <v>0</v>
      </c>
      <c r="V377" s="2351">
        <f t="shared" si="155"/>
        <v>0</v>
      </c>
      <c r="W377" s="2351">
        <f t="shared" si="155"/>
        <v>0</v>
      </c>
      <c r="X377" s="2351">
        <f t="shared" si="155"/>
        <v>0</v>
      </c>
      <c r="Y377" s="2351">
        <f t="shared" si="155"/>
        <v>0</v>
      </c>
      <c r="Z377" s="2351">
        <f t="shared" si="155"/>
        <v>0</v>
      </c>
      <c r="AA377" s="2351">
        <f t="shared" si="155"/>
        <v>0</v>
      </c>
      <c r="AB377" s="2351">
        <f t="shared" si="155"/>
        <v>0</v>
      </c>
      <c r="AC377" s="2351">
        <f t="shared" si="155"/>
        <v>0</v>
      </c>
      <c r="AD377" s="2351">
        <f t="shared" si="155"/>
        <v>0</v>
      </c>
      <c r="AE377" s="2359">
        <f t="shared" si="155"/>
        <v>0</v>
      </c>
      <c r="AF377" s="2351">
        <f t="shared" si="155"/>
        <v>0</v>
      </c>
      <c r="AG377" s="2351">
        <f t="shared" si="155"/>
        <v>0</v>
      </c>
      <c r="AH377" s="2351">
        <f t="shared" si="155"/>
        <v>0</v>
      </c>
      <c r="AI377" s="2351">
        <f t="shared" si="155"/>
        <v>0</v>
      </c>
      <c r="AJ377" s="2351">
        <f t="shared" si="155"/>
        <v>0</v>
      </c>
      <c r="AK377" s="2351">
        <f t="shared" si="155"/>
        <v>0</v>
      </c>
      <c r="AL377" s="2351">
        <f t="shared" si="155"/>
        <v>0</v>
      </c>
      <c r="AM377" s="2351">
        <f t="shared" si="155"/>
        <v>0</v>
      </c>
      <c r="AN377" s="2351">
        <f t="shared" si="155"/>
        <v>0</v>
      </c>
      <c r="AO377" s="2351">
        <f t="shared" si="155"/>
        <v>0</v>
      </c>
      <c r="AP377" s="2351">
        <f t="shared" si="155"/>
        <v>0</v>
      </c>
      <c r="AQ377" s="2351">
        <f t="shared" si="155"/>
        <v>0</v>
      </c>
      <c r="AR377" s="2351">
        <f t="shared" si="155"/>
        <v>0</v>
      </c>
      <c r="AS377" s="2351">
        <f t="shared" si="155"/>
        <v>0</v>
      </c>
      <c r="AT377" s="2351">
        <f t="shared" si="155"/>
        <v>0</v>
      </c>
      <c r="AU377" s="2351">
        <f t="shared" si="155"/>
        <v>0</v>
      </c>
      <c r="AV377" s="2351">
        <f t="shared" si="155"/>
        <v>0</v>
      </c>
      <c r="AW377" s="2351">
        <f t="shared" si="155"/>
        <v>0</v>
      </c>
      <c r="AX377" s="2351">
        <f t="shared" si="155"/>
        <v>0</v>
      </c>
      <c r="AY377" s="2351">
        <f t="shared" si="155"/>
        <v>0</v>
      </c>
      <c r="AZ377" s="2351">
        <f t="shared" si="155"/>
        <v>0</v>
      </c>
      <c r="BA377" s="2351">
        <f>BA376-AP376</f>
        <v>0</v>
      </c>
      <c r="BB377" s="2351">
        <f>BB376-BA376</f>
        <v>0</v>
      </c>
      <c r="BC377" s="2308"/>
      <c r="BD377" s="2208"/>
    </row>
    <row r="378" spans="1:101" s="2334" customFormat="1" ht="16.5" hidden="1" customHeight="1" outlineLevel="2">
      <c r="A378" s="2219"/>
      <c r="B378" s="2348"/>
      <c r="C378" s="2356"/>
      <c r="D378" s="2350"/>
      <c r="E378" s="2351"/>
      <c r="F378" s="2351"/>
      <c r="G378" s="2351"/>
      <c r="H378" s="2351"/>
      <c r="I378" s="2351"/>
      <c r="J378" s="2336"/>
      <c r="K378" s="2336"/>
      <c r="L378" s="2336"/>
      <c r="M378" s="2336"/>
      <c r="N378" s="2336"/>
      <c r="O378" s="2336"/>
      <c r="P378" s="2336"/>
      <c r="Q378" s="2336"/>
      <c r="R378" s="2336"/>
      <c r="S378" s="2336"/>
      <c r="T378" s="2336"/>
      <c r="U378" s="2336"/>
      <c r="V378" s="2336"/>
      <c r="W378" s="2336"/>
      <c r="X378" s="2336"/>
      <c r="Y378" s="2336"/>
      <c r="Z378" s="2336"/>
      <c r="AA378" s="2336"/>
      <c r="AB378" s="2336"/>
      <c r="AC378" s="2336"/>
      <c r="AD378" s="2336"/>
      <c r="AE378" s="2337"/>
      <c r="AF378" s="2336"/>
      <c r="AG378" s="2336"/>
      <c r="AH378" s="2336"/>
      <c r="AI378" s="2336"/>
      <c r="AJ378" s="2336"/>
      <c r="AK378" s="2336"/>
      <c r="AL378" s="2336"/>
      <c r="AM378" s="2336"/>
      <c r="AN378" s="2336"/>
      <c r="AO378" s="2336"/>
      <c r="AP378" s="2336"/>
      <c r="AQ378" s="2336"/>
      <c r="AR378" s="2336"/>
      <c r="AS378" s="2336"/>
      <c r="AT378" s="2336"/>
      <c r="AU378" s="2336"/>
      <c r="AV378" s="2336"/>
      <c r="AW378" s="2336"/>
      <c r="AX378" s="2336"/>
      <c r="AY378" s="2336"/>
      <c r="AZ378" s="2336"/>
      <c r="BA378" s="2336"/>
      <c r="BB378" s="2336"/>
      <c r="BC378" s="2308"/>
      <c r="BD378" s="2333"/>
    </row>
    <row r="379" spans="1:101" ht="43.5" hidden="1" customHeight="1" outlineLevel="1">
      <c r="B379" s="6123"/>
      <c r="C379" s="6123"/>
      <c r="D379" s="6123"/>
      <c r="E379" s="2223"/>
      <c r="F379" s="2223"/>
      <c r="G379" s="2223"/>
      <c r="H379" s="2223"/>
      <c r="I379" s="2223"/>
      <c r="J379" s="2223"/>
      <c r="K379" s="2223"/>
      <c r="L379" s="2223"/>
      <c r="M379" s="2223"/>
      <c r="N379" s="2223"/>
      <c r="O379" s="2223"/>
      <c r="P379" s="2223"/>
      <c r="Q379" s="2223"/>
      <c r="R379" s="2223"/>
      <c r="S379" s="2223"/>
      <c r="T379" s="2223"/>
      <c r="U379" s="2223"/>
      <c r="V379" s="2223"/>
      <c r="W379" s="2223"/>
      <c r="X379" s="2223"/>
      <c r="Y379" s="2223"/>
      <c r="Z379" s="2223"/>
      <c r="AA379" s="2223"/>
      <c r="AB379" s="2223"/>
      <c r="AC379" s="2223"/>
      <c r="AD379" s="2223"/>
      <c r="AE379" s="2223"/>
      <c r="AF379" s="2223"/>
      <c r="AG379" s="2223"/>
      <c r="AH379" s="2223"/>
      <c r="AI379" s="2223"/>
      <c r="AJ379" s="2223"/>
      <c r="AK379" s="2223"/>
      <c r="AL379" s="2223"/>
      <c r="AM379" s="2223"/>
      <c r="AN379" s="2223"/>
      <c r="AO379" s="2223"/>
      <c r="AP379" s="2223"/>
      <c r="AQ379" s="2223"/>
      <c r="AR379" s="2223"/>
      <c r="AS379" s="2223"/>
      <c r="AT379" s="2223"/>
      <c r="AU379" s="2223"/>
      <c r="AV379" s="2223"/>
      <c r="AW379" s="2223"/>
      <c r="AX379" s="2223"/>
      <c r="AY379" s="2223"/>
      <c r="AZ379" s="2223"/>
      <c r="BA379" s="2223"/>
      <c r="BB379" s="2223"/>
      <c r="BC379" s="2223"/>
    </row>
    <row r="380" spans="1:101" s="2218" customFormat="1" hidden="1" outlineLevel="1">
      <c r="A380" s="2219"/>
      <c r="B380" s="2219"/>
      <c r="C380" s="2219"/>
      <c r="D380" s="2222"/>
      <c r="E380" s="2223"/>
      <c r="F380" s="2223"/>
      <c r="G380" s="2223"/>
      <c r="H380" s="2223"/>
      <c r="I380" s="2223"/>
      <c r="J380" s="2223"/>
      <c r="K380" s="2223"/>
      <c r="L380" s="2223"/>
      <c r="M380" s="2223"/>
      <c r="N380" s="2223"/>
      <c r="O380" s="2223"/>
      <c r="P380" s="2223"/>
      <c r="Q380" s="2223"/>
      <c r="R380" s="2223"/>
      <c r="S380" s="2223"/>
      <c r="T380" s="2223"/>
      <c r="U380" s="2223"/>
      <c r="V380" s="2223"/>
      <c r="W380" s="2223"/>
      <c r="X380" s="2223"/>
      <c r="Y380" s="2223"/>
      <c r="Z380" s="2223"/>
      <c r="AA380" s="2223"/>
      <c r="AB380" s="2223"/>
      <c r="AC380" s="2223"/>
      <c r="AD380" s="2223"/>
      <c r="AE380" s="2223"/>
      <c r="AF380" s="2223"/>
      <c r="AG380" s="2223"/>
      <c r="AH380" s="2223"/>
      <c r="AI380" s="2223"/>
      <c r="AJ380" s="2223"/>
      <c r="AK380" s="2223"/>
      <c r="AL380" s="2223"/>
      <c r="AM380" s="2223"/>
      <c r="AN380" s="2223"/>
      <c r="AO380" s="2223"/>
      <c r="AP380" s="2223"/>
      <c r="AQ380" s="2223"/>
      <c r="AR380" s="2223"/>
      <c r="AS380" s="2223"/>
      <c r="AT380" s="2223"/>
      <c r="AU380" s="2223"/>
      <c r="AV380" s="2223"/>
      <c r="AW380" s="2223"/>
      <c r="AX380" s="2223"/>
      <c r="AY380" s="2223"/>
      <c r="AZ380" s="2223"/>
      <c r="BA380" s="2223"/>
      <c r="BB380" s="2223"/>
      <c r="BC380" s="2223"/>
      <c r="BE380" s="2219"/>
      <c r="BF380" s="2219"/>
      <c r="BG380" s="2219"/>
      <c r="BH380" s="2219"/>
      <c r="BI380" s="2219"/>
      <c r="BJ380" s="2219"/>
      <c r="BK380" s="2219"/>
      <c r="BL380" s="2219"/>
      <c r="BM380" s="2219"/>
      <c r="BN380" s="2219"/>
      <c r="BO380" s="2219"/>
      <c r="BP380" s="2219"/>
      <c r="BQ380" s="2219"/>
      <c r="BR380" s="2219"/>
      <c r="BS380" s="2219"/>
      <c r="BT380" s="2219"/>
      <c r="BU380" s="2219"/>
      <c r="BV380" s="2219"/>
      <c r="BW380" s="2219"/>
      <c r="BX380" s="2219"/>
      <c r="BY380" s="2219"/>
      <c r="BZ380" s="2219"/>
      <c r="CA380" s="2219"/>
      <c r="CB380" s="2219"/>
      <c r="CC380" s="2219"/>
      <c r="CD380" s="2219"/>
      <c r="CE380" s="2219"/>
      <c r="CF380" s="2219"/>
      <c r="CG380" s="2219"/>
      <c r="CH380" s="2219"/>
      <c r="CI380" s="2219"/>
      <c r="CJ380" s="2219"/>
      <c r="CK380" s="2219"/>
      <c r="CL380" s="2219"/>
      <c r="CM380" s="2219"/>
      <c r="CN380" s="2219"/>
      <c r="CO380" s="2219"/>
      <c r="CP380" s="2219"/>
      <c r="CQ380" s="2219"/>
      <c r="CR380" s="2219"/>
      <c r="CS380" s="2219"/>
      <c r="CT380" s="2219"/>
      <c r="CU380" s="2219"/>
      <c r="CV380" s="2219"/>
      <c r="CW380" s="2219"/>
    </row>
    <row r="381" spans="1:101" s="2218" customFormat="1" collapsed="1">
      <c r="A381" s="2219"/>
      <c r="B381" s="2418"/>
      <c r="C381" s="2419"/>
      <c r="D381" s="2420"/>
      <c r="E381" s="2421">
        <f>E272</f>
        <v>43038</v>
      </c>
      <c r="F381" s="2421">
        <f t="shared" ref="F381:AO381" si="156">F272</f>
        <v>43068</v>
      </c>
      <c r="G381" s="2421">
        <f t="shared" si="156"/>
        <v>43098</v>
      </c>
      <c r="H381" s="2421">
        <f t="shared" si="156"/>
        <v>43128</v>
      </c>
      <c r="I381" s="2421">
        <f t="shared" si="156"/>
        <v>43158</v>
      </c>
      <c r="J381" s="2421">
        <f t="shared" si="156"/>
        <v>43188</v>
      </c>
      <c r="K381" s="2421">
        <f t="shared" si="156"/>
        <v>43218</v>
      </c>
      <c r="L381" s="2421">
        <f t="shared" si="156"/>
        <v>43248</v>
      </c>
      <c r="M381" s="2421">
        <f t="shared" si="156"/>
        <v>43278</v>
      </c>
      <c r="N381" s="2421">
        <f t="shared" si="156"/>
        <v>43308</v>
      </c>
      <c r="O381" s="2421">
        <f t="shared" si="156"/>
        <v>43338</v>
      </c>
      <c r="P381" s="2421">
        <f t="shared" si="156"/>
        <v>43368</v>
      </c>
      <c r="Q381" s="2421">
        <f t="shared" si="156"/>
        <v>43398</v>
      </c>
      <c r="R381" s="2421">
        <f t="shared" si="156"/>
        <v>43428</v>
      </c>
      <c r="S381" s="2421">
        <f t="shared" si="156"/>
        <v>43458</v>
      </c>
      <c r="T381" s="2421">
        <f t="shared" si="156"/>
        <v>43488</v>
      </c>
      <c r="U381" s="2421">
        <f t="shared" si="156"/>
        <v>43518</v>
      </c>
      <c r="V381" s="2421">
        <f t="shared" si="156"/>
        <v>43548</v>
      </c>
      <c r="W381" s="2421">
        <f t="shared" si="156"/>
        <v>43578</v>
      </c>
      <c r="X381" s="2421">
        <f t="shared" si="156"/>
        <v>43608</v>
      </c>
      <c r="Y381" s="2421">
        <f t="shared" si="156"/>
        <v>43638</v>
      </c>
      <c r="Z381" s="2421">
        <f t="shared" si="156"/>
        <v>43668</v>
      </c>
      <c r="AA381" s="2421">
        <f t="shared" si="156"/>
        <v>43698</v>
      </c>
      <c r="AB381" s="2421">
        <f t="shared" si="156"/>
        <v>43728</v>
      </c>
      <c r="AC381" s="2421">
        <f t="shared" si="156"/>
        <v>43758</v>
      </c>
      <c r="AD381" s="2421">
        <f t="shared" si="156"/>
        <v>43788</v>
      </c>
      <c r="AE381" s="2421">
        <f t="shared" si="156"/>
        <v>43818</v>
      </c>
      <c r="AF381" s="2421">
        <f t="shared" si="156"/>
        <v>43848</v>
      </c>
      <c r="AG381" s="2421">
        <f t="shared" si="156"/>
        <v>43878</v>
      </c>
      <c r="AH381" s="2421">
        <f t="shared" si="156"/>
        <v>43908</v>
      </c>
      <c r="AI381" s="2421">
        <f t="shared" si="156"/>
        <v>43938</v>
      </c>
      <c r="AJ381" s="2421">
        <f t="shared" si="156"/>
        <v>43968</v>
      </c>
      <c r="AK381" s="2421">
        <f t="shared" si="156"/>
        <v>43998</v>
      </c>
      <c r="AL381" s="2421">
        <f t="shared" si="156"/>
        <v>44028</v>
      </c>
      <c r="AM381" s="2421">
        <f t="shared" si="156"/>
        <v>44058</v>
      </c>
      <c r="AN381" s="2421">
        <f t="shared" si="156"/>
        <v>44088</v>
      </c>
      <c r="AO381" s="2434">
        <f t="shared" si="156"/>
        <v>44118</v>
      </c>
      <c r="AP381" s="2435">
        <f>AO381</f>
        <v>44118</v>
      </c>
      <c r="AQ381" s="2421">
        <f t="shared" ref="AQ381:AY381" si="157">AQ272</f>
        <v>44178</v>
      </c>
      <c r="AR381" s="2421">
        <f t="shared" si="157"/>
        <v>44208</v>
      </c>
      <c r="AS381" s="2421">
        <f t="shared" si="157"/>
        <v>44238</v>
      </c>
      <c r="AT381" s="2421">
        <f t="shared" si="157"/>
        <v>44268</v>
      </c>
      <c r="AU381" s="2421">
        <f t="shared" si="157"/>
        <v>44298</v>
      </c>
      <c r="AV381" s="2421">
        <f t="shared" si="157"/>
        <v>44328</v>
      </c>
      <c r="AW381" s="2421">
        <f t="shared" si="157"/>
        <v>44358</v>
      </c>
      <c r="AX381" s="2421">
        <f t="shared" si="157"/>
        <v>44388</v>
      </c>
      <c r="AY381" s="2434">
        <f t="shared" si="157"/>
        <v>44418</v>
      </c>
      <c r="AZ381" s="2435">
        <f>AY381</f>
        <v>44418</v>
      </c>
      <c r="BA381" s="2435">
        <f>AP381</f>
        <v>44118</v>
      </c>
      <c r="BB381" s="2435"/>
      <c r="BC381" s="2435"/>
      <c r="BE381" s="2219"/>
      <c r="BF381" s="2219"/>
      <c r="BG381" s="2219"/>
      <c r="BH381" s="2219"/>
      <c r="BI381" s="2219"/>
      <c r="BJ381" s="2219"/>
      <c r="BK381" s="2219"/>
      <c r="BL381" s="2219"/>
      <c r="BM381" s="2219"/>
      <c r="BN381" s="2219"/>
      <c r="BO381" s="2219"/>
      <c r="BP381" s="2219"/>
      <c r="BQ381" s="2219"/>
      <c r="BR381" s="2219"/>
      <c r="BS381" s="2219"/>
      <c r="BT381" s="2219"/>
      <c r="BU381" s="2219"/>
      <c r="BV381" s="2219"/>
      <c r="BW381" s="2219"/>
      <c r="BX381" s="2219"/>
      <c r="BY381" s="2219"/>
      <c r="BZ381" s="2219"/>
      <c r="CA381" s="2219"/>
      <c r="CB381" s="2219"/>
      <c r="CC381" s="2219"/>
      <c r="CD381" s="2219"/>
      <c r="CE381" s="2219"/>
      <c r="CF381" s="2219"/>
      <c r="CG381" s="2219"/>
      <c r="CH381" s="2219"/>
      <c r="CI381" s="2219"/>
      <c r="CJ381" s="2219"/>
      <c r="CK381" s="2219"/>
      <c r="CL381" s="2219"/>
      <c r="CM381" s="2219"/>
      <c r="CN381" s="2219"/>
      <c r="CO381" s="2219"/>
      <c r="CP381" s="2219"/>
      <c r="CQ381" s="2219"/>
      <c r="CR381" s="2219"/>
      <c r="CS381" s="2219"/>
      <c r="CT381" s="2219"/>
      <c r="CU381" s="2219"/>
      <c r="CV381" s="2219"/>
      <c r="CW381" s="2219"/>
    </row>
    <row r="382" spans="1:101" s="2218" customFormat="1" ht="23.25">
      <c r="A382" s="2219"/>
      <c r="B382" s="2422"/>
      <c r="C382" s="2423" t="s">
        <v>1945</v>
      </c>
      <c r="D382" s="2424"/>
      <c r="E382" s="2425">
        <f t="shared" ref="E382:Y382" si="158">E52-E167</f>
        <v>0</v>
      </c>
      <c r="F382" s="2425">
        <f t="shared" si="158"/>
        <v>-379</v>
      </c>
      <c r="G382" s="2425">
        <f t="shared" si="158"/>
        <v>-377.82000000006519</v>
      </c>
      <c r="H382" s="2425">
        <f t="shared" si="158"/>
        <v>-378.81999999983236</v>
      </c>
      <c r="I382" s="2425">
        <f t="shared" si="158"/>
        <v>138319.89999999991</v>
      </c>
      <c r="J382" s="2425">
        <f t="shared" si="158"/>
        <v>0.17999999970197678</v>
      </c>
      <c r="K382" s="2425">
        <f t="shared" si="158"/>
        <v>-41106.820000000298</v>
      </c>
      <c r="L382" s="2425">
        <f t="shared" si="158"/>
        <v>483416.24000000022</v>
      </c>
      <c r="M382" s="2425">
        <f t="shared" si="158"/>
        <v>2316480.83</v>
      </c>
      <c r="N382" s="2425">
        <f t="shared" si="158"/>
        <v>966180.08999999985</v>
      </c>
      <c r="O382" s="2425">
        <f t="shared" si="158"/>
        <v>4952559.5300000012</v>
      </c>
      <c r="P382" s="2425">
        <f t="shared" si="158"/>
        <v>8762337.1799999997</v>
      </c>
      <c r="Q382" s="2425">
        <f t="shared" si="158"/>
        <v>13281795.82</v>
      </c>
      <c r="R382" s="2425">
        <f t="shared" si="158"/>
        <v>17281530.060000002</v>
      </c>
      <c r="S382" s="2425">
        <f t="shared" si="158"/>
        <v>21956218.130000003</v>
      </c>
      <c r="T382" s="2425">
        <f t="shared" si="158"/>
        <v>24768824.880000003</v>
      </c>
      <c r="U382" s="2425">
        <f t="shared" si="158"/>
        <v>24319347.600000001</v>
      </c>
      <c r="V382" s="2425">
        <f t="shared" si="158"/>
        <v>25815211.950000003</v>
      </c>
      <c r="W382" s="2425">
        <f t="shared" si="158"/>
        <v>28230075.340000004</v>
      </c>
      <c r="X382" s="2425">
        <f t="shared" si="158"/>
        <v>29930607.020000011</v>
      </c>
      <c r="Y382" s="2425">
        <f t="shared" si="158"/>
        <v>31491492.090000004</v>
      </c>
      <c r="Z382" s="2425">
        <f>Z52-Z167</f>
        <v>33549079.629999995</v>
      </c>
      <c r="AA382" s="2426"/>
      <c r="AB382" s="2426"/>
      <c r="AC382" s="2426"/>
      <c r="AD382" s="2426"/>
      <c r="AE382" s="2426"/>
      <c r="AF382" s="2426"/>
      <c r="AG382" s="2426"/>
      <c r="AH382" s="2426"/>
      <c r="AI382" s="2426"/>
      <c r="AJ382" s="2426"/>
      <c r="AK382" s="2426"/>
      <c r="AL382" s="2426"/>
      <c r="AM382" s="2426"/>
      <c r="AN382" s="2426"/>
      <c r="AO382" s="2436"/>
      <c r="AP382" s="2435">
        <f>AO382</f>
        <v>0</v>
      </c>
      <c r="AQ382" s="2426"/>
      <c r="AR382" s="2426"/>
      <c r="AS382" s="2426"/>
      <c r="AT382" s="2426"/>
      <c r="AU382" s="2426"/>
      <c r="AV382" s="2426"/>
      <c r="AW382" s="2426"/>
      <c r="AX382" s="2426"/>
      <c r="AY382" s="2436"/>
      <c r="AZ382" s="2435">
        <f>AY382</f>
        <v>0</v>
      </c>
      <c r="BA382" s="2435">
        <f>AP382</f>
        <v>0</v>
      </c>
      <c r="BB382" s="2435"/>
      <c r="BC382" s="2435"/>
      <c r="BE382" s="2219"/>
      <c r="BF382" s="2219"/>
      <c r="BG382" s="2219"/>
      <c r="BH382" s="2219"/>
      <c r="BI382" s="2219"/>
      <c r="BJ382" s="2219"/>
      <c r="BK382" s="2219"/>
      <c r="BL382" s="2219"/>
      <c r="BM382" s="2219"/>
      <c r="BN382" s="2219"/>
      <c r="BO382" s="2219"/>
      <c r="BP382" s="2219"/>
      <c r="BQ382" s="2219"/>
      <c r="BR382" s="2219"/>
      <c r="BS382" s="2219"/>
      <c r="BT382" s="2219"/>
      <c r="BU382" s="2219"/>
      <c r="BV382" s="2219"/>
      <c r="BW382" s="2219"/>
      <c r="BX382" s="2219"/>
      <c r="BY382" s="2219"/>
      <c r="BZ382" s="2219"/>
      <c r="CA382" s="2219"/>
      <c r="CB382" s="2219"/>
      <c r="CC382" s="2219"/>
      <c r="CD382" s="2219"/>
      <c r="CE382" s="2219"/>
      <c r="CF382" s="2219"/>
      <c r="CG382" s="2219"/>
      <c r="CH382" s="2219"/>
      <c r="CI382" s="2219"/>
      <c r="CJ382" s="2219"/>
      <c r="CK382" s="2219"/>
      <c r="CL382" s="2219"/>
      <c r="CM382" s="2219"/>
      <c r="CN382" s="2219"/>
      <c r="CO382" s="2219"/>
      <c r="CP382" s="2219"/>
      <c r="CQ382" s="2219"/>
      <c r="CR382" s="2219"/>
      <c r="CS382" s="2219"/>
      <c r="CT382" s="2219"/>
      <c r="CU382" s="2219"/>
      <c r="CV382" s="2219"/>
      <c r="CW382" s="2219"/>
    </row>
    <row r="383" spans="1:101" s="2218" customFormat="1">
      <c r="A383" s="2219"/>
      <c r="B383" s="2427"/>
      <c r="C383" s="2428"/>
      <c r="D383" s="2429"/>
      <c r="E383" s="2430">
        <f>E382/E52</f>
        <v>0</v>
      </c>
      <c r="F383" s="2430">
        <f>F382/F52</f>
        <v>-4.8088025193557471E-4</v>
      </c>
      <c r="G383" s="2430">
        <f t="shared" ref="G383:Z383" si="159">G382/G52</f>
        <v>-2.761527194267797E-4</v>
      </c>
      <c r="H383" s="2430">
        <f t="shared" si="159"/>
        <v>-1.5737884172289674E-4</v>
      </c>
      <c r="I383" s="2430">
        <f t="shared" si="159"/>
        <v>3.3134840356405786E-2</v>
      </c>
      <c r="J383" s="2430">
        <f t="shared" si="159"/>
        <v>2.9624246013889292E-8</v>
      </c>
      <c r="K383" s="2430">
        <f t="shared" si="159"/>
        <v>-4.3989151998825755E-3</v>
      </c>
      <c r="L383" s="2430">
        <f t="shared" si="159"/>
        <v>3.5927653323021655E-2</v>
      </c>
      <c r="M383" s="2430">
        <f t="shared" si="159"/>
        <v>0.137533285527282</v>
      </c>
      <c r="N383" s="2430">
        <f t="shared" si="159"/>
        <v>3.810520732468009E-2</v>
      </c>
      <c r="O383" s="2430">
        <f t="shared" si="159"/>
        <v>0.14988996287131787</v>
      </c>
      <c r="P383" s="2430">
        <f t="shared" si="159"/>
        <v>0.22342504295386423</v>
      </c>
      <c r="Q383" s="2430">
        <f t="shared" si="159"/>
        <v>0.28006751540110347</v>
      </c>
      <c r="R383" s="2430">
        <f t="shared" si="159"/>
        <v>0.31077406407877978</v>
      </c>
      <c r="S383" s="2430">
        <f t="shared" si="159"/>
        <v>0.34543697689575698</v>
      </c>
      <c r="T383" s="2430">
        <f t="shared" si="159"/>
        <v>0.35113117276812134</v>
      </c>
      <c r="U383" s="2430">
        <f t="shared" si="159"/>
        <v>0.31591597911204161</v>
      </c>
      <c r="V383" s="2430">
        <f t="shared" si="159"/>
        <v>0.30632552748965142</v>
      </c>
      <c r="W383" s="2430">
        <f t="shared" si="159"/>
        <v>0.30824038047178037</v>
      </c>
      <c r="X383" s="2430">
        <f t="shared" si="159"/>
        <v>0.30360908225359967</v>
      </c>
      <c r="Y383" s="2430">
        <f t="shared" si="159"/>
        <v>0.29529140720964869</v>
      </c>
      <c r="Z383" s="2430">
        <f t="shared" si="159"/>
        <v>0.28977324030242924</v>
      </c>
      <c r="AA383" s="2431"/>
      <c r="AB383" s="2431"/>
      <c r="AC383" s="2431"/>
      <c r="AD383" s="2431"/>
      <c r="AE383" s="2431"/>
      <c r="AF383" s="2431"/>
      <c r="AG383" s="2431"/>
      <c r="AH383" s="2431"/>
      <c r="AI383" s="2431"/>
      <c r="AJ383" s="2431"/>
      <c r="AK383" s="2431"/>
      <c r="AL383" s="2431"/>
      <c r="AM383" s="2431"/>
      <c r="AN383" s="2431"/>
      <c r="AO383" s="2437"/>
      <c r="AP383" s="2435"/>
      <c r="AQ383" s="2431"/>
      <c r="AR383" s="2431"/>
      <c r="AS383" s="2431"/>
      <c r="AT383" s="2431"/>
      <c r="AU383" s="2431"/>
      <c r="AV383" s="2431"/>
      <c r="AW383" s="2431"/>
      <c r="AX383" s="2431"/>
      <c r="AY383" s="2437"/>
      <c r="AZ383" s="2435"/>
      <c r="BA383" s="2435"/>
      <c r="BB383" s="2435"/>
      <c r="BC383" s="2435"/>
      <c r="BE383" s="2219"/>
      <c r="BF383" s="2219"/>
      <c r="BG383" s="2219"/>
      <c r="BH383" s="2219"/>
      <c r="BI383" s="2219"/>
      <c r="BJ383" s="2219"/>
      <c r="BK383" s="2219"/>
      <c r="BL383" s="2219"/>
      <c r="BM383" s="2219"/>
      <c r="BN383" s="2219"/>
      <c r="BO383" s="2219"/>
      <c r="BP383" s="2219"/>
      <c r="BQ383" s="2219"/>
      <c r="BR383" s="2219"/>
      <c r="BS383" s="2219"/>
      <c r="BT383" s="2219"/>
      <c r="BU383" s="2219"/>
      <c r="BV383" s="2219"/>
      <c r="BW383" s="2219"/>
      <c r="BX383" s="2219"/>
      <c r="BY383" s="2219"/>
      <c r="BZ383" s="2219"/>
      <c r="CA383" s="2219"/>
      <c r="CB383" s="2219"/>
      <c r="CC383" s="2219"/>
      <c r="CD383" s="2219"/>
      <c r="CE383" s="2219"/>
      <c r="CF383" s="2219"/>
      <c r="CG383" s="2219"/>
      <c r="CH383" s="2219"/>
      <c r="CI383" s="2219"/>
      <c r="CJ383" s="2219"/>
      <c r="CK383" s="2219"/>
      <c r="CL383" s="2219"/>
      <c r="CM383" s="2219"/>
      <c r="CN383" s="2219"/>
      <c r="CO383" s="2219"/>
      <c r="CP383" s="2219"/>
      <c r="CQ383" s="2219"/>
      <c r="CR383" s="2219"/>
      <c r="CS383" s="2219"/>
      <c r="CT383" s="2219"/>
      <c r="CU383" s="2219"/>
      <c r="CV383" s="2219"/>
      <c r="CW383" s="2219"/>
    </row>
    <row r="384" spans="1:101" s="2218" customFormat="1">
      <c r="A384" s="2219"/>
      <c r="B384" s="2219"/>
      <c r="C384" s="2219"/>
      <c r="D384" s="2222"/>
      <c r="E384" s="2223"/>
      <c r="F384" s="2223"/>
      <c r="G384" s="2223"/>
      <c r="H384" s="2223"/>
      <c r="I384" s="2223"/>
      <c r="J384" s="2223"/>
      <c r="K384" s="2223"/>
      <c r="L384" s="2223"/>
      <c r="M384" s="2223"/>
      <c r="N384" s="2223"/>
      <c r="O384" s="2223"/>
      <c r="P384" s="2223"/>
      <c r="Q384" s="2223"/>
      <c r="R384" s="2223"/>
      <c r="S384" s="2223"/>
      <c r="T384" s="2223"/>
      <c r="U384" s="2223"/>
      <c r="V384" s="2223"/>
      <c r="W384" s="2223"/>
      <c r="X384" s="2223"/>
      <c r="Y384" s="2223"/>
      <c r="Z384" s="2223"/>
      <c r="AA384" s="2223"/>
      <c r="AB384" s="2223"/>
      <c r="AC384" s="2223"/>
      <c r="AD384" s="2223"/>
      <c r="AE384" s="2223"/>
      <c r="AF384" s="2223"/>
      <c r="AG384" s="2223"/>
      <c r="AH384" s="2223"/>
      <c r="AI384" s="2223"/>
      <c r="AJ384" s="2223"/>
      <c r="AK384" s="2223"/>
      <c r="AL384" s="2223"/>
      <c r="AM384" s="2223"/>
      <c r="AN384" s="2223"/>
      <c r="AO384" s="2223"/>
      <c r="AP384" s="2223"/>
      <c r="AQ384" s="2223"/>
      <c r="AR384" s="2223"/>
      <c r="AS384" s="2223"/>
      <c r="AT384" s="2223"/>
      <c r="AU384" s="2223"/>
      <c r="AV384" s="2223"/>
      <c r="AW384" s="2223"/>
      <c r="AX384" s="2223"/>
      <c r="AY384" s="2223"/>
      <c r="AZ384" s="2223"/>
      <c r="BA384" s="2223"/>
      <c r="BB384" s="2223"/>
      <c r="BC384" s="2223"/>
      <c r="BE384" s="2219"/>
      <c r="BF384" s="2219"/>
      <c r="BG384" s="2219"/>
      <c r="BH384" s="2219"/>
      <c r="BI384" s="2219"/>
      <c r="BJ384" s="2219"/>
      <c r="BK384" s="2219"/>
      <c r="BL384" s="2219"/>
      <c r="BM384" s="2219"/>
      <c r="BN384" s="2219"/>
      <c r="BO384" s="2219"/>
      <c r="BP384" s="2219"/>
      <c r="BQ384" s="2219"/>
      <c r="BR384" s="2219"/>
      <c r="BS384" s="2219"/>
      <c r="BT384" s="2219"/>
      <c r="BU384" s="2219"/>
      <c r="BV384" s="2219"/>
      <c r="BW384" s="2219"/>
      <c r="BX384" s="2219"/>
      <c r="BY384" s="2219"/>
      <c r="BZ384" s="2219"/>
      <c r="CA384" s="2219"/>
      <c r="CB384" s="2219"/>
      <c r="CC384" s="2219"/>
      <c r="CD384" s="2219"/>
      <c r="CE384" s="2219"/>
      <c r="CF384" s="2219"/>
      <c r="CG384" s="2219"/>
      <c r="CH384" s="2219"/>
      <c r="CI384" s="2219"/>
      <c r="CJ384" s="2219"/>
      <c r="CK384" s="2219"/>
      <c r="CL384" s="2219"/>
      <c r="CM384" s="2219"/>
      <c r="CN384" s="2219"/>
      <c r="CO384" s="2219"/>
      <c r="CP384" s="2219"/>
      <c r="CQ384" s="2219"/>
      <c r="CR384" s="2219"/>
      <c r="CS384" s="2219"/>
      <c r="CT384" s="2219"/>
      <c r="CU384" s="2219"/>
      <c r="CV384" s="2219"/>
      <c r="CW384" s="2219"/>
    </row>
    <row r="385" spans="1:101" s="2218" customFormat="1">
      <c r="A385" s="2219"/>
      <c r="B385" s="2219"/>
      <c r="C385" s="2219"/>
      <c r="D385" s="2222"/>
      <c r="E385" s="2223"/>
      <c r="F385" s="2223"/>
      <c r="G385" s="2223"/>
      <c r="H385" s="2223"/>
      <c r="I385" s="2223"/>
      <c r="J385" s="2223"/>
      <c r="K385" s="2223"/>
      <c r="L385" s="2223"/>
      <c r="M385" s="2223"/>
      <c r="N385" s="2223"/>
      <c r="O385" s="2223"/>
      <c r="P385" s="2223"/>
      <c r="Q385" s="2223"/>
      <c r="R385" s="2223"/>
      <c r="S385" s="2223"/>
      <c r="T385" s="2223"/>
      <c r="U385" s="2223">
        <f t="shared" ref="U385:Z385" si="160">U164-U276</f>
        <v>-1.6000000014901161</v>
      </c>
      <c r="V385" s="2223">
        <f t="shared" si="160"/>
        <v>-1.9500000029802322</v>
      </c>
      <c r="W385" s="2223">
        <f t="shared" si="160"/>
        <v>-5.3400000035762787</v>
      </c>
      <c r="X385" s="2223">
        <f t="shared" si="160"/>
        <v>-1299715.0200000107</v>
      </c>
      <c r="Y385" s="2223">
        <f t="shared" si="160"/>
        <v>-3761086.0900000036</v>
      </c>
      <c r="Z385" s="2223">
        <f t="shared" si="160"/>
        <v>-6810246.6299999952</v>
      </c>
      <c r="AA385" s="2223"/>
      <c r="AB385" s="2223"/>
      <c r="AC385" s="2223"/>
      <c r="AD385" s="2223"/>
      <c r="AE385" s="2223"/>
      <c r="AF385" s="2223"/>
      <c r="AG385" s="2223"/>
      <c r="AH385" s="2223"/>
      <c r="AI385" s="2223"/>
      <c r="AJ385" s="2223"/>
      <c r="AK385" s="2223"/>
      <c r="AL385" s="2223"/>
      <c r="AM385" s="2223"/>
      <c r="AN385" s="2223"/>
      <c r="AO385" s="2223"/>
      <c r="AP385" s="2223"/>
      <c r="AQ385" s="2223"/>
      <c r="AR385" s="2223"/>
      <c r="AS385" s="2223"/>
      <c r="AT385" s="2223"/>
      <c r="AU385" s="2223"/>
      <c r="AV385" s="2223"/>
      <c r="AW385" s="2223"/>
      <c r="AX385" s="2223"/>
      <c r="AY385" s="2223"/>
      <c r="AZ385" s="2223"/>
      <c r="BA385" s="2223"/>
      <c r="BB385" s="2223"/>
      <c r="BC385" s="2223"/>
      <c r="BE385" s="2219"/>
      <c r="BF385" s="2219"/>
      <c r="BG385" s="2219"/>
      <c r="BH385" s="2219"/>
      <c r="BI385" s="2219"/>
      <c r="BJ385" s="2219"/>
      <c r="BK385" s="2219"/>
      <c r="BL385" s="2219"/>
      <c r="BM385" s="2219"/>
      <c r="BN385" s="2219"/>
      <c r="BO385" s="2219"/>
      <c r="BP385" s="2219"/>
      <c r="BQ385" s="2219"/>
      <c r="BR385" s="2219"/>
      <c r="BS385" s="2219"/>
      <c r="BT385" s="2219"/>
      <c r="BU385" s="2219"/>
      <c r="BV385" s="2219"/>
      <c r="BW385" s="2219"/>
      <c r="BX385" s="2219"/>
      <c r="BY385" s="2219"/>
      <c r="BZ385" s="2219"/>
      <c r="CA385" s="2219"/>
      <c r="CB385" s="2219"/>
      <c r="CC385" s="2219"/>
      <c r="CD385" s="2219"/>
      <c r="CE385" s="2219"/>
      <c r="CF385" s="2219"/>
      <c r="CG385" s="2219"/>
      <c r="CH385" s="2219"/>
      <c r="CI385" s="2219"/>
      <c r="CJ385" s="2219"/>
      <c r="CK385" s="2219"/>
      <c r="CL385" s="2219"/>
      <c r="CM385" s="2219"/>
      <c r="CN385" s="2219"/>
      <c r="CO385" s="2219"/>
      <c r="CP385" s="2219"/>
      <c r="CQ385" s="2219"/>
      <c r="CR385" s="2219"/>
      <c r="CS385" s="2219"/>
      <c r="CT385" s="2219"/>
      <c r="CU385" s="2219"/>
      <c r="CV385" s="2219"/>
      <c r="CW385" s="2219"/>
    </row>
    <row r="386" spans="1:101" s="2218" customFormat="1">
      <c r="A386" s="2219"/>
      <c r="B386" s="2219"/>
      <c r="C386" s="2219"/>
      <c r="D386" s="2222"/>
      <c r="E386" s="2223"/>
      <c r="F386" s="2223"/>
      <c r="G386" s="2223"/>
      <c r="H386" s="2223"/>
      <c r="I386" s="2223"/>
      <c r="J386" s="2223"/>
      <c r="K386" s="2223"/>
      <c r="L386" s="2223"/>
      <c r="M386" s="2223"/>
      <c r="N386" s="2223"/>
      <c r="O386" s="2223"/>
      <c r="P386" s="2223"/>
      <c r="Q386" s="2223"/>
      <c r="R386" s="2223"/>
      <c r="S386" s="2223"/>
      <c r="T386" s="2223"/>
      <c r="U386" s="2223"/>
      <c r="V386" s="2223"/>
      <c r="W386" s="2223"/>
      <c r="X386" s="2223"/>
      <c r="Y386" s="2223"/>
      <c r="Z386" s="2223"/>
      <c r="AA386" s="2223"/>
      <c r="AB386" s="2223"/>
      <c r="AC386" s="2223"/>
      <c r="AD386" s="2223"/>
      <c r="AE386" s="2223"/>
      <c r="AF386" s="2223"/>
      <c r="AG386" s="2223"/>
      <c r="AH386" s="2223"/>
      <c r="AI386" s="2223"/>
      <c r="AJ386" s="2223"/>
      <c r="AK386" s="2223"/>
      <c r="AL386" s="2223"/>
      <c r="AM386" s="2223"/>
      <c r="AN386" s="2223"/>
      <c r="AO386" s="2223"/>
      <c r="AP386" s="2223"/>
      <c r="AQ386" s="2223"/>
      <c r="AR386" s="2223"/>
      <c r="AS386" s="2223"/>
      <c r="AT386" s="2223"/>
      <c r="AU386" s="2223"/>
      <c r="AV386" s="2223"/>
      <c r="AW386" s="2223"/>
      <c r="AX386" s="2223"/>
      <c r="AY386" s="2223"/>
      <c r="AZ386" s="2223"/>
      <c r="BA386" s="2223"/>
      <c r="BB386" s="2223"/>
      <c r="BC386" s="2223"/>
      <c r="BE386" s="2219"/>
      <c r="BF386" s="2219"/>
      <c r="BG386" s="2219"/>
      <c r="BH386" s="2219"/>
      <c r="BI386" s="2219"/>
      <c r="BJ386" s="2219"/>
      <c r="BK386" s="2219"/>
      <c r="BL386" s="2219"/>
      <c r="BM386" s="2219"/>
      <c r="BN386" s="2219"/>
      <c r="BO386" s="2219"/>
      <c r="BP386" s="2219"/>
      <c r="BQ386" s="2219"/>
      <c r="BR386" s="2219"/>
      <c r="BS386" s="2219"/>
      <c r="BT386" s="2219"/>
      <c r="BU386" s="2219"/>
      <c r="BV386" s="2219"/>
      <c r="BW386" s="2219"/>
      <c r="BX386" s="2219"/>
      <c r="BY386" s="2219"/>
      <c r="BZ386" s="2219"/>
      <c r="CA386" s="2219"/>
      <c r="CB386" s="2219"/>
      <c r="CC386" s="2219"/>
      <c r="CD386" s="2219"/>
      <c r="CE386" s="2219"/>
      <c r="CF386" s="2219"/>
      <c r="CG386" s="2219"/>
      <c r="CH386" s="2219"/>
      <c r="CI386" s="2219"/>
      <c r="CJ386" s="2219"/>
      <c r="CK386" s="2219"/>
      <c r="CL386" s="2219"/>
      <c r="CM386" s="2219"/>
      <c r="CN386" s="2219"/>
      <c r="CO386" s="2219"/>
      <c r="CP386" s="2219"/>
      <c r="CQ386" s="2219"/>
      <c r="CR386" s="2219"/>
      <c r="CS386" s="2219"/>
      <c r="CT386" s="2219"/>
      <c r="CU386" s="2219"/>
      <c r="CV386" s="2219"/>
      <c r="CW386" s="2219"/>
    </row>
    <row r="387" spans="1:101" s="2218" customFormat="1">
      <c r="A387" s="2219"/>
      <c r="B387" s="2219"/>
      <c r="C387" s="2219"/>
      <c r="D387" s="2222"/>
      <c r="E387" s="2223"/>
      <c r="F387" s="2223"/>
      <c r="G387" s="2223"/>
      <c r="H387" s="2223"/>
      <c r="I387" s="2223"/>
      <c r="J387" s="2223"/>
      <c r="K387" s="2223"/>
      <c r="L387" s="2223"/>
      <c r="M387" s="2223"/>
      <c r="N387" s="2223"/>
      <c r="O387" s="2223">
        <f>O164-O273</f>
        <v>1.4699999988079071</v>
      </c>
      <c r="P387" s="2223">
        <f>P273-P164</f>
        <v>0.17999999970197678</v>
      </c>
      <c r="Q387" s="2223"/>
      <c r="R387" s="2223">
        <f>R167-R273</f>
        <v>1.9399999976158142</v>
      </c>
      <c r="S387" s="2223">
        <f>S167-S273</f>
        <v>1.869999997317791</v>
      </c>
      <c r="T387" s="2223">
        <f>T167-T273</f>
        <v>2.119999997317791</v>
      </c>
      <c r="U387" s="2223"/>
      <c r="V387" s="2223"/>
      <c r="W387" s="2223"/>
      <c r="X387" s="2223"/>
      <c r="Y387" s="2223"/>
      <c r="Z387" s="2223"/>
      <c r="AA387" s="2223"/>
      <c r="AB387" s="2223"/>
      <c r="AC387" s="2223"/>
      <c r="AD387" s="2223"/>
      <c r="AE387" s="2223"/>
      <c r="AF387" s="2223"/>
      <c r="AG387" s="2223"/>
      <c r="AH387" s="2223"/>
      <c r="AI387" s="2223"/>
      <c r="AJ387" s="2223"/>
      <c r="AK387" s="2223"/>
      <c r="AL387" s="2223"/>
      <c r="AM387" s="2223"/>
      <c r="AN387" s="2223"/>
      <c r="AO387" s="2223"/>
      <c r="AP387" s="2223"/>
      <c r="AQ387" s="2223"/>
      <c r="AR387" s="2223"/>
      <c r="AS387" s="2223"/>
      <c r="AT387" s="2223"/>
      <c r="AU387" s="2223"/>
      <c r="AV387" s="2223"/>
      <c r="AW387" s="2223"/>
      <c r="AX387" s="2223"/>
      <c r="AY387" s="2223"/>
      <c r="AZ387" s="2223"/>
      <c r="BA387" s="2223"/>
      <c r="BB387" s="2223"/>
      <c r="BC387" s="2223"/>
      <c r="BE387" s="2219"/>
      <c r="BF387" s="2219"/>
      <c r="BG387" s="2219"/>
      <c r="BH387" s="2219"/>
      <c r="BI387" s="2219"/>
      <c r="BJ387" s="2219"/>
      <c r="BK387" s="2219"/>
      <c r="BL387" s="2219"/>
      <c r="BM387" s="2219"/>
      <c r="BN387" s="2219"/>
      <c r="BO387" s="2219"/>
      <c r="BP387" s="2219"/>
      <c r="BQ387" s="2219"/>
      <c r="BR387" s="2219"/>
      <c r="BS387" s="2219"/>
      <c r="BT387" s="2219"/>
      <c r="BU387" s="2219"/>
      <c r="BV387" s="2219"/>
      <c r="BW387" s="2219"/>
      <c r="BX387" s="2219"/>
      <c r="BY387" s="2219"/>
      <c r="BZ387" s="2219"/>
      <c r="CA387" s="2219"/>
      <c r="CB387" s="2219"/>
      <c r="CC387" s="2219"/>
      <c r="CD387" s="2219"/>
      <c r="CE387" s="2219"/>
      <c r="CF387" s="2219"/>
      <c r="CG387" s="2219"/>
      <c r="CH387" s="2219"/>
      <c r="CI387" s="2219"/>
      <c r="CJ387" s="2219"/>
      <c r="CK387" s="2219"/>
      <c r="CL387" s="2219"/>
      <c r="CM387" s="2219"/>
      <c r="CN387" s="2219"/>
      <c r="CO387" s="2219"/>
      <c r="CP387" s="2219"/>
      <c r="CQ387" s="2219"/>
      <c r="CR387" s="2219"/>
      <c r="CS387" s="2219"/>
      <c r="CT387" s="2219"/>
      <c r="CU387" s="2219"/>
      <c r="CV387" s="2219"/>
      <c r="CW387" s="2219"/>
    </row>
    <row r="395" spans="1:101">
      <c r="D395" s="2363">
        <v>252931.25020694823</v>
      </c>
    </row>
    <row r="396" spans="1:101">
      <c r="D396" s="2363">
        <v>788516.97020694823</v>
      </c>
    </row>
    <row r="397" spans="1:101">
      <c r="D397" s="2222">
        <v>788516.97020694823</v>
      </c>
    </row>
    <row r="398" spans="1:101">
      <c r="D398" s="2363">
        <v>2277623.0925000901</v>
      </c>
    </row>
    <row r="399" spans="1:101">
      <c r="D399" s="2363">
        <v>4036135.1</v>
      </c>
    </row>
    <row r="400" spans="1:101">
      <c r="D400" s="2363">
        <v>6076103.2724854825</v>
      </c>
    </row>
    <row r="401" spans="4:4">
      <c r="D401" s="2363">
        <v>9385869.2724854834</v>
      </c>
    </row>
    <row r="402" spans="4:4">
      <c r="D402" s="2363">
        <v>12971852.832485484</v>
      </c>
    </row>
    <row r="403" spans="4:4">
      <c r="D403" s="2363">
        <v>14526575.262485484</v>
      </c>
    </row>
    <row r="404" spans="4:4">
      <c r="D404" s="2363">
        <v>20915077.258593146</v>
      </c>
    </row>
    <row r="405" spans="4:4">
      <c r="D405" s="2363">
        <v>24421339.657001987</v>
      </c>
    </row>
    <row r="406" spans="4:4">
      <c r="D406" s="2363">
        <v>29209181.117148802</v>
      </c>
    </row>
    <row r="407" spans="4:4">
      <c r="D407" s="2363">
        <v>36616260.597347587</v>
      </c>
    </row>
    <row r="408" spans="4:4">
      <c r="D408" s="2363">
        <v>42510856.606996104</v>
      </c>
    </row>
    <row r="409" spans="4:4">
      <c r="D409" s="2363">
        <v>48020387.591903225</v>
      </c>
    </row>
    <row r="410" spans="4:4">
      <c r="D410" s="2363">
        <v>53766977.530725956</v>
      </c>
    </row>
    <row r="411" spans="4:4">
      <c r="D411" s="2363">
        <v>60445052.030196108</v>
      </c>
    </row>
    <row r="412" spans="4:4">
      <c r="D412" s="2363">
        <v>66342450.389164403</v>
      </c>
    </row>
    <row r="413" spans="4:4">
      <c r="D413" s="2363">
        <v>75960822.24976258</v>
      </c>
    </row>
    <row r="414" spans="4:4">
      <c r="D414" s="2363">
        <v>84832751.567705199</v>
      </c>
    </row>
    <row r="415" spans="4:4">
      <c r="D415" s="2363">
        <v>94982360.679937497</v>
      </c>
    </row>
    <row r="416" spans="4:4">
      <c r="D416" s="2363">
        <v>105519178.21360222</v>
      </c>
    </row>
    <row r="417" spans="4:4">
      <c r="D417" s="2363">
        <v>116536895.5888854</v>
      </c>
    </row>
    <row r="418" spans="4:4">
      <c r="D418" s="2363">
        <v>129001325.94869085</v>
      </c>
    </row>
    <row r="419" spans="4:4">
      <c r="D419" s="2363">
        <v>144166583.87140104</v>
      </c>
    </row>
    <row r="420" spans="4:4">
      <c r="D420" s="2363">
        <v>159387817.86399174</v>
      </c>
    </row>
    <row r="421" spans="4:4">
      <c r="D421" s="2363">
        <v>173157267.42612293</v>
      </c>
    </row>
    <row r="422" spans="4:4">
      <c r="D422" s="2363">
        <v>186266325.97049257</v>
      </c>
    </row>
    <row r="423" spans="4:4">
      <c r="D423" s="2363">
        <v>199576551.22883624</v>
      </c>
    </row>
    <row r="424" spans="4:4">
      <c r="D424" s="2363">
        <v>213928409.63241103</v>
      </c>
    </row>
    <row r="425" spans="4:4">
      <c r="D425" s="2363">
        <v>228842447.77755839</v>
      </c>
    </row>
    <row r="426" spans="4:4">
      <c r="D426" s="2363">
        <v>243617547.78476623</v>
      </c>
    </row>
    <row r="427" spans="4:4">
      <c r="D427" s="2363">
        <v>256918028.63692671</v>
      </c>
    </row>
    <row r="428" spans="4:4">
      <c r="D428" s="2363">
        <v>269439194.73096108</v>
      </c>
    </row>
    <row r="429" spans="4:4">
      <c r="D429" s="2363">
        <v>281286430.87021953</v>
      </c>
    </row>
    <row r="430" spans="4:4">
      <c r="D430" s="2363">
        <v>292253424.16771555</v>
      </c>
    </row>
    <row r="431" spans="4:4">
      <c r="D431" s="2363">
        <v>303529689.38225359</v>
      </c>
    </row>
    <row r="432" spans="4:4">
      <c r="D432" s="2363">
        <v>314016521.77920657</v>
      </c>
    </row>
    <row r="433" spans="4:4">
      <c r="D433" s="2363">
        <v>324132215.03563923</v>
      </c>
    </row>
    <row r="434" spans="4:4">
      <c r="D434" s="2363">
        <v>331302918.56440496</v>
      </c>
    </row>
    <row r="435" spans="4:4">
      <c r="D435" s="2363">
        <v>338210251.75492352</v>
      </c>
    </row>
    <row r="436" spans="4:4">
      <c r="D436" s="2363">
        <v>344901568.32066953</v>
      </c>
    </row>
    <row r="437" spans="4:4">
      <c r="D437" s="2363">
        <v>350048492.9903717</v>
      </c>
    </row>
    <row r="438" spans="4:4">
      <c r="D438" s="2363">
        <v>353112131.14838433</v>
      </c>
    </row>
    <row r="439" spans="4:4">
      <c r="D439" s="2363">
        <v>354816856.11699909</v>
      </c>
    </row>
    <row r="547" spans="1:90" s="2230" customFormat="1" ht="15.75" thickBot="1">
      <c r="A547" s="2364"/>
      <c r="B547" s="2365"/>
      <c r="C547" s="2365"/>
      <c r="D547" s="2366"/>
      <c r="E547" s="2367"/>
      <c r="F547" s="2367"/>
      <c r="G547" s="2367"/>
      <c r="H547" s="2367"/>
      <c r="I547" s="2367"/>
      <c r="J547" s="2367"/>
      <c r="K547" s="2367"/>
      <c r="L547" s="2367"/>
      <c r="M547" s="2367"/>
      <c r="N547" s="2367"/>
      <c r="O547" s="2367"/>
      <c r="P547" s="2367"/>
      <c r="Q547" s="2367"/>
      <c r="R547" s="2367"/>
      <c r="S547" s="2367"/>
      <c r="T547" s="2367"/>
      <c r="U547" s="2367"/>
      <c r="V547" s="2367"/>
      <c r="W547" s="2367"/>
      <c r="X547" s="2367"/>
      <c r="Y547" s="2367"/>
      <c r="Z547" s="2367"/>
      <c r="AA547" s="2367"/>
      <c r="AB547" s="2367"/>
      <c r="AC547" s="2367"/>
      <c r="AD547" s="2367"/>
      <c r="AE547" s="2367"/>
      <c r="AF547" s="2367"/>
      <c r="AG547" s="2367"/>
      <c r="AH547" s="2367"/>
      <c r="AI547" s="2367"/>
      <c r="AJ547" s="2367"/>
      <c r="AK547" s="2367"/>
      <c r="AL547" s="2367"/>
      <c r="AM547" s="2367"/>
      <c r="AN547" s="2367"/>
      <c r="AO547" s="2367"/>
      <c r="AP547" s="2367"/>
      <c r="AQ547" s="2367"/>
      <c r="AR547" s="2367"/>
      <c r="AS547" s="2367"/>
      <c r="AT547" s="2367"/>
      <c r="AU547" s="2367"/>
      <c r="AV547" s="2367"/>
      <c r="AW547" s="2367"/>
      <c r="AX547" s="2367"/>
      <c r="AY547" s="2367"/>
      <c r="AZ547" s="2367"/>
      <c r="BA547" s="2367"/>
      <c r="BB547" s="2367"/>
      <c r="BC547" s="2368"/>
      <c r="BD547" s="2218"/>
      <c r="BE547" s="2219"/>
      <c r="BF547" s="2219"/>
      <c r="BG547" s="2219"/>
      <c r="BH547" s="2219"/>
      <c r="BI547" s="2219"/>
      <c r="BJ547" s="2219"/>
      <c r="BK547" s="2219"/>
      <c r="BL547" s="2219"/>
      <c r="BM547" s="2219"/>
      <c r="BN547" s="2219"/>
      <c r="BO547" s="2219"/>
      <c r="BP547" s="2219"/>
      <c r="BQ547" s="2219"/>
      <c r="BR547" s="2219"/>
      <c r="BS547" s="2219"/>
      <c r="BT547" s="2219"/>
      <c r="BU547" s="2219"/>
      <c r="BV547" s="2219"/>
      <c r="BW547" s="2219"/>
      <c r="BX547" s="2219"/>
      <c r="BY547" s="2219"/>
      <c r="BZ547" s="2219"/>
      <c r="CA547" s="2219"/>
      <c r="CB547" s="2219"/>
      <c r="CC547" s="2219"/>
      <c r="CD547" s="2219"/>
      <c r="CE547" s="2219"/>
      <c r="CF547" s="2219"/>
      <c r="CG547" s="2219"/>
      <c r="CH547" s="2219"/>
      <c r="CI547" s="2219"/>
      <c r="CJ547" s="2219"/>
      <c r="CK547" s="2219"/>
      <c r="CL547" s="2219"/>
    </row>
  </sheetData>
  <mergeCells count="16">
    <mergeCell ref="BC50:BC51"/>
    <mergeCell ref="BC12:BC13"/>
    <mergeCell ref="B15:Q15"/>
    <mergeCell ref="C16:N16"/>
    <mergeCell ref="B17:Q17"/>
    <mergeCell ref="C19:D34"/>
    <mergeCell ref="BC271:BC272"/>
    <mergeCell ref="D273:D274"/>
    <mergeCell ref="BC273:BC274"/>
    <mergeCell ref="B379:D379"/>
    <mergeCell ref="D52:D53"/>
    <mergeCell ref="BC52:BC53"/>
    <mergeCell ref="BC160:BC161"/>
    <mergeCell ref="BC162:BC163"/>
    <mergeCell ref="D164:D165"/>
    <mergeCell ref="BC164:BC165"/>
  </mergeCells>
  <printOptions horizontalCentered="1"/>
  <pageMargins left="0.19685039370078741" right="0.19685039370078741" top="0.35433070866141736" bottom="0.39370078740157483" header="0.31496062992125984" footer="7.874015748031496E-2"/>
  <pageSetup paperSize="8" scale="28" orientation="landscape" r:id="rId1"/>
  <headerFooter>
    <oddFooter>&amp;LQUEENS PLACE STAGE 1&amp;C&amp;A&amp;R&amp;P of &amp;N
&amp;D</oddFooter>
  </headerFooter>
  <colBreaks count="3" manualBreakCount="3">
    <brk id="13" max="382" man="1"/>
    <brk id="15" max="382" man="1"/>
    <brk id="20" max="382" man="1"/>
  </colBreaks>
  <drawing r:id="rId2"/>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28">
    <tabColor rgb="FFFF0000"/>
    <pageSetUpPr fitToPage="1"/>
  </sheetPr>
  <dimension ref="A1:CW566"/>
  <sheetViews>
    <sheetView view="pageBreakPreview" zoomScale="50" zoomScaleNormal="70" zoomScaleSheetLayoutView="50" workbookViewId="0">
      <pane xSplit="4" ySplit="13" topLeftCell="E44" activePane="bottomRight" state="frozen"/>
      <selection pane="topRight" activeCell="A22" sqref="A22:I22"/>
      <selection pane="bottomLeft" activeCell="A22" sqref="A22:I22"/>
      <selection pane="bottomRight" activeCell="E59" sqref="E59"/>
    </sheetView>
  </sheetViews>
  <sheetFormatPr defaultColWidth="9" defaultRowHeight="15" outlineLevelRow="3"/>
  <cols>
    <col min="1" max="1" width="1" style="431" customWidth="1"/>
    <col min="2" max="2" width="14.5703125" style="431" customWidth="1"/>
    <col min="3" max="3" width="40" style="431" customWidth="1"/>
    <col min="4" max="4" width="24" style="434" bestFit="1" customWidth="1"/>
    <col min="5" max="11" width="18.85546875" style="430" customWidth="1"/>
    <col min="12" max="13" width="19.85546875" style="430" customWidth="1"/>
    <col min="14" max="14" width="20.5703125" style="430" customWidth="1"/>
    <col min="15" max="15" width="19.5703125" style="430" customWidth="1"/>
    <col min="16" max="16" width="19.85546875" style="430" customWidth="1"/>
    <col min="17" max="17" width="20" style="430" customWidth="1"/>
    <col min="18" max="25" width="17" style="430" customWidth="1"/>
    <col min="26" max="30" width="22" style="430" customWidth="1"/>
    <col min="31" max="31" width="24" style="430" customWidth="1"/>
    <col min="32" max="32" width="22" style="430" customWidth="1"/>
    <col min="33" max="34" width="17" style="430" customWidth="1"/>
    <col min="35" max="35" width="18" style="430" customWidth="1"/>
    <col min="36" max="36" width="19" style="430" customWidth="1"/>
    <col min="37" max="37" width="18.85546875" style="430" customWidth="1"/>
    <col min="38" max="38" width="19.85546875" style="430" customWidth="1"/>
    <col min="39" max="39" width="19.5703125" style="430" customWidth="1"/>
    <col min="40" max="40" width="19" style="430" customWidth="1"/>
    <col min="41" max="41" width="20" style="430" customWidth="1"/>
    <col min="42" max="42" width="19" style="430" customWidth="1"/>
    <col min="43" max="44" width="17" style="430" customWidth="1"/>
    <col min="45" max="45" width="18" style="430" customWidth="1"/>
    <col min="46" max="46" width="19" style="430" customWidth="1"/>
    <col min="47" max="47" width="18.85546875" style="430" customWidth="1"/>
    <col min="48" max="48" width="19.85546875" style="430" customWidth="1"/>
    <col min="49" max="49" width="19.5703125" style="430" customWidth="1"/>
    <col min="50" max="50" width="19" style="430" customWidth="1"/>
    <col min="51" max="51" width="20" style="430" customWidth="1"/>
    <col min="52" max="52" width="19" style="430" customWidth="1"/>
    <col min="53" max="53" width="18.85546875" style="430" customWidth="1"/>
    <col min="54" max="54" width="19" style="430" customWidth="1"/>
    <col min="55" max="55" width="23.85546875" style="430" bestFit="1" customWidth="1"/>
    <col min="56" max="56" width="23.42578125" style="430" customWidth="1"/>
    <col min="57" max="57" width="20" style="431" customWidth="1"/>
    <col min="58" max="16384" width="9" style="431"/>
  </cols>
  <sheetData>
    <row r="1" spans="1:56" s="131" customFormat="1" ht="14.25">
      <c r="A1" s="149"/>
      <c r="D1" s="149"/>
      <c r="E1" s="148"/>
      <c r="F1" s="148"/>
      <c r="G1" s="148"/>
      <c r="H1" s="148"/>
      <c r="I1" s="148"/>
      <c r="J1" s="148"/>
      <c r="K1" s="148"/>
      <c r="L1" s="148"/>
      <c r="M1" s="149"/>
      <c r="N1" s="148"/>
      <c r="O1" s="148"/>
      <c r="P1" s="148"/>
      <c r="Q1" s="148"/>
      <c r="R1" s="148"/>
      <c r="S1" s="149"/>
      <c r="T1" s="149"/>
      <c r="U1" s="149"/>
      <c r="V1" s="148"/>
      <c r="W1" s="148"/>
      <c r="X1" s="148"/>
      <c r="Y1" s="149"/>
      <c r="Z1" s="149"/>
      <c r="AA1" s="149"/>
      <c r="AB1" s="148"/>
      <c r="AC1" s="149"/>
    </row>
    <row r="2" spans="1:56" s="131" customFormat="1" ht="14.25">
      <c r="A2" s="149"/>
      <c r="D2" s="149"/>
      <c r="E2" s="148"/>
      <c r="F2" s="148"/>
      <c r="G2" s="148"/>
      <c r="H2" s="148"/>
      <c r="I2" s="148"/>
      <c r="J2" s="148"/>
      <c r="K2" s="148"/>
      <c r="L2" s="148"/>
      <c r="M2" s="149"/>
      <c r="N2" s="148"/>
      <c r="O2" s="148"/>
      <c r="P2" s="148"/>
      <c r="Q2" s="148"/>
      <c r="R2" s="148"/>
      <c r="S2" s="149"/>
      <c r="T2" s="149"/>
      <c r="U2" s="149"/>
      <c r="V2" s="148"/>
      <c r="W2" s="148"/>
      <c r="X2" s="148"/>
      <c r="Y2" s="149"/>
      <c r="Z2" s="149"/>
      <c r="AA2" s="149"/>
      <c r="AB2" s="148"/>
      <c r="AC2" s="149"/>
    </row>
    <row r="3" spans="1:56" s="131" customFormat="1" ht="14.25">
      <c r="A3" s="149"/>
      <c r="D3" s="149"/>
      <c r="E3" s="148"/>
      <c r="F3" s="148"/>
      <c r="G3" s="148"/>
      <c r="H3" s="148"/>
      <c r="I3" s="148"/>
      <c r="J3" s="148"/>
      <c r="K3" s="148"/>
      <c r="L3" s="148"/>
      <c r="M3" s="149"/>
      <c r="N3" s="148"/>
      <c r="O3" s="148"/>
      <c r="P3" s="148"/>
      <c r="Q3" s="148"/>
      <c r="R3" s="148"/>
      <c r="S3" s="149"/>
      <c r="T3" s="149"/>
      <c r="U3" s="149"/>
      <c r="V3" s="148"/>
      <c r="W3" s="148"/>
      <c r="X3" s="148"/>
      <c r="Y3" s="149"/>
      <c r="Z3" s="149"/>
      <c r="AA3" s="149"/>
      <c r="AB3" s="148"/>
      <c r="AC3" s="149"/>
    </row>
    <row r="4" spans="1:56" s="131" customFormat="1" ht="14.25">
      <c r="A4" s="149"/>
      <c r="D4" s="149"/>
      <c r="E4" s="148"/>
      <c r="F4" s="148"/>
      <c r="G4" s="148"/>
      <c r="H4" s="148"/>
      <c r="I4" s="148"/>
      <c r="J4" s="148"/>
      <c r="K4" s="148"/>
      <c r="L4" s="148"/>
      <c r="M4" s="149"/>
      <c r="N4" s="148"/>
      <c r="O4" s="148"/>
      <c r="P4" s="148"/>
      <c r="Q4" s="148"/>
      <c r="R4" s="148"/>
      <c r="S4" s="149"/>
      <c r="T4" s="149"/>
      <c r="U4" s="149"/>
      <c r="V4" s="148"/>
      <c r="W4" s="148"/>
      <c r="X4" s="148"/>
      <c r="Y4" s="149"/>
      <c r="Z4" s="149"/>
      <c r="AA4" s="149"/>
      <c r="AB4" s="148"/>
      <c r="AC4" s="149"/>
    </row>
    <row r="5" spans="1:56" s="7" customFormat="1" ht="12.75">
      <c r="A5" s="6"/>
      <c r="B5" s="11"/>
      <c r="C5" s="6"/>
      <c r="D5" s="6"/>
      <c r="E5" s="6"/>
      <c r="F5" s="6"/>
      <c r="G5" s="6"/>
      <c r="H5" s="6"/>
      <c r="I5" s="6"/>
    </row>
    <row r="6" spans="1:56" s="12" customFormat="1">
      <c r="A6" s="541"/>
      <c r="B6" s="2193"/>
      <c r="C6" s="542"/>
      <c r="D6" s="2193"/>
      <c r="E6" s="2193"/>
      <c r="F6" s="2193"/>
      <c r="G6" s="2193"/>
      <c r="H6" s="2193"/>
      <c r="I6" s="151"/>
      <c r="J6" s="2193"/>
      <c r="K6" s="2193"/>
      <c r="L6" s="2193"/>
      <c r="M6" s="2193"/>
      <c r="N6" s="2193"/>
      <c r="O6" s="2193"/>
      <c r="P6" s="2193"/>
      <c r="Q6" s="2193"/>
      <c r="R6" s="2193"/>
      <c r="S6" s="2193"/>
      <c r="T6" s="2193"/>
      <c r="U6" s="2193"/>
      <c r="V6" s="2193"/>
      <c r="W6" s="2193"/>
      <c r="X6" s="2193"/>
      <c r="Y6" s="2193"/>
      <c r="Z6" s="2193"/>
      <c r="AA6" s="2193"/>
      <c r="AB6" s="2193"/>
      <c r="AC6" s="2193"/>
      <c r="AD6" s="2193"/>
      <c r="AE6" s="2193"/>
      <c r="AF6" s="2193"/>
      <c r="AG6" s="2193"/>
      <c r="AH6" s="2193"/>
      <c r="AI6" s="2193"/>
      <c r="AJ6" s="2193"/>
      <c r="AK6" s="2193"/>
      <c r="AL6" s="2193"/>
      <c r="AM6" s="2193"/>
      <c r="AN6" s="2193"/>
      <c r="AO6" s="2193"/>
      <c r="AP6" s="2193"/>
      <c r="AQ6" s="2193"/>
      <c r="AR6" s="2193"/>
      <c r="AS6" s="2193"/>
      <c r="AT6" s="2193"/>
      <c r="AU6" s="2193"/>
      <c r="AV6" s="2193"/>
      <c r="AW6" s="2193"/>
      <c r="AX6" s="2193"/>
      <c r="AY6" s="2193"/>
      <c r="AZ6" s="2193"/>
      <c r="BA6" s="2193"/>
      <c r="BB6" s="2193"/>
      <c r="BC6" s="2193"/>
      <c r="BD6" s="2193"/>
    </row>
    <row r="7" spans="1:56" s="12" customFormat="1">
      <c r="A7" s="2"/>
      <c r="B7" s="541" t="e">
        <f>#REF!</f>
        <v>#REF!</v>
      </c>
      <c r="C7" s="543" t="e">
        <f>#REF!</f>
        <v>#REF!</v>
      </c>
      <c r="D7" s="2193"/>
      <c r="E7" s="2193"/>
      <c r="F7" s="2193"/>
      <c r="G7" s="2193"/>
      <c r="H7" s="2193"/>
      <c r="I7" s="2195"/>
      <c r="J7" s="2193"/>
      <c r="K7" s="2193"/>
      <c r="L7" s="2193"/>
      <c r="M7" s="2193"/>
      <c r="N7" s="2193"/>
      <c r="O7" s="2193"/>
      <c r="P7" s="2193"/>
      <c r="Q7" s="2193"/>
      <c r="R7" s="2193"/>
      <c r="S7" s="2193"/>
      <c r="T7" s="2193"/>
      <c r="U7" s="2193"/>
      <c r="V7" s="2193"/>
      <c r="W7" s="2193"/>
      <c r="X7" s="2193"/>
      <c r="Y7" s="2193"/>
      <c r="Z7" s="2193"/>
      <c r="AA7" s="2193"/>
      <c r="AB7" s="2193"/>
      <c r="AC7" s="2193"/>
      <c r="AD7" s="2193"/>
      <c r="AE7" s="2193"/>
      <c r="AF7" s="2193"/>
      <c r="AG7" s="2193"/>
      <c r="AH7" s="2193"/>
      <c r="AI7" s="2193"/>
      <c r="AJ7" s="2193"/>
      <c r="AK7" s="2193"/>
      <c r="AL7" s="2193"/>
      <c r="AM7" s="2193"/>
      <c r="AN7" s="2193"/>
      <c r="AO7" s="2193"/>
      <c r="AP7" s="2193"/>
      <c r="AQ7" s="2193"/>
      <c r="AR7" s="2193"/>
      <c r="AS7" s="2193"/>
      <c r="AT7" s="2193"/>
      <c r="AU7" s="2193"/>
      <c r="AV7" s="2193"/>
      <c r="AW7" s="2193"/>
      <c r="AX7" s="2193"/>
      <c r="AY7" s="2193"/>
      <c r="AZ7" s="2193"/>
      <c r="BA7" s="2193"/>
      <c r="BB7" s="2193"/>
      <c r="BC7" s="547" t="e">
        <f>#REF!</f>
        <v>#REF!</v>
      </c>
      <c r="BD7" s="2193"/>
    </row>
    <row r="8" spans="1:56" s="12" customFormat="1">
      <c r="A8" s="13"/>
      <c r="B8" s="541" t="e">
        <f>#REF!</f>
        <v>#REF!</v>
      </c>
      <c r="C8" s="544" t="e">
        <f>#REF!</f>
        <v>#REF!</v>
      </c>
      <c r="D8" s="2193"/>
      <c r="E8" s="2193"/>
      <c r="F8" s="2193"/>
      <c r="G8" s="2193"/>
      <c r="H8" s="2193"/>
      <c r="I8" s="2193"/>
      <c r="J8" s="2193"/>
      <c r="K8" s="2193"/>
      <c r="L8" s="2193"/>
      <c r="M8" s="2193"/>
      <c r="N8" s="2193"/>
      <c r="O8" s="2193"/>
      <c r="P8" s="2193"/>
      <c r="Q8" s="2193"/>
      <c r="R8" s="2193"/>
      <c r="S8" s="2193"/>
      <c r="T8" s="2193"/>
      <c r="U8" s="2193"/>
      <c r="V8" s="2193"/>
      <c r="W8" s="2193"/>
      <c r="X8" s="2193"/>
      <c r="Y8" s="2193"/>
      <c r="Z8" s="2193"/>
      <c r="AA8" s="2193"/>
      <c r="AB8" s="152"/>
      <c r="AC8" s="2193"/>
      <c r="AD8" s="2193"/>
      <c r="AE8" s="2193"/>
      <c r="AF8" s="2193"/>
      <c r="AG8" s="2193"/>
      <c r="AH8" s="2193"/>
      <c r="AI8" s="2193"/>
      <c r="AJ8" s="2193"/>
      <c r="AK8" s="2193"/>
      <c r="AL8" s="2193"/>
      <c r="AM8" s="2193"/>
      <c r="AN8" s="2193"/>
      <c r="AO8" s="2193"/>
      <c r="AP8" s="2193"/>
      <c r="AQ8" s="2193"/>
      <c r="AR8" s="2193"/>
      <c r="AS8" s="2193"/>
      <c r="AT8" s="2193"/>
      <c r="AU8" s="2193"/>
      <c r="AV8" s="2193"/>
      <c r="AW8" s="2193"/>
      <c r="AX8" s="2193"/>
      <c r="AY8" s="2193"/>
      <c r="AZ8" s="2193"/>
      <c r="BA8" s="2193"/>
      <c r="BB8" s="2193"/>
      <c r="BC8" s="548" t="e">
        <f>#REF!</f>
        <v>#REF!</v>
      </c>
      <c r="BD8" s="2193"/>
    </row>
    <row r="9" spans="1:56" s="12" customFormat="1">
      <c r="A9" s="13"/>
      <c r="B9" s="14" t="str">
        <f>Index!$A$28&amp;" - "&amp;Index!$C$27</f>
        <v xml:space="preserve">SCHEDULE I - CASH FLOW - </v>
      </c>
      <c r="C9" s="2200"/>
      <c r="D9" s="2200"/>
      <c r="E9" s="2200"/>
      <c r="F9" s="2200"/>
      <c r="G9" s="2200"/>
      <c r="H9" s="2193"/>
      <c r="I9" s="2193"/>
      <c r="J9" s="2193"/>
      <c r="K9" s="2193"/>
      <c r="L9" s="2193"/>
      <c r="M9" s="2193"/>
      <c r="N9" s="2193"/>
      <c r="O9" s="2193"/>
      <c r="P9" s="2193"/>
      <c r="Q9" s="2193"/>
      <c r="R9" s="2193"/>
      <c r="S9" s="2193"/>
      <c r="T9" s="2193"/>
      <c r="U9" s="2193"/>
      <c r="V9" s="2193"/>
      <c r="W9" s="2193"/>
      <c r="X9" s="2193"/>
      <c r="Y9" s="2193"/>
      <c r="Z9" s="2193"/>
      <c r="AA9" s="2193"/>
      <c r="AB9" s="2193"/>
      <c r="AC9" s="2193"/>
      <c r="AD9" s="2193"/>
      <c r="AE9" s="2193"/>
      <c r="AF9" s="2201"/>
      <c r="AG9" s="2193"/>
      <c r="AH9" s="2193"/>
      <c r="AI9" s="2193"/>
      <c r="AJ9" s="2193"/>
      <c r="AK9" s="2193"/>
      <c r="AL9" s="2193"/>
      <c r="AM9" s="2193"/>
      <c r="AN9" s="2193"/>
      <c r="AO9" s="2193"/>
      <c r="AP9" s="2193"/>
      <c r="AQ9" s="2193"/>
      <c r="AR9" s="2193"/>
      <c r="AS9" s="2193"/>
      <c r="AT9" s="2193"/>
      <c r="AU9" s="2193"/>
      <c r="AV9" s="2193"/>
      <c r="AW9" s="2193"/>
      <c r="AX9" s="2193"/>
      <c r="AY9" s="2193"/>
      <c r="AZ9" s="2193"/>
      <c r="BA9" s="2193"/>
      <c r="BB9" s="2193"/>
      <c r="BC9" s="2193"/>
      <c r="BD9" s="2193"/>
    </row>
    <row r="10" spans="1:56" s="12" customFormat="1">
      <c r="A10" s="14"/>
      <c r="B10" s="2785"/>
      <c r="C10" s="2200"/>
      <c r="D10" s="2200"/>
      <c r="E10" s="2200"/>
      <c r="F10" s="2200"/>
      <c r="G10" s="2200"/>
      <c r="H10" s="2200"/>
      <c r="I10" s="2200"/>
      <c r="J10" s="2193"/>
      <c r="K10" s="2193"/>
      <c r="L10" s="2193"/>
      <c r="M10" s="2193"/>
      <c r="N10" s="2193"/>
      <c r="O10" s="2193"/>
      <c r="P10" s="2193"/>
      <c r="Q10" s="2193"/>
      <c r="R10" s="2193"/>
      <c r="S10" s="2193"/>
      <c r="T10" s="2193"/>
      <c r="U10" s="2193"/>
      <c r="V10" s="2193"/>
      <c r="W10" s="2193"/>
      <c r="X10" s="2193"/>
      <c r="Y10" s="2193"/>
      <c r="Z10" s="2193"/>
      <c r="AA10" s="2193"/>
      <c r="AB10" s="2193"/>
      <c r="AC10" s="2193"/>
      <c r="AD10" s="2193"/>
      <c r="AE10" s="2193"/>
      <c r="AF10" s="2201"/>
      <c r="AG10" s="2193"/>
      <c r="AH10" s="2193"/>
      <c r="AI10" s="2193"/>
      <c r="AJ10" s="2193"/>
      <c r="AK10" s="2193"/>
      <c r="AL10" s="2193"/>
      <c r="AM10" s="2193"/>
      <c r="AN10" s="2193"/>
      <c r="AO10" s="2193"/>
      <c r="AP10" s="2193"/>
      <c r="AQ10" s="2193"/>
      <c r="AR10" s="2193"/>
      <c r="AS10" s="2193"/>
      <c r="AT10" s="2193"/>
      <c r="AU10" s="2193"/>
      <c r="AV10" s="2193"/>
      <c r="AW10" s="2193"/>
      <c r="AX10" s="2193"/>
      <c r="AY10" s="2193"/>
      <c r="AZ10" s="2193"/>
      <c r="BA10" s="2193"/>
      <c r="BB10" s="2193"/>
      <c r="BC10" s="2193"/>
      <c r="BD10" s="2193"/>
    </row>
    <row r="11" spans="1:56" s="131" customFormat="1" thickBot="1">
      <c r="A11" s="149"/>
      <c r="D11" s="149"/>
      <c r="E11" s="148"/>
      <c r="F11" s="148"/>
      <c r="G11" s="148"/>
      <c r="H11" s="148"/>
      <c r="I11" s="148"/>
      <c r="J11" s="148"/>
      <c r="K11" s="148"/>
      <c r="L11" s="148"/>
      <c r="M11" s="149"/>
      <c r="N11" s="148"/>
      <c r="O11" s="148"/>
      <c r="P11" s="148"/>
      <c r="Q11" s="148"/>
      <c r="R11" s="148"/>
      <c r="S11" s="149"/>
      <c r="T11" s="149"/>
      <c r="U11" s="149"/>
      <c r="V11" s="148"/>
      <c r="W11" s="148"/>
      <c r="X11" s="148"/>
      <c r="Y11" s="149"/>
      <c r="Z11" s="149"/>
      <c r="AA11" s="149"/>
      <c r="AB11" s="148"/>
      <c r="AC11" s="149"/>
    </row>
    <row r="12" spans="1:56" s="415" customFormat="1" ht="15" hidden="1" customHeight="1">
      <c r="B12" s="416"/>
      <c r="C12" s="417"/>
      <c r="D12" s="418"/>
      <c r="E12" s="419">
        <v>1</v>
      </c>
      <c r="F12" s="419">
        <f t="shared" ref="F12:BB12" si="0">E12+1</f>
        <v>2</v>
      </c>
      <c r="G12" s="419">
        <f t="shared" si="0"/>
        <v>3</v>
      </c>
      <c r="H12" s="419">
        <f t="shared" si="0"/>
        <v>4</v>
      </c>
      <c r="I12" s="419">
        <f t="shared" si="0"/>
        <v>5</v>
      </c>
      <c r="J12" s="419">
        <f t="shared" si="0"/>
        <v>6</v>
      </c>
      <c r="K12" s="419">
        <f t="shared" si="0"/>
        <v>7</v>
      </c>
      <c r="L12" s="419">
        <f t="shared" si="0"/>
        <v>8</v>
      </c>
      <c r="M12" s="419">
        <f t="shared" si="0"/>
        <v>9</v>
      </c>
      <c r="N12" s="419">
        <f t="shared" si="0"/>
        <v>10</v>
      </c>
      <c r="O12" s="419">
        <f t="shared" si="0"/>
        <v>11</v>
      </c>
      <c r="P12" s="419">
        <f t="shared" si="0"/>
        <v>12</v>
      </c>
      <c r="Q12" s="419">
        <f t="shared" si="0"/>
        <v>13</v>
      </c>
      <c r="R12" s="419">
        <f t="shared" si="0"/>
        <v>14</v>
      </c>
      <c r="S12" s="419">
        <f t="shared" si="0"/>
        <v>15</v>
      </c>
      <c r="T12" s="419">
        <f t="shared" si="0"/>
        <v>16</v>
      </c>
      <c r="U12" s="419">
        <f t="shared" si="0"/>
        <v>17</v>
      </c>
      <c r="V12" s="419">
        <f t="shared" si="0"/>
        <v>18</v>
      </c>
      <c r="W12" s="419">
        <f t="shared" si="0"/>
        <v>19</v>
      </c>
      <c r="X12" s="419">
        <f t="shared" si="0"/>
        <v>20</v>
      </c>
      <c r="Y12" s="419">
        <f t="shared" si="0"/>
        <v>21</v>
      </c>
      <c r="Z12" s="419">
        <f t="shared" si="0"/>
        <v>22</v>
      </c>
      <c r="AA12" s="419">
        <f t="shared" si="0"/>
        <v>23</v>
      </c>
      <c r="AB12" s="419">
        <f t="shared" si="0"/>
        <v>24</v>
      </c>
      <c r="AC12" s="419">
        <f t="shared" si="0"/>
        <v>25</v>
      </c>
      <c r="AD12" s="419">
        <f t="shared" si="0"/>
        <v>26</v>
      </c>
      <c r="AE12" s="419">
        <f t="shared" si="0"/>
        <v>27</v>
      </c>
      <c r="AF12" s="419">
        <f t="shared" si="0"/>
        <v>28</v>
      </c>
      <c r="AG12" s="419">
        <f t="shared" si="0"/>
        <v>29</v>
      </c>
      <c r="AH12" s="419">
        <f t="shared" si="0"/>
        <v>30</v>
      </c>
      <c r="AI12" s="419">
        <f t="shared" si="0"/>
        <v>31</v>
      </c>
      <c r="AJ12" s="419">
        <f t="shared" si="0"/>
        <v>32</v>
      </c>
      <c r="AK12" s="419">
        <f t="shared" si="0"/>
        <v>33</v>
      </c>
      <c r="AL12" s="419">
        <f t="shared" si="0"/>
        <v>34</v>
      </c>
      <c r="AM12" s="419">
        <f t="shared" si="0"/>
        <v>35</v>
      </c>
      <c r="AN12" s="419">
        <f t="shared" si="0"/>
        <v>36</v>
      </c>
      <c r="AO12" s="419">
        <f t="shared" si="0"/>
        <v>37</v>
      </c>
      <c r="AP12" s="419">
        <f t="shared" si="0"/>
        <v>38</v>
      </c>
      <c r="AQ12" s="419">
        <f t="shared" ref="AQ12:AZ12" si="1">AP12+1</f>
        <v>39</v>
      </c>
      <c r="AR12" s="419">
        <f t="shared" si="1"/>
        <v>40</v>
      </c>
      <c r="AS12" s="419">
        <f t="shared" si="1"/>
        <v>41</v>
      </c>
      <c r="AT12" s="419">
        <f t="shared" si="1"/>
        <v>42</v>
      </c>
      <c r="AU12" s="419">
        <f t="shared" si="1"/>
        <v>43</v>
      </c>
      <c r="AV12" s="419">
        <f t="shared" si="1"/>
        <v>44</v>
      </c>
      <c r="AW12" s="419">
        <f t="shared" si="1"/>
        <v>45</v>
      </c>
      <c r="AX12" s="419">
        <f t="shared" si="1"/>
        <v>46</v>
      </c>
      <c r="AY12" s="419">
        <f t="shared" si="1"/>
        <v>47</v>
      </c>
      <c r="AZ12" s="419">
        <f t="shared" si="1"/>
        <v>48</v>
      </c>
      <c r="BA12" s="419">
        <f>AP12+1</f>
        <v>39</v>
      </c>
      <c r="BB12" s="419">
        <f t="shared" si="0"/>
        <v>40</v>
      </c>
      <c r="BC12" s="6143" t="s">
        <v>1886</v>
      </c>
      <c r="BD12" s="420"/>
    </row>
    <row r="13" spans="1:56" s="415" customFormat="1" ht="15.75" hidden="1" thickBot="1">
      <c r="B13" s="421"/>
      <c r="C13" s="422"/>
      <c r="D13" s="423"/>
      <c r="E13" s="424">
        <v>41638</v>
      </c>
      <c r="F13" s="424">
        <f>E13+30</f>
        <v>41668</v>
      </c>
      <c r="G13" s="424">
        <f t="shared" ref="G13:BB13" si="2">F13+30</f>
        <v>41698</v>
      </c>
      <c r="H13" s="424">
        <f t="shared" si="2"/>
        <v>41728</v>
      </c>
      <c r="I13" s="424">
        <f t="shared" si="2"/>
        <v>41758</v>
      </c>
      <c r="J13" s="424">
        <f t="shared" si="2"/>
        <v>41788</v>
      </c>
      <c r="K13" s="424">
        <f t="shared" si="2"/>
        <v>41818</v>
      </c>
      <c r="L13" s="424">
        <f t="shared" si="2"/>
        <v>41848</v>
      </c>
      <c r="M13" s="424">
        <f t="shared" si="2"/>
        <v>41878</v>
      </c>
      <c r="N13" s="424">
        <f t="shared" si="2"/>
        <v>41908</v>
      </c>
      <c r="O13" s="424">
        <f t="shared" si="2"/>
        <v>41938</v>
      </c>
      <c r="P13" s="424">
        <f t="shared" si="2"/>
        <v>41968</v>
      </c>
      <c r="Q13" s="424">
        <f t="shared" si="2"/>
        <v>41998</v>
      </c>
      <c r="R13" s="424">
        <f t="shared" si="2"/>
        <v>42028</v>
      </c>
      <c r="S13" s="424">
        <f t="shared" si="2"/>
        <v>42058</v>
      </c>
      <c r="T13" s="424">
        <f t="shared" si="2"/>
        <v>42088</v>
      </c>
      <c r="U13" s="424">
        <f t="shared" si="2"/>
        <v>42118</v>
      </c>
      <c r="V13" s="424">
        <f t="shared" si="2"/>
        <v>42148</v>
      </c>
      <c r="W13" s="424">
        <f t="shared" si="2"/>
        <v>42178</v>
      </c>
      <c r="X13" s="424">
        <f t="shared" si="2"/>
        <v>42208</v>
      </c>
      <c r="Y13" s="424">
        <f t="shared" si="2"/>
        <v>42238</v>
      </c>
      <c r="Z13" s="424">
        <f t="shared" si="2"/>
        <v>42268</v>
      </c>
      <c r="AA13" s="424">
        <f t="shared" si="2"/>
        <v>42298</v>
      </c>
      <c r="AB13" s="424">
        <f t="shared" si="2"/>
        <v>42328</v>
      </c>
      <c r="AC13" s="424">
        <f t="shared" si="2"/>
        <v>42358</v>
      </c>
      <c r="AD13" s="424">
        <f t="shared" si="2"/>
        <v>42388</v>
      </c>
      <c r="AE13" s="424">
        <f t="shared" si="2"/>
        <v>42418</v>
      </c>
      <c r="AF13" s="424">
        <f t="shared" si="2"/>
        <v>42448</v>
      </c>
      <c r="AG13" s="424">
        <f t="shared" si="2"/>
        <v>42478</v>
      </c>
      <c r="AH13" s="424">
        <f t="shared" si="2"/>
        <v>42508</v>
      </c>
      <c r="AI13" s="424">
        <f t="shared" si="2"/>
        <v>42538</v>
      </c>
      <c r="AJ13" s="424">
        <f t="shared" si="2"/>
        <v>42568</v>
      </c>
      <c r="AK13" s="424">
        <f t="shared" si="2"/>
        <v>42598</v>
      </c>
      <c r="AL13" s="424">
        <f t="shared" si="2"/>
        <v>42628</v>
      </c>
      <c r="AM13" s="424">
        <f t="shared" si="2"/>
        <v>42658</v>
      </c>
      <c r="AN13" s="424">
        <f t="shared" si="2"/>
        <v>42688</v>
      </c>
      <c r="AO13" s="424">
        <f t="shared" si="2"/>
        <v>42718</v>
      </c>
      <c r="AP13" s="424">
        <f t="shared" si="2"/>
        <v>42748</v>
      </c>
      <c r="AQ13" s="424">
        <f t="shared" ref="AQ13:AZ13" si="3">AP13+30</f>
        <v>42778</v>
      </c>
      <c r="AR13" s="424">
        <f t="shared" si="3"/>
        <v>42808</v>
      </c>
      <c r="AS13" s="424">
        <f t="shared" si="3"/>
        <v>42838</v>
      </c>
      <c r="AT13" s="424">
        <f t="shared" si="3"/>
        <v>42868</v>
      </c>
      <c r="AU13" s="424">
        <f t="shared" si="3"/>
        <v>42898</v>
      </c>
      <c r="AV13" s="424">
        <f t="shared" si="3"/>
        <v>42928</v>
      </c>
      <c r="AW13" s="424">
        <f t="shared" si="3"/>
        <v>42958</v>
      </c>
      <c r="AX13" s="424">
        <f t="shared" si="3"/>
        <v>42988</v>
      </c>
      <c r="AY13" s="424">
        <f t="shared" si="3"/>
        <v>43018</v>
      </c>
      <c r="AZ13" s="424">
        <f t="shared" si="3"/>
        <v>43048</v>
      </c>
      <c r="BA13" s="424">
        <f>AP13+30</f>
        <v>42778</v>
      </c>
      <c r="BB13" s="424">
        <f t="shared" si="2"/>
        <v>42808</v>
      </c>
      <c r="BC13" s="6144"/>
      <c r="BD13" s="420"/>
    </row>
    <row r="14" spans="1:56" s="415" customFormat="1" ht="15.75" hidden="1" thickBot="1">
      <c r="B14" s="425"/>
      <c r="C14" s="425"/>
      <c r="D14" s="426"/>
      <c r="E14" s="427"/>
      <c r="F14" s="427"/>
      <c r="G14" s="427"/>
      <c r="H14" s="427"/>
      <c r="I14" s="427"/>
      <c r="J14" s="427"/>
      <c r="K14" s="427"/>
      <c r="L14" s="427"/>
      <c r="M14" s="427"/>
      <c r="N14" s="427"/>
      <c r="O14" s="427"/>
      <c r="P14" s="427"/>
      <c r="Q14" s="427"/>
      <c r="R14" s="427"/>
      <c r="S14" s="427"/>
      <c r="T14" s="427"/>
      <c r="U14" s="427"/>
      <c r="V14" s="427"/>
      <c r="W14" s="427"/>
      <c r="X14" s="427"/>
      <c r="Y14" s="427"/>
      <c r="Z14" s="427"/>
      <c r="AA14" s="427"/>
      <c r="AB14" s="427"/>
      <c r="AC14" s="427"/>
      <c r="AD14" s="427"/>
      <c r="AE14" s="427"/>
      <c r="AF14" s="427"/>
      <c r="AG14" s="427"/>
      <c r="AH14" s="427"/>
      <c r="AI14" s="427"/>
      <c r="AJ14" s="427"/>
      <c r="AK14" s="427"/>
      <c r="AL14" s="427"/>
      <c r="AM14" s="427"/>
      <c r="AN14" s="427"/>
      <c r="AO14" s="427"/>
      <c r="AP14" s="427"/>
      <c r="AQ14" s="427"/>
      <c r="AR14" s="427"/>
      <c r="AS14" s="427"/>
      <c r="AT14" s="427"/>
      <c r="AU14" s="427"/>
      <c r="AV14" s="427"/>
      <c r="AW14" s="427"/>
      <c r="AX14" s="427"/>
      <c r="AY14" s="427"/>
      <c r="AZ14" s="427"/>
      <c r="BA14" s="427"/>
      <c r="BB14" s="427"/>
      <c r="BC14" s="428"/>
      <c r="BD14" s="420"/>
    </row>
    <row r="15" spans="1:56" ht="28.5">
      <c r="A15" s="429"/>
      <c r="B15" s="6145" t="str">
        <f>'Data Input'!B3</f>
        <v>AMAALA YACHT CLUB</v>
      </c>
      <c r="C15" s="6145"/>
      <c r="D15" s="6145"/>
      <c r="E15" s="6145"/>
      <c r="F15" s="6145"/>
      <c r="G15" s="6145"/>
      <c r="H15" s="6145"/>
      <c r="I15" s="6145"/>
      <c r="J15" s="6145"/>
      <c r="K15" s="6145"/>
      <c r="L15" s="6145"/>
      <c r="M15" s="6145"/>
      <c r="N15" s="6145"/>
      <c r="O15" s="6145"/>
      <c r="P15" s="6145"/>
      <c r="Q15" s="6145"/>
      <c r="R15" s="726"/>
      <c r="S15" s="726"/>
      <c r="T15" s="726"/>
      <c r="U15" s="726"/>
      <c r="V15" s="726"/>
      <c r="W15" s="726"/>
      <c r="X15" s="726"/>
      <c r="Y15" s="726"/>
      <c r="Z15" s="726"/>
      <c r="AA15" s="726"/>
      <c r="AB15" s="726"/>
      <c r="AC15" s="726"/>
      <c r="AD15" s="726"/>
      <c r="AE15" s="726"/>
      <c r="AF15" s="726"/>
      <c r="AG15" s="726"/>
      <c r="AH15" s="726"/>
      <c r="AI15" s="726"/>
      <c r="AJ15" s="726"/>
      <c r="AK15" s="726"/>
      <c r="AL15" s="726"/>
      <c r="AM15" s="726"/>
      <c r="AN15" s="726"/>
      <c r="AO15" s="726"/>
      <c r="AP15" s="726"/>
      <c r="AQ15" s="726"/>
      <c r="AR15" s="726"/>
      <c r="AS15" s="726"/>
      <c r="AT15" s="726"/>
      <c r="AU15" s="726"/>
      <c r="AV15" s="726"/>
      <c r="AW15" s="726"/>
      <c r="AX15" s="726"/>
      <c r="AY15" s="726"/>
      <c r="AZ15" s="726"/>
      <c r="BA15" s="726"/>
      <c r="BB15" s="726"/>
      <c r="BC15" s="727"/>
    </row>
    <row r="16" spans="1:56" ht="9.75" customHeight="1">
      <c r="A16" s="432"/>
      <c r="B16" s="728"/>
      <c r="C16" s="6146"/>
      <c r="D16" s="6146"/>
      <c r="E16" s="6146"/>
      <c r="F16" s="6146"/>
      <c r="G16" s="6146"/>
      <c r="H16" s="6146"/>
      <c r="I16" s="6146"/>
      <c r="J16" s="6146"/>
      <c r="K16" s="6146"/>
      <c r="L16" s="6146"/>
      <c r="M16" s="6146"/>
      <c r="N16" s="6146"/>
      <c r="O16" s="729"/>
      <c r="P16" s="730"/>
      <c r="Q16" s="730"/>
      <c r="R16" s="730"/>
      <c r="S16" s="730"/>
      <c r="T16" s="730"/>
      <c r="U16" s="730"/>
      <c r="V16" s="730"/>
      <c r="W16" s="730"/>
      <c r="X16" s="730"/>
      <c r="Y16" s="730"/>
      <c r="Z16" s="730"/>
      <c r="AA16" s="730"/>
      <c r="AB16" s="730"/>
      <c r="AC16" s="730"/>
      <c r="AD16" s="730"/>
      <c r="AE16" s="730"/>
      <c r="AF16" s="730"/>
      <c r="AG16" s="730"/>
      <c r="AH16" s="730"/>
      <c r="AI16" s="730"/>
      <c r="AJ16" s="730"/>
      <c r="AK16" s="730"/>
      <c r="AL16" s="730"/>
      <c r="AM16" s="730"/>
      <c r="AN16" s="730"/>
      <c r="AO16" s="730"/>
      <c r="AP16" s="730"/>
      <c r="AQ16" s="730"/>
      <c r="AR16" s="730"/>
      <c r="AS16" s="730"/>
      <c r="AT16" s="730"/>
      <c r="AU16" s="730"/>
      <c r="AV16" s="730"/>
      <c r="AW16" s="730"/>
      <c r="AX16" s="730"/>
      <c r="AY16" s="730"/>
      <c r="AZ16" s="730"/>
      <c r="BA16" s="730"/>
      <c r="BB16" s="730"/>
      <c r="BC16" s="731"/>
    </row>
    <row r="17" spans="1:101" ht="28.5">
      <c r="A17" s="432"/>
      <c r="B17" s="6146" t="s">
        <v>1887</v>
      </c>
      <c r="C17" s="6146"/>
      <c r="D17" s="6146"/>
      <c r="E17" s="6146"/>
      <c r="F17" s="6146"/>
      <c r="G17" s="6146"/>
      <c r="H17" s="6146"/>
      <c r="I17" s="6146"/>
      <c r="J17" s="6146"/>
      <c r="K17" s="6146"/>
      <c r="L17" s="6146"/>
      <c r="M17" s="6146"/>
      <c r="N17" s="6146"/>
      <c r="O17" s="6146"/>
      <c r="P17" s="6146"/>
      <c r="Q17" s="6146"/>
      <c r="R17" s="732"/>
      <c r="S17" s="732"/>
      <c r="T17" s="732"/>
      <c r="U17" s="732"/>
      <c r="V17" s="732"/>
      <c r="W17" s="732"/>
      <c r="X17" s="732"/>
      <c r="Y17" s="732"/>
      <c r="Z17" s="732"/>
      <c r="AA17" s="732"/>
      <c r="AB17" s="732"/>
      <c r="AC17" s="732"/>
      <c r="AD17" s="732"/>
      <c r="AE17" s="732"/>
      <c r="AF17" s="732"/>
      <c r="AG17" s="732"/>
      <c r="AH17" s="732"/>
      <c r="AI17" s="732"/>
      <c r="AJ17" s="732"/>
      <c r="AK17" s="732"/>
      <c r="AL17" s="732"/>
      <c r="AM17" s="732"/>
      <c r="AN17" s="732"/>
      <c r="AO17" s="732"/>
      <c r="AP17" s="732"/>
      <c r="AQ17" s="732"/>
      <c r="AR17" s="732"/>
      <c r="AS17" s="732"/>
      <c r="AT17" s="732"/>
      <c r="AU17" s="732"/>
      <c r="AV17" s="732"/>
      <c r="AW17" s="732"/>
      <c r="AX17" s="732"/>
      <c r="AY17" s="732"/>
      <c r="AZ17" s="732"/>
      <c r="BA17" s="732"/>
      <c r="BB17" s="732"/>
      <c r="BC17" s="733"/>
    </row>
    <row r="18" spans="1:101" ht="4.5" customHeight="1">
      <c r="A18" s="433"/>
      <c r="E18" s="435"/>
      <c r="F18" s="435"/>
      <c r="G18" s="435"/>
      <c r="H18" s="435"/>
      <c r="I18" s="435"/>
      <c r="J18" s="435"/>
      <c r="K18" s="435"/>
      <c r="L18" s="435"/>
      <c r="M18" s="435"/>
      <c r="N18" s="435"/>
      <c r="O18" s="435"/>
      <c r="P18" s="435"/>
      <c r="Q18" s="435"/>
      <c r="R18" s="435"/>
      <c r="S18" s="435"/>
      <c r="T18" s="435"/>
      <c r="U18" s="435"/>
      <c r="V18" s="435"/>
      <c r="W18" s="435"/>
      <c r="X18" s="435"/>
      <c r="Y18" s="435"/>
      <c r="Z18" s="435"/>
      <c r="AA18" s="435"/>
      <c r="AB18" s="435"/>
      <c r="AC18" s="435"/>
      <c r="AD18" s="435"/>
      <c r="AE18" s="435"/>
      <c r="AF18" s="435"/>
      <c r="AG18" s="435"/>
      <c r="AH18" s="435"/>
      <c r="AI18" s="435"/>
      <c r="AJ18" s="435"/>
      <c r="AK18" s="435"/>
      <c r="AL18" s="435"/>
      <c r="AM18" s="435"/>
      <c r="AN18" s="435"/>
      <c r="AO18" s="435"/>
      <c r="AP18" s="435"/>
      <c r="AQ18" s="435"/>
      <c r="AR18" s="435"/>
      <c r="AS18" s="435"/>
      <c r="AT18" s="435"/>
      <c r="AU18" s="435"/>
      <c r="AV18" s="435"/>
      <c r="AW18" s="435"/>
      <c r="AX18" s="435"/>
      <c r="AY18" s="435"/>
      <c r="AZ18" s="435"/>
      <c r="BA18" s="435"/>
      <c r="BB18" s="435"/>
      <c r="BC18" s="436"/>
    </row>
    <row r="19" spans="1:101">
      <c r="A19" s="433"/>
      <c r="C19" s="6147" t="s">
        <v>1888</v>
      </c>
      <c r="D19" s="6148"/>
      <c r="E19" s="435"/>
      <c r="F19" s="435"/>
      <c r="G19" s="435"/>
      <c r="H19" s="435"/>
      <c r="I19" s="435"/>
      <c r="J19" s="435"/>
      <c r="K19" s="435"/>
      <c r="L19" s="435"/>
      <c r="M19" s="435"/>
      <c r="N19" s="435"/>
      <c r="O19" s="435"/>
      <c r="P19" s="435"/>
      <c r="Q19" s="435"/>
      <c r="R19" s="435"/>
      <c r="S19" s="435"/>
      <c r="T19" s="435"/>
      <c r="U19" s="435"/>
      <c r="V19" s="435"/>
      <c r="W19" s="435"/>
      <c r="X19" s="435"/>
      <c r="Y19" s="435"/>
      <c r="Z19" s="435"/>
      <c r="AA19" s="435"/>
      <c r="AB19" s="435"/>
      <c r="AC19" s="435"/>
      <c r="AD19" s="435"/>
      <c r="AE19" s="435"/>
      <c r="AF19" s="435"/>
      <c r="AG19" s="435"/>
      <c r="AH19" s="435"/>
      <c r="AI19" s="435"/>
      <c r="AJ19" s="435"/>
      <c r="AK19" s="435"/>
      <c r="AL19" s="435"/>
      <c r="AM19" s="435"/>
      <c r="AN19" s="435"/>
      <c r="AO19" s="435"/>
      <c r="AP19" s="435"/>
      <c r="AQ19" s="435"/>
      <c r="AR19" s="435"/>
      <c r="AS19" s="435"/>
      <c r="AT19" s="435"/>
      <c r="AU19" s="435"/>
      <c r="AV19" s="435"/>
      <c r="AW19" s="435"/>
      <c r="AX19" s="435"/>
      <c r="AY19" s="435"/>
      <c r="AZ19" s="435"/>
      <c r="BA19" s="435"/>
      <c r="BB19" s="435"/>
      <c r="BC19" s="436"/>
    </row>
    <row r="20" spans="1:101" ht="15" customHeight="1">
      <c r="A20" s="433"/>
      <c r="C20" s="6149"/>
      <c r="D20" s="6150"/>
      <c r="E20" s="435"/>
      <c r="F20" s="435"/>
      <c r="G20" s="435"/>
      <c r="H20" s="435"/>
      <c r="I20" s="435"/>
      <c r="J20" s="435"/>
      <c r="K20" s="435"/>
      <c r="L20" s="435"/>
      <c r="M20" s="435"/>
      <c r="N20" s="435"/>
      <c r="O20" s="435"/>
      <c r="P20" s="435"/>
      <c r="Q20" s="435"/>
      <c r="R20" s="435"/>
      <c r="S20" s="435"/>
      <c r="T20" s="435"/>
      <c r="U20" s="435"/>
      <c r="V20" s="435"/>
      <c r="W20" s="435"/>
      <c r="X20" s="435"/>
      <c r="Y20" s="435"/>
      <c r="Z20" s="435"/>
      <c r="AA20" s="435"/>
      <c r="AB20" s="435"/>
      <c r="AC20" s="435"/>
      <c r="AD20" s="435"/>
      <c r="AE20" s="435"/>
      <c r="AF20" s="435"/>
      <c r="AG20" s="435"/>
      <c r="AH20" s="435"/>
      <c r="AI20" s="435"/>
      <c r="AJ20" s="435"/>
      <c r="AK20" s="435"/>
      <c r="AL20" s="435"/>
      <c r="AM20" s="435"/>
      <c r="AN20" s="435"/>
      <c r="AO20" s="435"/>
      <c r="AP20" s="435"/>
      <c r="AQ20" s="435"/>
      <c r="AR20" s="435"/>
      <c r="AS20" s="435"/>
      <c r="AT20" s="435"/>
      <c r="AU20" s="435"/>
      <c r="AV20" s="435"/>
      <c r="AW20" s="435"/>
      <c r="AX20" s="435"/>
      <c r="AY20" s="435"/>
      <c r="AZ20" s="435"/>
      <c r="BA20" s="435"/>
      <c r="BB20" s="435"/>
      <c r="BC20" s="436"/>
    </row>
    <row r="21" spans="1:101" s="438" customFormat="1" ht="20.25" customHeight="1">
      <c r="A21" s="437"/>
      <c r="C21" s="6149"/>
      <c r="D21" s="6150"/>
      <c r="E21" s="439"/>
      <c r="F21" s="439"/>
      <c r="G21" s="439"/>
      <c r="H21" s="439"/>
      <c r="I21" s="439"/>
      <c r="J21" s="439"/>
      <c r="K21" s="439"/>
      <c r="L21" s="439"/>
      <c r="M21" s="439"/>
      <c r="N21" s="439"/>
      <c r="O21" s="439"/>
      <c r="P21" s="439"/>
      <c r="Q21" s="439"/>
      <c r="R21" s="439"/>
      <c r="S21" s="439"/>
      <c r="T21" s="439"/>
      <c r="U21" s="439"/>
      <c r="V21" s="439"/>
      <c r="W21" s="439"/>
      <c r="X21" s="439"/>
      <c r="Y21" s="439"/>
      <c r="Z21" s="439"/>
      <c r="AA21" s="439"/>
      <c r="AB21" s="439"/>
      <c r="AC21" s="439"/>
      <c r="AD21" s="439"/>
      <c r="AE21" s="439"/>
      <c r="AF21" s="439"/>
      <c r="AG21" s="439"/>
      <c r="AH21" s="439"/>
      <c r="AI21" s="439"/>
      <c r="AJ21" s="439"/>
      <c r="AK21" s="439"/>
      <c r="AL21" s="439"/>
      <c r="AM21" s="439"/>
      <c r="AN21" s="439"/>
      <c r="AO21" s="439"/>
      <c r="AP21" s="439"/>
      <c r="AQ21" s="439"/>
      <c r="AR21" s="439"/>
      <c r="AS21" s="439"/>
      <c r="AT21" s="439"/>
      <c r="AU21" s="439"/>
      <c r="AV21" s="439"/>
      <c r="AW21" s="439"/>
      <c r="AX21" s="439"/>
      <c r="AY21" s="439"/>
      <c r="AZ21" s="439"/>
      <c r="BA21" s="439"/>
      <c r="BB21" s="439"/>
      <c r="BC21" s="440"/>
      <c r="BD21" s="441"/>
    </row>
    <row r="22" spans="1:101" ht="20.25" customHeight="1">
      <c r="A22" s="433"/>
      <c r="C22" s="6149"/>
      <c r="D22" s="6150"/>
      <c r="E22" s="435"/>
      <c r="F22" s="435"/>
      <c r="G22" s="435"/>
      <c r="H22" s="435"/>
      <c r="I22" s="435"/>
      <c r="J22" s="435"/>
      <c r="K22" s="435"/>
      <c r="L22" s="435"/>
      <c r="M22" s="435"/>
      <c r="N22" s="435"/>
      <c r="O22" s="435"/>
      <c r="P22" s="435"/>
      <c r="Q22" s="435"/>
      <c r="R22" s="435"/>
      <c r="S22" s="435"/>
      <c r="T22" s="435"/>
      <c r="U22" s="435"/>
      <c r="V22" s="435"/>
      <c r="W22" s="435"/>
      <c r="X22" s="435"/>
      <c r="Y22" s="435"/>
      <c r="Z22" s="435"/>
      <c r="AA22" s="435"/>
      <c r="AB22" s="435"/>
      <c r="AC22" s="435"/>
      <c r="AD22" s="435"/>
      <c r="AE22" s="435"/>
      <c r="AF22" s="435"/>
      <c r="AG22" s="435"/>
      <c r="AH22" s="435"/>
      <c r="AI22" s="435"/>
      <c r="AJ22" s="435"/>
      <c r="AK22" s="435"/>
      <c r="AL22" s="435"/>
      <c r="AM22" s="435"/>
      <c r="AN22" s="435"/>
      <c r="AO22" s="435"/>
      <c r="AP22" s="435"/>
      <c r="AQ22" s="435"/>
      <c r="AR22" s="435"/>
      <c r="AS22" s="435"/>
      <c r="AT22" s="435"/>
      <c r="AU22" s="435"/>
      <c r="AV22" s="435"/>
      <c r="AW22" s="435"/>
      <c r="AX22" s="435"/>
      <c r="AY22" s="435"/>
      <c r="AZ22" s="435"/>
      <c r="BA22" s="435"/>
      <c r="BB22" s="435"/>
      <c r="BC22" s="436"/>
    </row>
    <row r="23" spans="1:101" ht="20.25" customHeight="1">
      <c r="A23" s="433"/>
      <c r="C23" s="6149"/>
      <c r="D23" s="6150"/>
      <c r="E23" s="435"/>
      <c r="F23" s="435"/>
      <c r="G23" s="435"/>
      <c r="H23" s="435"/>
      <c r="I23" s="435"/>
      <c r="J23" s="435"/>
      <c r="K23" s="435"/>
      <c r="L23" s="435"/>
      <c r="M23" s="435"/>
      <c r="N23" s="435"/>
      <c r="O23" s="435"/>
      <c r="P23" s="435"/>
      <c r="Q23" s="435"/>
      <c r="R23" s="435"/>
      <c r="S23" s="435"/>
      <c r="T23" s="435"/>
      <c r="U23" s="435"/>
      <c r="V23" s="435"/>
      <c r="W23" s="435"/>
      <c r="X23" s="435"/>
      <c r="Y23" s="435"/>
      <c r="Z23" s="435"/>
      <c r="AA23" s="435"/>
      <c r="AB23" s="435"/>
      <c r="AC23" s="435"/>
      <c r="AD23" s="435"/>
      <c r="AE23" s="435"/>
      <c r="AF23" s="435"/>
      <c r="AG23" s="435"/>
      <c r="AH23" s="435"/>
      <c r="AI23" s="435"/>
      <c r="AJ23" s="435"/>
      <c r="AK23" s="435"/>
      <c r="AL23" s="435"/>
      <c r="AM23" s="435"/>
      <c r="AN23" s="435"/>
      <c r="AO23" s="435"/>
      <c r="AP23" s="435"/>
      <c r="AQ23" s="435"/>
      <c r="AR23" s="435"/>
      <c r="AS23" s="435"/>
      <c r="AT23" s="435"/>
      <c r="AU23" s="435"/>
      <c r="AV23" s="435"/>
      <c r="AW23" s="435"/>
      <c r="AX23" s="435"/>
      <c r="AY23" s="435"/>
      <c r="AZ23" s="435"/>
      <c r="BA23" s="435"/>
      <c r="BB23" s="435"/>
      <c r="BC23" s="436"/>
    </row>
    <row r="24" spans="1:101" ht="20.25" customHeight="1">
      <c r="A24" s="433"/>
      <c r="C24" s="6149"/>
      <c r="D24" s="6150"/>
      <c r="E24" s="435"/>
      <c r="F24" s="435"/>
      <c r="G24" s="435"/>
      <c r="H24" s="435"/>
      <c r="I24" s="435"/>
      <c r="J24" s="435"/>
      <c r="K24" s="435"/>
      <c r="L24" s="435"/>
      <c r="M24" s="435"/>
      <c r="N24" s="435"/>
      <c r="O24" s="435"/>
      <c r="P24" s="435"/>
      <c r="Q24" s="435"/>
      <c r="R24" s="435"/>
      <c r="S24" s="435"/>
      <c r="T24" s="435"/>
      <c r="U24" s="435"/>
      <c r="V24" s="435"/>
      <c r="W24" s="435"/>
      <c r="X24" s="435"/>
      <c r="Y24" s="435"/>
      <c r="Z24" s="435"/>
      <c r="AA24" s="435"/>
      <c r="AB24" s="435"/>
      <c r="AC24" s="435"/>
      <c r="AD24" s="435"/>
      <c r="AE24" s="435"/>
      <c r="AF24" s="435"/>
      <c r="AG24" s="435"/>
      <c r="AH24" s="435"/>
      <c r="AI24" s="435"/>
      <c r="AJ24" s="435"/>
      <c r="AK24" s="435"/>
      <c r="AL24" s="435"/>
      <c r="AM24" s="435"/>
      <c r="AN24" s="435"/>
      <c r="AO24" s="435"/>
      <c r="AP24" s="435"/>
      <c r="AQ24" s="435"/>
      <c r="AR24" s="435"/>
      <c r="AS24" s="435"/>
      <c r="AT24" s="435"/>
      <c r="AU24" s="435"/>
      <c r="AV24" s="435"/>
      <c r="AW24" s="435"/>
      <c r="AX24" s="435"/>
      <c r="AY24" s="435"/>
      <c r="AZ24" s="435"/>
      <c r="BA24" s="435"/>
      <c r="BB24" s="435"/>
      <c r="BC24" s="436"/>
    </row>
    <row r="25" spans="1:101">
      <c r="A25" s="433"/>
      <c r="C25" s="6149"/>
      <c r="D25" s="6150"/>
      <c r="E25" s="435"/>
      <c r="F25" s="435"/>
      <c r="G25" s="435"/>
      <c r="H25" s="435"/>
      <c r="I25" s="435"/>
      <c r="J25" s="435"/>
      <c r="K25" s="435"/>
      <c r="L25" s="435"/>
      <c r="M25" s="435"/>
      <c r="N25" s="435"/>
      <c r="O25" s="435"/>
      <c r="P25" s="435"/>
      <c r="Q25" s="435"/>
      <c r="R25" s="435"/>
      <c r="S25" s="435"/>
      <c r="T25" s="435"/>
      <c r="U25" s="435"/>
      <c r="V25" s="435"/>
      <c r="W25" s="435"/>
      <c r="X25" s="435"/>
      <c r="Y25" s="435"/>
      <c r="Z25" s="435"/>
      <c r="AA25" s="435"/>
      <c r="AB25" s="435"/>
      <c r="AC25" s="435"/>
      <c r="AD25" s="435"/>
      <c r="AE25" s="435"/>
      <c r="AF25" s="435"/>
      <c r="AG25" s="435"/>
      <c r="AH25" s="435"/>
      <c r="AI25" s="435"/>
      <c r="AJ25" s="435"/>
      <c r="AK25" s="435"/>
      <c r="AL25" s="435"/>
      <c r="AM25" s="435"/>
      <c r="AN25" s="435"/>
      <c r="AO25" s="435"/>
      <c r="AP25" s="435"/>
      <c r="AQ25" s="435"/>
      <c r="AR25" s="435"/>
      <c r="AS25" s="435"/>
      <c r="AT25" s="435"/>
      <c r="AU25" s="435"/>
      <c r="AV25" s="435"/>
      <c r="AW25" s="435"/>
      <c r="AX25" s="435"/>
      <c r="AY25" s="435"/>
      <c r="AZ25" s="435"/>
      <c r="BA25" s="435"/>
      <c r="BB25" s="435"/>
      <c r="BC25" s="436"/>
    </row>
    <row r="26" spans="1:101">
      <c r="A26" s="433"/>
      <c r="C26" s="6149"/>
      <c r="D26" s="6150"/>
      <c r="E26" s="435"/>
      <c r="F26" s="435"/>
      <c r="G26" s="435"/>
      <c r="H26" s="435"/>
      <c r="I26" s="435"/>
      <c r="J26" s="435"/>
      <c r="K26" s="435"/>
      <c r="L26" s="435"/>
      <c r="M26" s="435"/>
      <c r="N26" s="435"/>
      <c r="O26" s="435"/>
      <c r="P26" s="435"/>
      <c r="Q26" s="435"/>
      <c r="R26" s="435"/>
      <c r="S26" s="435"/>
      <c r="T26" s="435"/>
      <c r="U26" s="435"/>
      <c r="V26" s="435"/>
      <c r="W26" s="435"/>
      <c r="X26" s="435"/>
      <c r="Y26" s="435"/>
      <c r="Z26" s="435"/>
      <c r="AA26" s="435"/>
      <c r="AB26" s="435"/>
      <c r="AC26" s="435"/>
      <c r="AD26" s="435"/>
      <c r="AE26" s="435"/>
      <c r="AF26" s="435"/>
      <c r="AG26" s="435"/>
      <c r="AH26" s="435"/>
      <c r="AI26" s="435"/>
      <c r="AJ26" s="435"/>
      <c r="AK26" s="435"/>
      <c r="AL26" s="435"/>
      <c r="AM26" s="435"/>
      <c r="AN26" s="435"/>
      <c r="AO26" s="435"/>
      <c r="AP26" s="435"/>
      <c r="AQ26" s="435"/>
      <c r="AR26" s="435"/>
      <c r="AS26" s="435"/>
      <c r="AT26" s="435"/>
      <c r="AU26" s="435"/>
      <c r="AV26" s="435"/>
      <c r="AW26" s="435"/>
      <c r="AX26" s="435"/>
      <c r="AY26" s="435"/>
      <c r="AZ26" s="435"/>
      <c r="BA26" s="435"/>
      <c r="BB26" s="435"/>
      <c r="BC26" s="436"/>
    </row>
    <row r="27" spans="1:101">
      <c r="A27" s="433"/>
      <c r="C27" s="6149"/>
      <c r="D27" s="6150"/>
      <c r="E27" s="435"/>
      <c r="F27" s="435"/>
      <c r="G27" s="435"/>
      <c r="H27" s="435"/>
      <c r="I27" s="435"/>
      <c r="J27" s="435"/>
      <c r="K27" s="435"/>
      <c r="L27" s="435"/>
      <c r="M27" s="435"/>
      <c r="N27" s="435"/>
      <c r="O27" s="435"/>
      <c r="P27" s="435"/>
      <c r="Q27" s="435"/>
      <c r="R27" s="435"/>
      <c r="S27" s="435"/>
      <c r="T27" s="435"/>
      <c r="U27" s="435"/>
      <c r="V27" s="435"/>
      <c r="W27" s="435"/>
      <c r="X27" s="435"/>
      <c r="Y27" s="435"/>
      <c r="Z27" s="435"/>
      <c r="AA27" s="435"/>
      <c r="AB27" s="435"/>
      <c r="AC27" s="435"/>
      <c r="AD27" s="435"/>
      <c r="AE27" s="435"/>
      <c r="AF27" s="435"/>
      <c r="AG27" s="435"/>
      <c r="AH27" s="435"/>
      <c r="AI27" s="435"/>
      <c r="AJ27" s="435"/>
      <c r="AK27" s="435"/>
      <c r="AL27" s="435"/>
      <c r="AM27" s="435"/>
      <c r="AN27" s="435"/>
      <c r="AO27" s="435"/>
      <c r="AP27" s="435"/>
      <c r="AQ27" s="435"/>
      <c r="AR27" s="435"/>
      <c r="AS27" s="435"/>
      <c r="AT27" s="435"/>
      <c r="AU27" s="435"/>
      <c r="AV27" s="435"/>
      <c r="AW27" s="435"/>
      <c r="AX27" s="435"/>
      <c r="AY27" s="435"/>
      <c r="AZ27" s="435"/>
      <c r="BA27" s="435"/>
      <c r="BB27" s="435"/>
      <c r="BC27" s="436"/>
    </row>
    <row r="28" spans="1:101">
      <c r="A28" s="433"/>
      <c r="C28" s="6149"/>
      <c r="D28" s="6150"/>
      <c r="E28" s="435"/>
      <c r="F28" s="435"/>
      <c r="G28" s="435"/>
      <c r="H28" s="435"/>
      <c r="I28" s="435"/>
      <c r="J28" s="435"/>
      <c r="K28" s="435"/>
      <c r="L28" s="435"/>
      <c r="M28" s="435"/>
      <c r="N28" s="435"/>
      <c r="O28" s="435"/>
      <c r="P28" s="435"/>
      <c r="Q28" s="435"/>
      <c r="R28" s="435"/>
      <c r="S28" s="435"/>
      <c r="T28" s="435"/>
      <c r="U28" s="435"/>
      <c r="V28" s="435"/>
      <c r="W28" s="435"/>
      <c r="X28" s="435"/>
      <c r="Y28" s="435"/>
      <c r="Z28" s="435"/>
      <c r="AA28" s="435"/>
      <c r="AB28" s="435"/>
      <c r="AC28" s="435"/>
      <c r="AD28" s="435"/>
      <c r="AE28" s="435"/>
      <c r="AF28" s="435"/>
      <c r="AG28" s="435"/>
      <c r="AH28" s="435"/>
      <c r="AI28" s="435"/>
      <c r="AJ28" s="435"/>
      <c r="AK28" s="435"/>
      <c r="AL28" s="435"/>
      <c r="AM28" s="435"/>
      <c r="AN28" s="435"/>
      <c r="AO28" s="435"/>
      <c r="AP28" s="435"/>
      <c r="AQ28" s="435"/>
      <c r="AR28" s="435"/>
      <c r="AS28" s="435"/>
      <c r="AT28" s="435"/>
      <c r="AU28" s="435"/>
      <c r="AV28" s="435"/>
      <c r="AW28" s="435"/>
      <c r="AX28" s="435"/>
      <c r="AY28" s="435"/>
      <c r="AZ28" s="435"/>
      <c r="BA28" s="435"/>
      <c r="BB28" s="435"/>
      <c r="BC28" s="436"/>
    </row>
    <row r="29" spans="1:101" s="442" customFormat="1" ht="6.75" customHeight="1">
      <c r="A29" s="433"/>
      <c r="B29" s="431"/>
      <c r="C29" s="6149"/>
      <c r="D29" s="6150"/>
      <c r="E29" s="435"/>
      <c r="F29" s="435"/>
      <c r="G29" s="435"/>
      <c r="H29" s="435"/>
      <c r="I29" s="435"/>
      <c r="J29" s="435"/>
      <c r="K29" s="435"/>
      <c r="L29" s="435"/>
      <c r="M29" s="435"/>
      <c r="N29" s="435"/>
      <c r="O29" s="435"/>
      <c r="P29" s="435"/>
      <c r="Q29" s="435"/>
      <c r="R29" s="435"/>
      <c r="S29" s="435"/>
      <c r="T29" s="435"/>
      <c r="U29" s="435"/>
      <c r="V29" s="435"/>
      <c r="W29" s="435"/>
      <c r="X29" s="435"/>
      <c r="Y29" s="435"/>
      <c r="Z29" s="435"/>
      <c r="AA29" s="435"/>
      <c r="AB29" s="435"/>
      <c r="AC29" s="435"/>
      <c r="AD29" s="435"/>
      <c r="AE29" s="435"/>
      <c r="AF29" s="435"/>
      <c r="AG29" s="435"/>
      <c r="AH29" s="435"/>
      <c r="AI29" s="435"/>
      <c r="AJ29" s="435"/>
      <c r="AK29" s="435"/>
      <c r="AL29" s="435"/>
      <c r="AM29" s="435"/>
      <c r="AN29" s="435"/>
      <c r="AO29" s="435"/>
      <c r="AP29" s="435"/>
      <c r="AQ29" s="435"/>
      <c r="AR29" s="435"/>
      <c r="AS29" s="435"/>
      <c r="AT29" s="435"/>
      <c r="AU29" s="435"/>
      <c r="AV29" s="435"/>
      <c r="AW29" s="435"/>
      <c r="AX29" s="435"/>
      <c r="AY29" s="435"/>
      <c r="AZ29" s="435"/>
      <c r="BA29" s="435"/>
      <c r="BB29" s="435"/>
      <c r="BC29" s="436"/>
      <c r="BD29" s="430"/>
      <c r="BE29" s="431"/>
      <c r="BF29" s="431"/>
      <c r="BG29" s="431"/>
      <c r="BH29" s="431"/>
      <c r="BI29" s="431"/>
      <c r="BJ29" s="431"/>
      <c r="BK29" s="431"/>
      <c r="BL29" s="431"/>
      <c r="BM29" s="431"/>
      <c r="BN29" s="431"/>
      <c r="BO29" s="431"/>
      <c r="BP29" s="431"/>
      <c r="BQ29" s="431"/>
      <c r="BR29" s="431"/>
      <c r="BS29" s="431"/>
      <c r="BT29" s="431"/>
      <c r="BU29" s="431"/>
      <c r="BV29" s="431"/>
      <c r="BW29" s="431"/>
      <c r="BX29" s="431"/>
      <c r="BY29" s="431"/>
      <c r="BZ29" s="431"/>
      <c r="CA29" s="431"/>
      <c r="CB29" s="431"/>
      <c r="CC29" s="431"/>
      <c r="CD29" s="431"/>
      <c r="CE29" s="431"/>
      <c r="CF29" s="431"/>
      <c r="CG29" s="431"/>
      <c r="CH29" s="431"/>
      <c r="CI29" s="431"/>
      <c r="CJ29" s="431"/>
      <c r="CK29" s="431"/>
      <c r="CL29" s="431"/>
      <c r="CM29" s="431"/>
      <c r="CN29" s="431"/>
      <c r="CO29" s="431"/>
      <c r="CP29" s="431"/>
      <c r="CQ29" s="431"/>
      <c r="CR29" s="431"/>
      <c r="CS29" s="431"/>
      <c r="CT29" s="431"/>
      <c r="CU29" s="431"/>
      <c r="CV29" s="431"/>
      <c r="CW29" s="431"/>
    </row>
    <row r="30" spans="1:101" s="442" customFormat="1" ht="15" customHeight="1">
      <c r="A30" s="433"/>
      <c r="B30" s="431"/>
      <c r="C30" s="6149"/>
      <c r="D30" s="6150"/>
      <c r="E30" s="435"/>
      <c r="F30" s="435"/>
      <c r="G30" s="435"/>
      <c r="H30" s="435"/>
      <c r="I30" s="435"/>
      <c r="J30" s="435"/>
      <c r="K30" s="435"/>
      <c r="L30" s="435"/>
      <c r="M30" s="435"/>
      <c r="N30" s="435"/>
      <c r="O30" s="435"/>
      <c r="P30" s="435"/>
      <c r="Q30" s="435"/>
      <c r="R30" s="435"/>
      <c r="S30" s="435"/>
      <c r="T30" s="435"/>
      <c r="U30" s="435"/>
      <c r="V30" s="435"/>
      <c r="W30" s="435"/>
      <c r="X30" s="435"/>
      <c r="Y30" s="435"/>
      <c r="Z30" s="435"/>
      <c r="AA30" s="435"/>
      <c r="AB30" s="435"/>
      <c r="AC30" s="435"/>
      <c r="AD30" s="435"/>
      <c r="AE30" s="435"/>
      <c r="AF30" s="435"/>
      <c r="AG30" s="435"/>
      <c r="AH30" s="435"/>
      <c r="AI30" s="435"/>
      <c r="AJ30" s="435"/>
      <c r="AK30" s="435"/>
      <c r="AL30" s="435"/>
      <c r="AM30" s="435"/>
      <c r="AN30" s="435"/>
      <c r="AO30" s="435"/>
      <c r="AP30" s="435"/>
      <c r="AQ30" s="435"/>
      <c r="AR30" s="435"/>
      <c r="AS30" s="435"/>
      <c r="AT30" s="435"/>
      <c r="AU30" s="435"/>
      <c r="AV30" s="435"/>
      <c r="AW30" s="435"/>
      <c r="AX30" s="435"/>
      <c r="AY30" s="435"/>
      <c r="AZ30" s="435"/>
      <c r="BA30" s="435"/>
      <c r="BB30" s="435"/>
      <c r="BC30" s="436"/>
      <c r="BD30" s="430"/>
      <c r="BE30" s="431"/>
      <c r="BF30" s="431"/>
      <c r="BG30" s="431"/>
      <c r="BH30" s="431"/>
      <c r="BI30" s="431"/>
      <c r="BJ30" s="431"/>
      <c r="BK30" s="431"/>
      <c r="BL30" s="431"/>
      <c r="BM30" s="431"/>
      <c r="BN30" s="431"/>
      <c r="BO30" s="431"/>
      <c r="BP30" s="431"/>
      <c r="BQ30" s="431"/>
      <c r="BR30" s="431"/>
      <c r="BS30" s="431"/>
      <c r="BT30" s="431"/>
      <c r="BU30" s="431"/>
      <c r="BV30" s="431"/>
      <c r="BW30" s="431"/>
      <c r="BX30" s="431"/>
      <c r="BY30" s="431"/>
      <c r="BZ30" s="431"/>
      <c r="CA30" s="431"/>
      <c r="CB30" s="431"/>
      <c r="CC30" s="431"/>
      <c r="CD30" s="431"/>
      <c r="CE30" s="431"/>
      <c r="CF30" s="431"/>
      <c r="CG30" s="431"/>
      <c r="CH30" s="431"/>
      <c r="CI30" s="431"/>
      <c r="CJ30" s="431"/>
      <c r="CK30" s="431"/>
      <c r="CL30" s="431"/>
      <c r="CM30" s="431"/>
      <c r="CN30" s="431"/>
      <c r="CO30" s="431"/>
      <c r="CP30" s="431"/>
      <c r="CQ30" s="431"/>
      <c r="CR30" s="431"/>
      <c r="CS30" s="431"/>
      <c r="CT30" s="431"/>
      <c r="CU30" s="431"/>
      <c r="CV30" s="431"/>
      <c r="CW30" s="431"/>
    </row>
    <row r="31" spans="1:101" s="442" customFormat="1" ht="15" customHeight="1">
      <c r="A31" s="433"/>
      <c r="B31" s="431"/>
      <c r="C31" s="6149"/>
      <c r="D31" s="6150"/>
      <c r="E31" s="435"/>
      <c r="F31" s="435"/>
      <c r="G31" s="435"/>
      <c r="H31" s="435"/>
      <c r="I31" s="435"/>
      <c r="J31" s="435"/>
      <c r="K31" s="435"/>
      <c r="L31" s="435"/>
      <c r="M31" s="435"/>
      <c r="N31" s="435"/>
      <c r="O31" s="435"/>
      <c r="P31" s="435"/>
      <c r="Q31" s="435"/>
      <c r="R31" s="435"/>
      <c r="S31" s="435"/>
      <c r="T31" s="435"/>
      <c r="U31" s="435"/>
      <c r="V31" s="435"/>
      <c r="W31" s="435"/>
      <c r="X31" s="435"/>
      <c r="Y31" s="435"/>
      <c r="Z31" s="435"/>
      <c r="AA31" s="435"/>
      <c r="AB31" s="435"/>
      <c r="AC31" s="435"/>
      <c r="AD31" s="435"/>
      <c r="AE31" s="435"/>
      <c r="AF31" s="435"/>
      <c r="AG31" s="435"/>
      <c r="AH31" s="435"/>
      <c r="AI31" s="435"/>
      <c r="AJ31" s="435"/>
      <c r="AK31" s="435"/>
      <c r="AL31" s="435"/>
      <c r="AM31" s="435"/>
      <c r="AN31" s="435"/>
      <c r="AO31" s="435"/>
      <c r="AP31" s="435"/>
      <c r="AQ31" s="435"/>
      <c r="AR31" s="435"/>
      <c r="AS31" s="435"/>
      <c r="AT31" s="435"/>
      <c r="AU31" s="435"/>
      <c r="AV31" s="435"/>
      <c r="AW31" s="435"/>
      <c r="AX31" s="435"/>
      <c r="AY31" s="435"/>
      <c r="AZ31" s="435"/>
      <c r="BA31" s="435"/>
      <c r="BB31" s="435"/>
      <c r="BC31" s="436"/>
      <c r="BD31" s="430"/>
      <c r="BE31" s="431"/>
      <c r="BF31" s="431"/>
      <c r="BG31" s="431"/>
      <c r="BH31" s="431"/>
      <c r="BI31" s="431"/>
      <c r="BJ31" s="431"/>
      <c r="BK31" s="431"/>
      <c r="BL31" s="431"/>
      <c r="BM31" s="431"/>
      <c r="BN31" s="431"/>
      <c r="BO31" s="431"/>
      <c r="BP31" s="431"/>
      <c r="BQ31" s="431"/>
      <c r="BR31" s="431"/>
      <c r="BS31" s="431"/>
      <c r="BT31" s="431"/>
      <c r="BU31" s="431"/>
      <c r="BV31" s="431"/>
      <c r="BW31" s="431"/>
      <c r="BX31" s="431"/>
      <c r="BY31" s="431"/>
      <c r="BZ31" s="431"/>
      <c r="CA31" s="431"/>
      <c r="CB31" s="431"/>
      <c r="CC31" s="431"/>
      <c r="CD31" s="431"/>
      <c r="CE31" s="431"/>
      <c r="CF31" s="431"/>
      <c r="CG31" s="431"/>
      <c r="CH31" s="431"/>
      <c r="CI31" s="431"/>
      <c r="CJ31" s="431"/>
      <c r="CK31" s="431"/>
      <c r="CL31" s="431"/>
      <c r="CM31" s="431"/>
      <c r="CN31" s="431"/>
      <c r="CO31" s="431"/>
      <c r="CP31" s="431"/>
      <c r="CQ31" s="431"/>
      <c r="CR31" s="431"/>
      <c r="CS31" s="431"/>
      <c r="CT31" s="431"/>
      <c r="CU31" s="431"/>
      <c r="CV31" s="431"/>
      <c r="CW31" s="431"/>
    </row>
    <row r="32" spans="1:101" s="442" customFormat="1" ht="15" customHeight="1">
      <c r="A32" s="433"/>
      <c r="B32" s="431"/>
      <c r="C32" s="6149"/>
      <c r="D32" s="6150"/>
      <c r="E32" s="435"/>
      <c r="F32" s="435"/>
      <c r="G32" s="435"/>
      <c r="H32" s="435"/>
      <c r="I32" s="435"/>
      <c r="J32" s="435"/>
      <c r="K32" s="435"/>
      <c r="L32" s="435"/>
      <c r="M32" s="435"/>
      <c r="N32" s="435"/>
      <c r="O32" s="435"/>
      <c r="P32" s="435"/>
      <c r="Q32" s="435"/>
      <c r="R32" s="435"/>
      <c r="S32" s="435"/>
      <c r="T32" s="435"/>
      <c r="U32" s="435"/>
      <c r="V32" s="435"/>
      <c r="W32" s="435"/>
      <c r="X32" s="435"/>
      <c r="Y32" s="435"/>
      <c r="Z32" s="435"/>
      <c r="AA32" s="435"/>
      <c r="AB32" s="435"/>
      <c r="AC32" s="435"/>
      <c r="AD32" s="435"/>
      <c r="AE32" s="435"/>
      <c r="AF32" s="435"/>
      <c r="AG32" s="435"/>
      <c r="AH32" s="435"/>
      <c r="AI32" s="435"/>
      <c r="AJ32" s="435"/>
      <c r="AK32" s="435"/>
      <c r="AL32" s="435"/>
      <c r="AM32" s="435"/>
      <c r="AN32" s="435"/>
      <c r="AO32" s="435"/>
      <c r="AP32" s="435"/>
      <c r="AQ32" s="435"/>
      <c r="AR32" s="435"/>
      <c r="AS32" s="435"/>
      <c r="AT32" s="435"/>
      <c r="AU32" s="435"/>
      <c r="AV32" s="435"/>
      <c r="AW32" s="435"/>
      <c r="AX32" s="435"/>
      <c r="AY32" s="435"/>
      <c r="AZ32" s="435"/>
      <c r="BA32" s="435"/>
      <c r="BB32" s="435"/>
      <c r="BC32" s="436"/>
      <c r="BD32" s="430"/>
      <c r="BE32" s="431"/>
      <c r="BF32" s="431"/>
      <c r="BG32" s="431"/>
      <c r="BH32" s="431"/>
      <c r="BI32" s="431"/>
      <c r="BJ32" s="431"/>
      <c r="BK32" s="431"/>
      <c r="BL32" s="431"/>
      <c r="BM32" s="431"/>
      <c r="BN32" s="431"/>
      <c r="BO32" s="431"/>
      <c r="BP32" s="431"/>
      <c r="BQ32" s="431"/>
      <c r="BR32" s="431"/>
      <c r="BS32" s="431"/>
      <c r="BT32" s="431"/>
      <c r="BU32" s="431"/>
      <c r="BV32" s="431"/>
      <c r="BW32" s="431"/>
      <c r="BX32" s="431"/>
      <c r="BY32" s="431"/>
      <c r="BZ32" s="431"/>
      <c r="CA32" s="431"/>
      <c r="CB32" s="431"/>
      <c r="CC32" s="431"/>
      <c r="CD32" s="431"/>
      <c r="CE32" s="431"/>
      <c r="CF32" s="431"/>
      <c r="CG32" s="431"/>
      <c r="CH32" s="431"/>
      <c r="CI32" s="431"/>
      <c r="CJ32" s="431"/>
      <c r="CK32" s="431"/>
      <c r="CL32" s="431"/>
      <c r="CM32" s="431"/>
      <c r="CN32" s="431"/>
      <c r="CO32" s="431"/>
      <c r="CP32" s="431"/>
      <c r="CQ32" s="431"/>
      <c r="CR32" s="431"/>
      <c r="CS32" s="431"/>
      <c r="CT32" s="431"/>
      <c r="CU32" s="431"/>
      <c r="CV32" s="431"/>
      <c r="CW32" s="431"/>
    </row>
    <row r="33" spans="1:101" s="442" customFormat="1" ht="15" customHeight="1">
      <c r="A33" s="433"/>
      <c r="B33" s="431"/>
      <c r="C33" s="6149"/>
      <c r="D33" s="6150"/>
      <c r="E33" s="435"/>
      <c r="F33" s="435"/>
      <c r="G33" s="435"/>
      <c r="H33" s="435"/>
      <c r="I33" s="435"/>
      <c r="J33" s="435"/>
      <c r="K33" s="435"/>
      <c r="L33" s="435"/>
      <c r="M33" s="435"/>
      <c r="N33" s="435"/>
      <c r="O33" s="435"/>
      <c r="P33" s="435"/>
      <c r="Q33" s="435"/>
      <c r="R33" s="435"/>
      <c r="S33" s="435"/>
      <c r="T33" s="435"/>
      <c r="U33" s="435"/>
      <c r="V33" s="435"/>
      <c r="W33" s="435"/>
      <c r="X33" s="435"/>
      <c r="Y33" s="435"/>
      <c r="Z33" s="435"/>
      <c r="AA33" s="435"/>
      <c r="AB33" s="435"/>
      <c r="AC33" s="435"/>
      <c r="AD33" s="435"/>
      <c r="AE33" s="435"/>
      <c r="AF33" s="435"/>
      <c r="AG33" s="435"/>
      <c r="AH33" s="435"/>
      <c r="AI33" s="435"/>
      <c r="AJ33" s="435"/>
      <c r="AK33" s="435"/>
      <c r="AL33" s="435"/>
      <c r="AM33" s="435"/>
      <c r="AN33" s="435"/>
      <c r="AO33" s="435"/>
      <c r="AP33" s="435"/>
      <c r="AQ33" s="435"/>
      <c r="AR33" s="435"/>
      <c r="AS33" s="435"/>
      <c r="AT33" s="435"/>
      <c r="AU33" s="435"/>
      <c r="AV33" s="435"/>
      <c r="AW33" s="435"/>
      <c r="AX33" s="435"/>
      <c r="AY33" s="435"/>
      <c r="AZ33" s="435"/>
      <c r="BA33" s="435"/>
      <c r="BB33" s="435"/>
      <c r="BC33" s="436"/>
      <c r="BD33" s="430"/>
      <c r="BE33" s="431"/>
      <c r="BF33" s="431"/>
      <c r="BG33" s="431"/>
      <c r="BH33" s="431"/>
      <c r="BI33" s="431"/>
      <c r="BJ33" s="431"/>
      <c r="BK33" s="431"/>
      <c r="BL33" s="431"/>
      <c r="BM33" s="431"/>
      <c r="BN33" s="431"/>
      <c r="BO33" s="431"/>
      <c r="BP33" s="431"/>
      <c r="BQ33" s="431"/>
      <c r="BR33" s="431"/>
      <c r="BS33" s="431"/>
      <c r="BT33" s="431"/>
      <c r="BU33" s="431"/>
      <c r="BV33" s="431"/>
      <c r="BW33" s="431"/>
      <c r="BX33" s="431"/>
      <c r="BY33" s="431"/>
      <c r="BZ33" s="431"/>
      <c r="CA33" s="431"/>
      <c r="CB33" s="431"/>
      <c r="CC33" s="431"/>
      <c r="CD33" s="431"/>
      <c r="CE33" s="431"/>
      <c r="CF33" s="431"/>
      <c r="CG33" s="431"/>
      <c r="CH33" s="431"/>
      <c r="CI33" s="431"/>
      <c r="CJ33" s="431"/>
      <c r="CK33" s="431"/>
      <c r="CL33" s="431"/>
      <c r="CM33" s="431"/>
      <c r="CN33" s="431"/>
      <c r="CO33" s="431"/>
      <c r="CP33" s="431"/>
      <c r="CQ33" s="431"/>
      <c r="CR33" s="431"/>
      <c r="CS33" s="431"/>
      <c r="CT33" s="431"/>
      <c r="CU33" s="431"/>
      <c r="CV33" s="431"/>
      <c r="CW33" s="431"/>
    </row>
    <row r="34" spans="1:101" s="442" customFormat="1" ht="15" customHeight="1">
      <c r="A34" s="433"/>
      <c r="B34" s="431"/>
      <c r="C34" s="6151"/>
      <c r="D34" s="6152"/>
      <c r="E34" s="435"/>
      <c r="F34" s="435"/>
      <c r="G34" s="435"/>
      <c r="H34" s="435"/>
      <c r="I34" s="435"/>
      <c r="J34" s="435"/>
      <c r="K34" s="435"/>
      <c r="L34" s="435"/>
      <c r="M34" s="435"/>
      <c r="N34" s="435"/>
      <c r="O34" s="435"/>
      <c r="P34" s="435"/>
      <c r="Q34" s="435"/>
      <c r="R34" s="435"/>
      <c r="S34" s="435"/>
      <c r="T34" s="435"/>
      <c r="U34" s="435"/>
      <c r="V34" s="435"/>
      <c r="W34" s="435"/>
      <c r="X34" s="435"/>
      <c r="Y34" s="435"/>
      <c r="Z34" s="435"/>
      <c r="AA34" s="435"/>
      <c r="AB34" s="435"/>
      <c r="AC34" s="435"/>
      <c r="AD34" s="435"/>
      <c r="AE34" s="435"/>
      <c r="AF34" s="435"/>
      <c r="AG34" s="435"/>
      <c r="AH34" s="435"/>
      <c r="AI34" s="435"/>
      <c r="AJ34" s="435"/>
      <c r="AK34" s="435"/>
      <c r="AL34" s="435"/>
      <c r="AM34" s="435"/>
      <c r="AN34" s="435"/>
      <c r="AO34" s="435"/>
      <c r="AP34" s="435"/>
      <c r="AQ34" s="435"/>
      <c r="AR34" s="435"/>
      <c r="AS34" s="435"/>
      <c r="AT34" s="435"/>
      <c r="AU34" s="435"/>
      <c r="AV34" s="435"/>
      <c r="AW34" s="435"/>
      <c r="AX34" s="435"/>
      <c r="AY34" s="435"/>
      <c r="AZ34" s="435"/>
      <c r="BA34" s="435"/>
      <c r="BB34" s="435"/>
      <c r="BC34" s="436"/>
      <c r="BD34" s="430"/>
      <c r="BE34" s="431"/>
      <c r="BF34" s="431"/>
      <c r="BG34" s="431"/>
      <c r="BH34" s="431"/>
      <c r="BI34" s="431"/>
      <c r="BJ34" s="431"/>
      <c r="BK34" s="431"/>
      <c r="BL34" s="431"/>
      <c r="BM34" s="431"/>
      <c r="BN34" s="431"/>
      <c r="BO34" s="431"/>
      <c r="BP34" s="431"/>
      <c r="BQ34" s="431"/>
      <c r="BR34" s="431"/>
      <c r="BS34" s="431"/>
      <c r="BT34" s="431"/>
      <c r="BU34" s="431"/>
      <c r="BV34" s="431"/>
      <c r="BW34" s="431"/>
      <c r="BX34" s="431"/>
      <c r="BY34" s="431"/>
      <c r="BZ34" s="431"/>
      <c r="CA34" s="431"/>
      <c r="CB34" s="431"/>
      <c r="CC34" s="431"/>
      <c r="CD34" s="431"/>
      <c r="CE34" s="431"/>
      <c r="CF34" s="431"/>
      <c r="CG34" s="431"/>
      <c r="CH34" s="431"/>
      <c r="CI34" s="431"/>
      <c r="CJ34" s="431"/>
      <c r="CK34" s="431"/>
      <c r="CL34" s="431"/>
      <c r="CM34" s="431"/>
      <c r="CN34" s="431"/>
      <c r="CO34" s="431"/>
      <c r="CP34" s="431"/>
      <c r="CQ34" s="431"/>
      <c r="CR34" s="431"/>
      <c r="CS34" s="431"/>
      <c r="CT34" s="431"/>
      <c r="CU34" s="431"/>
      <c r="CV34" s="431"/>
      <c r="CW34" s="431"/>
    </row>
    <row r="35" spans="1:101" s="442" customFormat="1" ht="15" customHeight="1">
      <c r="A35" s="433"/>
      <c r="B35" s="431"/>
      <c r="C35" s="431"/>
      <c r="D35" s="434"/>
      <c r="E35" s="435"/>
      <c r="F35" s="435"/>
      <c r="G35" s="435"/>
      <c r="H35" s="435"/>
      <c r="I35" s="435"/>
      <c r="J35" s="435"/>
      <c r="K35" s="435"/>
      <c r="L35" s="435"/>
      <c r="M35" s="435"/>
      <c r="N35" s="435"/>
      <c r="O35" s="435"/>
      <c r="P35" s="435"/>
      <c r="Q35" s="435"/>
      <c r="R35" s="435"/>
      <c r="S35" s="435"/>
      <c r="T35" s="435"/>
      <c r="U35" s="435"/>
      <c r="V35" s="435"/>
      <c r="W35" s="435"/>
      <c r="X35" s="435"/>
      <c r="Y35" s="435"/>
      <c r="Z35" s="435"/>
      <c r="AA35" s="435"/>
      <c r="AB35" s="435"/>
      <c r="AC35" s="435"/>
      <c r="AD35" s="435"/>
      <c r="AE35" s="435"/>
      <c r="AF35" s="435"/>
      <c r="AG35" s="435"/>
      <c r="AH35" s="435"/>
      <c r="AI35" s="435"/>
      <c r="AJ35" s="435"/>
      <c r="AK35" s="435"/>
      <c r="AL35" s="435"/>
      <c r="AM35" s="435"/>
      <c r="AN35" s="435"/>
      <c r="AO35" s="435"/>
      <c r="AP35" s="435"/>
      <c r="AQ35" s="435"/>
      <c r="AR35" s="435"/>
      <c r="AS35" s="435"/>
      <c r="AT35" s="435"/>
      <c r="AU35" s="435"/>
      <c r="AV35" s="435"/>
      <c r="AW35" s="435"/>
      <c r="AX35" s="435"/>
      <c r="AY35" s="435"/>
      <c r="AZ35" s="435"/>
      <c r="BA35" s="435"/>
      <c r="BB35" s="435"/>
      <c r="BC35" s="436"/>
      <c r="BD35" s="430"/>
      <c r="BE35" s="431"/>
      <c r="BF35" s="431"/>
      <c r="BG35" s="431"/>
      <c r="BH35" s="431"/>
      <c r="BI35" s="431"/>
      <c r="BJ35" s="431"/>
      <c r="BK35" s="431"/>
      <c r="BL35" s="431"/>
      <c r="BM35" s="431"/>
      <c r="BN35" s="431"/>
      <c r="BO35" s="431"/>
      <c r="BP35" s="431"/>
      <c r="BQ35" s="431"/>
      <c r="BR35" s="431"/>
      <c r="BS35" s="431"/>
      <c r="BT35" s="431"/>
      <c r="BU35" s="431"/>
      <c r="BV35" s="431"/>
      <c r="BW35" s="431"/>
      <c r="BX35" s="431"/>
      <c r="BY35" s="431"/>
      <c r="BZ35" s="431"/>
      <c r="CA35" s="431"/>
      <c r="CB35" s="431"/>
      <c r="CC35" s="431"/>
      <c r="CD35" s="431"/>
      <c r="CE35" s="431"/>
      <c r="CF35" s="431"/>
      <c r="CG35" s="431"/>
      <c r="CH35" s="431"/>
      <c r="CI35" s="431"/>
      <c r="CJ35" s="431"/>
      <c r="CK35" s="431"/>
      <c r="CL35" s="431"/>
      <c r="CM35" s="431"/>
      <c r="CN35" s="431"/>
      <c r="CO35" s="431"/>
      <c r="CP35" s="431"/>
      <c r="CQ35" s="431"/>
      <c r="CR35" s="431"/>
      <c r="CS35" s="431"/>
      <c r="CT35" s="431"/>
      <c r="CU35" s="431"/>
      <c r="CV35" s="431"/>
      <c r="CW35" s="431"/>
    </row>
    <row r="36" spans="1:101" s="442" customFormat="1" ht="15" customHeight="1">
      <c r="A36" s="433"/>
      <c r="B36" s="431"/>
      <c r="C36" s="2786" t="s">
        <v>1889</v>
      </c>
      <c r="D36" s="734"/>
      <c r="E36" s="435"/>
      <c r="F36" s="435"/>
      <c r="G36" s="435"/>
      <c r="H36" s="435"/>
      <c r="I36" s="435"/>
      <c r="J36" s="435"/>
      <c r="K36" s="435"/>
      <c r="L36" s="435"/>
      <c r="M36" s="435"/>
      <c r="N36" s="435"/>
      <c r="O36" s="435"/>
      <c r="P36" s="435"/>
      <c r="Q36" s="435"/>
      <c r="R36" s="435"/>
      <c r="S36" s="435"/>
      <c r="T36" s="435"/>
      <c r="U36" s="435"/>
      <c r="V36" s="435"/>
      <c r="W36" s="435"/>
      <c r="X36" s="435"/>
      <c r="Y36" s="435"/>
      <c r="Z36" s="435"/>
      <c r="AA36" s="435"/>
      <c r="AB36" s="435"/>
      <c r="AC36" s="435"/>
      <c r="AD36" s="435"/>
      <c r="AE36" s="435"/>
      <c r="AF36" s="435"/>
      <c r="AG36" s="435"/>
      <c r="AH36" s="435"/>
      <c r="AI36" s="435"/>
      <c r="AJ36" s="435"/>
      <c r="AK36" s="435"/>
      <c r="AL36" s="435"/>
      <c r="AM36" s="435"/>
      <c r="AN36" s="435"/>
      <c r="AO36" s="435"/>
      <c r="AP36" s="435"/>
      <c r="AQ36" s="435"/>
      <c r="AR36" s="435"/>
      <c r="AS36" s="435"/>
      <c r="AT36" s="435"/>
      <c r="AU36" s="435"/>
      <c r="AV36" s="435"/>
      <c r="AW36" s="435"/>
      <c r="AX36" s="435"/>
      <c r="AY36" s="435"/>
      <c r="AZ36" s="435"/>
      <c r="BA36" s="435"/>
      <c r="BB36" s="435"/>
      <c r="BC36" s="436"/>
      <c r="BD36" s="430"/>
      <c r="BE36" s="431"/>
      <c r="BF36" s="431"/>
      <c r="BG36" s="431"/>
      <c r="BH36" s="431"/>
      <c r="BI36" s="431"/>
      <c r="BJ36" s="431"/>
      <c r="BK36" s="431"/>
      <c r="BL36" s="431"/>
      <c r="BM36" s="431"/>
      <c r="BN36" s="431"/>
      <c r="BO36" s="431"/>
      <c r="BP36" s="431"/>
      <c r="BQ36" s="431"/>
      <c r="BR36" s="431"/>
      <c r="BS36" s="431"/>
      <c r="BT36" s="431"/>
      <c r="BU36" s="431"/>
      <c r="BV36" s="431"/>
      <c r="BW36" s="431"/>
      <c r="BX36" s="431"/>
      <c r="BY36" s="431"/>
      <c r="BZ36" s="431"/>
      <c r="CA36" s="431"/>
      <c r="CB36" s="431"/>
      <c r="CC36" s="431"/>
      <c r="CD36" s="431"/>
      <c r="CE36" s="431"/>
      <c r="CF36" s="431"/>
      <c r="CG36" s="431"/>
      <c r="CH36" s="431"/>
      <c r="CI36" s="431"/>
      <c r="CJ36" s="431"/>
      <c r="CK36" s="431"/>
      <c r="CL36" s="431"/>
      <c r="CM36" s="431"/>
      <c r="CN36" s="431"/>
      <c r="CO36" s="431"/>
      <c r="CP36" s="431"/>
      <c r="CQ36" s="431"/>
      <c r="CR36" s="431"/>
      <c r="CS36" s="431"/>
      <c r="CT36" s="431"/>
      <c r="CU36" s="431"/>
      <c r="CV36" s="431"/>
      <c r="CW36" s="431"/>
    </row>
    <row r="37" spans="1:101" s="442" customFormat="1" ht="15" customHeight="1">
      <c r="A37" s="433"/>
      <c r="B37" s="431"/>
      <c r="C37" s="443" t="s">
        <v>1890</v>
      </c>
      <c r="D37" s="444">
        <f>'Schedule B'!H183</f>
        <v>479457540.53999996</v>
      </c>
      <c r="E37" s="435"/>
      <c r="F37" s="435"/>
      <c r="G37" s="435"/>
      <c r="H37" s="435"/>
      <c r="I37" s="435"/>
      <c r="J37" s="435"/>
      <c r="K37" s="435"/>
      <c r="L37" s="435"/>
      <c r="M37" s="435"/>
      <c r="N37" s="435"/>
      <c r="O37" s="435"/>
      <c r="P37" s="435"/>
      <c r="Q37" s="435"/>
      <c r="R37" s="435"/>
      <c r="S37" s="435"/>
      <c r="T37" s="435"/>
      <c r="U37" s="435"/>
      <c r="V37" s="435"/>
      <c r="W37" s="435"/>
      <c r="X37" s="435"/>
      <c r="Y37" s="435"/>
      <c r="Z37" s="435"/>
      <c r="AA37" s="435"/>
      <c r="AB37" s="435"/>
      <c r="AC37" s="435"/>
      <c r="AD37" s="435"/>
      <c r="AE37" s="435"/>
      <c r="AF37" s="435"/>
      <c r="AG37" s="435"/>
      <c r="AH37" s="435"/>
      <c r="AI37" s="435"/>
      <c r="AJ37" s="435"/>
      <c r="AK37" s="435"/>
      <c r="AL37" s="435"/>
      <c r="AM37" s="435"/>
      <c r="AN37" s="435"/>
      <c r="AO37" s="435"/>
      <c r="AP37" s="435"/>
      <c r="AQ37" s="435"/>
      <c r="AR37" s="435"/>
      <c r="AS37" s="435"/>
      <c r="AT37" s="435"/>
      <c r="AU37" s="435"/>
      <c r="AV37" s="435"/>
      <c r="AW37" s="435"/>
      <c r="AX37" s="435"/>
      <c r="AY37" s="435"/>
      <c r="AZ37" s="435"/>
      <c r="BA37" s="435"/>
      <c r="BB37" s="435"/>
      <c r="BC37" s="436"/>
      <c r="BD37" s="430"/>
      <c r="BE37" s="431"/>
      <c r="BF37" s="431"/>
      <c r="BG37" s="431"/>
      <c r="BH37" s="431"/>
      <c r="BI37" s="431"/>
      <c r="BJ37" s="431"/>
      <c r="BK37" s="431"/>
      <c r="BL37" s="431"/>
      <c r="BM37" s="431"/>
      <c r="BN37" s="431"/>
      <c r="BO37" s="431"/>
      <c r="BP37" s="431"/>
      <c r="BQ37" s="431"/>
      <c r="BR37" s="431"/>
      <c r="BS37" s="431"/>
      <c r="BT37" s="431"/>
      <c r="BU37" s="431"/>
      <c r="BV37" s="431"/>
      <c r="BW37" s="431"/>
      <c r="BX37" s="431"/>
      <c r="BY37" s="431"/>
      <c r="BZ37" s="431"/>
      <c r="CA37" s="431"/>
      <c r="CB37" s="431"/>
      <c r="CC37" s="431"/>
      <c r="CD37" s="431"/>
      <c r="CE37" s="431"/>
      <c r="CF37" s="431"/>
      <c r="CG37" s="431"/>
      <c r="CH37" s="431"/>
      <c r="CI37" s="431"/>
      <c r="CJ37" s="431"/>
      <c r="CK37" s="431"/>
      <c r="CL37" s="431"/>
      <c r="CM37" s="431"/>
      <c r="CN37" s="431"/>
      <c r="CO37" s="431"/>
      <c r="CP37" s="431"/>
      <c r="CQ37" s="431"/>
      <c r="CR37" s="431"/>
      <c r="CS37" s="431"/>
      <c r="CT37" s="431"/>
      <c r="CU37" s="431"/>
      <c r="CV37" s="431"/>
      <c r="CW37" s="431"/>
    </row>
    <row r="38" spans="1:101" s="442" customFormat="1" ht="15" customHeight="1">
      <c r="A38" s="433"/>
      <c r="B38" s="431"/>
      <c r="C38" s="443"/>
      <c r="D38" s="444">
        <v>0</v>
      </c>
      <c r="E38" s="435"/>
      <c r="F38" s="435"/>
      <c r="G38" s="435"/>
      <c r="H38" s="435"/>
      <c r="I38" s="435"/>
      <c r="J38" s="435"/>
      <c r="K38" s="435"/>
      <c r="L38" s="435"/>
      <c r="M38" s="435"/>
      <c r="N38" s="435"/>
      <c r="O38" s="435"/>
      <c r="P38" s="435"/>
      <c r="Q38" s="435"/>
      <c r="R38" s="435"/>
      <c r="S38" s="435"/>
      <c r="T38" s="435"/>
      <c r="U38" s="435"/>
      <c r="V38" s="435"/>
      <c r="W38" s="435"/>
      <c r="X38" s="435"/>
      <c r="Y38" s="435"/>
      <c r="Z38" s="435"/>
      <c r="AA38" s="435"/>
      <c r="AB38" s="435"/>
      <c r="AC38" s="435"/>
      <c r="AD38" s="435"/>
      <c r="AE38" s="435"/>
      <c r="AF38" s="435"/>
      <c r="AG38" s="435"/>
      <c r="AH38" s="435"/>
      <c r="AI38" s="435"/>
      <c r="AJ38" s="435"/>
      <c r="AK38" s="435"/>
      <c r="AL38" s="435"/>
      <c r="AM38" s="435"/>
      <c r="AN38" s="435"/>
      <c r="AO38" s="435"/>
      <c r="AP38" s="435"/>
      <c r="AQ38" s="435"/>
      <c r="AR38" s="435"/>
      <c r="AS38" s="435"/>
      <c r="AT38" s="435"/>
      <c r="AU38" s="435"/>
      <c r="AV38" s="435"/>
      <c r="AW38" s="435"/>
      <c r="AX38" s="435"/>
      <c r="AY38" s="435"/>
      <c r="AZ38" s="435"/>
      <c r="BA38" s="435"/>
      <c r="BB38" s="435"/>
      <c r="BC38" s="436"/>
      <c r="BD38" s="430"/>
      <c r="BE38" s="431"/>
      <c r="BF38" s="431"/>
      <c r="BG38" s="431"/>
      <c r="BH38" s="431"/>
      <c r="BI38" s="431"/>
      <c r="BJ38" s="431"/>
      <c r="BK38" s="431"/>
      <c r="BL38" s="431"/>
      <c r="BM38" s="431"/>
      <c r="BN38" s="431"/>
      <c r="BO38" s="431"/>
      <c r="BP38" s="431"/>
      <c r="BQ38" s="431"/>
      <c r="BR38" s="431"/>
      <c r="BS38" s="431"/>
      <c r="BT38" s="431"/>
      <c r="BU38" s="431"/>
      <c r="BV38" s="431"/>
      <c r="BW38" s="431"/>
      <c r="BX38" s="431"/>
      <c r="BY38" s="431"/>
      <c r="BZ38" s="431"/>
      <c r="CA38" s="431"/>
      <c r="CB38" s="431"/>
      <c r="CC38" s="431"/>
      <c r="CD38" s="431"/>
      <c r="CE38" s="431"/>
      <c r="CF38" s="431"/>
      <c r="CG38" s="431"/>
      <c r="CH38" s="431"/>
      <c r="CI38" s="431"/>
      <c r="CJ38" s="431"/>
      <c r="CK38" s="431"/>
      <c r="CL38" s="431"/>
      <c r="CM38" s="431"/>
      <c r="CN38" s="431"/>
      <c r="CO38" s="431"/>
      <c r="CP38" s="431"/>
      <c r="CQ38" s="431"/>
      <c r="CR38" s="431"/>
      <c r="CS38" s="431"/>
      <c r="CT38" s="431"/>
      <c r="CU38" s="431"/>
      <c r="CV38" s="431"/>
      <c r="CW38" s="431"/>
    </row>
    <row r="39" spans="1:101" s="442" customFormat="1" ht="15" customHeight="1">
      <c r="A39" s="433"/>
      <c r="B39" s="431"/>
      <c r="C39" s="443"/>
      <c r="D39" s="444">
        <v>0</v>
      </c>
      <c r="E39" s="435"/>
      <c r="F39" s="435"/>
      <c r="G39" s="435"/>
      <c r="H39" s="435"/>
      <c r="I39" s="435"/>
      <c r="J39" s="435"/>
      <c r="K39" s="435"/>
      <c r="L39" s="435"/>
      <c r="M39" s="435"/>
      <c r="N39" s="435"/>
      <c r="O39" s="435"/>
      <c r="P39" s="435"/>
      <c r="Q39" s="435"/>
      <c r="R39" s="435"/>
      <c r="S39" s="435"/>
      <c r="T39" s="435"/>
      <c r="U39" s="435"/>
      <c r="V39" s="435"/>
      <c r="W39" s="435"/>
      <c r="X39" s="435"/>
      <c r="Y39" s="435"/>
      <c r="Z39" s="435"/>
      <c r="AA39" s="435"/>
      <c r="AB39" s="435"/>
      <c r="AC39" s="435"/>
      <c r="AD39" s="435"/>
      <c r="AE39" s="435"/>
      <c r="AF39" s="435"/>
      <c r="AG39" s="435"/>
      <c r="AH39" s="435"/>
      <c r="AI39" s="435"/>
      <c r="AJ39" s="435"/>
      <c r="AK39" s="435"/>
      <c r="AL39" s="435"/>
      <c r="AM39" s="435"/>
      <c r="AN39" s="435"/>
      <c r="AO39" s="435"/>
      <c r="AP39" s="435"/>
      <c r="AQ39" s="435"/>
      <c r="AR39" s="435"/>
      <c r="AS39" s="435"/>
      <c r="AT39" s="435"/>
      <c r="AU39" s="435"/>
      <c r="AV39" s="435"/>
      <c r="AW39" s="435"/>
      <c r="AX39" s="435"/>
      <c r="AY39" s="435"/>
      <c r="AZ39" s="435"/>
      <c r="BA39" s="435"/>
      <c r="BB39" s="435"/>
      <c r="BC39" s="436"/>
      <c r="BD39" s="430"/>
      <c r="BE39" s="431"/>
      <c r="BF39" s="431"/>
      <c r="BG39" s="431"/>
      <c r="BH39" s="431"/>
      <c r="BI39" s="431"/>
      <c r="BJ39" s="431"/>
      <c r="BK39" s="431"/>
      <c r="BL39" s="431"/>
      <c r="BM39" s="431"/>
      <c r="BN39" s="431"/>
      <c r="BO39" s="431"/>
      <c r="BP39" s="431"/>
      <c r="BQ39" s="431"/>
      <c r="BR39" s="431"/>
      <c r="BS39" s="431"/>
      <c r="BT39" s="431"/>
      <c r="BU39" s="431"/>
      <c r="BV39" s="431"/>
      <c r="BW39" s="431"/>
      <c r="BX39" s="431"/>
      <c r="BY39" s="431"/>
      <c r="BZ39" s="431"/>
      <c r="CA39" s="431"/>
      <c r="CB39" s="431"/>
      <c r="CC39" s="431"/>
      <c r="CD39" s="431"/>
      <c r="CE39" s="431"/>
      <c r="CF39" s="431"/>
      <c r="CG39" s="431"/>
      <c r="CH39" s="431"/>
      <c r="CI39" s="431"/>
      <c r="CJ39" s="431"/>
      <c r="CK39" s="431"/>
      <c r="CL39" s="431"/>
      <c r="CM39" s="431"/>
      <c r="CN39" s="431"/>
      <c r="CO39" s="431"/>
      <c r="CP39" s="431"/>
      <c r="CQ39" s="431"/>
      <c r="CR39" s="431"/>
      <c r="CS39" s="431"/>
      <c r="CT39" s="431"/>
      <c r="CU39" s="431"/>
      <c r="CV39" s="431"/>
      <c r="CW39" s="431"/>
    </row>
    <row r="40" spans="1:101" s="442" customFormat="1" ht="15" customHeight="1">
      <c r="A40" s="433"/>
      <c r="B40" s="431"/>
      <c r="C40" s="443"/>
      <c r="D40" s="444">
        <v>0</v>
      </c>
      <c r="E40" s="435"/>
      <c r="F40" s="435"/>
      <c r="G40" s="435"/>
      <c r="H40" s="435"/>
      <c r="I40" s="435"/>
      <c r="J40" s="435"/>
      <c r="K40" s="435"/>
      <c r="L40" s="435"/>
      <c r="M40" s="435"/>
      <c r="N40" s="435"/>
      <c r="O40" s="435"/>
      <c r="P40" s="435"/>
      <c r="Q40" s="435"/>
      <c r="R40" s="435"/>
      <c r="S40" s="435"/>
      <c r="T40" s="435"/>
      <c r="U40" s="435"/>
      <c r="V40" s="435"/>
      <c r="W40" s="435"/>
      <c r="X40" s="435"/>
      <c r="Y40" s="435"/>
      <c r="Z40" s="435"/>
      <c r="AA40" s="435"/>
      <c r="AB40" s="435"/>
      <c r="AC40" s="435"/>
      <c r="AD40" s="435"/>
      <c r="AE40" s="435"/>
      <c r="AF40" s="435"/>
      <c r="AG40" s="435"/>
      <c r="AH40" s="435"/>
      <c r="AI40" s="435"/>
      <c r="AJ40" s="435"/>
      <c r="AK40" s="435"/>
      <c r="AL40" s="435"/>
      <c r="AM40" s="435"/>
      <c r="AN40" s="435"/>
      <c r="AO40" s="435"/>
      <c r="AP40" s="435"/>
      <c r="AQ40" s="435"/>
      <c r="AR40" s="435"/>
      <c r="AS40" s="435"/>
      <c r="AT40" s="435"/>
      <c r="AU40" s="435"/>
      <c r="AV40" s="435"/>
      <c r="AW40" s="435"/>
      <c r="AX40" s="435"/>
      <c r="AY40" s="435"/>
      <c r="AZ40" s="435"/>
      <c r="BA40" s="435"/>
      <c r="BB40" s="435"/>
      <c r="BC40" s="436"/>
      <c r="BD40" s="430"/>
      <c r="BE40" s="431"/>
      <c r="BF40" s="431"/>
      <c r="BG40" s="431"/>
      <c r="BH40" s="431"/>
      <c r="BI40" s="431"/>
      <c r="BJ40" s="431"/>
      <c r="BK40" s="431"/>
      <c r="BL40" s="431"/>
      <c r="BM40" s="431"/>
      <c r="BN40" s="431"/>
      <c r="BO40" s="431"/>
      <c r="BP40" s="431"/>
      <c r="BQ40" s="431"/>
      <c r="BR40" s="431"/>
      <c r="BS40" s="431"/>
      <c r="BT40" s="431"/>
      <c r="BU40" s="431"/>
      <c r="BV40" s="431"/>
      <c r="BW40" s="431"/>
      <c r="BX40" s="431"/>
      <c r="BY40" s="431"/>
      <c r="BZ40" s="431"/>
      <c r="CA40" s="431"/>
      <c r="CB40" s="431"/>
      <c r="CC40" s="431"/>
      <c r="CD40" s="431"/>
      <c r="CE40" s="431"/>
      <c r="CF40" s="431"/>
      <c r="CG40" s="431"/>
      <c r="CH40" s="431"/>
      <c r="CI40" s="431"/>
      <c r="CJ40" s="431"/>
      <c r="CK40" s="431"/>
      <c r="CL40" s="431"/>
      <c r="CM40" s="431"/>
      <c r="CN40" s="431"/>
      <c r="CO40" s="431"/>
      <c r="CP40" s="431"/>
      <c r="CQ40" s="431"/>
      <c r="CR40" s="431"/>
      <c r="CS40" s="431"/>
      <c r="CT40" s="431"/>
      <c r="CU40" s="431"/>
      <c r="CV40" s="431"/>
      <c r="CW40" s="431"/>
    </row>
    <row r="41" spans="1:101" s="442" customFormat="1" ht="15" customHeight="1">
      <c r="A41" s="433"/>
      <c r="B41" s="431"/>
      <c r="C41" s="445" t="s">
        <v>1891</v>
      </c>
      <c r="D41" s="446">
        <f>D37+D38+D39+D40</f>
        <v>479457540.53999996</v>
      </c>
      <c r="E41" s="435"/>
      <c r="F41" s="435"/>
      <c r="G41" s="435"/>
      <c r="H41" s="435"/>
      <c r="I41" s="435"/>
      <c r="J41" s="435"/>
      <c r="K41" s="435"/>
      <c r="L41" s="435"/>
      <c r="M41" s="435"/>
      <c r="N41" s="435"/>
      <c r="O41" s="435"/>
      <c r="P41" s="435"/>
      <c r="Q41" s="435"/>
      <c r="R41" s="435"/>
      <c r="S41" s="435"/>
      <c r="T41" s="435"/>
      <c r="U41" s="435"/>
      <c r="V41" s="435"/>
      <c r="W41" s="435"/>
      <c r="X41" s="435"/>
      <c r="Y41" s="435"/>
      <c r="Z41" s="435"/>
      <c r="AA41" s="435"/>
      <c r="AB41" s="435"/>
      <c r="AC41" s="435"/>
      <c r="AD41" s="435"/>
      <c r="AE41" s="435"/>
      <c r="AF41" s="435"/>
      <c r="AG41" s="435"/>
      <c r="AH41" s="435"/>
      <c r="AI41" s="435"/>
      <c r="AJ41" s="435"/>
      <c r="AK41" s="435"/>
      <c r="AL41" s="435"/>
      <c r="AM41" s="435"/>
      <c r="AN41" s="435"/>
      <c r="AO41" s="435"/>
      <c r="AP41" s="435"/>
      <c r="AQ41" s="435"/>
      <c r="AR41" s="435"/>
      <c r="AS41" s="435"/>
      <c r="AT41" s="435"/>
      <c r="AU41" s="435"/>
      <c r="AV41" s="435"/>
      <c r="AW41" s="435"/>
      <c r="AX41" s="435"/>
      <c r="AY41" s="435"/>
      <c r="AZ41" s="435"/>
      <c r="BA41" s="435"/>
      <c r="BB41" s="435"/>
      <c r="BC41" s="436"/>
      <c r="BD41" s="430"/>
      <c r="BE41" s="431"/>
      <c r="BF41" s="431"/>
      <c r="BG41" s="431"/>
      <c r="BH41" s="431"/>
      <c r="BI41" s="431"/>
      <c r="BJ41" s="431"/>
      <c r="BK41" s="431"/>
      <c r="BL41" s="431"/>
      <c r="BM41" s="431"/>
      <c r="BN41" s="431"/>
      <c r="BO41" s="431"/>
      <c r="BP41" s="431"/>
      <c r="BQ41" s="431"/>
      <c r="BR41" s="431"/>
      <c r="BS41" s="431"/>
      <c r="BT41" s="431"/>
      <c r="BU41" s="431"/>
      <c r="BV41" s="431"/>
      <c r="BW41" s="431"/>
      <c r="BX41" s="431"/>
      <c r="BY41" s="431"/>
      <c r="BZ41" s="431"/>
      <c r="CA41" s="431"/>
      <c r="CB41" s="431"/>
      <c r="CC41" s="431"/>
      <c r="CD41" s="431"/>
      <c r="CE41" s="431"/>
      <c r="CF41" s="431"/>
      <c r="CG41" s="431"/>
      <c r="CH41" s="431"/>
      <c r="CI41" s="431"/>
      <c r="CJ41" s="431"/>
      <c r="CK41" s="431"/>
      <c r="CL41" s="431"/>
      <c r="CM41" s="431"/>
      <c r="CN41" s="431"/>
      <c r="CO41" s="431"/>
      <c r="CP41" s="431"/>
      <c r="CQ41" s="431"/>
      <c r="CR41" s="431"/>
      <c r="CS41" s="431"/>
      <c r="CT41" s="431"/>
      <c r="CU41" s="431"/>
      <c r="CV41" s="431"/>
      <c r="CW41" s="431"/>
    </row>
    <row r="42" spans="1:101" s="442" customFormat="1" ht="15" customHeight="1">
      <c r="A42" s="433"/>
      <c r="B42" s="431"/>
      <c r="C42" s="447"/>
      <c r="D42" s="448"/>
      <c r="E42" s="435"/>
      <c r="F42" s="435"/>
      <c r="G42" s="435"/>
      <c r="H42" s="435"/>
      <c r="I42" s="435"/>
      <c r="J42" s="435"/>
      <c r="K42" s="435"/>
      <c r="L42" s="435"/>
      <c r="M42" s="435"/>
      <c r="N42" s="435"/>
      <c r="O42" s="435"/>
      <c r="P42" s="435"/>
      <c r="Q42" s="435"/>
      <c r="R42" s="435"/>
      <c r="S42" s="435"/>
      <c r="T42" s="435"/>
      <c r="U42" s="435"/>
      <c r="V42" s="435"/>
      <c r="W42" s="435"/>
      <c r="X42" s="435"/>
      <c r="Y42" s="435"/>
      <c r="Z42" s="435"/>
      <c r="AA42" s="435"/>
      <c r="AB42" s="435"/>
      <c r="AC42" s="435"/>
      <c r="AD42" s="435"/>
      <c r="AE42" s="435"/>
      <c r="AF42" s="435"/>
      <c r="AG42" s="435"/>
      <c r="AH42" s="435"/>
      <c r="AI42" s="435"/>
      <c r="AJ42" s="435"/>
      <c r="AK42" s="435"/>
      <c r="AL42" s="435"/>
      <c r="AM42" s="435"/>
      <c r="AN42" s="435"/>
      <c r="AO42" s="435"/>
      <c r="AP42" s="435"/>
      <c r="AQ42" s="435"/>
      <c r="AR42" s="435"/>
      <c r="AS42" s="435"/>
      <c r="AT42" s="435"/>
      <c r="AU42" s="435"/>
      <c r="AV42" s="435"/>
      <c r="AW42" s="435"/>
      <c r="AX42" s="435"/>
      <c r="AY42" s="435"/>
      <c r="AZ42" s="435"/>
      <c r="BA42" s="435"/>
      <c r="BB42" s="435"/>
      <c r="BC42" s="436"/>
      <c r="BD42" s="430"/>
      <c r="BE42" s="431"/>
      <c r="BF42" s="431"/>
      <c r="BG42" s="431"/>
      <c r="BH42" s="431"/>
      <c r="BI42" s="431"/>
      <c r="BJ42" s="431"/>
      <c r="BK42" s="431"/>
      <c r="BL42" s="431"/>
      <c r="BM42" s="431"/>
      <c r="BN42" s="431"/>
      <c r="BO42" s="431"/>
      <c r="BP42" s="431"/>
      <c r="BQ42" s="431"/>
      <c r="BR42" s="431"/>
      <c r="BS42" s="431"/>
      <c r="BT42" s="431"/>
      <c r="BU42" s="431"/>
      <c r="BV42" s="431"/>
      <c r="BW42" s="431"/>
      <c r="BX42" s="431"/>
      <c r="BY42" s="431"/>
      <c r="BZ42" s="431"/>
      <c r="CA42" s="431"/>
      <c r="CB42" s="431"/>
      <c r="CC42" s="431"/>
      <c r="CD42" s="431"/>
      <c r="CE42" s="431"/>
      <c r="CF42" s="431"/>
      <c r="CG42" s="431"/>
      <c r="CH42" s="431"/>
      <c r="CI42" s="431"/>
      <c r="CJ42" s="431"/>
      <c r="CK42" s="431"/>
      <c r="CL42" s="431"/>
      <c r="CM42" s="431"/>
      <c r="CN42" s="431"/>
      <c r="CO42" s="431"/>
      <c r="CP42" s="431"/>
      <c r="CQ42" s="431"/>
      <c r="CR42" s="431"/>
      <c r="CS42" s="431"/>
      <c r="CT42" s="431"/>
      <c r="CU42" s="431"/>
      <c r="CV42" s="431"/>
      <c r="CW42" s="431"/>
    </row>
    <row r="43" spans="1:101" s="442" customFormat="1" ht="15" customHeight="1">
      <c r="A43" s="433"/>
      <c r="B43" s="431"/>
      <c r="C43" s="415"/>
      <c r="D43" s="415"/>
      <c r="E43" s="435"/>
      <c r="F43" s="435"/>
      <c r="G43" s="435"/>
      <c r="H43" s="435"/>
      <c r="I43" s="435"/>
      <c r="J43" s="435"/>
      <c r="K43" s="435"/>
      <c r="L43" s="435"/>
      <c r="M43" s="435"/>
      <c r="N43" s="435"/>
      <c r="O43" s="435"/>
      <c r="P43" s="435"/>
      <c r="Q43" s="435"/>
      <c r="R43" s="435"/>
      <c r="S43" s="435"/>
      <c r="T43" s="435"/>
      <c r="U43" s="435"/>
      <c r="V43" s="435"/>
      <c r="W43" s="435"/>
      <c r="X43" s="435"/>
      <c r="Y43" s="435"/>
      <c r="Z43" s="435"/>
      <c r="AA43" s="435"/>
      <c r="AB43" s="435"/>
      <c r="AC43" s="435"/>
      <c r="AD43" s="435"/>
      <c r="AE43" s="435"/>
      <c r="AF43" s="435"/>
      <c r="AG43" s="435"/>
      <c r="AH43" s="435"/>
      <c r="AI43" s="435"/>
      <c r="AJ43" s="435"/>
      <c r="AK43" s="435"/>
      <c r="AL43" s="435"/>
      <c r="AM43" s="435"/>
      <c r="AN43" s="435"/>
      <c r="AO43" s="435"/>
      <c r="AP43" s="435"/>
      <c r="AQ43" s="435"/>
      <c r="AR43" s="435"/>
      <c r="AS43" s="435"/>
      <c r="AT43" s="435"/>
      <c r="AU43" s="435"/>
      <c r="AV43" s="435"/>
      <c r="AW43" s="435"/>
      <c r="AX43" s="435"/>
      <c r="AY43" s="435"/>
      <c r="AZ43" s="435"/>
      <c r="BA43" s="435"/>
      <c r="BB43" s="435"/>
      <c r="BC43" s="436"/>
      <c r="BD43" s="430"/>
      <c r="BE43" s="431"/>
      <c r="BF43" s="431"/>
      <c r="BG43" s="431"/>
      <c r="BH43" s="431"/>
      <c r="BI43" s="431"/>
      <c r="BJ43" s="431"/>
      <c r="BK43" s="431"/>
      <c r="BL43" s="431"/>
      <c r="BM43" s="431"/>
      <c r="BN43" s="431"/>
      <c r="BO43" s="431"/>
      <c r="BP43" s="431"/>
      <c r="BQ43" s="431"/>
      <c r="BR43" s="431"/>
      <c r="BS43" s="431"/>
      <c r="BT43" s="431"/>
      <c r="BU43" s="431"/>
      <c r="BV43" s="431"/>
      <c r="BW43" s="431"/>
      <c r="BX43" s="431"/>
      <c r="BY43" s="431"/>
      <c r="BZ43" s="431"/>
      <c r="CA43" s="431"/>
      <c r="CB43" s="431"/>
      <c r="CC43" s="431"/>
      <c r="CD43" s="431"/>
      <c r="CE43" s="431"/>
      <c r="CF43" s="431"/>
      <c r="CG43" s="431"/>
      <c r="CH43" s="431"/>
      <c r="CI43" s="431"/>
      <c r="CJ43" s="431"/>
      <c r="CK43" s="431"/>
      <c r="CL43" s="431"/>
      <c r="CM43" s="431"/>
      <c r="CN43" s="431"/>
      <c r="CO43" s="431"/>
      <c r="CP43" s="431"/>
      <c r="CQ43" s="431"/>
      <c r="CR43" s="431"/>
      <c r="CS43" s="431"/>
      <c r="CT43" s="431"/>
      <c r="CU43" s="431"/>
      <c r="CV43" s="431"/>
      <c r="CW43" s="431"/>
    </row>
    <row r="44" spans="1:101" s="442" customFormat="1" ht="15" customHeight="1">
      <c r="A44" s="433"/>
      <c r="B44" s="431"/>
      <c r="C44" s="438"/>
      <c r="D44" s="484"/>
      <c r="E44" s="435"/>
      <c r="F44" s="435"/>
      <c r="G44" s="435"/>
      <c r="H44" s="435"/>
      <c r="I44" s="435"/>
      <c r="J44" s="435"/>
      <c r="K44" s="435"/>
      <c r="L44" s="435"/>
      <c r="M44" s="435"/>
      <c r="N44" s="435"/>
      <c r="O44" s="435"/>
      <c r="P44" s="435"/>
      <c r="Q44" s="435"/>
      <c r="R44" s="435"/>
      <c r="S44" s="435"/>
      <c r="T44" s="435"/>
      <c r="U44" s="435"/>
      <c r="V44" s="435"/>
      <c r="W44" s="435"/>
      <c r="X44" s="435"/>
      <c r="Y44" s="435"/>
      <c r="Z44" s="435"/>
      <c r="AA44" s="435"/>
      <c r="AB44" s="435"/>
      <c r="AC44" s="435"/>
      <c r="AD44" s="435"/>
      <c r="AE44" s="435"/>
      <c r="AF44" s="435"/>
      <c r="AG44" s="435"/>
      <c r="AH44" s="435"/>
      <c r="AI44" s="435"/>
      <c r="AJ44" s="435"/>
      <c r="AK44" s="435"/>
      <c r="AL44" s="435"/>
      <c r="AM44" s="435"/>
      <c r="AN44" s="435"/>
      <c r="AO44" s="435"/>
      <c r="AP44" s="435"/>
      <c r="AQ44" s="435"/>
      <c r="AR44" s="435"/>
      <c r="AS44" s="435"/>
      <c r="AT44" s="435"/>
      <c r="AU44" s="435"/>
      <c r="AV44" s="435"/>
      <c r="AW44" s="435"/>
      <c r="AX44" s="435"/>
      <c r="AY44" s="435"/>
      <c r="AZ44" s="435"/>
      <c r="BA44" s="435"/>
      <c r="BB44" s="435"/>
      <c r="BC44" s="436"/>
      <c r="BD44" s="430"/>
      <c r="BE44" s="431"/>
      <c r="BF44" s="431"/>
      <c r="BG44" s="431"/>
      <c r="BH44" s="431"/>
      <c r="BI44" s="431"/>
      <c r="BJ44" s="431"/>
      <c r="BK44" s="431"/>
      <c r="BL44" s="431"/>
      <c r="BM44" s="431"/>
      <c r="BN44" s="431"/>
      <c r="BO44" s="431"/>
      <c r="BP44" s="431"/>
      <c r="BQ44" s="431"/>
      <c r="BR44" s="431"/>
      <c r="BS44" s="431"/>
      <c r="BT44" s="431"/>
      <c r="BU44" s="431"/>
      <c r="BV44" s="431"/>
      <c r="BW44" s="431"/>
      <c r="BX44" s="431"/>
      <c r="BY44" s="431"/>
      <c r="BZ44" s="431"/>
      <c r="CA44" s="431"/>
      <c r="CB44" s="431"/>
      <c r="CC44" s="431"/>
      <c r="CD44" s="431"/>
      <c r="CE44" s="431"/>
      <c r="CF44" s="431"/>
      <c r="CG44" s="431"/>
      <c r="CH44" s="431"/>
      <c r="CI44" s="431"/>
      <c r="CJ44" s="431"/>
      <c r="CK44" s="431"/>
      <c r="CL44" s="431"/>
      <c r="CM44" s="431"/>
      <c r="CN44" s="431"/>
      <c r="CO44" s="431"/>
      <c r="CP44" s="431"/>
      <c r="CQ44" s="431"/>
      <c r="CR44" s="431"/>
      <c r="CS44" s="431"/>
      <c r="CT44" s="431"/>
      <c r="CU44" s="431"/>
      <c r="CV44" s="431"/>
      <c r="CW44" s="431"/>
    </row>
    <row r="45" spans="1:101" ht="15" customHeight="1">
      <c r="A45" s="433"/>
      <c r="C45" s="438"/>
      <c r="D45" s="484"/>
      <c r="E45" s="435"/>
      <c r="F45" s="435"/>
      <c r="G45" s="435"/>
      <c r="H45" s="435"/>
      <c r="I45" s="435"/>
      <c r="J45" s="435"/>
      <c r="K45" s="435"/>
      <c r="L45" s="435"/>
      <c r="M45" s="435"/>
      <c r="N45" s="435"/>
      <c r="O45" s="435"/>
      <c r="P45" s="435"/>
      <c r="Q45" s="435"/>
      <c r="R45" s="435"/>
      <c r="S45" s="435"/>
      <c r="T45" s="435"/>
      <c r="U45" s="435"/>
      <c r="V45" s="435"/>
      <c r="W45" s="435"/>
      <c r="X45" s="435"/>
      <c r="Y45" s="435"/>
      <c r="Z45" s="435"/>
      <c r="AA45" s="435"/>
      <c r="AB45" s="435"/>
      <c r="AC45" s="435"/>
      <c r="AD45" s="435"/>
      <c r="AE45" s="435"/>
      <c r="AF45" s="435"/>
      <c r="AG45" s="435"/>
      <c r="AH45" s="435"/>
      <c r="AI45" s="435"/>
      <c r="AJ45" s="435"/>
      <c r="AK45" s="435"/>
      <c r="AL45" s="435"/>
      <c r="AM45" s="435"/>
      <c r="AN45" s="435"/>
      <c r="AO45" s="435"/>
      <c r="AP45" s="435"/>
      <c r="AQ45" s="435"/>
      <c r="AR45" s="435"/>
      <c r="AS45" s="435"/>
      <c r="AT45" s="435"/>
      <c r="AU45" s="435"/>
      <c r="AV45" s="435"/>
      <c r="AW45" s="435"/>
      <c r="AX45" s="435"/>
      <c r="AY45" s="435"/>
      <c r="AZ45" s="435"/>
      <c r="BA45" s="435"/>
      <c r="BB45" s="435"/>
      <c r="BC45" s="436"/>
    </row>
    <row r="46" spans="1:101" ht="15" customHeight="1">
      <c r="A46" s="433"/>
      <c r="C46" s="438"/>
      <c r="D46" s="484"/>
      <c r="E46" s="435"/>
      <c r="F46" s="435"/>
      <c r="G46" s="435"/>
      <c r="H46" s="435"/>
      <c r="I46" s="435"/>
      <c r="J46" s="435"/>
      <c r="K46" s="435"/>
      <c r="L46" s="435"/>
      <c r="M46" s="435"/>
      <c r="N46" s="435"/>
      <c r="O46" s="435"/>
      <c r="P46" s="435"/>
      <c r="Q46" s="435"/>
      <c r="R46" s="435"/>
      <c r="S46" s="435"/>
      <c r="T46" s="435"/>
      <c r="U46" s="435"/>
      <c r="V46" s="435"/>
      <c r="W46" s="435"/>
      <c r="X46" s="435"/>
      <c r="Y46" s="435"/>
      <c r="Z46" s="435"/>
      <c r="AA46" s="435"/>
      <c r="AB46" s="435"/>
      <c r="AC46" s="435"/>
      <c r="AD46" s="435"/>
      <c r="AE46" s="435"/>
      <c r="AF46" s="435"/>
      <c r="AG46" s="435"/>
      <c r="AH46" s="435"/>
      <c r="AI46" s="435"/>
      <c r="AJ46" s="435"/>
      <c r="AK46" s="435"/>
      <c r="AL46" s="435"/>
      <c r="AM46" s="435"/>
      <c r="AN46" s="435"/>
      <c r="AO46" s="435"/>
      <c r="AP46" s="435"/>
      <c r="AQ46" s="435"/>
      <c r="AR46" s="435"/>
      <c r="AS46" s="435"/>
      <c r="AT46" s="435"/>
      <c r="AU46" s="435"/>
      <c r="AV46" s="435"/>
      <c r="AW46" s="435"/>
      <c r="AX46" s="435"/>
      <c r="AY46" s="435"/>
      <c r="AZ46" s="435"/>
      <c r="BA46" s="435"/>
      <c r="BB46" s="435"/>
      <c r="BC46" s="436"/>
    </row>
    <row r="47" spans="1:101" ht="15" customHeight="1">
      <c r="A47" s="433"/>
      <c r="C47" s="438"/>
      <c r="E47" s="435"/>
      <c r="F47" s="435"/>
      <c r="G47" s="435"/>
      <c r="H47" s="435"/>
      <c r="I47" s="435"/>
      <c r="J47" s="435"/>
      <c r="K47" s="435"/>
      <c r="L47" s="435"/>
      <c r="M47" s="435"/>
      <c r="N47" s="435"/>
      <c r="O47" s="435"/>
      <c r="P47" s="435"/>
      <c r="Q47" s="435"/>
      <c r="R47" s="435"/>
      <c r="S47" s="435"/>
      <c r="T47" s="435"/>
      <c r="U47" s="435"/>
      <c r="V47" s="435"/>
      <c r="W47" s="435"/>
      <c r="X47" s="435"/>
      <c r="Y47" s="435"/>
      <c r="Z47" s="435"/>
      <c r="AA47" s="435"/>
      <c r="AB47" s="435"/>
      <c r="AC47" s="435"/>
      <c r="AD47" s="435"/>
      <c r="AE47" s="435"/>
      <c r="AF47" s="435"/>
      <c r="AG47" s="435"/>
      <c r="AH47" s="435"/>
      <c r="AI47" s="435"/>
      <c r="AJ47" s="435"/>
      <c r="AK47" s="435"/>
      <c r="AL47" s="435"/>
      <c r="AM47" s="435"/>
      <c r="AN47" s="435"/>
      <c r="AO47" s="435"/>
      <c r="AP47" s="435"/>
      <c r="AQ47" s="435"/>
      <c r="AR47" s="435"/>
      <c r="AS47" s="435"/>
      <c r="AT47" s="435"/>
      <c r="AU47" s="435"/>
      <c r="AV47" s="435"/>
      <c r="AW47" s="435"/>
      <c r="AX47" s="435"/>
      <c r="AY47" s="435"/>
      <c r="AZ47" s="435"/>
      <c r="BA47" s="435"/>
      <c r="BB47" s="435"/>
      <c r="BC47" s="436"/>
    </row>
    <row r="48" spans="1:101" ht="15" customHeight="1">
      <c r="A48" s="433"/>
      <c r="C48" s="438"/>
      <c r="E48" s="435"/>
      <c r="F48" s="435"/>
      <c r="G48" s="435"/>
      <c r="H48" s="435"/>
      <c r="I48" s="435"/>
      <c r="J48" s="435"/>
      <c r="K48" s="435"/>
      <c r="L48" s="435"/>
      <c r="M48" s="435"/>
      <c r="N48" s="435"/>
      <c r="O48" s="435"/>
      <c r="P48" s="435"/>
      <c r="Q48" s="435"/>
      <c r="R48" s="435"/>
      <c r="S48" s="435"/>
      <c r="T48" s="435"/>
      <c r="U48" s="435"/>
      <c r="V48" s="435"/>
      <c r="W48" s="435"/>
      <c r="X48" s="435"/>
      <c r="Y48" s="435"/>
      <c r="Z48" s="435"/>
      <c r="AA48" s="435"/>
      <c r="AB48" s="435"/>
      <c r="AC48" s="435"/>
      <c r="AD48" s="435"/>
      <c r="AE48" s="435"/>
      <c r="AF48" s="435"/>
      <c r="AG48" s="435"/>
      <c r="AH48" s="435"/>
      <c r="AI48" s="435"/>
      <c r="AJ48" s="435"/>
      <c r="AK48" s="435"/>
      <c r="AL48" s="435"/>
      <c r="AM48" s="435"/>
      <c r="AN48" s="435"/>
      <c r="AO48" s="435"/>
      <c r="AP48" s="435"/>
      <c r="AQ48" s="435"/>
      <c r="AR48" s="435"/>
      <c r="AS48" s="435"/>
      <c r="AT48" s="435"/>
      <c r="AU48" s="435"/>
      <c r="AV48" s="435"/>
      <c r="AW48" s="435"/>
      <c r="AX48" s="435"/>
      <c r="AY48" s="435"/>
      <c r="AZ48" s="435"/>
      <c r="BA48" s="435"/>
      <c r="BB48" s="435"/>
      <c r="BC48" s="436"/>
    </row>
    <row r="49" spans="1:57">
      <c r="A49" s="433"/>
      <c r="E49" s="435"/>
      <c r="F49" s="435"/>
      <c r="G49" s="435"/>
      <c r="H49" s="435"/>
      <c r="I49" s="435"/>
      <c r="J49" s="435"/>
      <c r="K49" s="435"/>
      <c r="L49" s="435"/>
      <c r="M49" s="435"/>
      <c r="N49" s="435"/>
      <c r="O49" s="435"/>
      <c r="P49" s="435"/>
      <c r="Q49" s="435"/>
      <c r="R49" s="435"/>
      <c r="S49" s="435"/>
      <c r="T49" s="435"/>
      <c r="U49" s="435"/>
      <c r="V49" s="435"/>
      <c r="W49" s="435"/>
      <c r="X49" s="435"/>
      <c r="Y49" s="435"/>
      <c r="Z49" s="435"/>
      <c r="AA49" s="435"/>
      <c r="AB49" s="435"/>
      <c r="AC49" s="435"/>
      <c r="AD49" s="435"/>
      <c r="AE49" s="435"/>
      <c r="AF49" s="435"/>
      <c r="AG49" s="435"/>
      <c r="AH49" s="435"/>
      <c r="AI49" s="435"/>
      <c r="AJ49" s="435"/>
      <c r="AK49" s="435"/>
      <c r="AL49" s="435"/>
      <c r="AM49" s="435"/>
      <c r="AN49" s="435"/>
      <c r="AO49" s="435"/>
      <c r="AP49" s="435"/>
      <c r="AQ49" s="435"/>
      <c r="AR49" s="435"/>
      <c r="AS49" s="435"/>
      <c r="AT49" s="435"/>
      <c r="AU49" s="435"/>
      <c r="AV49" s="435"/>
      <c r="AW49" s="435"/>
      <c r="AX49" s="435"/>
      <c r="AY49" s="435"/>
      <c r="AZ49" s="435"/>
      <c r="BA49" s="435"/>
      <c r="BB49" s="435"/>
      <c r="BC49" s="436"/>
    </row>
    <row r="50" spans="1:57" s="415" customFormat="1" ht="15" customHeight="1">
      <c r="B50" s="735"/>
      <c r="C50" s="736"/>
      <c r="D50" s="737" t="s">
        <v>1892</v>
      </c>
      <c r="E50" s="738">
        <v>1</v>
      </c>
      <c r="F50" s="738">
        <f t="shared" ref="F50:BB50" si="4">E50+1</f>
        <v>2</v>
      </c>
      <c r="G50" s="738">
        <f t="shared" si="4"/>
        <v>3</v>
      </c>
      <c r="H50" s="738">
        <f t="shared" si="4"/>
        <v>4</v>
      </c>
      <c r="I50" s="738">
        <f t="shared" si="4"/>
        <v>5</v>
      </c>
      <c r="J50" s="738">
        <f t="shared" si="4"/>
        <v>6</v>
      </c>
      <c r="K50" s="738">
        <f t="shared" si="4"/>
        <v>7</v>
      </c>
      <c r="L50" s="738">
        <f t="shared" si="4"/>
        <v>8</v>
      </c>
      <c r="M50" s="738">
        <f t="shared" si="4"/>
        <v>9</v>
      </c>
      <c r="N50" s="738">
        <f t="shared" si="4"/>
        <v>10</v>
      </c>
      <c r="O50" s="738">
        <f t="shared" si="4"/>
        <v>11</v>
      </c>
      <c r="P50" s="738">
        <f t="shared" si="4"/>
        <v>12</v>
      </c>
      <c r="Q50" s="738">
        <f t="shared" si="4"/>
        <v>13</v>
      </c>
      <c r="R50" s="738">
        <f t="shared" si="4"/>
        <v>14</v>
      </c>
      <c r="S50" s="738">
        <f t="shared" si="4"/>
        <v>15</v>
      </c>
      <c r="T50" s="738">
        <f t="shared" si="4"/>
        <v>16</v>
      </c>
      <c r="U50" s="738">
        <f t="shared" si="4"/>
        <v>17</v>
      </c>
      <c r="V50" s="738">
        <f t="shared" si="4"/>
        <v>18</v>
      </c>
      <c r="W50" s="738">
        <f t="shared" si="4"/>
        <v>19</v>
      </c>
      <c r="X50" s="738">
        <f t="shared" si="4"/>
        <v>20</v>
      </c>
      <c r="Y50" s="738">
        <f t="shared" si="4"/>
        <v>21</v>
      </c>
      <c r="Z50" s="738">
        <f t="shared" si="4"/>
        <v>22</v>
      </c>
      <c r="AA50" s="738">
        <f t="shared" si="4"/>
        <v>23</v>
      </c>
      <c r="AB50" s="738">
        <f t="shared" si="4"/>
        <v>24</v>
      </c>
      <c r="AC50" s="738">
        <f t="shared" si="4"/>
        <v>25</v>
      </c>
      <c r="AD50" s="738">
        <f t="shared" si="4"/>
        <v>26</v>
      </c>
      <c r="AE50" s="739">
        <f t="shared" si="4"/>
        <v>27</v>
      </c>
      <c r="AF50" s="738">
        <f t="shared" si="4"/>
        <v>28</v>
      </c>
      <c r="AG50" s="738">
        <f t="shared" si="4"/>
        <v>29</v>
      </c>
      <c r="AH50" s="738">
        <f t="shared" si="4"/>
        <v>30</v>
      </c>
      <c r="AI50" s="738">
        <f t="shared" si="4"/>
        <v>31</v>
      </c>
      <c r="AJ50" s="738">
        <f t="shared" si="4"/>
        <v>32</v>
      </c>
      <c r="AK50" s="738">
        <f t="shared" si="4"/>
        <v>33</v>
      </c>
      <c r="AL50" s="738">
        <f t="shared" si="4"/>
        <v>34</v>
      </c>
      <c r="AM50" s="738">
        <f t="shared" si="4"/>
        <v>35</v>
      </c>
      <c r="AN50" s="738">
        <f t="shared" si="4"/>
        <v>36</v>
      </c>
      <c r="AO50" s="738">
        <f t="shared" si="4"/>
        <v>37</v>
      </c>
      <c r="AP50" s="738">
        <f t="shared" si="4"/>
        <v>38</v>
      </c>
      <c r="AQ50" s="738">
        <f t="shared" ref="AQ50:AZ50" si="5">AP50+1</f>
        <v>39</v>
      </c>
      <c r="AR50" s="738">
        <f t="shared" si="5"/>
        <v>40</v>
      </c>
      <c r="AS50" s="738">
        <f t="shared" si="5"/>
        <v>41</v>
      </c>
      <c r="AT50" s="738">
        <f t="shared" si="5"/>
        <v>42</v>
      </c>
      <c r="AU50" s="738">
        <f t="shared" si="5"/>
        <v>43</v>
      </c>
      <c r="AV50" s="738">
        <f t="shared" si="5"/>
        <v>44</v>
      </c>
      <c r="AW50" s="738">
        <f t="shared" si="5"/>
        <v>45</v>
      </c>
      <c r="AX50" s="738">
        <f t="shared" si="5"/>
        <v>46</v>
      </c>
      <c r="AY50" s="738">
        <f t="shared" si="5"/>
        <v>47</v>
      </c>
      <c r="AZ50" s="738">
        <f t="shared" si="5"/>
        <v>48</v>
      </c>
      <c r="BA50" s="738">
        <f>AP50+1</f>
        <v>39</v>
      </c>
      <c r="BB50" s="738">
        <f t="shared" si="4"/>
        <v>40</v>
      </c>
      <c r="BC50" s="6143" t="s">
        <v>1886</v>
      </c>
      <c r="BD50" s="420"/>
    </row>
    <row r="51" spans="1:57" s="415" customFormat="1">
      <c r="B51" s="740"/>
      <c r="C51" s="741"/>
      <c r="D51" s="742" t="s">
        <v>1893</v>
      </c>
      <c r="E51" s="743">
        <v>43038</v>
      </c>
      <c r="F51" s="743">
        <f>E51+30</f>
        <v>43068</v>
      </c>
      <c r="G51" s="743">
        <f t="shared" ref="G51:AM51" si="6">F51+30</f>
        <v>43098</v>
      </c>
      <c r="H51" s="743">
        <f t="shared" si="6"/>
        <v>43128</v>
      </c>
      <c r="I51" s="743">
        <f t="shared" si="6"/>
        <v>43158</v>
      </c>
      <c r="J51" s="743">
        <f t="shared" si="6"/>
        <v>43188</v>
      </c>
      <c r="K51" s="743">
        <f t="shared" si="6"/>
        <v>43218</v>
      </c>
      <c r="L51" s="743">
        <f t="shared" si="6"/>
        <v>43248</v>
      </c>
      <c r="M51" s="743">
        <f t="shared" si="6"/>
        <v>43278</v>
      </c>
      <c r="N51" s="743">
        <f t="shared" si="6"/>
        <v>43308</v>
      </c>
      <c r="O51" s="743">
        <f t="shared" si="6"/>
        <v>43338</v>
      </c>
      <c r="P51" s="743">
        <f t="shared" si="6"/>
        <v>43368</v>
      </c>
      <c r="Q51" s="743">
        <f t="shared" si="6"/>
        <v>43398</v>
      </c>
      <c r="R51" s="743">
        <f t="shared" si="6"/>
        <v>43428</v>
      </c>
      <c r="S51" s="743">
        <f t="shared" si="6"/>
        <v>43458</v>
      </c>
      <c r="T51" s="743">
        <f t="shared" si="6"/>
        <v>43488</v>
      </c>
      <c r="U51" s="743">
        <f t="shared" si="6"/>
        <v>43518</v>
      </c>
      <c r="V51" s="743">
        <f t="shared" si="6"/>
        <v>43548</v>
      </c>
      <c r="W51" s="743">
        <f t="shared" si="6"/>
        <v>43578</v>
      </c>
      <c r="X51" s="743">
        <f t="shared" si="6"/>
        <v>43608</v>
      </c>
      <c r="Y51" s="743">
        <f t="shared" si="6"/>
        <v>43638</v>
      </c>
      <c r="Z51" s="743">
        <f t="shared" si="6"/>
        <v>43668</v>
      </c>
      <c r="AA51" s="743">
        <f t="shared" si="6"/>
        <v>43698</v>
      </c>
      <c r="AB51" s="743">
        <f t="shared" si="6"/>
        <v>43728</v>
      </c>
      <c r="AC51" s="743">
        <f t="shared" si="6"/>
        <v>43758</v>
      </c>
      <c r="AD51" s="743">
        <f t="shared" si="6"/>
        <v>43788</v>
      </c>
      <c r="AE51" s="743">
        <f t="shared" si="6"/>
        <v>43818</v>
      </c>
      <c r="AF51" s="743">
        <f t="shared" si="6"/>
        <v>43848</v>
      </c>
      <c r="AG51" s="743">
        <f t="shared" si="6"/>
        <v>43878</v>
      </c>
      <c r="AH51" s="743">
        <f t="shared" si="6"/>
        <v>43908</v>
      </c>
      <c r="AI51" s="743">
        <f t="shared" si="6"/>
        <v>43938</v>
      </c>
      <c r="AJ51" s="743">
        <f t="shared" si="6"/>
        <v>43968</v>
      </c>
      <c r="AK51" s="743">
        <f t="shared" si="6"/>
        <v>43998</v>
      </c>
      <c r="AL51" s="743">
        <f t="shared" si="6"/>
        <v>44028</v>
      </c>
      <c r="AM51" s="743">
        <f t="shared" si="6"/>
        <v>44058</v>
      </c>
      <c r="AN51" s="743">
        <f t="shared" ref="AN51:BB51" si="7">AM51+30</f>
        <v>44088</v>
      </c>
      <c r="AO51" s="743">
        <f t="shared" si="7"/>
        <v>44118</v>
      </c>
      <c r="AP51" s="743">
        <f t="shared" si="7"/>
        <v>44148</v>
      </c>
      <c r="AQ51" s="743">
        <f t="shared" si="7"/>
        <v>44178</v>
      </c>
      <c r="AR51" s="743">
        <f t="shared" si="7"/>
        <v>44208</v>
      </c>
      <c r="AS51" s="743">
        <f t="shared" si="7"/>
        <v>44238</v>
      </c>
      <c r="AT51" s="743">
        <f t="shared" si="7"/>
        <v>44268</v>
      </c>
      <c r="AU51" s="743">
        <f t="shared" si="7"/>
        <v>44298</v>
      </c>
      <c r="AV51" s="743">
        <f t="shared" si="7"/>
        <v>44328</v>
      </c>
      <c r="AW51" s="743">
        <f t="shared" si="7"/>
        <v>44358</v>
      </c>
      <c r="AX51" s="743">
        <f t="shared" si="7"/>
        <v>44388</v>
      </c>
      <c r="AY51" s="743">
        <f t="shared" si="7"/>
        <v>44418</v>
      </c>
      <c r="AZ51" s="743">
        <f t="shared" si="7"/>
        <v>44448</v>
      </c>
      <c r="BA51" s="743">
        <f t="shared" si="7"/>
        <v>44478</v>
      </c>
      <c r="BB51" s="743">
        <f t="shared" si="7"/>
        <v>44508</v>
      </c>
      <c r="BC51" s="6144"/>
      <c r="BD51" s="420"/>
    </row>
    <row r="52" spans="1:57" s="415" customFormat="1" ht="18.75" customHeight="1">
      <c r="B52" s="748"/>
      <c r="C52" s="749" t="s">
        <v>1894</v>
      </c>
      <c r="D52" s="6154">
        <f>+D58+D80+D120+D142+D162</f>
        <v>481705006.01999992</v>
      </c>
      <c r="E52" s="750">
        <f>+E55+E77+E117+E139+E159</f>
        <v>0</v>
      </c>
      <c r="F52" s="750">
        <f>+F55+F77+F117+F139+F159</f>
        <v>0</v>
      </c>
      <c r="G52" s="750">
        <f t="shared" ref="G52:BB52" si="8">+G55+G77+G117+G139+G159</f>
        <v>0</v>
      </c>
      <c r="H52" s="750">
        <f t="shared" si="8"/>
        <v>0</v>
      </c>
      <c r="I52" s="750">
        <f t="shared" si="8"/>
        <v>0</v>
      </c>
      <c r="J52" s="750">
        <f t="shared" si="8"/>
        <v>0</v>
      </c>
      <c r="K52" s="750">
        <f t="shared" si="8"/>
        <v>0</v>
      </c>
      <c r="L52" s="750">
        <f t="shared" si="8"/>
        <v>0</v>
      </c>
      <c r="M52" s="750">
        <f t="shared" si="8"/>
        <v>0</v>
      </c>
      <c r="N52" s="750">
        <f t="shared" si="8"/>
        <v>0</v>
      </c>
      <c r="O52" s="750">
        <f t="shared" si="8"/>
        <v>0</v>
      </c>
      <c r="P52" s="750">
        <f t="shared" si="8"/>
        <v>0</v>
      </c>
      <c r="Q52" s="750">
        <f t="shared" si="8"/>
        <v>0</v>
      </c>
      <c r="R52" s="750">
        <f t="shared" si="8"/>
        <v>0</v>
      </c>
      <c r="S52" s="750">
        <f t="shared" si="8"/>
        <v>0</v>
      </c>
      <c r="T52" s="750">
        <f t="shared" si="8"/>
        <v>0</v>
      </c>
      <c r="U52" s="750">
        <f t="shared" si="8"/>
        <v>0</v>
      </c>
      <c r="V52" s="750">
        <f t="shared" si="8"/>
        <v>0</v>
      </c>
      <c r="W52" s="750">
        <f t="shared" si="8"/>
        <v>0</v>
      </c>
      <c r="X52" s="750">
        <f t="shared" si="8"/>
        <v>0</v>
      </c>
      <c r="Y52" s="750">
        <f t="shared" si="8"/>
        <v>0</v>
      </c>
      <c r="Z52" s="750">
        <f t="shared" si="8"/>
        <v>0</v>
      </c>
      <c r="AA52" s="750">
        <f t="shared" si="8"/>
        <v>0</v>
      </c>
      <c r="AB52" s="750">
        <f t="shared" si="8"/>
        <v>0</v>
      </c>
      <c r="AC52" s="750">
        <f t="shared" si="8"/>
        <v>0</v>
      </c>
      <c r="AD52" s="750">
        <f t="shared" si="8"/>
        <v>0</v>
      </c>
      <c r="AE52" s="750">
        <f t="shared" si="8"/>
        <v>0</v>
      </c>
      <c r="AF52" s="750">
        <f t="shared" si="8"/>
        <v>0</v>
      </c>
      <c r="AG52" s="750">
        <f t="shared" si="8"/>
        <v>0</v>
      </c>
      <c r="AH52" s="750">
        <f t="shared" si="8"/>
        <v>0</v>
      </c>
      <c r="AI52" s="750">
        <f t="shared" si="8"/>
        <v>0</v>
      </c>
      <c r="AJ52" s="750">
        <f t="shared" si="8"/>
        <v>0</v>
      </c>
      <c r="AK52" s="750">
        <f t="shared" si="8"/>
        <v>0</v>
      </c>
      <c r="AL52" s="750">
        <f t="shared" si="8"/>
        <v>0</v>
      </c>
      <c r="AM52" s="750">
        <f t="shared" si="8"/>
        <v>0</v>
      </c>
      <c r="AN52" s="750">
        <f t="shared" si="8"/>
        <v>0</v>
      </c>
      <c r="AO52" s="750">
        <f t="shared" si="8"/>
        <v>0</v>
      </c>
      <c r="AP52" s="750">
        <f t="shared" si="8"/>
        <v>0</v>
      </c>
      <c r="AQ52" s="750">
        <f t="shared" ref="AQ52:AZ52" si="9">+AQ55+AQ77+AQ117+AQ139+AQ159</f>
        <v>0</v>
      </c>
      <c r="AR52" s="750">
        <f t="shared" si="9"/>
        <v>0</v>
      </c>
      <c r="AS52" s="750">
        <f t="shared" si="9"/>
        <v>0</v>
      </c>
      <c r="AT52" s="750">
        <f t="shared" si="9"/>
        <v>0</v>
      </c>
      <c r="AU52" s="750">
        <f t="shared" si="9"/>
        <v>0</v>
      </c>
      <c r="AV52" s="750">
        <f t="shared" si="9"/>
        <v>0</v>
      </c>
      <c r="AW52" s="750">
        <f t="shared" si="9"/>
        <v>0</v>
      </c>
      <c r="AX52" s="750">
        <f t="shared" si="9"/>
        <v>0</v>
      </c>
      <c r="AY52" s="750">
        <f t="shared" si="9"/>
        <v>0</v>
      </c>
      <c r="AZ52" s="750">
        <f t="shared" si="9"/>
        <v>0</v>
      </c>
      <c r="BA52" s="750">
        <f t="shared" si="8"/>
        <v>0</v>
      </c>
      <c r="BB52" s="750">
        <f t="shared" si="8"/>
        <v>0</v>
      </c>
      <c r="BC52" s="6156"/>
      <c r="BD52" s="420"/>
    </row>
    <row r="53" spans="1:57" s="415" customFormat="1" ht="18.75" customHeight="1">
      <c r="B53" s="751"/>
      <c r="C53" s="752" t="s">
        <v>1895</v>
      </c>
      <c r="D53" s="6155"/>
      <c r="E53" s="753">
        <f>+E56+E78+E118+E140+E160</f>
        <v>0</v>
      </c>
      <c r="F53" s="753">
        <f t="shared" ref="F53:BB53" si="10">+F56+F78+F118+F140+F160</f>
        <v>0</v>
      </c>
      <c r="G53" s="753">
        <f t="shared" si="10"/>
        <v>0</v>
      </c>
      <c r="H53" s="753">
        <f t="shared" si="10"/>
        <v>0</v>
      </c>
      <c r="I53" s="753">
        <f t="shared" si="10"/>
        <v>0</v>
      </c>
      <c r="J53" s="753">
        <f t="shared" si="10"/>
        <v>0</v>
      </c>
      <c r="K53" s="753">
        <f t="shared" si="10"/>
        <v>0</v>
      </c>
      <c r="L53" s="753">
        <f t="shared" si="10"/>
        <v>0</v>
      </c>
      <c r="M53" s="753">
        <f t="shared" si="10"/>
        <v>0</v>
      </c>
      <c r="N53" s="753">
        <f t="shared" si="10"/>
        <v>0</v>
      </c>
      <c r="O53" s="753">
        <f t="shared" si="10"/>
        <v>0</v>
      </c>
      <c r="P53" s="753">
        <f t="shared" si="10"/>
        <v>0</v>
      </c>
      <c r="Q53" s="753">
        <f t="shared" si="10"/>
        <v>0</v>
      </c>
      <c r="R53" s="753">
        <f t="shared" si="10"/>
        <v>0</v>
      </c>
      <c r="S53" s="753">
        <f t="shared" si="10"/>
        <v>0</v>
      </c>
      <c r="T53" s="753">
        <f t="shared" si="10"/>
        <v>0</v>
      </c>
      <c r="U53" s="753">
        <f t="shared" si="10"/>
        <v>0</v>
      </c>
      <c r="V53" s="753">
        <f t="shared" si="10"/>
        <v>0</v>
      </c>
      <c r="W53" s="753">
        <f t="shared" si="10"/>
        <v>0</v>
      </c>
      <c r="X53" s="753">
        <f t="shared" si="10"/>
        <v>0</v>
      </c>
      <c r="Y53" s="753">
        <f t="shared" si="10"/>
        <v>0</v>
      </c>
      <c r="Z53" s="753">
        <f t="shared" si="10"/>
        <v>0</v>
      </c>
      <c r="AA53" s="753">
        <f t="shared" si="10"/>
        <v>0</v>
      </c>
      <c r="AB53" s="753">
        <f t="shared" si="10"/>
        <v>0</v>
      </c>
      <c r="AC53" s="753">
        <f t="shared" si="10"/>
        <v>0</v>
      </c>
      <c r="AD53" s="753">
        <f t="shared" si="10"/>
        <v>0</v>
      </c>
      <c r="AE53" s="753">
        <f t="shared" si="10"/>
        <v>0</v>
      </c>
      <c r="AF53" s="753">
        <f t="shared" si="10"/>
        <v>0</v>
      </c>
      <c r="AG53" s="753">
        <f t="shared" si="10"/>
        <v>0</v>
      </c>
      <c r="AH53" s="753">
        <f t="shared" si="10"/>
        <v>0</v>
      </c>
      <c r="AI53" s="753">
        <f t="shared" si="10"/>
        <v>0</v>
      </c>
      <c r="AJ53" s="753">
        <f t="shared" si="10"/>
        <v>0</v>
      </c>
      <c r="AK53" s="753">
        <f t="shared" si="10"/>
        <v>0</v>
      </c>
      <c r="AL53" s="753">
        <f t="shared" si="10"/>
        <v>0</v>
      </c>
      <c r="AM53" s="753">
        <f t="shared" si="10"/>
        <v>0</v>
      </c>
      <c r="AN53" s="753">
        <f t="shared" si="10"/>
        <v>0</v>
      </c>
      <c r="AO53" s="753">
        <f t="shared" si="10"/>
        <v>0</v>
      </c>
      <c r="AP53" s="753">
        <f t="shared" si="10"/>
        <v>0</v>
      </c>
      <c r="AQ53" s="753">
        <f t="shared" ref="AQ53:AZ53" si="11">+AQ56+AQ78+AQ118+AQ140+AQ160</f>
        <v>0</v>
      </c>
      <c r="AR53" s="753">
        <f t="shared" si="11"/>
        <v>0</v>
      </c>
      <c r="AS53" s="753">
        <f t="shared" si="11"/>
        <v>0</v>
      </c>
      <c r="AT53" s="753">
        <f t="shared" si="11"/>
        <v>0</v>
      </c>
      <c r="AU53" s="753">
        <f t="shared" si="11"/>
        <v>0</v>
      </c>
      <c r="AV53" s="753">
        <f t="shared" si="11"/>
        <v>0</v>
      </c>
      <c r="AW53" s="753">
        <f t="shared" si="11"/>
        <v>0</v>
      </c>
      <c r="AX53" s="753">
        <f t="shared" si="11"/>
        <v>0</v>
      </c>
      <c r="AY53" s="753">
        <f t="shared" si="11"/>
        <v>0</v>
      </c>
      <c r="AZ53" s="753">
        <f t="shared" si="11"/>
        <v>0</v>
      </c>
      <c r="BA53" s="753">
        <f t="shared" si="10"/>
        <v>0</v>
      </c>
      <c r="BB53" s="753">
        <f t="shared" si="10"/>
        <v>0</v>
      </c>
      <c r="BC53" s="6144"/>
      <c r="BD53" s="420"/>
    </row>
    <row r="54" spans="1:57" ht="18.75" customHeight="1">
      <c r="B54" s="754"/>
      <c r="C54" s="755"/>
      <c r="D54" s="756"/>
      <c r="E54" s="757"/>
      <c r="F54" s="757"/>
      <c r="G54" s="757"/>
      <c r="H54" s="757"/>
      <c r="I54" s="757"/>
      <c r="J54" s="757"/>
      <c r="K54" s="757"/>
      <c r="L54" s="757"/>
      <c r="M54" s="757"/>
      <c r="N54" s="757"/>
      <c r="O54" s="757"/>
      <c r="P54" s="757"/>
      <c r="Q54" s="757"/>
      <c r="R54" s="757"/>
      <c r="S54" s="757"/>
      <c r="T54" s="757"/>
      <c r="U54" s="757"/>
      <c r="V54" s="757"/>
      <c r="W54" s="757"/>
      <c r="X54" s="757"/>
      <c r="Y54" s="757"/>
      <c r="Z54" s="757"/>
      <c r="AA54" s="757"/>
      <c r="AB54" s="757"/>
      <c r="AC54" s="757"/>
      <c r="AD54" s="757"/>
      <c r="AE54" s="758"/>
      <c r="AF54" s="757"/>
      <c r="AG54" s="757"/>
      <c r="AH54" s="757"/>
      <c r="AI54" s="757"/>
      <c r="AJ54" s="757"/>
      <c r="AK54" s="757"/>
      <c r="AL54" s="757"/>
      <c r="AM54" s="757"/>
      <c r="AN54" s="757"/>
      <c r="AO54" s="757"/>
      <c r="AP54" s="757"/>
      <c r="AQ54" s="757"/>
      <c r="AR54" s="757"/>
      <c r="AS54" s="757"/>
      <c r="AT54" s="757"/>
      <c r="AU54" s="757"/>
      <c r="AV54" s="757"/>
      <c r="AW54" s="757"/>
      <c r="AX54" s="757"/>
      <c r="AY54" s="757"/>
      <c r="AZ54" s="757"/>
      <c r="BA54" s="757"/>
      <c r="BB54" s="757"/>
      <c r="BC54" s="449"/>
      <c r="BD54" s="450"/>
    </row>
    <row r="55" spans="1:57" s="415" customFormat="1">
      <c r="B55" s="744">
        <v>100</v>
      </c>
      <c r="C55" s="745" t="str">
        <f>'Schedule B'!C75</f>
        <v>MAIN CONSTRUCTION WORKS</v>
      </c>
      <c r="D55" s="746" t="s">
        <v>1896</v>
      </c>
      <c r="E55" s="747">
        <f>E73</f>
        <v>0</v>
      </c>
      <c r="F55" s="747">
        <f t="shared" ref="F55:U55" si="12">F73</f>
        <v>0</v>
      </c>
      <c r="G55" s="747">
        <f t="shared" si="12"/>
        <v>0</v>
      </c>
      <c r="H55" s="747">
        <f t="shared" si="12"/>
        <v>0</v>
      </c>
      <c r="I55" s="747">
        <f t="shared" si="12"/>
        <v>0</v>
      </c>
      <c r="J55" s="747">
        <f t="shared" si="12"/>
        <v>0</v>
      </c>
      <c r="K55" s="747">
        <f t="shared" si="12"/>
        <v>0</v>
      </c>
      <c r="L55" s="747">
        <f t="shared" si="12"/>
        <v>0</v>
      </c>
      <c r="M55" s="747">
        <f t="shared" si="12"/>
        <v>0</v>
      </c>
      <c r="N55" s="747">
        <f t="shared" si="12"/>
        <v>0</v>
      </c>
      <c r="O55" s="747">
        <f t="shared" si="12"/>
        <v>0</v>
      </c>
      <c r="P55" s="747">
        <f t="shared" si="12"/>
        <v>0</v>
      </c>
      <c r="Q55" s="747">
        <f t="shared" si="12"/>
        <v>0</v>
      </c>
      <c r="R55" s="747">
        <f t="shared" si="12"/>
        <v>0</v>
      </c>
      <c r="S55" s="747">
        <f t="shared" si="12"/>
        <v>0</v>
      </c>
      <c r="T55" s="747">
        <f t="shared" si="12"/>
        <v>0</v>
      </c>
      <c r="U55" s="747">
        <f t="shared" si="12"/>
        <v>0</v>
      </c>
      <c r="V55" s="747">
        <f t="shared" ref="V55:AB55" si="13">V73</f>
        <v>0</v>
      </c>
      <c r="W55" s="747">
        <f t="shared" si="13"/>
        <v>0</v>
      </c>
      <c r="X55" s="747">
        <f t="shared" si="13"/>
        <v>0</v>
      </c>
      <c r="Y55" s="747">
        <f t="shared" si="13"/>
        <v>0</v>
      </c>
      <c r="Z55" s="747">
        <f t="shared" si="13"/>
        <v>0</v>
      </c>
      <c r="AA55" s="747">
        <f t="shared" si="13"/>
        <v>0</v>
      </c>
      <c r="AB55" s="747">
        <f t="shared" si="13"/>
        <v>0</v>
      </c>
      <c r="AC55" s="747">
        <f t="shared" ref="AC55:BB55" si="14">AC73</f>
        <v>0</v>
      </c>
      <c r="AD55" s="747">
        <f t="shared" si="14"/>
        <v>0</v>
      </c>
      <c r="AE55" s="747">
        <f t="shared" si="14"/>
        <v>0</v>
      </c>
      <c r="AF55" s="747">
        <f t="shared" si="14"/>
        <v>0</v>
      </c>
      <c r="AG55" s="747">
        <f t="shared" si="14"/>
        <v>0</v>
      </c>
      <c r="AH55" s="747">
        <f t="shared" si="14"/>
        <v>0</v>
      </c>
      <c r="AI55" s="747">
        <f t="shared" si="14"/>
        <v>0</v>
      </c>
      <c r="AJ55" s="747">
        <f t="shared" si="14"/>
        <v>0</v>
      </c>
      <c r="AK55" s="747">
        <f t="shared" si="14"/>
        <v>0</v>
      </c>
      <c r="AL55" s="747">
        <f t="shared" si="14"/>
        <v>0</v>
      </c>
      <c r="AM55" s="747">
        <f t="shared" si="14"/>
        <v>0</v>
      </c>
      <c r="AN55" s="747">
        <f t="shared" si="14"/>
        <v>0</v>
      </c>
      <c r="AO55" s="747">
        <f t="shared" si="14"/>
        <v>0</v>
      </c>
      <c r="AP55" s="747">
        <f t="shared" si="14"/>
        <v>0</v>
      </c>
      <c r="AQ55" s="747">
        <f t="shared" ref="AQ55:AZ55" si="15">AQ73</f>
        <v>0</v>
      </c>
      <c r="AR55" s="747">
        <f t="shared" si="15"/>
        <v>0</v>
      </c>
      <c r="AS55" s="747">
        <f t="shared" si="15"/>
        <v>0</v>
      </c>
      <c r="AT55" s="747">
        <f t="shared" si="15"/>
        <v>0</v>
      </c>
      <c r="AU55" s="747">
        <f t="shared" si="15"/>
        <v>0</v>
      </c>
      <c r="AV55" s="747">
        <f t="shared" si="15"/>
        <v>0</v>
      </c>
      <c r="AW55" s="747">
        <f t="shared" si="15"/>
        <v>0</v>
      </c>
      <c r="AX55" s="747">
        <f t="shared" si="15"/>
        <v>0</v>
      </c>
      <c r="AY55" s="747">
        <f t="shared" si="15"/>
        <v>0</v>
      </c>
      <c r="AZ55" s="747">
        <f t="shared" si="15"/>
        <v>0</v>
      </c>
      <c r="BA55" s="747">
        <f t="shared" si="14"/>
        <v>0</v>
      </c>
      <c r="BB55" s="747">
        <f t="shared" si="14"/>
        <v>0</v>
      </c>
      <c r="BC55" s="2787"/>
      <c r="BD55" s="420"/>
      <c r="BE55" s="470"/>
    </row>
    <row r="56" spans="1:57" s="415" customFormat="1">
      <c r="B56" s="744"/>
      <c r="C56" s="745"/>
      <c r="D56" s="746" t="s">
        <v>1897</v>
      </c>
      <c r="E56" s="747">
        <f>E74</f>
        <v>0</v>
      </c>
      <c r="F56" s="747">
        <f t="shared" ref="F56:U56" si="16">F74</f>
        <v>0</v>
      </c>
      <c r="G56" s="747">
        <f t="shared" si="16"/>
        <v>0</v>
      </c>
      <c r="H56" s="747">
        <f t="shared" si="16"/>
        <v>0</v>
      </c>
      <c r="I56" s="747">
        <f t="shared" si="16"/>
        <v>0</v>
      </c>
      <c r="J56" s="747">
        <f t="shared" si="16"/>
        <v>0</v>
      </c>
      <c r="K56" s="747">
        <f t="shared" si="16"/>
        <v>0</v>
      </c>
      <c r="L56" s="747">
        <f t="shared" si="16"/>
        <v>0</v>
      </c>
      <c r="M56" s="747">
        <f t="shared" si="16"/>
        <v>0</v>
      </c>
      <c r="N56" s="747">
        <f t="shared" si="16"/>
        <v>0</v>
      </c>
      <c r="O56" s="747">
        <f t="shared" si="16"/>
        <v>0</v>
      </c>
      <c r="P56" s="747">
        <f t="shared" si="16"/>
        <v>0</v>
      </c>
      <c r="Q56" s="747">
        <f t="shared" si="16"/>
        <v>0</v>
      </c>
      <c r="R56" s="747">
        <f t="shared" si="16"/>
        <v>0</v>
      </c>
      <c r="S56" s="747">
        <f t="shared" si="16"/>
        <v>0</v>
      </c>
      <c r="T56" s="747">
        <f t="shared" si="16"/>
        <v>0</v>
      </c>
      <c r="U56" s="747">
        <f t="shared" si="16"/>
        <v>0</v>
      </c>
      <c r="V56" s="747">
        <f t="shared" ref="V56:AB56" si="17">V74</f>
        <v>0</v>
      </c>
      <c r="W56" s="747">
        <f t="shared" si="17"/>
        <v>0</v>
      </c>
      <c r="X56" s="747">
        <f t="shared" si="17"/>
        <v>0</v>
      </c>
      <c r="Y56" s="747">
        <f t="shared" si="17"/>
        <v>0</v>
      </c>
      <c r="Z56" s="747">
        <f t="shared" si="17"/>
        <v>0</v>
      </c>
      <c r="AA56" s="747">
        <f t="shared" si="17"/>
        <v>0</v>
      </c>
      <c r="AB56" s="747">
        <f t="shared" si="17"/>
        <v>0</v>
      </c>
      <c r="AC56" s="747">
        <f t="shared" ref="AC56:BB56" si="18">AC74</f>
        <v>0</v>
      </c>
      <c r="AD56" s="747">
        <f t="shared" si="18"/>
        <v>0</v>
      </c>
      <c r="AE56" s="747">
        <f t="shared" si="18"/>
        <v>0</v>
      </c>
      <c r="AF56" s="747">
        <f t="shared" si="18"/>
        <v>0</v>
      </c>
      <c r="AG56" s="747">
        <f t="shared" si="18"/>
        <v>0</v>
      </c>
      <c r="AH56" s="747">
        <f t="shared" si="18"/>
        <v>0</v>
      </c>
      <c r="AI56" s="747">
        <f t="shared" si="18"/>
        <v>0</v>
      </c>
      <c r="AJ56" s="747">
        <f t="shared" si="18"/>
        <v>0</v>
      </c>
      <c r="AK56" s="747">
        <f t="shared" si="18"/>
        <v>0</v>
      </c>
      <c r="AL56" s="747">
        <f t="shared" si="18"/>
        <v>0</v>
      </c>
      <c r="AM56" s="747">
        <f t="shared" si="18"/>
        <v>0</v>
      </c>
      <c r="AN56" s="747">
        <f t="shared" si="18"/>
        <v>0</v>
      </c>
      <c r="AO56" s="747">
        <f t="shared" si="18"/>
        <v>0</v>
      </c>
      <c r="AP56" s="747">
        <f t="shared" si="18"/>
        <v>0</v>
      </c>
      <c r="AQ56" s="747">
        <f t="shared" ref="AQ56:AZ56" si="19">AQ74</f>
        <v>0</v>
      </c>
      <c r="AR56" s="747">
        <f t="shared" si="19"/>
        <v>0</v>
      </c>
      <c r="AS56" s="747">
        <f t="shared" si="19"/>
        <v>0</v>
      </c>
      <c r="AT56" s="747">
        <f t="shared" si="19"/>
        <v>0</v>
      </c>
      <c r="AU56" s="747">
        <f t="shared" si="19"/>
        <v>0</v>
      </c>
      <c r="AV56" s="747">
        <f t="shared" si="19"/>
        <v>0</v>
      </c>
      <c r="AW56" s="747">
        <f t="shared" si="19"/>
        <v>0</v>
      </c>
      <c r="AX56" s="747">
        <f t="shared" si="19"/>
        <v>0</v>
      </c>
      <c r="AY56" s="747">
        <f t="shared" si="19"/>
        <v>0</v>
      </c>
      <c r="AZ56" s="747">
        <f t="shared" si="19"/>
        <v>0</v>
      </c>
      <c r="BA56" s="747">
        <f t="shared" si="18"/>
        <v>0</v>
      </c>
      <c r="BB56" s="747">
        <f t="shared" si="18"/>
        <v>0</v>
      </c>
      <c r="BC56" s="2787"/>
      <c r="BD56" s="420"/>
      <c r="BE56" s="470"/>
    </row>
    <row r="57" spans="1:57" ht="15" customHeight="1" outlineLevel="1">
      <c r="B57" s="456"/>
      <c r="C57" s="457"/>
      <c r="D57" s="458"/>
      <c r="E57" s="471"/>
      <c r="F57" s="471"/>
      <c r="G57" s="471"/>
      <c r="H57" s="471"/>
      <c r="I57" s="471"/>
      <c r="J57" s="471"/>
      <c r="K57" s="471"/>
      <c r="L57" s="471"/>
      <c r="M57" s="471"/>
      <c r="N57" s="471"/>
      <c r="O57" s="471"/>
      <c r="P57" s="471"/>
      <c r="Q57" s="471"/>
      <c r="R57" s="471"/>
      <c r="S57" s="471"/>
      <c r="T57" s="471"/>
      <c r="U57" s="471"/>
      <c r="V57" s="471"/>
      <c r="W57" s="471"/>
      <c r="X57" s="471"/>
      <c r="Y57" s="471"/>
      <c r="Z57" s="471"/>
      <c r="AA57" s="471"/>
      <c r="AB57" s="471"/>
      <c r="AC57" s="471"/>
      <c r="AD57" s="471"/>
      <c r="AE57" s="472"/>
      <c r="AF57" s="471"/>
      <c r="AG57" s="471"/>
      <c r="AH57" s="471"/>
      <c r="AI57" s="471"/>
      <c r="AJ57" s="471"/>
      <c r="AK57" s="471"/>
      <c r="AL57" s="471"/>
      <c r="AM57" s="471"/>
      <c r="AN57" s="471"/>
      <c r="AO57" s="471"/>
      <c r="AP57" s="471"/>
      <c r="AQ57" s="471"/>
      <c r="AR57" s="471"/>
      <c r="AS57" s="471"/>
      <c r="AT57" s="471"/>
      <c r="AU57" s="471"/>
      <c r="AV57" s="471"/>
      <c r="AW57" s="471"/>
      <c r="AX57" s="471"/>
      <c r="AY57" s="471"/>
      <c r="AZ57" s="471"/>
      <c r="BA57" s="471"/>
      <c r="BB57" s="471"/>
      <c r="BC57" s="2788"/>
      <c r="BD57" s="450"/>
    </row>
    <row r="58" spans="1:57" ht="18.75" customHeight="1" outlineLevel="1">
      <c r="B58" s="461" t="str">
        <f>'Schedule B'!A71</f>
        <v>CN.003C20</v>
      </c>
      <c r="C58" s="462" t="e">
        <f>'Schedule B'!#REF!</f>
        <v>#REF!</v>
      </c>
      <c r="D58" s="473">
        <f>'Schedule B'!K183</f>
        <v>481682421.00999993</v>
      </c>
      <c r="E58" s="474"/>
      <c r="F58" s="474"/>
      <c r="G58" s="474"/>
      <c r="H58" s="475"/>
      <c r="I58" s="475"/>
      <c r="J58" s="475"/>
      <c r="K58" s="475"/>
      <c r="L58" s="475"/>
      <c r="M58" s="475"/>
      <c r="N58" s="475"/>
      <c r="O58" s="475"/>
      <c r="P58" s="475"/>
      <c r="Q58" s="475"/>
      <c r="R58" s="475"/>
      <c r="S58" s="475"/>
      <c r="T58" s="475"/>
      <c r="U58" s="475"/>
      <c r="V58" s="475"/>
      <c r="W58" s="475"/>
      <c r="X58" s="475"/>
      <c r="Y58" s="475"/>
      <c r="Z58" s="475"/>
      <c r="AA58" s="475"/>
      <c r="AB58" s="475"/>
      <c r="AC58" s="475"/>
      <c r="AD58" s="475"/>
      <c r="AE58" s="476"/>
      <c r="AF58" s="475"/>
      <c r="AG58" s="475"/>
      <c r="AH58" s="475"/>
      <c r="AI58" s="475"/>
      <c r="AJ58" s="475"/>
      <c r="AK58" s="475"/>
      <c r="AL58" s="475"/>
      <c r="AM58" s="475"/>
      <c r="AN58" s="475"/>
      <c r="AO58" s="475"/>
      <c r="AP58" s="475"/>
      <c r="AQ58" s="475"/>
      <c r="AR58" s="475"/>
      <c r="AS58" s="475"/>
      <c r="AT58" s="475"/>
      <c r="AU58" s="475"/>
      <c r="AV58" s="475"/>
      <c r="AW58" s="475"/>
      <c r="AX58" s="475"/>
      <c r="AY58" s="475"/>
      <c r="AZ58" s="475"/>
      <c r="BA58" s="475"/>
      <c r="BB58" s="475"/>
      <c r="BC58" s="2789"/>
      <c r="BD58" s="450"/>
    </row>
    <row r="59" spans="1:57" ht="15" customHeight="1" outlineLevel="2">
      <c r="B59" s="456"/>
      <c r="C59" s="457" t="s">
        <v>1898</v>
      </c>
      <c r="D59" s="458" t="s">
        <v>1899</v>
      </c>
      <c r="E59" s="459"/>
      <c r="F59" s="459"/>
      <c r="G59" s="459"/>
      <c r="H59" s="459"/>
      <c r="I59" s="459"/>
      <c r="J59" s="459"/>
      <c r="K59" s="459"/>
      <c r="L59" s="459"/>
      <c r="M59" s="459"/>
      <c r="N59" s="459"/>
      <c r="O59" s="459"/>
      <c r="P59" s="459"/>
      <c r="Q59" s="459"/>
      <c r="R59" s="459"/>
      <c r="S59" s="459"/>
      <c r="T59" s="459"/>
      <c r="U59" s="459"/>
      <c r="V59" s="459"/>
      <c r="W59" s="459"/>
      <c r="X59" s="459"/>
      <c r="Y59" s="459"/>
      <c r="Z59" s="459"/>
      <c r="AA59" s="459"/>
      <c r="AB59" s="459"/>
      <c r="AC59" s="459"/>
      <c r="AD59" s="459"/>
      <c r="AE59" s="460"/>
      <c r="AF59" s="459"/>
      <c r="AG59" s="459"/>
      <c r="AH59" s="459"/>
      <c r="AI59" s="459"/>
      <c r="AJ59" s="459"/>
      <c r="AK59" s="459"/>
      <c r="AL59" s="459"/>
      <c r="AM59" s="459"/>
      <c r="AN59" s="459"/>
      <c r="AO59" s="459"/>
      <c r="AP59" s="459"/>
      <c r="AQ59" s="459"/>
      <c r="AR59" s="459"/>
      <c r="AS59" s="459"/>
      <c r="AT59" s="459"/>
      <c r="AU59" s="459"/>
      <c r="AV59" s="459"/>
      <c r="AW59" s="459"/>
      <c r="AX59" s="459"/>
      <c r="AY59" s="459"/>
      <c r="AZ59" s="459"/>
      <c r="BA59" s="459"/>
      <c r="BB59" s="459"/>
      <c r="BC59" s="2790"/>
      <c r="BD59" s="450"/>
    </row>
    <row r="60" spans="1:57" ht="15" customHeight="1" outlineLevel="2">
      <c r="B60" s="456"/>
      <c r="C60" s="457" t="s">
        <v>1900</v>
      </c>
      <c r="D60" s="458"/>
      <c r="E60" s="459">
        <v>0</v>
      </c>
      <c r="F60" s="459"/>
      <c r="G60" s="459"/>
      <c r="H60" s="459"/>
      <c r="I60" s="459"/>
      <c r="J60" s="459"/>
      <c r="K60" s="459"/>
      <c r="L60" s="459"/>
      <c r="M60" s="459"/>
      <c r="N60" s="459"/>
      <c r="O60" s="459"/>
      <c r="P60" s="459"/>
      <c r="Q60" s="459"/>
      <c r="R60" s="459"/>
      <c r="S60" s="459"/>
      <c r="T60" s="459">
        <v>0</v>
      </c>
      <c r="U60" s="459">
        <v>0</v>
      </c>
      <c r="V60" s="459">
        <v>0</v>
      </c>
      <c r="W60" s="459">
        <v>0</v>
      </c>
      <c r="X60" s="459">
        <v>0</v>
      </c>
      <c r="Y60" s="459">
        <v>0</v>
      </c>
      <c r="Z60" s="459">
        <v>0</v>
      </c>
      <c r="AA60" s="459">
        <v>0</v>
      </c>
      <c r="AB60" s="459">
        <v>0</v>
      </c>
      <c r="AC60" s="459">
        <v>0</v>
      </c>
      <c r="AD60" s="459">
        <v>0</v>
      </c>
      <c r="AE60" s="460">
        <v>0</v>
      </c>
      <c r="AF60" s="459">
        <v>0</v>
      </c>
      <c r="AG60" s="459">
        <v>0</v>
      </c>
      <c r="AH60" s="459">
        <v>0</v>
      </c>
      <c r="AI60" s="459">
        <v>0</v>
      </c>
      <c r="AJ60" s="459">
        <v>0</v>
      </c>
      <c r="AK60" s="459">
        <v>0</v>
      </c>
      <c r="AL60" s="459">
        <v>0</v>
      </c>
      <c r="AM60" s="459">
        <v>0</v>
      </c>
      <c r="AN60" s="459">
        <v>0</v>
      </c>
      <c r="AO60" s="459">
        <v>0</v>
      </c>
      <c r="AP60" s="459">
        <v>0</v>
      </c>
      <c r="AQ60" s="459">
        <v>0</v>
      </c>
      <c r="AR60" s="459">
        <v>0</v>
      </c>
      <c r="AS60" s="459">
        <v>0</v>
      </c>
      <c r="AT60" s="459">
        <v>0</v>
      </c>
      <c r="AU60" s="459">
        <v>0</v>
      </c>
      <c r="AV60" s="459">
        <v>0</v>
      </c>
      <c r="AW60" s="459">
        <v>0</v>
      </c>
      <c r="AX60" s="459">
        <v>0</v>
      </c>
      <c r="AY60" s="459">
        <v>0</v>
      </c>
      <c r="AZ60" s="459">
        <v>0</v>
      </c>
      <c r="BA60" s="459">
        <v>0</v>
      </c>
      <c r="BB60" s="459">
        <v>0</v>
      </c>
      <c r="BC60" s="2790"/>
      <c r="BD60" s="450"/>
    </row>
    <row r="61" spans="1:57" ht="15" customHeight="1" outlineLevel="2">
      <c r="B61" s="456"/>
      <c r="C61" s="457" t="s">
        <v>1901</v>
      </c>
      <c r="D61" s="458" t="s">
        <v>1902</v>
      </c>
      <c r="E61" s="459">
        <v>0</v>
      </c>
      <c r="F61" s="459">
        <v>0</v>
      </c>
      <c r="G61" s="459">
        <v>0</v>
      </c>
      <c r="H61" s="459">
        <v>0</v>
      </c>
      <c r="I61" s="459">
        <v>0</v>
      </c>
      <c r="J61" s="459">
        <v>0</v>
      </c>
      <c r="K61" s="459">
        <v>0</v>
      </c>
      <c r="L61" s="459">
        <v>0</v>
      </c>
      <c r="M61" s="459">
        <v>0</v>
      </c>
      <c r="N61" s="459">
        <v>0</v>
      </c>
      <c r="O61" s="459">
        <v>0</v>
      </c>
      <c r="P61" s="459">
        <v>0</v>
      </c>
      <c r="Q61" s="459">
        <v>0</v>
      </c>
      <c r="R61" s="459">
        <v>0</v>
      </c>
      <c r="S61" s="459">
        <v>0</v>
      </c>
      <c r="T61" s="459">
        <v>0</v>
      </c>
      <c r="U61" s="459">
        <v>0</v>
      </c>
      <c r="V61" s="459">
        <v>0</v>
      </c>
      <c r="W61" s="459">
        <v>0</v>
      </c>
      <c r="X61" s="459">
        <v>0</v>
      </c>
      <c r="Y61" s="459">
        <v>0</v>
      </c>
      <c r="Z61" s="459">
        <v>0</v>
      </c>
      <c r="AA61" s="459">
        <v>0</v>
      </c>
      <c r="AB61" s="459">
        <v>0</v>
      </c>
      <c r="AC61" s="459">
        <v>0</v>
      </c>
      <c r="AD61" s="459">
        <v>0</v>
      </c>
      <c r="AE61" s="460">
        <v>0</v>
      </c>
      <c r="AF61" s="459">
        <v>0</v>
      </c>
      <c r="AG61" s="459">
        <v>0</v>
      </c>
      <c r="AH61" s="459">
        <v>0</v>
      </c>
      <c r="AI61" s="459">
        <v>0</v>
      </c>
      <c r="AJ61" s="459">
        <v>0</v>
      </c>
      <c r="AK61" s="459">
        <v>0</v>
      </c>
      <c r="AL61" s="459">
        <v>0</v>
      </c>
      <c r="AM61" s="459">
        <v>0</v>
      </c>
      <c r="AN61" s="459">
        <v>0</v>
      </c>
      <c r="AO61" s="459">
        <v>0</v>
      </c>
      <c r="AP61" s="459">
        <v>0</v>
      </c>
      <c r="AQ61" s="459">
        <v>0</v>
      </c>
      <c r="AR61" s="459">
        <v>0</v>
      </c>
      <c r="AS61" s="459">
        <v>0</v>
      </c>
      <c r="AT61" s="459">
        <v>0</v>
      </c>
      <c r="AU61" s="459">
        <v>0</v>
      </c>
      <c r="AV61" s="459">
        <v>0</v>
      </c>
      <c r="AW61" s="459">
        <v>0</v>
      </c>
      <c r="AX61" s="459">
        <v>0</v>
      </c>
      <c r="AY61" s="459">
        <v>0</v>
      </c>
      <c r="AZ61" s="459">
        <v>0</v>
      </c>
      <c r="BA61" s="459">
        <v>0</v>
      </c>
      <c r="BB61" s="459">
        <v>0</v>
      </c>
      <c r="BC61" s="2790"/>
      <c r="BD61" s="450"/>
    </row>
    <row r="62" spans="1:57" ht="15" customHeight="1" outlineLevel="2">
      <c r="B62" s="456"/>
      <c r="C62" s="457" t="s">
        <v>1903</v>
      </c>
      <c r="D62" s="458" t="s">
        <v>1904</v>
      </c>
      <c r="E62" s="459">
        <v>0</v>
      </c>
      <c r="F62" s="459">
        <v>0</v>
      </c>
      <c r="G62" s="459">
        <v>0</v>
      </c>
      <c r="H62" s="459">
        <v>0</v>
      </c>
      <c r="I62" s="459">
        <v>0</v>
      </c>
      <c r="J62" s="459">
        <v>0</v>
      </c>
      <c r="K62" s="459">
        <v>0</v>
      </c>
      <c r="L62" s="459">
        <v>0</v>
      </c>
      <c r="M62" s="459">
        <v>0</v>
      </c>
      <c r="N62" s="459">
        <v>0</v>
      </c>
      <c r="O62" s="459">
        <v>0</v>
      </c>
      <c r="P62" s="459">
        <v>0</v>
      </c>
      <c r="Q62" s="459">
        <v>0</v>
      </c>
      <c r="R62" s="459">
        <v>0</v>
      </c>
      <c r="S62" s="459">
        <v>0</v>
      </c>
      <c r="T62" s="459">
        <v>0</v>
      </c>
      <c r="U62" s="459">
        <v>0</v>
      </c>
      <c r="V62" s="459">
        <v>0</v>
      </c>
      <c r="W62" s="459">
        <v>0</v>
      </c>
      <c r="X62" s="459">
        <v>0</v>
      </c>
      <c r="Y62" s="459">
        <v>0</v>
      </c>
      <c r="Z62" s="459">
        <v>0</v>
      </c>
      <c r="AA62" s="459">
        <v>0</v>
      </c>
      <c r="AB62" s="459">
        <v>0</v>
      </c>
      <c r="AC62" s="459">
        <v>0</v>
      </c>
      <c r="AD62" s="459">
        <v>0</v>
      </c>
      <c r="AE62" s="460">
        <v>0</v>
      </c>
      <c r="AF62" s="459">
        <v>0</v>
      </c>
      <c r="AG62" s="459">
        <v>0</v>
      </c>
      <c r="AH62" s="459">
        <v>0</v>
      </c>
      <c r="AI62" s="459">
        <v>0</v>
      </c>
      <c r="AJ62" s="459">
        <v>0</v>
      </c>
      <c r="AK62" s="459">
        <v>0</v>
      </c>
      <c r="AL62" s="459">
        <v>0</v>
      </c>
      <c r="AM62" s="459">
        <v>0</v>
      </c>
      <c r="AN62" s="459">
        <v>0</v>
      </c>
      <c r="AO62" s="459">
        <v>0</v>
      </c>
      <c r="AP62" s="459">
        <v>0</v>
      </c>
      <c r="AQ62" s="459">
        <v>0</v>
      </c>
      <c r="AR62" s="459">
        <v>0</v>
      </c>
      <c r="AS62" s="459">
        <v>0</v>
      </c>
      <c r="AT62" s="459">
        <v>0</v>
      </c>
      <c r="AU62" s="459">
        <v>0</v>
      </c>
      <c r="AV62" s="459">
        <v>0</v>
      </c>
      <c r="AW62" s="459">
        <v>0</v>
      </c>
      <c r="AX62" s="459">
        <v>0</v>
      </c>
      <c r="AY62" s="459">
        <v>0</v>
      </c>
      <c r="AZ62" s="459">
        <v>0</v>
      </c>
      <c r="BA62" s="459">
        <v>0</v>
      </c>
      <c r="BB62" s="459">
        <v>0</v>
      </c>
      <c r="BC62" s="2790"/>
      <c r="BD62" s="450"/>
    </row>
    <row r="63" spans="1:57" s="415" customFormat="1" ht="15" customHeight="1" outlineLevel="2">
      <c r="B63" s="463"/>
      <c r="C63" s="464" t="s">
        <v>1905</v>
      </c>
      <c r="D63" s="465" t="s">
        <v>1906</v>
      </c>
      <c r="E63" s="466">
        <f>E59+E60+E61+E62</f>
        <v>0</v>
      </c>
      <c r="F63" s="466">
        <f t="shared" ref="F63:BA63" si="20">F59+F60+F61+F62</f>
        <v>0</v>
      </c>
      <c r="G63" s="466">
        <f>G59+G60+G61+G62</f>
        <v>0</v>
      </c>
      <c r="H63" s="466">
        <f t="shared" si="20"/>
        <v>0</v>
      </c>
      <c r="I63" s="466">
        <f t="shared" si="20"/>
        <v>0</v>
      </c>
      <c r="J63" s="466">
        <f t="shared" si="20"/>
        <v>0</v>
      </c>
      <c r="K63" s="466">
        <f t="shared" si="20"/>
        <v>0</v>
      </c>
      <c r="L63" s="466">
        <f t="shared" si="20"/>
        <v>0</v>
      </c>
      <c r="M63" s="466">
        <f t="shared" si="20"/>
        <v>0</v>
      </c>
      <c r="N63" s="466">
        <f t="shared" si="20"/>
        <v>0</v>
      </c>
      <c r="O63" s="466">
        <f t="shared" si="20"/>
        <v>0</v>
      </c>
      <c r="P63" s="466">
        <f t="shared" si="20"/>
        <v>0</v>
      </c>
      <c r="Q63" s="466">
        <f t="shared" si="20"/>
        <v>0</v>
      </c>
      <c r="R63" s="466">
        <f t="shared" si="20"/>
        <v>0</v>
      </c>
      <c r="S63" s="466">
        <f t="shared" si="20"/>
        <v>0</v>
      </c>
      <c r="T63" s="466">
        <f t="shared" si="20"/>
        <v>0</v>
      </c>
      <c r="U63" s="466">
        <f t="shared" si="20"/>
        <v>0</v>
      </c>
      <c r="V63" s="466">
        <f t="shared" si="20"/>
        <v>0</v>
      </c>
      <c r="W63" s="466">
        <f t="shared" si="20"/>
        <v>0</v>
      </c>
      <c r="X63" s="466">
        <f t="shared" si="20"/>
        <v>0</v>
      </c>
      <c r="Y63" s="466">
        <f t="shared" si="20"/>
        <v>0</v>
      </c>
      <c r="Z63" s="466">
        <f t="shared" si="20"/>
        <v>0</v>
      </c>
      <c r="AA63" s="466">
        <f t="shared" si="20"/>
        <v>0</v>
      </c>
      <c r="AB63" s="466">
        <f t="shared" si="20"/>
        <v>0</v>
      </c>
      <c r="AC63" s="466">
        <f t="shared" si="20"/>
        <v>0</v>
      </c>
      <c r="AD63" s="466">
        <f t="shared" si="20"/>
        <v>0</v>
      </c>
      <c r="AE63" s="467">
        <f t="shared" si="20"/>
        <v>0</v>
      </c>
      <c r="AF63" s="466">
        <f t="shared" si="20"/>
        <v>0</v>
      </c>
      <c r="AG63" s="466">
        <f t="shared" si="20"/>
        <v>0</v>
      </c>
      <c r="AH63" s="466">
        <f t="shared" si="20"/>
        <v>0</v>
      </c>
      <c r="AI63" s="466">
        <f t="shared" si="20"/>
        <v>0</v>
      </c>
      <c r="AJ63" s="466">
        <f t="shared" si="20"/>
        <v>0</v>
      </c>
      <c r="AK63" s="466">
        <f t="shared" si="20"/>
        <v>0</v>
      </c>
      <c r="AL63" s="466">
        <f t="shared" si="20"/>
        <v>0</v>
      </c>
      <c r="AM63" s="466">
        <f t="shared" si="20"/>
        <v>0</v>
      </c>
      <c r="AN63" s="466">
        <f t="shared" si="20"/>
        <v>0</v>
      </c>
      <c r="AO63" s="466">
        <f t="shared" si="20"/>
        <v>0</v>
      </c>
      <c r="AP63" s="466">
        <f t="shared" si="20"/>
        <v>0</v>
      </c>
      <c r="AQ63" s="466">
        <f t="shared" ref="AQ63:AZ63" si="21">AQ59+AQ60+AQ61+AQ62</f>
        <v>0</v>
      </c>
      <c r="AR63" s="466">
        <f t="shared" si="21"/>
        <v>0</v>
      </c>
      <c r="AS63" s="466">
        <f t="shared" si="21"/>
        <v>0</v>
      </c>
      <c r="AT63" s="466">
        <f t="shared" si="21"/>
        <v>0</v>
      </c>
      <c r="AU63" s="466">
        <f t="shared" si="21"/>
        <v>0</v>
      </c>
      <c r="AV63" s="466">
        <f t="shared" si="21"/>
        <v>0</v>
      </c>
      <c r="AW63" s="466">
        <f t="shared" si="21"/>
        <v>0</v>
      </c>
      <c r="AX63" s="466">
        <f t="shared" si="21"/>
        <v>0</v>
      </c>
      <c r="AY63" s="466">
        <f t="shared" si="21"/>
        <v>0</v>
      </c>
      <c r="AZ63" s="466">
        <f t="shared" si="21"/>
        <v>0</v>
      </c>
      <c r="BA63" s="466">
        <f t="shared" si="20"/>
        <v>0</v>
      </c>
      <c r="BB63" s="466">
        <f>BB59+BB60+BB61+BB62</f>
        <v>0</v>
      </c>
      <c r="BC63" s="2791"/>
      <c r="BD63" s="420"/>
    </row>
    <row r="64" spans="1:57" ht="15" customHeight="1" outlineLevel="2">
      <c r="B64" s="456"/>
      <c r="C64" s="464" t="s">
        <v>1907</v>
      </c>
      <c r="D64" s="465" t="s">
        <v>1908</v>
      </c>
      <c r="E64" s="466">
        <f>E59*0</f>
        <v>0</v>
      </c>
      <c r="F64" s="466">
        <v>0</v>
      </c>
      <c r="G64" s="466">
        <f>G59*0</f>
        <v>0</v>
      </c>
      <c r="H64" s="466">
        <f t="shared" ref="H64:BB64" si="22">H59*0</f>
        <v>0</v>
      </c>
      <c r="I64" s="466">
        <f t="shared" si="22"/>
        <v>0</v>
      </c>
      <c r="J64" s="466">
        <f t="shared" si="22"/>
        <v>0</v>
      </c>
      <c r="K64" s="466">
        <f t="shared" si="22"/>
        <v>0</v>
      </c>
      <c r="L64" s="466">
        <f t="shared" si="22"/>
        <v>0</v>
      </c>
      <c r="M64" s="466">
        <f t="shared" si="22"/>
        <v>0</v>
      </c>
      <c r="N64" s="466">
        <f t="shared" si="22"/>
        <v>0</v>
      </c>
      <c r="O64" s="466">
        <f t="shared" si="22"/>
        <v>0</v>
      </c>
      <c r="P64" s="466">
        <f t="shared" si="22"/>
        <v>0</v>
      </c>
      <c r="Q64" s="466">
        <f t="shared" si="22"/>
        <v>0</v>
      </c>
      <c r="R64" s="466">
        <f t="shared" si="22"/>
        <v>0</v>
      </c>
      <c r="S64" s="466">
        <f t="shared" si="22"/>
        <v>0</v>
      </c>
      <c r="T64" s="466">
        <f t="shared" si="22"/>
        <v>0</v>
      </c>
      <c r="U64" s="466">
        <f t="shared" si="22"/>
        <v>0</v>
      </c>
      <c r="V64" s="466">
        <f t="shared" si="22"/>
        <v>0</v>
      </c>
      <c r="W64" s="466">
        <f t="shared" si="22"/>
        <v>0</v>
      </c>
      <c r="X64" s="466">
        <f t="shared" si="22"/>
        <v>0</v>
      </c>
      <c r="Y64" s="466">
        <f t="shared" si="22"/>
        <v>0</v>
      </c>
      <c r="Z64" s="466">
        <f t="shared" si="22"/>
        <v>0</v>
      </c>
      <c r="AA64" s="466">
        <f t="shared" si="22"/>
        <v>0</v>
      </c>
      <c r="AB64" s="466">
        <f t="shared" si="22"/>
        <v>0</v>
      </c>
      <c r="AC64" s="466">
        <f t="shared" si="22"/>
        <v>0</v>
      </c>
      <c r="AD64" s="466">
        <f t="shared" si="22"/>
        <v>0</v>
      </c>
      <c r="AE64" s="466">
        <f t="shared" si="22"/>
        <v>0</v>
      </c>
      <c r="AF64" s="466">
        <f t="shared" si="22"/>
        <v>0</v>
      </c>
      <c r="AG64" s="466">
        <f t="shared" si="22"/>
        <v>0</v>
      </c>
      <c r="AH64" s="466">
        <f t="shared" si="22"/>
        <v>0</v>
      </c>
      <c r="AI64" s="466">
        <f t="shared" si="22"/>
        <v>0</v>
      </c>
      <c r="AJ64" s="466">
        <f t="shared" si="22"/>
        <v>0</v>
      </c>
      <c r="AK64" s="466">
        <f t="shared" si="22"/>
        <v>0</v>
      </c>
      <c r="AL64" s="466">
        <f t="shared" si="22"/>
        <v>0</v>
      </c>
      <c r="AM64" s="466">
        <f t="shared" si="22"/>
        <v>0</v>
      </c>
      <c r="AN64" s="466">
        <f t="shared" si="22"/>
        <v>0</v>
      </c>
      <c r="AO64" s="466">
        <f t="shared" si="22"/>
        <v>0</v>
      </c>
      <c r="AP64" s="466">
        <f t="shared" si="22"/>
        <v>0</v>
      </c>
      <c r="AQ64" s="466">
        <f t="shared" si="22"/>
        <v>0</v>
      </c>
      <c r="AR64" s="466">
        <f t="shared" si="22"/>
        <v>0</v>
      </c>
      <c r="AS64" s="466">
        <f t="shared" si="22"/>
        <v>0</v>
      </c>
      <c r="AT64" s="466">
        <f t="shared" si="22"/>
        <v>0</v>
      </c>
      <c r="AU64" s="466">
        <f t="shared" si="22"/>
        <v>0</v>
      </c>
      <c r="AV64" s="466">
        <f t="shared" si="22"/>
        <v>0</v>
      </c>
      <c r="AW64" s="466">
        <f t="shared" si="22"/>
        <v>0</v>
      </c>
      <c r="AX64" s="466">
        <f t="shared" si="22"/>
        <v>0</v>
      </c>
      <c r="AY64" s="466">
        <f t="shared" si="22"/>
        <v>0</v>
      </c>
      <c r="AZ64" s="466">
        <f t="shared" si="22"/>
        <v>0</v>
      </c>
      <c r="BA64" s="466">
        <f t="shared" si="22"/>
        <v>0</v>
      </c>
      <c r="BB64" s="466">
        <f t="shared" si="22"/>
        <v>0</v>
      </c>
      <c r="BC64" s="2790"/>
      <c r="BD64" s="450"/>
    </row>
    <row r="65" spans="2:56" ht="15" customHeight="1" outlineLevel="2">
      <c r="B65" s="456"/>
      <c r="C65" s="457" t="s">
        <v>1579</v>
      </c>
      <c r="D65" s="458" t="s">
        <v>1909</v>
      </c>
      <c r="E65" s="459">
        <v>0</v>
      </c>
      <c r="F65" s="459">
        <v>0</v>
      </c>
      <c r="G65" s="459">
        <v>0</v>
      </c>
      <c r="H65" s="459">
        <v>0</v>
      </c>
      <c r="I65" s="459">
        <v>0</v>
      </c>
      <c r="J65" s="459">
        <v>0</v>
      </c>
      <c r="K65" s="459">
        <v>0</v>
      </c>
      <c r="L65" s="459">
        <v>0</v>
      </c>
      <c r="M65" s="459">
        <v>0</v>
      </c>
      <c r="N65" s="459">
        <v>0</v>
      </c>
      <c r="O65" s="459">
        <v>0</v>
      </c>
      <c r="P65" s="459">
        <v>0</v>
      </c>
      <c r="Q65" s="459">
        <v>0</v>
      </c>
      <c r="R65" s="459">
        <v>0</v>
      </c>
      <c r="S65" s="459">
        <v>0</v>
      </c>
      <c r="T65" s="459">
        <v>0</v>
      </c>
      <c r="U65" s="459">
        <f>T65</f>
        <v>0</v>
      </c>
      <c r="V65" s="459">
        <f t="shared" ref="V65:BB65" si="23">U65</f>
        <v>0</v>
      </c>
      <c r="W65" s="459">
        <v>0</v>
      </c>
      <c r="X65" s="459">
        <f t="shared" si="23"/>
        <v>0</v>
      </c>
      <c r="Y65" s="459">
        <f t="shared" si="23"/>
        <v>0</v>
      </c>
      <c r="Z65" s="459">
        <f t="shared" si="23"/>
        <v>0</v>
      </c>
      <c r="AA65" s="459">
        <f t="shared" si="23"/>
        <v>0</v>
      </c>
      <c r="AB65" s="459">
        <f t="shared" si="23"/>
        <v>0</v>
      </c>
      <c r="AC65" s="459">
        <f t="shared" si="23"/>
        <v>0</v>
      </c>
      <c r="AD65" s="459">
        <f t="shared" si="23"/>
        <v>0</v>
      </c>
      <c r="AE65" s="460">
        <f t="shared" si="23"/>
        <v>0</v>
      </c>
      <c r="AF65" s="459">
        <f>AE65</f>
        <v>0</v>
      </c>
      <c r="AG65" s="459">
        <f t="shared" si="23"/>
        <v>0</v>
      </c>
      <c r="AH65" s="459">
        <f t="shared" si="23"/>
        <v>0</v>
      </c>
      <c r="AI65" s="459">
        <f t="shared" si="23"/>
        <v>0</v>
      </c>
      <c r="AJ65" s="459">
        <f t="shared" si="23"/>
        <v>0</v>
      </c>
      <c r="AK65" s="459">
        <f t="shared" si="23"/>
        <v>0</v>
      </c>
      <c r="AL65" s="459">
        <f t="shared" si="23"/>
        <v>0</v>
      </c>
      <c r="AM65" s="459">
        <f t="shared" si="23"/>
        <v>0</v>
      </c>
      <c r="AN65" s="459">
        <f t="shared" si="23"/>
        <v>0</v>
      </c>
      <c r="AO65" s="459">
        <f t="shared" si="23"/>
        <v>0</v>
      </c>
      <c r="AP65" s="459">
        <f t="shared" si="23"/>
        <v>0</v>
      </c>
      <c r="AQ65" s="459">
        <f t="shared" ref="AQ65:AZ65" si="24">AP65</f>
        <v>0</v>
      </c>
      <c r="AR65" s="459">
        <f t="shared" si="24"/>
        <v>0</v>
      </c>
      <c r="AS65" s="459">
        <f t="shared" si="24"/>
        <v>0</v>
      </c>
      <c r="AT65" s="459">
        <f t="shared" si="24"/>
        <v>0</v>
      </c>
      <c r="AU65" s="459">
        <f t="shared" si="24"/>
        <v>0</v>
      </c>
      <c r="AV65" s="459">
        <f t="shared" si="24"/>
        <v>0</v>
      </c>
      <c r="AW65" s="459">
        <f t="shared" si="24"/>
        <v>0</v>
      </c>
      <c r="AX65" s="459">
        <f t="shared" si="24"/>
        <v>0</v>
      </c>
      <c r="AY65" s="459">
        <f t="shared" si="24"/>
        <v>0</v>
      </c>
      <c r="AZ65" s="459">
        <f t="shared" si="24"/>
        <v>0</v>
      </c>
      <c r="BA65" s="459">
        <f>AP65</f>
        <v>0</v>
      </c>
      <c r="BB65" s="459">
        <f t="shared" si="23"/>
        <v>0</v>
      </c>
      <c r="BC65" s="2790"/>
      <c r="BD65" s="450"/>
    </row>
    <row r="66" spans="2:56" s="415" customFormat="1" ht="15" customHeight="1" outlineLevel="2">
      <c r="B66" s="463"/>
      <c r="C66" s="464" t="s">
        <v>1910</v>
      </c>
      <c r="D66" s="465" t="s">
        <v>1911</v>
      </c>
      <c r="E66" s="466">
        <f>E63+E64+E65</f>
        <v>0</v>
      </c>
      <c r="F66" s="466">
        <f t="shared" ref="F66:BB66" si="25">F63+F64+F65</f>
        <v>0</v>
      </c>
      <c r="G66" s="466">
        <f>G63+G64+G65</f>
        <v>0</v>
      </c>
      <c r="H66" s="466">
        <f t="shared" si="25"/>
        <v>0</v>
      </c>
      <c r="I66" s="466">
        <f t="shared" si="25"/>
        <v>0</v>
      </c>
      <c r="J66" s="466">
        <f t="shared" si="25"/>
        <v>0</v>
      </c>
      <c r="K66" s="466">
        <f t="shared" si="25"/>
        <v>0</v>
      </c>
      <c r="L66" s="466">
        <f t="shared" si="25"/>
        <v>0</v>
      </c>
      <c r="M66" s="466">
        <f t="shared" si="25"/>
        <v>0</v>
      </c>
      <c r="N66" s="466">
        <f t="shared" si="25"/>
        <v>0</v>
      </c>
      <c r="O66" s="466">
        <f t="shared" si="25"/>
        <v>0</v>
      </c>
      <c r="P66" s="466">
        <f t="shared" si="25"/>
        <v>0</v>
      </c>
      <c r="Q66" s="466">
        <f t="shared" si="25"/>
        <v>0</v>
      </c>
      <c r="R66" s="466">
        <f t="shared" si="25"/>
        <v>0</v>
      </c>
      <c r="S66" s="466">
        <f t="shared" si="25"/>
        <v>0</v>
      </c>
      <c r="T66" s="466">
        <f t="shared" si="25"/>
        <v>0</v>
      </c>
      <c r="U66" s="466">
        <f t="shared" si="25"/>
        <v>0</v>
      </c>
      <c r="V66" s="466">
        <f t="shared" si="25"/>
        <v>0</v>
      </c>
      <c r="W66" s="466">
        <f t="shared" si="25"/>
        <v>0</v>
      </c>
      <c r="X66" s="466">
        <f t="shared" si="25"/>
        <v>0</v>
      </c>
      <c r="Y66" s="466">
        <f t="shared" si="25"/>
        <v>0</v>
      </c>
      <c r="Z66" s="466">
        <f t="shared" si="25"/>
        <v>0</v>
      </c>
      <c r="AA66" s="466">
        <f t="shared" si="25"/>
        <v>0</v>
      </c>
      <c r="AB66" s="466">
        <f t="shared" si="25"/>
        <v>0</v>
      </c>
      <c r="AC66" s="466">
        <f t="shared" si="25"/>
        <v>0</v>
      </c>
      <c r="AD66" s="466">
        <f t="shared" si="25"/>
        <v>0</v>
      </c>
      <c r="AE66" s="467">
        <f t="shared" si="25"/>
        <v>0</v>
      </c>
      <c r="AF66" s="466">
        <f t="shared" si="25"/>
        <v>0</v>
      </c>
      <c r="AG66" s="466">
        <f t="shared" si="25"/>
        <v>0</v>
      </c>
      <c r="AH66" s="466">
        <f t="shared" si="25"/>
        <v>0</v>
      </c>
      <c r="AI66" s="466">
        <f t="shared" si="25"/>
        <v>0</v>
      </c>
      <c r="AJ66" s="466">
        <f t="shared" si="25"/>
        <v>0</v>
      </c>
      <c r="AK66" s="466">
        <f t="shared" si="25"/>
        <v>0</v>
      </c>
      <c r="AL66" s="466">
        <f t="shared" si="25"/>
        <v>0</v>
      </c>
      <c r="AM66" s="466">
        <f t="shared" si="25"/>
        <v>0</v>
      </c>
      <c r="AN66" s="466">
        <f t="shared" si="25"/>
        <v>0</v>
      </c>
      <c r="AO66" s="466">
        <f t="shared" si="25"/>
        <v>0</v>
      </c>
      <c r="AP66" s="466">
        <f t="shared" si="25"/>
        <v>0</v>
      </c>
      <c r="AQ66" s="466">
        <f t="shared" ref="AQ66:AZ66" si="26">AQ63+AQ64+AQ65</f>
        <v>0</v>
      </c>
      <c r="AR66" s="466">
        <f t="shared" si="26"/>
        <v>0</v>
      </c>
      <c r="AS66" s="466">
        <f t="shared" si="26"/>
        <v>0</v>
      </c>
      <c r="AT66" s="466">
        <f t="shared" si="26"/>
        <v>0</v>
      </c>
      <c r="AU66" s="466">
        <f t="shared" si="26"/>
        <v>0</v>
      </c>
      <c r="AV66" s="466">
        <f t="shared" si="26"/>
        <v>0</v>
      </c>
      <c r="AW66" s="466">
        <f t="shared" si="26"/>
        <v>0</v>
      </c>
      <c r="AX66" s="466">
        <f t="shared" si="26"/>
        <v>0</v>
      </c>
      <c r="AY66" s="466">
        <f t="shared" si="26"/>
        <v>0</v>
      </c>
      <c r="AZ66" s="466">
        <f t="shared" si="26"/>
        <v>0</v>
      </c>
      <c r="BA66" s="466">
        <f t="shared" si="25"/>
        <v>0</v>
      </c>
      <c r="BB66" s="466">
        <f t="shared" si="25"/>
        <v>0</v>
      </c>
      <c r="BC66" s="2791"/>
      <c r="BD66" s="420"/>
    </row>
    <row r="67" spans="2:56" ht="15" customHeight="1" outlineLevel="2">
      <c r="B67" s="456"/>
      <c r="C67" s="464" t="s">
        <v>1912</v>
      </c>
      <c r="D67" s="465" t="s">
        <v>1913</v>
      </c>
      <c r="E67" s="466">
        <f>+E63*0</f>
        <v>0</v>
      </c>
      <c r="F67" s="466">
        <f>+F63*0</f>
        <v>0</v>
      </c>
      <c r="G67" s="466">
        <f t="shared" ref="G67:BB67" si="27">+G63*0</f>
        <v>0</v>
      </c>
      <c r="H67" s="466">
        <f t="shared" si="27"/>
        <v>0</v>
      </c>
      <c r="I67" s="466">
        <f t="shared" si="27"/>
        <v>0</v>
      </c>
      <c r="J67" s="466">
        <f t="shared" si="27"/>
        <v>0</v>
      </c>
      <c r="K67" s="466">
        <f t="shared" si="27"/>
        <v>0</v>
      </c>
      <c r="L67" s="466">
        <f t="shared" si="27"/>
        <v>0</v>
      </c>
      <c r="M67" s="466">
        <f t="shared" si="27"/>
        <v>0</v>
      </c>
      <c r="N67" s="466">
        <f t="shared" si="27"/>
        <v>0</v>
      </c>
      <c r="O67" s="466">
        <f t="shared" si="27"/>
        <v>0</v>
      </c>
      <c r="P67" s="466">
        <f t="shared" si="27"/>
        <v>0</v>
      </c>
      <c r="Q67" s="466">
        <f t="shared" si="27"/>
        <v>0</v>
      </c>
      <c r="R67" s="466">
        <f t="shared" si="27"/>
        <v>0</v>
      </c>
      <c r="S67" s="466">
        <f t="shared" si="27"/>
        <v>0</v>
      </c>
      <c r="T67" s="466">
        <f t="shared" si="27"/>
        <v>0</v>
      </c>
      <c r="U67" s="466">
        <f t="shared" si="27"/>
        <v>0</v>
      </c>
      <c r="V67" s="466">
        <f t="shared" si="27"/>
        <v>0</v>
      </c>
      <c r="W67" s="466">
        <f t="shared" si="27"/>
        <v>0</v>
      </c>
      <c r="X67" s="466">
        <f t="shared" si="27"/>
        <v>0</v>
      </c>
      <c r="Y67" s="466">
        <f t="shared" si="27"/>
        <v>0</v>
      </c>
      <c r="Z67" s="466">
        <f t="shared" si="27"/>
        <v>0</v>
      </c>
      <c r="AA67" s="466">
        <f t="shared" si="27"/>
        <v>0</v>
      </c>
      <c r="AB67" s="466">
        <f t="shared" si="27"/>
        <v>0</v>
      </c>
      <c r="AC67" s="466">
        <f t="shared" si="27"/>
        <v>0</v>
      </c>
      <c r="AD67" s="466">
        <f t="shared" si="27"/>
        <v>0</v>
      </c>
      <c r="AE67" s="466">
        <f t="shared" si="27"/>
        <v>0</v>
      </c>
      <c r="AF67" s="466">
        <f t="shared" si="27"/>
        <v>0</v>
      </c>
      <c r="AG67" s="466">
        <f t="shared" si="27"/>
        <v>0</v>
      </c>
      <c r="AH67" s="466">
        <f t="shared" si="27"/>
        <v>0</v>
      </c>
      <c r="AI67" s="466">
        <f t="shared" si="27"/>
        <v>0</v>
      </c>
      <c r="AJ67" s="466">
        <f t="shared" si="27"/>
        <v>0</v>
      </c>
      <c r="AK67" s="466">
        <f t="shared" si="27"/>
        <v>0</v>
      </c>
      <c r="AL67" s="466">
        <f t="shared" si="27"/>
        <v>0</v>
      </c>
      <c r="AM67" s="466">
        <f t="shared" si="27"/>
        <v>0</v>
      </c>
      <c r="AN67" s="466">
        <f t="shared" si="27"/>
        <v>0</v>
      </c>
      <c r="AO67" s="466">
        <f t="shared" si="27"/>
        <v>0</v>
      </c>
      <c r="AP67" s="466">
        <f t="shared" si="27"/>
        <v>0</v>
      </c>
      <c r="AQ67" s="466">
        <f t="shared" si="27"/>
        <v>0</v>
      </c>
      <c r="AR67" s="466">
        <f t="shared" si="27"/>
        <v>0</v>
      </c>
      <c r="AS67" s="466">
        <f t="shared" si="27"/>
        <v>0</v>
      </c>
      <c r="AT67" s="466">
        <f t="shared" si="27"/>
        <v>0</v>
      </c>
      <c r="AU67" s="466">
        <f t="shared" si="27"/>
        <v>0</v>
      </c>
      <c r="AV67" s="466">
        <f t="shared" si="27"/>
        <v>0</v>
      </c>
      <c r="AW67" s="466">
        <f t="shared" si="27"/>
        <v>0</v>
      </c>
      <c r="AX67" s="466">
        <f t="shared" si="27"/>
        <v>0</v>
      </c>
      <c r="AY67" s="466">
        <f t="shared" si="27"/>
        <v>0</v>
      </c>
      <c r="AZ67" s="466">
        <f t="shared" si="27"/>
        <v>0</v>
      </c>
      <c r="BA67" s="466">
        <f t="shared" si="27"/>
        <v>0</v>
      </c>
      <c r="BB67" s="466">
        <f t="shared" si="27"/>
        <v>0</v>
      </c>
      <c r="BC67" s="2790"/>
      <c r="BD67" s="450"/>
    </row>
    <row r="68" spans="2:56" ht="15" customHeight="1" outlineLevel="2">
      <c r="B68" s="456"/>
      <c r="C68" s="457" t="s">
        <v>1914</v>
      </c>
      <c r="D68" s="458" t="s">
        <v>1915</v>
      </c>
      <c r="E68" s="459">
        <v>0</v>
      </c>
      <c r="F68" s="459">
        <v>0</v>
      </c>
      <c r="G68" s="459">
        <v>0</v>
      </c>
      <c r="H68" s="459">
        <v>0</v>
      </c>
      <c r="I68" s="459">
        <v>0</v>
      </c>
      <c r="J68" s="459">
        <v>0</v>
      </c>
      <c r="K68" s="459">
        <v>0</v>
      </c>
      <c r="L68" s="459">
        <v>0</v>
      </c>
      <c r="M68" s="459">
        <v>0</v>
      </c>
      <c r="N68" s="459">
        <v>0</v>
      </c>
      <c r="O68" s="459">
        <v>0</v>
      </c>
      <c r="P68" s="459">
        <v>0</v>
      </c>
      <c r="Q68" s="459">
        <v>0</v>
      </c>
      <c r="R68" s="459">
        <v>0</v>
      </c>
      <c r="S68" s="459">
        <v>0</v>
      </c>
      <c r="T68" s="459">
        <v>0</v>
      </c>
      <c r="U68" s="459">
        <v>0</v>
      </c>
      <c r="V68" s="459">
        <v>0</v>
      </c>
      <c r="W68" s="459">
        <v>0</v>
      </c>
      <c r="X68" s="459">
        <v>0</v>
      </c>
      <c r="Y68" s="459">
        <v>0</v>
      </c>
      <c r="Z68" s="459">
        <v>0</v>
      </c>
      <c r="AA68" s="459">
        <v>0</v>
      </c>
      <c r="AB68" s="459">
        <v>0</v>
      </c>
      <c r="AC68" s="459">
        <v>0</v>
      </c>
      <c r="AD68" s="459">
        <v>0</v>
      </c>
      <c r="AE68" s="460">
        <v>0</v>
      </c>
      <c r="AF68" s="459">
        <v>0</v>
      </c>
      <c r="AG68" s="459">
        <v>0</v>
      </c>
      <c r="AH68" s="459">
        <v>0</v>
      </c>
      <c r="AI68" s="459">
        <v>0</v>
      </c>
      <c r="AJ68" s="459">
        <v>0</v>
      </c>
      <c r="AK68" s="459">
        <v>0</v>
      </c>
      <c r="AL68" s="459">
        <v>0</v>
      </c>
      <c r="AM68" s="459">
        <v>0</v>
      </c>
      <c r="AN68" s="459">
        <v>0</v>
      </c>
      <c r="AO68" s="459">
        <v>0</v>
      </c>
      <c r="AP68" s="459">
        <v>0</v>
      </c>
      <c r="AQ68" s="459">
        <v>0</v>
      </c>
      <c r="AR68" s="459">
        <v>0</v>
      </c>
      <c r="AS68" s="459">
        <v>0</v>
      </c>
      <c r="AT68" s="459">
        <v>0</v>
      </c>
      <c r="AU68" s="459">
        <v>0</v>
      </c>
      <c r="AV68" s="459">
        <v>0</v>
      </c>
      <c r="AW68" s="459">
        <v>0</v>
      </c>
      <c r="AX68" s="459">
        <v>0</v>
      </c>
      <c r="AY68" s="459">
        <v>0</v>
      </c>
      <c r="AZ68" s="459">
        <v>0</v>
      </c>
      <c r="BA68" s="459"/>
      <c r="BB68" s="459">
        <f>-BB67*0.5</f>
        <v>0</v>
      </c>
      <c r="BC68" s="2790"/>
      <c r="BD68" s="450"/>
    </row>
    <row r="69" spans="2:56" s="415" customFormat="1" ht="15" customHeight="1" outlineLevel="2">
      <c r="B69" s="463"/>
      <c r="C69" s="464" t="s">
        <v>1916</v>
      </c>
      <c r="D69" s="465" t="s">
        <v>1917</v>
      </c>
      <c r="E69" s="466">
        <f>E66+E67+E68</f>
        <v>0</v>
      </c>
      <c r="F69" s="466">
        <f t="shared" ref="F69:BB69" si="28">F66+F67+F68</f>
        <v>0</v>
      </c>
      <c r="G69" s="466">
        <f t="shared" si="28"/>
        <v>0</v>
      </c>
      <c r="H69" s="466">
        <f t="shared" si="28"/>
        <v>0</v>
      </c>
      <c r="I69" s="466">
        <f t="shared" si="28"/>
        <v>0</v>
      </c>
      <c r="J69" s="466">
        <f t="shared" si="28"/>
        <v>0</v>
      </c>
      <c r="K69" s="466">
        <f t="shared" si="28"/>
        <v>0</v>
      </c>
      <c r="L69" s="466">
        <f t="shared" si="28"/>
        <v>0</v>
      </c>
      <c r="M69" s="466">
        <f t="shared" si="28"/>
        <v>0</v>
      </c>
      <c r="N69" s="466">
        <f t="shared" si="28"/>
        <v>0</v>
      </c>
      <c r="O69" s="466">
        <f t="shared" si="28"/>
        <v>0</v>
      </c>
      <c r="P69" s="466">
        <f t="shared" si="28"/>
        <v>0</v>
      </c>
      <c r="Q69" s="466">
        <f t="shared" si="28"/>
        <v>0</v>
      </c>
      <c r="R69" s="466">
        <f t="shared" si="28"/>
        <v>0</v>
      </c>
      <c r="S69" s="466">
        <f t="shared" si="28"/>
        <v>0</v>
      </c>
      <c r="T69" s="466">
        <f t="shared" si="28"/>
        <v>0</v>
      </c>
      <c r="U69" s="466">
        <f t="shared" si="28"/>
        <v>0</v>
      </c>
      <c r="V69" s="466">
        <f t="shared" si="28"/>
        <v>0</v>
      </c>
      <c r="W69" s="466">
        <f t="shared" si="28"/>
        <v>0</v>
      </c>
      <c r="X69" s="466">
        <f t="shared" si="28"/>
        <v>0</v>
      </c>
      <c r="Y69" s="466">
        <f t="shared" si="28"/>
        <v>0</v>
      </c>
      <c r="Z69" s="466">
        <f t="shared" si="28"/>
        <v>0</v>
      </c>
      <c r="AA69" s="466">
        <f t="shared" si="28"/>
        <v>0</v>
      </c>
      <c r="AB69" s="466">
        <f t="shared" si="28"/>
        <v>0</v>
      </c>
      <c r="AC69" s="466">
        <f t="shared" si="28"/>
        <v>0</v>
      </c>
      <c r="AD69" s="466">
        <f t="shared" si="28"/>
        <v>0</v>
      </c>
      <c r="AE69" s="467">
        <f t="shared" si="28"/>
        <v>0</v>
      </c>
      <c r="AF69" s="466">
        <f t="shared" si="28"/>
        <v>0</v>
      </c>
      <c r="AG69" s="466">
        <f t="shared" si="28"/>
        <v>0</v>
      </c>
      <c r="AH69" s="466">
        <f t="shared" si="28"/>
        <v>0</v>
      </c>
      <c r="AI69" s="466">
        <f t="shared" si="28"/>
        <v>0</v>
      </c>
      <c r="AJ69" s="466">
        <f t="shared" si="28"/>
        <v>0</v>
      </c>
      <c r="AK69" s="466">
        <f t="shared" si="28"/>
        <v>0</v>
      </c>
      <c r="AL69" s="466">
        <f t="shared" si="28"/>
        <v>0</v>
      </c>
      <c r="AM69" s="466">
        <f t="shared" si="28"/>
        <v>0</v>
      </c>
      <c r="AN69" s="466">
        <f t="shared" si="28"/>
        <v>0</v>
      </c>
      <c r="AO69" s="466">
        <f t="shared" si="28"/>
        <v>0</v>
      </c>
      <c r="AP69" s="466">
        <f t="shared" si="28"/>
        <v>0</v>
      </c>
      <c r="AQ69" s="466">
        <f t="shared" ref="AQ69:AZ69" si="29">AQ66+AQ67+AQ68</f>
        <v>0</v>
      </c>
      <c r="AR69" s="466">
        <f t="shared" si="29"/>
        <v>0</v>
      </c>
      <c r="AS69" s="466">
        <f t="shared" si="29"/>
        <v>0</v>
      </c>
      <c r="AT69" s="466">
        <f t="shared" si="29"/>
        <v>0</v>
      </c>
      <c r="AU69" s="466">
        <f t="shared" si="29"/>
        <v>0</v>
      </c>
      <c r="AV69" s="466">
        <f t="shared" si="29"/>
        <v>0</v>
      </c>
      <c r="AW69" s="466">
        <f t="shared" si="29"/>
        <v>0</v>
      </c>
      <c r="AX69" s="466">
        <f t="shared" si="29"/>
        <v>0</v>
      </c>
      <c r="AY69" s="466">
        <f t="shared" si="29"/>
        <v>0</v>
      </c>
      <c r="AZ69" s="466">
        <f t="shared" si="29"/>
        <v>0</v>
      </c>
      <c r="BA69" s="466">
        <f t="shared" si="28"/>
        <v>0</v>
      </c>
      <c r="BB69" s="466">
        <f t="shared" si="28"/>
        <v>0</v>
      </c>
      <c r="BC69" s="2791"/>
      <c r="BD69" s="420"/>
    </row>
    <row r="70" spans="2:56" ht="15" customHeight="1" outlineLevel="2">
      <c r="B70" s="456"/>
      <c r="C70" s="457" t="s">
        <v>1918</v>
      </c>
      <c r="D70" s="458" t="s">
        <v>1919</v>
      </c>
      <c r="E70" s="459">
        <v>0</v>
      </c>
      <c r="F70" s="459">
        <v>0</v>
      </c>
      <c r="G70" s="459">
        <v>0</v>
      </c>
      <c r="H70" s="459">
        <v>0</v>
      </c>
      <c r="I70" s="459">
        <v>0</v>
      </c>
      <c r="J70" s="459">
        <v>0</v>
      </c>
      <c r="K70" s="459">
        <v>0</v>
      </c>
      <c r="L70" s="459">
        <v>0</v>
      </c>
      <c r="M70" s="459">
        <v>0</v>
      </c>
      <c r="N70" s="459">
        <v>0</v>
      </c>
      <c r="O70" s="459">
        <v>0</v>
      </c>
      <c r="P70" s="459">
        <v>0</v>
      </c>
      <c r="Q70" s="459">
        <v>0</v>
      </c>
      <c r="R70" s="459">
        <v>0</v>
      </c>
      <c r="S70" s="459">
        <v>0</v>
      </c>
      <c r="T70" s="459">
        <v>0</v>
      </c>
      <c r="U70" s="459">
        <v>0</v>
      </c>
      <c r="V70" s="459">
        <v>0</v>
      </c>
      <c r="W70" s="459">
        <v>0</v>
      </c>
      <c r="X70" s="459">
        <v>0</v>
      </c>
      <c r="Y70" s="459">
        <v>0</v>
      </c>
      <c r="Z70" s="459">
        <v>0</v>
      </c>
      <c r="AA70" s="459">
        <v>0</v>
      </c>
      <c r="AB70" s="459">
        <v>0</v>
      </c>
      <c r="AC70" s="459">
        <v>0</v>
      </c>
      <c r="AD70" s="459">
        <v>0</v>
      </c>
      <c r="AE70" s="460">
        <v>0</v>
      </c>
      <c r="AF70" s="459">
        <v>0</v>
      </c>
      <c r="AG70" s="459">
        <v>0</v>
      </c>
      <c r="AH70" s="459">
        <v>0</v>
      </c>
      <c r="AI70" s="459">
        <v>0</v>
      </c>
      <c r="AJ70" s="459">
        <v>0</v>
      </c>
      <c r="AK70" s="459">
        <v>0</v>
      </c>
      <c r="AL70" s="459">
        <v>0</v>
      </c>
      <c r="AM70" s="459">
        <v>0</v>
      </c>
      <c r="AN70" s="459">
        <v>0</v>
      </c>
      <c r="AO70" s="459">
        <v>0</v>
      </c>
      <c r="AP70" s="459">
        <v>0</v>
      </c>
      <c r="AQ70" s="459">
        <v>0</v>
      </c>
      <c r="AR70" s="459">
        <v>0</v>
      </c>
      <c r="AS70" s="459">
        <v>0</v>
      </c>
      <c r="AT70" s="459">
        <v>0</v>
      </c>
      <c r="AU70" s="459">
        <v>0</v>
      </c>
      <c r="AV70" s="459">
        <v>0</v>
      </c>
      <c r="AW70" s="459">
        <v>0</v>
      </c>
      <c r="AX70" s="459">
        <v>0</v>
      </c>
      <c r="AY70" s="459">
        <v>0</v>
      </c>
      <c r="AZ70" s="459">
        <v>0</v>
      </c>
      <c r="BA70" s="459">
        <v>0</v>
      </c>
      <c r="BB70" s="459">
        <v>0</v>
      </c>
      <c r="BC70" s="2790"/>
      <c r="BD70" s="450"/>
    </row>
    <row r="71" spans="2:56" ht="15" customHeight="1" outlineLevel="2">
      <c r="B71" s="456"/>
      <c r="C71" s="457" t="s">
        <v>1920</v>
      </c>
      <c r="D71" s="458" t="s">
        <v>1921</v>
      </c>
      <c r="E71" s="459">
        <v>0</v>
      </c>
      <c r="F71" s="459">
        <v>0</v>
      </c>
      <c r="G71" s="459">
        <v>0</v>
      </c>
      <c r="H71" s="459">
        <v>0</v>
      </c>
      <c r="I71" s="459">
        <v>0</v>
      </c>
      <c r="J71" s="459">
        <v>0</v>
      </c>
      <c r="K71" s="459">
        <v>0</v>
      </c>
      <c r="L71" s="459">
        <v>0</v>
      </c>
      <c r="M71" s="459">
        <v>0</v>
      </c>
      <c r="N71" s="459">
        <v>0</v>
      </c>
      <c r="O71" s="459">
        <v>0</v>
      </c>
      <c r="P71" s="459">
        <v>0</v>
      </c>
      <c r="Q71" s="459">
        <v>0</v>
      </c>
      <c r="R71" s="459">
        <v>0</v>
      </c>
      <c r="S71" s="459">
        <v>0</v>
      </c>
      <c r="T71" s="459">
        <v>0</v>
      </c>
      <c r="U71" s="459">
        <v>0</v>
      </c>
      <c r="V71" s="459">
        <v>0</v>
      </c>
      <c r="W71" s="459">
        <v>0</v>
      </c>
      <c r="X71" s="459">
        <v>0</v>
      </c>
      <c r="Y71" s="459">
        <v>0</v>
      </c>
      <c r="Z71" s="459">
        <v>0</v>
      </c>
      <c r="AA71" s="459">
        <v>0</v>
      </c>
      <c r="AB71" s="459">
        <v>0</v>
      </c>
      <c r="AC71" s="459">
        <v>0</v>
      </c>
      <c r="AD71" s="459">
        <v>0</v>
      </c>
      <c r="AE71" s="460">
        <v>0</v>
      </c>
      <c r="AF71" s="459">
        <v>0</v>
      </c>
      <c r="AG71" s="459">
        <v>0</v>
      </c>
      <c r="AH71" s="459">
        <v>0</v>
      </c>
      <c r="AI71" s="459">
        <v>0</v>
      </c>
      <c r="AJ71" s="459">
        <v>0</v>
      </c>
      <c r="AK71" s="459">
        <v>0</v>
      </c>
      <c r="AL71" s="459">
        <v>0</v>
      </c>
      <c r="AM71" s="459">
        <v>0</v>
      </c>
      <c r="AN71" s="459">
        <v>0</v>
      </c>
      <c r="AO71" s="459">
        <v>0</v>
      </c>
      <c r="AP71" s="459">
        <v>0</v>
      </c>
      <c r="AQ71" s="459">
        <v>0</v>
      </c>
      <c r="AR71" s="459">
        <v>0</v>
      </c>
      <c r="AS71" s="459">
        <v>0</v>
      </c>
      <c r="AT71" s="459">
        <v>0</v>
      </c>
      <c r="AU71" s="459">
        <v>0</v>
      </c>
      <c r="AV71" s="459">
        <v>0</v>
      </c>
      <c r="AW71" s="459">
        <v>0</v>
      </c>
      <c r="AX71" s="459">
        <v>0</v>
      </c>
      <c r="AY71" s="459">
        <v>0</v>
      </c>
      <c r="AZ71" s="459">
        <v>0</v>
      </c>
      <c r="BA71" s="459">
        <v>0</v>
      </c>
      <c r="BB71" s="459">
        <v>0</v>
      </c>
      <c r="BC71" s="2790"/>
      <c r="BD71" s="450"/>
    </row>
    <row r="72" spans="2:56" ht="15" customHeight="1" outlineLevel="2">
      <c r="B72" s="456"/>
      <c r="C72" s="457" t="s">
        <v>1922</v>
      </c>
      <c r="D72" s="458" t="s">
        <v>1923</v>
      </c>
      <c r="E72" s="459">
        <v>0</v>
      </c>
      <c r="F72" s="459">
        <v>0</v>
      </c>
      <c r="G72" s="459">
        <v>0</v>
      </c>
      <c r="H72" s="459">
        <v>0</v>
      </c>
      <c r="I72" s="459">
        <v>0</v>
      </c>
      <c r="J72" s="459">
        <v>0</v>
      </c>
      <c r="K72" s="459">
        <v>0</v>
      </c>
      <c r="L72" s="459">
        <v>0</v>
      </c>
      <c r="M72" s="459">
        <v>0</v>
      </c>
      <c r="N72" s="459">
        <v>0</v>
      </c>
      <c r="O72" s="459">
        <v>0</v>
      </c>
      <c r="P72" s="459">
        <v>0</v>
      </c>
      <c r="Q72" s="459">
        <v>0</v>
      </c>
      <c r="R72" s="459">
        <v>0</v>
      </c>
      <c r="S72" s="459">
        <v>0</v>
      </c>
      <c r="T72" s="459">
        <v>0</v>
      </c>
      <c r="U72" s="459">
        <v>0</v>
      </c>
      <c r="V72" s="459">
        <v>0</v>
      </c>
      <c r="W72" s="459">
        <v>0</v>
      </c>
      <c r="X72" s="459">
        <v>0</v>
      </c>
      <c r="Y72" s="459">
        <v>0</v>
      </c>
      <c r="Z72" s="459">
        <v>0</v>
      </c>
      <c r="AA72" s="459">
        <v>0</v>
      </c>
      <c r="AB72" s="459">
        <v>0</v>
      </c>
      <c r="AC72" s="459">
        <v>0</v>
      </c>
      <c r="AD72" s="459">
        <v>0</v>
      </c>
      <c r="AE72" s="460">
        <v>0</v>
      </c>
      <c r="AF72" s="459">
        <v>0</v>
      </c>
      <c r="AG72" s="459">
        <v>0</v>
      </c>
      <c r="AH72" s="459">
        <v>0</v>
      </c>
      <c r="AI72" s="459">
        <v>0</v>
      </c>
      <c r="AJ72" s="459">
        <v>0</v>
      </c>
      <c r="AK72" s="459">
        <v>0</v>
      </c>
      <c r="AL72" s="459">
        <v>0</v>
      </c>
      <c r="AM72" s="459">
        <v>0</v>
      </c>
      <c r="AN72" s="459">
        <v>0</v>
      </c>
      <c r="AO72" s="459">
        <v>0</v>
      </c>
      <c r="AP72" s="459">
        <v>0</v>
      </c>
      <c r="AQ72" s="459">
        <v>0</v>
      </c>
      <c r="AR72" s="459">
        <v>0</v>
      </c>
      <c r="AS72" s="459">
        <v>0</v>
      </c>
      <c r="AT72" s="459">
        <v>0</v>
      </c>
      <c r="AU72" s="459">
        <v>0</v>
      </c>
      <c r="AV72" s="459">
        <v>0</v>
      </c>
      <c r="AW72" s="459">
        <v>0</v>
      </c>
      <c r="AX72" s="459">
        <v>0</v>
      </c>
      <c r="AY72" s="459">
        <v>0</v>
      </c>
      <c r="AZ72" s="459">
        <v>0</v>
      </c>
      <c r="BA72" s="459">
        <v>0</v>
      </c>
      <c r="BB72" s="459">
        <v>0</v>
      </c>
      <c r="BC72" s="2790"/>
      <c r="BD72" s="450"/>
    </row>
    <row r="73" spans="2:56" s="415" customFormat="1" ht="15" customHeight="1" outlineLevel="1">
      <c r="B73" s="463"/>
      <c r="C73" s="464" t="s">
        <v>1924</v>
      </c>
      <c r="D73" s="465" t="s">
        <v>1925</v>
      </c>
      <c r="E73" s="466">
        <f>E69+E70+E71+E72</f>
        <v>0</v>
      </c>
      <c r="F73" s="466">
        <f>F69+F70+F71+F72</f>
        <v>0</v>
      </c>
      <c r="G73" s="466">
        <f>G69+G70+G71+G72</f>
        <v>0</v>
      </c>
      <c r="H73" s="466">
        <f t="shared" ref="H73:BB73" si="30">H69+H70+H71+H72</f>
        <v>0</v>
      </c>
      <c r="I73" s="466">
        <f t="shared" si="30"/>
        <v>0</v>
      </c>
      <c r="J73" s="466">
        <f t="shared" si="30"/>
        <v>0</v>
      </c>
      <c r="K73" s="466">
        <f t="shared" si="30"/>
        <v>0</v>
      </c>
      <c r="L73" s="466">
        <f t="shared" si="30"/>
        <v>0</v>
      </c>
      <c r="M73" s="466">
        <f t="shared" si="30"/>
        <v>0</v>
      </c>
      <c r="N73" s="466">
        <f t="shared" si="30"/>
        <v>0</v>
      </c>
      <c r="O73" s="466">
        <f t="shared" si="30"/>
        <v>0</v>
      </c>
      <c r="P73" s="466">
        <f t="shared" si="30"/>
        <v>0</v>
      </c>
      <c r="Q73" s="466">
        <f t="shared" si="30"/>
        <v>0</v>
      </c>
      <c r="R73" s="466">
        <f t="shared" si="30"/>
        <v>0</v>
      </c>
      <c r="S73" s="466">
        <f t="shared" si="30"/>
        <v>0</v>
      </c>
      <c r="T73" s="466">
        <f t="shared" si="30"/>
        <v>0</v>
      </c>
      <c r="U73" s="466">
        <f t="shared" si="30"/>
        <v>0</v>
      </c>
      <c r="V73" s="466">
        <f t="shared" si="30"/>
        <v>0</v>
      </c>
      <c r="W73" s="466">
        <f t="shared" si="30"/>
        <v>0</v>
      </c>
      <c r="X73" s="466">
        <f t="shared" si="30"/>
        <v>0</v>
      </c>
      <c r="Y73" s="466">
        <f t="shared" si="30"/>
        <v>0</v>
      </c>
      <c r="Z73" s="466">
        <f t="shared" si="30"/>
        <v>0</v>
      </c>
      <c r="AA73" s="466">
        <f t="shared" si="30"/>
        <v>0</v>
      </c>
      <c r="AB73" s="466">
        <f t="shared" si="30"/>
        <v>0</v>
      </c>
      <c r="AC73" s="466">
        <f t="shared" si="30"/>
        <v>0</v>
      </c>
      <c r="AD73" s="466">
        <f t="shared" si="30"/>
        <v>0</v>
      </c>
      <c r="AE73" s="467">
        <f t="shared" si="30"/>
        <v>0</v>
      </c>
      <c r="AF73" s="466">
        <f t="shared" si="30"/>
        <v>0</v>
      </c>
      <c r="AG73" s="466">
        <f t="shared" si="30"/>
        <v>0</v>
      </c>
      <c r="AH73" s="466">
        <f t="shared" si="30"/>
        <v>0</v>
      </c>
      <c r="AI73" s="466">
        <f t="shared" si="30"/>
        <v>0</v>
      </c>
      <c r="AJ73" s="466">
        <f t="shared" si="30"/>
        <v>0</v>
      </c>
      <c r="AK73" s="466">
        <f t="shared" si="30"/>
        <v>0</v>
      </c>
      <c r="AL73" s="466">
        <f t="shared" si="30"/>
        <v>0</v>
      </c>
      <c r="AM73" s="466">
        <f t="shared" si="30"/>
        <v>0</v>
      </c>
      <c r="AN73" s="466">
        <f t="shared" si="30"/>
        <v>0</v>
      </c>
      <c r="AO73" s="466">
        <f t="shared" si="30"/>
        <v>0</v>
      </c>
      <c r="AP73" s="466">
        <f t="shared" si="30"/>
        <v>0</v>
      </c>
      <c r="AQ73" s="466">
        <f t="shared" ref="AQ73:AZ73" si="31">AQ69+AQ70+AQ71+AQ72</f>
        <v>0</v>
      </c>
      <c r="AR73" s="466">
        <f t="shared" si="31"/>
        <v>0</v>
      </c>
      <c r="AS73" s="466">
        <f t="shared" si="31"/>
        <v>0</v>
      </c>
      <c r="AT73" s="466">
        <f t="shared" si="31"/>
        <v>0</v>
      </c>
      <c r="AU73" s="466">
        <f t="shared" si="31"/>
        <v>0</v>
      </c>
      <c r="AV73" s="466">
        <f t="shared" si="31"/>
        <v>0</v>
      </c>
      <c r="AW73" s="466">
        <f t="shared" si="31"/>
        <v>0</v>
      </c>
      <c r="AX73" s="466">
        <f t="shared" si="31"/>
        <v>0</v>
      </c>
      <c r="AY73" s="466">
        <f t="shared" si="31"/>
        <v>0</v>
      </c>
      <c r="AZ73" s="466">
        <f t="shared" si="31"/>
        <v>0</v>
      </c>
      <c r="BA73" s="466">
        <f t="shared" si="30"/>
        <v>0</v>
      </c>
      <c r="BB73" s="466">
        <f t="shared" si="30"/>
        <v>0</v>
      </c>
      <c r="BC73" s="2791"/>
      <c r="BD73" s="420"/>
    </row>
    <row r="74" spans="2:56" s="415" customFormat="1" ht="15" customHeight="1" outlineLevel="1">
      <c r="B74" s="463"/>
      <c r="C74" s="464" t="s">
        <v>1926</v>
      </c>
      <c r="D74" s="465" t="s">
        <v>1927</v>
      </c>
      <c r="E74" s="466">
        <f>E73</f>
        <v>0</v>
      </c>
      <c r="F74" s="466">
        <f>F73-E73</f>
        <v>0</v>
      </c>
      <c r="G74" s="466">
        <f>G73-F73</f>
        <v>0</v>
      </c>
      <c r="H74" s="466">
        <f>H73-G73</f>
        <v>0</v>
      </c>
      <c r="I74" s="466">
        <f>I73-H73</f>
        <v>0</v>
      </c>
      <c r="J74" s="466">
        <f>J73-I73</f>
        <v>0</v>
      </c>
      <c r="K74" s="466">
        <f t="shared" ref="K74:Q74" si="32">K73-J73</f>
        <v>0</v>
      </c>
      <c r="L74" s="466">
        <f t="shared" si="32"/>
        <v>0</v>
      </c>
      <c r="M74" s="466">
        <f t="shared" si="32"/>
        <v>0</v>
      </c>
      <c r="N74" s="466">
        <f t="shared" si="32"/>
        <v>0</v>
      </c>
      <c r="O74" s="466">
        <f>O73-N73</f>
        <v>0</v>
      </c>
      <c r="P74" s="466">
        <f t="shared" si="32"/>
        <v>0</v>
      </c>
      <c r="Q74" s="466">
        <f t="shared" si="32"/>
        <v>0</v>
      </c>
      <c r="R74" s="466">
        <f t="shared" ref="R74:BB74" si="33">R73-Q73</f>
        <v>0</v>
      </c>
      <c r="S74" s="466">
        <f t="shared" si="33"/>
        <v>0</v>
      </c>
      <c r="T74" s="466">
        <f t="shared" si="33"/>
        <v>0</v>
      </c>
      <c r="U74" s="466">
        <f>U73-T73</f>
        <v>0</v>
      </c>
      <c r="V74" s="466">
        <f t="shared" si="33"/>
        <v>0</v>
      </c>
      <c r="W74" s="466">
        <f t="shared" si="33"/>
        <v>0</v>
      </c>
      <c r="X74" s="466">
        <f t="shared" si="33"/>
        <v>0</v>
      </c>
      <c r="Y74" s="466">
        <f t="shared" si="33"/>
        <v>0</v>
      </c>
      <c r="Z74" s="466">
        <f t="shared" si="33"/>
        <v>0</v>
      </c>
      <c r="AA74" s="466">
        <f t="shared" si="33"/>
        <v>0</v>
      </c>
      <c r="AB74" s="466">
        <f t="shared" si="33"/>
        <v>0</v>
      </c>
      <c r="AC74" s="466">
        <f t="shared" si="33"/>
        <v>0</v>
      </c>
      <c r="AD74" s="466">
        <f t="shared" si="33"/>
        <v>0</v>
      </c>
      <c r="AE74" s="467">
        <f t="shared" si="33"/>
        <v>0</v>
      </c>
      <c r="AF74" s="466">
        <f t="shared" si="33"/>
        <v>0</v>
      </c>
      <c r="AG74" s="466">
        <f t="shared" si="33"/>
        <v>0</v>
      </c>
      <c r="AH74" s="466">
        <f t="shared" si="33"/>
        <v>0</v>
      </c>
      <c r="AI74" s="466">
        <f t="shared" si="33"/>
        <v>0</v>
      </c>
      <c r="AJ74" s="466">
        <f t="shared" si="33"/>
        <v>0</v>
      </c>
      <c r="AK74" s="466">
        <f t="shared" si="33"/>
        <v>0</v>
      </c>
      <c r="AL74" s="466">
        <f t="shared" si="33"/>
        <v>0</v>
      </c>
      <c r="AM74" s="466">
        <f t="shared" si="33"/>
        <v>0</v>
      </c>
      <c r="AN74" s="466">
        <f t="shared" si="33"/>
        <v>0</v>
      </c>
      <c r="AO74" s="466">
        <f t="shared" si="33"/>
        <v>0</v>
      </c>
      <c r="AP74" s="466">
        <f t="shared" ref="AP74:AY74" si="34">AP73-AO73</f>
        <v>0</v>
      </c>
      <c r="AQ74" s="466">
        <f t="shared" si="34"/>
        <v>0</v>
      </c>
      <c r="AR74" s="466">
        <f t="shared" si="34"/>
        <v>0</v>
      </c>
      <c r="AS74" s="466">
        <f t="shared" si="34"/>
        <v>0</v>
      </c>
      <c r="AT74" s="466">
        <f t="shared" si="34"/>
        <v>0</v>
      </c>
      <c r="AU74" s="466">
        <f t="shared" si="34"/>
        <v>0</v>
      </c>
      <c r="AV74" s="466">
        <f t="shared" si="34"/>
        <v>0</v>
      </c>
      <c r="AW74" s="466">
        <f t="shared" si="34"/>
        <v>0</v>
      </c>
      <c r="AX74" s="466">
        <f t="shared" si="34"/>
        <v>0</v>
      </c>
      <c r="AY74" s="466">
        <f t="shared" si="34"/>
        <v>0</v>
      </c>
      <c r="AZ74" s="466">
        <v>0</v>
      </c>
      <c r="BA74" s="466">
        <f>BA73-AP73</f>
        <v>0</v>
      </c>
      <c r="BB74" s="466">
        <f t="shared" si="33"/>
        <v>0</v>
      </c>
      <c r="BC74" s="2791"/>
      <c r="BD74" s="420"/>
    </row>
    <row r="75" spans="2:56" ht="15" customHeight="1" outlineLevel="1">
      <c r="B75" s="456"/>
      <c r="C75" s="457"/>
      <c r="D75" s="458"/>
      <c r="E75" s="459"/>
      <c r="F75" s="459"/>
      <c r="G75" s="459"/>
      <c r="H75" s="459"/>
      <c r="I75" s="459"/>
      <c r="J75" s="459"/>
      <c r="K75" s="459"/>
      <c r="L75" s="459"/>
      <c r="M75" s="459"/>
      <c r="N75" s="459"/>
      <c r="O75" s="459"/>
      <c r="P75" s="459"/>
      <c r="Q75" s="459"/>
      <c r="R75" s="459"/>
      <c r="S75" s="459"/>
      <c r="T75" s="459"/>
      <c r="U75" s="459"/>
      <c r="V75" s="459"/>
      <c r="W75" s="459"/>
      <c r="X75" s="459"/>
      <c r="Y75" s="459"/>
      <c r="Z75" s="459"/>
      <c r="AA75" s="459"/>
      <c r="AB75" s="459"/>
      <c r="AC75" s="459"/>
      <c r="AD75" s="459"/>
      <c r="AE75" s="460"/>
      <c r="AF75" s="459"/>
      <c r="AG75" s="459"/>
      <c r="AH75" s="459"/>
      <c r="AI75" s="459"/>
      <c r="AJ75" s="459"/>
      <c r="AK75" s="459"/>
      <c r="AL75" s="459"/>
      <c r="AM75" s="459"/>
      <c r="AN75" s="459"/>
      <c r="AO75" s="459"/>
      <c r="AP75" s="459"/>
      <c r="AQ75" s="459"/>
      <c r="AR75" s="459"/>
      <c r="AS75" s="459"/>
      <c r="AT75" s="459"/>
      <c r="AU75" s="459"/>
      <c r="AV75" s="459"/>
      <c r="AW75" s="459"/>
      <c r="AX75" s="459"/>
      <c r="AY75" s="459"/>
      <c r="AZ75" s="459"/>
      <c r="BA75" s="459"/>
      <c r="BB75" s="459"/>
      <c r="BC75" s="2790"/>
      <c r="BD75" s="450"/>
    </row>
    <row r="76" spans="2:56" ht="15" customHeight="1" outlineLevel="1">
      <c r="B76" s="456"/>
      <c r="C76" s="478"/>
      <c r="D76" s="458"/>
      <c r="E76" s="459"/>
      <c r="F76" s="459"/>
      <c r="G76" s="459"/>
      <c r="H76" s="459"/>
      <c r="I76" s="459"/>
      <c r="J76" s="459"/>
      <c r="K76" s="459"/>
      <c r="L76" s="459"/>
      <c r="M76" s="459"/>
      <c r="N76" s="459"/>
      <c r="O76" s="459"/>
      <c r="P76" s="459"/>
      <c r="Q76" s="459"/>
      <c r="R76" s="459"/>
      <c r="S76" s="459"/>
      <c r="T76" s="459"/>
      <c r="U76" s="459"/>
      <c r="V76" s="459"/>
      <c r="W76" s="459"/>
      <c r="X76" s="459"/>
      <c r="Y76" s="459"/>
      <c r="Z76" s="459"/>
      <c r="AA76" s="459"/>
      <c r="AB76" s="459"/>
      <c r="AC76" s="459"/>
      <c r="AD76" s="459"/>
      <c r="AE76" s="460"/>
      <c r="AF76" s="459"/>
      <c r="AG76" s="459"/>
      <c r="AH76" s="459"/>
      <c r="AI76" s="459"/>
      <c r="AJ76" s="459"/>
      <c r="AK76" s="459"/>
      <c r="AL76" s="459"/>
      <c r="AM76" s="459"/>
      <c r="AN76" s="459"/>
      <c r="AO76" s="459"/>
      <c r="AP76" s="459"/>
      <c r="AQ76" s="459"/>
      <c r="AR76" s="459"/>
      <c r="AS76" s="459"/>
      <c r="AT76" s="459"/>
      <c r="AU76" s="459"/>
      <c r="AV76" s="459"/>
      <c r="AW76" s="459"/>
      <c r="AX76" s="459"/>
      <c r="AY76" s="459"/>
      <c r="AZ76" s="459"/>
      <c r="BA76" s="459"/>
      <c r="BB76" s="459"/>
      <c r="BC76" s="2790"/>
      <c r="BD76" s="450"/>
    </row>
    <row r="77" spans="2:56" outlineLevel="1">
      <c r="B77" s="451" t="str">
        <f>'Schedule B'!A67</f>
        <v>CN - EW</v>
      </c>
      <c r="C77" s="452" t="str">
        <f>'Schedule B'!C67</f>
        <v>EARLY WORKS</v>
      </c>
      <c r="D77" s="453" t="s">
        <v>1896</v>
      </c>
      <c r="E77" s="454">
        <f>E94</f>
        <v>0</v>
      </c>
      <c r="F77" s="454">
        <f t="shared" ref="F77:BB78" si="35">F94</f>
        <v>0</v>
      </c>
      <c r="G77" s="454">
        <f t="shared" si="35"/>
        <v>0</v>
      </c>
      <c r="H77" s="454">
        <f t="shared" si="35"/>
        <v>0</v>
      </c>
      <c r="I77" s="454">
        <f t="shared" si="35"/>
        <v>0</v>
      </c>
      <c r="J77" s="454">
        <f t="shared" si="35"/>
        <v>0</v>
      </c>
      <c r="K77" s="454">
        <f t="shared" si="35"/>
        <v>0</v>
      </c>
      <c r="L77" s="454">
        <f t="shared" si="35"/>
        <v>0</v>
      </c>
      <c r="M77" s="454">
        <f t="shared" si="35"/>
        <v>0</v>
      </c>
      <c r="N77" s="454">
        <f t="shared" si="35"/>
        <v>0</v>
      </c>
      <c r="O77" s="454">
        <f t="shared" si="35"/>
        <v>0</v>
      </c>
      <c r="P77" s="454">
        <f t="shared" si="35"/>
        <v>0</v>
      </c>
      <c r="Q77" s="454">
        <f t="shared" si="35"/>
        <v>0</v>
      </c>
      <c r="R77" s="454">
        <f t="shared" si="35"/>
        <v>0</v>
      </c>
      <c r="S77" s="454">
        <f t="shared" si="35"/>
        <v>0</v>
      </c>
      <c r="T77" s="454">
        <f t="shared" si="35"/>
        <v>0</v>
      </c>
      <c r="U77" s="454">
        <f t="shared" si="35"/>
        <v>0</v>
      </c>
      <c r="V77" s="454">
        <f t="shared" si="35"/>
        <v>0</v>
      </c>
      <c r="W77" s="454">
        <f t="shared" si="35"/>
        <v>0</v>
      </c>
      <c r="X77" s="454">
        <f t="shared" si="35"/>
        <v>0</v>
      </c>
      <c r="Y77" s="454">
        <f t="shared" si="35"/>
        <v>0</v>
      </c>
      <c r="Z77" s="454">
        <f t="shared" si="35"/>
        <v>0</v>
      </c>
      <c r="AA77" s="454">
        <f t="shared" si="35"/>
        <v>0</v>
      </c>
      <c r="AB77" s="454">
        <f t="shared" si="35"/>
        <v>0</v>
      </c>
      <c r="AC77" s="454">
        <f t="shared" si="35"/>
        <v>0</v>
      </c>
      <c r="AD77" s="454">
        <f t="shared" si="35"/>
        <v>0</v>
      </c>
      <c r="AE77" s="455">
        <f t="shared" si="35"/>
        <v>0</v>
      </c>
      <c r="AF77" s="454">
        <f t="shared" si="35"/>
        <v>0</v>
      </c>
      <c r="AG77" s="454">
        <f t="shared" si="35"/>
        <v>0</v>
      </c>
      <c r="AH77" s="454">
        <f t="shared" si="35"/>
        <v>0</v>
      </c>
      <c r="AI77" s="454">
        <f t="shared" si="35"/>
        <v>0</v>
      </c>
      <c r="AJ77" s="454">
        <f t="shared" si="35"/>
        <v>0</v>
      </c>
      <c r="AK77" s="454">
        <f t="shared" si="35"/>
        <v>0</v>
      </c>
      <c r="AL77" s="454">
        <f t="shared" si="35"/>
        <v>0</v>
      </c>
      <c r="AM77" s="454">
        <f t="shared" si="35"/>
        <v>0</v>
      </c>
      <c r="AN77" s="454">
        <f t="shared" si="35"/>
        <v>0</v>
      </c>
      <c r="AO77" s="454">
        <f t="shared" si="35"/>
        <v>0</v>
      </c>
      <c r="AP77" s="454">
        <f t="shared" si="35"/>
        <v>0</v>
      </c>
      <c r="AQ77" s="454">
        <f t="shared" ref="AQ77:AZ77" si="36">AQ94</f>
        <v>0</v>
      </c>
      <c r="AR77" s="454">
        <f t="shared" si="36"/>
        <v>0</v>
      </c>
      <c r="AS77" s="454">
        <f t="shared" si="36"/>
        <v>0</v>
      </c>
      <c r="AT77" s="454">
        <f t="shared" si="36"/>
        <v>0</v>
      </c>
      <c r="AU77" s="454">
        <f t="shared" si="36"/>
        <v>0</v>
      </c>
      <c r="AV77" s="454">
        <f t="shared" si="36"/>
        <v>0</v>
      </c>
      <c r="AW77" s="454">
        <f t="shared" si="36"/>
        <v>0</v>
      </c>
      <c r="AX77" s="454">
        <f t="shared" si="36"/>
        <v>0</v>
      </c>
      <c r="AY77" s="454">
        <f t="shared" si="36"/>
        <v>0</v>
      </c>
      <c r="AZ77" s="454">
        <f t="shared" si="36"/>
        <v>0</v>
      </c>
      <c r="BA77" s="454">
        <f t="shared" si="35"/>
        <v>0</v>
      </c>
      <c r="BB77" s="454">
        <f t="shared" si="35"/>
        <v>0</v>
      </c>
      <c r="BC77" s="2788">
        <f>AA77</f>
        <v>0</v>
      </c>
      <c r="BD77" s="450"/>
    </row>
    <row r="78" spans="2:56" outlineLevel="1">
      <c r="B78" s="451"/>
      <c r="C78" s="452"/>
      <c r="D78" s="453" t="s">
        <v>1897</v>
      </c>
      <c r="E78" s="454">
        <f>E95</f>
        <v>0</v>
      </c>
      <c r="F78" s="454">
        <f t="shared" si="35"/>
        <v>0</v>
      </c>
      <c r="G78" s="454">
        <f t="shared" si="35"/>
        <v>0</v>
      </c>
      <c r="H78" s="454">
        <f t="shared" si="35"/>
        <v>0</v>
      </c>
      <c r="I78" s="454">
        <f t="shared" si="35"/>
        <v>0</v>
      </c>
      <c r="J78" s="454">
        <f t="shared" si="35"/>
        <v>0</v>
      </c>
      <c r="K78" s="454">
        <f t="shared" si="35"/>
        <v>0</v>
      </c>
      <c r="L78" s="454">
        <f t="shared" si="35"/>
        <v>0</v>
      </c>
      <c r="M78" s="454">
        <f t="shared" si="35"/>
        <v>0</v>
      </c>
      <c r="N78" s="454">
        <f t="shared" si="35"/>
        <v>0</v>
      </c>
      <c r="O78" s="454">
        <f t="shared" si="35"/>
        <v>0</v>
      </c>
      <c r="P78" s="454">
        <f t="shared" si="35"/>
        <v>0</v>
      </c>
      <c r="Q78" s="454">
        <f t="shared" si="35"/>
        <v>0</v>
      </c>
      <c r="R78" s="454">
        <f t="shared" si="35"/>
        <v>0</v>
      </c>
      <c r="S78" s="454">
        <f t="shared" si="35"/>
        <v>0</v>
      </c>
      <c r="T78" s="454">
        <f t="shared" si="35"/>
        <v>0</v>
      </c>
      <c r="U78" s="454">
        <f t="shared" si="35"/>
        <v>0</v>
      </c>
      <c r="V78" s="454">
        <f t="shared" si="35"/>
        <v>0</v>
      </c>
      <c r="W78" s="454">
        <f t="shared" si="35"/>
        <v>0</v>
      </c>
      <c r="X78" s="454">
        <f t="shared" si="35"/>
        <v>0</v>
      </c>
      <c r="Y78" s="454">
        <f t="shared" si="35"/>
        <v>0</v>
      </c>
      <c r="Z78" s="454">
        <f t="shared" si="35"/>
        <v>0</v>
      </c>
      <c r="AA78" s="454">
        <f t="shared" si="35"/>
        <v>0</v>
      </c>
      <c r="AB78" s="454">
        <f t="shared" si="35"/>
        <v>0</v>
      </c>
      <c r="AC78" s="454">
        <f t="shared" si="35"/>
        <v>0</v>
      </c>
      <c r="AD78" s="454">
        <f t="shared" si="35"/>
        <v>0</v>
      </c>
      <c r="AE78" s="455">
        <f t="shared" si="35"/>
        <v>0</v>
      </c>
      <c r="AF78" s="454">
        <f t="shared" si="35"/>
        <v>0</v>
      </c>
      <c r="AG78" s="454">
        <f t="shared" si="35"/>
        <v>0</v>
      </c>
      <c r="AH78" s="454">
        <f t="shared" si="35"/>
        <v>0</v>
      </c>
      <c r="AI78" s="454">
        <f t="shared" si="35"/>
        <v>0</v>
      </c>
      <c r="AJ78" s="454">
        <f t="shared" si="35"/>
        <v>0</v>
      </c>
      <c r="AK78" s="454">
        <f t="shared" si="35"/>
        <v>0</v>
      </c>
      <c r="AL78" s="454">
        <f t="shared" si="35"/>
        <v>0</v>
      </c>
      <c r="AM78" s="454">
        <f t="shared" si="35"/>
        <v>0</v>
      </c>
      <c r="AN78" s="454">
        <f t="shared" si="35"/>
        <v>0</v>
      </c>
      <c r="AO78" s="454">
        <f t="shared" si="35"/>
        <v>0</v>
      </c>
      <c r="AP78" s="454">
        <f t="shared" si="35"/>
        <v>0</v>
      </c>
      <c r="AQ78" s="454">
        <f t="shared" ref="AQ78:AZ78" si="37">AQ95</f>
        <v>0</v>
      </c>
      <c r="AR78" s="454">
        <f t="shared" si="37"/>
        <v>0</v>
      </c>
      <c r="AS78" s="454">
        <f t="shared" si="37"/>
        <v>0</v>
      </c>
      <c r="AT78" s="454">
        <f t="shared" si="37"/>
        <v>0</v>
      </c>
      <c r="AU78" s="454">
        <f t="shared" si="37"/>
        <v>0</v>
      </c>
      <c r="AV78" s="454">
        <f t="shared" si="37"/>
        <v>0</v>
      </c>
      <c r="AW78" s="454">
        <f t="shared" si="37"/>
        <v>0</v>
      </c>
      <c r="AX78" s="454">
        <f t="shared" si="37"/>
        <v>0</v>
      </c>
      <c r="AY78" s="454">
        <f t="shared" si="37"/>
        <v>0</v>
      </c>
      <c r="AZ78" s="454">
        <f t="shared" si="37"/>
        <v>0</v>
      </c>
      <c r="BA78" s="454">
        <f t="shared" si="35"/>
        <v>0</v>
      </c>
      <c r="BB78" s="454">
        <f t="shared" si="35"/>
        <v>0</v>
      </c>
      <c r="BC78" s="2788"/>
      <c r="BD78" s="450"/>
    </row>
    <row r="79" spans="2:56" ht="15" customHeight="1" outlineLevel="2">
      <c r="B79" s="456"/>
      <c r="C79" s="457"/>
      <c r="D79" s="458"/>
      <c r="E79" s="459"/>
      <c r="F79" s="459"/>
      <c r="G79" s="459"/>
      <c r="H79" s="459"/>
      <c r="I79" s="459"/>
      <c r="J79" s="459"/>
      <c r="K79" s="459"/>
      <c r="L79" s="459"/>
      <c r="M79" s="459"/>
      <c r="N79" s="459"/>
      <c r="O79" s="459"/>
      <c r="P79" s="459"/>
      <c r="Q79" s="459"/>
      <c r="R79" s="459"/>
      <c r="S79" s="459"/>
      <c r="T79" s="459"/>
      <c r="U79" s="459"/>
      <c r="V79" s="459"/>
      <c r="W79" s="459"/>
      <c r="X79" s="459"/>
      <c r="Y79" s="459"/>
      <c r="Z79" s="459"/>
      <c r="AA79" s="459"/>
      <c r="AB79" s="459"/>
      <c r="AC79" s="459"/>
      <c r="AD79" s="459"/>
      <c r="AE79" s="460"/>
      <c r="AF79" s="459"/>
      <c r="AG79" s="459"/>
      <c r="AH79" s="459"/>
      <c r="AI79" s="459"/>
      <c r="AJ79" s="459"/>
      <c r="AK79" s="459"/>
      <c r="AL79" s="459"/>
      <c r="AM79" s="459"/>
      <c r="AN79" s="459"/>
      <c r="AO79" s="459"/>
      <c r="AP79" s="459"/>
      <c r="AQ79" s="459"/>
      <c r="AR79" s="459"/>
      <c r="AS79" s="459"/>
      <c r="AT79" s="459"/>
      <c r="AU79" s="459"/>
      <c r="AV79" s="459"/>
      <c r="AW79" s="459"/>
      <c r="AX79" s="459"/>
      <c r="AY79" s="459"/>
      <c r="AZ79" s="459"/>
      <c r="BA79" s="459"/>
      <c r="BB79" s="459"/>
      <c r="BC79" s="2788"/>
      <c r="BD79" s="450"/>
    </row>
    <row r="80" spans="2:56" ht="18.75" customHeight="1" outlineLevel="2">
      <c r="B80" s="461" t="str">
        <f>'Schedule B'!A71</f>
        <v>CN.003C20</v>
      </c>
      <c r="C80" s="462" t="str">
        <f>'Schedule B'!C71</f>
        <v>Green Business Certification Inc.2220038</v>
      </c>
      <c r="D80" s="760">
        <f>'Schedule B'!K71</f>
        <v>22585.010000000002</v>
      </c>
      <c r="E80" s="474"/>
      <c r="F80" s="474"/>
      <c r="G80" s="474"/>
      <c r="H80" s="475"/>
      <c r="I80" s="475"/>
      <c r="J80" s="475"/>
      <c r="K80" s="475"/>
      <c r="L80" s="475"/>
      <c r="M80" s="475"/>
      <c r="N80" s="475"/>
      <c r="O80" s="475"/>
      <c r="P80" s="475"/>
      <c r="Q80" s="475"/>
      <c r="R80" s="475"/>
      <c r="S80" s="475"/>
      <c r="T80" s="475"/>
      <c r="U80" s="475"/>
      <c r="V80" s="475"/>
      <c r="W80" s="475"/>
      <c r="X80" s="475"/>
      <c r="Y80" s="475"/>
      <c r="Z80" s="475"/>
      <c r="AA80" s="475"/>
      <c r="AB80" s="475"/>
      <c r="AC80" s="475"/>
      <c r="AD80" s="475"/>
      <c r="AE80" s="476"/>
      <c r="AF80" s="475"/>
      <c r="AG80" s="475"/>
      <c r="AH80" s="475"/>
      <c r="AI80" s="475"/>
      <c r="AJ80" s="475"/>
      <c r="AK80" s="475"/>
      <c r="AL80" s="475"/>
      <c r="AM80" s="475"/>
      <c r="AN80" s="475"/>
      <c r="AO80" s="475"/>
      <c r="AP80" s="475"/>
      <c r="AQ80" s="475"/>
      <c r="AR80" s="475"/>
      <c r="AS80" s="475"/>
      <c r="AT80" s="475"/>
      <c r="AU80" s="475"/>
      <c r="AV80" s="475"/>
      <c r="AW80" s="475"/>
      <c r="AX80" s="475"/>
      <c r="AY80" s="475"/>
      <c r="AZ80" s="475"/>
      <c r="BA80" s="475"/>
      <c r="BB80" s="475"/>
      <c r="BC80" s="2789"/>
      <c r="BD80" s="450"/>
    </row>
    <row r="81" spans="2:56" ht="15" customHeight="1" outlineLevel="3">
      <c r="B81" s="456"/>
      <c r="C81" s="457" t="s">
        <v>1898</v>
      </c>
      <c r="D81" s="458" t="s">
        <v>1899</v>
      </c>
      <c r="E81" s="459">
        <v>0</v>
      </c>
      <c r="F81" s="459">
        <v>0</v>
      </c>
      <c r="G81" s="459">
        <v>0</v>
      </c>
      <c r="H81" s="459">
        <v>0</v>
      </c>
      <c r="I81" s="459">
        <v>0</v>
      </c>
      <c r="J81" s="459">
        <v>0</v>
      </c>
      <c r="K81" s="459">
        <v>0</v>
      </c>
      <c r="L81" s="459">
        <v>0</v>
      </c>
      <c r="M81" s="459">
        <v>0</v>
      </c>
      <c r="N81" s="459">
        <v>0</v>
      </c>
      <c r="O81" s="459">
        <v>0</v>
      </c>
      <c r="P81" s="459">
        <v>0</v>
      </c>
      <c r="Q81" s="459">
        <v>0</v>
      </c>
      <c r="R81" s="459">
        <v>0</v>
      </c>
      <c r="S81" s="459">
        <v>0</v>
      </c>
      <c r="T81" s="459">
        <v>0</v>
      </c>
      <c r="U81" s="459">
        <v>0</v>
      </c>
      <c r="V81" s="459">
        <v>0</v>
      </c>
      <c r="W81" s="459">
        <v>0</v>
      </c>
      <c r="X81" s="459">
        <v>0</v>
      </c>
      <c r="Y81" s="459">
        <v>0</v>
      </c>
      <c r="Z81" s="459">
        <v>0</v>
      </c>
      <c r="AA81" s="459">
        <v>0</v>
      </c>
      <c r="AB81" s="459">
        <v>0</v>
      </c>
      <c r="AC81" s="459">
        <v>0</v>
      </c>
      <c r="AD81" s="459">
        <v>0</v>
      </c>
      <c r="AE81" s="460">
        <v>0</v>
      </c>
      <c r="AF81" s="459">
        <v>0</v>
      </c>
      <c r="AG81" s="459">
        <v>0</v>
      </c>
      <c r="AH81" s="459">
        <v>0</v>
      </c>
      <c r="AI81" s="459">
        <v>0</v>
      </c>
      <c r="AJ81" s="459">
        <v>0</v>
      </c>
      <c r="AK81" s="459">
        <v>0</v>
      </c>
      <c r="AL81" s="459">
        <v>0</v>
      </c>
      <c r="AM81" s="459">
        <v>0</v>
      </c>
      <c r="AN81" s="459">
        <v>0</v>
      </c>
      <c r="AO81" s="459">
        <v>0</v>
      </c>
      <c r="AP81" s="459">
        <v>0</v>
      </c>
      <c r="AQ81" s="459">
        <v>0</v>
      </c>
      <c r="AR81" s="459">
        <v>0</v>
      </c>
      <c r="AS81" s="459">
        <v>0</v>
      </c>
      <c r="AT81" s="459">
        <v>0</v>
      </c>
      <c r="AU81" s="459">
        <v>0</v>
      </c>
      <c r="AV81" s="459">
        <v>0</v>
      </c>
      <c r="AW81" s="459">
        <v>0</v>
      </c>
      <c r="AX81" s="459">
        <v>0</v>
      </c>
      <c r="AY81" s="459">
        <v>0</v>
      </c>
      <c r="AZ81" s="459">
        <v>0</v>
      </c>
      <c r="BA81" s="459">
        <v>0</v>
      </c>
      <c r="BB81" s="459">
        <v>0</v>
      </c>
      <c r="BC81" s="2790"/>
      <c r="BD81" s="450"/>
    </row>
    <row r="82" spans="2:56" ht="15" customHeight="1" outlineLevel="3">
      <c r="B82" s="456"/>
      <c r="C82" s="457" t="s">
        <v>1901</v>
      </c>
      <c r="D82" s="458" t="s">
        <v>1902</v>
      </c>
      <c r="E82" s="459">
        <v>0</v>
      </c>
      <c r="F82" s="459">
        <v>0</v>
      </c>
      <c r="G82" s="459">
        <v>0</v>
      </c>
      <c r="H82" s="459">
        <v>0</v>
      </c>
      <c r="I82" s="459">
        <v>0</v>
      </c>
      <c r="J82" s="459">
        <v>0</v>
      </c>
      <c r="K82" s="459">
        <v>0</v>
      </c>
      <c r="L82" s="459">
        <v>0</v>
      </c>
      <c r="M82" s="459">
        <v>0</v>
      </c>
      <c r="N82" s="459">
        <v>0</v>
      </c>
      <c r="O82" s="459">
        <v>0</v>
      </c>
      <c r="P82" s="459">
        <v>0</v>
      </c>
      <c r="Q82" s="459">
        <v>0</v>
      </c>
      <c r="R82" s="459">
        <v>0</v>
      </c>
      <c r="S82" s="459">
        <v>0</v>
      </c>
      <c r="T82" s="459">
        <v>0</v>
      </c>
      <c r="U82" s="459">
        <v>0</v>
      </c>
      <c r="V82" s="459">
        <v>0</v>
      </c>
      <c r="W82" s="459">
        <v>0</v>
      </c>
      <c r="X82" s="459">
        <v>0</v>
      </c>
      <c r="Y82" s="459">
        <v>0</v>
      </c>
      <c r="Z82" s="459">
        <v>0</v>
      </c>
      <c r="AA82" s="459">
        <v>0</v>
      </c>
      <c r="AB82" s="459">
        <v>0</v>
      </c>
      <c r="AC82" s="459">
        <v>0</v>
      </c>
      <c r="AD82" s="459">
        <v>0</v>
      </c>
      <c r="AE82" s="460">
        <v>0</v>
      </c>
      <c r="AF82" s="459">
        <v>0</v>
      </c>
      <c r="AG82" s="459">
        <v>0</v>
      </c>
      <c r="AH82" s="459">
        <v>0</v>
      </c>
      <c r="AI82" s="459">
        <v>0</v>
      </c>
      <c r="AJ82" s="459">
        <v>0</v>
      </c>
      <c r="AK82" s="459">
        <v>0</v>
      </c>
      <c r="AL82" s="459">
        <v>0</v>
      </c>
      <c r="AM82" s="459">
        <v>0</v>
      </c>
      <c r="AN82" s="459">
        <v>0</v>
      </c>
      <c r="AO82" s="459">
        <v>0</v>
      </c>
      <c r="AP82" s="459">
        <v>0</v>
      </c>
      <c r="AQ82" s="459">
        <v>0</v>
      </c>
      <c r="AR82" s="459">
        <v>0</v>
      </c>
      <c r="AS82" s="459">
        <v>0</v>
      </c>
      <c r="AT82" s="459">
        <v>0</v>
      </c>
      <c r="AU82" s="459">
        <v>0</v>
      </c>
      <c r="AV82" s="459">
        <v>0</v>
      </c>
      <c r="AW82" s="459">
        <v>0</v>
      </c>
      <c r="AX82" s="459">
        <v>0</v>
      </c>
      <c r="AY82" s="459">
        <v>0</v>
      </c>
      <c r="AZ82" s="459">
        <v>0</v>
      </c>
      <c r="BA82" s="459">
        <v>0</v>
      </c>
      <c r="BB82" s="459">
        <v>0</v>
      </c>
      <c r="BC82" s="2790"/>
      <c r="BD82" s="450"/>
    </row>
    <row r="83" spans="2:56" ht="15" customHeight="1" outlineLevel="3">
      <c r="B83" s="456"/>
      <c r="C83" s="457" t="s">
        <v>1903</v>
      </c>
      <c r="D83" s="458" t="s">
        <v>1904</v>
      </c>
      <c r="E83" s="459">
        <v>0</v>
      </c>
      <c r="F83" s="459">
        <v>0</v>
      </c>
      <c r="G83" s="459">
        <v>0</v>
      </c>
      <c r="H83" s="459">
        <v>0</v>
      </c>
      <c r="I83" s="459">
        <v>0</v>
      </c>
      <c r="J83" s="459">
        <v>0</v>
      </c>
      <c r="K83" s="459">
        <v>0</v>
      </c>
      <c r="L83" s="459">
        <v>0</v>
      </c>
      <c r="M83" s="459">
        <v>0</v>
      </c>
      <c r="N83" s="459">
        <v>0</v>
      </c>
      <c r="O83" s="459">
        <v>0</v>
      </c>
      <c r="P83" s="459">
        <v>0</v>
      </c>
      <c r="Q83" s="459">
        <v>0</v>
      </c>
      <c r="R83" s="459">
        <v>0</v>
      </c>
      <c r="S83" s="459">
        <v>0</v>
      </c>
      <c r="T83" s="459">
        <v>0</v>
      </c>
      <c r="U83" s="459">
        <v>0</v>
      </c>
      <c r="V83" s="459">
        <v>0</v>
      </c>
      <c r="W83" s="459">
        <v>0</v>
      </c>
      <c r="X83" s="459">
        <v>0</v>
      </c>
      <c r="Y83" s="459">
        <v>0</v>
      </c>
      <c r="Z83" s="459">
        <v>0</v>
      </c>
      <c r="AA83" s="459">
        <v>0</v>
      </c>
      <c r="AB83" s="459">
        <v>0</v>
      </c>
      <c r="AC83" s="459">
        <v>0</v>
      </c>
      <c r="AD83" s="459">
        <v>0</v>
      </c>
      <c r="AE83" s="460">
        <v>0</v>
      </c>
      <c r="AF83" s="459">
        <v>0</v>
      </c>
      <c r="AG83" s="459">
        <v>0</v>
      </c>
      <c r="AH83" s="459">
        <v>0</v>
      </c>
      <c r="AI83" s="459">
        <v>0</v>
      </c>
      <c r="AJ83" s="459">
        <v>0</v>
      </c>
      <c r="AK83" s="459">
        <v>0</v>
      </c>
      <c r="AL83" s="459">
        <v>0</v>
      </c>
      <c r="AM83" s="459">
        <v>0</v>
      </c>
      <c r="AN83" s="459">
        <v>0</v>
      </c>
      <c r="AO83" s="459">
        <v>0</v>
      </c>
      <c r="AP83" s="459">
        <v>0</v>
      </c>
      <c r="AQ83" s="459">
        <v>0</v>
      </c>
      <c r="AR83" s="459">
        <v>0</v>
      </c>
      <c r="AS83" s="459">
        <v>0</v>
      </c>
      <c r="AT83" s="459">
        <v>0</v>
      </c>
      <c r="AU83" s="459">
        <v>0</v>
      </c>
      <c r="AV83" s="459">
        <v>0</v>
      </c>
      <c r="AW83" s="459">
        <v>0</v>
      </c>
      <c r="AX83" s="459">
        <v>0</v>
      </c>
      <c r="AY83" s="459">
        <v>0</v>
      </c>
      <c r="AZ83" s="459">
        <v>0</v>
      </c>
      <c r="BA83" s="459">
        <v>0</v>
      </c>
      <c r="BB83" s="459">
        <v>0</v>
      </c>
      <c r="BC83" s="2790"/>
      <c r="BD83" s="450"/>
    </row>
    <row r="84" spans="2:56" s="415" customFormat="1" ht="15" customHeight="1" outlineLevel="3">
      <c r="B84" s="463"/>
      <c r="C84" s="464" t="s">
        <v>1905</v>
      </c>
      <c r="D84" s="465" t="s">
        <v>1906</v>
      </c>
      <c r="E84" s="466">
        <f>E81+E82+E83</f>
        <v>0</v>
      </c>
      <c r="F84" s="466">
        <f t="shared" ref="F84:BB84" si="38">F81+F82+F83</f>
        <v>0</v>
      </c>
      <c r="G84" s="466">
        <f t="shared" si="38"/>
        <v>0</v>
      </c>
      <c r="H84" s="466">
        <f t="shared" si="38"/>
        <v>0</v>
      </c>
      <c r="I84" s="466">
        <f t="shared" si="38"/>
        <v>0</v>
      </c>
      <c r="J84" s="466">
        <f t="shared" si="38"/>
        <v>0</v>
      </c>
      <c r="K84" s="466">
        <f t="shared" si="38"/>
        <v>0</v>
      </c>
      <c r="L84" s="466">
        <f t="shared" si="38"/>
        <v>0</v>
      </c>
      <c r="M84" s="466">
        <f t="shared" si="38"/>
        <v>0</v>
      </c>
      <c r="N84" s="466">
        <f t="shared" si="38"/>
        <v>0</v>
      </c>
      <c r="O84" s="466">
        <f t="shared" si="38"/>
        <v>0</v>
      </c>
      <c r="P84" s="466">
        <f t="shared" si="38"/>
        <v>0</v>
      </c>
      <c r="Q84" s="466">
        <f t="shared" si="38"/>
        <v>0</v>
      </c>
      <c r="R84" s="466">
        <f t="shared" si="38"/>
        <v>0</v>
      </c>
      <c r="S84" s="466">
        <f t="shared" si="38"/>
        <v>0</v>
      </c>
      <c r="T84" s="466">
        <f t="shared" si="38"/>
        <v>0</v>
      </c>
      <c r="U84" s="466">
        <f t="shared" si="38"/>
        <v>0</v>
      </c>
      <c r="V84" s="466">
        <f t="shared" si="38"/>
        <v>0</v>
      </c>
      <c r="W84" s="466">
        <f t="shared" si="38"/>
        <v>0</v>
      </c>
      <c r="X84" s="466">
        <f t="shared" si="38"/>
        <v>0</v>
      </c>
      <c r="Y84" s="466">
        <f t="shared" si="38"/>
        <v>0</v>
      </c>
      <c r="Z84" s="466">
        <f t="shared" si="38"/>
        <v>0</v>
      </c>
      <c r="AA84" s="466">
        <f t="shared" si="38"/>
        <v>0</v>
      </c>
      <c r="AB84" s="466">
        <f t="shared" si="38"/>
        <v>0</v>
      </c>
      <c r="AC84" s="466">
        <f t="shared" si="38"/>
        <v>0</v>
      </c>
      <c r="AD84" s="466">
        <f t="shared" si="38"/>
        <v>0</v>
      </c>
      <c r="AE84" s="467">
        <f t="shared" si="38"/>
        <v>0</v>
      </c>
      <c r="AF84" s="466">
        <f t="shared" si="38"/>
        <v>0</v>
      </c>
      <c r="AG84" s="466">
        <f t="shared" si="38"/>
        <v>0</v>
      </c>
      <c r="AH84" s="466">
        <f t="shared" si="38"/>
        <v>0</v>
      </c>
      <c r="AI84" s="466">
        <f t="shared" si="38"/>
        <v>0</v>
      </c>
      <c r="AJ84" s="466">
        <f t="shared" si="38"/>
        <v>0</v>
      </c>
      <c r="AK84" s="466">
        <f t="shared" si="38"/>
        <v>0</v>
      </c>
      <c r="AL84" s="466">
        <f t="shared" si="38"/>
        <v>0</v>
      </c>
      <c r="AM84" s="466">
        <f t="shared" si="38"/>
        <v>0</v>
      </c>
      <c r="AN84" s="466">
        <f t="shared" si="38"/>
        <v>0</v>
      </c>
      <c r="AO84" s="466">
        <f t="shared" si="38"/>
        <v>0</v>
      </c>
      <c r="AP84" s="466">
        <f t="shared" si="38"/>
        <v>0</v>
      </c>
      <c r="AQ84" s="466">
        <f t="shared" ref="AQ84:AZ84" si="39">AQ81+AQ82+AQ83</f>
        <v>0</v>
      </c>
      <c r="AR84" s="466">
        <f t="shared" si="39"/>
        <v>0</v>
      </c>
      <c r="AS84" s="466">
        <f t="shared" si="39"/>
        <v>0</v>
      </c>
      <c r="AT84" s="466">
        <f t="shared" si="39"/>
        <v>0</v>
      </c>
      <c r="AU84" s="466">
        <f t="shared" si="39"/>
        <v>0</v>
      </c>
      <c r="AV84" s="466">
        <f t="shared" si="39"/>
        <v>0</v>
      </c>
      <c r="AW84" s="466">
        <f t="shared" si="39"/>
        <v>0</v>
      </c>
      <c r="AX84" s="466">
        <f t="shared" si="39"/>
        <v>0</v>
      </c>
      <c r="AY84" s="466">
        <f t="shared" si="39"/>
        <v>0</v>
      </c>
      <c r="AZ84" s="466">
        <f t="shared" si="39"/>
        <v>0</v>
      </c>
      <c r="BA84" s="466">
        <f t="shared" si="38"/>
        <v>0</v>
      </c>
      <c r="BB84" s="466">
        <f t="shared" si="38"/>
        <v>0</v>
      </c>
      <c r="BC84" s="2791"/>
      <c r="BD84" s="420"/>
    </row>
    <row r="85" spans="2:56" ht="15" customHeight="1" outlineLevel="3">
      <c r="B85" s="456"/>
      <c r="C85" s="464" t="s">
        <v>1907</v>
      </c>
      <c r="D85" s="465" t="s">
        <v>1908</v>
      </c>
      <c r="E85" s="466">
        <v>0</v>
      </c>
      <c r="F85" s="466">
        <v>0</v>
      </c>
      <c r="G85" s="466">
        <v>0</v>
      </c>
      <c r="H85" s="466">
        <v>0</v>
      </c>
      <c r="I85" s="466">
        <v>0</v>
      </c>
      <c r="J85" s="466">
        <v>0</v>
      </c>
      <c r="K85" s="466">
        <v>0</v>
      </c>
      <c r="L85" s="466">
        <v>0</v>
      </c>
      <c r="M85" s="466">
        <v>0</v>
      </c>
      <c r="N85" s="466">
        <v>0</v>
      </c>
      <c r="O85" s="466">
        <v>0</v>
      </c>
      <c r="P85" s="466">
        <v>0</v>
      </c>
      <c r="Q85" s="466">
        <v>0</v>
      </c>
      <c r="R85" s="466">
        <v>0</v>
      </c>
      <c r="S85" s="466">
        <v>0</v>
      </c>
      <c r="T85" s="466">
        <v>0</v>
      </c>
      <c r="U85" s="466">
        <v>0</v>
      </c>
      <c r="V85" s="466">
        <v>0</v>
      </c>
      <c r="W85" s="466">
        <v>0</v>
      </c>
      <c r="X85" s="466">
        <v>0</v>
      </c>
      <c r="Y85" s="466">
        <v>0</v>
      </c>
      <c r="Z85" s="466">
        <v>0</v>
      </c>
      <c r="AA85" s="466">
        <v>0</v>
      </c>
      <c r="AB85" s="466">
        <v>0</v>
      </c>
      <c r="AC85" s="466">
        <v>0</v>
      </c>
      <c r="AD85" s="466">
        <v>0</v>
      </c>
      <c r="AE85" s="467">
        <v>0</v>
      </c>
      <c r="AF85" s="466">
        <v>0</v>
      </c>
      <c r="AG85" s="466">
        <v>0</v>
      </c>
      <c r="AH85" s="466">
        <v>0</v>
      </c>
      <c r="AI85" s="466">
        <v>0</v>
      </c>
      <c r="AJ85" s="466">
        <v>0</v>
      </c>
      <c r="AK85" s="466">
        <v>0</v>
      </c>
      <c r="AL85" s="466">
        <v>0</v>
      </c>
      <c r="AM85" s="466">
        <v>0</v>
      </c>
      <c r="AN85" s="466">
        <v>0</v>
      </c>
      <c r="AO85" s="466">
        <v>0</v>
      </c>
      <c r="AP85" s="466">
        <v>0</v>
      </c>
      <c r="AQ85" s="466">
        <v>0</v>
      </c>
      <c r="AR85" s="466">
        <v>0</v>
      </c>
      <c r="AS85" s="466">
        <v>0</v>
      </c>
      <c r="AT85" s="466">
        <v>0</v>
      </c>
      <c r="AU85" s="466">
        <v>0</v>
      </c>
      <c r="AV85" s="466">
        <v>0</v>
      </c>
      <c r="AW85" s="466">
        <v>0</v>
      </c>
      <c r="AX85" s="466">
        <v>0</v>
      </c>
      <c r="AY85" s="466">
        <v>0</v>
      </c>
      <c r="AZ85" s="466">
        <v>0</v>
      </c>
      <c r="BA85" s="466">
        <v>0</v>
      </c>
      <c r="BB85" s="466">
        <v>0</v>
      </c>
      <c r="BC85" s="2790"/>
      <c r="BD85" s="450"/>
    </row>
    <row r="86" spans="2:56" ht="15" customHeight="1" outlineLevel="3">
      <c r="B86" s="456"/>
      <c r="C86" s="457" t="s">
        <v>1579</v>
      </c>
      <c r="D86" s="458" t="s">
        <v>1909</v>
      </c>
      <c r="E86" s="459">
        <v>0</v>
      </c>
      <c r="F86" s="459">
        <v>0</v>
      </c>
      <c r="G86" s="459">
        <v>0</v>
      </c>
      <c r="H86" s="459">
        <v>0</v>
      </c>
      <c r="I86" s="459">
        <v>0</v>
      </c>
      <c r="J86" s="459">
        <v>0</v>
      </c>
      <c r="K86" s="459">
        <v>0</v>
      </c>
      <c r="L86" s="459">
        <v>0</v>
      </c>
      <c r="M86" s="459">
        <v>0</v>
      </c>
      <c r="N86" s="459">
        <v>0</v>
      </c>
      <c r="O86" s="459">
        <v>0</v>
      </c>
      <c r="P86" s="459">
        <v>0</v>
      </c>
      <c r="Q86" s="459">
        <v>0</v>
      </c>
      <c r="R86" s="459">
        <v>0</v>
      </c>
      <c r="S86" s="459">
        <v>0</v>
      </c>
      <c r="T86" s="459">
        <v>0</v>
      </c>
      <c r="U86" s="459">
        <v>0</v>
      </c>
      <c r="V86" s="459">
        <v>0</v>
      </c>
      <c r="W86" s="459">
        <v>0</v>
      </c>
      <c r="X86" s="459">
        <v>0</v>
      </c>
      <c r="Y86" s="459">
        <v>0</v>
      </c>
      <c r="Z86" s="459">
        <v>0</v>
      </c>
      <c r="AA86" s="459">
        <v>0</v>
      </c>
      <c r="AB86" s="459">
        <v>0</v>
      </c>
      <c r="AC86" s="459">
        <v>0</v>
      </c>
      <c r="AD86" s="459">
        <v>0</v>
      </c>
      <c r="AE86" s="460">
        <v>0</v>
      </c>
      <c r="AF86" s="459">
        <v>0</v>
      </c>
      <c r="AG86" s="459">
        <v>0</v>
      </c>
      <c r="AH86" s="459">
        <v>0</v>
      </c>
      <c r="AI86" s="459">
        <v>0</v>
      </c>
      <c r="AJ86" s="459">
        <v>0</v>
      </c>
      <c r="AK86" s="459">
        <v>0</v>
      </c>
      <c r="AL86" s="459">
        <v>0</v>
      </c>
      <c r="AM86" s="459">
        <v>0</v>
      </c>
      <c r="AN86" s="459">
        <v>0</v>
      </c>
      <c r="AO86" s="459">
        <v>0</v>
      </c>
      <c r="AP86" s="459">
        <v>0</v>
      </c>
      <c r="AQ86" s="459">
        <v>0</v>
      </c>
      <c r="AR86" s="459">
        <v>0</v>
      </c>
      <c r="AS86" s="459">
        <v>0</v>
      </c>
      <c r="AT86" s="459">
        <v>0</v>
      </c>
      <c r="AU86" s="459">
        <v>0</v>
      </c>
      <c r="AV86" s="459">
        <v>0</v>
      </c>
      <c r="AW86" s="459">
        <v>0</v>
      </c>
      <c r="AX86" s="459">
        <v>0</v>
      </c>
      <c r="AY86" s="459">
        <v>0</v>
      </c>
      <c r="AZ86" s="459">
        <v>0</v>
      </c>
      <c r="BA86" s="459">
        <v>0</v>
      </c>
      <c r="BB86" s="459">
        <v>0</v>
      </c>
      <c r="BC86" s="2790"/>
      <c r="BD86" s="450"/>
    </row>
    <row r="87" spans="2:56" s="415" customFormat="1" ht="15" customHeight="1" outlineLevel="3">
      <c r="B87" s="463"/>
      <c r="C87" s="464" t="s">
        <v>1910</v>
      </c>
      <c r="D87" s="465" t="s">
        <v>1911</v>
      </c>
      <c r="E87" s="466">
        <f>E84+E85+E86</f>
        <v>0</v>
      </c>
      <c r="F87" s="466">
        <f t="shared" ref="F87:BB87" si="40">F84+F85+F86</f>
        <v>0</v>
      </c>
      <c r="G87" s="466">
        <f t="shared" si="40"/>
        <v>0</v>
      </c>
      <c r="H87" s="466">
        <f t="shared" si="40"/>
        <v>0</v>
      </c>
      <c r="I87" s="466">
        <f t="shared" si="40"/>
        <v>0</v>
      </c>
      <c r="J87" s="466">
        <f t="shared" si="40"/>
        <v>0</v>
      </c>
      <c r="K87" s="466">
        <f t="shared" si="40"/>
        <v>0</v>
      </c>
      <c r="L87" s="466">
        <f t="shared" si="40"/>
        <v>0</v>
      </c>
      <c r="M87" s="466">
        <f t="shared" si="40"/>
        <v>0</v>
      </c>
      <c r="N87" s="466">
        <f t="shared" si="40"/>
        <v>0</v>
      </c>
      <c r="O87" s="466">
        <f t="shared" si="40"/>
        <v>0</v>
      </c>
      <c r="P87" s="466">
        <f t="shared" si="40"/>
        <v>0</v>
      </c>
      <c r="Q87" s="466">
        <f t="shared" si="40"/>
        <v>0</v>
      </c>
      <c r="R87" s="466">
        <f t="shared" si="40"/>
        <v>0</v>
      </c>
      <c r="S87" s="466">
        <f t="shared" si="40"/>
        <v>0</v>
      </c>
      <c r="T87" s="466">
        <f t="shared" si="40"/>
        <v>0</v>
      </c>
      <c r="U87" s="466">
        <f t="shared" si="40"/>
        <v>0</v>
      </c>
      <c r="V87" s="466">
        <f t="shared" si="40"/>
        <v>0</v>
      </c>
      <c r="W87" s="466">
        <f t="shared" si="40"/>
        <v>0</v>
      </c>
      <c r="X87" s="466">
        <f t="shared" si="40"/>
        <v>0</v>
      </c>
      <c r="Y87" s="466">
        <f t="shared" si="40"/>
        <v>0</v>
      </c>
      <c r="Z87" s="466">
        <f t="shared" si="40"/>
        <v>0</v>
      </c>
      <c r="AA87" s="466">
        <f t="shared" si="40"/>
        <v>0</v>
      </c>
      <c r="AB87" s="466">
        <f t="shared" si="40"/>
        <v>0</v>
      </c>
      <c r="AC87" s="466">
        <f t="shared" si="40"/>
        <v>0</v>
      </c>
      <c r="AD87" s="466">
        <f t="shared" si="40"/>
        <v>0</v>
      </c>
      <c r="AE87" s="467">
        <f t="shared" si="40"/>
        <v>0</v>
      </c>
      <c r="AF87" s="466">
        <f t="shared" si="40"/>
        <v>0</v>
      </c>
      <c r="AG87" s="466">
        <f t="shared" si="40"/>
        <v>0</v>
      </c>
      <c r="AH87" s="466">
        <f t="shared" si="40"/>
        <v>0</v>
      </c>
      <c r="AI87" s="466">
        <f t="shared" si="40"/>
        <v>0</v>
      </c>
      <c r="AJ87" s="466">
        <f t="shared" si="40"/>
        <v>0</v>
      </c>
      <c r="AK87" s="466">
        <f t="shared" si="40"/>
        <v>0</v>
      </c>
      <c r="AL87" s="466">
        <f t="shared" si="40"/>
        <v>0</v>
      </c>
      <c r="AM87" s="466">
        <f t="shared" si="40"/>
        <v>0</v>
      </c>
      <c r="AN87" s="466">
        <f t="shared" si="40"/>
        <v>0</v>
      </c>
      <c r="AO87" s="466">
        <f t="shared" si="40"/>
        <v>0</v>
      </c>
      <c r="AP87" s="466">
        <f t="shared" si="40"/>
        <v>0</v>
      </c>
      <c r="AQ87" s="466">
        <f t="shared" ref="AQ87:AZ87" si="41">AQ84+AQ85+AQ86</f>
        <v>0</v>
      </c>
      <c r="AR87" s="466">
        <f t="shared" si="41"/>
        <v>0</v>
      </c>
      <c r="AS87" s="466">
        <f t="shared" si="41"/>
        <v>0</v>
      </c>
      <c r="AT87" s="466">
        <f t="shared" si="41"/>
        <v>0</v>
      </c>
      <c r="AU87" s="466">
        <f t="shared" si="41"/>
        <v>0</v>
      </c>
      <c r="AV87" s="466">
        <f t="shared" si="41"/>
        <v>0</v>
      </c>
      <c r="AW87" s="466">
        <f t="shared" si="41"/>
        <v>0</v>
      </c>
      <c r="AX87" s="466">
        <f t="shared" si="41"/>
        <v>0</v>
      </c>
      <c r="AY87" s="466">
        <f t="shared" si="41"/>
        <v>0</v>
      </c>
      <c r="AZ87" s="466">
        <f t="shared" si="41"/>
        <v>0</v>
      </c>
      <c r="BA87" s="466">
        <f t="shared" si="40"/>
        <v>0</v>
      </c>
      <c r="BB87" s="466">
        <f t="shared" si="40"/>
        <v>0</v>
      </c>
      <c r="BC87" s="2791"/>
      <c r="BD87" s="420"/>
    </row>
    <row r="88" spans="2:56" ht="15" customHeight="1" outlineLevel="3">
      <c r="B88" s="456"/>
      <c r="C88" s="464" t="s">
        <v>1930</v>
      </c>
      <c r="D88" s="465" t="s">
        <v>1913</v>
      </c>
      <c r="E88" s="466">
        <v>0</v>
      </c>
      <c r="F88" s="466">
        <v>0</v>
      </c>
      <c r="G88" s="466">
        <v>0</v>
      </c>
      <c r="H88" s="466">
        <v>0</v>
      </c>
      <c r="I88" s="466">
        <v>0</v>
      </c>
      <c r="J88" s="466">
        <v>0</v>
      </c>
      <c r="K88" s="466">
        <v>0</v>
      </c>
      <c r="L88" s="466">
        <v>0</v>
      </c>
      <c r="M88" s="466">
        <v>0</v>
      </c>
      <c r="N88" s="466">
        <v>0</v>
      </c>
      <c r="O88" s="466">
        <v>0</v>
      </c>
      <c r="P88" s="466">
        <v>0</v>
      </c>
      <c r="Q88" s="466">
        <v>0</v>
      </c>
      <c r="R88" s="466">
        <v>0</v>
      </c>
      <c r="S88" s="466">
        <v>0</v>
      </c>
      <c r="T88" s="466">
        <v>0</v>
      </c>
      <c r="U88" s="466">
        <v>0</v>
      </c>
      <c r="V88" s="466">
        <v>0</v>
      </c>
      <c r="W88" s="466">
        <v>0</v>
      </c>
      <c r="X88" s="466">
        <v>0</v>
      </c>
      <c r="Y88" s="466">
        <v>0</v>
      </c>
      <c r="Z88" s="466">
        <v>0</v>
      </c>
      <c r="AA88" s="466">
        <v>0</v>
      </c>
      <c r="AB88" s="466">
        <v>0</v>
      </c>
      <c r="AC88" s="466">
        <v>0</v>
      </c>
      <c r="AD88" s="466">
        <v>0</v>
      </c>
      <c r="AE88" s="467">
        <v>0</v>
      </c>
      <c r="AF88" s="466">
        <v>0</v>
      </c>
      <c r="AG88" s="466">
        <v>0</v>
      </c>
      <c r="AH88" s="466">
        <v>0</v>
      </c>
      <c r="AI88" s="466">
        <v>0</v>
      </c>
      <c r="AJ88" s="466">
        <v>0</v>
      </c>
      <c r="AK88" s="466">
        <v>0</v>
      </c>
      <c r="AL88" s="466">
        <v>0</v>
      </c>
      <c r="AM88" s="466">
        <v>0</v>
      </c>
      <c r="AN88" s="466">
        <v>0</v>
      </c>
      <c r="AO88" s="466">
        <v>0</v>
      </c>
      <c r="AP88" s="466">
        <v>0</v>
      </c>
      <c r="AQ88" s="466">
        <v>0</v>
      </c>
      <c r="AR88" s="466">
        <v>0</v>
      </c>
      <c r="AS88" s="466">
        <v>0</v>
      </c>
      <c r="AT88" s="466">
        <v>0</v>
      </c>
      <c r="AU88" s="466">
        <v>0</v>
      </c>
      <c r="AV88" s="466">
        <v>0</v>
      </c>
      <c r="AW88" s="466">
        <v>0</v>
      </c>
      <c r="AX88" s="466">
        <v>0</v>
      </c>
      <c r="AY88" s="466">
        <v>0</v>
      </c>
      <c r="AZ88" s="466">
        <v>0</v>
      </c>
      <c r="BA88" s="466">
        <v>0</v>
      </c>
      <c r="BB88" s="466">
        <v>0</v>
      </c>
      <c r="BC88" s="2790"/>
      <c r="BD88" s="450"/>
    </row>
    <row r="89" spans="2:56" ht="15" customHeight="1" outlineLevel="3">
      <c r="B89" s="456"/>
      <c r="C89" s="457" t="s">
        <v>1914</v>
      </c>
      <c r="D89" s="458" t="s">
        <v>1915</v>
      </c>
      <c r="E89" s="459">
        <v>0</v>
      </c>
      <c r="F89" s="459">
        <v>0</v>
      </c>
      <c r="G89" s="459">
        <v>0</v>
      </c>
      <c r="H89" s="459">
        <v>0</v>
      </c>
      <c r="I89" s="459">
        <v>0</v>
      </c>
      <c r="J89" s="459">
        <v>0</v>
      </c>
      <c r="K89" s="459">
        <v>0</v>
      </c>
      <c r="L89" s="459">
        <v>0</v>
      </c>
      <c r="M89" s="459">
        <v>0</v>
      </c>
      <c r="N89" s="459">
        <v>0</v>
      </c>
      <c r="O89" s="459">
        <v>0</v>
      </c>
      <c r="P89" s="459">
        <v>0</v>
      </c>
      <c r="Q89" s="459">
        <v>0</v>
      </c>
      <c r="R89" s="459">
        <v>0</v>
      </c>
      <c r="S89" s="459">
        <v>0</v>
      </c>
      <c r="T89" s="459">
        <v>0</v>
      </c>
      <c r="U89" s="459">
        <v>0</v>
      </c>
      <c r="V89" s="459">
        <v>0</v>
      </c>
      <c r="W89" s="459">
        <v>0</v>
      </c>
      <c r="X89" s="459">
        <v>0</v>
      </c>
      <c r="Y89" s="459">
        <v>0</v>
      </c>
      <c r="Z89" s="459">
        <v>0</v>
      </c>
      <c r="AA89" s="459">
        <v>0</v>
      </c>
      <c r="AB89" s="459">
        <v>0</v>
      </c>
      <c r="AC89" s="459">
        <v>0</v>
      </c>
      <c r="AD89" s="459">
        <v>0</v>
      </c>
      <c r="AE89" s="460">
        <v>0</v>
      </c>
      <c r="AF89" s="459">
        <v>0</v>
      </c>
      <c r="AG89" s="459">
        <v>0</v>
      </c>
      <c r="AH89" s="459">
        <v>0</v>
      </c>
      <c r="AI89" s="459">
        <v>0</v>
      </c>
      <c r="AJ89" s="459">
        <v>0</v>
      </c>
      <c r="AK89" s="459">
        <v>0</v>
      </c>
      <c r="AL89" s="459">
        <v>0</v>
      </c>
      <c r="AM89" s="459">
        <v>0</v>
      </c>
      <c r="AN89" s="459">
        <v>0</v>
      </c>
      <c r="AO89" s="459">
        <v>0</v>
      </c>
      <c r="AP89" s="459">
        <v>0</v>
      </c>
      <c r="AQ89" s="459">
        <v>0</v>
      </c>
      <c r="AR89" s="459">
        <v>0</v>
      </c>
      <c r="AS89" s="459">
        <v>0</v>
      </c>
      <c r="AT89" s="459">
        <v>0</v>
      </c>
      <c r="AU89" s="459">
        <v>0</v>
      </c>
      <c r="AV89" s="459">
        <v>0</v>
      </c>
      <c r="AW89" s="459">
        <v>0</v>
      </c>
      <c r="AX89" s="459">
        <v>0</v>
      </c>
      <c r="AY89" s="459">
        <v>0</v>
      </c>
      <c r="AZ89" s="459">
        <v>0</v>
      </c>
      <c r="BA89" s="459">
        <v>0</v>
      </c>
      <c r="BB89" s="459">
        <v>0</v>
      </c>
      <c r="BC89" s="2790"/>
      <c r="BD89" s="450"/>
    </row>
    <row r="90" spans="2:56" s="415" customFormat="1" ht="15" customHeight="1" outlineLevel="3">
      <c r="B90" s="463"/>
      <c r="C90" s="464" t="s">
        <v>1916</v>
      </c>
      <c r="D90" s="465" t="s">
        <v>1917</v>
      </c>
      <c r="E90" s="466">
        <f>E87+E88+E89</f>
        <v>0</v>
      </c>
      <c r="F90" s="466">
        <f t="shared" ref="F90:BB90" si="42">F87+F88+F89</f>
        <v>0</v>
      </c>
      <c r="G90" s="466">
        <f t="shared" si="42"/>
        <v>0</v>
      </c>
      <c r="H90" s="466">
        <f t="shared" si="42"/>
        <v>0</v>
      </c>
      <c r="I90" s="466">
        <f t="shared" si="42"/>
        <v>0</v>
      </c>
      <c r="J90" s="466">
        <f t="shared" si="42"/>
        <v>0</v>
      </c>
      <c r="K90" s="466">
        <f t="shared" si="42"/>
        <v>0</v>
      </c>
      <c r="L90" s="466">
        <f t="shared" si="42"/>
        <v>0</v>
      </c>
      <c r="M90" s="466">
        <f t="shared" si="42"/>
        <v>0</v>
      </c>
      <c r="N90" s="466">
        <f t="shared" si="42"/>
        <v>0</v>
      </c>
      <c r="O90" s="466">
        <f t="shared" si="42"/>
        <v>0</v>
      </c>
      <c r="P90" s="466">
        <f t="shared" si="42"/>
        <v>0</v>
      </c>
      <c r="Q90" s="466">
        <f t="shared" si="42"/>
        <v>0</v>
      </c>
      <c r="R90" s="466">
        <f t="shared" si="42"/>
        <v>0</v>
      </c>
      <c r="S90" s="466">
        <f t="shared" si="42"/>
        <v>0</v>
      </c>
      <c r="T90" s="466">
        <f t="shared" si="42"/>
        <v>0</v>
      </c>
      <c r="U90" s="466">
        <f t="shared" si="42"/>
        <v>0</v>
      </c>
      <c r="V90" s="466">
        <f t="shared" si="42"/>
        <v>0</v>
      </c>
      <c r="W90" s="466">
        <f t="shared" si="42"/>
        <v>0</v>
      </c>
      <c r="X90" s="466">
        <f t="shared" si="42"/>
        <v>0</v>
      </c>
      <c r="Y90" s="466">
        <f t="shared" si="42"/>
        <v>0</v>
      </c>
      <c r="Z90" s="466">
        <f t="shared" si="42"/>
        <v>0</v>
      </c>
      <c r="AA90" s="466">
        <f t="shared" si="42"/>
        <v>0</v>
      </c>
      <c r="AB90" s="466">
        <f t="shared" si="42"/>
        <v>0</v>
      </c>
      <c r="AC90" s="466">
        <f t="shared" si="42"/>
        <v>0</v>
      </c>
      <c r="AD90" s="466">
        <f t="shared" si="42"/>
        <v>0</v>
      </c>
      <c r="AE90" s="467">
        <f t="shared" si="42"/>
        <v>0</v>
      </c>
      <c r="AF90" s="466">
        <f t="shared" si="42"/>
        <v>0</v>
      </c>
      <c r="AG90" s="466">
        <f t="shared" si="42"/>
        <v>0</v>
      </c>
      <c r="AH90" s="466">
        <f t="shared" si="42"/>
        <v>0</v>
      </c>
      <c r="AI90" s="466">
        <f t="shared" si="42"/>
        <v>0</v>
      </c>
      <c r="AJ90" s="466">
        <f t="shared" si="42"/>
        <v>0</v>
      </c>
      <c r="AK90" s="466">
        <f t="shared" si="42"/>
        <v>0</v>
      </c>
      <c r="AL90" s="466">
        <f t="shared" si="42"/>
        <v>0</v>
      </c>
      <c r="AM90" s="466">
        <f t="shared" si="42"/>
        <v>0</v>
      </c>
      <c r="AN90" s="466">
        <f t="shared" si="42"/>
        <v>0</v>
      </c>
      <c r="AO90" s="466">
        <f t="shared" si="42"/>
        <v>0</v>
      </c>
      <c r="AP90" s="466">
        <f t="shared" si="42"/>
        <v>0</v>
      </c>
      <c r="AQ90" s="466">
        <f t="shared" ref="AQ90:AZ90" si="43">AQ87+AQ88+AQ89</f>
        <v>0</v>
      </c>
      <c r="AR90" s="466">
        <f t="shared" si="43"/>
        <v>0</v>
      </c>
      <c r="AS90" s="466">
        <f t="shared" si="43"/>
        <v>0</v>
      </c>
      <c r="AT90" s="466">
        <f t="shared" si="43"/>
        <v>0</v>
      </c>
      <c r="AU90" s="466">
        <f t="shared" si="43"/>
        <v>0</v>
      </c>
      <c r="AV90" s="466">
        <f t="shared" si="43"/>
        <v>0</v>
      </c>
      <c r="AW90" s="466">
        <f t="shared" si="43"/>
        <v>0</v>
      </c>
      <c r="AX90" s="466">
        <f t="shared" si="43"/>
        <v>0</v>
      </c>
      <c r="AY90" s="466">
        <f t="shared" si="43"/>
        <v>0</v>
      </c>
      <c r="AZ90" s="466">
        <f t="shared" si="43"/>
        <v>0</v>
      </c>
      <c r="BA90" s="466">
        <f t="shared" si="42"/>
        <v>0</v>
      </c>
      <c r="BB90" s="466">
        <f t="shared" si="42"/>
        <v>0</v>
      </c>
      <c r="BC90" s="2791"/>
      <c r="BD90" s="420"/>
    </row>
    <row r="91" spans="2:56" ht="15" customHeight="1" outlineLevel="3">
      <c r="B91" s="456"/>
      <c r="C91" s="457" t="s">
        <v>1918</v>
      </c>
      <c r="D91" s="458" t="s">
        <v>1919</v>
      </c>
      <c r="E91" s="459">
        <v>0</v>
      </c>
      <c r="F91" s="459">
        <v>0</v>
      </c>
      <c r="G91" s="459">
        <v>0</v>
      </c>
      <c r="H91" s="459">
        <v>0</v>
      </c>
      <c r="I91" s="459">
        <v>0</v>
      </c>
      <c r="J91" s="459">
        <v>0</v>
      </c>
      <c r="K91" s="459">
        <v>0</v>
      </c>
      <c r="L91" s="459">
        <v>0</v>
      </c>
      <c r="M91" s="459">
        <v>0</v>
      </c>
      <c r="N91" s="459">
        <v>0</v>
      </c>
      <c r="O91" s="459">
        <v>0</v>
      </c>
      <c r="P91" s="459">
        <v>0</v>
      </c>
      <c r="Q91" s="459">
        <v>0</v>
      </c>
      <c r="R91" s="459">
        <v>0</v>
      </c>
      <c r="S91" s="459">
        <v>0</v>
      </c>
      <c r="T91" s="459">
        <v>0</v>
      </c>
      <c r="U91" s="459">
        <v>0</v>
      </c>
      <c r="V91" s="459">
        <v>0</v>
      </c>
      <c r="W91" s="459">
        <v>0</v>
      </c>
      <c r="X91" s="459">
        <v>0</v>
      </c>
      <c r="Y91" s="459">
        <v>0</v>
      </c>
      <c r="Z91" s="459">
        <v>0</v>
      </c>
      <c r="AA91" s="459">
        <v>0</v>
      </c>
      <c r="AB91" s="459">
        <v>0</v>
      </c>
      <c r="AC91" s="459">
        <v>0</v>
      </c>
      <c r="AD91" s="459">
        <v>0</v>
      </c>
      <c r="AE91" s="460">
        <v>0</v>
      </c>
      <c r="AF91" s="459">
        <v>0</v>
      </c>
      <c r="AG91" s="459">
        <v>0</v>
      </c>
      <c r="AH91" s="459">
        <v>0</v>
      </c>
      <c r="AI91" s="459">
        <v>0</v>
      </c>
      <c r="AJ91" s="459">
        <v>0</v>
      </c>
      <c r="AK91" s="459">
        <v>0</v>
      </c>
      <c r="AL91" s="459">
        <v>0</v>
      </c>
      <c r="AM91" s="459">
        <v>0</v>
      </c>
      <c r="AN91" s="459">
        <v>0</v>
      </c>
      <c r="AO91" s="459">
        <v>0</v>
      </c>
      <c r="AP91" s="459">
        <v>0</v>
      </c>
      <c r="AQ91" s="459">
        <v>0</v>
      </c>
      <c r="AR91" s="459">
        <v>0</v>
      </c>
      <c r="AS91" s="459">
        <v>0</v>
      </c>
      <c r="AT91" s="459">
        <v>0</v>
      </c>
      <c r="AU91" s="459">
        <v>0</v>
      </c>
      <c r="AV91" s="459">
        <v>0</v>
      </c>
      <c r="AW91" s="459">
        <v>0</v>
      </c>
      <c r="AX91" s="459">
        <v>0</v>
      </c>
      <c r="AY91" s="459">
        <v>0</v>
      </c>
      <c r="AZ91" s="459">
        <v>0</v>
      </c>
      <c r="BA91" s="459">
        <v>0</v>
      </c>
      <c r="BB91" s="459">
        <v>0</v>
      </c>
      <c r="BC91" s="2790"/>
      <c r="BD91" s="450"/>
    </row>
    <row r="92" spans="2:56" ht="15" customHeight="1" outlineLevel="3">
      <c r="B92" s="456"/>
      <c r="C92" s="457" t="s">
        <v>1920</v>
      </c>
      <c r="D92" s="458" t="s">
        <v>1921</v>
      </c>
      <c r="E92" s="459">
        <v>0</v>
      </c>
      <c r="F92" s="459">
        <v>0</v>
      </c>
      <c r="G92" s="459">
        <v>0</v>
      </c>
      <c r="H92" s="459">
        <v>0</v>
      </c>
      <c r="I92" s="459">
        <v>0</v>
      </c>
      <c r="J92" s="459">
        <v>0</v>
      </c>
      <c r="K92" s="459">
        <v>0</v>
      </c>
      <c r="L92" s="459">
        <v>0</v>
      </c>
      <c r="M92" s="459">
        <v>0</v>
      </c>
      <c r="N92" s="459">
        <v>0</v>
      </c>
      <c r="O92" s="459">
        <v>0</v>
      </c>
      <c r="P92" s="459">
        <v>0</v>
      </c>
      <c r="Q92" s="459">
        <v>0</v>
      </c>
      <c r="R92" s="459">
        <v>0</v>
      </c>
      <c r="S92" s="459">
        <v>0</v>
      </c>
      <c r="T92" s="459">
        <v>0</v>
      </c>
      <c r="U92" s="459">
        <v>0</v>
      </c>
      <c r="V92" s="459">
        <v>0</v>
      </c>
      <c r="W92" s="459">
        <v>0</v>
      </c>
      <c r="X92" s="459">
        <v>0</v>
      </c>
      <c r="Y92" s="459">
        <v>0</v>
      </c>
      <c r="Z92" s="459">
        <v>0</v>
      </c>
      <c r="AA92" s="459">
        <v>0</v>
      </c>
      <c r="AB92" s="459">
        <v>0</v>
      </c>
      <c r="AC92" s="459">
        <v>0</v>
      </c>
      <c r="AD92" s="459">
        <v>0</v>
      </c>
      <c r="AE92" s="460">
        <v>0</v>
      </c>
      <c r="AF92" s="459">
        <v>0</v>
      </c>
      <c r="AG92" s="459">
        <v>0</v>
      </c>
      <c r="AH92" s="459">
        <v>0</v>
      </c>
      <c r="AI92" s="459">
        <v>0</v>
      </c>
      <c r="AJ92" s="459">
        <v>0</v>
      </c>
      <c r="AK92" s="459">
        <v>0</v>
      </c>
      <c r="AL92" s="459">
        <v>0</v>
      </c>
      <c r="AM92" s="459">
        <v>0</v>
      </c>
      <c r="AN92" s="459">
        <v>0</v>
      </c>
      <c r="AO92" s="459">
        <v>0</v>
      </c>
      <c r="AP92" s="459">
        <v>0</v>
      </c>
      <c r="AQ92" s="459">
        <v>0</v>
      </c>
      <c r="AR92" s="459">
        <v>0</v>
      </c>
      <c r="AS92" s="459">
        <v>0</v>
      </c>
      <c r="AT92" s="459">
        <v>0</v>
      </c>
      <c r="AU92" s="459">
        <v>0</v>
      </c>
      <c r="AV92" s="459">
        <v>0</v>
      </c>
      <c r="AW92" s="459">
        <v>0</v>
      </c>
      <c r="AX92" s="459">
        <v>0</v>
      </c>
      <c r="AY92" s="459">
        <v>0</v>
      </c>
      <c r="AZ92" s="459">
        <v>0</v>
      </c>
      <c r="BA92" s="459">
        <v>0</v>
      </c>
      <c r="BB92" s="459">
        <v>0</v>
      </c>
      <c r="BC92" s="2790"/>
      <c r="BD92" s="450"/>
    </row>
    <row r="93" spans="2:56" ht="15" customHeight="1" outlineLevel="3">
      <c r="B93" s="456"/>
      <c r="C93" s="457" t="s">
        <v>1922</v>
      </c>
      <c r="D93" s="458" t="s">
        <v>1923</v>
      </c>
      <c r="E93" s="459">
        <v>0</v>
      </c>
      <c r="F93" s="459">
        <v>0</v>
      </c>
      <c r="G93" s="459">
        <v>0</v>
      </c>
      <c r="H93" s="459">
        <v>0</v>
      </c>
      <c r="I93" s="459">
        <v>0</v>
      </c>
      <c r="J93" s="459">
        <v>0</v>
      </c>
      <c r="K93" s="459">
        <v>0</v>
      </c>
      <c r="L93" s="459">
        <v>0</v>
      </c>
      <c r="M93" s="459">
        <v>0</v>
      </c>
      <c r="N93" s="459">
        <v>0</v>
      </c>
      <c r="O93" s="459">
        <v>0</v>
      </c>
      <c r="P93" s="459">
        <v>0</v>
      </c>
      <c r="Q93" s="459">
        <v>0</v>
      </c>
      <c r="R93" s="459">
        <v>0</v>
      </c>
      <c r="S93" s="459">
        <v>0</v>
      </c>
      <c r="T93" s="459">
        <v>0</v>
      </c>
      <c r="U93" s="459">
        <v>0</v>
      </c>
      <c r="V93" s="459">
        <v>0</v>
      </c>
      <c r="W93" s="459">
        <v>0</v>
      </c>
      <c r="X93" s="459">
        <v>0</v>
      </c>
      <c r="Y93" s="459">
        <v>0</v>
      </c>
      <c r="Z93" s="459">
        <v>0</v>
      </c>
      <c r="AA93" s="459">
        <v>0</v>
      </c>
      <c r="AB93" s="459">
        <v>0</v>
      </c>
      <c r="AC93" s="459">
        <v>0</v>
      </c>
      <c r="AD93" s="459">
        <v>0</v>
      </c>
      <c r="AE93" s="460">
        <v>0</v>
      </c>
      <c r="AF93" s="459">
        <v>0</v>
      </c>
      <c r="AG93" s="459">
        <v>0</v>
      </c>
      <c r="AH93" s="459">
        <v>0</v>
      </c>
      <c r="AI93" s="459">
        <v>0</v>
      </c>
      <c r="AJ93" s="459">
        <v>0</v>
      </c>
      <c r="AK93" s="459">
        <v>0</v>
      </c>
      <c r="AL93" s="459">
        <v>0</v>
      </c>
      <c r="AM93" s="459">
        <v>0</v>
      </c>
      <c r="AN93" s="459">
        <v>0</v>
      </c>
      <c r="AO93" s="459">
        <v>0</v>
      </c>
      <c r="AP93" s="459">
        <v>0</v>
      </c>
      <c r="AQ93" s="459">
        <v>0</v>
      </c>
      <c r="AR93" s="459">
        <v>0</v>
      </c>
      <c r="AS93" s="459">
        <v>0</v>
      </c>
      <c r="AT93" s="459">
        <v>0</v>
      </c>
      <c r="AU93" s="459">
        <v>0</v>
      </c>
      <c r="AV93" s="459">
        <v>0</v>
      </c>
      <c r="AW93" s="459">
        <v>0</v>
      </c>
      <c r="AX93" s="459">
        <v>0</v>
      </c>
      <c r="AY93" s="459">
        <v>0</v>
      </c>
      <c r="AZ93" s="459">
        <v>0</v>
      </c>
      <c r="BA93" s="459">
        <v>0</v>
      </c>
      <c r="BB93" s="459">
        <v>0</v>
      </c>
      <c r="BC93" s="2790"/>
      <c r="BD93" s="450"/>
    </row>
    <row r="94" spans="2:56" s="415" customFormat="1" ht="15" customHeight="1" outlineLevel="2">
      <c r="B94" s="463"/>
      <c r="C94" s="464" t="s">
        <v>1924</v>
      </c>
      <c r="D94" s="465" t="s">
        <v>1925</v>
      </c>
      <c r="E94" s="466">
        <f t="shared" ref="E94:BB94" si="44">E90+E91+E92+E93</f>
        <v>0</v>
      </c>
      <c r="F94" s="466">
        <f t="shared" si="44"/>
        <v>0</v>
      </c>
      <c r="G94" s="466">
        <f t="shared" si="44"/>
        <v>0</v>
      </c>
      <c r="H94" s="466">
        <f t="shared" si="44"/>
        <v>0</v>
      </c>
      <c r="I94" s="466">
        <f t="shared" si="44"/>
        <v>0</v>
      </c>
      <c r="J94" s="466">
        <f t="shared" si="44"/>
        <v>0</v>
      </c>
      <c r="K94" s="466">
        <f t="shared" si="44"/>
        <v>0</v>
      </c>
      <c r="L94" s="466">
        <f t="shared" si="44"/>
        <v>0</v>
      </c>
      <c r="M94" s="466">
        <f t="shared" si="44"/>
        <v>0</v>
      </c>
      <c r="N94" s="466">
        <f t="shared" si="44"/>
        <v>0</v>
      </c>
      <c r="O94" s="466">
        <f t="shared" si="44"/>
        <v>0</v>
      </c>
      <c r="P94" s="466">
        <f t="shared" si="44"/>
        <v>0</v>
      </c>
      <c r="Q94" s="466">
        <f t="shared" si="44"/>
        <v>0</v>
      </c>
      <c r="R94" s="466">
        <f t="shared" si="44"/>
        <v>0</v>
      </c>
      <c r="S94" s="466">
        <f t="shared" si="44"/>
        <v>0</v>
      </c>
      <c r="T94" s="466">
        <f t="shared" si="44"/>
        <v>0</v>
      </c>
      <c r="U94" s="466">
        <f t="shared" si="44"/>
        <v>0</v>
      </c>
      <c r="V94" s="466">
        <f t="shared" si="44"/>
        <v>0</v>
      </c>
      <c r="W94" s="466">
        <f t="shared" si="44"/>
        <v>0</v>
      </c>
      <c r="X94" s="466">
        <f t="shared" si="44"/>
        <v>0</v>
      </c>
      <c r="Y94" s="466">
        <f t="shared" si="44"/>
        <v>0</v>
      </c>
      <c r="Z94" s="466">
        <f t="shared" si="44"/>
        <v>0</v>
      </c>
      <c r="AA94" s="466">
        <f t="shared" si="44"/>
        <v>0</v>
      </c>
      <c r="AB94" s="466">
        <f t="shared" si="44"/>
        <v>0</v>
      </c>
      <c r="AC94" s="466">
        <f t="shared" si="44"/>
        <v>0</v>
      </c>
      <c r="AD94" s="466">
        <f t="shared" si="44"/>
        <v>0</v>
      </c>
      <c r="AE94" s="467">
        <f t="shared" si="44"/>
        <v>0</v>
      </c>
      <c r="AF94" s="466">
        <f t="shared" si="44"/>
        <v>0</v>
      </c>
      <c r="AG94" s="466">
        <f t="shared" si="44"/>
        <v>0</v>
      </c>
      <c r="AH94" s="466">
        <f t="shared" si="44"/>
        <v>0</v>
      </c>
      <c r="AI94" s="466">
        <f t="shared" si="44"/>
        <v>0</v>
      </c>
      <c r="AJ94" s="466">
        <f t="shared" si="44"/>
        <v>0</v>
      </c>
      <c r="AK94" s="466">
        <f t="shared" si="44"/>
        <v>0</v>
      </c>
      <c r="AL94" s="466">
        <f t="shared" si="44"/>
        <v>0</v>
      </c>
      <c r="AM94" s="466">
        <f t="shared" si="44"/>
        <v>0</v>
      </c>
      <c r="AN94" s="466">
        <f t="shared" si="44"/>
        <v>0</v>
      </c>
      <c r="AO94" s="466">
        <f t="shared" si="44"/>
        <v>0</v>
      </c>
      <c r="AP94" s="466">
        <f t="shared" si="44"/>
        <v>0</v>
      </c>
      <c r="AQ94" s="466">
        <f t="shared" ref="AQ94:AZ94" si="45">AQ90+AQ91+AQ92+AQ93</f>
        <v>0</v>
      </c>
      <c r="AR94" s="466">
        <f t="shared" si="45"/>
        <v>0</v>
      </c>
      <c r="AS94" s="466">
        <f t="shared" si="45"/>
        <v>0</v>
      </c>
      <c r="AT94" s="466">
        <f t="shared" si="45"/>
        <v>0</v>
      </c>
      <c r="AU94" s="466">
        <f t="shared" si="45"/>
        <v>0</v>
      </c>
      <c r="AV94" s="466">
        <f t="shared" si="45"/>
        <v>0</v>
      </c>
      <c r="AW94" s="466">
        <f t="shared" si="45"/>
        <v>0</v>
      </c>
      <c r="AX94" s="466">
        <f t="shared" si="45"/>
        <v>0</v>
      </c>
      <c r="AY94" s="466">
        <f t="shared" si="45"/>
        <v>0</v>
      </c>
      <c r="AZ94" s="466">
        <f t="shared" si="45"/>
        <v>0</v>
      </c>
      <c r="BA94" s="466">
        <f t="shared" si="44"/>
        <v>0</v>
      </c>
      <c r="BB94" s="466">
        <f t="shared" si="44"/>
        <v>0</v>
      </c>
      <c r="BC94" s="2791"/>
      <c r="BD94" s="420"/>
    </row>
    <row r="95" spans="2:56" s="415" customFormat="1" ht="15" customHeight="1" outlineLevel="2">
      <c r="B95" s="463"/>
      <c r="C95" s="464" t="s">
        <v>1926</v>
      </c>
      <c r="D95" s="465" t="s">
        <v>1927</v>
      </c>
      <c r="E95" s="466">
        <f>E94</f>
        <v>0</v>
      </c>
      <c r="F95" s="466">
        <f t="shared" ref="F95:BB95" si="46">F94-E94</f>
        <v>0</v>
      </c>
      <c r="G95" s="466">
        <f t="shared" si="46"/>
        <v>0</v>
      </c>
      <c r="H95" s="466">
        <f t="shared" si="46"/>
        <v>0</v>
      </c>
      <c r="I95" s="466">
        <f t="shared" si="46"/>
        <v>0</v>
      </c>
      <c r="J95" s="466">
        <f t="shared" si="46"/>
        <v>0</v>
      </c>
      <c r="K95" s="466">
        <f t="shared" si="46"/>
        <v>0</v>
      </c>
      <c r="L95" s="466">
        <f t="shared" si="46"/>
        <v>0</v>
      </c>
      <c r="M95" s="466">
        <f t="shared" si="46"/>
        <v>0</v>
      </c>
      <c r="N95" s="466">
        <f t="shared" si="46"/>
        <v>0</v>
      </c>
      <c r="O95" s="466">
        <f t="shared" si="46"/>
        <v>0</v>
      </c>
      <c r="P95" s="466">
        <f t="shared" si="46"/>
        <v>0</v>
      </c>
      <c r="Q95" s="466">
        <f t="shared" si="46"/>
        <v>0</v>
      </c>
      <c r="R95" s="466">
        <f t="shared" si="46"/>
        <v>0</v>
      </c>
      <c r="S95" s="466">
        <f t="shared" si="46"/>
        <v>0</v>
      </c>
      <c r="T95" s="466">
        <f t="shared" si="46"/>
        <v>0</v>
      </c>
      <c r="U95" s="466">
        <f t="shared" si="46"/>
        <v>0</v>
      </c>
      <c r="V95" s="466">
        <f t="shared" si="46"/>
        <v>0</v>
      </c>
      <c r="W95" s="466">
        <f t="shared" si="46"/>
        <v>0</v>
      </c>
      <c r="X95" s="466">
        <f t="shared" si="46"/>
        <v>0</v>
      </c>
      <c r="Y95" s="466">
        <f t="shared" si="46"/>
        <v>0</v>
      </c>
      <c r="Z95" s="466">
        <f t="shared" si="46"/>
        <v>0</v>
      </c>
      <c r="AA95" s="466">
        <f t="shared" si="46"/>
        <v>0</v>
      </c>
      <c r="AB95" s="466">
        <f t="shared" si="46"/>
        <v>0</v>
      </c>
      <c r="AC95" s="466">
        <f t="shared" si="46"/>
        <v>0</v>
      </c>
      <c r="AD95" s="466">
        <f t="shared" si="46"/>
        <v>0</v>
      </c>
      <c r="AE95" s="467">
        <f t="shared" si="46"/>
        <v>0</v>
      </c>
      <c r="AF95" s="466">
        <f t="shared" si="46"/>
        <v>0</v>
      </c>
      <c r="AG95" s="466">
        <f t="shared" si="46"/>
        <v>0</v>
      </c>
      <c r="AH95" s="466">
        <f t="shared" si="46"/>
        <v>0</v>
      </c>
      <c r="AI95" s="466">
        <f t="shared" si="46"/>
        <v>0</v>
      </c>
      <c r="AJ95" s="466">
        <f t="shared" si="46"/>
        <v>0</v>
      </c>
      <c r="AK95" s="466">
        <f t="shared" si="46"/>
        <v>0</v>
      </c>
      <c r="AL95" s="466">
        <f t="shared" si="46"/>
        <v>0</v>
      </c>
      <c r="AM95" s="466">
        <f t="shared" si="46"/>
        <v>0</v>
      </c>
      <c r="AN95" s="466">
        <f t="shared" si="46"/>
        <v>0</v>
      </c>
      <c r="AO95" s="466">
        <f t="shared" si="46"/>
        <v>0</v>
      </c>
      <c r="AP95" s="466">
        <f t="shared" si="46"/>
        <v>0</v>
      </c>
      <c r="AQ95" s="466">
        <f t="shared" ref="AQ95:AZ95" si="47">AQ94-AP94</f>
        <v>0</v>
      </c>
      <c r="AR95" s="466">
        <f t="shared" si="47"/>
        <v>0</v>
      </c>
      <c r="AS95" s="466">
        <f t="shared" si="47"/>
        <v>0</v>
      </c>
      <c r="AT95" s="466">
        <f t="shared" si="47"/>
        <v>0</v>
      </c>
      <c r="AU95" s="466">
        <f t="shared" si="47"/>
        <v>0</v>
      </c>
      <c r="AV95" s="466">
        <f t="shared" si="47"/>
        <v>0</v>
      </c>
      <c r="AW95" s="466">
        <f t="shared" si="47"/>
        <v>0</v>
      </c>
      <c r="AX95" s="466">
        <f t="shared" si="47"/>
        <v>0</v>
      </c>
      <c r="AY95" s="466">
        <f t="shared" si="47"/>
        <v>0</v>
      </c>
      <c r="AZ95" s="466">
        <f t="shared" si="47"/>
        <v>0</v>
      </c>
      <c r="BA95" s="466">
        <f>BA94-AP94</f>
        <v>0</v>
      </c>
      <c r="BB95" s="466">
        <f t="shared" si="46"/>
        <v>0</v>
      </c>
      <c r="BC95" s="2791"/>
      <c r="BD95" s="420"/>
    </row>
    <row r="96" spans="2:56" ht="15" customHeight="1" outlineLevel="2">
      <c r="B96" s="456"/>
      <c r="C96" s="478"/>
      <c r="D96" s="458"/>
      <c r="E96" s="459"/>
      <c r="F96" s="459"/>
      <c r="G96" s="459"/>
      <c r="H96" s="459"/>
      <c r="I96" s="459"/>
      <c r="J96" s="459"/>
      <c r="K96" s="459"/>
      <c r="L96" s="459"/>
      <c r="M96" s="459"/>
      <c r="N96" s="459"/>
      <c r="O96" s="459"/>
      <c r="P96" s="459"/>
      <c r="Q96" s="459"/>
      <c r="R96" s="459"/>
      <c r="S96" s="459"/>
      <c r="T96" s="459"/>
      <c r="U96" s="459"/>
      <c r="V96" s="459"/>
      <c r="W96" s="459"/>
      <c r="X96" s="459"/>
      <c r="Y96" s="459"/>
      <c r="Z96" s="459"/>
      <c r="AA96" s="459"/>
      <c r="AB96" s="459"/>
      <c r="AC96" s="459"/>
      <c r="AD96" s="459"/>
      <c r="AE96" s="460"/>
      <c r="AF96" s="459"/>
      <c r="AG96" s="459"/>
      <c r="AH96" s="459"/>
      <c r="AI96" s="459"/>
      <c r="AJ96" s="459"/>
      <c r="AK96" s="459"/>
      <c r="AL96" s="459"/>
      <c r="AM96" s="459"/>
      <c r="AN96" s="459"/>
      <c r="AO96" s="459"/>
      <c r="AP96" s="459"/>
      <c r="AQ96" s="459"/>
      <c r="AR96" s="459"/>
      <c r="AS96" s="459"/>
      <c r="AT96" s="459"/>
      <c r="AU96" s="459"/>
      <c r="AV96" s="459"/>
      <c r="AW96" s="459"/>
      <c r="AX96" s="459"/>
      <c r="AY96" s="459"/>
      <c r="AZ96" s="459"/>
      <c r="BA96" s="459"/>
      <c r="BB96" s="459"/>
      <c r="BC96" s="2790"/>
      <c r="BD96" s="450"/>
    </row>
    <row r="97" spans="2:56" ht="16.5" customHeight="1" outlineLevel="2">
      <c r="B97" s="456"/>
      <c r="C97" s="478"/>
      <c r="D97" s="458"/>
      <c r="E97" s="466"/>
      <c r="F97" s="466"/>
      <c r="G97" s="466"/>
      <c r="H97" s="466"/>
      <c r="I97" s="466"/>
      <c r="J97" s="466"/>
      <c r="K97" s="466"/>
      <c r="L97" s="466"/>
      <c r="M97" s="466"/>
      <c r="N97" s="459"/>
      <c r="O97" s="459"/>
      <c r="P97" s="459"/>
      <c r="Q97" s="459"/>
      <c r="R97" s="459"/>
      <c r="S97" s="459"/>
      <c r="T97" s="459"/>
      <c r="U97" s="459"/>
      <c r="V97" s="459"/>
      <c r="W97" s="459"/>
      <c r="X97" s="459"/>
      <c r="Y97" s="459"/>
      <c r="Z97" s="459"/>
      <c r="AA97" s="459"/>
      <c r="AB97" s="459"/>
      <c r="AC97" s="459"/>
      <c r="AD97" s="459"/>
      <c r="AE97" s="460"/>
      <c r="AF97" s="459"/>
      <c r="AG97" s="459"/>
      <c r="AH97" s="459"/>
      <c r="AI97" s="459"/>
      <c r="AJ97" s="459"/>
      <c r="AK97" s="459"/>
      <c r="AL97" s="459"/>
      <c r="AM97" s="459"/>
      <c r="AN97" s="459"/>
      <c r="AO97" s="459"/>
      <c r="AP97" s="459"/>
      <c r="AQ97" s="459"/>
      <c r="AR97" s="459"/>
      <c r="AS97" s="459"/>
      <c r="AT97" s="459"/>
      <c r="AU97" s="459"/>
      <c r="AV97" s="459"/>
      <c r="AW97" s="459"/>
      <c r="AX97" s="459"/>
      <c r="AY97" s="459"/>
      <c r="AZ97" s="459"/>
      <c r="BA97" s="459"/>
      <c r="BB97" s="459"/>
      <c r="BC97" s="2790"/>
      <c r="BD97" s="450"/>
    </row>
    <row r="98" spans="2:56" ht="15" customHeight="1" outlineLevel="2">
      <c r="B98" s="456"/>
      <c r="C98" s="457"/>
      <c r="D98" s="458"/>
      <c r="E98" s="459"/>
      <c r="F98" s="459"/>
      <c r="G98" s="459"/>
      <c r="H98" s="459"/>
      <c r="I98" s="459"/>
      <c r="J98" s="459"/>
      <c r="K98" s="459"/>
      <c r="L98" s="459"/>
      <c r="M98" s="459"/>
      <c r="N98" s="459"/>
      <c r="O98" s="459"/>
      <c r="P98" s="459"/>
      <c r="Q98" s="459"/>
      <c r="R98" s="459"/>
      <c r="S98" s="459"/>
      <c r="T98" s="459"/>
      <c r="U98" s="459"/>
      <c r="V98" s="459"/>
      <c r="W98" s="459"/>
      <c r="X98" s="459"/>
      <c r="Y98" s="459"/>
      <c r="Z98" s="459"/>
      <c r="AA98" s="459"/>
      <c r="AB98" s="459"/>
      <c r="AC98" s="459"/>
      <c r="AD98" s="459"/>
      <c r="AE98" s="460"/>
      <c r="AF98" s="459"/>
      <c r="AG98" s="459"/>
      <c r="AH98" s="459"/>
      <c r="AI98" s="459"/>
      <c r="AJ98" s="459"/>
      <c r="AK98" s="459"/>
      <c r="AL98" s="459"/>
      <c r="AM98" s="459"/>
      <c r="AN98" s="459"/>
      <c r="AO98" s="459"/>
      <c r="AP98" s="459"/>
      <c r="AQ98" s="459"/>
      <c r="AR98" s="459"/>
      <c r="AS98" s="459"/>
      <c r="AT98" s="459"/>
      <c r="AU98" s="459"/>
      <c r="AV98" s="459"/>
      <c r="AW98" s="459"/>
      <c r="AX98" s="459"/>
      <c r="AY98" s="459"/>
      <c r="AZ98" s="459"/>
      <c r="BA98" s="459"/>
      <c r="BB98" s="459"/>
      <c r="BC98" s="2788"/>
      <c r="BD98" s="450"/>
    </row>
    <row r="99" spans="2:56" ht="18.75" customHeight="1" outlineLevel="2">
      <c r="B99" s="461" t="e">
        <f>'Schedule B'!#REF!</f>
        <v>#REF!</v>
      </c>
      <c r="C99" s="462" t="e">
        <f>'Schedule B'!#REF!</f>
        <v>#REF!</v>
      </c>
      <c r="D99" s="760" t="e">
        <f>'Schedule B'!#REF!</f>
        <v>#REF!</v>
      </c>
      <c r="E99" s="474"/>
      <c r="F99" s="474"/>
      <c r="G99" s="474"/>
      <c r="H99" s="475"/>
      <c r="I99" s="475"/>
      <c r="J99" s="475"/>
      <c r="K99" s="475"/>
      <c r="L99" s="475"/>
      <c r="M99" s="475"/>
      <c r="N99" s="475"/>
      <c r="O99" s="475"/>
      <c r="P99" s="475"/>
      <c r="Q99" s="475"/>
      <c r="R99" s="475"/>
      <c r="S99" s="475"/>
      <c r="T99" s="475"/>
      <c r="U99" s="475"/>
      <c r="V99" s="475"/>
      <c r="W99" s="475"/>
      <c r="X99" s="475"/>
      <c r="Y99" s="475"/>
      <c r="Z99" s="475"/>
      <c r="AA99" s="475"/>
      <c r="AB99" s="475"/>
      <c r="AC99" s="475"/>
      <c r="AD99" s="475"/>
      <c r="AE99" s="476"/>
      <c r="AF99" s="475"/>
      <c r="AG99" s="475"/>
      <c r="AH99" s="475"/>
      <c r="AI99" s="475"/>
      <c r="AJ99" s="475"/>
      <c r="AK99" s="475"/>
      <c r="AL99" s="475"/>
      <c r="AM99" s="475"/>
      <c r="AN99" s="475"/>
      <c r="AO99" s="475"/>
      <c r="AP99" s="475"/>
      <c r="AQ99" s="475"/>
      <c r="AR99" s="475"/>
      <c r="AS99" s="475"/>
      <c r="AT99" s="475"/>
      <c r="AU99" s="475"/>
      <c r="AV99" s="475"/>
      <c r="AW99" s="475"/>
      <c r="AX99" s="475"/>
      <c r="AY99" s="475"/>
      <c r="AZ99" s="475"/>
      <c r="BA99" s="475"/>
      <c r="BB99" s="475"/>
      <c r="BC99" s="2789"/>
      <c r="BD99" s="450"/>
    </row>
    <row r="100" spans="2:56" ht="15" customHeight="1" outlineLevel="3">
      <c r="B100" s="456"/>
      <c r="C100" s="457" t="s">
        <v>1898</v>
      </c>
      <c r="D100" s="458" t="s">
        <v>1899</v>
      </c>
      <c r="E100" s="459">
        <v>0</v>
      </c>
      <c r="F100" s="459">
        <v>0</v>
      </c>
      <c r="G100" s="459">
        <v>0</v>
      </c>
      <c r="H100" s="459">
        <v>0</v>
      </c>
      <c r="I100" s="459">
        <v>0</v>
      </c>
      <c r="J100" s="459">
        <v>0</v>
      </c>
      <c r="K100" s="459">
        <v>0</v>
      </c>
      <c r="L100" s="459">
        <v>0</v>
      </c>
      <c r="M100" s="459">
        <v>0</v>
      </c>
      <c r="N100" s="459">
        <v>0</v>
      </c>
      <c r="O100" s="459">
        <v>0</v>
      </c>
      <c r="P100" s="459">
        <v>0</v>
      </c>
      <c r="Q100" s="459">
        <v>0</v>
      </c>
      <c r="R100" s="459">
        <v>0</v>
      </c>
      <c r="S100" s="459">
        <v>0</v>
      </c>
      <c r="T100" s="459">
        <v>0</v>
      </c>
      <c r="U100" s="459">
        <v>0</v>
      </c>
      <c r="V100" s="459">
        <v>0</v>
      </c>
      <c r="W100" s="459">
        <v>0</v>
      </c>
      <c r="X100" s="459">
        <v>0</v>
      </c>
      <c r="Y100" s="459">
        <v>0</v>
      </c>
      <c r="Z100" s="459">
        <v>0</v>
      </c>
      <c r="AA100" s="459">
        <v>0</v>
      </c>
      <c r="AB100" s="459">
        <v>0</v>
      </c>
      <c r="AC100" s="459">
        <v>0</v>
      </c>
      <c r="AD100" s="459">
        <v>0</v>
      </c>
      <c r="AE100" s="460">
        <v>0</v>
      </c>
      <c r="AF100" s="459">
        <v>0</v>
      </c>
      <c r="AG100" s="459">
        <v>0</v>
      </c>
      <c r="AH100" s="459">
        <v>0</v>
      </c>
      <c r="AI100" s="459">
        <v>0</v>
      </c>
      <c r="AJ100" s="459">
        <v>0</v>
      </c>
      <c r="AK100" s="459">
        <v>0</v>
      </c>
      <c r="AL100" s="459">
        <v>0</v>
      </c>
      <c r="AM100" s="459">
        <v>0</v>
      </c>
      <c r="AN100" s="459">
        <v>0</v>
      </c>
      <c r="AO100" s="459">
        <v>0</v>
      </c>
      <c r="AP100" s="459">
        <v>0</v>
      </c>
      <c r="AQ100" s="459">
        <v>0</v>
      </c>
      <c r="AR100" s="459">
        <v>0</v>
      </c>
      <c r="AS100" s="459">
        <v>0</v>
      </c>
      <c r="AT100" s="459">
        <v>0</v>
      </c>
      <c r="AU100" s="459">
        <v>0</v>
      </c>
      <c r="AV100" s="459">
        <v>0</v>
      </c>
      <c r="AW100" s="459">
        <v>0</v>
      </c>
      <c r="AX100" s="459">
        <v>0</v>
      </c>
      <c r="AY100" s="459">
        <v>0</v>
      </c>
      <c r="AZ100" s="459">
        <v>0</v>
      </c>
      <c r="BA100" s="459">
        <v>0</v>
      </c>
      <c r="BB100" s="459">
        <v>0</v>
      </c>
      <c r="BC100" s="2790"/>
      <c r="BD100" s="450"/>
    </row>
    <row r="101" spans="2:56" ht="15" customHeight="1" outlineLevel="3">
      <c r="B101" s="456"/>
      <c r="C101" s="457" t="s">
        <v>1901</v>
      </c>
      <c r="D101" s="458" t="s">
        <v>1902</v>
      </c>
      <c r="E101" s="459">
        <v>0</v>
      </c>
      <c r="F101" s="459">
        <v>0</v>
      </c>
      <c r="G101" s="459">
        <v>0</v>
      </c>
      <c r="H101" s="459">
        <v>0</v>
      </c>
      <c r="I101" s="459">
        <v>0</v>
      </c>
      <c r="J101" s="459">
        <v>0</v>
      </c>
      <c r="K101" s="459">
        <v>0</v>
      </c>
      <c r="L101" s="459">
        <v>0</v>
      </c>
      <c r="M101" s="459">
        <v>0</v>
      </c>
      <c r="N101" s="459">
        <v>0</v>
      </c>
      <c r="O101" s="459">
        <v>0</v>
      </c>
      <c r="P101" s="459">
        <v>0</v>
      </c>
      <c r="Q101" s="459">
        <v>0</v>
      </c>
      <c r="R101" s="459">
        <v>0</v>
      </c>
      <c r="S101" s="459">
        <v>0</v>
      </c>
      <c r="T101" s="459">
        <v>0</v>
      </c>
      <c r="U101" s="459">
        <v>0</v>
      </c>
      <c r="V101" s="459">
        <v>0</v>
      </c>
      <c r="W101" s="459">
        <v>0</v>
      </c>
      <c r="X101" s="459">
        <v>0</v>
      </c>
      <c r="Y101" s="459">
        <v>0</v>
      </c>
      <c r="Z101" s="459">
        <v>0</v>
      </c>
      <c r="AA101" s="459">
        <v>0</v>
      </c>
      <c r="AB101" s="459">
        <v>0</v>
      </c>
      <c r="AC101" s="459">
        <v>0</v>
      </c>
      <c r="AD101" s="459">
        <v>0</v>
      </c>
      <c r="AE101" s="460">
        <v>0</v>
      </c>
      <c r="AF101" s="459">
        <v>0</v>
      </c>
      <c r="AG101" s="459">
        <v>0</v>
      </c>
      <c r="AH101" s="459">
        <v>0</v>
      </c>
      <c r="AI101" s="459">
        <v>0</v>
      </c>
      <c r="AJ101" s="459">
        <v>0</v>
      </c>
      <c r="AK101" s="459">
        <v>0</v>
      </c>
      <c r="AL101" s="459">
        <v>0</v>
      </c>
      <c r="AM101" s="459">
        <v>0</v>
      </c>
      <c r="AN101" s="459">
        <v>0</v>
      </c>
      <c r="AO101" s="459">
        <v>0</v>
      </c>
      <c r="AP101" s="459">
        <v>0</v>
      </c>
      <c r="AQ101" s="459">
        <v>0</v>
      </c>
      <c r="AR101" s="459">
        <v>0</v>
      </c>
      <c r="AS101" s="459">
        <v>0</v>
      </c>
      <c r="AT101" s="459">
        <v>0</v>
      </c>
      <c r="AU101" s="459">
        <v>0</v>
      </c>
      <c r="AV101" s="459">
        <v>0</v>
      </c>
      <c r="AW101" s="459">
        <v>0</v>
      </c>
      <c r="AX101" s="459">
        <v>0</v>
      </c>
      <c r="AY101" s="459">
        <v>0</v>
      </c>
      <c r="AZ101" s="459">
        <v>0</v>
      </c>
      <c r="BA101" s="459">
        <v>0</v>
      </c>
      <c r="BB101" s="459">
        <v>0</v>
      </c>
      <c r="BC101" s="2790"/>
      <c r="BD101" s="450"/>
    </row>
    <row r="102" spans="2:56" ht="15" customHeight="1" outlineLevel="3">
      <c r="B102" s="456"/>
      <c r="C102" s="457" t="s">
        <v>1903</v>
      </c>
      <c r="D102" s="458" t="s">
        <v>1904</v>
      </c>
      <c r="E102" s="459">
        <v>0</v>
      </c>
      <c r="F102" s="459">
        <v>0</v>
      </c>
      <c r="G102" s="459">
        <v>0</v>
      </c>
      <c r="H102" s="459">
        <v>0</v>
      </c>
      <c r="I102" s="459">
        <v>0</v>
      </c>
      <c r="J102" s="459">
        <v>0</v>
      </c>
      <c r="K102" s="459">
        <v>0</v>
      </c>
      <c r="L102" s="459">
        <v>0</v>
      </c>
      <c r="M102" s="459">
        <v>0</v>
      </c>
      <c r="N102" s="459">
        <v>0</v>
      </c>
      <c r="O102" s="459">
        <v>0</v>
      </c>
      <c r="P102" s="459">
        <v>0</v>
      </c>
      <c r="Q102" s="459">
        <v>0</v>
      </c>
      <c r="R102" s="459">
        <v>0</v>
      </c>
      <c r="S102" s="459">
        <v>0</v>
      </c>
      <c r="T102" s="459">
        <v>0</v>
      </c>
      <c r="U102" s="459">
        <v>0</v>
      </c>
      <c r="V102" s="459">
        <v>0</v>
      </c>
      <c r="W102" s="459">
        <v>0</v>
      </c>
      <c r="X102" s="459">
        <v>0</v>
      </c>
      <c r="Y102" s="459">
        <v>0</v>
      </c>
      <c r="Z102" s="459">
        <v>0</v>
      </c>
      <c r="AA102" s="459">
        <v>0</v>
      </c>
      <c r="AB102" s="459">
        <v>0</v>
      </c>
      <c r="AC102" s="459">
        <v>0</v>
      </c>
      <c r="AD102" s="459">
        <v>0</v>
      </c>
      <c r="AE102" s="460">
        <v>0</v>
      </c>
      <c r="AF102" s="459">
        <v>0</v>
      </c>
      <c r="AG102" s="459">
        <v>0</v>
      </c>
      <c r="AH102" s="459">
        <v>0</v>
      </c>
      <c r="AI102" s="459">
        <v>0</v>
      </c>
      <c r="AJ102" s="459">
        <v>0</v>
      </c>
      <c r="AK102" s="459">
        <v>0</v>
      </c>
      <c r="AL102" s="459">
        <v>0</v>
      </c>
      <c r="AM102" s="459">
        <v>0</v>
      </c>
      <c r="AN102" s="459">
        <v>0</v>
      </c>
      <c r="AO102" s="459">
        <v>0</v>
      </c>
      <c r="AP102" s="459">
        <v>0</v>
      </c>
      <c r="AQ102" s="459">
        <v>0</v>
      </c>
      <c r="AR102" s="459">
        <v>0</v>
      </c>
      <c r="AS102" s="459">
        <v>0</v>
      </c>
      <c r="AT102" s="459">
        <v>0</v>
      </c>
      <c r="AU102" s="459">
        <v>0</v>
      </c>
      <c r="AV102" s="459">
        <v>0</v>
      </c>
      <c r="AW102" s="459">
        <v>0</v>
      </c>
      <c r="AX102" s="459">
        <v>0</v>
      </c>
      <c r="AY102" s="459">
        <v>0</v>
      </c>
      <c r="AZ102" s="459">
        <v>0</v>
      </c>
      <c r="BA102" s="459">
        <v>0</v>
      </c>
      <c r="BB102" s="459">
        <v>0</v>
      </c>
      <c r="BC102" s="2790"/>
      <c r="BD102" s="450"/>
    </row>
    <row r="103" spans="2:56" s="415" customFormat="1" ht="15" customHeight="1" outlineLevel="3">
      <c r="B103" s="463"/>
      <c r="C103" s="464" t="s">
        <v>1905</v>
      </c>
      <c r="D103" s="465" t="s">
        <v>1906</v>
      </c>
      <c r="E103" s="466">
        <f>E100+E101+E102</f>
        <v>0</v>
      </c>
      <c r="F103" s="466">
        <f t="shared" ref="F103:BB103" si="48">F100+F101+F102</f>
        <v>0</v>
      </c>
      <c r="G103" s="466">
        <f t="shared" si="48"/>
        <v>0</v>
      </c>
      <c r="H103" s="466">
        <f t="shared" si="48"/>
        <v>0</v>
      </c>
      <c r="I103" s="466">
        <f t="shared" si="48"/>
        <v>0</v>
      </c>
      <c r="J103" s="466">
        <f t="shared" si="48"/>
        <v>0</v>
      </c>
      <c r="K103" s="466">
        <f t="shared" si="48"/>
        <v>0</v>
      </c>
      <c r="L103" s="466">
        <f t="shared" si="48"/>
        <v>0</v>
      </c>
      <c r="M103" s="466">
        <f t="shared" si="48"/>
        <v>0</v>
      </c>
      <c r="N103" s="466">
        <f t="shared" si="48"/>
        <v>0</v>
      </c>
      <c r="O103" s="466">
        <f t="shared" si="48"/>
        <v>0</v>
      </c>
      <c r="P103" s="466">
        <f t="shared" si="48"/>
        <v>0</v>
      </c>
      <c r="Q103" s="466">
        <f t="shared" si="48"/>
        <v>0</v>
      </c>
      <c r="R103" s="466">
        <f t="shared" si="48"/>
        <v>0</v>
      </c>
      <c r="S103" s="466">
        <f t="shared" si="48"/>
        <v>0</v>
      </c>
      <c r="T103" s="466">
        <f t="shared" si="48"/>
        <v>0</v>
      </c>
      <c r="U103" s="466">
        <f t="shared" si="48"/>
        <v>0</v>
      </c>
      <c r="V103" s="466">
        <f t="shared" si="48"/>
        <v>0</v>
      </c>
      <c r="W103" s="466">
        <f t="shared" si="48"/>
        <v>0</v>
      </c>
      <c r="X103" s="466">
        <f t="shared" si="48"/>
        <v>0</v>
      </c>
      <c r="Y103" s="466">
        <f t="shared" si="48"/>
        <v>0</v>
      </c>
      <c r="Z103" s="466">
        <f t="shared" si="48"/>
        <v>0</v>
      </c>
      <c r="AA103" s="466">
        <f t="shared" si="48"/>
        <v>0</v>
      </c>
      <c r="AB103" s="466">
        <f t="shared" si="48"/>
        <v>0</v>
      </c>
      <c r="AC103" s="466">
        <f t="shared" si="48"/>
        <v>0</v>
      </c>
      <c r="AD103" s="466">
        <f t="shared" si="48"/>
        <v>0</v>
      </c>
      <c r="AE103" s="467">
        <f t="shared" si="48"/>
        <v>0</v>
      </c>
      <c r="AF103" s="466">
        <f t="shared" si="48"/>
        <v>0</v>
      </c>
      <c r="AG103" s="466">
        <f t="shared" si="48"/>
        <v>0</v>
      </c>
      <c r="AH103" s="466">
        <f t="shared" si="48"/>
        <v>0</v>
      </c>
      <c r="AI103" s="466">
        <f t="shared" si="48"/>
        <v>0</v>
      </c>
      <c r="AJ103" s="466">
        <f t="shared" si="48"/>
        <v>0</v>
      </c>
      <c r="AK103" s="466">
        <f t="shared" si="48"/>
        <v>0</v>
      </c>
      <c r="AL103" s="466">
        <f t="shared" si="48"/>
        <v>0</v>
      </c>
      <c r="AM103" s="466">
        <f t="shared" si="48"/>
        <v>0</v>
      </c>
      <c r="AN103" s="466">
        <f t="shared" si="48"/>
        <v>0</v>
      </c>
      <c r="AO103" s="466">
        <f t="shared" si="48"/>
        <v>0</v>
      </c>
      <c r="AP103" s="466">
        <f t="shared" si="48"/>
        <v>0</v>
      </c>
      <c r="AQ103" s="466">
        <f t="shared" si="48"/>
        <v>0</v>
      </c>
      <c r="AR103" s="466">
        <f t="shared" si="48"/>
        <v>0</v>
      </c>
      <c r="AS103" s="466">
        <f t="shared" si="48"/>
        <v>0</v>
      </c>
      <c r="AT103" s="466">
        <f t="shared" si="48"/>
        <v>0</v>
      </c>
      <c r="AU103" s="466">
        <f t="shared" si="48"/>
        <v>0</v>
      </c>
      <c r="AV103" s="466">
        <f t="shared" si="48"/>
        <v>0</v>
      </c>
      <c r="AW103" s="466">
        <f t="shared" si="48"/>
        <v>0</v>
      </c>
      <c r="AX103" s="466">
        <f t="shared" si="48"/>
        <v>0</v>
      </c>
      <c r="AY103" s="466">
        <f t="shared" si="48"/>
        <v>0</v>
      </c>
      <c r="AZ103" s="466">
        <f t="shared" si="48"/>
        <v>0</v>
      </c>
      <c r="BA103" s="466">
        <f t="shared" si="48"/>
        <v>0</v>
      </c>
      <c r="BB103" s="466">
        <f t="shared" si="48"/>
        <v>0</v>
      </c>
      <c r="BC103" s="2791"/>
      <c r="BD103" s="420"/>
    </row>
    <row r="104" spans="2:56" ht="15" customHeight="1" outlineLevel="3">
      <c r="B104" s="456"/>
      <c r="C104" s="464" t="s">
        <v>1907</v>
      </c>
      <c r="D104" s="465" t="s">
        <v>1908</v>
      </c>
      <c r="E104" s="466">
        <v>0</v>
      </c>
      <c r="F104" s="466">
        <v>0</v>
      </c>
      <c r="G104" s="466">
        <v>0</v>
      </c>
      <c r="H104" s="466">
        <v>0</v>
      </c>
      <c r="I104" s="466">
        <v>0</v>
      </c>
      <c r="J104" s="466">
        <v>0</v>
      </c>
      <c r="K104" s="466">
        <v>0</v>
      </c>
      <c r="L104" s="466">
        <v>0</v>
      </c>
      <c r="M104" s="466">
        <v>0</v>
      </c>
      <c r="N104" s="466">
        <v>0</v>
      </c>
      <c r="O104" s="466">
        <v>0</v>
      </c>
      <c r="P104" s="466">
        <v>0</v>
      </c>
      <c r="Q104" s="466">
        <v>0</v>
      </c>
      <c r="R104" s="466">
        <v>0</v>
      </c>
      <c r="S104" s="466">
        <v>0</v>
      </c>
      <c r="T104" s="466">
        <v>0</v>
      </c>
      <c r="U104" s="466">
        <v>0</v>
      </c>
      <c r="V104" s="466">
        <v>0</v>
      </c>
      <c r="W104" s="466">
        <v>0</v>
      </c>
      <c r="X104" s="466">
        <v>0</v>
      </c>
      <c r="Y104" s="466">
        <v>0</v>
      </c>
      <c r="Z104" s="466">
        <v>0</v>
      </c>
      <c r="AA104" s="466">
        <v>0</v>
      </c>
      <c r="AB104" s="466">
        <v>0</v>
      </c>
      <c r="AC104" s="466">
        <v>0</v>
      </c>
      <c r="AD104" s="466">
        <v>0</v>
      </c>
      <c r="AE104" s="467">
        <v>0</v>
      </c>
      <c r="AF104" s="466">
        <v>0</v>
      </c>
      <c r="AG104" s="466">
        <v>0</v>
      </c>
      <c r="AH104" s="466">
        <v>0</v>
      </c>
      <c r="AI104" s="466">
        <v>0</v>
      </c>
      <c r="AJ104" s="466">
        <v>0</v>
      </c>
      <c r="AK104" s="466">
        <v>0</v>
      </c>
      <c r="AL104" s="466">
        <v>0</v>
      </c>
      <c r="AM104" s="466">
        <v>0</v>
      </c>
      <c r="AN104" s="466">
        <v>0</v>
      </c>
      <c r="AO104" s="466">
        <v>0</v>
      </c>
      <c r="AP104" s="466">
        <v>0</v>
      </c>
      <c r="AQ104" s="466">
        <v>0</v>
      </c>
      <c r="AR104" s="466">
        <v>0</v>
      </c>
      <c r="AS104" s="466">
        <v>0</v>
      </c>
      <c r="AT104" s="466">
        <v>0</v>
      </c>
      <c r="AU104" s="466">
        <v>0</v>
      </c>
      <c r="AV104" s="466">
        <v>0</v>
      </c>
      <c r="AW104" s="466">
        <v>0</v>
      </c>
      <c r="AX104" s="466">
        <v>0</v>
      </c>
      <c r="AY104" s="466">
        <v>0</v>
      </c>
      <c r="AZ104" s="466">
        <v>0</v>
      </c>
      <c r="BA104" s="466">
        <v>0</v>
      </c>
      <c r="BB104" s="466">
        <v>0</v>
      </c>
      <c r="BC104" s="2790"/>
      <c r="BD104" s="450"/>
    </row>
    <row r="105" spans="2:56" ht="15" customHeight="1" outlineLevel="3">
      <c r="B105" s="456"/>
      <c r="C105" s="457" t="s">
        <v>1579</v>
      </c>
      <c r="D105" s="458" t="s">
        <v>1909</v>
      </c>
      <c r="E105" s="459">
        <v>0</v>
      </c>
      <c r="F105" s="459">
        <v>0</v>
      </c>
      <c r="G105" s="459">
        <v>0</v>
      </c>
      <c r="H105" s="459">
        <v>0</v>
      </c>
      <c r="I105" s="459">
        <v>0</v>
      </c>
      <c r="J105" s="459">
        <v>0</v>
      </c>
      <c r="K105" s="459">
        <v>0</v>
      </c>
      <c r="L105" s="459">
        <v>0</v>
      </c>
      <c r="M105" s="459">
        <v>0</v>
      </c>
      <c r="N105" s="459">
        <v>0</v>
      </c>
      <c r="O105" s="459">
        <v>0</v>
      </c>
      <c r="P105" s="459">
        <v>0</v>
      </c>
      <c r="Q105" s="459">
        <v>0</v>
      </c>
      <c r="R105" s="459">
        <v>0</v>
      </c>
      <c r="S105" s="459">
        <v>0</v>
      </c>
      <c r="T105" s="459">
        <v>0</v>
      </c>
      <c r="U105" s="459">
        <v>0</v>
      </c>
      <c r="V105" s="459">
        <v>0</v>
      </c>
      <c r="W105" s="459">
        <v>0</v>
      </c>
      <c r="X105" s="459">
        <v>0</v>
      </c>
      <c r="Y105" s="459">
        <v>0</v>
      </c>
      <c r="Z105" s="459">
        <v>0</v>
      </c>
      <c r="AA105" s="459">
        <v>0</v>
      </c>
      <c r="AB105" s="459">
        <v>0</v>
      </c>
      <c r="AC105" s="459">
        <v>0</v>
      </c>
      <c r="AD105" s="459">
        <v>0</v>
      </c>
      <c r="AE105" s="460">
        <v>0</v>
      </c>
      <c r="AF105" s="459">
        <v>0</v>
      </c>
      <c r="AG105" s="459">
        <v>0</v>
      </c>
      <c r="AH105" s="459">
        <v>0</v>
      </c>
      <c r="AI105" s="459">
        <v>0</v>
      </c>
      <c r="AJ105" s="459">
        <v>0</v>
      </c>
      <c r="AK105" s="459">
        <v>0</v>
      </c>
      <c r="AL105" s="459">
        <v>0</v>
      </c>
      <c r="AM105" s="459">
        <v>0</v>
      </c>
      <c r="AN105" s="459">
        <v>0</v>
      </c>
      <c r="AO105" s="459">
        <v>0</v>
      </c>
      <c r="AP105" s="459">
        <v>0</v>
      </c>
      <c r="AQ105" s="459">
        <v>0</v>
      </c>
      <c r="AR105" s="459">
        <v>0</v>
      </c>
      <c r="AS105" s="459">
        <v>0</v>
      </c>
      <c r="AT105" s="459">
        <v>0</v>
      </c>
      <c r="AU105" s="459">
        <v>0</v>
      </c>
      <c r="AV105" s="459">
        <v>0</v>
      </c>
      <c r="AW105" s="459">
        <v>0</v>
      </c>
      <c r="AX105" s="459">
        <v>0</v>
      </c>
      <c r="AY105" s="459">
        <v>0</v>
      </c>
      <c r="AZ105" s="459">
        <v>0</v>
      </c>
      <c r="BA105" s="459">
        <v>0</v>
      </c>
      <c r="BB105" s="459">
        <v>0</v>
      </c>
      <c r="BC105" s="2790"/>
      <c r="BD105" s="450"/>
    </row>
    <row r="106" spans="2:56" s="415" customFormat="1" ht="15" customHeight="1" outlineLevel="3">
      <c r="B106" s="463"/>
      <c r="C106" s="464" t="s">
        <v>1910</v>
      </c>
      <c r="D106" s="465" t="s">
        <v>1911</v>
      </c>
      <c r="E106" s="466">
        <f>E103+E104+E105</f>
        <v>0</v>
      </c>
      <c r="F106" s="466">
        <f t="shared" ref="F106:BB106" si="49">F103+F104+F105</f>
        <v>0</v>
      </c>
      <c r="G106" s="466">
        <f t="shared" si="49"/>
        <v>0</v>
      </c>
      <c r="H106" s="466">
        <f t="shared" si="49"/>
        <v>0</v>
      </c>
      <c r="I106" s="466">
        <f t="shared" si="49"/>
        <v>0</v>
      </c>
      <c r="J106" s="466">
        <f t="shared" si="49"/>
        <v>0</v>
      </c>
      <c r="K106" s="466">
        <f t="shared" si="49"/>
        <v>0</v>
      </c>
      <c r="L106" s="466">
        <f t="shared" si="49"/>
        <v>0</v>
      </c>
      <c r="M106" s="466">
        <f t="shared" si="49"/>
        <v>0</v>
      </c>
      <c r="N106" s="466">
        <f t="shared" si="49"/>
        <v>0</v>
      </c>
      <c r="O106" s="466">
        <f t="shared" si="49"/>
        <v>0</v>
      </c>
      <c r="P106" s="466">
        <f t="shared" si="49"/>
        <v>0</v>
      </c>
      <c r="Q106" s="466">
        <f t="shared" si="49"/>
        <v>0</v>
      </c>
      <c r="R106" s="466">
        <f t="shared" si="49"/>
        <v>0</v>
      </c>
      <c r="S106" s="466">
        <f t="shared" si="49"/>
        <v>0</v>
      </c>
      <c r="T106" s="466">
        <f t="shared" si="49"/>
        <v>0</v>
      </c>
      <c r="U106" s="466">
        <f t="shared" si="49"/>
        <v>0</v>
      </c>
      <c r="V106" s="466">
        <f t="shared" si="49"/>
        <v>0</v>
      </c>
      <c r="W106" s="466">
        <f t="shared" si="49"/>
        <v>0</v>
      </c>
      <c r="X106" s="466">
        <f t="shared" si="49"/>
        <v>0</v>
      </c>
      <c r="Y106" s="466">
        <f t="shared" si="49"/>
        <v>0</v>
      </c>
      <c r="Z106" s="466">
        <f t="shared" si="49"/>
        <v>0</v>
      </c>
      <c r="AA106" s="466">
        <f t="shared" si="49"/>
        <v>0</v>
      </c>
      <c r="AB106" s="466">
        <f t="shared" si="49"/>
        <v>0</v>
      </c>
      <c r="AC106" s="466">
        <f t="shared" si="49"/>
        <v>0</v>
      </c>
      <c r="AD106" s="466">
        <f t="shared" si="49"/>
        <v>0</v>
      </c>
      <c r="AE106" s="467">
        <f t="shared" si="49"/>
        <v>0</v>
      </c>
      <c r="AF106" s="466">
        <f t="shared" si="49"/>
        <v>0</v>
      </c>
      <c r="AG106" s="466">
        <f t="shared" si="49"/>
        <v>0</v>
      </c>
      <c r="AH106" s="466">
        <f t="shared" si="49"/>
        <v>0</v>
      </c>
      <c r="AI106" s="466">
        <f t="shared" si="49"/>
        <v>0</v>
      </c>
      <c r="AJ106" s="466">
        <f t="shared" si="49"/>
        <v>0</v>
      </c>
      <c r="AK106" s="466">
        <f t="shared" si="49"/>
        <v>0</v>
      </c>
      <c r="AL106" s="466">
        <f t="shared" si="49"/>
        <v>0</v>
      </c>
      <c r="AM106" s="466">
        <f t="shared" si="49"/>
        <v>0</v>
      </c>
      <c r="AN106" s="466">
        <f t="shared" si="49"/>
        <v>0</v>
      </c>
      <c r="AO106" s="466">
        <f t="shared" si="49"/>
        <v>0</v>
      </c>
      <c r="AP106" s="466">
        <f t="shared" si="49"/>
        <v>0</v>
      </c>
      <c r="AQ106" s="466">
        <f t="shared" si="49"/>
        <v>0</v>
      </c>
      <c r="AR106" s="466">
        <f t="shared" si="49"/>
        <v>0</v>
      </c>
      <c r="AS106" s="466">
        <f t="shared" si="49"/>
        <v>0</v>
      </c>
      <c r="AT106" s="466">
        <f t="shared" si="49"/>
        <v>0</v>
      </c>
      <c r="AU106" s="466">
        <f t="shared" si="49"/>
        <v>0</v>
      </c>
      <c r="AV106" s="466">
        <f t="shared" si="49"/>
        <v>0</v>
      </c>
      <c r="AW106" s="466">
        <f t="shared" si="49"/>
        <v>0</v>
      </c>
      <c r="AX106" s="466">
        <f t="shared" si="49"/>
        <v>0</v>
      </c>
      <c r="AY106" s="466">
        <f t="shared" si="49"/>
        <v>0</v>
      </c>
      <c r="AZ106" s="466">
        <f t="shared" si="49"/>
        <v>0</v>
      </c>
      <c r="BA106" s="466">
        <f t="shared" si="49"/>
        <v>0</v>
      </c>
      <c r="BB106" s="466">
        <f t="shared" si="49"/>
        <v>0</v>
      </c>
      <c r="BC106" s="2791"/>
      <c r="BD106" s="420"/>
    </row>
    <row r="107" spans="2:56" ht="15" customHeight="1" outlineLevel="3">
      <c r="B107" s="456"/>
      <c r="C107" s="464" t="s">
        <v>1930</v>
      </c>
      <c r="D107" s="465" t="s">
        <v>1913</v>
      </c>
      <c r="E107" s="466">
        <v>0</v>
      </c>
      <c r="F107" s="466">
        <v>0</v>
      </c>
      <c r="G107" s="466">
        <v>0</v>
      </c>
      <c r="H107" s="466">
        <v>0</v>
      </c>
      <c r="I107" s="466">
        <v>0</v>
      </c>
      <c r="J107" s="466">
        <v>0</v>
      </c>
      <c r="K107" s="466">
        <v>0</v>
      </c>
      <c r="L107" s="466">
        <v>0</v>
      </c>
      <c r="M107" s="466">
        <v>0</v>
      </c>
      <c r="N107" s="466">
        <v>0</v>
      </c>
      <c r="O107" s="466">
        <v>0</v>
      </c>
      <c r="P107" s="466">
        <v>0</v>
      </c>
      <c r="Q107" s="466">
        <v>0</v>
      </c>
      <c r="R107" s="466">
        <v>0</v>
      </c>
      <c r="S107" s="466">
        <v>0</v>
      </c>
      <c r="T107" s="466">
        <v>0</v>
      </c>
      <c r="U107" s="466">
        <v>0</v>
      </c>
      <c r="V107" s="466">
        <v>0</v>
      </c>
      <c r="W107" s="466">
        <v>0</v>
      </c>
      <c r="X107" s="466">
        <v>0</v>
      </c>
      <c r="Y107" s="466">
        <v>0</v>
      </c>
      <c r="Z107" s="466">
        <v>0</v>
      </c>
      <c r="AA107" s="466">
        <v>0</v>
      </c>
      <c r="AB107" s="466">
        <v>0</v>
      </c>
      <c r="AC107" s="466">
        <v>0</v>
      </c>
      <c r="AD107" s="466">
        <v>0</v>
      </c>
      <c r="AE107" s="467">
        <v>0</v>
      </c>
      <c r="AF107" s="466">
        <v>0</v>
      </c>
      <c r="AG107" s="466">
        <v>0</v>
      </c>
      <c r="AH107" s="466">
        <v>0</v>
      </c>
      <c r="AI107" s="466">
        <v>0</v>
      </c>
      <c r="AJ107" s="466">
        <v>0</v>
      </c>
      <c r="AK107" s="466">
        <v>0</v>
      </c>
      <c r="AL107" s="466">
        <v>0</v>
      </c>
      <c r="AM107" s="466">
        <v>0</v>
      </c>
      <c r="AN107" s="466">
        <v>0</v>
      </c>
      <c r="AO107" s="466">
        <v>0</v>
      </c>
      <c r="AP107" s="466">
        <v>0</v>
      </c>
      <c r="AQ107" s="466">
        <v>0</v>
      </c>
      <c r="AR107" s="466">
        <v>0</v>
      </c>
      <c r="AS107" s="466">
        <v>0</v>
      </c>
      <c r="AT107" s="466">
        <v>0</v>
      </c>
      <c r="AU107" s="466">
        <v>0</v>
      </c>
      <c r="AV107" s="466">
        <v>0</v>
      </c>
      <c r="AW107" s="466">
        <v>0</v>
      </c>
      <c r="AX107" s="466">
        <v>0</v>
      </c>
      <c r="AY107" s="466">
        <v>0</v>
      </c>
      <c r="AZ107" s="466">
        <v>0</v>
      </c>
      <c r="BA107" s="466">
        <v>0</v>
      </c>
      <c r="BB107" s="466">
        <v>0</v>
      </c>
      <c r="BC107" s="2790"/>
      <c r="BD107" s="450"/>
    </row>
    <row r="108" spans="2:56" ht="15" customHeight="1" outlineLevel="3">
      <c r="B108" s="456"/>
      <c r="C108" s="457" t="s">
        <v>1914</v>
      </c>
      <c r="D108" s="458" t="s">
        <v>1915</v>
      </c>
      <c r="E108" s="459">
        <v>0</v>
      </c>
      <c r="F108" s="459">
        <v>0</v>
      </c>
      <c r="G108" s="459">
        <v>0</v>
      </c>
      <c r="H108" s="459">
        <v>0</v>
      </c>
      <c r="I108" s="459">
        <v>0</v>
      </c>
      <c r="J108" s="459">
        <v>0</v>
      </c>
      <c r="K108" s="459">
        <v>0</v>
      </c>
      <c r="L108" s="459">
        <v>0</v>
      </c>
      <c r="M108" s="459">
        <v>0</v>
      </c>
      <c r="N108" s="459">
        <v>0</v>
      </c>
      <c r="O108" s="459">
        <v>0</v>
      </c>
      <c r="P108" s="459">
        <v>0</v>
      </c>
      <c r="Q108" s="459">
        <v>0</v>
      </c>
      <c r="R108" s="459">
        <v>0</v>
      </c>
      <c r="S108" s="459">
        <v>0</v>
      </c>
      <c r="T108" s="459">
        <v>0</v>
      </c>
      <c r="U108" s="459">
        <v>0</v>
      </c>
      <c r="V108" s="459">
        <v>0</v>
      </c>
      <c r="W108" s="459">
        <v>0</v>
      </c>
      <c r="X108" s="459">
        <v>0</v>
      </c>
      <c r="Y108" s="459">
        <v>0</v>
      </c>
      <c r="Z108" s="459">
        <v>0</v>
      </c>
      <c r="AA108" s="459">
        <v>0</v>
      </c>
      <c r="AB108" s="459">
        <v>0</v>
      </c>
      <c r="AC108" s="459">
        <v>0</v>
      </c>
      <c r="AD108" s="459">
        <v>0</v>
      </c>
      <c r="AE108" s="460">
        <v>0</v>
      </c>
      <c r="AF108" s="459">
        <v>0</v>
      </c>
      <c r="AG108" s="459">
        <v>0</v>
      </c>
      <c r="AH108" s="459">
        <v>0</v>
      </c>
      <c r="AI108" s="459">
        <v>0</v>
      </c>
      <c r="AJ108" s="459">
        <v>0</v>
      </c>
      <c r="AK108" s="459">
        <v>0</v>
      </c>
      <c r="AL108" s="459">
        <v>0</v>
      </c>
      <c r="AM108" s="459">
        <v>0</v>
      </c>
      <c r="AN108" s="459">
        <v>0</v>
      </c>
      <c r="AO108" s="459">
        <v>0</v>
      </c>
      <c r="AP108" s="459">
        <v>0</v>
      </c>
      <c r="AQ108" s="459">
        <v>0</v>
      </c>
      <c r="AR108" s="459">
        <v>0</v>
      </c>
      <c r="AS108" s="459">
        <v>0</v>
      </c>
      <c r="AT108" s="459">
        <v>0</v>
      </c>
      <c r="AU108" s="459">
        <v>0</v>
      </c>
      <c r="AV108" s="459">
        <v>0</v>
      </c>
      <c r="AW108" s="459">
        <v>0</v>
      </c>
      <c r="AX108" s="459">
        <v>0</v>
      </c>
      <c r="AY108" s="459">
        <v>0</v>
      </c>
      <c r="AZ108" s="459">
        <v>0</v>
      </c>
      <c r="BA108" s="459">
        <v>0</v>
      </c>
      <c r="BB108" s="459">
        <v>0</v>
      </c>
      <c r="BC108" s="2790"/>
      <c r="BD108" s="450"/>
    </row>
    <row r="109" spans="2:56" s="415" customFormat="1" ht="15" customHeight="1" outlineLevel="3">
      <c r="B109" s="463"/>
      <c r="C109" s="464" t="s">
        <v>1916</v>
      </c>
      <c r="D109" s="465" t="s">
        <v>1917</v>
      </c>
      <c r="E109" s="466">
        <f>E106+E107+E108</f>
        <v>0</v>
      </c>
      <c r="F109" s="466">
        <f t="shared" ref="F109:BB109" si="50">F106+F107+F108</f>
        <v>0</v>
      </c>
      <c r="G109" s="466">
        <f t="shared" si="50"/>
        <v>0</v>
      </c>
      <c r="H109" s="466">
        <f t="shared" si="50"/>
        <v>0</v>
      </c>
      <c r="I109" s="466">
        <f t="shared" si="50"/>
        <v>0</v>
      </c>
      <c r="J109" s="466">
        <f t="shared" si="50"/>
        <v>0</v>
      </c>
      <c r="K109" s="466">
        <f t="shared" si="50"/>
        <v>0</v>
      </c>
      <c r="L109" s="466">
        <f t="shared" si="50"/>
        <v>0</v>
      </c>
      <c r="M109" s="466">
        <f t="shared" si="50"/>
        <v>0</v>
      </c>
      <c r="N109" s="466">
        <f t="shared" si="50"/>
        <v>0</v>
      </c>
      <c r="O109" s="466">
        <f t="shared" si="50"/>
        <v>0</v>
      </c>
      <c r="P109" s="466">
        <f t="shared" si="50"/>
        <v>0</v>
      </c>
      <c r="Q109" s="466">
        <f t="shared" si="50"/>
        <v>0</v>
      </c>
      <c r="R109" s="466">
        <f t="shared" si="50"/>
        <v>0</v>
      </c>
      <c r="S109" s="466">
        <f t="shared" si="50"/>
        <v>0</v>
      </c>
      <c r="T109" s="466">
        <f t="shared" si="50"/>
        <v>0</v>
      </c>
      <c r="U109" s="466">
        <f t="shared" si="50"/>
        <v>0</v>
      </c>
      <c r="V109" s="466">
        <f t="shared" si="50"/>
        <v>0</v>
      </c>
      <c r="W109" s="466">
        <f t="shared" si="50"/>
        <v>0</v>
      </c>
      <c r="X109" s="466">
        <f t="shared" si="50"/>
        <v>0</v>
      </c>
      <c r="Y109" s="466">
        <f t="shared" si="50"/>
        <v>0</v>
      </c>
      <c r="Z109" s="466">
        <f t="shared" si="50"/>
        <v>0</v>
      </c>
      <c r="AA109" s="466">
        <f t="shared" si="50"/>
        <v>0</v>
      </c>
      <c r="AB109" s="466">
        <f t="shared" si="50"/>
        <v>0</v>
      </c>
      <c r="AC109" s="466">
        <f t="shared" si="50"/>
        <v>0</v>
      </c>
      <c r="AD109" s="466">
        <f t="shared" si="50"/>
        <v>0</v>
      </c>
      <c r="AE109" s="467">
        <f t="shared" si="50"/>
        <v>0</v>
      </c>
      <c r="AF109" s="466">
        <f t="shared" si="50"/>
        <v>0</v>
      </c>
      <c r="AG109" s="466">
        <f t="shared" si="50"/>
        <v>0</v>
      </c>
      <c r="AH109" s="466">
        <f t="shared" si="50"/>
        <v>0</v>
      </c>
      <c r="AI109" s="466">
        <f t="shared" si="50"/>
        <v>0</v>
      </c>
      <c r="AJ109" s="466">
        <f t="shared" si="50"/>
        <v>0</v>
      </c>
      <c r="AK109" s="466">
        <f t="shared" si="50"/>
        <v>0</v>
      </c>
      <c r="AL109" s="466">
        <f t="shared" si="50"/>
        <v>0</v>
      </c>
      <c r="AM109" s="466">
        <f t="shared" si="50"/>
        <v>0</v>
      </c>
      <c r="AN109" s="466">
        <f t="shared" si="50"/>
        <v>0</v>
      </c>
      <c r="AO109" s="466">
        <f t="shared" si="50"/>
        <v>0</v>
      </c>
      <c r="AP109" s="466">
        <f t="shared" si="50"/>
        <v>0</v>
      </c>
      <c r="AQ109" s="466">
        <f t="shared" si="50"/>
        <v>0</v>
      </c>
      <c r="AR109" s="466">
        <f t="shared" si="50"/>
        <v>0</v>
      </c>
      <c r="AS109" s="466">
        <f t="shared" si="50"/>
        <v>0</v>
      </c>
      <c r="AT109" s="466">
        <f t="shared" si="50"/>
        <v>0</v>
      </c>
      <c r="AU109" s="466">
        <f t="shared" si="50"/>
        <v>0</v>
      </c>
      <c r="AV109" s="466">
        <f t="shared" si="50"/>
        <v>0</v>
      </c>
      <c r="AW109" s="466">
        <f t="shared" si="50"/>
        <v>0</v>
      </c>
      <c r="AX109" s="466">
        <f t="shared" si="50"/>
        <v>0</v>
      </c>
      <c r="AY109" s="466">
        <f t="shared" si="50"/>
        <v>0</v>
      </c>
      <c r="AZ109" s="466">
        <f t="shared" si="50"/>
        <v>0</v>
      </c>
      <c r="BA109" s="466">
        <f t="shared" si="50"/>
        <v>0</v>
      </c>
      <c r="BB109" s="466">
        <f t="shared" si="50"/>
        <v>0</v>
      </c>
      <c r="BC109" s="2791"/>
      <c r="BD109" s="420"/>
    </row>
    <row r="110" spans="2:56" ht="15" customHeight="1" outlineLevel="3">
      <c r="B110" s="456"/>
      <c r="C110" s="457" t="s">
        <v>1918</v>
      </c>
      <c r="D110" s="458" t="s">
        <v>1919</v>
      </c>
      <c r="E110" s="459">
        <v>0</v>
      </c>
      <c r="F110" s="459">
        <v>0</v>
      </c>
      <c r="G110" s="459">
        <v>0</v>
      </c>
      <c r="H110" s="459">
        <v>0</v>
      </c>
      <c r="I110" s="459">
        <v>0</v>
      </c>
      <c r="J110" s="459">
        <v>0</v>
      </c>
      <c r="K110" s="459">
        <v>0</v>
      </c>
      <c r="L110" s="459">
        <v>0</v>
      </c>
      <c r="M110" s="459">
        <v>0</v>
      </c>
      <c r="N110" s="459">
        <v>0</v>
      </c>
      <c r="O110" s="459">
        <v>0</v>
      </c>
      <c r="P110" s="459">
        <v>0</v>
      </c>
      <c r="Q110" s="459">
        <v>0</v>
      </c>
      <c r="R110" s="459">
        <v>0</v>
      </c>
      <c r="S110" s="459">
        <v>0</v>
      </c>
      <c r="T110" s="459">
        <v>0</v>
      </c>
      <c r="U110" s="459">
        <v>0</v>
      </c>
      <c r="V110" s="459">
        <v>0</v>
      </c>
      <c r="W110" s="459">
        <v>0</v>
      </c>
      <c r="X110" s="459">
        <v>0</v>
      </c>
      <c r="Y110" s="459">
        <v>0</v>
      </c>
      <c r="Z110" s="459">
        <v>0</v>
      </c>
      <c r="AA110" s="459">
        <v>0</v>
      </c>
      <c r="AB110" s="459">
        <v>0</v>
      </c>
      <c r="AC110" s="459">
        <v>0</v>
      </c>
      <c r="AD110" s="459">
        <v>0</v>
      </c>
      <c r="AE110" s="460">
        <v>0</v>
      </c>
      <c r="AF110" s="459">
        <v>0</v>
      </c>
      <c r="AG110" s="459">
        <v>0</v>
      </c>
      <c r="AH110" s="459">
        <v>0</v>
      </c>
      <c r="AI110" s="459">
        <v>0</v>
      </c>
      <c r="AJ110" s="459">
        <v>0</v>
      </c>
      <c r="AK110" s="459">
        <v>0</v>
      </c>
      <c r="AL110" s="459">
        <v>0</v>
      </c>
      <c r="AM110" s="459">
        <v>0</v>
      </c>
      <c r="AN110" s="459">
        <v>0</v>
      </c>
      <c r="AO110" s="459">
        <v>0</v>
      </c>
      <c r="AP110" s="459">
        <v>0</v>
      </c>
      <c r="AQ110" s="459">
        <v>0</v>
      </c>
      <c r="AR110" s="459">
        <v>0</v>
      </c>
      <c r="AS110" s="459">
        <v>0</v>
      </c>
      <c r="AT110" s="459">
        <v>0</v>
      </c>
      <c r="AU110" s="459">
        <v>0</v>
      </c>
      <c r="AV110" s="459">
        <v>0</v>
      </c>
      <c r="AW110" s="459">
        <v>0</v>
      </c>
      <c r="AX110" s="459">
        <v>0</v>
      </c>
      <c r="AY110" s="459">
        <v>0</v>
      </c>
      <c r="AZ110" s="459">
        <v>0</v>
      </c>
      <c r="BA110" s="459">
        <v>0</v>
      </c>
      <c r="BB110" s="459">
        <v>0</v>
      </c>
      <c r="BC110" s="2790"/>
      <c r="BD110" s="450"/>
    </row>
    <row r="111" spans="2:56" ht="15" customHeight="1" outlineLevel="3">
      <c r="B111" s="456"/>
      <c r="C111" s="457" t="s">
        <v>1920</v>
      </c>
      <c r="D111" s="458" t="s">
        <v>1921</v>
      </c>
      <c r="E111" s="459">
        <v>0</v>
      </c>
      <c r="F111" s="459">
        <v>0</v>
      </c>
      <c r="G111" s="459">
        <v>0</v>
      </c>
      <c r="H111" s="459">
        <v>0</v>
      </c>
      <c r="I111" s="459">
        <v>0</v>
      </c>
      <c r="J111" s="459">
        <v>0</v>
      </c>
      <c r="K111" s="459">
        <v>0</v>
      </c>
      <c r="L111" s="459">
        <v>0</v>
      </c>
      <c r="M111" s="459">
        <v>0</v>
      </c>
      <c r="N111" s="459">
        <v>0</v>
      </c>
      <c r="O111" s="459">
        <v>0</v>
      </c>
      <c r="P111" s="459">
        <v>0</v>
      </c>
      <c r="Q111" s="459">
        <v>0</v>
      </c>
      <c r="R111" s="459">
        <v>0</v>
      </c>
      <c r="S111" s="459">
        <v>0</v>
      </c>
      <c r="T111" s="459">
        <v>0</v>
      </c>
      <c r="U111" s="459">
        <v>0</v>
      </c>
      <c r="V111" s="459">
        <v>0</v>
      </c>
      <c r="W111" s="459">
        <v>0</v>
      </c>
      <c r="X111" s="459">
        <v>0</v>
      </c>
      <c r="Y111" s="459">
        <v>0</v>
      </c>
      <c r="Z111" s="459">
        <v>0</v>
      </c>
      <c r="AA111" s="459">
        <v>0</v>
      </c>
      <c r="AB111" s="459">
        <v>0</v>
      </c>
      <c r="AC111" s="459">
        <v>0</v>
      </c>
      <c r="AD111" s="459">
        <v>0</v>
      </c>
      <c r="AE111" s="460">
        <v>0</v>
      </c>
      <c r="AF111" s="459">
        <v>0</v>
      </c>
      <c r="AG111" s="459">
        <v>0</v>
      </c>
      <c r="AH111" s="459">
        <v>0</v>
      </c>
      <c r="AI111" s="459">
        <v>0</v>
      </c>
      <c r="AJ111" s="459">
        <v>0</v>
      </c>
      <c r="AK111" s="459">
        <v>0</v>
      </c>
      <c r="AL111" s="459">
        <v>0</v>
      </c>
      <c r="AM111" s="459">
        <v>0</v>
      </c>
      <c r="AN111" s="459">
        <v>0</v>
      </c>
      <c r="AO111" s="459">
        <v>0</v>
      </c>
      <c r="AP111" s="459">
        <v>0</v>
      </c>
      <c r="AQ111" s="459">
        <v>0</v>
      </c>
      <c r="AR111" s="459">
        <v>0</v>
      </c>
      <c r="AS111" s="459">
        <v>0</v>
      </c>
      <c r="AT111" s="459">
        <v>0</v>
      </c>
      <c r="AU111" s="459">
        <v>0</v>
      </c>
      <c r="AV111" s="459">
        <v>0</v>
      </c>
      <c r="AW111" s="459">
        <v>0</v>
      </c>
      <c r="AX111" s="459">
        <v>0</v>
      </c>
      <c r="AY111" s="459">
        <v>0</v>
      </c>
      <c r="AZ111" s="459">
        <v>0</v>
      </c>
      <c r="BA111" s="459">
        <v>0</v>
      </c>
      <c r="BB111" s="459">
        <v>0</v>
      </c>
      <c r="BC111" s="2790"/>
      <c r="BD111" s="450"/>
    </row>
    <row r="112" spans="2:56" ht="15" customHeight="1" outlineLevel="3">
      <c r="B112" s="456"/>
      <c r="C112" s="457" t="s">
        <v>1922</v>
      </c>
      <c r="D112" s="458" t="s">
        <v>1923</v>
      </c>
      <c r="E112" s="459">
        <v>0</v>
      </c>
      <c r="F112" s="459">
        <v>0</v>
      </c>
      <c r="G112" s="459">
        <v>0</v>
      </c>
      <c r="H112" s="459">
        <v>0</v>
      </c>
      <c r="I112" s="459">
        <v>0</v>
      </c>
      <c r="J112" s="459">
        <v>0</v>
      </c>
      <c r="K112" s="459">
        <v>0</v>
      </c>
      <c r="L112" s="459">
        <v>0</v>
      </c>
      <c r="M112" s="459">
        <v>0</v>
      </c>
      <c r="N112" s="459">
        <v>0</v>
      </c>
      <c r="O112" s="459">
        <v>0</v>
      </c>
      <c r="P112" s="459">
        <v>0</v>
      </c>
      <c r="Q112" s="459">
        <v>0</v>
      </c>
      <c r="R112" s="459">
        <v>0</v>
      </c>
      <c r="S112" s="459">
        <v>0</v>
      </c>
      <c r="T112" s="459">
        <v>0</v>
      </c>
      <c r="U112" s="459">
        <v>0</v>
      </c>
      <c r="V112" s="459">
        <v>0</v>
      </c>
      <c r="W112" s="459">
        <v>0</v>
      </c>
      <c r="X112" s="459">
        <v>0</v>
      </c>
      <c r="Y112" s="459">
        <v>0</v>
      </c>
      <c r="Z112" s="459">
        <v>0</v>
      </c>
      <c r="AA112" s="459">
        <v>0</v>
      </c>
      <c r="AB112" s="459">
        <v>0</v>
      </c>
      <c r="AC112" s="459">
        <v>0</v>
      </c>
      <c r="AD112" s="459">
        <v>0</v>
      </c>
      <c r="AE112" s="460">
        <v>0</v>
      </c>
      <c r="AF112" s="459">
        <v>0</v>
      </c>
      <c r="AG112" s="459">
        <v>0</v>
      </c>
      <c r="AH112" s="459">
        <v>0</v>
      </c>
      <c r="AI112" s="459">
        <v>0</v>
      </c>
      <c r="AJ112" s="459">
        <v>0</v>
      </c>
      <c r="AK112" s="459">
        <v>0</v>
      </c>
      <c r="AL112" s="459">
        <v>0</v>
      </c>
      <c r="AM112" s="459">
        <v>0</v>
      </c>
      <c r="AN112" s="459">
        <v>0</v>
      </c>
      <c r="AO112" s="459">
        <v>0</v>
      </c>
      <c r="AP112" s="459">
        <v>0</v>
      </c>
      <c r="AQ112" s="459">
        <v>0</v>
      </c>
      <c r="AR112" s="459">
        <v>0</v>
      </c>
      <c r="AS112" s="459">
        <v>0</v>
      </c>
      <c r="AT112" s="459">
        <v>0</v>
      </c>
      <c r="AU112" s="459">
        <v>0</v>
      </c>
      <c r="AV112" s="459">
        <v>0</v>
      </c>
      <c r="AW112" s="459">
        <v>0</v>
      </c>
      <c r="AX112" s="459">
        <v>0</v>
      </c>
      <c r="AY112" s="459">
        <v>0</v>
      </c>
      <c r="AZ112" s="459">
        <v>0</v>
      </c>
      <c r="BA112" s="459">
        <v>0</v>
      </c>
      <c r="BB112" s="459">
        <v>0</v>
      </c>
      <c r="BC112" s="2790"/>
      <c r="BD112" s="450"/>
    </row>
    <row r="113" spans="2:57" s="415" customFormat="1" ht="15" customHeight="1" outlineLevel="2">
      <c r="B113" s="463"/>
      <c r="C113" s="464" t="s">
        <v>1924</v>
      </c>
      <c r="D113" s="465" t="s">
        <v>1925</v>
      </c>
      <c r="E113" s="466">
        <f t="shared" ref="E113:BB113" si="51">E109+E110+E111+E112</f>
        <v>0</v>
      </c>
      <c r="F113" s="466">
        <f t="shared" si="51"/>
        <v>0</v>
      </c>
      <c r="G113" s="466">
        <f t="shared" si="51"/>
        <v>0</v>
      </c>
      <c r="H113" s="466">
        <f t="shared" si="51"/>
        <v>0</v>
      </c>
      <c r="I113" s="466">
        <f t="shared" si="51"/>
        <v>0</v>
      </c>
      <c r="J113" s="466">
        <f t="shared" si="51"/>
        <v>0</v>
      </c>
      <c r="K113" s="466">
        <f t="shared" si="51"/>
        <v>0</v>
      </c>
      <c r="L113" s="466">
        <f t="shared" si="51"/>
        <v>0</v>
      </c>
      <c r="M113" s="466">
        <f t="shared" si="51"/>
        <v>0</v>
      </c>
      <c r="N113" s="466">
        <f t="shared" si="51"/>
        <v>0</v>
      </c>
      <c r="O113" s="466">
        <f t="shared" si="51"/>
        <v>0</v>
      </c>
      <c r="P113" s="466">
        <f t="shared" si="51"/>
        <v>0</v>
      </c>
      <c r="Q113" s="466">
        <f t="shared" si="51"/>
        <v>0</v>
      </c>
      <c r="R113" s="466">
        <f t="shared" si="51"/>
        <v>0</v>
      </c>
      <c r="S113" s="466">
        <f t="shared" si="51"/>
        <v>0</v>
      </c>
      <c r="T113" s="466">
        <f t="shared" si="51"/>
        <v>0</v>
      </c>
      <c r="U113" s="466">
        <f t="shared" si="51"/>
        <v>0</v>
      </c>
      <c r="V113" s="466">
        <f t="shared" si="51"/>
        <v>0</v>
      </c>
      <c r="W113" s="466">
        <f t="shared" si="51"/>
        <v>0</v>
      </c>
      <c r="X113" s="466">
        <f t="shared" si="51"/>
        <v>0</v>
      </c>
      <c r="Y113" s="466">
        <f t="shared" si="51"/>
        <v>0</v>
      </c>
      <c r="Z113" s="466">
        <f t="shared" si="51"/>
        <v>0</v>
      </c>
      <c r="AA113" s="466">
        <f t="shared" si="51"/>
        <v>0</v>
      </c>
      <c r="AB113" s="466">
        <f t="shared" si="51"/>
        <v>0</v>
      </c>
      <c r="AC113" s="466">
        <f t="shared" si="51"/>
        <v>0</v>
      </c>
      <c r="AD113" s="466">
        <f t="shared" si="51"/>
        <v>0</v>
      </c>
      <c r="AE113" s="467">
        <f t="shared" si="51"/>
        <v>0</v>
      </c>
      <c r="AF113" s="466">
        <f t="shared" si="51"/>
        <v>0</v>
      </c>
      <c r="AG113" s="466">
        <f t="shared" si="51"/>
        <v>0</v>
      </c>
      <c r="AH113" s="466">
        <f t="shared" si="51"/>
        <v>0</v>
      </c>
      <c r="AI113" s="466">
        <f t="shared" si="51"/>
        <v>0</v>
      </c>
      <c r="AJ113" s="466">
        <f t="shared" si="51"/>
        <v>0</v>
      </c>
      <c r="AK113" s="466">
        <f t="shared" si="51"/>
        <v>0</v>
      </c>
      <c r="AL113" s="466">
        <f t="shared" si="51"/>
        <v>0</v>
      </c>
      <c r="AM113" s="466">
        <f t="shared" si="51"/>
        <v>0</v>
      </c>
      <c r="AN113" s="466">
        <f t="shared" si="51"/>
        <v>0</v>
      </c>
      <c r="AO113" s="466">
        <f t="shared" si="51"/>
        <v>0</v>
      </c>
      <c r="AP113" s="466">
        <f t="shared" si="51"/>
        <v>0</v>
      </c>
      <c r="AQ113" s="466">
        <f t="shared" si="51"/>
        <v>0</v>
      </c>
      <c r="AR113" s="466">
        <f t="shared" si="51"/>
        <v>0</v>
      </c>
      <c r="AS113" s="466">
        <f t="shared" si="51"/>
        <v>0</v>
      </c>
      <c r="AT113" s="466">
        <f t="shared" si="51"/>
        <v>0</v>
      </c>
      <c r="AU113" s="466">
        <f t="shared" si="51"/>
        <v>0</v>
      </c>
      <c r="AV113" s="466">
        <f t="shared" si="51"/>
        <v>0</v>
      </c>
      <c r="AW113" s="466">
        <f t="shared" si="51"/>
        <v>0</v>
      </c>
      <c r="AX113" s="466">
        <f t="shared" si="51"/>
        <v>0</v>
      </c>
      <c r="AY113" s="466">
        <f t="shared" si="51"/>
        <v>0</v>
      </c>
      <c r="AZ113" s="466">
        <f t="shared" si="51"/>
        <v>0</v>
      </c>
      <c r="BA113" s="466">
        <f t="shared" si="51"/>
        <v>0</v>
      </c>
      <c r="BB113" s="466">
        <f t="shared" si="51"/>
        <v>0</v>
      </c>
      <c r="BC113" s="2791"/>
      <c r="BD113" s="420"/>
    </row>
    <row r="114" spans="2:57" s="415" customFormat="1" ht="15" customHeight="1" outlineLevel="2">
      <c r="B114" s="463"/>
      <c r="C114" s="464" t="s">
        <v>1926</v>
      </c>
      <c r="D114" s="465" t="s">
        <v>1927</v>
      </c>
      <c r="E114" s="466">
        <f>E113</f>
        <v>0</v>
      </c>
      <c r="F114" s="466">
        <f t="shared" ref="F114:AZ114" si="52">F113-E113</f>
        <v>0</v>
      </c>
      <c r="G114" s="466">
        <f t="shared" si="52"/>
        <v>0</v>
      </c>
      <c r="H114" s="466">
        <f t="shared" si="52"/>
        <v>0</v>
      </c>
      <c r="I114" s="466">
        <f t="shared" si="52"/>
        <v>0</v>
      </c>
      <c r="J114" s="466">
        <f t="shared" si="52"/>
        <v>0</v>
      </c>
      <c r="K114" s="466">
        <f t="shared" si="52"/>
        <v>0</v>
      </c>
      <c r="L114" s="466">
        <f t="shared" si="52"/>
        <v>0</v>
      </c>
      <c r="M114" s="466">
        <f t="shared" si="52"/>
        <v>0</v>
      </c>
      <c r="N114" s="466">
        <f t="shared" si="52"/>
        <v>0</v>
      </c>
      <c r="O114" s="466">
        <f t="shared" si="52"/>
        <v>0</v>
      </c>
      <c r="P114" s="466">
        <f t="shared" si="52"/>
        <v>0</v>
      </c>
      <c r="Q114" s="466">
        <f t="shared" si="52"/>
        <v>0</v>
      </c>
      <c r="R114" s="466">
        <f t="shared" si="52"/>
        <v>0</v>
      </c>
      <c r="S114" s="466">
        <f t="shared" si="52"/>
        <v>0</v>
      </c>
      <c r="T114" s="466">
        <f t="shared" si="52"/>
        <v>0</v>
      </c>
      <c r="U114" s="466">
        <f t="shared" si="52"/>
        <v>0</v>
      </c>
      <c r="V114" s="466">
        <f t="shared" si="52"/>
        <v>0</v>
      </c>
      <c r="W114" s="466">
        <f t="shared" si="52"/>
        <v>0</v>
      </c>
      <c r="X114" s="466">
        <f t="shared" si="52"/>
        <v>0</v>
      </c>
      <c r="Y114" s="466">
        <f t="shared" si="52"/>
        <v>0</v>
      </c>
      <c r="Z114" s="466">
        <f t="shared" si="52"/>
        <v>0</v>
      </c>
      <c r="AA114" s="466">
        <f t="shared" si="52"/>
        <v>0</v>
      </c>
      <c r="AB114" s="466">
        <f t="shared" si="52"/>
        <v>0</v>
      </c>
      <c r="AC114" s="466">
        <f t="shared" si="52"/>
        <v>0</v>
      </c>
      <c r="AD114" s="466">
        <f t="shared" si="52"/>
        <v>0</v>
      </c>
      <c r="AE114" s="467">
        <f t="shared" si="52"/>
        <v>0</v>
      </c>
      <c r="AF114" s="466">
        <f t="shared" si="52"/>
        <v>0</v>
      </c>
      <c r="AG114" s="466">
        <f t="shared" si="52"/>
        <v>0</v>
      </c>
      <c r="AH114" s="466">
        <f t="shared" si="52"/>
        <v>0</v>
      </c>
      <c r="AI114" s="466">
        <f t="shared" si="52"/>
        <v>0</v>
      </c>
      <c r="AJ114" s="466">
        <f t="shared" si="52"/>
        <v>0</v>
      </c>
      <c r="AK114" s="466">
        <f t="shared" si="52"/>
        <v>0</v>
      </c>
      <c r="AL114" s="466">
        <f t="shared" si="52"/>
        <v>0</v>
      </c>
      <c r="AM114" s="466">
        <f t="shared" si="52"/>
        <v>0</v>
      </c>
      <c r="AN114" s="466">
        <f t="shared" si="52"/>
        <v>0</v>
      </c>
      <c r="AO114" s="466">
        <f t="shared" si="52"/>
        <v>0</v>
      </c>
      <c r="AP114" s="466">
        <f t="shared" si="52"/>
        <v>0</v>
      </c>
      <c r="AQ114" s="466">
        <f t="shared" si="52"/>
        <v>0</v>
      </c>
      <c r="AR114" s="466">
        <f t="shared" si="52"/>
        <v>0</v>
      </c>
      <c r="AS114" s="466">
        <f t="shared" si="52"/>
        <v>0</v>
      </c>
      <c r="AT114" s="466">
        <f t="shared" si="52"/>
        <v>0</v>
      </c>
      <c r="AU114" s="466">
        <f t="shared" si="52"/>
        <v>0</v>
      </c>
      <c r="AV114" s="466">
        <f t="shared" si="52"/>
        <v>0</v>
      </c>
      <c r="AW114" s="466">
        <f t="shared" si="52"/>
        <v>0</v>
      </c>
      <c r="AX114" s="466">
        <f t="shared" si="52"/>
        <v>0</v>
      </c>
      <c r="AY114" s="466">
        <f t="shared" si="52"/>
        <v>0</v>
      </c>
      <c r="AZ114" s="466">
        <f t="shared" si="52"/>
        <v>0</v>
      </c>
      <c r="BA114" s="466">
        <f>BA113-AP113</f>
        <v>0</v>
      </c>
      <c r="BB114" s="466">
        <f>BB113-BA113</f>
        <v>0</v>
      </c>
      <c r="BC114" s="2791"/>
      <c r="BD114" s="420"/>
    </row>
    <row r="115" spans="2:57" ht="15" customHeight="1" outlineLevel="2">
      <c r="B115" s="456"/>
      <c r="C115" s="478"/>
      <c r="D115" s="458"/>
      <c r="E115" s="459"/>
      <c r="F115" s="459"/>
      <c r="G115" s="459"/>
      <c r="H115" s="459"/>
      <c r="I115" s="459"/>
      <c r="J115" s="459"/>
      <c r="K115" s="459"/>
      <c r="L115" s="459"/>
      <c r="M115" s="459"/>
      <c r="N115" s="459"/>
      <c r="O115" s="459"/>
      <c r="P115" s="459"/>
      <c r="Q115" s="459"/>
      <c r="R115" s="459"/>
      <c r="S115" s="459"/>
      <c r="T115" s="459"/>
      <c r="U115" s="459"/>
      <c r="V115" s="459"/>
      <c r="W115" s="459"/>
      <c r="X115" s="459"/>
      <c r="Y115" s="459"/>
      <c r="Z115" s="459"/>
      <c r="AA115" s="459"/>
      <c r="AB115" s="459"/>
      <c r="AC115" s="459"/>
      <c r="AD115" s="459"/>
      <c r="AE115" s="460"/>
      <c r="AF115" s="459"/>
      <c r="AG115" s="459"/>
      <c r="AH115" s="459"/>
      <c r="AI115" s="459"/>
      <c r="AJ115" s="459"/>
      <c r="AK115" s="459"/>
      <c r="AL115" s="459"/>
      <c r="AM115" s="459"/>
      <c r="AN115" s="459"/>
      <c r="AO115" s="459"/>
      <c r="AP115" s="459"/>
      <c r="AQ115" s="459"/>
      <c r="AR115" s="459"/>
      <c r="AS115" s="459"/>
      <c r="AT115" s="459"/>
      <c r="AU115" s="459"/>
      <c r="AV115" s="459"/>
      <c r="AW115" s="459"/>
      <c r="AX115" s="459"/>
      <c r="AY115" s="459"/>
      <c r="AZ115" s="459"/>
      <c r="BA115" s="459"/>
      <c r="BB115" s="459"/>
      <c r="BC115" s="2790"/>
      <c r="BD115" s="450"/>
    </row>
    <row r="116" spans="2:57" ht="16.5" customHeight="1" outlineLevel="2">
      <c r="B116" s="456"/>
      <c r="C116" s="478"/>
      <c r="D116" s="458"/>
      <c r="E116" s="466"/>
      <c r="F116" s="466"/>
      <c r="G116" s="466"/>
      <c r="H116" s="466"/>
      <c r="I116" s="466"/>
      <c r="J116" s="466"/>
      <c r="K116" s="466"/>
      <c r="L116" s="466"/>
      <c r="M116" s="466"/>
      <c r="N116" s="459"/>
      <c r="O116" s="459"/>
      <c r="P116" s="459"/>
      <c r="Q116" s="459"/>
      <c r="R116" s="459"/>
      <c r="S116" s="459"/>
      <c r="T116" s="459"/>
      <c r="U116" s="459"/>
      <c r="V116" s="459"/>
      <c r="W116" s="459"/>
      <c r="X116" s="459"/>
      <c r="Y116" s="459"/>
      <c r="Z116" s="459"/>
      <c r="AA116" s="459"/>
      <c r="AB116" s="459"/>
      <c r="AC116" s="459"/>
      <c r="AD116" s="459"/>
      <c r="AE116" s="460"/>
      <c r="AF116" s="459"/>
      <c r="AG116" s="459"/>
      <c r="AH116" s="459"/>
      <c r="AI116" s="459"/>
      <c r="AJ116" s="459"/>
      <c r="AK116" s="459"/>
      <c r="AL116" s="459"/>
      <c r="AM116" s="459"/>
      <c r="AN116" s="459"/>
      <c r="AO116" s="459"/>
      <c r="AP116" s="459"/>
      <c r="AQ116" s="459"/>
      <c r="AR116" s="459"/>
      <c r="AS116" s="459"/>
      <c r="AT116" s="459"/>
      <c r="AU116" s="459"/>
      <c r="AV116" s="459"/>
      <c r="AW116" s="459"/>
      <c r="AX116" s="459"/>
      <c r="AY116" s="459"/>
      <c r="AZ116" s="459"/>
      <c r="BA116" s="459"/>
      <c r="BB116" s="459"/>
      <c r="BC116" s="2790"/>
      <c r="BD116" s="450"/>
    </row>
    <row r="117" spans="2:57" outlineLevel="1">
      <c r="B117" s="759" t="str">
        <f>'Schedule B'!A31</f>
        <v>MS</v>
      </c>
      <c r="C117" s="452" t="str">
        <f>'Schedule B'!C31</f>
        <v>MANAGEMENT SUPERVISION</v>
      </c>
      <c r="D117" s="453" t="s">
        <v>1896</v>
      </c>
      <c r="E117" s="454">
        <f>E134</f>
        <v>0</v>
      </c>
      <c r="F117" s="454">
        <f>F134</f>
        <v>0</v>
      </c>
      <c r="G117" s="454">
        <f t="shared" ref="G117:BB117" si="53">G134</f>
        <v>0</v>
      </c>
      <c r="H117" s="454">
        <f t="shared" si="53"/>
        <v>0</v>
      </c>
      <c r="I117" s="454">
        <f t="shared" si="53"/>
        <v>0</v>
      </c>
      <c r="J117" s="454">
        <f t="shared" si="53"/>
        <v>0</v>
      </c>
      <c r="K117" s="454">
        <f t="shared" si="53"/>
        <v>0</v>
      </c>
      <c r="L117" s="454">
        <f t="shared" si="53"/>
        <v>0</v>
      </c>
      <c r="M117" s="454">
        <f t="shared" si="53"/>
        <v>0</v>
      </c>
      <c r="N117" s="454">
        <f t="shared" si="53"/>
        <v>0</v>
      </c>
      <c r="O117" s="454">
        <f t="shared" si="53"/>
        <v>0</v>
      </c>
      <c r="P117" s="454">
        <f t="shared" si="53"/>
        <v>0</v>
      </c>
      <c r="Q117" s="454">
        <f t="shared" si="53"/>
        <v>0</v>
      </c>
      <c r="R117" s="454">
        <f t="shared" si="53"/>
        <v>0</v>
      </c>
      <c r="S117" s="454">
        <f t="shared" si="53"/>
        <v>0</v>
      </c>
      <c r="T117" s="454">
        <f t="shared" si="53"/>
        <v>0</v>
      </c>
      <c r="U117" s="454">
        <f t="shared" si="53"/>
        <v>0</v>
      </c>
      <c r="V117" s="454">
        <f t="shared" si="53"/>
        <v>0</v>
      </c>
      <c r="W117" s="454">
        <f t="shared" si="53"/>
        <v>0</v>
      </c>
      <c r="X117" s="454">
        <f t="shared" si="53"/>
        <v>0</v>
      </c>
      <c r="Y117" s="454">
        <f t="shared" si="53"/>
        <v>0</v>
      </c>
      <c r="Z117" s="454">
        <f t="shared" si="53"/>
        <v>0</v>
      </c>
      <c r="AA117" s="454">
        <f t="shared" si="53"/>
        <v>0</v>
      </c>
      <c r="AB117" s="454">
        <f t="shared" si="53"/>
        <v>0</v>
      </c>
      <c r="AC117" s="454">
        <f t="shared" si="53"/>
        <v>0</v>
      </c>
      <c r="AD117" s="454">
        <f t="shared" si="53"/>
        <v>0</v>
      </c>
      <c r="AE117" s="454">
        <f t="shared" si="53"/>
        <v>0</v>
      </c>
      <c r="AF117" s="454">
        <f t="shared" si="53"/>
        <v>0</v>
      </c>
      <c r="AG117" s="454">
        <f t="shared" si="53"/>
        <v>0</v>
      </c>
      <c r="AH117" s="454">
        <f t="shared" si="53"/>
        <v>0</v>
      </c>
      <c r="AI117" s="454">
        <f t="shared" si="53"/>
        <v>0</v>
      </c>
      <c r="AJ117" s="454">
        <f t="shared" si="53"/>
        <v>0</v>
      </c>
      <c r="AK117" s="454">
        <f t="shared" si="53"/>
        <v>0</v>
      </c>
      <c r="AL117" s="454">
        <f t="shared" si="53"/>
        <v>0</v>
      </c>
      <c r="AM117" s="454">
        <f t="shared" si="53"/>
        <v>0</v>
      </c>
      <c r="AN117" s="454">
        <f t="shared" si="53"/>
        <v>0</v>
      </c>
      <c r="AO117" s="454">
        <f t="shared" si="53"/>
        <v>0</v>
      </c>
      <c r="AP117" s="454">
        <f t="shared" si="53"/>
        <v>0</v>
      </c>
      <c r="AQ117" s="454">
        <f t="shared" ref="AQ117:AZ117" si="54">AQ134</f>
        <v>0</v>
      </c>
      <c r="AR117" s="454">
        <f t="shared" si="54"/>
        <v>0</v>
      </c>
      <c r="AS117" s="454">
        <f t="shared" si="54"/>
        <v>0</v>
      </c>
      <c r="AT117" s="454">
        <f t="shared" si="54"/>
        <v>0</v>
      </c>
      <c r="AU117" s="454">
        <f t="shared" si="54"/>
        <v>0</v>
      </c>
      <c r="AV117" s="454">
        <f t="shared" si="54"/>
        <v>0</v>
      </c>
      <c r="AW117" s="454">
        <f t="shared" si="54"/>
        <v>0</v>
      </c>
      <c r="AX117" s="454">
        <f t="shared" si="54"/>
        <v>0</v>
      </c>
      <c r="AY117" s="454">
        <f t="shared" si="54"/>
        <v>0</v>
      </c>
      <c r="AZ117" s="454">
        <f t="shared" si="54"/>
        <v>0</v>
      </c>
      <c r="BA117" s="454">
        <f t="shared" si="53"/>
        <v>0</v>
      </c>
      <c r="BB117" s="454">
        <f t="shared" si="53"/>
        <v>0</v>
      </c>
      <c r="BC117" s="2787"/>
      <c r="BD117" s="450"/>
      <c r="BE117" s="470"/>
    </row>
    <row r="118" spans="2:57" outlineLevel="1">
      <c r="B118" s="451"/>
      <c r="C118" s="452"/>
      <c r="D118" s="453" t="s">
        <v>1897</v>
      </c>
      <c r="E118" s="454">
        <f>E135</f>
        <v>0</v>
      </c>
      <c r="F118" s="454">
        <f>F135</f>
        <v>0</v>
      </c>
      <c r="G118" s="454">
        <f t="shared" ref="G118:BB118" si="55">G135</f>
        <v>0</v>
      </c>
      <c r="H118" s="454">
        <f t="shared" si="55"/>
        <v>0</v>
      </c>
      <c r="I118" s="454">
        <f t="shared" si="55"/>
        <v>0</v>
      </c>
      <c r="J118" s="454">
        <f t="shared" si="55"/>
        <v>0</v>
      </c>
      <c r="K118" s="454">
        <f t="shared" si="55"/>
        <v>0</v>
      </c>
      <c r="L118" s="454">
        <f t="shared" si="55"/>
        <v>0</v>
      </c>
      <c r="M118" s="454">
        <f t="shared" si="55"/>
        <v>0</v>
      </c>
      <c r="N118" s="454">
        <f t="shared" si="55"/>
        <v>0</v>
      </c>
      <c r="O118" s="454">
        <f t="shared" si="55"/>
        <v>0</v>
      </c>
      <c r="P118" s="454">
        <f t="shared" si="55"/>
        <v>0</v>
      </c>
      <c r="Q118" s="454">
        <f t="shared" si="55"/>
        <v>0</v>
      </c>
      <c r="R118" s="454">
        <f t="shared" si="55"/>
        <v>0</v>
      </c>
      <c r="S118" s="454">
        <f t="shared" si="55"/>
        <v>0</v>
      </c>
      <c r="T118" s="454">
        <f t="shared" si="55"/>
        <v>0</v>
      </c>
      <c r="U118" s="454">
        <f t="shared" si="55"/>
        <v>0</v>
      </c>
      <c r="V118" s="454">
        <f t="shared" si="55"/>
        <v>0</v>
      </c>
      <c r="W118" s="454">
        <f t="shared" si="55"/>
        <v>0</v>
      </c>
      <c r="X118" s="454">
        <f t="shared" si="55"/>
        <v>0</v>
      </c>
      <c r="Y118" s="454">
        <f t="shared" si="55"/>
        <v>0</v>
      </c>
      <c r="Z118" s="454">
        <f t="shared" si="55"/>
        <v>0</v>
      </c>
      <c r="AA118" s="454">
        <f t="shared" si="55"/>
        <v>0</v>
      </c>
      <c r="AB118" s="454">
        <f t="shared" si="55"/>
        <v>0</v>
      </c>
      <c r="AC118" s="454">
        <f t="shared" si="55"/>
        <v>0</v>
      </c>
      <c r="AD118" s="454">
        <f t="shared" si="55"/>
        <v>0</v>
      </c>
      <c r="AE118" s="454">
        <f t="shared" si="55"/>
        <v>0</v>
      </c>
      <c r="AF118" s="454">
        <f t="shared" si="55"/>
        <v>0</v>
      </c>
      <c r="AG118" s="454">
        <f t="shared" si="55"/>
        <v>0</v>
      </c>
      <c r="AH118" s="454">
        <f t="shared" si="55"/>
        <v>0</v>
      </c>
      <c r="AI118" s="454">
        <f t="shared" si="55"/>
        <v>0</v>
      </c>
      <c r="AJ118" s="454">
        <f t="shared" si="55"/>
        <v>0</v>
      </c>
      <c r="AK118" s="454">
        <f t="shared" si="55"/>
        <v>0</v>
      </c>
      <c r="AL118" s="454">
        <f t="shared" si="55"/>
        <v>0</v>
      </c>
      <c r="AM118" s="454">
        <f t="shared" si="55"/>
        <v>0</v>
      </c>
      <c r="AN118" s="454">
        <f t="shared" si="55"/>
        <v>0</v>
      </c>
      <c r="AO118" s="454">
        <f t="shared" si="55"/>
        <v>0</v>
      </c>
      <c r="AP118" s="454">
        <f t="shared" si="55"/>
        <v>0</v>
      </c>
      <c r="AQ118" s="454">
        <f t="shared" ref="AQ118:AZ118" si="56">AQ135</f>
        <v>0</v>
      </c>
      <c r="AR118" s="454">
        <f t="shared" si="56"/>
        <v>0</v>
      </c>
      <c r="AS118" s="454">
        <f t="shared" si="56"/>
        <v>0</v>
      </c>
      <c r="AT118" s="454">
        <f t="shared" si="56"/>
        <v>0</v>
      </c>
      <c r="AU118" s="454">
        <f t="shared" si="56"/>
        <v>0</v>
      </c>
      <c r="AV118" s="454">
        <f t="shared" si="56"/>
        <v>0</v>
      </c>
      <c r="AW118" s="454">
        <f t="shared" si="56"/>
        <v>0</v>
      </c>
      <c r="AX118" s="454">
        <f t="shared" si="56"/>
        <v>0</v>
      </c>
      <c r="AY118" s="454">
        <f t="shared" si="56"/>
        <v>0</v>
      </c>
      <c r="AZ118" s="454">
        <f t="shared" si="56"/>
        <v>0</v>
      </c>
      <c r="BA118" s="454">
        <f t="shared" si="55"/>
        <v>0</v>
      </c>
      <c r="BB118" s="454">
        <f t="shared" si="55"/>
        <v>0</v>
      </c>
      <c r="BC118" s="2788"/>
      <c r="BD118" s="420"/>
    </row>
    <row r="119" spans="2:57" ht="15" customHeight="1" outlineLevel="2">
      <c r="B119" s="456"/>
      <c r="C119" s="457"/>
      <c r="D119" s="458"/>
      <c r="E119" s="459"/>
      <c r="F119" s="459"/>
      <c r="G119" s="459"/>
      <c r="H119" s="459"/>
      <c r="I119" s="459"/>
      <c r="J119" s="459"/>
      <c r="K119" s="459"/>
      <c r="L119" s="459"/>
      <c r="M119" s="459"/>
      <c r="N119" s="459"/>
      <c r="O119" s="459"/>
      <c r="P119" s="459"/>
      <c r="Q119" s="459"/>
      <c r="R119" s="459"/>
      <c r="S119" s="459"/>
      <c r="T119" s="459"/>
      <c r="U119" s="459"/>
      <c r="V119" s="459"/>
      <c r="W119" s="459"/>
      <c r="X119" s="459"/>
      <c r="Y119" s="459"/>
      <c r="Z119" s="459"/>
      <c r="AA119" s="459"/>
      <c r="AB119" s="459"/>
      <c r="AC119" s="459"/>
      <c r="AD119" s="459"/>
      <c r="AE119" s="460"/>
      <c r="AF119" s="459"/>
      <c r="AG119" s="459"/>
      <c r="AH119" s="459"/>
      <c r="AI119" s="459"/>
      <c r="AJ119" s="459"/>
      <c r="AK119" s="459"/>
      <c r="AL119" s="459"/>
      <c r="AM119" s="459"/>
      <c r="AN119" s="459"/>
      <c r="AO119" s="459"/>
      <c r="AP119" s="459"/>
      <c r="AQ119" s="459"/>
      <c r="AR119" s="459"/>
      <c r="AS119" s="459"/>
      <c r="AT119" s="459"/>
      <c r="AU119" s="459"/>
      <c r="AV119" s="459"/>
      <c r="AW119" s="459"/>
      <c r="AX119" s="459"/>
      <c r="AY119" s="459"/>
      <c r="AZ119" s="459"/>
      <c r="BA119" s="459"/>
      <c r="BB119" s="459"/>
      <c r="BC119" s="2788"/>
      <c r="BD119" s="450"/>
    </row>
    <row r="120" spans="2:57" ht="18.75" customHeight="1" outlineLevel="2">
      <c r="B120" s="479">
        <v>300.10000000000002</v>
      </c>
      <c r="C120" s="462">
        <v>0</v>
      </c>
      <c r="D120" s="477">
        <v>0</v>
      </c>
      <c r="E120" s="474"/>
      <c r="F120" s="474"/>
      <c r="G120" s="474"/>
      <c r="H120" s="475"/>
      <c r="I120" s="475"/>
      <c r="J120" s="475"/>
      <c r="K120" s="475"/>
      <c r="L120" s="475"/>
      <c r="M120" s="475"/>
      <c r="N120" s="475"/>
      <c r="O120" s="475"/>
      <c r="P120" s="475"/>
      <c r="Q120" s="475"/>
      <c r="R120" s="475"/>
      <c r="S120" s="475"/>
      <c r="T120" s="475"/>
      <c r="U120" s="475"/>
      <c r="V120" s="475"/>
      <c r="W120" s="475"/>
      <c r="X120" s="475"/>
      <c r="Y120" s="475"/>
      <c r="Z120" s="475"/>
      <c r="AA120" s="475"/>
      <c r="AB120" s="475"/>
      <c r="AC120" s="475"/>
      <c r="AD120" s="475"/>
      <c r="AE120" s="476"/>
      <c r="AF120" s="475"/>
      <c r="AG120" s="475"/>
      <c r="AH120" s="475"/>
      <c r="AI120" s="475"/>
      <c r="AJ120" s="475"/>
      <c r="AK120" s="475"/>
      <c r="AL120" s="475"/>
      <c r="AM120" s="475"/>
      <c r="AN120" s="475"/>
      <c r="AO120" s="475"/>
      <c r="AP120" s="475"/>
      <c r="AQ120" s="475"/>
      <c r="AR120" s="475"/>
      <c r="AS120" s="475"/>
      <c r="AT120" s="475"/>
      <c r="AU120" s="475"/>
      <c r="AV120" s="475"/>
      <c r="AW120" s="475"/>
      <c r="AX120" s="475"/>
      <c r="AY120" s="475"/>
      <c r="AZ120" s="475"/>
      <c r="BA120" s="475"/>
      <c r="BB120" s="475"/>
      <c r="BC120" s="2789"/>
      <c r="BD120" s="450"/>
    </row>
    <row r="121" spans="2:57" ht="15" customHeight="1" outlineLevel="3">
      <c r="B121" s="456"/>
      <c r="C121" s="457" t="s">
        <v>1898</v>
      </c>
      <c r="D121" s="458" t="s">
        <v>1899</v>
      </c>
      <c r="E121" s="459">
        <v>0</v>
      </c>
      <c r="F121" s="459">
        <v>0</v>
      </c>
      <c r="G121" s="459">
        <v>0</v>
      </c>
      <c r="H121" s="459">
        <v>0</v>
      </c>
      <c r="I121" s="459">
        <v>0</v>
      </c>
      <c r="J121" s="459">
        <v>0</v>
      </c>
      <c r="K121" s="459">
        <v>0</v>
      </c>
      <c r="L121" s="459">
        <v>0</v>
      </c>
      <c r="M121" s="459">
        <v>0</v>
      </c>
      <c r="N121" s="459">
        <v>0</v>
      </c>
      <c r="O121" s="459">
        <v>0</v>
      </c>
      <c r="P121" s="459">
        <v>0</v>
      </c>
      <c r="Q121" s="459">
        <v>0</v>
      </c>
      <c r="R121" s="459">
        <v>0</v>
      </c>
      <c r="S121" s="459">
        <v>0</v>
      </c>
      <c r="T121" s="459">
        <v>0</v>
      </c>
      <c r="U121" s="459">
        <v>0</v>
      </c>
      <c r="V121" s="459">
        <v>0</v>
      </c>
      <c r="W121" s="459">
        <v>0</v>
      </c>
      <c r="X121" s="459">
        <v>0</v>
      </c>
      <c r="Y121" s="459">
        <v>0</v>
      </c>
      <c r="Z121" s="459">
        <v>0</v>
      </c>
      <c r="AA121" s="459"/>
      <c r="AB121" s="459">
        <f>AA121</f>
        <v>0</v>
      </c>
      <c r="AC121" s="459">
        <f>AB121</f>
        <v>0</v>
      </c>
      <c r="AD121" s="459">
        <f t="shared" ref="AD121:AM121" si="57">AC121</f>
        <v>0</v>
      </c>
      <c r="AE121" s="460">
        <f t="shared" si="57"/>
        <v>0</v>
      </c>
      <c r="AF121" s="459">
        <f t="shared" si="57"/>
        <v>0</v>
      </c>
      <c r="AG121" s="459">
        <f t="shared" si="57"/>
        <v>0</v>
      </c>
      <c r="AH121" s="459">
        <f t="shared" si="57"/>
        <v>0</v>
      </c>
      <c r="AI121" s="459">
        <f t="shared" si="57"/>
        <v>0</v>
      </c>
      <c r="AJ121" s="459">
        <f t="shared" si="57"/>
        <v>0</v>
      </c>
      <c r="AK121" s="459">
        <f t="shared" si="57"/>
        <v>0</v>
      </c>
      <c r="AL121" s="459">
        <f t="shared" si="57"/>
        <v>0</v>
      </c>
      <c r="AM121" s="459">
        <f t="shared" si="57"/>
        <v>0</v>
      </c>
      <c r="AN121" s="459"/>
      <c r="AO121" s="459">
        <f t="shared" ref="AO121:AW121" si="58">AN121</f>
        <v>0</v>
      </c>
      <c r="AP121" s="459">
        <f t="shared" si="58"/>
        <v>0</v>
      </c>
      <c r="AQ121" s="459">
        <f t="shared" si="58"/>
        <v>0</v>
      </c>
      <c r="AR121" s="459">
        <f t="shared" si="58"/>
        <v>0</v>
      </c>
      <c r="AS121" s="459">
        <f t="shared" si="58"/>
        <v>0</v>
      </c>
      <c r="AT121" s="459">
        <f t="shared" si="58"/>
        <v>0</v>
      </c>
      <c r="AU121" s="459">
        <f t="shared" si="58"/>
        <v>0</v>
      </c>
      <c r="AV121" s="459">
        <f t="shared" si="58"/>
        <v>0</v>
      </c>
      <c r="AW121" s="459">
        <f t="shared" si="58"/>
        <v>0</v>
      </c>
      <c r="AX121" s="459"/>
      <c r="AY121" s="459">
        <f>AX121</f>
        <v>0</v>
      </c>
      <c r="AZ121" s="459">
        <f>AY121</f>
        <v>0</v>
      </c>
      <c r="BA121" s="459">
        <f>AP121</f>
        <v>0</v>
      </c>
      <c r="BB121" s="459">
        <f>BA121</f>
        <v>0</v>
      </c>
      <c r="BC121" s="2790"/>
      <c r="BD121" s="450"/>
    </row>
    <row r="122" spans="2:57" ht="15" customHeight="1" outlineLevel="3">
      <c r="B122" s="456"/>
      <c r="C122" s="457" t="s">
        <v>1901</v>
      </c>
      <c r="D122" s="458" t="s">
        <v>1902</v>
      </c>
      <c r="E122" s="459">
        <v>0</v>
      </c>
      <c r="F122" s="459">
        <v>0</v>
      </c>
      <c r="G122" s="459">
        <v>0</v>
      </c>
      <c r="H122" s="459">
        <v>0</v>
      </c>
      <c r="I122" s="459">
        <v>0</v>
      </c>
      <c r="J122" s="459">
        <v>0</v>
      </c>
      <c r="K122" s="459">
        <v>0</v>
      </c>
      <c r="L122" s="459">
        <v>0</v>
      </c>
      <c r="M122" s="459">
        <v>0</v>
      </c>
      <c r="N122" s="459">
        <v>0</v>
      </c>
      <c r="O122" s="459">
        <v>0</v>
      </c>
      <c r="P122" s="459">
        <v>0</v>
      </c>
      <c r="Q122" s="459">
        <v>0</v>
      </c>
      <c r="R122" s="459">
        <v>0</v>
      </c>
      <c r="S122" s="459">
        <v>0</v>
      </c>
      <c r="T122" s="459">
        <v>0</v>
      </c>
      <c r="U122" s="459">
        <v>0</v>
      </c>
      <c r="V122" s="459">
        <v>0</v>
      </c>
      <c r="W122" s="459">
        <v>0</v>
      </c>
      <c r="X122" s="459">
        <v>0</v>
      </c>
      <c r="Y122" s="459">
        <v>0</v>
      </c>
      <c r="Z122" s="459">
        <v>0</v>
      </c>
      <c r="AA122" s="459">
        <v>0</v>
      </c>
      <c r="AB122" s="459">
        <v>0</v>
      </c>
      <c r="AC122" s="459">
        <v>0</v>
      </c>
      <c r="AD122" s="459">
        <v>0</v>
      </c>
      <c r="AE122" s="460">
        <v>0</v>
      </c>
      <c r="AF122" s="459">
        <v>0</v>
      </c>
      <c r="AG122" s="459">
        <v>0</v>
      </c>
      <c r="AH122" s="459">
        <v>0</v>
      </c>
      <c r="AI122" s="459">
        <v>0</v>
      </c>
      <c r="AJ122" s="459">
        <v>0</v>
      </c>
      <c r="AK122" s="459">
        <v>0</v>
      </c>
      <c r="AL122" s="459">
        <v>0</v>
      </c>
      <c r="AM122" s="459">
        <v>0</v>
      </c>
      <c r="AN122" s="459">
        <v>0</v>
      </c>
      <c r="AO122" s="459">
        <v>0</v>
      </c>
      <c r="AP122" s="459">
        <v>0</v>
      </c>
      <c r="AQ122" s="459">
        <v>0</v>
      </c>
      <c r="AR122" s="459">
        <v>0</v>
      </c>
      <c r="AS122" s="459">
        <v>0</v>
      </c>
      <c r="AT122" s="459">
        <v>0</v>
      </c>
      <c r="AU122" s="459">
        <v>0</v>
      </c>
      <c r="AV122" s="459">
        <v>0</v>
      </c>
      <c r="AW122" s="459">
        <v>0</v>
      </c>
      <c r="AX122" s="459">
        <v>0</v>
      </c>
      <c r="AY122" s="459">
        <v>0</v>
      </c>
      <c r="AZ122" s="459">
        <v>0</v>
      </c>
      <c r="BA122" s="459">
        <v>0</v>
      </c>
      <c r="BB122" s="459">
        <v>0</v>
      </c>
      <c r="BC122" s="2790"/>
      <c r="BD122" s="450"/>
    </row>
    <row r="123" spans="2:57" ht="15" customHeight="1" outlineLevel="3">
      <c r="B123" s="456"/>
      <c r="C123" s="457" t="s">
        <v>1903</v>
      </c>
      <c r="D123" s="458" t="s">
        <v>1904</v>
      </c>
      <c r="E123" s="459">
        <v>0</v>
      </c>
      <c r="F123" s="459">
        <v>0</v>
      </c>
      <c r="G123" s="459">
        <v>0</v>
      </c>
      <c r="H123" s="459">
        <v>0</v>
      </c>
      <c r="I123" s="459">
        <v>0</v>
      </c>
      <c r="J123" s="459">
        <v>0</v>
      </c>
      <c r="K123" s="459">
        <v>0</v>
      </c>
      <c r="L123" s="459">
        <v>0</v>
      </c>
      <c r="M123" s="459">
        <v>0</v>
      </c>
      <c r="N123" s="459">
        <v>0</v>
      </c>
      <c r="O123" s="459">
        <v>0</v>
      </c>
      <c r="P123" s="459">
        <v>0</v>
      </c>
      <c r="Q123" s="459">
        <v>0</v>
      </c>
      <c r="R123" s="459">
        <v>0</v>
      </c>
      <c r="S123" s="459">
        <v>0</v>
      </c>
      <c r="T123" s="459">
        <v>0</v>
      </c>
      <c r="U123" s="459">
        <v>0</v>
      </c>
      <c r="V123" s="459">
        <v>0</v>
      </c>
      <c r="W123" s="459">
        <v>0</v>
      </c>
      <c r="X123" s="459">
        <v>0</v>
      </c>
      <c r="Y123" s="459">
        <v>0</v>
      </c>
      <c r="Z123" s="459">
        <v>0</v>
      </c>
      <c r="AA123" s="459">
        <v>0</v>
      </c>
      <c r="AB123" s="459">
        <v>0</v>
      </c>
      <c r="AC123" s="459">
        <v>0</v>
      </c>
      <c r="AD123" s="459">
        <v>0</v>
      </c>
      <c r="AE123" s="460">
        <v>0</v>
      </c>
      <c r="AF123" s="459">
        <v>0</v>
      </c>
      <c r="AG123" s="459">
        <v>0</v>
      </c>
      <c r="AH123" s="459">
        <v>0</v>
      </c>
      <c r="AI123" s="459">
        <v>0</v>
      </c>
      <c r="AJ123" s="459">
        <v>0</v>
      </c>
      <c r="AK123" s="459">
        <v>0</v>
      </c>
      <c r="AL123" s="459">
        <v>0</v>
      </c>
      <c r="AM123" s="459">
        <v>0</v>
      </c>
      <c r="AN123" s="459">
        <v>0</v>
      </c>
      <c r="AO123" s="459">
        <v>0</v>
      </c>
      <c r="AP123" s="459">
        <v>0</v>
      </c>
      <c r="AQ123" s="459">
        <v>0</v>
      </c>
      <c r="AR123" s="459">
        <v>0</v>
      </c>
      <c r="AS123" s="459">
        <v>0</v>
      </c>
      <c r="AT123" s="459">
        <v>0</v>
      </c>
      <c r="AU123" s="459">
        <v>0</v>
      </c>
      <c r="AV123" s="459">
        <v>0</v>
      </c>
      <c r="AW123" s="459">
        <v>0</v>
      </c>
      <c r="AX123" s="459">
        <v>0</v>
      </c>
      <c r="AY123" s="459">
        <v>0</v>
      </c>
      <c r="AZ123" s="459">
        <v>0</v>
      </c>
      <c r="BA123" s="459">
        <v>0</v>
      </c>
      <c r="BB123" s="459">
        <v>0</v>
      </c>
      <c r="BC123" s="2790"/>
      <c r="BD123" s="450"/>
    </row>
    <row r="124" spans="2:57" s="415" customFormat="1" ht="15" customHeight="1" outlineLevel="3">
      <c r="B124" s="463"/>
      <c r="C124" s="464" t="s">
        <v>1905</v>
      </c>
      <c r="D124" s="465" t="s">
        <v>1906</v>
      </c>
      <c r="E124" s="466">
        <f>E121+E122+E123</f>
        <v>0</v>
      </c>
      <c r="F124" s="466">
        <f t="shared" ref="F124:BB124" si="59">F121+F122+F123</f>
        <v>0</v>
      </c>
      <c r="G124" s="466">
        <f t="shared" si="59"/>
        <v>0</v>
      </c>
      <c r="H124" s="466">
        <f t="shared" si="59"/>
        <v>0</v>
      </c>
      <c r="I124" s="466">
        <f t="shared" si="59"/>
        <v>0</v>
      </c>
      <c r="J124" s="466">
        <f t="shared" si="59"/>
        <v>0</v>
      </c>
      <c r="K124" s="466">
        <f t="shared" si="59"/>
        <v>0</v>
      </c>
      <c r="L124" s="466">
        <f t="shared" si="59"/>
        <v>0</v>
      </c>
      <c r="M124" s="466">
        <f t="shared" si="59"/>
        <v>0</v>
      </c>
      <c r="N124" s="466">
        <f t="shared" si="59"/>
        <v>0</v>
      </c>
      <c r="O124" s="466">
        <f t="shared" si="59"/>
        <v>0</v>
      </c>
      <c r="P124" s="466">
        <f t="shared" si="59"/>
        <v>0</v>
      </c>
      <c r="Q124" s="466">
        <f t="shared" si="59"/>
        <v>0</v>
      </c>
      <c r="R124" s="466">
        <f t="shared" si="59"/>
        <v>0</v>
      </c>
      <c r="S124" s="466">
        <f t="shared" si="59"/>
        <v>0</v>
      </c>
      <c r="T124" s="466">
        <f t="shared" si="59"/>
        <v>0</v>
      </c>
      <c r="U124" s="466">
        <f t="shared" si="59"/>
        <v>0</v>
      </c>
      <c r="V124" s="466">
        <f t="shared" si="59"/>
        <v>0</v>
      </c>
      <c r="W124" s="466">
        <f t="shared" si="59"/>
        <v>0</v>
      </c>
      <c r="X124" s="466">
        <f t="shared" si="59"/>
        <v>0</v>
      </c>
      <c r="Y124" s="466">
        <f t="shared" si="59"/>
        <v>0</v>
      </c>
      <c r="Z124" s="466">
        <f t="shared" si="59"/>
        <v>0</v>
      </c>
      <c r="AA124" s="466">
        <f t="shared" si="59"/>
        <v>0</v>
      </c>
      <c r="AB124" s="466">
        <f t="shared" si="59"/>
        <v>0</v>
      </c>
      <c r="AC124" s="466">
        <f t="shared" si="59"/>
        <v>0</v>
      </c>
      <c r="AD124" s="466">
        <f t="shared" si="59"/>
        <v>0</v>
      </c>
      <c r="AE124" s="467">
        <f t="shared" si="59"/>
        <v>0</v>
      </c>
      <c r="AF124" s="466">
        <f t="shared" si="59"/>
        <v>0</v>
      </c>
      <c r="AG124" s="466">
        <f t="shared" si="59"/>
        <v>0</v>
      </c>
      <c r="AH124" s="466">
        <f t="shared" si="59"/>
        <v>0</v>
      </c>
      <c r="AI124" s="466">
        <f t="shared" si="59"/>
        <v>0</v>
      </c>
      <c r="AJ124" s="466">
        <f t="shared" si="59"/>
        <v>0</v>
      </c>
      <c r="AK124" s="466">
        <f t="shared" si="59"/>
        <v>0</v>
      </c>
      <c r="AL124" s="466">
        <f t="shared" si="59"/>
        <v>0</v>
      </c>
      <c r="AM124" s="466">
        <f t="shared" si="59"/>
        <v>0</v>
      </c>
      <c r="AN124" s="466">
        <f t="shared" si="59"/>
        <v>0</v>
      </c>
      <c r="AO124" s="466">
        <f t="shared" si="59"/>
        <v>0</v>
      </c>
      <c r="AP124" s="466">
        <f t="shared" si="59"/>
        <v>0</v>
      </c>
      <c r="AQ124" s="466">
        <f t="shared" ref="AQ124:AZ124" si="60">AQ121+AQ122+AQ123</f>
        <v>0</v>
      </c>
      <c r="AR124" s="466">
        <f t="shared" si="60"/>
        <v>0</v>
      </c>
      <c r="AS124" s="466">
        <f t="shared" si="60"/>
        <v>0</v>
      </c>
      <c r="AT124" s="466">
        <f t="shared" si="60"/>
        <v>0</v>
      </c>
      <c r="AU124" s="466">
        <f t="shared" si="60"/>
        <v>0</v>
      </c>
      <c r="AV124" s="466">
        <f t="shared" si="60"/>
        <v>0</v>
      </c>
      <c r="AW124" s="466">
        <f t="shared" si="60"/>
        <v>0</v>
      </c>
      <c r="AX124" s="466">
        <f t="shared" si="60"/>
        <v>0</v>
      </c>
      <c r="AY124" s="466">
        <f t="shared" si="60"/>
        <v>0</v>
      </c>
      <c r="AZ124" s="466">
        <f t="shared" si="60"/>
        <v>0</v>
      </c>
      <c r="BA124" s="466">
        <f t="shared" si="59"/>
        <v>0</v>
      </c>
      <c r="BB124" s="466">
        <f t="shared" si="59"/>
        <v>0</v>
      </c>
      <c r="BC124" s="2791"/>
      <c r="BD124" s="420"/>
    </row>
    <row r="125" spans="2:57" ht="15" customHeight="1" outlineLevel="3">
      <c r="B125" s="456"/>
      <c r="C125" s="464" t="s">
        <v>1907</v>
      </c>
      <c r="D125" s="465" t="s">
        <v>1908</v>
      </c>
      <c r="E125" s="466">
        <v>0</v>
      </c>
      <c r="F125" s="466">
        <v>0</v>
      </c>
      <c r="G125" s="466">
        <v>0</v>
      </c>
      <c r="H125" s="466">
        <v>0</v>
      </c>
      <c r="I125" s="466">
        <v>0</v>
      </c>
      <c r="J125" s="466">
        <v>0</v>
      </c>
      <c r="K125" s="466">
        <v>0</v>
      </c>
      <c r="L125" s="466">
        <v>0</v>
      </c>
      <c r="M125" s="466">
        <v>0</v>
      </c>
      <c r="N125" s="466">
        <v>0</v>
      </c>
      <c r="O125" s="466">
        <v>0</v>
      </c>
      <c r="P125" s="466">
        <v>0</v>
      </c>
      <c r="Q125" s="466">
        <v>0</v>
      </c>
      <c r="R125" s="466">
        <v>0</v>
      </c>
      <c r="S125" s="466">
        <v>0</v>
      </c>
      <c r="T125" s="466">
        <v>0</v>
      </c>
      <c r="U125" s="466">
        <v>0</v>
      </c>
      <c r="V125" s="466">
        <v>0</v>
      </c>
      <c r="W125" s="466">
        <v>0</v>
      </c>
      <c r="X125" s="466">
        <v>0</v>
      </c>
      <c r="Y125" s="466">
        <v>0</v>
      </c>
      <c r="Z125" s="466">
        <v>0</v>
      </c>
      <c r="AA125" s="466">
        <v>0</v>
      </c>
      <c r="AB125" s="466">
        <v>0</v>
      </c>
      <c r="AC125" s="466">
        <v>0</v>
      </c>
      <c r="AD125" s="466">
        <v>0</v>
      </c>
      <c r="AE125" s="467">
        <v>0</v>
      </c>
      <c r="AF125" s="466">
        <v>0</v>
      </c>
      <c r="AG125" s="466">
        <v>0</v>
      </c>
      <c r="AH125" s="466">
        <v>0</v>
      </c>
      <c r="AI125" s="466">
        <v>0</v>
      </c>
      <c r="AJ125" s="466">
        <v>0</v>
      </c>
      <c r="AK125" s="466">
        <v>0</v>
      </c>
      <c r="AL125" s="466">
        <v>0</v>
      </c>
      <c r="AM125" s="466">
        <v>0</v>
      </c>
      <c r="AN125" s="466">
        <v>0</v>
      </c>
      <c r="AO125" s="466">
        <v>0</v>
      </c>
      <c r="AP125" s="466">
        <v>0</v>
      </c>
      <c r="AQ125" s="466">
        <v>0</v>
      </c>
      <c r="AR125" s="466">
        <v>0</v>
      </c>
      <c r="AS125" s="466">
        <v>0</v>
      </c>
      <c r="AT125" s="466">
        <v>0</v>
      </c>
      <c r="AU125" s="466">
        <v>0</v>
      </c>
      <c r="AV125" s="466">
        <v>0</v>
      </c>
      <c r="AW125" s="466">
        <v>0</v>
      </c>
      <c r="AX125" s="466">
        <v>0</v>
      </c>
      <c r="AY125" s="466">
        <v>0</v>
      </c>
      <c r="AZ125" s="466">
        <v>0</v>
      </c>
      <c r="BA125" s="466">
        <v>0</v>
      </c>
      <c r="BB125" s="466">
        <v>0</v>
      </c>
      <c r="BC125" s="2790"/>
      <c r="BD125" s="450"/>
    </row>
    <row r="126" spans="2:57" ht="15" customHeight="1" outlineLevel="3">
      <c r="B126" s="456"/>
      <c r="C126" s="457" t="s">
        <v>1579</v>
      </c>
      <c r="D126" s="458" t="s">
        <v>1909</v>
      </c>
      <c r="E126" s="459">
        <v>0</v>
      </c>
      <c r="F126" s="459">
        <v>0</v>
      </c>
      <c r="G126" s="459">
        <v>0</v>
      </c>
      <c r="H126" s="459">
        <v>0</v>
      </c>
      <c r="I126" s="459">
        <v>0</v>
      </c>
      <c r="J126" s="459">
        <v>0</v>
      </c>
      <c r="K126" s="459">
        <v>0</v>
      </c>
      <c r="L126" s="459">
        <v>0</v>
      </c>
      <c r="M126" s="459">
        <v>0</v>
      </c>
      <c r="N126" s="459">
        <v>0</v>
      </c>
      <c r="O126" s="459">
        <v>0</v>
      </c>
      <c r="P126" s="459">
        <v>0</v>
      </c>
      <c r="Q126" s="459">
        <v>0</v>
      </c>
      <c r="R126" s="459">
        <v>0</v>
      </c>
      <c r="S126" s="459">
        <v>0</v>
      </c>
      <c r="T126" s="459">
        <v>0</v>
      </c>
      <c r="U126" s="459">
        <v>0</v>
      </c>
      <c r="V126" s="459">
        <v>0</v>
      </c>
      <c r="W126" s="459">
        <v>0</v>
      </c>
      <c r="X126" s="459">
        <v>0</v>
      </c>
      <c r="Y126" s="459">
        <v>0</v>
      </c>
      <c r="Z126" s="459">
        <v>0</v>
      </c>
      <c r="AA126" s="459">
        <v>0</v>
      </c>
      <c r="AB126" s="459">
        <v>0</v>
      </c>
      <c r="AC126" s="459">
        <v>0</v>
      </c>
      <c r="AD126" s="459">
        <v>0</v>
      </c>
      <c r="AE126" s="460">
        <v>0</v>
      </c>
      <c r="AF126" s="459">
        <v>0</v>
      </c>
      <c r="AG126" s="459">
        <v>0</v>
      </c>
      <c r="AH126" s="459">
        <v>0</v>
      </c>
      <c r="AI126" s="459">
        <v>0</v>
      </c>
      <c r="AJ126" s="459">
        <v>0</v>
      </c>
      <c r="AK126" s="459">
        <v>0</v>
      </c>
      <c r="AL126" s="459">
        <v>0</v>
      </c>
      <c r="AM126" s="459">
        <v>0</v>
      </c>
      <c r="AN126" s="459">
        <v>0</v>
      </c>
      <c r="AO126" s="459">
        <v>0</v>
      </c>
      <c r="AP126" s="459">
        <v>0</v>
      </c>
      <c r="AQ126" s="459">
        <v>0</v>
      </c>
      <c r="AR126" s="459">
        <v>0</v>
      </c>
      <c r="AS126" s="459">
        <v>0</v>
      </c>
      <c r="AT126" s="459">
        <v>0</v>
      </c>
      <c r="AU126" s="459">
        <v>0</v>
      </c>
      <c r="AV126" s="459">
        <v>0</v>
      </c>
      <c r="AW126" s="459">
        <v>0</v>
      </c>
      <c r="AX126" s="459">
        <v>0</v>
      </c>
      <c r="AY126" s="459">
        <v>0</v>
      </c>
      <c r="AZ126" s="459">
        <v>0</v>
      </c>
      <c r="BA126" s="459">
        <v>0</v>
      </c>
      <c r="BB126" s="459">
        <v>0</v>
      </c>
      <c r="BC126" s="2790"/>
      <c r="BD126" s="450"/>
    </row>
    <row r="127" spans="2:57" s="415" customFormat="1" ht="15" customHeight="1" outlineLevel="3">
      <c r="B127" s="463"/>
      <c r="C127" s="464" t="s">
        <v>1910</v>
      </c>
      <c r="D127" s="465" t="s">
        <v>1911</v>
      </c>
      <c r="E127" s="466">
        <f>E124+E125+E126</f>
        <v>0</v>
      </c>
      <c r="F127" s="466">
        <f t="shared" ref="F127:BB127" si="61">F124+F125+F126</f>
        <v>0</v>
      </c>
      <c r="G127" s="466">
        <f t="shared" si="61"/>
        <v>0</v>
      </c>
      <c r="H127" s="466">
        <f t="shared" si="61"/>
        <v>0</v>
      </c>
      <c r="I127" s="466">
        <f t="shared" si="61"/>
        <v>0</v>
      </c>
      <c r="J127" s="466">
        <f t="shared" si="61"/>
        <v>0</v>
      </c>
      <c r="K127" s="466">
        <f t="shared" si="61"/>
        <v>0</v>
      </c>
      <c r="L127" s="466">
        <f t="shared" si="61"/>
        <v>0</v>
      </c>
      <c r="M127" s="466">
        <f t="shared" si="61"/>
        <v>0</v>
      </c>
      <c r="N127" s="466">
        <f t="shared" si="61"/>
        <v>0</v>
      </c>
      <c r="O127" s="466">
        <f t="shared" si="61"/>
        <v>0</v>
      </c>
      <c r="P127" s="466">
        <f t="shared" si="61"/>
        <v>0</v>
      </c>
      <c r="Q127" s="466">
        <f t="shared" si="61"/>
        <v>0</v>
      </c>
      <c r="R127" s="466">
        <f t="shared" si="61"/>
        <v>0</v>
      </c>
      <c r="S127" s="466">
        <f t="shared" si="61"/>
        <v>0</v>
      </c>
      <c r="T127" s="466">
        <f t="shared" si="61"/>
        <v>0</v>
      </c>
      <c r="U127" s="466">
        <f t="shared" si="61"/>
        <v>0</v>
      </c>
      <c r="V127" s="466">
        <f t="shared" si="61"/>
        <v>0</v>
      </c>
      <c r="W127" s="466">
        <f t="shared" si="61"/>
        <v>0</v>
      </c>
      <c r="X127" s="466">
        <f t="shared" si="61"/>
        <v>0</v>
      </c>
      <c r="Y127" s="466">
        <f t="shared" si="61"/>
        <v>0</v>
      </c>
      <c r="Z127" s="466">
        <f t="shared" si="61"/>
        <v>0</v>
      </c>
      <c r="AA127" s="466">
        <f t="shared" si="61"/>
        <v>0</v>
      </c>
      <c r="AB127" s="466">
        <f t="shared" si="61"/>
        <v>0</v>
      </c>
      <c r="AC127" s="466">
        <f t="shared" si="61"/>
        <v>0</v>
      </c>
      <c r="AD127" s="466">
        <f t="shared" si="61"/>
        <v>0</v>
      </c>
      <c r="AE127" s="467">
        <f t="shared" si="61"/>
        <v>0</v>
      </c>
      <c r="AF127" s="466">
        <f t="shared" si="61"/>
        <v>0</v>
      </c>
      <c r="AG127" s="466">
        <f t="shared" si="61"/>
        <v>0</v>
      </c>
      <c r="AH127" s="466">
        <f t="shared" si="61"/>
        <v>0</v>
      </c>
      <c r="AI127" s="466">
        <f t="shared" si="61"/>
        <v>0</v>
      </c>
      <c r="AJ127" s="466">
        <f t="shared" si="61"/>
        <v>0</v>
      </c>
      <c r="AK127" s="466">
        <f t="shared" si="61"/>
        <v>0</v>
      </c>
      <c r="AL127" s="466">
        <f t="shared" si="61"/>
        <v>0</v>
      </c>
      <c r="AM127" s="466">
        <f t="shared" si="61"/>
        <v>0</v>
      </c>
      <c r="AN127" s="466">
        <f t="shared" si="61"/>
        <v>0</v>
      </c>
      <c r="AO127" s="466">
        <f t="shared" si="61"/>
        <v>0</v>
      </c>
      <c r="AP127" s="466">
        <f t="shared" si="61"/>
        <v>0</v>
      </c>
      <c r="AQ127" s="466">
        <f t="shared" ref="AQ127:AZ127" si="62">AQ124+AQ125+AQ126</f>
        <v>0</v>
      </c>
      <c r="AR127" s="466">
        <f t="shared" si="62"/>
        <v>0</v>
      </c>
      <c r="AS127" s="466">
        <f t="shared" si="62"/>
        <v>0</v>
      </c>
      <c r="AT127" s="466">
        <f t="shared" si="62"/>
        <v>0</v>
      </c>
      <c r="AU127" s="466">
        <f t="shared" si="62"/>
        <v>0</v>
      </c>
      <c r="AV127" s="466">
        <f t="shared" si="62"/>
        <v>0</v>
      </c>
      <c r="AW127" s="466">
        <f t="shared" si="62"/>
        <v>0</v>
      </c>
      <c r="AX127" s="466">
        <f t="shared" si="62"/>
        <v>0</v>
      </c>
      <c r="AY127" s="466">
        <f t="shared" si="62"/>
        <v>0</v>
      </c>
      <c r="AZ127" s="466">
        <f t="shared" si="62"/>
        <v>0</v>
      </c>
      <c r="BA127" s="466">
        <f t="shared" si="61"/>
        <v>0</v>
      </c>
      <c r="BB127" s="466">
        <f t="shared" si="61"/>
        <v>0</v>
      </c>
      <c r="BC127" s="2791"/>
      <c r="BD127" s="420"/>
    </row>
    <row r="128" spans="2:57" ht="15" customHeight="1" outlineLevel="3">
      <c r="B128" s="456"/>
      <c r="C128" s="464" t="s">
        <v>1930</v>
      </c>
      <c r="D128" s="465" t="s">
        <v>1913</v>
      </c>
      <c r="E128" s="466">
        <v>0</v>
      </c>
      <c r="F128" s="466">
        <v>0</v>
      </c>
      <c r="G128" s="466">
        <v>0</v>
      </c>
      <c r="H128" s="466">
        <v>0</v>
      </c>
      <c r="I128" s="466">
        <v>0</v>
      </c>
      <c r="J128" s="466">
        <v>0</v>
      </c>
      <c r="K128" s="466">
        <v>0</v>
      </c>
      <c r="L128" s="466">
        <v>0</v>
      </c>
      <c r="M128" s="466">
        <v>0</v>
      </c>
      <c r="N128" s="466">
        <v>0</v>
      </c>
      <c r="O128" s="466">
        <v>0</v>
      </c>
      <c r="P128" s="466">
        <v>0</v>
      </c>
      <c r="Q128" s="466">
        <v>0</v>
      </c>
      <c r="R128" s="466">
        <v>0</v>
      </c>
      <c r="S128" s="466">
        <v>0</v>
      </c>
      <c r="T128" s="466">
        <v>0</v>
      </c>
      <c r="U128" s="466">
        <v>0</v>
      </c>
      <c r="V128" s="466">
        <v>0</v>
      </c>
      <c r="W128" s="466">
        <v>0</v>
      </c>
      <c r="X128" s="466">
        <v>0</v>
      </c>
      <c r="Y128" s="466">
        <v>0</v>
      </c>
      <c r="Z128" s="466">
        <v>0</v>
      </c>
      <c r="AA128" s="466">
        <v>0</v>
      </c>
      <c r="AB128" s="466">
        <v>0</v>
      </c>
      <c r="AC128" s="466">
        <v>0</v>
      </c>
      <c r="AD128" s="466">
        <v>0</v>
      </c>
      <c r="AE128" s="467">
        <v>0</v>
      </c>
      <c r="AF128" s="466">
        <v>0</v>
      </c>
      <c r="AG128" s="466">
        <v>0</v>
      </c>
      <c r="AH128" s="466">
        <v>0</v>
      </c>
      <c r="AI128" s="466">
        <v>0</v>
      </c>
      <c r="AJ128" s="466">
        <v>0</v>
      </c>
      <c r="AK128" s="466">
        <v>0</v>
      </c>
      <c r="AL128" s="466">
        <v>0</v>
      </c>
      <c r="AM128" s="466">
        <v>0</v>
      </c>
      <c r="AN128" s="466">
        <v>0</v>
      </c>
      <c r="AO128" s="466">
        <v>0</v>
      </c>
      <c r="AP128" s="466">
        <v>0</v>
      </c>
      <c r="AQ128" s="466">
        <v>0</v>
      </c>
      <c r="AR128" s="466">
        <v>0</v>
      </c>
      <c r="AS128" s="466">
        <v>0</v>
      </c>
      <c r="AT128" s="466">
        <v>0</v>
      </c>
      <c r="AU128" s="466">
        <v>0</v>
      </c>
      <c r="AV128" s="466">
        <v>0</v>
      </c>
      <c r="AW128" s="466">
        <v>0</v>
      </c>
      <c r="AX128" s="466">
        <v>0</v>
      </c>
      <c r="AY128" s="466">
        <v>0</v>
      </c>
      <c r="AZ128" s="466">
        <v>0</v>
      </c>
      <c r="BA128" s="466">
        <v>0</v>
      </c>
      <c r="BB128" s="466">
        <v>0</v>
      </c>
      <c r="BC128" s="2790"/>
      <c r="BD128" s="450"/>
    </row>
    <row r="129" spans="2:57" ht="15" customHeight="1" outlineLevel="3">
      <c r="B129" s="456"/>
      <c r="C129" s="457" t="s">
        <v>1914</v>
      </c>
      <c r="D129" s="458" t="s">
        <v>1915</v>
      </c>
      <c r="E129" s="459">
        <v>0</v>
      </c>
      <c r="F129" s="459">
        <v>0</v>
      </c>
      <c r="G129" s="459">
        <v>0</v>
      </c>
      <c r="H129" s="459">
        <v>0</v>
      </c>
      <c r="I129" s="459">
        <v>0</v>
      </c>
      <c r="J129" s="459">
        <v>0</v>
      </c>
      <c r="K129" s="459">
        <v>0</v>
      </c>
      <c r="L129" s="459">
        <v>0</v>
      </c>
      <c r="M129" s="459">
        <v>0</v>
      </c>
      <c r="N129" s="459">
        <v>0</v>
      </c>
      <c r="O129" s="459">
        <v>0</v>
      </c>
      <c r="P129" s="459">
        <v>0</v>
      </c>
      <c r="Q129" s="459">
        <v>0</v>
      </c>
      <c r="R129" s="459">
        <v>0</v>
      </c>
      <c r="S129" s="459">
        <v>0</v>
      </c>
      <c r="T129" s="459">
        <v>0</v>
      </c>
      <c r="U129" s="459">
        <v>0</v>
      </c>
      <c r="V129" s="459">
        <v>0</v>
      </c>
      <c r="W129" s="459">
        <v>0</v>
      </c>
      <c r="X129" s="459">
        <v>0</v>
      </c>
      <c r="Y129" s="459">
        <v>0</v>
      </c>
      <c r="Z129" s="459">
        <v>0</v>
      </c>
      <c r="AA129" s="459">
        <v>0</v>
      </c>
      <c r="AB129" s="459">
        <v>0</v>
      </c>
      <c r="AC129" s="459">
        <v>0</v>
      </c>
      <c r="AD129" s="459">
        <v>0</v>
      </c>
      <c r="AE129" s="460">
        <v>0</v>
      </c>
      <c r="AF129" s="459">
        <v>0</v>
      </c>
      <c r="AG129" s="459">
        <v>0</v>
      </c>
      <c r="AH129" s="459">
        <v>0</v>
      </c>
      <c r="AI129" s="459">
        <v>0</v>
      </c>
      <c r="AJ129" s="459">
        <v>0</v>
      </c>
      <c r="AK129" s="459">
        <v>0</v>
      </c>
      <c r="AL129" s="459">
        <v>0</v>
      </c>
      <c r="AM129" s="459">
        <v>0</v>
      </c>
      <c r="AN129" s="459">
        <v>0</v>
      </c>
      <c r="AO129" s="459">
        <v>0</v>
      </c>
      <c r="AP129" s="459">
        <v>0</v>
      </c>
      <c r="AQ129" s="459">
        <v>0</v>
      </c>
      <c r="AR129" s="459">
        <v>0</v>
      </c>
      <c r="AS129" s="459">
        <v>0</v>
      </c>
      <c r="AT129" s="459">
        <v>0</v>
      </c>
      <c r="AU129" s="459">
        <v>0</v>
      </c>
      <c r="AV129" s="459">
        <v>0</v>
      </c>
      <c r="AW129" s="459">
        <v>0</v>
      </c>
      <c r="AX129" s="459">
        <v>0</v>
      </c>
      <c r="AY129" s="459">
        <v>0</v>
      </c>
      <c r="AZ129" s="459">
        <v>0</v>
      </c>
      <c r="BA129" s="459">
        <v>0</v>
      </c>
      <c r="BB129" s="459">
        <v>0</v>
      </c>
      <c r="BC129" s="2790"/>
      <c r="BD129" s="450"/>
    </row>
    <row r="130" spans="2:57" s="415" customFormat="1" ht="15" customHeight="1" outlineLevel="3">
      <c r="B130" s="463"/>
      <c r="C130" s="464" t="s">
        <v>1916</v>
      </c>
      <c r="D130" s="465" t="s">
        <v>1917</v>
      </c>
      <c r="E130" s="466">
        <f>E127+E128+E129</f>
        <v>0</v>
      </c>
      <c r="F130" s="466">
        <f t="shared" ref="F130:BB130" si="63">F127+F128+F129</f>
        <v>0</v>
      </c>
      <c r="G130" s="466">
        <f t="shared" si="63"/>
        <v>0</v>
      </c>
      <c r="H130" s="466">
        <f t="shared" si="63"/>
        <v>0</v>
      </c>
      <c r="I130" s="466">
        <f t="shared" si="63"/>
        <v>0</v>
      </c>
      <c r="J130" s="466">
        <f t="shared" si="63"/>
        <v>0</v>
      </c>
      <c r="K130" s="466">
        <f t="shared" si="63"/>
        <v>0</v>
      </c>
      <c r="L130" s="466">
        <f t="shared" si="63"/>
        <v>0</v>
      </c>
      <c r="M130" s="466">
        <f t="shared" si="63"/>
        <v>0</v>
      </c>
      <c r="N130" s="466">
        <f t="shared" si="63"/>
        <v>0</v>
      </c>
      <c r="O130" s="466">
        <f t="shared" si="63"/>
        <v>0</v>
      </c>
      <c r="P130" s="466">
        <f t="shared" si="63"/>
        <v>0</v>
      </c>
      <c r="Q130" s="466">
        <f t="shared" si="63"/>
        <v>0</v>
      </c>
      <c r="R130" s="466">
        <f t="shared" si="63"/>
        <v>0</v>
      </c>
      <c r="S130" s="466">
        <f t="shared" si="63"/>
        <v>0</v>
      </c>
      <c r="T130" s="466">
        <f t="shared" si="63"/>
        <v>0</v>
      </c>
      <c r="U130" s="466">
        <f t="shared" si="63"/>
        <v>0</v>
      </c>
      <c r="V130" s="466">
        <f t="shared" si="63"/>
        <v>0</v>
      </c>
      <c r="W130" s="466">
        <f t="shared" si="63"/>
        <v>0</v>
      </c>
      <c r="X130" s="466">
        <f t="shared" si="63"/>
        <v>0</v>
      </c>
      <c r="Y130" s="466">
        <f t="shared" si="63"/>
        <v>0</v>
      </c>
      <c r="Z130" s="466">
        <f t="shared" si="63"/>
        <v>0</v>
      </c>
      <c r="AA130" s="466">
        <f t="shared" si="63"/>
        <v>0</v>
      </c>
      <c r="AB130" s="466">
        <f t="shared" si="63"/>
        <v>0</v>
      </c>
      <c r="AC130" s="466">
        <f t="shared" si="63"/>
        <v>0</v>
      </c>
      <c r="AD130" s="466">
        <f t="shared" si="63"/>
        <v>0</v>
      </c>
      <c r="AE130" s="467">
        <f t="shared" si="63"/>
        <v>0</v>
      </c>
      <c r="AF130" s="466">
        <f t="shared" si="63"/>
        <v>0</v>
      </c>
      <c r="AG130" s="466">
        <f t="shared" si="63"/>
        <v>0</v>
      </c>
      <c r="AH130" s="466">
        <f t="shared" si="63"/>
        <v>0</v>
      </c>
      <c r="AI130" s="466">
        <f t="shared" si="63"/>
        <v>0</v>
      </c>
      <c r="AJ130" s="466">
        <f t="shared" si="63"/>
        <v>0</v>
      </c>
      <c r="AK130" s="466">
        <f t="shared" si="63"/>
        <v>0</v>
      </c>
      <c r="AL130" s="466">
        <f t="shared" si="63"/>
        <v>0</v>
      </c>
      <c r="AM130" s="466">
        <f t="shared" si="63"/>
        <v>0</v>
      </c>
      <c r="AN130" s="466">
        <f t="shared" si="63"/>
        <v>0</v>
      </c>
      <c r="AO130" s="466">
        <f t="shared" si="63"/>
        <v>0</v>
      </c>
      <c r="AP130" s="466">
        <f t="shared" si="63"/>
        <v>0</v>
      </c>
      <c r="AQ130" s="466">
        <f t="shared" ref="AQ130:AZ130" si="64">AQ127+AQ128+AQ129</f>
        <v>0</v>
      </c>
      <c r="AR130" s="466">
        <f t="shared" si="64"/>
        <v>0</v>
      </c>
      <c r="AS130" s="466">
        <f t="shared" si="64"/>
        <v>0</v>
      </c>
      <c r="AT130" s="466">
        <f t="shared" si="64"/>
        <v>0</v>
      </c>
      <c r="AU130" s="466">
        <f t="shared" si="64"/>
        <v>0</v>
      </c>
      <c r="AV130" s="466">
        <f t="shared" si="64"/>
        <v>0</v>
      </c>
      <c r="AW130" s="466">
        <f t="shared" si="64"/>
        <v>0</v>
      </c>
      <c r="AX130" s="466">
        <f t="shared" si="64"/>
        <v>0</v>
      </c>
      <c r="AY130" s="466">
        <f t="shared" si="64"/>
        <v>0</v>
      </c>
      <c r="AZ130" s="466">
        <f t="shared" si="64"/>
        <v>0</v>
      </c>
      <c r="BA130" s="466">
        <f t="shared" si="63"/>
        <v>0</v>
      </c>
      <c r="BB130" s="466">
        <f t="shared" si="63"/>
        <v>0</v>
      </c>
      <c r="BC130" s="2791"/>
      <c r="BD130" s="420"/>
    </row>
    <row r="131" spans="2:57" ht="15" customHeight="1" outlineLevel="3">
      <c r="B131" s="456"/>
      <c r="C131" s="457" t="s">
        <v>1918</v>
      </c>
      <c r="D131" s="458" t="s">
        <v>1919</v>
      </c>
      <c r="E131" s="459">
        <v>0</v>
      </c>
      <c r="F131" s="459">
        <v>0</v>
      </c>
      <c r="G131" s="459">
        <v>0</v>
      </c>
      <c r="H131" s="459">
        <v>0</v>
      </c>
      <c r="I131" s="459">
        <v>0</v>
      </c>
      <c r="J131" s="459">
        <v>0</v>
      </c>
      <c r="K131" s="459">
        <v>0</v>
      </c>
      <c r="L131" s="459">
        <v>0</v>
      </c>
      <c r="M131" s="459">
        <v>0</v>
      </c>
      <c r="N131" s="459">
        <v>0</v>
      </c>
      <c r="O131" s="459">
        <v>0</v>
      </c>
      <c r="P131" s="459">
        <v>0</v>
      </c>
      <c r="Q131" s="459">
        <v>0</v>
      </c>
      <c r="R131" s="459">
        <v>0</v>
      </c>
      <c r="S131" s="459">
        <v>0</v>
      </c>
      <c r="T131" s="459">
        <v>0</v>
      </c>
      <c r="U131" s="459">
        <v>0</v>
      </c>
      <c r="V131" s="459">
        <v>0</v>
      </c>
      <c r="W131" s="459">
        <v>0</v>
      </c>
      <c r="X131" s="459">
        <v>0</v>
      </c>
      <c r="Y131" s="459">
        <v>0</v>
      </c>
      <c r="Z131" s="459">
        <v>0</v>
      </c>
      <c r="AA131" s="459">
        <v>0</v>
      </c>
      <c r="AB131" s="459">
        <v>0</v>
      </c>
      <c r="AC131" s="459">
        <v>0</v>
      </c>
      <c r="AD131" s="459">
        <v>0</v>
      </c>
      <c r="AE131" s="460">
        <v>0</v>
      </c>
      <c r="AF131" s="459">
        <v>0</v>
      </c>
      <c r="AG131" s="459">
        <v>0</v>
      </c>
      <c r="AH131" s="459">
        <v>0</v>
      </c>
      <c r="AI131" s="459">
        <v>0</v>
      </c>
      <c r="AJ131" s="459">
        <v>0</v>
      </c>
      <c r="AK131" s="459">
        <v>0</v>
      </c>
      <c r="AL131" s="459">
        <v>0</v>
      </c>
      <c r="AM131" s="459">
        <v>0</v>
      </c>
      <c r="AN131" s="459">
        <v>0</v>
      </c>
      <c r="AO131" s="459">
        <v>0</v>
      </c>
      <c r="AP131" s="459">
        <v>0</v>
      </c>
      <c r="AQ131" s="459">
        <v>0</v>
      </c>
      <c r="AR131" s="459">
        <v>0</v>
      </c>
      <c r="AS131" s="459">
        <v>0</v>
      </c>
      <c r="AT131" s="459">
        <v>0</v>
      </c>
      <c r="AU131" s="459">
        <v>0</v>
      </c>
      <c r="AV131" s="459">
        <v>0</v>
      </c>
      <c r="AW131" s="459">
        <v>0</v>
      </c>
      <c r="AX131" s="459">
        <v>0</v>
      </c>
      <c r="AY131" s="459">
        <v>0</v>
      </c>
      <c r="AZ131" s="459">
        <v>0</v>
      </c>
      <c r="BA131" s="459">
        <v>0</v>
      </c>
      <c r="BB131" s="459">
        <v>0</v>
      </c>
      <c r="BC131" s="2790"/>
      <c r="BD131" s="450"/>
    </row>
    <row r="132" spans="2:57" ht="15" customHeight="1" outlineLevel="3">
      <c r="B132" s="456"/>
      <c r="C132" s="457" t="s">
        <v>1920</v>
      </c>
      <c r="D132" s="458" t="s">
        <v>1921</v>
      </c>
      <c r="E132" s="459">
        <v>0</v>
      </c>
      <c r="F132" s="459">
        <v>0</v>
      </c>
      <c r="G132" s="459">
        <v>0</v>
      </c>
      <c r="H132" s="459">
        <v>0</v>
      </c>
      <c r="I132" s="459">
        <v>0</v>
      </c>
      <c r="J132" s="459">
        <v>0</v>
      </c>
      <c r="K132" s="459">
        <v>0</v>
      </c>
      <c r="L132" s="459">
        <v>0</v>
      </c>
      <c r="M132" s="459">
        <v>0</v>
      </c>
      <c r="N132" s="459">
        <v>0</v>
      </c>
      <c r="O132" s="459">
        <v>0</v>
      </c>
      <c r="P132" s="459">
        <v>0</v>
      </c>
      <c r="Q132" s="459">
        <v>0</v>
      </c>
      <c r="R132" s="459">
        <v>0</v>
      </c>
      <c r="S132" s="459">
        <v>0</v>
      </c>
      <c r="T132" s="459">
        <v>0</v>
      </c>
      <c r="U132" s="459">
        <v>0</v>
      </c>
      <c r="V132" s="459">
        <v>0</v>
      </c>
      <c r="W132" s="459">
        <v>0</v>
      </c>
      <c r="X132" s="459">
        <v>0</v>
      </c>
      <c r="Y132" s="459">
        <v>0</v>
      </c>
      <c r="Z132" s="459">
        <v>0</v>
      </c>
      <c r="AA132" s="459">
        <v>0</v>
      </c>
      <c r="AB132" s="459">
        <v>0</v>
      </c>
      <c r="AC132" s="459">
        <v>0</v>
      </c>
      <c r="AD132" s="459">
        <v>0</v>
      </c>
      <c r="AE132" s="460">
        <v>0</v>
      </c>
      <c r="AF132" s="459">
        <v>0</v>
      </c>
      <c r="AG132" s="459">
        <v>0</v>
      </c>
      <c r="AH132" s="459">
        <v>0</v>
      </c>
      <c r="AI132" s="459">
        <v>0</v>
      </c>
      <c r="AJ132" s="459">
        <v>0</v>
      </c>
      <c r="AK132" s="459">
        <v>0</v>
      </c>
      <c r="AL132" s="459">
        <v>0</v>
      </c>
      <c r="AM132" s="459">
        <v>0</v>
      </c>
      <c r="AN132" s="459">
        <v>0</v>
      </c>
      <c r="AO132" s="459">
        <v>0</v>
      </c>
      <c r="AP132" s="459">
        <v>0</v>
      </c>
      <c r="AQ132" s="459">
        <v>0</v>
      </c>
      <c r="AR132" s="459">
        <v>0</v>
      </c>
      <c r="AS132" s="459">
        <v>0</v>
      </c>
      <c r="AT132" s="459">
        <v>0</v>
      </c>
      <c r="AU132" s="459">
        <v>0</v>
      </c>
      <c r="AV132" s="459">
        <v>0</v>
      </c>
      <c r="AW132" s="459">
        <v>0</v>
      </c>
      <c r="AX132" s="459">
        <v>0</v>
      </c>
      <c r="AY132" s="459">
        <v>0</v>
      </c>
      <c r="AZ132" s="459">
        <v>0</v>
      </c>
      <c r="BA132" s="459">
        <v>0</v>
      </c>
      <c r="BB132" s="459">
        <v>0</v>
      </c>
      <c r="BC132" s="2790"/>
      <c r="BD132" s="450"/>
    </row>
    <row r="133" spans="2:57" ht="15" customHeight="1" outlineLevel="3">
      <c r="B133" s="456"/>
      <c r="C133" s="457" t="s">
        <v>1922</v>
      </c>
      <c r="D133" s="458" t="s">
        <v>1923</v>
      </c>
      <c r="E133" s="459">
        <v>0</v>
      </c>
      <c r="F133" s="459">
        <v>0</v>
      </c>
      <c r="G133" s="459">
        <v>0</v>
      </c>
      <c r="H133" s="459">
        <v>0</v>
      </c>
      <c r="I133" s="459">
        <v>0</v>
      </c>
      <c r="J133" s="459">
        <v>0</v>
      </c>
      <c r="K133" s="459">
        <v>0</v>
      </c>
      <c r="L133" s="459">
        <v>0</v>
      </c>
      <c r="M133" s="459">
        <v>0</v>
      </c>
      <c r="N133" s="459">
        <v>0</v>
      </c>
      <c r="O133" s="459">
        <v>0</v>
      </c>
      <c r="P133" s="459">
        <v>0</v>
      </c>
      <c r="Q133" s="459">
        <v>0</v>
      </c>
      <c r="R133" s="459">
        <v>0</v>
      </c>
      <c r="S133" s="459">
        <v>0</v>
      </c>
      <c r="T133" s="459">
        <v>0</v>
      </c>
      <c r="U133" s="459">
        <v>0</v>
      </c>
      <c r="V133" s="459">
        <v>0</v>
      </c>
      <c r="W133" s="459">
        <v>0</v>
      </c>
      <c r="X133" s="459">
        <v>0</v>
      </c>
      <c r="Y133" s="459">
        <v>0</v>
      </c>
      <c r="Z133" s="459">
        <v>0</v>
      </c>
      <c r="AA133" s="459">
        <v>0</v>
      </c>
      <c r="AB133" s="459">
        <v>0</v>
      </c>
      <c r="AC133" s="459">
        <v>0</v>
      </c>
      <c r="AD133" s="459">
        <v>0</v>
      </c>
      <c r="AE133" s="460">
        <v>0</v>
      </c>
      <c r="AF133" s="459">
        <v>0</v>
      </c>
      <c r="AG133" s="459">
        <v>0</v>
      </c>
      <c r="AH133" s="459">
        <v>0</v>
      </c>
      <c r="AI133" s="459">
        <v>0</v>
      </c>
      <c r="AJ133" s="459">
        <v>0</v>
      </c>
      <c r="AK133" s="459">
        <v>0</v>
      </c>
      <c r="AL133" s="459">
        <v>0</v>
      </c>
      <c r="AM133" s="459">
        <v>0</v>
      </c>
      <c r="AN133" s="459">
        <v>0</v>
      </c>
      <c r="AO133" s="459">
        <v>0</v>
      </c>
      <c r="AP133" s="459">
        <v>0</v>
      </c>
      <c r="AQ133" s="459">
        <v>0</v>
      </c>
      <c r="AR133" s="459">
        <v>0</v>
      </c>
      <c r="AS133" s="459">
        <v>0</v>
      </c>
      <c r="AT133" s="459">
        <v>0</v>
      </c>
      <c r="AU133" s="459">
        <v>0</v>
      </c>
      <c r="AV133" s="459">
        <v>0</v>
      </c>
      <c r="AW133" s="459">
        <v>0</v>
      </c>
      <c r="AX133" s="459">
        <v>0</v>
      </c>
      <c r="AY133" s="459">
        <v>0</v>
      </c>
      <c r="AZ133" s="459">
        <v>0</v>
      </c>
      <c r="BA133" s="459">
        <v>0</v>
      </c>
      <c r="BB133" s="459">
        <v>0</v>
      </c>
      <c r="BC133" s="2790"/>
      <c r="BD133" s="450"/>
    </row>
    <row r="134" spans="2:57" s="415" customFormat="1" ht="15" customHeight="1" outlineLevel="2">
      <c r="B134" s="463"/>
      <c r="C134" s="464" t="s">
        <v>1924</v>
      </c>
      <c r="D134" s="465" t="s">
        <v>1925</v>
      </c>
      <c r="E134" s="466">
        <f t="shared" ref="E134:AD134" si="65">E130+E131+E132+E133</f>
        <v>0</v>
      </c>
      <c r="F134" s="466">
        <f t="shared" si="65"/>
        <v>0</v>
      </c>
      <c r="G134" s="466">
        <f t="shared" si="65"/>
        <v>0</v>
      </c>
      <c r="H134" s="466">
        <f t="shared" si="65"/>
        <v>0</v>
      </c>
      <c r="I134" s="466">
        <f t="shared" si="65"/>
        <v>0</v>
      </c>
      <c r="J134" s="466">
        <f t="shared" si="65"/>
        <v>0</v>
      </c>
      <c r="K134" s="466">
        <f t="shared" si="65"/>
        <v>0</v>
      </c>
      <c r="L134" s="466">
        <f t="shared" si="65"/>
        <v>0</v>
      </c>
      <c r="M134" s="466">
        <f t="shared" si="65"/>
        <v>0</v>
      </c>
      <c r="N134" s="466">
        <f t="shared" si="65"/>
        <v>0</v>
      </c>
      <c r="O134" s="466">
        <f t="shared" si="65"/>
        <v>0</v>
      </c>
      <c r="P134" s="466">
        <f t="shared" si="65"/>
        <v>0</v>
      </c>
      <c r="Q134" s="466">
        <f t="shared" si="65"/>
        <v>0</v>
      </c>
      <c r="R134" s="466">
        <f t="shared" si="65"/>
        <v>0</v>
      </c>
      <c r="S134" s="466">
        <f t="shared" si="65"/>
        <v>0</v>
      </c>
      <c r="T134" s="466">
        <f t="shared" si="65"/>
        <v>0</v>
      </c>
      <c r="U134" s="466">
        <f t="shared" si="65"/>
        <v>0</v>
      </c>
      <c r="V134" s="466">
        <f t="shared" si="65"/>
        <v>0</v>
      </c>
      <c r="W134" s="466">
        <f t="shared" si="65"/>
        <v>0</v>
      </c>
      <c r="X134" s="466">
        <f t="shared" si="65"/>
        <v>0</v>
      </c>
      <c r="Y134" s="466">
        <f t="shared" si="65"/>
        <v>0</v>
      </c>
      <c r="Z134" s="466">
        <f t="shared" si="65"/>
        <v>0</v>
      </c>
      <c r="AA134" s="466">
        <f t="shared" si="65"/>
        <v>0</v>
      </c>
      <c r="AB134" s="466">
        <f t="shared" si="65"/>
        <v>0</v>
      </c>
      <c r="AC134" s="466">
        <f t="shared" si="65"/>
        <v>0</v>
      </c>
      <c r="AD134" s="466">
        <f t="shared" si="65"/>
        <v>0</v>
      </c>
      <c r="AE134" s="467">
        <f>AD134</f>
        <v>0</v>
      </c>
      <c r="AF134" s="466">
        <f t="shared" ref="AF134:BB134" si="66">AE134</f>
        <v>0</v>
      </c>
      <c r="AG134" s="466">
        <f t="shared" si="66"/>
        <v>0</v>
      </c>
      <c r="AH134" s="466">
        <f t="shared" si="66"/>
        <v>0</v>
      </c>
      <c r="AI134" s="466">
        <f t="shared" si="66"/>
        <v>0</v>
      </c>
      <c r="AJ134" s="466">
        <f t="shared" si="66"/>
        <v>0</v>
      </c>
      <c r="AK134" s="466">
        <f t="shared" si="66"/>
        <v>0</v>
      </c>
      <c r="AL134" s="466">
        <f t="shared" si="66"/>
        <v>0</v>
      </c>
      <c r="AM134" s="466">
        <f t="shared" si="66"/>
        <v>0</v>
      </c>
      <c r="AN134" s="466">
        <f>AN130</f>
        <v>0</v>
      </c>
      <c r="AO134" s="466">
        <f t="shared" si="66"/>
        <v>0</v>
      </c>
      <c r="AP134" s="466">
        <f t="shared" si="66"/>
        <v>0</v>
      </c>
      <c r="AQ134" s="466">
        <f t="shared" ref="AQ134:AW134" si="67">AP134</f>
        <v>0</v>
      </c>
      <c r="AR134" s="466">
        <f t="shared" si="67"/>
        <v>0</v>
      </c>
      <c r="AS134" s="466">
        <f t="shared" si="67"/>
        <v>0</v>
      </c>
      <c r="AT134" s="466">
        <f t="shared" si="67"/>
        <v>0</v>
      </c>
      <c r="AU134" s="466">
        <f t="shared" si="67"/>
        <v>0</v>
      </c>
      <c r="AV134" s="466">
        <f t="shared" si="67"/>
        <v>0</v>
      </c>
      <c r="AW134" s="466">
        <f t="shared" si="67"/>
        <v>0</v>
      </c>
      <c r="AX134" s="466">
        <f>AX130</f>
        <v>0</v>
      </c>
      <c r="AY134" s="466">
        <f>AX134</f>
        <v>0</v>
      </c>
      <c r="AZ134" s="466">
        <f>AY134</f>
        <v>0</v>
      </c>
      <c r="BA134" s="466">
        <f>AP134</f>
        <v>0</v>
      </c>
      <c r="BB134" s="466">
        <f t="shared" si="66"/>
        <v>0</v>
      </c>
      <c r="BC134" s="2791"/>
      <c r="BD134" s="420"/>
    </row>
    <row r="135" spans="2:57" s="415" customFormat="1" ht="15" customHeight="1" outlineLevel="2">
      <c r="B135" s="463"/>
      <c r="C135" s="464" t="s">
        <v>1926</v>
      </c>
      <c r="D135" s="465" t="s">
        <v>1927</v>
      </c>
      <c r="E135" s="466">
        <f>E134</f>
        <v>0</v>
      </c>
      <c r="F135" s="466">
        <f t="shared" ref="F135:BB135" si="68">F134-E134</f>
        <v>0</v>
      </c>
      <c r="G135" s="466">
        <f t="shared" si="68"/>
        <v>0</v>
      </c>
      <c r="H135" s="466">
        <f t="shared" si="68"/>
        <v>0</v>
      </c>
      <c r="I135" s="466">
        <f t="shared" si="68"/>
        <v>0</v>
      </c>
      <c r="J135" s="466">
        <f t="shared" si="68"/>
        <v>0</v>
      </c>
      <c r="K135" s="466">
        <f t="shared" si="68"/>
        <v>0</v>
      </c>
      <c r="L135" s="466">
        <f t="shared" si="68"/>
        <v>0</v>
      </c>
      <c r="M135" s="466">
        <f t="shared" si="68"/>
        <v>0</v>
      </c>
      <c r="N135" s="466">
        <f t="shared" si="68"/>
        <v>0</v>
      </c>
      <c r="O135" s="466">
        <f t="shared" si="68"/>
        <v>0</v>
      </c>
      <c r="P135" s="466">
        <f t="shared" si="68"/>
        <v>0</v>
      </c>
      <c r="Q135" s="466">
        <f t="shared" si="68"/>
        <v>0</v>
      </c>
      <c r="R135" s="466">
        <f t="shared" si="68"/>
        <v>0</v>
      </c>
      <c r="S135" s="466">
        <f t="shared" si="68"/>
        <v>0</v>
      </c>
      <c r="T135" s="466">
        <f t="shared" si="68"/>
        <v>0</v>
      </c>
      <c r="U135" s="466">
        <f t="shared" si="68"/>
        <v>0</v>
      </c>
      <c r="V135" s="466">
        <f t="shared" si="68"/>
        <v>0</v>
      </c>
      <c r="W135" s="466">
        <f t="shared" si="68"/>
        <v>0</v>
      </c>
      <c r="X135" s="466">
        <f t="shared" si="68"/>
        <v>0</v>
      </c>
      <c r="Y135" s="466">
        <f t="shared" si="68"/>
        <v>0</v>
      </c>
      <c r="Z135" s="466">
        <f t="shared" si="68"/>
        <v>0</v>
      </c>
      <c r="AA135" s="466">
        <f t="shared" si="68"/>
        <v>0</v>
      </c>
      <c r="AB135" s="466">
        <f t="shared" si="68"/>
        <v>0</v>
      </c>
      <c r="AC135" s="466">
        <f t="shared" si="68"/>
        <v>0</v>
      </c>
      <c r="AD135" s="466">
        <f t="shared" si="68"/>
        <v>0</v>
      </c>
      <c r="AE135" s="467">
        <f t="shared" si="68"/>
        <v>0</v>
      </c>
      <c r="AF135" s="466">
        <f t="shared" si="68"/>
        <v>0</v>
      </c>
      <c r="AG135" s="466">
        <f t="shared" si="68"/>
        <v>0</v>
      </c>
      <c r="AH135" s="466">
        <f t="shared" si="68"/>
        <v>0</v>
      </c>
      <c r="AI135" s="466">
        <f t="shared" si="68"/>
        <v>0</v>
      </c>
      <c r="AJ135" s="466">
        <f t="shared" si="68"/>
        <v>0</v>
      </c>
      <c r="AK135" s="466">
        <f t="shared" si="68"/>
        <v>0</v>
      </c>
      <c r="AL135" s="466">
        <f t="shared" si="68"/>
        <v>0</v>
      </c>
      <c r="AM135" s="466">
        <f t="shared" si="68"/>
        <v>0</v>
      </c>
      <c r="AN135" s="466">
        <f t="shared" si="68"/>
        <v>0</v>
      </c>
      <c r="AO135" s="466">
        <f t="shared" si="68"/>
        <v>0</v>
      </c>
      <c r="AP135" s="466">
        <f t="shared" si="68"/>
        <v>0</v>
      </c>
      <c r="AQ135" s="466">
        <f t="shared" ref="AQ135:AZ135" si="69">AQ134-AP134</f>
        <v>0</v>
      </c>
      <c r="AR135" s="466">
        <f t="shared" si="69"/>
        <v>0</v>
      </c>
      <c r="AS135" s="466">
        <f t="shared" si="69"/>
        <v>0</v>
      </c>
      <c r="AT135" s="466">
        <f t="shared" si="69"/>
        <v>0</v>
      </c>
      <c r="AU135" s="466">
        <f t="shared" si="69"/>
        <v>0</v>
      </c>
      <c r="AV135" s="466">
        <f t="shared" si="69"/>
        <v>0</v>
      </c>
      <c r="AW135" s="466">
        <f t="shared" si="69"/>
        <v>0</v>
      </c>
      <c r="AX135" s="466">
        <f t="shared" si="69"/>
        <v>0</v>
      </c>
      <c r="AY135" s="466">
        <f t="shared" si="69"/>
        <v>0</v>
      </c>
      <c r="AZ135" s="466">
        <f t="shared" si="69"/>
        <v>0</v>
      </c>
      <c r="BA135" s="466">
        <f>BA134-AP134</f>
        <v>0</v>
      </c>
      <c r="BB135" s="466">
        <f t="shared" si="68"/>
        <v>0</v>
      </c>
      <c r="BC135" s="2791"/>
      <c r="BD135" s="420"/>
    </row>
    <row r="136" spans="2:57" ht="15" customHeight="1" outlineLevel="2">
      <c r="B136" s="456"/>
      <c r="C136" s="457"/>
      <c r="D136" s="458"/>
      <c r="E136" s="459"/>
      <c r="F136" s="459"/>
      <c r="G136" s="459"/>
      <c r="H136" s="459"/>
      <c r="I136" s="459"/>
      <c r="J136" s="459"/>
      <c r="K136" s="459"/>
      <c r="L136" s="459"/>
      <c r="M136" s="459"/>
      <c r="N136" s="459"/>
      <c r="O136" s="459"/>
      <c r="P136" s="459"/>
      <c r="Q136" s="459"/>
      <c r="R136" s="459"/>
      <c r="S136" s="459"/>
      <c r="T136" s="459"/>
      <c r="U136" s="459"/>
      <c r="V136" s="459"/>
      <c r="W136" s="459"/>
      <c r="X136" s="459"/>
      <c r="Y136" s="459"/>
      <c r="Z136" s="459"/>
      <c r="AA136" s="459"/>
      <c r="AB136" s="459"/>
      <c r="AC136" s="459"/>
      <c r="AD136" s="459"/>
      <c r="AE136" s="460"/>
      <c r="AF136" s="459"/>
      <c r="AG136" s="459"/>
      <c r="AH136" s="459"/>
      <c r="AI136" s="459"/>
      <c r="AJ136" s="459"/>
      <c r="AK136" s="459"/>
      <c r="AL136" s="459"/>
      <c r="AM136" s="459"/>
      <c r="AN136" s="459"/>
      <c r="AO136" s="459"/>
      <c r="AP136" s="459"/>
      <c r="AQ136" s="459"/>
      <c r="AR136" s="459"/>
      <c r="AS136" s="459"/>
      <c r="AT136" s="459"/>
      <c r="AU136" s="459"/>
      <c r="AV136" s="459"/>
      <c r="AW136" s="459"/>
      <c r="AX136" s="459"/>
      <c r="AY136" s="459"/>
      <c r="AZ136" s="459"/>
      <c r="BA136" s="459"/>
      <c r="BB136" s="459"/>
      <c r="BC136" s="2790"/>
      <c r="BD136" s="450"/>
    </row>
    <row r="137" spans="2:57" ht="15" customHeight="1" outlineLevel="2">
      <c r="B137" s="456"/>
      <c r="C137" s="457"/>
      <c r="D137" s="458"/>
      <c r="E137" s="459"/>
      <c r="F137" s="459"/>
      <c r="G137" s="459"/>
      <c r="H137" s="459"/>
      <c r="I137" s="459"/>
      <c r="J137" s="459"/>
      <c r="K137" s="459"/>
      <c r="L137" s="459"/>
      <c r="M137" s="459"/>
      <c r="N137" s="459"/>
      <c r="O137" s="459"/>
      <c r="P137" s="459"/>
      <c r="Q137" s="459"/>
      <c r="R137" s="459"/>
      <c r="S137" s="459"/>
      <c r="T137" s="459"/>
      <c r="U137" s="459"/>
      <c r="V137" s="459"/>
      <c r="W137" s="459"/>
      <c r="X137" s="459"/>
      <c r="Y137" s="459"/>
      <c r="Z137" s="459"/>
      <c r="AA137" s="459"/>
      <c r="AB137" s="459"/>
      <c r="AC137" s="459"/>
      <c r="AD137" s="459"/>
      <c r="AE137" s="460"/>
      <c r="AF137" s="459"/>
      <c r="AG137" s="459"/>
      <c r="AH137" s="459"/>
      <c r="AI137" s="459"/>
      <c r="AJ137" s="459"/>
      <c r="AK137" s="459"/>
      <c r="AL137" s="459"/>
      <c r="AM137" s="459"/>
      <c r="AN137" s="459"/>
      <c r="AO137" s="459"/>
      <c r="AP137" s="459"/>
      <c r="AQ137" s="459"/>
      <c r="AR137" s="459"/>
      <c r="AS137" s="459"/>
      <c r="AT137" s="459"/>
      <c r="AU137" s="459"/>
      <c r="AV137" s="459"/>
      <c r="AW137" s="459"/>
      <c r="AX137" s="459"/>
      <c r="AY137" s="459"/>
      <c r="AZ137" s="459"/>
      <c r="BA137" s="459"/>
      <c r="BB137" s="459"/>
      <c r="BC137" s="2790"/>
      <c r="BD137" s="450"/>
    </row>
    <row r="138" spans="2:57" ht="15.75" customHeight="1" outlineLevel="2">
      <c r="B138" s="456"/>
      <c r="C138" s="457"/>
      <c r="D138" s="458"/>
      <c r="E138" s="459"/>
      <c r="F138" s="459"/>
      <c r="G138" s="459"/>
      <c r="H138" s="459"/>
      <c r="I138" s="459"/>
      <c r="J138" s="459"/>
      <c r="K138" s="459"/>
      <c r="L138" s="459"/>
      <c r="M138" s="459"/>
      <c r="N138" s="459"/>
      <c r="O138" s="459"/>
      <c r="P138" s="459"/>
      <c r="Q138" s="459"/>
      <c r="R138" s="459"/>
      <c r="S138" s="459"/>
      <c r="T138" s="459"/>
      <c r="U138" s="459"/>
      <c r="V138" s="459"/>
      <c r="W138" s="459"/>
      <c r="X138" s="459"/>
      <c r="Y138" s="459"/>
      <c r="Z138" s="459"/>
      <c r="AA138" s="459"/>
      <c r="AB138" s="459"/>
      <c r="AC138" s="459"/>
      <c r="AD138" s="459"/>
      <c r="AE138" s="460"/>
      <c r="AF138" s="459"/>
      <c r="AG138" s="459"/>
      <c r="AH138" s="459"/>
      <c r="AI138" s="459"/>
      <c r="AJ138" s="459"/>
      <c r="AK138" s="459"/>
      <c r="AL138" s="459"/>
      <c r="AM138" s="459"/>
      <c r="AN138" s="459"/>
      <c r="AO138" s="459"/>
      <c r="AP138" s="459"/>
      <c r="AQ138" s="459"/>
      <c r="AR138" s="459"/>
      <c r="AS138" s="459"/>
      <c r="AT138" s="459"/>
      <c r="AU138" s="459"/>
      <c r="AV138" s="459"/>
      <c r="AW138" s="459"/>
      <c r="AX138" s="459"/>
      <c r="AY138" s="459"/>
      <c r="AZ138" s="459"/>
      <c r="BA138" s="459"/>
      <c r="BB138" s="459"/>
      <c r="BC138" s="2788"/>
      <c r="BD138" s="450"/>
    </row>
    <row r="139" spans="2:57" s="415" customFormat="1" outlineLevel="1">
      <c r="B139" s="451">
        <v>400</v>
      </c>
      <c r="C139" s="452" t="s">
        <v>1932</v>
      </c>
      <c r="D139" s="453" t="s">
        <v>1896</v>
      </c>
      <c r="E139" s="468">
        <f>E156</f>
        <v>0</v>
      </c>
      <c r="F139" s="468">
        <f t="shared" ref="F139:BB140" si="70">F156</f>
        <v>0</v>
      </c>
      <c r="G139" s="468">
        <f t="shared" si="70"/>
        <v>0</v>
      </c>
      <c r="H139" s="468">
        <f>H156</f>
        <v>0</v>
      </c>
      <c r="I139" s="468">
        <f t="shared" si="70"/>
        <v>0</v>
      </c>
      <c r="J139" s="468">
        <f t="shared" si="70"/>
        <v>0</v>
      </c>
      <c r="K139" s="468">
        <f t="shared" si="70"/>
        <v>0</v>
      </c>
      <c r="L139" s="468">
        <f t="shared" si="70"/>
        <v>0</v>
      </c>
      <c r="M139" s="468">
        <f t="shared" si="70"/>
        <v>0</v>
      </c>
      <c r="N139" s="468">
        <f t="shared" si="70"/>
        <v>0</v>
      </c>
      <c r="O139" s="468">
        <f t="shared" si="70"/>
        <v>0</v>
      </c>
      <c r="P139" s="468">
        <f t="shared" si="70"/>
        <v>0</v>
      </c>
      <c r="Q139" s="468">
        <f t="shared" si="70"/>
        <v>0</v>
      </c>
      <c r="R139" s="468">
        <f t="shared" si="70"/>
        <v>0</v>
      </c>
      <c r="S139" s="468">
        <f t="shared" si="70"/>
        <v>0</v>
      </c>
      <c r="T139" s="468">
        <f t="shared" si="70"/>
        <v>0</v>
      </c>
      <c r="U139" s="468">
        <f t="shared" si="70"/>
        <v>0</v>
      </c>
      <c r="V139" s="468">
        <f t="shared" si="70"/>
        <v>0</v>
      </c>
      <c r="W139" s="468">
        <f t="shared" si="70"/>
        <v>0</v>
      </c>
      <c r="X139" s="468">
        <f t="shared" si="70"/>
        <v>0</v>
      </c>
      <c r="Y139" s="468">
        <f t="shared" si="70"/>
        <v>0</v>
      </c>
      <c r="Z139" s="468">
        <f t="shared" si="70"/>
        <v>0</v>
      </c>
      <c r="AA139" s="468">
        <f t="shared" si="70"/>
        <v>0</v>
      </c>
      <c r="AB139" s="468">
        <f t="shared" si="70"/>
        <v>0</v>
      </c>
      <c r="AC139" s="468">
        <f t="shared" si="70"/>
        <v>0</v>
      </c>
      <c r="AD139" s="468">
        <f t="shared" si="70"/>
        <v>0</v>
      </c>
      <c r="AE139" s="469">
        <f t="shared" si="70"/>
        <v>0</v>
      </c>
      <c r="AF139" s="468">
        <f t="shared" si="70"/>
        <v>0</v>
      </c>
      <c r="AG139" s="468">
        <f t="shared" si="70"/>
        <v>0</v>
      </c>
      <c r="AH139" s="468">
        <f t="shared" si="70"/>
        <v>0</v>
      </c>
      <c r="AI139" s="468">
        <f t="shared" si="70"/>
        <v>0</v>
      </c>
      <c r="AJ139" s="468">
        <f t="shared" si="70"/>
        <v>0</v>
      </c>
      <c r="AK139" s="468">
        <f t="shared" si="70"/>
        <v>0</v>
      </c>
      <c r="AL139" s="468">
        <f t="shared" si="70"/>
        <v>0</v>
      </c>
      <c r="AM139" s="468">
        <f t="shared" si="70"/>
        <v>0</v>
      </c>
      <c r="AN139" s="468">
        <f t="shared" si="70"/>
        <v>0</v>
      </c>
      <c r="AO139" s="468">
        <f t="shared" si="70"/>
        <v>0</v>
      </c>
      <c r="AP139" s="468">
        <f t="shared" si="70"/>
        <v>0</v>
      </c>
      <c r="AQ139" s="468">
        <f t="shared" ref="AQ139:AZ139" si="71">AQ156</f>
        <v>0</v>
      </c>
      <c r="AR139" s="468">
        <f t="shared" si="71"/>
        <v>0</v>
      </c>
      <c r="AS139" s="468">
        <f t="shared" si="71"/>
        <v>0</v>
      </c>
      <c r="AT139" s="468">
        <f t="shared" si="71"/>
        <v>0</v>
      </c>
      <c r="AU139" s="468">
        <f t="shared" si="71"/>
        <v>0</v>
      </c>
      <c r="AV139" s="468">
        <f t="shared" si="71"/>
        <v>0</v>
      </c>
      <c r="AW139" s="468">
        <f t="shared" si="71"/>
        <v>0</v>
      </c>
      <c r="AX139" s="468">
        <f t="shared" si="71"/>
        <v>0</v>
      </c>
      <c r="AY139" s="468">
        <f t="shared" si="71"/>
        <v>0</v>
      </c>
      <c r="AZ139" s="468">
        <f t="shared" si="71"/>
        <v>0</v>
      </c>
      <c r="BA139" s="468">
        <f t="shared" si="70"/>
        <v>0</v>
      </c>
      <c r="BB139" s="468">
        <f t="shared" si="70"/>
        <v>0</v>
      </c>
      <c r="BC139" s="2787"/>
      <c r="BD139" s="420"/>
      <c r="BE139" s="470"/>
    </row>
    <row r="140" spans="2:57" s="415" customFormat="1" outlineLevel="1">
      <c r="B140" s="451"/>
      <c r="C140" s="452"/>
      <c r="D140" s="453" t="s">
        <v>1897</v>
      </c>
      <c r="E140" s="468">
        <f>E157</f>
        <v>0</v>
      </c>
      <c r="F140" s="468">
        <f t="shared" si="70"/>
        <v>0</v>
      </c>
      <c r="G140" s="468">
        <f t="shared" si="70"/>
        <v>0</v>
      </c>
      <c r="H140" s="468">
        <f>H157</f>
        <v>0</v>
      </c>
      <c r="I140" s="468">
        <f t="shared" si="70"/>
        <v>0</v>
      </c>
      <c r="J140" s="468">
        <f t="shared" si="70"/>
        <v>0</v>
      </c>
      <c r="K140" s="468">
        <f t="shared" si="70"/>
        <v>0</v>
      </c>
      <c r="L140" s="468">
        <f t="shared" si="70"/>
        <v>0</v>
      </c>
      <c r="M140" s="468">
        <f t="shared" si="70"/>
        <v>0</v>
      </c>
      <c r="N140" s="468">
        <f t="shared" si="70"/>
        <v>0</v>
      </c>
      <c r="O140" s="468">
        <f t="shared" si="70"/>
        <v>0</v>
      </c>
      <c r="P140" s="468">
        <f t="shared" si="70"/>
        <v>0</v>
      </c>
      <c r="Q140" s="468">
        <f t="shared" si="70"/>
        <v>0</v>
      </c>
      <c r="R140" s="468">
        <f t="shared" si="70"/>
        <v>0</v>
      </c>
      <c r="S140" s="468">
        <f t="shared" si="70"/>
        <v>0</v>
      </c>
      <c r="T140" s="468">
        <f t="shared" si="70"/>
        <v>0</v>
      </c>
      <c r="U140" s="468">
        <f t="shared" si="70"/>
        <v>0</v>
      </c>
      <c r="V140" s="468">
        <f t="shared" si="70"/>
        <v>0</v>
      </c>
      <c r="W140" s="468">
        <f t="shared" si="70"/>
        <v>0</v>
      </c>
      <c r="X140" s="468">
        <f t="shared" si="70"/>
        <v>0</v>
      </c>
      <c r="Y140" s="468">
        <f t="shared" si="70"/>
        <v>0</v>
      </c>
      <c r="Z140" s="468">
        <f t="shared" si="70"/>
        <v>0</v>
      </c>
      <c r="AA140" s="468">
        <f t="shared" si="70"/>
        <v>0</v>
      </c>
      <c r="AB140" s="468">
        <f t="shared" si="70"/>
        <v>0</v>
      </c>
      <c r="AC140" s="468">
        <f t="shared" si="70"/>
        <v>0</v>
      </c>
      <c r="AD140" s="468">
        <f t="shared" si="70"/>
        <v>0</v>
      </c>
      <c r="AE140" s="469">
        <f t="shared" si="70"/>
        <v>0</v>
      </c>
      <c r="AF140" s="468">
        <f t="shared" si="70"/>
        <v>0</v>
      </c>
      <c r="AG140" s="468">
        <f t="shared" si="70"/>
        <v>0</v>
      </c>
      <c r="AH140" s="468">
        <f t="shared" si="70"/>
        <v>0</v>
      </c>
      <c r="AI140" s="468">
        <f t="shared" si="70"/>
        <v>0</v>
      </c>
      <c r="AJ140" s="468">
        <f t="shared" si="70"/>
        <v>0</v>
      </c>
      <c r="AK140" s="468">
        <f t="shared" si="70"/>
        <v>0</v>
      </c>
      <c r="AL140" s="468">
        <f t="shared" si="70"/>
        <v>0</v>
      </c>
      <c r="AM140" s="468">
        <f t="shared" si="70"/>
        <v>0</v>
      </c>
      <c r="AN140" s="468">
        <f t="shared" si="70"/>
        <v>0</v>
      </c>
      <c r="AO140" s="468">
        <f t="shared" si="70"/>
        <v>0</v>
      </c>
      <c r="AP140" s="468">
        <f t="shared" si="70"/>
        <v>0</v>
      </c>
      <c r="AQ140" s="468">
        <f t="shared" ref="AQ140:AZ140" si="72">AQ157</f>
        <v>0</v>
      </c>
      <c r="AR140" s="468">
        <f t="shared" si="72"/>
        <v>0</v>
      </c>
      <c r="AS140" s="468">
        <f t="shared" si="72"/>
        <v>0</v>
      </c>
      <c r="AT140" s="468">
        <f t="shared" si="72"/>
        <v>0</v>
      </c>
      <c r="AU140" s="468">
        <f t="shared" si="72"/>
        <v>0</v>
      </c>
      <c r="AV140" s="468">
        <f t="shared" si="72"/>
        <v>0</v>
      </c>
      <c r="AW140" s="468">
        <f t="shared" si="72"/>
        <v>0</v>
      </c>
      <c r="AX140" s="468">
        <f t="shared" si="72"/>
        <v>0</v>
      </c>
      <c r="AY140" s="468">
        <f t="shared" si="72"/>
        <v>0</v>
      </c>
      <c r="AZ140" s="468">
        <f t="shared" si="72"/>
        <v>0</v>
      </c>
      <c r="BA140" s="468">
        <f t="shared" si="70"/>
        <v>0</v>
      </c>
      <c r="BB140" s="468">
        <f t="shared" si="70"/>
        <v>0</v>
      </c>
      <c r="BC140" s="2787"/>
      <c r="BD140" s="420"/>
    </row>
    <row r="141" spans="2:57" ht="15" customHeight="1" outlineLevel="2">
      <c r="B141" s="456"/>
      <c r="C141" s="457"/>
      <c r="D141" s="458"/>
      <c r="E141" s="459"/>
      <c r="F141" s="459"/>
      <c r="G141" s="459"/>
      <c r="H141" s="459"/>
      <c r="I141" s="459"/>
      <c r="J141" s="459"/>
      <c r="K141" s="459"/>
      <c r="L141" s="459"/>
      <c r="M141" s="459"/>
      <c r="N141" s="459"/>
      <c r="O141" s="459"/>
      <c r="P141" s="459"/>
      <c r="Q141" s="459"/>
      <c r="R141" s="459"/>
      <c r="S141" s="459"/>
      <c r="T141" s="459"/>
      <c r="U141" s="459"/>
      <c r="V141" s="459"/>
      <c r="W141" s="459"/>
      <c r="X141" s="459"/>
      <c r="Y141" s="459"/>
      <c r="Z141" s="459"/>
      <c r="AA141" s="459"/>
      <c r="AB141" s="459"/>
      <c r="AC141" s="459"/>
      <c r="AD141" s="459"/>
      <c r="AE141" s="460"/>
      <c r="AF141" s="459"/>
      <c r="AG141" s="459"/>
      <c r="AH141" s="459"/>
      <c r="AI141" s="459"/>
      <c r="AJ141" s="459"/>
      <c r="AK141" s="459"/>
      <c r="AL141" s="459"/>
      <c r="AM141" s="459"/>
      <c r="AN141" s="459"/>
      <c r="AO141" s="459"/>
      <c r="AP141" s="459"/>
      <c r="AQ141" s="459"/>
      <c r="AR141" s="459"/>
      <c r="AS141" s="459"/>
      <c r="AT141" s="459"/>
      <c r="AU141" s="459"/>
      <c r="AV141" s="459"/>
      <c r="AW141" s="459"/>
      <c r="AX141" s="459"/>
      <c r="AY141" s="459"/>
      <c r="AZ141" s="459"/>
      <c r="BA141" s="459"/>
      <c r="BB141" s="459"/>
      <c r="BC141" s="2788"/>
      <c r="BD141" s="450"/>
    </row>
    <row r="142" spans="2:57" ht="15" customHeight="1" outlineLevel="2">
      <c r="B142" s="479">
        <v>400.1</v>
      </c>
      <c r="C142" s="462" t="s">
        <v>1933</v>
      </c>
      <c r="D142" s="480">
        <v>0</v>
      </c>
      <c r="E142" s="481"/>
      <c r="F142" s="481"/>
      <c r="G142" s="481"/>
      <c r="H142" s="481"/>
      <c r="I142" s="481"/>
      <c r="J142" s="481"/>
      <c r="K142" s="481"/>
      <c r="L142" s="481"/>
      <c r="M142" s="481"/>
      <c r="N142" s="481"/>
      <c r="O142" s="481"/>
      <c r="P142" s="481"/>
      <c r="Q142" s="481"/>
      <c r="R142" s="481"/>
      <c r="S142" s="481"/>
      <c r="T142" s="481"/>
      <c r="U142" s="481"/>
      <c r="V142" s="481"/>
      <c r="W142" s="481"/>
      <c r="X142" s="481"/>
      <c r="Y142" s="481"/>
      <c r="Z142" s="481"/>
      <c r="AA142" s="481"/>
      <c r="AB142" s="481"/>
      <c r="AC142" s="481"/>
      <c r="AD142" s="481"/>
      <c r="AE142" s="482"/>
      <c r="AF142" s="481"/>
      <c r="AG142" s="481"/>
      <c r="AH142" s="481"/>
      <c r="AI142" s="481"/>
      <c r="AJ142" s="481"/>
      <c r="AK142" s="481"/>
      <c r="AL142" s="481"/>
      <c r="AM142" s="481"/>
      <c r="AN142" s="481"/>
      <c r="AO142" s="481"/>
      <c r="AP142" s="481"/>
      <c r="AQ142" s="481"/>
      <c r="AR142" s="481"/>
      <c r="AS142" s="481"/>
      <c r="AT142" s="481"/>
      <c r="AU142" s="481"/>
      <c r="AV142" s="481"/>
      <c r="AW142" s="481"/>
      <c r="AX142" s="481"/>
      <c r="AY142" s="481"/>
      <c r="AZ142" s="481"/>
      <c r="BA142" s="481"/>
      <c r="BB142" s="481"/>
      <c r="BC142" s="2788"/>
      <c r="BD142" s="450"/>
    </row>
    <row r="143" spans="2:57" ht="15" customHeight="1" outlineLevel="3">
      <c r="B143" s="456"/>
      <c r="C143" s="457" t="s">
        <v>1898</v>
      </c>
      <c r="D143" s="458" t="s">
        <v>1899</v>
      </c>
      <c r="E143" s="459">
        <v>0</v>
      </c>
      <c r="F143" s="459">
        <v>0</v>
      </c>
      <c r="G143" s="459">
        <v>0</v>
      </c>
      <c r="H143" s="459">
        <v>0</v>
      </c>
      <c r="I143" s="459">
        <v>0</v>
      </c>
      <c r="J143" s="459">
        <v>0</v>
      </c>
      <c r="K143" s="459">
        <v>0</v>
      </c>
      <c r="L143" s="459">
        <v>0</v>
      </c>
      <c r="M143" s="459">
        <v>0</v>
      </c>
      <c r="N143" s="459">
        <v>0</v>
      </c>
      <c r="O143" s="459">
        <v>0</v>
      </c>
      <c r="P143" s="459">
        <v>0</v>
      </c>
      <c r="Q143" s="459">
        <v>0</v>
      </c>
      <c r="R143" s="459">
        <v>0</v>
      </c>
      <c r="S143" s="459">
        <v>0</v>
      </c>
      <c r="T143" s="459">
        <v>0</v>
      </c>
      <c r="U143" s="459">
        <v>0</v>
      </c>
      <c r="V143" s="459">
        <v>0</v>
      </c>
      <c r="W143" s="459">
        <v>0</v>
      </c>
      <c r="X143" s="459">
        <v>0</v>
      </c>
      <c r="Y143" s="459">
        <v>0</v>
      </c>
      <c r="Z143" s="459">
        <v>0</v>
      </c>
      <c r="AA143" s="459">
        <v>0</v>
      </c>
      <c r="AB143" s="459">
        <v>0</v>
      </c>
      <c r="AC143" s="459">
        <v>0</v>
      </c>
      <c r="AD143" s="459">
        <v>0</v>
      </c>
      <c r="AE143" s="460">
        <v>0</v>
      </c>
      <c r="AF143" s="459">
        <v>0</v>
      </c>
      <c r="AG143" s="459">
        <v>0</v>
      </c>
      <c r="AH143" s="459">
        <v>0</v>
      </c>
      <c r="AI143" s="459">
        <v>0</v>
      </c>
      <c r="AJ143" s="459">
        <v>0</v>
      </c>
      <c r="AK143" s="459">
        <v>0</v>
      </c>
      <c r="AL143" s="459">
        <v>0</v>
      </c>
      <c r="AM143" s="459">
        <v>0</v>
      </c>
      <c r="AN143" s="459">
        <v>0</v>
      </c>
      <c r="AO143" s="459">
        <v>0</v>
      </c>
      <c r="AP143" s="459">
        <v>0</v>
      </c>
      <c r="AQ143" s="459">
        <v>0</v>
      </c>
      <c r="AR143" s="459">
        <v>0</v>
      </c>
      <c r="AS143" s="459">
        <v>0</v>
      </c>
      <c r="AT143" s="459">
        <v>0</v>
      </c>
      <c r="AU143" s="459">
        <v>0</v>
      </c>
      <c r="AV143" s="459">
        <v>0</v>
      </c>
      <c r="AW143" s="459">
        <v>0</v>
      </c>
      <c r="AX143" s="459">
        <v>0</v>
      </c>
      <c r="AY143" s="459">
        <v>0</v>
      </c>
      <c r="AZ143" s="459">
        <v>0</v>
      </c>
      <c r="BA143" s="459">
        <v>0</v>
      </c>
      <c r="BB143" s="459">
        <v>0</v>
      </c>
      <c r="BC143" s="2790"/>
      <c r="BD143" s="450"/>
    </row>
    <row r="144" spans="2:57" ht="15" customHeight="1" outlineLevel="3">
      <c r="B144" s="456"/>
      <c r="C144" s="457" t="s">
        <v>1901</v>
      </c>
      <c r="D144" s="458" t="s">
        <v>1902</v>
      </c>
      <c r="E144" s="459">
        <v>0</v>
      </c>
      <c r="F144" s="459">
        <v>0</v>
      </c>
      <c r="G144" s="459">
        <v>0</v>
      </c>
      <c r="H144" s="459">
        <v>0</v>
      </c>
      <c r="I144" s="459">
        <v>0</v>
      </c>
      <c r="J144" s="459">
        <v>0</v>
      </c>
      <c r="K144" s="459">
        <v>0</v>
      </c>
      <c r="L144" s="459">
        <v>0</v>
      </c>
      <c r="M144" s="459">
        <v>0</v>
      </c>
      <c r="N144" s="459">
        <v>0</v>
      </c>
      <c r="O144" s="459">
        <v>0</v>
      </c>
      <c r="P144" s="459">
        <v>0</v>
      </c>
      <c r="Q144" s="459">
        <v>0</v>
      </c>
      <c r="R144" s="459">
        <v>0</v>
      </c>
      <c r="S144" s="459">
        <v>0</v>
      </c>
      <c r="T144" s="459">
        <v>0</v>
      </c>
      <c r="U144" s="459">
        <v>0</v>
      </c>
      <c r="V144" s="459">
        <v>0</v>
      </c>
      <c r="W144" s="459">
        <v>0</v>
      </c>
      <c r="X144" s="459">
        <v>0</v>
      </c>
      <c r="Y144" s="459">
        <v>0</v>
      </c>
      <c r="Z144" s="459">
        <v>0</v>
      </c>
      <c r="AA144" s="459">
        <v>0</v>
      </c>
      <c r="AB144" s="459">
        <v>0</v>
      </c>
      <c r="AC144" s="459">
        <v>0</v>
      </c>
      <c r="AD144" s="459">
        <v>0</v>
      </c>
      <c r="AE144" s="460">
        <v>0</v>
      </c>
      <c r="AF144" s="459">
        <v>0</v>
      </c>
      <c r="AG144" s="459">
        <v>0</v>
      </c>
      <c r="AH144" s="459">
        <v>0</v>
      </c>
      <c r="AI144" s="459">
        <v>0</v>
      </c>
      <c r="AJ144" s="459">
        <v>0</v>
      </c>
      <c r="AK144" s="459">
        <v>0</v>
      </c>
      <c r="AL144" s="459">
        <v>0</v>
      </c>
      <c r="AM144" s="459">
        <v>0</v>
      </c>
      <c r="AN144" s="459">
        <v>0</v>
      </c>
      <c r="AO144" s="459">
        <v>0</v>
      </c>
      <c r="AP144" s="459">
        <v>0</v>
      </c>
      <c r="AQ144" s="459">
        <v>0</v>
      </c>
      <c r="AR144" s="459">
        <v>0</v>
      </c>
      <c r="AS144" s="459">
        <v>0</v>
      </c>
      <c r="AT144" s="459">
        <v>0</v>
      </c>
      <c r="AU144" s="459">
        <v>0</v>
      </c>
      <c r="AV144" s="459">
        <v>0</v>
      </c>
      <c r="AW144" s="459">
        <v>0</v>
      </c>
      <c r="AX144" s="459">
        <v>0</v>
      </c>
      <c r="AY144" s="459">
        <v>0</v>
      </c>
      <c r="AZ144" s="459">
        <v>0</v>
      </c>
      <c r="BA144" s="459">
        <v>0</v>
      </c>
      <c r="BB144" s="459">
        <v>0</v>
      </c>
      <c r="BC144" s="2790"/>
      <c r="BD144" s="450"/>
    </row>
    <row r="145" spans="2:56" ht="15" customHeight="1" outlineLevel="3">
      <c r="B145" s="456"/>
      <c r="C145" s="457" t="s">
        <v>1903</v>
      </c>
      <c r="D145" s="458" t="s">
        <v>1904</v>
      </c>
      <c r="E145" s="459">
        <v>0</v>
      </c>
      <c r="F145" s="459">
        <v>0</v>
      </c>
      <c r="G145" s="459">
        <v>0</v>
      </c>
      <c r="H145" s="459">
        <v>0</v>
      </c>
      <c r="I145" s="459">
        <v>0</v>
      </c>
      <c r="J145" s="459">
        <v>0</v>
      </c>
      <c r="K145" s="459">
        <v>0</v>
      </c>
      <c r="L145" s="459">
        <v>0</v>
      </c>
      <c r="M145" s="459">
        <v>0</v>
      </c>
      <c r="N145" s="459">
        <v>0</v>
      </c>
      <c r="O145" s="459">
        <v>0</v>
      </c>
      <c r="P145" s="459">
        <v>0</v>
      </c>
      <c r="Q145" s="459">
        <v>0</v>
      </c>
      <c r="R145" s="459">
        <v>0</v>
      </c>
      <c r="S145" s="459">
        <v>0</v>
      </c>
      <c r="T145" s="459">
        <v>0</v>
      </c>
      <c r="U145" s="459">
        <v>0</v>
      </c>
      <c r="V145" s="459">
        <v>0</v>
      </c>
      <c r="W145" s="459">
        <v>0</v>
      </c>
      <c r="X145" s="459">
        <v>0</v>
      </c>
      <c r="Y145" s="459">
        <v>0</v>
      </c>
      <c r="Z145" s="459">
        <v>0</v>
      </c>
      <c r="AA145" s="459">
        <v>0</v>
      </c>
      <c r="AB145" s="459">
        <v>0</v>
      </c>
      <c r="AC145" s="459">
        <v>0</v>
      </c>
      <c r="AD145" s="459">
        <v>0</v>
      </c>
      <c r="AE145" s="460">
        <v>0</v>
      </c>
      <c r="AF145" s="459">
        <v>0</v>
      </c>
      <c r="AG145" s="459">
        <v>0</v>
      </c>
      <c r="AH145" s="459">
        <v>0</v>
      </c>
      <c r="AI145" s="459">
        <v>0</v>
      </c>
      <c r="AJ145" s="459">
        <v>0</v>
      </c>
      <c r="AK145" s="459">
        <v>0</v>
      </c>
      <c r="AL145" s="459">
        <v>0</v>
      </c>
      <c r="AM145" s="459">
        <v>0</v>
      </c>
      <c r="AN145" s="459">
        <v>0</v>
      </c>
      <c r="AO145" s="459">
        <v>0</v>
      </c>
      <c r="AP145" s="459">
        <v>0</v>
      </c>
      <c r="AQ145" s="459">
        <v>0</v>
      </c>
      <c r="AR145" s="459">
        <v>0</v>
      </c>
      <c r="AS145" s="459">
        <v>0</v>
      </c>
      <c r="AT145" s="459">
        <v>0</v>
      </c>
      <c r="AU145" s="459">
        <v>0</v>
      </c>
      <c r="AV145" s="459">
        <v>0</v>
      </c>
      <c r="AW145" s="459">
        <v>0</v>
      </c>
      <c r="AX145" s="459">
        <v>0</v>
      </c>
      <c r="AY145" s="459">
        <v>0</v>
      </c>
      <c r="AZ145" s="459">
        <v>0</v>
      </c>
      <c r="BA145" s="459">
        <v>0</v>
      </c>
      <c r="BB145" s="459">
        <v>0</v>
      </c>
      <c r="BC145" s="2790"/>
      <c r="BD145" s="450"/>
    </row>
    <row r="146" spans="2:56" s="415" customFormat="1" ht="15" customHeight="1" outlineLevel="3">
      <c r="B146" s="463"/>
      <c r="C146" s="464" t="s">
        <v>1905</v>
      </c>
      <c r="D146" s="465" t="s">
        <v>1906</v>
      </c>
      <c r="E146" s="466">
        <f>E143+E144+E145</f>
        <v>0</v>
      </c>
      <c r="F146" s="466">
        <f t="shared" ref="F146:BB146" si="73">F143+F144+F145</f>
        <v>0</v>
      </c>
      <c r="G146" s="466">
        <f t="shared" si="73"/>
        <v>0</v>
      </c>
      <c r="H146" s="466">
        <f t="shared" si="73"/>
        <v>0</v>
      </c>
      <c r="I146" s="466">
        <f t="shared" si="73"/>
        <v>0</v>
      </c>
      <c r="J146" s="466">
        <f t="shared" si="73"/>
        <v>0</v>
      </c>
      <c r="K146" s="466">
        <f t="shared" si="73"/>
        <v>0</v>
      </c>
      <c r="L146" s="466">
        <f t="shared" si="73"/>
        <v>0</v>
      </c>
      <c r="M146" s="466">
        <f t="shared" si="73"/>
        <v>0</v>
      </c>
      <c r="N146" s="466">
        <f t="shared" si="73"/>
        <v>0</v>
      </c>
      <c r="O146" s="466">
        <f t="shared" si="73"/>
        <v>0</v>
      </c>
      <c r="P146" s="466">
        <f t="shared" si="73"/>
        <v>0</v>
      </c>
      <c r="Q146" s="466">
        <f t="shared" si="73"/>
        <v>0</v>
      </c>
      <c r="R146" s="466">
        <f t="shared" si="73"/>
        <v>0</v>
      </c>
      <c r="S146" s="466">
        <f t="shared" si="73"/>
        <v>0</v>
      </c>
      <c r="T146" s="466">
        <f t="shared" si="73"/>
        <v>0</v>
      </c>
      <c r="U146" s="466">
        <f t="shared" si="73"/>
        <v>0</v>
      </c>
      <c r="V146" s="466">
        <f t="shared" si="73"/>
        <v>0</v>
      </c>
      <c r="W146" s="466">
        <f t="shared" si="73"/>
        <v>0</v>
      </c>
      <c r="X146" s="466">
        <f t="shared" si="73"/>
        <v>0</v>
      </c>
      <c r="Y146" s="466">
        <f t="shared" si="73"/>
        <v>0</v>
      </c>
      <c r="Z146" s="466">
        <f t="shared" si="73"/>
        <v>0</v>
      </c>
      <c r="AA146" s="466">
        <f t="shared" si="73"/>
        <v>0</v>
      </c>
      <c r="AB146" s="466">
        <f t="shared" si="73"/>
        <v>0</v>
      </c>
      <c r="AC146" s="466">
        <f t="shared" si="73"/>
        <v>0</v>
      </c>
      <c r="AD146" s="466">
        <f t="shared" si="73"/>
        <v>0</v>
      </c>
      <c r="AE146" s="467">
        <f t="shared" si="73"/>
        <v>0</v>
      </c>
      <c r="AF146" s="466">
        <f t="shared" si="73"/>
        <v>0</v>
      </c>
      <c r="AG146" s="466">
        <f t="shared" si="73"/>
        <v>0</v>
      </c>
      <c r="AH146" s="466">
        <f t="shared" si="73"/>
        <v>0</v>
      </c>
      <c r="AI146" s="466">
        <f t="shared" si="73"/>
        <v>0</v>
      </c>
      <c r="AJ146" s="466">
        <f t="shared" si="73"/>
        <v>0</v>
      </c>
      <c r="AK146" s="466">
        <f t="shared" si="73"/>
        <v>0</v>
      </c>
      <c r="AL146" s="466">
        <f t="shared" si="73"/>
        <v>0</v>
      </c>
      <c r="AM146" s="466">
        <f t="shared" si="73"/>
        <v>0</v>
      </c>
      <c r="AN146" s="466">
        <f t="shared" si="73"/>
        <v>0</v>
      </c>
      <c r="AO146" s="466">
        <f t="shared" si="73"/>
        <v>0</v>
      </c>
      <c r="AP146" s="466">
        <f t="shared" si="73"/>
        <v>0</v>
      </c>
      <c r="AQ146" s="466">
        <f t="shared" ref="AQ146:AZ146" si="74">AQ143+AQ144+AQ145</f>
        <v>0</v>
      </c>
      <c r="AR146" s="466">
        <f t="shared" si="74"/>
        <v>0</v>
      </c>
      <c r="AS146" s="466">
        <f t="shared" si="74"/>
        <v>0</v>
      </c>
      <c r="AT146" s="466">
        <f t="shared" si="74"/>
        <v>0</v>
      </c>
      <c r="AU146" s="466">
        <f t="shared" si="74"/>
        <v>0</v>
      </c>
      <c r="AV146" s="466">
        <f t="shared" si="74"/>
        <v>0</v>
      </c>
      <c r="AW146" s="466">
        <f t="shared" si="74"/>
        <v>0</v>
      </c>
      <c r="AX146" s="466">
        <f t="shared" si="74"/>
        <v>0</v>
      </c>
      <c r="AY146" s="466">
        <f t="shared" si="74"/>
        <v>0</v>
      </c>
      <c r="AZ146" s="466">
        <f t="shared" si="74"/>
        <v>0</v>
      </c>
      <c r="BA146" s="466">
        <f t="shared" si="73"/>
        <v>0</v>
      </c>
      <c r="BB146" s="466">
        <f t="shared" si="73"/>
        <v>0</v>
      </c>
      <c r="BC146" s="2791"/>
      <c r="BD146" s="420"/>
    </row>
    <row r="147" spans="2:56" ht="15" customHeight="1" outlineLevel="3">
      <c r="B147" s="456"/>
      <c r="C147" s="464" t="s">
        <v>1907</v>
      </c>
      <c r="D147" s="465" t="s">
        <v>1908</v>
      </c>
      <c r="E147" s="466">
        <v>0</v>
      </c>
      <c r="F147" s="466">
        <v>0</v>
      </c>
      <c r="G147" s="466">
        <v>0</v>
      </c>
      <c r="H147" s="466">
        <v>0</v>
      </c>
      <c r="I147" s="466">
        <v>0</v>
      </c>
      <c r="J147" s="466">
        <v>0</v>
      </c>
      <c r="K147" s="466">
        <v>0</v>
      </c>
      <c r="L147" s="466">
        <v>0</v>
      </c>
      <c r="M147" s="466">
        <v>0</v>
      </c>
      <c r="N147" s="466">
        <v>0</v>
      </c>
      <c r="O147" s="466">
        <v>0</v>
      </c>
      <c r="P147" s="466">
        <v>0</v>
      </c>
      <c r="Q147" s="466">
        <v>0</v>
      </c>
      <c r="R147" s="466">
        <v>0</v>
      </c>
      <c r="S147" s="466">
        <v>0</v>
      </c>
      <c r="T147" s="466">
        <v>0</v>
      </c>
      <c r="U147" s="466">
        <v>0</v>
      </c>
      <c r="V147" s="466">
        <v>0</v>
      </c>
      <c r="W147" s="466">
        <v>0</v>
      </c>
      <c r="X147" s="466">
        <v>0</v>
      </c>
      <c r="Y147" s="466">
        <v>0</v>
      </c>
      <c r="Z147" s="466">
        <v>0</v>
      </c>
      <c r="AA147" s="466">
        <v>0</v>
      </c>
      <c r="AB147" s="466">
        <v>0</v>
      </c>
      <c r="AC147" s="466">
        <v>0</v>
      </c>
      <c r="AD147" s="466">
        <v>0</v>
      </c>
      <c r="AE147" s="467">
        <v>0</v>
      </c>
      <c r="AF147" s="466">
        <v>0</v>
      </c>
      <c r="AG147" s="466">
        <v>0</v>
      </c>
      <c r="AH147" s="466">
        <v>0</v>
      </c>
      <c r="AI147" s="466">
        <v>0</v>
      </c>
      <c r="AJ147" s="466">
        <v>0</v>
      </c>
      <c r="AK147" s="466">
        <v>0</v>
      </c>
      <c r="AL147" s="466">
        <v>0</v>
      </c>
      <c r="AM147" s="466">
        <v>0</v>
      </c>
      <c r="AN147" s="466">
        <v>0</v>
      </c>
      <c r="AO147" s="466">
        <v>0</v>
      </c>
      <c r="AP147" s="466">
        <v>0</v>
      </c>
      <c r="AQ147" s="466">
        <v>0</v>
      </c>
      <c r="AR147" s="466">
        <v>0</v>
      </c>
      <c r="AS147" s="466">
        <v>0</v>
      </c>
      <c r="AT147" s="466">
        <v>0</v>
      </c>
      <c r="AU147" s="466">
        <v>0</v>
      </c>
      <c r="AV147" s="466">
        <v>0</v>
      </c>
      <c r="AW147" s="466">
        <v>0</v>
      </c>
      <c r="AX147" s="466">
        <v>0</v>
      </c>
      <c r="AY147" s="466">
        <v>0</v>
      </c>
      <c r="AZ147" s="466">
        <v>0</v>
      </c>
      <c r="BA147" s="466">
        <v>0</v>
      </c>
      <c r="BB147" s="466">
        <v>0</v>
      </c>
      <c r="BC147" s="2790"/>
      <c r="BD147" s="450"/>
    </row>
    <row r="148" spans="2:56" ht="15" customHeight="1" outlineLevel="3">
      <c r="B148" s="456"/>
      <c r="C148" s="457" t="s">
        <v>1579</v>
      </c>
      <c r="D148" s="458" t="s">
        <v>1909</v>
      </c>
      <c r="E148" s="459">
        <v>0</v>
      </c>
      <c r="F148" s="459">
        <v>0</v>
      </c>
      <c r="G148" s="459">
        <v>0</v>
      </c>
      <c r="H148" s="459">
        <v>0</v>
      </c>
      <c r="I148" s="459">
        <v>0</v>
      </c>
      <c r="J148" s="459">
        <v>0</v>
      </c>
      <c r="K148" s="459">
        <v>0</v>
      </c>
      <c r="L148" s="459">
        <v>0</v>
      </c>
      <c r="M148" s="459">
        <v>0</v>
      </c>
      <c r="N148" s="459">
        <v>0</v>
      </c>
      <c r="O148" s="459">
        <v>0</v>
      </c>
      <c r="P148" s="459">
        <v>0</v>
      </c>
      <c r="Q148" s="459">
        <v>0</v>
      </c>
      <c r="R148" s="459">
        <v>0</v>
      </c>
      <c r="S148" s="459">
        <v>0</v>
      </c>
      <c r="T148" s="459">
        <v>0</v>
      </c>
      <c r="U148" s="459">
        <v>0</v>
      </c>
      <c r="V148" s="459">
        <v>0</v>
      </c>
      <c r="W148" s="459">
        <v>0</v>
      </c>
      <c r="X148" s="459">
        <v>0</v>
      </c>
      <c r="Y148" s="459">
        <v>0</v>
      </c>
      <c r="Z148" s="459">
        <v>0</v>
      </c>
      <c r="AA148" s="459">
        <v>0</v>
      </c>
      <c r="AB148" s="459">
        <v>0</v>
      </c>
      <c r="AC148" s="459">
        <v>0</v>
      </c>
      <c r="AD148" s="459">
        <v>0</v>
      </c>
      <c r="AE148" s="460">
        <v>0</v>
      </c>
      <c r="AF148" s="459">
        <v>0</v>
      </c>
      <c r="AG148" s="459">
        <v>0</v>
      </c>
      <c r="AH148" s="459">
        <v>0</v>
      </c>
      <c r="AI148" s="459">
        <v>0</v>
      </c>
      <c r="AJ148" s="459">
        <v>0</v>
      </c>
      <c r="AK148" s="459">
        <v>0</v>
      </c>
      <c r="AL148" s="459">
        <v>0</v>
      </c>
      <c r="AM148" s="459">
        <v>0</v>
      </c>
      <c r="AN148" s="459">
        <v>0</v>
      </c>
      <c r="AO148" s="459">
        <v>0</v>
      </c>
      <c r="AP148" s="459">
        <v>0</v>
      </c>
      <c r="AQ148" s="459">
        <v>0</v>
      </c>
      <c r="AR148" s="459">
        <v>0</v>
      </c>
      <c r="AS148" s="459">
        <v>0</v>
      </c>
      <c r="AT148" s="459">
        <v>0</v>
      </c>
      <c r="AU148" s="459">
        <v>0</v>
      </c>
      <c r="AV148" s="459">
        <v>0</v>
      </c>
      <c r="AW148" s="459">
        <v>0</v>
      </c>
      <c r="AX148" s="459">
        <v>0</v>
      </c>
      <c r="AY148" s="459">
        <v>0</v>
      </c>
      <c r="AZ148" s="459">
        <v>0</v>
      </c>
      <c r="BA148" s="459">
        <v>0</v>
      </c>
      <c r="BB148" s="459">
        <v>0</v>
      </c>
      <c r="BC148" s="2790"/>
      <c r="BD148" s="450"/>
    </row>
    <row r="149" spans="2:56" s="415" customFormat="1" ht="15" customHeight="1" outlineLevel="3">
      <c r="B149" s="463"/>
      <c r="C149" s="464" t="s">
        <v>1910</v>
      </c>
      <c r="D149" s="465" t="s">
        <v>1911</v>
      </c>
      <c r="E149" s="466">
        <f>E146+E147+E148</f>
        <v>0</v>
      </c>
      <c r="F149" s="466">
        <f t="shared" ref="F149:BB149" si="75">F146+F147+F148</f>
        <v>0</v>
      </c>
      <c r="G149" s="466">
        <f t="shared" si="75"/>
        <v>0</v>
      </c>
      <c r="H149" s="466">
        <f t="shared" si="75"/>
        <v>0</v>
      </c>
      <c r="I149" s="466">
        <f t="shared" si="75"/>
        <v>0</v>
      </c>
      <c r="J149" s="466">
        <f t="shared" si="75"/>
        <v>0</v>
      </c>
      <c r="K149" s="466">
        <f t="shared" si="75"/>
        <v>0</v>
      </c>
      <c r="L149" s="466">
        <f t="shared" si="75"/>
        <v>0</v>
      </c>
      <c r="M149" s="466">
        <f t="shared" si="75"/>
        <v>0</v>
      </c>
      <c r="N149" s="466">
        <f t="shared" si="75"/>
        <v>0</v>
      </c>
      <c r="O149" s="466">
        <f t="shared" si="75"/>
        <v>0</v>
      </c>
      <c r="P149" s="466">
        <f t="shared" si="75"/>
        <v>0</v>
      </c>
      <c r="Q149" s="466">
        <f t="shared" si="75"/>
        <v>0</v>
      </c>
      <c r="R149" s="466">
        <f t="shared" si="75"/>
        <v>0</v>
      </c>
      <c r="S149" s="466">
        <f t="shared" si="75"/>
        <v>0</v>
      </c>
      <c r="T149" s="466">
        <f t="shared" si="75"/>
        <v>0</v>
      </c>
      <c r="U149" s="466">
        <f t="shared" si="75"/>
        <v>0</v>
      </c>
      <c r="V149" s="466">
        <f t="shared" si="75"/>
        <v>0</v>
      </c>
      <c r="W149" s="466">
        <f t="shared" si="75"/>
        <v>0</v>
      </c>
      <c r="X149" s="466">
        <f t="shared" si="75"/>
        <v>0</v>
      </c>
      <c r="Y149" s="466">
        <f t="shared" si="75"/>
        <v>0</v>
      </c>
      <c r="Z149" s="466">
        <f t="shared" si="75"/>
        <v>0</v>
      </c>
      <c r="AA149" s="466">
        <f t="shared" si="75"/>
        <v>0</v>
      </c>
      <c r="AB149" s="466">
        <f t="shared" si="75"/>
        <v>0</v>
      </c>
      <c r="AC149" s="466">
        <f t="shared" si="75"/>
        <v>0</v>
      </c>
      <c r="AD149" s="466">
        <f t="shared" si="75"/>
        <v>0</v>
      </c>
      <c r="AE149" s="467">
        <f t="shared" si="75"/>
        <v>0</v>
      </c>
      <c r="AF149" s="466">
        <f t="shared" si="75"/>
        <v>0</v>
      </c>
      <c r="AG149" s="466">
        <f t="shared" si="75"/>
        <v>0</v>
      </c>
      <c r="AH149" s="466">
        <f t="shared" si="75"/>
        <v>0</v>
      </c>
      <c r="AI149" s="466">
        <f t="shared" si="75"/>
        <v>0</v>
      </c>
      <c r="AJ149" s="466">
        <f t="shared" si="75"/>
        <v>0</v>
      </c>
      <c r="AK149" s="466">
        <f t="shared" si="75"/>
        <v>0</v>
      </c>
      <c r="AL149" s="466">
        <f t="shared" si="75"/>
        <v>0</v>
      </c>
      <c r="AM149" s="466">
        <f t="shared" si="75"/>
        <v>0</v>
      </c>
      <c r="AN149" s="466">
        <f t="shared" si="75"/>
        <v>0</v>
      </c>
      <c r="AO149" s="466">
        <f t="shared" si="75"/>
        <v>0</v>
      </c>
      <c r="AP149" s="466">
        <f t="shared" si="75"/>
        <v>0</v>
      </c>
      <c r="AQ149" s="466">
        <f t="shared" ref="AQ149:AZ149" si="76">AQ146+AQ147+AQ148</f>
        <v>0</v>
      </c>
      <c r="AR149" s="466">
        <f t="shared" si="76"/>
        <v>0</v>
      </c>
      <c r="AS149" s="466">
        <f t="shared" si="76"/>
        <v>0</v>
      </c>
      <c r="AT149" s="466">
        <f t="shared" si="76"/>
        <v>0</v>
      </c>
      <c r="AU149" s="466">
        <f t="shared" si="76"/>
        <v>0</v>
      </c>
      <c r="AV149" s="466">
        <f t="shared" si="76"/>
        <v>0</v>
      </c>
      <c r="AW149" s="466">
        <f t="shared" si="76"/>
        <v>0</v>
      </c>
      <c r="AX149" s="466">
        <f t="shared" si="76"/>
        <v>0</v>
      </c>
      <c r="AY149" s="466">
        <f t="shared" si="76"/>
        <v>0</v>
      </c>
      <c r="AZ149" s="466">
        <f t="shared" si="76"/>
        <v>0</v>
      </c>
      <c r="BA149" s="466">
        <f t="shared" si="75"/>
        <v>0</v>
      </c>
      <c r="BB149" s="466">
        <f t="shared" si="75"/>
        <v>0</v>
      </c>
      <c r="BC149" s="2791"/>
      <c r="BD149" s="420"/>
    </row>
    <row r="150" spans="2:56" ht="15" customHeight="1" outlineLevel="3">
      <c r="B150" s="456"/>
      <c r="C150" s="464" t="s">
        <v>1930</v>
      </c>
      <c r="D150" s="465" t="s">
        <v>1913</v>
      </c>
      <c r="E150" s="466">
        <v>0</v>
      </c>
      <c r="F150" s="466">
        <v>0</v>
      </c>
      <c r="G150" s="466">
        <v>0</v>
      </c>
      <c r="H150" s="466">
        <v>0</v>
      </c>
      <c r="I150" s="466">
        <v>0</v>
      </c>
      <c r="J150" s="466">
        <v>0</v>
      </c>
      <c r="K150" s="466">
        <v>0</v>
      </c>
      <c r="L150" s="466">
        <v>0</v>
      </c>
      <c r="M150" s="466">
        <v>0</v>
      </c>
      <c r="N150" s="466">
        <v>0</v>
      </c>
      <c r="O150" s="466">
        <v>0</v>
      </c>
      <c r="P150" s="466">
        <v>0</v>
      </c>
      <c r="Q150" s="466">
        <v>0</v>
      </c>
      <c r="R150" s="466">
        <v>0</v>
      </c>
      <c r="S150" s="466">
        <v>0</v>
      </c>
      <c r="T150" s="466">
        <v>0</v>
      </c>
      <c r="U150" s="466">
        <v>0</v>
      </c>
      <c r="V150" s="466">
        <v>0</v>
      </c>
      <c r="W150" s="466">
        <v>0</v>
      </c>
      <c r="X150" s="466">
        <v>0</v>
      </c>
      <c r="Y150" s="466">
        <v>0</v>
      </c>
      <c r="Z150" s="466">
        <v>0</v>
      </c>
      <c r="AA150" s="466">
        <v>0</v>
      </c>
      <c r="AB150" s="466">
        <v>0</v>
      </c>
      <c r="AC150" s="466">
        <v>0</v>
      </c>
      <c r="AD150" s="466">
        <v>0</v>
      </c>
      <c r="AE150" s="467">
        <v>0</v>
      </c>
      <c r="AF150" s="466">
        <v>0</v>
      </c>
      <c r="AG150" s="466">
        <v>0</v>
      </c>
      <c r="AH150" s="466">
        <v>0</v>
      </c>
      <c r="AI150" s="466">
        <v>0</v>
      </c>
      <c r="AJ150" s="466">
        <v>0</v>
      </c>
      <c r="AK150" s="466">
        <v>0</v>
      </c>
      <c r="AL150" s="466">
        <v>0</v>
      </c>
      <c r="AM150" s="466">
        <v>0</v>
      </c>
      <c r="AN150" s="466">
        <v>0</v>
      </c>
      <c r="AO150" s="466">
        <v>0</v>
      </c>
      <c r="AP150" s="466">
        <v>0</v>
      </c>
      <c r="AQ150" s="466">
        <v>0</v>
      </c>
      <c r="AR150" s="466">
        <v>0</v>
      </c>
      <c r="AS150" s="466">
        <v>0</v>
      </c>
      <c r="AT150" s="466">
        <v>0</v>
      </c>
      <c r="AU150" s="466">
        <v>0</v>
      </c>
      <c r="AV150" s="466">
        <v>0</v>
      </c>
      <c r="AW150" s="466">
        <v>0</v>
      </c>
      <c r="AX150" s="466">
        <v>0</v>
      </c>
      <c r="AY150" s="466">
        <v>0</v>
      </c>
      <c r="AZ150" s="466">
        <v>0</v>
      </c>
      <c r="BA150" s="466">
        <v>0</v>
      </c>
      <c r="BB150" s="466">
        <v>0</v>
      </c>
      <c r="BC150" s="2790"/>
      <c r="BD150" s="450"/>
    </row>
    <row r="151" spans="2:56" ht="15" customHeight="1" outlineLevel="3">
      <c r="B151" s="456"/>
      <c r="C151" s="457" t="s">
        <v>1914</v>
      </c>
      <c r="D151" s="458" t="s">
        <v>1915</v>
      </c>
      <c r="E151" s="459">
        <v>0</v>
      </c>
      <c r="F151" s="459">
        <v>0</v>
      </c>
      <c r="G151" s="459">
        <v>0</v>
      </c>
      <c r="H151" s="459">
        <v>0</v>
      </c>
      <c r="I151" s="459">
        <v>0</v>
      </c>
      <c r="J151" s="459">
        <v>0</v>
      </c>
      <c r="K151" s="459">
        <v>0</v>
      </c>
      <c r="L151" s="459">
        <v>0</v>
      </c>
      <c r="M151" s="459">
        <v>0</v>
      </c>
      <c r="N151" s="459">
        <v>0</v>
      </c>
      <c r="O151" s="459">
        <v>0</v>
      </c>
      <c r="P151" s="459">
        <v>0</v>
      </c>
      <c r="Q151" s="459">
        <v>0</v>
      </c>
      <c r="R151" s="459">
        <v>0</v>
      </c>
      <c r="S151" s="459">
        <v>0</v>
      </c>
      <c r="T151" s="459">
        <v>0</v>
      </c>
      <c r="U151" s="459">
        <v>0</v>
      </c>
      <c r="V151" s="459">
        <v>0</v>
      </c>
      <c r="W151" s="459">
        <v>0</v>
      </c>
      <c r="X151" s="459">
        <v>0</v>
      </c>
      <c r="Y151" s="459">
        <v>0</v>
      </c>
      <c r="Z151" s="459">
        <v>0</v>
      </c>
      <c r="AA151" s="459">
        <v>0</v>
      </c>
      <c r="AB151" s="459">
        <v>0</v>
      </c>
      <c r="AC151" s="459">
        <v>0</v>
      </c>
      <c r="AD151" s="459">
        <v>0</v>
      </c>
      <c r="AE151" s="460">
        <v>0</v>
      </c>
      <c r="AF151" s="459">
        <v>0</v>
      </c>
      <c r="AG151" s="459">
        <v>0</v>
      </c>
      <c r="AH151" s="459">
        <v>0</v>
      </c>
      <c r="AI151" s="459">
        <v>0</v>
      </c>
      <c r="AJ151" s="459">
        <v>0</v>
      </c>
      <c r="AK151" s="459">
        <v>0</v>
      </c>
      <c r="AL151" s="459">
        <v>0</v>
      </c>
      <c r="AM151" s="459">
        <v>0</v>
      </c>
      <c r="AN151" s="459">
        <v>0</v>
      </c>
      <c r="AO151" s="459">
        <v>0</v>
      </c>
      <c r="AP151" s="459">
        <v>0</v>
      </c>
      <c r="AQ151" s="459">
        <v>0</v>
      </c>
      <c r="AR151" s="459">
        <v>0</v>
      </c>
      <c r="AS151" s="459">
        <v>0</v>
      </c>
      <c r="AT151" s="459">
        <v>0</v>
      </c>
      <c r="AU151" s="459">
        <v>0</v>
      </c>
      <c r="AV151" s="459">
        <v>0</v>
      </c>
      <c r="AW151" s="459">
        <v>0</v>
      </c>
      <c r="AX151" s="459">
        <v>0</v>
      </c>
      <c r="AY151" s="459">
        <v>0</v>
      </c>
      <c r="AZ151" s="459">
        <v>0</v>
      </c>
      <c r="BA151" s="459">
        <v>0</v>
      </c>
      <c r="BB151" s="459">
        <v>0</v>
      </c>
      <c r="BC151" s="2790"/>
      <c r="BD151" s="450"/>
    </row>
    <row r="152" spans="2:56" s="415" customFormat="1" ht="15" customHeight="1" outlineLevel="3">
      <c r="B152" s="463"/>
      <c r="C152" s="464" t="s">
        <v>1916</v>
      </c>
      <c r="D152" s="465" t="s">
        <v>1917</v>
      </c>
      <c r="E152" s="466">
        <f>E149+E150+E151</f>
        <v>0</v>
      </c>
      <c r="F152" s="466">
        <f t="shared" ref="F152:BB152" si="77">F149+F150+F151</f>
        <v>0</v>
      </c>
      <c r="G152" s="466">
        <f t="shared" si="77"/>
        <v>0</v>
      </c>
      <c r="H152" s="466">
        <f t="shared" si="77"/>
        <v>0</v>
      </c>
      <c r="I152" s="466">
        <f t="shared" si="77"/>
        <v>0</v>
      </c>
      <c r="J152" s="466">
        <f t="shared" si="77"/>
        <v>0</v>
      </c>
      <c r="K152" s="466">
        <f t="shared" si="77"/>
        <v>0</v>
      </c>
      <c r="L152" s="466">
        <f t="shared" si="77"/>
        <v>0</v>
      </c>
      <c r="M152" s="466">
        <f t="shared" si="77"/>
        <v>0</v>
      </c>
      <c r="N152" s="466">
        <f t="shared" si="77"/>
        <v>0</v>
      </c>
      <c r="O152" s="466">
        <f t="shared" si="77"/>
        <v>0</v>
      </c>
      <c r="P152" s="466">
        <f t="shared" si="77"/>
        <v>0</v>
      </c>
      <c r="Q152" s="466">
        <f t="shared" si="77"/>
        <v>0</v>
      </c>
      <c r="R152" s="466">
        <f t="shared" si="77"/>
        <v>0</v>
      </c>
      <c r="S152" s="466">
        <f t="shared" si="77"/>
        <v>0</v>
      </c>
      <c r="T152" s="466">
        <f t="shared" si="77"/>
        <v>0</v>
      </c>
      <c r="U152" s="466">
        <f t="shared" si="77"/>
        <v>0</v>
      </c>
      <c r="V152" s="466">
        <f t="shared" si="77"/>
        <v>0</v>
      </c>
      <c r="W152" s="466">
        <f t="shared" si="77"/>
        <v>0</v>
      </c>
      <c r="X152" s="466">
        <f t="shared" si="77"/>
        <v>0</v>
      </c>
      <c r="Y152" s="466">
        <f t="shared" si="77"/>
        <v>0</v>
      </c>
      <c r="Z152" s="466">
        <f t="shared" si="77"/>
        <v>0</v>
      </c>
      <c r="AA152" s="466">
        <f t="shared" si="77"/>
        <v>0</v>
      </c>
      <c r="AB152" s="466">
        <f t="shared" si="77"/>
        <v>0</v>
      </c>
      <c r="AC152" s="466">
        <f t="shared" si="77"/>
        <v>0</v>
      </c>
      <c r="AD152" s="466">
        <f t="shared" si="77"/>
        <v>0</v>
      </c>
      <c r="AE152" s="467">
        <f t="shared" si="77"/>
        <v>0</v>
      </c>
      <c r="AF152" s="466">
        <f t="shared" si="77"/>
        <v>0</v>
      </c>
      <c r="AG152" s="466">
        <f t="shared" si="77"/>
        <v>0</v>
      </c>
      <c r="AH152" s="466">
        <f t="shared" si="77"/>
        <v>0</v>
      </c>
      <c r="AI152" s="466">
        <f t="shared" si="77"/>
        <v>0</v>
      </c>
      <c r="AJ152" s="466">
        <f t="shared" si="77"/>
        <v>0</v>
      </c>
      <c r="AK152" s="466">
        <f t="shared" si="77"/>
        <v>0</v>
      </c>
      <c r="AL152" s="466">
        <f t="shared" si="77"/>
        <v>0</v>
      </c>
      <c r="AM152" s="466">
        <f t="shared" si="77"/>
        <v>0</v>
      </c>
      <c r="AN152" s="466">
        <f t="shared" si="77"/>
        <v>0</v>
      </c>
      <c r="AO152" s="466">
        <f t="shared" si="77"/>
        <v>0</v>
      </c>
      <c r="AP152" s="466">
        <f t="shared" si="77"/>
        <v>0</v>
      </c>
      <c r="AQ152" s="466">
        <f t="shared" ref="AQ152:AZ152" si="78">AQ149+AQ150+AQ151</f>
        <v>0</v>
      </c>
      <c r="AR152" s="466">
        <f t="shared" si="78"/>
        <v>0</v>
      </c>
      <c r="AS152" s="466">
        <f t="shared" si="78"/>
        <v>0</v>
      </c>
      <c r="AT152" s="466">
        <f t="shared" si="78"/>
        <v>0</v>
      </c>
      <c r="AU152" s="466">
        <f t="shared" si="78"/>
        <v>0</v>
      </c>
      <c r="AV152" s="466">
        <f t="shared" si="78"/>
        <v>0</v>
      </c>
      <c r="AW152" s="466">
        <f t="shared" si="78"/>
        <v>0</v>
      </c>
      <c r="AX152" s="466">
        <f t="shared" si="78"/>
        <v>0</v>
      </c>
      <c r="AY152" s="466">
        <f t="shared" si="78"/>
        <v>0</v>
      </c>
      <c r="AZ152" s="466">
        <f t="shared" si="78"/>
        <v>0</v>
      </c>
      <c r="BA152" s="466">
        <f t="shared" si="77"/>
        <v>0</v>
      </c>
      <c r="BB152" s="466">
        <f t="shared" si="77"/>
        <v>0</v>
      </c>
      <c r="BC152" s="2791"/>
      <c r="BD152" s="420"/>
    </row>
    <row r="153" spans="2:56" ht="15" customHeight="1" outlineLevel="3">
      <c r="B153" s="456"/>
      <c r="C153" s="457" t="s">
        <v>1918</v>
      </c>
      <c r="D153" s="458" t="s">
        <v>1919</v>
      </c>
      <c r="E153" s="459">
        <v>0</v>
      </c>
      <c r="F153" s="459">
        <v>0</v>
      </c>
      <c r="G153" s="459">
        <v>0</v>
      </c>
      <c r="H153" s="459">
        <v>0</v>
      </c>
      <c r="I153" s="459">
        <v>0</v>
      </c>
      <c r="J153" s="459">
        <v>0</v>
      </c>
      <c r="K153" s="459">
        <v>0</v>
      </c>
      <c r="L153" s="459">
        <v>0</v>
      </c>
      <c r="M153" s="459">
        <v>0</v>
      </c>
      <c r="N153" s="459">
        <v>0</v>
      </c>
      <c r="O153" s="459">
        <v>0</v>
      </c>
      <c r="P153" s="459">
        <v>0</v>
      </c>
      <c r="Q153" s="459">
        <v>0</v>
      </c>
      <c r="R153" s="459">
        <v>0</v>
      </c>
      <c r="S153" s="459">
        <v>0</v>
      </c>
      <c r="T153" s="459">
        <v>0</v>
      </c>
      <c r="U153" s="459">
        <v>0</v>
      </c>
      <c r="V153" s="459">
        <v>0</v>
      </c>
      <c r="W153" s="459">
        <v>0</v>
      </c>
      <c r="X153" s="459">
        <v>0</v>
      </c>
      <c r="Y153" s="459">
        <v>0</v>
      </c>
      <c r="Z153" s="459">
        <v>0</v>
      </c>
      <c r="AA153" s="459">
        <v>0</v>
      </c>
      <c r="AB153" s="459">
        <v>0</v>
      </c>
      <c r="AC153" s="459">
        <v>0</v>
      </c>
      <c r="AD153" s="459">
        <v>0</v>
      </c>
      <c r="AE153" s="460">
        <v>0</v>
      </c>
      <c r="AF153" s="459">
        <v>0</v>
      </c>
      <c r="AG153" s="459">
        <v>0</v>
      </c>
      <c r="AH153" s="459">
        <v>0</v>
      </c>
      <c r="AI153" s="459">
        <v>0</v>
      </c>
      <c r="AJ153" s="459">
        <v>0</v>
      </c>
      <c r="AK153" s="459">
        <v>0</v>
      </c>
      <c r="AL153" s="459">
        <v>0</v>
      </c>
      <c r="AM153" s="459">
        <v>0</v>
      </c>
      <c r="AN153" s="459">
        <v>0</v>
      </c>
      <c r="AO153" s="459">
        <v>0</v>
      </c>
      <c r="AP153" s="459">
        <v>0</v>
      </c>
      <c r="AQ153" s="459">
        <v>0</v>
      </c>
      <c r="AR153" s="459">
        <v>0</v>
      </c>
      <c r="AS153" s="459">
        <v>0</v>
      </c>
      <c r="AT153" s="459">
        <v>0</v>
      </c>
      <c r="AU153" s="459">
        <v>0</v>
      </c>
      <c r="AV153" s="459">
        <v>0</v>
      </c>
      <c r="AW153" s="459">
        <v>0</v>
      </c>
      <c r="AX153" s="459">
        <v>0</v>
      </c>
      <c r="AY153" s="459">
        <v>0</v>
      </c>
      <c r="AZ153" s="459">
        <v>0</v>
      </c>
      <c r="BA153" s="459">
        <v>0</v>
      </c>
      <c r="BB153" s="459">
        <v>0</v>
      </c>
      <c r="BC153" s="2790"/>
      <c r="BD153" s="450"/>
    </row>
    <row r="154" spans="2:56" ht="15" customHeight="1" outlineLevel="3">
      <c r="B154" s="456"/>
      <c r="C154" s="457" t="s">
        <v>1920</v>
      </c>
      <c r="D154" s="458" t="s">
        <v>1921</v>
      </c>
      <c r="E154" s="459">
        <v>0</v>
      </c>
      <c r="F154" s="459">
        <v>0</v>
      </c>
      <c r="G154" s="459">
        <v>0</v>
      </c>
      <c r="H154" s="459">
        <v>0</v>
      </c>
      <c r="I154" s="459">
        <v>0</v>
      </c>
      <c r="J154" s="459">
        <v>0</v>
      </c>
      <c r="K154" s="459">
        <v>0</v>
      </c>
      <c r="L154" s="459">
        <v>0</v>
      </c>
      <c r="M154" s="459">
        <v>0</v>
      </c>
      <c r="N154" s="459">
        <v>0</v>
      </c>
      <c r="O154" s="459">
        <v>0</v>
      </c>
      <c r="P154" s="459">
        <v>0</v>
      </c>
      <c r="Q154" s="459">
        <v>0</v>
      </c>
      <c r="R154" s="459">
        <v>0</v>
      </c>
      <c r="S154" s="459">
        <v>0</v>
      </c>
      <c r="T154" s="459">
        <v>0</v>
      </c>
      <c r="U154" s="459">
        <v>0</v>
      </c>
      <c r="V154" s="459">
        <v>0</v>
      </c>
      <c r="W154" s="459">
        <v>0</v>
      </c>
      <c r="X154" s="459">
        <v>0</v>
      </c>
      <c r="Y154" s="459">
        <v>0</v>
      </c>
      <c r="Z154" s="459">
        <v>0</v>
      </c>
      <c r="AA154" s="459">
        <v>0</v>
      </c>
      <c r="AB154" s="459">
        <v>0</v>
      </c>
      <c r="AC154" s="459">
        <v>0</v>
      </c>
      <c r="AD154" s="459">
        <v>0</v>
      </c>
      <c r="AE154" s="460">
        <v>0</v>
      </c>
      <c r="AF154" s="459">
        <v>0</v>
      </c>
      <c r="AG154" s="459">
        <v>0</v>
      </c>
      <c r="AH154" s="459">
        <v>0</v>
      </c>
      <c r="AI154" s="459">
        <v>0</v>
      </c>
      <c r="AJ154" s="459">
        <v>0</v>
      </c>
      <c r="AK154" s="459">
        <v>0</v>
      </c>
      <c r="AL154" s="459">
        <v>0</v>
      </c>
      <c r="AM154" s="459">
        <v>0</v>
      </c>
      <c r="AN154" s="459">
        <v>0</v>
      </c>
      <c r="AO154" s="459">
        <v>0</v>
      </c>
      <c r="AP154" s="459">
        <v>0</v>
      </c>
      <c r="AQ154" s="459">
        <v>0</v>
      </c>
      <c r="AR154" s="459">
        <v>0</v>
      </c>
      <c r="AS154" s="459">
        <v>0</v>
      </c>
      <c r="AT154" s="459">
        <v>0</v>
      </c>
      <c r="AU154" s="459">
        <v>0</v>
      </c>
      <c r="AV154" s="459">
        <v>0</v>
      </c>
      <c r="AW154" s="459">
        <v>0</v>
      </c>
      <c r="AX154" s="459">
        <v>0</v>
      </c>
      <c r="AY154" s="459">
        <v>0</v>
      </c>
      <c r="AZ154" s="459">
        <v>0</v>
      </c>
      <c r="BA154" s="459">
        <v>0</v>
      </c>
      <c r="BB154" s="459">
        <v>0</v>
      </c>
      <c r="BC154" s="2790"/>
      <c r="BD154" s="450"/>
    </row>
    <row r="155" spans="2:56" ht="15" customHeight="1" outlineLevel="3">
      <c r="B155" s="456"/>
      <c r="C155" s="457" t="s">
        <v>1922</v>
      </c>
      <c r="D155" s="458" t="s">
        <v>1923</v>
      </c>
      <c r="E155" s="459">
        <v>0</v>
      </c>
      <c r="F155" s="459">
        <v>0</v>
      </c>
      <c r="G155" s="459">
        <v>0</v>
      </c>
      <c r="H155" s="459">
        <v>0</v>
      </c>
      <c r="I155" s="459">
        <v>0</v>
      </c>
      <c r="J155" s="459">
        <v>0</v>
      </c>
      <c r="K155" s="459">
        <v>0</v>
      </c>
      <c r="L155" s="459">
        <v>0</v>
      </c>
      <c r="M155" s="459">
        <v>0</v>
      </c>
      <c r="N155" s="459">
        <v>0</v>
      </c>
      <c r="O155" s="459">
        <v>0</v>
      </c>
      <c r="P155" s="459">
        <v>0</v>
      </c>
      <c r="Q155" s="459">
        <v>0</v>
      </c>
      <c r="R155" s="459">
        <v>0</v>
      </c>
      <c r="S155" s="459">
        <v>0</v>
      </c>
      <c r="T155" s="459">
        <v>0</v>
      </c>
      <c r="U155" s="459">
        <v>0</v>
      </c>
      <c r="V155" s="459">
        <v>0</v>
      </c>
      <c r="W155" s="459">
        <v>0</v>
      </c>
      <c r="X155" s="459">
        <v>0</v>
      </c>
      <c r="Y155" s="459">
        <v>0</v>
      </c>
      <c r="Z155" s="459">
        <v>0</v>
      </c>
      <c r="AA155" s="459">
        <v>0</v>
      </c>
      <c r="AB155" s="459">
        <v>0</v>
      </c>
      <c r="AC155" s="459">
        <v>0</v>
      </c>
      <c r="AD155" s="459">
        <v>0</v>
      </c>
      <c r="AE155" s="460">
        <v>0</v>
      </c>
      <c r="AF155" s="459">
        <v>0</v>
      </c>
      <c r="AG155" s="459">
        <v>0</v>
      </c>
      <c r="AH155" s="459">
        <v>0</v>
      </c>
      <c r="AI155" s="459">
        <v>0</v>
      </c>
      <c r="AJ155" s="459">
        <v>0</v>
      </c>
      <c r="AK155" s="459">
        <v>0</v>
      </c>
      <c r="AL155" s="459">
        <v>0</v>
      </c>
      <c r="AM155" s="459">
        <v>0</v>
      </c>
      <c r="AN155" s="459">
        <v>0</v>
      </c>
      <c r="AO155" s="459">
        <v>0</v>
      </c>
      <c r="AP155" s="459">
        <v>0</v>
      </c>
      <c r="AQ155" s="459">
        <v>0</v>
      </c>
      <c r="AR155" s="459">
        <v>0</v>
      </c>
      <c r="AS155" s="459">
        <v>0</v>
      </c>
      <c r="AT155" s="459">
        <v>0</v>
      </c>
      <c r="AU155" s="459">
        <v>0</v>
      </c>
      <c r="AV155" s="459">
        <v>0</v>
      </c>
      <c r="AW155" s="459">
        <v>0</v>
      </c>
      <c r="AX155" s="459">
        <v>0</v>
      </c>
      <c r="AY155" s="459">
        <v>0</v>
      </c>
      <c r="AZ155" s="459">
        <v>0</v>
      </c>
      <c r="BA155" s="459">
        <v>0</v>
      </c>
      <c r="BB155" s="459">
        <v>0</v>
      </c>
      <c r="BC155" s="2790"/>
      <c r="BD155" s="450"/>
    </row>
    <row r="156" spans="2:56" s="415" customFormat="1" ht="15" customHeight="1" outlineLevel="2">
      <c r="B156" s="463"/>
      <c r="C156" s="464" t="s">
        <v>1924</v>
      </c>
      <c r="D156" s="465" t="s">
        <v>1925</v>
      </c>
      <c r="E156" s="466">
        <f t="shared" ref="E156:BB156" si="79">E152+E153+E154+E155</f>
        <v>0</v>
      </c>
      <c r="F156" s="466">
        <f t="shared" si="79"/>
        <v>0</v>
      </c>
      <c r="G156" s="466">
        <f t="shared" si="79"/>
        <v>0</v>
      </c>
      <c r="H156" s="466">
        <f t="shared" si="79"/>
        <v>0</v>
      </c>
      <c r="I156" s="466">
        <f t="shared" si="79"/>
        <v>0</v>
      </c>
      <c r="J156" s="466">
        <f t="shared" si="79"/>
        <v>0</v>
      </c>
      <c r="K156" s="466">
        <f t="shared" si="79"/>
        <v>0</v>
      </c>
      <c r="L156" s="466">
        <f t="shared" si="79"/>
        <v>0</v>
      </c>
      <c r="M156" s="466">
        <f t="shared" si="79"/>
        <v>0</v>
      </c>
      <c r="N156" s="466">
        <f t="shared" si="79"/>
        <v>0</v>
      </c>
      <c r="O156" s="466">
        <f t="shared" si="79"/>
        <v>0</v>
      </c>
      <c r="P156" s="466">
        <f t="shared" si="79"/>
        <v>0</v>
      </c>
      <c r="Q156" s="466">
        <f t="shared" si="79"/>
        <v>0</v>
      </c>
      <c r="R156" s="466">
        <f t="shared" si="79"/>
        <v>0</v>
      </c>
      <c r="S156" s="466">
        <f t="shared" si="79"/>
        <v>0</v>
      </c>
      <c r="T156" s="466">
        <f t="shared" si="79"/>
        <v>0</v>
      </c>
      <c r="U156" s="466">
        <f t="shared" si="79"/>
        <v>0</v>
      </c>
      <c r="V156" s="466">
        <f t="shared" si="79"/>
        <v>0</v>
      </c>
      <c r="W156" s="466">
        <f t="shared" si="79"/>
        <v>0</v>
      </c>
      <c r="X156" s="466">
        <f t="shared" si="79"/>
        <v>0</v>
      </c>
      <c r="Y156" s="466">
        <f t="shared" si="79"/>
        <v>0</v>
      </c>
      <c r="Z156" s="466">
        <f t="shared" si="79"/>
        <v>0</v>
      </c>
      <c r="AA156" s="466">
        <f t="shared" si="79"/>
        <v>0</v>
      </c>
      <c r="AB156" s="466">
        <f t="shared" si="79"/>
        <v>0</v>
      </c>
      <c r="AC156" s="466">
        <f t="shared" si="79"/>
        <v>0</v>
      </c>
      <c r="AD156" s="466">
        <f t="shared" si="79"/>
        <v>0</v>
      </c>
      <c r="AE156" s="467">
        <f t="shared" si="79"/>
        <v>0</v>
      </c>
      <c r="AF156" s="466">
        <f t="shared" si="79"/>
        <v>0</v>
      </c>
      <c r="AG156" s="466">
        <f t="shared" si="79"/>
        <v>0</v>
      </c>
      <c r="AH156" s="466">
        <f t="shared" si="79"/>
        <v>0</v>
      </c>
      <c r="AI156" s="466">
        <f t="shared" si="79"/>
        <v>0</v>
      </c>
      <c r="AJ156" s="466">
        <f t="shared" si="79"/>
        <v>0</v>
      </c>
      <c r="AK156" s="466">
        <f t="shared" si="79"/>
        <v>0</v>
      </c>
      <c r="AL156" s="466">
        <f t="shared" si="79"/>
        <v>0</v>
      </c>
      <c r="AM156" s="466">
        <f t="shared" si="79"/>
        <v>0</v>
      </c>
      <c r="AN156" s="466">
        <f t="shared" si="79"/>
        <v>0</v>
      </c>
      <c r="AO156" s="466">
        <f t="shared" si="79"/>
        <v>0</v>
      </c>
      <c r="AP156" s="466">
        <f t="shared" si="79"/>
        <v>0</v>
      </c>
      <c r="AQ156" s="466">
        <f t="shared" ref="AQ156:AZ156" si="80">AQ152+AQ153+AQ154+AQ155</f>
        <v>0</v>
      </c>
      <c r="AR156" s="466">
        <f t="shared" si="80"/>
        <v>0</v>
      </c>
      <c r="AS156" s="466">
        <f t="shared" si="80"/>
        <v>0</v>
      </c>
      <c r="AT156" s="466">
        <f t="shared" si="80"/>
        <v>0</v>
      </c>
      <c r="AU156" s="466">
        <f t="shared" si="80"/>
        <v>0</v>
      </c>
      <c r="AV156" s="466">
        <f t="shared" si="80"/>
        <v>0</v>
      </c>
      <c r="AW156" s="466">
        <f t="shared" si="80"/>
        <v>0</v>
      </c>
      <c r="AX156" s="466">
        <f t="shared" si="80"/>
        <v>0</v>
      </c>
      <c r="AY156" s="466">
        <f t="shared" si="80"/>
        <v>0</v>
      </c>
      <c r="AZ156" s="466">
        <f t="shared" si="80"/>
        <v>0</v>
      </c>
      <c r="BA156" s="466">
        <f t="shared" si="79"/>
        <v>0</v>
      </c>
      <c r="BB156" s="466">
        <f t="shared" si="79"/>
        <v>0</v>
      </c>
      <c r="BC156" s="2791"/>
      <c r="BD156" s="420"/>
    </row>
    <row r="157" spans="2:56" s="415" customFormat="1" ht="15" customHeight="1" outlineLevel="2">
      <c r="B157" s="463"/>
      <c r="C157" s="464" t="s">
        <v>1926</v>
      </c>
      <c r="D157" s="465" t="s">
        <v>1927</v>
      </c>
      <c r="E157" s="466">
        <f>E156</f>
        <v>0</v>
      </c>
      <c r="F157" s="466">
        <f t="shared" ref="F157:BB157" si="81">F156-E156</f>
        <v>0</v>
      </c>
      <c r="G157" s="466">
        <f t="shared" si="81"/>
        <v>0</v>
      </c>
      <c r="H157" s="466">
        <f t="shared" si="81"/>
        <v>0</v>
      </c>
      <c r="I157" s="466">
        <f t="shared" si="81"/>
        <v>0</v>
      </c>
      <c r="J157" s="466">
        <f t="shared" si="81"/>
        <v>0</v>
      </c>
      <c r="K157" s="466">
        <f t="shared" si="81"/>
        <v>0</v>
      </c>
      <c r="L157" s="466">
        <f t="shared" si="81"/>
        <v>0</v>
      </c>
      <c r="M157" s="466">
        <f t="shared" si="81"/>
        <v>0</v>
      </c>
      <c r="N157" s="466">
        <f t="shared" si="81"/>
        <v>0</v>
      </c>
      <c r="O157" s="466">
        <f t="shared" si="81"/>
        <v>0</v>
      </c>
      <c r="P157" s="466">
        <f t="shared" si="81"/>
        <v>0</v>
      </c>
      <c r="Q157" s="466">
        <f t="shared" si="81"/>
        <v>0</v>
      </c>
      <c r="R157" s="466">
        <f t="shared" si="81"/>
        <v>0</v>
      </c>
      <c r="S157" s="466">
        <f t="shared" si="81"/>
        <v>0</v>
      </c>
      <c r="T157" s="466">
        <f t="shared" si="81"/>
        <v>0</v>
      </c>
      <c r="U157" s="466">
        <f t="shared" si="81"/>
        <v>0</v>
      </c>
      <c r="V157" s="466">
        <f t="shared" si="81"/>
        <v>0</v>
      </c>
      <c r="W157" s="466">
        <f t="shared" si="81"/>
        <v>0</v>
      </c>
      <c r="X157" s="466">
        <f t="shared" si="81"/>
        <v>0</v>
      </c>
      <c r="Y157" s="466">
        <f t="shared" si="81"/>
        <v>0</v>
      </c>
      <c r="Z157" s="466">
        <f t="shared" si="81"/>
        <v>0</v>
      </c>
      <c r="AA157" s="466">
        <f t="shared" si="81"/>
        <v>0</v>
      </c>
      <c r="AB157" s="466">
        <f t="shared" si="81"/>
        <v>0</v>
      </c>
      <c r="AC157" s="466">
        <f t="shared" si="81"/>
        <v>0</v>
      </c>
      <c r="AD157" s="466">
        <f t="shared" si="81"/>
        <v>0</v>
      </c>
      <c r="AE157" s="467">
        <f t="shared" si="81"/>
        <v>0</v>
      </c>
      <c r="AF157" s="466">
        <f t="shared" si="81"/>
        <v>0</v>
      </c>
      <c r="AG157" s="466">
        <f t="shared" si="81"/>
        <v>0</v>
      </c>
      <c r="AH157" s="466">
        <f t="shared" si="81"/>
        <v>0</v>
      </c>
      <c r="AI157" s="466">
        <f t="shared" si="81"/>
        <v>0</v>
      </c>
      <c r="AJ157" s="466">
        <f t="shared" si="81"/>
        <v>0</v>
      </c>
      <c r="AK157" s="466">
        <f t="shared" si="81"/>
        <v>0</v>
      </c>
      <c r="AL157" s="466">
        <f t="shared" si="81"/>
        <v>0</v>
      </c>
      <c r="AM157" s="466">
        <f t="shared" si="81"/>
        <v>0</v>
      </c>
      <c r="AN157" s="466">
        <f t="shared" si="81"/>
        <v>0</v>
      </c>
      <c r="AO157" s="466">
        <f t="shared" si="81"/>
        <v>0</v>
      </c>
      <c r="AP157" s="466">
        <f t="shared" si="81"/>
        <v>0</v>
      </c>
      <c r="AQ157" s="466">
        <f t="shared" ref="AQ157:AZ157" si="82">AQ156-AP156</f>
        <v>0</v>
      </c>
      <c r="AR157" s="466">
        <f t="shared" si="82"/>
        <v>0</v>
      </c>
      <c r="AS157" s="466">
        <f t="shared" si="82"/>
        <v>0</v>
      </c>
      <c r="AT157" s="466">
        <f t="shared" si="82"/>
        <v>0</v>
      </c>
      <c r="AU157" s="466">
        <f t="shared" si="82"/>
        <v>0</v>
      </c>
      <c r="AV157" s="466">
        <f t="shared" si="82"/>
        <v>0</v>
      </c>
      <c r="AW157" s="466">
        <f t="shared" si="82"/>
        <v>0</v>
      </c>
      <c r="AX157" s="466">
        <f t="shared" si="82"/>
        <v>0</v>
      </c>
      <c r="AY157" s="466">
        <f t="shared" si="82"/>
        <v>0</v>
      </c>
      <c r="AZ157" s="466">
        <f t="shared" si="82"/>
        <v>0</v>
      </c>
      <c r="BA157" s="466">
        <f>BA156-AP156</f>
        <v>0</v>
      </c>
      <c r="BB157" s="466">
        <f t="shared" si="81"/>
        <v>0</v>
      </c>
      <c r="BC157" s="2791"/>
      <c r="BD157" s="420"/>
    </row>
    <row r="158" spans="2:56" ht="15" customHeight="1" outlineLevel="2">
      <c r="B158" s="456"/>
      <c r="C158" s="457"/>
      <c r="D158" s="458"/>
      <c r="E158" s="459"/>
      <c r="F158" s="459"/>
      <c r="G158" s="459"/>
      <c r="H158" s="459"/>
      <c r="I158" s="459"/>
      <c r="J158" s="459"/>
      <c r="K158" s="459"/>
      <c r="L158" s="459"/>
      <c r="M158" s="459"/>
      <c r="N158" s="459"/>
      <c r="O158" s="459"/>
      <c r="P158" s="459"/>
      <c r="Q158" s="459"/>
      <c r="R158" s="459"/>
      <c r="S158" s="459"/>
      <c r="T158" s="459"/>
      <c r="U158" s="459"/>
      <c r="V158" s="459"/>
      <c r="W158" s="459"/>
      <c r="X158" s="459"/>
      <c r="Y158" s="459"/>
      <c r="Z158" s="459"/>
      <c r="AA158" s="459"/>
      <c r="AB158" s="459"/>
      <c r="AC158" s="459"/>
      <c r="AD158" s="459"/>
      <c r="AE158" s="460"/>
      <c r="AF158" s="459"/>
      <c r="AG158" s="459"/>
      <c r="AH158" s="459"/>
      <c r="AI158" s="459"/>
      <c r="AJ158" s="459"/>
      <c r="AK158" s="459"/>
      <c r="AL158" s="459"/>
      <c r="AM158" s="459"/>
      <c r="AN158" s="459"/>
      <c r="AO158" s="459"/>
      <c r="AP158" s="459"/>
      <c r="AQ158" s="459"/>
      <c r="AR158" s="459"/>
      <c r="AS158" s="459"/>
      <c r="AT158" s="459"/>
      <c r="AU158" s="459"/>
      <c r="AV158" s="459"/>
      <c r="AW158" s="459"/>
      <c r="AX158" s="459"/>
      <c r="AY158" s="459"/>
      <c r="AZ158" s="459"/>
      <c r="BA158" s="459"/>
      <c r="BB158" s="459"/>
      <c r="BC158" s="2788"/>
      <c r="BD158" s="450"/>
    </row>
    <row r="159" spans="2:56" outlineLevel="1">
      <c r="B159" s="451">
        <v>500</v>
      </c>
      <c r="C159" s="452" t="s">
        <v>1934</v>
      </c>
      <c r="D159" s="453" t="s">
        <v>1896</v>
      </c>
      <c r="E159" s="454">
        <f>E176</f>
        <v>0</v>
      </c>
      <c r="F159" s="454">
        <f>F176</f>
        <v>0</v>
      </c>
      <c r="G159" s="454">
        <f t="shared" ref="G159:BB160" si="83">G176</f>
        <v>0</v>
      </c>
      <c r="H159" s="454">
        <f t="shared" si="83"/>
        <v>0</v>
      </c>
      <c r="I159" s="454">
        <f t="shared" si="83"/>
        <v>0</v>
      </c>
      <c r="J159" s="454">
        <f t="shared" si="83"/>
        <v>0</v>
      </c>
      <c r="K159" s="454">
        <f t="shared" si="83"/>
        <v>0</v>
      </c>
      <c r="L159" s="454">
        <f t="shared" si="83"/>
        <v>0</v>
      </c>
      <c r="M159" s="454">
        <f t="shared" si="83"/>
        <v>0</v>
      </c>
      <c r="N159" s="454">
        <f t="shared" si="83"/>
        <v>0</v>
      </c>
      <c r="O159" s="454">
        <f t="shared" si="83"/>
        <v>0</v>
      </c>
      <c r="P159" s="454">
        <f t="shared" si="83"/>
        <v>0</v>
      </c>
      <c r="Q159" s="454">
        <f t="shared" si="83"/>
        <v>0</v>
      </c>
      <c r="R159" s="454">
        <f t="shared" si="83"/>
        <v>0</v>
      </c>
      <c r="S159" s="454">
        <f t="shared" si="83"/>
        <v>0</v>
      </c>
      <c r="T159" s="454">
        <f t="shared" si="83"/>
        <v>0</v>
      </c>
      <c r="U159" s="454">
        <f t="shared" si="83"/>
        <v>0</v>
      </c>
      <c r="V159" s="454">
        <f t="shared" si="83"/>
        <v>0</v>
      </c>
      <c r="W159" s="454">
        <f t="shared" si="83"/>
        <v>0</v>
      </c>
      <c r="X159" s="454">
        <f t="shared" si="83"/>
        <v>0</v>
      </c>
      <c r="Y159" s="454">
        <f t="shared" si="83"/>
        <v>0</v>
      </c>
      <c r="Z159" s="454">
        <f t="shared" si="83"/>
        <v>0</v>
      </c>
      <c r="AA159" s="454">
        <f t="shared" si="83"/>
        <v>0</v>
      </c>
      <c r="AB159" s="454">
        <f t="shared" si="83"/>
        <v>0</v>
      </c>
      <c r="AC159" s="454">
        <f t="shared" si="83"/>
        <v>0</v>
      </c>
      <c r="AD159" s="454">
        <f t="shared" si="83"/>
        <v>0</v>
      </c>
      <c r="AE159" s="455">
        <f t="shared" si="83"/>
        <v>0</v>
      </c>
      <c r="AF159" s="454">
        <f t="shared" si="83"/>
        <v>0</v>
      </c>
      <c r="AG159" s="454">
        <f t="shared" si="83"/>
        <v>0</v>
      </c>
      <c r="AH159" s="454">
        <f t="shared" si="83"/>
        <v>0</v>
      </c>
      <c r="AI159" s="454">
        <f t="shared" si="83"/>
        <v>0</v>
      </c>
      <c r="AJ159" s="454">
        <f t="shared" si="83"/>
        <v>0</v>
      </c>
      <c r="AK159" s="454">
        <f t="shared" si="83"/>
        <v>0</v>
      </c>
      <c r="AL159" s="454">
        <f t="shared" si="83"/>
        <v>0</v>
      </c>
      <c r="AM159" s="454">
        <f t="shared" si="83"/>
        <v>0</v>
      </c>
      <c r="AN159" s="454">
        <f t="shared" si="83"/>
        <v>0</v>
      </c>
      <c r="AO159" s="454">
        <f t="shared" si="83"/>
        <v>0</v>
      </c>
      <c r="AP159" s="454">
        <f t="shared" si="83"/>
        <v>0</v>
      </c>
      <c r="AQ159" s="454">
        <f t="shared" ref="AQ159:AZ159" si="84">AQ176</f>
        <v>0</v>
      </c>
      <c r="AR159" s="454">
        <f t="shared" si="84"/>
        <v>0</v>
      </c>
      <c r="AS159" s="454">
        <f t="shared" si="84"/>
        <v>0</v>
      </c>
      <c r="AT159" s="454">
        <f t="shared" si="84"/>
        <v>0</v>
      </c>
      <c r="AU159" s="454">
        <f t="shared" si="84"/>
        <v>0</v>
      </c>
      <c r="AV159" s="454">
        <f t="shared" si="84"/>
        <v>0</v>
      </c>
      <c r="AW159" s="454">
        <f t="shared" si="84"/>
        <v>0</v>
      </c>
      <c r="AX159" s="454">
        <f t="shared" si="84"/>
        <v>0</v>
      </c>
      <c r="AY159" s="454">
        <f t="shared" si="84"/>
        <v>0</v>
      </c>
      <c r="AZ159" s="454">
        <f t="shared" si="84"/>
        <v>0</v>
      </c>
      <c r="BA159" s="454">
        <f t="shared" si="83"/>
        <v>0</v>
      </c>
      <c r="BB159" s="454">
        <f t="shared" si="83"/>
        <v>0</v>
      </c>
      <c r="BC159" s="2788">
        <f>AA159</f>
        <v>0</v>
      </c>
      <c r="BD159" s="450"/>
    </row>
    <row r="160" spans="2:56" outlineLevel="1">
      <c r="B160" s="451"/>
      <c r="C160" s="452"/>
      <c r="D160" s="453" t="s">
        <v>1897</v>
      </c>
      <c r="E160" s="454">
        <f>E177</f>
        <v>0</v>
      </c>
      <c r="F160" s="454">
        <f>F177</f>
        <v>0</v>
      </c>
      <c r="G160" s="454">
        <f t="shared" si="83"/>
        <v>0</v>
      </c>
      <c r="H160" s="454">
        <f t="shared" si="83"/>
        <v>0</v>
      </c>
      <c r="I160" s="454">
        <f t="shared" si="83"/>
        <v>0</v>
      </c>
      <c r="J160" s="454">
        <f t="shared" si="83"/>
        <v>0</v>
      </c>
      <c r="K160" s="454">
        <f t="shared" si="83"/>
        <v>0</v>
      </c>
      <c r="L160" s="454">
        <f t="shared" si="83"/>
        <v>0</v>
      </c>
      <c r="M160" s="454">
        <f t="shared" si="83"/>
        <v>0</v>
      </c>
      <c r="N160" s="454">
        <f t="shared" si="83"/>
        <v>0</v>
      </c>
      <c r="O160" s="454">
        <f t="shared" si="83"/>
        <v>0</v>
      </c>
      <c r="P160" s="454">
        <f t="shared" si="83"/>
        <v>0</v>
      </c>
      <c r="Q160" s="454">
        <f t="shared" si="83"/>
        <v>0</v>
      </c>
      <c r="R160" s="454">
        <f t="shared" si="83"/>
        <v>0</v>
      </c>
      <c r="S160" s="454">
        <f t="shared" si="83"/>
        <v>0</v>
      </c>
      <c r="T160" s="454">
        <f t="shared" si="83"/>
        <v>0</v>
      </c>
      <c r="U160" s="454">
        <f t="shared" si="83"/>
        <v>0</v>
      </c>
      <c r="V160" s="454">
        <f t="shared" si="83"/>
        <v>0</v>
      </c>
      <c r="W160" s="454">
        <f t="shared" si="83"/>
        <v>0</v>
      </c>
      <c r="X160" s="454">
        <f t="shared" si="83"/>
        <v>0</v>
      </c>
      <c r="Y160" s="454">
        <f t="shared" si="83"/>
        <v>0</v>
      </c>
      <c r="Z160" s="454">
        <f t="shared" si="83"/>
        <v>0</v>
      </c>
      <c r="AA160" s="454">
        <f t="shared" si="83"/>
        <v>0</v>
      </c>
      <c r="AB160" s="454">
        <f t="shared" si="83"/>
        <v>0</v>
      </c>
      <c r="AC160" s="454">
        <f t="shared" si="83"/>
        <v>0</v>
      </c>
      <c r="AD160" s="454">
        <f t="shared" si="83"/>
        <v>0</v>
      </c>
      <c r="AE160" s="455">
        <f t="shared" si="83"/>
        <v>0</v>
      </c>
      <c r="AF160" s="454">
        <f t="shared" si="83"/>
        <v>0</v>
      </c>
      <c r="AG160" s="454">
        <f t="shared" si="83"/>
        <v>0</v>
      </c>
      <c r="AH160" s="454">
        <f t="shared" si="83"/>
        <v>0</v>
      </c>
      <c r="AI160" s="454">
        <f t="shared" si="83"/>
        <v>0</v>
      </c>
      <c r="AJ160" s="454">
        <f t="shared" si="83"/>
        <v>0</v>
      </c>
      <c r="AK160" s="454">
        <f t="shared" si="83"/>
        <v>0</v>
      </c>
      <c r="AL160" s="454">
        <f t="shared" si="83"/>
        <v>0</v>
      </c>
      <c r="AM160" s="454">
        <f t="shared" si="83"/>
        <v>0</v>
      </c>
      <c r="AN160" s="454">
        <f t="shared" si="83"/>
        <v>0</v>
      </c>
      <c r="AO160" s="454">
        <f t="shared" si="83"/>
        <v>0</v>
      </c>
      <c r="AP160" s="454">
        <f t="shared" si="83"/>
        <v>0</v>
      </c>
      <c r="AQ160" s="454">
        <f t="shared" ref="AQ160:AZ160" si="85">AQ177</f>
        <v>0</v>
      </c>
      <c r="AR160" s="454">
        <f t="shared" si="85"/>
        <v>0</v>
      </c>
      <c r="AS160" s="454">
        <f t="shared" si="85"/>
        <v>0</v>
      </c>
      <c r="AT160" s="454">
        <f t="shared" si="85"/>
        <v>0</v>
      </c>
      <c r="AU160" s="454">
        <f t="shared" si="85"/>
        <v>0</v>
      </c>
      <c r="AV160" s="454">
        <f t="shared" si="85"/>
        <v>0</v>
      </c>
      <c r="AW160" s="454">
        <f t="shared" si="85"/>
        <v>0</v>
      </c>
      <c r="AX160" s="454">
        <f t="shared" si="85"/>
        <v>0</v>
      </c>
      <c r="AY160" s="454">
        <f t="shared" si="85"/>
        <v>0</v>
      </c>
      <c r="AZ160" s="454">
        <f t="shared" si="85"/>
        <v>0</v>
      </c>
      <c r="BA160" s="454">
        <f t="shared" si="83"/>
        <v>0</v>
      </c>
      <c r="BB160" s="454">
        <f t="shared" si="83"/>
        <v>0</v>
      </c>
      <c r="BC160" s="2788"/>
      <c r="BD160" s="450"/>
    </row>
    <row r="161" spans="2:56" ht="15" customHeight="1" outlineLevel="2">
      <c r="B161" s="456"/>
      <c r="C161" s="457"/>
      <c r="D161" s="458"/>
      <c r="E161" s="471"/>
      <c r="F161" s="471"/>
      <c r="G161" s="471"/>
      <c r="H161" s="471"/>
      <c r="I161" s="471"/>
      <c r="J161" s="471"/>
      <c r="K161" s="471"/>
      <c r="L161" s="471"/>
      <c r="M161" s="471"/>
      <c r="N161" s="471"/>
      <c r="O161" s="471"/>
      <c r="P161" s="471"/>
      <c r="Q161" s="471"/>
      <c r="R161" s="471"/>
      <c r="S161" s="471"/>
      <c r="T161" s="471"/>
      <c r="U161" s="471"/>
      <c r="V161" s="471"/>
      <c r="W161" s="471"/>
      <c r="X161" s="471"/>
      <c r="Y161" s="471"/>
      <c r="Z161" s="471"/>
      <c r="AA161" s="471"/>
      <c r="AB161" s="471"/>
      <c r="AC161" s="471"/>
      <c r="AD161" s="471"/>
      <c r="AE161" s="472"/>
      <c r="AF161" s="471"/>
      <c r="AG161" s="471"/>
      <c r="AH161" s="471"/>
      <c r="AI161" s="471"/>
      <c r="AJ161" s="471"/>
      <c r="AK161" s="471"/>
      <c r="AL161" s="471"/>
      <c r="AM161" s="471"/>
      <c r="AN161" s="471"/>
      <c r="AO161" s="471"/>
      <c r="AP161" s="471"/>
      <c r="AQ161" s="471"/>
      <c r="AR161" s="471"/>
      <c r="AS161" s="471"/>
      <c r="AT161" s="471"/>
      <c r="AU161" s="471"/>
      <c r="AV161" s="471"/>
      <c r="AW161" s="471"/>
      <c r="AX161" s="471"/>
      <c r="AY161" s="471"/>
      <c r="AZ161" s="471"/>
      <c r="BA161" s="471"/>
      <c r="BB161" s="471"/>
      <c r="BC161" s="2788"/>
      <c r="BD161" s="450"/>
    </row>
    <row r="162" spans="2:56" ht="15" customHeight="1" outlineLevel="2">
      <c r="B162" s="479">
        <v>500.1</v>
      </c>
      <c r="C162" s="462" t="s">
        <v>1935</v>
      </c>
      <c r="D162" s="480"/>
      <c r="E162" s="481"/>
      <c r="F162" s="481"/>
      <c r="G162" s="481"/>
      <c r="H162" s="481"/>
      <c r="I162" s="481"/>
      <c r="J162" s="481"/>
      <c r="K162" s="481"/>
      <c r="L162" s="481"/>
      <c r="M162" s="481"/>
      <c r="N162" s="481"/>
      <c r="O162" s="481"/>
      <c r="P162" s="481"/>
      <c r="Q162" s="481"/>
      <c r="R162" s="481"/>
      <c r="S162" s="481"/>
      <c r="T162" s="481"/>
      <c r="U162" s="481"/>
      <c r="V162" s="481"/>
      <c r="W162" s="481"/>
      <c r="X162" s="481"/>
      <c r="Y162" s="481"/>
      <c r="Z162" s="481"/>
      <c r="AA162" s="481"/>
      <c r="AB162" s="481"/>
      <c r="AC162" s="481"/>
      <c r="AD162" s="481"/>
      <c r="AE162" s="482"/>
      <c r="AF162" s="481"/>
      <c r="AG162" s="481"/>
      <c r="AH162" s="481"/>
      <c r="AI162" s="481"/>
      <c r="AJ162" s="481"/>
      <c r="AK162" s="481"/>
      <c r="AL162" s="481"/>
      <c r="AM162" s="481"/>
      <c r="AN162" s="481"/>
      <c r="AO162" s="481"/>
      <c r="AP162" s="481"/>
      <c r="AQ162" s="481"/>
      <c r="AR162" s="481"/>
      <c r="AS162" s="481"/>
      <c r="AT162" s="481"/>
      <c r="AU162" s="481"/>
      <c r="AV162" s="481"/>
      <c r="AW162" s="481"/>
      <c r="AX162" s="481"/>
      <c r="AY162" s="481"/>
      <c r="AZ162" s="481"/>
      <c r="BA162" s="481"/>
      <c r="BB162" s="481"/>
      <c r="BC162" s="2788"/>
      <c r="BD162" s="450"/>
    </row>
    <row r="163" spans="2:56" ht="15" customHeight="1" outlineLevel="3">
      <c r="B163" s="456"/>
      <c r="C163" s="457" t="s">
        <v>1898</v>
      </c>
      <c r="D163" s="458" t="s">
        <v>1899</v>
      </c>
      <c r="E163" s="459">
        <v>0</v>
      </c>
      <c r="F163" s="459">
        <v>0</v>
      </c>
      <c r="G163" s="459">
        <v>0</v>
      </c>
      <c r="H163" s="459">
        <v>0</v>
      </c>
      <c r="I163" s="459">
        <v>0</v>
      </c>
      <c r="J163" s="459">
        <v>0</v>
      </c>
      <c r="K163" s="459">
        <v>0</v>
      </c>
      <c r="L163" s="459">
        <v>0</v>
      </c>
      <c r="M163" s="459">
        <v>0</v>
      </c>
      <c r="N163" s="459">
        <v>0</v>
      </c>
      <c r="O163" s="459">
        <v>0</v>
      </c>
      <c r="P163" s="459">
        <v>0</v>
      </c>
      <c r="Q163" s="459">
        <v>0</v>
      </c>
      <c r="R163" s="459">
        <v>0</v>
      </c>
      <c r="S163" s="459">
        <v>0</v>
      </c>
      <c r="T163" s="459">
        <v>0</v>
      </c>
      <c r="U163" s="459">
        <v>0</v>
      </c>
      <c r="V163" s="459">
        <v>0</v>
      </c>
      <c r="W163" s="459">
        <v>0</v>
      </c>
      <c r="X163" s="459">
        <v>0</v>
      </c>
      <c r="Y163" s="459">
        <v>0</v>
      </c>
      <c r="Z163" s="459">
        <v>0</v>
      </c>
      <c r="AA163" s="459">
        <v>0</v>
      </c>
      <c r="AB163" s="459">
        <v>0</v>
      </c>
      <c r="AC163" s="459">
        <v>0</v>
      </c>
      <c r="AD163" s="459">
        <v>0</v>
      </c>
      <c r="AE163" s="460">
        <v>0</v>
      </c>
      <c r="AF163" s="459">
        <v>0</v>
      </c>
      <c r="AG163" s="459">
        <v>0</v>
      </c>
      <c r="AH163" s="459">
        <v>0</v>
      </c>
      <c r="AI163" s="459">
        <v>0</v>
      </c>
      <c r="AJ163" s="459">
        <v>0</v>
      </c>
      <c r="AK163" s="459">
        <v>0</v>
      </c>
      <c r="AL163" s="459">
        <v>0</v>
      </c>
      <c r="AM163" s="459">
        <v>0</v>
      </c>
      <c r="AN163" s="459">
        <v>0</v>
      </c>
      <c r="AO163" s="459">
        <v>0</v>
      </c>
      <c r="AP163" s="459">
        <v>0</v>
      </c>
      <c r="AQ163" s="459">
        <v>0</v>
      </c>
      <c r="AR163" s="459">
        <v>0</v>
      </c>
      <c r="AS163" s="459">
        <v>0</v>
      </c>
      <c r="AT163" s="459">
        <v>0</v>
      </c>
      <c r="AU163" s="459">
        <v>0</v>
      </c>
      <c r="AV163" s="459">
        <v>0</v>
      </c>
      <c r="AW163" s="459">
        <v>0</v>
      </c>
      <c r="AX163" s="459">
        <v>0</v>
      </c>
      <c r="AY163" s="459">
        <v>0</v>
      </c>
      <c r="AZ163" s="459">
        <v>0</v>
      </c>
      <c r="BA163" s="459">
        <v>0</v>
      </c>
      <c r="BB163" s="459">
        <v>0</v>
      </c>
      <c r="BC163" s="2790"/>
      <c r="BD163" s="450"/>
    </row>
    <row r="164" spans="2:56" ht="15" customHeight="1" outlineLevel="3">
      <c r="B164" s="456"/>
      <c r="C164" s="457" t="s">
        <v>1901</v>
      </c>
      <c r="D164" s="458" t="s">
        <v>1902</v>
      </c>
      <c r="E164" s="459">
        <v>0</v>
      </c>
      <c r="F164" s="459">
        <v>0</v>
      </c>
      <c r="G164" s="459">
        <v>0</v>
      </c>
      <c r="H164" s="459">
        <v>0</v>
      </c>
      <c r="I164" s="459">
        <v>0</v>
      </c>
      <c r="J164" s="459">
        <v>0</v>
      </c>
      <c r="K164" s="459">
        <v>0</v>
      </c>
      <c r="L164" s="459">
        <v>0</v>
      </c>
      <c r="M164" s="459">
        <v>0</v>
      </c>
      <c r="N164" s="459">
        <v>0</v>
      </c>
      <c r="O164" s="459">
        <v>0</v>
      </c>
      <c r="P164" s="459">
        <v>0</v>
      </c>
      <c r="Q164" s="459">
        <v>0</v>
      </c>
      <c r="R164" s="459">
        <v>0</v>
      </c>
      <c r="S164" s="459">
        <v>0</v>
      </c>
      <c r="T164" s="459">
        <v>0</v>
      </c>
      <c r="U164" s="459">
        <v>0</v>
      </c>
      <c r="V164" s="459">
        <v>0</v>
      </c>
      <c r="W164" s="459">
        <v>0</v>
      </c>
      <c r="X164" s="459">
        <v>0</v>
      </c>
      <c r="Y164" s="459">
        <v>0</v>
      </c>
      <c r="Z164" s="459">
        <v>0</v>
      </c>
      <c r="AA164" s="459">
        <v>0</v>
      </c>
      <c r="AB164" s="459">
        <v>0</v>
      </c>
      <c r="AC164" s="459">
        <v>0</v>
      </c>
      <c r="AD164" s="459">
        <v>0</v>
      </c>
      <c r="AE164" s="460">
        <v>0</v>
      </c>
      <c r="AF164" s="459">
        <v>0</v>
      </c>
      <c r="AG164" s="459">
        <v>0</v>
      </c>
      <c r="AH164" s="459">
        <v>0</v>
      </c>
      <c r="AI164" s="459">
        <v>0</v>
      </c>
      <c r="AJ164" s="459">
        <v>0</v>
      </c>
      <c r="AK164" s="459">
        <v>0</v>
      </c>
      <c r="AL164" s="459">
        <v>0</v>
      </c>
      <c r="AM164" s="459">
        <v>0</v>
      </c>
      <c r="AN164" s="459">
        <v>0</v>
      </c>
      <c r="AO164" s="459">
        <v>0</v>
      </c>
      <c r="AP164" s="459">
        <v>0</v>
      </c>
      <c r="AQ164" s="459">
        <v>0</v>
      </c>
      <c r="AR164" s="459">
        <v>0</v>
      </c>
      <c r="AS164" s="459">
        <v>0</v>
      </c>
      <c r="AT164" s="459">
        <v>0</v>
      </c>
      <c r="AU164" s="459">
        <v>0</v>
      </c>
      <c r="AV164" s="459">
        <v>0</v>
      </c>
      <c r="AW164" s="459">
        <v>0</v>
      </c>
      <c r="AX164" s="459">
        <v>0</v>
      </c>
      <c r="AY164" s="459">
        <v>0</v>
      </c>
      <c r="AZ164" s="459">
        <v>0</v>
      </c>
      <c r="BA164" s="459">
        <v>0</v>
      </c>
      <c r="BB164" s="459">
        <v>0</v>
      </c>
      <c r="BC164" s="2790"/>
      <c r="BD164" s="450"/>
    </row>
    <row r="165" spans="2:56" ht="15" customHeight="1" outlineLevel="3">
      <c r="B165" s="456"/>
      <c r="C165" s="457" t="s">
        <v>1903</v>
      </c>
      <c r="D165" s="458" t="s">
        <v>1904</v>
      </c>
      <c r="E165" s="459">
        <v>0</v>
      </c>
      <c r="F165" s="459">
        <v>0</v>
      </c>
      <c r="G165" s="459">
        <v>0</v>
      </c>
      <c r="H165" s="459">
        <v>0</v>
      </c>
      <c r="I165" s="459">
        <v>0</v>
      </c>
      <c r="J165" s="459">
        <v>0</v>
      </c>
      <c r="K165" s="459">
        <v>0</v>
      </c>
      <c r="L165" s="459">
        <v>0</v>
      </c>
      <c r="M165" s="459">
        <v>0</v>
      </c>
      <c r="N165" s="459">
        <v>0</v>
      </c>
      <c r="O165" s="459">
        <v>0</v>
      </c>
      <c r="P165" s="459">
        <v>0</v>
      </c>
      <c r="Q165" s="459">
        <v>0</v>
      </c>
      <c r="R165" s="459">
        <v>0</v>
      </c>
      <c r="S165" s="459">
        <v>0</v>
      </c>
      <c r="T165" s="459">
        <v>0</v>
      </c>
      <c r="U165" s="459">
        <v>0</v>
      </c>
      <c r="V165" s="459">
        <v>0</v>
      </c>
      <c r="W165" s="459">
        <v>0</v>
      </c>
      <c r="X165" s="459">
        <v>0</v>
      </c>
      <c r="Y165" s="459">
        <v>0</v>
      </c>
      <c r="Z165" s="459">
        <v>0</v>
      </c>
      <c r="AA165" s="459">
        <v>0</v>
      </c>
      <c r="AB165" s="459">
        <v>0</v>
      </c>
      <c r="AC165" s="459">
        <v>0</v>
      </c>
      <c r="AD165" s="459">
        <v>0</v>
      </c>
      <c r="AE165" s="460">
        <v>0</v>
      </c>
      <c r="AF165" s="459">
        <v>0</v>
      </c>
      <c r="AG165" s="459">
        <v>0</v>
      </c>
      <c r="AH165" s="459">
        <v>0</v>
      </c>
      <c r="AI165" s="459">
        <v>0</v>
      </c>
      <c r="AJ165" s="459">
        <v>0</v>
      </c>
      <c r="AK165" s="459">
        <v>0</v>
      </c>
      <c r="AL165" s="459">
        <v>0</v>
      </c>
      <c r="AM165" s="459">
        <v>0</v>
      </c>
      <c r="AN165" s="459">
        <v>0</v>
      </c>
      <c r="AO165" s="459">
        <v>0</v>
      </c>
      <c r="AP165" s="459">
        <v>0</v>
      </c>
      <c r="AQ165" s="459">
        <v>0</v>
      </c>
      <c r="AR165" s="459">
        <v>0</v>
      </c>
      <c r="AS165" s="459">
        <v>0</v>
      </c>
      <c r="AT165" s="459">
        <v>0</v>
      </c>
      <c r="AU165" s="459">
        <v>0</v>
      </c>
      <c r="AV165" s="459">
        <v>0</v>
      </c>
      <c r="AW165" s="459">
        <v>0</v>
      </c>
      <c r="AX165" s="459">
        <v>0</v>
      </c>
      <c r="AY165" s="459">
        <v>0</v>
      </c>
      <c r="AZ165" s="459">
        <v>0</v>
      </c>
      <c r="BA165" s="459">
        <v>0</v>
      </c>
      <c r="BB165" s="459">
        <v>0</v>
      </c>
      <c r="BC165" s="2790"/>
      <c r="BD165" s="450"/>
    </row>
    <row r="166" spans="2:56" s="415" customFormat="1" ht="15" customHeight="1" outlineLevel="3">
      <c r="B166" s="463"/>
      <c r="C166" s="464" t="s">
        <v>1905</v>
      </c>
      <c r="D166" s="465" t="s">
        <v>1906</v>
      </c>
      <c r="E166" s="466">
        <f>E163+E164+E165</f>
        <v>0</v>
      </c>
      <c r="F166" s="466">
        <f t="shared" ref="F166:BB166" si="86">F163+F164+F165</f>
        <v>0</v>
      </c>
      <c r="G166" s="466">
        <f t="shared" si="86"/>
        <v>0</v>
      </c>
      <c r="H166" s="466">
        <f t="shared" si="86"/>
        <v>0</v>
      </c>
      <c r="I166" s="466">
        <f t="shared" si="86"/>
        <v>0</v>
      </c>
      <c r="J166" s="466">
        <f t="shared" si="86"/>
        <v>0</v>
      </c>
      <c r="K166" s="466">
        <f t="shared" si="86"/>
        <v>0</v>
      </c>
      <c r="L166" s="466">
        <f t="shared" si="86"/>
        <v>0</v>
      </c>
      <c r="M166" s="466">
        <f t="shared" si="86"/>
        <v>0</v>
      </c>
      <c r="N166" s="466">
        <f t="shared" si="86"/>
        <v>0</v>
      </c>
      <c r="O166" s="466">
        <f t="shared" si="86"/>
        <v>0</v>
      </c>
      <c r="P166" s="466">
        <f t="shared" si="86"/>
        <v>0</v>
      </c>
      <c r="Q166" s="466">
        <f t="shared" si="86"/>
        <v>0</v>
      </c>
      <c r="R166" s="466">
        <f t="shared" si="86"/>
        <v>0</v>
      </c>
      <c r="S166" s="466">
        <f t="shared" si="86"/>
        <v>0</v>
      </c>
      <c r="T166" s="466">
        <f t="shared" si="86"/>
        <v>0</v>
      </c>
      <c r="U166" s="466">
        <f t="shared" si="86"/>
        <v>0</v>
      </c>
      <c r="V166" s="466">
        <f t="shared" si="86"/>
        <v>0</v>
      </c>
      <c r="W166" s="466">
        <f t="shared" si="86"/>
        <v>0</v>
      </c>
      <c r="X166" s="466">
        <f t="shared" si="86"/>
        <v>0</v>
      </c>
      <c r="Y166" s="466">
        <f t="shared" si="86"/>
        <v>0</v>
      </c>
      <c r="Z166" s="466">
        <f t="shared" si="86"/>
        <v>0</v>
      </c>
      <c r="AA166" s="466">
        <f t="shared" si="86"/>
        <v>0</v>
      </c>
      <c r="AB166" s="466">
        <f t="shared" si="86"/>
        <v>0</v>
      </c>
      <c r="AC166" s="466">
        <f t="shared" si="86"/>
        <v>0</v>
      </c>
      <c r="AD166" s="466">
        <f t="shared" si="86"/>
        <v>0</v>
      </c>
      <c r="AE166" s="467">
        <f t="shared" si="86"/>
        <v>0</v>
      </c>
      <c r="AF166" s="466">
        <f t="shared" si="86"/>
        <v>0</v>
      </c>
      <c r="AG166" s="466">
        <f t="shared" si="86"/>
        <v>0</v>
      </c>
      <c r="AH166" s="466">
        <f t="shared" si="86"/>
        <v>0</v>
      </c>
      <c r="AI166" s="466">
        <f t="shared" si="86"/>
        <v>0</v>
      </c>
      <c r="AJ166" s="466">
        <f t="shared" si="86"/>
        <v>0</v>
      </c>
      <c r="AK166" s="466">
        <f t="shared" si="86"/>
        <v>0</v>
      </c>
      <c r="AL166" s="466">
        <f t="shared" si="86"/>
        <v>0</v>
      </c>
      <c r="AM166" s="466">
        <f t="shared" si="86"/>
        <v>0</v>
      </c>
      <c r="AN166" s="466">
        <f t="shared" si="86"/>
        <v>0</v>
      </c>
      <c r="AO166" s="466">
        <f t="shared" si="86"/>
        <v>0</v>
      </c>
      <c r="AP166" s="466">
        <f t="shared" si="86"/>
        <v>0</v>
      </c>
      <c r="AQ166" s="466">
        <f t="shared" ref="AQ166:AZ166" si="87">AQ163+AQ164+AQ165</f>
        <v>0</v>
      </c>
      <c r="AR166" s="466">
        <f t="shared" si="87"/>
        <v>0</v>
      </c>
      <c r="AS166" s="466">
        <f t="shared" si="87"/>
        <v>0</v>
      </c>
      <c r="AT166" s="466">
        <f t="shared" si="87"/>
        <v>0</v>
      </c>
      <c r="AU166" s="466">
        <f t="shared" si="87"/>
        <v>0</v>
      </c>
      <c r="AV166" s="466">
        <f t="shared" si="87"/>
        <v>0</v>
      </c>
      <c r="AW166" s="466">
        <f t="shared" si="87"/>
        <v>0</v>
      </c>
      <c r="AX166" s="466">
        <f t="shared" si="87"/>
        <v>0</v>
      </c>
      <c r="AY166" s="466">
        <f t="shared" si="87"/>
        <v>0</v>
      </c>
      <c r="AZ166" s="466">
        <f t="shared" si="87"/>
        <v>0</v>
      </c>
      <c r="BA166" s="466">
        <f t="shared" si="86"/>
        <v>0</v>
      </c>
      <c r="BB166" s="466">
        <f t="shared" si="86"/>
        <v>0</v>
      </c>
      <c r="BC166" s="2791"/>
      <c r="BD166" s="420"/>
    </row>
    <row r="167" spans="2:56" ht="15" customHeight="1" outlineLevel="3">
      <c r="B167" s="456"/>
      <c r="C167" s="464" t="s">
        <v>1907</v>
      </c>
      <c r="D167" s="465" t="s">
        <v>1908</v>
      </c>
      <c r="E167" s="466">
        <v>0</v>
      </c>
      <c r="F167" s="466">
        <v>0</v>
      </c>
      <c r="G167" s="466">
        <v>0</v>
      </c>
      <c r="H167" s="466">
        <v>0</v>
      </c>
      <c r="I167" s="466">
        <v>0</v>
      </c>
      <c r="J167" s="466">
        <v>0</v>
      </c>
      <c r="K167" s="466">
        <v>0</v>
      </c>
      <c r="L167" s="466">
        <v>0</v>
      </c>
      <c r="M167" s="466">
        <v>0</v>
      </c>
      <c r="N167" s="466">
        <v>0</v>
      </c>
      <c r="O167" s="466">
        <v>0</v>
      </c>
      <c r="P167" s="466">
        <v>0</v>
      </c>
      <c r="Q167" s="466">
        <v>0</v>
      </c>
      <c r="R167" s="466">
        <v>0</v>
      </c>
      <c r="S167" s="466">
        <v>0</v>
      </c>
      <c r="T167" s="466">
        <v>0</v>
      </c>
      <c r="U167" s="466">
        <v>0</v>
      </c>
      <c r="V167" s="466">
        <v>0</v>
      </c>
      <c r="W167" s="466">
        <v>0</v>
      </c>
      <c r="X167" s="466">
        <v>0</v>
      </c>
      <c r="Y167" s="466">
        <v>0</v>
      </c>
      <c r="Z167" s="466">
        <v>0</v>
      </c>
      <c r="AA167" s="466">
        <v>0</v>
      </c>
      <c r="AB167" s="466">
        <v>0</v>
      </c>
      <c r="AC167" s="466">
        <v>0</v>
      </c>
      <c r="AD167" s="466">
        <v>0</v>
      </c>
      <c r="AE167" s="467">
        <v>0</v>
      </c>
      <c r="AF167" s="466">
        <v>0</v>
      </c>
      <c r="AG167" s="466">
        <v>0</v>
      </c>
      <c r="AH167" s="466">
        <v>0</v>
      </c>
      <c r="AI167" s="466">
        <v>0</v>
      </c>
      <c r="AJ167" s="466">
        <v>0</v>
      </c>
      <c r="AK167" s="466">
        <v>0</v>
      </c>
      <c r="AL167" s="466">
        <v>0</v>
      </c>
      <c r="AM167" s="466">
        <v>0</v>
      </c>
      <c r="AN167" s="466">
        <v>0</v>
      </c>
      <c r="AO167" s="466">
        <v>0</v>
      </c>
      <c r="AP167" s="466">
        <v>0</v>
      </c>
      <c r="AQ167" s="466">
        <v>0</v>
      </c>
      <c r="AR167" s="466">
        <v>0</v>
      </c>
      <c r="AS167" s="466">
        <v>0</v>
      </c>
      <c r="AT167" s="466">
        <v>0</v>
      </c>
      <c r="AU167" s="466">
        <v>0</v>
      </c>
      <c r="AV167" s="466">
        <v>0</v>
      </c>
      <c r="AW167" s="466">
        <v>0</v>
      </c>
      <c r="AX167" s="466">
        <v>0</v>
      </c>
      <c r="AY167" s="466">
        <v>0</v>
      </c>
      <c r="AZ167" s="466">
        <v>0</v>
      </c>
      <c r="BA167" s="466">
        <v>0</v>
      </c>
      <c r="BB167" s="466">
        <v>0</v>
      </c>
      <c r="BC167" s="2790"/>
      <c r="BD167" s="450"/>
    </row>
    <row r="168" spans="2:56" ht="15" customHeight="1" outlineLevel="3">
      <c r="B168" s="456"/>
      <c r="C168" s="457" t="s">
        <v>1579</v>
      </c>
      <c r="D168" s="458" t="s">
        <v>1909</v>
      </c>
      <c r="E168" s="459">
        <v>0</v>
      </c>
      <c r="F168" s="459">
        <v>0</v>
      </c>
      <c r="G168" s="459">
        <v>0</v>
      </c>
      <c r="H168" s="459">
        <v>0</v>
      </c>
      <c r="I168" s="459">
        <v>0</v>
      </c>
      <c r="J168" s="459">
        <v>0</v>
      </c>
      <c r="K168" s="459">
        <v>0</v>
      </c>
      <c r="L168" s="459">
        <v>0</v>
      </c>
      <c r="M168" s="459">
        <v>0</v>
      </c>
      <c r="N168" s="459">
        <v>0</v>
      </c>
      <c r="O168" s="459">
        <v>0</v>
      </c>
      <c r="P168" s="459">
        <v>0</v>
      </c>
      <c r="Q168" s="459">
        <v>0</v>
      </c>
      <c r="R168" s="459">
        <v>0</v>
      </c>
      <c r="S168" s="459">
        <v>0</v>
      </c>
      <c r="T168" s="459">
        <v>0</v>
      </c>
      <c r="U168" s="459">
        <v>0</v>
      </c>
      <c r="V168" s="459">
        <v>0</v>
      </c>
      <c r="W168" s="459">
        <v>0</v>
      </c>
      <c r="X168" s="459">
        <v>0</v>
      </c>
      <c r="Y168" s="459">
        <v>0</v>
      </c>
      <c r="Z168" s="459">
        <v>0</v>
      </c>
      <c r="AA168" s="459">
        <v>0</v>
      </c>
      <c r="AB168" s="459">
        <v>0</v>
      </c>
      <c r="AC168" s="459">
        <v>0</v>
      </c>
      <c r="AD168" s="459">
        <v>0</v>
      </c>
      <c r="AE168" s="460">
        <v>0</v>
      </c>
      <c r="AF168" s="459">
        <v>0</v>
      </c>
      <c r="AG168" s="459">
        <v>0</v>
      </c>
      <c r="AH168" s="459">
        <v>0</v>
      </c>
      <c r="AI168" s="459">
        <v>0</v>
      </c>
      <c r="AJ168" s="459">
        <v>0</v>
      </c>
      <c r="AK168" s="459">
        <v>0</v>
      </c>
      <c r="AL168" s="459">
        <v>0</v>
      </c>
      <c r="AM168" s="459">
        <v>0</v>
      </c>
      <c r="AN168" s="459">
        <v>0</v>
      </c>
      <c r="AO168" s="459">
        <v>0</v>
      </c>
      <c r="AP168" s="459">
        <v>0</v>
      </c>
      <c r="AQ168" s="459">
        <v>0</v>
      </c>
      <c r="AR168" s="459">
        <v>0</v>
      </c>
      <c r="AS168" s="459">
        <v>0</v>
      </c>
      <c r="AT168" s="459">
        <v>0</v>
      </c>
      <c r="AU168" s="459">
        <v>0</v>
      </c>
      <c r="AV168" s="459">
        <v>0</v>
      </c>
      <c r="AW168" s="459">
        <v>0</v>
      </c>
      <c r="AX168" s="459">
        <v>0</v>
      </c>
      <c r="AY168" s="459">
        <v>0</v>
      </c>
      <c r="AZ168" s="459">
        <v>0</v>
      </c>
      <c r="BA168" s="459">
        <v>0</v>
      </c>
      <c r="BB168" s="459">
        <v>0</v>
      </c>
      <c r="BC168" s="2790"/>
      <c r="BD168" s="450"/>
    </row>
    <row r="169" spans="2:56" s="415" customFormat="1" ht="15" customHeight="1" outlineLevel="3">
      <c r="B169" s="463"/>
      <c r="C169" s="464" t="s">
        <v>1910</v>
      </c>
      <c r="D169" s="465" t="s">
        <v>1911</v>
      </c>
      <c r="E169" s="466">
        <f>E166+E167+E168</f>
        <v>0</v>
      </c>
      <c r="F169" s="466">
        <f t="shared" ref="F169:BB169" si="88">F166+F167+F168</f>
        <v>0</v>
      </c>
      <c r="G169" s="466">
        <f t="shared" si="88"/>
        <v>0</v>
      </c>
      <c r="H169" s="466">
        <f t="shared" si="88"/>
        <v>0</v>
      </c>
      <c r="I169" s="466">
        <f t="shared" si="88"/>
        <v>0</v>
      </c>
      <c r="J169" s="466">
        <f t="shared" si="88"/>
        <v>0</v>
      </c>
      <c r="K169" s="466">
        <f t="shared" si="88"/>
        <v>0</v>
      </c>
      <c r="L169" s="466">
        <f t="shared" si="88"/>
        <v>0</v>
      </c>
      <c r="M169" s="466">
        <f t="shared" si="88"/>
        <v>0</v>
      </c>
      <c r="N169" s="466">
        <f t="shared" si="88"/>
        <v>0</v>
      </c>
      <c r="O169" s="466">
        <f t="shared" si="88"/>
        <v>0</v>
      </c>
      <c r="P169" s="466">
        <f t="shared" si="88"/>
        <v>0</v>
      </c>
      <c r="Q169" s="466">
        <f t="shared" si="88"/>
        <v>0</v>
      </c>
      <c r="R169" s="466">
        <f t="shared" si="88"/>
        <v>0</v>
      </c>
      <c r="S169" s="466">
        <f t="shared" si="88"/>
        <v>0</v>
      </c>
      <c r="T169" s="466">
        <f t="shared" si="88"/>
        <v>0</v>
      </c>
      <c r="U169" s="466">
        <f t="shared" si="88"/>
        <v>0</v>
      </c>
      <c r="V169" s="466">
        <f t="shared" si="88"/>
        <v>0</v>
      </c>
      <c r="W169" s="466">
        <f t="shared" si="88"/>
        <v>0</v>
      </c>
      <c r="X169" s="466">
        <f t="shared" si="88"/>
        <v>0</v>
      </c>
      <c r="Y169" s="466">
        <f t="shared" si="88"/>
        <v>0</v>
      </c>
      <c r="Z169" s="466">
        <f t="shared" si="88"/>
        <v>0</v>
      </c>
      <c r="AA169" s="466">
        <f t="shared" si="88"/>
        <v>0</v>
      </c>
      <c r="AB169" s="466">
        <f t="shared" si="88"/>
        <v>0</v>
      </c>
      <c r="AC169" s="466">
        <f t="shared" si="88"/>
        <v>0</v>
      </c>
      <c r="AD169" s="466">
        <f t="shared" si="88"/>
        <v>0</v>
      </c>
      <c r="AE169" s="467">
        <f t="shared" si="88"/>
        <v>0</v>
      </c>
      <c r="AF169" s="466">
        <f t="shared" si="88"/>
        <v>0</v>
      </c>
      <c r="AG169" s="466">
        <f t="shared" si="88"/>
        <v>0</v>
      </c>
      <c r="AH169" s="466">
        <f t="shared" si="88"/>
        <v>0</v>
      </c>
      <c r="AI169" s="466">
        <f t="shared" si="88"/>
        <v>0</v>
      </c>
      <c r="AJ169" s="466">
        <f t="shared" si="88"/>
        <v>0</v>
      </c>
      <c r="AK169" s="466">
        <f t="shared" si="88"/>
        <v>0</v>
      </c>
      <c r="AL169" s="466">
        <f t="shared" si="88"/>
        <v>0</v>
      </c>
      <c r="AM169" s="466">
        <f t="shared" si="88"/>
        <v>0</v>
      </c>
      <c r="AN169" s="466">
        <f t="shared" si="88"/>
        <v>0</v>
      </c>
      <c r="AO169" s="466">
        <f t="shared" si="88"/>
        <v>0</v>
      </c>
      <c r="AP169" s="466">
        <f t="shared" si="88"/>
        <v>0</v>
      </c>
      <c r="AQ169" s="466">
        <f t="shared" ref="AQ169:AZ169" si="89">AQ166+AQ167+AQ168</f>
        <v>0</v>
      </c>
      <c r="AR169" s="466">
        <f t="shared" si="89"/>
        <v>0</v>
      </c>
      <c r="AS169" s="466">
        <f t="shared" si="89"/>
        <v>0</v>
      </c>
      <c r="AT169" s="466">
        <f t="shared" si="89"/>
        <v>0</v>
      </c>
      <c r="AU169" s="466">
        <f t="shared" si="89"/>
        <v>0</v>
      </c>
      <c r="AV169" s="466">
        <f t="shared" si="89"/>
        <v>0</v>
      </c>
      <c r="AW169" s="466">
        <f t="shared" si="89"/>
        <v>0</v>
      </c>
      <c r="AX169" s="466">
        <f t="shared" si="89"/>
        <v>0</v>
      </c>
      <c r="AY169" s="466">
        <f t="shared" si="89"/>
        <v>0</v>
      </c>
      <c r="AZ169" s="466">
        <f t="shared" si="89"/>
        <v>0</v>
      </c>
      <c r="BA169" s="466">
        <f t="shared" si="88"/>
        <v>0</v>
      </c>
      <c r="BB169" s="466">
        <f t="shared" si="88"/>
        <v>0</v>
      </c>
      <c r="BC169" s="2791"/>
      <c r="BD169" s="420"/>
    </row>
    <row r="170" spans="2:56" ht="15" customHeight="1" outlineLevel="3">
      <c r="B170" s="456"/>
      <c r="C170" s="464" t="s">
        <v>1930</v>
      </c>
      <c r="D170" s="465" t="s">
        <v>1913</v>
      </c>
      <c r="E170" s="466">
        <v>0</v>
      </c>
      <c r="F170" s="466">
        <v>0</v>
      </c>
      <c r="G170" s="466">
        <v>0</v>
      </c>
      <c r="H170" s="466">
        <v>0</v>
      </c>
      <c r="I170" s="466">
        <v>0</v>
      </c>
      <c r="J170" s="466">
        <v>0</v>
      </c>
      <c r="K170" s="466">
        <v>0</v>
      </c>
      <c r="L170" s="466">
        <v>0</v>
      </c>
      <c r="M170" s="466">
        <v>0</v>
      </c>
      <c r="N170" s="466">
        <v>0</v>
      </c>
      <c r="O170" s="466">
        <v>0</v>
      </c>
      <c r="P170" s="466">
        <v>0</v>
      </c>
      <c r="Q170" s="466">
        <v>0</v>
      </c>
      <c r="R170" s="466">
        <v>0</v>
      </c>
      <c r="S170" s="466">
        <v>0</v>
      </c>
      <c r="T170" s="466">
        <v>0</v>
      </c>
      <c r="U170" s="466">
        <v>0</v>
      </c>
      <c r="V170" s="466">
        <v>0</v>
      </c>
      <c r="W170" s="466">
        <v>0</v>
      </c>
      <c r="X170" s="466">
        <v>0</v>
      </c>
      <c r="Y170" s="466">
        <v>0</v>
      </c>
      <c r="Z170" s="466">
        <v>0</v>
      </c>
      <c r="AA170" s="466">
        <v>0</v>
      </c>
      <c r="AB170" s="466">
        <v>0</v>
      </c>
      <c r="AC170" s="466">
        <v>0</v>
      </c>
      <c r="AD170" s="466">
        <v>0</v>
      </c>
      <c r="AE170" s="467">
        <v>0</v>
      </c>
      <c r="AF170" s="466">
        <v>0</v>
      </c>
      <c r="AG170" s="466">
        <v>0</v>
      </c>
      <c r="AH170" s="466">
        <v>0</v>
      </c>
      <c r="AI170" s="466">
        <v>0</v>
      </c>
      <c r="AJ170" s="466">
        <v>0</v>
      </c>
      <c r="AK170" s="466">
        <v>0</v>
      </c>
      <c r="AL170" s="466">
        <v>0</v>
      </c>
      <c r="AM170" s="466">
        <v>0</v>
      </c>
      <c r="AN170" s="466">
        <v>0</v>
      </c>
      <c r="AO170" s="466">
        <v>0</v>
      </c>
      <c r="AP170" s="466">
        <v>0</v>
      </c>
      <c r="AQ170" s="466">
        <v>0</v>
      </c>
      <c r="AR170" s="466">
        <v>0</v>
      </c>
      <c r="AS170" s="466">
        <v>0</v>
      </c>
      <c r="AT170" s="466">
        <v>0</v>
      </c>
      <c r="AU170" s="466">
        <v>0</v>
      </c>
      <c r="AV170" s="466">
        <v>0</v>
      </c>
      <c r="AW170" s="466">
        <v>0</v>
      </c>
      <c r="AX170" s="466">
        <v>0</v>
      </c>
      <c r="AY170" s="466">
        <v>0</v>
      </c>
      <c r="AZ170" s="466">
        <v>0</v>
      </c>
      <c r="BA170" s="466">
        <v>0</v>
      </c>
      <c r="BB170" s="466">
        <v>0</v>
      </c>
      <c r="BC170" s="2790"/>
      <c r="BD170" s="450"/>
    </row>
    <row r="171" spans="2:56" ht="15" customHeight="1" outlineLevel="3">
      <c r="B171" s="456"/>
      <c r="C171" s="457" t="s">
        <v>1914</v>
      </c>
      <c r="D171" s="458" t="s">
        <v>1915</v>
      </c>
      <c r="E171" s="459">
        <v>0</v>
      </c>
      <c r="F171" s="459">
        <v>0</v>
      </c>
      <c r="G171" s="459">
        <v>0</v>
      </c>
      <c r="H171" s="459">
        <v>0</v>
      </c>
      <c r="I171" s="459">
        <v>0</v>
      </c>
      <c r="J171" s="459">
        <v>0</v>
      </c>
      <c r="K171" s="459">
        <v>0</v>
      </c>
      <c r="L171" s="459">
        <v>0</v>
      </c>
      <c r="M171" s="459">
        <v>0</v>
      </c>
      <c r="N171" s="459">
        <v>0</v>
      </c>
      <c r="O171" s="459">
        <v>0</v>
      </c>
      <c r="P171" s="459">
        <v>0</v>
      </c>
      <c r="Q171" s="459">
        <v>0</v>
      </c>
      <c r="R171" s="459">
        <v>0</v>
      </c>
      <c r="S171" s="459">
        <v>0</v>
      </c>
      <c r="T171" s="459">
        <v>0</v>
      </c>
      <c r="U171" s="459">
        <v>0</v>
      </c>
      <c r="V171" s="459">
        <v>0</v>
      </c>
      <c r="W171" s="459">
        <v>0</v>
      </c>
      <c r="X171" s="459">
        <v>0</v>
      </c>
      <c r="Y171" s="459">
        <v>0</v>
      </c>
      <c r="Z171" s="459">
        <v>0</v>
      </c>
      <c r="AA171" s="459">
        <v>0</v>
      </c>
      <c r="AB171" s="459">
        <v>0</v>
      </c>
      <c r="AC171" s="459">
        <v>0</v>
      </c>
      <c r="AD171" s="459">
        <v>0</v>
      </c>
      <c r="AE171" s="460">
        <v>0</v>
      </c>
      <c r="AF171" s="459">
        <v>0</v>
      </c>
      <c r="AG171" s="459">
        <v>0</v>
      </c>
      <c r="AH171" s="459">
        <v>0</v>
      </c>
      <c r="AI171" s="459">
        <v>0</v>
      </c>
      <c r="AJ171" s="459">
        <v>0</v>
      </c>
      <c r="AK171" s="459">
        <v>0</v>
      </c>
      <c r="AL171" s="459">
        <v>0</v>
      </c>
      <c r="AM171" s="459">
        <v>0</v>
      </c>
      <c r="AN171" s="459">
        <v>0</v>
      </c>
      <c r="AO171" s="459">
        <v>0</v>
      </c>
      <c r="AP171" s="459">
        <v>0</v>
      </c>
      <c r="AQ171" s="459">
        <v>0</v>
      </c>
      <c r="AR171" s="459">
        <v>0</v>
      </c>
      <c r="AS171" s="459">
        <v>0</v>
      </c>
      <c r="AT171" s="459">
        <v>0</v>
      </c>
      <c r="AU171" s="459">
        <v>0</v>
      </c>
      <c r="AV171" s="459">
        <v>0</v>
      </c>
      <c r="AW171" s="459">
        <v>0</v>
      </c>
      <c r="AX171" s="459">
        <v>0</v>
      </c>
      <c r="AY171" s="459">
        <v>0</v>
      </c>
      <c r="AZ171" s="459">
        <v>0</v>
      </c>
      <c r="BA171" s="459">
        <v>0</v>
      </c>
      <c r="BB171" s="459">
        <v>0</v>
      </c>
      <c r="BC171" s="2790"/>
      <c r="BD171" s="450"/>
    </row>
    <row r="172" spans="2:56" s="415" customFormat="1" ht="15" customHeight="1" outlineLevel="3">
      <c r="B172" s="463"/>
      <c r="C172" s="464" t="s">
        <v>1916</v>
      </c>
      <c r="D172" s="465" t="s">
        <v>1917</v>
      </c>
      <c r="E172" s="466">
        <f>E169+E170+E171</f>
        <v>0</v>
      </c>
      <c r="F172" s="466">
        <f t="shared" ref="F172:BB172" si="90">F169+F170+F171</f>
        <v>0</v>
      </c>
      <c r="G172" s="466">
        <f t="shared" si="90"/>
        <v>0</v>
      </c>
      <c r="H172" s="466">
        <f t="shared" si="90"/>
        <v>0</v>
      </c>
      <c r="I172" s="466">
        <f t="shared" si="90"/>
        <v>0</v>
      </c>
      <c r="J172" s="466">
        <f t="shared" si="90"/>
        <v>0</v>
      </c>
      <c r="K172" s="466">
        <f t="shared" si="90"/>
        <v>0</v>
      </c>
      <c r="L172" s="466">
        <f t="shared" si="90"/>
        <v>0</v>
      </c>
      <c r="M172" s="466">
        <f t="shared" si="90"/>
        <v>0</v>
      </c>
      <c r="N172" s="466">
        <f t="shared" si="90"/>
        <v>0</v>
      </c>
      <c r="O172" s="466">
        <f t="shared" si="90"/>
        <v>0</v>
      </c>
      <c r="P172" s="466">
        <f t="shared" si="90"/>
        <v>0</v>
      </c>
      <c r="Q172" s="466">
        <f t="shared" si="90"/>
        <v>0</v>
      </c>
      <c r="R172" s="466">
        <f t="shared" si="90"/>
        <v>0</v>
      </c>
      <c r="S172" s="466">
        <f t="shared" si="90"/>
        <v>0</v>
      </c>
      <c r="T172" s="466">
        <f t="shared" si="90"/>
        <v>0</v>
      </c>
      <c r="U172" s="466">
        <f t="shared" si="90"/>
        <v>0</v>
      </c>
      <c r="V172" s="466">
        <f t="shared" si="90"/>
        <v>0</v>
      </c>
      <c r="W172" s="466">
        <f t="shared" si="90"/>
        <v>0</v>
      </c>
      <c r="X172" s="466">
        <f t="shared" si="90"/>
        <v>0</v>
      </c>
      <c r="Y172" s="466">
        <f t="shared" si="90"/>
        <v>0</v>
      </c>
      <c r="Z172" s="466">
        <f t="shared" si="90"/>
        <v>0</v>
      </c>
      <c r="AA172" s="466">
        <f t="shared" si="90"/>
        <v>0</v>
      </c>
      <c r="AB172" s="466">
        <f t="shared" si="90"/>
        <v>0</v>
      </c>
      <c r="AC172" s="466">
        <f t="shared" si="90"/>
        <v>0</v>
      </c>
      <c r="AD172" s="466">
        <f t="shared" si="90"/>
        <v>0</v>
      </c>
      <c r="AE172" s="467">
        <f t="shared" si="90"/>
        <v>0</v>
      </c>
      <c r="AF172" s="466">
        <f t="shared" si="90"/>
        <v>0</v>
      </c>
      <c r="AG172" s="466">
        <f t="shared" si="90"/>
        <v>0</v>
      </c>
      <c r="AH172" s="466">
        <f t="shared" si="90"/>
        <v>0</v>
      </c>
      <c r="AI172" s="466">
        <f t="shared" si="90"/>
        <v>0</v>
      </c>
      <c r="AJ172" s="466">
        <f t="shared" si="90"/>
        <v>0</v>
      </c>
      <c r="AK172" s="466">
        <f t="shared" si="90"/>
        <v>0</v>
      </c>
      <c r="AL172" s="466">
        <f t="shared" si="90"/>
        <v>0</v>
      </c>
      <c r="AM172" s="466">
        <f t="shared" si="90"/>
        <v>0</v>
      </c>
      <c r="AN172" s="466">
        <f t="shared" si="90"/>
        <v>0</v>
      </c>
      <c r="AO172" s="466">
        <f t="shared" si="90"/>
        <v>0</v>
      </c>
      <c r="AP172" s="466">
        <f t="shared" si="90"/>
        <v>0</v>
      </c>
      <c r="AQ172" s="466">
        <f t="shared" ref="AQ172:AZ172" si="91">AQ169+AQ170+AQ171</f>
        <v>0</v>
      </c>
      <c r="AR172" s="466">
        <f t="shared" si="91"/>
        <v>0</v>
      </c>
      <c r="AS172" s="466">
        <f t="shared" si="91"/>
        <v>0</v>
      </c>
      <c r="AT172" s="466">
        <f t="shared" si="91"/>
        <v>0</v>
      </c>
      <c r="AU172" s="466">
        <f t="shared" si="91"/>
        <v>0</v>
      </c>
      <c r="AV172" s="466">
        <f t="shared" si="91"/>
        <v>0</v>
      </c>
      <c r="AW172" s="466">
        <f t="shared" si="91"/>
        <v>0</v>
      </c>
      <c r="AX172" s="466">
        <f t="shared" si="91"/>
        <v>0</v>
      </c>
      <c r="AY172" s="466">
        <f t="shared" si="91"/>
        <v>0</v>
      </c>
      <c r="AZ172" s="466">
        <f t="shared" si="91"/>
        <v>0</v>
      </c>
      <c r="BA172" s="466">
        <f t="shared" si="90"/>
        <v>0</v>
      </c>
      <c r="BB172" s="466">
        <f t="shared" si="90"/>
        <v>0</v>
      </c>
      <c r="BC172" s="2791"/>
      <c r="BD172" s="420"/>
    </row>
    <row r="173" spans="2:56" ht="15" customHeight="1" outlineLevel="3">
      <c r="B173" s="456"/>
      <c r="C173" s="457" t="s">
        <v>1918</v>
      </c>
      <c r="D173" s="458" t="s">
        <v>1919</v>
      </c>
      <c r="E173" s="459">
        <v>0</v>
      </c>
      <c r="F173" s="459">
        <v>0</v>
      </c>
      <c r="G173" s="459">
        <v>0</v>
      </c>
      <c r="H173" s="459">
        <v>0</v>
      </c>
      <c r="I173" s="459">
        <v>0</v>
      </c>
      <c r="J173" s="459">
        <v>0</v>
      </c>
      <c r="K173" s="459">
        <v>0</v>
      </c>
      <c r="L173" s="459">
        <v>0</v>
      </c>
      <c r="M173" s="459">
        <v>0</v>
      </c>
      <c r="N173" s="459">
        <v>0</v>
      </c>
      <c r="O173" s="459">
        <v>0</v>
      </c>
      <c r="P173" s="459">
        <v>0</v>
      </c>
      <c r="Q173" s="459">
        <v>0</v>
      </c>
      <c r="R173" s="459">
        <v>0</v>
      </c>
      <c r="S173" s="459">
        <v>0</v>
      </c>
      <c r="T173" s="459">
        <v>0</v>
      </c>
      <c r="U173" s="459">
        <v>0</v>
      </c>
      <c r="V173" s="459">
        <v>0</v>
      </c>
      <c r="W173" s="459">
        <v>0</v>
      </c>
      <c r="X173" s="459">
        <v>0</v>
      </c>
      <c r="Y173" s="459">
        <v>0</v>
      </c>
      <c r="Z173" s="459">
        <v>0</v>
      </c>
      <c r="AA173" s="459">
        <v>0</v>
      </c>
      <c r="AB173" s="459">
        <v>0</v>
      </c>
      <c r="AC173" s="459">
        <v>0</v>
      </c>
      <c r="AD173" s="459">
        <v>0</v>
      </c>
      <c r="AE173" s="460">
        <v>0</v>
      </c>
      <c r="AF173" s="459">
        <v>0</v>
      </c>
      <c r="AG173" s="459">
        <v>0</v>
      </c>
      <c r="AH173" s="459">
        <v>0</v>
      </c>
      <c r="AI173" s="459">
        <v>0</v>
      </c>
      <c r="AJ173" s="459">
        <v>0</v>
      </c>
      <c r="AK173" s="459">
        <v>0</v>
      </c>
      <c r="AL173" s="459">
        <v>0</v>
      </c>
      <c r="AM173" s="459">
        <v>0</v>
      </c>
      <c r="AN173" s="459">
        <v>0</v>
      </c>
      <c r="AO173" s="459">
        <v>0</v>
      </c>
      <c r="AP173" s="459">
        <v>0</v>
      </c>
      <c r="AQ173" s="459">
        <v>0</v>
      </c>
      <c r="AR173" s="459">
        <v>0</v>
      </c>
      <c r="AS173" s="459">
        <v>0</v>
      </c>
      <c r="AT173" s="459">
        <v>0</v>
      </c>
      <c r="AU173" s="459">
        <v>0</v>
      </c>
      <c r="AV173" s="459">
        <v>0</v>
      </c>
      <c r="AW173" s="459">
        <v>0</v>
      </c>
      <c r="AX173" s="459">
        <v>0</v>
      </c>
      <c r="AY173" s="459">
        <v>0</v>
      </c>
      <c r="AZ173" s="459">
        <v>0</v>
      </c>
      <c r="BA173" s="459">
        <v>0</v>
      </c>
      <c r="BB173" s="459">
        <v>0</v>
      </c>
      <c r="BC173" s="2790"/>
      <c r="BD173" s="450"/>
    </row>
    <row r="174" spans="2:56" ht="15" customHeight="1" outlineLevel="3">
      <c r="B174" s="456"/>
      <c r="C174" s="457" t="s">
        <v>1920</v>
      </c>
      <c r="D174" s="458" t="s">
        <v>1921</v>
      </c>
      <c r="E174" s="459">
        <v>0</v>
      </c>
      <c r="F174" s="459">
        <v>0</v>
      </c>
      <c r="G174" s="459">
        <v>0</v>
      </c>
      <c r="H174" s="459">
        <v>0</v>
      </c>
      <c r="I174" s="459">
        <v>0</v>
      </c>
      <c r="J174" s="459">
        <v>0</v>
      </c>
      <c r="K174" s="459">
        <v>0</v>
      </c>
      <c r="L174" s="459">
        <v>0</v>
      </c>
      <c r="M174" s="459">
        <v>0</v>
      </c>
      <c r="N174" s="459">
        <v>0</v>
      </c>
      <c r="O174" s="459">
        <v>0</v>
      </c>
      <c r="P174" s="459">
        <v>0</v>
      </c>
      <c r="Q174" s="459">
        <v>0</v>
      </c>
      <c r="R174" s="459">
        <v>0</v>
      </c>
      <c r="S174" s="459">
        <v>0</v>
      </c>
      <c r="T174" s="459">
        <v>0</v>
      </c>
      <c r="U174" s="459">
        <v>0</v>
      </c>
      <c r="V174" s="459">
        <v>0</v>
      </c>
      <c r="W174" s="459">
        <v>0</v>
      </c>
      <c r="X174" s="459">
        <v>0</v>
      </c>
      <c r="Y174" s="459">
        <v>0</v>
      </c>
      <c r="Z174" s="459">
        <v>0</v>
      </c>
      <c r="AA174" s="459">
        <v>0</v>
      </c>
      <c r="AB174" s="459">
        <v>0</v>
      </c>
      <c r="AC174" s="459">
        <v>0</v>
      </c>
      <c r="AD174" s="459">
        <v>0</v>
      </c>
      <c r="AE174" s="460">
        <v>0</v>
      </c>
      <c r="AF174" s="459">
        <v>0</v>
      </c>
      <c r="AG174" s="459">
        <v>0</v>
      </c>
      <c r="AH174" s="459">
        <v>0</v>
      </c>
      <c r="AI174" s="459">
        <v>0</v>
      </c>
      <c r="AJ174" s="459">
        <v>0</v>
      </c>
      <c r="AK174" s="459">
        <v>0</v>
      </c>
      <c r="AL174" s="459">
        <v>0</v>
      </c>
      <c r="AM174" s="459">
        <v>0</v>
      </c>
      <c r="AN174" s="459">
        <v>0</v>
      </c>
      <c r="AO174" s="459">
        <v>0</v>
      </c>
      <c r="AP174" s="459">
        <v>0</v>
      </c>
      <c r="AQ174" s="459">
        <v>0</v>
      </c>
      <c r="AR174" s="459">
        <v>0</v>
      </c>
      <c r="AS174" s="459">
        <v>0</v>
      </c>
      <c r="AT174" s="459">
        <v>0</v>
      </c>
      <c r="AU174" s="459">
        <v>0</v>
      </c>
      <c r="AV174" s="459">
        <v>0</v>
      </c>
      <c r="AW174" s="459">
        <v>0</v>
      </c>
      <c r="AX174" s="459">
        <v>0</v>
      </c>
      <c r="AY174" s="459">
        <v>0</v>
      </c>
      <c r="AZ174" s="459">
        <v>0</v>
      </c>
      <c r="BA174" s="459">
        <v>0</v>
      </c>
      <c r="BB174" s="459">
        <v>0</v>
      </c>
      <c r="BC174" s="2790"/>
      <c r="BD174" s="450"/>
    </row>
    <row r="175" spans="2:56" ht="15" customHeight="1" outlineLevel="3">
      <c r="B175" s="456"/>
      <c r="C175" s="457" t="s">
        <v>1922</v>
      </c>
      <c r="D175" s="458" t="s">
        <v>1923</v>
      </c>
      <c r="E175" s="459">
        <v>0</v>
      </c>
      <c r="F175" s="459">
        <v>0</v>
      </c>
      <c r="G175" s="459">
        <v>0</v>
      </c>
      <c r="H175" s="459">
        <v>0</v>
      </c>
      <c r="I175" s="459">
        <v>0</v>
      </c>
      <c r="J175" s="459">
        <v>0</v>
      </c>
      <c r="K175" s="459">
        <v>0</v>
      </c>
      <c r="L175" s="459">
        <v>0</v>
      </c>
      <c r="M175" s="459">
        <v>0</v>
      </c>
      <c r="N175" s="459">
        <v>0</v>
      </c>
      <c r="O175" s="459">
        <v>0</v>
      </c>
      <c r="P175" s="459">
        <v>0</v>
      </c>
      <c r="Q175" s="459">
        <v>0</v>
      </c>
      <c r="R175" s="459">
        <v>0</v>
      </c>
      <c r="S175" s="459">
        <v>0</v>
      </c>
      <c r="T175" s="459">
        <v>0</v>
      </c>
      <c r="U175" s="459">
        <v>0</v>
      </c>
      <c r="V175" s="459">
        <v>0</v>
      </c>
      <c r="W175" s="459">
        <v>0</v>
      </c>
      <c r="X175" s="459">
        <v>0</v>
      </c>
      <c r="Y175" s="459">
        <v>0</v>
      </c>
      <c r="Z175" s="459">
        <v>0</v>
      </c>
      <c r="AA175" s="459">
        <v>0</v>
      </c>
      <c r="AB175" s="459">
        <v>0</v>
      </c>
      <c r="AC175" s="459">
        <v>0</v>
      </c>
      <c r="AD175" s="459">
        <v>0</v>
      </c>
      <c r="AE175" s="460">
        <v>0</v>
      </c>
      <c r="AF175" s="459">
        <v>0</v>
      </c>
      <c r="AG175" s="459">
        <v>0</v>
      </c>
      <c r="AH175" s="459">
        <v>0</v>
      </c>
      <c r="AI175" s="459">
        <v>0</v>
      </c>
      <c r="AJ175" s="459">
        <v>0</v>
      </c>
      <c r="AK175" s="459">
        <v>0</v>
      </c>
      <c r="AL175" s="459">
        <v>0</v>
      </c>
      <c r="AM175" s="459">
        <v>0</v>
      </c>
      <c r="AN175" s="459">
        <v>0</v>
      </c>
      <c r="AO175" s="459">
        <v>0</v>
      </c>
      <c r="AP175" s="459">
        <v>0</v>
      </c>
      <c r="AQ175" s="459">
        <v>0</v>
      </c>
      <c r="AR175" s="459">
        <v>0</v>
      </c>
      <c r="AS175" s="459">
        <v>0</v>
      </c>
      <c r="AT175" s="459">
        <v>0</v>
      </c>
      <c r="AU175" s="459">
        <v>0</v>
      </c>
      <c r="AV175" s="459">
        <v>0</v>
      </c>
      <c r="AW175" s="459">
        <v>0</v>
      </c>
      <c r="AX175" s="459">
        <v>0</v>
      </c>
      <c r="AY175" s="459">
        <v>0</v>
      </c>
      <c r="AZ175" s="459">
        <v>0</v>
      </c>
      <c r="BA175" s="459">
        <v>0</v>
      </c>
      <c r="BB175" s="459">
        <v>0</v>
      </c>
      <c r="BC175" s="2790"/>
      <c r="BD175" s="450"/>
    </row>
    <row r="176" spans="2:56" s="415" customFormat="1" ht="15" customHeight="1" outlineLevel="2">
      <c r="B176" s="463"/>
      <c r="C176" s="464" t="s">
        <v>1924</v>
      </c>
      <c r="D176" s="465" t="s">
        <v>1925</v>
      </c>
      <c r="E176" s="466">
        <f t="shared" ref="E176:BB176" si="92">E172+E173+E174+E175</f>
        <v>0</v>
      </c>
      <c r="F176" s="466">
        <f t="shared" si="92"/>
        <v>0</v>
      </c>
      <c r="G176" s="466">
        <f t="shared" si="92"/>
        <v>0</v>
      </c>
      <c r="H176" s="466">
        <f t="shared" si="92"/>
        <v>0</v>
      </c>
      <c r="I176" s="466">
        <f t="shared" si="92"/>
        <v>0</v>
      </c>
      <c r="J176" s="466">
        <f t="shared" si="92"/>
        <v>0</v>
      </c>
      <c r="K176" s="466">
        <f t="shared" si="92"/>
        <v>0</v>
      </c>
      <c r="L176" s="466">
        <f t="shared" si="92"/>
        <v>0</v>
      </c>
      <c r="M176" s="466">
        <f t="shared" si="92"/>
        <v>0</v>
      </c>
      <c r="N176" s="466">
        <f t="shared" si="92"/>
        <v>0</v>
      </c>
      <c r="O176" s="466">
        <f t="shared" si="92"/>
        <v>0</v>
      </c>
      <c r="P176" s="466">
        <f t="shared" si="92"/>
        <v>0</v>
      </c>
      <c r="Q176" s="466">
        <f t="shared" si="92"/>
        <v>0</v>
      </c>
      <c r="R176" s="466">
        <f t="shared" si="92"/>
        <v>0</v>
      </c>
      <c r="S176" s="466">
        <f t="shared" si="92"/>
        <v>0</v>
      </c>
      <c r="T176" s="466">
        <f t="shared" si="92"/>
        <v>0</v>
      </c>
      <c r="U176" s="466">
        <f t="shared" si="92"/>
        <v>0</v>
      </c>
      <c r="V176" s="466">
        <f t="shared" si="92"/>
        <v>0</v>
      </c>
      <c r="W176" s="466">
        <f t="shared" si="92"/>
        <v>0</v>
      </c>
      <c r="X176" s="466">
        <f t="shared" si="92"/>
        <v>0</v>
      </c>
      <c r="Y176" s="466">
        <f t="shared" si="92"/>
        <v>0</v>
      </c>
      <c r="Z176" s="466">
        <f t="shared" si="92"/>
        <v>0</v>
      </c>
      <c r="AA176" s="466">
        <f t="shared" si="92"/>
        <v>0</v>
      </c>
      <c r="AB176" s="466">
        <f t="shared" si="92"/>
        <v>0</v>
      </c>
      <c r="AC176" s="466">
        <f t="shared" si="92"/>
        <v>0</v>
      </c>
      <c r="AD176" s="466">
        <f t="shared" si="92"/>
        <v>0</v>
      </c>
      <c r="AE176" s="467">
        <f t="shared" si="92"/>
        <v>0</v>
      </c>
      <c r="AF176" s="466">
        <f t="shared" si="92"/>
        <v>0</v>
      </c>
      <c r="AG176" s="466">
        <f t="shared" si="92"/>
        <v>0</v>
      </c>
      <c r="AH176" s="466">
        <f t="shared" si="92"/>
        <v>0</v>
      </c>
      <c r="AI176" s="466">
        <f t="shared" si="92"/>
        <v>0</v>
      </c>
      <c r="AJ176" s="466">
        <f t="shared" si="92"/>
        <v>0</v>
      </c>
      <c r="AK176" s="466">
        <f t="shared" si="92"/>
        <v>0</v>
      </c>
      <c r="AL176" s="466">
        <f t="shared" si="92"/>
        <v>0</v>
      </c>
      <c r="AM176" s="466">
        <f t="shared" si="92"/>
        <v>0</v>
      </c>
      <c r="AN176" s="466">
        <f t="shared" si="92"/>
        <v>0</v>
      </c>
      <c r="AO176" s="466">
        <f t="shared" si="92"/>
        <v>0</v>
      </c>
      <c r="AP176" s="466">
        <f t="shared" si="92"/>
        <v>0</v>
      </c>
      <c r="AQ176" s="466">
        <f t="shared" ref="AQ176:AZ176" si="93">AQ172+AQ173+AQ174+AQ175</f>
        <v>0</v>
      </c>
      <c r="AR176" s="466">
        <f t="shared" si="93"/>
        <v>0</v>
      </c>
      <c r="AS176" s="466">
        <f t="shared" si="93"/>
        <v>0</v>
      </c>
      <c r="AT176" s="466">
        <f t="shared" si="93"/>
        <v>0</v>
      </c>
      <c r="AU176" s="466">
        <f t="shared" si="93"/>
        <v>0</v>
      </c>
      <c r="AV176" s="466">
        <f t="shared" si="93"/>
        <v>0</v>
      </c>
      <c r="AW176" s="466">
        <f t="shared" si="93"/>
        <v>0</v>
      </c>
      <c r="AX176" s="466">
        <f t="shared" si="93"/>
        <v>0</v>
      </c>
      <c r="AY176" s="466">
        <f t="shared" si="93"/>
        <v>0</v>
      </c>
      <c r="AZ176" s="466">
        <f t="shared" si="93"/>
        <v>0</v>
      </c>
      <c r="BA176" s="466">
        <f t="shared" si="92"/>
        <v>0</v>
      </c>
      <c r="BB176" s="466">
        <f t="shared" si="92"/>
        <v>0</v>
      </c>
      <c r="BC176" s="2791"/>
      <c r="BD176" s="420"/>
    </row>
    <row r="177" spans="2:57" s="415" customFormat="1" ht="15" customHeight="1" outlineLevel="2">
      <c r="B177" s="463"/>
      <c r="C177" s="464" t="s">
        <v>1926</v>
      </c>
      <c r="D177" s="465" t="s">
        <v>1927</v>
      </c>
      <c r="E177" s="466">
        <f>E176</f>
        <v>0</v>
      </c>
      <c r="F177" s="466">
        <f t="shared" ref="F177:BB177" si="94">F176-E176</f>
        <v>0</v>
      </c>
      <c r="G177" s="466">
        <f t="shared" si="94"/>
        <v>0</v>
      </c>
      <c r="H177" s="466">
        <f t="shared" si="94"/>
        <v>0</v>
      </c>
      <c r="I177" s="466">
        <f t="shared" si="94"/>
        <v>0</v>
      </c>
      <c r="J177" s="466">
        <f t="shared" si="94"/>
        <v>0</v>
      </c>
      <c r="K177" s="466">
        <f t="shared" si="94"/>
        <v>0</v>
      </c>
      <c r="L177" s="466">
        <f t="shared" si="94"/>
        <v>0</v>
      </c>
      <c r="M177" s="466">
        <f t="shared" si="94"/>
        <v>0</v>
      </c>
      <c r="N177" s="466">
        <f t="shared" si="94"/>
        <v>0</v>
      </c>
      <c r="O177" s="466">
        <f t="shared" si="94"/>
        <v>0</v>
      </c>
      <c r="P177" s="466">
        <f t="shared" si="94"/>
        <v>0</v>
      </c>
      <c r="Q177" s="466">
        <f t="shared" si="94"/>
        <v>0</v>
      </c>
      <c r="R177" s="466">
        <f t="shared" si="94"/>
        <v>0</v>
      </c>
      <c r="S177" s="466">
        <f t="shared" si="94"/>
        <v>0</v>
      </c>
      <c r="T177" s="466">
        <f t="shared" si="94"/>
        <v>0</v>
      </c>
      <c r="U177" s="466">
        <f t="shared" si="94"/>
        <v>0</v>
      </c>
      <c r="V177" s="466">
        <f t="shared" si="94"/>
        <v>0</v>
      </c>
      <c r="W177" s="466">
        <f t="shared" si="94"/>
        <v>0</v>
      </c>
      <c r="X177" s="466">
        <f t="shared" si="94"/>
        <v>0</v>
      </c>
      <c r="Y177" s="466">
        <f t="shared" si="94"/>
        <v>0</v>
      </c>
      <c r="Z177" s="466">
        <f t="shared" si="94"/>
        <v>0</v>
      </c>
      <c r="AA177" s="466">
        <f t="shared" si="94"/>
        <v>0</v>
      </c>
      <c r="AB177" s="466">
        <f t="shared" si="94"/>
        <v>0</v>
      </c>
      <c r="AC177" s="466">
        <f t="shared" si="94"/>
        <v>0</v>
      </c>
      <c r="AD177" s="466">
        <f t="shared" si="94"/>
        <v>0</v>
      </c>
      <c r="AE177" s="467">
        <f t="shared" si="94"/>
        <v>0</v>
      </c>
      <c r="AF177" s="466">
        <f t="shared" si="94"/>
        <v>0</v>
      </c>
      <c r="AG177" s="466">
        <f t="shared" si="94"/>
        <v>0</v>
      </c>
      <c r="AH177" s="466">
        <f t="shared" si="94"/>
        <v>0</v>
      </c>
      <c r="AI177" s="466">
        <f t="shared" si="94"/>
        <v>0</v>
      </c>
      <c r="AJ177" s="466">
        <f t="shared" si="94"/>
        <v>0</v>
      </c>
      <c r="AK177" s="466">
        <f t="shared" si="94"/>
        <v>0</v>
      </c>
      <c r="AL177" s="466">
        <f t="shared" si="94"/>
        <v>0</v>
      </c>
      <c r="AM177" s="466">
        <f t="shared" si="94"/>
        <v>0</v>
      </c>
      <c r="AN177" s="466">
        <f t="shared" si="94"/>
        <v>0</v>
      </c>
      <c r="AO177" s="466">
        <f t="shared" si="94"/>
        <v>0</v>
      </c>
      <c r="AP177" s="466">
        <f t="shared" si="94"/>
        <v>0</v>
      </c>
      <c r="AQ177" s="466">
        <f t="shared" ref="AQ177:AZ177" si="95">AQ176-AP176</f>
        <v>0</v>
      </c>
      <c r="AR177" s="466">
        <f t="shared" si="95"/>
        <v>0</v>
      </c>
      <c r="AS177" s="466">
        <f t="shared" si="95"/>
        <v>0</v>
      </c>
      <c r="AT177" s="466">
        <f t="shared" si="95"/>
        <v>0</v>
      </c>
      <c r="AU177" s="466">
        <f t="shared" si="95"/>
        <v>0</v>
      </c>
      <c r="AV177" s="466">
        <f t="shared" si="95"/>
        <v>0</v>
      </c>
      <c r="AW177" s="466">
        <f t="shared" si="95"/>
        <v>0</v>
      </c>
      <c r="AX177" s="466">
        <f t="shared" si="95"/>
        <v>0</v>
      </c>
      <c r="AY177" s="466">
        <f t="shared" si="95"/>
        <v>0</v>
      </c>
      <c r="AZ177" s="466">
        <f t="shared" si="95"/>
        <v>0</v>
      </c>
      <c r="BA177" s="466">
        <f>BA176-AP176</f>
        <v>0</v>
      </c>
      <c r="BB177" s="466">
        <f t="shared" si="94"/>
        <v>0</v>
      </c>
      <c r="BC177" s="2791"/>
      <c r="BD177" s="420"/>
    </row>
    <row r="178" spans="2:57" ht="15" customHeight="1" outlineLevel="2">
      <c r="B178" s="456"/>
      <c r="C178" s="478"/>
      <c r="D178" s="458"/>
      <c r="E178" s="459"/>
      <c r="F178" s="459"/>
      <c r="G178" s="459"/>
      <c r="H178" s="459"/>
      <c r="I178" s="459"/>
      <c r="J178" s="459"/>
      <c r="K178" s="459"/>
      <c r="L178" s="459"/>
      <c r="M178" s="459"/>
      <c r="N178" s="459"/>
      <c r="O178" s="459"/>
      <c r="P178" s="459"/>
      <c r="Q178" s="459"/>
      <c r="R178" s="459"/>
      <c r="S178" s="459"/>
      <c r="T178" s="459"/>
      <c r="U178" s="459"/>
      <c r="V178" s="459"/>
      <c r="W178" s="459"/>
      <c r="X178" s="459"/>
      <c r="Y178" s="459"/>
      <c r="Z178" s="459"/>
      <c r="AA178" s="459"/>
      <c r="AB178" s="459"/>
      <c r="AC178" s="459"/>
      <c r="AD178" s="459"/>
      <c r="AE178" s="460"/>
      <c r="AF178" s="459"/>
      <c r="AG178" s="459"/>
      <c r="AH178" s="459"/>
      <c r="AI178" s="459"/>
      <c r="AJ178" s="459"/>
      <c r="AK178" s="459"/>
      <c r="AL178" s="459"/>
      <c r="AM178" s="459"/>
      <c r="AN178" s="459"/>
      <c r="AO178" s="459"/>
      <c r="AP178" s="459"/>
      <c r="AQ178" s="459"/>
      <c r="AR178" s="459"/>
      <c r="AS178" s="459"/>
      <c r="AT178" s="459"/>
      <c r="AU178" s="459"/>
      <c r="AV178" s="459"/>
      <c r="AW178" s="459"/>
      <c r="AX178" s="459"/>
      <c r="AY178" s="459"/>
      <c r="AZ178" s="459"/>
      <c r="BA178" s="459"/>
      <c r="BB178" s="459"/>
      <c r="BC178" s="2788"/>
      <c r="BD178" s="450"/>
    </row>
    <row r="179" spans="2:57" ht="15" customHeight="1" outlineLevel="1">
      <c r="D179" s="483"/>
      <c r="E179" s="484"/>
      <c r="F179" s="484"/>
      <c r="G179" s="484"/>
      <c r="H179" s="484"/>
      <c r="I179" s="484"/>
      <c r="J179" s="484"/>
      <c r="K179" s="484"/>
      <c r="L179" s="484"/>
      <c r="M179" s="484"/>
      <c r="N179" s="484"/>
      <c r="O179" s="484"/>
      <c r="P179" s="484"/>
      <c r="Q179" s="484"/>
      <c r="R179" s="484"/>
      <c r="S179" s="484"/>
      <c r="T179" s="484"/>
      <c r="U179" s="484"/>
      <c r="V179" s="484"/>
      <c r="W179" s="484"/>
      <c r="X179" s="484"/>
      <c r="Y179" s="484"/>
      <c r="Z179" s="484"/>
      <c r="AA179" s="484"/>
      <c r="AB179" s="484"/>
      <c r="AC179" s="484"/>
      <c r="AD179" s="484"/>
      <c r="AE179" s="485"/>
      <c r="AF179" s="484"/>
      <c r="AG179" s="484"/>
      <c r="AH179" s="484"/>
      <c r="AI179" s="484"/>
      <c r="AJ179" s="484"/>
      <c r="AK179" s="484"/>
      <c r="AL179" s="484"/>
      <c r="AM179" s="484"/>
      <c r="AN179" s="484"/>
      <c r="AO179" s="484"/>
      <c r="AP179" s="484"/>
      <c r="AQ179" s="484"/>
      <c r="AR179" s="484"/>
      <c r="AS179" s="484"/>
      <c r="AT179" s="484"/>
      <c r="AU179" s="484"/>
      <c r="AV179" s="484"/>
      <c r="AW179" s="484"/>
      <c r="AX179" s="484"/>
      <c r="AY179" s="484"/>
      <c r="AZ179" s="484"/>
      <c r="BA179" s="484"/>
      <c r="BB179" s="484"/>
      <c r="BC179" s="6157"/>
      <c r="BD179" s="450"/>
    </row>
    <row r="180" spans="2:57">
      <c r="D180" s="483"/>
      <c r="E180" s="484"/>
      <c r="F180" s="484"/>
      <c r="G180" s="484"/>
      <c r="H180" s="484"/>
      <c r="I180" s="484"/>
      <c r="J180" s="484"/>
      <c r="K180" s="484"/>
      <c r="L180" s="484"/>
      <c r="M180" s="484"/>
      <c r="N180" s="484"/>
      <c r="O180" s="484"/>
      <c r="P180" s="484"/>
      <c r="Q180" s="484"/>
      <c r="R180" s="484"/>
      <c r="S180" s="484"/>
      <c r="T180" s="484"/>
      <c r="U180" s="484"/>
      <c r="V180" s="484"/>
      <c r="W180" s="484"/>
      <c r="X180" s="484"/>
      <c r="Y180" s="484"/>
      <c r="Z180" s="484"/>
      <c r="AA180" s="484"/>
      <c r="AB180" s="484"/>
      <c r="AC180" s="484"/>
      <c r="AD180" s="484"/>
      <c r="AE180" s="485"/>
      <c r="AF180" s="484"/>
      <c r="AG180" s="484"/>
      <c r="AH180" s="486">
        <v>0.05</v>
      </c>
      <c r="AI180" s="486">
        <f>AH180+0.05</f>
        <v>0.1</v>
      </c>
      <c r="AJ180" s="486">
        <v>0.2</v>
      </c>
      <c r="AK180" s="486">
        <v>0.3</v>
      </c>
      <c r="AL180" s="487">
        <v>0.45</v>
      </c>
      <c r="AM180" s="487">
        <v>0.6</v>
      </c>
      <c r="AN180" s="487">
        <v>0.7</v>
      </c>
      <c r="AO180" s="487">
        <v>0.8</v>
      </c>
      <c r="AP180" s="487">
        <v>0.9</v>
      </c>
      <c r="AQ180" s="484"/>
      <c r="AR180" s="486">
        <v>0.05</v>
      </c>
      <c r="AS180" s="486">
        <f>AR180+0.05</f>
        <v>0.1</v>
      </c>
      <c r="AT180" s="486">
        <v>0.2</v>
      </c>
      <c r="AU180" s="486">
        <v>0.3</v>
      </c>
      <c r="AV180" s="487">
        <v>0.45</v>
      </c>
      <c r="AW180" s="487">
        <v>0.6</v>
      </c>
      <c r="AX180" s="487">
        <v>0.7</v>
      </c>
      <c r="AY180" s="487">
        <v>0.8</v>
      </c>
      <c r="AZ180" s="487">
        <v>0.9</v>
      </c>
      <c r="BA180" s="487">
        <v>0.95</v>
      </c>
      <c r="BB180" s="487">
        <v>1</v>
      </c>
      <c r="BC180" s="6157"/>
      <c r="BD180" s="450"/>
    </row>
    <row r="181" spans="2:57" s="415" customFormat="1" ht="15" customHeight="1">
      <c r="B181" s="550"/>
      <c r="C181" s="551"/>
      <c r="D181" s="552" t="s">
        <v>1892</v>
      </c>
      <c r="E181" s="553">
        <v>1</v>
      </c>
      <c r="F181" s="553">
        <f t="shared" ref="F181:BB181" si="96">E181+1</f>
        <v>2</v>
      </c>
      <c r="G181" s="553">
        <f t="shared" si="96"/>
        <v>3</v>
      </c>
      <c r="H181" s="553">
        <f t="shared" si="96"/>
        <v>4</v>
      </c>
      <c r="I181" s="553">
        <f t="shared" si="96"/>
        <v>5</v>
      </c>
      <c r="J181" s="553">
        <f t="shared" si="96"/>
        <v>6</v>
      </c>
      <c r="K181" s="553">
        <f t="shared" si="96"/>
        <v>7</v>
      </c>
      <c r="L181" s="553">
        <f t="shared" si="96"/>
        <v>8</v>
      </c>
      <c r="M181" s="553">
        <f t="shared" si="96"/>
        <v>9</v>
      </c>
      <c r="N181" s="553">
        <f t="shared" si="96"/>
        <v>10</v>
      </c>
      <c r="O181" s="553">
        <f t="shared" si="96"/>
        <v>11</v>
      </c>
      <c r="P181" s="553">
        <f t="shared" si="96"/>
        <v>12</v>
      </c>
      <c r="Q181" s="553">
        <f t="shared" si="96"/>
        <v>13</v>
      </c>
      <c r="R181" s="553">
        <f t="shared" si="96"/>
        <v>14</v>
      </c>
      <c r="S181" s="553">
        <f t="shared" si="96"/>
        <v>15</v>
      </c>
      <c r="T181" s="553">
        <f t="shared" si="96"/>
        <v>16</v>
      </c>
      <c r="U181" s="553">
        <f t="shared" si="96"/>
        <v>17</v>
      </c>
      <c r="V181" s="553">
        <f t="shared" si="96"/>
        <v>18</v>
      </c>
      <c r="W181" s="553">
        <f t="shared" si="96"/>
        <v>19</v>
      </c>
      <c r="X181" s="553">
        <f t="shared" si="96"/>
        <v>20</v>
      </c>
      <c r="Y181" s="553">
        <f t="shared" si="96"/>
        <v>21</v>
      </c>
      <c r="Z181" s="553">
        <f t="shared" si="96"/>
        <v>22</v>
      </c>
      <c r="AA181" s="553">
        <f t="shared" si="96"/>
        <v>23</v>
      </c>
      <c r="AB181" s="553">
        <f t="shared" si="96"/>
        <v>24</v>
      </c>
      <c r="AC181" s="553">
        <f t="shared" si="96"/>
        <v>25</v>
      </c>
      <c r="AD181" s="553">
        <f t="shared" si="96"/>
        <v>26</v>
      </c>
      <c r="AE181" s="554">
        <f t="shared" si="96"/>
        <v>27</v>
      </c>
      <c r="AF181" s="419">
        <f t="shared" si="96"/>
        <v>28</v>
      </c>
      <c r="AG181" s="419">
        <f t="shared" si="96"/>
        <v>29</v>
      </c>
      <c r="AH181" s="419">
        <f t="shared" si="96"/>
        <v>30</v>
      </c>
      <c r="AI181" s="419">
        <f t="shared" si="96"/>
        <v>31</v>
      </c>
      <c r="AJ181" s="419">
        <f t="shared" si="96"/>
        <v>32</v>
      </c>
      <c r="AK181" s="419">
        <f t="shared" si="96"/>
        <v>33</v>
      </c>
      <c r="AL181" s="419">
        <f t="shared" si="96"/>
        <v>34</v>
      </c>
      <c r="AM181" s="419">
        <f t="shared" si="96"/>
        <v>35</v>
      </c>
      <c r="AN181" s="419">
        <f t="shared" si="96"/>
        <v>36</v>
      </c>
      <c r="AO181" s="419">
        <f t="shared" si="96"/>
        <v>37</v>
      </c>
      <c r="AP181" s="419">
        <f t="shared" si="96"/>
        <v>38</v>
      </c>
      <c r="AQ181" s="419">
        <f t="shared" ref="AQ181:AZ181" si="97">AP181+1</f>
        <v>39</v>
      </c>
      <c r="AR181" s="419">
        <f t="shared" si="97"/>
        <v>40</v>
      </c>
      <c r="AS181" s="419">
        <f t="shared" si="97"/>
        <v>41</v>
      </c>
      <c r="AT181" s="419">
        <f t="shared" si="97"/>
        <v>42</v>
      </c>
      <c r="AU181" s="419">
        <f t="shared" si="97"/>
        <v>43</v>
      </c>
      <c r="AV181" s="419">
        <f t="shared" si="97"/>
        <v>44</v>
      </c>
      <c r="AW181" s="419">
        <f t="shared" si="97"/>
        <v>45</v>
      </c>
      <c r="AX181" s="419">
        <f t="shared" si="97"/>
        <v>46</v>
      </c>
      <c r="AY181" s="419">
        <f t="shared" si="97"/>
        <v>47</v>
      </c>
      <c r="AZ181" s="419">
        <f t="shared" si="97"/>
        <v>48</v>
      </c>
      <c r="BA181" s="419">
        <f>AP181+1</f>
        <v>39</v>
      </c>
      <c r="BB181" s="419">
        <f t="shared" si="96"/>
        <v>40</v>
      </c>
      <c r="BC181" s="6143" t="s">
        <v>1886</v>
      </c>
      <c r="BD181" s="420"/>
    </row>
    <row r="182" spans="2:57" s="415" customFormat="1">
      <c r="B182" s="555"/>
      <c r="C182" s="556"/>
      <c r="D182" s="557" t="s">
        <v>1893</v>
      </c>
      <c r="E182" s="558">
        <f>E51</f>
        <v>43038</v>
      </c>
      <c r="F182" s="558">
        <f t="shared" ref="F182:BB182" si="98">F51</f>
        <v>43068</v>
      </c>
      <c r="G182" s="558">
        <f t="shared" si="98"/>
        <v>43098</v>
      </c>
      <c r="H182" s="558">
        <f t="shared" si="98"/>
        <v>43128</v>
      </c>
      <c r="I182" s="558">
        <f t="shared" si="98"/>
        <v>43158</v>
      </c>
      <c r="J182" s="558">
        <f t="shared" si="98"/>
        <v>43188</v>
      </c>
      <c r="K182" s="558">
        <f t="shared" si="98"/>
        <v>43218</v>
      </c>
      <c r="L182" s="558">
        <f t="shared" si="98"/>
        <v>43248</v>
      </c>
      <c r="M182" s="558">
        <f t="shared" si="98"/>
        <v>43278</v>
      </c>
      <c r="N182" s="558">
        <f t="shared" si="98"/>
        <v>43308</v>
      </c>
      <c r="O182" s="558">
        <f t="shared" si="98"/>
        <v>43338</v>
      </c>
      <c r="P182" s="558">
        <f t="shared" si="98"/>
        <v>43368</v>
      </c>
      <c r="Q182" s="558">
        <f t="shared" si="98"/>
        <v>43398</v>
      </c>
      <c r="R182" s="558">
        <f t="shared" si="98"/>
        <v>43428</v>
      </c>
      <c r="S182" s="558">
        <f t="shared" si="98"/>
        <v>43458</v>
      </c>
      <c r="T182" s="558">
        <f t="shared" si="98"/>
        <v>43488</v>
      </c>
      <c r="U182" s="558">
        <f t="shared" si="98"/>
        <v>43518</v>
      </c>
      <c r="V182" s="558">
        <f t="shared" si="98"/>
        <v>43548</v>
      </c>
      <c r="W182" s="558">
        <f t="shared" si="98"/>
        <v>43578</v>
      </c>
      <c r="X182" s="558">
        <f t="shared" si="98"/>
        <v>43608</v>
      </c>
      <c r="Y182" s="558">
        <f t="shared" si="98"/>
        <v>43638</v>
      </c>
      <c r="Z182" s="558">
        <f t="shared" si="98"/>
        <v>43668</v>
      </c>
      <c r="AA182" s="558">
        <f t="shared" si="98"/>
        <v>43698</v>
      </c>
      <c r="AB182" s="558">
        <f t="shared" si="98"/>
        <v>43728</v>
      </c>
      <c r="AC182" s="558">
        <f t="shared" si="98"/>
        <v>43758</v>
      </c>
      <c r="AD182" s="558">
        <f t="shared" si="98"/>
        <v>43788</v>
      </c>
      <c r="AE182" s="558">
        <f t="shared" si="98"/>
        <v>43818</v>
      </c>
      <c r="AF182" s="262">
        <f t="shared" si="98"/>
        <v>43848</v>
      </c>
      <c r="AG182" s="262">
        <f t="shared" si="98"/>
        <v>43878</v>
      </c>
      <c r="AH182" s="262">
        <f t="shared" si="98"/>
        <v>43908</v>
      </c>
      <c r="AI182" s="262">
        <f t="shared" si="98"/>
        <v>43938</v>
      </c>
      <c r="AJ182" s="262">
        <f t="shared" si="98"/>
        <v>43968</v>
      </c>
      <c r="AK182" s="262">
        <f t="shared" si="98"/>
        <v>43998</v>
      </c>
      <c r="AL182" s="262">
        <f t="shared" si="98"/>
        <v>44028</v>
      </c>
      <c r="AM182" s="262">
        <f t="shared" si="98"/>
        <v>44058</v>
      </c>
      <c r="AN182" s="262">
        <f t="shared" si="98"/>
        <v>44088</v>
      </c>
      <c r="AO182" s="262">
        <f t="shared" si="98"/>
        <v>44118</v>
      </c>
      <c r="AP182" s="262">
        <f t="shared" si="98"/>
        <v>44148</v>
      </c>
      <c r="AQ182" s="262">
        <f t="shared" ref="AQ182:AZ182" si="99">AQ51</f>
        <v>44178</v>
      </c>
      <c r="AR182" s="262">
        <f t="shared" si="99"/>
        <v>44208</v>
      </c>
      <c r="AS182" s="262">
        <f t="shared" si="99"/>
        <v>44238</v>
      </c>
      <c r="AT182" s="262">
        <f t="shared" si="99"/>
        <v>44268</v>
      </c>
      <c r="AU182" s="262">
        <f t="shared" si="99"/>
        <v>44298</v>
      </c>
      <c r="AV182" s="262">
        <f t="shared" si="99"/>
        <v>44328</v>
      </c>
      <c r="AW182" s="262">
        <f t="shared" si="99"/>
        <v>44358</v>
      </c>
      <c r="AX182" s="262">
        <f t="shared" si="99"/>
        <v>44388</v>
      </c>
      <c r="AY182" s="262">
        <f t="shared" si="99"/>
        <v>44418</v>
      </c>
      <c r="AZ182" s="262">
        <f t="shared" si="99"/>
        <v>44448</v>
      </c>
      <c r="BA182" s="262">
        <f t="shared" si="98"/>
        <v>44478</v>
      </c>
      <c r="BB182" s="262">
        <f t="shared" si="98"/>
        <v>44508</v>
      </c>
      <c r="BC182" s="6144"/>
      <c r="BD182" s="420"/>
    </row>
    <row r="183" spans="2:57" s="415" customFormat="1">
      <c r="B183" s="488"/>
      <c r="C183" s="489" t="s">
        <v>1936</v>
      </c>
      <c r="D183" s="6158">
        <f>+D189+D210+D231+D252+D272</f>
        <v>479457540.53999996</v>
      </c>
      <c r="E183" s="490">
        <f>+E186+E207+E228+E249+E269</f>
        <v>0</v>
      </c>
      <c r="F183" s="490">
        <f>+F186+F207+F228+F249+F269</f>
        <v>0</v>
      </c>
      <c r="G183" s="490">
        <f t="shared" ref="G183:BB183" si="100">+G186+G207+G228+G249+G269</f>
        <v>0</v>
      </c>
      <c r="H183" s="490">
        <f t="shared" si="100"/>
        <v>0</v>
      </c>
      <c r="I183" s="490">
        <f t="shared" si="100"/>
        <v>0</v>
      </c>
      <c r="J183" s="490">
        <f t="shared" si="100"/>
        <v>0</v>
      </c>
      <c r="K183" s="490">
        <f t="shared" si="100"/>
        <v>0</v>
      </c>
      <c r="L183" s="490">
        <f t="shared" si="100"/>
        <v>0</v>
      </c>
      <c r="M183" s="490">
        <f t="shared" si="100"/>
        <v>0</v>
      </c>
      <c r="N183" s="490">
        <f t="shared" si="100"/>
        <v>0</v>
      </c>
      <c r="O183" s="490">
        <f t="shared" si="100"/>
        <v>0</v>
      </c>
      <c r="P183" s="490">
        <f t="shared" si="100"/>
        <v>0</v>
      </c>
      <c r="Q183" s="490">
        <f t="shared" si="100"/>
        <v>0</v>
      </c>
      <c r="R183" s="490">
        <f t="shared" si="100"/>
        <v>0</v>
      </c>
      <c r="S183" s="490">
        <f t="shared" si="100"/>
        <v>0</v>
      </c>
      <c r="T183" s="490">
        <f t="shared" si="100"/>
        <v>0</v>
      </c>
      <c r="U183" s="490">
        <f t="shared" si="100"/>
        <v>0</v>
      </c>
      <c r="V183" s="490">
        <f t="shared" si="100"/>
        <v>0</v>
      </c>
      <c r="W183" s="490">
        <f t="shared" si="100"/>
        <v>0</v>
      </c>
      <c r="X183" s="490">
        <f t="shared" si="100"/>
        <v>0</v>
      </c>
      <c r="Y183" s="490">
        <f t="shared" si="100"/>
        <v>0</v>
      </c>
      <c r="Z183" s="490">
        <f t="shared" si="100"/>
        <v>0</v>
      </c>
      <c r="AA183" s="490">
        <f t="shared" si="100"/>
        <v>0</v>
      </c>
      <c r="AB183" s="490">
        <f t="shared" si="100"/>
        <v>0</v>
      </c>
      <c r="AC183" s="490">
        <f t="shared" si="100"/>
        <v>0</v>
      </c>
      <c r="AD183" s="490">
        <f t="shared" si="100"/>
        <v>0</v>
      </c>
      <c r="AE183" s="490">
        <f t="shared" si="100"/>
        <v>0</v>
      </c>
      <c r="AF183" s="490">
        <f t="shared" si="100"/>
        <v>0</v>
      </c>
      <c r="AG183" s="490">
        <f>+AG186+AG207+AG228+AG249+AG269</f>
        <v>0</v>
      </c>
      <c r="AH183" s="490">
        <f t="shared" si="100"/>
        <v>0</v>
      </c>
      <c r="AI183" s="490">
        <f t="shared" si="100"/>
        <v>0</v>
      </c>
      <c r="AJ183" s="490">
        <f t="shared" si="100"/>
        <v>0</v>
      </c>
      <c r="AK183" s="490">
        <f t="shared" si="100"/>
        <v>0</v>
      </c>
      <c r="AL183" s="490">
        <f t="shared" si="100"/>
        <v>0</v>
      </c>
      <c r="AM183" s="490">
        <f t="shared" si="100"/>
        <v>0</v>
      </c>
      <c r="AN183" s="490">
        <f t="shared" si="100"/>
        <v>0</v>
      </c>
      <c r="AO183" s="490">
        <f t="shared" si="100"/>
        <v>0</v>
      </c>
      <c r="AP183" s="490">
        <f t="shared" si="100"/>
        <v>0</v>
      </c>
      <c r="AQ183" s="490">
        <f>+AQ186+AQ207+AQ228+AQ249+AQ269</f>
        <v>0</v>
      </c>
      <c r="AR183" s="490">
        <f t="shared" ref="AR183:AZ183" si="101">+AR186+AR207+AR228+AR249+AR269</f>
        <v>0</v>
      </c>
      <c r="AS183" s="490">
        <f t="shared" si="101"/>
        <v>0</v>
      </c>
      <c r="AT183" s="490">
        <f t="shared" si="101"/>
        <v>0</v>
      </c>
      <c r="AU183" s="490">
        <f t="shared" si="101"/>
        <v>0</v>
      </c>
      <c r="AV183" s="490">
        <f t="shared" si="101"/>
        <v>0</v>
      </c>
      <c r="AW183" s="490">
        <f t="shared" si="101"/>
        <v>0</v>
      </c>
      <c r="AX183" s="490">
        <f t="shared" si="101"/>
        <v>0</v>
      </c>
      <c r="AY183" s="490">
        <f t="shared" si="101"/>
        <v>0</v>
      </c>
      <c r="AZ183" s="490">
        <f t="shared" si="101"/>
        <v>0</v>
      </c>
      <c r="BA183" s="490">
        <f t="shared" si="100"/>
        <v>0</v>
      </c>
      <c r="BB183" s="490">
        <f t="shared" si="100"/>
        <v>0</v>
      </c>
      <c r="BC183" s="6156"/>
      <c r="BD183" s="420"/>
    </row>
    <row r="184" spans="2:57" s="415" customFormat="1" ht="18.75" customHeight="1">
      <c r="B184" s="491"/>
      <c r="C184" s="492" t="s">
        <v>1937</v>
      </c>
      <c r="D184" s="6159"/>
      <c r="E184" s="493">
        <f>+E187+E208+E229+E250+E270</f>
        <v>0</v>
      </c>
      <c r="F184" s="493">
        <f t="shared" ref="F184:BB184" si="102">+F187+F208+F229+F250+F270</f>
        <v>0</v>
      </c>
      <c r="G184" s="493">
        <f t="shared" si="102"/>
        <v>0</v>
      </c>
      <c r="H184" s="493">
        <f t="shared" si="102"/>
        <v>0</v>
      </c>
      <c r="I184" s="493">
        <f t="shared" si="102"/>
        <v>0</v>
      </c>
      <c r="J184" s="493">
        <f t="shared" si="102"/>
        <v>0</v>
      </c>
      <c r="K184" s="493">
        <f t="shared" si="102"/>
        <v>0</v>
      </c>
      <c r="L184" s="493">
        <f t="shared" si="102"/>
        <v>0</v>
      </c>
      <c r="M184" s="493">
        <f t="shared" si="102"/>
        <v>0</v>
      </c>
      <c r="N184" s="493">
        <f t="shared" si="102"/>
        <v>0</v>
      </c>
      <c r="O184" s="493">
        <f t="shared" si="102"/>
        <v>0</v>
      </c>
      <c r="P184" s="493">
        <f t="shared" si="102"/>
        <v>0</v>
      </c>
      <c r="Q184" s="493">
        <f t="shared" si="102"/>
        <v>0</v>
      </c>
      <c r="R184" s="493">
        <f t="shared" si="102"/>
        <v>0</v>
      </c>
      <c r="S184" s="493">
        <f t="shared" si="102"/>
        <v>0</v>
      </c>
      <c r="T184" s="493">
        <f t="shared" si="102"/>
        <v>0</v>
      </c>
      <c r="U184" s="493">
        <f t="shared" si="102"/>
        <v>0</v>
      </c>
      <c r="V184" s="493">
        <f t="shared" si="102"/>
        <v>0</v>
      </c>
      <c r="W184" s="493">
        <f t="shared" si="102"/>
        <v>0</v>
      </c>
      <c r="X184" s="493">
        <f t="shared" si="102"/>
        <v>0</v>
      </c>
      <c r="Y184" s="493">
        <f t="shared" si="102"/>
        <v>0</v>
      </c>
      <c r="Z184" s="493">
        <f t="shared" si="102"/>
        <v>0</v>
      </c>
      <c r="AA184" s="493">
        <f t="shared" si="102"/>
        <v>0</v>
      </c>
      <c r="AB184" s="493">
        <f t="shared" si="102"/>
        <v>0</v>
      </c>
      <c r="AC184" s="493">
        <f t="shared" si="102"/>
        <v>0</v>
      </c>
      <c r="AD184" s="493">
        <f t="shared" si="102"/>
        <v>0</v>
      </c>
      <c r="AE184" s="493">
        <f t="shared" si="102"/>
        <v>0</v>
      </c>
      <c r="AF184" s="493">
        <f t="shared" si="102"/>
        <v>0</v>
      </c>
      <c r="AG184" s="493">
        <f t="shared" si="102"/>
        <v>0</v>
      </c>
      <c r="AH184" s="493">
        <f t="shared" si="102"/>
        <v>0</v>
      </c>
      <c r="AI184" s="493">
        <f t="shared" si="102"/>
        <v>0</v>
      </c>
      <c r="AJ184" s="493">
        <f t="shared" si="102"/>
        <v>0</v>
      </c>
      <c r="AK184" s="493">
        <f t="shared" si="102"/>
        <v>0</v>
      </c>
      <c r="AL184" s="493">
        <f t="shared" si="102"/>
        <v>0</v>
      </c>
      <c r="AM184" s="493">
        <f t="shared" si="102"/>
        <v>0</v>
      </c>
      <c r="AN184" s="493">
        <f t="shared" si="102"/>
        <v>0</v>
      </c>
      <c r="AO184" s="493">
        <f t="shared" si="102"/>
        <v>0</v>
      </c>
      <c r="AP184" s="493">
        <f t="shared" si="102"/>
        <v>0</v>
      </c>
      <c r="AQ184" s="493">
        <f t="shared" ref="AQ184:AZ184" si="103">+AQ187+AQ208+AQ229+AQ250+AQ270</f>
        <v>0</v>
      </c>
      <c r="AR184" s="493">
        <f t="shared" si="103"/>
        <v>0</v>
      </c>
      <c r="AS184" s="493">
        <f t="shared" si="103"/>
        <v>0</v>
      </c>
      <c r="AT184" s="493">
        <f t="shared" si="103"/>
        <v>0</v>
      </c>
      <c r="AU184" s="493">
        <f t="shared" si="103"/>
        <v>0</v>
      </c>
      <c r="AV184" s="493">
        <f t="shared" si="103"/>
        <v>0</v>
      </c>
      <c r="AW184" s="493">
        <f t="shared" si="103"/>
        <v>0</v>
      </c>
      <c r="AX184" s="493">
        <f t="shared" si="103"/>
        <v>0</v>
      </c>
      <c r="AY184" s="493">
        <f t="shared" si="103"/>
        <v>0</v>
      </c>
      <c r="AZ184" s="493">
        <f t="shared" si="103"/>
        <v>0</v>
      </c>
      <c r="BA184" s="493">
        <f t="shared" si="102"/>
        <v>0</v>
      </c>
      <c r="BB184" s="493">
        <f t="shared" si="102"/>
        <v>0</v>
      </c>
      <c r="BC184" s="6144"/>
      <c r="BD184" s="420"/>
    </row>
    <row r="185" spans="2:57" ht="18.75" customHeight="1">
      <c r="B185" s="494"/>
      <c r="C185" s="495"/>
      <c r="D185" s="496"/>
      <c r="E185" s="497"/>
      <c r="F185" s="497"/>
      <c r="G185" s="497"/>
      <c r="H185" s="497"/>
      <c r="I185" s="497"/>
      <c r="J185" s="497"/>
      <c r="K185" s="497"/>
      <c r="L185" s="497"/>
      <c r="M185" s="497"/>
      <c r="N185" s="497"/>
      <c r="O185" s="497"/>
      <c r="P185" s="497"/>
      <c r="Q185" s="497"/>
      <c r="R185" s="497"/>
      <c r="S185" s="497"/>
      <c r="T185" s="497"/>
      <c r="U185" s="497"/>
      <c r="V185" s="497"/>
      <c r="W185" s="497"/>
      <c r="X185" s="497"/>
      <c r="Y185" s="497"/>
      <c r="Z185" s="497"/>
      <c r="AA185" s="497"/>
      <c r="AB185" s="497"/>
      <c r="AC185" s="497"/>
      <c r="AD185" s="497"/>
      <c r="AE185" s="498"/>
      <c r="AF185" s="499"/>
      <c r="AG185" s="499"/>
      <c r="AH185" s="499"/>
      <c r="AI185" s="499"/>
      <c r="AJ185" s="499"/>
      <c r="AK185" s="499"/>
      <c r="AL185" s="499"/>
      <c r="AM185" s="499"/>
      <c r="AN185" s="499"/>
      <c r="AO185" s="499"/>
      <c r="AP185" s="499"/>
      <c r="AQ185" s="499"/>
      <c r="AR185" s="499"/>
      <c r="AS185" s="499"/>
      <c r="AT185" s="499"/>
      <c r="AU185" s="499"/>
      <c r="AV185" s="499"/>
      <c r="AW185" s="499"/>
      <c r="AX185" s="499"/>
      <c r="AY185" s="499"/>
      <c r="AZ185" s="499"/>
      <c r="BA185" s="499"/>
      <c r="BB185" s="499"/>
      <c r="BC185" s="500"/>
      <c r="BD185" s="450"/>
    </row>
    <row r="186" spans="2:57" s="415" customFormat="1">
      <c r="B186" s="501">
        <v>100</v>
      </c>
      <c r="C186" s="502" t="s">
        <v>509</v>
      </c>
      <c r="D186" s="503" t="s">
        <v>1896</v>
      </c>
      <c r="E186" s="504">
        <f>E203</f>
        <v>0</v>
      </c>
      <c r="F186" s="504">
        <f t="shared" ref="F186:BB186" si="104">F203</f>
        <v>0</v>
      </c>
      <c r="G186" s="504">
        <f t="shared" si="104"/>
        <v>0</v>
      </c>
      <c r="H186" s="504">
        <f t="shared" si="104"/>
        <v>0</v>
      </c>
      <c r="I186" s="504">
        <f t="shared" si="104"/>
        <v>0</v>
      </c>
      <c r="J186" s="504">
        <f t="shared" si="104"/>
        <v>0</v>
      </c>
      <c r="K186" s="504">
        <f t="shared" si="104"/>
        <v>0</v>
      </c>
      <c r="L186" s="504">
        <f t="shared" si="104"/>
        <v>0</v>
      </c>
      <c r="M186" s="504">
        <f t="shared" si="104"/>
        <v>0</v>
      </c>
      <c r="N186" s="504">
        <f t="shared" si="104"/>
        <v>0</v>
      </c>
      <c r="O186" s="504">
        <f t="shared" si="104"/>
        <v>0</v>
      </c>
      <c r="P186" s="504">
        <f t="shared" si="104"/>
        <v>0</v>
      </c>
      <c r="Q186" s="504">
        <f t="shared" si="104"/>
        <v>0</v>
      </c>
      <c r="R186" s="504">
        <f t="shared" si="104"/>
        <v>0</v>
      </c>
      <c r="S186" s="504">
        <f t="shared" si="104"/>
        <v>0</v>
      </c>
      <c r="T186" s="504">
        <f t="shared" si="104"/>
        <v>0</v>
      </c>
      <c r="U186" s="504">
        <f t="shared" si="104"/>
        <v>0</v>
      </c>
      <c r="V186" s="504">
        <f t="shared" si="104"/>
        <v>0</v>
      </c>
      <c r="W186" s="504">
        <f t="shared" si="104"/>
        <v>0</v>
      </c>
      <c r="X186" s="504">
        <f t="shared" si="104"/>
        <v>0</v>
      </c>
      <c r="Y186" s="504">
        <f t="shared" si="104"/>
        <v>0</v>
      </c>
      <c r="Z186" s="504">
        <f t="shared" si="104"/>
        <v>0</v>
      </c>
      <c r="AA186" s="504">
        <f t="shared" si="104"/>
        <v>0</v>
      </c>
      <c r="AB186" s="504">
        <f t="shared" si="104"/>
        <v>0</v>
      </c>
      <c r="AC186" s="504">
        <f t="shared" si="104"/>
        <v>0</v>
      </c>
      <c r="AD186" s="504">
        <f t="shared" si="104"/>
        <v>0</v>
      </c>
      <c r="AE186" s="504">
        <f t="shared" si="104"/>
        <v>0</v>
      </c>
      <c r="AF186" s="504">
        <f t="shared" si="104"/>
        <v>0</v>
      </c>
      <c r="AG186" s="504">
        <f>AG203</f>
        <v>0</v>
      </c>
      <c r="AH186" s="504">
        <f t="shared" si="104"/>
        <v>0</v>
      </c>
      <c r="AI186" s="504">
        <f t="shared" si="104"/>
        <v>0</v>
      </c>
      <c r="AJ186" s="504">
        <f t="shared" si="104"/>
        <v>0</v>
      </c>
      <c r="AK186" s="504">
        <f t="shared" si="104"/>
        <v>0</v>
      </c>
      <c r="AL186" s="504">
        <f t="shared" si="104"/>
        <v>0</v>
      </c>
      <c r="AM186" s="504">
        <f t="shared" si="104"/>
        <v>0</v>
      </c>
      <c r="AN186" s="504">
        <f t="shared" si="104"/>
        <v>0</v>
      </c>
      <c r="AO186" s="504">
        <f t="shared" si="104"/>
        <v>0</v>
      </c>
      <c r="AP186" s="504">
        <f t="shared" si="104"/>
        <v>0</v>
      </c>
      <c r="AQ186" s="504">
        <f>AQ203</f>
        <v>0</v>
      </c>
      <c r="AR186" s="504">
        <f t="shared" ref="AR186:AZ186" si="105">AR203</f>
        <v>0</v>
      </c>
      <c r="AS186" s="504">
        <f t="shared" si="105"/>
        <v>0</v>
      </c>
      <c r="AT186" s="504">
        <f t="shared" si="105"/>
        <v>0</v>
      </c>
      <c r="AU186" s="504">
        <f t="shared" si="105"/>
        <v>0</v>
      </c>
      <c r="AV186" s="504">
        <f t="shared" si="105"/>
        <v>0</v>
      </c>
      <c r="AW186" s="504">
        <f t="shared" si="105"/>
        <v>0</v>
      </c>
      <c r="AX186" s="504">
        <f t="shared" si="105"/>
        <v>0</v>
      </c>
      <c r="AY186" s="504">
        <f t="shared" si="105"/>
        <v>0</v>
      </c>
      <c r="AZ186" s="504">
        <f t="shared" si="105"/>
        <v>0</v>
      </c>
      <c r="BA186" s="504">
        <f t="shared" si="104"/>
        <v>0</v>
      </c>
      <c r="BB186" s="504">
        <f t="shared" si="104"/>
        <v>0</v>
      </c>
      <c r="BC186" s="505"/>
      <c r="BD186" s="420"/>
      <c r="BE186" s="527"/>
    </row>
    <row r="187" spans="2:57" s="415" customFormat="1">
      <c r="B187" s="501"/>
      <c r="C187" s="502"/>
      <c r="D187" s="503" t="s">
        <v>1897</v>
      </c>
      <c r="E187" s="504">
        <f>E204</f>
        <v>0</v>
      </c>
      <c r="F187" s="504">
        <f t="shared" ref="F187:BB187" si="106">F204</f>
        <v>0</v>
      </c>
      <c r="G187" s="504">
        <f t="shared" si="106"/>
        <v>0</v>
      </c>
      <c r="H187" s="504">
        <f>H204</f>
        <v>0</v>
      </c>
      <c r="I187" s="504">
        <f t="shared" si="106"/>
        <v>0</v>
      </c>
      <c r="J187" s="504">
        <f t="shared" si="106"/>
        <v>0</v>
      </c>
      <c r="K187" s="504">
        <f t="shared" si="106"/>
        <v>0</v>
      </c>
      <c r="L187" s="504">
        <f t="shared" si="106"/>
        <v>0</v>
      </c>
      <c r="M187" s="504">
        <f t="shared" si="106"/>
        <v>0</v>
      </c>
      <c r="N187" s="504">
        <f>N204</f>
        <v>0</v>
      </c>
      <c r="O187" s="504">
        <f>O204</f>
        <v>0</v>
      </c>
      <c r="P187" s="504">
        <f t="shared" si="106"/>
        <v>0</v>
      </c>
      <c r="Q187" s="504">
        <f t="shared" si="106"/>
        <v>0</v>
      </c>
      <c r="R187" s="504">
        <f t="shared" si="106"/>
        <v>0</v>
      </c>
      <c r="S187" s="504">
        <f t="shared" si="106"/>
        <v>0</v>
      </c>
      <c r="T187" s="504">
        <f t="shared" si="106"/>
        <v>0</v>
      </c>
      <c r="U187" s="504">
        <f t="shared" si="106"/>
        <v>0</v>
      </c>
      <c r="V187" s="504">
        <f t="shared" si="106"/>
        <v>0</v>
      </c>
      <c r="W187" s="504">
        <f t="shared" si="106"/>
        <v>0</v>
      </c>
      <c r="X187" s="504">
        <f t="shared" si="106"/>
        <v>0</v>
      </c>
      <c r="Y187" s="504">
        <f t="shared" si="106"/>
        <v>0</v>
      </c>
      <c r="Z187" s="504">
        <f t="shared" si="106"/>
        <v>0</v>
      </c>
      <c r="AA187" s="504">
        <f t="shared" si="106"/>
        <v>0</v>
      </c>
      <c r="AB187" s="504">
        <f t="shared" si="106"/>
        <v>0</v>
      </c>
      <c r="AC187" s="504">
        <f t="shared" si="106"/>
        <v>0</v>
      </c>
      <c r="AD187" s="504">
        <f t="shared" si="106"/>
        <v>0</v>
      </c>
      <c r="AE187" s="504">
        <f t="shared" si="106"/>
        <v>0</v>
      </c>
      <c r="AF187" s="504">
        <f t="shared" si="106"/>
        <v>0</v>
      </c>
      <c r="AG187" s="504">
        <f t="shared" si="106"/>
        <v>0</v>
      </c>
      <c r="AH187" s="504">
        <f t="shared" si="106"/>
        <v>0</v>
      </c>
      <c r="AI187" s="504">
        <f t="shared" si="106"/>
        <v>0</v>
      </c>
      <c r="AJ187" s="504">
        <f t="shared" si="106"/>
        <v>0</v>
      </c>
      <c r="AK187" s="504">
        <f t="shared" si="106"/>
        <v>0</v>
      </c>
      <c r="AL187" s="504">
        <f t="shared" si="106"/>
        <v>0</v>
      </c>
      <c r="AM187" s="504">
        <f t="shared" si="106"/>
        <v>0</v>
      </c>
      <c r="AN187" s="504">
        <f t="shared" si="106"/>
        <v>0</v>
      </c>
      <c r="AO187" s="504">
        <f t="shared" si="106"/>
        <v>0</v>
      </c>
      <c r="AP187" s="504">
        <f t="shared" si="106"/>
        <v>0</v>
      </c>
      <c r="AQ187" s="504">
        <f t="shared" ref="AQ187:AZ187" si="107">AQ204</f>
        <v>0</v>
      </c>
      <c r="AR187" s="504">
        <f t="shared" si="107"/>
        <v>0</v>
      </c>
      <c r="AS187" s="504">
        <f t="shared" si="107"/>
        <v>0</v>
      </c>
      <c r="AT187" s="504">
        <f t="shared" si="107"/>
        <v>0</v>
      </c>
      <c r="AU187" s="504">
        <f t="shared" si="107"/>
        <v>0</v>
      </c>
      <c r="AV187" s="504">
        <f t="shared" si="107"/>
        <v>0</v>
      </c>
      <c r="AW187" s="504">
        <f t="shared" si="107"/>
        <v>0</v>
      </c>
      <c r="AX187" s="504">
        <f t="shared" si="107"/>
        <v>0</v>
      </c>
      <c r="AY187" s="504">
        <f t="shared" si="107"/>
        <v>0</v>
      </c>
      <c r="AZ187" s="504">
        <f t="shared" si="107"/>
        <v>0</v>
      </c>
      <c r="BA187" s="504">
        <f t="shared" si="106"/>
        <v>0</v>
      </c>
      <c r="BB187" s="504">
        <f t="shared" si="106"/>
        <v>0</v>
      </c>
      <c r="BC187" s="506"/>
      <c r="BD187" s="420"/>
    </row>
    <row r="188" spans="2:57" ht="15" customHeight="1" outlineLevel="1">
      <c r="B188" s="494"/>
      <c r="C188" s="507"/>
      <c r="D188" s="496"/>
      <c r="E188" s="497"/>
      <c r="F188" s="497"/>
      <c r="G188" s="497"/>
      <c r="H188" s="497"/>
      <c r="I188" s="497"/>
      <c r="J188" s="497"/>
      <c r="K188" s="497"/>
      <c r="L188" s="497"/>
      <c r="M188" s="497"/>
      <c r="N188" s="497"/>
      <c r="O188" s="497"/>
      <c r="P188" s="497"/>
      <c r="Q188" s="497"/>
      <c r="R188" s="497"/>
      <c r="S188" s="497"/>
      <c r="T188" s="497"/>
      <c r="U188" s="497"/>
      <c r="V188" s="497"/>
      <c r="W188" s="497"/>
      <c r="X188" s="497"/>
      <c r="Y188" s="497"/>
      <c r="Z188" s="497"/>
      <c r="AA188" s="497"/>
      <c r="AB188" s="497"/>
      <c r="AC188" s="497"/>
      <c r="AD188" s="497"/>
      <c r="AE188" s="498"/>
      <c r="AF188" s="499"/>
      <c r="AG188" s="499"/>
      <c r="AH188" s="499"/>
      <c r="AI188" s="499"/>
      <c r="AJ188" s="499"/>
      <c r="AK188" s="499"/>
      <c r="AL188" s="499"/>
      <c r="AM188" s="499"/>
      <c r="AN188" s="499"/>
      <c r="AO188" s="499"/>
      <c r="AP188" s="499"/>
      <c r="AQ188" s="499"/>
      <c r="AR188" s="499"/>
      <c r="AS188" s="499"/>
      <c r="AT188" s="499"/>
      <c r="AU188" s="499"/>
      <c r="AV188" s="499"/>
      <c r="AW188" s="499"/>
      <c r="AX188" s="499"/>
      <c r="AY188" s="499"/>
      <c r="AZ188" s="499"/>
      <c r="BA188" s="499"/>
      <c r="BB188" s="499"/>
      <c r="BC188" s="505"/>
      <c r="BD188" s="450"/>
    </row>
    <row r="189" spans="2:57" ht="18.75" customHeight="1" outlineLevel="1">
      <c r="B189" s="509">
        <v>100.1</v>
      </c>
      <c r="C189" s="510">
        <v>0</v>
      </c>
      <c r="D189" s="511">
        <f>D41</f>
        <v>479457540.53999996</v>
      </c>
      <c r="E189" s="512"/>
      <c r="F189" s="512"/>
      <c r="G189" s="512"/>
      <c r="H189" s="512"/>
      <c r="I189" s="512"/>
      <c r="J189" s="512"/>
      <c r="K189" s="512"/>
      <c r="L189" s="512"/>
      <c r="M189" s="512"/>
      <c r="N189" s="512"/>
      <c r="O189" s="512"/>
      <c r="P189" s="512"/>
      <c r="Q189" s="512"/>
      <c r="R189" s="512"/>
      <c r="S189" s="512"/>
      <c r="T189" s="512"/>
      <c r="U189" s="512"/>
      <c r="V189" s="512"/>
      <c r="W189" s="512"/>
      <c r="X189" s="512"/>
      <c r="Y189" s="512"/>
      <c r="Z189" s="512"/>
      <c r="AA189" s="512"/>
      <c r="AB189" s="512"/>
      <c r="AC189" s="512"/>
      <c r="AD189" s="512"/>
      <c r="AE189" s="513"/>
      <c r="AF189" s="514"/>
      <c r="AG189" s="514"/>
      <c r="AH189" s="514"/>
      <c r="AI189" s="514"/>
      <c r="AJ189" s="514"/>
      <c r="AK189" s="514"/>
      <c r="AL189" s="514"/>
      <c r="AM189" s="514"/>
      <c r="AN189" s="514"/>
      <c r="AO189" s="514"/>
      <c r="AP189" s="514"/>
      <c r="AQ189" s="514"/>
      <c r="AR189" s="514"/>
      <c r="AS189" s="514"/>
      <c r="AT189" s="514"/>
      <c r="AU189" s="514"/>
      <c r="AV189" s="514"/>
      <c r="AW189" s="514"/>
      <c r="AX189" s="514"/>
      <c r="AY189" s="514"/>
      <c r="AZ189" s="514"/>
      <c r="BA189" s="514"/>
      <c r="BB189" s="514"/>
      <c r="BC189" s="506"/>
      <c r="BD189" s="450"/>
    </row>
    <row r="190" spans="2:57" ht="15" customHeight="1" outlineLevel="2">
      <c r="B190" s="494"/>
      <c r="C190" s="515" t="s">
        <v>1898</v>
      </c>
      <c r="D190" s="496" t="s">
        <v>1899</v>
      </c>
      <c r="E190" s="497"/>
      <c r="F190" s="497"/>
      <c r="G190" s="497"/>
      <c r="H190" s="497"/>
      <c r="I190" s="497"/>
      <c r="J190" s="497"/>
      <c r="K190" s="497"/>
      <c r="L190" s="497"/>
      <c r="M190" s="497"/>
      <c r="N190" s="497"/>
      <c r="O190" s="497"/>
      <c r="P190" s="497"/>
      <c r="Q190" s="497"/>
      <c r="R190" s="497"/>
      <c r="S190" s="497"/>
      <c r="T190" s="497"/>
      <c r="U190" s="497"/>
      <c r="V190" s="497"/>
      <c r="W190" s="497"/>
      <c r="X190" s="497"/>
      <c r="Y190" s="497"/>
      <c r="Z190" s="497"/>
      <c r="AA190" s="497"/>
      <c r="AB190" s="497"/>
      <c r="AC190" s="497"/>
      <c r="AD190" s="497"/>
      <c r="AE190" s="498"/>
      <c r="AF190" s="499"/>
      <c r="AG190" s="499"/>
      <c r="AH190" s="499"/>
      <c r="AI190" s="499"/>
      <c r="AJ190" s="499"/>
      <c r="AK190" s="499"/>
      <c r="AL190" s="499"/>
      <c r="AM190" s="499"/>
      <c r="AN190" s="499"/>
      <c r="AO190" s="499"/>
      <c r="AP190" s="499"/>
      <c r="AQ190" s="499"/>
      <c r="AR190" s="499"/>
      <c r="AS190" s="499"/>
      <c r="AT190" s="499"/>
      <c r="AU190" s="499"/>
      <c r="AV190" s="499"/>
      <c r="AW190" s="499"/>
      <c r="AX190" s="499"/>
      <c r="AY190" s="499"/>
      <c r="AZ190" s="499"/>
      <c r="BA190" s="499"/>
      <c r="BB190" s="499"/>
      <c r="BC190" s="500"/>
      <c r="BD190" s="450"/>
      <c r="BE190" s="527"/>
    </row>
    <row r="191" spans="2:57" ht="15" customHeight="1" outlineLevel="2">
      <c r="B191" s="494"/>
      <c r="C191" s="515" t="s">
        <v>1901</v>
      </c>
      <c r="D191" s="496" t="s">
        <v>1902</v>
      </c>
      <c r="E191" s="497">
        <v>0</v>
      </c>
      <c r="F191" s="497">
        <v>0</v>
      </c>
      <c r="G191" s="497">
        <v>0</v>
      </c>
      <c r="H191" s="497">
        <v>0</v>
      </c>
      <c r="I191" s="497">
        <v>0</v>
      </c>
      <c r="J191" s="497">
        <v>0</v>
      </c>
      <c r="K191" s="497">
        <v>0</v>
      </c>
      <c r="L191" s="497">
        <v>0</v>
      </c>
      <c r="M191" s="497">
        <v>0</v>
      </c>
      <c r="N191" s="497">
        <v>0</v>
      </c>
      <c r="O191" s="497">
        <v>0</v>
      </c>
      <c r="P191" s="497">
        <v>0</v>
      </c>
      <c r="Q191" s="497">
        <v>0</v>
      </c>
      <c r="R191" s="497">
        <v>0</v>
      </c>
      <c r="S191" s="497">
        <v>0</v>
      </c>
      <c r="T191" s="497">
        <v>0</v>
      </c>
      <c r="U191" s="497">
        <v>0</v>
      </c>
      <c r="V191" s="497">
        <v>0</v>
      </c>
      <c r="W191" s="497">
        <v>0</v>
      </c>
      <c r="X191" s="497">
        <v>0</v>
      </c>
      <c r="Y191" s="497">
        <v>0</v>
      </c>
      <c r="Z191" s="497">
        <v>0</v>
      </c>
      <c r="AA191" s="497">
        <v>0</v>
      </c>
      <c r="AB191" s="497">
        <v>0</v>
      </c>
      <c r="AC191" s="497">
        <v>0</v>
      </c>
      <c r="AD191" s="497">
        <v>0</v>
      </c>
      <c r="AE191" s="498">
        <v>0</v>
      </c>
      <c r="AF191" s="499">
        <v>0</v>
      </c>
      <c r="AG191" s="499">
        <v>0</v>
      </c>
      <c r="AH191" s="499">
        <v>0</v>
      </c>
      <c r="AI191" s="499">
        <v>0</v>
      </c>
      <c r="AJ191" s="499">
        <v>0</v>
      </c>
      <c r="AK191" s="499">
        <v>0</v>
      </c>
      <c r="AL191" s="499">
        <v>0</v>
      </c>
      <c r="AM191" s="499">
        <v>0</v>
      </c>
      <c r="AN191" s="499">
        <v>0</v>
      </c>
      <c r="AO191" s="499">
        <v>0</v>
      </c>
      <c r="AP191" s="499">
        <v>0</v>
      </c>
      <c r="AQ191" s="499">
        <v>0</v>
      </c>
      <c r="AR191" s="499">
        <v>0</v>
      </c>
      <c r="AS191" s="499">
        <v>0</v>
      </c>
      <c r="AT191" s="499">
        <v>0</v>
      </c>
      <c r="AU191" s="499">
        <v>0</v>
      </c>
      <c r="AV191" s="499">
        <v>0</v>
      </c>
      <c r="AW191" s="499">
        <v>0</v>
      </c>
      <c r="AX191" s="499">
        <v>0</v>
      </c>
      <c r="AY191" s="499">
        <v>0</v>
      </c>
      <c r="AZ191" s="499">
        <v>0</v>
      </c>
      <c r="BA191" s="499">
        <v>0</v>
      </c>
      <c r="BB191" s="499">
        <v>0</v>
      </c>
      <c r="BC191" s="500"/>
      <c r="BD191" s="450"/>
    </row>
    <row r="192" spans="2:57" ht="15" customHeight="1" outlineLevel="2">
      <c r="B192" s="494"/>
      <c r="C192" s="515" t="s">
        <v>1903</v>
      </c>
      <c r="D192" s="496" t="s">
        <v>1904</v>
      </c>
      <c r="E192" s="497">
        <v>0</v>
      </c>
      <c r="F192" s="497">
        <v>0</v>
      </c>
      <c r="G192" s="497">
        <v>0</v>
      </c>
      <c r="H192" s="497">
        <v>0</v>
      </c>
      <c r="I192" s="497">
        <v>0</v>
      </c>
      <c r="J192" s="497">
        <v>0</v>
      </c>
      <c r="K192" s="497">
        <v>0</v>
      </c>
      <c r="L192" s="497">
        <v>0</v>
      </c>
      <c r="M192" s="497">
        <v>0</v>
      </c>
      <c r="N192" s="497">
        <v>0</v>
      </c>
      <c r="O192" s="497">
        <v>0</v>
      </c>
      <c r="P192" s="497">
        <v>0</v>
      </c>
      <c r="Q192" s="497">
        <v>0</v>
      </c>
      <c r="R192" s="497">
        <v>0</v>
      </c>
      <c r="S192" s="497">
        <v>0</v>
      </c>
      <c r="T192" s="497">
        <v>0</v>
      </c>
      <c r="U192" s="497">
        <v>0</v>
      </c>
      <c r="V192" s="497">
        <v>0</v>
      </c>
      <c r="W192" s="497">
        <v>0</v>
      </c>
      <c r="X192" s="497">
        <v>0</v>
      </c>
      <c r="Y192" s="497">
        <v>0</v>
      </c>
      <c r="Z192" s="497">
        <v>0</v>
      </c>
      <c r="AA192" s="497">
        <v>0</v>
      </c>
      <c r="AB192" s="497">
        <v>0</v>
      </c>
      <c r="AC192" s="497">
        <v>0</v>
      </c>
      <c r="AD192" s="497">
        <v>0</v>
      </c>
      <c r="AE192" s="498">
        <v>0</v>
      </c>
      <c r="AF192" s="499">
        <v>0</v>
      </c>
      <c r="AG192" s="499">
        <v>0</v>
      </c>
      <c r="AH192" s="499">
        <v>0</v>
      </c>
      <c r="AI192" s="499">
        <v>0</v>
      </c>
      <c r="AJ192" s="499">
        <v>0</v>
      </c>
      <c r="AK192" s="499">
        <v>0</v>
      </c>
      <c r="AL192" s="499">
        <v>0</v>
      </c>
      <c r="AM192" s="499">
        <v>0</v>
      </c>
      <c r="AN192" s="499">
        <v>0</v>
      </c>
      <c r="AO192" s="499">
        <v>0</v>
      </c>
      <c r="AP192" s="499">
        <v>0</v>
      </c>
      <c r="AQ192" s="499">
        <v>0</v>
      </c>
      <c r="AR192" s="499">
        <v>0</v>
      </c>
      <c r="AS192" s="499">
        <v>0</v>
      </c>
      <c r="AT192" s="499">
        <v>0</v>
      </c>
      <c r="AU192" s="499">
        <v>0</v>
      </c>
      <c r="AV192" s="499">
        <v>0</v>
      </c>
      <c r="AW192" s="499">
        <v>0</v>
      </c>
      <c r="AX192" s="499">
        <v>0</v>
      </c>
      <c r="AY192" s="499">
        <v>0</v>
      </c>
      <c r="AZ192" s="499">
        <v>0</v>
      </c>
      <c r="BA192" s="499">
        <v>0</v>
      </c>
      <c r="BB192" s="499">
        <v>0</v>
      </c>
      <c r="BC192" s="500"/>
      <c r="BD192" s="450"/>
    </row>
    <row r="193" spans="2:56" s="415" customFormat="1" ht="15" customHeight="1" outlineLevel="2">
      <c r="B193" s="528"/>
      <c r="C193" s="516" t="s">
        <v>1905</v>
      </c>
      <c r="D193" s="517" t="s">
        <v>1906</v>
      </c>
      <c r="E193" s="518">
        <f>E190+E191+E192</f>
        <v>0</v>
      </c>
      <c r="F193" s="518">
        <f t="shared" ref="F193:Z193" si="108">F190+F191+F192</f>
        <v>0</v>
      </c>
      <c r="G193" s="518">
        <f>G189+G190+G191+G192</f>
        <v>0</v>
      </c>
      <c r="H193" s="518">
        <f t="shared" si="108"/>
        <v>0</v>
      </c>
      <c r="I193" s="518">
        <f t="shared" si="108"/>
        <v>0</v>
      </c>
      <c r="J193" s="518">
        <f t="shared" si="108"/>
        <v>0</v>
      </c>
      <c r="K193" s="518">
        <f t="shared" si="108"/>
        <v>0</v>
      </c>
      <c r="L193" s="518">
        <f t="shared" si="108"/>
        <v>0</v>
      </c>
      <c r="M193" s="518">
        <f t="shared" si="108"/>
        <v>0</v>
      </c>
      <c r="N193" s="518">
        <f t="shared" si="108"/>
        <v>0</v>
      </c>
      <c r="O193" s="518">
        <f t="shared" si="108"/>
        <v>0</v>
      </c>
      <c r="P193" s="518">
        <f t="shared" si="108"/>
        <v>0</v>
      </c>
      <c r="Q193" s="518">
        <f t="shared" si="108"/>
        <v>0</v>
      </c>
      <c r="R193" s="518">
        <f t="shared" si="108"/>
        <v>0</v>
      </c>
      <c r="S193" s="518">
        <f t="shared" si="108"/>
        <v>0</v>
      </c>
      <c r="T193" s="518">
        <f t="shared" si="108"/>
        <v>0</v>
      </c>
      <c r="U193" s="518">
        <f t="shared" si="108"/>
        <v>0</v>
      </c>
      <c r="V193" s="518">
        <f t="shared" si="108"/>
        <v>0</v>
      </c>
      <c r="W193" s="518">
        <f t="shared" si="108"/>
        <v>0</v>
      </c>
      <c r="X193" s="518">
        <f t="shared" si="108"/>
        <v>0</v>
      </c>
      <c r="Y193" s="518">
        <f t="shared" si="108"/>
        <v>0</v>
      </c>
      <c r="Z193" s="518">
        <f t="shared" si="108"/>
        <v>0</v>
      </c>
      <c r="AA193" s="518">
        <f>AA190+AA191+AA192</f>
        <v>0</v>
      </c>
      <c r="AB193" s="518">
        <f>AB190+AB191+AB192</f>
        <v>0</v>
      </c>
      <c r="AC193" s="518">
        <f t="shared" ref="AC193:BB193" si="109">AC190+AC191+AC192</f>
        <v>0</v>
      </c>
      <c r="AD193" s="518">
        <f t="shared" si="109"/>
        <v>0</v>
      </c>
      <c r="AE193" s="518">
        <f>AE190+AE191+AE192</f>
        <v>0</v>
      </c>
      <c r="AF193" s="521">
        <f>AF190+AF191+AF192</f>
        <v>0</v>
      </c>
      <c r="AG193" s="521">
        <f t="shared" si="109"/>
        <v>0</v>
      </c>
      <c r="AH193" s="521">
        <f t="shared" si="109"/>
        <v>0</v>
      </c>
      <c r="AI193" s="521">
        <f t="shared" si="109"/>
        <v>0</v>
      </c>
      <c r="AJ193" s="521">
        <f t="shared" si="109"/>
        <v>0</v>
      </c>
      <c r="AK193" s="521">
        <f t="shared" si="109"/>
        <v>0</v>
      </c>
      <c r="AL193" s="521">
        <f t="shared" si="109"/>
        <v>0</v>
      </c>
      <c r="AM193" s="521">
        <f t="shared" si="109"/>
        <v>0</v>
      </c>
      <c r="AN193" s="521">
        <f t="shared" si="109"/>
        <v>0</v>
      </c>
      <c r="AO193" s="521">
        <f t="shared" si="109"/>
        <v>0</v>
      </c>
      <c r="AP193" s="521">
        <f t="shared" si="109"/>
        <v>0</v>
      </c>
      <c r="AQ193" s="521">
        <f t="shared" ref="AQ193:AZ193" si="110">AQ190+AQ191+AQ192</f>
        <v>0</v>
      </c>
      <c r="AR193" s="521">
        <f t="shared" si="110"/>
        <v>0</v>
      </c>
      <c r="AS193" s="521">
        <f t="shared" si="110"/>
        <v>0</v>
      </c>
      <c r="AT193" s="521">
        <f t="shared" si="110"/>
        <v>0</v>
      </c>
      <c r="AU193" s="521">
        <f t="shared" si="110"/>
        <v>0</v>
      </c>
      <c r="AV193" s="521">
        <f t="shared" si="110"/>
        <v>0</v>
      </c>
      <c r="AW193" s="521">
        <f t="shared" si="110"/>
        <v>0</v>
      </c>
      <c r="AX193" s="521">
        <f t="shared" si="110"/>
        <v>0</v>
      </c>
      <c r="AY193" s="521">
        <f t="shared" si="110"/>
        <v>0</v>
      </c>
      <c r="AZ193" s="521">
        <f t="shared" si="110"/>
        <v>0</v>
      </c>
      <c r="BA193" s="521">
        <f t="shared" si="109"/>
        <v>0</v>
      </c>
      <c r="BB193" s="521">
        <f t="shared" si="109"/>
        <v>0</v>
      </c>
      <c r="BC193" s="506"/>
      <c r="BD193" s="420"/>
    </row>
    <row r="194" spans="2:56" s="415" customFormat="1" ht="15" customHeight="1" outlineLevel="2">
      <c r="B194" s="528"/>
      <c r="C194" s="519" t="s">
        <v>1907</v>
      </c>
      <c r="D194" s="517" t="s">
        <v>1908</v>
      </c>
      <c r="E194" s="518">
        <f>E193*0</f>
        <v>0</v>
      </c>
      <c r="F194" s="518">
        <f t="shared" ref="F194:BB194" si="111">F193*0</f>
        <v>0</v>
      </c>
      <c r="G194" s="518">
        <f t="shared" si="111"/>
        <v>0</v>
      </c>
      <c r="H194" s="518">
        <f t="shared" si="111"/>
        <v>0</v>
      </c>
      <c r="I194" s="518">
        <f t="shared" si="111"/>
        <v>0</v>
      </c>
      <c r="J194" s="518">
        <f t="shared" si="111"/>
        <v>0</v>
      </c>
      <c r="K194" s="518">
        <f t="shared" si="111"/>
        <v>0</v>
      </c>
      <c r="L194" s="518">
        <f t="shared" si="111"/>
        <v>0</v>
      </c>
      <c r="M194" s="518">
        <f t="shared" si="111"/>
        <v>0</v>
      </c>
      <c r="N194" s="518">
        <f t="shared" si="111"/>
        <v>0</v>
      </c>
      <c r="O194" s="518">
        <f t="shared" si="111"/>
        <v>0</v>
      </c>
      <c r="P194" s="518">
        <f t="shared" si="111"/>
        <v>0</v>
      </c>
      <c r="Q194" s="518">
        <f t="shared" si="111"/>
        <v>0</v>
      </c>
      <c r="R194" s="518">
        <f t="shared" si="111"/>
        <v>0</v>
      </c>
      <c r="S194" s="518">
        <f t="shared" si="111"/>
        <v>0</v>
      </c>
      <c r="T194" s="518">
        <f t="shared" si="111"/>
        <v>0</v>
      </c>
      <c r="U194" s="518">
        <f t="shared" si="111"/>
        <v>0</v>
      </c>
      <c r="V194" s="518">
        <f t="shared" si="111"/>
        <v>0</v>
      </c>
      <c r="W194" s="518">
        <f t="shared" si="111"/>
        <v>0</v>
      </c>
      <c r="X194" s="518">
        <f t="shared" si="111"/>
        <v>0</v>
      </c>
      <c r="Y194" s="518">
        <f t="shared" si="111"/>
        <v>0</v>
      </c>
      <c r="Z194" s="518">
        <f t="shared" si="111"/>
        <v>0</v>
      </c>
      <c r="AA194" s="518">
        <f t="shared" si="111"/>
        <v>0</v>
      </c>
      <c r="AB194" s="518">
        <f t="shared" si="111"/>
        <v>0</v>
      </c>
      <c r="AC194" s="518">
        <f t="shared" si="111"/>
        <v>0</v>
      </c>
      <c r="AD194" s="518">
        <f t="shared" si="111"/>
        <v>0</v>
      </c>
      <c r="AE194" s="518">
        <f t="shared" si="111"/>
        <v>0</v>
      </c>
      <c r="AF194" s="518">
        <f t="shared" si="111"/>
        <v>0</v>
      </c>
      <c r="AG194" s="518">
        <f t="shared" si="111"/>
        <v>0</v>
      </c>
      <c r="AH194" s="518">
        <f t="shared" si="111"/>
        <v>0</v>
      </c>
      <c r="AI194" s="518">
        <f t="shared" si="111"/>
        <v>0</v>
      </c>
      <c r="AJ194" s="518">
        <f t="shared" si="111"/>
        <v>0</v>
      </c>
      <c r="AK194" s="518">
        <f t="shared" si="111"/>
        <v>0</v>
      </c>
      <c r="AL194" s="518">
        <f t="shared" si="111"/>
        <v>0</v>
      </c>
      <c r="AM194" s="518">
        <f t="shared" si="111"/>
        <v>0</v>
      </c>
      <c r="AN194" s="518">
        <f t="shared" si="111"/>
        <v>0</v>
      </c>
      <c r="AO194" s="518">
        <f t="shared" si="111"/>
        <v>0</v>
      </c>
      <c r="AP194" s="518">
        <f t="shared" si="111"/>
        <v>0</v>
      </c>
      <c r="AQ194" s="518">
        <f t="shared" si="111"/>
        <v>0</v>
      </c>
      <c r="AR194" s="518">
        <f t="shared" si="111"/>
        <v>0</v>
      </c>
      <c r="AS194" s="518">
        <f t="shared" si="111"/>
        <v>0</v>
      </c>
      <c r="AT194" s="518">
        <f t="shared" si="111"/>
        <v>0</v>
      </c>
      <c r="AU194" s="518">
        <f t="shared" si="111"/>
        <v>0</v>
      </c>
      <c r="AV194" s="518">
        <f t="shared" si="111"/>
        <v>0</v>
      </c>
      <c r="AW194" s="518">
        <f t="shared" si="111"/>
        <v>0</v>
      </c>
      <c r="AX194" s="518">
        <f t="shared" si="111"/>
        <v>0</v>
      </c>
      <c r="AY194" s="518">
        <f t="shared" si="111"/>
        <v>0</v>
      </c>
      <c r="AZ194" s="518">
        <f t="shared" si="111"/>
        <v>0</v>
      </c>
      <c r="BA194" s="518">
        <f t="shared" si="111"/>
        <v>0</v>
      </c>
      <c r="BB194" s="518">
        <f t="shared" si="111"/>
        <v>0</v>
      </c>
      <c r="BC194" s="506"/>
      <c r="BD194" s="420"/>
    </row>
    <row r="195" spans="2:56" s="438" customFormat="1" ht="15" customHeight="1" outlineLevel="2">
      <c r="B195" s="494"/>
      <c r="C195" s="522" t="s">
        <v>1579</v>
      </c>
      <c r="D195" s="496" t="s">
        <v>1909</v>
      </c>
      <c r="E195" s="497">
        <v>0</v>
      </c>
      <c r="F195" s="497">
        <v>0</v>
      </c>
      <c r="G195" s="497">
        <v>0</v>
      </c>
      <c r="H195" s="497">
        <v>0</v>
      </c>
      <c r="I195" s="497">
        <v>0</v>
      </c>
      <c r="J195" s="497">
        <v>0</v>
      </c>
      <c r="K195" s="497">
        <v>0</v>
      </c>
      <c r="L195" s="497">
        <v>0</v>
      </c>
      <c r="M195" s="497">
        <v>0</v>
      </c>
      <c r="N195" s="497">
        <v>0</v>
      </c>
      <c r="O195" s="497"/>
      <c r="P195" s="497"/>
      <c r="Q195" s="497"/>
      <c r="R195" s="497"/>
      <c r="S195" s="497"/>
      <c r="T195" s="497"/>
      <c r="U195" s="497"/>
      <c r="V195" s="497"/>
      <c r="W195" s="497"/>
      <c r="X195" s="497"/>
      <c r="Y195" s="497"/>
      <c r="Z195" s="497"/>
      <c r="AA195" s="497"/>
      <c r="AB195" s="497"/>
      <c r="AC195" s="497"/>
      <c r="AD195" s="497"/>
      <c r="AE195" s="497"/>
      <c r="AF195" s="497"/>
      <c r="AG195" s="497"/>
      <c r="AH195" s="497"/>
      <c r="AI195" s="497"/>
      <c r="AJ195" s="497"/>
      <c r="AK195" s="497"/>
      <c r="AL195" s="497"/>
      <c r="AM195" s="497"/>
      <c r="AN195" s="497"/>
      <c r="AO195" s="497"/>
      <c r="AP195" s="497">
        <v>0</v>
      </c>
      <c r="AQ195" s="497"/>
      <c r="AR195" s="497"/>
      <c r="AS195" s="497"/>
      <c r="AT195" s="497"/>
      <c r="AU195" s="497"/>
      <c r="AV195" s="497"/>
      <c r="AW195" s="497"/>
      <c r="AX195" s="497"/>
      <c r="AY195" s="497"/>
      <c r="AZ195" s="497">
        <v>0</v>
      </c>
      <c r="BA195" s="497">
        <v>0</v>
      </c>
      <c r="BB195" s="497">
        <v>0</v>
      </c>
      <c r="BC195" s="500"/>
      <c r="BD195" s="523"/>
    </row>
    <row r="196" spans="2:56" s="415" customFormat="1" ht="15" customHeight="1" outlineLevel="2">
      <c r="B196" s="528"/>
      <c r="C196" s="519" t="s">
        <v>1910</v>
      </c>
      <c r="D196" s="517" t="s">
        <v>1911</v>
      </c>
      <c r="E196" s="518">
        <f>E193+E194+E195</f>
        <v>0</v>
      </c>
      <c r="F196" s="518">
        <f t="shared" ref="F196:Z196" si="112">F193+F194+F195</f>
        <v>0</v>
      </c>
      <c r="G196" s="518">
        <f>G193+G194+G195</f>
        <v>0</v>
      </c>
      <c r="H196" s="518">
        <f>H193+H194+H195</f>
        <v>0</v>
      </c>
      <c r="I196" s="518">
        <f t="shared" si="112"/>
        <v>0</v>
      </c>
      <c r="J196" s="518">
        <f t="shared" si="112"/>
        <v>0</v>
      </c>
      <c r="K196" s="518">
        <f t="shared" si="112"/>
        <v>0</v>
      </c>
      <c r="L196" s="518">
        <f t="shared" si="112"/>
        <v>0</v>
      </c>
      <c r="M196" s="518">
        <f t="shared" si="112"/>
        <v>0</v>
      </c>
      <c r="N196" s="518">
        <f t="shared" si="112"/>
        <v>0</v>
      </c>
      <c r="O196" s="518">
        <f t="shared" si="112"/>
        <v>0</v>
      </c>
      <c r="P196" s="518">
        <f t="shared" si="112"/>
        <v>0</v>
      </c>
      <c r="Q196" s="518">
        <f t="shared" si="112"/>
        <v>0</v>
      </c>
      <c r="R196" s="518">
        <f t="shared" si="112"/>
        <v>0</v>
      </c>
      <c r="S196" s="518">
        <f t="shared" si="112"/>
        <v>0</v>
      </c>
      <c r="T196" s="518">
        <f t="shared" si="112"/>
        <v>0</v>
      </c>
      <c r="U196" s="518">
        <f t="shared" si="112"/>
        <v>0</v>
      </c>
      <c r="V196" s="518">
        <f t="shared" si="112"/>
        <v>0</v>
      </c>
      <c r="W196" s="518">
        <f t="shared" si="112"/>
        <v>0</v>
      </c>
      <c r="X196" s="518">
        <f t="shared" si="112"/>
        <v>0</v>
      </c>
      <c r="Y196" s="518">
        <f t="shared" si="112"/>
        <v>0</v>
      </c>
      <c r="Z196" s="518">
        <f t="shared" si="112"/>
        <v>0</v>
      </c>
      <c r="AA196" s="518">
        <f>AA193+AA194+AA195</f>
        <v>0</v>
      </c>
      <c r="AB196" s="518">
        <f>AB193+AB194+AB195</f>
        <v>0</v>
      </c>
      <c r="AC196" s="518">
        <f t="shared" ref="AC196:BB196" si="113">AC193+AC194+AC195</f>
        <v>0</v>
      </c>
      <c r="AD196" s="518">
        <f t="shared" si="113"/>
        <v>0</v>
      </c>
      <c r="AE196" s="518">
        <f>AE193+AE194+AE195</f>
        <v>0</v>
      </c>
      <c r="AF196" s="521">
        <f t="shared" si="113"/>
        <v>0</v>
      </c>
      <c r="AG196" s="521">
        <f t="shared" si="113"/>
        <v>0</v>
      </c>
      <c r="AH196" s="521">
        <f t="shared" si="113"/>
        <v>0</v>
      </c>
      <c r="AI196" s="521">
        <f t="shared" si="113"/>
        <v>0</v>
      </c>
      <c r="AJ196" s="521">
        <f t="shared" si="113"/>
        <v>0</v>
      </c>
      <c r="AK196" s="521">
        <f t="shared" si="113"/>
        <v>0</v>
      </c>
      <c r="AL196" s="521">
        <f t="shared" si="113"/>
        <v>0</v>
      </c>
      <c r="AM196" s="521">
        <f t="shared" si="113"/>
        <v>0</v>
      </c>
      <c r="AN196" s="521">
        <f t="shared" si="113"/>
        <v>0</v>
      </c>
      <c r="AO196" s="521">
        <f t="shared" si="113"/>
        <v>0</v>
      </c>
      <c r="AP196" s="521">
        <f t="shared" si="113"/>
        <v>0</v>
      </c>
      <c r="AQ196" s="521">
        <f t="shared" ref="AQ196:AZ196" si="114">AQ193+AQ194+AQ195</f>
        <v>0</v>
      </c>
      <c r="AR196" s="521">
        <f t="shared" si="114"/>
        <v>0</v>
      </c>
      <c r="AS196" s="521">
        <f t="shared" si="114"/>
        <v>0</v>
      </c>
      <c r="AT196" s="521">
        <f t="shared" si="114"/>
        <v>0</v>
      </c>
      <c r="AU196" s="521">
        <f t="shared" si="114"/>
        <v>0</v>
      </c>
      <c r="AV196" s="521">
        <f t="shared" si="114"/>
        <v>0</v>
      </c>
      <c r="AW196" s="521">
        <f t="shared" si="114"/>
        <v>0</v>
      </c>
      <c r="AX196" s="521">
        <f t="shared" si="114"/>
        <v>0</v>
      </c>
      <c r="AY196" s="521">
        <f t="shared" si="114"/>
        <v>0</v>
      </c>
      <c r="AZ196" s="521">
        <f t="shared" si="114"/>
        <v>0</v>
      </c>
      <c r="BA196" s="521">
        <f t="shared" si="113"/>
        <v>0</v>
      </c>
      <c r="BB196" s="521">
        <f t="shared" si="113"/>
        <v>0</v>
      </c>
      <c r="BC196" s="506"/>
      <c r="BD196" s="420"/>
    </row>
    <row r="197" spans="2:56" s="415" customFormat="1" ht="15" customHeight="1" outlineLevel="2">
      <c r="B197" s="528"/>
      <c r="C197" s="519" t="s">
        <v>1938</v>
      </c>
      <c r="D197" s="517" t="s">
        <v>1913</v>
      </c>
      <c r="E197" s="518">
        <f>E193*0</f>
        <v>0</v>
      </c>
      <c r="F197" s="518">
        <v>0</v>
      </c>
      <c r="G197" s="518">
        <v>0</v>
      </c>
      <c r="H197" s="518">
        <v>0</v>
      </c>
      <c r="I197" s="518">
        <v>0</v>
      </c>
      <c r="J197" s="518">
        <v>0</v>
      </c>
      <c r="K197" s="518">
        <v>0</v>
      </c>
      <c r="L197" s="518">
        <v>0</v>
      </c>
      <c r="M197" s="518">
        <v>0</v>
      </c>
      <c r="N197" s="518">
        <v>0</v>
      </c>
      <c r="O197" s="518">
        <v>0</v>
      </c>
      <c r="P197" s="518">
        <v>0</v>
      </c>
      <c r="Q197" s="518">
        <v>0</v>
      </c>
      <c r="R197" s="518">
        <v>0</v>
      </c>
      <c r="S197" s="518">
        <v>0</v>
      </c>
      <c r="T197" s="518">
        <v>0</v>
      </c>
      <c r="U197" s="518">
        <v>0</v>
      </c>
      <c r="V197" s="518">
        <v>0</v>
      </c>
      <c r="W197" s="518">
        <v>0</v>
      </c>
      <c r="X197" s="518">
        <v>0</v>
      </c>
      <c r="Y197" s="518">
        <v>0</v>
      </c>
      <c r="Z197" s="518">
        <v>0</v>
      </c>
      <c r="AA197" s="518">
        <v>0</v>
      </c>
      <c r="AB197" s="518">
        <v>0</v>
      </c>
      <c r="AC197" s="518">
        <v>0</v>
      </c>
      <c r="AD197" s="518">
        <v>0</v>
      </c>
      <c r="AE197" s="518">
        <v>0</v>
      </c>
      <c r="AF197" s="518">
        <v>0</v>
      </c>
      <c r="AG197" s="518">
        <v>0</v>
      </c>
      <c r="AH197" s="518">
        <v>0</v>
      </c>
      <c r="AI197" s="518">
        <v>0</v>
      </c>
      <c r="AJ197" s="518">
        <v>0</v>
      </c>
      <c r="AK197" s="518">
        <v>0</v>
      </c>
      <c r="AL197" s="518">
        <v>0</v>
      </c>
      <c r="AM197" s="518">
        <v>0</v>
      </c>
      <c r="AN197" s="518">
        <v>0</v>
      </c>
      <c r="AO197" s="518">
        <v>0</v>
      </c>
      <c r="AP197" s="518">
        <v>0</v>
      </c>
      <c r="AQ197" s="518">
        <v>0</v>
      </c>
      <c r="AR197" s="518">
        <v>0</v>
      </c>
      <c r="AS197" s="518">
        <v>0</v>
      </c>
      <c r="AT197" s="518">
        <v>0</v>
      </c>
      <c r="AU197" s="518">
        <v>0</v>
      </c>
      <c r="AV197" s="518">
        <v>0</v>
      </c>
      <c r="AW197" s="518">
        <v>0</v>
      </c>
      <c r="AX197" s="518">
        <v>0</v>
      </c>
      <c r="AY197" s="518">
        <v>0</v>
      </c>
      <c r="AZ197" s="518">
        <v>0</v>
      </c>
      <c r="BA197" s="518">
        <v>0</v>
      </c>
      <c r="BB197" s="518">
        <v>0</v>
      </c>
      <c r="BC197" s="506"/>
      <c r="BD197" s="420"/>
    </row>
    <row r="198" spans="2:56" ht="15" customHeight="1" outlineLevel="2">
      <c r="B198" s="494"/>
      <c r="C198" s="522" t="s">
        <v>1914</v>
      </c>
      <c r="D198" s="496" t="s">
        <v>1915</v>
      </c>
      <c r="E198" s="497">
        <v>0</v>
      </c>
      <c r="F198" s="497">
        <v>0</v>
      </c>
      <c r="G198" s="497">
        <v>0</v>
      </c>
      <c r="H198" s="497">
        <v>0</v>
      </c>
      <c r="I198" s="497">
        <v>0</v>
      </c>
      <c r="J198" s="497">
        <v>0</v>
      </c>
      <c r="K198" s="497">
        <v>0</v>
      </c>
      <c r="L198" s="497">
        <v>0</v>
      </c>
      <c r="M198" s="497">
        <v>0</v>
      </c>
      <c r="N198" s="497">
        <v>0</v>
      </c>
      <c r="O198" s="497">
        <v>0</v>
      </c>
      <c r="P198" s="497">
        <v>0</v>
      </c>
      <c r="Q198" s="497">
        <v>0</v>
      </c>
      <c r="R198" s="497">
        <v>0</v>
      </c>
      <c r="S198" s="497">
        <v>0</v>
      </c>
      <c r="T198" s="497">
        <v>0</v>
      </c>
      <c r="U198" s="497">
        <v>0</v>
      </c>
      <c r="V198" s="497">
        <v>0</v>
      </c>
      <c r="W198" s="497">
        <v>0</v>
      </c>
      <c r="X198" s="497">
        <v>0</v>
      </c>
      <c r="Y198" s="497">
        <v>0</v>
      </c>
      <c r="Z198" s="497">
        <v>0</v>
      </c>
      <c r="AA198" s="497">
        <v>0</v>
      </c>
      <c r="AB198" s="497">
        <v>0</v>
      </c>
      <c r="AC198" s="497">
        <v>0</v>
      </c>
      <c r="AD198" s="497">
        <v>0</v>
      </c>
      <c r="AE198" s="497">
        <v>0</v>
      </c>
      <c r="AF198" s="497">
        <v>0</v>
      </c>
      <c r="AG198" s="497">
        <v>0</v>
      </c>
      <c r="AH198" s="497">
        <v>0</v>
      </c>
      <c r="AI198" s="497">
        <v>0</v>
      </c>
      <c r="AJ198" s="497">
        <v>0</v>
      </c>
      <c r="AK198" s="497">
        <v>0</v>
      </c>
      <c r="AL198" s="497">
        <v>0</v>
      </c>
      <c r="AM198" s="497">
        <v>0</v>
      </c>
      <c r="AN198" s="497">
        <v>0</v>
      </c>
      <c r="AO198" s="497">
        <v>0</v>
      </c>
      <c r="AP198" s="497">
        <v>0</v>
      </c>
      <c r="AQ198" s="497">
        <v>0</v>
      </c>
      <c r="AR198" s="497">
        <v>0</v>
      </c>
      <c r="AS198" s="497">
        <v>0</v>
      </c>
      <c r="AT198" s="497">
        <v>0</v>
      </c>
      <c r="AU198" s="497">
        <v>0</v>
      </c>
      <c r="AV198" s="497">
        <v>0</v>
      </c>
      <c r="AW198" s="497">
        <v>0</v>
      </c>
      <c r="AX198" s="497">
        <v>0</v>
      </c>
      <c r="AY198" s="497">
        <v>0</v>
      </c>
      <c r="AZ198" s="497">
        <v>0</v>
      </c>
      <c r="BA198" s="497">
        <v>0</v>
      </c>
      <c r="BB198" s="497">
        <v>0</v>
      </c>
      <c r="BC198" s="500"/>
      <c r="BD198" s="450"/>
    </row>
    <row r="199" spans="2:56" s="415" customFormat="1" ht="15" customHeight="1" outlineLevel="2">
      <c r="B199" s="528"/>
      <c r="C199" s="519" t="s">
        <v>1916</v>
      </c>
      <c r="D199" s="517" t="s">
        <v>1917</v>
      </c>
      <c r="E199" s="518">
        <f>E196+E197+E198</f>
        <v>0</v>
      </c>
      <c r="F199" s="518">
        <f t="shared" ref="F199:Z199" si="115">F196+F197+F198</f>
        <v>0</v>
      </c>
      <c r="G199" s="518">
        <f t="shared" si="115"/>
        <v>0</v>
      </c>
      <c r="H199" s="518">
        <f t="shared" si="115"/>
        <v>0</v>
      </c>
      <c r="I199" s="518">
        <f t="shared" si="115"/>
        <v>0</v>
      </c>
      <c r="J199" s="518">
        <f t="shared" si="115"/>
        <v>0</v>
      </c>
      <c r="K199" s="518">
        <f t="shared" si="115"/>
        <v>0</v>
      </c>
      <c r="L199" s="518">
        <f t="shared" si="115"/>
        <v>0</v>
      </c>
      <c r="M199" s="518">
        <f t="shared" si="115"/>
        <v>0</v>
      </c>
      <c r="N199" s="518">
        <f t="shared" si="115"/>
        <v>0</v>
      </c>
      <c r="O199" s="518">
        <f t="shared" si="115"/>
        <v>0</v>
      </c>
      <c r="P199" s="518">
        <f t="shared" si="115"/>
        <v>0</v>
      </c>
      <c r="Q199" s="518">
        <f t="shared" si="115"/>
        <v>0</v>
      </c>
      <c r="R199" s="518">
        <f t="shared" si="115"/>
        <v>0</v>
      </c>
      <c r="S199" s="518">
        <f t="shared" si="115"/>
        <v>0</v>
      </c>
      <c r="T199" s="518">
        <f t="shared" si="115"/>
        <v>0</v>
      </c>
      <c r="U199" s="518">
        <f t="shared" si="115"/>
        <v>0</v>
      </c>
      <c r="V199" s="518">
        <f t="shared" si="115"/>
        <v>0</v>
      </c>
      <c r="W199" s="518">
        <f t="shared" si="115"/>
        <v>0</v>
      </c>
      <c r="X199" s="518">
        <f t="shared" si="115"/>
        <v>0</v>
      </c>
      <c r="Y199" s="518">
        <f t="shared" si="115"/>
        <v>0</v>
      </c>
      <c r="Z199" s="518">
        <f t="shared" si="115"/>
        <v>0</v>
      </c>
      <c r="AA199" s="518">
        <f>AA196+AA197+AA198</f>
        <v>0</v>
      </c>
      <c r="AB199" s="518">
        <f>AB196+AB197+AB198</f>
        <v>0</v>
      </c>
      <c r="AC199" s="518">
        <f t="shared" ref="AC199:BB199" si="116">AC196+AC197+AC198</f>
        <v>0</v>
      </c>
      <c r="AD199" s="518">
        <f t="shared" si="116"/>
        <v>0</v>
      </c>
      <c r="AE199" s="518">
        <f>AE196+AE197+AE198</f>
        <v>0</v>
      </c>
      <c r="AF199" s="521">
        <f t="shared" si="116"/>
        <v>0</v>
      </c>
      <c r="AG199" s="521">
        <f t="shared" si="116"/>
        <v>0</v>
      </c>
      <c r="AH199" s="521">
        <f t="shared" si="116"/>
        <v>0</v>
      </c>
      <c r="AI199" s="521">
        <f t="shared" si="116"/>
        <v>0</v>
      </c>
      <c r="AJ199" s="521">
        <f t="shared" si="116"/>
        <v>0</v>
      </c>
      <c r="AK199" s="521">
        <f t="shared" si="116"/>
        <v>0</v>
      </c>
      <c r="AL199" s="521">
        <f t="shared" si="116"/>
        <v>0</v>
      </c>
      <c r="AM199" s="521">
        <f t="shared" si="116"/>
        <v>0</v>
      </c>
      <c r="AN199" s="521">
        <f t="shared" si="116"/>
        <v>0</v>
      </c>
      <c r="AO199" s="521">
        <f t="shared" si="116"/>
        <v>0</v>
      </c>
      <c r="AP199" s="521">
        <f t="shared" si="116"/>
        <v>0</v>
      </c>
      <c r="AQ199" s="521">
        <f t="shared" ref="AQ199:AZ199" si="117">AQ196+AQ197+AQ198</f>
        <v>0</v>
      </c>
      <c r="AR199" s="521">
        <f t="shared" si="117"/>
        <v>0</v>
      </c>
      <c r="AS199" s="521">
        <f t="shared" si="117"/>
        <v>0</v>
      </c>
      <c r="AT199" s="521">
        <f t="shared" si="117"/>
        <v>0</v>
      </c>
      <c r="AU199" s="521">
        <f t="shared" si="117"/>
        <v>0</v>
      </c>
      <c r="AV199" s="521">
        <f t="shared" si="117"/>
        <v>0</v>
      </c>
      <c r="AW199" s="521">
        <f t="shared" si="117"/>
        <v>0</v>
      </c>
      <c r="AX199" s="521">
        <f t="shared" si="117"/>
        <v>0</v>
      </c>
      <c r="AY199" s="521">
        <f t="shared" si="117"/>
        <v>0</v>
      </c>
      <c r="AZ199" s="521">
        <f t="shared" si="117"/>
        <v>0</v>
      </c>
      <c r="BA199" s="521">
        <f t="shared" si="116"/>
        <v>0</v>
      </c>
      <c r="BB199" s="521">
        <f t="shared" si="116"/>
        <v>0</v>
      </c>
      <c r="BC199" s="506"/>
      <c r="BD199" s="420"/>
    </row>
    <row r="200" spans="2:56" ht="15" customHeight="1" outlineLevel="2">
      <c r="B200" s="494"/>
      <c r="C200" s="522" t="s">
        <v>1918</v>
      </c>
      <c r="D200" s="496" t="s">
        <v>1919</v>
      </c>
      <c r="E200" s="497">
        <v>0</v>
      </c>
      <c r="F200" s="497">
        <v>0</v>
      </c>
      <c r="G200" s="497">
        <v>0</v>
      </c>
      <c r="H200" s="497">
        <v>0</v>
      </c>
      <c r="I200" s="497">
        <v>0</v>
      </c>
      <c r="J200" s="497">
        <v>0</v>
      </c>
      <c r="K200" s="497">
        <v>0</v>
      </c>
      <c r="L200" s="497">
        <v>0</v>
      </c>
      <c r="M200" s="497">
        <v>0</v>
      </c>
      <c r="N200" s="497">
        <v>0</v>
      </c>
      <c r="O200" s="497">
        <v>0</v>
      </c>
      <c r="P200" s="497">
        <v>0</v>
      </c>
      <c r="Q200" s="497">
        <v>0</v>
      </c>
      <c r="R200" s="497">
        <v>0</v>
      </c>
      <c r="S200" s="497">
        <v>0</v>
      </c>
      <c r="T200" s="497">
        <v>0</v>
      </c>
      <c r="U200" s="497">
        <v>0</v>
      </c>
      <c r="V200" s="497">
        <v>0</v>
      </c>
      <c r="W200" s="497">
        <v>0</v>
      </c>
      <c r="X200" s="497">
        <v>0</v>
      </c>
      <c r="Y200" s="497">
        <v>0</v>
      </c>
      <c r="Z200" s="497">
        <v>0</v>
      </c>
      <c r="AA200" s="497">
        <v>0</v>
      </c>
      <c r="AB200" s="497">
        <v>0</v>
      </c>
      <c r="AC200" s="497">
        <v>0</v>
      </c>
      <c r="AD200" s="497">
        <v>0</v>
      </c>
      <c r="AE200" s="497">
        <v>0</v>
      </c>
      <c r="AF200" s="499">
        <v>0</v>
      </c>
      <c r="AG200" s="499">
        <v>0</v>
      </c>
      <c r="AH200" s="499">
        <v>0</v>
      </c>
      <c r="AI200" s="499">
        <v>0</v>
      </c>
      <c r="AJ200" s="499">
        <v>0</v>
      </c>
      <c r="AK200" s="499">
        <v>0</v>
      </c>
      <c r="AL200" s="499">
        <v>0</v>
      </c>
      <c r="AM200" s="499">
        <v>0</v>
      </c>
      <c r="AN200" s="499">
        <v>0</v>
      </c>
      <c r="AO200" s="499">
        <v>0</v>
      </c>
      <c r="AP200" s="499">
        <v>0</v>
      </c>
      <c r="AQ200" s="499">
        <v>0</v>
      </c>
      <c r="AR200" s="499">
        <v>0</v>
      </c>
      <c r="AS200" s="499">
        <v>0</v>
      </c>
      <c r="AT200" s="499">
        <v>0</v>
      </c>
      <c r="AU200" s="499">
        <v>0</v>
      </c>
      <c r="AV200" s="499">
        <v>0</v>
      </c>
      <c r="AW200" s="499">
        <v>0</v>
      </c>
      <c r="AX200" s="499">
        <v>0</v>
      </c>
      <c r="AY200" s="499">
        <v>0</v>
      </c>
      <c r="AZ200" s="499">
        <v>0</v>
      </c>
      <c r="BA200" s="499">
        <v>0</v>
      </c>
      <c r="BB200" s="499">
        <v>0</v>
      </c>
      <c r="BC200" s="500"/>
      <c r="BD200" s="450"/>
    </row>
    <row r="201" spans="2:56" ht="15" customHeight="1" outlineLevel="2">
      <c r="B201" s="494"/>
      <c r="C201" s="522" t="s">
        <v>1920</v>
      </c>
      <c r="D201" s="524" t="s">
        <v>1921</v>
      </c>
      <c r="E201" s="497">
        <v>0</v>
      </c>
      <c r="F201" s="497">
        <v>0</v>
      </c>
      <c r="G201" s="497">
        <v>0</v>
      </c>
      <c r="H201" s="497">
        <v>0</v>
      </c>
      <c r="I201" s="497">
        <v>0</v>
      </c>
      <c r="J201" s="497">
        <v>0</v>
      </c>
      <c r="K201" s="497">
        <v>0</v>
      </c>
      <c r="L201" s="497">
        <v>0</v>
      </c>
      <c r="M201" s="497">
        <v>0</v>
      </c>
      <c r="N201" s="497">
        <v>0</v>
      </c>
      <c r="O201" s="497">
        <v>0</v>
      </c>
      <c r="P201" s="497">
        <v>0</v>
      </c>
      <c r="Q201" s="497">
        <v>0</v>
      </c>
      <c r="R201" s="497">
        <v>0</v>
      </c>
      <c r="S201" s="497">
        <v>0</v>
      </c>
      <c r="T201" s="497">
        <v>0</v>
      </c>
      <c r="U201" s="497">
        <v>0</v>
      </c>
      <c r="V201" s="497">
        <v>0</v>
      </c>
      <c r="W201" s="497">
        <v>0</v>
      </c>
      <c r="X201" s="497">
        <v>0</v>
      </c>
      <c r="Y201" s="497">
        <v>0</v>
      </c>
      <c r="Z201" s="497">
        <v>0</v>
      </c>
      <c r="AA201" s="497">
        <v>0</v>
      </c>
      <c r="AB201" s="497">
        <v>0</v>
      </c>
      <c r="AC201" s="497">
        <v>0</v>
      </c>
      <c r="AD201" s="497">
        <v>0</v>
      </c>
      <c r="AE201" s="497">
        <v>0</v>
      </c>
      <c r="AF201" s="499">
        <v>0</v>
      </c>
      <c r="AG201" s="499">
        <v>0</v>
      </c>
      <c r="AH201" s="499">
        <v>0</v>
      </c>
      <c r="AI201" s="499">
        <v>0</v>
      </c>
      <c r="AJ201" s="499">
        <v>0</v>
      </c>
      <c r="AK201" s="499">
        <v>0</v>
      </c>
      <c r="AL201" s="499">
        <v>0</v>
      </c>
      <c r="AM201" s="499">
        <v>0</v>
      </c>
      <c r="AN201" s="499">
        <v>0</v>
      </c>
      <c r="AO201" s="499">
        <v>0</v>
      </c>
      <c r="AP201" s="499">
        <v>0</v>
      </c>
      <c r="AQ201" s="499">
        <v>0</v>
      </c>
      <c r="AR201" s="499">
        <v>0</v>
      </c>
      <c r="AS201" s="499">
        <v>0</v>
      </c>
      <c r="AT201" s="499">
        <v>0</v>
      </c>
      <c r="AU201" s="499">
        <v>0</v>
      </c>
      <c r="AV201" s="499">
        <v>0</v>
      </c>
      <c r="AW201" s="499">
        <v>0</v>
      </c>
      <c r="AX201" s="499">
        <v>0</v>
      </c>
      <c r="AY201" s="499">
        <v>0</v>
      </c>
      <c r="AZ201" s="499">
        <v>0</v>
      </c>
      <c r="BA201" s="499">
        <v>0</v>
      </c>
      <c r="BB201" s="499">
        <v>0</v>
      </c>
      <c r="BC201" s="500"/>
      <c r="BD201" s="450"/>
    </row>
    <row r="202" spans="2:56" ht="15" customHeight="1" outlineLevel="2">
      <c r="B202" s="494"/>
      <c r="C202" s="2792" t="s">
        <v>1922</v>
      </c>
      <c r="D202" s="524" t="s">
        <v>1923</v>
      </c>
      <c r="E202" s="497">
        <v>0</v>
      </c>
      <c r="F202" s="497">
        <v>0</v>
      </c>
      <c r="G202" s="497">
        <v>0</v>
      </c>
      <c r="H202" s="497">
        <v>0</v>
      </c>
      <c r="I202" s="497">
        <v>0</v>
      </c>
      <c r="J202" s="497">
        <v>0</v>
      </c>
      <c r="K202" s="497">
        <v>0</v>
      </c>
      <c r="L202" s="497">
        <v>0</v>
      </c>
      <c r="M202" s="497">
        <v>0</v>
      </c>
      <c r="N202" s="497">
        <v>0</v>
      </c>
      <c r="O202" s="497">
        <v>0</v>
      </c>
      <c r="P202" s="497">
        <v>0</v>
      </c>
      <c r="Q202" s="497">
        <v>0</v>
      </c>
      <c r="R202" s="497">
        <v>0</v>
      </c>
      <c r="S202" s="497">
        <v>0</v>
      </c>
      <c r="T202" s="497">
        <v>0</v>
      </c>
      <c r="U202" s="497">
        <v>0</v>
      </c>
      <c r="V202" s="497">
        <v>0</v>
      </c>
      <c r="W202" s="497">
        <v>0</v>
      </c>
      <c r="X202" s="497">
        <v>0</v>
      </c>
      <c r="Y202" s="497">
        <v>0</v>
      </c>
      <c r="Z202" s="497">
        <v>0</v>
      </c>
      <c r="AA202" s="497">
        <v>0</v>
      </c>
      <c r="AB202" s="497">
        <v>0</v>
      </c>
      <c r="AC202" s="497">
        <v>0</v>
      </c>
      <c r="AD202" s="497">
        <v>0</v>
      </c>
      <c r="AE202" s="497">
        <v>0</v>
      </c>
      <c r="AF202" s="499">
        <v>0</v>
      </c>
      <c r="AG202" s="499">
        <v>0</v>
      </c>
      <c r="AH202" s="499">
        <v>0</v>
      </c>
      <c r="AI202" s="499">
        <v>0</v>
      </c>
      <c r="AJ202" s="499">
        <v>0</v>
      </c>
      <c r="AK202" s="499">
        <v>0</v>
      </c>
      <c r="AL202" s="499">
        <v>0</v>
      </c>
      <c r="AM202" s="499">
        <v>0</v>
      </c>
      <c r="AN202" s="499">
        <v>0</v>
      </c>
      <c r="AO202" s="499">
        <v>0</v>
      </c>
      <c r="AP202" s="499">
        <v>0</v>
      </c>
      <c r="AQ202" s="499">
        <v>0</v>
      </c>
      <c r="AR202" s="499">
        <v>0</v>
      </c>
      <c r="AS202" s="499">
        <v>0</v>
      </c>
      <c r="AT202" s="499">
        <v>0</v>
      </c>
      <c r="AU202" s="499">
        <v>0</v>
      </c>
      <c r="AV202" s="499">
        <v>0</v>
      </c>
      <c r="AW202" s="499">
        <v>0</v>
      </c>
      <c r="AX202" s="499">
        <v>0</v>
      </c>
      <c r="AY202" s="499">
        <v>0</v>
      </c>
      <c r="AZ202" s="499">
        <v>0</v>
      </c>
      <c r="BA202" s="499">
        <v>0</v>
      </c>
      <c r="BB202" s="499">
        <v>0</v>
      </c>
      <c r="BC202" s="508"/>
      <c r="BD202" s="450"/>
    </row>
    <row r="203" spans="2:56" ht="15" customHeight="1" outlineLevel="1">
      <c r="B203" s="494"/>
      <c r="C203" s="519" t="s">
        <v>1924</v>
      </c>
      <c r="D203" s="525" t="s">
        <v>1925</v>
      </c>
      <c r="E203" s="518">
        <f t="shared" ref="E203:BB203" si="118">E199+E200+E202</f>
        <v>0</v>
      </c>
      <c r="F203" s="518">
        <f>F199+F200+F202</f>
        <v>0</v>
      </c>
      <c r="G203" s="518">
        <f>G199+G200+G201+G202</f>
        <v>0</v>
      </c>
      <c r="H203" s="518">
        <f>H199+H200+H202</f>
        <v>0</v>
      </c>
      <c r="I203" s="518">
        <f t="shared" si="118"/>
        <v>0</v>
      </c>
      <c r="J203" s="518">
        <f t="shared" si="118"/>
        <v>0</v>
      </c>
      <c r="K203" s="518">
        <f t="shared" si="118"/>
        <v>0</v>
      </c>
      <c r="L203" s="518">
        <f t="shared" si="118"/>
        <v>0</v>
      </c>
      <c r="M203" s="518">
        <f t="shared" si="118"/>
        <v>0</v>
      </c>
      <c r="N203" s="518">
        <f t="shared" si="118"/>
        <v>0</v>
      </c>
      <c r="O203" s="518">
        <f t="shared" si="118"/>
        <v>0</v>
      </c>
      <c r="P203" s="518">
        <f t="shared" si="118"/>
        <v>0</v>
      </c>
      <c r="Q203" s="518">
        <f t="shared" si="118"/>
        <v>0</v>
      </c>
      <c r="R203" s="518">
        <f t="shared" si="118"/>
        <v>0</v>
      </c>
      <c r="S203" s="518">
        <f t="shared" si="118"/>
        <v>0</v>
      </c>
      <c r="T203" s="518">
        <f t="shared" si="118"/>
        <v>0</v>
      </c>
      <c r="U203" s="518">
        <f t="shared" si="118"/>
        <v>0</v>
      </c>
      <c r="V203" s="518">
        <f t="shared" si="118"/>
        <v>0</v>
      </c>
      <c r="W203" s="518">
        <f t="shared" si="118"/>
        <v>0</v>
      </c>
      <c r="X203" s="518">
        <f t="shared" si="118"/>
        <v>0</v>
      </c>
      <c r="Y203" s="518">
        <f t="shared" si="118"/>
        <v>0</v>
      </c>
      <c r="Z203" s="518">
        <f t="shared" si="118"/>
        <v>0</v>
      </c>
      <c r="AA203" s="518">
        <f t="shared" si="118"/>
        <v>0</v>
      </c>
      <c r="AB203" s="518">
        <f t="shared" si="118"/>
        <v>0</v>
      </c>
      <c r="AC203" s="518">
        <f t="shared" si="118"/>
        <v>0</v>
      </c>
      <c r="AD203" s="518">
        <f t="shared" si="118"/>
        <v>0</v>
      </c>
      <c r="AE203" s="518">
        <f>AE199+AE200+AE202</f>
        <v>0</v>
      </c>
      <c r="AF203" s="521">
        <f t="shared" si="118"/>
        <v>0</v>
      </c>
      <c r="AG203" s="521">
        <f t="shared" si="118"/>
        <v>0</v>
      </c>
      <c r="AH203" s="521">
        <f t="shared" si="118"/>
        <v>0</v>
      </c>
      <c r="AI203" s="521">
        <f t="shared" si="118"/>
        <v>0</v>
      </c>
      <c r="AJ203" s="521">
        <f t="shared" si="118"/>
        <v>0</v>
      </c>
      <c r="AK203" s="521">
        <f t="shared" si="118"/>
        <v>0</v>
      </c>
      <c r="AL203" s="521">
        <f t="shared" si="118"/>
        <v>0</v>
      </c>
      <c r="AM203" s="521">
        <f t="shared" si="118"/>
        <v>0</v>
      </c>
      <c r="AN203" s="521">
        <f t="shared" si="118"/>
        <v>0</v>
      </c>
      <c r="AO203" s="521">
        <f t="shared" si="118"/>
        <v>0</v>
      </c>
      <c r="AP203" s="521">
        <f t="shared" si="118"/>
        <v>0</v>
      </c>
      <c r="AQ203" s="521">
        <f t="shared" ref="AQ203:AZ203" si="119">AQ199+AQ200+AQ202</f>
        <v>0</v>
      </c>
      <c r="AR203" s="521">
        <f t="shared" si="119"/>
        <v>0</v>
      </c>
      <c r="AS203" s="521">
        <f t="shared" si="119"/>
        <v>0</v>
      </c>
      <c r="AT203" s="521">
        <f t="shared" si="119"/>
        <v>0</v>
      </c>
      <c r="AU203" s="521">
        <f t="shared" si="119"/>
        <v>0</v>
      </c>
      <c r="AV203" s="521">
        <f t="shared" si="119"/>
        <v>0</v>
      </c>
      <c r="AW203" s="521">
        <f t="shared" si="119"/>
        <v>0</v>
      </c>
      <c r="AX203" s="521">
        <f t="shared" si="119"/>
        <v>0</v>
      </c>
      <c r="AY203" s="521">
        <f t="shared" si="119"/>
        <v>0</v>
      </c>
      <c r="AZ203" s="521">
        <f t="shared" si="119"/>
        <v>0</v>
      </c>
      <c r="BA203" s="521">
        <f t="shared" si="118"/>
        <v>0</v>
      </c>
      <c r="BB203" s="521">
        <f t="shared" si="118"/>
        <v>0</v>
      </c>
      <c r="BC203" s="500"/>
      <c r="BD203" s="450"/>
    </row>
    <row r="204" spans="2:56" ht="15" customHeight="1" outlineLevel="1">
      <c r="B204" s="494"/>
      <c r="C204" s="519" t="s">
        <v>1926</v>
      </c>
      <c r="D204" s="517" t="s">
        <v>1927</v>
      </c>
      <c r="E204" s="518">
        <f>E203</f>
        <v>0</v>
      </c>
      <c r="F204" s="518">
        <f>F203-E203</f>
        <v>0</v>
      </c>
      <c r="G204" s="518">
        <f>G203-F203</f>
        <v>0</v>
      </c>
      <c r="H204" s="518">
        <f t="shared" ref="H204:Z204" si="120">H203-G203</f>
        <v>0</v>
      </c>
      <c r="I204" s="518">
        <f t="shared" si="120"/>
        <v>0</v>
      </c>
      <c r="J204" s="518">
        <f t="shared" si="120"/>
        <v>0</v>
      </c>
      <c r="K204" s="518">
        <f t="shared" si="120"/>
        <v>0</v>
      </c>
      <c r="L204" s="518">
        <f t="shared" si="120"/>
        <v>0</v>
      </c>
      <c r="M204" s="518">
        <f t="shared" si="120"/>
        <v>0</v>
      </c>
      <c r="N204" s="518">
        <f t="shared" si="120"/>
        <v>0</v>
      </c>
      <c r="O204" s="518">
        <f t="shared" si="120"/>
        <v>0</v>
      </c>
      <c r="P204" s="518">
        <f t="shared" si="120"/>
        <v>0</v>
      </c>
      <c r="Q204" s="518">
        <f t="shared" si="120"/>
        <v>0</v>
      </c>
      <c r="R204" s="518">
        <f t="shared" si="120"/>
        <v>0</v>
      </c>
      <c r="S204" s="518">
        <f t="shared" si="120"/>
        <v>0</v>
      </c>
      <c r="T204" s="518">
        <f t="shared" si="120"/>
        <v>0</v>
      </c>
      <c r="U204" s="518">
        <f t="shared" si="120"/>
        <v>0</v>
      </c>
      <c r="V204" s="518">
        <f t="shared" si="120"/>
        <v>0</v>
      </c>
      <c r="W204" s="518">
        <f t="shared" si="120"/>
        <v>0</v>
      </c>
      <c r="X204" s="518">
        <f t="shared" si="120"/>
        <v>0</v>
      </c>
      <c r="Y204" s="518">
        <f t="shared" si="120"/>
        <v>0</v>
      </c>
      <c r="Z204" s="518">
        <f t="shared" si="120"/>
        <v>0</v>
      </c>
      <c r="AA204" s="518"/>
      <c r="AB204" s="518">
        <f t="shared" ref="AB204:BB204" si="121">AB203-AA203</f>
        <v>0</v>
      </c>
      <c r="AC204" s="518">
        <f t="shared" si="121"/>
        <v>0</v>
      </c>
      <c r="AD204" s="518">
        <f t="shared" si="121"/>
        <v>0</v>
      </c>
      <c r="AE204" s="518">
        <f t="shared" si="121"/>
        <v>0</v>
      </c>
      <c r="AF204" s="521">
        <f t="shared" si="121"/>
        <v>0</v>
      </c>
      <c r="AG204" s="521">
        <f t="shared" si="121"/>
        <v>0</v>
      </c>
      <c r="AH204" s="521">
        <f t="shared" si="121"/>
        <v>0</v>
      </c>
      <c r="AI204" s="521">
        <f t="shared" si="121"/>
        <v>0</v>
      </c>
      <c r="AJ204" s="521">
        <f t="shared" si="121"/>
        <v>0</v>
      </c>
      <c r="AK204" s="521">
        <f t="shared" si="121"/>
        <v>0</v>
      </c>
      <c r="AL204" s="521">
        <f t="shared" si="121"/>
        <v>0</v>
      </c>
      <c r="AM204" s="521">
        <f t="shared" si="121"/>
        <v>0</v>
      </c>
      <c r="AN204" s="521">
        <f t="shared" si="121"/>
        <v>0</v>
      </c>
      <c r="AO204" s="521">
        <f t="shared" si="121"/>
        <v>0</v>
      </c>
      <c r="AP204" s="521">
        <v>0</v>
      </c>
      <c r="AQ204" s="521">
        <f t="shared" ref="AQ204:AY204" si="122">AQ203-AP203</f>
        <v>0</v>
      </c>
      <c r="AR204" s="521">
        <f t="shared" si="122"/>
        <v>0</v>
      </c>
      <c r="AS204" s="521">
        <f t="shared" si="122"/>
        <v>0</v>
      </c>
      <c r="AT204" s="521">
        <f t="shared" si="122"/>
        <v>0</v>
      </c>
      <c r="AU204" s="521">
        <f t="shared" si="122"/>
        <v>0</v>
      </c>
      <c r="AV204" s="521">
        <f t="shared" si="122"/>
        <v>0</v>
      </c>
      <c r="AW204" s="521">
        <f t="shared" si="122"/>
        <v>0</v>
      </c>
      <c r="AX204" s="521">
        <f t="shared" si="122"/>
        <v>0</v>
      </c>
      <c r="AY204" s="521">
        <f t="shared" si="122"/>
        <v>0</v>
      </c>
      <c r="AZ204" s="521">
        <v>0</v>
      </c>
      <c r="BA204" s="521">
        <f>BA203-AP203</f>
        <v>0</v>
      </c>
      <c r="BB204" s="521">
        <f t="shared" si="121"/>
        <v>0</v>
      </c>
      <c r="BC204" s="500"/>
      <c r="BD204" s="450"/>
    </row>
    <row r="205" spans="2:56" ht="15" customHeight="1" outlineLevel="1">
      <c r="B205" s="494"/>
      <c r="C205" s="519"/>
      <c r="D205" s="517"/>
      <c r="E205" s="518"/>
      <c r="F205" s="518"/>
      <c r="G205" s="518"/>
      <c r="H205" s="518"/>
      <c r="I205" s="518"/>
      <c r="J205" s="518"/>
      <c r="K205" s="518"/>
      <c r="L205" s="518"/>
      <c r="M205" s="518"/>
      <c r="N205" s="518"/>
      <c r="O205" s="518"/>
      <c r="P205" s="518"/>
      <c r="Q205" s="518"/>
      <c r="R205" s="518"/>
      <c r="S205" s="518"/>
      <c r="T205" s="518"/>
      <c r="U205" s="518"/>
      <c r="V205" s="518"/>
      <c r="W205" s="518"/>
      <c r="X205" s="518"/>
      <c r="Y205" s="518"/>
      <c r="Z205" s="497"/>
      <c r="AA205" s="497"/>
      <c r="AB205" s="497"/>
      <c r="AC205" s="497"/>
      <c r="AD205" s="497"/>
      <c r="AE205" s="498"/>
      <c r="AF205" s="499"/>
      <c r="AG205" s="499"/>
      <c r="AH205" s="499"/>
      <c r="AI205" s="499"/>
      <c r="AJ205" s="499"/>
      <c r="AK205" s="499"/>
      <c r="AL205" s="499"/>
      <c r="AM205" s="499"/>
      <c r="AN205" s="499"/>
      <c r="AO205" s="499"/>
      <c r="AP205" s="499"/>
      <c r="AQ205" s="499"/>
      <c r="AR205" s="499"/>
      <c r="AS205" s="499"/>
      <c r="AT205" s="499"/>
      <c r="AU205" s="499"/>
      <c r="AV205" s="499"/>
      <c r="AW205" s="499"/>
      <c r="AX205" s="499"/>
      <c r="AY205" s="499"/>
      <c r="AZ205" s="499"/>
      <c r="BA205" s="499"/>
      <c r="BB205" s="499"/>
      <c r="BC205" s="500"/>
      <c r="BD205" s="450"/>
    </row>
    <row r="206" spans="2:56" ht="15" customHeight="1" outlineLevel="1">
      <c r="B206" s="494"/>
      <c r="C206" s="526"/>
      <c r="D206" s="517"/>
      <c r="E206" s="518"/>
      <c r="F206" s="518"/>
      <c r="G206" s="518"/>
      <c r="H206" s="518"/>
      <c r="I206" s="518"/>
      <c r="J206" s="518"/>
      <c r="K206" s="518"/>
      <c r="L206" s="518"/>
      <c r="M206" s="518"/>
      <c r="N206" s="518"/>
      <c r="O206" s="518"/>
      <c r="P206" s="518"/>
      <c r="Q206" s="518"/>
      <c r="R206" s="518"/>
      <c r="S206" s="518"/>
      <c r="T206" s="518"/>
      <c r="U206" s="518"/>
      <c r="V206" s="518"/>
      <c r="W206" s="518"/>
      <c r="X206" s="518"/>
      <c r="Y206" s="518"/>
      <c r="Z206" s="497"/>
      <c r="AA206" s="497"/>
      <c r="AB206" s="497"/>
      <c r="AC206" s="497"/>
      <c r="AD206" s="497"/>
      <c r="AE206" s="498"/>
      <c r="AF206" s="499"/>
      <c r="AG206" s="499"/>
      <c r="AH206" s="499"/>
      <c r="AI206" s="499"/>
      <c r="AJ206" s="499"/>
      <c r="AK206" s="499"/>
      <c r="AL206" s="499"/>
      <c r="AM206" s="499"/>
      <c r="AN206" s="499"/>
      <c r="AO206" s="499"/>
      <c r="AP206" s="499"/>
      <c r="AQ206" s="499"/>
      <c r="AR206" s="499"/>
      <c r="AS206" s="499"/>
      <c r="AT206" s="499"/>
      <c r="AU206" s="499"/>
      <c r="AV206" s="499"/>
      <c r="AW206" s="499"/>
      <c r="AX206" s="499"/>
      <c r="AY206" s="499"/>
      <c r="AZ206" s="499"/>
      <c r="BA206" s="499"/>
      <c r="BB206" s="499"/>
      <c r="BC206" s="506"/>
      <c r="BD206" s="450"/>
    </row>
    <row r="207" spans="2:56" outlineLevel="1">
      <c r="B207" s="501">
        <v>200</v>
      </c>
      <c r="C207" s="502" t="s">
        <v>1928</v>
      </c>
      <c r="D207" s="503" t="s">
        <v>1896</v>
      </c>
      <c r="E207" s="504">
        <f t="shared" ref="E207:Y208" si="123">E224</f>
        <v>0</v>
      </c>
      <c r="F207" s="504">
        <f t="shared" si="123"/>
        <v>0</v>
      </c>
      <c r="G207" s="504">
        <f t="shared" si="123"/>
        <v>0</v>
      </c>
      <c r="H207" s="504">
        <f t="shared" si="123"/>
        <v>0</v>
      </c>
      <c r="I207" s="504">
        <f t="shared" si="123"/>
        <v>0</v>
      </c>
      <c r="J207" s="504">
        <f t="shared" si="123"/>
        <v>0</v>
      </c>
      <c r="K207" s="504">
        <f t="shared" si="123"/>
        <v>0</v>
      </c>
      <c r="L207" s="504">
        <f t="shared" si="123"/>
        <v>0</v>
      </c>
      <c r="M207" s="504">
        <f t="shared" si="123"/>
        <v>0</v>
      </c>
      <c r="N207" s="504">
        <f t="shared" si="123"/>
        <v>0</v>
      </c>
      <c r="O207" s="504">
        <f t="shared" si="123"/>
        <v>0</v>
      </c>
      <c r="P207" s="504">
        <f t="shared" si="123"/>
        <v>0</v>
      </c>
      <c r="Q207" s="504">
        <f t="shared" si="123"/>
        <v>0</v>
      </c>
      <c r="R207" s="504">
        <f t="shared" si="123"/>
        <v>0</v>
      </c>
      <c r="S207" s="504">
        <f t="shared" si="123"/>
        <v>0</v>
      </c>
      <c r="T207" s="504">
        <f t="shared" si="123"/>
        <v>0</v>
      </c>
      <c r="U207" s="504">
        <f t="shared" si="123"/>
        <v>0</v>
      </c>
      <c r="V207" s="504">
        <f t="shared" si="123"/>
        <v>0</v>
      </c>
      <c r="W207" s="504">
        <f t="shared" si="123"/>
        <v>0</v>
      </c>
      <c r="X207" s="504">
        <f t="shared" si="123"/>
        <v>0</v>
      </c>
      <c r="Y207" s="504">
        <f t="shared" si="123"/>
        <v>0</v>
      </c>
      <c r="Z207" s="530"/>
      <c r="AA207" s="530"/>
      <c r="AB207" s="530"/>
      <c r="AC207" s="530"/>
      <c r="AD207" s="530"/>
      <c r="AE207" s="531"/>
      <c r="AF207" s="532"/>
      <c r="AG207" s="532"/>
      <c r="AH207" s="532"/>
      <c r="AI207" s="532"/>
      <c r="AJ207" s="532"/>
      <c r="AK207" s="532"/>
      <c r="AL207" s="532"/>
      <c r="AM207" s="532"/>
      <c r="AN207" s="532"/>
      <c r="AO207" s="532"/>
      <c r="AP207" s="532"/>
      <c r="AQ207" s="532"/>
      <c r="AR207" s="532"/>
      <c r="AS207" s="532"/>
      <c r="AT207" s="532"/>
      <c r="AU207" s="532"/>
      <c r="AV207" s="532"/>
      <c r="AW207" s="532"/>
      <c r="AX207" s="532"/>
      <c r="AY207" s="532"/>
      <c r="AZ207" s="532"/>
      <c r="BA207" s="532"/>
      <c r="BB207" s="532"/>
      <c r="BC207" s="505"/>
      <c r="BD207" s="450"/>
    </row>
    <row r="208" spans="2:56" ht="15.75" customHeight="1" outlineLevel="1">
      <c r="B208" s="501"/>
      <c r="C208" s="502"/>
      <c r="D208" s="503" t="s">
        <v>1897</v>
      </c>
      <c r="E208" s="504">
        <f t="shared" si="123"/>
        <v>0</v>
      </c>
      <c r="F208" s="504">
        <f t="shared" si="123"/>
        <v>0</v>
      </c>
      <c r="G208" s="504">
        <f t="shared" si="123"/>
        <v>0</v>
      </c>
      <c r="H208" s="504">
        <f t="shared" si="123"/>
        <v>0</v>
      </c>
      <c r="I208" s="504">
        <f t="shared" si="123"/>
        <v>0</v>
      </c>
      <c r="J208" s="504">
        <f t="shared" si="123"/>
        <v>0</v>
      </c>
      <c r="K208" s="504">
        <f t="shared" si="123"/>
        <v>0</v>
      </c>
      <c r="L208" s="504">
        <f t="shared" si="123"/>
        <v>0</v>
      </c>
      <c r="M208" s="504">
        <f t="shared" si="123"/>
        <v>0</v>
      </c>
      <c r="N208" s="504">
        <f t="shared" si="123"/>
        <v>0</v>
      </c>
      <c r="O208" s="504">
        <f t="shared" si="123"/>
        <v>0</v>
      </c>
      <c r="P208" s="504">
        <f t="shared" si="123"/>
        <v>0</v>
      </c>
      <c r="Q208" s="504">
        <f t="shared" si="123"/>
        <v>0</v>
      </c>
      <c r="R208" s="504">
        <f t="shared" si="123"/>
        <v>0</v>
      </c>
      <c r="S208" s="504">
        <f t="shared" si="123"/>
        <v>0</v>
      </c>
      <c r="T208" s="504">
        <f t="shared" si="123"/>
        <v>0</v>
      </c>
      <c r="U208" s="504">
        <f t="shared" si="123"/>
        <v>0</v>
      </c>
      <c r="V208" s="504">
        <f t="shared" si="123"/>
        <v>0</v>
      </c>
      <c r="W208" s="504">
        <f t="shared" si="123"/>
        <v>0</v>
      </c>
      <c r="X208" s="504">
        <f t="shared" si="123"/>
        <v>0</v>
      </c>
      <c r="Y208" s="504">
        <f t="shared" si="123"/>
        <v>0</v>
      </c>
      <c r="Z208" s="530"/>
      <c r="AA208" s="530"/>
      <c r="AB208" s="530"/>
      <c r="AC208" s="530"/>
      <c r="AD208" s="530"/>
      <c r="AE208" s="531"/>
      <c r="AF208" s="532"/>
      <c r="AG208" s="532"/>
      <c r="AH208" s="532"/>
      <c r="AI208" s="532"/>
      <c r="AJ208" s="532"/>
      <c r="AK208" s="532"/>
      <c r="AL208" s="532"/>
      <c r="AM208" s="532"/>
      <c r="AN208" s="532"/>
      <c r="AO208" s="532"/>
      <c r="AP208" s="532"/>
      <c r="AQ208" s="532"/>
      <c r="AR208" s="532"/>
      <c r="AS208" s="532"/>
      <c r="AT208" s="532"/>
      <c r="AU208" s="532"/>
      <c r="AV208" s="532"/>
      <c r="AW208" s="532"/>
      <c r="AX208" s="532"/>
      <c r="AY208" s="532"/>
      <c r="AZ208" s="532"/>
      <c r="BA208" s="532"/>
      <c r="BB208" s="532"/>
      <c r="BC208" s="506">
        <f>SUM(E208:BB208)</f>
        <v>0</v>
      </c>
      <c r="BD208" s="450"/>
    </row>
    <row r="209" spans="2:56" ht="15.75" customHeight="1" outlineLevel="2">
      <c r="B209" s="494"/>
      <c r="C209" s="507"/>
      <c r="D209" s="496"/>
      <c r="E209" s="497"/>
      <c r="F209" s="497"/>
      <c r="G209" s="497"/>
      <c r="H209" s="497"/>
      <c r="I209" s="497"/>
      <c r="J209" s="497"/>
      <c r="K209" s="497"/>
      <c r="L209" s="497"/>
      <c r="M209" s="497"/>
      <c r="N209" s="497"/>
      <c r="O209" s="497"/>
      <c r="P209" s="497"/>
      <c r="Q209" s="497"/>
      <c r="R209" s="497"/>
      <c r="S209" s="497"/>
      <c r="T209" s="497"/>
      <c r="U209" s="497"/>
      <c r="V209" s="497"/>
      <c r="W209" s="497"/>
      <c r="X209" s="497"/>
      <c r="Y209" s="497"/>
      <c r="Z209" s="497"/>
      <c r="AA209" s="497"/>
      <c r="AB209" s="497"/>
      <c r="AC209" s="497"/>
      <c r="AD209" s="497"/>
      <c r="AE209" s="498"/>
      <c r="AF209" s="499"/>
      <c r="AG209" s="499"/>
      <c r="AH209" s="499"/>
      <c r="AI209" s="499"/>
      <c r="AJ209" s="499"/>
      <c r="AK209" s="499"/>
      <c r="AL209" s="499"/>
      <c r="AM209" s="499"/>
      <c r="AN209" s="499"/>
      <c r="AO209" s="499"/>
      <c r="AP209" s="499"/>
      <c r="AQ209" s="499"/>
      <c r="AR209" s="499"/>
      <c r="AS209" s="499"/>
      <c r="AT209" s="499"/>
      <c r="AU209" s="499"/>
      <c r="AV209" s="499"/>
      <c r="AW209" s="499"/>
      <c r="AX209" s="499"/>
      <c r="AY209" s="499"/>
      <c r="AZ209" s="499"/>
      <c r="BA209" s="499"/>
      <c r="BB209" s="499"/>
      <c r="BC209" s="505"/>
      <c r="BD209" s="450"/>
    </row>
    <row r="210" spans="2:56" ht="18.75" customHeight="1" outlineLevel="2">
      <c r="B210" s="509">
        <v>200.1</v>
      </c>
      <c r="C210" s="510" t="s">
        <v>1939</v>
      </c>
      <c r="D210" s="511"/>
      <c r="E210" s="512"/>
      <c r="F210" s="512"/>
      <c r="G210" s="512"/>
      <c r="H210" s="512"/>
      <c r="I210" s="512"/>
      <c r="J210" s="512"/>
      <c r="K210" s="512"/>
      <c r="L210" s="512"/>
      <c r="M210" s="512"/>
      <c r="N210" s="512"/>
      <c r="O210" s="512"/>
      <c r="P210" s="512"/>
      <c r="Q210" s="512"/>
      <c r="R210" s="512"/>
      <c r="S210" s="512"/>
      <c r="T210" s="512"/>
      <c r="U210" s="512"/>
      <c r="V210" s="512"/>
      <c r="W210" s="512"/>
      <c r="X210" s="512"/>
      <c r="Y210" s="512"/>
      <c r="Z210" s="512"/>
      <c r="AA210" s="512"/>
      <c r="AB210" s="512"/>
      <c r="AC210" s="512"/>
      <c r="AD210" s="512"/>
      <c r="AE210" s="513"/>
      <c r="AF210" s="514"/>
      <c r="AG210" s="514"/>
      <c r="AH210" s="514"/>
      <c r="AI210" s="514"/>
      <c r="AJ210" s="514"/>
      <c r="AK210" s="514"/>
      <c r="AL210" s="514"/>
      <c r="AM210" s="514"/>
      <c r="AN210" s="514"/>
      <c r="AO210" s="514"/>
      <c r="AP210" s="514"/>
      <c r="AQ210" s="514"/>
      <c r="AR210" s="514"/>
      <c r="AS210" s="514"/>
      <c r="AT210" s="514"/>
      <c r="AU210" s="514"/>
      <c r="AV210" s="514"/>
      <c r="AW210" s="514"/>
      <c r="AX210" s="514"/>
      <c r="AY210" s="514"/>
      <c r="AZ210" s="514"/>
      <c r="BA210" s="514"/>
      <c r="BB210" s="514"/>
      <c r="BC210" s="506"/>
      <c r="BD210" s="450"/>
    </row>
    <row r="211" spans="2:56" ht="15" customHeight="1" outlineLevel="3">
      <c r="B211" s="494"/>
      <c r="C211" s="515" t="s">
        <v>1898</v>
      </c>
      <c r="D211" s="496" t="s">
        <v>1899</v>
      </c>
      <c r="E211" s="497">
        <v>0</v>
      </c>
      <c r="F211" s="497">
        <v>0</v>
      </c>
      <c r="G211" s="497">
        <v>0</v>
      </c>
      <c r="H211" s="497">
        <v>0</v>
      </c>
      <c r="I211" s="497">
        <v>0</v>
      </c>
      <c r="J211" s="497">
        <v>0</v>
      </c>
      <c r="K211" s="497">
        <v>0</v>
      </c>
      <c r="L211" s="497">
        <v>0</v>
      </c>
      <c r="M211" s="497">
        <v>0</v>
      </c>
      <c r="N211" s="497">
        <v>0</v>
      </c>
      <c r="O211" s="497">
        <v>0</v>
      </c>
      <c r="P211" s="497">
        <v>0</v>
      </c>
      <c r="Q211" s="497">
        <v>0</v>
      </c>
      <c r="R211" s="497">
        <v>0</v>
      </c>
      <c r="S211" s="497">
        <v>0</v>
      </c>
      <c r="T211" s="497">
        <v>0</v>
      </c>
      <c r="U211" s="497">
        <v>0</v>
      </c>
      <c r="V211" s="497">
        <v>0</v>
      </c>
      <c r="W211" s="497">
        <v>0</v>
      </c>
      <c r="X211" s="497">
        <v>0</v>
      </c>
      <c r="Y211" s="497">
        <v>0</v>
      </c>
      <c r="Z211" s="497">
        <v>0</v>
      </c>
      <c r="AA211" s="497">
        <v>0</v>
      </c>
      <c r="AB211" s="497">
        <v>0</v>
      </c>
      <c r="AC211" s="497">
        <v>0</v>
      </c>
      <c r="AD211" s="497">
        <v>0</v>
      </c>
      <c r="AE211" s="498">
        <v>0</v>
      </c>
      <c r="AF211" s="499">
        <v>0</v>
      </c>
      <c r="AG211" s="499">
        <v>0</v>
      </c>
      <c r="AH211" s="499">
        <v>0</v>
      </c>
      <c r="AI211" s="499">
        <v>0</v>
      </c>
      <c r="AJ211" s="499">
        <v>0</v>
      </c>
      <c r="AK211" s="499">
        <v>0</v>
      </c>
      <c r="AL211" s="499">
        <v>0</v>
      </c>
      <c r="AM211" s="499">
        <v>0</v>
      </c>
      <c r="AN211" s="499">
        <v>0</v>
      </c>
      <c r="AO211" s="499">
        <v>0</v>
      </c>
      <c r="AP211" s="499">
        <v>0</v>
      </c>
      <c r="AQ211" s="499">
        <v>0</v>
      </c>
      <c r="AR211" s="499">
        <v>0</v>
      </c>
      <c r="AS211" s="499">
        <v>0</v>
      </c>
      <c r="AT211" s="499">
        <v>0</v>
      </c>
      <c r="AU211" s="499">
        <v>0</v>
      </c>
      <c r="AV211" s="499">
        <v>0</v>
      </c>
      <c r="AW211" s="499">
        <v>0</v>
      </c>
      <c r="AX211" s="499">
        <v>0</v>
      </c>
      <c r="AY211" s="499">
        <v>0</v>
      </c>
      <c r="AZ211" s="499">
        <v>0</v>
      </c>
      <c r="BA211" s="499">
        <v>0</v>
      </c>
      <c r="BB211" s="499">
        <v>0</v>
      </c>
      <c r="BC211" s="500"/>
      <c r="BD211" s="450"/>
    </row>
    <row r="212" spans="2:56" ht="15" customHeight="1" outlineLevel="3">
      <c r="B212" s="494"/>
      <c r="C212" s="515" t="s">
        <v>1901</v>
      </c>
      <c r="D212" s="496" t="s">
        <v>1902</v>
      </c>
      <c r="E212" s="497">
        <v>0</v>
      </c>
      <c r="F212" s="497">
        <v>0</v>
      </c>
      <c r="G212" s="497">
        <v>0</v>
      </c>
      <c r="H212" s="497">
        <v>0</v>
      </c>
      <c r="I212" s="497">
        <v>0</v>
      </c>
      <c r="J212" s="497">
        <v>0</v>
      </c>
      <c r="K212" s="497">
        <v>0</v>
      </c>
      <c r="L212" s="497">
        <v>0</v>
      </c>
      <c r="M212" s="497">
        <v>0</v>
      </c>
      <c r="N212" s="497">
        <v>0</v>
      </c>
      <c r="O212" s="497">
        <v>0</v>
      </c>
      <c r="P212" s="497">
        <v>0</v>
      </c>
      <c r="Q212" s="497">
        <v>0</v>
      </c>
      <c r="R212" s="497">
        <v>0</v>
      </c>
      <c r="S212" s="497">
        <v>0</v>
      </c>
      <c r="T212" s="497">
        <v>0</v>
      </c>
      <c r="U212" s="497">
        <v>0</v>
      </c>
      <c r="V212" s="497">
        <v>0</v>
      </c>
      <c r="W212" s="497">
        <v>0</v>
      </c>
      <c r="X212" s="497">
        <v>0</v>
      </c>
      <c r="Y212" s="497">
        <v>0</v>
      </c>
      <c r="Z212" s="497">
        <v>0</v>
      </c>
      <c r="AA212" s="497">
        <v>0</v>
      </c>
      <c r="AB212" s="497">
        <v>0</v>
      </c>
      <c r="AC212" s="497">
        <v>0</v>
      </c>
      <c r="AD212" s="497">
        <v>0</v>
      </c>
      <c r="AE212" s="498">
        <v>0</v>
      </c>
      <c r="AF212" s="499">
        <v>0</v>
      </c>
      <c r="AG212" s="499">
        <v>0</v>
      </c>
      <c r="AH212" s="499">
        <v>0</v>
      </c>
      <c r="AI212" s="499">
        <v>0</v>
      </c>
      <c r="AJ212" s="499">
        <v>0</v>
      </c>
      <c r="AK212" s="499">
        <v>0</v>
      </c>
      <c r="AL212" s="499">
        <v>0</v>
      </c>
      <c r="AM212" s="499">
        <v>0</v>
      </c>
      <c r="AN212" s="499">
        <v>0</v>
      </c>
      <c r="AO212" s="499">
        <v>0</v>
      </c>
      <c r="AP212" s="499">
        <v>0</v>
      </c>
      <c r="AQ212" s="499">
        <v>0</v>
      </c>
      <c r="AR212" s="499">
        <v>0</v>
      </c>
      <c r="AS212" s="499">
        <v>0</v>
      </c>
      <c r="AT212" s="499">
        <v>0</v>
      </c>
      <c r="AU212" s="499">
        <v>0</v>
      </c>
      <c r="AV212" s="499">
        <v>0</v>
      </c>
      <c r="AW212" s="499">
        <v>0</v>
      </c>
      <c r="AX212" s="499">
        <v>0</v>
      </c>
      <c r="AY212" s="499">
        <v>0</v>
      </c>
      <c r="AZ212" s="499">
        <v>0</v>
      </c>
      <c r="BA212" s="499">
        <v>0</v>
      </c>
      <c r="BB212" s="499">
        <v>0</v>
      </c>
      <c r="BC212" s="500"/>
      <c r="BD212" s="450"/>
    </row>
    <row r="213" spans="2:56" ht="15" customHeight="1" outlineLevel="3">
      <c r="B213" s="494"/>
      <c r="C213" s="515" t="s">
        <v>1903</v>
      </c>
      <c r="D213" s="496" t="s">
        <v>1904</v>
      </c>
      <c r="E213" s="497">
        <v>0</v>
      </c>
      <c r="F213" s="497">
        <v>0</v>
      </c>
      <c r="G213" s="497">
        <v>0</v>
      </c>
      <c r="H213" s="497">
        <v>0</v>
      </c>
      <c r="I213" s="497">
        <v>0</v>
      </c>
      <c r="J213" s="497">
        <v>0</v>
      </c>
      <c r="K213" s="497">
        <v>0</v>
      </c>
      <c r="L213" s="497">
        <v>0</v>
      </c>
      <c r="M213" s="497">
        <v>0</v>
      </c>
      <c r="N213" s="497">
        <v>0</v>
      </c>
      <c r="O213" s="497">
        <v>0</v>
      </c>
      <c r="P213" s="497">
        <v>0</v>
      </c>
      <c r="Q213" s="497">
        <v>0</v>
      </c>
      <c r="R213" s="497">
        <v>0</v>
      </c>
      <c r="S213" s="497">
        <v>0</v>
      </c>
      <c r="T213" s="497">
        <v>0</v>
      </c>
      <c r="U213" s="497">
        <v>0</v>
      </c>
      <c r="V213" s="497">
        <v>0</v>
      </c>
      <c r="W213" s="497">
        <v>0</v>
      </c>
      <c r="X213" s="497">
        <v>0</v>
      </c>
      <c r="Y213" s="497">
        <v>0</v>
      </c>
      <c r="Z213" s="497">
        <v>0</v>
      </c>
      <c r="AA213" s="497">
        <v>0</v>
      </c>
      <c r="AB213" s="497">
        <v>0</v>
      </c>
      <c r="AC213" s="497">
        <v>0</v>
      </c>
      <c r="AD213" s="497">
        <v>0</v>
      </c>
      <c r="AE213" s="498">
        <v>0</v>
      </c>
      <c r="AF213" s="499">
        <v>0</v>
      </c>
      <c r="AG213" s="499">
        <v>0</v>
      </c>
      <c r="AH213" s="499">
        <v>0</v>
      </c>
      <c r="AI213" s="499">
        <v>0</v>
      </c>
      <c r="AJ213" s="499">
        <v>0</v>
      </c>
      <c r="AK213" s="499">
        <v>0</v>
      </c>
      <c r="AL213" s="499">
        <v>0</v>
      </c>
      <c r="AM213" s="499">
        <v>0</v>
      </c>
      <c r="AN213" s="499">
        <v>0</v>
      </c>
      <c r="AO213" s="499">
        <v>0</v>
      </c>
      <c r="AP213" s="499">
        <v>0</v>
      </c>
      <c r="AQ213" s="499">
        <v>0</v>
      </c>
      <c r="AR213" s="499">
        <v>0</v>
      </c>
      <c r="AS213" s="499">
        <v>0</v>
      </c>
      <c r="AT213" s="499">
        <v>0</v>
      </c>
      <c r="AU213" s="499">
        <v>0</v>
      </c>
      <c r="AV213" s="499">
        <v>0</v>
      </c>
      <c r="AW213" s="499">
        <v>0</v>
      </c>
      <c r="AX213" s="499">
        <v>0</v>
      </c>
      <c r="AY213" s="499">
        <v>0</v>
      </c>
      <c r="AZ213" s="499">
        <v>0</v>
      </c>
      <c r="BA213" s="499">
        <v>0</v>
      </c>
      <c r="BB213" s="499">
        <v>0</v>
      </c>
      <c r="BC213" s="500"/>
      <c r="BD213" s="450"/>
    </row>
    <row r="214" spans="2:56" ht="15" customHeight="1" outlineLevel="3">
      <c r="B214" s="494"/>
      <c r="C214" s="516" t="s">
        <v>1905</v>
      </c>
      <c r="D214" s="517" t="s">
        <v>1906</v>
      </c>
      <c r="E214" s="518">
        <f>E211+E212+E213</f>
        <v>0</v>
      </c>
      <c r="F214" s="518">
        <f t="shared" ref="F214:Y214" si="124">F211+F212+F213</f>
        <v>0</v>
      </c>
      <c r="G214" s="518">
        <f t="shared" si="124"/>
        <v>0</v>
      </c>
      <c r="H214" s="518">
        <f t="shared" si="124"/>
        <v>0</v>
      </c>
      <c r="I214" s="518">
        <f t="shared" si="124"/>
        <v>0</v>
      </c>
      <c r="J214" s="518">
        <f t="shared" si="124"/>
        <v>0</v>
      </c>
      <c r="K214" s="518">
        <f t="shared" si="124"/>
        <v>0</v>
      </c>
      <c r="L214" s="518">
        <f t="shared" si="124"/>
        <v>0</v>
      </c>
      <c r="M214" s="518">
        <f t="shared" si="124"/>
        <v>0</v>
      </c>
      <c r="N214" s="518">
        <f t="shared" si="124"/>
        <v>0</v>
      </c>
      <c r="O214" s="518">
        <f t="shared" si="124"/>
        <v>0</v>
      </c>
      <c r="P214" s="518">
        <f t="shared" si="124"/>
        <v>0</v>
      </c>
      <c r="Q214" s="518">
        <f t="shared" si="124"/>
        <v>0</v>
      </c>
      <c r="R214" s="518">
        <f t="shared" si="124"/>
        <v>0</v>
      </c>
      <c r="S214" s="518">
        <f t="shared" si="124"/>
        <v>0</v>
      </c>
      <c r="T214" s="518">
        <f t="shared" si="124"/>
        <v>0</v>
      </c>
      <c r="U214" s="518">
        <f t="shared" si="124"/>
        <v>0</v>
      </c>
      <c r="V214" s="518">
        <f t="shared" si="124"/>
        <v>0</v>
      </c>
      <c r="W214" s="518">
        <f t="shared" si="124"/>
        <v>0</v>
      </c>
      <c r="X214" s="518">
        <f t="shared" si="124"/>
        <v>0</v>
      </c>
      <c r="Y214" s="518">
        <f t="shared" si="124"/>
        <v>0</v>
      </c>
      <c r="Z214" s="497"/>
      <c r="AA214" s="497"/>
      <c r="AB214" s="497"/>
      <c r="AC214" s="497"/>
      <c r="AD214" s="497"/>
      <c r="AE214" s="498"/>
      <c r="AF214" s="499"/>
      <c r="AG214" s="499"/>
      <c r="AH214" s="499"/>
      <c r="AI214" s="499"/>
      <c r="AJ214" s="499"/>
      <c r="AK214" s="499"/>
      <c r="AL214" s="499"/>
      <c r="AM214" s="499"/>
      <c r="AN214" s="499"/>
      <c r="AO214" s="499"/>
      <c r="AP214" s="499"/>
      <c r="AQ214" s="499"/>
      <c r="AR214" s="499"/>
      <c r="AS214" s="499"/>
      <c r="AT214" s="499"/>
      <c r="AU214" s="499"/>
      <c r="AV214" s="499"/>
      <c r="AW214" s="499"/>
      <c r="AX214" s="499"/>
      <c r="AY214" s="499"/>
      <c r="AZ214" s="499"/>
      <c r="BA214" s="499"/>
      <c r="BB214" s="499"/>
      <c r="BC214" s="500"/>
      <c r="BD214" s="450"/>
    </row>
    <row r="215" spans="2:56" ht="15" customHeight="1" outlineLevel="3">
      <c r="B215" s="494"/>
      <c r="C215" s="519" t="s">
        <v>1907</v>
      </c>
      <c r="D215" s="517" t="s">
        <v>1908</v>
      </c>
      <c r="E215" s="518">
        <v>0</v>
      </c>
      <c r="F215" s="518">
        <v>0</v>
      </c>
      <c r="G215" s="518">
        <v>0</v>
      </c>
      <c r="H215" s="518">
        <v>0</v>
      </c>
      <c r="I215" s="518">
        <v>0</v>
      </c>
      <c r="J215" s="518">
        <v>0</v>
      </c>
      <c r="K215" s="518">
        <v>0</v>
      </c>
      <c r="L215" s="518">
        <v>0</v>
      </c>
      <c r="M215" s="518">
        <v>0</v>
      </c>
      <c r="N215" s="518">
        <v>0</v>
      </c>
      <c r="O215" s="518">
        <v>0</v>
      </c>
      <c r="P215" s="518">
        <v>0</v>
      </c>
      <c r="Q215" s="518">
        <v>0</v>
      </c>
      <c r="R215" s="518">
        <v>0</v>
      </c>
      <c r="S215" s="518">
        <v>0</v>
      </c>
      <c r="T215" s="518">
        <v>0</v>
      </c>
      <c r="U215" s="518">
        <v>0</v>
      </c>
      <c r="V215" s="518">
        <v>0</v>
      </c>
      <c r="W215" s="518">
        <v>0</v>
      </c>
      <c r="X215" s="518">
        <v>0</v>
      </c>
      <c r="Y215" s="518">
        <v>0</v>
      </c>
      <c r="Z215" s="518">
        <v>0</v>
      </c>
      <c r="AA215" s="518">
        <v>0</v>
      </c>
      <c r="AB215" s="518">
        <v>0</v>
      </c>
      <c r="AC215" s="518">
        <v>0</v>
      </c>
      <c r="AD215" s="518">
        <v>0</v>
      </c>
      <c r="AE215" s="520">
        <v>0</v>
      </c>
      <c r="AF215" s="521">
        <v>0</v>
      </c>
      <c r="AG215" s="521">
        <v>0</v>
      </c>
      <c r="AH215" s="521">
        <v>0</v>
      </c>
      <c r="AI215" s="521">
        <v>0</v>
      </c>
      <c r="AJ215" s="521">
        <v>0</v>
      </c>
      <c r="AK215" s="521">
        <v>0</v>
      </c>
      <c r="AL215" s="521">
        <v>0</v>
      </c>
      <c r="AM215" s="521">
        <v>0</v>
      </c>
      <c r="AN215" s="521">
        <v>0</v>
      </c>
      <c r="AO215" s="521">
        <v>0</v>
      </c>
      <c r="AP215" s="521">
        <v>0</v>
      </c>
      <c r="AQ215" s="521">
        <v>0</v>
      </c>
      <c r="AR215" s="521">
        <v>0</v>
      </c>
      <c r="AS215" s="521">
        <v>0</v>
      </c>
      <c r="AT215" s="521">
        <v>0</v>
      </c>
      <c r="AU215" s="521">
        <v>0</v>
      </c>
      <c r="AV215" s="521">
        <v>0</v>
      </c>
      <c r="AW215" s="521">
        <v>0</v>
      </c>
      <c r="AX215" s="521">
        <v>0</v>
      </c>
      <c r="AY215" s="521">
        <v>0</v>
      </c>
      <c r="AZ215" s="521">
        <v>0</v>
      </c>
      <c r="BA215" s="521">
        <v>0</v>
      </c>
      <c r="BB215" s="521">
        <v>0</v>
      </c>
      <c r="BC215" s="500"/>
      <c r="BD215" s="450"/>
    </row>
    <row r="216" spans="2:56" s="438" customFormat="1" ht="15" customHeight="1" outlineLevel="3">
      <c r="B216" s="494"/>
      <c r="C216" s="522" t="s">
        <v>1579</v>
      </c>
      <c r="D216" s="496" t="s">
        <v>1909</v>
      </c>
      <c r="E216" s="497">
        <v>0</v>
      </c>
      <c r="F216" s="497">
        <v>0</v>
      </c>
      <c r="G216" s="497">
        <v>0</v>
      </c>
      <c r="H216" s="497">
        <v>0</v>
      </c>
      <c r="I216" s="497">
        <v>0</v>
      </c>
      <c r="J216" s="497">
        <v>0</v>
      </c>
      <c r="K216" s="497">
        <v>0</v>
      </c>
      <c r="L216" s="497">
        <v>0</v>
      </c>
      <c r="M216" s="497">
        <v>0</v>
      </c>
      <c r="N216" s="497">
        <v>0</v>
      </c>
      <c r="O216" s="497">
        <v>0</v>
      </c>
      <c r="P216" s="497">
        <v>0</v>
      </c>
      <c r="Q216" s="497">
        <v>0</v>
      </c>
      <c r="R216" s="497">
        <v>0</v>
      </c>
      <c r="S216" s="497">
        <v>0</v>
      </c>
      <c r="T216" s="497">
        <v>0</v>
      </c>
      <c r="U216" s="497">
        <v>0</v>
      </c>
      <c r="V216" s="497">
        <v>0</v>
      </c>
      <c r="W216" s="497">
        <v>0</v>
      </c>
      <c r="X216" s="497">
        <v>0</v>
      </c>
      <c r="Y216" s="497">
        <v>0</v>
      </c>
      <c r="Z216" s="497">
        <v>0</v>
      </c>
      <c r="AA216" s="497">
        <v>0</v>
      </c>
      <c r="AB216" s="497">
        <v>0</v>
      </c>
      <c r="AC216" s="497">
        <v>0</v>
      </c>
      <c r="AD216" s="497">
        <v>0</v>
      </c>
      <c r="AE216" s="498">
        <v>0</v>
      </c>
      <c r="AF216" s="499">
        <v>0</v>
      </c>
      <c r="AG216" s="499">
        <v>0</v>
      </c>
      <c r="AH216" s="499">
        <v>0</v>
      </c>
      <c r="AI216" s="499">
        <v>0</v>
      </c>
      <c r="AJ216" s="499">
        <v>0</v>
      </c>
      <c r="AK216" s="499">
        <v>0</v>
      </c>
      <c r="AL216" s="499">
        <v>0</v>
      </c>
      <c r="AM216" s="499">
        <v>0</v>
      </c>
      <c r="AN216" s="499">
        <v>0</v>
      </c>
      <c r="AO216" s="499">
        <v>0</v>
      </c>
      <c r="AP216" s="499">
        <v>0</v>
      </c>
      <c r="AQ216" s="499">
        <v>0</v>
      </c>
      <c r="AR216" s="499">
        <v>0</v>
      </c>
      <c r="AS216" s="499">
        <v>0</v>
      </c>
      <c r="AT216" s="499">
        <v>0</v>
      </c>
      <c r="AU216" s="499">
        <v>0</v>
      </c>
      <c r="AV216" s="499">
        <v>0</v>
      </c>
      <c r="AW216" s="499">
        <v>0</v>
      </c>
      <c r="AX216" s="499">
        <v>0</v>
      </c>
      <c r="AY216" s="499">
        <v>0</v>
      </c>
      <c r="AZ216" s="499">
        <v>0</v>
      </c>
      <c r="BA216" s="499">
        <v>0</v>
      </c>
      <c r="BB216" s="499">
        <v>0</v>
      </c>
      <c r="BC216" s="500">
        <f>+AA216</f>
        <v>0</v>
      </c>
      <c r="BD216" s="523"/>
    </row>
    <row r="217" spans="2:56" ht="15" customHeight="1" outlineLevel="3">
      <c r="B217" s="494"/>
      <c r="C217" s="519" t="s">
        <v>1910</v>
      </c>
      <c r="D217" s="517" t="s">
        <v>1911</v>
      </c>
      <c r="E217" s="518">
        <f>E214+E215+E216</f>
        <v>0</v>
      </c>
      <c r="F217" s="518">
        <f t="shared" ref="F217:Y217" si="125">F214+F215+F216</f>
        <v>0</v>
      </c>
      <c r="G217" s="518">
        <f t="shared" si="125"/>
        <v>0</v>
      </c>
      <c r="H217" s="518">
        <f t="shared" si="125"/>
        <v>0</v>
      </c>
      <c r="I217" s="518">
        <f t="shared" si="125"/>
        <v>0</v>
      </c>
      <c r="J217" s="518">
        <f t="shared" si="125"/>
        <v>0</v>
      </c>
      <c r="K217" s="518">
        <f t="shared" si="125"/>
        <v>0</v>
      </c>
      <c r="L217" s="518">
        <f t="shared" si="125"/>
        <v>0</v>
      </c>
      <c r="M217" s="518">
        <f t="shared" si="125"/>
        <v>0</v>
      </c>
      <c r="N217" s="518">
        <f t="shared" si="125"/>
        <v>0</v>
      </c>
      <c r="O217" s="518">
        <f t="shared" si="125"/>
        <v>0</v>
      </c>
      <c r="P217" s="518">
        <f t="shared" si="125"/>
        <v>0</v>
      </c>
      <c r="Q217" s="518">
        <f t="shared" si="125"/>
        <v>0</v>
      </c>
      <c r="R217" s="518">
        <f t="shared" si="125"/>
        <v>0</v>
      </c>
      <c r="S217" s="518">
        <f t="shared" si="125"/>
        <v>0</v>
      </c>
      <c r="T217" s="518">
        <f t="shared" si="125"/>
        <v>0</v>
      </c>
      <c r="U217" s="518">
        <f t="shared" si="125"/>
        <v>0</v>
      </c>
      <c r="V217" s="518">
        <f t="shared" si="125"/>
        <v>0</v>
      </c>
      <c r="W217" s="518">
        <f t="shared" si="125"/>
        <v>0</v>
      </c>
      <c r="X217" s="518">
        <f t="shared" si="125"/>
        <v>0</v>
      </c>
      <c r="Y217" s="518">
        <f t="shared" si="125"/>
        <v>0</v>
      </c>
      <c r="Z217" s="497"/>
      <c r="AA217" s="497"/>
      <c r="AB217" s="497"/>
      <c r="AC217" s="497"/>
      <c r="AD217" s="497"/>
      <c r="AE217" s="498"/>
      <c r="AF217" s="499"/>
      <c r="AG217" s="499"/>
      <c r="AH217" s="499"/>
      <c r="AI217" s="499"/>
      <c r="AJ217" s="499"/>
      <c r="AK217" s="499"/>
      <c r="AL217" s="499"/>
      <c r="AM217" s="499"/>
      <c r="AN217" s="499"/>
      <c r="AO217" s="499"/>
      <c r="AP217" s="499"/>
      <c r="AQ217" s="499"/>
      <c r="AR217" s="499"/>
      <c r="AS217" s="499"/>
      <c r="AT217" s="499"/>
      <c r="AU217" s="499"/>
      <c r="AV217" s="499"/>
      <c r="AW217" s="499"/>
      <c r="AX217" s="499"/>
      <c r="AY217" s="499"/>
      <c r="AZ217" s="499"/>
      <c r="BA217" s="499"/>
      <c r="BB217" s="499"/>
      <c r="BC217" s="500"/>
      <c r="BD217" s="450"/>
    </row>
    <row r="218" spans="2:56" ht="15" customHeight="1" outlineLevel="3">
      <c r="B218" s="494"/>
      <c r="C218" s="519" t="s">
        <v>1930</v>
      </c>
      <c r="D218" s="517" t="s">
        <v>1913</v>
      </c>
      <c r="E218" s="518">
        <v>0</v>
      </c>
      <c r="F218" s="518">
        <v>0</v>
      </c>
      <c r="G218" s="518">
        <v>0</v>
      </c>
      <c r="H218" s="518">
        <v>0</v>
      </c>
      <c r="I218" s="518">
        <v>0</v>
      </c>
      <c r="J218" s="518">
        <v>0</v>
      </c>
      <c r="K218" s="518">
        <v>0</v>
      </c>
      <c r="L218" s="518">
        <v>0</v>
      </c>
      <c r="M218" s="518">
        <v>0</v>
      </c>
      <c r="N218" s="518">
        <v>0</v>
      </c>
      <c r="O218" s="518">
        <v>0</v>
      </c>
      <c r="P218" s="518">
        <v>0</v>
      </c>
      <c r="Q218" s="518">
        <v>0</v>
      </c>
      <c r="R218" s="518">
        <v>0</v>
      </c>
      <c r="S218" s="518">
        <v>0</v>
      </c>
      <c r="T218" s="518">
        <v>0</v>
      </c>
      <c r="U218" s="518">
        <v>0</v>
      </c>
      <c r="V218" s="518">
        <v>0</v>
      </c>
      <c r="W218" s="518">
        <v>0</v>
      </c>
      <c r="X218" s="518">
        <v>0</v>
      </c>
      <c r="Y218" s="518">
        <v>0</v>
      </c>
      <c r="Z218" s="518">
        <v>0</v>
      </c>
      <c r="AA218" s="518">
        <v>0</v>
      </c>
      <c r="AB218" s="518">
        <v>0</v>
      </c>
      <c r="AC218" s="518">
        <v>0</v>
      </c>
      <c r="AD218" s="518">
        <v>0</v>
      </c>
      <c r="AE218" s="520">
        <v>0</v>
      </c>
      <c r="AF218" s="521">
        <v>0</v>
      </c>
      <c r="AG218" s="521">
        <v>0</v>
      </c>
      <c r="AH218" s="521">
        <v>0</v>
      </c>
      <c r="AI218" s="521">
        <v>0</v>
      </c>
      <c r="AJ218" s="521">
        <v>0</v>
      </c>
      <c r="AK218" s="521">
        <v>0</v>
      </c>
      <c r="AL218" s="521">
        <v>0</v>
      </c>
      <c r="AM218" s="521">
        <v>0</v>
      </c>
      <c r="AN218" s="521">
        <v>0</v>
      </c>
      <c r="AO218" s="521">
        <v>0</v>
      </c>
      <c r="AP218" s="521">
        <v>0</v>
      </c>
      <c r="AQ218" s="521">
        <v>0</v>
      </c>
      <c r="AR218" s="521">
        <v>0</v>
      </c>
      <c r="AS218" s="521">
        <v>0</v>
      </c>
      <c r="AT218" s="521">
        <v>0</v>
      </c>
      <c r="AU218" s="521">
        <v>0</v>
      </c>
      <c r="AV218" s="521">
        <v>0</v>
      </c>
      <c r="AW218" s="521">
        <v>0</v>
      </c>
      <c r="AX218" s="521">
        <v>0</v>
      </c>
      <c r="AY218" s="521">
        <v>0</v>
      </c>
      <c r="AZ218" s="521">
        <v>0</v>
      </c>
      <c r="BA218" s="521">
        <v>0</v>
      </c>
      <c r="BB218" s="521">
        <v>0</v>
      </c>
      <c r="BC218" s="500"/>
      <c r="BD218" s="450"/>
    </row>
    <row r="219" spans="2:56" ht="15" customHeight="1" outlineLevel="3">
      <c r="B219" s="494"/>
      <c r="C219" s="522" t="s">
        <v>1914</v>
      </c>
      <c r="D219" s="496" t="s">
        <v>1915</v>
      </c>
      <c r="E219" s="497">
        <v>0</v>
      </c>
      <c r="F219" s="497">
        <v>0</v>
      </c>
      <c r="G219" s="497">
        <v>0</v>
      </c>
      <c r="H219" s="497">
        <v>0</v>
      </c>
      <c r="I219" s="497">
        <v>0</v>
      </c>
      <c r="J219" s="497">
        <v>0</v>
      </c>
      <c r="K219" s="497">
        <v>0</v>
      </c>
      <c r="L219" s="497">
        <v>0</v>
      </c>
      <c r="M219" s="497">
        <v>0</v>
      </c>
      <c r="N219" s="497">
        <v>0</v>
      </c>
      <c r="O219" s="497">
        <v>0</v>
      </c>
      <c r="P219" s="497">
        <v>0</v>
      </c>
      <c r="Q219" s="497">
        <v>0</v>
      </c>
      <c r="R219" s="497">
        <v>0</v>
      </c>
      <c r="S219" s="497">
        <v>0</v>
      </c>
      <c r="T219" s="497">
        <v>0</v>
      </c>
      <c r="U219" s="497">
        <v>0</v>
      </c>
      <c r="V219" s="497">
        <v>0</v>
      </c>
      <c r="W219" s="497">
        <v>0</v>
      </c>
      <c r="X219" s="497">
        <v>0</v>
      </c>
      <c r="Y219" s="497">
        <v>0</v>
      </c>
      <c r="Z219" s="497">
        <v>0</v>
      </c>
      <c r="AA219" s="497">
        <v>0</v>
      </c>
      <c r="AB219" s="497">
        <v>0</v>
      </c>
      <c r="AC219" s="497">
        <v>0</v>
      </c>
      <c r="AD219" s="497">
        <v>0</v>
      </c>
      <c r="AE219" s="498">
        <v>0</v>
      </c>
      <c r="AF219" s="499">
        <v>0</v>
      </c>
      <c r="AG219" s="499">
        <v>0</v>
      </c>
      <c r="AH219" s="499">
        <v>0</v>
      </c>
      <c r="AI219" s="499">
        <v>0</v>
      </c>
      <c r="AJ219" s="499">
        <v>0</v>
      </c>
      <c r="AK219" s="499">
        <v>0</v>
      </c>
      <c r="AL219" s="499">
        <v>0</v>
      </c>
      <c r="AM219" s="499">
        <v>0</v>
      </c>
      <c r="AN219" s="499">
        <v>0</v>
      </c>
      <c r="AO219" s="499">
        <v>0</v>
      </c>
      <c r="AP219" s="499">
        <v>0</v>
      </c>
      <c r="AQ219" s="499">
        <v>0</v>
      </c>
      <c r="AR219" s="499">
        <v>0</v>
      </c>
      <c r="AS219" s="499">
        <v>0</v>
      </c>
      <c r="AT219" s="499">
        <v>0</v>
      </c>
      <c r="AU219" s="499">
        <v>0</v>
      </c>
      <c r="AV219" s="499">
        <v>0</v>
      </c>
      <c r="AW219" s="499">
        <v>0</v>
      </c>
      <c r="AX219" s="499">
        <v>0</v>
      </c>
      <c r="AY219" s="499">
        <v>0</v>
      </c>
      <c r="AZ219" s="499">
        <v>0</v>
      </c>
      <c r="BA219" s="499">
        <v>0</v>
      </c>
      <c r="BB219" s="499">
        <v>0</v>
      </c>
      <c r="BC219" s="500"/>
      <c r="BD219" s="450"/>
    </row>
    <row r="220" spans="2:56" ht="15" customHeight="1" outlineLevel="3">
      <c r="B220" s="494"/>
      <c r="C220" s="519" t="s">
        <v>1916</v>
      </c>
      <c r="D220" s="517" t="s">
        <v>1917</v>
      </c>
      <c r="E220" s="518">
        <f>E217+E218+E219</f>
        <v>0</v>
      </c>
      <c r="F220" s="518">
        <f t="shared" ref="F220:Y220" si="126">F217+F218+F219</f>
        <v>0</v>
      </c>
      <c r="G220" s="518">
        <f t="shared" si="126"/>
        <v>0</v>
      </c>
      <c r="H220" s="518">
        <f t="shared" si="126"/>
        <v>0</v>
      </c>
      <c r="I220" s="518">
        <f t="shared" si="126"/>
        <v>0</v>
      </c>
      <c r="J220" s="518">
        <f t="shared" si="126"/>
        <v>0</v>
      </c>
      <c r="K220" s="518">
        <f t="shared" si="126"/>
        <v>0</v>
      </c>
      <c r="L220" s="518">
        <f t="shared" si="126"/>
        <v>0</v>
      </c>
      <c r="M220" s="518">
        <f t="shared" si="126"/>
        <v>0</v>
      </c>
      <c r="N220" s="518">
        <f t="shared" si="126"/>
        <v>0</v>
      </c>
      <c r="O220" s="518">
        <f t="shared" si="126"/>
        <v>0</v>
      </c>
      <c r="P220" s="518">
        <f t="shared" si="126"/>
        <v>0</v>
      </c>
      <c r="Q220" s="518">
        <f t="shared" si="126"/>
        <v>0</v>
      </c>
      <c r="R220" s="518">
        <f t="shared" si="126"/>
        <v>0</v>
      </c>
      <c r="S220" s="518">
        <f t="shared" si="126"/>
        <v>0</v>
      </c>
      <c r="T220" s="518">
        <f t="shared" si="126"/>
        <v>0</v>
      </c>
      <c r="U220" s="518">
        <f t="shared" si="126"/>
        <v>0</v>
      </c>
      <c r="V220" s="518">
        <f t="shared" si="126"/>
        <v>0</v>
      </c>
      <c r="W220" s="518">
        <f t="shared" si="126"/>
        <v>0</v>
      </c>
      <c r="X220" s="518">
        <f t="shared" si="126"/>
        <v>0</v>
      </c>
      <c r="Y220" s="518">
        <f t="shared" si="126"/>
        <v>0</v>
      </c>
      <c r="Z220" s="497"/>
      <c r="AA220" s="497"/>
      <c r="AB220" s="497"/>
      <c r="AC220" s="497"/>
      <c r="AD220" s="497"/>
      <c r="AE220" s="498"/>
      <c r="AF220" s="499"/>
      <c r="AG220" s="499"/>
      <c r="AH220" s="499"/>
      <c r="AI220" s="499"/>
      <c r="AJ220" s="499"/>
      <c r="AK220" s="499"/>
      <c r="AL220" s="499"/>
      <c r="AM220" s="499"/>
      <c r="AN220" s="499"/>
      <c r="AO220" s="499"/>
      <c r="AP220" s="499"/>
      <c r="AQ220" s="499"/>
      <c r="AR220" s="499"/>
      <c r="AS220" s="499"/>
      <c r="AT220" s="499"/>
      <c r="AU220" s="499"/>
      <c r="AV220" s="499"/>
      <c r="AW220" s="499"/>
      <c r="AX220" s="499"/>
      <c r="AY220" s="499"/>
      <c r="AZ220" s="499"/>
      <c r="BA220" s="499"/>
      <c r="BB220" s="499"/>
      <c r="BC220" s="500"/>
      <c r="BD220" s="450"/>
    </row>
    <row r="221" spans="2:56" ht="15" customHeight="1" outlineLevel="3">
      <c r="B221" s="494"/>
      <c r="C221" s="522" t="s">
        <v>1918</v>
      </c>
      <c r="D221" s="496" t="s">
        <v>1919</v>
      </c>
      <c r="E221" s="497">
        <v>0</v>
      </c>
      <c r="F221" s="497">
        <v>0</v>
      </c>
      <c r="G221" s="497">
        <v>0</v>
      </c>
      <c r="H221" s="497">
        <v>0</v>
      </c>
      <c r="I221" s="497">
        <v>0</v>
      </c>
      <c r="J221" s="497">
        <v>0</v>
      </c>
      <c r="K221" s="497">
        <v>0</v>
      </c>
      <c r="L221" s="497">
        <v>0</v>
      </c>
      <c r="M221" s="497">
        <v>0</v>
      </c>
      <c r="N221" s="497">
        <v>0</v>
      </c>
      <c r="O221" s="497">
        <v>0</v>
      </c>
      <c r="P221" s="497">
        <v>0</v>
      </c>
      <c r="Q221" s="497">
        <v>0</v>
      </c>
      <c r="R221" s="497">
        <v>0</v>
      </c>
      <c r="S221" s="497">
        <v>0</v>
      </c>
      <c r="T221" s="497">
        <v>0</v>
      </c>
      <c r="U221" s="497">
        <v>0</v>
      </c>
      <c r="V221" s="497">
        <v>0</v>
      </c>
      <c r="W221" s="497">
        <v>0</v>
      </c>
      <c r="X221" s="497">
        <v>0</v>
      </c>
      <c r="Y221" s="497">
        <v>0</v>
      </c>
      <c r="Z221" s="497">
        <v>0</v>
      </c>
      <c r="AA221" s="497">
        <v>0</v>
      </c>
      <c r="AB221" s="497">
        <v>0</v>
      </c>
      <c r="AC221" s="497">
        <v>0</v>
      </c>
      <c r="AD221" s="497">
        <v>0</v>
      </c>
      <c r="AE221" s="498">
        <v>0</v>
      </c>
      <c r="AF221" s="499">
        <v>0</v>
      </c>
      <c r="AG221" s="499">
        <v>0</v>
      </c>
      <c r="AH221" s="499">
        <v>0</v>
      </c>
      <c r="AI221" s="499">
        <v>0</v>
      </c>
      <c r="AJ221" s="499">
        <v>0</v>
      </c>
      <c r="AK221" s="499">
        <v>0</v>
      </c>
      <c r="AL221" s="499">
        <v>0</v>
      </c>
      <c r="AM221" s="499">
        <v>0</v>
      </c>
      <c r="AN221" s="499">
        <v>0</v>
      </c>
      <c r="AO221" s="499">
        <v>0</v>
      </c>
      <c r="AP221" s="499">
        <v>0</v>
      </c>
      <c r="AQ221" s="499">
        <v>0</v>
      </c>
      <c r="AR221" s="499">
        <v>0</v>
      </c>
      <c r="AS221" s="499">
        <v>0</v>
      </c>
      <c r="AT221" s="499">
        <v>0</v>
      </c>
      <c r="AU221" s="499">
        <v>0</v>
      </c>
      <c r="AV221" s="499">
        <v>0</v>
      </c>
      <c r="AW221" s="499">
        <v>0</v>
      </c>
      <c r="AX221" s="499">
        <v>0</v>
      </c>
      <c r="AY221" s="499">
        <v>0</v>
      </c>
      <c r="AZ221" s="499">
        <v>0</v>
      </c>
      <c r="BA221" s="499">
        <v>0</v>
      </c>
      <c r="BB221" s="499">
        <v>0</v>
      </c>
      <c r="BC221" s="500"/>
      <c r="BD221" s="450"/>
    </row>
    <row r="222" spans="2:56" ht="15" customHeight="1" outlineLevel="3">
      <c r="B222" s="494"/>
      <c r="C222" s="522" t="s">
        <v>1920</v>
      </c>
      <c r="D222" s="524" t="s">
        <v>1921</v>
      </c>
      <c r="E222" s="497">
        <v>0</v>
      </c>
      <c r="F222" s="497">
        <v>0</v>
      </c>
      <c r="G222" s="497">
        <v>0</v>
      </c>
      <c r="H222" s="497">
        <v>0</v>
      </c>
      <c r="I222" s="497">
        <v>0</v>
      </c>
      <c r="J222" s="497">
        <v>0</v>
      </c>
      <c r="K222" s="497">
        <v>0</v>
      </c>
      <c r="L222" s="497">
        <v>0</v>
      </c>
      <c r="M222" s="497">
        <v>0</v>
      </c>
      <c r="N222" s="497">
        <v>0</v>
      </c>
      <c r="O222" s="497">
        <v>0</v>
      </c>
      <c r="P222" s="497">
        <v>0</v>
      </c>
      <c r="Q222" s="497">
        <v>0</v>
      </c>
      <c r="R222" s="497">
        <v>0</v>
      </c>
      <c r="S222" s="497">
        <v>0</v>
      </c>
      <c r="T222" s="497">
        <v>0</v>
      </c>
      <c r="U222" s="497">
        <v>0</v>
      </c>
      <c r="V222" s="497">
        <v>0</v>
      </c>
      <c r="W222" s="497">
        <v>0</v>
      </c>
      <c r="X222" s="497">
        <v>0</v>
      </c>
      <c r="Y222" s="497">
        <v>0</v>
      </c>
      <c r="Z222" s="497">
        <v>0</v>
      </c>
      <c r="AA222" s="497">
        <v>0</v>
      </c>
      <c r="AB222" s="497">
        <v>0</v>
      </c>
      <c r="AC222" s="497">
        <v>0</v>
      </c>
      <c r="AD222" s="497">
        <v>0</v>
      </c>
      <c r="AE222" s="498">
        <v>0</v>
      </c>
      <c r="AF222" s="499">
        <v>0</v>
      </c>
      <c r="AG222" s="499">
        <v>0</v>
      </c>
      <c r="AH222" s="499">
        <v>0</v>
      </c>
      <c r="AI222" s="499">
        <v>0</v>
      </c>
      <c r="AJ222" s="499">
        <v>0</v>
      </c>
      <c r="AK222" s="499">
        <v>0</v>
      </c>
      <c r="AL222" s="499">
        <v>0</v>
      </c>
      <c r="AM222" s="499">
        <v>0</v>
      </c>
      <c r="AN222" s="499">
        <v>0</v>
      </c>
      <c r="AO222" s="499">
        <v>0</v>
      </c>
      <c r="AP222" s="499">
        <v>0</v>
      </c>
      <c r="AQ222" s="499">
        <v>0</v>
      </c>
      <c r="AR222" s="499">
        <v>0</v>
      </c>
      <c r="AS222" s="499">
        <v>0</v>
      </c>
      <c r="AT222" s="499">
        <v>0</v>
      </c>
      <c r="AU222" s="499">
        <v>0</v>
      </c>
      <c r="AV222" s="499">
        <v>0</v>
      </c>
      <c r="AW222" s="499">
        <v>0</v>
      </c>
      <c r="AX222" s="499">
        <v>0</v>
      </c>
      <c r="AY222" s="499">
        <v>0</v>
      </c>
      <c r="AZ222" s="499">
        <v>0</v>
      </c>
      <c r="BA222" s="499">
        <v>0</v>
      </c>
      <c r="BB222" s="499">
        <v>0</v>
      </c>
      <c r="BC222" s="500"/>
      <c r="BD222" s="450"/>
    </row>
    <row r="223" spans="2:56" ht="15" customHeight="1" outlineLevel="3">
      <c r="B223" s="494"/>
      <c r="C223" s="2792" t="s">
        <v>1922</v>
      </c>
      <c r="D223" s="524" t="s">
        <v>1923</v>
      </c>
      <c r="E223" s="497">
        <v>0</v>
      </c>
      <c r="F223" s="497">
        <v>0</v>
      </c>
      <c r="G223" s="497">
        <v>0</v>
      </c>
      <c r="H223" s="497">
        <v>0</v>
      </c>
      <c r="I223" s="497">
        <v>0</v>
      </c>
      <c r="J223" s="497">
        <v>0</v>
      </c>
      <c r="K223" s="497">
        <v>0</v>
      </c>
      <c r="L223" s="497">
        <v>0</v>
      </c>
      <c r="M223" s="497">
        <v>0</v>
      </c>
      <c r="N223" s="497">
        <v>0</v>
      </c>
      <c r="O223" s="497">
        <v>0</v>
      </c>
      <c r="P223" s="497">
        <v>0</v>
      </c>
      <c r="Q223" s="497">
        <v>0</v>
      </c>
      <c r="R223" s="497">
        <v>0</v>
      </c>
      <c r="S223" s="497">
        <v>0</v>
      </c>
      <c r="T223" s="497">
        <v>0</v>
      </c>
      <c r="U223" s="497">
        <v>0</v>
      </c>
      <c r="V223" s="497">
        <v>0</v>
      </c>
      <c r="W223" s="497">
        <v>0</v>
      </c>
      <c r="X223" s="497">
        <v>0</v>
      </c>
      <c r="Y223" s="497">
        <v>0</v>
      </c>
      <c r="Z223" s="497">
        <v>0</v>
      </c>
      <c r="AA223" s="497">
        <v>0</v>
      </c>
      <c r="AB223" s="497">
        <v>0</v>
      </c>
      <c r="AC223" s="497">
        <v>0</v>
      </c>
      <c r="AD223" s="497">
        <v>0</v>
      </c>
      <c r="AE223" s="498">
        <v>0</v>
      </c>
      <c r="AF223" s="499">
        <v>0</v>
      </c>
      <c r="AG223" s="499">
        <v>0</v>
      </c>
      <c r="AH223" s="499">
        <v>0</v>
      </c>
      <c r="AI223" s="499">
        <v>0</v>
      </c>
      <c r="AJ223" s="499">
        <v>0</v>
      </c>
      <c r="AK223" s="499">
        <v>0</v>
      </c>
      <c r="AL223" s="499">
        <v>0</v>
      </c>
      <c r="AM223" s="499">
        <v>0</v>
      </c>
      <c r="AN223" s="499">
        <v>0</v>
      </c>
      <c r="AO223" s="499">
        <v>0</v>
      </c>
      <c r="AP223" s="499">
        <v>0</v>
      </c>
      <c r="AQ223" s="499">
        <v>0</v>
      </c>
      <c r="AR223" s="499">
        <v>0</v>
      </c>
      <c r="AS223" s="499">
        <v>0</v>
      </c>
      <c r="AT223" s="499">
        <v>0</v>
      </c>
      <c r="AU223" s="499">
        <v>0</v>
      </c>
      <c r="AV223" s="499">
        <v>0</v>
      </c>
      <c r="AW223" s="499">
        <v>0</v>
      </c>
      <c r="AX223" s="499">
        <v>0</v>
      </c>
      <c r="AY223" s="499">
        <v>0</v>
      </c>
      <c r="AZ223" s="499">
        <v>0</v>
      </c>
      <c r="BA223" s="499">
        <v>0</v>
      </c>
      <c r="BB223" s="499">
        <v>0</v>
      </c>
      <c r="BC223" s="508"/>
      <c r="BD223" s="450"/>
    </row>
    <row r="224" spans="2:56" ht="15" customHeight="1" outlineLevel="2">
      <c r="B224" s="494"/>
      <c r="C224" s="519" t="s">
        <v>1924</v>
      </c>
      <c r="D224" s="525" t="s">
        <v>1925</v>
      </c>
      <c r="E224" s="518">
        <f t="shared" ref="E224:BB224" si="127">E220+E221+E223</f>
        <v>0</v>
      </c>
      <c r="F224" s="518">
        <f t="shared" si="127"/>
        <v>0</v>
      </c>
      <c r="G224" s="518">
        <f t="shared" si="127"/>
        <v>0</v>
      </c>
      <c r="H224" s="518">
        <f t="shared" si="127"/>
        <v>0</v>
      </c>
      <c r="I224" s="518">
        <f t="shared" si="127"/>
        <v>0</v>
      </c>
      <c r="J224" s="518">
        <f t="shared" si="127"/>
        <v>0</v>
      </c>
      <c r="K224" s="518">
        <f t="shared" si="127"/>
        <v>0</v>
      </c>
      <c r="L224" s="518">
        <f t="shared" si="127"/>
        <v>0</v>
      </c>
      <c r="M224" s="518">
        <f t="shared" si="127"/>
        <v>0</v>
      </c>
      <c r="N224" s="518">
        <f t="shared" si="127"/>
        <v>0</v>
      </c>
      <c r="O224" s="518">
        <f t="shared" si="127"/>
        <v>0</v>
      </c>
      <c r="P224" s="518">
        <f t="shared" si="127"/>
        <v>0</v>
      </c>
      <c r="Q224" s="518">
        <f t="shared" si="127"/>
        <v>0</v>
      </c>
      <c r="R224" s="518">
        <f t="shared" si="127"/>
        <v>0</v>
      </c>
      <c r="S224" s="518">
        <f t="shared" si="127"/>
        <v>0</v>
      </c>
      <c r="T224" s="518">
        <f t="shared" si="127"/>
        <v>0</v>
      </c>
      <c r="U224" s="518">
        <f t="shared" si="127"/>
        <v>0</v>
      </c>
      <c r="V224" s="518">
        <f t="shared" si="127"/>
        <v>0</v>
      </c>
      <c r="W224" s="518">
        <f t="shared" si="127"/>
        <v>0</v>
      </c>
      <c r="X224" s="518">
        <f t="shared" si="127"/>
        <v>0</v>
      </c>
      <c r="Y224" s="518">
        <f t="shared" si="127"/>
        <v>0</v>
      </c>
      <c r="Z224" s="518">
        <f t="shared" si="127"/>
        <v>0</v>
      </c>
      <c r="AA224" s="518">
        <f t="shared" si="127"/>
        <v>0</v>
      </c>
      <c r="AB224" s="518">
        <f t="shared" si="127"/>
        <v>0</v>
      </c>
      <c r="AC224" s="518">
        <f t="shared" si="127"/>
        <v>0</v>
      </c>
      <c r="AD224" s="518">
        <f t="shared" si="127"/>
        <v>0</v>
      </c>
      <c r="AE224" s="520">
        <f t="shared" si="127"/>
        <v>0</v>
      </c>
      <c r="AF224" s="521">
        <f t="shared" si="127"/>
        <v>0</v>
      </c>
      <c r="AG224" s="521">
        <f t="shared" si="127"/>
        <v>0</v>
      </c>
      <c r="AH224" s="521">
        <f t="shared" si="127"/>
        <v>0</v>
      </c>
      <c r="AI224" s="521">
        <f t="shared" si="127"/>
        <v>0</v>
      </c>
      <c r="AJ224" s="521">
        <f t="shared" si="127"/>
        <v>0</v>
      </c>
      <c r="AK224" s="521">
        <f t="shared" si="127"/>
        <v>0</v>
      </c>
      <c r="AL224" s="521">
        <f t="shared" si="127"/>
        <v>0</v>
      </c>
      <c r="AM224" s="521">
        <f t="shared" si="127"/>
        <v>0</v>
      </c>
      <c r="AN224" s="521">
        <f t="shared" si="127"/>
        <v>0</v>
      </c>
      <c r="AO224" s="521">
        <f t="shared" si="127"/>
        <v>0</v>
      </c>
      <c r="AP224" s="521">
        <f t="shared" si="127"/>
        <v>0</v>
      </c>
      <c r="AQ224" s="521">
        <f t="shared" ref="AQ224:AZ224" si="128">AQ220+AQ221+AQ223</f>
        <v>0</v>
      </c>
      <c r="AR224" s="521">
        <f t="shared" si="128"/>
        <v>0</v>
      </c>
      <c r="AS224" s="521">
        <f t="shared" si="128"/>
        <v>0</v>
      </c>
      <c r="AT224" s="521">
        <f t="shared" si="128"/>
        <v>0</v>
      </c>
      <c r="AU224" s="521">
        <f t="shared" si="128"/>
        <v>0</v>
      </c>
      <c r="AV224" s="521">
        <f t="shared" si="128"/>
        <v>0</v>
      </c>
      <c r="AW224" s="521">
        <f t="shared" si="128"/>
        <v>0</v>
      </c>
      <c r="AX224" s="521">
        <f t="shared" si="128"/>
        <v>0</v>
      </c>
      <c r="AY224" s="521">
        <f t="shared" si="128"/>
        <v>0</v>
      </c>
      <c r="AZ224" s="521">
        <f t="shared" si="128"/>
        <v>0</v>
      </c>
      <c r="BA224" s="521">
        <f t="shared" si="127"/>
        <v>0</v>
      </c>
      <c r="BB224" s="521">
        <f t="shared" si="127"/>
        <v>0</v>
      </c>
      <c r="BC224" s="500"/>
      <c r="BD224" s="450"/>
    </row>
    <row r="225" spans="2:57" ht="15" customHeight="1" outlineLevel="2">
      <c r="B225" s="494"/>
      <c r="C225" s="519" t="s">
        <v>1926</v>
      </c>
      <c r="D225" s="517" t="s">
        <v>1927</v>
      </c>
      <c r="E225" s="518">
        <f>E224</f>
        <v>0</v>
      </c>
      <c r="F225" s="518">
        <f t="shared" ref="F225:BB225" si="129">F224-E224</f>
        <v>0</v>
      </c>
      <c r="G225" s="518">
        <f t="shared" si="129"/>
        <v>0</v>
      </c>
      <c r="H225" s="518">
        <f t="shared" si="129"/>
        <v>0</v>
      </c>
      <c r="I225" s="518">
        <f t="shared" si="129"/>
        <v>0</v>
      </c>
      <c r="J225" s="518">
        <f t="shared" si="129"/>
        <v>0</v>
      </c>
      <c r="K225" s="518">
        <f t="shared" si="129"/>
        <v>0</v>
      </c>
      <c r="L225" s="518">
        <f t="shared" si="129"/>
        <v>0</v>
      </c>
      <c r="M225" s="518">
        <f t="shared" si="129"/>
        <v>0</v>
      </c>
      <c r="N225" s="518">
        <f t="shared" si="129"/>
        <v>0</v>
      </c>
      <c r="O225" s="518">
        <f t="shared" si="129"/>
        <v>0</v>
      </c>
      <c r="P225" s="518">
        <f t="shared" si="129"/>
        <v>0</v>
      </c>
      <c r="Q225" s="518">
        <f t="shared" si="129"/>
        <v>0</v>
      </c>
      <c r="R225" s="518">
        <f t="shared" si="129"/>
        <v>0</v>
      </c>
      <c r="S225" s="518">
        <f t="shared" si="129"/>
        <v>0</v>
      </c>
      <c r="T225" s="518">
        <f t="shared" si="129"/>
        <v>0</v>
      </c>
      <c r="U225" s="518">
        <f t="shared" si="129"/>
        <v>0</v>
      </c>
      <c r="V225" s="518">
        <f t="shared" si="129"/>
        <v>0</v>
      </c>
      <c r="W225" s="518">
        <f t="shared" si="129"/>
        <v>0</v>
      </c>
      <c r="X225" s="518">
        <f t="shared" si="129"/>
        <v>0</v>
      </c>
      <c r="Y225" s="518">
        <f t="shared" si="129"/>
        <v>0</v>
      </c>
      <c r="Z225" s="518">
        <f t="shared" si="129"/>
        <v>0</v>
      </c>
      <c r="AA225" s="518">
        <f t="shared" si="129"/>
        <v>0</v>
      </c>
      <c r="AB225" s="518">
        <f t="shared" si="129"/>
        <v>0</v>
      </c>
      <c r="AC225" s="518">
        <f t="shared" si="129"/>
        <v>0</v>
      </c>
      <c r="AD225" s="518">
        <f t="shared" si="129"/>
        <v>0</v>
      </c>
      <c r="AE225" s="520">
        <f t="shared" si="129"/>
        <v>0</v>
      </c>
      <c r="AF225" s="521">
        <f t="shared" si="129"/>
        <v>0</v>
      </c>
      <c r="AG225" s="521">
        <f t="shared" si="129"/>
        <v>0</v>
      </c>
      <c r="AH225" s="521">
        <f t="shared" si="129"/>
        <v>0</v>
      </c>
      <c r="AI225" s="521">
        <f t="shared" si="129"/>
        <v>0</v>
      </c>
      <c r="AJ225" s="521">
        <f t="shared" si="129"/>
        <v>0</v>
      </c>
      <c r="AK225" s="521">
        <f t="shared" si="129"/>
        <v>0</v>
      </c>
      <c r="AL225" s="521">
        <f t="shared" si="129"/>
        <v>0</v>
      </c>
      <c r="AM225" s="521">
        <f t="shared" si="129"/>
        <v>0</v>
      </c>
      <c r="AN225" s="521">
        <f t="shared" si="129"/>
        <v>0</v>
      </c>
      <c r="AO225" s="521">
        <f t="shared" si="129"/>
        <v>0</v>
      </c>
      <c r="AP225" s="521">
        <f t="shared" si="129"/>
        <v>0</v>
      </c>
      <c r="AQ225" s="521">
        <f t="shared" ref="AQ225:AZ225" si="130">AQ224-AP224</f>
        <v>0</v>
      </c>
      <c r="AR225" s="521">
        <f t="shared" si="130"/>
        <v>0</v>
      </c>
      <c r="AS225" s="521">
        <f t="shared" si="130"/>
        <v>0</v>
      </c>
      <c r="AT225" s="521">
        <f t="shared" si="130"/>
        <v>0</v>
      </c>
      <c r="AU225" s="521">
        <f t="shared" si="130"/>
        <v>0</v>
      </c>
      <c r="AV225" s="521">
        <f t="shared" si="130"/>
        <v>0</v>
      </c>
      <c r="AW225" s="521">
        <f t="shared" si="130"/>
        <v>0</v>
      </c>
      <c r="AX225" s="521">
        <f t="shared" si="130"/>
        <v>0</v>
      </c>
      <c r="AY225" s="521">
        <f t="shared" si="130"/>
        <v>0</v>
      </c>
      <c r="AZ225" s="521">
        <f t="shared" si="130"/>
        <v>0</v>
      </c>
      <c r="BA225" s="521">
        <f>BA224-AP224</f>
        <v>0</v>
      </c>
      <c r="BB225" s="521">
        <f t="shared" si="129"/>
        <v>0</v>
      </c>
      <c r="BC225" s="500"/>
      <c r="BD225" s="450"/>
    </row>
    <row r="226" spans="2:57" ht="15" customHeight="1" outlineLevel="2">
      <c r="B226" s="494"/>
      <c r="C226" s="526"/>
      <c r="D226" s="517"/>
      <c r="E226" s="518"/>
      <c r="F226" s="518"/>
      <c r="G226" s="518"/>
      <c r="H226" s="518"/>
      <c r="I226" s="518"/>
      <c r="J226" s="518"/>
      <c r="K226" s="518"/>
      <c r="L226" s="518"/>
      <c r="M226" s="518"/>
      <c r="N226" s="518"/>
      <c r="O226" s="518"/>
      <c r="P226" s="518"/>
      <c r="Q226" s="518"/>
      <c r="R226" s="518"/>
      <c r="S226" s="518"/>
      <c r="T226" s="518"/>
      <c r="U226" s="518"/>
      <c r="V226" s="518"/>
      <c r="W226" s="518"/>
      <c r="X226" s="518"/>
      <c r="Y226" s="518"/>
      <c r="Z226" s="497"/>
      <c r="AA226" s="497"/>
      <c r="AB226" s="497"/>
      <c r="AC226" s="497"/>
      <c r="AD226" s="497"/>
      <c r="AE226" s="498"/>
      <c r="AF226" s="499"/>
      <c r="AG226" s="499"/>
      <c r="AH226" s="499"/>
      <c r="AI226" s="499"/>
      <c r="AJ226" s="499"/>
      <c r="AK226" s="499"/>
      <c r="AL226" s="499"/>
      <c r="AM226" s="499"/>
      <c r="AN226" s="499"/>
      <c r="AO226" s="499"/>
      <c r="AP226" s="499"/>
      <c r="AQ226" s="499"/>
      <c r="AR226" s="499"/>
      <c r="AS226" s="499"/>
      <c r="AT226" s="499"/>
      <c r="AU226" s="499"/>
      <c r="AV226" s="499"/>
      <c r="AW226" s="499"/>
      <c r="AX226" s="499"/>
      <c r="AY226" s="499"/>
      <c r="AZ226" s="499"/>
      <c r="BA226" s="499"/>
      <c r="BB226" s="499"/>
      <c r="BC226" s="506"/>
      <c r="BD226" s="450"/>
    </row>
    <row r="227" spans="2:57" ht="11.25" customHeight="1" outlineLevel="2">
      <c r="B227" s="494"/>
      <c r="C227" s="507"/>
      <c r="D227" s="496"/>
      <c r="E227" s="497"/>
      <c r="F227" s="497"/>
      <c r="G227" s="497"/>
      <c r="H227" s="497"/>
      <c r="I227" s="497"/>
      <c r="J227" s="497"/>
      <c r="K227" s="497"/>
      <c r="L227" s="497"/>
      <c r="M227" s="497"/>
      <c r="N227" s="497"/>
      <c r="O227" s="497"/>
      <c r="P227" s="497"/>
      <c r="Q227" s="497"/>
      <c r="R227" s="497"/>
      <c r="S227" s="497"/>
      <c r="T227" s="497"/>
      <c r="U227" s="497"/>
      <c r="V227" s="497"/>
      <c r="W227" s="497"/>
      <c r="X227" s="497"/>
      <c r="Y227" s="497"/>
      <c r="Z227" s="497"/>
      <c r="AA227" s="497"/>
      <c r="AB227" s="497"/>
      <c r="AC227" s="497"/>
      <c r="AD227" s="497"/>
      <c r="AE227" s="498"/>
      <c r="AF227" s="499"/>
      <c r="AG227" s="499"/>
      <c r="AH227" s="499"/>
      <c r="AI227" s="499"/>
      <c r="AJ227" s="499"/>
      <c r="AK227" s="499"/>
      <c r="AL227" s="499"/>
      <c r="AM227" s="499"/>
      <c r="AN227" s="499"/>
      <c r="AO227" s="499"/>
      <c r="AP227" s="499"/>
      <c r="AQ227" s="499"/>
      <c r="AR227" s="499"/>
      <c r="AS227" s="499"/>
      <c r="AT227" s="499"/>
      <c r="AU227" s="499"/>
      <c r="AV227" s="499"/>
      <c r="AW227" s="499"/>
      <c r="AX227" s="499"/>
      <c r="AY227" s="499"/>
      <c r="AZ227" s="499"/>
      <c r="BA227" s="499"/>
      <c r="BB227" s="499"/>
      <c r="BC227" s="506"/>
      <c r="BD227" s="450"/>
    </row>
    <row r="228" spans="2:57" s="415" customFormat="1" outlineLevel="1">
      <c r="B228" s="501">
        <v>300</v>
      </c>
      <c r="C228" s="502" t="s">
        <v>1931</v>
      </c>
      <c r="D228" s="503" t="s">
        <v>1896</v>
      </c>
      <c r="E228" s="504">
        <f>E245</f>
        <v>0</v>
      </c>
      <c r="F228" s="504">
        <f t="shared" ref="F228:BB228" si="131">F245</f>
        <v>0</v>
      </c>
      <c r="G228" s="504">
        <f t="shared" si="131"/>
        <v>0</v>
      </c>
      <c r="H228" s="504">
        <f t="shared" si="131"/>
        <v>0</v>
      </c>
      <c r="I228" s="504">
        <f t="shared" si="131"/>
        <v>0</v>
      </c>
      <c r="J228" s="504">
        <f t="shared" si="131"/>
        <v>0</v>
      </c>
      <c r="K228" s="504">
        <f t="shared" si="131"/>
        <v>0</v>
      </c>
      <c r="L228" s="504">
        <f t="shared" si="131"/>
        <v>0</v>
      </c>
      <c r="M228" s="504">
        <f t="shared" si="131"/>
        <v>0</v>
      </c>
      <c r="N228" s="504">
        <f t="shared" si="131"/>
        <v>0</v>
      </c>
      <c r="O228" s="504">
        <f t="shared" si="131"/>
        <v>0</v>
      </c>
      <c r="P228" s="504">
        <f t="shared" si="131"/>
        <v>0</v>
      </c>
      <c r="Q228" s="504">
        <f t="shared" si="131"/>
        <v>0</v>
      </c>
      <c r="R228" s="504">
        <f t="shared" si="131"/>
        <v>0</v>
      </c>
      <c r="S228" s="504">
        <f t="shared" si="131"/>
        <v>0</v>
      </c>
      <c r="T228" s="504">
        <f t="shared" si="131"/>
        <v>0</v>
      </c>
      <c r="U228" s="504">
        <f t="shared" si="131"/>
        <v>0</v>
      </c>
      <c r="V228" s="504">
        <f t="shared" si="131"/>
        <v>0</v>
      </c>
      <c r="W228" s="504">
        <f t="shared" si="131"/>
        <v>0</v>
      </c>
      <c r="X228" s="504">
        <f t="shared" si="131"/>
        <v>0</v>
      </c>
      <c r="Y228" s="504">
        <f t="shared" si="131"/>
        <v>0</v>
      </c>
      <c r="Z228" s="504">
        <f t="shared" si="131"/>
        <v>0</v>
      </c>
      <c r="AA228" s="504">
        <f t="shared" si="131"/>
        <v>0</v>
      </c>
      <c r="AB228" s="504">
        <f t="shared" si="131"/>
        <v>0</v>
      </c>
      <c r="AC228" s="504">
        <f t="shared" si="131"/>
        <v>0</v>
      </c>
      <c r="AD228" s="504">
        <f t="shared" si="131"/>
        <v>0</v>
      </c>
      <c r="AE228" s="504">
        <f t="shared" si="131"/>
        <v>0</v>
      </c>
      <c r="AF228" s="504">
        <f t="shared" si="131"/>
        <v>0</v>
      </c>
      <c r="AG228" s="504">
        <f t="shared" si="131"/>
        <v>0</v>
      </c>
      <c r="AH228" s="504">
        <f t="shared" si="131"/>
        <v>0</v>
      </c>
      <c r="AI228" s="504">
        <f t="shared" si="131"/>
        <v>0</v>
      </c>
      <c r="AJ228" s="504">
        <f t="shared" si="131"/>
        <v>0</v>
      </c>
      <c r="AK228" s="504">
        <f t="shared" si="131"/>
        <v>0</v>
      </c>
      <c r="AL228" s="504">
        <f t="shared" si="131"/>
        <v>0</v>
      </c>
      <c r="AM228" s="504">
        <f t="shared" si="131"/>
        <v>0</v>
      </c>
      <c r="AN228" s="504">
        <f t="shared" si="131"/>
        <v>0</v>
      </c>
      <c r="AO228" s="504">
        <f t="shared" si="131"/>
        <v>0</v>
      </c>
      <c r="AP228" s="504">
        <f t="shared" si="131"/>
        <v>0</v>
      </c>
      <c r="AQ228" s="504">
        <f t="shared" ref="AQ228:AZ228" si="132">AQ245</f>
        <v>0</v>
      </c>
      <c r="AR228" s="504">
        <f t="shared" si="132"/>
        <v>0</v>
      </c>
      <c r="AS228" s="504">
        <f t="shared" si="132"/>
        <v>0</v>
      </c>
      <c r="AT228" s="504">
        <f t="shared" si="132"/>
        <v>0</v>
      </c>
      <c r="AU228" s="504">
        <f t="shared" si="132"/>
        <v>0</v>
      </c>
      <c r="AV228" s="504">
        <f t="shared" si="132"/>
        <v>0</v>
      </c>
      <c r="AW228" s="504">
        <f t="shared" si="132"/>
        <v>0</v>
      </c>
      <c r="AX228" s="504">
        <f t="shared" si="132"/>
        <v>0</v>
      </c>
      <c r="AY228" s="504">
        <f t="shared" si="132"/>
        <v>0</v>
      </c>
      <c r="AZ228" s="504">
        <f t="shared" si="132"/>
        <v>0</v>
      </c>
      <c r="BA228" s="504">
        <f t="shared" si="131"/>
        <v>0</v>
      </c>
      <c r="BB228" s="504">
        <f t="shared" si="131"/>
        <v>0</v>
      </c>
      <c r="BC228" s="505"/>
      <c r="BD228" s="420"/>
      <c r="BE228" s="527"/>
    </row>
    <row r="229" spans="2:57" s="415" customFormat="1" outlineLevel="1">
      <c r="B229" s="501"/>
      <c r="C229" s="502"/>
      <c r="D229" s="503" t="s">
        <v>1897</v>
      </c>
      <c r="E229" s="504">
        <f>E246</f>
        <v>0</v>
      </c>
      <c r="F229" s="504">
        <f t="shared" ref="F229:BB229" si="133">F246</f>
        <v>0</v>
      </c>
      <c r="G229" s="504">
        <f t="shared" si="133"/>
        <v>0</v>
      </c>
      <c r="H229" s="504">
        <f t="shared" si="133"/>
        <v>0</v>
      </c>
      <c r="I229" s="504">
        <f t="shared" si="133"/>
        <v>0</v>
      </c>
      <c r="J229" s="504">
        <f t="shared" si="133"/>
        <v>0</v>
      </c>
      <c r="K229" s="504">
        <f t="shared" si="133"/>
        <v>0</v>
      </c>
      <c r="L229" s="504">
        <f t="shared" si="133"/>
        <v>0</v>
      </c>
      <c r="M229" s="504">
        <f t="shared" si="133"/>
        <v>0</v>
      </c>
      <c r="N229" s="504">
        <f t="shared" si="133"/>
        <v>0</v>
      </c>
      <c r="O229" s="504">
        <f t="shared" si="133"/>
        <v>0</v>
      </c>
      <c r="P229" s="504">
        <f t="shared" si="133"/>
        <v>0</v>
      </c>
      <c r="Q229" s="504">
        <f t="shared" si="133"/>
        <v>0</v>
      </c>
      <c r="R229" s="504">
        <f t="shared" si="133"/>
        <v>0</v>
      </c>
      <c r="S229" s="504">
        <f t="shared" si="133"/>
        <v>0</v>
      </c>
      <c r="T229" s="504">
        <f t="shared" si="133"/>
        <v>0</v>
      </c>
      <c r="U229" s="504">
        <f t="shared" si="133"/>
        <v>0</v>
      </c>
      <c r="V229" s="504">
        <f t="shared" si="133"/>
        <v>0</v>
      </c>
      <c r="W229" s="504">
        <f t="shared" si="133"/>
        <v>0</v>
      </c>
      <c r="X229" s="504">
        <f t="shared" si="133"/>
        <v>0</v>
      </c>
      <c r="Y229" s="504">
        <f t="shared" si="133"/>
        <v>0</v>
      </c>
      <c r="Z229" s="504">
        <f t="shared" si="133"/>
        <v>0</v>
      </c>
      <c r="AA229" s="504">
        <f t="shared" si="133"/>
        <v>0</v>
      </c>
      <c r="AB229" s="504">
        <f t="shared" si="133"/>
        <v>0</v>
      </c>
      <c r="AC229" s="504">
        <f t="shared" si="133"/>
        <v>0</v>
      </c>
      <c r="AD229" s="504">
        <f t="shared" si="133"/>
        <v>0</v>
      </c>
      <c r="AE229" s="504">
        <f t="shared" si="133"/>
        <v>0</v>
      </c>
      <c r="AF229" s="504">
        <f t="shared" si="133"/>
        <v>0</v>
      </c>
      <c r="AG229" s="504">
        <f t="shared" si="133"/>
        <v>0</v>
      </c>
      <c r="AH229" s="504">
        <f t="shared" si="133"/>
        <v>0</v>
      </c>
      <c r="AI229" s="504">
        <f t="shared" si="133"/>
        <v>0</v>
      </c>
      <c r="AJ229" s="504">
        <f t="shared" si="133"/>
        <v>0</v>
      </c>
      <c r="AK229" s="504">
        <f t="shared" si="133"/>
        <v>0</v>
      </c>
      <c r="AL229" s="504">
        <f t="shared" si="133"/>
        <v>0</v>
      </c>
      <c r="AM229" s="504">
        <f t="shared" si="133"/>
        <v>0</v>
      </c>
      <c r="AN229" s="504">
        <f t="shared" si="133"/>
        <v>0</v>
      </c>
      <c r="AO229" s="504">
        <f t="shared" si="133"/>
        <v>0</v>
      </c>
      <c r="AP229" s="504">
        <f t="shared" si="133"/>
        <v>0</v>
      </c>
      <c r="AQ229" s="504">
        <f t="shared" ref="AQ229:AZ229" si="134">AQ246</f>
        <v>0</v>
      </c>
      <c r="AR229" s="504">
        <f t="shared" si="134"/>
        <v>0</v>
      </c>
      <c r="AS229" s="504">
        <f t="shared" si="134"/>
        <v>0</v>
      </c>
      <c r="AT229" s="504">
        <f t="shared" si="134"/>
        <v>0</v>
      </c>
      <c r="AU229" s="504">
        <f t="shared" si="134"/>
        <v>0</v>
      </c>
      <c r="AV229" s="504">
        <f t="shared" si="134"/>
        <v>0</v>
      </c>
      <c r="AW229" s="504">
        <f t="shared" si="134"/>
        <v>0</v>
      </c>
      <c r="AX229" s="504">
        <f t="shared" si="134"/>
        <v>0</v>
      </c>
      <c r="AY229" s="504">
        <f t="shared" si="134"/>
        <v>0</v>
      </c>
      <c r="AZ229" s="504">
        <f t="shared" si="134"/>
        <v>0</v>
      </c>
      <c r="BA229" s="504">
        <f t="shared" si="133"/>
        <v>0</v>
      </c>
      <c r="BB229" s="504">
        <f t="shared" si="133"/>
        <v>0</v>
      </c>
      <c r="BC229" s="506"/>
      <c r="BD229" s="420"/>
    </row>
    <row r="230" spans="2:57" ht="9" customHeight="1" outlineLevel="2">
      <c r="B230" s="494"/>
      <c r="C230" s="507"/>
      <c r="D230" s="496"/>
      <c r="E230" s="497"/>
      <c r="F230" s="497"/>
      <c r="G230" s="497"/>
      <c r="H230" s="497"/>
      <c r="I230" s="497"/>
      <c r="J230" s="497"/>
      <c r="K230" s="497"/>
      <c r="L230" s="497"/>
      <c r="M230" s="497"/>
      <c r="N230" s="497"/>
      <c r="O230" s="497"/>
      <c r="P230" s="497"/>
      <c r="Q230" s="497"/>
      <c r="R230" s="497"/>
      <c r="S230" s="497"/>
      <c r="T230" s="497"/>
      <c r="U230" s="497"/>
      <c r="V230" s="497"/>
      <c r="W230" s="497"/>
      <c r="X230" s="497"/>
      <c r="Y230" s="497"/>
      <c r="Z230" s="497"/>
      <c r="AA230" s="497"/>
      <c r="AB230" s="497"/>
      <c r="AC230" s="497"/>
      <c r="AD230" s="497"/>
      <c r="AE230" s="498"/>
      <c r="AF230" s="499"/>
      <c r="AG230" s="499"/>
      <c r="AH230" s="499"/>
      <c r="AI230" s="499"/>
      <c r="AJ230" s="499"/>
      <c r="AK230" s="499"/>
      <c r="AL230" s="499"/>
      <c r="AM230" s="499"/>
      <c r="AN230" s="499"/>
      <c r="AO230" s="499"/>
      <c r="AP230" s="499"/>
      <c r="AQ230" s="499"/>
      <c r="AR230" s="499"/>
      <c r="AS230" s="499"/>
      <c r="AT230" s="499"/>
      <c r="AU230" s="499"/>
      <c r="AV230" s="499"/>
      <c r="AW230" s="499"/>
      <c r="AX230" s="499"/>
      <c r="AY230" s="499"/>
      <c r="AZ230" s="499"/>
      <c r="BA230" s="499"/>
      <c r="BB230" s="499"/>
      <c r="BC230" s="505"/>
      <c r="BD230" s="450"/>
    </row>
    <row r="231" spans="2:57" ht="18.75" customHeight="1" outlineLevel="2">
      <c r="B231" s="533">
        <v>300.10000000000002</v>
      </c>
      <c r="C231" s="529" t="s">
        <v>1940</v>
      </c>
      <c r="D231" s="534">
        <v>0</v>
      </c>
      <c r="E231" s="512"/>
      <c r="F231" s="512"/>
      <c r="G231" s="512"/>
      <c r="H231" s="512"/>
      <c r="I231" s="512"/>
      <c r="J231" s="512"/>
      <c r="K231" s="512"/>
      <c r="L231" s="512"/>
      <c r="M231" s="512"/>
      <c r="N231" s="512"/>
      <c r="O231" s="512"/>
      <c r="P231" s="512"/>
      <c r="Q231" s="512"/>
      <c r="R231" s="512"/>
      <c r="S231" s="512"/>
      <c r="T231" s="512"/>
      <c r="U231" s="512"/>
      <c r="V231" s="512"/>
      <c r="W231" s="512"/>
      <c r="X231" s="512"/>
      <c r="Y231" s="512"/>
      <c r="Z231" s="512"/>
      <c r="AA231" s="512"/>
      <c r="AB231" s="512"/>
      <c r="AC231" s="512"/>
      <c r="AD231" s="512"/>
      <c r="AE231" s="513"/>
      <c r="AF231" s="514"/>
      <c r="AG231" s="514"/>
      <c r="AH231" s="514"/>
      <c r="AI231" s="514"/>
      <c r="AJ231" s="514"/>
      <c r="AK231" s="514"/>
      <c r="AL231" s="514"/>
      <c r="AM231" s="514"/>
      <c r="AN231" s="514"/>
      <c r="AO231" s="514"/>
      <c r="AP231" s="514"/>
      <c r="AQ231" s="514"/>
      <c r="AR231" s="514"/>
      <c r="AS231" s="514"/>
      <c r="AT231" s="514"/>
      <c r="AU231" s="514"/>
      <c r="AV231" s="514"/>
      <c r="AW231" s="514"/>
      <c r="AX231" s="514"/>
      <c r="AY231" s="514"/>
      <c r="AZ231" s="514"/>
      <c r="BA231" s="514"/>
      <c r="BB231" s="514"/>
      <c r="BC231" s="506"/>
      <c r="BD231" s="450"/>
    </row>
    <row r="232" spans="2:57" ht="15" customHeight="1" outlineLevel="3">
      <c r="B232" s="494"/>
      <c r="C232" s="515" t="s">
        <v>1898</v>
      </c>
      <c r="D232" s="496" t="s">
        <v>1899</v>
      </c>
      <c r="E232" s="497">
        <v>0</v>
      </c>
      <c r="F232" s="497">
        <v>0</v>
      </c>
      <c r="G232" s="497">
        <v>0</v>
      </c>
      <c r="H232" s="497">
        <v>0</v>
      </c>
      <c r="I232" s="497">
        <v>0</v>
      </c>
      <c r="J232" s="497">
        <v>0</v>
      </c>
      <c r="K232" s="497">
        <v>0</v>
      </c>
      <c r="L232" s="497">
        <v>0</v>
      </c>
      <c r="M232" s="497">
        <v>0</v>
      </c>
      <c r="N232" s="497">
        <v>0</v>
      </c>
      <c r="O232" s="497">
        <v>0</v>
      </c>
      <c r="P232" s="497">
        <v>0</v>
      </c>
      <c r="Q232" s="497">
        <v>0</v>
      </c>
      <c r="R232" s="497">
        <v>0</v>
      </c>
      <c r="S232" s="497">
        <v>0</v>
      </c>
      <c r="T232" s="497">
        <v>0</v>
      </c>
      <c r="U232" s="497">
        <v>0</v>
      </c>
      <c r="V232" s="497">
        <v>0</v>
      </c>
      <c r="W232" s="497">
        <v>0</v>
      </c>
      <c r="X232" s="497">
        <v>0</v>
      </c>
      <c r="Y232" s="497">
        <v>0</v>
      </c>
      <c r="Z232" s="497">
        <v>0</v>
      </c>
      <c r="AA232" s="497">
        <v>0</v>
      </c>
      <c r="AB232" s="497">
        <f t="shared" ref="AB232:BB232" si="135">AB121</f>
        <v>0</v>
      </c>
      <c r="AC232" s="497">
        <f t="shared" si="135"/>
        <v>0</v>
      </c>
      <c r="AD232" s="497">
        <f t="shared" si="135"/>
        <v>0</v>
      </c>
      <c r="AE232" s="498">
        <f t="shared" si="135"/>
        <v>0</v>
      </c>
      <c r="AF232" s="499">
        <f t="shared" si="135"/>
        <v>0</v>
      </c>
      <c r="AG232" s="499">
        <f t="shared" si="135"/>
        <v>0</v>
      </c>
      <c r="AH232" s="499">
        <f t="shared" si="135"/>
        <v>0</v>
      </c>
      <c r="AI232" s="499">
        <f t="shared" si="135"/>
        <v>0</v>
      </c>
      <c r="AJ232" s="499">
        <f t="shared" si="135"/>
        <v>0</v>
      </c>
      <c r="AK232" s="499">
        <f t="shared" si="135"/>
        <v>0</v>
      </c>
      <c r="AL232" s="499">
        <f t="shared" si="135"/>
        <v>0</v>
      </c>
      <c r="AM232" s="499">
        <f t="shared" si="135"/>
        <v>0</v>
      </c>
      <c r="AN232" s="499">
        <f t="shared" si="135"/>
        <v>0</v>
      </c>
      <c r="AO232" s="499">
        <f t="shared" si="135"/>
        <v>0</v>
      </c>
      <c r="AP232" s="499">
        <f t="shared" si="135"/>
        <v>0</v>
      </c>
      <c r="AQ232" s="499">
        <f t="shared" ref="AQ232:AZ232" si="136">AQ121</f>
        <v>0</v>
      </c>
      <c r="AR232" s="499">
        <f t="shared" si="136"/>
        <v>0</v>
      </c>
      <c r="AS232" s="499">
        <f t="shared" si="136"/>
        <v>0</v>
      </c>
      <c r="AT232" s="499">
        <f t="shared" si="136"/>
        <v>0</v>
      </c>
      <c r="AU232" s="499">
        <f t="shared" si="136"/>
        <v>0</v>
      </c>
      <c r="AV232" s="499">
        <f t="shared" si="136"/>
        <v>0</v>
      </c>
      <c r="AW232" s="499">
        <f t="shared" si="136"/>
        <v>0</v>
      </c>
      <c r="AX232" s="499">
        <f t="shared" si="136"/>
        <v>0</v>
      </c>
      <c r="AY232" s="499">
        <f t="shared" si="136"/>
        <v>0</v>
      </c>
      <c r="AZ232" s="499">
        <f t="shared" si="136"/>
        <v>0</v>
      </c>
      <c r="BA232" s="499">
        <f t="shared" si="135"/>
        <v>0</v>
      </c>
      <c r="BB232" s="499">
        <f t="shared" si="135"/>
        <v>0</v>
      </c>
      <c r="BC232" s="500"/>
      <c r="BD232" s="450"/>
    </row>
    <row r="233" spans="2:57" ht="15" customHeight="1" outlineLevel="3">
      <c r="B233" s="494"/>
      <c r="C233" s="515" t="s">
        <v>1901</v>
      </c>
      <c r="D233" s="496" t="s">
        <v>1902</v>
      </c>
      <c r="E233" s="497">
        <v>0</v>
      </c>
      <c r="F233" s="497">
        <v>0</v>
      </c>
      <c r="G233" s="497">
        <v>0</v>
      </c>
      <c r="H233" s="497">
        <v>0</v>
      </c>
      <c r="I233" s="497">
        <v>0</v>
      </c>
      <c r="J233" s="497">
        <v>0</v>
      </c>
      <c r="K233" s="497">
        <v>0</v>
      </c>
      <c r="L233" s="497">
        <v>0</v>
      </c>
      <c r="M233" s="497">
        <v>0</v>
      </c>
      <c r="N233" s="497">
        <v>0</v>
      </c>
      <c r="O233" s="497">
        <v>0</v>
      </c>
      <c r="P233" s="497">
        <v>0</v>
      </c>
      <c r="Q233" s="497">
        <v>0</v>
      </c>
      <c r="R233" s="497">
        <v>0</v>
      </c>
      <c r="S233" s="497">
        <v>0</v>
      </c>
      <c r="T233" s="497">
        <v>0</v>
      </c>
      <c r="U233" s="497">
        <v>0</v>
      </c>
      <c r="V233" s="497">
        <v>0</v>
      </c>
      <c r="W233" s="497">
        <v>0</v>
      </c>
      <c r="X233" s="497">
        <v>0</v>
      </c>
      <c r="Y233" s="497">
        <v>0</v>
      </c>
      <c r="Z233" s="497">
        <v>0</v>
      </c>
      <c r="AA233" s="497">
        <v>0</v>
      </c>
      <c r="AB233" s="497">
        <v>0</v>
      </c>
      <c r="AC233" s="497">
        <v>0</v>
      </c>
      <c r="AD233" s="497">
        <v>0</v>
      </c>
      <c r="AE233" s="498">
        <v>0</v>
      </c>
      <c r="AF233" s="499">
        <v>0</v>
      </c>
      <c r="AG233" s="499">
        <v>0</v>
      </c>
      <c r="AH233" s="499">
        <v>0</v>
      </c>
      <c r="AI233" s="499">
        <v>0</v>
      </c>
      <c r="AJ233" s="499">
        <v>0</v>
      </c>
      <c r="AK233" s="499">
        <v>0</v>
      </c>
      <c r="AL233" s="499">
        <v>0</v>
      </c>
      <c r="AM233" s="499">
        <v>0</v>
      </c>
      <c r="AN233" s="499">
        <v>0</v>
      </c>
      <c r="AO233" s="499">
        <v>0</v>
      </c>
      <c r="AP233" s="499">
        <v>0</v>
      </c>
      <c r="AQ233" s="499">
        <v>0</v>
      </c>
      <c r="AR233" s="499">
        <v>0</v>
      </c>
      <c r="AS233" s="499">
        <v>0</v>
      </c>
      <c r="AT233" s="499">
        <v>0</v>
      </c>
      <c r="AU233" s="499">
        <v>0</v>
      </c>
      <c r="AV233" s="499">
        <v>0</v>
      </c>
      <c r="AW233" s="499">
        <v>0</v>
      </c>
      <c r="AX233" s="499">
        <v>0</v>
      </c>
      <c r="AY233" s="499">
        <v>0</v>
      </c>
      <c r="AZ233" s="499">
        <v>0</v>
      </c>
      <c r="BA233" s="499">
        <v>0</v>
      </c>
      <c r="BB233" s="499">
        <v>0</v>
      </c>
      <c r="BC233" s="500"/>
      <c r="BD233" s="450"/>
    </row>
    <row r="234" spans="2:57" ht="15" customHeight="1" outlineLevel="3">
      <c r="B234" s="494"/>
      <c r="C234" s="515" t="s">
        <v>1903</v>
      </c>
      <c r="D234" s="496" t="s">
        <v>1904</v>
      </c>
      <c r="E234" s="497">
        <v>0</v>
      </c>
      <c r="F234" s="497">
        <v>0</v>
      </c>
      <c r="G234" s="497">
        <v>0</v>
      </c>
      <c r="H234" s="497">
        <v>0</v>
      </c>
      <c r="I234" s="497">
        <v>0</v>
      </c>
      <c r="J234" s="497">
        <v>0</v>
      </c>
      <c r="K234" s="497">
        <v>0</v>
      </c>
      <c r="L234" s="497">
        <v>0</v>
      </c>
      <c r="M234" s="497">
        <v>0</v>
      </c>
      <c r="N234" s="497">
        <v>0</v>
      </c>
      <c r="O234" s="497">
        <v>0</v>
      </c>
      <c r="P234" s="497">
        <v>0</v>
      </c>
      <c r="Q234" s="497">
        <v>0</v>
      </c>
      <c r="R234" s="497">
        <v>0</v>
      </c>
      <c r="S234" s="497">
        <v>0</v>
      </c>
      <c r="T234" s="497">
        <v>0</v>
      </c>
      <c r="U234" s="497">
        <v>0</v>
      </c>
      <c r="V234" s="497">
        <v>0</v>
      </c>
      <c r="W234" s="497">
        <v>0</v>
      </c>
      <c r="X234" s="497">
        <v>0</v>
      </c>
      <c r="Y234" s="497">
        <v>0</v>
      </c>
      <c r="Z234" s="497">
        <v>0</v>
      </c>
      <c r="AA234" s="497">
        <v>0</v>
      </c>
      <c r="AB234" s="497">
        <v>0</v>
      </c>
      <c r="AC234" s="497">
        <v>0</v>
      </c>
      <c r="AD234" s="497">
        <v>0</v>
      </c>
      <c r="AE234" s="498">
        <v>0</v>
      </c>
      <c r="AF234" s="499">
        <v>0</v>
      </c>
      <c r="AG234" s="499">
        <v>0</v>
      </c>
      <c r="AH234" s="499">
        <v>0</v>
      </c>
      <c r="AI234" s="499">
        <v>0</v>
      </c>
      <c r="AJ234" s="499">
        <v>0</v>
      </c>
      <c r="AK234" s="499">
        <v>0</v>
      </c>
      <c r="AL234" s="499">
        <v>0</v>
      </c>
      <c r="AM234" s="499">
        <v>0</v>
      </c>
      <c r="AN234" s="499">
        <v>0</v>
      </c>
      <c r="AO234" s="499">
        <v>0</v>
      </c>
      <c r="AP234" s="499">
        <v>0</v>
      </c>
      <c r="AQ234" s="499">
        <v>0</v>
      </c>
      <c r="AR234" s="499">
        <v>0</v>
      </c>
      <c r="AS234" s="499">
        <v>0</v>
      </c>
      <c r="AT234" s="499">
        <v>0</v>
      </c>
      <c r="AU234" s="499">
        <v>0</v>
      </c>
      <c r="AV234" s="499">
        <v>0</v>
      </c>
      <c r="AW234" s="499">
        <v>0</v>
      </c>
      <c r="AX234" s="499">
        <v>0</v>
      </c>
      <c r="AY234" s="499">
        <v>0</v>
      </c>
      <c r="AZ234" s="499">
        <v>0</v>
      </c>
      <c r="BA234" s="499">
        <v>0</v>
      </c>
      <c r="BB234" s="499">
        <v>0</v>
      </c>
      <c r="BC234" s="500"/>
      <c r="BD234" s="450"/>
    </row>
    <row r="235" spans="2:57" s="415" customFormat="1" ht="15" customHeight="1" outlineLevel="3">
      <c r="B235" s="528"/>
      <c r="C235" s="516" t="s">
        <v>1905</v>
      </c>
      <c r="D235" s="517" t="s">
        <v>1906</v>
      </c>
      <c r="E235" s="518">
        <f>E232+E233+E234</f>
        <v>0</v>
      </c>
      <c r="F235" s="518">
        <f t="shared" ref="F235:Y235" si="137">F232+F233+F234</f>
        <v>0</v>
      </c>
      <c r="G235" s="518">
        <f t="shared" si="137"/>
        <v>0</v>
      </c>
      <c r="H235" s="518">
        <f t="shared" si="137"/>
        <v>0</v>
      </c>
      <c r="I235" s="518">
        <f t="shared" si="137"/>
        <v>0</v>
      </c>
      <c r="J235" s="518">
        <f t="shared" si="137"/>
        <v>0</v>
      </c>
      <c r="K235" s="518">
        <f t="shared" si="137"/>
        <v>0</v>
      </c>
      <c r="L235" s="518">
        <f t="shared" si="137"/>
        <v>0</v>
      </c>
      <c r="M235" s="518">
        <f t="shared" si="137"/>
        <v>0</v>
      </c>
      <c r="N235" s="518">
        <f t="shared" si="137"/>
        <v>0</v>
      </c>
      <c r="O235" s="518">
        <f t="shared" si="137"/>
        <v>0</v>
      </c>
      <c r="P235" s="518">
        <f t="shared" si="137"/>
        <v>0</v>
      </c>
      <c r="Q235" s="518">
        <f t="shared" si="137"/>
        <v>0</v>
      </c>
      <c r="R235" s="518">
        <f t="shared" si="137"/>
        <v>0</v>
      </c>
      <c r="S235" s="518">
        <f t="shared" si="137"/>
        <v>0</v>
      </c>
      <c r="T235" s="518">
        <f t="shared" si="137"/>
        <v>0</v>
      </c>
      <c r="U235" s="518">
        <f t="shared" si="137"/>
        <v>0</v>
      </c>
      <c r="V235" s="518">
        <f t="shared" si="137"/>
        <v>0</v>
      </c>
      <c r="W235" s="518">
        <f t="shared" si="137"/>
        <v>0</v>
      </c>
      <c r="X235" s="518">
        <f t="shared" si="137"/>
        <v>0</v>
      </c>
      <c r="Y235" s="518">
        <f t="shared" si="137"/>
        <v>0</v>
      </c>
      <c r="Z235" s="518"/>
      <c r="AA235" s="518"/>
      <c r="AB235" s="518">
        <f t="shared" ref="AB235:BB235" si="138">AB232+AB233+AB234</f>
        <v>0</v>
      </c>
      <c r="AC235" s="518">
        <f t="shared" si="138"/>
        <v>0</v>
      </c>
      <c r="AD235" s="518">
        <f t="shared" si="138"/>
        <v>0</v>
      </c>
      <c r="AE235" s="520">
        <f t="shared" si="138"/>
        <v>0</v>
      </c>
      <c r="AF235" s="521">
        <f t="shared" si="138"/>
        <v>0</v>
      </c>
      <c r="AG235" s="521">
        <f t="shared" si="138"/>
        <v>0</v>
      </c>
      <c r="AH235" s="521">
        <f t="shared" si="138"/>
        <v>0</v>
      </c>
      <c r="AI235" s="521">
        <f t="shared" si="138"/>
        <v>0</v>
      </c>
      <c r="AJ235" s="521">
        <f t="shared" si="138"/>
        <v>0</v>
      </c>
      <c r="AK235" s="521">
        <f t="shared" si="138"/>
        <v>0</v>
      </c>
      <c r="AL235" s="521">
        <f t="shared" si="138"/>
        <v>0</v>
      </c>
      <c r="AM235" s="521">
        <f t="shared" si="138"/>
        <v>0</v>
      </c>
      <c r="AN235" s="521">
        <f t="shared" si="138"/>
        <v>0</v>
      </c>
      <c r="AO235" s="521">
        <f t="shared" si="138"/>
        <v>0</v>
      </c>
      <c r="AP235" s="521">
        <f t="shared" si="138"/>
        <v>0</v>
      </c>
      <c r="AQ235" s="521">
        <f t="shared" ref="AQ235:AZ235" si="139">AQ232+AQ233+AQ234</f>
        <v>0</v>
      </c>
      <c r="AR235" s="521">
        <f t="shared" si="139"/>
        <v>0</v>
      </c>
      <c r="AS235" s="521">
        <f t="shared" si="139"/>
        <v>0</v>
      </c>
      <c r="AT235" s="521">
        <f t="shared" si="139"/>
        <v>0</v>
      </c>
      <c r="AU235" s="521">
        <f t="shared" si="139"/>
        <v>0</v>
      </c>
      <c r="AV235" s="521">
        <f t="shared" si="139"/>
        <v>0</v>
      </c>
      <c r="AW235" s="521">
        <f t="shared" si="139"/>
        <v>0</v>
      </c>
      <c r="AX235" s="521">
        <f t="shared" si="139"/>
        <v>0</v>
      </c>
      <c r="AY235" s="521">
        <f t="shared" si="139"/>
        <v>0</v>
      </c>
      <c r="AZ235" s="521">
        <f t="shared" si="139"/>
        <v>0</v>
      </c>
      <c r="BA235" s="521">
        <f t="shared" si="138"/>
        <v>0</v>
      </c>
      <c r="BB235" s="521">
        <f t="shared" si="138"/>
        <v>0</v>
      </c>
      <c r="BC235" s="506"/>
      <c r="BD235" s="420"/>
    </row>
    <row r="236" spans="2:57" s="415" customFormat="1" ht="15" customHeight="1" outlineLevel="3">
      <c r="B236" s="528"/>
      <c r="C236" s="519" t="s">
        <v>1907</v>
      </c>
      <c r="D236" s="517" t="s">
        <v>1908</v>
      </c>
      <c r="E236" s="518">
        <v>0</v>
      </c>
      <c r="F236" s="518">
        <v>0</v>
      </c>
      <c r="G236" s="518">
        <v>0</v>
      </c>
      <c r="H236" s="518">
        <v>0</v>
      </c>
      <c r="I236" s="518">
        <v>0</v>
      </c>
      <c r="J236" s="518">
        <v>0</v>
      </c>
      <c r="K236" s="518">
        <v>0</v>
      </c>
      <c r="L236" s="518">
        <v>0</v>
      </c>
      <c r="M236" s="518">
        <v>0</v>
      </c>
      <c r="N236" s="518">
        <v>0</v>
      </c>
      <c r="O236" s="518">
        <v>0</v>
      </c>
      <c r="P236" s="518">
        <v>0</v>
      </c>
      <c r="Q236" s="518">
        <v>0</v>
      </c>
      <c r="R236" s="518">
        <v>0</v>
      </c>
      <c r="S236" s="518">
        <v>0</v>
      </c>
      <c r="T236" s="518">
        <v>0</v>
      </c>
      <c r="U236" s="518">
        <v>0</v>
      </c>
      <c r="V236" s="518">
        <v>0</v>
      </c>
      <c r="W236" s="518">
        <v>0</v>
      </c>
      <c r="X236" s="518">
        <v>0</v>
      </c>
      <c r="Y236" s="518">
        <v>0</v>
      </c>
      <c r="Z236" s="518">
        <v>0</v>
      </c>
      <c r="AA236" s="518">
        <v>0</v>
      </c>
      <c r="AB236" s="518">
        <v>0</v>
      </c>
      <c r="AC236" s="518">
        <v>0</v>
      </c>
      <c r="AD236" s="518">
        <v>0</v>
      </c>
      <c r="AE236" s="520">
        <v>0</v>
      </c>
      <c r="AF236" s="521">
        <v>0</v>
      </c>
      <c r="AG236" s="521">
        <v>0</v>
      </c>
      <c r="AH236" s="521">
        <v>0</v>
      </c>
      <c r="AI236" s="521">
        <v>0</v>
      </c>
      <c r="AJ236" s="521">
        <v>0</v>
      </c>
      <c r="AK236" s="521">
        <v>0</v>
      </c>
      <c r="AL236" s="521">
        <v>0</v>
      </c>
      <c r="AM236" s="521">
        <v>0</v>
      </c>
      <c r="AN236" s="521">
        <v>0</v>
      </c>
      <c r="AO236" s="521">
        <v>0</v>
      </c>
      <c r="AP236" s="521">
        <v>0</v>
      </c>
      <c r="AQ236" s="521">
        <v>0</v>
      </c>
      <c r="AR236" s="521">
        <v>0</v>
      </c>
      <c r="AS236" s="521">
        <v>0</v>
      </c>
      <c r="AT236" s="521">
        <v>0</v>
      </c>
      <c r="AU236" s="521">
        <v>0</v>
      </c>
      <c r="AV236" s="521">
        <v>0</v>
      </c>
      <c r="AW236" s="521">
        <v>0</v>
      </c>
      <c r="AX236" s="521">
        <v>0</v>
      </c>
      <c r="AY236" s="521">
        <v>0</v>
      </c>
      <c r="AZ236" s="521">
        <v>0</v>
      </c>
      <c r="BA236" s="521">
        <v>0</v>
      </c>
      <c r="BB236" s="521">
        <v>0</v>
      </c>
      <c r="BC236" s="506"/>
      <c r="BD236" s="420"/>
    </row>
    <row r="237" spans="2:57" s="438" customFormat="1" ht="15" customHeight="1" outlineLevel="3">
      <c r="B237" s="494"/>
      <c r="C237" s="522" t="s">
        <v>1579</v>
      </c>
      <c r="D237" s="496" t="s">
        <v>1909</v>
      </c>
      <c r="E237" s="497">
        <v>0</v>
      </c>
      <c r="F237" s="497">
        <v>0</v>
      </c>
      <c r="G237" s="497">
        <v>0</v>
      </c>
      <c r="H237" s="497">
        <v>0</v>
      </c>
      <c r="I237" s="497">
        <v>0</v>
      </c>
      <c r="J237" s="497">
        <v>0</v>
      </c>
      <c r="K237" s="497">
        <v>0</v>
      </c>
      <c r="L237" s="497">
        <v>0</v>
      </c>
      <c r="M237" s="497">
        <v>0</v>
      </c>
      <c r="N237" s="497">
        <v>0</v>
      </c>
      <c r="O237" s="497">
        <v>0</v>
      </c>
      <c r="P237" s="497">
        <v>0</v>
      </c>
      <c r="Q237" s="497">
        <v>0</v>
      </c>
      <c r="R237" s="497">
        <v>0</v>
      </c>
      <c r="S237" s="497">
        <v>0</v>
      </c>
      <c r="T237" s="497">
        <v>0</v>
      </c>
      <c r="U237" s="497">
        <v>0</v>
      </c>
      <c r="V237" s="497">
        <v>0</v>
      </c>
      <c r="W237" s="497">
        <v>0</v>
      </c>
      <c r="X237" s="497">
        <v>0</v>
      </c>
      <c r="Y237" s="497">
        <v>0</v>
      </c>
      <c r="Z237" s="497">
        <v>0</v>
      </c>
      <c r="AA237" s="497">
        <v>0</v>
      </c>
      <c r="AB237" s="497">
        <v>0</v>
      </c>
      <c r="AC237" s="497">
        <v>0</v>
      </c>
      <c r="AD237" s="497">
        <v>0</v>
      </c>
      <c r="AE237" s="498">
        <v>0</v>
      </c>
      <c r="AF237" s="499">
        <v>0</v>
      </c>
      <c r="AG237" s="499">
        <v>0</v>
      </c>
      <c r="AH237" s="499">
        <v>0</v>
      </c>
      <c r="AI237" s="499">
        <v>0</v>
      </c>
      <c r="AJ237" s="499">
        <v>0</v>
      </c>
      <c r="AK237" s="499">
        <v>0</v>
      </c>
      <c r="AL237" s="499">
        <v>0</v>
      </c>
      <c r="AM237" s="499">
        <v>0</v>
      </c>
      <c r="AN237" s="499">
        <v>0</v>
      </c>
      <c r="AO237" s="499">
        <v>0</v>
      </c>
      <c r="AP237" s="499">
        <v>0</v>
      </c>
      <c r="AQ237" s="499">
        <v>0</v>
      </c>
      <c r="AR237" s="499">
        <v>0</v>
      </c>
      <c r="AS237" s="499">
        <v>0</v>
      </c>
      <c r="AT237" s="499">
        <v>0</v>
      </c>
      <c r="AU237" s="499">
        <v>0</v>
      </c>
      <c r="AV237" s="499">
        <v>0</v>
      </c>
      <c r="AW237" s="499">
        <v>0</v>
      </c>
      <c r="AX237" s="499">
        <v>0</v>
      </c>
      <c r="AY237" s="499">
        <v>0</v>
      </c>
      <c r="AZ237" s="499">
        <v>0</v>
      </c>
      <c r="BA237" s="499">
        <v>0</v>
      </c>
      <c r="BB237" s="499">
        <v>0</v>
      </c>
      <c r="BC237" s="500">
        <f>+AA237</f>
        <v>0</v>
      </c>
      <c r="BD237" s="523"/>
    </row>
    <row r="238" spans="2:57" s="415" customFormat="1" ht="15" customHeight="1" outlineLevel="3">
      <c r="B238" s="528"/>
      <c r="C238" s="519" t="s">
        <v>1910</v>
      </c>
      <c r="D238" s="517" t="s">
        <v>1911</v>
      </c>
      <c r="E238" s="518">
        <f>E235+E236+E237</f>
        <v>0</v>
      </c>
      <c r="F238" s="518">
        <f t="shared" ref="F238:Y238" si="140">F235+F236+F237</f>
        <v>0</v>
      </c>
      <c r="G238" s="518">
        <f t="shared" si="140"/>
        <v>0</v>
      </c>
      <c r="H238" s="518">
        <f t="shared" si="140"/>
        <v>0</v>
      </c>
      <c r="I238" s="518">
        <f t="shared" si="140"/>
        <v>0</v>
      </c>
      <c r="J238" s="518">
        <f t="shared" si="140"/>
        <v>0</v>
      </c>
      <c r="K238" s="518">
        <f t="shared" si="140"/>
        <v>0</v>
      </c>
      <c r="L238" s="518">
        <f t="shared" si="140"/>
        <v>0</v>
      </c>
      <c r="M238" s="518">
        <f t="shared" si="140"/>
        <v>0</v>
      </c>
      <c r="N238" s="518">
        <f t="shared" si="140"/>
        <v>0</v>
      </c>
      <c r="O238" s="518">
        <f t="shared" si="140"/>
        <v>0</v>
      </c>
      <c r="P238" s="518">
        <f t="shared" si="140"/>
        <v>0</v>
      </c>
      <c r="Q238" s="518">
        <f t="shared" si="140"/>
        <v>0</v>
      </c>
      <c r="R238" s="518">
        <f t="shared" si="140"/>
        <v>0</v>
      </c>
      <c r="S238" s="518">
        <f t="shared" si="140"/>
        <v>0</v>
      </c>
      <c r="T238" s="518">
        <f t="shared" si="140"/>
        <v>0</v>
      </c>
      <c r="U238" s="518">
        <f t="shared" si="140"/>
        <v>0</v>
      </c>
      <c r="V238" s="518">
        <f t="shared" si="140"/>
        <v>0</v>
      </c>
      <c r="W238" s="518">
        <f t="shared" si="140"/>
        <v>0</v>
      </c>
      <c r="X238" s="518">
        <f t="shared" si="140"/>
        <v>0</v>
      </c>
      <c r="Y238" s="518">
        <f t="shared" si="140"/>
        <v>0</v>
      </c>
      <c r="Z238" s="518"/>
      <c r="AA238" s="518"/>
      <c r="AB238" s="518">
        <f t="shared" ref="AB238:BB238" si="141">AB235+AB236+AB237</f>
        <v>0</v>
      </c>
      <c r="AC238" s="518">
        <f t="shared" si="141"/>
        <v>0</v>
      </c>
      <c r="AD238" s="518">
        <f t="shared" si="141"/>
        <v>0</v>
      </c>
      <c r="AE238" s="520">
        <f t="shared" si="141"/>
        <v>0</v>
      </c>
      <c r="AF238" s="521">
        <f t="shared" si="141"/>
        <v>0</v>
      </c>
      <c r="AG238" s="521">
        <f t="shared" si="141"/>
        <v>0</v>
      </c>
      <c r="AH238" s="521">
        <f t="shared" si="141"/>
        <v>0</v>
      </c>
      <c r="AI238" s="521">
        <f t="shared" si="141"/>
        <v>0</v>
      </c>
      <c r="AJ238" s="521">
        <f t="shared" si="141"/>
        <v>0</v>
      </c>
      <c r="AK238" s="521">
        <f t="shared" si="141"/>
        <v>0</v>
      </c>
      <c r="AL238" s="521">
        <f t="shared" si="141"/>
        <v>0</v>
      </c>
      <c r="AM238" s="521">
        <f t="shared" si="141"/>
        <v>0</v>
      </c>
      <c r="AN238" s="521">
        <f t="shared" si="141"/>
        <v>0</v>
      </c>
      <c r="AO238" s="521">
        <f t="shared" si="141"/>
        <v>0</v>
      </c>
      <c r="AP238" s="521">
        <f t="shared" si="141"/>
        <v>0</v>
      </c>
      <c r="AQ238" s="521">
        <f t="shared" ref="AQ238:AZ238" si="142">AQ235+AQ236+AQ237</f>
        <v>0</v>
      </c>
      <c r="AR238" s="521">
        <f t="shared" si="142"/>
        <v>0</v>
      </c>
      <c r="AS238" s="521">
        <f t="shared" si="142"/>
        <v>0</v>
      </c>
      <c r="AT238" s="521">
        <f t="shared" si="142"/>
        <v>0</v>
      </c>
      <c r="AU238" s="521">
        <f t="shared" si="142"/>
        <v>0</v>
      </c>
      <c r="AV238" s="521">
        <f t="shared" si="142"/>
        <v>0</v>
      </c>
      <c r="AW238" s="521">
        <f t="shared" si="142"/>
        <v>0</v>
      </c>
      <c r="AX238" s="521">
        <f t="shared" si="142"/>
        <v>0</v>
      </c>
      <c r="AY238" s="521">
        <f t="shared" si="142"/>
        <v>0</v>
      </c>
      <c r="AZ238" s="521">
        <f t="shared" si="142"/>
        <v>0</v>
      </c>
      <c r="BA238" s="521">
        <f t="shared" si="141"/>
        <v>0</v>
      </c>
      <c r="BB238" s="521">
        <f t="shared" si="141"/>
        <v>0</v>
      </c>
      <c r="BC238" s="506"/>
      <c r="BD238" s="420"/>
    </row>
    <row r="239" spans="2:57" s="415" customFormat="1" ht="15" customHeight="1" outlineLevel="3">
      <c r="B239" s="528"/>
      <c r="C239" s="519" t="s">
        <v>1930</v>
      </c>
      <c r="D239" s="517" t="s">
        <v>1913</v>
      </c>
      <c r="E239" s="518">
        <v>0</v>
      </c>
      <c r="F239" s="518">
        <v>0</v>
      </c>
      <c r="G239" s="518">
        <v>0</v>
      </c>
      <c r="H239" s="518">
        <v>0</v>
      </c>
      <c r="I239" s="518">
        <v>0</v>
      </c>
      <c r="J239" s="518">
        <v>0</v>
      </c>
      <c r="K239" s="518">
        <v>0</v>
      </c>
      <c r="L239" s="518">
        <v>0</v>
      </c>
      <c r="M239" s="518">
        <v>0</v>
      </c>
      <c r="N239" s="518">
        <v>0</v>
      </c>
      <c r="O239" s="518">
        <v>0</v>
      </c>
      <c r="P239" s="518">
        <v>0</v>
      </c>
      <c r="Q239" s="518">
        <v>0</v>
      </c>
      <c r="R239" s="518">
        <v>0</v>
      </c>
      <c r="S239" s="518">
        <v>0</v>
      </c>
      <c r="T239" s="518">
        <v>0</v>
      </c>
      <c r="U239" s="518">
        <v>0</v>
      </c>
      <c r="V239" s="518">
        <v>0</v>
      </c>
      <c r="W239" s="518">
        <v>0</v>
      </c>
      <c r="X239" s="518">
        <v>0</v>
      </c>
      <c r="Y239" s="518">
        <v>0</v>
      </c>
      <c r="Z239" s="518">
        <v>0</v>
      </c>
      <c r="AA239" s="518">
        <v>0</v>
      </c>
      <c r="AB239" s="518">
        <v>0</v>
      </c>
      <c r="AC239" s="518">
        <v>0</v>
      </c>
      <c r="AD239" s="518">
        <v>0</v>
      </c>
      <c r="AE239" s="520">
        <v>0</v>
      </c>
      <c r="AF239" s="521">
        <v>0</v>
      </c>
      <c r="AG239" s="521">
        <v>0</v>
      </c>
      <c r="AH239" s="521">
        <v>0</v>
      </c>
      <c r="AI239" s="521">
        <v>0</v>
      </c>
      <c r="AJ239" s="521">
        <v>0</v>
      </c>
      <c r="AK239" s="521">
        <v>0</v>
      </c>
      <c r="AL239" s="521">
        <v>0</v>
      </c>
      <c r="AM239" s="521">
        <v>0</v>
      </c>
      <c r="AN239" s="521">
        <v>0</v>
      </c>
      <c r="AO239" s="521">
        <v>0</v>
      </c>
      <c r="AP239" s="521">
        <v>0</v>
      </c>
      <c r="AQ239" s="521">
        <v>0</v>
      </c>
      <c r="AR239" s="521">
        <v>0</v>
      </c>
      <c r="AS239" s="521">
        <v>0</v>
      </c>
      <c r="AT239" s="521">
        <v>0</v>
      </c>
      <c r="AU239" s="521">
        <v>0</v>
      </c>
      <c r="AV239" s="521">
        <v>0</v>
      </c>
      <c r="AW239" s="521">
        <v>0</v>
      </c>
      <c r="AX239" s="521">
        <v>0</v>
      </c>
      <c r="AY239" s="521">
        <v>0</v>
      </c>
      <c r="AZ239" s="521">
        <v>0</v>
      </c>
      <c r="BA239" s="521">
        <v>0</v>
      </c>
      <c r="BB239" s="521">
        <v>0</v>
      </c>
      <c r="BC239" s="506"/>
      <c r="BD239" s="420"/>
    </row>
    <row r="240" spans="2:57" ht="15" customHeight="1" outlineLevel="3">
      <c r="B240" s="494"/>
      <c r="C240" s="522" t="s">
        <v>1914</v>
      </c>
      <c r="D240" s="496" t="s">
        <v>1915</v>
      </c>
      <c r="E240" s="497">
        <v>0</v>
      </c>
      <c r="F240" s="497">
        <v>0</v>
      </c>
      <c r="G240" s="497">
        <v>0</v>
      </c>
      <c r="H240" s="497">
        <v>0</v>
      </c>
      <c r="I240" s="497">
        <v>0</v>
      </c>
      <c r="J240" s="497">
        <v>0</v>
      </c>
      <c r="K240" s="497">
        <v>0</v>
      </c>
      <c r="L240" s="497">
        <v>0</v>
      </c>
      <c r="M240" s="497">
        <v>0</v>
      </c>
      <c r="N240" s="497">
        <v>0</v>
      </c>
      <c r="O240" s="497">
        <v>0</v>
      </c>
      <c r="P240" s="497">
        <v>0</v>
      </c>
      <c r="Q240" s="497">
        <v>0</v>
      </c>
      <c r="R240" s="497">
        <v>0</v>
      </c>
      <c r="S240" s="497">
        <v>0</v>
      </c>
      <c r="T240" s="497">
        <v>0</v>
      </c>
      <c r="U240" s="497">
        <v>0</v>
      </c>
      <c r="V240" s="497">
        <v>0</v>
      </c>
      <c r="W240" s="497">
        <v>0</v>
      </c>
      <c r="X240" s="497">
        <v>0</v>
      </c>
      <c r="Y240" s="497">
        <v>0</v>
      </c>
      <c r="Z240" s="497">
        <v>0</v>
      </c>
      <c r="AA240" s="497">
        <v>0</v>
      </c>
      <c r="AB240" s="497">
        <v>0</v>
      </c>
      <c r="AC240" s="497">
        <v>0</v>
      </c>
      <c r="AD240" s="497">
        <v>0</v>
      </c>
      <c r="AE240" s="498">
        <v>0</v>
      </c>
      <c r="AF240" s="499">
        <v>0</v>
      </c>
      <c r="AG240" s="499">
        <v>0</v>
      </c>
      <c r="AH240" s="499">
        <v>0</v>
      </c>
      <c r="AI240" s="499">
        <v>0</v>
      </c>
      <c r="AJ240" s="499">
        <v>0</v>
      </c>
      <c r="AK240" s="499">
        <v>0</v>
      </c>
      <c r="AL240" s="499">
        <v>0</v>
      </c>
      <c r="AM240" s="499">
        <v>0</v>
      </c>
      <c r="AN240" s="499">
        <v>0</v>
      </c>
      <c r="AO240" s="499">
        <v>0</v>
      </c>
      <c r="AP240" s="499">
        <v>0</v>
      </c>
      <c r="AQ240" s="499">
        <v>0</v>
      </c>
      <c r="AR240" s="499">
        <v>0</v>
      </c>
      <c r="AS240" s="499">
        <v>0</v>
      </c>
      <c r="AT240" s="499">
        <v>0</v>
      </c>
      <c r="AU240" s="499">
        <v>0</v>
      </c>
      <c r="AV240" s="499">
        <v>0</v>
      </c>
      <c r="AW240" s="499">
        <v>0</v>
      </c>
      <c r="AX240" s="499">
        <v>0</v>
      </c>
      <c r="AY240" s="499">
        <v>0</v>
      </c>
      <c r="AZ240" s="499">
        <v>0</v>
      </c>
      <c r="BA240" s="499">
        <v>0</v>
      </c>
      <c r="BB240" s="499">
        <v>0</v>
      </c>
      <c r="BC240" s="500"/>
      <c r="BD240" s="450"/>
    </row>
    <row r="241" spans="1:57" s="415" customFormat="1" ht="15" customHeight="1" outlineLevel="3">
      <c r="B241" s="528"/>
      <c r="C241" s="519" t="s">
        <v>1916</v>
      </c>
      <c r="D241" s="517" t="s">
        <v>1917</v>
      </c>
      <c r="E241" s="518">
        <f>E238+E239+E240</f>
        <v>0</v>
      </c>
      <c r="F241" s="518">
        <f t="shared" ref="F241:Y241" si="143">F238+F239+F240</f>
        <v>0</v>
      </c>
      <c r="G241" s="518">
        <f t="shared" si="143"/>
        <v>0</v>
      </c>
      <c r="H241" s="518">
        <f t="shared" si="143"/>
        <v>0</v>
      </c>
      <c r="I241" s="518">
        <f t="shared" si="143"/>
        <v>0</v>
      </c>
      <c r="J241" s="518">
        <f t="shared" si="143"/>
        <v>0</v>
      </c>
      <c r="K241" s="518">
        <f t="shared" si="143"/>
        <v>0</v>
      </c>
      <c r="L241" s="518">
        <f t="shared" si="143"/>
        <v>0</v>
      </c>
      <c r="M241" s="518">
        <f t="shared" si="143"/>
        <v>0</v>
      </c>
      <c r="N241" s="518">
        <f t="shared" si="143"/>
        <v>0</v>
      </c>
      <c r="O241" s="518">
        <f t="shared" si="143"/>
        <v>0</v>
      </c>
      <c r="P241" s="518">
        <f t="shared" si="143"/>
        <v>0</v>
      </c>
      <c r="Q241" s="518">
        <f t="shared" si="143"/>
        <v>0</v>
      </c>
      <c r="R241" s="518">
        <f t="shared" si="143"/>
        <v>0</v>
      </c>
      <c r="S241" s="518">
        <f t="shared" si="143"/>
        <v>0</v>
      </c>
      <c r="T241" s="518">
        <f t="shared" si="143"/>
        <v>0</v>
      </c>
      <c r="U241" s="518">
        <f t="shared" si="143"/>
        <v>0</v>
      </c>
      <c r="V241" s="518">
        <f t="shared" si="143"/>
        <v>0</v>
      </c>
      <c r="W241" s="518">
        <f t="shared" si="143"/>
        <v>0</v>
      </c>
      <c r="X241" s="518">
        <f t="shared" si="143"/>
        <v>0</v>
      </c>
      <c r="Y241" s="518">
        <f t="shared" si="143"/>
        <v>0</v>
      </c>
      <c r="Z241" s="518"/>
      <c r="AA241" s="518"/>
      <c r="AB241" s="518">
        <f t="shared" ref="AB241:BB241" si="144">AB238+AB239+AB240</f>
        <v>0</v>
      </c>
      <c r="AC241" s="518">
        <f t="shared" si="144"/>
        <v>0</v>
      </c>
      <c r="AD241" s="518">
        <f t="shared" si="144"/>
        <v>0</v>
      </c>
      <c r="AE241" s="520">
        <f t="shared" si="144"/>
        <v>0</v>
      </c>
      <c r="AF241" s="521">
        <f t="shared" si="144"/>
        <v>0</v>
      </c>
      <c r="AG241" s="521">
        <f t="shared" si="144"/>
        <v>0</v>
      </c>
      <c r="AH241" s="521">
        <f t="shared" si="144"/>
        <v>0</v>
      </c>
      <c r="AI241" s="521">
        <f t="shared" si="144"/>
        <v>0</v>
      </c>
      <c r="AJ241" s="521">
        <f t="shared" si="144"/>
        <v>0</v>
      </c>
      <c r="AK241" s="521">
        <f t="shared" si="144"/>
        <v>0</v>
      </c>
      <c r="AL241" s="521">
        <f t="shared" si="144"/>
        <v>0</v>
      </c>
      <c r="AM241" s="521">
        <f t="shared" si="144"/>
        <v>0</v>
      </c>
      <c r="AN241" s="521">
        <f t="shared" si="144"/>
        <v>0</v>
      </c>
      <c r="AO241" s="521">
        <f t="shared" si="144"/>
        <v>0</v>
      </c>
      <c r="AP241" s="521">
        <f t="shared" si="144"/>
        <v>0</v>
      </c>
      <c r="AQ241" s="521">
        <f t="shared" ref="AQ241:AZ241" si="145">AQ238+AQ239+AQ240</f>
        <v>0</v>
      </c>
      <c r="AR241" s="521">
        <f t="shared" si="145"/>
        <v>0</v>
      </c>
      <c r="AS241" s="521">
        <f t="shared" si="145"/>
        <v>0</v>
      </c>
      <c r="AT241" s="521">
        <f t="shared" si="145"/>
        <v>0</v>
      </c>
      <c r="AU241" s="521">
        <f t="shared" si="145"/>
        <v>0</v>
      </c>
      <c r="AV241" s="521">
        <f t="shared" si="145"/>
        <v>0</v>
      </c>
      <c r="AW241" s="521">
        <f t="shared" si="145"/>
        <v>0</v>
      </c>
      <c r="AX241" s="521">
        <f t="shared" si="145"/>
        <v>0</v>
      </c>
      <c r="AY241" s="521">
        <f t="shared" si="145"/>
        <v>0</v>
      </c>
      <c r="AZ241" s="521">
        <f t="shared" si="145"/>
        <v>0</v>
      </c>
      <c r="BA241" s="521">
        <f t="shared" si="144"/>
        <v>0</v>
      </c>
      <c r="BB241" s="521">
        <f t="shared" si="144"/>
        <v>0</v>
      </c>
      <c r="BC241" s="506"/>
      <c r="BD241" s="420"/>
    </row>
    <row r="242" spans="1:57" ht="15" customHeight="1" outlineLevel="3">
      <c r="B242" s="494"/>
      <c r="C242" s="522" t="s">
        <v>1918</v>
      </c>
      <c r="D242" s="496" t="s">
        <v>1919</v>
      </c>
      <c r="E242" s="497">
        <v>0</v>
      </c>
      <c r="F242" s="497">
        <v>0</v>
      </c>
      <c r="G242" s="497">
        <v>0</v>
      </c>
      <c r="H242" s="497">
        <v>0</v>
      </c>
      <c r="I242" s="497">
        <v>0</v>
      </c>
      <c r="J242" s="497">
        <v>0</v>
      </c>
      <c r="K242" s="497">
        <v>0</v>
      </c>
      <c r="L242" s="497">
        <v>0</v>
      </c>
      <c r="M242" s="497">
        <v>0</v>
      </c>
      <c r="N242" s="497">
        <v>0</v>
      </c>
      <c r="O242" s="497">
        <v>0</v>
      </c>
      <c r="P242" s="497">
        <v>0</v>
      </c>
      <c r="Q242" s="497">
        <v>0</v>
      </c>
      <c r="R242" s="497">
        <v>0</v>
      </c>
      <c r="S242" s="497">
        <v>0</v>
      </c>
      <c r="T242" s="497">
        <v>0</v>
      </c>
      <c r="U242" s="497">
        <v>0</v>
      </c>
      <c r="V242" s="497">
        <v>0</v>
      </c>
      <c r="W242" s="497">
        <v>0</v>
      </c>
      <c r="X242" s="497">
        <v>0</v>
      </c>
      <c r="Y242" s="497">
        <v>0</v>
      </c>
      <c r="Z242" s="497">
        <v>0</v>
      </c>
      <c r="AA242" s="497">
        <v>0</v>
      </c>
      <c r="AB242" s="497">
        <v>0</v>
      </c>
      <c r="AC242" s="497">
        <v>0</v>
      </c>
      <c r="AD242" s="497">
        <v>0</v>
      </c>
      <c r="AE242" s="498">
        <v>0</v>
      </c>
      <c r="AF242" s="499">
        <v>0</v>
      </c>
      <c r="AG242" s="499">
        <v>0</v>
      </c>
      <c r="AH242" s="499">
        <v>0</v>
      </c>
      <c r="AI242" s="499">
        <v>0</v>
      </c>
      <c r="AJ242" s="499">
        <v>0</v>
      </c>
      <c r="AK242" s="499">
        <v>0</v>
      </c>
      <c r="AL242" s="499">
        <v>0</v>
      </c>
      <c r="AM242" s="499">
        <v>0</v>
      </c>
      <c r="AN242" s="499">
        <v>0</v>
      </c>
      <c r="AO242" s="499">
        <v>0</v>
      </c>
      <c r="AP242" s="499">
        <v>0</v>
      </c>
      <c r="AQ242" s="499">
        <v>0</v>
      </c>
      <c r="AR242" s="499">
        <v>0</v>
      </c>
      <c r="AS242" s="499">
        <v>0</v>
      </c>
      <c r="AT242" s="499">
        <v>0</v>
      </c>
      <c r="AU242" s="499">
        <v>0</v>
      </c>
      <c r="AV242" s="499">
        <v>0</v>
      </c>
      <c r="AW242" s="499">
        <v>0</v>
      </c>
      <c r="AX242" s="499">
        <v>0</v>
      </c>
      <c r="AY242" s="499">
        <v>0</v>
      </c>
      <c r="AZ242" s="499">
        <v>0</v>
      </c>
      <c r="BA242" s="499">
        <v>0</v>
      </c>
      <c r="BB242" s="499">
        <v>0</v>
      </c>
      <c r="BC242" s="500"/>
      <c r="BD242" s="450"/>
    </row>
    <row r="243" spans="1:57" ht="15" customHeight="1" outlineLevel="3">
      <c r="B243" s="494"/>
      <c r="C243" s="522" t="s">
        <v>1920</v>
      </c>
      <c r="D243" s="524" t="s">
        <v>1921</v>
      </c>
      <c r="E243" s="497">
        <v>0</v>
      </c>
      <c r="F243" s="497">
        <v>0</v>
      </c>
      <c r="G243" s="497">
        <v>0</v>
      </c>
      <c r="H243" s="497">
        <v>0</v>
      </c>
      <c r="I243" s="497">
        <v>0</v>
      </c>
      <c r="J243" s="497">
        <v>0</v>
      </c>
      <c r="K243" s="497">
        <v>0</v>
      </c>
      <c r="L243" s="497">
        <v>0</v>
      </c>
      <c r="M243" s="497">
        <v>0</v>
      </c>
      <c r="N243" s="497">
        <v>0</v>
      </c>
      <c r="O243" s="497">
        <v>0</v>
      </c>
      <c r="P243" s="497">
        <v>0</v>
      </c>
      <c r="Q243" s="497">
        <v>0</v>
      </c>
      <c r="R243" s="497">
        <v>0</v>
      </c>
      <c r="S243" s="497">
        <v>0</v>
      </c>
      <c r="T243" s="497">
        <v>0</v>
      </c>
      <c r="U243" s="497">
        <v>0</v>
      </c>
      <c r="V243" s="497">
        <v>0</v>
      </c>
      <c r="W243" s="497">
        <v>0</v>
      </c>
      <c r="X243" s="497">
        <v>0</v>
      </c>
      <c r="Y243" s="497">
        <v>0</v>
      </c>
      <c r="Z243" s="497">
        <v>0</v>
      </c>
      <c r="AA243" s="497">
        <v>0</v>
      </c>
      <c r="AB243" s="497">
        <v>0</v>
      </c>
      <c r="AC243" s="497">
        <v>0</v>
      </c>
      <c r="AD243" s="497">
        <v>0</v>
      </c>
      <c r="AE243" s="498">
        <v>0</v>
      </c>
      <c r="AF243" s="499">
        <v>0</v>
      </c>
      <c r="AG243" s="499">
        <v>0</v>
      </c>
      <c r="AH243" s="499">
        <v>0</v>
      </c>
      <c r="AI243" s="499">
        <v>0</v>
      </c>
      <c r="AJ243" s="499">
        <v>0</v>
      </c>
      <c r="AK243" s="499">
        <v>0</v>
      </c>
      <c r="AL243" s="499">
        <v>0</v>
      </c>
      <c r="AM243" s="499">
        <v>0</v>
      </c>
      <c r="AN243" s="499">
        <v>0</v>
      </c>
      <c r="AO243" s="499">
        <v>0</v>
      </c>
      <c r="AP243" s="499">
        <v>0</v>
      </c>
      <c r="AQ243" s="499">
        <v>0</v>
      </c>
      <c r="AR243" s="499">
        <v>0</v>
      </c>
      <c r="AS243" s="499">
        <v>0</v>
      </c>
      <c r="AT243" s="499">
        <v>0</v>
      </c>
      <c r="AU243" s="499">
        <v>0</v>
      </c>
      <c r="AV243" s="499">
        <v>0</v>
      </c>
      <c r="AW243" s="499">
        <v>0</v>
      </c>
      <c r="AX243" s="499">
        <v>0</v>
      </c>
      <c r="AY243" s="499">
        <v>0</v>
      </c>
      <c r="AZ243" s="499">
        <v>0</v>
      </c>
      <c r="BA243" s="499">
        <v>0</v>
      </c>
      <c r="BB243" s="499">
        <v>0</v>
      </c>
      <c r="BC243" s="500"/>
      <c r="BD243" s="450"/>
    </row>
    <row r="244" spans="1:57" ht="15" customHeight="1" outlineLevel="3">
      <c r="B244" s="494"/>
      <c r="C244" s="2792" t="s">
        <v>1922</v>
      </c>
      <c r="D244" s="524" t="s">
        <v>1923</v>
      </c>
      <c r="E244" s="497">
        <v>0</v>
      </c>
      <c r="F244" s="497">
        <v>0</v>
      </c>
      <c r="G244" s="497">
        <v>0</v>
      </c>
      <c r="H244" s="497">
        <v>0</v>
      </c>
      <c r="I244" s="497">
        <v>0</v>
      </c>
      <c r="J244" s="497">
        <v>0</v>
      </c>
      <c r="K244" s="497">
        <v>0</v>
      </c>
      <c r="L244" s="497">
        <v>0</v>
      </c>
      <c r="M244" s="497">
        <v>0</v>
      </c>
      <c r="N244" s="497">
        <v>0</v>
      </c>
      <c r="O244" s="497">
        <v>0</v>
      </c>
      <c r="P244" s="497">
        <v>0</v>
      </c>
      <c r="Q244" s="497">
        <v>0</v>
      </c>
      <c r="R244" s="497">
        <v>0</v>
      </c>
      <c r="S244" s="497">
        <v>0</v>
      </c>
      <c r="T244" s="497">
        <v>0</v>
      </c>
      <c r="U244" s="497">
        <v>0</v>
      </c>
      <c r="V244" s="497">
        <v>0</v>
      </c>
      <c r="W244" s="497">
        <v>0</v>
      </c>
      <c r="X244" s="497">
        <v>0</v>
      </c>
      <c r="Y244" s="497">
        <v>0</v>
      </c>
      <c r="Z244" s="497">
        <v>0</v>
      </c>
      <c r="AA244" s="497">
        <v>0</v>
      </c>
      <c r="AB244" s="497">
        <v>0</v>
      </c>
      <c r="AC244" s="497">
        <v>0</v>
      </c>
      <c r="AD244" s="497">
        <v>0</v>
      </c>
      <c r="AE244" s="498">
        <v>0</v>
      </c>
      <c r="AF244" s="499">
        <v>0</v>
      </c>
      <c r="AG244" s="499">
        <v>0</v>
      </c>
      <c r="AH244" s="499">
        <v>0</v>
      </c>
      <c r="AI244" s="499">
        <v>0</v>
      </c>
      <c r="AJ244" s="499">
        <v>0</v>
      </c>
      <c r="AK244" s="499">
        <v>0</v>
      </c>
      <c r="AL244" s="499">
        <v>0</v>
      </c>
      <c r="AM244" s="499">
        <v>0</v>
      </c>
      <c r="AN244" s="499">
        <v>0</v>
      </c>
      <c r="AO244" s="499">
        <v>0</v>
      </c>
      <c r="AP244" s="499">
        <v>0</v>
      </c>
      <c r="AQ244" s="499">
        <v>0</v>
      </c>
      <c r="AR244" s="499">
        <v>0</v>
      </c>
      <c r="AS244" s="499">
        <v>0</v>
      </c>
      <c r="AT244" s="499">
        <v>0</v>
      </c>
      <c r="AU244" s="499">
        <v>0</v>
      </c>
      <c r="AV244" s="499">
        <v>0</v>
      </c>
      <c r="AW244" s="499">
        <v>0</v>
      </c>
      <c r="AX244" s="499">
        <v>0</v>
      </c>
      <c r="AY244" s="499">
        <v>0</v>
      </c>
      <c r="AZ244" s="499">
        <v>0</v>
      </c>
      <c r="BA244" s="499">
        <v>0</v>
      </c>
      <c r="BB244" s="499">
        <v>0</v>
      </c>
      <c r="BC244" s="508"/>
      <c r="BD244" s="450"/>
    </row>
    <row r="245" spans="1:57" s="415" customFormat="1" ht="15" customHeight="1" outlineLevel="2">
      <c r="B245" s="528"/>
      <c r="C245" s="519" t="s">
        <v>1924</v>
      </c>
      <c r="D245" s="525" t="s">
        <v>1925</v>
      </c>
      <c r="E245" s="518">
        <f t="shared" ref="E245:AA245" si="146">E241+E242+E244</f>
        <v>0</v>
      </c>
      <c r="F245" s="518">
        <f t="shared" si="146"/>
        <v>0</v>
      </c>
      <c r="G245" s="518">
        <f t="shared" si="146"/>
        <v>0</v>
      </c>
      <c r="H245" s="518">
        <f t="shared" si="146"/>
        <v>0</v>
      </c>
      <c r="I245" s="518">
        <f t="shared" si="146"/>
        <v>0</v>
      </c>
      <c r="J245" s="518">
        <f t="shared" si="146"/>
        <v>0</v>
      </c>
      <c r="K245" s="518">
        <f t="shared" si="146"/>
        <v>0</v>
      </c>
      <c r="L245" s="518">
        <f t="shared" si="146"/>
        <v>0</v>
      </c>
      <c r="M245" s="518">
        <f t="shared" si="146"/>
        <v>0</v>
      </c>
      <c r="N245" s="518">
        <f t="shared" si="146"/>
        <v>0</v>
      </c>
      <c r="O245" s="518">
        <f t="shared" si="146"/>
        <v>0</v>
      </c>
      <c r="P245" s="518">
        <f t="shared" si="146"/>
        <v>0</v>
      </c>
      <c r="Q245" s="518">
        <f t="shared" si="146"/>
        <v>0</v>
      </c>
      <c r="R245" s="518">
        <f t="shared" si="146"/>
        <v>0</v>
      </c>
      <c r="S245" s="518">
        <f t="shared" si="146"/>
        <v>0</v>
      </c>
      <c r="T245" s="518">
        <f t="shared" si="146"/>
        <v>0</v>
      </c>
      <c r="U245" s="518">
        <f t="shared" si="146"/>
        <v>0</v>
      </c>
      <c r="V245" s="518">
        <f t="shared" si="146"/>
        <v>0</v>
      </c>
      <c r="W245" s="518">
        <f t="shared" si="146"/>
        <v>0</v>
      </c>
      <c r="X245" s="518">
        <f t="shared" si="146"/>
        <v>0</v>
      </c>
      <c r="Y245" s="518">
        <f t="shared" si="146"/>
        <v>0</v>
      </c>
      <c r="Z245" s="518">
        <f t="shared" si="146"/>
        <v>0</v>
      </c>
      <c r="AA245" s="518">
        <f t="shared" si="146"/>
        <v>0</v>
      </c>
      <c r="AB245" s="518">
        <f t="shared" ref="AB245:BB245" si="147">AB241+AB242+AB243+AB244</f>
        <v>0</v>
      </c>
      <c r="AC245" s="518">
        <f t="shared" si="147"/>
        <v>0</v>
      </c>
      <c r="AD245" s="518">
        <f t="shared" si="147"/>
        <v>0</v>
      </c>
      <c r="AE245" s="520">
        <f t="shared" si="147"/>
        <v>0</v>
      </c>
      <c r="AF245" s="521">
        <f t="shared" si="147"/>
        <v>0</v>
      </c>
      <c r="AG245" s="521">
        <f t="shared" si="147"/>
        <v>0</v>
      </c>
      <c r="AH245" s="521">
        <f t="shared" si="147"/>
        <v>0</v>
      </c>
      <c r="AI245" s="521">
        <f t="shared" si="147"/>
        <v>0</v>
      </c>
      <c r="AJ245" s="521">
        <f t="shared" si="147"/>
        <v>0</v>
      </c>
      <c r="AK245" s="521">
        <f t="shared" si="147"/>
        <v>0</v>
      </c>
      <c r="AL245" s="521">
        <f t="shared" si="147"/>
        <v>0</v>
      </c>
      <c r="AM245" s="521">
        <f t="shared" si="147"/>
        <v>0</v>
      </c>
      <c r="AN245" s="521">
        <f t="shared" si="147"/>
        <v>0</v>
      </c>
      <c r="AO245" s="521">
        <f t="shared" si="147"/>
        <v>0</v>
      </c>
      <c r="AP245" s="521">
        <f t="shared" si="147"/>
        <v>0</v>
      </c>
      <c r="AQ245" s="521">
        <f t="shared" ref="AQ245:AZ245" si="148">AQ241+AQ242+AQ243+AQ244</f>
        <v>0</v>
      </c>
      <c r="AR245" s="521">
        <f t="shared" si="148"/>
        <v>0</v>
      </c>
      <c r="AS245" s="521">
        <f t="shared" si="148"/>
        <v>0</v>
      </c>
      <c r="AT245" s="521">
        <f t="shared" si="148"/>
        <v>0</v>
      </c>
      <c r="AU245" s="521">
        <f t="shared" si="148"/>
        <v>0</v>
      </c>
      <c r="AV245" s="521">
        <f t="shared" si="148"/>
        <v>0</v>
      </c>
      <c r="AW245" s="521">
        <f t="shared" si="148"/>
        <v>0</v>
      </c>
      <c r="AX245" s="521">
        <f t="shared" si="148"/>
        <v>0</v>
      </c>
      <c r="AY245" s="521">
        <f t="shared" si="148"/>
        <v>0</v>
      </c>
      <c r="AZ245" s="521">
        <f t="shared" si="148"/>
        <v>0</v>
      </c>
      <c r="BA245" s="521">
        <f t="shared" si="147"/>
        <v>0</v>
      </c>
      <c r="BB245" s="521">
        <f t="shared" si="147"/>
        <v>0</v>
      </c>
      <c r="BC245" s="506"/>
      <c r="BD245" s="420"/>
    </row>
    <row r="246" spans="1:57" s="415" customFormat="1" ht="15" customHeight="1" outlineLevel="2">
      <c r="B246" s="528"/>
      <c r="C246" s="519" t="s">
        <v>1926</v>
      </c>
      <c r="D246" s="517" t="s">
        <v>1927</v>
      </c>
      <c r="E246" s="518">
        <f>E245</f>
        <v>0</v>
      </c>
      <c r="F246" s="518">
        <f t="shared" ref="F246:BB246" si="149">F245-E245</f>
        <v>0</v>
      </c>
      <c r="G246" s="518">
        <f t="shared" si="149"/>
        <v>0</v>
      </c>
      <c r="H246" s="518">
        <f t="shared" si="149"/>
        <v>0</v>
      </c>
      <c r="I246" s="518">
        <f t="shared" si="149"/>
        <v>0</v>
      </c>
      <c r="J246" s="518">
        <f t="shared" si="149"/>
        <v>0</v>
      </c>
      <c r="K246" s="518">
        <f t="shared" si="149"/>
        <v>0</v>
      </c>
      <c r="L246" s="518">
        <f t="shared" si="149"/>
        <v>0</v>
      </c>
      <c r="M246" s="518">
        <f t="shared" si="149"/>
        <v>0</v>
      </c>
      <c r="N246" s="518">
        <f t="shared" si="149"/>
        <v>0</v>
      </c>
      <c r="O246" s="518">
        <f t="shared" si="149"/>
        <v>0</v>
      </c>
      <c r="P246" s="518">
        <f t="shared" si="149"/>
        <v>0</v>
      </c>
      <c r="Q246" s="518">
        <f t="shared" si="149"/>
        <v>0</v>
      </c>
      <c r="R246" s="518">
        <f t="shared" si="149"/>
        <v>0</v>
      </c>
      <c r="S246" s="518">
        <f t="shared" si="149"/>
        <v>0</v>
      </c>
      <c r="T246" s="518">
        <f t="shared" si="149"/>
        <v>0</v>
      </c>
      <c r="U246" s="518">
        <f t="shared" si="149"/>
        <v>0</v>
      </c>
      <c r="V246" s="518">
        <f t="shared" si="149"/>
        <v>0</v>
      </c>
      <c r="W246" s="518">
        <f t="shared" si="149"/>
        <v>0</v>
      </c>
      <c r="X246" s="518">
        <f t="shared" si="149"/>
        <v>0</v>
      </c>
      <c r="Y246" s="518">
        <f t="shared" si="149"/>
        <v>0</v>
      </c>
      <c r="Z246" s="518">
        <f t="shared" si="149"/>
        <v>0</v>
      </c>
      <c r="AA246" s="518">
        <f t="shared" si="149"/>
        <v>0</v>
      </c>
      <c r="AB246" s="518">
        <f t="shared" si="149"/>
        <v>0</v>
      </c>
      <c r="AC246" s="518">
        <f t="shared" si="149"/>
        <v>0</v>
      </c>
      <c r="AD246" s="518">
        <f t="shared" si="149"/>
        <v>0</v>
      </c>
      <c r="AE246" s="520">
        <f t="shared" si="149"/>
        <v>0</v>
      </c>
      <c r="AF246" s="521">
        <f t="shared" si="149"/>
        <v>0</v>
      </c>
      <c r="AG246" s="521">
        <f t="shared" si="149"/>
        <v>0</v>
      </c>
      <c r="AH246" s="521">
        <f t="shared" si="149"/>
        <v>0</v>
      </c>
      <c r="AI246" s="521">
        <f t="shared" si="149"/>
        <v>0</v>
      </c>
      <c r="AJ246" s="521">
        <f t="shared" si="149"/>
        <v>0</v>
      </c>
      <c r="AK246" s="521">
        <f t="shared" si="149"/>
        <v>0</v>
      </c>
      <c r="AL246" s="521">
        <f t="shared" si="149"/>
        <v>0</v>
      </c>
      <c r="AM246" s="521">
        <f t="shared" si="149"/>
        <v>0</v>
      </c>
      <c r="AN246" s="521">
        <f t="shared" si="149"/>
        <v>0</v>
      </c>
      <c r="AO246" s="521">
        <f t="shared" si="149"/>
        <v>0</v>
      </c>
      <c r="AP246" s="521">
        <f t="shared" si="149"/>
        <v>0</v>
      </c>
      <c r="AQ246" s="521">
        <f t="shared" ref="AQ246:AZ246" si="150">AQ245-AP245</f>
        <v>0</v>
      </c>
      <c r="AR246" s="521">
        <f t="shared" si="150"/>
        <v>0</v>
      </c>
      <c r="AS246" s="521">
        <f t="shared" si="150"/>
        <v>0</v>
      </c>
      <c r="AT246" s="521">
        <f t="shared" si="150"/>
        <v>0</v>
      </c>
      <c r="AU246" s="521">
        <f t="shared" si="150"/>
        <v>0</v>
      </c>
      <c r="AV246" s="521">
        <f t="shared" si="150"/>
        <v>0</v>
      </c>
      <c r="AW246" s="521">
        <f t="shared" si="150"/>
        <v>0</v>
      </c>
      <c r="AX246" s="521">
        <f t="shared" si="150"/>
        <v>0</v>
      </c>
      <c r="AY246" s="521">
        <f t="shared" si="150"/>
        <v>0</v>
      </c>
      <c r="AZ246" s="521">
        <f t="shared" si="150"/>
        <v>0</v>
      </c>
      <c r="BA246" s="521">
        <f>BA245-AP245</f>
        <v>0</v>
      </c>
      <c r="BB246" s="521">
        <f t="shared" si="149"/>
        <v>0</v>
      </c>
      <c r="BC246" s="506"/>
      <c r="BD246" s="420"/>
    </row>
    <row r="247" spans="1:57" s="536" customFormat="1" ht="16.5" customHeight="1" outlineLevel="2">
      <c r="A247" s="431"/>
      <c r="B247" s="528"/>
      <c r="C247" s="526"/>
      <c r="D247" s="517"/>
      <c r="E247" s="518"/>
      <c r="F247" s="518"/>
      <c r="G247" s="518"/>
      <c r="H247" s="518"/>
      <c r="I247" s="518"/>
      <c r="J247" s="497"/>
      <c r="K247" s="497"/>
      <c r="L247" s="497"/>
      <c r="M247" s="497"/>
      <c r="N247" s="497"/>
      <c r="O247" s="497"/>
      <c r="P247" s="497"/>
      <c r="Q247" s="497"/>
      <c r="R247" s="497"/>
      <c r="S247" s="497"/>
      <c r="T247" s="497"/>
      <c r="U247" s="497"/>
      <c r="V247" s="497"/>
      <c r="W247" s="497"/>
      <c r="X247" s="497"/>
      <c r="Y247" s="497"/>
      <c r="Z247" s="497"/>
      <c r="AA247" s="497"/>
      <c r="AB247" s="497"/>
      <c r="AC247" s="497"/>
      <c r="AD247" s="497"/>
      <c r="AE247" s="498"/>
      <c r="AF247" s="499"/>
      <c r="AG247" s="499"/>
      <c r="AH247" s="499"/>
      <c r="AI247" s="499"/>
      <c r="AJ247" s="499"/>
      <c r="AK247" s="499"/>
      <c r="AL247" s="499"/>
      <c r="AM247" s="499"/>
      <c r="AN247" s="499"/>
      <c r="AO247" s="499"/>
      <c r="AP247" s="499"/>
      <c r="AQ247" s="499"/>
      <c r="AR247" s="499"/>
      <c r="AS247" s="499"/>
      <c r="AT247" s="499"/>
      <c r="AU247" s="499"/>
      <c r="AV247" s="499"/>
      <c r="AW247" s="499"/>
      <c r="AX247" s="499"/>
      <c r="AY247" s="499"/>
      <c r="AZ247" s="499"/>
      <c r="BA247" s="499"/>
      <c r="BB247" s="499"/>
      <c r="BC247" s="506"/>
      <c r="BD247" s="535"/>
    </row>
    <row r="248" spans="1:57" s="536" customFormat="1" ht="16.5" customHeight="1" outlineLevel="2">
      <c r="A248" s="431"/>
      <c r="B248" s="528"/>
      <c r="C248" s="526"/>
      <c r="D248" s="517"/>
      <c r="E248" s="518"/>
      <c r="F248" s="518"/>
      <c r="G248" s="518"/>
      <c r="H248" s="518"/>
      <c r="I248" s="518"/>
      <c r="J248" s="497"/>
      <c r="K248" s="497"/>
      <c r="L248" s="497"/>
      <c r="M248" s="497"/>
      <c r="N248" s="497"/>
      <c r="O248" s="497"/>
      <c r="P248" s="497"/>
      <c r="Q248" s="497"/>
      <c r="R248" s="497"/>
      <c r="S248" s="497"/>
      <c r="T248" s="497"/>
      <c r="U248" s="497"/>
      <c r="V248" s="497"/>
      <c r="W248" s="497"/>
      <c r="X248" s="497"/>
      <c r="Y248" s="497"/>
      <c r="Z248" s="497"/>
      <c r="AA248" s="497"/>
      <c r="AB248" s="497"/>
      <c r="AC248" s="497"/>
      <c r="AD248" s="497"/>
      <c r="AE248" s="498"/>
      <c r="AF248" s="499"/>
      <c r="AG248" s="499"/>
      <c r="AH248" s="499"/>
      <c r="AI248" s="499"/>
      <c r="AJ248" s="499"/>
      <c r="AK248" s="499"/>
      <c r="AL248" s="499"/>
      <c r="AM248" s="499"/>
      <c r="AN248" s="499"/>
      <c r="AO248" s="499"/>
      <c r="AP248" s="499"/>
      <c r="AQ248" s="499"/>
      <c r="AR248" s="499"/>
      <c r="AS248" s="499"/>
      <c r="AT248" s="499"/>
      <c r="AU248" s="499"/>
      <c r="AV248" s="499"/>
      <c r="AW248" s="499"/>
      <c r="AX248" s="499"/>
      <c r="AY248" s="499"/>
      <c r="AZ248" s="499"/>
      <c r="BA248" s="499"/>
      <c r="BB248" s="499"/>
      <c r="BC248" s="506"/>
      <c r="BD248" s="535"/>
    </row>
    <row r="249" spans="1:57" outlineLevel="1">
      <c r="B249" s="501">
        <v>400</v>
      </c>
      <c r="C249" s="502" t="s">
        <v>1932</v>
      </c>
      <c r="D249" s="503" t="s">
        <v>1896</v>
      </c>
      <c r="E249" s="530">
        <f>E266</f>
        <v>0</v>
      </c>
      <c r="F249" s="530">
        <f>F266</f>
        <v>0</v>
      </c>
      <c r="G249" s="530">
        <f t="shared" ref="G249:BB249" si="151">G266</f>
        <v>0</v>
      </c>
      <c r="H249" s="530">
        <f t="shared" si="151"/>
        <v>0</v>
      </c>
      <c r="I249" s="530">
        <f t="shared" si="151"/>
        <v>0</v>
      </c>
      <c r="J249" s="530">
        <f t="shared" si="151"/>
        <v>0</v>
      </c>
      <c r="K249" s="530">
        <f t="shared" si="151"/>
        <v>0</v>
      </c>
      <c r="L249" s="530">
        <f t="shared" si="151"/>
        <v>0</v>
      </c>
      <c r="M249" s="530">
        <f t="shared" si="151"/>
        <v>0</v>
      </c>
      <c r="N249" s="530">
        <f t="shared" si="151"/>
        <v>0</v>
      </c>
      <c r="O249" s="530">
        <f t="shared" si="151"/>
        <v>0</v>
      </c>
      <c r="P249" s="530">
        <f t="shared" si="151"/>
        <v>0</v>
      </c>
      <c r="Q249" s="530">
        <f t="shared" si="151"/>
        <v>0</v>
      </c>
      <c r="R249" s="530">
        <f t="shared" si="151"/>
        <v>0</v>
      </c>
      <c r="S249" s="530">
        <f t="shared" si="151"/>
        <v>0</v>
      </c>
      <c r="T249" s="530">
        <f t="shared" si="151"/>
        <v>0</v>
      </c>
      <c r="U249" s="530">
        <f t="shared" si="151"/>
        <v>0</v>
      </c>
      <c r="V249" s="530">
        <f t="shared" si="151"/>
        <v>0</v>
      </c>
      <c r="W249" s="530">
        <f t="shared" si="151"/>
        <v>0</v>
      </c>
      <c r="X249" s="530">
        <f t="shared" si="151"/>
        <v>0</v>
      </c>
      <c r="Y249" s="530">
        <f t="shared" si="151"/>
        <v>0</v>
      </c>
      <c r="Z249" s="530">
        <f t="shared" si="151"/>
        <v>0</v>
      </c>
      <c r="AA249" s="530">
        <f t="shared" si="151"/>
        <v>0</v>
      </c>
      <c r="AB249" s="530">
        <f t="shared" si="151"/>
        <v>0</v>
      </c>
      <c r="AC249" s="530">
        <f t="shared" si="151"/>
        <v>0</v>
      </c>
      <c r="AD249" s="530">
        <f t="shared" si="151"/>
        <v>0</v>
      </c>
      <c r="AE249" s="530">
        <f t="shared" si="151"/>
        <v>0</v>
      </c>
      <c r="AF249" s="530">
        <f t="shared" si="151"/>
        <v>0</v>
      </c>
      <c r="AG249" s="530">
        <f t="shared" si="151"/>
        <v>0</v>
      </c>
      <c r="AH249" s="530">
        <f t="shared" si="151"/>
        <v>0</v>
      </c>
      <c r="AI249" s="530">
        <f t="shared" si="151"/>
        <v>0</v>
      </c>
      <c r="AJ249" s="530">
        <f t="shared" si="151"/>
        <v>0</v>
      </c>
      <c r="AK249" s="530">
        <f t="shared" si="151"/>
        <v>0</v>
      </c>
      <c r="AL249" s="530">
        <f t="shared" si="151"/>
        <v>0</v>
      </c>
      <c r="AM249" s="530">
        <f t="shared" si="151"/>
        <v>0</v>
      </c>
      <c r="AN249" s="530">
        <f t="shared" si="151"/>
        <v>0</v>
      </c>
      <c r="AO249" s="530">
        <f t="shared" si="151"/>
        <v>0</v>
      </c>
      <c r="AP249" s="530">
        <f t="shared" si="151"/>
        <v>0</v>
      </c>
      <c r="AQ249" s="530">
        <f t="shared" ref="AQ249:AZ249" si="152">AQ266</f>
        <v>0</v>
      </c>
      <c r="AR249" s="530">
        <f t="shared" si="152"/>
        <v>0</v>
      </c>
      <c r="AS249" s="530">
        <f t="shared" si="152"/>
        <v>0</v>
      </c>
      <c r="AT249" s="530">
        <f t="shared" si="152"/>
        <v>0</v>
      </c>
      <c r="AU249" s="530">
        <f t="shared" si="152"/>
        <v>0</v>
      </c>
      <c r="AV249" s="530">
        <f t="shared" si="152"/>
        <v>0</v>
      </c>
      <c r="AW249" s="530">
        <f t="shared" si="152"/>
        <v>0</v>
      </c>
      <c r="AX249" s="530">
        <f t="shared" si="152"/>
        <v>0</v>
      </c>
      <c r="AY249" s="530">
        <f t="shared" si="152"/>
        <v>0</v>
      </c>
      <c r="AZ249" s="530">
        <f t="shared" si="152"/>
        <v>0</v>
      </c>
      <c r="BA249" s="530">
        <f t="shared" si="151"/>
        <v>0</v>
      </c>
      <c r="BB249" s="530">
        <f t="shared" si="151"/>
        <v>0</v>
      </c>
      <c r="BC249" s="505"/>
      <c r="BD249" s="420"/>
      <c r="BE249" s="527"/>
    </row>
    <row r="250" spans="1:57" ht="15.75" customHeight="1" outlineLevel="1">
      <c r="B250" s="501"/>
      <c r="C250" s="502"/>
      <c r="D250" s="503" t="s">
        <v>1897</v>
      </c>
      <c r="E250" s="530">
        <f>E267</f>
        <v>0</v>
      </c>
      <c r="F250" s="530">
        <f>F267</f>
        <v>0</v>
      </c>
      <c r="G250" s="530">
        <f t="shared" ref="G250:BB250" si="153">G267</f>
        <v>0</v>
      </c>
      <c r="H250" s="530">
        <f t="shared" si="153"/>
        <v>0</v>
      </c>
      <c r="I250" s="530">
        <f t="shared" si="153"/>
        <v>0</v>
      </c>
      <c r="J250" s="530">
        <f t="shared" si="153"/>
        <v>0</v>
      </c>
      <c r="K250" s="530">
        <f t="shared" si="153"/>
        <v>0</v>
      </c>
      <c r="L250" s="530">
        <f t="shared" si="153"/>
        <v>0</v>
      </c>
      <c r="M250" s="530">
        <f t="shared" si="153"/>
        <v>0</v>
      </c>
      <c r="N250" s="530">
        <f t="shared" si="153"/>
        <v>0</v>
      </c>
      <c r="O250" s="530">
        <f t="shared" si="153"/>
        <v>0</v>
      </c>
      <c r="P250" s="530">
        <f t="shared" si="153"/>
        <v>0</v>
      </c>
      <c r="Q250" s="530">
        <f t="shared" si="153"/>
        <v>0</v>
      </c>
      <c r="R250" s="530">
        <f t="shared" si="153"/>
        <v>0</v>
      </c>
      <c r="S250" s="530">
        <f t="shared" si="153"/>
        <v>0</v>
      </c>
      <c r="T250" s="530">
        <f t="shared" si="153"/>
        <v>0</v>
      </c>
      <c r="U250" s="530">
        <f t="shared" si="153"/>
        <v>0</v>
      </c>
      <c r="V250" s="530">
        <f t="shared" si="153"/>
        <v>0</v>
      </c>
      <c r="W250" s="530">
        <f t="shared" si="153"/>
        <v>0</v>
      </c>
      <c r="X250" s="530">
        <f t="shared" si="153"/>
        <v>0</v>
      </c>
      <c r="Y250" s="530">
        <f t="shared" si="153"/>
        <v>0</v>
      </c>
      <c r="Z250" s="530">
        <f t="shared" si="153"/>
        <v>0</v>
      </c>
      <c r="AA250" s="530">
        <f t="shared" si="153"/>
        <v>0</v>
      </c>
      <c r="AB250" s="530">
        <f t="shared" si="153"/>
        <v>0</v>
      </c>
      <c r="AC250" s="530">
        <f t="shared" si="153"/>
        <v>0</v>
      </c>
      <c r="AD250" s="530">
        <f t="shared" si="153"/>
        <v>0</v>
      </c>
      <c r="AE250" s="530">
        <f t="shared" si="153"/>
        <v>0</v>
      </c>
      <c r="AF250" s="530">
        <f t="shared" si="153"/>
        <v>0</v>
      </c>
      <c r="AG250" s="530">
        <f t="shared" si="153"/>
        <v>0</v>
      </c>
      <c r="AH250" s="530">
        <f t="shared" si="153"/>
        <v>0</v>
      </c>
      <c r="AI250" s="530">
        <f t="shared" si="153"/>
        <v>0</v>
      </c>
      <c r="AJ250" s="530">
        <f t="shared" si="153"/>
        <v>0</v>
      </c>
      <c r="AK250" s="530">
        <f t="shared" si="153"/>
        <v>0</v>
      </c>
      <c r="AL250" s="530">
        <f t="shared" si="153"/>
        <v>0</v>
      </c>
      <c r="AM250" s="530">
        <f t="shared" si="153"/>
        <v>0</v>
      </c>
      <c r="AN250" s="530">
        <f t="shared" si="153"/>
        <v>0</v>
      </c>
      <c r="AO250" s="530">
        <f t="shared" si="153"/>
        <v>0</v>
      </c>
      <c r="AP250" s="530">
        <f t="shared" si="153"/>
        <v>0</v>
      </c>
      <c r="AQ250" s="530">
        <f t="shared" ref="AQ250:AZ250" si="154">AQ267</f>
        <v>0</v>
      </c>
      <c r="AR250" s="530">
        <f t="shared" si="154"/>
        <v>0</v>
      </c>
      <c r="AS250" s="530">
        <f t="shared" si="154"/>
        <v>0</v>
      </c>
      <c r="AT250" s="530">
        <f t="shared" si="154"/>
        <v>0</v>
      </c>
      <c r="AU250" s="530">
        <f t="shared" si="154"/>
        <v>0</v>
      </c>
      <c r="AV250" s="530">
        <f t="shared" si="154"/>
        <v>0</v>
      </c>
      <c r="AW250" s="530">
        <f t="shared" si="154"/>
        <v>0</v>
      </c>
      <c r="AX250" s="530">
        <f t="shared" si="154"/>
        <v>0</v>
      </c>
      <c r="AY250" s="530">
        <f t="shared" si="154"/>
        <v>0</v>
      </c>
      <c r="AZ250" s="530">
        <f t="shared" si="154"/>
        <v>0</v>
      </c>
      <c r="BA250" s="530">
        <f t="shared" si="153"/>
        <v>0</v>
      </c>
      <c r="BB250" s="530">
        <f t="shared" si="153"/>
        <v>0</v>
      </c>
      <c r="BC250" s="500"/>
      <c r="BD250" s="420"/>
    </row>
    <row r="251" spans="1:57" ht="11.25" customHeight="1" outlineLevel="2">
      <c r="B251" s="528"/>
      <c r="C251" s="526"/>
      <c r="D251" s="496"/>
      <c r="E251" s="497"/>
      <c r="F251" s="497"/>
      <c r="G251" s="497"/>
      <c r="H251" s="497"/>
      <c r="I251" s="497"/>
      <c r="J251" s="497"/>
      <c r="K251" s="497"/>
      <c r="L251" s="497"/>
      <c r="M251" s="497"/>
      <c r="N251" s="497"/>
      <c r="O251" s="497"/>
      <c r="P251" s="497"/>
      <c r="Q251" s="497"/>
      <c r="R251" s="497"/>
      <c r="S251" s="497"/>
      <c r="T251" s="497"/>
      <c r="U251" s="497"/>
      <c r="V251" s="497"/>
      <c r="W251" s="497"/>
      <c r="X251" s="497"/>
      <c r="Y251" s="497"/>
      <c r="Z251" s="497"/>
      <c r="AA251" s="497"/>
      <c r="AB251" s="497"/>
      <c r="AC251" s="497"/>
      <c r="AD251" s="497"/>
      <c r="AE251" s="498"/>
      <c r="AF251" s="499"/>
      <c r="AG251" s="499"/>
      <c r="AH251" s="499"/>
      <c r="AI251" s="499"/>
      <c r="AJ251" s="499"/>
      <c r="AK251" s="499"/>
      <c r="AL251" s="499"/>
      <c r="AM251" s="499"/>
      <c r="AN251" s="499"/>
      <c r="AO251" s="499"/>
      <c r="AP251" s="499"/>
      <c r="AQ251" s="499"/>
      <c r="AR251" s="499"/>
      <c r="AS251" s="499"/>
      <c r="AT251" s="499"/>
      <c r="AU251" s="499"/>
      <c r="AV251" s="499"/>
      <c r="AW251" s="499"/>
      <c r="AX251" s="499"/>
      <c r="AY251" s="499"/>
      <c r="AZ251" s="499"/>
      <c r="BA251" s="499"/>
      <c r="BB251" s="499"/>
      <c r="BC251" s="508"/>
      <c r="BD251" s="450"/>
    </row>
    <row r="252" spans="1:57" ht="16.5" customHeight="1" outlineLevel="2">
      <c r="B252" s="509">
        <v>400.1</v>
      </c>
      <c r="C252" s="537">
        <v>0</v>
      </c>
      <c r="D252" s="534">
        <v>0</v>
      </c>
      <c r="E252" s="512"/>
      <c r="F252" s="512"/>
      <c r="G252" s="512"/>
      <c r="H252" s="512"/>
      <c r="I252" s="512"/>
      <c r="J252" s="512"/>
      <c r="K252" s="512"/>
      <c r="L252" s="512"/>
      <c r="M252" s="512"/>
      <c r="N252" s="512"/>
      <c r="O252" s="512"/>
      <c r="P252" s="512"/>
      <c r="Q252" s="512"/>
      <c r="R252" s="512"/>
      <c r="S252" s="512"/>
      <c r="T252" s="512"/>
      <c r="U252" s="512"/>
      <c r="V252" s="512"/>
      <c r="W252" s="512"/>
      <c r="X252" s="512"/>
      <c r="Y252" s="512"/>
      <c r="Z252" s="512"/>
      <c r="AA252" s="512"/>
      <c r="AB252" s="512"/>
      <c r="AC252" s="512"/>
      <c r="AD252" s="512"/>
      <c r="AE252" s="513"/>
      <c r="AF252" s="514"/>
      <c r="AG252" s="514"/>
      <c r="AH252" s="514"/>
      <c r="AI252" s="514"/>
      <c r="AJ252" s="514"/>
      <c r="AK252" s="514"/>
      <c r="AL252" s="514"/>
      <c r="AM252" s="514"/>
      <c r="AN252" s="514"/>
      <c r="AO252" s="514"/>
      <c r="AP252" s="514"/>
      <c r="AQ252" s="514"/>
      <c r="AR252" s="514"/>
      <c r="AS252" s="514"/>
      <c r="AT252" s="514"/>
      <c r="AU252" s="514"/>
      <c r="AV252" s="514"/>
      <c r="AW252" s="514"/>
      <c r="AX252" s="514"/>
      <c r="AY252" s="514"/>
      <c r="AZ252" s="514"/>
      <c r="BA252" s="514"/>
      <c r="BB252" s="514"/>
      <c r="BC252" s="508"/>
      <c r="BD252" s="450"/>
    </row>
    <row r="253" spans="1:57" ht="15" customHeight="1" outlineLevel="3">
      <c r="B253" s="494"/>
      <c r="C253" s="515" t="s">
        <v>1898</v>
      </c>
      <c r="D253" s="496" t="s">
        <v>1899</v>
      </c>
      <c r="E253" s="497">
        <v>0</v>
      </c>
      <c r="F253" s="497">
        <v>0</v>
      </c>
      <c r="G253" s="497">
        <v>0</v>
      </c>
      <c r="H253" s="497">
        <v>0</v>
      </c>
      <c r="I253" s="497">
        <v>0</v>
      </c>
      <c r="J253" s="497">
        <v>0</v>
      </c>
      <c r="K253" s="497">
        <v>0</v>
      </c>
      <c r="L253" s="497">
        <v>0</v>
      </c>
      <c r="M253" s="497">
        <v>0</v>
      </c>
      <c r="N253" s="497">
        <v>0</v>
      </c>
      <c r="O253" s="497">
        <v>0</v>
      </c>
      <c r="P253" s="497">
        <v>0</v>
      </c>
      <c r="Q253" s="497">
        <v>0</v>
      </c>
      <c r="R253" s="497">
        <v>0</v>
      </c>
      <c r="S253" s="497">
        <v>0</v>
      </c>
      <c r="T253" s="497">
        <v>0</v>
      </c>
      <c r="U253" s="497">
        <v>0</v>
      </c>
      <c r="V253" s="497">
        <v>0</v>
      </c>
      <c r="W253" s="497">
        <v>0</v>
      </c>
      <c r="X253" s="497">
        <v>0</v>
      </c>
      <c r="Y253" s="497">
        <v>0</v>
      </c>
      <c r="Z253" s="497">
        <v>0</v>
      </c>
      <c r="AA253" s="497"/>
      <c r="AB253" s="497"/>
      <c r="AC253" s="497"/>
      <c r="AD253" s="497"/>
      <c r="AE253" s="498">
        <v>0</v>
      </c>
      <c r="AF253" s="499">
        <f t="shared" ref="AF253:BB253" si="155">AF143-AE143+AF401+AE253</f>
        <v>0</v>
      </c>
      <c r="AG253" s="499">
        <f t="shared" si="155"/>
        <v>0</v>
      </c>
      <c r="AH253" s="499">
        <f t="shared" si="155"/>
        <v>0</v>
      </c>
      <c r="AI253" s="499">
        <f t="shared" si="155"/>
        <v>0</v>
      </c>
      <c r="AJ253" s="499">
        <f t="shared" si="155"/>
        <v>0</v>
      </c>
      <c r="AK253" s="499">
        <f t="shared" si="155"/>
        <v>0</v>
      </c>
      <c r="AL253" s="499">
        <f t="shared" si="155"/>
        <v>0</v>
      </c>
      <c r="AM253" s="499">
        <f t="shared" si="155"/>
        <v>0</v>
      </c>
      <c r="AN253" s="499">
        <f t="shared" si="155"/>
        <v>0</v>
      </c>
      <c r="AO253" s="499">
        <f t="shared" si="155"/>
        <v>0</v>
      </c>
      <c r="AP253" s="499">
        <f t="shared" si="155"/>
        <v>0</v>
      </c>
      <c r="AQ253" s="499">
        <f t="shared" ref="AQ253:AZ253" si="156">AQ143-AP143+AQ401+AP253</f>
        <v>0</v>
      </c>
      <c r="AR253" s="499">
        <f t="shared" si="156"/>
        <v>0</v>
      </c>
      <c r="AS253" s="499">
        <f t="shared" si="156"/>
        <v>0</v>
      </c>
      <c r="AT253" s="499">
        <f t="shared" si="156"/>
        <v>0</v>
      </c>
      <c r="AU253" s="499">
        <f t="shared" si="156"/>
        <v>0</v>
      </c>
      <c r="AV253" s="499">
        <f t="shared" si="156"/>
        <v>0</v>
      </c>
      <c r="AW253" s="499">
        <f t="shared" si="156"/>
        <v>0</v>
      </c>
      <c r="AX253" s="499">
        <f t="shared" si="156"/>
        <v>0</v>
      </c>
      <c r="AY253" s="499">
        <f t="shared" si="156"/>
        <v>0</v>
      </c>
      <c r="AZ253" s="499">
        <f t="shared" si="156"/>
        <v>0</v>
      </c>
      <c r="BA253" s="499">
        <f>BA143-AP143+BA401+AP253</f>
        <v>0</v>
      </c>
      <c r="BB253" s="499">
        <f t="shared" si="155"/>
        <v>0</v>
      </c>
      <c r="BC253" s="500"/>
      <c r="BD253" s="450"/>
    </row>
    <row r="254" spans="1:57" ht="15" customHeight="1" outlineLevel="3">
      <c r="B254" s="494"/>
      <c r="C254" s="515" t="s">
        <v>1901</v>
      </c>
      <c r="D254" s="496" t="s">
        <v>1902</v>
      </c>
      <c r="E254" s="497">
        <v>0</v>
      </c>
      <c r="F254" s="497">
        <v>0</v>
      </c>
      <c r="G254" s="497">
        <v>0</v>
      </c>
      <c r="H254" s="497">
        <v>0</v>
      </c>
      <c r="I254" s="497">
        <v>0</v>
      </c>
      <c r="J254" s="497">
        <v>0</v>
      </c>
      <c r="K254" s="497">
        <v>0</v>
      </c>
      <c r="L254" s="497">
        <v>0</v>
      </c>
      <c r="M254" s="497">
        <v>0</v>
      </c>
      <c r="N254" s="497">
        <v>0</v>
      </c>
      <c r="O254" s="497">
        <v>0</v>
      </c>
      <c r="P254" s="497">
        <v>0</v>
      </c>
      <c r="Q254" s="497">
        <v>0</v>
      </c>
      <c r="R254" s="497">
        <v>0</v>
      </c>
      <c r="S254" s="497">
        <v>0</v>
      </c>
      <c r="T254" s="497">
        <v>0</v>
      </c>
      <c r="U254" s="497">
        <v>0</v>
      </c>
      <c r="V254" s="497">
        <v>0</v>
      </c>
      <c r="W254" s="497">
        <v>0</v>
      </c>
      <c r="X254" s="497">
        <v>0</v>
      </c>
      <c r="Y254" s="497">
        <v>0</v>
      </c>
      <c r="Z254" s="497">
        <v>0</v>
      </c>
      <c r="AA254" s="497">
        <v>0</v>
      </c>
      <c r="AB254" s="497">
        <v>0</v>
      </c>
      <c r="AC254" s="497">
        <v>0</v>
      </c>
      <c r="AD254" s="497">
        <v>0</v>
      </c>
      <c r="AE254" s="498">
        <v>0</v>
      </c>
      <c r="AF254" s="499">
        <v>0</v>
      </c>
      <c r="AG254" s="499">
        <v>0</v>
      </c>
      <c r="AH254" s="499">
        <v>0</v>
      </c>
      <c r="AI254" s="499">
        <v>0</v>
      </c>
      <c r="AJ254" s="499">
        <v>0</v>
      </c>
      <c r="AK254" s="499">
        <v>0</v>
      </c>
      <c r="AL254" s="499">
        <v>0</v>
      </c>
      <c r="AM254" s="499">
        <v>0</v>
      </c>
      <c r="AN254" s="499">
        <v>0</v>
      </c>
      <c r="AO254" s="499">
        <v>0</v>
      </c>
      <c r="AP254" s="499">
        <v>0</v>
      </c>
      <c r="AQ254" s="499">
        <v>0</v>
      </c>
      <c r="AR254" s="499">
        <v>0</v>
      </c>
      <c r="AS254" s="499">
        <v>0</v>
      </c>
      <c r="AT254" s="499">
        <v>0</v>
      </c>
      <c r="AU254" s="499">
        <v>0</v>
      </c>
      <c r="AV254" s="499">
        <v>0</v>
      </c>
      <c r="AW254" s="499">
        <v>0</v>
      </c>
      <c r="AX254" s="499">
        <v>0</v>
      </c>
      <c r="AY254" s="499">
        <v>0</v>
      </c>
      <c r="AZ254" s="499">
        <v>0</v>
      </c>
      <c r="BA254" s="499">
        <v>0</v>
      </c>
      <c r="BB254" s="499">
        <v>0</v>
      </c>
      <c r="BC254" s="500"/>
      <c r="BD254" s="450"/>
    </row>
    <row r="255" spans="1:57" ht="15" customHeight="1" outlineLevel="3">
      <c r="B255" s="494"/>
      <c r="C255" s="515" t="s">
        <v>1903</v>
      </c>
      <c r="D255" s="496" t="s">
        <v>1904</v>
      </c>
      <c r="E255" s="497">
        <v>0</v>
      </c>
      <c r="F255" s="497">
        <v>0</v>
      </c>
      <c r="G255" s="497">
        <v>0</v>
      </c>
      <c r="H255" s="497">
        <v>0</v>
      </c>
      <c r="I255" s="497">
        <v>0</v>
      </c>
      <c r="J255" s="497">
        <v>0</v>
      </c>
      <c r="K255" s="497">
        <v>0</v>
      </c>
      <c r="L255" s="497">
        <v>0</v>
      </c>
      <c r="M255" s="497">
        <v>0</v>
      </c>
      <c r="N255" s="497">
        <v>0</v>
      </c>
      <c r="O255" s="497">
        <v>0</v>
      </c>
      <c r="P255" s="497">
        <v>0</v>
      </c>
      <c r="Q255" s="497">
        <v>0</v>
      </c>
      <c r="R255" s="497">
        <v>0</v>
      </c>
      <c r="S255" s="497">
        <v>0</v>
      </c>
      <c r="T255" s="497">
        <v>0</v>
      </c>
      <c r="U255" s="497">
        <v>0</v>
      </c>
      <c r="V255" s="497">
        <v>0</v>
      </c>
      <c r="W255" s="497">
        <v>0</v>
      </c>
      <c r="X255" s="497">
        <v>0</v>
      </c>
      <c r="Y255" s="497">
        <v>0</v>
      </c>
      <c r="Z255" s="497">
        <v>0</v>
      </c>
      <c r="AA255" s="497">
        <v>0</v>
      </c>
      <c r="AB255" s="497">
        <v>0</v>
      </c>
      <c r="AC255" s="497">
        <v>0</v>
      </c>
      <c r="AD255" s="497">
        <v>0</v>
      </c>
      <c r="AE255" s="498">
        <v>0</v>
      </c>
      <c r="AF255" s="499">
        <v>0</v>
      </c>
      <c r="AG255" s="499">
        <v>0</v>
      </c>
      <c r="AH255" s="499">
        <v>0</v>
      </c>
      <c r="AI255" s="499">
        <v>0</v>
      </c>
      <c r="AJ255" s="499">
        <v>0</v>
      </c>
      <c r="AK255" s="499">
        <v>0</v>
      </c>
      <c r="AL255" s="499">
        <v>0</v>
      </c>
      <c r="AM255" s="499">
        <v>0</v>
      </c>
      <c r="AN255" s="499">
        <v>0</v>
      </c>
      <c r="AO255" s="499">
        <v>0</v>
      </c>
      <c r="AP255" s="499">
        <v>0</v>
      </c>
      <c r="AQ255" s="499">
        <v>0</v>
      </c>
      <c r="AR255" s="499">
        <v>0</v>
      </c>
      <c r="AS255" s="499">
        <v>0</v>
      </c>
      <c r="AT255" s="499">
        <v>0</v>
      </c>
      <c r="AU255" s="499">
        <v>0</v>
      </c>
      <c r="AV255" s="499">
        <v>0</v>
      </c>
      <c r="AW255" s="499">
        <v>0</v>
      </c>
      <c r="AX255" s="499">
        <v>0</v>
      </c>
      <c r="AY255" s="499">
        <v>0</v>
      </c>
      <c r="AZ255" s="499">
        <v>0</v>
      </c>
      <c r="BA255" s="499">
        <v>0</v>
      </c>
      <c r="BB255" s="499">
        <v>0</v>
      </c>
      <c r="BC255" s="500"/>
      <c r="BD255" s="450"/>
    </row>
    <row r="256" spans="1:57" s="415" customFormat="1" ht="15" customHeight="1" outlineLevel="3">
      <c r="B256" s="528"/>
      <c r="C256" s="516" t="s">
        <v>1905</v>
      </c>
      <c r="D256" s="517" t="s">
        <v>1906</v>
      </c>
      <c r="E256" s="518">
        <f>E253+E254+E255</f>
        <v>0</v>
      </c>
      <c r="F256" s="518">
        <f t="shared" ref="F256:Y256" si="157">F253+F254+F255</f>
        <v>0</v>
      </c>
      <c r="G256" s="518">
        <f t="shared" si="157"/>
        <v>0</v>
      </c>
      <c r="H256" s="518">
        <f t="shared" si="157"/>
        <v>0</v>
      </c>
      <c r="I256" s="518">
        <f t="shared" si="157"/>
        <v>0</v>
      </c>
      <c r="J256" s="518">
        <f t="shared" si="157"/>
        <v>0</v>
      </c>
      <c r="K256" s="518">
        <f t="shared" si="157"/>
        <v>0</v>
      </c>
      <c r="L256" s="518">
        <f t="shared" si="157"/>
        <v>0</v>
      </c>
      <c r="M256" s="518">
        <f t="shared" si="157"/>
        <v>0</v>
      </c>
      <c r="N256" s="518">
        <f t="shared" si="157"/>
        <v>0</v>
      </c>
      <c r="O256" s="518">
        <f t="shared" si="157"/>
        <v>0</v>
      </c>
      <c r="P256" s="518">
        <f t="shared" si="157"/>
        <v>0</v>
      </c>
      <c r="Q256" s="518">
        <f t="shared" si="157"/>
        <v>0</v>
      </c>
      <c r="R256" s="518">
        <f t="shared" si="157"/>
        <v>0</v>
      </c>
      <c r="S256" s="518">
        <f t="shared" si="157"/>
        <v>0</v>
      </c>
      <c r="T256" s="518">
        <f t="shared" si="157"/>
        <v>0</v>
      </c>
      <c r="U256" s="518">
        <f t="shared" si="157"/>
        <v>0</v>
      </c>
      <c r="V256" s="518">
        <f t="shared" si="157"/>
        <v>0</v>
      </c>
      <c r="W256" s="518">
        <f t="shared" si="157"/>
        <v>0</v>
      </c>
      <c r="X256" s="518">
        <f t="shared" si="157"/>
        <v>0</v>
      </c>
      <c r="Y256" s="518">
        <f t="shared" si="157"/>
        <v>0</v>
      </c>
      <c r="Z256" s="518"/>
      <c r="AA256" s="518">
        <f t="shared" ref="AA256:BB256" si="158">AA253+AA254+AA255</f>
        <v>0</v>
      </c>
      <c r="AB256" s="518">
        <f t="shared" si="158"/>
        <v>0</v>
      </c>
      <c r="AC256" s="518">
        <f t="shared" si="158"/>
        <v>0</v>
      </c>
      <c r="AD256" s="518">
        <f t="shared" si="158"/>
        <v>0</v>
      </c>
      <c r="AE256" s="520">
        <f t="shared" si="158"/>
        <v>0</v>
      </c>
      <c r="AF256" s="521">
        <f t="shared" si="158"/>
        <v>0</v>
      </c>
      <c r="AG256" s="521">
        <f t="shared" si="158"/>
        <v>0</v>
      </c>
      <c r="AH256" s="521">
        <f t="shared" si="158"/>
        <v>0</v>
      </c>
      <c r="AI256" s="521">
        <f t="shared" si="158"/>
        <v>0</v>
      </c>
      <c r="AJ256" s="521">
        <f t="shared" si="158"/>
        <v>0</v>
      </c>
      <c r="AK256" s="521">
        <f t="shared" si="158"/>
        <v>0</v>
      </c>
      <c r="AL256" s="521">
        <f t="shared" si="158"/>
        <v>0</v>
      </c>
      <c r="AM256" s="521">
        <f t="shared" si="158"/>
        <v>0</v>
      </c>
      <c r="AN256" s="521">
        <f t="shared" si="158"/>
        <v>0</v>
      </c>
      <c r="AO256" s="521">
        <f t="shared" si="158"/>
        <v>0</v>
      </c>
      <c r="AP256" s="521">
        <f t="shared" si="158"/>
        <v>0</v>
      </c>
      <c r="AQ256" s="521">
        <f t="shared" ref="AQ256:AZ256" si="159">AQ253+AQ254+AQ255</f>
        <v>0</v>
      </c>
      <c r="AR256" s="521">
        <f t="shared" si="159"/>
        <v>0</v>
      </c>
      <c r="AS256" s="521">
        <f t="shared" si="159"/>
        <v>0</v>
      </c>
      <c r="AT256" s="521">
        <f t="shared" si="159"/>
        <v>0</v>
      </c>
      <c r="AU256" s="521">
        <f t="shared" si="159"/>
        <v>0</v>
      </c>
      <c r="AV256" s="521">
        <f t="shared" si="159"/>
        <v>0</v>
      </c>
      <c r="AW256" s="521">
        <f t="shared" si="159"/>
        <v>0</v>
      </c>
      <c r="AX256" s="521">
        <f t="shared" si="159"/>
        <v>0</v>
      </c>
      <c r="AY256" s="521">
        <f t="shared" si="159"/>
        <v>0</v>
      </c>
      <c r="AZ256" s="521">
        <f t="shared" si="159"/>
        <v>0</v>
      </c>
      <c r="BA256" s="521">
        <f t="shared" si="158"/>
        <v>0</v>
      </c>
      <c r="BB256" s="521">
        <f t="shared" si="158"/>
        <v>0</v>
      </c>
      <c r="BC256" s="506"/>
      <c r="BD256" s="420"/>
    </row>
    <row r="257" spans="1:56" s="415" customFormat="1" ht="15" customHeight="1" outlineLevel="3">
      <c r="B257" s="528"/>
      <c r="C257" s="519" t="s">
        <v>1907</v>
      </c>
      <c r="D257" s="517" t="s">
        <v>1908</v>
      </c>
      <c r="E257" s="518">
        <v>0</v>
      </c>
      <c r="F257" s="518">
        <v>0</v>
      </c>
      <c r="G257" s="518">
        <v>0</v>
      </c>
      <c r="H257" s="518">
        <v>0</v>
      </c>
      <c r="I257" s="518">
        <v>0</v>
      </c>
      <c r="J257" s="518">
        <v>0</v>
      </c>
      <c r="K257" s="518">
        <v>0</v>
      </c>
      <c r="L257" s="518">
        <v>0</v>
      </c>
      <c r="M257" s="518">
        <v>0</v>
      </c>
      <c r="N257" s="518">
        <v>0</v>
      </c>
      <c r="O257" s="518">
        <v>0</v>
      </c>
      <c r="P257" s="518">
        <v>0</v>
      </c>
      <c r="Q257" s="518">
        <v>0</v>
      </c>
      <c r="R257" s="518">
        <v>0</v>
      </c>
      <c r="S257" s="518">
        <v>0</v>
      </c>
      <c r="T257" s="518">
        <v>0</v>
      </c>
      <c r="U257" s="518">
        <v>0</v>
      </c>
      <c r="V257" s="518">
        <v>0</v>
      </c>
      <c r="W257" s="518">
        <v>0</v>
      </c>
      <c r="X257" s="518">
        <v>0</v>
      </c>
      <c r="Y257" s="518">
        <v>0</v>
      </c>
      <c r="Z257" s="518">
        <v>0</v>
      </c>
      <c r="AA257" s="518">
        <v>0</v>
      </c>
      <c r="AB257" s="518">
        <v>0</v>
      </c>
      <c r="AC257" s="518">
        <v>0</v>
      </c>
      <c r="AD257" s="518">
        <v>0</v>
      </c>
      <c r="AE257" s="520">
        <v>0</v>
      </c>
      <c r="AF257" s="521">
        <v>0</v>
      </c>
      <c r="AG257" s="521">
        <v>0</v>
      </c>
      <c r="AH257" s="521">
        <v>0</v>
      </c>
      <c r="AI257" s="521">
        <v>0</v>
      </c>
      <c r="AJ257" s="521">
        <v>0</v>
      </c>
      <c r="AK257" s="521">
        <v>0</v>
      </c>
      <c r="AL257" s="521">
        <v>0</v>
      </c>
      <c r="AM257" s="521">
        <v>0</v>
      </c>
      <c r="AN257" s="521">
        <v>0</v>
      </c>
      <c r="AO257" s="521">
        <v>0</v>
      </c>
      <c r="AP257" s="521">
        <v>0</v>
      </c>
      <c r="AQ257" s="521">
        <v>0</v>
      </c>
      <c r="AR257" s="521">
        <v>0</v>
      </c>
      <c r="AS257" s="521">
        <v>0</v>
      </c>
      <c r="AT257" s="521">
        <v>0</v>
      </c>
      <c r="AU257" s="521">
        <v>0</v>
      </c>
      <c r="AV257" s="521">
        <v>0</v>
      </c>
      <c r="AW257" s="521">
        <v>0</v>
      </c>
      <c r="AX257" s="521">
        <v>0</v>
      </c>
      <c r="AY257" s="521">
        <v>0</v>
      </c>
      <c r="AZ257" s="521">
        <v>0</v>
      </c>
      <c r="BA257" s="521">
        <v>0</v>
      </c>
      <c r="BB257" s="521">
        <v>0</v>
      </c>
      <c r="BC257" s="506"/>
      <c r="BD257" s="420"/>
    </row>
    <row r="258" spans="1:56" s="438" customFormat="1" ht="15" customHeight="1" outlineLevel="3">
      <c r="A258" s="431"/>
      <c r="B258" s="494"/>
      <c r="C258" s="522" t="s">
        <v>1579</v>
      </c>
      <c r="D258" s="496" t="s">
        <v>1909</v>
      </c>
      <c r="E258" s="497">
        <v>0</v>
      </c>
      <c r="F258" s="497">
        <v>0</v>
      </c>
      <c r="G258" s="497">
        <v>0</v>
      </c>
      <c r="H258" s="497">
        <v>0</v>
      </c>
      <c r="I258" s="497">
        <v>0</v>
      </c>
      <c r="J258" s="497">
        <v>0</v>
      </c>
      <c r="K258" s="497">
        <v>0</v>
      </c>
      <c r="L258" s="497">
        <v>0</v>
      </c>
      <c r="M258" s="497">
        <v>0</v>
      </c>
      <c r="N258" s="497">
        <v>0</v>
      </c>
      <c r="O258" s="497">
        <v>0</v>
      </c>
      <c r="P258" s="497">
        <v>0</v>
      </c>
      <c r="Q258" s="497">
        <v>0</v>
      </c>
      <c r="R258" s="497">
        <v>0</v>
      </c>
      <c r="S258" s="497">
        <v>0</v>
      </c>
      <c r="T258" s="497">
        <v>0</v>
      </c>
      <c r="U258" s="497">
        <v>0</v>
      </c>
      <c r="V258" s="497">
        <v>0</v>
      </c>
      <c r="W258" s="497">
        <v>0</v>
      </c>
      <c r="X258" s="497">
        <v>0</v>
      </c>
      <c r="Y258" s="497">
        <v>0</v>
      </c>
      <c r="Z258" s="497">
        <v>0</v>
      </c>
      <c r="AA258" s="497">
        <v>0</v>
      </c>
      <c r="AB258" s="497">
        <v>0</v>
      </c>
      <c r="AC258" s="497">
        <v>0</v>
      </c>
      <c r="AD258" s="497">
        <v>0</v>
      </c>
      <c r="AE258" s="498">
        <v>0</v>
      </c>
      <c r="AF258" s="499">
        <v>0</v>
      </c>
      <c r="AG258" s="499">
        <v>0</v>
      </c>
      <c r="AH258" s="499">
        <v>0</v>
      </c>
      <c r="AI258" s="499">
        <v>0</v>
      </c>
      <c r="AJ258" s="499">
        <v>0</v>
      </c>
      <c r="AK258" s="499">
        <v>0</v>
      </c>
      <c r="AL258" s="499">
        <v>0</v>
      </c>
      <c r="AM258" s="499">
        <v>0</v>
      </c>
      <c r="AN258" s="499">
        <v>0</v>
      </c>
      <c r="AO258" s="499">
        <v>0</v>
      </c>
      <c r="AP258" s="499">
        <v>0</v>
      </c>
      <c r="AQ258" s="499">
        <v>0</v>
      </c>
      <c r="AR258" s="499">
        <v>0</v>
      </c>
      <c r="AS258" s="499">
        <v>0</v>
      </c>
      <c r="AT258" s="499">
        <v>0</v>
      </c>
      <c r="AU258" s="499">
        <v>0</v>
      </c>
      <c r="AV258" s="499">
        <v>0</v>
      </c>
      <c r="AW258" s="499">
        <v>0</v>
      </c>
      <c r="AX258" s="499">
        <v>0</v>
      </c>
      <c r="AY258" s="499">
        <v>0</v>
      </c>
      <c r="AZ258" s="499">
        <v>0</v>
      </c>
      <c r="BA258" s="499">
        <v>0</v>
      </c>
      <c r="BB258" s="499">
        <v>0</v>
      </c>
      <c r="BC258" s="500">
        <f>+AA258</f>
        <v>0</v>
      </c>
      <c r="BD258" s="523"/>
    </row>
    <row r="259" spans="1:56" s="415" customFormat="1" ht="15" customHeight="1" outlineLevel="3">
      <c r="B259" s="528"/>
      <c r="C259" s="519" t="s">
        <v>1910</v>
      </c>
      <c r="D259" s="517" t="s">
        <v>1911</v>
      </c>
      <c r="E259" s="518">
        <f>E256+E257+E258</f>
        <v>0</v>
      </c>
      <c r="F259" s="518">
        <f t="shared" ref="F259:Y259" si="160">F256+F257+F258</f>
        <v>0</v>
      </c>
      <c r="G259" s="518">
        <f t="shared" si="160"/>
        <v>0</v>
      </c>
      <c r="H259" s="518">
        <f t="shared" si="160"/>
        <v>0</v>
      </c>
      <c r="I259" s="518">
        <f t="shared" si="160"/>
        <v>0</v>
      </c>
      <c r="J259" s="518">
        <f t="shared" si="160"/>
        <v>0</v>
      </c>
      <c r="K259" s="518">
        <f t="shared" si="160"/>
        <v>0</v>
      </c>
      <c r="L259" s="518">
        <f t="shared" si="160"/>
        <v>0</v>
      </c>
      <c r="M259" s="518">
        <f t="shared" si="160"/>
        <v>0</v>
      </c>
      <c r="N259" s="518">
        <f t="shared" si="160"/>
        <v>0</v>
      </c>
      <c r="O259" s="518">
        <f t="shared" si="160"/>
        <v>0</v>
      </c>
      <c r="P259" s="518">
        <f t="shared" si="160"/>
        <v>0</v>
      </c>
      <c r="Q259" s="518">
        <f t="shared" si="160"/>
        <v>0</v>
      </c>
      <c r="R259" s="518">
        <f t="shared" si="160"/>
        <v>0</v>
      </c>
      <c r="S259" s="518">
        <f t="shared" si="160"/>
        <v>0</v>
      </c>
      <c r="T259" s="518">
        <f t="shared" si="160"/>
        <v>0</v>
      </c>
      <c r="U259" s="518">
        <f t="shared" si="160"/>
        <v>0</v>
      </c>
      <c r="V259" s="518">
        <f t="shared" si="160"/>
        <v>0</v>
      </c>
      <c r="W259" s="518">
        <f t="shared" si="160"/>
        <v>0</v>
      </c>
      <c r="X259" s="518">
        <f t="shared" si="160"/>
        <v>0</v>
      </c>
      <c r="Y259" s="518">
        <f t="shared" si="160"/>
        <v>0</v>
      </c>
      <c r="Z259" s="518"/>
      <c r="AA259" s="518">
        <f t="shared" ref="AA259:BB259" si="161">AA256+AA257+AA258</f>
        <v>0</v>
      </c>
      <c r="AB259" s="518">
        <f t="shared" si="161"/>
        <v>0</v>
      </c>
      <c r="AC259" s="518">
        <f t="shared" si="161"/>
        <v>0</v>
      </c>
      <c r="AD259" s="518">
        <f t="shared" si="161"/>
        <v>0</v>
      </c>
      <c r="AE259" s="520">
        <f t="shared" si="161"/>
        <v>0</v>
      </c>
      <c r="AF259" s="521">
        <f t="shared" si="161"/>
        <v>0</v>
      </c>
      <c r="AG259" s="521">
        <f t="shared" si="161"/>
        <v>0</v>
      </c>
      <c r="AH259" s="521">
        <f t="shared" si="161"/>
        <v>0</v>
      </c>
      <c r="AI259" s="521">
        <f t="shared" si="161"/>
        <v>0</v>
      </c>
      <c r="AJ259" s="521">
        <f t="shared" si="161"/>
        <v>0</v>
      </c>
      <c r="AK259" s="521">
        <f t="shared" si="161"/>
        <v>0</v>
      </c>
      <c r="AL259" s="521">
        <f t="shared" si="161"/>
        <v>0</v>
      </c>
      <c r="AM259" s="521">
        <f t="shared" si="161"/>
        <v>0</v>
      </c>
      <c r="AN259" s="521">
        <f t="shared" si="161"/>
        <v>0</v>
      </c>
      <c r="AO259" s="521">
        <f t="shared" si="161"/>
        <v>0</v>
      </c>
      <c r="AP259" s="521">
        <f t="shared" si="161"/>
        <v>0</v>
      </c>
      <c r="AQ259" s="521">
        <f t="shared" ref="AQ259:AZ259" si="162">AQ256+AQ257+AQ258</f>
        <v>0</v>
      </c>
      <c r="AR259" s="521">
        <f t="shared" si="162"/>
        <v>0</v>
      </c>
      <c r="AS259" s="521">
        <f t="shared" si="162"/>
        <v>0</v>
      </c>
      <c r="AT259" s="521">
        <f t="shared" si="162"/>
        <v>0</v>
      </c>
      <c r="AU259" s="521">
        <f t="shared" si="162"/>
        <v>0</v>
      </c>
      <c r="AV259" s="521">
        <f t="shared" si="162"/>
        <v>0</v>
      </c>
      <c r="AW259" s="521">
        <f t="shared" si="162"/>
        <v>0</v>
      </c>
      <c r="AX259" s="521">
        <f t="shared" si="162"/>
        <v>0</v>
      </c>
      <c r="AY259" s="521">
        <f t="shared" si="162"/>
        <v>0</v>
      </c>
      <c r="AZ259" s="521">
        <f t="shared" si="162"/>
        <v>0</v>
      </c>
      <c r="BA259" s="521">
        <f t="shared" si="161"/>
        <v>0</v>
      </c>
      <c r="BB259" s="521">
        <f t="shared" si="161"/>
        <v>0</v>
      </c>
      <c r="BC259" s="506"/>
      <c r="BD259" s="420"/>
    </row>
    <row r="260" spans="1:56" s="415" customFormat="1" ht="15" customHeight="1" outlineLevel="3">
      <c r="B260" s="528"/>
      <c r="C260" s="519" t="s">
        <v>1930</v>
      </c>
      <c r="D260" s="517" t="s">
        <v>1913</v>
      </c>
      <c r="E260" s="518">
        <v>0</v>
      </c>
      <c r="F260" s="518">
        <v>0</v>
      </c>
      <c r="G260" s="518">
        <v>0</v>
      </c>
      <c r="H260" s="518">
        <v>0</v>
      </c>
      <c r="I260" s="518">
        <v>0</v>
      </c>
      <c r="J260" s="518">
        <v>0</v>
      </c>
      <c r="K260" s="518">
        <v>0</v>
      </c>
      <c r="L260" s="518">
        <v>0</v>
      </c>
      <c r="M260" s="518">
        <v>0</v>
      </c>
      <c r="N260" s="518">
        <v>0</v>
      </c>
      <c r="O260" s="518">
        <v>0</v>
      </c>
      <c r="P260" s="518">
        <v>0</v>
      </c>
      <c r="Q260" s="518">
        <v>0</v>
      </c>
      <c r="R260" s="518">
        <v>0</v>
      </c>
      <c r="S260" s="518">
        <v>0</v>
      </c>
      <c r="T260" s="518">
        <v>0</v>
      </c>
      <c r="U260" s="518">
        <v>0</v>
      </c>
      <c r="V260" s="518">
        <v>0</v>
      </c>
      <c r="W260" s="518">
        <v>0</v>
      </c>
      <c r="X260" s="518">
        <v>0</v>
      </c>
      <c r="Y260" s="518">
        <v>0</v>
      </c>
      <c r="Z260" s="518">
        <v>0</v>
      </c>
      <c r="AA260" s="518">
        <f t="shared" ref="AA260:BB260" si="163">AA251*-0.1</f>
        <v>0</v>
      </c>
      <c r="AB260" s="518">
        <f t="shared" si="163"/>
        <v>0</v>
      </c>
      <c r="AC260" s="518">
        <f t="shared" si="163"/>
        <v>0</v>
      </c>
      <c r="AD260" s="518">
        <f t="shared" si="163"/>
        <v>0</v>
      </c>
      <c r="AE260" s="520">
        <f t="shared" si="163"/>
        <v>0</v>
      </c>
      <c r="AF260" s="521">
        <f t="shared" si="163"/>
        <v>0</v>
      </c>
      <c r="AG260" s="521">
        <f t="shared" si="163"/>
        <v>0</v>
      </c>
      <c r="AH260" s="521">
        <f t="shared" si="163"/>
        <v>0</v>
      </c>
      <c r="AI260" s="521">
        <f t="shared" si="163"/>
        <v>0</v>
      </c>
      <c r="AJ260" s="521">
        <f t="shared" si="163"/>
        <v>0</v>
      </c>
      <c r="AK260" s="521">
        <f t="shared" si="163"/>
        <v>0</v>
      </c>
      <c r="AL260" s="521">
        <f t="shared" si="163"/>
        <v>0</v>
      </c>
      <c r="AM260" s="521">
        <f t="shared" si="163"/>
        <v>0</v>
      </c>
      <c r="AN260" s="521">
        <f t="shared" si="163"/>
        <v>0</v>
      </c>
      <c r="AO260" s="521">
        <f t="shared" si="163"/>
        <v>0</v>
      </c>
      <c r="AP260" s="521">
        <f t="shared" si="163"/>
        <v>0</v>
      </c>
      <c r="AQ260" s="521">
        <f t="shared" ref="AQ260:AZ260" si="164">AQ251*-0.1</f>
        <v>0</v>
      </c>
      <c r="AR260" s="521">
        <f t="shared" si="164"/>
        <v>0</v>
      </c>
      <c r="AS260" s="521">
        <f t="shared" si="164"/>
        <v>0</v>
      </c>
      <c r="AT260" s="521">
        <f t="shared" si="164"/>
        <v>0</v>
      </c>
      <c r="AU260" s="521">
        <f t="shared" si="164"/>
        <v>0</v>
      </c>
      <c r="AV260" s="521">
        <f t="shared" si="164"/>
        <v>0</v>
      </c>
      <c r="AW260" s="521">
        <f t="shared" si="164"/>
        <v>0</v>
      </c>
      <c r="AX260" s="521">
        <f t="shared" si="164"/>
        <v>0</v>
      </c>
      <c r="AY260" s="521">
        <f t="shared" si="164"/>
        <v>0</v>
      </c>
      <c r="AZ260" s="521">
        <f t="shared" si="164"/>
        <v>0</v>
      </c>
      <c r="BA260" s="521">
        <f t="shared" si="163"/>
        <v>0</v>
      </c>
      <c r="BB260" s="521">
        <f t="shared" si="163"/>
        <v>0</v>
      </c>
      <c r="BC260" s="506"/>
      <c r="BD260" s="420"/>
    </row>
    <row r="261" spans="1:56" ht="15" customHeight="1" outlineLevel="3">
      <c r="B261" s="494"/>
      <c r="C261" s="522" t="s">
        <v>1914</v>
      </c>
      <c r="D261" s="496" t="s">
        <v>1915</v>
      </c>
      <c r="E261" s="497">
        <v>0</v>
      </c>
      <c r="F261" s="497">
        <v>0</v>
      </c>
      <c r="G261" s="497">
        <v>0</v>
      </c>
      <c r="H261" s="497">
        <v>0</v>
      </c>
      <c r="I261" s="497">
        <v>0</v>
      </c>
      <c r="J261" s="497">
        <v>0</v>
      </c>
      <c r="K261" s="497">
        <v>0</v>
      </c>
      <c r="L261" s="497">
        <v>0</v>
      </c>
      <c r="M261" s="497">
        <v>0</v>
      </c>
      <c r="N261" s="497">
        <v>0</v>
      </c>
      <c r="O261" s="497">
        <v>0</v>
      </c>
      <c r="P261" s="497">
        <v>0</v>
      </c>
      <c r="Q261" s="497">
        <v>0</v>
      </c>
      <c r="R261" s="497">
        <v>0</v>
      </c>
      <c r="S261" s="497">
        <v>0</v>
      </c>
      <c r="T261" s="497">
        <v>0</v>
      </c>
      <c r="U261" s="497">
        <v>0</v>
      </c>
      <c r="V261" s="497">
        <v>0</v>
      </c>
      <c r="W261" s="497">
        <v>0</v>
      </c>
      <c r="X261" s="497">
        <v>0</v>
      </c>
      <c r="Y261" s="497">
        <v>0</v>
      </c>
      <c r="Z261" s="497">
        <v>0</v>
      </c>
      <c r="AA261" s="497">
        <v>0</v>
      </c>
      <c r="AB261" s="497">
        <v>0</v>
      </c>
      <c r="AC261" s="497">
        <v>0</v>
      </c>
      <c r="AD261" s="497">
        <v>0</v>
      </c>
      <c r="AE261" s="498">
        <v>0</v>
      </c>
      <c r="AF261" s="499">
        <v>0</v>
      </c>
      <c r="AG261" s="499">
        <v>0</v>
      </c>
      <c r="AH261" s="499">
        <v>0</v>
      </c>
      <c r="AI261" s="499">
        <v>0</v>
      </c>
      <c r="AJ261" s="499">
        <v>0</v>
      </c>
      <c r="AK261" s="499">
        <v>0</v>
      </c>
      <c r="AL261" s="499">
        <v>0</v>
      </c>
      <c r="AM261" s="499">
        <v>0</v>
      </c>
      <c r="AN261" s="499">
        <v>0</v>
      </c>
      <c r="AO261" s="499">
        <v>0</v>
      </c>
      <c r="AP261" s="499">
        <v>0</v>
      </c>
      <c r="AQ261" s="499">
        <v>0</v>
      </c>
      <c r="AR261" s="499">
        <v>0</v>
      </c>
      <c r="AS261" s="499">
        <v>0</v>
      </c>
      <c r="AT261" s="499">
        <v>0</v>
      </c>
      <c r="AU261" s="499">
        <v>0</v>
      </c>
      <c r="AV261" s="499">
        <v>0</v>
      </c>
      <c r="AW261" s="499">
        <v>0</v>
      </c>
      <c r="AX261" s="499">
        <v>0</v>
      </c>
      <c r="AY261" s="499">
        <v>0</v>
      </c>
      <c r="AZ261" s="499">
        <v>0</v>
      </c>
      <c r="BA261" s="499">
        <v>0</v>
      </c>
      <c r="BB261" s="499">
        <v>0</v>
      </c>
      <c r="BC261" s="500"/>
      <c r="BD261" s="450"/>
    </row>
    <row r="262" spans="1:56" s="415" customFormat="1" ht="15" customHeight="1" outlineLevel="3">
      <c r="B262" s="528"/>
      <c r="C262" s="519" t="s">
        <v>1916</v>
      </c>
      <c r="D262" s="517" t="s">
        <v>1917</v>
      </c>
      <c r="E262" s="518">
        <f>E259+E260+E261</f>
        <v>0</v>
      </c>
      <c r="F262" s="518">
        <f t="shared" ref="F262:Y262" si="165">F259+F260+F261</f>
        <v>0</v>
      </c>
      <c r="G262" s="518">
        <f t="shared" si="165"/>
        <v>0</v>
      </c>
      <c r="H262" s="518">
        <f t="shared" si="165"/>
        <v>0</v>
      </c>
      <c r="I262" s="518">
        <f t="shared" si="165"/>
        <v>0</v>
      </c>
      <c r="J262" s="518">
        <f t="shared" si="165"/>
        <v>0</v>
      </c>
      <c r="K262" s="518">
        <f t="shared" si="165"/>
        <v>0</v>
      </c>
      <c r="L262" s="518">
        <f t="shared" si="165"/>
        <v>0</v>
      </c>
      <c r="M262" s="518">
        <f t="shared" si="165"/>
        <v>0</v>
      </c>
      <c r="N262" s="518">
        <f t="shared" si="165"/>
        <v>0</v>
      </c>
      <c r="O262" s="518">
        <f t="shared" si="165"/>
        <v>0</v>
      </c>
      <c r="P262" s="518">
        <f t="shared" si="165"/>
        <v>0</v>
      </c>
      <c r="Q262" s="518">
        <f t="shared" si="165"/>
        <v>0</v>
      </c>
      <c r="R262" s="518">
        <f t="shared" si="165"/>
        <v>0</v>
      </c>
      <c r="S262" s="518">
        <f t="shared" si="165"/>
        <v>0</v>
      </c>
      <c r="T262" s="518">
        <f t="shared" si="165"/>
        <v>0</v>
      </c>
      <c r="U262" s="518">
        <f t="shared" si="165"/>
        <v>0</v>
      </c>
      <c r="V262" s="518">
        <f t="shared" si="165"/>
        <v>0</v>
      </c>
      <c r="W262" s="518">
        <f t="shared" si="165"/>
        <v>0</v>
      </c>
      <c r="X262" s="518">
        <f t="shared" si="165"/>
        <v>0</v>
      </c>
      <c r="Y262" s="518">
        <f t="shared" si="165"/>
        <v>0</v>
      </c>
      <c r="Z262" s="518"/>
      <c r="AA262" s="518">
        <f t="shared" ref="AA262:BB262" si="166">AA259+AA260+AA261</f>
        <v>0</v>
      </c>
      <c r="AB262" s="518">
        <f t="shared" si="166"/>
        <v>0</v>
      </c>
      <c r="AC262" s="518">
        <f t="shared" si="166"/>
        <v>0</v>
      </c>
      <c r="AD262" s="518">
        <f t="shared" si="166"/>
        <v>0</v>
      </c>
      <c r="AE262" s="520">
        <f t="shared" si="166"/>
        <v>0</v>
      </c>
      <c r="AF262" s="521">
        <f t="shared" si="166"/>
        <v>0</v>
      </c>
      <c r="AG262" s="521">
        <f t="shared" si="166"/>
        <v>0</v>
      </c>
      <c r="AH262" s="521">
        <f t="shared" si="166"/>
        <v>0</v>
      </c>
      <c r="AI262" s="521">
        <f t="shared" si="166"/>
        <v>0</v>
      </c>
      <c r="AJ262" s="521">
        <f t="shared" si="166"/>
        <v>0</v>
      </c>
      <c r="AK262" s="521">
        <f t="shared" si="166"/>
        <v>0</v>
      </c>
      <c r="AL262" s="521">
        <f t="shared" si="166"/>
        <v>0</v>
      </c>
      <c r="AM262" s="521">
        <f t="shared" si="166"/>
        <v>0</v>
      </c>
      <c r="AN262" s="521">
        <f t="shared" si="166"/>
        <v>0</v>
      </c>
      <c r="AO262" s="521">
        <f t="shared" si="166"/>
        <v>0</v>
      </c>
      <c r="AP262" s="521">
        <f t="shared" si="166"/>
        <v>0</v>
      </c>
      <c r="AQ262" s="521">
        <f t="shared" ref="AQ262:AZ262" si="167">AQ259+AQ260+AQ261</f>
        <v>0</v>
      </c>
      <c r="AR262" s="521">
        <f t="shared" si="167"/>
        <v>0</v>
      </c>
      <c r="AS262" s="521">
        <f t="shared" si="167"/>
        <v>0</v>
      </c>
      <c r="AT262" s="521">
        <f t="shared" si="167"/>
        <v>0</v>
      </c>
      <c r="AU262" s="521">
        <f t="shared" si="167"/>
        <v>0</v>
      </c>
      <c r="AV262" s="521">
        <f t="shared" si="167"/>
        <v>0</v>
      </c>
      <c r="AW262" s="521">
        <f t="shared" si="167"/>
        <v>0</v>
      </c>
      <c r="AX262" s="521">
        <f t="shared" si="167"/>
        <v>0</v>
      </c>
      <c r="AY262" s="521">
        <f t="shared" si="167"/>
        <v>0</v>
      </c>
      <c r="AZ262" s="521">
        <f t="shared" si="167"/>
        <v>0</v>
      </c>
      <c r="BA262" s="521">
        <f t="shared" si="166"/>
        <v>0</v>
      </c>
      <c r="BB262" s="521">
        <f t="shared" si="166"/>
        <v>0</v>
      </c>
      <c r="BC262" s="506"/>
      <c r="BD262" s="420"/>
    </row>
    <row r="263" spans="1:56" ht="15" customHeight="1" outlineLevel="3">
      <c r="B263" s="494"/>
      <c r="C263" s="522" t="s">
        <v>1918</v>
      </c>
      <c r="D263" s="496" t="s">
        <v>1919</v>
      </c>
      <c r="E263" s="497">
        <v>0</v>
      </c>
      <c r="F263" s="497">
        <v>0</v>
      </c>
      <c r="G263" s="497">
        <v>0</v>
      </c>
      <c r="H263" s="497">
        <v>0</v>
      </c>
      <c r="I263" s="497">
        <v>0</v>
      </c>
      <c r="J263" s="497">
        <v>0</v>
      </c>
      <c r="K263" s="497">
        <v>0</v>
      </c>
      <c r="L263" s="497">
        <v>0</v>
      </c>
      <c r="M263" s="497">
        <v>0</v>
      </c>
      <c r="N263" s="497">
        <v>0</v>
      </c>
      <c r="O263" s="497">
        <v>0</v>
      </c>
      <c r="P263" s="497">
        <v>0</v>
      </c>
      <c r="Q263" s="497">
        <v>0</v>
      </c>
      <c r="R263" s="497">
        <v>0</v>
      </c>
      <c r="S263" s="497">
        <v>0</v>
      </c>
      <c r="T263" s="497">
        <v>0</v>
      </c>
      <c r="U263" s="497">
        <v>0</v>
      </c>
      <c r="V263" s="497">
        <v>0</v>
      </c>
      <c r="W263" s="497">
        <v>0</v>
      </c>
      <c r="X263" s="497">
        <v>0</v>
      </c>
      <c r="Y263" s="497">
        <v>0</v>
      </c>
      <c r="Z263" s="497">
        <v>0</v>
      </c>
      <c r="AA263" s="497">
        <v>0</v>
      </c>
      <c r="AB263" s="497">
        <v>0</v>
      </c>
      <c r="AC263" s="497">
        <v>0</v>
      </c>
      <c r="AD263" s="497">
        <v>0</v>
      </c>
      <c r="AE263" s="498">
        <v>0</v>
      </c>
      <c r="AF263" s="499">
        <v>0</v>
      </c>
      <c r="AG263" s="499">
        <v>0</v>
      </c>
      <c r="AH263" s="499">
        <v>0</v>
      </c>
      <c r="AI263" s="499">
        <v>0</v>
      </c>
      <c r="AJ263" s="499">
        <v>0</v>
      </c>
      <c r="AK263" s="499">
        <v>0</v>
      </c>
      <c r="AL263" s="499">
        <v>0</v>
      </c>
      <c r="AM263" s="499">
        <v>0</v>
      </c>
      <c r="AN263" s="499">
        <v>0</v>
      </c>
      <c r="AO263" s="499">
        <v>0</v>
      </c>
      <c r="AP263" s="499">
        <v>0</v>
      </c>
      <c r="AQ263" s="499">
        <v>0</v>
      </c>
      <c r="AR263" s="499">
        <v>0</v>
      </c>
      <c r="AS263" s="499">
        <v>0</v>
      </c>
      <c r="AT263" s="499">
        <v>0</v>
      </c>
      <c r="AU263" s="499">
        <v>0</v>
      </c>
      <c r="AV263" s="499">
        <v>0</v>
      </c>
      <c r="AW263" s="499">
        <v>0</v>
      </c>
      <c r="AX263" s="499">
        <v>0</v>
      </c>
      <c r="AY263" s="499">
        <v>0</v>
      </c>
      <c r="AZ263" s="499">
        <v>0</v>
      </c>
      <c r="BA263" s="499">
        <v>0</v>
      </c>
      <c r="BB263" s="499">
        <v>0</v>
      </c>
      <c r="BC263" s="500"/>
      <c r="BD263" s="450"/>
    </row>
    <row r="264" spans="1:56" ht="15" customHeight="1" outlineLevel="3">
      <c r="B264" s="494"/>
      <c r="C264" s="522" t="s">
        <v>1920</v>
      </c>
      <c r="D264" s="524" t="s">
        <v>1921</v>
      </c>
      <c r="E264" s="497">
        <v>0</v>
      </c>
      <c r="F264" s="497">
        <v>0</v>
      </c>
      <c r="G264" s="497">
        <v>0</v>
      </c>
      <c r="H264" s="497">
        <v>0</v>
      </c>
      <c r="I264" s="497">
        <v>0</v>
      </c>
      <c r="J264" s="497">
        <v>0</v>
      </c>
      <c r="K264" s="497">
        <v>0</v>
      </c>
      <c r="L264" s="497">
        <v>0</v>
      </c>
      <c r="M264" s="497">
        <v>0</v>
      </c>
      <c r="N264" s="497">
        <v>0</v>
      </c>
      <c r="O264" s="497">
        <v>0</v>
      </c>
      <c r="P264" s="497">
        <v>0</v>
      </c>
      <c r="Q264" s="497">
        <v>0</v>
      </c>
      <c r="R264" s="497">
        <v>0</v>
      </c>
      <c r="S264" s="497">
        <v>0</v>
      </c>
      <c r="T264" s="497">
        <v>0</v>
      </c>
      <c r="U264" s="497">
        <v>0</v>
      </c>
      <c r="V264" s="497">
        <v>0</v>
      </c>
      <c r="W264" s="497">
        <v>0</v>
      </c>
      <c r="X264" s="497">
        <v>0</v>
      </c>
      <c r="Y264" s="497">
        <v>0</v>
      </c>
      <c r="Z264" s="497">
        <v>0</v>
      </c>
      <c r="AA264" s="497">
        <v>0</v>
      </c>
      <c r="AB264" s="497">
        <v>0</v>
      </c>
      <c r="AC264" s="497">
        <v>0</v>
      </c>
      <c r="AD264" s="497">
        <v>0</v>
      </c>
      <c r="AE264" s="498">
        <v>0</v>
      </c>
      <c r="AF264" s="499">
        <v>0</v>
      </c>
      <c r="AG264" s="499">
        <v>0</v>
      </c>
      <c r="AH264" s="499">
        <v>0</v>
      </c>
      <c r="AI264" s="499">
        <v>0</v>
      </c>
      <c r="AJ264" s="499">
        <v>0</v>
      </c>
      <c r="AK264" s="499">
        <v>0</v>
      </c>
      <c r="AL264" s="499">
        <v>0</v>
      </c>
      <c r="AM264" s="499">
        <v>0</v>
      </c>
      <c r="AN264" s="499">
        <v>0</v>
      </c>
      <c r="AO264" s="499">
        <v>0</v>
      </c>
      <c r="AP264" s="499">
        <v>0</v>
      </c>
      <c r="AQ264" s="499">
        <v>0</v>
      </c>
      <c r="AR264" s="499">
        <v>0</v>
      </c>
      <c r="AS264" s="499">
        <v>0</v>
      </c>
      <c r="AT264" s="499">
        <v>0</v>
      </c>
      <c r="AU264" s="499">
        <v>0</v>
      </c>
      <c r="AV264" s="499">
        <v>0</v>
      </c>
      <c r="AW264" s="499">
        <v>0</v>
      </c>
      <c r="AX264" s="499">
        <v>0</v>
      </c>
      <c r="AY264" s="499">
        <v>0</v>
      </c>
      <c r="AZ264" s="499">
        <v>0</v>
      </c>
      <c r="BA264" s="499">
        <v>0</v>
      </c>
      <c r="BB264" s="499">
        <v>0</v>
      </c>
      <c r="BC264" s="500"/>
      <c r="BD264" s="450"/>
    </row>
    <row r="265" spans="1:56" ht="15" customHeight="1" outlineLevel="3">
      <c r="B265" s="494"/>
      <c r="C265" s="2792" t="s">
        <v>1922</v>
      </c>
      <c r="D265" s="524" t="s">
        <v>1923</v>
      </c>
      <c r="E265" s="497">
        <v>0</v>
      </c>
      <c r="F265" s="497">
        <v>0</v>
      </c>
      <c r="G265" s="497">
        <v>0</v>
      </c>
      <c r="H265" s="497">
        <v>0</v>
      </c>
      <c r="I265" s="497">
        <v>0</v>
      </c>
      <c r="J265" s="497">
        <v>0</v>
      </c>
      <c r="K265" s="497">
        <v>0</v>
      </c>
      <c r="L265" s="497">
        <v>0</v>
      </c>
      <c r="M265" s="497">
        <v>0</v>
      </c>
      <c r="N265" s="497">
        <v>0</v>
      </c>
      <c r="O265" s="497">
        <v>0</v>
      </c>
      <c r="P265" s="497">
        <v>0</v>
      </c>
      <c r="Q265" s="497">
        <v>0</v>
      </c>
      <c r="R265" s="497">
        <v>0</v>
      </c>
      <c r="S265" s="497">
        <v>0</v>
      </c>
      <c r="T265" s="497">
        <v>0</v>
      </c>
      <c r="U265" s="497">
        <v>0</v>
      </c>
      <c r="V265" s="497">
        <v>0</v>
      </c>
      <c r="W265" s="497">
        <v>0</v>
      </c>
      <c r="X265" s="497">
        <v>0</v>
      </c>
      <c r="Y265" s="497">
        <v>0</v>
      </c>
      <c r="Z265" s="497">
        <v>0</v>
      </c>
      <c r="AA265" s="497">
        <v>0</v>
      </c>
      <c r="AB265" s="497">
        <v>0</v>
      </c>
      <c r="AC265" s="497">
        <v>0</v>
      </c>
      <c r="AD265" s="497">
        <v>0</v>
      </c>
      <c r="AE265" s="498">
        <v>0</v>
      </c>
      <c r="AF265" s="499">
        <v>0</v>
      </c>
      <c r="AG265" s="499">
        <v>0</v>
      </c>
      <c r="AH265" s="499">
        <v>0</v>
      </c>
      <c r="AI265" s="499">
        <v>0</v>
      </c>
      <c r="AJ265" s="499">
        <v>0</v>
      </c>
      <c r="AK265" s="499">
        <v>0</v>
      </c>
      <c r="AL265" s="499">
        <v>0</v>
      </c>
      <c r="AM265" s="499">
        <v>0</v>
      </c>
      <c r="AN265" s="499">
        <v>0</v>
      </c>
      <c r="AO265" s="499">
        <v>0</v>
      </c>
      <c r="AP265" s="499">
        <v>0</v>
      </c>
      <c r="AQ265" s="499">
        <v>0</v>
      </c>
      <c r="AR265" s="499">
        <v>0</v>
      </c>
      <c r="AS265" s="499">
        <v>0</v>
      </c>
      <c r="AT265" s="499">
        <v>0</v>
      </c>
      <c r="AU265" s="499">
        <v>0</v>
      </c>
      <c r="AV265" s="499">
        <v>0</v>
      </c>
      <c r="AW265" s="499">
        <v>0</v>
      </c>
      <c r="AX265" s="499">
        <v>0</v>
      </c>
      <c r="AY265" s="499">
        <v>0</v>
      </c>
      <c r="AZ265" s="499">
        <v>0</v>
      </c>
      <c r="BA265" s="499">
        <v>0</v>
      </c>
      <c r="BB265" s="499">
        <v>0</v>
      </c>
      <c r="BC265" s="508"/>
      <c r="BD265" s="450"/>
    </row>
    <row r="266" spans="1:56" s="415" customFormat="1" ht="15" customHeight="1" outlineLevel="2">
      <c r="B266" s="528"/>
      <c r="C266" s="519" t="s">
        <v>1924</v>
      </c>
      <c r="D266" s="525" t="s">
        <v>1925</v>
      </c>
      <c r="E266" s="518">
        <f t="shared" ref="E266:Z266" si="168">E262+E263+E265</f>
        <v>0</v>
      </c>
      <c r="F266" s="518">
        <f t="shared" si="168"/>
        <v>0</v>
      </c>
      <c r="G266" s="518">
        <f t="shared" si="168"/>
        <v>0</v>
      </c>
      <c r="H266" s="518">
        <f t="shared" si="168"/>
        <v>0</v>
      </c>
      <c r="I266" s="518">
        <f t="shared" si="168"/>
        <v>0</v>
      </c>
      <c r="J266" s="518">
        <f t="shared" si="168"/>
        <v>0</v>
      </c>
      <c r="K266" s="518">
        <f t="shared" si="168"/>
        <v>0</v>
      </c>
      <c r="L266" s="518">
        <f t="shared" si="168"/>
        <v>0</v>
      </c>
      <c r="M266" s="518">
        <f t="shared" si="168"/>
        <v>0</v>
      </c>
      <c r="N266" s="518">
        <f t="shared" si="168"/>
        <v>0</v>
      </c>
      <c r="O266" s="518">
        <f t="shared" si="168"/>
        <v>0</v>
      </c>
      <c r="P266" s="518">
        <f t="shared" si="168"/>
        <v>0</v>
      </c>
      <c r="Q266" s="518">
        <f t="shared" si="168"/>
        <v>0</v>
      </c>
      <c r="R266" s="518">
        <f t="shared" si="168"/>
        <v>0</v>
      </c>
      <c r="S266" s="518">
        <f t="shared" si="168"/>
        <v>0</v>
      </c>
      <c r="T266" s="518">
        <f t="shared" si="168"/>
        <v>0</v>
      </c>
      <c r="U266" s="518">
        <f t="shared" si="168"/>
        <v>0</v>
      </c>
      <c r="V266" s="518">
        <f t="shared" si="168"/>
        <v>0</v>
      </c>
      <c r="W266" s="518">
        <f t="shared" si="168"/>
        <v>0</v>
      </c>
      <c r="X266" s="518">
        <f t="shared" si="168"/>
        <v>0</v>
      </c>
      <c r="Y266" s="518">
        <f t="shared" si="168"/>
        <v>0</v>
      </c>
      <c r="Z266" s="518">
        <f t="shared" si="168"/>
        <v>0</v>
      </c>
      <c r="AA266" s="518">
        <f>AA262+AA263+AA265</f>
        <v>0</v>
      </c>
      <c r="AB266" s="518">
        <f t="shared" ref="AB266:BB266" si="169">AB262+AB263+AB265</f>
        <v>0</v>
      </c>
      <c r="AC266" s="518">
        <f t="shared" si="169"/>
        <v>0</v>
      </c>
      <c r="AD266" s="518">
        <f t="shared" si="169"/>
        <v>0</v>
      </c>
      <c r="AE266" s="520">
        <f t="shared" si="169"/>
        <v>0</v>
      </c>
      <c r="AF266" s="521">
        <f t="shared" si="169"/>
        <v>0</v>
      </c>
      <c r="AG266" s="521">
        <f t="shared" si="169"/>
        <v>0</v>
      </c>
      <c r="AH266" s="521">
        <f t="shared" si="169"/>
        <v>0</v>
      </c>
      <c r="AI266" s="521">
        <f t="shared" si="169"/>
        <v>0</v>
      </c>
      <c r="AJ266" s="521">
        <f t="shared" si="169"/>
        <v>0</v>
      </c>
      <c r="AK266" s="521">
        <f t="shared" si="169"/>
        <v>0</v>
      </c>
      <c r="AL266" s="521">
        <f t="shared" si="169"/>
        <v>0</v>
      </c>
      <c r="AM266" s="521">
        <f t="shared" si="169"/>
        <v>0</v>
      </c>
      <c r="AN266" s="521">
        <f t="shared" si="169"/>
        <v>0</v>
      </c>
      <c r="AO266" s="521">
        <f t="shared" si="169"/>
        <v>0</v>
      </c>
      <c r="AP266" s="521">
        <f t="shared" si="169"/>
        <v>0</v>
      </c>
      <c r="AQ266" s="521">
        <f t="shared" ref="AQ266:AZ266" si="170">AQ262+AQ263+AQ265</f>
        <v>0</v>
      </c>
      <c r="AR266" s="521">
        <f t="shared" si="170"/>
        <v>0</v>
      </c>
      <c r="AS266" s="521">
        <f t="shared" si="170"/>
        <v>0</v>
      </c>
      <c r="AT266" s="521">
        <f t="shared" si="170"/>
        <v>0</v>
      </c>
      <c r="AU266" s="521">
        <f t="shared" si="170"/>
        <v>0</v>
      </c>
      <c r="AV266" s="521">
        <f t="shared" si="170"/>
        <v>0</v>
      </c>
      <c r="AW266" s="521">
        <f t="shared" si="170"/>
        <v>0</v>
      </c>
      <c r="AX266" s="521">
        <f t="shared" si="170"/>
        <v>0</v>
      </c>
      <c r="AY266" s="521">
        <f t="shared" si="170"/>
        <v>0</v>
      </c>
      <c r="AZ266" s="521">
        <f t="shared" si="170"/>
        <v>0</v>
      </c>
      <c r="BA266" s="521">
        <f t="shared" si="169"/>
        <v>0</v>
      </c>
      <c r="BB266" s="521">
        <f t="shared" si="169"/>
        <v>0</v>
      </c>
      <c r="BC266" s="506"/>
      <c r="BD266" s="420"/>
    </row>
    <row r="267" spans="1:56" s="415" customFormat="1" ht="15" customHeight="1" outlineLevel="2">
      <c r="B267" s="528"/>
      <c r="C267" s="519" t="s">
        <v>1926</v>
      </c>
      <c r="D267" s="517" t="s">
        <v>1927</v>
      </c>
      <c r="E267" s="518">
        <f>E266</f>
        <v>0</v>
      </c>
      <c r="F267" s="518">
        <f t="shared" ref="F267:Z267" si="171">F266-E266</f>
        <v>0</v>
      </c>
      <c r="G267" s="518">
        <f t="shared" si="171"/>
        <v>0</v>
      </c>
      <c r="H267" s="518">
        <f t="shared" si="171"/>
        <v>0</v>
      </c>
      <c r="I267" s="518">
        <f t="shared" si="171"/>
        <v>0</v>
      </c>
      <c r="J267" s="518">
        <f t="shared" si="171"/>
        <v>0</v>
      </c>
      <c r="K267" s="518">
        <f t="shared" si="171"/>
        <v>0</v>
      </c>
      <c r="L267" s="518">
        <f t="shared" si="171"/>
        <v>0</v>
      </c>
      <c r="M267" s="518">
        <f t="shared" si="171"/>
        <v>0</v>
      </c>
      <c r="N267" s="518">
        <f t="shared" si="171"/>
        <v>0</v>
      </c>
      <c r="O267" s="518">
        <f t="shared" si="171"/>
        <v>0</v>
      </c>
      <c r="P267" s="518">
        <f t="shared" si="171"/>
        <v>0</v>
      </c>
      <c r="Q267" s="518">
        <f t="shared" si="171"/>
        <v>0</v>
      </c>
      <c r="R267" s="518">
        <f t="shared" si="171"/>
        <v>0</v>
      </c>
      <c r="S267" s="518">
        <f t="shared" si="171"/>
        <v>0</v>
      </c>
      <c r="T267" s="518">
        <f t="shared" si="171"/>
        <v>0</v>
      </c>
      <c r="U267" s="518">
        <f t="shared" si="171"/>
        <v>0</v>
      </c>
      <c r="V267" s="518">
        <f t="shared" si="171"/>
        <v>0</v>
      </c>
      <c r="W267" s="518">
        <f t="shared" si="171"/>
        <v>0</v>
      </c>
      <c r="X267" s="518">
        <f t="shared" si="171"/>
        <v>0</v>
      </c>
      <c r="Y267" s="518">
        <f t="shared" si="171"/>
        <v>0</v>
      </c>
      <c r="Z267" s="518">
        <f t="shared" si="171"/>
        <v>0</v>
      </c>
      <c r="AA267" s="518">
        <f t="shared" ref="AA267:BB267" si="172">(AA266-Z266)</f>
        <v>0</v>
      </c>
      <c r="AB267" s="518">
        <f t="shared" si="172"/>
        <v>0</v>
      </c>
      <c r="AC267" s="518">
        <f t="shared" si="172"/>
        <v>0</v>
      </c>
      <c r="AD267" s="518">
        <f t="shared" si="172"/>
        <v>0</v>
      </c>
      <c r="AE267" s="520">
        <f t="shared" si="172"/>
        <v>0</v>
      </c>
      <c r="AF267" s="521">
        <f t="shared" si="172"/>
        <v>0</v>
      </c>
      <c r="AG267" s="521">
        <f t="shared" si="172"/>
        <v>0</v>
      </c>
      <c r="AH267" s="521">
        <f t="shared" si="172"/>
        <v>0</v>
      </c>
      <c r="AI267" s="521">
        <f t="shared" si="172"/>
        <v>0</v>
      </c>
      <c r="AJ267" s="521">
        <f t="shared" si="172"/>
        <v>0</v>
      </c>
      <c r="AK267" s="521">
        <f t="shared" si="172"/>
        <v>0</v>
      </c>
      <c r="AL267" s="521">
        <f t="shared" si="172"/>
        <v>0</v>
      </c>
      <c r="AM267" s="521">
        <f t="shared" si="172"/>
        <v>0</v>
      </c>
      <c r="AN267" s="521">
        <f t="shared" si="172"/>
        <v>0</v>
      </c>
      <c r="AO267" s="521">
        <f t="shared" si="172"/>
        <v>0</v>
      </c>
      <c r="AP267" s="521">
        <f t="shared" si="172"/>
        <v>0</v>
      </c>
      <c r="AQ267" s="521">
        <f t="shared" ref="AQ267:AZ267" si="173">(AQ266-AP266)</f>
        <v>0</v>
      </c>
      <c r="AR267" s="521">
        <f t="shared" si="173"/>
        <v>0</v>
      </c>
      <c r="AS267" s="521">
        <f t="shared" si="173"/>
        <v>0</v>
      </c>
      <c r="AT267" s="521">
        <f t="shared" si="173"/>
        <v>0</v>
      </c>
      <c r="AU267" s="521">
        <f t="shared" si="173"/>
        <v>0</v>
      </c>
      <c r="AV267" s="521">
        <f t="shared" si="173"/>
        <v>0</v>
      </c>
      <c r="AW267" s="521">
        <f t="shared" si="173"/>
        <v>0</v>
      </c>
      <c r="AX267" s="521">
        <f t="shared" si="173"/>
        <v>0</v>
      </c>
      <c r="AY267" s="521">
        <f t="shared" si="173"/>
        <v>0</v>
      </c>
      <c r="AZ267" s="521">
        <f t="shared" si="173"/>
        <v>0</v>
      </c>
      <c r="BA267" s="521">
        <f>(BA266-AP266)</f>
        <v>0</v>
      </c>
      <c r="BB267" s="521">
        <f t="shared" si="172"/>
        <v>0</v>
      </c>
      <c r="BC267" s="506"/>
      <c r="BD267" s="420"/>
    </row>
    <row r="268" spans="1:56" s="536" customFormat="1" ht="16.5" customHeight="1" outlineLevel="2">
      <c r="A268" s="431"/>
      <c r="B268" s="528"/>
      <c r="C268" s="526"/>
      <c r="D268" s="517"/>
      <c r="E268" s="518"/>
      <c r="F268" s="518"/>
      <c r="G268" s="518"/>
      <c r="H268" s="518"/>
      <c r="I268" s="518"/>
      <c r="J268" s="497"/>
      <c r="K268" s="497"/>
      <c r="L268" s="497"/>
      <c r="M268" s="497"/>
      <c r="N268" s="497"/>
      <c r="O268" s="497"/>
      <c r="P268" s="497"/>
      <c r="Q268" s="497"/>
      <c r="R268" s="497"/>
      <c r="S268" s="497"/>
      <c r="T268" s="497"/>
      <c r="U268" s="497"/>
      <c r="V268" s="497"/>
      <c r="W268" s="497"/>
      <c r="X268" s="497"/>
      <c r="Y268" s="497"/>
      <c r="Z268" s="497"/>
      <c r="AA268" s="497"/>
      <c r="AB268" s="497"/>
      <c r="AC268" s="497"/>
      <c r="AD268" s="497"/>
      <c r="AE268" s="498"/>
      <c r="AF268" s="499"/>
      <c r="AG268" s="499"/>
      <c r="AH268" s="499"/>
      <c r="AI268" s="499"/>
      <c r="AJ268" s="499"/>
      <c r="AK268" s="499"/>
      <c r="AL268" s="499"/>
      <c r="AM268" s="499"/>
      <c r="AN268" s="499"/>
      <c r="AO268" s="499"/>
      <c r="AP268" s="499"/>
      <c r="AQ268" s="499"/>
      <c r="AR268" s="499"/>
      <c r="AS268" s="499"/>
      <c r="AT268" s="499"/>
      <c r="AU268" s="499"/>
      <c r="AV268" s="499"/>
      <c r="AW268" s="499"/>
      <c r="AX268" s="499"/>
      <c r="AY268" s="499"/>
      <c r="AZ268" s="499"/>
      <c r="BA268" s="499"/>
      <c r="BB268" s="499"/>
      <c r="BC268" s="506"/>
      <c r="BD268" s="535"/>
    </row>
    <row r="269" spans="1:56" outlineLevel="1">
      <c r="B269" s="501">
        <v>500</v>
      </c>
      <c r="C269" s="502" t="s">
        <v>1934</v>
      </c>
      <c r="D269" s="503" t="s">
        <v>1896</v>
      </c>
      <c r="E269" s="530">
        <f t="shared" ref="E269:BB270" si="174">E286</f>
        <v>0</v>
      </c>
      <c r="F269" s="530">
        <f t="shared" si="174"/>
        <v>0</v>
      </c>
      <c r="G269" s="530">
        <f t="shared" si="174"/>
        <v>0</v>
      </c>
      <c r="H269" s="530">
        <f t="shared" si="174"/>
        <v>0</v>
      </c>
      <c r="I269" s="530">
        <f t="shared" si="174"/>
        <v>0</v>
      </c>
      <c r="J269" s="530">
        <f t="shared" si="174"/>
        <v>0</v>
      </c>
      <c r="K269" s="530">
        <f t="shared" si="174"/>
        <v>0</v>
      </c>
      <c r="L269" s="530">
        <f t="shared" si="174"/>
        <v>0</v>
      </c>
      <c r="M269" s="530">
        <f t="shared" si="174"/>
        <v>0</v>
      </c>
      <c r="N269" s="530">
        <f t="shared" si="174"/>
        <v>0</v>
      </c>
      <c r="O269" s="530">
        <f t="shared" si="174"/>
        <v>0</v>
      </c>
      <c r="P269" s="530">
        <f t="shared" si="174"/>
        <v>0</v>
      </c>
      <c r="Q269" s="530">
        <f t="shared" si="174"/>
        <v>0</v>
      </c>
      <c r="R269" s="530">
        <f t="shared" si="174"/>
        <v>0</v>
      </c>
      <c r="S269" s="530">
        <f t="shared" si="174"/>
        <v>0</v>
      </c>
      <c r="T269" s="530">
        <f t="shared" si="174"/>
        <v>0</v>
      </c>
      <c r="U269" s="530">
        <f t="shared" si="174"/>
        <v>0</v>
      </c>
      <c r="V269" s="530">
        <f t="shared" si="174"/>
        <v>0</v>
      </c>
      <c r="W269" s="530">
        <f t="shared" si="174"/>
        <v>0</v>
      </c>
      <c r="X269" s="530">
        <f t="shared" si="174"/>
        <v>0</v>
      </c>
      <c r="Y269" s="530">
        <f t="shared" si="174"/>
        <v>0</v>
      </c>
      <c r="Z269" s="530">
        <f t="shared" si="174"/>
        <v>0</v>
      </c>
      <c r="AA269" s="530">
        <f t="shared" si="174"/>
        <v>0</v>
      </c>
      <c r="AB269" s="530">
        <f t="shared" si="174"/>
        <v>0</v>
      </c>
      <c r="AC269" s="530">
        <f t="shared" si="174"/>
        <v>0</v>
      </c>
      <c r="AD269" s="530">
        <f t="shared" si="174"/>
        <v>0</v>
      </c>
      <c r="AE269" s="531">
        <f t="shared" si="174"/>
        <v>0</v>
      </c>
      <c r="AF269" s="532">
        <f t="shared" si="174"/>
        <v>0</v>
      </c>
      <c r="AG269" s="532">
        <f t="shared" si="174"/>
        <v>0</v>
      </c>
      <c r="AH269" s="532">
        <f t="shared" si="174"/>
        <v>0</v>
      </c>
      <c r="AI269" s="532">
        <f t="shared" si="174"/>
        <v>0</v>
      </c>
      <c r="AJ269" s="532">
        <f t="shared" si="174"/>
        <v>0</v>
      </c>
      <c r="AK269" s="532">
        <f t="shared" si="174"/>
        <v>0</v>
      </c>
      <c r="AL269" s="532">
        <f t="shared" si="174"/>
        <v>0</v>
      </c>
      <c r="AM269" s="532">
        <f t="shared" si="174"/>
        <v>0</v>
      </c>
      <c r="AN269" s="532">
        <f t="shared" si="174"/>
        <v>0</v>
      </c>
      <c r="AO269" s="532">
        <f t="shared" si="174"/>
        <v>0</v>
      </c>
      <c r="AP269" s="532">
        <f t="shared" si="174"/>
        <v>0</v>
      </c>
      <c r="AQ269" s="532">
        <f t="shared" ref="AQ269:AZ269" si="175">AQ286</f>
        <v>0</v>
      </c>
      <c r="AR269" s="532">
        <f t="shared" si="175"/>
        <v>0</v>
      </c>
      <c r="AS269" s="532">
        <f t="shared" si="175"/>
        <v>0</v>
      </c>
      <c r="AT269" s="532">
        <f t="shared" si="175"/>
        <v>0</v>
      </c>
      <c r="AU269" s="532">
        <f t="shared" si="175"/>
        <v>0</v>
      </c>
      <c r="AV269" s="532">
        <f t="shared" si="175"/>
        <v>0</v>
      </c>
      <c r="AW269" s="532">
        <f t="shared" si="175"/>
        <v>0</v>
      </c>
      <c r="AX269" s="532">
        <f t="shared" si="175"/>
        <v>0</v>
      </c>
      <c r="AY269" s="532">
        <f t="shared" si="175"/>
        <v>0</v>
      </c>
      <c r="AZ269" s="532">
        <f t="shared" si="175"/>
        <v>0</v>
      </c>
      <c r="BA269" s="532">
        <f t="shared" si="174"/>
        <v>0</v>
      </c>
      <c r="BB269" s="532">
        <f t="shared" si="174"/>
        <v>0</v>
      </c>
      <c r="BC269" s="508">
        <f>AA269</f>
        <v>0</v>
      </c>
      <c r="BD269" s="450"/>
    </row>
    <row r="270" spans="1:56" outlineLevel="1">
      <c r="B270" s="501"/>
      <c r="C270" s="502"/>
      <c r="D270" s="503" t="s">
        <v>1897</v>
      </c>
      <c r="E270" s="530">
        <f t="shared" si="174"/>
        <v>0</v>
      </c>
      <c r="F270" s="530">
        <f t="shared" si="174"/>
        <v>0</v>
      </c>
      <c r="G270" s="530">
        <f t="shared" si="174"/>
        <v>0</v>
      </c>
      <c r="H270" s="530">
        <f t="shared" si="174"/>
        <v>0</v>
      </c>
      <c r="I270" s="530">
        <f t="shared" si="174"/>
        <v>0</v>
      </c>
      <c r="J270" s="530">
        <f t="shared" si="174"/>
        <v>0</v>
      </c>
      <c r="K270" s="530">
        <f t="shared" si="174"/>
        <v>0</v>
      </c>
      <c r="L270" s="530">
        <f t="shared" si="174"/>
        <v>0</v>
      </c>
      <c r="M270" s="530">
        <f t="shared" si="174"/>
        <v>0</v>
      </c>
      <c r="N270" s="530">
        <f t="shared" si="174"/>
        <v>0</v>
      </c>
      <c r="O270" s="530">
        <f t="shared" si="174"/>
        <v>0</v>
      </c>
      <c r="P270" s="530">
        <f t="shared" si="174"/>
        <v>0</v>
      </c>
      <c r="Q270" s="530">
        <f t="shared" si="174"/>
        <v>0</v>
      </c>
      <c r="R270" s="530">
        <f t="shared" si="174"/>
        <v>0</v>
      </c>
      <c r="S270" s="530">
        <f t="shared" si="174"/>
        <v>0</v>
      </c>
      <c r="T270" s="530">
        <f t="shared" si="174"/>
        <v>0</v>
      </c>
      <c r="U270" s="530">
        <f t="shared" si="174"/>
        <v>0</v>
      </c>
      <c r="V270" s="530">
        <f t="shared" si="174"/>
        <v>0</v>
      </c>
      <c r="W270" s="530">
        <f t="shared" si="174"/>
        <v>0</v>
      </c>
      <c r="X270" s="530">
        <f t="shared" si="174"/>
        <v>0</v>
      </c>
      <c r="Y270" s="530">
        <f t="shared" si="174"/>
        <v>0</v>
      </c>
      <c r="Z270" s="530">
        <f t="shared" si="174"/>
        <v>0</v>
      </c>
      <c r="AA270" s="530">
        <f t="shared" si="174"/>
        <v>0</v>
      </c>
      <c r="AB270" s="530">
        <f t="shared" si="174"/>
        <v>0</v>
      </c>
      <c r="AC270" s="530">
        <f t="shared" si="174"/>
        <v>0</v>
      </c>
      <c r="AD270" s="530">
        <f t="shared" si="174"/>
        <v>0</v>
      </c>
      <c r="AE270" s="531">
        <f t="shared" si="174"/>
        <v>0</v>
      </c>
      <c r="AF270" s="532">
        <f t="shared" si="174"/>
        <v>0</v>
      </c>
      <c r="AG270" s="532">
        <f t="shared" si="174"/>
        <v>0</v>
      </c>
      <c r="AH270" s="532">
        <f t="shared" si="174"/>
        <v>0</v>
      </c>
      <c r="AI270" s="532">
        <f t="shared" si="174"/>
        <v>0</v>
      </c>
      <c r="AJ270" s="532">
        <f t="shared" si="174"/>
        <v>0</v>
      </c>
      <c r="AK270" s="532">
        <f t="shared" si="174"/>
        <v>0</v>
      </c>
      <c r="AL270" s="532">
        <f t="shared" si="174"/>
        <v>0</v>
      </c>
      <c r="AM270" s="532">
        <f t="shared" si="174"/>
        <v>0</v>
      </c>
      <c r="AN270" s="532">
        <f t="shared" si="174"/>
        <v>0</v>
      </c>
      <c r="AO270" s="532">
        <f t="shared" si="174"/>
        <v>0</v>
      </c>
      <c r="AP270" s="532">
        <f t="shared" si="174"/>
        <v>0</v>
      </c>
      <c r="AQ270" s="532">
        <f t="shared" ref="AQ270:AZ270" si="176">AQ287</f>
        <v>0</v>
      </c>
      <c r="AR270" s="532">
        <f t="shared" si="176"/>
        <v>0</v>
      </c>
      <c r="AS270" s="532">
        <f t="shared" si="176"/>
        <v>0</v>
      </c>
      <c r="AT270" s="532">
        <f t="shared" si="176"/>
        <v>0</v>
      </c>
      <c r="AU270" s="532">
        <f t="shared" si="176"/>
        <v>0</v>
      </c>
      <c r="AV270" s="532">
        <f t="shared" si="176"/>
        <v>0</v>
      </c>
      <c r="AW270" s="532">
        <f t="shared" si="176"/>
        <v>0</v>
      </c>
      <c r="AX270" s="532">
        <f t="shared" si="176"/>
        <v>0</v>
      </c>
      <c r="AY270" s="532">
        <f t="shared" si="176"/>
        <v>0</v>
      </c>
      <c r="AZ270" s="532">
        <f t="shared" si="176"/>
        <v>0</v>
      </c>
      <c r="BA270" s="532">
        <f t="shared" si="174"/>
        <v>0</v>
      </c>
      <c r="BB270" s="532">
        <f t="shared" si="174"/>
        <v>0</v>
      </c>
      <c r="BC270" s="500">
        <f>SUM(E270:BB270)</f>
        <v>0</v>
      </c>
      <c r="BD270" s="450"/>
    </row>
    <row r="271" spans="1:56" ht="15" customHeight="1" outlineLevel="2">
      <c r="B271" s="494"/>
      <c r="C271" s="507"/>
      <c r="D271" s="496"/>
      <c r="E271" s="497"/>
      <c r="F271" s="497"/>
      <c r="G271" s="497"/>
      <c r="H271" s="497"/>
      <c r="I271" s="497"/>
      <c r="J271" s="497"/>
      <c r="K271" s="497"/>
      <c r="L271" s="497"/>
      <c r="M271" s="497"/>
      <c r="N271" s="497"/>
      <c r="O271" s="497"/>
      <c r="P271" s="497"/>
      <c r="Q271" s="497"/>
      <c r="R271" s="497"/>
      <c r="S271" s="497"/>
      <c r="T271" s="497"/>
      <c r="U271" s="497"/>
      <c r="V271" s="497"/>
      <c r="W271" s="497"/>
      <c r="X271" s="497"/>
      <c r="Y271" s="497"/>
      <c r="Z271" s="497"/>
      <c r="AA271" s="497"/>
      <c r="AB271" s="497"/>
      <c r="AC271" s="497"/>
      <c r="AD271" s="497"/>
      <c r="AE271" s="498"/>
      <c r="AF271" s="499"/>
      <c r="AG271" s="499"/>
      <c r="AH271" s="499"/>
      <c r="AI271" s="499"/>
      <c r="AJ271" s="499"/>
      <c r="AK271" s="499"/>
      <c r="AL271" s="499"/>
      <c r="AM271" s="499"/>
      <c r="AN271" s="499"/>
      <c r="AO271" s="499"/>
      <c r="AP271" s="499"/>
      <c r="AQ271" s="499"/>
      <c r="AR271" s="499"/>
      <c r="AS271" s="499"/>
      <c r="AT271" s="499"/>
      <c r="AU271" s="499"/>
      <c r="AV271" s="499"/>
      <c r="AW271" s="499"/>
      <c r="AX271" s="499"/>
      <c r="AY271" s="499"/>
      <c r="AZ271" s="499"/>
      <c r="BA271" s="499"/>
      <c r="BB271" s="499"/>
      <c r="BC271" s="508"/>
      <c r="BD271" s="450"/>
    </row>
    <row r="272" spans="1:56" ht="16.5" customHeight="1" outlineLevel="2">
      <c r="B272" s="533">
        <v>500.1</v>
      </c>
      <c r="C272" s="529" t="s">
        <v>1941</v>
      </c>
      <c r="D272" s="534"/>
      <c r="E272" s="512"/>
      <c r="F272" s="512"/>
      <c r="G272" s="512"/>
      <c r="H272" s="512"/>
      <c r="I272" s="512"/>
      <c r="J272" s="512"/>
      <c r="K272" s="512"/>
      <c r="L272" s="512"/>
      <c r="M272" s="512"/>
      <c r="N272" s="512"/>
      <c r="O272" s="512"/>
      <c r="P272" s="512"/>
      <c r="Q272" s="512"/>
      <c r="R272" s="512"/>
      <c r="S272" s="512"/>
      <c r="T272" s="512"/>
      <c r="U272" s="512"/>
      <c r="V272" s="512"/>
      <c r="W272" s="512"/>
      <c r="X272" s="512"/>
      <c r="Y272" s="512"/>
      <c r="Z272" s="512"/>
      <c r="AA272" s="512"/>
      <c r="AB272" s="512"/>
      <c r="AC272" s="512"/>
      <c r="AD272" s="512"/>
      <c r="AE272" s="513"/>
      <c r="AF272" s="514"/>
      <c r="AG272" s="514"/>
      <c r="AH272" s="514"/>
      <c r="AI272" s="514"/>
      <c r="AJ272" s="514"/>
      <c r="AK272" s="514"/>
      <c r="AL272" s="514"/>
      <c r="AM272" s="514"/>
      <c r="AN272" s="514"/>
      <c r="AO272" s="514"/>
      <c r="AP272" s="514"/>
      <c r="AQ272" s="514"/>
      <c r="AR272" s="514"/>
      <c r="AS272" s="514"/>
      <c r="AT272" s="514"/>
      <c r="AU272" s="514"/>
      <c r="AV272" s="514"/>
      <c r="AW272" s="514"/>
      <c r="AX272" s="514"/>
      <c r="AY272" s="514"/>
      <c r="AZ272" s="514"/>
      <c r="BA272" s="514"/>
      <c r="BB272" s="514"/>
      <c r="BC272" s="508"/>
      <c r="BD272" s="450"/>
    </row>
    <row r="273" spans="1:56" ht="15" customHeight="1" outlineLevel="3">
      <c r="B273" s="494"/>
      <c r="C273" s="515" t="s">
        <v>1898</v>
      </c>
      <c r="D273" s="496" t="s">
        <v>1899</v>
      </c>
      <c r="E273" s="497">
        <v>0</v>
      </c>
      <c r="F273" s="497">
        <v>0</v>
      </c>
      <c r="G273" s="497">
        <v>0</v>
      </c>
      <c r="H273" s="497">
        <v>0</v>
      </c>
      <c r="I273" s="497">
        <v>0</v>
      </c>
      <c r="J273" s="497">
        <v>0</v>
      </c>
      <c r="K273" s="497">
        <v>0</v>
      </c>
      <c r="L273" s="497">
        <v>0</v>
      </c>
      <c r="M273" s="497">
        <v>0</v>
      </c>
      <c r="N273" s="497">
        <v>0</v>
      </c>
      <c r="O273" s="497">
        <v>0</v>
      </c>
      <c r="P273" s="497">
        <v>0</v>
      </c>
      <c r="Q273" s="497">
        <v>0</v>
      </c>
      <c r="R273" s="497">
        <v>0</v>
      </c>
      <c r="S273" s="497">
        <v>0</v>
      </c>
      <c r="T273" s="497">
        <v>0</v>
      </c>
      <c r="U273" s="497">
        <v>0</v>
      </c>
      <c r="V273" s="497">
        <v>0</v>
      </c>
      <c r="W273" s="497">
        <v>0</v>
      </c>
      <c r="X273" s="497">
        <v>0</v>
      </c>
      <c r="Y273" s="497">
        <v>0</v>
      </c>
      <c r="Z273" s="497">
        <v>0</v>
      </c>
      <c r="AA273" s="497">
        <v>0</v>
      </c>
      <c r="AB273" s="497">
        <v>0</v>
      </c>
      <c r="AC273" s="497">
        <v>0</v>
      </c>
      <c r="AD273" s="497">
        <v>0</v>
      </c>
      <c r="AE273" s="498">
        <v>0</v>
      </c>
      <c r="AF273" s="499">
        <v>0</v>
      </c>
      <c r="AG273" s="499">
        <v>0</v>
      </c>
      <c r="AH273" s="499">
        <v>0</v>
      </c>
      <c r="AI273" s="499">
        <v>0</v>
      </c>
      <c r="AJ273" s="499">
        <v>0</v>
      </c>
      <c r="AK273" s="499">
        <v>0</v>
      </c>
      <c r="AL273" s="499">
        <v>0</v>
      </c>
      <c r="AM273" s="499">
        <v>0</v>
      </c>
      <c r="AN273" s="499">
        <v>0</v>
      </c>
      <c r="AO273" s="499">
        <v>0</v>
      </c>
      <c r="AP273" s="499">
        <v>0</v>
      </c>
      <c r="AQ273" s="499">
        <v>0</v>
      </c>
      <c r="AR273" s="499">
        <v>0</v>
      </c>
      <c r="AS273" s="499">
        <v>0</v>
      </c>
      <c r="AT273" s="499">
        <v>0</v>
      </c>
      <c r="AU273" s="499">
        <v>0</v>
      </c>
      <c r="AV273" s="499">
        <v>0</v>
      </c>
      <c r="AW273" s="499">
        <v>0</v>
      </c>
      <c r="AX273" s="499">
        <v>0</v>
      </c>
      <c r="AY273" s="499">
        <v>0</v>
      </c>
      <c r="AZ273" s="499">
        <v>0</v>
      </c>
      <c r="BA273" s="499">
        <v>0</v>
      </c>
      <c r="BB273" s="499">
        <v>0</v>
      </c>
      <c r="BC273" s="500"/>
      <c r="BD273" s="450"/>
    </row>
    <row r="274" spans="1:56" ht="15" customHeight="1" outlineLevel="3">
      <c r="B274" s="494"/>
      <c r="C274" s="515" t="s">
        <v>1901</v>
      </c>
      <c r="D274" s="496" t="s">
        <v>1902</v>
      </c>
      <c r="E274" s="497">
        <v>0</v>
      </c>
      <c r="F274" s="497">
        <v>0</v>
      </c>
      <c r="G274" s="497">
        <v>0</v>
      </c>
      <c r="H274" s="497">
        <v>0</v>
      </c>
      <c r="I274" s="497">
        <v>0</v>
      </c>
      <c r="J274" s="497">
        <v>0</v>
      </c>
      <c r="K274" s="497">
        <v>0</v>
      </c>
      <c r="L274" s="497">
        <v>0</v>
      </c>
      <c r="M274" s="497">
        <v>0</v>
      </c>
      <c r="N274" s="497">
        <v>0</v>
      </c>
      <c r="O274" s="497">
        <v>0</v>
      </c>
      <c r="P274" s="497">
        <v>0</v>
      </c>
      <c r="Q274" s="497">
        <v>0</v>
      </c>
      <c r="R274" s="497">
        <v>0</v>
      </c>
      <c r="S274" s="497">
        <v>0</v>
      </c>
      <c r="T274" s="497">
        <v>0</v>
      </c>
      <c r="U274" s="497">
        <v>0</v>
      </c>
      <c r="V274" s="497">
        <v>0</v>
      </c>
      <c r="W274" s="497">
        <v>0</v>
      </c>
      <c r="X274" s="497">
        <v>0</v>
      </c>
      <c r="Y274" s="497">
        <v>0</v>
      </c>
      <c r="Z274" s="497">
        <v>0</v>
      </c>
      <c r="AA274" s="497">
        <v>0</v>
      </c>
      <c r="AB274" s="497">
        <v>0</v>
      </c>
      <c r="AC274" s="497">
        <v>0</v>
      </c>
      <c r="AD274" s="497">
        <v>0</v>
      </c>
      <c r="AE274" s="498">
        <v>0</v>
      </c>
      <c r="AF274" s="499">
        <v>0</v>
      </c>
      <c r="AG274" s="499">
        <v>0</v>
      </c>
      <c r="AH274" s="499">
        <v>0</v>
      </c>
      <c r="AI274" s="499">
        <v>0</v>
      </c>
      <c r="AJ274" s="499">
        <v>0</v>
      </c>
      <c r="AK274" s="499">
        <v>0</v>
      </c>
      <c r="AL274" s="499">
        <v>0</v>
      </c>
      <c r="AM274" s="499">
        <v>0</v>
      </c>
      <c r="AN274" s="499">
        <v>0</v>
      </c>
      <c r="AO274" s="499">
        <v>0</v>
      </c>
      <c r="AP274" s="499">
        <v>0</v>
      </c>
      <c r="AQ274" s="499">
        <v>0</v>
      </c>
      <c r="AR274" s="499">
        <v>0</v>
      </c>
      <c r="AS274" s="499">
        <v>0</v>
      </c>
      <c r="AT274" s="499">
        <v>0</v>
      </c>
      <c r="AU274" s="499">
        <v>0</v>
      </c>
      <c r="AV274" s="499">
        <v>0</v>
      </c>
      <c r="AW274" s="499">
        <v>0</v>
      </c>
      <c r="AX274" s="499">
        <v>0</v>
      </c>
      <c r="AY274" s="499">
        <v>0</v>
      </c>
      <c r="AZ274" s="499">
        <v>0</v>
      </c>
      <c r="BA274" s="499">
        <v>0</v>
      </c>
      <c r="BB274" s="499">
        <v>0</v>
      </c>
      <c r="BC274" s="500"/>
      <c r="BD274" s="450"/>
    </row>
    <row r="275" spans="1:56" ht="15" customHeight="1" outlineLevel="3">
      <c r="B275" s="494"/>
      <c r="C275" s="515" t="s">
        <v>1903</v>
      </c>
      <c r="D275" s="496" t="s">
        <v>1904</v>
      </c>
      <c r="E275" s="497">
        <v>0</v>
      </c>
      <c r="F275" s="497">
        <v>0</v>
      </c>
      <c r="G275" s="497">
        <v>0</v>
      </c>
      <c r="H275" s="497">
        <v>0</v>
      </c>
      <c r="I275" s="497">
        <v>0</v>
      </c>
      <c r="J275" s="497">
        <v>0</v>
      </c>
      <c r="K275" s="497">
        <v>0</v>
      </c>
      <c r="L275" s="497">
        <v>0</v>
      </c>
      <c r="M275" s="497">
        <v>0</v>
      </c>
      <c r="N275" s="497">
        <v>0</v>
      </c>
      <c r="O275" s="497">
        <v>0</v>
      </c>
      <c r="P275" s="497">
        <v>0</v>
      </c>
      <c r="Q275" s="497">
        <v>0</v>
      </c>
      <c r="R275" s="497">
        <v>0</v>
      </c>
      <c r="S275" s="497">
        <v>0</v>
      </c>
      <c r="T275" s="497">
        <v>0</v>
      </c>
      <c r="U275" s="497">
        <v>0</v>
      </c>
      <c r="V275" s="497">
        <v>0</v>
      </c>
      <c r="W275" s="497">
        <v>0</v>
      </c>
      <c r="X275" s="497">
        <v>0</v>
      </c>
      <c r="Y275" s="497">
        <v>0</v>
      </c>
      <c r="Z275" s="497">
        <v>0</v>
      </c>
      <c r="AA275" s="497">
        <v>0</v>
      </c>
      <c r="AB275" s="497">
        <v>0</v>
      </c>
      <c r="AC275" s="497">
        <v>0</v>
      </c>
      <c r="AD275" s="497">
        <v>0</v>
      </c>
      <c r="AE275" s="498">
        <v>0</v>
      </c>
      <c r="AF275" s="499">
        <v>0</v>
      </c>
      <c r="AG275" s="499">
        <v>0</v>
      </c>
      <c r="AH275" s="499">
        <v>0</v>
      </c>
      <c r="AI275" s="499">
        <v>0</v>
      </c>
      <c r="AJ275" s="499">
        <v>0</v>
      </c>
      <c r="AK275" s="499">
        <v>0</v>
      </c>
      <c r="AL275" s="499">
        <v>0</v>
      </c>
      <c r="AM275" s="499">
        <v>0</v>
      </c>
      <c r="AN275" s="499">
        <v>0</v>
      </c>
      <c r="AO275" s="499">
        <v>0</v>
      </c>
      <c r="AP275" s="499">
        <v>0</v>
      </c>
      <c r="AQ275" s="499">
        <v>0</v>
      </c>
      <c r="AR275" s="499">
        <v>0</v>
      </c>
      <c r="AS275" s="499">
        <v>0</v>
      </c>
      <c r="AT275" s="499">
        <v>0</v>
      </c>
      <c r="AU275" s="499">
        <v>0</v>
      </c>
      <c r="AV275" s="499">
        <v>0</v>
      </c>
      <c r="AW275" s="499">
        <v>0</v>
      </c>
      <c r="AX275" s="499">
        <v>0</v>
      </c>
      <c r="AY275" s="499">
        <v>0</v>
      </c>
      <c r="AZ275" s="499">
        <v>0</v>
      </c>
      <c r="BA275" s="499">
        <v>0</v>
      </c>
      <c r="BB275" s="499">
        <v>0</v>
      </c>
      <c r="BC275" s="500"/>
      <c r="BD275" s="450"/>
    </row>
    <row r="276" spans="1:56" s="415" customFormat="1" ht="15" customHeight="1" outlineLevel="3">
      <c r="B276" s="528"/>
      <c r="C276" s="516" t="s">
        <v>1905</v>
      </c>
      <c r="D276" s="517" t="s">
        <v>1906</v>
      </c>
      <c r="E276" s="518">
        <f>E273+E274+E275</f>
        <v>0</v>
      </c>
      <c r="F276" s="518">
        <f t="shared" ref="F276:Y276" si="177">F273+F274+F275</f>
        <v>0</v>
      </c>
      <c r="G276" s="518">
        <f t="shared" si="177"/>
        <v>0</v>
      </c>
      <c r="H276" s="518">
        <f t="shared" si="177"/>
        <v>0</v>
      </c>
      <c r="I276" s="518">
        <f t="shared" si="177"/>
        <v>0</v>
      </c>
      <c r="J276" s="518">
        <f t="shared" si="177"/>
        <v>0</v>
      </c>
      <c r="K276" s="518">
        <f t="shared" si="177"/>
        <v>0</v>
      </c>
      <c r="L276" s="518">
        <f t="shared" si="177"/>
        <v>0</v>
      </c>
      <c r="M276" s="518">
        <f t="shared" si="177"/>
        <v>0</v>
      </c>
      <c r="N276" s="518">
        <f t="shared" si="177"/>
        <v>0</v>
      </c>
      <c r="O276" s="518">
        <f t="shared" si="177"/>
        <v>0</v>
      </c>
      <c r="P276" s="518">
        <f t="shared" si="177"/>
        <v>0</v>
      </c>
      <c r="Q276" s="518">
        <f t="shared" si="177"/>
        <v>0</v>
      </c>
      <c r="R276" s="518">
        <f t="shared" si="177"/>
        <v>0</v>
      </c>
      <c r="S276" s="518">
        <f t="shared" si="177"/>
        <v>0</v>
      </c>
      <c r="T276" s="518">
        <f t="shared" si="177"/>
        <v>0</v>
      </c>
      <c r="U276" s="518">
        <f t="shared" si="177"/>
        <v>0</v>
      </c>
      <c r="V276" s="518">
        <f t="shared" si="177"/>
        <v>0</v>
      </c>
      <c r="W276" s="518">
        <f t="shared" si="177"/>
        <v>0</v>
      </c>
      <c r="X276" s="518">
        <f t="shared" si="177"/>
        <v>0</v>
      </c>
      <c r="Y276" s="518">
        <f t="shared" si="177"/>
        <v>0</v>
      </c>
      <c r="Z276" s="518"/>
      <c r="AA276" s="518"/>
      <c r="AB276" s="518"/>
      <c r="AC276" s="518"/>
      <c r="AD276" s="518"/>
      <c r="AE276" s="520"/>
      <c r="AF276" s="521"/>
      <c r="AG276" s="521"/>
      <c r="AH276" s="521"/>
      <c r="AI276" s="521"/>
      <c r="AJ276" s="521"/>
      <c r="AK276" s="521"/>
      <c r="AL276" s="521"/>
      <c r="AM276" s="521"/>
      <c r="AN276" s="521"/>
      <c r="AO276" s="521"/>
      <c r="AP276" s="521"/>
      <c r="AQ276" s="521"/>
      <c r="AR276" s="521"/>
      <c r="AS276" s="521"/>
      <c r="AT276" s="521"/>
      <c r="AU276" s="521"/>
      <c r="AV276" s="521"/>
      <c r="AW276" s="521"/>
      <c r="AX276" s="521"/>
      <c r="AY276" s="521"/>
      <c r="AZ276" s="521"/>
      <c r="BA276" s="521"/>
      <c r="BB276" s="521"/>
      <c r="BC276" s="506"/>
      <c r="BD276" s="420"/>
    </row>
    <row r="277" spans="1:56" s="415" customFormat="1" ht="15" customHeight="1" outlineLevel="3">
      <c r="B277" s="528"/>
      <c r="C277" s="519" t="s">
        <v>1907</v>
      </c>
      <c r="D277" s="517" t="s">
        <v>1908</v>
      </c>
      <c r="E277" s="518">
        <v>0</v>
      </c>
      <c r="F277" s="518">
        <v>0</v>
      </c>
      <c r="G277" s="518">
        <v>0</v>
      </c>
      <c r="H277" s="518">
        <v>0</v>
      </c>
      <c r="I277" s="518">
        <v>0</v>
      </c>
      <c r="J277" s="518">
        <v>0</v>
      </c>
      <c r="K277" s="518">
        <v>0</v>
      </c>
      <c r="L277" s="518">
        <v>0</v>
      </c>
      <c r="M277" s="518">
        <v>0</v>
      </c>
      <c r="N277" s="518">
        <v>0</v>
      </c>
      <c r="O277" s="518">
        <v>0</v>
      </c>
      <c r="P277" s="518">
        <v>0</v>
      </c>
      <c r="Q277" s="518">
        <v>0</v>
      </c>
      <c r="R277" s="518">
        <v>0</v>
      </c>
      <c r="S277" s="518">
        <v>0</v>
      </c>
      <c r="T277" s="518">
        <v>0</v>
      </c>
      <c r="U277" s="518">
        <v>0</v>
      </c>
      <c r="V277" s="518">
        <v>0</v>
      </c>
      <c r="W277" s="518">
        <v>0</v>
      </c>
      <c r="X277" s="518">
        <v>0</v>
      </c>
      <c r="Y277" s="518">
        <v>0</v>
      </c>
      <c r="Z277" s="518">
        <v>0</v>
      </c>
      <c r="AA277" s="518">
        <v>0</v>
      </c>
      <c r="AB277" s="518">
        <v>0</v>
      </c>
      <c r="AC277" s="518">
        <v>0</v>
      </c>
      <c r="AD277" s="518">
        <v>0</v>
      </c>
      <c r="AE277" s="520">
        <v>0</v>
      </c>
      <c r="AF277" s="521">
        <v>0</v>
      </c>
      <c r="AG277" s="521">
        <v>0</v>
      </c>
      <c r="AH277" s="521">
        <v>0</v>
      </c>
      <c r="AI277" s="521">
        <v>0</v>
      </c>
      <c r="AJ277" s="521">
        <v>0</v>
      </c>
      <c r="AK277" s="521">
        <v>0</v>
      </c>
      <c r="AL277" s="521">
        <v>0</v>
      </c>
      <c r="AM277" s="521">
        <v>0</v>
      </c>
      <c r="AN277" s="521">
        <v>0</v>
      </c>
      <c r="AO277" s="521">
        <v>0</v>
      </c>
      <c r="AP277" s="521">
        <v>0</v>
      </c>
      <c r="AQ277" s="521">
        <v>0</v>
      </c>
      <c r="AR277" s="521">
        <v>0</v>
      </c>
      <c r="AS277" s="521">
        <v>0</v>
      </c>
      <c r="AT277" s="521">
        <v>0</v>
      </c>
      <c r="AU277" s="521">
        <v>0</v>
      </c>
      <c r="AV277" s="521">
        <v>0</v>
      </c>
      <c r="AW277" s="521">
        <v>0</v>
      </c>
      <c r="AX277" s="521">
        <v>0</v>
      </c>
      <c r="AY277" s="521">
        <v>0</v>
      </c>
      <c r="AZ277" s="521">
        <v>0</v>
      </c>
      <c r="BA277" s="521">
        <v>0</v>
      </c>
      <c r="BB277" s="521">
        <v>0</v>
      </c>
      <c r="BC277" s="506"/>
      <c r="BD277" s="420"/>
    </row>
    <row r="278" spans="1:56" s="438" customFormat="1" ht="15" customHeight="1" outlineLevel="3">
      <c r="A278" s="431"/>
      <c r="B278" s="494"/>
      <c r="C278" s="522" t="s">
        <v>1579</v>
      </c>
      <c r="D278" s="496" t="s">
        <v>1909</v>
      </c>
      <c r="E278" s="497">
        <v>0</v>
      </c>
      <c r="F278" s="497">
        <v>0</v>
      </c>
      <c r="G278" s="497">
        <v>0</v>
      </c>
      <c r="H278" s="497">
        <v>0</v>
      </c>
      <c r="I278" s="497">
        <v>0</v>
      </c>
      <c r="J278" s="497">
        <v>0</v>
      </c>
      <c r="K278" s="497">
        <v>0</v>
      </c>
      <c r="L278" s="497">
        <v>0</v>
      </c>
      <c r="M278" s="497">
        <v>0</v>
      </c>
      <c r="N278" s="497">
        <v>0</v>
      </c>
      <c r="O278" s="497">
        <v>0</v>
      </c>
      <c r="P278" s="497">
        <v>0</v>
      </c>
      <c r="Q278" s="497">
        <v>0</v>
      </c>
      <c r="R278" s="497">
        <v>0</v>
      </c>
      <c r="S278" s="497">
        <v>0</v>
      </c>
      <c r="T278" s="497">
        <v>0</v>
      </c>
      <c r="U278" s="497">
        <v>0</v>
      </c>
      <c r="V278" s="497">
        <v>0</v>
      </c>
      <c r="W278" s="497">
        <v>0</v>
      </c>
      <c r="X278" s="497">
        <v>0</v>
      </c>
      <c r="Y278" s="497">
        <v>0</v>
      </c>
      <c r="Z278" s="497">
        <v>0</v>
      </c>
      <c r="AA278" s="497">
        <v>0</v>
      </c>
      <c r="AB278" s="497">
        <v>0</v>
      </c>
      <c r="AC278" s="497">
        <v>0</v>
      </c>
      <c r="AD278" s="497">
        <v>0</v>
      </c>
      <c r="AE278" s="498">
        <v>0</v>
      </c>
      <c r="AF278" s="499">
        <v>0</v>
      </c>
      <c r="AG278" s="499">
        <v>0</v>
      </c>
      <c r="AH278" s="499">
        <v>0</v>
      </c>
      <c r="AI278" s="499">
        <v>0</v>
      </c>
      <c r="AJ278" s="499">
        <v>0</v>
      </c>
      <c r="AK278" s="499">
        <v>0</v>
      </c>
      <c r="AL278" s="499">
        <v>0</v>
      </c>
      <c r="AM278" s="499">
        <v>0</v>
      </c>
      <c r="AN278" s="499">
        <v>0</v>
      </c>
      <c r="AO278" s="499">
        <v>0</v>
      </c>
      <c r="AP278" s="499">
        <v>0</v>
      </c>
      <c r="AQ278" s="499">
        <v>0</v>
      </c>
      <c r="AR278" s="499">
        <v>0</v>
      </c>
      <c r="AS278" s="499">
        <v>0</v>
      </c>
      <c r="AT278" s="499">
        <v>0</v>
      </c>
      <c r="AU278" s="499">
        <v>0</v>
      </c>
      <c r="AV278" s="499">
        <v>0</v>
      </c>
      <c r="AW278" s="499">
        <v>0</v>
      </c>
      <c r="AX278" s="499">
        <v>0</v>
      </c>
      <c r="AY278" s="499">
        <v>0</v>
      </c>
      <c r="AZ278" s="499">
        <v>0</v>
      </c>
      <c r="BA278" s="499">
        <v>0</v>
      </c>
      <c r="BB278" s="499">
        <v>0</v>
      </c>
      <c r="BC278" s="500">
        <f>+AA278</f>
        <v>0</v>
      </c>
      <c r="BD278" s="523"/>
    </row>
    <row r="279" spans="1:56" s="415" customFormat="1" ht="15" customHeight="1" outlineLevel="3">
      <c r="B279" s="528"/>
      <c r="C279" s="519" t="s">
        <v>1910</v>
      </c>
      <c r="D279" s="517" t="s">
        <v>1911</v>
      </c>
      <c r="E279" s="518">
        <f>E276+E277+E278</f>
        <v>0</v>
      </c>
      <c r="F279" s="518">
        <f t="shared" ref="F279:Y279" si="178">F276+F277+F278</f>
        <v>0</v>
      </c>
      <c r="G279" s="518">
        <f t="shared" si="178"/>
        <v>0</v>
      </c>
      <c r="H279" s="518">
        <f t="shared" si="178"/>
        <v>0</v>
      </c>
      <c r="I279" s="518">
        <f t="shared" si="178"/>
        <v>0</v>
      </c>
      <c r="J279" s="518">
        <f t="shared" si="178"/>
        <v>0</v>
      </c>
      <c r="K279" s="518">
        <f t="shared" si="178"/>
        <v>0</v>
      </c>
      <c r="L279" s="518">
        <f t="shared" si="178"/>
        <v>0</v>
      </c>
      <c r="M279" s="518">
        <f t="shared" si="178"/>
        <v>0</v>
      </c>
      <c r="N279" s="518">
        <f t="shared" si="178"/>
        <v>0</v>
      </c>
      <c r="O279" s="518">
        <f t="shared" si="178"/>
        <v>0</v>
      </c>
      <c r="P279" s="518">
        <f t="shared" si="178"/>
        <v>0</v>
      </c>
      <c r="Q279" s="518">
        <f t="shared" si="178"/>
        <v>0</v>
      </c>
      <c r="R279" s="518">
        <f t="shared" si="178"/>
        <v>0</v>
      </c>
      <c r="S279" s="518">
        <f t="shared" si="178"/>
        <v>0</v>
      </c>
      <c r="T279" s="518">
        <f t="shared" si="178"/>
        <v>0</v>
      </c>
      <c r="U279" s="518">
        <f t="shared" si="178"/>
        <v>0</v>
      </c>
      <c r="V279" s="518">
        <f t="shared" si="178"/>
        <v>0</v>
      </c>
      <c r="W279" s="518">
        <f t="shared" si="178"/>
        <v>0</v>
      </c>
      <c r="X279" s="518">
        <f t="shared" si="178"/>
        <v>0</v>
      </c>
      <c r="Y279" s="518">
        <f t="shared" si="178"/>
        <v>0</v>
      </c>
      <c r="Z279" s="518"/>
      <c r="AA279" s="518"/>
      <c r="AB279" s="518"/>
      <c r="AC279" s="518"/>
      <c r="AD279" s="518"/>
      <c r="AE279" s="520"/>
      <c r="AF279" s="521"/>
      <c r="AG279" s="521"/>
      <c r="AH279" s="521"/>
      <c r="AI279" s="521"/>
      <c r="AJ279" s="521"/>
      <c r="AK279" s="521"/>
      <c r="AL279" s="521"/>
      <c r="AM279" s="521"/>
      <c r="AN279" s="521"/>
      <c r="AO279" s="521"/>
      <c r="AP279" s="521"/>
      <c r="AQ279" s="521"/>
      <c r="AR279" s="521"/>
      <c r="AS279" s="521"/>
      <c r="AT279" s="521"/>
      <c r="AU279" s="521"/>
      <c r="AV279" s="521"/>
      <c r="AW279" s="521"/>
      <c r="AX279" s="521"/>
      <c r="AY279" s="521"/>
      <c r="AZ279" s="521"/>
      <c r="BA279" s="521"/>
      <c r="BB279" s="521"/>
      <c r="BC279" s="506"/>
      <c r="BD279" s="420"/>
    </row>
    <row r="280" spans="1:56" s="415" customFormat="1" ht="15" customHeight="1" outlineLevel="3">
      <c r="B280" s="528"/>
      <c r="C280" s="519" t="s">
        <v>1930</v>
      </c>
      <c r="D280" s="517" t="s">
        <v>1913</v>
      </c>
      <c r="E280" s="518">
        <v>0</v>
      </c>
      <c r="F280" s="518">
        <v>0</v>
      </c>
      <c r="G280" s="518">
        <v>0</v>
      </c>
      <c r="H280" s="518">
        <v>0</v>
      </c>
      <c r="I280" s="518">
        <v>0</v>
      </c>
      <c r="J280" s="518">
        <v>0</v>
      </c>
      <c r="K280" s="518">
        <v>0</v>
      </c>
      <c r="L280" s="518">
        <v>0</v>
      </c>
      <c r="M280" s="518">
        <v>0</v>
      </c>
      <c r="N280" s="518">
        <v>0</v>
      </c>
      <c r="O280" s="518">
        <v>0</v>
      </c>
      <c r="P280" s="518">
        <v>0</v>
      </c>
      <c r="Q280" s="518">
        <v>0</v>
      </c>
      <c r="R280" s="518">
        <v>0</v>
      </c>
      <c r="S280" s="518">
        <v>0</v>
      </c>
      <c r="T280" s="518">
        <v>0</v>
      </c>
      <c r="U280" s="518">
        <v>0</v>
      </c>
      <c r="V280" s="518">
        <v>0</v>
      </c>
      <c r="W280" s="518">
        <v>0</v>
      </c>
      <c r="X280" s="518">
        <v>0</v>
      </c>
      <c r="Y280" s="518">
        <v>0</v>
      </c>
      <c r="Z280" s="518">
        <v>0</v>
      </c>
      <c r="AA280" s="518">
        <v>0</v>
      </c>
      <c r="AB280" s="518">
        <v>0</v>
      </c>
      <c r="AC280" s="518">
        <v>0</v>
      </c>
      <c r="AD280" s="518">
        <v>0</v>
      </c>
      <c r="AE280" s="520">
        <v>0</v>
      </c>
      <c r="AF280" s="521">
        <v>0</v>
      </c>
      <c r="AG280" s="521">
        <v>0</v>
      </c>
      <c r="AH280" s="521">
        <v>0</v>
      </c>
      <c r="AI280" s="521">
        <v>0</v>
      </c>
      <c r="AJ280" s="521">
        <v>0</v>
      </c>
      <c r="AK280" s="521">
        <v>0</v>
      </c>
      <c r="AL280" s="521">
        <v>0</v>
      </c>
      <c r="AM280" s="521">
        <v>0</v>
      </c>
      <c r="AN280" s="521">
        <v>0</v>
      </c>
      <c r="AO280" s="521">
        <v>0</v>
      </c>
      <c r="AP280" s="521">
        <v>0</v>
      </c>
      <c r="AQ280" s="521">
        <v>0</v>
      </c>
      <c r="AR280" s="521">
        <v>0</v>
      </c>
      <c r="AS280" s="521">
        <v>0</v>
      </c>
      <c r="AT280" s="521">
        <v>0</v>
      </c>
      <c r="AU280" s="521">
        <v>0</v>
      </c>
      <c r="AV280" s="521">
        <v>0</v>
      </c>
      <c r="AW280" s="521">
        <v>0</v>
      </c>
      <c r="AX280" s="521">
        <v>0</v>
      </c>
      <c r="AY280" s="521">
        <v>0</v>
      </c>
      <c r="AZ280" s="521">
        <v>0</v>
      </c>
      <c r="BA280" s="521">
        <v>0</v>
      </c>
      <c r="BB280" s="521">
        <v>0</v>
      </c>
      <c r="BC280" s="506"/>
      <c r="BD280" s="420"/>
    </row>
    <row r="281" spans="1:56" ht="15" customHeight="1" outlineLevel="3">
      <c r="B281" s="494"/>
      <c r="C281" s="522" t="s">
        <v>1914</v>
      </c>
      <c r="D281" s="496" t="s">
        <v>1915</v>
      </c>
      <c r="E281" s="497">
        <v>0</v>
      </c>
      <c r="F281" s="497">
        <v>0</v>
      </c>
      <c r="G281" s="497">
        <v>0</v>
      </c>
      <c r="H281" s="497">
        <v>0</v>
      </c>
      <c r="I281" s="497">
        <v>0</v>
      </c>
      <c r="J281" s="497">
        <v>0</v>
      </c>
      <c r="K281" s="497">
        <v>0</v>
      </c>
      <c r="L281" s="497">
        <v>0</v>
      </c>
      <c r="M281" s="497">
        <v>0</v>
      </c>
      <c r="N281" s="497">
        <v>0</v>
      </c>
      <c r="O281" s="497">
        <v>0</v>
      </c>
      <c r="P281" s="497">
        <v>0</v>
      </c>
      <c r="Q281" s="497">
        <v>0</v>
      </c>
      <c r="R281" s="497">
        <v>0</v>
      </c>
      <c r="S281" s="497">
        <v>0</v>
      </c>
      <c r="T281" s="497">
        <v>0</v>
      </c>
      <c r="U281" s="497">
        <v>0</v>
      </c>
      <c r="V281" s="497">
        <v>0</v>
      </c>
      <c r="W281" s="497">
        <v>0</v>
      </c>
      <c r="X281" s="497">
        <v>0</v>
      </c>
      <c r="Y281" s="497">
        <v>0</v>
      </c>
      <c r="Z281" s="497">
        <v>0</v>
      </c>
      <c r="AA281" s="497">
        <v>0</v>
      </c>
      <c r="AB281" s="497">
        <v>0</v>
      </c>
      <c r="AC281" s="497">
        <v>0</v>
      </c>
      <c r="AD281" s="497">
        <v>0</v>
      </c>
      <c r="AE281" s="498">
        <v>0</v>
      </c>
      <c r="AF281" s="499">
        <v>0</v>
      </c>
      <c r="AG281" s="499">
        <v>0</v>
      </c>
      <c r="AH281" s="499">
        <v>0</v>
      </c>
      <c r="AI281" s="499">
        <v>0</v>
      </c>
      <c r="AJ281" s="499">
        <v>0</v>
      </c>
      <c r="AK281" s="499">
        <v>0</v>
      </c>
      <c r="AL281" s="499">
        <v>0</v>
      </c>
      <c r="AM281" s="499">
        <v>0</v>
      </c>
      <c r="AN281" s="499">
        <v>0</v>
      </c>
      <c r="AO281" s="499">
        <v>0</v>
      </c>
      <c r="AP281" s="499">
        <v>0</v>
      </c>
      <c r="AQ281" s="499">
        <v>0</v>
      </c>
      <c r="AR281" s="499">
        <v>0</v>
      </c>
      <c r="AS281" s="499">
        <v>0</v>
      </c>
      <c r="AT281" s="499">
        <v>0</v>
      </c>
      <c r="AU281" s="499">
        <v>0</v>
      </c>
      <c r="AV281" s="499">
        <v>0</v>
      </c>
      <c r="AW281" s="499">
        <v>0</v>
      </c>
      <c r="AX281" s="499">
        <v>0</v>
      </c>
      <c r="AY281" s="499">
        <v>0</v>
      </c>
      <c r="AZ281" s="499">
        <v>0</v>
      </c>
      <c r="BA281" s="499">
        <v>0</v>
      </c>
      <c r="BB281" s="499">
        <v>0</v>
      </c>
      <c r="BC281" s="500"/>
      <c r="BD281" s="450"/>
    </row>
    <row r="282" spans="1:56" s="415" customFormat="1" ht="15" customHeight="1" outlineLevel="3">
      <c r="B282" s="528"/>
      <c r="C282" s="519" t="s">
        <v>1916</v>
      </c>
      <c r="D282" s="517" t="s">
        <v>1917</v>
      </c>
      <c r="E282" s="518">
        <f>E279+E280+E281</f>
        <v>0</v>
      </c>
      <c r="F282" s="518">
        <f t="shared" ref="F282:Y282" si="179">F279+F280+F281</f>
        <v>0</v>
      </c>
      <c r="G282" s="518">
        <f t="shared" si="179"/>
        <v>0</v>
      </c>
      <c r="H282" s="518">
        <f t="shared" si="179"/>
        <v>0</v>
      </c>
      <c r="I282" s="518">
        <f t="shared" si="179"/>
        <v>0</v>
      </c>
      <c r="J282" s="518">
        <f t="shared" si="179"/>
        <v>0</v>
      </c>
      <c r="K282" s="518">
        <f t="shared" si="179"/>
        <v>0</v>
      </c>
      <c r="L282" s="518">
        <f t="shared" si="179"/>
        <v>0</v>
      </c>
      <c r="M282" s="518">
        <f t="shared" si="179"/>
        <v>0</v>
      </c>
      <c r="N282" s="518">
        <f t="shared" si="179"/>
        <v>0</v>
      </c>
      <c r="O282" s="518">
        <f t="shared" si="179"/>
        <v>0</v>
      </c>
      <c r="P282" s="518">
        <f t="shared" si="179"/>
        <v>0</v>
      </c>
      <c r="Q282" s="518">
        <f t="shared" si="179"/>
        <v>0</v>
      </c>
      <c r="R282" s="518">
        <f t="shared" si="179"/>
        <v>0</v>
      </c>
      <c r="S282" s="518">
        <f t="shared" si="179"/>
        <v>0</v>
      </c>
      <c r="T282" s="518">
        <f t="shared" si="179"/>
        <v>0</v>
      </c>
      <c r="U282" s="518">
        <f t="shared" si="179"/>
        <v>0</v>
      </c>
      <c r="V282" s="518">
        <f t="shared" si="179"/>
        <v>0</v>
      </c>
      <c r="W282" s="518">
        <f t="shared" si="179"/>
        <v>0</v>
      </c>
      <c r="X282" s="518">
        <f t="shared" si="179"/>
        <v>0</v>
      </c>
      <c r="Y282" s="518">
        <f t="shared" si="179"/>
        <v>0</v>
      </c>
      <c r="Z282" s="518"/>
      <c r="AA282" s="518"/>
      <c r="AB282" s="518"/>
      <c r="AC282" s="518"/>
      <c r="AD282" s="518"/>
      <c r="AE282" s="520"/>
      <c r="AF282" s="521"/>
      <c r="AG282" s="521"/>
      <c r="AH282" s="521"/>
      <c r="AI282" s="521"/>
      <c r="AJ282" s="521"/>
      <c r="AK282" s="521"/>
      <c r="AL282" s="521"/>
      <c r="AM282" s="521"/>
      <c r="AN282" s="521"/>
      <c r="AO282" s="521"/>
      <c r="AP282" s="521"/>
      <c r="AQ282" s="521"/>
      <c r="AR282" s="521"/>
      <c r="AS282" s="521"/>
      <c r="AT282" s="521"/>
      <c r="AU282" s="521"/>
      <c r="AV282" s="521"/>
      <c r="AW282" s="521"/>
      <c r="AX282" s="521"/>
      <c r="AY282" s="521"/>
      <c r="AZ282" s="521"/>
      <c r="BA282" s="521"/>
      <c r="BB282" s="521"/>
      <c r="BC282" s="506"/>
      <c r="BD282" s="420"/>
    </row>
    <row r="283" spans="1:56" ht="15" customHeight="1" outlineLevel="3">
      <c r="B283" s="494"/>
      <c r="C283" s="522" t="s">
        <v>1918</v>
      </c>
      <c r="D283" s="496" t="s">
        <v>1919</v>
      </c>
      <c r="E283" s="497">
        <v>0</v>
      </c>
      <c r="F283" s="497">
        <v>0</v>
      </c>
      <c r="G283" s="497">
        <v>0</v>
      </c>
      <c r="H283" s="497">
        <v>0</v>
      </c>
      <c r="I283" s="497">
        <v>0</v>
      </c>
      <c r="J283" s="497">
        <v>0</v>
      </c>
      <c r="K283" s="497">
        <v>0</v>
      </c>
      <c r="L283" s="497">
        <v>0</v>
      </c>
      <c r="M283" s="497">
        <v>0</v>
      </c>
      <c r="N283" s="497">
        <v>0</v>
      </c>
      <c r="O283" s="497">
        <v>0</v>
      </c>
      <c r="P283" s="497">
        <v>0</v>
      </c>
      <c r="Q283" s="497">
        <v>0</v>
      </c>
      <c r="R283" s="497">
        <v>0</v>
      </c>
      <c r="S283" s="497">
        <v>0</v>
      </c>
      <c r="T283" s="497">
        <v>0</v>
      </c>
      <c r="U283" s="497">
        <v>0</v>
      </c>
      <c r="V283" s="497">
        <v>0</v>
      </c>
      <c r="W283" s="497">
        <v>0</v>
      </c>
      <c r="X283" s="497">
        <v>0</v>
      </c>
      <c r="Y283" s="497">
        <v>0</v>
      </c>
      <c r="Z283" s="497">
        <v>0</v>
      </c>
      <c r="AA283" s="497">
        <v>0</v>
      </c>
      <c r="AB283" s="497">
        <v>0</v>
      </c>
      <c r="AC283" s="497">
        <v>0</v>
      </c>
      <c r="AD283" s="497">
        <v>0</v>
      </c>
      <c r="AE283" s="498">
        <v>0</v>
      </c>
      <c r="AF283" s="499">
        <v>0</v>
      </c>
      <c r="AG283" s="499">
        <v>0</v>
      </c>
      <c r="AH283" s="499">
        <v>0</v>
      </c>
      <c r="AI283" s="499">
        <v>0</v>
      </c>
      <c r="AJ283" s="499">
        <v>0</v>
      </c>
      <c r="AK283" s="499">
        <v>0</v>
      </c>
      <c r="AL283" s="499">
        <v>0</v>
      </c>
      <c r="AM283" s="499">
        <v>0</v>
      </c>
      <c r="AN283" s="499">
        <v>0</v>
      </c>
      <c r="AO283" s="499">
        <v>0</v>
      </c>
      <c r="AP283" s="499">
        <v>0</v>
      </c>
      <c r="AQ283" s="499">
        <v>0</v>
      </c>
      <c r="AR283" s="499">
        <v>0</v>
      </c>
      <c r="AS283" s="499">
        <v>0</v>
      </c>
      <c r="AT283" s="499">
        <v>0</v>
      </c>
      <c r="AU283" s="499">
        <v>0</v>
      </c>
      <c r="AV283" s="499">
        <v>0</v>
      </c>
      <c r="AW283" s="499">
        <v>0</v>
      </c>
      <c r="AX283" s="499">
        <v>0</v>
      </c>
      <c r="AY283" s="499">
        <v>0</v>
      </c>
      <c r="AZ283" s="499">
        <v>0</v>
      </c>
      <c r="BA283" s="499">
        <v>0</v>
      </c>
      <c r="BB283" s="499">
        <v>0</v>
      </c>
      <c r="BC283" s="500"/>
      <c r="BD283" s="450"/>
    </row>
    <row r="284" spans="1:56" ht="15" customHeight="1" outlineLevel="3">
      <c r="B284" s="494"/>
      <c r="C284" s="522" t="s">
        <v>1920</v>
      </c>
      <c r="D284" s="524" t="s">
        <v>1921</v>
      </c>
      <c r="E284" s="497">
        <v>0</v>
      </c>
      <c r="F284" s="497">
        <v>0</v>
      </c>
      <c r="G284" s="497">
        <v>0</v>
      </c>
      <c r="H284" s="497">
        <v>0</v>
      </c>
      <c r="I284" s="497">
        <v>0</v>
      </c>
      <c r="J284" s="497">
        <v>0</v>
      </c>
      <c r="K284" s="497">
        <v>0</v>
      </c>
      <c r="L284" s="497">
        <v>0</v>
      </c>
      <c r="M284" s="497">
        <v>0</v>
      </c>
      <c r="N284" s="497">
        <v>0</v>
      </c>
      <c r="O284" s="497">
        <v>0</v>
      </c>
      <c r="P284" s="497">
        <v>0</v>
      </c>
      <c r="Q284" s="497">
        <v>0</v>
      </c>
      <c r="R284" s="497">
        <v>0</v>
      </c>
      <c r="S284" s="497">
        <v>0</v>
      </c>
      <c r="T284" s="497">
        <v>0</v>
      </c>
      <c r="U284" s="497">
        <v>0</v>
      </c>
      <c r="V284" s="497">
        <v>0</v>
      </c>
      <c r="W284" s="497">
        <v>0</v>
      </c>
      <c r="X284" s="497">
        <v>0</v>
      </c>
      <c r="Y284" s="497">
        <v>0</v>
      </c>
      <c r="Z284" s="497">
        <v>0</v>
      </c>
      <c r="AA284" s="497">
        <v>0</v>
      </c>
      <c r="AB284" s="497">
        <v>0</v>
      </c>
      <c r="AC284" s="497">
        <v>0</v>
      </c>
      <c r="AD284" s="497">
        <v>0</v>
      </c>
      <c r="AE284" s="498">
        <v>0</v>
      </c>
      <c r="AF284" s="499">
        <v>0</v>
      </c>
      <c r="AG284" s="499">
        <v>0</v>
      </c>
      <c r="AH284" s="499">
        <v>0</v>
      </c>
      <c r="AI284" s="499">
        <v>0</v>
      </c>
      <c r="AJ284" s="499">
        <v>0</v>
      </c>
      <c r="AK284" s="499">
        <v>0</v>
      </c>
      <c r="AL284" s="499">
        <v>0</v>
      </c>
      <c r="AM284" s="499">
        <v>0</v>
      </c>
      <c r="AN284" s="499">
        <v>0</v>
      </c>
      <c r="AO284" s="499">
        <v>0</v>
      </c>
      <c r="AP284" s="499">
        <v>0</v>
      </c>
      <c r="AQ284" s="499">
        <v>0</v>
      </c>
      <c r="AR284" s="499">
        <v>0</v>
      </c>
      <c r="AS284" s="499">
        <v>0</v>
      </c>
      <c r="AT284" s="499">
        <v>0</v>
      </c>
      <c r="AU284" s="499">
        <v>0</v>
      </c>
      <c r="AV284" s="499">
        <v>0</v>
      </c>
      <c r="AW284" s="499">
        <v>0</v>
      </c>
      <c r="AX284" s="499">
        <v>0</v>
      </c>
      <c r="AY284" s="499">
        <v>0</v>
      </c>
      <c r="AZ284" s="499">
        <v>0</v>
      </c>
      <c r="BA284" s="499">
        <v>0</v>
      </c>
      <c r="BB284" s="499">
        <v>0</v>
      </c>
      <c r="BC284" s="500"/>
      <c r="BD284" s="450"/>
    </row>
    <row r="285" spans="1:56" ht="15" customHeight="1" outlineLevel="3">
      <c r="B285" s="494"/>
      <c r="C285" s="2792" t="s">
        <v>1922</v>
      </c>
      <c r="D285" s="524" t="s">
        <v>1923</v>
      </c>
      <c r="E285" s="497">
        <v>0</v>
      </c>
      <c r="F285" s="497">
        <v>0</v>
      </c>
      <c r="G285" s="497">
        <v>0</v>
      </c>
      <c r="H285" s="497">
        <v>0</v>
      </c>
      <c r="I285" s="497">
        <v>0</v>
      </c>
      <c r="J285" s="497">
        <v>0</v>
      </c>
      <c r="K285" s="497">
        <v>0</v>
      </c>
      <c r="L285" s="497">
        <v>0</v>
      </c>
      <c r="M285" s="497">
        <v>0</v>
      </c>
      <c r="N285" s="497">
        <v>0</v>
      </c>
      <c r="O285" s="497">
        <v>0</v>
      </c>
      <c r="P285" s="497">
        <v>0</v>
      </c>
      <c r="Q285" s="497">
        <v>0</v>
      </c>
      <c r="R285" s="497">
        <v>0</v>
      </c>
      <c r="S285" s="497">
        <v>0</v>
      </c>
      <c r="T285" s="497">
        <v>0</v>
      </c>
      <c r="U285" s="497">
        <v>0</v>
      </c>
      <c r="V285" s="497">
        <v>0</v>
      </c>
      <c r="W285" s="497">
        <v>0</v>
      </c>
      <c r="X285" s="497">
        <v>0</v>
      </c>
      <c r="Y285" s="497">
        <v>0</v>
      </c>
      <c r="Z285" s="497">
        <v>0</v>
      </c>
      <c r="AA285" s="497">
        <v>0</v>
      </c>
      <c r="AB285" s="497">
        <v>0</v>
      </c>
      <c r="AC285" s="497">
        <v>0</v>
      </c>
      <c r="AD285" s="497">
        <v>0</v>
      </c>
      <c r="AE285" s="498">
        <v>0</v>
      </c>
      <c r="AF285" s="499">
        <v>0</v>
      </c>
      <c r="AG285" s="499">
        <v>0</v>
      </c>
      <c r="AH285" s="499">
        <v>0</v>
      </c>
      <c r="AI285" s="499">
        <v>0</v>
      </c>
      <c r="AJ285" s="499">
        <v>0</v>
      </c>
      <c r="AK285" s="499">
        <v>0</v>
      </c>
      <c r="AL285" s="499">
        <v>0</v>
      </c>
      <c r="AM285" s="499">
        <v>0</v>
      </c>
      <c r="AN285" s="499">
        <v>0</v>
      </c>
      <c r="AO285" s="499">
        <v>0</v>
      </c>
      <c r="AP285" s="499">
        <v>0</v>
      </c>
      <c r="AQ285" s="499">
        <v>0</v>
      </c>
      <c r="AR285" s="499">
        <v>0</v>
      </c>
      <c r="AS285" s="499">
        <v>0</v>
      </c>
      <c r="AT285" s="499">
        <v>0</v>
      </c>
      <c r="AU285" s="499">
        <v>0</v>
      </c>
      <c r="AV285" s="499">
        <v>0</v>
      </c>
      <c r="AW285" s="499">
        <v>0</v>
      </c>
      <c r="AX285" s="499">
        <v>0</v>
      </c>
      <c r="AY285" s="499">
        <v>0</v>
      </c>
      <c r="AZ285" s="499">
        <v>0</v>
      </c>
      <c r="BA285" s="499">
        <v>0</v>
      </c>
      <c r="BB285" s="499">
        <v>0</v>
      </c>
      <c r="BC285" s="508"/>
      <c r="BD285" s="450"/>
    </row>
    <row r="286" spans="1:56" s="415" customFormat="1" ht="15" customHeight="1" outlineLevel="2">
      <c r="B286" s="528"/>
      <c r="C286" s="519" t="s">
        <v>1924</v>
      </c>
      <c r="D286" s="525" t="s">
        <v>1925</v>
      </c>
      <c r="E286" s="518">
        <f t="shared" ref="E286:BB286" si="180">E282+E283+E285</f>
        <v>0</v>
      </c>
      <c r="F286" s="518">
        <f t="shared" si="180"/>
        <v>0</v>
      </c>
      <c r="G286" s="518">
        <f t="shared" si="180"/>
        <v>0</v>
      </c>
      <c r="H286" s="518">
        <f t="shared" si="180"/>
        <v>0</v>
      </c>
      <c r="I286" s="518">
        <f t="shared" si="180"/>
        <v>0</v>
      </c>
      <c r="J286" s="518">
        <f t="shared" si="180"/>
        <v>0</v>
      </c>
      <c r="K286" s="518">
        <f t="shared" si="180"/>
        <v>0</v>
      </c>
      <c r="L286" s="518">
        <f t="shared" si="180"/>
        <v>0</v>
      </c>
      <c r="M286" s="518">
        <f t="shared" si="180"/>
        <v>0</v>
      </c>
      <c r="N286" s="518">
        <f t="shared" si="180"/>
        <v>0</v>
      </c>
      <c r="O286" s="518">
        <f t="shared" si="180"/>
        <v>0</v>
      </c>
      <c r="P286" s="518">
        <f t="shared" si="180"/>
        <v>0</v>
      </c>
      <c r="Q286" s="518">
        <f t="shared" si="180"/>
        <v>0</v>
      </c>
      <c r="R286" s="518">
        <f t="shared" si="180"/>
        <v>0</v>
      </c>
      <c r="S286" s="518">
        <f t="shared" si="180"/>
        <v>0</v>
      </c>
      <c r="T286" s="518">
        <f t="shared" si="180"/>
        <v>0</v>
      </c>
      <c r="U286" s="518">
        <f t="shared" si="180"/>
        <v>0</v>
      </c>
      <c r="V286" s="518">
        <f t="shared" si="180"/>
        <v>0</v>
      </c>
      <c r="W286" s="518">
        <f t="shared" si="180"/>
        <v>0</v>
      </c>
      <c r="X286" s="518">
        <f t="shared" si="180"/>
        <v>0</v>
      </c>
      <c r="Y286" s="518">
        <f t="shared" si="180"/>
        <v>0</v>
      </c>
      <c r="Z286" s="518">
        <f t="shared" si="180"/>
        <v>0</v>
      </c>
      <c r="AA286" s="518">
        <f t="shared" si="180"/>
        <v>0</v>
      </c>
      <c r="AB286" s="518">
        <f t="shared" si="180"/>
        <v>0</v>
      </c>
      <c r="AC286" s="518">
        <f t="shared" si="180"/>
        <v>0</v>
      </c>
      <c r="AD286" s="518">
        <f t="shared" si="180"/>
        <v>0</v>
      </c>
      <c r="AE286" s="520">
        <f t="shared" si="180"/>
        <v>0</v>
      </c>
      <c r="AF286" s="521">
        <f t="shared" si="180"/>
        <v>0</v>
      </c>
      <c r="AG286" s="521">
        <f t="shared" si="180"/>
        <v>0</v>
      </c>
      <c r="AH286" s="521">
        <f t="shared" si="180"/>
        <v>0</v>
      </c>
      <c r="AI286" s="521">
        <f t="shared" si="180"/>
        <v>0</v>
      </c>
      <c r="AJ286" s="521">
        <f t="shared" si="180"/>
        <v>0</v>
      </c>
      <c r="AK286" s="521">
        <f t="shared" si="180"/>
        <v>0</v>
      </c>
      <c r="AL286" s="521">
        <f t="shared" si="180"/>
        <v>0</v>
      </c>
      <c r="AM286" s="521">
        <f t="shared" si="180"/>
        <v>0</v>
      </c>
      <c r="AN286" s="521">
        <f t="shared" si="180"/>
        <v>0</v>
      </c>
      <c r="AO286" s="521">
        <f t="shared" si="180"/>
        <v>0</v>
      </c>
      <c r="AP286" s="521">
        <f t="shared" si="180"/>
        <v>0</v>
      </c>
      <c r="AQ286" s="521">
        <f t="shared" ref="AQ286:AZ286" si="181">AQ282+AQ283+AQ285</f>
        <v>0</v>
      </c>
      <c r="AR286" s="521">
        <f t="shared" si="181"/>
        <v>0</v>
      </c>
      <c r="AS286" s="521">
        <f t="shared" si="181"/>
        <v>0</v>
      </c>
      <c r="AT286" s="521">
        <f t="shared" si="181"/>
        <v>0</v>
      </c>
      <c r="AU286" s="521">
        <f t="shared" si="181"/>
        <v>0</v>
      </c>
      <c r="AV286" s="521">
        <f t="shared" si="181"/>
        <v>0</v>
      </c>
      <c r="AW286" s="521">
        <f t="shared" si="181"/>
        <v>0</v>
      </c>
      <c r="AX286" s="521">
        <f t="shared" si="181"/>
        <v>0</v>
      </c>
      <c r="AY286" s="521">
        <f t="shared" si="181"/>
        <v>0</v>
      </c>
      <c r="AZ286" s="521">
        <f t="shared" si="181"/>
        <v>0</v>
      </c>
      <c r="BA286" s="521">
        <f t="shared" si="180"/>
        <v>0</v>
      </c>
      <c r="BB286" s="521">
        <f t="shared" si="180"/>
        <v>0</v>
      </c>
      <c r="BC286" s="506"/>
      <c r="BD286" s="420"/>
    </row>
    <row r="287" spans="1:56" s="415" customFormat="1" ht="15" customHeight="1" outlineLevel="2">
      <c r="B287" s="528"/>
      <c r="C287" s="519" t="s">
        <v>1926</v>
      </c>
      <c r="D287" s="517" t="s">
        <v>1927</v>
      </c>
      <c r="E287" s="518">
        <f>E286</f>
        <v>0</v>
      </c>
      <c r="F287" s="518">
        <f t="shared" ref="F287:BB287" si="182">F286-E286</f>
        <v>0</v>
      </c>
      <c r="G287" s="518">
        <f t="shared" si="182"/>
        <v>0</v>
      </c>
      <c r="H287" s="518">
        <f t="shared" si="182"/>
        <v>0</v>
      </c>
      <c r="I287" s="518">
        <f t="shared" si="182"/>
        <v>0</v>
      </c>
      <c r="J287" s="518">
        <f t="shared" si="182"/>
        <v>0</v>
      </c>
      <c r="K287" s="518">
        <f t="shared" si="182"/>
        <v>0</v>
      </c>
      <c r="L287" s="518">
        <f t="shared" si="182"/>
        <v>0</v>
      </c>
      <c r="M287" s="518">
        <f t="shared" si="182"/>
        <v>0</v>
      </c>
      <c r="N287" s="518">
        <f t="shared" si="182"/>
        <v>0</v>
      </c>
      <c r="O287" s="518">
        <f t="shared" si="182"/>
        <v>0</v>
      </c>
      <c r="P287" s="518">
        <f t="shared" si="182"/>
        <v>0</v>
      </c>
      <c r="Q287" s="518">
        <f t="shared" si="182"/>
        <v>0</v>
      </c>
      <c r="R287" s="518">
        <f t="shared" si="182"/>
        <v>0</v>
      </c>
      <c r="S287" s="518">
        <f t="shared" si="182"/>
        <v>0</v>
      </c>
      <c r="T287" s="518">
        <f t="shared" si="182"/>
        <v>0</v>
      </c>
      <c r="U287" s="518">
        <f t="shared" si="182"/>
        <v>0</v>
      </c>
      <c r="V287" s="518">
        <f t="shared" si="182"/>
        <v>0</v>
      </c>
      <c r="W287" s="518">
        <f t="shared" si="182"/>
        <v>0</v>
      </c>
      <c r="X287" s="518">
        <f t="shared" si="182"/>
        <v>0</v>
      </c>
      <c r="Y287" s="518">
        <f t="shared" si="182"/>
        <v>0</v>
      </c>
      <c r="Z287" s="518">
        <f t="shared" si="182"/>
        <v>0</v>
      </c>
      <c r="AA287" s="518">
        <f t="shared" si="182"/>
        <v>0</v>
      </c>
      <c r="AB287" s="518">
        <f t="shared" si="182"/>
        <v>0</v>
      </c>
      <c r="AC287" s="518">
        <f t="shared" si="182"/>
        <v>0</v>
      </c>
      <c r="AD287" s="518">
        <f t="shared" si="182"/>
        <v>0</v>
      </c>
      <c r="AE287" s="520">
        <f t="shared" si="182"/>
        <v>0</v>
      </c>
      <c r="AF287" s="521">
        <f t="shared" si="182"/>
        <v>0</v>
      </c>
      <c r="AG287" s="521">
        <f t="shared" si="182"/>
        <v>0</v>
      </c>
      <c r="AH287" s="521">
        <f t="shared" si="182"/>
        <v>0</v>
      </c>
      <c r="AI287" s="521">
        <f t="shared" si="182"/>
        <v>0</v>
      </c>
      <c r="AJ287" s="521">
        <f t="shared" si="182"/>
        <v>0</v>
      </c>
      <c r="AK287" s="521">
        <f t="shared" si="182"/>
        <v>0</v>
      </c>
      <c r="AL287" s="521">
        <f t="shared" si="182"/>
        <v>0</v>
      </c>
      <c r="AM287" s="521">
        <f t="shared" si="182"/>
        <v>0</v>
      </c>
      <c r="AN287" s="521">
        <f t="shared" si="182"/>
        <v>0</v>
      </c>
      <c r="AO287" s="521">
        <f t="shared" si="182"/>
        <v>0</v>
      </c>
      <c r="AP287" s="521">
        <f t="shared" si="182"/>
        <v>0</v>
      </c>
      <c r="AQ287" s="521">
        <f t="shared" ref="AQ287:AZ287" si="183">AQ286-AP286</f>
        <v>0</v>
      </c>
      <c r="AR287" s="521">
        <f t="shared" si="183"/>
        <v>0</v>
      </c>
      <c r="AS287" s="521">
        <f t="shared" si="183"/>
        <v>0</v>
      </c>
      <c r="AT287" s="521">
        <f t="shared" si="183"/>
        <v>0</v>
      </c>
      <c r="AU287" s="521">
        <f t="shared" si="183"/>
        <v>0</v>
      </c>
      <c r="AV287" s="521">
        <f t="shared" si="183"/>
        <v>0</v>
      </c>
      <c r="AW287" s="521">
        <f t="shared" si="183"/>
        <v>0</v>
      </c>
      <c r="AX287" s="521">
        <f t="shared" si="183"/>
        <v>0</v>
      </c>
      <c r="AY287" s="521">
        <f t="shared" si="183"/>
        <v>0</v>
      </c>
      <c r="AZ287" s="521">
        <f t="shared" si="183"/>
        <v>0</v>
      </c>
      <c r="BA287" s="521">
        <f>BA286-AP286</f>
        <v>0</v>
      </c>
      <c r="BB287" s="521">
        <f t="shared" si="182"/>
        <v>0</v>
      </c>
      <c r="BC287" s="506"/>
      <c r="BD287" s="420"/>
    </row>
    <row r="288" spans="1:56" s="536" customFormat="1" ht="16.5" customHeight="1" outlineLevel="2">
      <c r="A288" s="431"/>
      <c r="B288" s="528"/>
      <c r="C288" s="526"/>
      <c r="D288" s="517"/>
      <c r="E288" s="518"/>
      <c r="F288" s="518"/>
      <c r="G288" s="518"/>
      <c r="H288" s="518"/>
      <c r="I288" s="518"/>
      <c r="J288" s="497"/>
      <c r="K288" s="497"/>
      <c r="L288" s="497"/>
      <c r="M288" s="497"/>
      <c r="N288" s="497"/>
      <c r="O288" s="497"/>
      <c r="P288" s="497"/>
      <c r="Q288" s="497"/>
      <c r="R288" s="497"/>
      <c r="S288" s="497"/>
      <c r="T288" s="497"/>
      <c r="U288" s="497"/>
      <c r="V288" s="497"/>
      <c r="W288" s="497"/>
      <c r="X288" s="497"/>
      <c r="Y288" s="497"/>
      <c r="Z288" s="497"/>
      <c r="AA288" s="497"/>
      <c r="AB288" s="497"/>
      <c r="AC288" s="497"/>
      <c r="AD288" s="497"/>
      <c r="AE288" s="498"/>
      <c r="AF288" s="499"/>
      <c r="AG288" s="499"/>
      <c r="AH288" s="499"/>
      <c r="AI288" s="499"/>
      <c r="AJ288" s="499"/>
      <c r="AK288" s="499"/>
      <c r="AL288" s="499"/>
      <c r="AM288" s="499"/>
      <c r="AN288" s="499"/>
      <c r="AO288" s="499"/>
      <c r="AP288" s="499"/>
      <c r="AQ288" s="499"/>
      <c r="AR288" s="499"/>
      <c r="AS288" s="499"/>
      <c r="AT288" s="499"/>
      <c r="AU288" s="499"/>
      <c r="AV288" s="499"/>
      <c r="AW288" s="499"/>
      <c r="AX288" s="499"/>
      <c r="AY288" s="499"/>
      <c r="AZ288" s="499"/>
      <c r="BA288" s="499"/>
      <c r="BB288" s="499"/>
      <c r="BC288" s="506"/>
      <c r="BD288" s="535"/>
    </row>
    <row r="289" spans="2:57">
      <c r="E289" s="435"/>
      <c r="F289" s="435"/>
      <c r="G289" s="435"/>
      <c r="H289" s="435"/>
      <c r="I289" s="435"/>
      <c r="J289" s="435"/>
      <c r="K289" s="435"/>
      <c r="L289" s="435"/>
      <c r="M289" s="435"/>
      <c r="N289" s="435"/>
      <c r="O289" s="435"/>
      <c r="P289" s="435"/>
      <c r="Q289" s="435"/>
      <c r="R289" s="435"/>
      <c r="S289" s="435"/>
      <c r="T289" s="435"/>
      <c r="U289" s="435"/>
      <c r="V289" s="435"/>
      <c r="W289" s="435"/>
      <c r="X289" s="435"/>
      <c r="Y289" s="435"/>
      <c r="Z289" s="435"/>
      <c r="AA289" s="435"/>
      <c r="AB289" s="435"/>
      <c r="AC289" s="435"/>
      <c r="AD289" s="435"/>
      <c r="AE289" s="435"/>
      <c r="AF289" s="435"/>
      <c r="AG289" s="435"/>
      <c r="AH289" s="435"/>
      <c r="AI289" s="435"/>
      <c r="AJ289" s="435"/>
      <c r="AK289" s="435"/>
      <c r="AL289" s="435"/>
      <c r="AM289" s="435"/>
      <c r="AN289" s="435"/>
      <c r="AO289" s="435"/>
      <c r="AP289" s="435"/>
      <c r="AQ289" s="435"/>
      <c r="AR289" s="435"/>
      <c r="AS289" s="435"/>
      <c r="AT289" s="435"/>
      <c r="AU289" s="435"/>
      <c r="AV289" s="435"/>
      <c r="AW289" s="435"/>
      <c r="AX289" s="435"/>
      <c r="AY289" s="435"/>
      <c r="AZ289" s="435"/>
      <c r="BA289" s="435"/>
      <c r="BB289" s="435"/>
      <c r="BC289" s="435"/>
    </row>
    <row r="290" spans="2:57" s="415" customFormat="1" ht="15" customHeight="1">
      <c r="B290" s="559"/>
      <c r="C290" s="560"/>
      <c r="D290" s="561" t="s">
        <v>1892</v>
      </c>
      <c r="E290" s="562">
        <v>1</v>
      </c>
      <c r="F290" s="562">
        <f t="shared" ref="F290:AZ290" si="184">E290+1</f>
        <v>2</v>
      </c>
      <c r="G290" s="562">
        <f t="shared" si="184"/>
        <v>3</v>
      </c>
      <c r="H290" s="562">
        <f t="shared" si="184"/>
        <v>4</v>
      </c>
      <c r="I290" s="562">
        <f t="shared" si="184"/>
        <v>5</v>
      </c>
      <c r="J290" s="562">
        <f t="shared" si="184"/>
        <v>6</v>
      </c>
      <c r="K290" s="562">
        <f t="shared" si="184"/>
        <v>7</v>
      </c>
      <c r="L290" s="562">
        <f t="shared" si="184"/>
        <v>8</v>
      </c>
      <c r="M290" s="562">
        <f t="shared" si="184"/>
        <v>9</v>
      </c>
      <c r="N290" s="562">
        <f t="shared" si="184"/>
        <v>10</v>
      </c>
      <c r="O290" s="562">
        <f t="shared" si="184"/>
        <v>11</v>
      </c>
      <c r="P290" s="562">
        <f t="shared" si="184"/>
        <v>12</v>
      </c>
      <c r="Q290" s="562">
        <f t="shared" si="184"/>
        <v>13</v>
      </c>
      <c r="R290" s="562">
        <f t="shared" si="184"/>
        <v>14</v>
      </c>
      <c r="S290" s="562">
        <f t="shared" si="184"/>
        <v>15</v>
      </c>
      <c r="T290" s="562">
        <f t="shared" si="184"/>
        <v>16</v>
      </c>
      <c r="U290" s="562">
        <f t="shared" si="184"/>
        <v>17</v>
      </c>
      <c r="V290" s="562">
        <f t="shared" si="184"/>
        <v>18</v>
      </c>
      <c r="W290" s="562">
        <f t="shared" si="184"/>
        <v>19</v>
      </c>
      <c r="X290" s="562">
        <f t="shared" si="184"/>
        <v>20</v>
      </c>
      <c r="Y290" s="562">
        <f t="shared" si="184"/>
        <v>21</v>
      </c>
      <c r="Z290" s="562">
        <f t="shared" si="184"/>
        <v>22</v>
      </c>
      <c r="AA290" s="562">
        <f t="shared" si="184"/>
        <v>23</v>
      </c>
      <c r="AB290" s="562">
        <f t="shared" si="184"/>
        <v>24</v>
      </c>
      <c r="AC290" s="562">
        <f t="shared" si="184"/>
        <v>25</v>
      </c>
      <c r="AD290" s="562">
        <f t="shared" si="184"/>
        <v>26</v>
      </c>
      <c r="AE290" s="563">
        <f t="shared" si="184"/>
        <v>27</v>
      </c>
      <c r="AF290" s="562">
        <f t="shared" si="184"/>
        <v>28</v>
      </c>
      <c r="AG290" s="562">
        <f t="shared" si="184"/>
        <v>29</v>
      </c>
      <c r="AH290" s="562">
        <f t="shared" si="184"/>
        <v>30</v>
      </c>
      <c r="AI290" s="562">
        <f t="shared" si="184"/>
        <v>31</v>
      </c>
      <c r="AJ290" s="562">
        <f t="shared" si="184"/>
        <v>32</v>
      </c>
      <c r="AK290" s="562">
        <f t="shared" si="184"/>
        <v>33</v>
      </c>
      <c r="AL290" s="562">
        <f t="shared" si="184"/>
        <v>34</v>
      </c>
      <c r="AM290" s="562">
        <f t="shared" si="184"/>
        <v>35</v>
      </c>
      <c r="AN290" s="562">
        <f t="shared" si="184"/>
        <v>36</v>
      </c>
      <c r="AO290" s="562">
        <f t="shared" si="184"/>
        <v>37</v>
      </c>
      <c r="AP290" s="562">
        <f t="shared" si="184"/>
        <v>38</v>
      </c>
      <c r="AQ290" s="562">
        <f t="shared" si="184"/>
        <v>39</v>
      </c>
      <c r="AR290" s="562">
        <f t="shared" si="184"/>
        <v>40</v>
      </c>
      <c r="AS290" s="562">
        <f t="shared" si="184"/>
        <v>41</v>
      </c>
      <c r="AT290" s="562">
        <f t="shared" si="184"/>
        <v>42</v>
      </c>
      <c r="AU290" s="562">
        <f t="shared" si="184"/>
        <v>43</v>
      </c>
      <c r="AV290" s="562">
        <f t="shared" si="184"/>
        <v>44</v>
      </c>
      <c r="AW290" s="562">
        <f t="shared" si="184"/>
        <v>45</v>
      </c>
      <c r="AX290" s="562">
        <f t="shared" si="184"/>
        <v>46</v>
      </c>
      <c r="AY290" s="562">
        <f t="shared" si="184"/>
        <v>47</v>
      </c>
      <c r="AZ290" s="562">
        <f t="shared" si="184"/>
        <v>48</v>
      </c>
      <c r="BA290" s="562">
        <f>AP290+1</f>
        <v>39</v>
      </c>
      <c r="BB290" s="562">
        <f>BA290+1</f>
        <v>40</v>
      </c>
      <c r="BC290" s="6143" t="s">
        <v>1886</v>
      </c>
      <c r="BD290" s="420"/>
    </row>
    <row r="291" spans="2:57" s="415" customFormat="1">
      <c r="B291" s="564"/>
      <c r="C291" s="565"/>
      <c r="D291" s="566" t="s">
        <v>1942</v>
      </c>
      <c r="E291" s="567">
        <f>E182</f>
        <v>43038</v>
      </c>
      <c r="F291" s="567">
        <f t="shared" ref="F291:BB291" si="185">F182</f>
        <v>43068</v>
      </c>
      <c r="G291" s="567">
        <f t="shared" si="185"/>
        <v>43098</v>
      </c>
      <c r="H291" s="567">
        <f t="shared" si="185"/>
        <v>43128</v>
      </c>
      <c r="I291" s="567">
        <f t="shared" si="185"/>
        <v>43158</v>
      </c>
      <c r="J291" s="567">
        <f t="shared" si="185"/>
        <v>43188</v>
      </c>
      <c r="K291" s="567">
        <f t="shared" si="185"/>
        <v>43218</v>
      </c>
      <c r="L291" s="567">
        <f t="shared" si="185"/>
        <v>43248</v>
      </c>
      <c r="M291" s="567">
        <f t="shared" si="185"/>
        <v>43278</v>
      </c>
      <c r="N291" s="567">
        <f t="shared" si="185"/>
        <v>43308</v>
      </c>
      <c r="O291" s="567">
        <f t="shared" si="185"/>
        <v>43338</v>
      </c>
      <c r="P291" s="567">
        <f t="shared" si="185"/>
        <v>43368</v>
      </c>
      <c r="Q291" s="567">
        <f t="shared" si="185"/>
        <v>43398</v>
      </c>
      <c r="R291" s="567">
        <f t="shared" si="185"/>
        <v>43428</v>
      </c>
      <c r="S291" s="567">
        <f t="shared" si="185"/>
        <v>43458</v>
      </c>
      <c r="T291" s="567">
        <f t="shared" si="185"/>
        <v>43488</v>
      </c>
      <c r="U291" s="567">
        <f t="shared" si="185"/>
        <v>43518</v>
      </c>
      <c r="V291" s="567">
        <f t="shared" si="185"/>
        <v>43548</v>
      </c>
      <c r="W291" s="567">
        <f t="shared" si="185"/>
        <v>43578</v>
      </c>
      <c r="X291" s="567">
        <f t="shared" si="185"/>
        <v>43608</v>
      </c>
      <c r="Y291" s="567">
        <f t="shared" si="185"/>
        <v>43638</v>
      </c>
      <c r="Z291" s="567">
        <f t="shared" si="185"/>
        <v>43668</v>
      </c>
      <c r="AA291" s="567">
        <f t="shared" si="185"/>
        <v>43698</v>
      </c>
      <c r="AB291" s="567">
        <f t="shared" si="185"/>
        <v>43728</v>
      </c>
      <c r="AC291" s="567">
        <f t="shared" si="185"/>
        <v>43758</v>
      </c>
      <c r="AD291" s="567">
        <f t="shared" si="185"/>
        <v>43788</v>
      </c>
      <c r="AE291" s="567">
        <f t="shared" si="185"/>
        <v>43818</v>
      </c>
      <c r="AF291" s="567">
        <f t="shared" si="185"/>
        <v>43848</v>
      </c>
      <c r="AG291" s="567">
        <f t="shared" si="185"/>
        <v>43878</v>
      </c>
      <c r="AH291" s="567">
        <f t="shared" si="185"/>
        <v>43908</v>
      </c>
      <c r="AI291" s="567">
        <f t="shared" si="185"/>
        <v>43938</v>
      </c>
      <c r="AJ291" s="567">
        <f t="shared" si="185"/>
        <v>43968</v>
      </c>
      <c r="AK291" s="567">
        <f t="shared" si="185"/>
        <v>43998</v>
      </c>
      <c r="AL291" s="567">
        <f t="shared" si="185"/>
        <v>44028</v>
      </c>
      <c r="AM291" s="567">
        <f t="shared" si="185"/>
        <v>44058</v>
      </c>
      <c r="AN291" s="567">
        <f t="shared" si="185"/>
        <v>44088</v>
      </c>
      <c r="AO291" s="567">
        <f t="shared" si="185"/>
        <v>44118</v>
      </c>
      <c r="AP291" s="567">
        <f t="shared" si="185"/>
        <v>44148</v>
      </c>
      <c r="AQ291" s="567">
        <f t="shared" ref="AQ291:AZ291" si="186">AQ182</f>
        <v>44178</v>
      </c>
      <c r="AR291" s="567">
        <f t="shared" si="186"/>
        <v>44208</v>
      </c>
      <c r="AS291" s="567">
        <f t="shared" si="186"/>
        <v>44238</v>
      </c>
      <c r="AT291" s="567">
        <f t="shared" si="186"/>
        <v>44268</v>
      </c>
      <c r="AU291" s="567">
        <f t="shared" si="186"/>
        <v>44298</v>
      </c>
      <c r="AV291" s="567">
        <f t="shared" si="186"/>
        <v>44328</v>
      </c>
      <c r="AW291" s="567">
        <f t="shared" si="186"/>
        <v>44358</v>
      </c>
      <c r="AX291" s="567">
        <f t="shared" si="186"/>
        <v>44388</v>
      </c>
      <c r="AY291" s="567">
        <f t="shared" si="186"/>
        <v>44418</v>
      </c>
      <c r="AZ291" s="567">
        <f t="shared" si="186"/>
        <v>44448</v>
      </c>
      <c r="BA291" s="567">
        <f t="shared" si="185"/>
        <v>44478</v>
      </c>
      <c r="BB291" s="567">
        <f t="shared" si="185"/>
        <v>44508</v>
      </c>
      <c r="BC291" s="6144"/>
      <c r="BD291" s="420"/>
    </row>
    <row r="292" spans="2:57" s="415" customFormat="1">
      <c r="B292" s="595"/>
      <c r="C292" s="596" t="s">
        <v>1943</v>
      </c>
      <c r="D292" s="6160">
        <v>340254842</v>
      </c>
      <c r="E292" s="597">
        <f>+E295+E316+E337+E358+E378</f>
        <v>0</v>
      </c>
      <c r="F292" s="597">
        <f>+F295+F316+F337+F358+F378</f>
        <v>0</v>
      </c>
      <c r="G292" s="597">
        <f t="shared" ref="G292:AF292" si="187">+G295+G316+G337+G358+G378</f>
        <v>0</v>
      </c>
      <c r="H292" s="597">
        <f t="shared" si="187"/>
        <v>0</v>
      </c>
      <c r="I292" s="597">
        <f t="shared" si="187"/>
        <v>0</v>
      </c>
      <c r="J292" s="597">
        <f t="shared" si="187"/>
        <v>0</v>
      </c>
      <c r="K292" s="597">
        <f t="shared" si="187"/>
        <v>0</v>
      </c>
      <c r="L292" s="597">
        <f t="shared" si="187"/>
        <v>0</v>
      </c>
      <c r="M292" s="597">
        <f t="shared" si="187"/>
        <v>0</v>
      </c>
      <c r="N292" s="597">
        <f t="shared" si="187"/>
        <v>0</v>
      </c>
      <c r="O292" s="597">
        <f t="shared" si="187"/>
        <v>0</v>
      </c>
      <c r="P292" s="597">
        <f t="shared" si="187"/>
        <v>0</v>
      </c>
      <c r="Q292" s="597">
        <f t="shared" si="187"/>
        <v>0</v>
      </c>
      <c r="R292" s="597">
        <f t="shared" si="187"/>
        <v>0</v>
      </c>
      <c r="S292" s="597">
        <f t="shared" si="187"/>
        <v>0</v>
      </c>
      <c r="T292" s="597">
        <f t="shared" si="187"/>
        <v>0</v>
      </c>
      <c r="U292" s="597">
        <f t="shared" si="187"/>
        <v>0</v>
      </c>
      <c r="V292" s="597">
        <f t="shared" si="187"/>
        <v>0</v>
      </c>
      <c r="W292" s="597">
        <f t="shared" si="187"/>
        <v>0</v>
      </c>
      <c r="X292" s="597">
        <f t="shared" si="187"/>
        <v>0</v>
      </c>
      <c r="Y292" s="597">
        <f t="shared" si="187"/>
        <v>0</v>
      </c>
      <c r="Z292" s="597">
        <f t="shared" si="187"/>
        <v>0</v>
      </c>
      <c r="AA292" s="597">
        <f t="shared" si="187"/>
        <v>0</v>
      </c>
      <c r="AB292" s="597">
        <f t="shared" si="187"/>
        <v>0</v>
      </c>
      <c r="AC292" s="597">
        <f t="shared" si="187"/>
        <v>0</v>
      </c>
      <c r="AD292" s="597">
        <f t="shared" si="187"/>
        <v>0</v>
      </c>
      <c r="AE292" s="597">
        <f t="shared" si="187"/>
        <v>0</v>
      </c>
      <c r="AF292" s="597">
        <f t="shared" si="187"/>
        <v>0</v>
      </c>
      <c r="AG292" s="597">
        <f>+AG295+AG316+AG337+AG358+AG378</f>
        <v>0</v>
      </c>
      <c r="AH292" s="597">
        <f t="shared" ref="AH292:BB292" si="188">+AH295+AH316+AH337+AH358+AH378</f>
        <v>0</v>
      </c>
      <c r="AI292" s="597">
        <f t="shared" si="188"/>
        <v>0</v>
      </c>
      <c r="AJ292" s="597">
        <f t="shared" si="188"/>
        <v>0</v>
      </c>
      <c r="AK292" s="597">
        <f t="shared" si="188"/>
        <v>0</v>
      </c>
      <c r="AL292" s="597">
        <f t="shared" si="188"/>
        <v>0</v>
      </c>
      <c r="AM292" s="597">
        <f t="shared" si="188"/>
        <v>0</v>
      </c>
      <c r="AN292" s="597">
        <f t="shared" si="188"/>
        <v>0</v>
      </c>
      <c r="AO292" s="597">
        <f t="shared" si="188"/>
        <v>0</v>
      </c>
      <c r="AP292" s="597">
        <f t="shared" si="188"/>
        <v>0</v>
      </c>
      <c r="AQ292" s="597">
        <f>+AQ295+AQ316+AQ337+AQ358+AQ378</f>
        <v>0</v>
      </c>
      <c r="AR292" s="597">
        <f t="shared" ref="AR292:AZ292" si="189">+AR295+AR316+AR337+AR358+AR378</f>
        <v>0</v>
      </c>
      <c r="AS292" s="597">
        <f t="shared" si="189"/>
        <v>0</v>
      </c>
      <c r="AT292" s="597">
        <f t="shared" si="189"/>
        <v>0</v>
      </c>
      <c r="AU292" s="597">
        <f t="shared" si="189"/>
        <v>0</v>
      </c>
      <c r="AV292" s="597">
        <f t="shared" si="189"/>
        <v>0</v>
      </c>
      <c r="AW292" s="597">
        <f t="shared" si="189"/>
        <v>0</v>
      </c>
      <c r="AX292" s="597">
        <f t="shared" si="189"/>
        <v>0</v>
      </c>
      <c r="AY292" s="597">
        <f t="shared" si="189"/>
        <v>0</v>
      </c>
      <c r="AZ292" s="597">
        <f t="shared" si="189"/>
        <v>0</v>
      </c>
      <c r="BA292" s="597">
        <f t="shared" si="188"/>
        <v>0</v>
      </c>
      <c r="BB292" s="597">
        <f t="shared" si="188"/>
        <v>0</v>
      </c>
      <c r="BC292" s="6156"/>
      <c r="BD292" s="420"/>
    </row>
    <row r="293" spans="2:57" s="415" customFormat="1" ht="18.75" customHeight="1">
      <c r="B293" s="598"/>
      <c r="C293" s="599" t="s">
        <v>1944</v>
      </c>
      <c r="D293" s="6161"/>
      <c r="E293" s="600">
        <f>+E296+E317+E338+E359+E379</f>
        <v>0</v>
      </c>
      <c r="F293" s="600">
        <f t="shared" ref="F293:BB293" si="190">+F296+F317+F338+F359+F379</f>
        <v>0</v>
      </c>
      <c r="G293" s="600">
        <f t="shared" si="190"/>
        <v>0</v>
      </c>
      <c r="H293" s="600">
        <f t="shared" si="190"/>
        <v>0</v>
      </c>
      <c r="I293" s="600">
        <f t="shared" si="190"/>
        <v>0</v>
      </c>
      <c r="J293" s="600">
        <f t="shared" si="190"/>
        <v>0</v>
      </c>
      <c r="K293" s="600">
        <f t="shared" si="190"/>
        <v>0</v>
      </c>
      <c r="L293" s="600">
        <f t="shared" si="190"/>
        <v>0</v>
      </c>
      <c r="M293" s="600">
        <f t="shared" si="190"/>
        <v>0</v>
      </c>
      <c r="N293" s="600">
        <f t="shared" si="190"/>
        <v>0</v>
      </c>
      <c r="O293" s="600">
        <f t="shared" si="190"/>
        <v>0</v>
      </c>
      <c r="P293" s="600">
        <f t="shared" si="190"/>
        <v>0</v>
      </c>
      <c r="Q293" s="600">
        <f t="shared" si="190"/>
        <v>0</v>
      </c>
      <c r="R293" s="600">
        <f t="shared" si="190"/>
        <v>0</v>
      </c>
      <c r="S293" s="600">
        <f t="shared" si="190"/>
        <v>0</v>
      </c>
      <c r="T293" s="600">
        <f t="shared" si="190"/>
        <v>0</v>
      </c>
      <c r="U293" s="600">
        <f t="shared" si="190"/>
        <v>0</v>
      </c>
      <c r="V293" s="600">
        <f t="shared" si="190"/>
        <v>0</v>
      </c>
      <c r="W293" s="600">
        <f t="shared" si="190"/>
        <v>0</v>
      </c>
      <c r="X293" s="600">
        <f t="shared" si="190"/>
        <v>0</v>
      </c>
      <c r="Y293" s="600">
        <f t="shared" si="190"/>
        <v>0</v>
      </c>
      <c r="Z293" s="600">
        <f t="shared" si="190"/>
        <v>0</v>
      </c>
      <c r="AA293" s="600">
        <f t="shared" si="190"/>
        <v>0</v>
      </c>
      <c r="AB293" s="600">
        <f t="shared" si="190"/>
        <v>0</v>
      </c>
      <c r="AC293" s="600">
        <f t="shared" si="190"/>
        <v>0</v>
      </c>
      <c r="AD293" s="600">
        <f t="shared" si="190"/>
        <v>0</v>
      </c>
      <c r="AE293" s="600">
        <f t="shared" si="190"/>
        <v>0</v>
      </c>
      <c r="AF293" s="600">
        <f t="shared" si="190"/>
        <v>0</v>
      </c>
      <c r="AG293" s="600">
        <f t="shared" si="190"/>
        <v>0</v>
      </c>
      <c r="AH293" s="600">
        <f t="shared" si="190"/>
        <v>0</v>
      </c>
      <c r="AI293" s="600">
        <f t="shared" si="190"/>
        <v>0</v>
      </c>
      <c r="AJ293" s="600">
        <f t="shared" si="190"/>
        <v>0</v>
      </c>
      <c r="AK293" s="600">
        <f t="shared" si="190"/>
        <v>0</v>
      </c>
      <c r="AL293" s="600">
        <f t="shared" si="190"/>
        <v>0</v>
      </c>
      <c r="AM293" s="600">
        <f t="shared" si="190"/>
        <v>0</v>
      </c>
      <c r="AN293" s="600">
        <f t="shared" si="190"/>
        <v>0</v>
      </c>
      <c r="AO293" s="600">
        <f t="shared" si="190"/>
        <v>0</v>
      </c>
      <c r="AP293" s="600">
        <f t="shared" si="190"/>
        <v>0</v>
      </c>
      <c r="AQ293" s="600">
        <f t="shared" ref="AQ293:AZ293" si="191">+AQ296+AQ317+AQ338+AQ359+AQ379</f>
        <v>0</v>
      </c>
      <c r="AR293" s="600">
        <f t="shared" si="191"/>
        <v>0</v>
      </c>
      <c r="AS293" s="600">
        <f t="shared" si="191"/>
        <v>0</v>
      </c>
      <c r="AT293" s="600">
        <f t="shared" si="191"/>
        <v>0</v>
      </c>
      <c r="AU293" s="600">
        <f t="shared" si="191"/>
        <v>0</v>
      </c>
      <c r="AV293" s="600">
        <f t="shared" si="191"/>
        <v>0</v>
      </c>
      <c r="AW293" s="600">
        <f t="shared" si="191"/>
        <v>0</v>
      </c>
      <c r="AX293" s="600">
        <f t="shared" si="191"/>
        <v>0</v>
      </c>
      <c r="AY293" s="600">
        <f t="shared" si="191"/>
        <v>0</v>
      </c>
      <c r="AZ293" s="600">
        <f t="shared" si="191"/>
        <v>0</v>
      </c>
      <c r="BA293" s="600">
        <f t="shared" si="190"/>
        <v>0</v>
      </c>
      <c r="BB293" s="600">
        <f t="shared" si="190"/>
        <v>0</v>
      </c>
      <c r="BC293" s="6144"/>
      <c r="BD293" s="420"/>
    </row>
    <row r="294" spans="2:57" ht="18.75" customHeight="1">
      <c r="B294" s="579"/>
      <c r="C294" s="601"/>
      <c r="D294" s="581"/>
      <c r="E294" s="582"/>
      <c r="F294" s="582"/>
      <c r="G294" s="582"/>
      <c r="H294" s="582"/>
      <c r="I294" s="582"/>
      <c r="J294" s="582"/>
      <c r="K294" s="582"/>
      <c r="L294" s="582"/>
      <c r="M294" s="582"/>
      <c r="N294" s="582"/>
      <c r="O294" s="582"/>
      <c r="P294" s="582"/>
      <c r="Q294" s="582"/>
      <c r="R294" s="582"/>
      <c r="S294" s="582"/>
      <c r="T294" s="582"/>
      <c r="U294" s="582"/>
      <c r="V294" s="582"/>
      <c r="W294" s="582"/>
      <c r="X294" s="582"/>
      <c r="Y294" s="582"/>
      <c r="Z294" s="582"/>
      <c r="AA294" s="582"/>
      <c r="AB294" s="582"/>
      <c r="AC294" s="582"/>
      <c r="AD294" s="582"/>
      <c r="AE294" s="583"/>
      <c r="AF294" s="582"/>
      <c r="AG294" s="582"/>
      <c r="AH294" s="582"/>
      <c r="AI294" s="582"/>
      <c r="AJ294" s="582"/>
      <c r="AK294" s="582"/>
      <c r="AL294" s="582"/>
      <c r="AM294" s="582"/>
      <c r="AN294" s="582"/>
      <c r="AO294" s="582"/>
      <c r="AP294" s="582"/>
      <c r="AQ294" s="582"/>
      <c r="AR294" s="582"/>
      <c r="AS294" s="582"/>
      <c r="AT294" s="582"/>
      <c r="AU294" s="582"/>
      <c r="AV294" s="582"/>
      <c r="AW294" s="582"/>
      <c r="AX294" s="582"/>
      <c r="AY294" s="582"/>
      <c r="AZ294" s="582"/>
      <c r="BA294" s="582"/>
      <c r="BB294" s="582"/>
      <c r="BC294" s="500"/>
      <c r="BD294" s="450"/>
    </row>
    <row r="295" spans="2:57" s="415" customFormat="1">
      <c r="B295" s="568">
        <v>100</v>
      </c>
      <c r="C295" s="569" t="s">
        <v>509</v>
      </c>
      <c r="D295" s="570" t="s">
        <v>1896</v>
      </c>
      <c r="E295" s="571">
        <f>E312</f>
        <v>0</v>
      </c>
      <c r="F295" s="571">
        <f t="shared" ref="F295:AF295" si="192">F312</f>
        <v>0</v>
      </c>
      <c r="G295" s="571">
        <f t="shared" si="192"/>
        <v>0</v>
      </c>
      <c r="H295" s="571">
        <f t="shared" si="192"/>
        <v>0</v>
      </c>
      <c r="I295" s="571">
        <f t="shared" si="192"/>
        <v>0</v>
      </c>
      <c r="J295" s="571">
        <f t="shared" si="192"/>
        <v>0</v>
      </c>
      <c r="K295" s="571">
        <f t="shared" si="192"/>
        <v>0</v>
      </c>
      <c r="L295" s="571">
        <f t="shared" si="192"/>
        <v>0</v>
      </c>
      <c r="M295" s="571">
        <f t="shared" si="192"/>
        <v>0</v>
      </c>
      <c r="N295" s="571">
        <f t="shared" si="192"/>
        <v>0</v>
      </c>
      <c r="O295" s="571">
        <f t="shared" si="192"/>
        <v>0</v>
      </c>
      <c r="P295" s="571">
        <f t="shared" si="192"/>
        <v>0</v>
      </c>
      <c r="Q295" s="571">
        <f t="shared" si="192"/>
        <v>0</v>
      </c>
      <c r="R295" s="571">
        <f t="shared" si="192"/>
        <v>0</v>
      </c>
      <c r="S295" s="571">
        <f t="shared" si="192"/>
        <v>0</v>
      </c>
      <c r="T295" s="571">
        <f t="shared" si="192"/>
        <v>0</v>
      </c>
      <c r="U295" s="571">
        <f t="shared" si="192"/>
        <v>0</v>
      </c>
      <c r="V295" s="571">
        <f t="shared" si="192"/>
        <v>0</v>
      </c>
      <c r="W295" s="571">
        <f t="shared" si="192"/>
        <v>0</v>
      </c>
      <c r="X295" s="571">
        <f t="shared" si="192"/>
        <v>0</v>
      </c>
      <c r="Y295" s="571">
        <f t="shared" si="192"/>
        <v>0</v>
      </c>
      <c r="Z295" s="571">
        <f t="shared" si="192"/>
        <v>0</v>
      </c>
      <c r="AA295" s="571">
        <f t="shared" si="192"/>
        <v>0</v>
      </c>
      <c r="AB295" s="571">
        <f t="shared" si="192"/>
        <v>0</v>
      </c>
      <c r="AC295" s="571">
        <f t="shared" si="192"/>
        <v>0</v>
      </c>
      <c r="AD295" s="571">
        <f t="shared" si="192"/>
        <v>0</v>
      </c>
      <c r="AE295" s="571">
        <f t="shared" si="192"/>
        <v>0</v>
      </c>
      <c r="AF295" s="571">
        <f t="shared" si="192"/>
        <v>0</v>
      </c>
      <c r="AG295" s="571">
        <f>AG312</f>
        <v>0</v>
      </c>
      <c r="AH295" s="571">
        <f t="shared" ref="AH295:BB295" si="193">AH312</f>
        <v>0</v>
      </c>
      <c r="AI295" s="571">
        <f t="shared" si="193"/>
        <v>0</v>
      </c>
      <c r="AJ295" s="571">
        <f t="shared" si="193"/>
        <v>0</v>
      </c>
      <c r="AK295" s="571">
        <f t="shared" si="193"/>
        <v>0</v>
      </c>
      <c r="AL295" s="571">
        <f t="shared" si="193"/>
        <v>0</v>
      </c>
      <c r="AM295" s="571">
        <f t="shared" si="193"/>
        <v>0</v>
      </c>
      <c r="AN295" s="571">
        <f t="shared" si="193"/>
        <v>0</v>
      </c>
      <c r="AO295" s="571">
        <f>AO312</f>
        <v>0</v>
      </c>
      <c r="AP295" s="571">
        <f t="shared" si="193"/>
        <v>0</v>
      </c>
      <c r="AQ295" s="571">
        <f>AQ312</f>
        <v>0</v>
      </c>
      <c r="AR295" s="571">
        <f t="shared" ref="AR295:AX295" si="194">AR312</f>
        <v>0</v>
      </c>
      <c r="AS295" s="571">
        <f t="shared" si="194"/>
        <v>0</v>
      </c>
      <c r="AT295" s="571">
        <f t="shared" si="194"/>
        <v>0</v>
      </c>
      <c r="AU295" s="571">
        <f t="shared" si="194"/>
        <v>0</v>
      </c>
      <c r="AV295" s="571">
        <f t="shared" si="194"/>
        <v>0</v>
      </c>
      <c r="AW295" s="571">
        <f t="shared" si="194"/>
        <v>0</v>
      </c>
      <c r="AX295" s="571">
        <f t="shared" si="194"/>
        <v>0</v>
      </c>
      <c r="AY295" s="571">
        <f>AY312</f>
        <v>0</v>
      </c>
      <c r="AZ295" s="571">
        <f>AZ312</f>
        <v>0</v>
      </c>
      <c r="BA295" s="571">
        <f t="shared" si="193"/>
        <v>0</v>
      </c>
      <c r="BB295" s="571">
        <f t="shared" si="193"/>
        <v>0</v>
      </c>
      <c r="BC295" s="505"/>
      <c r="BD295" s="420"/>
      <c r="BE295" s="527"/>
    </row>
    <row r="296" spans="2:57" s="415" customFormat="1">
      <c r="B296" s="568"/>
      <c r="C296" s="569"/>
      <c r="D296" s="570" t="s">
        <v>1897</v>
      </c>
      <c r="E296" s="571">
        <f>E313</f>
        <v>0</v>
      </c>
      <c r="F296" s="571">
        <f>F313</f>
        <v>0</v>
      </c>
      <c r="G296" s="571">
        <f>G313</f>
        <v>0</v>
      </c>
      <c r="H296" s="571">
        <f>H313</f>
        <v>0</v>
      </c>
      <c r="I296" s="571">
        <f t="shared" ref="I296:BB296" si="195">I313</f>
        <v>0</v>
      </c>
      <c r="J296" s="571">
        <f t="shared" si="195"/>
        <v>0</v>
      </c>
      <c r="K296" s="571">
        <f t="shared" si="195"/>
        <v>0</v>
      </c>
      <c r="L296" s="571">
        <f t="shared" si="195"/>
        <v>0</v>
      </c>
      <c r="M296" s="571">
        <f t="shared" si="195"/>
        <v>0</v>
      </c>
      <c r="N296" s="571">
        <f t="shared" si="195"/>
        <v>0</v>
      </c>
      <c r="O296" s="571">
        <f t="shared" si="195"/>
        <v>0</v>
      </c>
      <c r="P296" s="571">
        <f t="shared" si="195"/>
        <v>0</v>
      </c>
      <c r="Q296" s="571">
        <f t="shared" si="195"/>
        <v>0</v>
      </c>
      <c r="R296" s="571">
        <f t="shared" si="195"/>
        <v>0</v>
      </c>
      <c r="S296" s="571">
        <f t="shared" si="195"/>
        <v>0</v>
      </c>
      <c r="T296" s="571">
        <f t="shared" si="195"/>
        <v>0</v>
      </c>
      <c r="U296" s="571">
        <f t="shared" si="195"/>
        <v>0</v>
      </c>
      <c r="V296" s="571">
        <f t="shared" si="195"/>
        <v>0</v>
      </c>
      <c r="W296" s="571">
        <f t="shared" si="195"/>
        <v>0</v>
      </c>
      <c r="X296" s="571">
        <f t="shared" si="195"/>
        <v>0</v>
      </c>
      <c r="Y296" s="571">
        <f t="shared" si="195"/>
        <v>0</v>
      </c>
      <c r="Z296" s="571">
        <f t="shared" si="195"/>
        <v>0</v>
      </c>
      <c r="AA296" s="571">
        <f t="shared" si="195"/>
        <v>0</v>
      </c>
      <c r="AB296" s="571">
        <f t="shared" si="195"/>
        <v>0</v>
      </c>
      <c r="AC296" s="571">
        <f t="shared" si="195"/>
        <v>0</v>
      </c>
      <c r="AD296" s="571">
        <f t="shared" si="195"/>
        <v>0</v>
      </c>
      <c r="AE296" s="571">
        <f t="shared" si="195"/>
        <v>0</v>
      </c>
      <c r="AF296" s="571">
        <f t="shared" si="195"/>
        <v>0</v>
      </c>
      <c r="AG296" s="571">
        <f t="shared" si="195"/>
        <v>0</v>
      </c>
      <c r="AH296" s="571">
        <f t="shared" si="195"/>
        <v>0</v>
      </c>
      <c r="AI296" s="571">
        <f t="shared" si="195"/>
        <v>0</v>
      </c>
      <c r="AJ296" s="571">
        <f t="shared" si="195"/>
        <v>0</v>
      </c>
      <c r="AK296" s="571">
        <f t="shared" si="195"/>
        <v>0</v>
      </c>
      <c r="AL296" s="571">
        <f t="shared" si="195"/>
        <v>0</v>
      </c>
      <c r="AM296" s="571">
        <f t="shared" si="195"/>
        <v>0</v>
      </c>
      <c r="AN296" s="571">
        <f>AN313</f>
        <v>0</v>
      </c>
      <c r="AO296" s="571">
        <f t="shared" si="195"/>
        <v>0</v>
      </c>
      <c r="AP296" s="571">
        <f t="shared" si="195"/>
        <v>0</v>
      </c>
      <c r="AQ296" s="571">
        <f t="shared" ref="AQ296:AW296" si="196">AQ313</f>
        <v>0</v>
      </c>
      <c r="AR296" s="571">
        <f t="shared" si="196"/>
        <v>0</v>
      </c>
      <c r="AS296" s="571">
        <f t="shared" si="196"/>
        <v>0</v>
      </c>
      <c r="AT296" s="571">
        <f t="shared" si="196"/>
        <v>0</v>
      </c>
      <c r="AU296" s="571">
        <f t="shared" si="196"/>
        <v>0</v>
      </c>
      <c r="AV296" s="571">
        <f t="shared" si="196"/>
        <v>0</v>
      </c>
      <c r="AW296" s="571">
        <f t="shared" si="196"/>
        <v>0</v>
      </c>
      <c r="AX296" s="571">
        <f>AX313</f>
        <v>0</v>
      </c>
      <c r="AY296" s="571">
        <f>AY313</f>
        <v>0</v>
      </c>
      <c r="AZ296" s="571">
        <f>AZ313</f>
        <v>0</v>
      </c>
      <c r="BA296" s="571">
        <f t="shared" si="195"/>
        <v>0</v>
      </c>
      <c r="BB296" s="571">
        <f t="shared" si="195"/>
        <v>0</v>
      </c>
      <c r="BC296" s="506"/>
      <c r="BD296" s="420"/>
    </row>
    <row r="297" spans="2:57" ht="15" customHeight="1" outlineLevel="1">
      <c r="B297" s="579"/>
      <c r="C297" s="594"/>
      <c r="D297" s="581"/>
      <c r="E297" s="582"/>
      <c r="F297" s="582"/>
      <c r="G297" s="582"/>
      <c r="H297" s="582"/>
      <c r="I297" s="582"/>
      <c r="J297" s="582"/>
      <c r="K297" s="582"/>
      <c r="L297" s="582"/>
      <c r="M297" s="582"/>
      <c r="N297" s="582"/>
      <c r="O297" s="582"/>
      <c r="P297" s="582"/>
      <c r="Q297" s="582"/>
      <c r="R297" s="582"/>
      <c r="S297" s="582"/>
      <c r="T297" s="582"/>
      <c r="U297" s="582"/>
      <c r="V297" s="582"/>
      <c r="W297" s="582"/>
      <c r="X297" s="582"/>
      <c r="Y297" s="582"/>
      <c r="Z297" s="582"/>
      <c r="AA297" s="582"/>
      <c r="AB297" s="582"/>
      <c r="AC297" s="582"/>
      <c r="AD297" s="582"/>
      <c r="AE297" s="583"/>
      <c r="AF297" s="582"/>
      <c r="AG297" s="582"/>
      <c r="AH297" s="582"/>
      <c r="AI297" s="582"/>
      <c r="AJ297" s="582"/>
      <c r="AK297" s="582"/>
      <c r="AL297" s="582"/>
      <c r="AM297" s="582"/>
      <c r="AN297" s="582"/>
      <c r="AO297" s="582"/>
      <c r="AP297" s="582"/>
      <c r="AQ297" s="582"/>
      <c r="AR297" s="582"/>
      <c r="AS297" s="582"/>
      <c r="AT297" s="582"/>
      <c r="AU297" s="582"/>
      <c r="AV297" s="582"/>
      <c r="AW297" s="582"/>
      <c r="AX297" s="582"/>
      <c r="AY297" s="582"/>
      <c r="AZ297" s="582"/>
      <c r="BA297" s="582"/>
      <c r="BB297" s="582"/>
      <c r="BC297" s="505"/>
      <c r="BD297" s="450"/>
    </row>
    <row r="298" spans="2:57" ht="18.75" customHeight="1" outlineLevel="1">
      <c r="B298" s="568">
        <v>100.1</v>
      </c>
      <c r="C298" s="572">
        <v>0</v>
      </c>
      <c r="D298" s="573">
        <f>D41</f>
        <v>479457540.53999996</v>
      </c>
      <c r="E298" s="574"/>
      <c r="F298" s="574"/>
      <c r="G298" s="574"/>
      <c r="H298" s="574"/>
      <c r="I298" s="574"/>
      <c r="J298" s="574"/>
      <c r="K298" s="574"/>
      <c r="L298" s="574"/>
      <c r="M298" s="574"/>
      <c r="N298" s="574"/>
      <c r="O298" s="574"/>
      <c r="P298" s="574"/>
      <c r="Q298" s="574"/>
      <c r="R298" s="574"/>
      <c r="S298" s="574"/>
      <c r="T298" s="574"/>
      <c r="U298" s="574"/>
      <c r="V298" s="574"/>
      <c r="W298" s="574"/>
      <c r="X298" s="574"/>
      <c r="Y298" s="574"/>
      <c r="Z298" s="574"/>
      <c r="AA298" s="574"/>
      <c r="AB298" s="574"/>
      <c r="AC298" s="574"/>
      <c r="AD298" s="574"/>
      <c r="AE298" s="575"/>
      <c r="AF298" s="574"/>
      <c r="AG298" s="574"/>
      <c r="AH298" s="574"/>
      <c r="AI298" s="574"/>
      <c r="AJ298" s="574"/>
      <c r="AK298" s="574"/>
      <c r="AL298" s="574"/>
      <c r="AM298" s="574"/>
      <c r="AN298" s="574"/>
      <c r="AO298" s="574"/>
      <c r="AP298" s="574"/>
      <c r="AQ298" s="574"/>
      <c r="AR298" s="574"/>
      <c r="AS298" s="574"/>
      <c r="AT298" s="574"/>
      <c r="AU298" s="574"/>
      <c r="AV298" s="574"/>
      <c r="AW298" s="574"/>
      <c r="AX298" s="574"/>
      <c r="AY298" s="574"/>
      <c r="AZ298" s="574"/>
      <c r="BA298" s="574"/>
      <c r="BB298" s="574"/>
      <c r="BC298" s="506"/>
      <c r="BD298" s="450"/>
    </row>
    <row r="299" spans="2:57" ht="15" customHeight="1" outlineLevel="2">
      <c r="B299" s="579"/>
      <c r="C299" s="580" t="s">
        <v>1898</v>
      </c>
      <c r="D299" s="581" t="s">
        <v>1899</v>
      </c>
      <c r="E299" s="582"/>
      <c r="F299" s="582"/>
      <c r="G299" s="582"/>
      <c r="H299" s="582"/>
      <c r="I299" s="582"/>
      <c r="J299" s="582"/>
      <c r="K299" s="582"/>
      <c r="L299" s="582"/>
      <c r="M299" s="582"/>
      <c r="N299" s="582"/>
      <c r="O299" s="582"/>
      <c r="P299" s="582"/>
      <c r="Q299" s="582"/>
      <c r="R299" s="582"/>
      <c r="S299" s="582"/>
      <c r="T299" s="582"/>
      <c r="U299" s="582"/>
      <c r="V299" s="582"/>
      <c r="W299" s="582"/>
      <c r="X299" s="582"/>
      <c r="Y299" s="582"/>
      <c r="Z299" s="582"/>
      <c r="AA299" s="582"/>
      <c r="AB299" s="582"/>
      <c r="AC299" s="582"/>
      <c r="AD299" s="582"/>
      <c r="AE299" s="583"/>
      <c r="AF299" s="582"/>
      <c r="AG299" s="582"/>
      <c r="AH299" s="582"/>
      <c r="AI299" s="582"/>
      <c r="AJ299" s="582"/>
      <c r="AK299" s="582"/>
      <c r="AL299" s="582"/>
      <c r="AM299" s="582"/>
      <c r="AN299" s="582"/>
      <c r="AO299" s="582"/>
      <c r="AP299" s="582"/>
      <c r="AQ299" s="582"/>
      <c r="AR299" s="582"/>
      <c r="AS299" s="582"/>
      <c r="AT299" s="582"/>
      <c r="AU299" s="582"/>
      <c r="AV299" s="582"/>
      <c r="AW299" s="582"/>
      <c r="AX299" s="582"/>
      <c r="AY299" s="582"/>
      <c r="AZ299" s="582"/>
      <c r="BA299" s="582"/>
      <c r="BB299" s="582"/>
      <c r="BC299" s="500"/>
      <c r="BD299" s="450"/>
      <c r="BE299" s="527"/>
    </row>
    <row r="300" spans="2:57" ht="15" customHeight="1" outlineLevel="2">
      <c r="B300" s="579"/>
      <c r="C300" s="580" t="s">
        <v>1901</v>
      </c>
      <c r="D300" s="581" t="s">
        <v>1902</v>
      </c>
      <c r="E300" s="582">
        <v>0</v>
      </c>
      <c r="F300" s="582">
        <v>0</v>
      </c>
      <c r="G300" s="582">
        <v>0</v>
      </c>
      <c r="H300" s="582">
        <v>0</v>
      </c>
      <c r="I300" s="582">
        <v>0</v>
      </c>
      <c r="J300" s="582">
        <v>0</v>
      </c>
      <c r="K300" s="582">
        <v>0</v>
      </c>
      <c r="L300" s="582">
        <v>0</v>
      </c>
      <c r="M300" s="582">
        <v>0</v>
      </c>
      <c r="N300" s="582">
        <v>0</v>
      </c>
      <c r="O300" s="582">
        <v>0</v>
      </c>
      <c r="P300" s="582">
        <v>0</v>
      </c>
      <c r="Q300" s="582">
        <v>0</v>
      </c>
      <c r="R300" s="582">
        <v>0</v>
      </c>
      <c r="S300" s="582">
        <v>0</v>
      </c>
      <c r="T300" s="582">
        <v>0</v>
      </c>
      <c r="U300" s="582">
        <v>0</v>
      </c>
      <c r="V300" s="582">
        <v>0</v>
      </c>
      <c r="W300" s="582">
        <v>0</v>
      </c>
      <c r="X300" s="582">
        <v>0</v>
      </c>
      <c r="Y300" s="582">
        <v>0</v>
      </c>
      <c r="Z300" s="582">
        <v>0</v>
      </c>
      <c r="AA300" s="582">
        <v>0</v>
      </c>
      <c r="AB300" s="582">
        <v>0</v>
      </c>
      <c r="AC300" s="582">
        <v>0</v>
      </c>
      <c r="AD300" s="582">
        <v>0</v>
      </c>
      <c r="AE300" s="583">
        <v>0</v>
      </c>
      <c r="AF300" s="582">
        <v>0</v>
      </c>
      <c r="AG300" s="582">
        <v>0</v>
      </c>
      <c r="AH300" s="582">
        <v>0</v>
      </c>
      <c r="AI300" s="582">
        <v>0</v>
      </c>
      <c r="AJ300" s="582">
        <v>0</v>
      </c>
      <c r="AK300" s="582">
        <v>0</v>
      </c>
      <c r="AL300" s="582">
        <v>0</v>
      </c>
      <c r="AM300" s="582">
        <v>0</v>
      </c>
      <c r="AN300" s="582">
        <v>0</v>
      </c>
      <c r="AO300" s="582">
        <v>0</v>
      </c>
      <c r="AP300" s="582">
        <v>0</v>
      </c>
      <c r="AQ300" s="582">
        <v>0</v>
      </c>
      <c r="AR300" s="582">
        <v>0</v>
      </c>
      <c r="AS300" s="582">
        <v>0</v>
      </c>
      <c r="AT300" s="582">
        <v>0</v>
      </c>
      <c r="AU300" s="582">
        <v>0</v>
      </c>
      <c r="AV300" s="582">
        <v>0</v>
      </c>
      <c r="AW300" s="582">
        <v>0</v>
      </c>
      <c r="AX300" s="582">
        <v>0</v>
      </c>
      <c r="AY300" s="582">
        <v>0</v>
      </c>
      <c r="AZ300" s="582">
        <v>0</v>
      </c>
      <c r="BA300" s="582">
        <v>0</v>
      </c>
      <c r="BB300" s="582">
        <v>0</v>
      </c>
      <c r="BC300" s="500"/>
      <c r="BD300" s="450"/>
    </row>
    <row r="301" spans="2:57" ht="15" customHeight="1" outlineLevel="2">
      <c r="B301" s="579"/>
      <c r="C301" s="580" t="s">
        <v>1903</v>
      </c>
      <c r="D301" s="581" t="s">
        <v>1904</v>
      </c>
      <c r="E301" s="582">
        <v>0</v>
      </c>
      <c r="F301" s="582">
        <v>0</v>
      </c>
      <c r="G301" s="582">
        <v>0</v>
      </c>
      <c r="H301" s="582">
        <v>0</v>
      </c>
      <c r="I301" s="582">
        <v>0</v>
      </c>
      <c r="J301" s="582">
        <v>0</v>
      </c>
      <c r="K301" s="582">
        <v>0</v>
      </c>
      <c r="L301" s="582">
        <v>0</v>
      </c>
      <c r="M301" s="582">
        <v>0</v>
      </c>
      <c r="N301" s="582">
        <v>0</v>
      </c>
      <c r="O301" s="582">
        <v>0</v>
      </c>
      <c r="P301" s="582">
        <v>0</v>
      </c>
      <c r="Q301" s="582">
        <v>0</v>
      </c>
      <c r="R301" s="582">
        <v>0</v>
      </c>
      <c r="S301" s="582">
        <v>0</v>
      </c>
      <c r="T301" s="582">
        <v>0</v>
      </c>
      <c r="U301" s="582">
        <v>0</v>
      </c>
      <c r="V301" s="582">
        <v>0</v>
      </c>
      <c r="W301" s="582">
        <v>0</v>
      </c>
      <c r="X301" s="582">
        <v>0</v>
      </c>
      <c r="Y301" s="582">
        <v>0</v>
      </c>
      <c r="Z301" s="582">
        <v>0</v>
      </c>
      <c r="AA301" s="582">
        <v>0</v>
      </c>
      <c r="AB301" s="582">
        <v>0</v>
      </c>
      <c r="AC301" s="582">
        <v>0</v>
      </c>
      <c r="AD301" s="582">
        <v>0</v>
      </c>
      <c r="AE301" s="583">
        <v>0</v>
      </c>
      <c r="AF301" s="582">
        <v>0</v>
      </c>
      <c r="AG301" s="582">
        <v>0</v>
      </c>
      <c r="AH301" s="582">
        <v>0</v>
      </c>
      <c r="AI301" s="582">
        <v>0</v>
      </c>
      <c r="AJ301" s="582">
        <v>0</v>
      </c>
      <c r="AK301" s="582">
        <v>0</v>
      </c>
      <c r="AL301" s="582">
        <v>0</v>
      </c>
      <c r="AM301" s="582">
        <v>0</v>
      </c>
      <c r="AN301" s="582">
        <v>0</v>
      </c>
      <c r="AO301" s="582">
        <v>0</v>
      </c>
      <c r="AP301" s="582">
        <v>0</v>
      </c>
      <c r="AQ301" s="582">
        <v>0</v>
      </c>
      <c r="AR301" s="582">
        <v>0</v>
      </c>
      <c r="AS301" s="582">
        <v>0</v>
      </c>
      <c r="AT301" s="582">
        <v>0</v>
      </c>
      <c r="AU301" s="582">
        <v>0</v>
      </c>
      <c r="AV301" s="582">
        <v>0</v>
      </c>
      <c r="AW301" s="582">
        <v>0</v>
      </c>
      <c r="AX301" s="582">
        <v>0</v>
      </c>
      <c r="AY301" s="582">
        <v>0</v>
      </c>
      <c r="AZ301" s="582">
        <v>0</v>
      </c>
      <c r="BA301" s="582">
        <v>0</v>
      </c>
      <c r="BB301" s="582">
        <v>0</v>
      </c>
      <c r="BC301" s="500"/>
      <c r="BD301" s="450"/>
    </row>
    <row r="302" spans="2:57" s="415" customFormat="1" ht="15" customHeight="1" outlineLevel="2">
      <c r="B302" s="584"/>
      <c r="C302" s="585" t="s">
        <v>1905</v>
      </c>
      <c r="D302" s="586" t="s">
        <v>1906</v>
      </c>
      <c r="E302" s="587">
        <f>E299+E300+E301</f>
        <v>0</v>
      </c>
      <c r="F302" s="587">
        <f>F299+F300+F301</f>
        <v>0</v>
      </c>
      <c r="G302" s="587">
        <f>G298+G299+G300+G301</f>
        <v>0</v>
      </c>
      <c r="H302" s="587">
        <f t="shared" ref="H302:Z302" si="197">H299+H300+H301</f>
        <v>0</v>
      </c>
      <c r="I302" s="587">
        <f t="shared" si="197"/>
        <v>0</v>
      </c>
      <c r="J302" s="587">
        <f t="shared" si="197"/>
        <v>0</v>
      </c>
      <c r="K302" s="587">
        <f t="shared" si="197"/>
        <v>0</v>
      </c>
      <c r="L302" s="587">
        <f t="shared" si="197"/>
        <v>0</v>
      </c>
      <c r="M302" s="587">
        <f t="shared" si="197"/>
        <v>0</v>
      </c>
      <c r="N302" s="587">
        <f t="shared" si="197"/>
        <v>0</v>
      </c>
      <c r="O302" s="587">
        <f t="shared" si="197"/>
        <v>0</v>
      </c>
      <c r="P302" s="587">
        <f t="shared" si="197"/>
        <v>0</v>
      </c>
      <c r="Q302" s="587">
        <f t="shared" si="197"/>
        <v>0</v>
      </c>
      <c r="R302" s="587">
        <f t="shared" si="197"/>
        <v>0</v>
      </c>
      <c r="S302" s="587">
        <f t="shared" si="197"/>
        <v>0</v>
      </c>
      <c r="T302" s="587">
        <f t="shared" si="197"/>
        <v>0</v>
      </c>
      <c r="U302" s="587">
        <f t="shared" si="197"/>
        <v>0</v>
      </c>
      <c r="V302" s="587">
        <f t="shared" si="197"/>
        <v>0</v>
      </c>
      <c r="W302" s="587">
        <f t="shared" si="197"/>
        <v>0</v>
      </c>
      <c r="X302" s="587">
        <f t="shared" si="197"/>
        <v>0</v>
      </c>
      <c r="Y302" s="587">
        <f t="shared" si="197"/>
        <v>0</v>
      </c>
      <c r="Z302" s="587">
        <f t="shared" si="197"/>
        <v>0</v>
      </c>
      <c r="AA302" s="587">
        <f t="shared" ref="AA302:AF302" si="198">AA299+AA300+AA301</f>
        <v>0</v>
      </c>
      <c r="AB302" s="587">
        <f t="shared" si="198"/>
        <v>0</v>
      </c>
      <c r="AC302" s="587">
        <f t="shared" si="198"/>
        <v>0</v>
      </c>
      <c r="AD302" s="587">
        <f t="shared" si="198"/>
        <v>0</v>
      </c>
      <c r="AE302" s="587">
        <f t="shared" si="198"/>
        <v>0</v>
      </c>
      <c r="AF302" s="587">
        <f t="shared" si="198"/>
        <v>0</v>
      </c>
      <c r="AG302" s="587">
        <f t="shared" ref="AG302:BB302" si="199">AG299+AG300+AG301</f>
        <v>0</v>
      </c>
      <c r="AH302" s="587">
        <f t="shared" si="199"/>
        <v>0</v>
      </c>
      <c r="AI302" s="587">
        <f t="shared" si="199"/>
        <v>0</v>
      </c>
      <c r="AJ302" s="587">
        <f t="shared" si="199"/>
        <v>0</v>
      </c>
      <c r="AK302" s="587">
        <f t="shared" si="199"/>
        <v>0</v>
      </c>
      <c r="AL302" s="587">
        <f t="shared" si="199"/>
        <v>0</v>
      </c>
      <c r="AM302" s="587">
        <f t="shared" si="199"/>
        <v>0</v>
      </c>
      <c r="AN302" s="587">
        <f t="shared" si="199"/>
        <v>0</v>
      </c>
      <c r="AO302" s="587">
        <f t="shared" si="199"/>
        <v>0</v>
      </c>
      <c r="AP302" s="587">
        <f t="shared" si="199"/>
        <v>0</v>
      </c>
      <c r="AQ302" s="587">
        <f t="shared" ref="AQ302:AZ302" si="200">AQ299+AQ300+AQ301</f>
        <v>0</v>
      </c>
      <c r="AR302" s="587">
        <f t="shared" si="200"/>
        <v>0</v>
      </c>
      <c r="AS302" s="587">
        <f t="shared" si="200"/>
        <v>0</v>
      </c>
      <c r="AT302" s="587">
        <f t="shared" si="200"/>
        <v>0</v>
      </c>
      <c r="AU302" s="587">
        <f t="shared" si="200"/>
        <v>0</v>
      </c>
      <c r="AV302" s="587">
        <f t="shared" si="200"/>
        <v>0</v>
      </c>
      <c r="AW302" s="587">
        <f t="shared" si="200"/>
        <v>0</v>
      </c>
      <c r="AX302" s="587">
        <f t="shared" si="200"/>
        <v>0</v>
      </c>
      <c r="AY302" s="587">
        <f t="shared" si="200"/>
        <v>0</v>
      </c>
      <c r="AZ302" s="587">
        <f t="shared" si="200"/>
        <v>0</v>
      </c>
      <c r="BA302" s="587">
        <f t="shared" si="199"/>
        <v>0</v>
      </c>
      <c r="BB302" s="587">
        <f t="shared" si="199"/>
        <v>0</v>
      </c>
      <c r="BC302" s="506"/>
      <c r="BD302" s="420"/>
    </row>
    <row r="303" spans="2:57" s="415" customFormat="1" ht="15" customHeight="1" outlineLevel="2">
      <c r="B303" s="584"/>
      <c r="C303" s="589" t="s">
        <v>1907</v>
      </c>
      <c r="D303" s="586" t="s">
        <v>1908</v>
      </c>
      <c r="E303" s="587">
        <f>E302*0</f>
        <v>0</v>
      </c>
      <c r="F303" s="587">
        <v>0</v>
      </c>
      <c r="G303" s="587">
        <v>0</v>
      </c>
      <c r="H303" s="587">
        <v>0</v>
      </c>
      <c r="I303" s="587">
        <v>0</v>
      </c>
      <c r="J303" s="587">
        <v>0</v>
      </c>
      <c r="K303" s="587">
        <v>0</v>
      </c>
      <c r="L303" s="587">
        <v>0</v>
      </c>
      <c r="M303" s="587">
        <v>0</v>
      </c>
      <c r="N303" s="587">
        <v>0</v>
      </c>
      <c r="O303" s="587">
        <v>0</v>
      </c>
      <c r="P303" s="587">
        <v>0</v>
      </c>
      <c r="Q303" s="587">
        <v>0</v>
      </c>
      <c r="R303" s="587">
        <v>0</v>
      </c>
      <c r="S303" s="587">
        <v>0</v>
      </c>
      <c r="T303" s="587">
        <v>0</v>
      </c>
      <c r="U303" s="587">
        <v>0</v>
      </c>
      <c r="V303" s="587">
        <v>0</v>
      </c>
      <c r="W303" s="587">
        <v>0</v>
      </c>
      <c r="X303" s="587">
        <v>0</v>
      </c>
      <c r="Y303" s="587">
        <v>0</v>
      </c>
      <c r="Z303" s="587">
        <v>0</v>
      </c>
      <c r="AA303" s="587">
        <v>0</v>
      </c>
      <c r="AB303" s="587">
        <v>0</v>
      </c>
      <c r="AC303" s="587">
        <v>0</v>
      </c>
      <c r="AD303" s="587">
        <v>0</v>
      </c>
      <c r="AE303" s="587">
        <v>0</v>
      </c>
      <c r="AF303" s="587">
        <v>0</v>
      </c>
      <c r="AG303" s="587">
        <v>0</v>
      </c>
      <c r="AH303" s="587">
        <v>0</v>
      </c>
      <c r="AI303" s="587">
        <v>0</v>
      </c>
      <c r="AJ303" s="587">
        <v>0</v>
      </c>
      <c r="AK303" s="587">
        <v>0</v>
      </c>
      <c r="AL303" s="587">
        <v>0</v>
      </c>
      <c r="AM303" s="587">
        <v>0</v>
      </c>
      <c r="AN303" s="587">
        <v>0</v>
      </c>
      <c r="AO303" s="587">
        <v>0</v>
      </c>
      <c r="AP303" s="587">
        <v>0</v>
      </c>
      <c r="AQ303" s="587">
        <v>0</v>
      </c>
      <c r="AR303" s="587">
        <v>0</v>
      </c>
      <c r="AS303" s="587">
        <v>0</v>
      </c>
      <c r="AT303" s="587">
        <v>0</v>
      </c>
      <c r="AU303" s="587">
        <v>0</v>
      </c>
      <c r="AV303" s="587">
        <v>0</v>
      </c>
      <c r="AW303" s="587">
        <v>0</v>
      </c>
      <c r="AX303" s="587">
        <v>0</v>
      </c>
      <c r="AY303" s="587">
        <v>0</v>
      </c>
      <c r="AZ303" s="587">
        <v>0</v>
      </c>
      <c r="BA303" s="587">
        <v>0</v>
      </c>
      <c r="BB303" s="587">
        <v>0</v>
      </c>
      <c r="BC303" s="506"/>
      <c r="BD303" s="420"/>
    </row>
    <row r="304" spans="2:57" s="438" customFormat="1" ht="15" customHeight="1" outlineLevel="2">
      <c r="B304" s="579"/>
      <c r="C304" s="590" t="s">
        <v>1579</v>
      </c>
      <c r="D304" s="581" t="s">
        <v>1909</v>
      </c>
      <c r="E304" s="582">
        <v>0</v>
      </c>
      <c r="F304" s="582">
        <v>0</v>
      </c>
      <c r="G304" s="582">
        <v>0</v>
      </c>
      <c r="H304" s="582">
        <v>0</v>
      </c>
      <c r="I304" s="582">
        <v>0</v>
      </c>
      <c r="J304" s="582">
        <v>0</v>
      </c>
      <c r="K304" s="582">
        <v>0</v>
      </c>
      <c r="L304" s="582">
        <v>0</v>
      </c>
      <c r="M304" s="582">
        <v>0</v>
      </c>
      <c r="N304" s="582">
        <v>0</v>
      </c>
      <c r="O304" s="582">
        <v>0</v>
      </c>
      <c r="P304" s="582">
        <v>0</v>
      </c>
      <c r="Q304" s="582">
        <v>0</v>
      </c>
      <c r="R304" s="582">
        <v>0</v>
      </c>
      <c r="S304" s="582">
        <v>0</v>
      </c>
      <c r="T304" s="582">
        <v>0</v>
      </c>
      <c r="U304" s="582">
        <v>0</v>
      </c>
      <c r="V304" s="582">
        <v>0</v>
      </c>
      <c r="W304" s="582">
        <v>0</v>
      </c>
      <c r="X304" s="582">
        <v>0</v>
      </c>
      <c r="Y304" s="582">
        <v>0</v>
      </c>
      <c r="Z304" s="582">
        <v>0</v>
      </c>
      <c r="AA304" s="582">
        <v>0</v>
      </c>
      <c r="AB304" s="582">
        <v>0</v>
      </c>
      <c r="AC304" s="582">
        <v>0</v>
      </c>
      <c r="AD304" s="582">
        <v>0</v>
      </c>
      <c r="AE304" s="582">
        <v>0</v>
      </c>
      <c r="AF304" s="582">
        <v>0</v>
      </c>
      <c r="AG304" s="582">
        <v>0</v>
      </c>
      <c r="AH304" s="582">
        <v>0</v>
      </c>
      <c r="AI304" s="582">
        <v>0</v>
      </c>
      <c r="AJ304" s="582">
        <v>0</v>
      </c>
      <c r="AK304" s="582">
        <v>0</v>
      </c>
      <c r="AL304" s="582">
        <v>0</v>
      </c>
      <c r="AM304" s="582">
        <v>0</v>
      </c>
      <c r="AN304" s="582">
        <v>0</v>
      </c>
      <c r="AO304" s="582">
        <v>0</v>
      </c>
      <c r="AP304" s="582">
        <v>0</v>
      </c>
      <c r="AQ304" s="582">
        <v>0</v>
      </c>
      <c r="AR304" s="582">
        <v>0</v>
      </c>
      <c r="AS304" s="582">
        <v>0</v>
      </c>
      <c r="AT304" s="582">
        <v>0</v>
      </c>
      <c r="AU304" s="582">
        <v>0</v>
      </c>
      <c r="AV304" s="582">
        <v>0</v>
      </c>
      <c r="AW304" s="582">
        <v>0</v>
      </c>
      <c r="AX304" s="582">
        <v>0</v>
      </c>
      <c r="AY304" s="582">
        <v>0</v>
      </c>
      <c r="AZ304" s="582">
        <v>0</v>
      </c>
      <c r="BA304" s="582">
        <v>0</v>
      </c>
      <c r="BB304" s="582">
        <v>0</v>
      </c>
      <c r="BC304" s="500"/>
      <c r="BD304" s="523"/>
    </row>
    <row r="305" spans="2:56" s="415" customFormat="1" ht="15" customHeight="1" outlineLevel="2">
      <c r="B305" s="584"/>
      <c r="C305" s="589" t="s">
        <v>1910</v>
      </c>
      <c r="D305" s="586" t="s">
        <v>1911</v>
      </c>
      <c r="E305" s="587">
        <f>E302+E303+E304</f>
        <v>0</v>
      </c>
      <c r="F305" s="587">
        <f>F302+F303+F304</f>
        <v>0</v>
      </c>
      <c r="G305" s="587">
        <f>G302+G303+G304</f>
        <v>0</v>
      </c>
      <c r="H305" s="587">
        <f>H302+H303+H304</f>
        <v>0</v>
      </c>
      <c r="I305" s="587">
        <f t="shared" ref="I305:Z305" si="201">I302+I303+I304</f>
        <v>0</v>
      </c>
      <c r="J305" s="587">
        <f t="shared" si="201"/>
        <v>0</v>
      </c>
      <c r="K305" s="587">
        <f t="shared" si="201"/>
        <v>0</v>
      </c>
      <c r="L305" s="587">
        <f t="shared" si="201"/>
        <v>0</v>
      </c>
      <c r="M305" s="587">
        <f t="shared" si="201"/>
        <v>0</v>
      </c>
      <c r="N305" s="587">
        <f t="shared" si="201"/>
        <v>0</v>
      </c>
      <c r="O305" s="587">
        <f t="shared" si="201"/>
        <v>0</v>
      </c>
      <c r="P305" s="587">
        <f t="shared" si="201"/>
        <v>0</v>
      </c>
      <c r="Q305" s="587">
        <f t="shared" si="201"/>
        <v>0</v>
      </c>
      <c r="R305" s="587">
        <f t="shared" si="201"/>
        <v>0</v>
      </c>
      <c r="S305" s="587">
        <f t="shared" si="201"/>
        <v>0</v>
      </c>
      <c r="T305" s="587">
        <f t="shared" si="201"/>
        <v>0</v>
      </c>
      <c r="U305" s="587">
        <f t="shared" si="201"/>
        <v>0</v>
      </c>
      <c r="V305" s="587">
        <f t="shared" si="201"/>
        <v>0</v>
      </c>
      <c r="W305" s="587">
        <f t="shared" si="201"/>
        <v>0</v>
      </c>
      <c r="X305" s="587">
        <f t="shared" si="201"/>
        <v>0</v>
      </c>
      <c r="Y305" s="587">
        <f t="shared" si="201"/>
        <v>0</v>
      </c>
      <c r="Z305" s="587">
        <f t="shared" si="201"/>
        <v>0</v>
      </c>
      <c r="AA305" s="587">
        <f>AA302+AA303+AA304</f>
        <v>0</v>
      </c>
      <c r="AB305" s="587">
        <f>AB302+AB303+AB304</f>
        <v>0</v>
      </c>
      <c r="AC305" s="587">
        <f t="shared" ref="AC305:BB305" si="202">AC302+AC303+AC304</f>
        <v>0</v>
      </c>
      <c r="AD305" s="587">
        <f t="shared" si="202"/>
        <v>0</v>
      </c>
      <c r="AE305" s="587">
        <f t="shared" si="202"/>
        <v>0</v>
      </c>
      <c r="AF305" s="587">
        <f t="shared" si="202"/>
        <v>0</v>
      </c>
      <c r="AG305" s="587">
        <f t="shared" si="202"/>
        <v>0</v>
      </c>
      <c r="AH305" s="587">
        <f t="shared" si="202"/>
        <v>0</v>
      </c>
      <c r="AI305" s="587">
        <f t="shared" si="202"/>
        <v>0</v>
      </c>
      <c r="AJ305" s="587">
        <f t="shared" si="202"/>
        <v>0</v>
      </c>
      <c r="AK305" s="587">
        <f t="shared" si="202"/>
        <v>0</v>
      </c>
      <c r="AL305" s="587">
        <f t="shared" si="202"/>
        <v>0</v>
      </c>
      <c r="AM305" s="587">
        <f t="shared" si="202"/>
        <v>0</v>
      </c>
      <c r="AN305" s="587">
        <f t="shared" si="202"/>
        <v>0</v>
      </c>
      <c r="AO305" s="587">
        <f t="shared" si="202"/>
        <v>0</v>
      </c>
      <c r="AP305" s="587">
        <f t="shared" si="202"/>
        <v>0</v>
      </c>
      <c r="AQ305" s="587">
        <f t="shared" ref="AQ305:AZ305" si="203">AQ302+AQ303+AQ304</f>
        <v>0</v>
      </c>
      <c r="AR305" s="587">
        <f t="shared" si="203"/>
        <v>0</v>
      </c>
      <c r="AS305" s="587">
        <f t="shared" si="203"/>
        <v>0</v>
      </c>
      <c r="AT305" s="587">
        <f t="shared" si="203"/>
        <v>0</v>
      </c>
      <c r="AU305" s="587">
        <f t="shared" si="203"/>
        <v>0</v>
      </c>
      <c r="AV305" s="587">
        <f t="shared" si="203"/>
        <v>0</v>
      </c>
      <c r="AW305" s="587">
        <f t="shared" si="203"/>
        <v>0</v>
      </c>
      <c r="AX305" s="587">
        <f t="shared" si="203"/>
        <v>0</v>
      </c>
      <c r="AY305" s="587">
        <f t="shared" si="203"/>
        <v>0</v>
      </c>
      <c r="AZ305" s="587">
        <f t="shared" si="203"/>
        <v>0</v>
      </c>
      <c r="BA305" s="587">
        <f t="shared" si="202"/>
        <v>0</v>
      </c>
      <c r="BB305" s="587">
        <f t="shared" si="202"/>
        <v>0</v>
      </c>
      <c r="BC305" s="506"/>
      <c r="BD305" s="420"/>
    </row>
    <row r="306" spans="2:56" s="415" customFormat="1" ht="15" customHeight="1" outlineLevel="2">
      <c r="B306" s="584"/>
      <c r="C306" s="589" t="s">
        <v>1938</v>
      </c>
      <c r="D306" s="586" t="s">
        <v>1913</v>
      </c>
      <c r="E306" s="587">
        <f>E302*0</f>
        <v>0</v>
      </c>
      <c r="F306" s="587">
        <v>0</v>
      </c>
      <c r="G306" s="587">
        <v>0</v>
      </c>
      <c r="H306" s="587">
        <v>0</v>
      </c>
      <c r="I306" s="587">
        <v>0</v>
      </c>
      <c r="J306" s="587">
        <v>0</v>
      </c>
      <c r="K306" s="587">
        <v>0</v>
      </c>
      <c r="L306" s="587">
        <v>0</v>
      </c>
      <c r="M306" s="587">
        <v>0</v>
      </c>
      <c r="N306" s="587">
        <v>0</v>
      </c>
      <c r="O306" s="587">
        <v>0</v>
      </c>
      <c r="P306" s="587">
        <v>0</v>
      </c>
      <c r="Q306" s="587">
        <v>0</v>
      </c>
      <c r="R306" s="587">
        <v>0</v>
      </c>
      <c r="S306" s="587">
        <v>0</v>
      </c>
      <c r="T306" s="587">
        <v>0</v>
      </c>
      <c r="U306" s="587">
        <v>0</v>
      </c>
      <c r="V306" s="587">
        <v>0</v>
      </c>
      <c r="W306" s="587">
        <v>0</v>
      </c>
      <c r="X306" s="587">
        <v>0</v>
      </c>
      <c r="Y306" s="587">
        <v>0</v>
      </c>
      <c r="Z306" s="587">
        <v>0</v>
      </c>
      <c r="AA306" s="587">
        <v>0</v>
      </c>
      <c r="AB306" s="587">
        <v>0</v>
      </c>
      <c r="AC306" s="587">
        <v>0</v>
      </c>
      <c r="AD306" s="587">
        <v>0</v>
      </c>
      <c r="AE306" s="587">
        <f>+AE302*0</f>
        <v>0</v>
      </c>
      <c r="AF306" s="587">
        <v>0</v>
      </c>
      <c r="AG306" s="587">
        <v>0</v>
      </c>
      <c r="AH306" s="587">
        <v>0</v>
      </c>
      <c r="AI306" s="587">
        <v>0</v>
      </c>
      <c r="AJ306" s="587">
        <v>0</v>
      </c>
      <c r="AK306" s="587">
        <v>0</v>
      </c>
      <c r="AL306" s="587">
        <v>0</v>
      </c>
      <c r="AM306" s="587">
        <v>0</v>
      </c>
      <c r="AN306" s="587">
        <v>0</v>
      </c>
      <c r="AO306" s="587">
        <v>0</v>
      </c>
      <c r="AP306" s="587">
        <v>0</v>
      </c>
      <c r="AQ306" s="587">
        <v>0</v>
      </c>
      <c r="AR306" s="587">
        <v>0</v>
      </c>
      <c r="AS306" s="587">
        <v>0</v>
      </c>
      <c r="AT306" s="587">
        <v>0</v>
      </c>
      <c r="AU306" s="587">
        <v>0</v>
      </c>
      <c r="AV306" s="587">
        <v>0</v>
      </c>
      <c r="AW306" s="587">
        <v>0</v>
      </c>
      <c r="AX306" s="587">
        <v>0</v>
      </c>
      <c r="AY306" s="587">
        <v>0</v>
      </c>
      <c r="AZ306" s="587">
        <v>0</v>
      </c>
      <c r="BA306" s="587">
        <v>0</v>
      </c>
      <c r="BB306" s="587">
        <v>0</v>
      </c>
      <c r="BC306" s="506"/>
      <c r="BD306" s="420"/>
    </row>
    <row r="307" spans="2:56" ht="15" customHeight="1" outlineLevel="2">
      <c r="B307" s="579"/>
      <c r="C307" s="590" t="s">
        <v>1914</v>
      </c>
      <c r="D307" s="581" t="s">
        <v>1915</v>
      </c>
      <c r="E307" s="582">
        <v>0</v>
      </c>
      <c r="F307" s="582">
        <v>0</v>
      </c>
      <c r="G307" s="582">
        <v>0</v>
      </c>
      <c r="H307" s="582">
        <v>0</v>
      </c>
      <c r="I307" s="582">
        <v>0</v>
      </c>
      <c r="J307" s="582">
        <v>0</v>
      </c>
      <c r="K307" s="582">
        <v>0</v>
      </c>
      <c r="L307" s="582">
        <v>0</v>
      </c>
      <c r="M307" s="582">
        <v>0</v>
      </c>
      <c r="N307" s="582">
        <v>0</v>
      </c>
      <c r="O307" s="582">
        <v>0</v>
      </c>
      <c r="P307" s="582">
        <v>0</v>
      </c>
      <c r="Q307" s="582">
        <v>0</v>
      </c>
      <c r="R307" s="582">
        <v>0</v>
      </c>
      <c r="S307" s="582">
        <v>0</v>
      </c>
      <c r="T307" s="582">
        <v>0</v>
      </c>
      <c r="U307" s="582">
        <v>0</v>
      </c>
      <c r="V307" s="582">
        <v>0</v>
      </c>
      <c r="W307" s="582">
        <v>0</v>
      </c>
      <c r="X307" s="582">
        <v>0</v>
      </c>
      <c r="Y307" s="582">
        <v>0</v>
      </c>
      <c r="Z307" s="582">
        <v>0</v>
      </c>
      <c r="AA307" s="582">
        <v>0</v>
      </c>
      <c r="AB307" s="582">
        <v>0</v>
      </c>
      <c r="AC307" s="582">
        <v>0</v>
      </c>
      <c r="AD307" s="582">
        <v>0</v>
      </c>
      <c r="AE307" s="582">
        <v>0</v>
      </c>
      <c r="AF307" s="582">
        <v>0</v>
      </c>
      <c r="AG307" s="582">
        <v>0</v>
      </c>
      <c r="AH307" s="582">
        <v>0</v>
      </c>
      <c r="AI307" s="582">
        <v>0</v>
      </c>
      <c r="AJ307" s="582">
        <v>0</v>
      </c>
      <c r="AK307" s="582">
        <v>0</v>
      </c>
      <c r="AL307" s="582">
        <v>0</v>
      </c>
      <c r="AM307" s="582">
        <v>0</v>
      </c>
      <c r="AN307" s="582">
        <v>0</v>
      </c>
      <c r="AO307" s="582">
        <v>0</v>
      </c>
      <c r="AP307" s="582">
        <v>0</v>
      </c>
      <c r="AQ307" s="582">
        <v>0</v>
      </c>
      <c r="AR307" s="582">
        <v>0</v>
      </c>
      <c r="AS307" s="582">
        <v>0</v>
      </c>
      <c r="AT307" s="582">
        <v>0</v>
      </c>
      <c r="AU307" s="582">
        <v>0</v>
      </c>
      <c r="AV307" s="582">
        <v>0</v>
      </c>
      <c r="AW307" s="582">
        <v>0</v>
      </c>
      <c r="AX307" s="582">
        <v>0</v>
      </c>
      <c r="AY307" s="582">
        <v>0</v>
      </c>
      <c r="AZ307" s="582">
        <v>0</v>
      </c>
      <c r="BA307" s="582">
        <v>0</v>
      </c>
      <c r="BB307" s="582">
        <f>-BB306/2</f>
        <v>0</v>
      </c>
      <c r="BC307" s="500"/>
      <c r="BD307" s="450"/>
    </row>
    <row r="308" spans="2:56" s="415" customFormat="1" ht="15" customHeight="1" outlineLevel="2">
      <c r="B308" s="584"/>
      <c r="C308" s="589" t="s">
        <v>1916</v>
      </c>
      <c r="D308" s="586" t="s">
        <v>1917</v>
      </c>
      <c r="E308" s="587">
        <f>E305+E306+E307</f>
        <v>0</v>
      </c>
      <c r="F308" s="587">
        <f t="shared" ref="F308:Z308" si="204">F305+F306+F307</f>
        <v>0</v>
      </c>
      <c r="G308" s="587">
        <f t="shared" si="204"/>
        <v>0</v>
      </c>
      <c r="H308" s="587">
        <f t="shared" si="204"/>
        <v>0</v>
      </c>
      <c r="I308" s="587">
        <f t="shared" si="204"/>
        <v>0</v>
      </c>
      <c r="J308" s="587">
        <f t="shared" si="204"/>
        <v>0</v>
      </c>
      <c r="K308" s="587">
        <f t="shared" si="204"/>
        <v>0</v>
      </c>
      <c r="L308" s="587">
        <f t="shared" si="204"/>
        <v>0</v>
      </c>
      <c r="M308" s="587">
        <f t="shared" si="204"/>
        <v>0</v>
      </c>
      <c r="N308" s="587">
        <f t="shared" si="204"/>
        <v>0</v>
      </c>
      <c r="O308" s="587">
        <f t="shared" si="204"/>
        <v>0</v>
      </c>
      <c r="P308" s="587">
        <f t="shared" si="204"/>
        <v>0</v>
      </c>
      <c r="Q308" s="587">
        <f t="shared" si="204"/>
        <v>0</v>
      </c>
      <c r="R308" s="587">
        <f t="shared" si="204"/>
        <v>0</v>
      </c>
      <c r="S308" s="587">
        <f t="shared" si="204"/>
        <v>0</v>
      </c>
      <c r="T308" s="587">
        <f t="shared" si="204"/>
        <v>0</v>
      </c>
      <c r="U308" s="587">
        <f t="shared" si="204"/>
        <v>0</v>
      </c>
      <c r="V308" s="587">
        <f t="shared" si="204"/>
        <v>0</v>
      </c>
      <c r="W308" s="587">
        <f t="shared" si="204"/>
        <v>0</v>
      </c>
      <c r="X308" s="587">
        <f t="shared" si="204"/>
        <v>0</v>
      </c>
      <c r="Y308" s="587">
        <f t="shared" si="204"/>
        <v>0</v>
      </c>
      <c r="Z308" s="587">
        <f t="shared" si="204"/>
        <v>0</v>
      </c>
      <c r="AA308" s="587">
        <f>AA305+AA306+AA307</f>
        <v>0</v>
      </c>
      <c r="AB308" s="587">
        <f>AB305+AB306+AB307</f>
        <v>0</v>
      </c>
      <c r="AC308" s="587">
        <f t="shared" ref="AC308:BB308" si="205">AC305+AC306+AC307</f>
        <v>0</v>
      </c>
      <c r="AD308" s="587">
        <f t="shared" si="205"/>
        <v>0</v>
      </c>
      <c r="AE308" s="587">
        <f t="shared" si="205"/>
        <v>0</v>
      </c>
      <c r="AF308" s="587">
        <f t="shared" si="205"/>
        <v>0</v>
      </c>
      <c r="AG308" s="587">
        <f t="shared" si="205"/>
        <v>0</v>
      </c>
      <c r="AH308" s="587">
        <f t="shared" si="205"/>
        <v>0</v>
      </c>
      <c r="AI308" s="587">
        <f t="shared" si="205"/>
        <v>0</v>
      </c>
      <c r="AJ308" s="587">
        <f t="shared" si="205"/>
        <v>0</v>
      </c>
      <c r="AK308" s="587">
        <f t="shared" si="205"/>
        <v>0</v>
      </c>
      <c r="AL308" s="587">
        <f t="shared" si="205"/>
        <v>0</v>
      </c>
      <c r="AM308" s="587">
        <f t="shared" si="205"/>
        <v>0</v>
      </c>
      <c r="AN308" s="587">
        <f t="shared" si="205"/>
        <v>0</v>
      </c>
      <c r="AO308" s="587">
        <f t="shared" si="205"/>
        <v>0</v>
      </c>
      <c r="AP308" s="587">
        <f t="shared" si="205"/>
        <v>0</v>
      </c>
      <c r="AQ308" s="587">
        <f t="shared" ref="AQ308:AZ308" si="206">AQ305+AQ306+AQ307</f>
        <v>0</v>
      </c>
      <c r="AR308" s="587">
        <f t="shared" si="206"/>
        <v>0</v>
      </c>
      <c r="AS308" s="587">
        <f t="shared" si="206"/>
        <v>0</v>
      </c>
      <c r="AT308" s="587">
        <f t="shared" si="206"/>
        <v>0</v>
      </c>
      <c r="AU308" s="587">
        <f t="shared" si="206"/>
        <v>0</v>
      </c>
      <c r="AV308" s="587">
        <f t="shared" si="206"/>
        <v>0</v>
      </c>
      <c r="AW308" s="587">
        <f t="shared" si="206"/>
        <v>0</v>
      </c>
      <c r="AX308" s="587">
        <f t="shared" si="206"/>
        <v>0</v>
      </c>
      <c r="AY308" s="587">
        <f t="shared" si="206"/>
        <v>0</v>
      </c>
      <c r="AZ308" s="587">
        <f t="shared" si="206"/>
        <v>0</v>
      </c>
      <c r="BA308" s="587">
        <f t="shared" si="205"/>
        <v>0</v>
      </c>
      <c r="BB308" s="587">
        <f t="shared" si="205"/>
        <v>0</v>
      </c>
      <c r="BC308" s="506"/>
      <c r="BD308" s="420"/>
    </row>
    <row r="309" spans="2:56" ht="15" customHeight="1" outlineLevel="2">
      <c r="B309" s="579"/>
      <c r="C309" s="590" t="s">
        <v>1918</v>
      </c>
      <c r="D309" s="581" t="s">
        <v>1919</v>
      </c>
      <c r="E309" s="582">
        <v>0</v>
      </c>
      <c r="F309" s="582">
        <v>0</v>
      </c>
      <c r="G309" s="582">
        <v>0</v>
      </c>
      <c r="H309" s="582">
        <v>0</v>
      </c>
      <c r="I309" s="582">
        <v>0</v>
      </c>
      <c r="J309" s="582">
        <v>0</v>
      </c>
      <c r="K309" s="582">
        <v>0</v>
      </c>
      <c r="L309" s="582">
        <v>0</v>
      </c>
      <c r="M309" s="582">
        <v>0</v>
      </c>
      <c r="N309" s="582">
        <v>0</v>
      </c>
      <c r="O309" s="582">
        <v>0</v>
      </c>
      <c r="P309" s="582">
        <v>0</v>
      </c>
      <c r="Q309" s="582">
        <v>0</v>
      </c>
      <c r="R309" s="582">
        <v>0</v>
      </c>
      <c r="S309" s="582">
        <v>0</v>
      </c>
      <c r="T309" s="582">
        <v>0</v>
      </c>
      <c r="U309" s="582">
        <v>0</v>
      </c>
      <c r="V309" s="582">
        <v>0</v>
      </c>
      <c r="W309" s="582">
        <v>0</v>
      </c>
      <c r="X309" s="582">
        <v>0</v>
      </c>
      <c r="Y309" s="582">
        <v>0</v>
      </c>
      <c r="Z309" s="582">
        <v>0</v>
      </c>
      <c r="AA309" s="582">
        <v>0</v>
      </c>
      <c r="AB309" s="582">
        <v>0</v>
      </c>
      <c r="AC309" s="582">
        <v>0</v>
      </c>
      <c r="AD309" s="582">
        <v>0</v>
      </c>
      <c r="AE309" s="582">
        <v>0</v>
      </c>
      <c r="AF309" s="582">
        <v>0</v>
      </c>
      <c r="AG309" s="582">
        <v>0</v>
      </c>
      <c r="AH309" s="582">
        <v>0</v>
      </c>
      <c r="AI309" s="582">
        <v>0</v>
      </c>
      <c r="AJ309" s="582">
        <v>0</v>
      </c>
      <c r="AK309" s="582">
        <v>0</v>
      </c>
      <c r="AL309" s="582">
        <v>0</v>
      </c>
      <c r="AM309" s="582">
        <v>0</v>
      </c>
      <c r="AN309" s="582">
        <v>0</v>
      </c>
      <c r="AO309" s="582">
        <v>0</v>
      </c>
      <c r="AP309" s="582">
        <v>0</v>
      </c>
      <c r="AQ309" s="582">
        <v>0</v>
      </c>
      <c r="AR309" s="582">
        <v>0</v>
      </c>
      <c r="AS309" s="582">
        <v>0</v>
      </c>
      <c r="AT309" s="582">
        <v>0</v>
      </c>
      <c r="AU309" s="582">
        <v>0</v>
      </c>
      <c r="AV309" s="582">
        <v>0</v>
      </c>
      <c r="AW309" s="582">
        <v>0</v>
      </c>
      <c r="AX309" s="582">
        <v>0</v>
      </c>
      <c r="AY309" s="582">
        <v>0</v>
      </c>
      <c r="AZ309" s="582">
        <v>0</v>
      </c>
      <c r="BA309" s="582">
        <v>0</v>
      </c>
      <c r="BB309" s="582">
        <v>0</v>
      </c>
      <c r="BC309" s="500"/>
      <c r="BD309" s="450"/>
    </row>
    <row r="310" spans="2:56" ht="15" customHeight="1" outlineLevel="2">
      <c r="B310" s="579"/>
      <c r="C310" s="590" t="s">
        <v>1920</v>
      </c>
      <c r="D310" s="591" t="s">
        <v>1921</v>
      </c>
      <c r="E310" s="582">
        <v>0</v>
      </c>
      <c r="F310" s="582">
        <v>0</v>
      </c>
      <c r="G310" s="582">
        <v>0</v>
      </c>
      <c r="H310" s="582">
        <v>0</v>
      </c>
      <c r="I310" s="582">
        <v>0</v>
      </c>
      <c r="J310" s="582">
        <v>0</v>
      </c>
      <c r="K310" s="582">
        <v>0</v>
      </c>
      <c r="L310" s="582">
        <v>0</v>
      </c>
      <c r="M310" s="582">
        <v>0</v>
      </c>
      <c r="N310" s="582">
        <v>0</v>
      </c>
      <c r="O310" s="582">
        <v>0</v>
      </c>
      <c r="P310" s="582">
        <v>0</v>
      </c>
      <c r="Q310" s="582">
        <v>0</v>
      </c>
      <c r="R310" s="582">
        <v>0</v>
      </c>
      <c r="S310" s="582">
        <v>0</v>
      </c>
      <c r="T310" s="582">
        <v>0</v>
      </c>
      <c r="U310" s="582">
        <v>0</v>
      </c>
      <c r="V310" s="582">
        <v>0</v>
      </c>
      <c r="W310" s="582">
        <v>0</v>
      </c>
      <c r="X310" s="582">
        <v>0</v>
      </c>
      <c r="Y310" s="582">
        <v>0</v>
      </c>
      <c r="Z310" s="582">
        <v>0</v>
      </c>
      <c r="AA310" s="582">
        <v>0</v>
      </c>
      <c r="AB310" s="582">
        <v>0</v>
      </c>
      <c r="AC310" s="582">
        <v>0</v>
      </c>
      <c r="AD310" s="582">
        <v>0</v>
      </c>
      <c r="AE310" s="582">
        <v>0</v>
      </c>
      <c r="AF310" s="582">
        <v>0</v>
      </c>
      <c r="AG310" s="582">
        <v>0</v>
      </c>
      <c r="AH310" s="582">
        <v>0</v>
      </c>
      <c r="AI310" s="582">
        <v>0</v>
      </c>
      <c r="AJ310" s="582">
        <v>0</v>
      </c>
      <c r="AK310" s="582">
        <v>0</v>
      </c>
      <c r="AL310" s="582">
        <v>0</v>
      </c>
      <c r="AM310" s="582">
        <v>0</v>
      </c>
      <c r="AN310" s="582">
        <v>0</v>
      </c>
      <c r="AO310" s="582">
        <v>0</v>
      </c>
      <c r="AP310" s="582">
        <v>0</v>
      </c>
      <c r="AQ310" s="582">
        <v>0</v>
      </c>
      <c r="AR310" s="582">
        <v>0</v>
      </c>
      <c r="AS310" s="582">
        <v>0</v>
      </c>
      <c r="AT310" s="582">
        <v>0</v>
      </c>
      <c r="AU310" s="582">
        <v>0</v>
      </c>
      <c r="AV310" s="582">
        <v>0</v>
      </c>
      <c r="AW310" s="582">
        <v>0</v>
      </c>
      <c r="AX310" s="582">
        <v>0</v>
      </c>
      <c r="AY310" s="582">
        <v>0</v>
      </c>
      <c r="AZ310" s="582">
        <v>0</v>
      </c>
      <c r="BA310" s="582">
        <v>0</v>
      </c>
      <c r="BB310" s="582">
        <v>0</v>
      </c>
      <c r="BC310" s="500"/>
      <c r="BD310" s="450"/>
    </row>
    <row r="311" spans="2:56" ht="15" customHeight="1" outlineLevel="2">
      <c r="B311" s="579"/>
      <c r="C311" s="2793" t="s">
        <v>1922</v>
      </c>
      <c r="D311" s="591" t="s">
        <v>1923</v>
      </c>
      <c r="E311" s="582">
        <v>0</v>
      </c>
      <c r="F311" s="582">
        <v>0</v>
      </c>
      <c r="G311" s="582">
        <v>0</v>
      </c>
      <c r="H311" s="582">
        <v>0</v>
      </c>
      <c r="I311" s="582">
        <v>0</v>
      </c>
      <c r="J311" s="582">
        <v>0</v>
      </c>
      <c r="K311" s="582">
        <v>0</v>
      </c>
      <c r="L311" s="582">
        <v>0</v>
      </c>
      <c r="M311" s="582">
        <v>0</v>
      </c>
      <c r="N311" s="582">
        <v>0</v>
      </c>
      <c r="O311" s="582">
        <v>0</v>
      </c>
      <c r="P311" s="582">
        <v>0</v>
      </c>
      <c r="Q311" s="582">
        <v>0</v>
      </c>
      <c r="R311" s="582">
        <v>0</v>
      </c>
      <c r="S311" s="582">
        <v>0</v>
      </c>
      <c r="T311" s="582">
        <v>0</v>
      </c>
      <c r="U311" s="582">
        <v>0</v>
      </c>
      <c r="V311" s="582">
        <v>0</v>
      </c>
      <c r="W311" s="582">
        <v>0</v>
      </c>
      <c r="X311" s="582">
        <v>0</v>
      </c>
      <c r="Y311" s="582">
        <v>0</v>
      </c>
      <c r="Z311" s="582">
        <v>0</v>
      </c>
      <c r="AA311" s="582">
        <v>0</v>
      </c>
      <c r="AB311" s="582">
        <v>0</v>
      </c>
      <c r="AC311" s="582">
        <v>0</v>
      </c>
      <c r="AD311" s="582">
        <v>0</v>
      </c>
      <c r="AE311" s="582">
        <v>0</v>
      </c>
      <c r="AF311" s="582">
        <v>0</v>
      </c>
      <c r="AG311" s="582">
        <v>0</v>
      </c>
      <c r="AH311" s="582">
        <v>0</v>
      </c>
      <c r="AI311" s="582">
        <v>0</v>
      </c>
      <c r="AJ311" s="582">
        <v>0</v>
      </c>
      <c r="AK311" s="582">
        <v>0</v>
      </c>
      <c r="AL311" s="582">
        <v>0</v>
      </c>
      <c r="AM311" s="582">
        <v>0</v>
      </c>
      <c r="AN311" s="582">
        <v>0</v>
      </c>
      <c r="AO311" s="582">
        <v>0</v>
      </c>
      <c r="AP311" s="582">
        <v>0</v>
      </c>
      <c r="AQ311" s="582">
        <v>0</v>
      </c>
      <c r="AR311" s="582">
        <v>0</v>
      </c>
      <c r="AS311" s="582">
        <v>0</v>
      </c>
      <c r="AT311" s="582">
        <v>0</v>
      </c>
      <c r="AU311" s="582">
        <v>0</v>
      </c>
      <c r="AV311" s="582">
        <v>0</v>
      </c>
      <c r="AW311" s="582">
        <v>0</v>
      </c>
      <c r="AX311" s="582">
        <v>0</v>
      </c>
      <c r="AY311" s="582">
        <v>0</v>
      </c>
      <c r="AZ311" s="582">
        <v>0</v>
      </c>
      <c r="BA311" s="582">
        <v>0</v>
      </c>
      <c r="BB311" s="582">
        <v>0</v>
      </c>
      <c r="BC311" s="508"/>
      <c r="BD311" s="450"/>
    </row>
    <row r="312" spans="2:56" ht="15" customHeight="1" outlineLevel="1">
      <c r="B312" s="579"/>
      <c r="C312" s="589" t="s">
        <v>1924</v>
      </c>
      <c r="D312" s="592" t="s">
        <v>1925</v>
      </c>
      <c r="E312" s="587">
        <f>E308+E309+E311</f>
        <v>0</v>
      </c>
      <c r="F312" s="587">
        <f>F308+F309+F311</f>
        <v>0</v>
      </c>
      <c r="G312" s="587">
        <f>G308+G309+G310+G311</f>
        <v>0</v>
      </c>
      <c r="H312" s="587">
        <f>H308+H309+H311</f>
        <v>0</v>
      </c>
      <c r="I312" s="587">
        <f t="shared" ref="I312:AD312" si="207">I308+I309+I311</f>
        <v>0</v>
      </c>
      <c r="J312" s="587">
        <f t="shared" si="207"/>
        <v>0</v>
      </c>
      <c r="K312" s="587">
        <f t="shared" si="207"/>
        <v>0</v>
      </c>
      <c r="L312" s="587">
        <f t="shared" si="207"/>
        <v>0</v>
      </c>
      <c r="M312" s="587">
        <f t="shared" si="207"/>
        <v>0</v>
      </c>
      <c r="N312" s="587">
        <f t="shared" si="207"/>
        <v>0</v>
      </c>
      <c r="O312" s="587">
        <f t="shared" si="207"/>
        <v>0</v>
      </c>
      <c r="P312" s="587">
        <f t="shared" si="207"/>
        <v>0</v>
      </c>
      <c r="Q312" s="587">
        <f t="shared" si="207"/>
        <v>0</v>
      </c>
      <c r="R312" s="587">
        <f t="shared" si="207"/>
        <v>0</v>
      </c>
      <c r="S312" s="587">
        <f t="shared" si="207"/>
        <v>0</v>
      </c>
      <c r="T312" s="587">
        <f t="shared" si="207"/>
        <v>0</v>
      </c>
      <c r="U312" s="587">
        <f t="shared" si="207"/>
        <v>0</v>
      </c>
      <c r="V312" s="587">
        <f t="shared" si="207"/>
        <v>0</v>
      </c>
      <c r="W312" s="587">
        <f t="shared" si="207"/>
        <v>0</v>
      </c>
      <c r="X312" s="587">
        <f t="shared" si="207"/>
        <v>0</v>
      </c>
      <c r="Y312" s="587">
        <f t="shared" si="207"/>
        <v>0</v>
      </c>
      <c r="Z312" s="587">
        <f t="shared" si="207"/>
        <v>0</v>
      </c>
      <c r="AA312" s="587">
        <f t="shared" si="207"/>
        <v>0</v>
      </c>
      <c r="AB312" s="587">
        <f t="shared" si="207"/>
        <v>0</v>
      </c>
      <c r="AC312" s="587">
        <f t="shared" si="207"/>
        <v>0</v>
      </c>
      <c r="AD312" s="587">
        <f t="shared" si="207"/>
        <v>0</v>
      </c>
      <c r="AE312" s="587">
        <f>AE308+AE309+AE311</f>
        <v>0</v>
      </c>
      <c r="AF312" s="587">
        <f t="shared" ref="AF312:BB312" si="208">AF308+AF309+AF311</f>
        <v>0</v>
      </c>
      <c r="AG312" s="587">
        <f t="shared" si="208"/>
        <v>0</v>
      </c>
      <c r="AH312" s="587">
        <f t="shared" si="208"/>
        <v>0</v>
      </c>
      <c r="AI312" s="587">
        <f t="shared" si="208"/>
        <v>0</v>
      </c>
      <c r="AJ312" s="587">
        <f t="shared" si="208"/>
        <v>0</v>
      </c>
      <c r="AK312" s="587">
        <f t="shared" si="208"/>
        <v>0</v>
      </c>
      <c r="AL312" s="587">
        <f t="shared" si="208"/>
        <v>0</v>
      </c>
      <c r="AM312" s="587">
        <f t="shared" si="208"/>
        <v>0</v>
      </c>
      <c r="AN312" s="587">
        <f t="shared" si="208"/>
        <v>0</v>
      </c>
      <c r="AO312" s="587">
        <f t="shared" si="208"/>
        <v>0</v>
      </c>
      <c r="AP312" s="587">
        <f t="shared" si="208"/>
        <v>0</v>
      </c>
      <c r="AQ312" s="587">
        <f t="shared" ref="AQ312:AZ312" si="209">AQ308+AQ309+AQ311</f>
        <v>0</v>
      </c>
      <c r="AR312" s="587">
        <f t="shared" si="209"/>
        <v>0</v>
      </c>
      <c r="AS312" s="587">
        <f t="shared" si="209"/>
        <v>0</v>
      </c>
      <c r="AT312" s="587">
        <f t="shared" si="209"/>
        <v>0</v>
      </c>
      <c r="AU312" s="587">
        <f t="shared" si="209"/>
        <v>0</v>
      </c>
      <c r="AV312" s="587">
        <f t="shared" si="209"/>
        <v>0</v>
      </c>
      <c r="AW312" s="587">
        <f t="shared" si="209"/>
        <v>0</v>
      </c>
      <c r="AX312" s="587">
        <f t="shared" si="209"/>
        <v>0</v>
      </c>
      <c r="AY312" s="587">
        <f t="shared" si="209"/>
        <v>0</v>
      </c>
      <c r="AZ312" s="587">
        <f t="shared" si="209"/>
        <v>0</v>
      </c>
      <c r="BA312" s="587">
        <f t="shared" si="208"/>
        <v>0</v>
      </c>
      <c r="BB312" s="587">
        <f t="shared" si="208"/>
        <v>0</v>
      </c>
      <c r="BC312" s="500"/>
      <c r="BD312" s="450"/>
    </row>
    <row r="313" spans="2:56" ht="15" customHeight="1" outlineLevel="1">
      <c r="B313" s="579"/>
      <c r="C313" s="589" t="s">
        <v>1926</v>
      </c>
      <c r="D313" s="586" t="s">
        <v>1927</v>
      </c>
      <c r="E313" s="587">
        <f>E312</f>
        <v>0</v>
      </c>
      <c r="F313" s="587">
        <f t="shared" ref="F313:AW313" si="210">F312-E312</f>
        <v>0</v>
      </c>
      <c r="G313" s="587">
        <f t="shared" si="210"/>
        <v>0</v>
      </c>
      <c r="H313" s="587">
        <f t="shared" si="210"/>
        <v>0</v>
      </c>
      <c r="I313" s="587">
        <f t="shared" si="210"/>
        <v>0</v>
      </c>
      <c r="J313" s="587">
        <f t="shared" si="210"/>
        <v>0</v>
      </c>
      <c r="K313" s="587">
        <f t="shared" si="210"/>
        <v>0</v>
      </c>
      <c r="L313" s="587">
        <f t="shared" si="210"/>
        <v>0</v>
      </c>
      <c r="M313" s="587">
        <f t="shared" si="210"/>
        <v>0</v>
      </c>
      <c r="N313" s="587">
        <f t="shared" si="210"/>
        <v>0</v>
      </c>
      <c r="O313" s="587">
        <f t="shared" si="210"/>
        <v>0</v>
      </c>
      <c r="P313" s="587">
        <f t="shared" si="210"/>
        <v>0</v>
      </c>
      <c r="Q313" s="587">
        <f t="shared" si="210"/>
        <v>0</v>
      </c>
      <c r="R313" s="587">
        <f t="shared" si="210"/>
        <v>0</v>
      </c>
      <c r="S313" s="587">
        <f t="shared" si="210"/>
        <v>0</v>
      </c>
      <c r="T313" s="587">
        <f t="shared" si="210"/>
        <v>0</v>
      </c>
      <c r="U313" s="587">
        <f t="shared" si="210"/>
        <v>0</v>
      </c>
      <c r="V313" s="587">
        <f t="shared" si="210"/>
        <v>0</v>
      </c>
      <c r="W313" s="587">
        <f t="shared" si="210"/>
        <v>0</v>
      </c>
      <c r="X313" s="587">
        <f t="shared" si="210"/>
        <v>0</v>
      </c>
      <c r="Y313" s="587">
        <f t="shared" si="210"/>
        <v>0</v>
      </c>
      <c r="Z313" s="587">
        <f t="shared" si="210"/>
        <v>0</v>
      </c>
      <c r="AA313" s="587">
        <f t="shared" si="210"/>
        <v>0</v>
      </c>
      <c r="AB313" s="587">
        <f t="shared" si="210"/>
        <v>0</v>
      </c>
      <c r="AC313" s="587">
        <f t="shared" si="210"/>
        <v>0</v>
      </c>
      <c r="AD313" s="587">
        <f t="shared" si="210"/>
        <v>0</v>
      </c>
      <c r="AE313" s="587">
        <f t="shared" si="210"/>
        <v>0</v>
      </c>
      <c r="AF313" s="587">
        <f t="shared" si="210"/>
        <v>0</v>
      </c>
      <c r="AG313" s="587">
        <f t="shared" si="210"/>
        <v>0</v>
      </c>
      <c r="AH313" s="587">
        <f t="shared" si="210"/>
        <v>0</v>
      </c>
      <c r="AI313" s="587">
        <f t="shared" si="210"/>
        <v>0</v>
      </c>
      <c r="AJ313" s="587">
        <f t="shared" si="210"/>
        <v>0</v>
      </c>
      <c r="AK313" s="587">
        <f t="shared" si="210"/>
        <v>0</v>
      </c>
      <c r="AL313" s="587">
        <f t="shared" si="210"/>
        <v>0</v>
      </c>
      <c r="AM313" s="587">
        <f t="shared" si="210"/>
        <v>0</v>
      </c>
      <c r="AN313" s="587">
        <f t="shared" si="210"/>
        <v>0</v>
      </c>
      <c r="AO313" s="587">
        <f t="shared" si="210"/>
        <v>0</v>
      </c>
      <c r="AP313" s="587">
        <f t="shared" si="210"/>
        <v>0</v>
      </c>
      <c r="AQ313" s="587">
        <f t="shared" si="210"/>
        <v>0</v>
      </c>
      <c r="AR313" s="587">
        <f t="shared" si="210"/>
        <v>0</v>
      </c>
      <c r="AS313" s="587">
        <f t="shared" si="210"/>
        <v>0</v>
      </c>
      <c r="AT313" s="587">
        <f t="shared" si="210"/>
        <v>0</v>
      </c>
      <c r="AU313" s="587">
        <f t="shared" si="210"/>
        <v>0</v>
      </c>
      <c r="AV313" s="587">
        <f t="shared" si="210"/>
        <v>0</v>
      </c>
      <c r="AW313" s="587">
        <f t="shared" si="210"/>
        <v>0</v>
      </c>
      <c r="AX313" s="587"/>
      <c r="AY313" s="587">
        <f>AY312-AX312</f>
        <v>0</v>
      </c>
      <c r="AZ313" s="587">
        <v>0</v>
      </c>
      <c r="BA313" s="587">
        <f>BA312-AP312</f>
        <v>0</v>
      </c>
      <c r="BB313" s="587">
        <f>BB312-BA312</f>
        <v>0</v>
      </c>
      <c r="BC313" s="500"/>
      <c r="BD313" s="450"/>
    </row>
    <row r="314" spans="2:56" ht="15" customHeight="1" outlineLevel="1">
      <c r="B314" s="579"/>
      <c r="C314" s="589"/>
      <c r="D314" s="586"/>
      <c r="E314" s="587"/>
      <c r="F314" s="587"/>
      <c r="G314" s="587"/>
      <c r="H314" s="587"/>
      <c r="I314" s="587"/>
      <c r="J314" s="587"/>
      <c r="K314" s="587"/>
      <c r="L314" s="587"/>
      <c r="M314" s="587"/>
      <c r="N314" s="587"/>
      <c r="O314" s="587"/>
      <c r="P314" s="587"/>
      <c r="Q314" s="587"/>
      <c r="R314" s="587"/>
      <c r="S314" s="587"/>
      <c r="T314" s="587"/>
      <c r="U314" s="587"/>
      <c r="V314" s="587"/>
      <c r="W314" s="587"/>
      <c r="X314" s="587"/>
      <c r="Y314" s="587"/>
      <c r="Z314" s="582"/>
      <c r="AA314" s="582"/>
      <c r="AB314" s="582"/>
      <c r="AC314" s="582"/>
      <c r="AD314" s="582"/>
      <c r="AE314" s="583"/>
      <c r="AF314" s="582"/>
      <c r="AG314" s="582"/>
      <c r="AH314" s="582"/>
      <c r="AI314" s="582"/>
      <c r="AJ314" s="582"/>
      <c r="AK314" s="582"/>
      <c r="AL314" s="582"/>
      <c r="AM314" s="582"/>
      <c r="AN314" s="582"/>
      <c r="AO314" s="582"/>
      <c r="AP314" s="582"/>
      <c r="AQ314" s="582"/>
      <c r="AR314" s="582"/>
      <c r="AS314" s="582"/>
      <c r="AT314" s="582"/>
      <c r="AU314" s="582"/>
      <c r="AV314" s="582"/>
      <c r="AW314" s="582"/>
      <c r="AX314" s="582"/>
      <c r="AY314" s="582"/>
      <c r="AZ314" s="582"/>
      <c r="BA314" s="582"/>
      <c r="BB314" s="582"/>
      <c r="BC314" s="500"/>
      <c r="BD314" s="450"/>
    </row>
    <row r="315" spans="2:56" ht="15" customHeight="1" outlineLevel="1">
      <c r="B315" s="579"/>
      <c r="C315" s="593"/>
      <c r="D315" s="586"/>
      <c r="E315" s="587"/>
      <c r="F315" s="587"/>
      <c r="G315" s="587">
        <v>0</v>
      </c>
      <c r="H315" s="587">
        <v>0</v>
      </c>
      <c r="I315" s="587">
        <v>0</v>
      </c>
      <c r="J315" s="587">
        <v>0</v>
      </c>
      <c r="K315" s="587">
        <v>0</v>
      </c>
      <c r="L315" s="587">
        <v>0</v>
      </c>
      <c r="M315" s="587">
        <v>0</v>
      </c>
      <c r="N315" s="587">
        <v>0</v>
      </c>
      <c r="O315" s="587">
        <v>0</v>
      </c>
      <c r="P315" s="587">
        <v>0</v>
      </c>
      <c r="Q315" s="587">
        <v>0</v>
      </c>
      <c r="R315" s="587">
        <v>0</v>
      </c>
      <c r="S315" s="587">
        <v>0</v>
      </c>
      <c r="T315" s="587">
        <v>0</v>
      </c>
      <c r="U315" s="587">
        <v>0</v>
      </c>
      <c r="V315" s="587">
        <v>0</v>
      </c>
      <c r="W315" s="587">
        <v>0</v>
      </c>
      <c r="X315" s="587">
        <v>0</v>
      </c>
      <c r="Y315" s="587">
        <v>0</v>
      </c>
      <c r="Z315" s="582">
        <v>0</v>
      </c>
      <c r="AA315" s="582">
        <v>0</v>
      </c>
      <c r="AB315" s="582">
        <v>0</v>
      </c>
      <c r="AC315" s="582">
        <v>0</v>
      </c>
      <c r="AD315" s="582"/>
      <c r="AE315" s="583"/>
      <c r="AF315" s="582">
        <v>14260023</v>
      </c>
      <c r="AG315" s="582"/>
      <c r="AH315" s="582"/>
      <c r="AI315" s="582"/>
      <c r="AJ315" s="582"/>
      <c r="AK315" s="582"/>
      <c r="AL315" s="582"/>
      <c r="AM315" s="582"/>
      <c r="AN315" s="582"/>
      <c r="AO315" s="582"/>
      <c r="AP315" s="582"/>
      <c r="AQ315" s="582"/>
      <c r="AR315" s="582"/>
      <c r="AS315" s="582"/>
      <c r="AT315" s="582"/>
      <c r="AU315" s="582"/>
      <c r="AV315" s="582"/>
      <c r="AW315" s="582"/>
      <c r="AX315" s="582"/>
      <c r="AY315" s="582"/>
      <c r="AZ315" s="582"/>
      <c r="BA315" s="582"/>
      <c r="BB315" s="582"/>
      <c r="BC315" s="506"/>
      <c r="BD315" s="450"/>
    </row>
    <row r="316" spans="2:56" outlineLevel="1">
      <c r="B316" s="568">
        <v>200</v>
      </c>
      <c r="C316" s="569" t="s">
        <v>1928</v>
      </c>
      <c r="D316" s="570" t="s">
        <v>1896</v>
      </c>
      <c r="E316" s="571">
        <f t="shared" ref="E316:Y316" si="211">E333</f>
        <v>0</v>
      </c>
      <c r="F316" s="571">
        <f t="shared" si="211"/>
        <v>0</v>
      </c>
      <c r="G316" s="571">
        <f t="shared" si="211"/>
        <v>0</v>
      </c>
      <c r="H316" s="571">
        <f t="shared" si="211"/>
        <v>0</v>
      </c>
      <c r="I316" s="571">
        <f t="shared" si="211"/>
        <v>0</v>
      </c>
      <c r="J316" s="571">
        <f t="shared" si="211"/>
        <v>0</v>
      </c>
      <c r="K316" s="571">
        <f t="shared" si="211"/>
        <v>0</v>
      </c>
      <c r="L316" s="571">
        <f t="shared" si="211"/>
        <v>0</v>
      </c>
      <c r="M316" s="571">
        <f t="shared" si="211"/>
        <v>0</v>
      </c>
      <c r="N316" s="571">
        <f t="shared" si="211"/>
        <v>0</v>
      </c>
      <c r="O316" s="571">
        <f t="shared" si="211"/>
        <v>0</v>
      </c>
      <c r="P316" s="571">
        <f t="shared" si="211"/>
        <v>0</v>
      </c>
      <c r="Q316" s="571">
        <f t="shared" si="211"/>
        <v>0</v>
      </c>
      <c r="R316" s="571">
        <f t="shared" si="211"/>
        <v>0</v>
      </c>
      <c r="S316" s="571">
        <f t="shared" si="211"/>
        <v>0</v>
      </c>
      <c r="T316" s="571">
        <f t="shared" si="211"/>
        <v>0</v>
      </c>
      <c r="U316" s="571">
        <f t="shared" si="211"/>
        <v>0</v>
      </c>
      <c r="V316" s="571">
        <f t="shared" si="211"/>
        <v>0</v>
      </c>
      <c r="W316" s="571">
        <f t="shared" si="211"/>
        <v>0</v>
      </c>
      <c r="X316" s="571">
        <f t="shared" si="211"/>
        <v>0</v>
      </c>
      <c r="Y316" s="571">
        <f t="shared" si="211"/>
        <v>0</v>
      </c>
      <c r="Z316" s="574"/>
      <c r="AA316" s="574"/>
      <c r="AB316" s="574"/>
      <c r="AC316" s="574"/>
      <c r="AD316" s="574"/>
      <c r="AE316" s="575"/>
      <c r="AF316" s="574"/>
      <c r="AG316" s="574"/>
      <c r="AH316" s="574"/>
      <c r="AI316" s="574"/>
      <c r="AJ316" s="574"/>
      <c r="AK316" s="574"/>
      <c r="AL316" s="574"/>
      <c r="AM316" s="574"/>
      <c r="AN316" s="574"/>
      <c r="AO316" s="574"/>
      <c r="AP316" s="574"/>
      <c r="AQ316" s="574"/>
      <c r="AR316" s="574"/>
      <c r="AS316" s="574"/>
      <c r="AT316" s="574"/>
      <c r="AU316" s="574"/>
      <c r="AV316" s="574"/>
      <c r="AW316" s="574"/>
      <c r="AX316" s="574"/>
      <c r="AY316" s="574"/>
      <c r="AZ316" s="574"/>
      <c r="BA316" s="574"/>
      <c r="BB316" s="574"/>
      <c r="BC316" s="505"/>
      <c r="BD316" s="450"/>
    </row>
    <row r="317" spans="2:56" ht="15.75" customHeight="1" outlineLevel="1">
      <c r="B317" s="568"/>
      <c r="C317" s="569"/>
      <c r="D317" s="570" t="s">
        <v>1897</v>
      </c>
      <c r="E317" s="571">
        <f t="shared" ref="E317:Y317" si="212">E334</f>
        <v>0</v>
      </c>
      <c r="F317" s="571">
        <f t="shared" si="212"/>
        <v>0</v>
      </c>
      <c r="G317" s="571">
        <f t="shared" si="212"/>
        <v>0</v>
      </c>
      <c r="H317" s="571">
        <f t="shared" si="212"/>
        <v>0</v>
      </c>
      <c r="I317" s="571">
        <f t="shared" si="212"/>
        <v>0</v>
      </c>
      <c r="J317" s="571">
        <f t="shared" si="212"/>
        <v>0</v>
      </c>
      <c r="K317" s="571">
        <f t="shared" si="212"/>
        <v>0</v>
      </c>
      <c r="L317" s="571">
        <f t="shared" si="212"/>
        <v>0</v>
      </c>
      <c r="M317" s="571">
        <f t="shared" si="212"/>
        <v>0</v>
      </c>
      <c r="N317" s="571">
        <f t="shared" si="212"/>
        <v>0</v>
      </c>
      <c r="O317" s="571">
        <f t="shared" si="212"/>
        <v>0</v>
      </c>
      <c r="P317" s="571">
        <f t="shared" si="212"/>
        <v>0</v>
      </c>
      <c r="Q317" s="571">
        <f t="shared" si="212"/>
        <v>0</v>
      </c>
      <c r="R317" s="571">
        <f t="shared" si="212"/>
        <v>0</v>
      </c>
      <c r="S317" s="571">
        <f t="shared" si="212"/>
        <v>0</v>
      </c>
      <c r="T317" s="571">
        <f t="shared" si="212"/>
        <v>0</v>
      </c>
      <c r="U317" s="571">
        <f t="shared" si="212"/>
        <v>0</v>
      </c>
      <c r="V317" s="571">
        <f t="shared" si="212"/>
        <v>0</v>
      </c>
      <c r="W317" s="571">
        <f t="shared" si="212"/>
        <v>0</v>
      </c>
      <c r="X317" s="571">
        <f t="shared" si="212"/>
        <v>0</v>
      </c>
      <c r="Y317" s="571">
        <f t="shared" si="212"/>
        <v>0</v>
      </c>
      <c r="Z317" s="574"/>
      <c r="AA317" s="574"/>
      <c r="AB317" s="574"/>
      <c r="AC317" s="574"/>
      <c r="AD317" s="574"/>
      <c r="AE317" s="575"/>
      <c r="AF317" s="574"/>
      <c r="AG317" s="574"/>
      <c r="AH317" s="574"/>
      <c r="AI317" s="574"/>
      <c r="AJ317" s="574"/>
      <c r="AK317" s="574"/>
      <c r="AL317" s="574"/>
      <c r="AM317" s="574"/>
      <c r="AN317" s="574"/>
      <c r="AO317" s="574"/>
      <c r="AP317" s="574"/>
      <c r="AQ317" s="574"/>
      <c r="AR317" s="574"/>
      <c r="AS317" s="574"/>
      <c r="AT317" s="574"/>
      <c r="AU317" s="574"/>
      <c r="AV317" s="574"/>
      <c r="AW317" s="574"/>
      <c r="AX317" s="574"/>
      <c r="AY317" s="574"/>
      <c r="AZ317" s="574"/>
      <c r="BA317" s="574"/>
      <c r="BB317" s="574"/>
      <c r="BC317" s="506">
        <f>SUM(E317:BB317)</f>
        <v>0</v>
      </c>
      <c r="BD317" s="450"/>
    </row>
    <row r="318" spans="2:56" ht="15.75" customHeight="1" outlineLevel="2">
      <c r="B318" s="579"/>
      <c r="C318" s="594"/>
      <c r="D318" s="581"/>
      <c r="E318" s="582"/>
      <c r="F318" s="582"/>
      <c r="G318" s="582"/>
      <c r="H318" s="582"/>
      <c r="I318" s="582"/>
      <c r="J318" s="582"/>
      <c r="K318" s="582"/>
      <c r="L318" s="582"/>
      <c r="M318" s="582"/>
      <c r="N318" s="582"/>
      <c r="O318" s="582"/>
      <c r="P318" s="582"/>
      <c r="Q318" s="582"/>
      <c r="R318" s="582"/>
      <c r="S318" s="582"/>
      <c r="T318" s="582"/>
      <c r="U318" s="582"/>
      <c r="V318" s="582"/>
      <c r="W318" s="582"/>
      <c r="X318" s="582"/>
      <c r="Y318" s="582"/>
      <c r="Z318" s="582"/>
      <c r="AA318" s="582"/>
      <c r="AB318" s="582"/>
      <c r="AC318" s="582"/>
      <c r="AD318" s="582"/>
      <c r="AE318" s="583"/>
      <c r="AF318" s="582"/>
      <c r="AG318" s="582"/>
      <c r="AH318" s="582"/>
      <c r="AI318" s="582"/>
      <c r="AJ318" s="582"/>
      <c r="AK318" s="582"/>
      <c r="AL318" s="582"/>
      <c r="AM318" s="582"/>
      <c r="AN318" s="582"/>
      <c r="AO318" s="582"/>
      <c r="AP318" s="582"/>
      <c r="AQ318" s="582"/>
      <c r="AR318" s="582"/>
      <c r="AS318" s="582"/>
      <c r="AT318" s="582"/>
      <c r="AU318" s="582"/>
      <c r="AV318" s="582"/>
      <c r="AW318" s="582"/>
      <c r="AX318" s="582"/>
      <c r="AY318" s="582"/>
      <c r="AZ318" s="582"/>
      <c r="BA318" s="582"/>
      <c r="BB318" s="582"/>
      <c r="BC318" s="505"/>
      <c r="BD318" s="450"/>
    </row>
    <row r="319" spans="2:56" ht="18.75" customHeight="1" outlineLevel="2">
      <c r="B319" s="568">
        <v>200.1</v>
      </c>
      <c r="C319" s="572" t="s">
        <v>1939</v>
      </c>
      <c r="D319" s="573"/>
      <c r="E319" s="574"/>
      <c r="F319" s="574"/>
      <c r="G319" s="574"/>
      <c r="H319" s="574"/>
      <c r="I319" s="574"/>
      <c r="J319" s="574"/>
      <c r="K319" s="574"/>
      <c r="L319" s="574"/>
      <c r="M319" s="574"/>
      <c r="N319" s="574"/>
      <c r="O319" s="574"/>
      <c r="P319" s="574"/>
      <c r="Q319" s="574"/>
      <c r="R319" s="574"/>
      <c r="S319" s="574"/>
      <c r="T319" s="574"/>
      <c r="U319" s="574"/>
      <c r="V319" s="574"/>
      <c r="W319" s="574"/>
      <c r="X319" s="574"/>
      <c r="Y319" s="574"/>
      <c r="Z319" s="574"/>
      <c r="AA319" s="574"/>
      <c r="AB319" s="574"/>
      <c r="AC319" s="574"/>
      <c r="AD319" s="574"/>
      <c r="AE319" s="575"/>
      <c r="AF319" s="574"/>
      <c r="AG319" s="574"/>
      <c r="AH319" s="574"/>
      <c r="AI319" s="574"/>
      <c r="AJ319" s="574"/>
      <c r="AK319" s="574"/>
      <c r="AL319" s="574"/>
      <c r="AM319" s="574"/>
      <c r="AN319" s="574"/>
      <c r="AO319" s="574"/>
      <c r="AP319" s="574"/>
      <c r="AQ319" s="574"/>
      <c r="AR319" s="574"/>
      <c r="AS319" s="574"/>
      <c r="AT319" s="574"/>
      <c r="AU319" s="574"/>
      <c r="AV319" s="574"/>
      <c r="AW319" s="574"/>
      <c r="AX319" s="574"/>
      <c r="AY319" s="574"/>
      <c r="AZ319" s="574"/>
      <c r="BA319" s="574"/>
      <c r="BB319" s="574"/>
      <c r="BC319" s="506"/>
      <c r="BD319" s="450"/>
    </row>
    <row r="320" spans="2:56" ht="15" customHeight="1" outlineLevel="3">
      <c r="B320" s="579"/>
      <c r="C320" s="580" t="s">
        <v>1898</v>
      </c>
      <c r="D320" s="581" t="s">
        <v>1899</v>
      </c>
      <c r="E320" s="582">
        <v>0</v>
      </c>
      <c r="F320" s="582">
        <v>0</v>
      </c>
      <c r="G320" s="582">
        <v>0</v>
      </c>
      <c r="H320" s="582">
        <v>0</v>
      </c>
      <c r="I320" s="582">
        <v>0</v>
      </c>
      <c r="J320" s="582">
        <v>0</v>
      </c>
      <c r="K320" s="582">
        <v>0</v>
      </c>
      <c r="L320" s="582">
        <v>0</v>
      </c>
      <c r="M320" s="582">
        <v>0</v>
      </c>
      <c r="N320" s="582">
        <v>0</v>
      </c>
      <c r="O320" s="582">
        <v>0</v>
      </c>
      <c r="P320" s="582">
        <v>0</v>
      </c>
      <c r="Q320" s="582">
        <v>0</v>
      </c>
      <c r="R320" s="582">
        <v>0</v>
      </c>
      <c r="S320" s="582">
        <v>0</v>
      </c>
      <c r="T320" s="582">
        <v>0</v>
      </c>
      <c r="U320" s="582">
        <v>0</v>
      </c>
      <c r="V320" s="582">
        <v>0</v>
      </c>
      <c r="W320" s="582">
        <v>0</v>
      </c>
      <c r="X320" s="582">
        <v>0</v>
      </c>
      <c r="Y320" s="582">
        <v>0</v>
      </c>
      <c r="Z320" s="582">
        <v>0</v>
      </c>
      <c r="AA320" s="582">
        <v>0</v>
      </c>
      <c r="AB320" s="582">
        <v>0</v>
      </c>
      <c r="AC320" s="582">
        <v>0</v>
      </c>
      <c r="AD320" s="582">
        <v>0</v>
      </c>
      <c r="AE320" s="583">
        <v>0</v>
      </c>
      <c r="AF320" s="582">
        <v>0</v>
      </c>
      <c r="AG320" s="582">
        <v>0</v>
      </c>
      <c r="AH320" s="582">
        <v>0</v>
      </c>
      <c r="AI320" s="582">
        <v>0</v>
      </c>
      <c r="AJ320" s="582">
        <v>0</v>
      </c>
      <c r="AK320" s="582">
        <v>0</v>
      </c>
      <c r="AL320" s="582">
        <v>0</v>
      </c>
      <c r="AM320" s="582">
        <v>0</v>
      </c>
      <c r="AN320" s="582">
        <v>0</v>
      </c>
      <c r="AO320" s="582">
        <v>0</v>
      </c>
      <c r="AP320" s="582">
        <v>0</v>
      </c>
      <c r="AQ320" s="582">
        <v>0</v>
      </c>
      <c r="AR320" s="582">
        <v>0</v>
      </c>
      <c r="AS320" s="582">
        <v>0</v>
      </c>
      <c r="AT320" s="582">
        <v>0</v>
      </c>
      <c r="AU320" s="582">
        <v>0</v>
      </c>
      <c r="AV320" s="582">
        <v>0</v>
      </c>
      <c r="AW320" s="582">
        <v>0</v>
      </c>
      <c r="AX320" s="582">
        <v>0</v>
      </c>
      <c r="AY320" s="582">
        <v>0</v>
      </c>
      <c r="AZ320" s="582">
        <v>0</v>
      </c>
      <c r="BA320" s="582">
        <v>0</v>
      </c>
      <c r="BB320" s="582">
        <v>0</v>
      </c>
      <c r="BC320" s="500"/>
      <c r="BD320" s="450"/>
    </row>
    <row r="321" spans="2:56" ht="15" customHeight="1" outlineLevel="3">
      <c r="B321" s="579"/>
      <c r="C321" s="580" t="s">
        <v>1901</v>
      </c>
      <c r="D321" s="581" t="s">
        <v>1902</v>
      </c>
      <c r="E321" s="582">
        <v>0</v>
      </c>
      <c r="F321" s="582">
        <v>0</v>
      </c>
      <c r="G321" s="582">
        <v>0</v>
      </c>
      <c r="H321" s="582">
        <v>0</v>
      </c>
      <c r="I321" s="582">
        <v>0</v>
      </c>
      <c r="J321" s="582">
        <v>0</v>
      </c>
      <c r="K321" s="582">
        <v>0</v>
      </c>
      <c r="L321" s="582">
        <v>0</v>
      </c>
      <c r="M321" s="582">
        <v>0</v>
      </c>
      <c r="N321" s="582">
        <v>0</v>
      </c>
      <c r="O321" s="582">
        <v>0</v>
      </c>
      <c r="P321" s="582">
        <v>0</v>
      </c>
      <c r="Q321" s="582">
        <v>0</v>
      </c>
      <c r="R321" s="582">
        <v>0</v>
      </c>
      <c r="S321" s="582">
        <v>0</v>
      </c>
      <c r="T321" s="582">
        <v>0</v>
      </c>
      <c r="U321" s="582">
        <v>0</v>
      </c>
      <c r="V321" s="582">
        <v>0</v>
      </c>
      <c r="W321" s="582">
        <v>0</v>
      </c>
      <c r="X321" s="582">
        <v>0</v>
      </c>
      <c r="Y321" s="582">
        <v>0</v>
      </c>
      <c r="Z321" s="582">
        <v>0</v>
      </c>
      <c r="AA321" s="582">
        <v>0</v>
      </c>
      <c r="AB321" s="582">
        <v>0</v>
      </c>
      <c r="AC321" s="582">
        <v>0</v>
      </c>
      <c r="AD321" s="582">
        <v>0</v>
      </c>
      <c r="AE321" s="583">
        <v>0</v>
      </c>
      <c r="AF321" s="582">
        <v>0</v>
      </c>
      <c r="AG321" s="582">
        <v>0</v>
      </c>
      <c r="AH321" s="582">
        <v>0</v>
      </c>
      <c r="AI321" s="582">
        <v>0</v>
      </c>
      <c r="AJ321" s="582">
        <v>0</v>
      </c>
      <c r="AK321" s="582">
        <v>0</v>
      </c>
      <c r="AL321" s="582">
        <v>0</v>
      </c>
      <c r="AM321" s="582">
        <v>0</v>
      </c>
      <c r="AN321" s="582">
        <v>0</v>
      </c>
      <c r="AO321" s="582">
        <v>0</v>
      </c>
      <c r="AP321" s="582">
        <v>0</v>
      </c>
      <c r="AQ321" s="582">
        <v>0</v>
      </c>
      <c r="AR321" s="582">
        <v>0</v>
      </c>
      <c r="AS321" s="582">
        <v>0</v>
      </c>
      <c r="AT321" s="582">
        <v>0</v>
      </c>
      <c r="AU321" s="582">
        <v>0</v>
      </c>
      <c r="AV321" s="582">
        <v>0</v>
      </c>
      <c r="AW321" s="582">
        <v>0</v>
      </c>
      <c r="AX321" s="582">
        <v>0</v>
      </c>
      <c r="AY321" s="582">
        <v>0</v>
      </c>
      <c r="AZ321" s="582">
        <v>0</v>
      </c>
      <c r="BA321" s="582">
        <v>0</v>
      </c>
      <c r="BB321" s="582">
        <v>0</v>
      </c>
      <c r="BC321" s="500"/>
      <c r="BD321" s="450"/>
    </row>
    <row r="322" spans="2:56" ht="15" customHeight="1" outlineLevel="3">
      <c r="B322" s="579"/>
      <c r="C322" s="580" t="s">
        <v>1903</v>
      </c>
      <c r="D322" s="581" t="s">
        <v>1904</v>
      </c>
      <c r="E322" s="582">
        <v>0</v>
      </c>
      <c r="F322" s="582">
        <v>0</v>
      </c>
      <c r="G322" s="582">
        <v>0</v>
      </c>
      <c r="H322" s="582">
        <v>0</v>
      </c>
      <c r="I322" s="582">
        <v>0</v>
      </c>
      <c r="J322" s="582">
        <v>0</v>
      </c>
      <c r="K322" s="582">
        <v>0</v>
      </c>
      <c r="L322" s="582">
        <v>0</v>
      </c>
      <c r="M322" s="582">
        <v>0</v>
      </c>
      <c r="N322" s="582">
        <v>0</v>
      </c>
      <c r="O322" s="582">
        <v>0</v>
      </c>
      <c r="P322" s="582">
        <v>0</v>
      </c>
      <c r="Q322" s="582">
        <v>0</v>
      </c>
      <c r="R322" s="582">
        <v>0</v>
      </c>
      <c r="S322" s="582">
        <v>0</v>
      </c>
      <c r="T322" s="582">
        <v>0</v>
      </c>
      <c r="U322" s="582">
        <v>0</v>
      </c>
      <c r="V322" s="582">
        <v>0</v>
      </c>
      <c r="W322" s="582">
        <v>0</v>
      </c>
      <c r="X322" s="582">
        <v>0</v>
      </c>
      <c r="Y322" s="582">
        <v>0</v>
      </c>
      <c r="Z322" s="582">
        <v>0</v>
      </c>
      <c r="AA322" s="582">
        <v>0</v>
      </c>
      <c r="AB322" s="582">
        <v>0</v>
      </c>
      <c r="AC322" s="582">
        <v>0</v>
      </c>
      <c r="AD322" s="582">
        <v>0</v>
      </c>
      <c r="AE322" s="583">
        <v>0</v>
      </c>
      <c r="AF322" s="582">
        <v>0</v>
      </c>
      <c r="AG322" s="582">
        <v>0</v>
      </c>
      <c r="AH322" s="582">
        <v>0</v>
      </c>
      <c r="AI322" s="582">
        <v>0</v>
      </c>
      <c r="AJ322" s="582">
        <v>0</v>
      </c>
      <c r="AK322" s="582">
        <v>0</v>
      </c>
      <c r="AL322" s="582">
        <v>0</v>
      </c>
      <c r="AM322" s="582">
        <v>0</v>
      </c>
      <c r="AN322" s="582">
        <v>0</v>
      </c>
      <c r="AO322" s="582">
        <v>0</v>
      </c>
      <c r="AP322" s="582">
        <v>0</v>
      </c>
      <c r="AQ322" s="582">
        <v>0</v>
      </c>
      <c r="AR322" s="582">
        <v>0</v>
      </c>
      <c r="AS322" s="582">
        <v>0</v>
      </c>
      <c r="AT322" s="582">
        <v>0</v>
      </c>
      <c r="AU322" s="582">
        <v>0</v>
      </c>
      <c r="AV322" s="582">
        <v>0</v>
      </c>
      <c r="AW322" s="582">
        <v>0</v>
      </c>
      <c r="AX322" s="582">
        <v>0</v>
      </c>
      <c r="AY322" s="582">
        <v>0</v>
      </c>
      <c r="AZ322" s="582">
        <v>0</v>
      </c>
      <c r="BA322" s="582">
        <v>0</v>
      </c>
      <c r="BB322" s="582">
        <v>0</v>
      </c>
      <c r="BC322" s="500"/>
      <c r="BD322" s="450"/>
    </row>
    <row r="323" spans="2:56" ht="15" customHeight="1" outlineLevel="3">
      <c r="B323" s="579"/>
      <c r="C323" s="585" t="s">
        <v>1905</v>
      </c>
      <c r="D323" s="586" t="s">
        <v>1906</v>
      </c>
      <c r="E323" s="587">
        <f>E320+E321+E322</f>
        <v>0</v>
      </c>
      <c r="F323" s="587">
        <f t="shared" ref="F323:Y323" si="213">F320+F321+F322</f>
        <v>0</v>
      </c>
      <c r="G323" s="587">
        <f t="shared" si="213"/>
        <v>0</v>
      </c>
      <c r="H323" s="587">
        <f t="shared" si="213"/>
        <v>0</v>
      </c>
      <c r="I323" s="587">
        <f t="shared" si="213"/>
        <v>0</v>
      </c>
      <c r="J323" s="587">
        <f t="shared" si="213"/>
        <v>0</v>
      </c>
      <c r="K323" s="587">
        <f t="shared" si="213"/>
        <v>0</v>
      </c>
      <c r="L323" s="587">
        <f t="shared" si="213"/>
        <v>0</v>
      </c>
      <c r="M323" s="587">
        <f t="shared" si="213"/>
        <v>0</v>
      </c>
      <c r="N323" s="587">
        <f t="shared" si="213"/>
        <v>0</v>
      </c>
      <c r="O323" s="587">
        <f t="shared" si="213"/>
        <v>0</v>
      </c>
      <c r="P323" s="587">
        <f t="shared" si="213"/>
        <v>0</v>
      </c>
      <c r="Q323" s="587">
        <f t="shared" si="213"/>
        <v>0</v>
      </c>
      <c r="R323" s="587">
        <f t="shared" si="213"/>
        <v>0</v>
      </c>
      <c r="S323" s="587">
        <f t="shared" si="213"/>
        <v>0</v>
      </c>
      <c r="T323" s="587">
        <f t="shared" si="213"/>
        <v>0</v>
      </c>
      <c r="U323" s="587">
        <f t="shared" si="213"/>
        <v>0</v>
      </c>
      <c r="V323" s="587">
        <f t="shared" si="213"/>
        <v>0</v>
      </c>
      <c r="W323" s="587">
        <f t="shared" si="213"/>
        <v>0</v>
      </c>
      <c r="X323" s="587">
        <f t="shared" si="213"/>
        <v>0</v>
      </c>
      <c r="Y323" s="587">
        <f t="shared" si="213"/>
        <v>0</v>
      </c>
      <c r="Z323" s="582"/>
      <c r="AA323" s="582"/>
      <c r="AB323" s="582"/>
      <c r="AC323" s="582"/>
      <c r="AD323" s="582"/>
      <c r="AE323" s="583"/>
      <c r="AF323" s="582"/>
      <c r="AG323" s="582"/>
      <c r="AH323" s="582"/>
      <c r="AI323" s="582"/>
      <c r="AJ323" s="582"/>
      <c r="AK323" s="582"/>
      <c r="AL323" s="582"/>
      <c r="AM323" s="582"/>
      <c r="AN323" s="582"/>
      <c r="AO323" s="582"/>
      <c r="AP323" s="582"/>
      <c r="AQ323" s="582"/>
      <c r="AR323" s="582"/>
      <c r="AS323" s="582"/>
      <c r="AT323" s="582"/>
      <c r="AU323" s="582"/>
      <c r="AV323" s="582"/>
      <c r="AW323" s="582"/>
      <c r="AX323" s="582"/>
      <c r="AY323" s="582"/>
      <c r="AZ323" s="582"/>
      <c r="BA323" s="582"/>
      <c r="BB323" s="582"/>
      <c r="BC323" s="500"/>
      <c r="BD323" s="450"/>
    </row>
    <row r="324" spans="2:56" ht="15" customHeight="1" outlineLevel="3">
      <c r="B324" s="579"/>
      <c r="C324" s="589" t="s">
        <v>1907</v>
      </c>
      <c r="D324" s="586" t="s">
        <v>1908</v>
      </c>
      <c r="E324" s="587">
        <v>0</v>
      </c>
      <c r="F324" s="587">
        <v>0</v>
      </c>
      <c r="G324" s="587">
        <v>0</v>
      </c>
      <c r="H324" s="587">
        <v>0</v>
      </c>
      <c r="I324" s="587">
        <v>0</v>
      </c>
      <c r="J324" s="587">
        <v>0</v>
      </c>
      <c r="K324" s="587">
        <v>0</v>
      </c>
      <c r="L324" s="587">
        <v>0</v>
      </c>
      <c r="M324" s="587">
        <v>0</v>
      </c>
      <c r="N324" s="587">
        <v>0</v>
      </c>
      <c r="O324" s="587">
        <v>0</v>
      </c>
      <c r="P324" s="587">
        <v>0</v>
      </c>
      <c r="Q324" s="587">
        <v>0</v>
      </c>
      <c r="R324" s="587">
        <v>0</v>
      </c>
      <c r="S324" s="587">
        <v>0</v>
      </c>
      <c r="T324" s="587">
        <v>0</v>
      </c>
      <c r="U324" s="587">
        <v>0</v>
      </c>
      <c r="V324" s="587">
        <v>0</v>
      </c>
      <c r="W324" s="587">
        <v>0</v>
      </c>
      <c r="X324" s="587">
        <v>0</v>
      </c>
      <c r="Y324" s="587">
        <v>0</v>
      </c>
      <c r="Z324" s="587">
        <v>0</v>
      </c>
      <c r="AA324" s="587">
        <v>0</v>
      </c>
      <c r="AB324" s="587">
        <v>0</v>
      </c>
      <c r="AC324" s="587">
        <v>0</v>
      </c>
      <c r="AD324" s="587">
        <v>0</v>
      </c>
      <c r="AE324" s="588">
        <v>0</v>
      </c>
      <c r="AF324" s="587">
        <v>0</v>
      </c>
      <c r="AG324" s="587">
        <v>0</v>
      </c>
      <c r="AH324" s="587">
        <v>0</v>
      </c>
      <c r="AI324" s="587">
        <v>0</v>
      </c>
      <c r="AJ324" s="587">
        <v>0</v>
      </c>
      <c r="AK324" s="587">
        <v>0</v>
      </c>
      <c r="AL324" s="587">
        <v>0</v>
      </c>
      <c r="AM324" s="587">
        <v>0</v>
      </c>
      <c r="AN324" s="587">
        <v>0</v>
      </c>
      <c r="AO324" s="587">
        <v>0</v>
      </c>
      <c r="AP324" s="587">
        <v>0</v>
      </c>
      <c r="AQ324" s="587">
        <v>0</v>
      </c>
      <c r="AR324" s="587">
        <v>0</v>
      </c>
      <c r="AS324" s="587">
        <v>0</v>
      </c>
      <c r="AT324" s="587">
        <v>0</v>
      </c>
      <c r="AU324" s="587">
        <v>0</v>
      </c>
      <c r="AV324" s="587">
        <v>0</v>
      </c>
      <c r="AW324" s="587">
        <v>0</v>
      </c>
      <c r="AX324" s="587">
        <v>0</v>
      </c>
      <c r="AY324" s="587">
        <v>0</v>
      </c>
      <c r="AZ324" s="587">
        <v>0</v>
      </c>
      <c r="BA324" s="587">
        <v>0</v>
      </c>
      <c r="BB324" s="587">
        <v>0</v>
      </c>
      <c r="BC324" s="500"/>
      <c r="BD324" s="450"/>
    </row>
    <row r="325" spans="2:56" s="438" customFormat="1" ht="15" customHeight="1" outlineLevel="3">
      <c r="B325" s="579"/>
      <c r="C325" s="590" t="s">
        <v>1579</v>
      </c>
      <c r="D325" s="581" t="s">
        <v>1909</v>
      </c>
      <c r="E325" s="582">
        <v>0</v>
      </c>
      <c r="F325" s="582">
        <v>0</v>
      </c>
      <c r="G325" s="582">
        <v>0</v>
      </c>
      <c r="H325" s="582">
        <v>0</v>
      </c>
      <c r="I325" s="582">
        <v>0</v>
      </c>
      <c r="J325" s="582">
        <v>0</v>
      </c>
      <c r="K325" s="582">
        <v>0</v>
      </c>
      <c r="L325" s="582">
        <v>0</v>
      </c>
      <c r="M325" s="582">
        <v>0</v>
      </c>
      <c r="N325" s="582">
        <v>0</v>
      </c>
      <c r="O325" s="582">
        <v>0</v>
      </c>
      <c r="P325" s="582">
        <v>0</v>
      </c>
      <c r="Q325" s="582">
        <v>0</v>
      </c>
      <c r="R325" s="582">
        <v>0</v>
      </c>
      <c r="S325" s="582">
        <v>0</v>
      </c>
      <c r="T325" s="582">
        <v>0</v>
      </c>
      <c r="U325" s="582">
        <v>0</v>
      </c>
      <c r="V325" s="582">
        <v>0</v>
      </c>
      <c r="W325" s="582">
        <v>0</v>
      </c>
      <c r="X325" s="582">
        <v>0</v>
      </c>
      <c r="Y325" s="582">
        <v>0</v>
      </c>
      <c r="Z325" s="582">
        <v>0</v>
      </c>
      <c r="AA325" s="582">
        <v>0</v>
      </c>
      <c r="AB325" s="582">
        <v>0</v>
      </c>
      <c r="AC325" s="582">
        <v>0</v>
      </c>
      <c r="AD325" s="582">
        <v>0</v>
      </c>
      <c r="AE325" s="583">
        <v>0</v>
      </c>
      <c r="AF325" s="582">
        <v>0</v>
      </c>
      <c r="AG325" s="582">
        <v>0</v>
      </c>
      <c r="AH325" s="582">
        <v>0</v>
      </c>
      <c r="AI325" s="582">
        <v>0</v>
      </c>
      <c r="AJ325" s="582">
        <v>0</v>
      </c>
      <c r="AK325" s="582">
        <v>0</v>
      </c>
      <c r="AL325" s="582">
        <v>0</v>
      </c>
      <c r="AM325" s="582">
        <v>0</v>
      </c>
      <c r="AN325" s="582">
        <v>0</v>
      </c>
      <c r="AO325" s="582">
        <v>0</v>
      </c>
      <c r="AP325" s="582">
        <v>0</v>
      </c>
      <c r="AQ325" s="582">
        <v>0</v>
      </c>
      <c r="AR325" s="582">
        <v>0</v>
      </c>
      <c r="AS325" s="582">
        <v>0</v>
      </c>
      <c r="AT325" s="582">
        <v>0</v>
      </c>
      <c r="AU325" s="582">
        <v>0</v>
      </c>
      <c r="AV325" s="582">
        <v>0</v>
      </c>
      <c r="AW325" s="582">
        <v>0</v>
      </c>
      <c r="AX325" s="582">
        <v>0</v>
      </c>
      <c r="AY325" s="582">
        <v>0</v>
      </c>
      <c r="AZ325" s="582">
        <v>0</v>
      </c>
      <c r="BA325" s="582">
        <v>0</v>
      </c>
      <c r="BB325" s="582">
        <v>0</v>
      </c>
      <c r="BC325" s="500">
        <f>+AA325</f>
        <v>0</v>
      </c>
      <c r="BD325" s="523"/>
    </row>
    <row r="326" spans="2:56" ht="15" customHeight="1" outlineLevel="3">
      <c r="B326" s="579"/>
      <c r="C326" s="589" t="s">
        <v>1910</v>
      </c>
      <c r="D326" s="586" t="s">
        <v>1911</v>
      </c>
      <c r="E326" s="587">
        <f>E323+E324+E325</f>
        <v>0</v>
      </c>
      <c r="F326" s="587">
        <f t="shared" ref="F326:Y326" si="214">F323+F324+F325</f>
        <v>0</v>
      </c>
      <c r="G326" s="587">
        <f t="shared" si="214"/>
        <v>0</v>
      </c>
      <c r="H326" s="587">
        <f t="shared" si="214"/>
        <v>0</v>
      </c>
      <c r="I326" s="587">
        <f t="shared" si="214"/>
        <v>0</v>
      </c>
      <c r="J326" s="587">
        <f t="shared" si="214"/>
        <v>0</v>
      </c>
      <c r="K326" s="587">
        <f t="shared" si="214"/>
        <v>0</v>
      </c>
      <c r="L326" s="587">
        <f t="shared" si="214"/>
        <v>0</v>
      </c>
      <c r="M326" s="587">
        <f t="shared" si="214"/>
        <v>0</v>
      </c>
      <c r="N326" s="587">
        <f t="shared" si="214"/>
        <v>0</v>
      </c>
      <c r="O326" s="587">
        <f t="shared" si="214"/>
        <v>0</v>
      </c>
      <c r="P326" s="587">
        <f t="shared" si="214"/>
        <v>0</v>
      </c>
      <c r="Q326" s="587">
        <f t="shared" si="214"/>
        <v>0</v>
      </c>
      <c r="R326" s="587">
        <f t="shared" si="214"/>
        <v>0</v>
      </c>
      <c r="S326" s="587">
        <f t="shared" si="214"/>
        <v>0</v>
      </c>
      <c r="T326" s="587">
        <f t="shared" si="214"/>
        <v>0</v>
      </c>
      <c r="U326" s="587">
        <f t="shared" si="214"/>
        <v>0</v>
      </c>
      <c r="V326" s="587">
        <f t="shared" si="214"/>
        <v>0</v>
      </c>
      <c r="W326" s="587">
        <f t="shared" si="214"/>
        <v>0</v>
      </c>
      <c r="X326" s="587">
        <f t="shared" si="214"/>
        <v>0</v>
      </c>
      <c r="Y326" s="587">
        <f t="shared" si="214"/>
        <v>0</v>
      </c>
      <c r="Z326" s="582"/>
      <c r="AA326" s="582"/>
      <c r="AB326" s="582"/>
      <c r="AC326" s="582"/>
      <c r="AD326" s="582"/>
      <c r="AE326" s="583"/>
      <c r="AF326" s="582"/>
      <c r="AG326" s="582"/>
      <c r="AH326" s="582"/>
      <c r="AI326" s="582"/>
      <c r="AJ326" s="582"/>
      <c r="AK326" s="582"/>
      <c r="AL326" s="582"/>
      <c r="AM326" s="582"/>
      <c r="AN326" s="582"/>
      <c r="AO326" s="582"/>
      <c r="AP326" s="582"/>
      <c r="AQ326" s="582"/>
      <c r="AR326" s="582"/>
      <c r="AS326" s="582"/>
      <c r="AT326" s="582"/>
      <c r="AU326" s="582"/>
      <c r="AV326" s="582"/>
      <c r="AW326" s="582"/>
      <c r="AX326" s="582"/>
      <c r="AY326" s="582"/>
      <c r="AZ326" s="582"/>
      <c r="BA326" s="582"/>
      <c r="BB326" s="582"/>
      <c r="BC326" s="500"/>
      <c r="BD326" s="450"/>
    </row>
    <row r="327" spans="2:56" ht="15" customHeight="1" outlineLevel="3">
      <c r="B327" s="579"/>
      <c r="C327" s="589" t="s">
        <v>1930</v>
      </c>
      <c r="D327" s="586" t="s">
        <v>1913</v>
      </c>
      <c r="E327" s="587">
        <v>0</v>
      </c>
      <c r="F327" s="587">
        <v>0</v>
      </c>
      <c r="G327" s="587">
        <v>0</v>
      </c>
      <c r="H327" s="587">
        <v>0</v>
      </c>
      <c r="I327" s="587">
        <v>0</v>
      </c>
      <c r="J327" s="587">
        <v>0</v>
      </c>
      <c r="K327" s="587">
        <v>0</v>
      </c>
      <c r="L327" s="587">
        <v>0</v>
      </c>
      <c r="M327" s="587">
        <v>0</v>
      </c>
      <c r="N327" s="587">
        <v>0</v>
      </c>
      <c r="O327" s="587">
        <v>0</v>
      </c>
      <c r="P327" s="587">
        <v>0</v>
      </c>
      <c r="Q327" s="587">
        <v>0</v>
      </c>
      <c r="R327" s="587">
        <v>0</v>
      </c>
      <c r="S327" s="587">
        <v>0</v>
      </c>
      <c r="T327" s="587">
        <v>0</v>
      </c>
      <c r="U327" s="587">
        <v>0</v>
      </c>
      <c r="V327" s="587">
        <v>0</v>
      </c>
      <c r="W327" s="587">
        <v>0</v>
      </c>
      <c r="X327" s="587">
        <v>0</v>
      </c>
      <c r="Y327" s="587">
        <v>0</v>
      </c>
      <c r="Z327" s="587">
        <v>0</v>
      </c>
      <c r="AA327" s="587">
        <v>0</v>
      </c>
      <c r="AB327" s="587">
        <v>0</v>
      </c>
      <c r="AC327" s="587">
        <v>0</v>
      </c>
      <c r="AD327" s="587">
        <v>0</v>
      </c>
      <c r="AE327" s="588">
        <v>0</v>
      </c>
      <c r="AF327" s="587">
        <v>0</v>
      </c>
      <c r="AG327" s="587">
        <v>0</v>
      </c>
      <c r="AH327" s="587">
        <v>0</v>
      </c>
      <c r="AI327" s="587">
        <v>0</v>
      </c>
      <c r="AJ327" s="587">
        <v>0</v>
      </c>
      <c r="AK327" s="587">
        <v>0</v>
      </c>
      <c r="AL327" s="587">
        <v>0</v>
      </c>
      <c r="AM327" s="587">
        <v>0</v>
      </c>
      <c r="AN327" s="587">
        <v>0</v>
      </c>
      <c r="AO327" s="587">
        <v>0</v>
      </c>
      <c r="AP327" s="587">
        <v>0</v>
      </c>
      <c r="AQ327" s="587">
        <v>0</v>
      </c>
      <c r="AR327" s="587">
        <v>0</v>
      </c>
      <c r="AS327" s="587">
        <v>0</v>
      </c>
      <c r="AT327" s="587">
        <v>0</v>
      </c>
      <c r="AU327" s="587">
        <v>0</v>
      </c>
      <c r="AV327" s="587">
        <v>0</v>
      </c>
      <c r="AW327" s="587">
        <v>0</v>
      </c>
      <c r="AX327" s="587">
        <v>0</v>
      </c>
      <c r="AY327" s="587">
        <v>0</v>
      </c>
      <c r="AZ327" s="587">
        <v>0</v>
      </c>
      <c r="BA327" s="587">
        <v>0</v>
      </c>
      <c r="BB327" s="587">
        <v>0</v>
      </c>
      <c r="BC327" s="500"/>
      <c r="BD327" s="450"/>
    </row>
    <row r="328" spans="2:56" ht="15" customHeight="1" outlineLevel="3">
      <c r="B328" s="579"/>
      <c r="C328" s="590" t="s">
        <v>1914</v>
      </c>
      <c r="D328" s="581" t="s">
        <v>1915</v>
      </c>
      <c r="E328" s="582">
        <v>0</v>
      </c>
      <c r="F328" s="582">
        <v>0</v>
      </c>
      <c r="G328" s="582">
        <v>0</v>
      </c>
      <c r="H328" s="582">
        <v>0</v>
      </c>
      <c r="I328" s="582">
        <v>0</v>
      </c>
      <c r="J328" s="582">
        <v>0</v>
      </c>
      <c r="K328" s="582">
        <v>0</v>
      </c>
      <c r="L328" s="582">
        <v>0</v>
      </c>
      <c r="M328" s="582">
        <v>0</v>
      </c>
      <c r="N328" s="582">
        <v>0</v>
      </c>
      <c r="O328" s="582">
        <v>0</v>
      </c>
      <c r="P328" s="582">
        <v>0</v>
      </c>
      <c r="Q328" s="582">
        <v>0</v>
      </c>
      <c r="R328" s="582">
        <v>0</v>
      </c>
      <c r="S328" s="582">
        <v>0</v>
      </c>
      <c r="T328" s="582">
        <v>0</v>
      </c>
      <c r="U328" s="582">
        <v>0</v>
      </c>
      <c r="V328" s="582">
        <v>0</v>
      </c>
      <c r="W328" s="582">
        <v>0</v>
      </c>
      <c r="X328" s="582">
        <v>0</v>
      </c>
      <c r="Y328" s="582">
        <v>0</v>
      </c>
      <c r="Z328" s="582">
        <v>0</v>
      </c>
      <c r="AA328" s="582">
        <v>0</v>
      </c>
      <c r="AB328" s="582">
        <v>0</v>
      </c>
      <c r="AC328" s="582">
        <v>0</v>
      </c>
      <c r="AD328" s="582">
        <v>0</v>
      </c>
      <c r="AE328" s="583">
        <v>0</v>
      </c>
      <c r="AF328" s="582">
        <v>0</v>
      </c>
      <c r="AG328" s="582">
        <v>0</v>
      </c>
      <c r="AH328" s="582">
        <v>0</v>
      </c>
      <c r="AI328" s="582">
        <v>0</v>
      </c>
      <c r="AJ328" s="582">
        <v>0</v>
      </c>
      <c r="AK328" s="582">
        <v>0</v>
      </c>
      <c r="AL328" s="582">
        <v>0</v>
      </c>
      <c r="AM328" s="582">
        <v>0</v>
      </c>
      <c r="AN328" s="582">
        <v>0</v>
      </c>
      <c r="AO328" s="582">
        <v>0</v>
      </c>
      <c r="AP328" s="582">
        <v>0</v>
      </c>
      <c r="AQ328" s="582">
        <v>0</v>
      </c>
      <c r="AR328" s="582">
        <v>0</v>
      </c>
      <c r="AS328" s="582">
        <v>0</v>
      </c>
      <c r="AT328" s="582">
        <v>0</v>
      </c>
      <c r="AU328" s="582">
        <v>0</v>
      </c>
      <c r="AV328" s="582">
        <v>0</v>
      </c>
      <c r="AW328" s="582">
        <v>0</v>
      </c>
      <c r="AX328" s="582">
        <v>0</v>
      </c>
      <c r="AY328" s="582">
        <v>0</v>
      </c>
      <c r="AZ328" s="582">
        <v>0</v>
      </c>
      <c r="BA328" s="582">
        <v>0</v>
      </c>
      <c r="BB328" s="582">
        <v>0</v>
      </c>
      <c r="BC328" s="500"/>
      <c r="BD328" s="450"/>
    </row>
    <row r="329" spans="2:56" ht="15" customHeight="1" outlineLevel="3">
      <c r="B329" s="579"/>
      <c r="C329" s="589" t="s">
        <v>1916</v>
      </c>
      <c r="D329" s="586" t="s">
        <v>1917</v>
      </c>
      <c r="E329" s="587">
        <f>E326+E327+E328</f>
        <v>0</v>
      </c>
      <c r="F329" s="587">
        <f t="shared" ref="F329:Y329" si="215">F326+F327+F328</f>
        <v>0</v>
      </c>
      <c r="G329" s="587">
        <f t="shared" si="215"/>
        <v>0</v>
      </c>
      <c r="H329" s="587">
        <f t="shared" si="215"/>
        <v>0</v>
      </c>
      <c r="I329" s="587">
        <f t="shared" si="215"/>
        <v>0</v>
      </c>
      <c r="J329" s="587">
        <f t="shared" si="215"/>
        <v>0</v>
      </c>
      <c r="K329" s="587">
        <f t="shared" si="215"/>
        <v>0</v>
      </c>
      <c r="L329" s="587">
        <f t="shared" si="215"/>
        <v>0</v>
      </c>
      <c r="M329" s="587">
        <f t="shared" si="215"/>
        <v>0</v>
      </c>
      <c r="N329" s="587">
        <f t="shared" si="215"/>
        <v>0</v>
      </c>
      <c r="O329" s="587">
        <f t="shared" si="215"/>
        <v>0</v>
      </c>
      <c r="P329" s="587">
        <f t="shared" si="215"/>
        <v>0</v>
      </c>
      <c r="Q329" s="587">
        <f t="shared" si="215"/>
        <v>0</v>
      </c>
      <c r="R329" s="587">
        <f t="shared" si="215"/>
        <v>0</v>
      </c>
      <c r="S329" s="587">
        <f t="shared" si="215"/>
        <v>0</v>
      </c>
      <c r="T329" s="587">
        <f t="shared" si="215"/>
        <v>0</v>
      </c>
      <c r="U329" s="587">
        <f t="shared" si="215"/>
        <v>0</v>
      </c>
      <c r="V329" s="587">
        <f t="shared" si="215"/>
        <v>0</v>
      </c>
      <c r="W329" s="587">
        <f t="shared" si="215"/>
        <v>0</v>
      </c>
      <c r="X329" s="587">
        <f t="shared" si="215"/>
        <v>0</v>
      </c>
      <c r="Y329" s="587">
        <f t="shared" si="215"/>
        <v>0</v>
      </c>
      <c r="Z329" s="582"/>
      <c r="AA329" s="582"/>
      <c r="AB329" s="582"/>
      <c r="AC329" s="582"/>
      <c r="AD329" s="582"/>
      <c r="AE329" s="583"/>
      <c r="AF329" s="582"/>
      <c r="AG329" s="582"/>
      <c r="AH329" s="582"/>
      <c r="AI329" s="582"/>
      <c r="AJ329" s="582"/>
      <c r="AK329" s="582"/>
      <c r="AL329" s="582"/>
      <c r="AM329" s="582"/>
      <c r="AN329" s="582"/>
      <c r="AO329" s="582"/>
      <c r="AP329" s="582"/>
      <c r="AQ329" s="582"/>
      <c r="AR329" s="582"/>
      <c r="AS329" s="582"/>
      <c r="AT329" s="582"/>
      <c r="AU329" s="582"/>
      <c r="AV329" s="582"/>
      <c r="AW329" s="582"/>
      <c r="AX329" s="582"/>
      <c r="AY329" s="582"/>
      <c r="AZ329" s="582"/>
      <c r="BA329" s="582"/>
      <c r="BB329" s="582"/>
      <c r="BC329" s="500"/>
      <c r="BD329" s="450"/>
    </row>
    <row r="330" spans="2:56" ht="15" customHeight="1" outlineLevel="3">
      <c r="B330" s="579"/>
      <c r="C330" s="590" t="s">
        <v>1918</v>
      </c>
      <c r="D330" s="581" t="s">
        <v>1919</v>
      </c>
      <c r="E330" s="582">
        <v>0</v>
      </c>
      <c r="F330" s="582">
        <v>0</v>
      </c>
      <c r="G330" s="582">
        <v>0</v>
      </c>
      <c r="H330" s="582">
        <v>0</v>
      </c>
      <c r="I330" s="582">
        <v>0</v>
      </c>
      <c r="J330" s="582">
        <v>0</v>
      </c>
      <c r="K330" s="582">
        <v>0</v>
      </c>
      <c r="L330" s="582">
        <v>0</v>
      </c>
      <c r="M330" s="582">
        <v>0</v>
      </c>
      <c r="N330" s="582">
        <v>0</v>
      </c>
      <c r="O330" s="582">
        <v>0</v>
      </c>
      <c r="P330" s="582">
        <v>0</v>
      </c>
      <c r="Q330" s="582">
        <v>0</v>
      </c>
      <c r="R330" s="582">
        <v>0</v>
      </c>
      <c r="S330" s="582">
        <v>0</v>
      </c>
      <c r="T330" s="582">
        <v>0</v>
      </c>
      <c r="U330" s="582">
        <v>0</v>
      </c>
      <c r="V330" s="582">
        <v>0</v>
      </c>
      <c r="W330" s="582">
        <v>0</v>
      </c>
      <c r="X330" s="582">
        <v>0</v>
      </c>
      <c r="Y330" s="582">
        <v>0</v>
      </c>
      <c r="Z330" s="582">
        <v>0</v>
      </c>
      <c r="AA330" s="582">
        <v>0</v>
      </c>
      <c r="AB330" s="582">
        <v>0</v>
      </c>
      <c r="AC330" s="582">
        <v>0</v>
      </c>
      <c r="AD330" s="582">
        <v>0</v>
      </c>
      <c r="AE330" s="583">
        <v>0</v>
      </c>
      <c r="AF330" s="582">
        <v>0</v>
      </c>
      <c r="AG330" s="582">
        <v>0</v>
      </c>
      <c r="AH330" s="582">
        <v>0</v>
      </c>
      <c r="AI330" s="582">
        <v>0</v>
      </c>
      <c r="AJ330" s="582">
        <v>0</v>
      </c>
      <c r="AK330" s="582">
        <v>0</v>
      </c>
      <c r="AL330" s="582">
        <v>0</v>
      </c>
      <c r="AM330" s="582">
        <v>0</v>
      </c>
      <c r="AN330" s="582">
        <v>0</v>
      </c>
      <c r="AO330" s="582">
        <v>0</v>
      </c>
      <c r="AP330" s="582">
        <v>0</v>
      </c>
      <c r="AQ330" s="582">
        <v>0</v>
      </c>
      <c r="AR330" s="582">
        <v>0</v>
      </c>
      <c r="AS330" s="582">
        <v>0</v>
      </c>
      <c r="AT330" s="582">
        <v>0</v>
      </c>
      <c r="AU330" s="582">
        <v>0</v>
      </c>
      <c r="AV330" s="582">
        <v>0</v>
      </c>
      <c r="AW330" s="582">
        <v>0</v>
      </c>
      <c r="AX330" s="582">
        <v>0</v>
      </c>
      <c r="AY330" s="582">
        <v>0</v>
      </c>
      <c r="AZ330" s="582">
        <v>0</v>
      </c>
      <c r="BA330" s="582">
        <v>0</v>
      </c>
      <c r="BB330" s="582">
        <v>0</v>
      </c>
      <c r="BC330" s="500"/>
      <c r="BD330" s="450"/>
    </row>
    <row r="331" spans="2:56" ht="15" customHeight="1" outlineLevel="3">
      <c r="B331" s="579"/>
      <c r="C331" s="590" t="s">
        <v>1920</v>
      </c>
      <c r="D331" s="591" t="s">
        <v>1921</v>
      </c>
      <c r="E331" s="582">
        <v>0</v>
      </c>
      <c r="F331" s="582">
        <v>0</v>
      </c>
      <c r="G331" s="582">
        <v>0</v>
      </c>
      <c r="H331" s="582">
        <v>0</v>
      </c>
      <c r="I331" s="582">
        <v>0</v>
      </c>
      <c r="J331" s="582">
        <v>0</v>
      </c>
      <c r="K331" s="582">
        <v>0</v>
      </c>
      <c r="L331" s="582">
        <v>0</v>
      </c>
      <c r="M331" s="582">
        <v>0</v>
      </c>
      <c r="N331" s="582">
        <v>0</v>
      </c>
      <c r="O331" s="582">
        <v>0</v>
      </c>
      <c r="P331" s="582">
        <v>0</v>
      </c>
      <c r="Q331" s="582">
        <v>0</v>
      </c>
      <c r="R331" s="582">
        <v>0</v>
      </c>
      <c r="S331" s="582">
        <v>0</v>
      </c>
      <c r="T331" s="582">
        <v>0</v>
      </c>
      <c r="U331" s="582">
        <v>0</v>
      </c>
      <c r="V331" s="582">
        <v>0</v>
      </c>
      <c r="W331" s="582">
        <v>0</v>
      </c>
      <c r="X331" s="582">
        <v>0</v>
      </c>
      <c r="Y331" s="582">
        <v>0</v>
      </c>
      <c r="Z331" s="582">
        <v>0</v>
      </c>
      <c r="AA331" s="582">
        <v>0</v>
      </c>
      <c r="AB331" s="582">
        <v>0</v>
      </c>
      <c r="AC331" s="582">
        <v>0</v>
      </c>
      <c r="AD331" s="582">
        <v>0</v>
      </c>
      <c r="AE331" s="583">
        <v>0</v>
      </c>
      <c r="AF331" s="582">
        <v>0</v>
      </c>
      <c r="AG331" s="582">
        <v>0</v>
      </c>
      <c r="AH331" s="582">
        <v>0</v>
      </c>
      <c r="AI331" s="582">
        <v>0</v>
      </c>
      <c r="AJ331" s="582">
        <v>0</v>
      </c>
      <c r="AK331" s="582">
        <v>0</v>
      </c>
      <c r="AL331" s="582">
        <v>0</v>
      </c>
      <c r="AM331" s="582">
        <v>0</v>
      </c>
      <c r="AN331" s="582">
        <v>0</v>
      </c>
      <c r="AO331" s="582">
        <v>0</v>
      </c>
      <c r="AP331" s="582">
        <v>0</v>
      </c>
      <c r="AQ331" s="582">
        <v>0</v>
      </c>
      <c r="AR331" s="582">
        <v>0</v>
      </c>
      <c r="AS331" s="582">
        <v>0</v>
      </c>
      <c r="AT331" s="582">
        <v>0</v>
      </c>
      <c r="AU331" s="582">
        <v>0</v>
      </c>
      <c r="AV331" s="582">
        <v>0</v>
      </c>
      <c r="AW331" s="582">
        <v>0</v>
      </c>
      <c r="AX331" s="582">
        <v>0</v>
      </c>
      <c r="AY331" s="582">
        <v>0</v>
      </c>
      <c r="AZ331" s="582">
        <v>0</v>
      </c>
      <c r="BA331" s="582">
        <v>0</v>
      </c>
      <c r="BB331" s="582">
        <v>0</v>
      </c>
      <c r="BC331" s="500"/>
      <c r="BD331" s="450"/>
    </row>
    <row r="332" spans="2:56" ht="15" customHeight="1" outlineLevel="3">
      <c r="B332" s="579"/>
      <c r="C332" s="2793" t="s">
        <v>1922</v>
      </c>
      <c r="D332" s="591" t="s">
        <v>1923</v>
      </c>
      <c r="E332" s="582">
        <v>0</v>
      </c>
      <c r="F332" s="582">
        <v>0</v>
      </c>
      <c r="G332" s="582">
        <v>0</v>
      </c>
      <c r="H332" s="582">
        <v>0</v>
      </c>
      <c r="I332" s="582">
        <v>0</v>
      </c>
      <c r="J332" s="582">
        <v>0</v>
      </c>
      <c r="K332" s="582">
        <v>0</v>
      </c>
      <c r="L332" s="582">
        <v>0</v>
      </c>
      <c r="M332" s="582">
        <v>0</v>
      </c>
      <c r="N332" s="582">
        <v>0</v>
      </c>
      <c r="O332" s="582">
        <v>0</v>
      </c>
      <c r="P332" s="582">
        <v>0</v>
      </c>
      <c r="Q332" s="582">
        <v>0</v>
      </c>
      <c r="R332" s="582">
        <v>0</v>
      </c>
      <c r="S332" s="582">
        <v>0</v>
      </c>
      <c r="T332" s="582">
        <v>0</v>
      </c>
      <c r="U332" s="582">
        <v>0</v>
      </c>
      <c r="V332" s="582">
        <v>0</v>
      </c>
      <c r="W332" s="582">
        <v>0</v>
      </c>
      <c r="X332" s="582">
        <v>0</v>
      </c>
      <c r="Y332" s="582">
        <v>0</v>
      </c>
      <c r="Z332" s="582">
        <v>0</v>
      </c>
      <c r="AA332" s="582">
        <v>0</v>
      </c>
      <c r="AB332" s="582">
        <v>0</v>
      </c>
      <c r="AC332" s="582">
        <v>0</v>
      </c>
      <c r="AD332" s="582">
        <v>0</v>
      </c>
      <c r="AE332" s="583">
        <v>0</v>
      </c>
      <c r="AF332" s="582">
        <v>0</v>
      </c>
      <c r="AG332" s="582">
        <v>0</v>
      </c>
      <c r="AH332" s="582">
        <v>0</v>
      </c>
      <c r="AI332" s="582">
        <v>0</v>
      </c>
      <c r="AJ332" s="582">
        <v>0</v>
      </c>
      <c r="AK332" s="582">
        <v>0</v>
      </c>
      <c r="AL332" s="582">
        <v>0</v>
      </c>
      <c r="AM332" s="582">
        <v>0</v>
      </c>
      <c r="AN332" s="582">
        <v>0</v>
      </c>
      <c r="AO332" s="582">
        <v>0</v>
      </c>
      <c r="AP332" s="582">
        <v>0</v>
      </c>
      <c r="AQ332" s="582">
        <v>0</v>
      </c>
      <c r="AR332" s="582">
        <v>0</v>
      </c>
      <c r="AS332" s="582">
        <v>0</v>
      </c>
      <c r="AT332" s="582">
        <v>0</v>
      </c>
      <c r="AU332" s="582">
        <v>0</v>
      </c>
      <c r="AV332" s="582">
        <v>0</v>
      </c>
      <c r="AW332" s="582">
        <v>0</v>
      </c>
      <c r="AX332" s="582">
        <v>0</v>
      </c>
      <c r="AY332" s="582">
        <v>0</v>
      </c>
      <c r="AZ332" s="582">
        <v>0</v>
      </c>
      <c r="BA332" s="582">
        <v>0</v>
      </c>
      <c r="BB332" s="582">
        <v>0</v>
      </c>
      <c r="BC332" s="508"/>
      <c r="BD332" s="450"/>
    </row>
    <row r="333" spans="2:56" ht="15" customHeight="1" outlineLevel="2">
      <c r="B333" s="579"/>
      <c r="C333" s="589" t="s">
        <v>1924</v>
      </c>
      <c r="D333" s="592" t="s">
        <v>1925</v>
      </c>
      <c r="E333" s="587">
        <f t="shared" ref="E333:BB333" si="216">E329+E330+E332</f>
        <v>0</v>
      </c>
      <c r="F333" s="587">
        <f t="shared" si="216"/>
        <v>0</v>
      </c>
      <c r="G333" s="587">
        <f t="shared" si="216"/>
        <v>0</v>
      </c>
      <c r="H333" s="587">
        <f t="shared" si="216"/>
        <v>0</v>
      </c>
      <c r="I333" s="587">
        <f t="shared" si="216"/>
        <v>0</v>
      </c>
      <c r="J333" s="587">
        <f t="shared" si="216"/>
        <v>0</v>
      </c>
      <c r="K333" s="587">
        <f t="shared" si="216"/>
        <v>0</v>
      </c>
      <c r="L333" s="587">
        <f t="shared" si="216"/>
        <v>0</v>
      </c>
      <c r="M333" s="587">
        <f t="shared" si="216"/>
        <v>0</v>
      </c>
      <c r="N333" s="587">
        <f t="shared" si="216"/>
        <v>0</v>
      </c>
      <c r="O333" s="587">
        <f t="shared" si="216"/>
        <v>0</v>
      </c>
      <c r="P333" s="587">
        <f t="shared" si="216"/>
        <v>0</v>
      </c>
      <c r="Q333" s="587">
        <f t="shared" si="216"/>
        <v>0</v>
      </c>
      <c r="R333" s="587">
        <f t="shared" si="216"/>
        <v>0</v>
      </c>
      <c r="S333" s="587">
        <f t="shared" si="216"/>
        <v>0</v>
      </c>
      <c r="T333" s="587">
        <f t="shared" si="216"/>
        <v>0</v>
      </c>
      <c r="U333" s="587">
        <f t="shared" si="216"/>
        <v>0</v>
      </c>
      <c r="V333" s="587">
        <f t="shared" si="216"/>
        <v>0</v>
      </c>
      <c r="W333" s="587">
        <f t="shared" si="216"/>
        <v>0</v>
      </c>
      <c r="X333" s="587">
        <f t="shared" si="216"/>
        <v>0</v>
      </c>
      <c r="Y333" s="587">
        <f t="shared" si="216"/>
        <v>0</v>
      </c>
      <c r="Z333" s="587">
        <f t="shared" si="216"/>
        <v>0</v>
      </c>
      <c r="AA333" s="587">
        <f t="shared" si="216"/>
        <v>0</v>
      </c>
      <c r="AB333" s="587">
        <f t="shared" si="216"/>
        <v>0</v>
      </c>
      <c r="AC333" s="587">
        <f t="shared" si="216"/>
        <v>0</v>
      </c>
      <c r="AD333" s="587">
        <f t="shared" si="216"/>
        <v>0</v>
      </c>
      <c r="AE333" s="588">
        <f t="shared" si="216"/>
        <v>0</v>
      </c>
      <c r="AF333" s="587">
        <f t="shared" si="216"/>
        <v>0</v>
      </c>
      <c r="AG333" s="587">
        <f t="shared" si="216"/>
        <v>0</v>
      </c>
      <c r="AH333" s="587">
        <f t="shared" si="216"/>
        <v>0</v>
      </c>
      <c r="AI333" s="587">
        <f t="shared" si="216"/>
        <v>0</v>
      </c>
      <c r="AJ333" s="587">
        <f t="shared" si="216"/>
        <v>0</v>
      </c>
      <c r="AK333" s="587">
        <f t="shared" si="216"/>
        <v>0</v>
      </c>
      <c r="AL333" s="587">
        <f t="shared" si="216"/>
        <v>0</v>
      </c>
      <c r="AM333" s="587">
        <f t="shared" si="216"/>
        <v>0</v>
      </c>
      <c r="AN333" s="587">
        <f t="shared" si="216"/>
        <v>0</v>
      </c>
      <c r="AO333" s="587">
        <f t="shared" si="216"/>
        <v>0</v>
      </c>
      <c r="AP333" s="587">
        <f t="shared" si="216"/>
        <v>0</v>
      </c>
      <c r="AQ333" s="587">
        <f t="shared" ref="AQ333:AZ333" si="217">AQ329+AQ330+AQ332</f>
        <v>0</v>
      </c>
      <c r="AR333" s="587">
        <f t="shared" si="217"/>
        <v>0</v>
      </c>
      <c r="AS333" s="587">
        <f t="shared" si="217"/>
        <v>0</v>
      </c>
      <c r="AT333" s="587">
        <f t="shared" si="217"/>
        <v>0</v>
      </c>
      <c r="AU333" s="587">
        <f t="shared" si="217"/>
        <v>0</v>
      </c>
      <c r="AV333" s="587">
        <f t="shared" si="217"/>
        <v>0</v>
      </c>
      <c r="AW333" s="587">
        <f t="shared" si="217"/>
        <v>0</v>
      </c>
      <c r="AX333" s="587">
        <f t="shared" si="217"/>
        <v>0</v>
      </c>
      <c r="AY333" s="587">
        <f t="shared" si="217"/>
        <v>0</v>
      </c>
      <c r="AZ333" s="587">
        <f t="shared" si="217"/>
        <v>0</v>
      </c>
      <c r="BA333" s="587">
        <f t="shared" si="216"/>
        <v>0</v>
      </c>
      <c r="BB333" s="587">
        <f t="shared" si="216"/>
        <v>0</v>
      </c>
      <c r="BC333" s="500"/>
      <c r="BD333" s="450"/>
    </row>
    <row r="334" spans="2:56" ht="15" customHeight="1" outlineLevel="2">
      <c r="B334" s="579"/>
      <c r="C334" s="589" t="s">
        <v>1926</v>
      </c>
      <c r="D334" s="586" t="s">
        <v>1927</v>
      </c>
      <c r="E334" s="587">
        <f>E333</f>
        <v>0</v>
      </c>
      <c r="F334" s="587">
        <f t="shared" ref="F334:AZ334" si="218">F333-E333</f>
        <v>0</v>
      </c>
      <c r="G334" s="587">
        <f t="shared" si="218"/>
        <v>0</v>
      </c>
      <c r="H334" s="587">
        <f t="shared" si="218"/>
        <v>0</v>
      </c>
      <c r="I334" s="587">
        <f t="shared" si="218"/>
        <v>0</v>
      </c>
      <c r="J334" s="587">
        <f t="shared" si="218"/>
        <v>0</v>
      </c>
      <c r="K334" s="587">
        <f t="shared" si="218"/>
        <v>0</v>
      </c>
      <c r="L334" s="587">
        <f t="shared" si="218"/>
        <v>0</v>
      </c>
      <c r="M334" s="587">
        <f t="shared" si="218"/>
        <v>0</v>
      </c>
      <c r="N334" s="587">
        <f t="shared" si="218"/>
        <v>0</v>
      </c>
      <c r="O334" s="587">
        <f t="shared" si="218"/>
        <v>0</v>
      </c>
      <c r="P334" s="587">
        <f t="shared" si="218"/>
        <v>0</v>
      </c>
      <c r="Q334" s="587">
        <f t="shared" si="218"/>
        <v>0</v>
      </c>
      <c r="R334" s="587">
        <f t="shared" si="218"/>
        <v>0</v>
      </c>
      <c r="S334" s="587">
        <f t="shared" si="218"/>
        <v>0</v>
      </c>
      <c r="T334" s="587">
        <f t="shared" si="218"/>
        <v>0</v>
      </c>
      <c r="U334" s="587">
        <f t="shared" si="218"/>
        <v>0</v>
      </c>
      <c r="V334" s="587">
        <f t="shared" si="218"/>
        <v>0</v>
      </c>
      <c r="W334" s="587">
        <f t="shared" si="218"/>
        <v>0</v>
      </c>
      <c r="X334" s="587">
        <f t="shared" si="218"/>
        <v>0</v>
      </c>
      <c r="Y334" s="587">
        <f t="shared" si="218"/>
        <v>0</v>
      </c>
      <c r="Z334" s="587">
        <f t="shared" si="218"/>
        <v>0</v>
      </c>
      <c r="AA334" s="587">
        <f t="shared" si="218"/>
        <v>0</v>
      </c>
      <c r="AB334" s="587">
        <f t="shared" si="218"/>
        <v>0</v>
      </c>
      <c r="AC334" s="587">
        <f t="shared" si="218"/>
        <v>0</v>
      </c>
      <c r="AD334" s="587">
        <f t="shared" si="218"/>
        <v>0</v>
      </c>
      <c r="AE334" s="588">
        <f t="shared" si="218"/>
        <v>0</v>
      </c>
      <c r="AF334" s="587">
        <f t="shared" si="218"/>
        <v>0</v>
      </c>
      <c r="AG334" s="587">
        <f t="shared" si="218"/>
        <v>0</v>
      </c>
      <c r="AH334" s="587">
        <f t="shared" si="218"/>
        <v>0</v>
      </c>
      <c r="AI334" s="587">
        <f t="shared" si="218"/>
        <v>0</v>
      </c>
      <c r="AJ334" s="587">
        <f t="shared" si="218"/>
        <v>0</v>
      </c>
      <c r="AK334" s="587">
        <f t="shared" si="218"/>
        <v>0</v>
      </c>
      <c r="AL334" s="587">
        <f t="shared" si="218"/>
        <v>0</v>
      </c>
      <c r="AM334" s="587">
        <f t="shared" si="218"/>
        <v>0</v>
      </c>
      <c r="AN334" s="587">
        <f t="shared" si="218"/>
        <v>0</v>
      </c>
      <c r="AO334" s="587">
        <f t="shared" si="218"/>
        <v>0</v>
      </c>
      <c r="AP334" s="587">
        <f t="shared" si="218"/>
        <v>0</v>
      </c>
      <c r="AQ334" s="587">
        <f t="shared" si="218"/>
        <v>0</v>
      </c>
      <c r="AR334" s="587">
        <f t="shared" si="218"/>
        <v>0</v>
      </c>
      <c r="AS334" s="587">
        <f t="shared" si="218"/>
        <v>0</v>
      </c>
      <c r="AT334" s="587">
        <f t="shared" si="218"/>
        <v>0</v>
      </c>
      <c r="AU334" s="587">
        <f t="shared" si="218"/>
        <v>0</v>
      </c>
      <c r="AV334" s="587">
        <f t="shared" si="218"/>
        <v>0</v>
      </c>
      <c r="AW334" s="587">
        <f t="shared" si="218"/>
        <v>0</v>
      </c>
      <c r="AX334" s="587">
        <f t="shared" si="218"/>
        <v>0</v>
      </c>
      <c r="AY334" s="587">
        <f t="shared" si="218"/>
        <v>0</v>
      </c>
      <c r="AZ334" s="587">
        <f t="shared" si="218"/>
        <v>0</v>
      </c>
      <c r="BA334" s="587">
        <f>BA333-AP333</f>
        <v>0</v>
      </c>
      <c r="BB334" s="587">
        <f>BB333-BA333</f>
        <v>0</v>
      </c>
      <c r="BC334" s="500"/>
      <c r="BD334" s="450"/>
    </row>
    <row r="335" spans="2:56" ht="15" customHeight="1" outlineLevel="2">
      <c r="B335" s="579"/>
      <c r="C335" s="593"/>
      <c r="D335" s="586"/>
      <c r="E335" s="587"/>
      <c r="F335" s="587"/>
      <c r="G335" s="587"/>
      <c r="H335" s="587"/>
      <c r="I335" s="587"/>
      <c r="J335" s="587"/>
      <c r="K335" s="587"/>
      <c r="L335" s="587"/>
      <c r="M335" s="587"/>
      <c r="N335" s="587"/>
      <c r="O335" s="587"/>
      <c r="P335" s="587"/>
      <c r="Q335" s="587"/>
      <c r="R335" s="587"/>
      <c r="S335" s="587"/>
      <c r="T335" s="587"/>
      <c r="U335" s="587"/>
      <c r="V335" s="587"/>
      <c r="W335" s="587"/>
      <c r="X335" s="587"/>
      <c r="Y335" s="587"/>
      <c r="Z335" s="582"/>
      <c r="AA335" s="582"/>
      <c r="AB335" s="582"/>
      <c r="AC335" s="582"/>
      <c r="AD335" s="582"/>
      <c r="AE335" s="583"/>
      <c r="AF335" s="582"/>
      <c r="AG335" s="582"/>
      <c r="AH335" s="582"/>
      <c r="AI335" s="582"/>
      <c r="AJ335" s="582"/>
      <c r="AK335" s="582"/>
      <c r="AL335" s="582"/>
      <c r="AM335" s="582"/>
      <c r="AN335" s="582"/>
      <c r="AO335" s="582"/>
      <c r="AP335" s="582"/>
      <c r="AQ335" s="582"/>
      <c r="AR335" s="582"/>
      <c r="AS335" s="582"/>
      <c r="AT335" s="582"/>
      <c r="AU335" s="582"/>
      <c r="AV335" s="582"/>
      <c r="AW335" s="582"/>
      <c r="AX335" s="582"/>
      <c r="AY335" s="582"/>
      <c r="AZ335" s="582"/>
      <c r="BA335" s="582"/>
      <c r="BB335" s="582"/>
      <c r="BC335" s="506"/>
      <c r="BD335" s="450"/>
    </row>
    <row r="336" spans="2:56" ht="11.25" customHeight="1" outlineLevel="2">
      <c r="B336" s="579"/>
      <c r="C336" s="594"/>
      <c r="D336" s="581"/>
      <c r="E336" s="582"/>
      <c r="F336" s="582"/>
      <c r="G336" s="582"/>
      <c r="H336" s="582"/>
      <c r="I336" s="582"/>
      <c r="J336" s="582"/>
      <c r="K336" s="582"/>
      <c r="L336" s="582"/>
      <c r="M336" s="582"/>
      <c r="N336" s="582"/>
      <c r="O336" s="582"/>
      <c r="P336" s="582"/>
      <c r="Q336" s="582"/>
      <c r="R336" s="582"/>
      <c r="S336" s="582"/>
      <c r="T336" s="582"/>
      <c r="U336" s="582"/>
      <c r="V336" s="582"/>
      <c r="W336" s="582"/>
      <c r="X336" s="582"/>
      <c r="Y336" s="582"/>
      <c r="Z336" s="582"/>
      <c r="AA336" s="582"/>
      <c r="AB336" s="582"/>
      <c r="AC336" s="582"/>
      <c r="AD336" s="582"/>
      <c r="AE336" s="583"/>
      <c r="AF336" s="582"/>
      <c r="AG336" s="582"/>
      <c r="AH336" s="582"/>
      <c r="AI336" s="582"/>
      <c r="AJ336" s="582"/>
      <c r="AK336" s="582"/>
      <c r="AL336" s="582"/>
      <c r="AM336" s="582"/>
      <c r="AN336" s="582"/>
      <c r="AO336" s="582"/>
      <c r="AP336" s="582"/>
      <c r="AQ336" s="582"/>
      <c r="AR336" s="582"/>
      <c r="AS336" s="582"/>
      <c r="AT336" s="582"/>
      <c r="AU336" s="582"/>
      <c r="AV336" s="582"/>
      <c r="AW336" s="582"/>
      <c r="AX336" s="582"/>
      <c r="AY336" s="582"/>
      <c r="AZ336" s="582"/>
      <c r="BA336" s="582"/>
      <c r="BB336" s="582"/>
      <c r="BC336" s="506"/>
      <c r="BD336" s="450"/>
    </row>
    <row r="337" spans="2:57" s="415" customFormat="1" outlineLevel="1">
      <c r="B337" s="568">
        <v>300</v>
      </c>
      <c r="C337" s="569" t="s">
        <v>1931</v>
      </c>
      <c r="D337" s="570" t="s">
        <v>1896</v>
      </c>
      <c r="E337" s="571">
        <f>E354</f>
        <v>0</v>
      </c>
      <c r="F337" s="571">
        <f t="shared" ref="F337:BB337" si="219">F354</f>
        <v>0</v>
      </c>
      <c r="G337" s="571">
        <f t="shared" si="219"/>
        <v>0</v>
      </c>
      <c r="H337" s="571">
        <f t="shared" si="219"/>
        <v>0</v>
      </c>
      <c r="I337" s="571">
        <f t="shared" si="219"/>
        <v>0</v>
      </c>
      <c r="J337" s="571">
        <f t="shared" si="219"/>
        <v>0</v>
      </c>
      <c r="K337" s="571">
        <f t="shared" si="219"/>
        <v>0</v>
      </c>
      <c r="L337" s="571">
        <f t="shared" si="219"/>
        <v>0</v>
      </c>
      <c r="M337" s="571">
        <f t="shared" si="219"/>
        <v>0</v>
      </c>
      <c r="N337" s="571">
        <f t="shared" si="219"/>
        <v>0</v>
      </c>
      <c r="O337" s="571">
        <f t="shared" si="219"/>
        <v>0</v>
      </c>
      <c r="P337" s="571">
        <f t="shared" si="219"/>
        <v>0</v>
      </c>
      <c r="Q337" s="571">
        <f t="shared" si="219"/>
        <v>0</v>
      </c>
      <c r="R337" s="571">
        <f t="shared" si="219"/>
        <v>0</v>
      </c>
      <c r="S337" s="571">
        <f t="shared" si="219"/>
        <v>0</v>
      </c>
      <c r="T337" s="571">
        <f t="shared" si="219"/>
        <v>0</v>
      </c>
      <c r="U337" s="571">
        <f t="shared" si="219"/>
        <v>0</v>
      </c>
      <c r="V337" s="571">
        <f t="shared" si="219"/>
        <v>0</v>
      </c>
      <c r="W337" s="571">
        <f t="shared" si="219"/>
        <v>0</v>
      </c>
      <c r="X337" s="571">
        <f t="shared" si="219"/>
        <v>0</v>
      </c>
      <c r="Y337" s="571">
        <f t="shared" si="219"/>
        <v>0</v>
      </c>
      <c r="Z337" s="571">
        <f t="shared" si="219"/>
        <v>0</v>
      </c>
      <c r="AA337" s="571">
        <f t="shared" si="219"/>
        <v>0</v>
      </c>
      <c r="AB337" s="571">
        <f t="shared" si="219"/>
        <v>0</v>
      </c>
      <c r="AC337" s="571">
        <f t="shared" si="219"/>
        <v>0</v>
      </c>
      <c r="AD337" s="571">
        <f t="shared" si="219"/>
        <v>0</v>
      </c>
      <c r="AE337" s="571">
        <f t="shared" si="219"/>
        <v>0</v>
      </c>
      <c r="AF337" s="571">
        <f t="shared" si="219"/>
        <v>0</v>
      </c>
      <c r="AG337" s="571">
        <f t="shared" si="219"/>
        <v>0</v>
      </c>
      <c r="AH337" s="571">
        <f t="shared" si="219"/>
        <v>0</v>
      </c>
      <c r="AI337" s="571">
        <f t="shared" si="219"/>
        <v>0</v>
      </c>
      <c r="AJ337" s="571">
        <f t="shared" si="219"/>
        <v>0</v>
      </c>
      <c r="AK337" s="571">
        <f t="shared" si="219"/>
        <v>0</v>
      </c>
      <c r="AL337" s="571">
        <f t="shared" si="219"/>
        <v>0</v>
      </c>
      <c r="AM337" s="571">
        <f t="shared" si="219"/>
        <v>0</v>
      </c>
      <c r="AN337" s="571">
        <f t="shared" si="219"/>
        <v>0</v>
      </c>
      <c r="AO337" s="571">
        <f t="shared" si="219"/>
        <v>0</v>
      </c>
      <c r="AP337" s="571">
        <f t="shared" si="219"/>
        <v>0</v>
      </c>
      <c r="AQ337" s="571">
        <f t="shared" ref="AQ337:AZ337" si="220">AQ354</f>
        <v>0</v>
      </c>
      <c r="AR337" s="571">
        <f t="shared" si="220"/>
        <v>0</v>
      </c>
      <c r="AS337" s="571">
        <f t="shared" si="220"/>
        <v>0</v>
      </c>
      <c r="AT337" s="571">
        <f t="shared" si="220"/>
        <v>0</v>
      </c>
      <c r="AU337" s="571">
        <f t="shared" si="220"/>
        <v>0</v>
      </c>
      <c r="AV337" s="571">
        <f t="shared" si="220"/>
        <v>0</v>
      </c>
      <c r="AW337" s="571">
        <f t="shared" si="220"/>
        <v>0</v>
      </c>
      <c r="AX337" s="571">
        <f t="shared" si="220"/>
        <v>0</v>
      </c>
      <c r="AY337" s="571">
        <f t="shared" si="220"/>
        <v>0</v>
      </c>
      <c r="AZ337" s="571">
        <f t="shared" si="220"/>
        <v>0</v>
      </c>
      <c r="BA337" s="571">
        <f t="shared" si="219"/>
        <v>0</v>
      </c>
      <c r="BB337" s="571">
        <f t="shared" si="219"/>
        <v>0</v>
      </c>
      <c r="BC337" s="505"/>
      <c r="BD337" s="420"/>
      <c r="BE337" s="527"/>
    </row>
    <row r="338" spans="2:57" s="415" customFormat="1" outlineLevel="1">
      <c r="B338" s="568"/>
      <c r="C338" s="569"/>
      <c r="D338" s="570" t="s">
        <v>1897</v>
      </c>
      <c r="E338" s="571">
        <f>E355</f>
        <v>0</v>
      </c>
      <c r="F338" s="571">
        <f t="shared" ref="F338:BB338" si="221">F355</f>
        <v>0</v>
      </c>
      <c r="G338" s="571">
        <f t="shared" si="221"/>
        <v>0</v>
      </c>
      <c r="H338" s="571">
        <f t="shared" si="221"/>
        <v>0</v>
      </c>
      <c r="I338" s="571">
        <f t="shared" si="221"/>
        <v>0</v>
      </c>
      <c r="J338" s="571">
        <f t="shared" si="221"/>
        <v>0</v>
      </c>
      <c r="K338" s="571">
        <f t="shared" si="221"/>
        <v>0</v>
      </c>
      <c r="L338" s="571">
        <f t="shared" si="221"/>
        <v>0</v>
      </c>
      <c r="M338" s="571">
        <f t="shared" si="221"/>
        <v>0</v>
      </c>
      <c r="N338" s="571">
        <f t="shared" si="221"/>
        <v>0</v>
      </c>
      <c r="O338" s="571">
        <f t="shared" si="221"/>
        <v>0</v>
      </c>
      <c r="P338" s="571">
        <f t="shared" si="221"/>
        <v>0</v>
      </c>
      <c r="Q338" s="571">
        <f t="shared" si="221"/>
        <v>0</v>
      </c>
      <c r="R338" s="571">
        <f t="shared" si="221"/>
        <v>0</v>
      </c>
      <c r="S338" s="571">
        <f t="shared" si="221"/>
        <v>0</v>
      </c>
      <c r="T338" s="571">
        <f t="shared" si="221"/>
        <v>0</v>
      </c>
      <c r="U338" s="571">
        <f t="shared" si="221"/>
        <v>0</v>
      </c>
      <c r="V338" s="571">
        <f t="shared" si="221"/>
        <v>0</v>
      </c>
      <c r="W338" s="571">
        <f t="shared" si="221"/>
        <v>0</v>
      </c>
      <c r="X338" s="571">
        <f t="shared" si="221"/>
        <v>0</v>
      </c>
      <c r="Y338" s="571">
        <f t="shared" si="221"/>
        <v>0</v>
      </c>
      <c r="Z338" s="571">
        <f t="shared" si="221"/>
        <v>0</v>
      </c>
      <c r="AA338" s="571">
        <f t="shared" si="221"/>
        <v>0</v>
      </c>
      <c r="AB338" s="571">
        <f t="shared" si="221"/>
        <v>0</v>
      </c>
      <c r="AC338" s="571">
        <f t="shared" si="221"/>
        <v>0</v>
      </c>
      <c r="AD338" s="571">
        <f t="shared" si="221"/>
        <v>0</v>
      </c>
      <c r="AE338" s="571">
        <f t="shared" si="221"/>
        <v>0</v>
      </c>
      <c r="AF338" s="571">
        <f t="shared" si="221"/>
        <v>0</v>
      </c>
      <c r="AG338" s="571">
        <f t="shared" si="221"/>
        <v>0</v>
      </c>
      <c r="AH338" s="571">
        <f t="shared" si="221"/>
        <v>0</v>
      </c>
      <c r="AI338" s="571">
        <f t="shared" si="221"/>
        <v>0</v>
      </c>
      <c r="AJ338" s="571">
        <f t="shared" si="221"/>
        <v>0</v>
      </c>
      <c r="AK338" s="571">
        <f t="shared" si="221"/>
        <v>0</v>
      </c>
      <c r="AL338" s="571">
        <f t="shared" si="221"/>
        <v>0</v>
      </c>
      <c r="AM338" s="571">
        <f t="shared" si="221"/>
        <v>0</v>
      </c>
      <c r="AN338" s="571">
        <f t="shared" si="221"/>
        <v>0</v>
      </c>
      <c r="AO338" s="571">
        <f t="shared" si="221"/>
        <v>0</v>
      </c>
      <c r="AP338" s="571">
        <f t="shared" si="221"/>
        <v>0</v>
      </c>
      <c r="AQ338" s="571">
        <f t="shared" ref="AQ338:AZ338" si="222">AQ355</f>
        <v>0</v>
      </c>
      <c r="AR338" s="571">
        <f t="shared" si="222"/>
        <v>0</v>
      </c>
      <c r="AS338" s="571">
        <f t="shared" si="222"/>
        <v>0</v>
      </c>
      <c r="AT338" s="571">
        <f t="shared" si="222"/>
        <v>0</v>
      </c>
      <c r="AU338" s="571">
        <f t="shared" si="222"/>
        <v>0</v>
      </c>
      <c r="AV338" s="571">
        <f t="shared" si="222"/>
        <v>0</v>
      </c>
      <c r="AW338" s="571">
        <f t="shared" si="222"/>
        <v>0</v>
      </c>
      <c r="AX338" s="571">
        <f t="shared" si="222"/>
        <v>0</v>
      </c>
      <c r="AY338" s="571">
        <f t="shared" si="222"/>
        <v>0</v>
      </c>
      <c r="AZ338" s="571">
        <f t="shared" si="222"/>
        <v>0</v>
      </c>
      <c r="BA338" s="571">
        <f t="shared" si="221"/>
        <v>0</v>
      </c>
      <c r="BB338" s="571">
        <f t="shared" si="221"/>
        <v>0</v>
      </c>
      <c r="BC338" s="506"/>
      <c r="BD338" s="420"/>
    </row>
    <row r="339" spans="2:57" ht="9" customHeight="1" outlineLevel="2">
      <c r="B339" s="494"/>
      <c r="C339" s="507"/>
      <c r="D339" s="496"/>
      <c r="E339" s="497"/>
      <c r="F339" s="497"/>
      <c r="G339" s="497"/>
      <c r="H339" s="497"/>
      <c r="I339" s="497"/>
      <c r="J339" s="497"/>
      <c r="K339" s="497"/>
      <c r="L339" s="497"/>
      <c r="M339" s="497"/>
      <c r="N339" s="497"/>
      <c r="O339" s="497"/>
      <c r="P339" s="497"/>
      <c r="Q339" s="497"/>
      <c r="R339" s="497"/>
      <c r="S339" s="497"/>
      <c r="T339" s="497"/>
      <c r="U339" s="497"/>
      <c r="V339" s="497"/>
      <c r="W339" s="497"/>
      <c r="X339" s="497"/>
      <c r="Y339" s="497"/>
      <c r="Z339" s="497"/>
      <c r="AA339" s="497"/>
      <c r="AB339" s="497"/>
      <c r="AC339" s="497"/>
      <c r="AD339" s="497"/>
      <c r="AE339" s="498"/>
      <c r="AF339" s="499"/>
      <c r="AG339" s="499"/>
      <c r="AH339" s="499"/>
      <c r="AI339" s="499"/>
      <c r="AJ339" s="499"/>
      <c r="AK339" s="499"/>
      <c r="AL339" s="499"/>
      <c r="AM339" s="499"/>
      <c r="AN339" s="499"/>
      <c r="AO339" s="499"/>
      <c r="AP339" s="499"/>
      <c r="AQ339" s="499"/>
      <c r="AR339" s="499"/>
      <c r="AS339" s="499"/>
      <c r="AT339" s="499"/>
      <c r="AU339" s="499"/>
      <c r="AV339" s="499"/>
      <c r="AW339" s="499"/>
      <c r="AX339" s="499"/>
      <c r="AY339" s="499"/>
      <c r="AZ339" s="499"/>
      <c r="BA339" s="499"/>
      <c r="BB339" s="499"/>
      <c r="BC339" s="505"/>
      <c r="BD339" s="450"/>
    </row>
    <row r="340" spans="2:57" ht="18.75" customHeight="1" outlineLevel="2">
      <c r="B340" s="576">
        <v>300.10000000000002</v>
      </c>
      <c r="C340" s="577" t="s">
        <v>1940</v>
      </c>
      <c r="D340" s="578">
        <v>0</v>
      </c>
      <c r="E340" s="574"/>
      <c r="F340" s="574"/>
      <c r="G340" s="574"/>
      <c r="H340" s="574"/>
      <c r="I340" s="574"/>
      <c r="J340" s="574"/>
      <c r="K340" s="574"/>
      <c r="L340" s="574"/>
      <c r="M340" s="574"/>
      <c r="N340" s="574"/>
      <c r="O340" s="574"/>
      <c r="P340" s="574"/>
      <c r="Q340" s="574"/>
      <c r="R340" s="574"/>
      <c r="S340" s="574"/>
      <c r="T340" s="574"/>
      <c r="U340" s="574"/>
      <c r="V340" s="574"/>
      <c r="W340" s="574"/>
      <c r="X340" s="574"/>
      <c r="Y340" s="574"/>
      <c r="Z340" s="574"/>
      <c r="AA340" s="574"/>
      <c r="AB340" s="574"/>
      <c r="AC340" s="574"/>
      <c r="AD340" s="574"/>
      <c r="AE340" s="575"/>
      <c r="AF340" s="574"/>
      <c r="AG340" s="574"/>
      <c r="AH340" s="574"/>
      <c r="AI340" s="574"/>
      <c r="AJ340" s="574"/>
      <c r="AK340" s="574"/>
      <c r="AL340" s="574"/>
      <c r="AM340" s="574"/>
      <c r="AN340" s="574"/>
      <c r="AO340" s="574"/>
      <c r="AP340" s="574"/>
      <c r="AQ340" s="574"/>
      <c r="AR340" s="574"/>
      <c r="AS340" s="574"/>
      <c r="AT340" s="574"/>
      <c r="AU340" s="574"/>
      <c r="AV340" s="574"/>
      <c r="AW340" s="574"/>
      <c r="AX340" s="574"/>
      <c r="AY340" s="574"/>
      <c r="AZ340" s="574"/>
      <c r="BA340" s="574"/>
      <c r="BB340" s="574"/>
      <c r="BC340" s="506"/>
      <c r="BD340" s="450"/>
    </row>
    <row r="341" spans="2:57" ht="15" customHeight="1" outlineLevel="3">
      <c r="B341" s="579"/>
      <c r="C341" s="580" t="s">
        <v>1898</v>
      </c>
      <c r="D341" s="581" t="s">
        <v>1899</v>
      </c>
      <c r="E341" s="582">
        <v>0</v>
      </c>
      <c r="F341" s="582">
        <v>0</v>
      </c>
      <c r="G341" s="582">
        <v>0</v>
      </c>
      <c r="H341" s="582">
        <v>0</v>
      </c>
      <c r="I341" s="582">
        <v>0</v>
      </c>
      <c r="J341" s="582">
        <v>0</v>
      </c>
      <c r="K341" s="582">
        <v>0</v>
      </c>
      <c r="L341" s="582">
        <v>0</v>
      </c>
      <c r="M341" s="582">
        <v>0</v>
      </c>
      <c r="N341" s="582">
        <v>0</v>
      </c>
      <c r="O341" s="582">
        <v>0</v>
      </c>
      <c r="P341" s="582">
        <v>0</v>
      </c>
      <c r="Q341" s="582">
        <v>0</v>
      </c>
      <c r="R341" s="582">
        <v>0</v>
      </c>
      <c r="S341" s="582">
        <v>0</v>
      </c>
      <c r="T341" s="582">
        <v>0</v>
      </c>
      <c r="U341" s="582">
        <v>0</v>
      </c>
      <c r="V341" s="582">
        <v>0</v>
      </c>
      <c r="W341" s="582">
        <v>0</v>
      </c>
      <c r="X341" s="582">
        <v>0</v>
      </c>
      <c r="Y341" s="582">
        <v>0</v>
      </c>
      <c r="Z341" s="582">
        <v>0</v>
      </c>
      <c r="AA341" s="582">
        <v>0</v>
      </c>
      <c r="AB341" s="582">
        <f t="shared" ref="AB341:BB341" si="223">AB230</f>
        <v>0</v>
      </c>
      <c r="AC341" s="582">
        <f t="shared" si="223"/>
        <v>0</v>
      </c>
      <c r="AD341" s="582">
        <f t="shared" si="223"/>
        <v>0</v>
      </c>
      <c r="AE341" s="583">
        <f t="shared" si="223"/>
        <v>0</v>
      </c>
      <c r="AF341" s="582">
        <f t="shared" si="223"/>
        <v>0</v>
      </c>
      <c r="AG341" s="582">
        <f t="shared" si="223"/>
        <v>0</v>
      </c>
      <c r="AH341" s="582">
        <f t="shared" si="223"/>
        <v>0</v>
      </c>
      <c r="AI341" s="582">
        <f t="shared" si="223"/>
        <v>0</v>
      </c>
      <c r="AJ341" s="582">
        <f t="shared" si="223"/>
        <v>0</v>
      </c>
      <c r="AK341" s="582">
        <f t="shared" si="223"/>
        <v>0</v>
      </c>
      <c r="AL341" s="582">
        <f t="shared" si="223"/>
        <v>0</v>
      </c>
      <c r="AM341" s="582">
        <f t="shared" si="223"/>
        <v>0</v>
      </c>
      <c r="AN341" s="582">
        <f t="shared" si="223"/>
        <v>0</v>
      </c>
      <c r="AO341" s="582">
        <f t="shared" si="223"/>
        <v>0</v>
      </c>
      <c r="AP341" s="582">
        <f t="shared" si="223"/>
        <v>0</v>
      </c>
      <c r="AQ341" s="582">
        <f t="shared" ref="AQ341:AZ341" si="224">AQ230</f>
        <v>0</v>
      </c>
      <c r="AR341" s="582">
        <f t="shared" si="224"/>
        <v>0</v>
      </c>
      <c r="AS341" s="582">
        <f t="shared" si="224"/>
        <v>0</v>
      </c>
      <c r="AT341" s="582">
        <f t="shared" si="224"/>
        <v>0</v>
      </c>
      <c r="AU341" s="582">
        <f t="shared" si="224"/>
        <v>0</v>
      </c>
      <c r="AV341" s="582">
        <f t="shared" si="224"/>
        <v>0</v>
      </c>
      <c r="AW341" s="582">
        <f t="shared" si="224"/>
        <v>0</v>
      </c>
      <c r="AX341" s="582">
        <f t="shared" si="224"/>
        <v>0</v>
      </c>
      <c r="AY341" s="582">
        <f t="shared" si="224"/>
        <v>0</v>
      </c>
      <c r="AZ341" s="582">
        <f t="shared" si="224"/>
        <v>0</v>
      </c>
      <c r="BA341" s="582">
        <f t="shared" si="223"/>
        <v>0</v>
      </c>
      <c r="BB341" s="582">
        <f t="shared" si="223"/>
        <v>0</v>
      </c>
      <c r="BC341" s="500"/>
      <c r="BD341" s="450"/>
    </row>
    <row r="342" spans="2:57" ht="15" customHeight="1" outlineLevel="3">
      <c r="B342" s="579"/>
      <c r="C342" s="580" t="s">
        <v>1901</v>
      </c>
      <c r="D342" s="581" t="s">
        <v>1902</v>
      </c>
      <c r="E342" s="582">
        <v>0</v>
      </c>
      <c r="F342" s="582">
        <v>0</v>
      </c>
      <c r="G342" s="582">
        <v>0</v>
      </c>
      <c r="H342" s="582">
        <v>0</v>
      </c>
      <c r="I342" s="582">
        <v>0</v>
      </c>
      <c r="J342" s="582">
        <v>0</v>
      </c>
      <c r="K342" s="582">
        <v>0</v>
      </c>
      <c r="L342" s="582">
        <v>0</v>
      </c>
      <c r="M342" s="582">
        <v>0</v>
      </c>
      <c r="N342" s="582">
        <v>0</v>
      </c>
      <c r="O342" s="582">
        <v>0</v>
      </c>
      <c r="P342" s="582">
        <v>0</v>
      </c>
      <c r="Q342" s="582">
        <v>0</v>
      </c>
      <c r="R342" s="582">
        <v>0</v>
      </c>
      <c r="S342" s="582">
        <v>0</v>
      </c>
      <c r="T342" s="582">
        <v>0</v>
      </c>
      <c r="U342" s="582">
        <v>0</v>
      </c>
      <c r="V342" s="582">
        <v>0</v>
      </c>
      <c r="W342" s="582">
        <v>0</v>
      </c>
      <c r="X342" s="582">
        <v>0</v>
      </c>
      <c r="Y342" s="582">
        <v>0</v>
      </c>
      <c r="Z342" s="582">
        <v>0</v>
      </c>
      <c r="AA342" s="582">
        <v>0</v>
      </c>
      <c r="AB342" s="582">
        <v>0</v>
      </c>
      <c r="AC342" s="582">
        <v>0</v>
      </c>
      <c r="AD342" s="582">
        <v>0</v>
      </c>
      <c r="AE342" s="583">
        <v>0</v>
      </c>
      <c r="AF342" s="582">
        <v>0</v>
      </c>
      <c r="AG342" s="582">
        <v>0</v>
      </c>
      <c r="AH342" s="582">
        <v>0</v>
      </c>
      <c r="AI342" s="582">
        <v>0</v>
      </c>
      <c r="AJ342" s="582">
        <v>0</v>
      </c>
      <c r="AK342" s="582">
        <v>0</v>
      </c>
      <c r="AL342" s="582">
        <v>0</v>
      </c>
      <c r="AM342" s="582">
        <v>0</v>
      </c>
      <c r="AN342" s="582">
        <v>0</v>
      </c>
      <c r="AO342" s="582">
        <v>0</v>
      </c>
      <c r="AP342" s="582">
        <v>0</v>
      </c>
      <c r="AQ342" s="582">
        <v>0</v>
      </c>
      <c r="AR342" s="582">
        <v>0</v>
      </c>
      <c r="AS342" s="582">
        <v>0</v>
      </c>
      <c r="AT342" s="582">
        <v>0</v>
      </c>
      <c r="AU342" s="582">
        <v>0</v>
      </c>
      <c r="AV342" s="582">
        <v>0</v>
      </c>
      <c r="AW342" s="582">
        <v>0</v>
      </c>
      <c r="AX342" s="582">
        <v>0</v>
      </c>
      <c r="AY342" s="582">
        <v>0</v>
      </c>
      <c r="AZ342" s="582">
        <v>0</v>
      </c>
      <c r="BA342" s="582">
        <v>0</v>
      </c>
      <c r="BB342" s="582">
        <v>0</v>
      </c>
      <c r="BC342" s="500"/>
      <c r="BD342" s="450"/>
    </row>
    <row r="343" spans="2:57" ht="15" customHeight="1" outlineLevel="3">
      <c r="B343" s="579"/>
      <c r="C343" s="580" t="s">
        <v>1903</v>
      </c>
      <c r="D343" s="581" t="s">
        <v>1904</v>
      </c>
      <c r="E343" s="582">
        <v>0</v>
      </c>
      <c r="F343" s="582">
        <v>0</v>
      </c>
      <c r="G343" s="582">
        <v>0</v>
      </c>
      <c r="H343" s="582">
        <v>0</v>
      </c>
      <c r="I343" s="582">
        <v>0</v>
      </c>
      <c r="J343" s="582">
        <v>0</v>
      </c>
      <c r="K343" s="582">
        <v>0</v>
      </c>
      <c r="L343" s="582">
        <v>0</v>
      </c>
      <c r="M343" s="582">
        <v>0</v>
      </c>
      <c r="N343" s="582">
        <v>0</v>
      </c>
      <c r="O343" s="582">
        <v>0</v>
      </c>
      <c r="P343" s="582">
        <v>0</v>
      </c>
      <c r="Q343" s="582">
        <v>0</v>
      </c>
      <c r="R343" s="582">
        <v>0</v>
      </c>
      <c r="S343" s="582">
        <v>0</v>
      </c>
      <c r="T343" s="582">
        <v>0</v>
      </c>
      <c r="U343" s="582">
        <v>0</v>
      </c>
      <c r="V343" s="582">
        <v>0</v>
      </c>
      <c r="W343" s="582">
        <v>0</v>
      </c>
      <c r="X343" s="582">
        <v>0</v>
      </c>
      <c r="Y343" s="582">
        <v>0</v>
      </c>
      <c r="Z343" s="582">
        <v>0</v>
      </c>
      <c r="AA343" s="582">
        <v>0</v>
      </c>
      <c r="AB343" s="582">
        <v>0</v>
      </c>
      <c r="AC343" s="582">
        <v>0</v>
      </c>
      <c r="AD343" s="582">
        <v>0</v>
      </c>
      <c r="AE343" s="583">
        <v>0</v>
      </c>
      <c r="AF343" s="582">
        <v>0</v>
      </c>
      <c r="AG343" s="582">
        <v>0</v>
      </c>
      <c r="AH343" s="582">
        <v>0</v>
      </c>
      <c r="AI343" s="582">
        <v>0</v>
      </c>
      <c r="AJ343" s="582">
        <v>0</v>
      </c>
      <c r="AK343" s="582">
        <v>0</v>
      </c>
      <c r="AL343" s="582">
        <v>0</v>
      </c>
      <c r="AM343" s="582">
        <v>0</v>
      </c>
      <c r="AN343" s="582">
        <v>0</v>
      </c>
      <c r="AO343" s="582">
        <v>0</v>
      </c>
      <c r="AP343" s="582">
        <v>0</v>
      </c>
      <c r="AQ343" s="582">
        <v>0</v>
      </c>
      <c r="AR343" s="582">
        <v>0</v>
      </c>
      <c r="AS343" s="582">
        <v>0</v>
      </c>
      <c r="AT343" s="582">
        <v>0</v>
      </c>
      <c r="AU343" s="582">
        <v>0</v>
      </c>
      <c r="AV343" s="582">
        <v>0</v>
      </c>
      <c r="AW343" s="582">
        <v>0</v>
      </c>
      <c r="AX343" s="582">
        <v>0</v>
      </c>
      <c r="AY343" s="582">
        <v>0</v>
      </c>
      <c r="AZ343" s="582">
        <v>0</v>
      </c>
      <c r="BA343" s="582">
        <v>0</v>
      </c>
      <c r="BB343" s="582">
        <v>0</v>
      </c>
      <c r="BC343" s="500"/>
      <c r="BD343" s="450"/>
    </row>
    <row r="344" spans="2:57" s="415" customFormat="1" ht="15" customHeight="1" outlineLevel="3">
      <c r="B344" s="584"/>
      <c r="C344" s="585" t="s">
        <v>1905</v>
      </c>
      <c r="D344" s="586" t="s">
        <v>1906</v>
      </c>
      <c r="E344" s="587">
        <f>E341+E342+E343</f>
        <v>0</v>
      </c>
      <c r="F344" s="587">
        <f t="shared" ref="F344:Y344" si="225">F341+F342+F343</f>
        <v>0</v>
      </c>
      <c r="G344" s="587">
        <f t="shared" si="225"/>
        <v>0</v>
      </c>
      <c r="H344" s="587">
        <f t="shared" si="225"/>
        <v>0</v>
      </c>
      <c r="I344" s="587">
        <f t="shared" si="225"/>
        <v>0</v>
      </c>
      <c r="J344" s="587">
        <f t="shared" si="225"/>
        <v>0</v>
      </c>
      <c r="K344" s="587">
        <f t="shared" si="225"/>
        <v>0</v>
      </c>
      <c r="L344" s="587">
        <f t="shared" si="225"/>
        <v>0</v>
      </c>
      <c r="M344" s="587">
        <f t="shared" si="225"/>
        <v>0</v>
      </c>
      <c r="N344" s="587">
        <f t="shared" si="225"/>
        <v>0</v>
      </c>
      <c r="O344" s="587">
        <f t="shared" si="225"/>
        <v>0</v>
      </c>
      <c r="P344" s="587">
        <f t="shared" si="225"/>
        <v>0</v>
      </c>
      <c r="Q344" s="587">
        <f t="shared" si="225"/>
        <v>0</v>
      </c>
      <c r="R344" s="587">
        <f t="shared" si="225"/>
        <v>0</v>
      </c>
      <c r="S344" s="587">
        <f t="shared" si="225"/>
        <v>0</v>
      </c>
      <c r="T344" s="587">
        <f t="shared" si="225"/>
        <v>0</v>
      </c>
      <c r="U344" s="587">
        <f t="shared" si="225"/>
        <v>0</v>
      </c>
      <c r="V344" s="587">
        <f t="shared" si="225"/>
        <v>0</v>
      </c>
      <c r="W344" s="587">
        <f t="shared" si="225"/>
        <v>0</v>
      </c>
      <c r="X344" s="587">
        <f t="shared" si="225"/>
        <v>0</v>
      </c>
      <c r="Y344" s="587">
        <f t="shared" si="225"/>
        <v>0</v>
      </c>
      <c r="Z344" s="587"/>
      <c r="AA344" s="587"/>
      <c r="AB344" s="587">
        <f t="shared" ref="AB344:BB344" si="226">AB341+AB342+AB343</f>
        <v>0</v>
      </c>
      <c r="AC344" s="587">
        <f t="shared" si="226"/>
        <v>0</v>
      </c>
      <c r="AD344" s="587">
        <f t="shared" si="226"/>
        <v>0</v>
      </c>
      <c r="AE344" s="588">
        <f t="shared" si="226"/>
        <v>0</v>
      </c>
      <c r="AF344" s="587">
        <f t="shared" si="226"/>
        <v>0</v>
      </c>
      <c r="AG344" s="587">
        <f t="shared" si="226"/>
        <v>0</v>
      </c>
      <c r="AH344" s="587">
        <f t="shared" si="226"/>
        <v>0</v>
      </c>
      <c r="AI344" s="587">
        <f t="shared" si="226"/>
        <v>0</v>
      </c>
      <c r="AJ344" s="587">
        <f t="shared" si="226"/>
        <v>0</v>
      </c>
      <c r="AK344" s="587">
        <f t="shared" si="226"/>
        <v>0</v>
      </c>
      <c r="AL344" s="587">
        <f t="shared" si="226"/>
        <v>0</v>
      </c>
      <c r="AM344" s="587">
        <f t="shared" si="226"/>
        <v>0</v>
      </c>
      <c r="AN344" s="587">
        <f t="shared" si="226"/>
        <v>0</v>
      </c>
      <c r="AO344" s="587">
        <f t="shared" si="226"/>
        <v>0</v>
      </c>
      <c r="AP344" s="587">
        <f t="shared" si="226"/>
        <v>0</v>
      </c>
      <c r="AQ344" s="587">
        <f t="shared" ref="AQ344:AZ344" si="227">AQ341+AQ342+AQ343</f>
        <v>0</v>
      </c>
      <c r="AR344" s="587">
        <f t="shared" si="227"/>
        <v>0</v>
      </c>
      <c r="AS344" s="587">
        <f t="shared" si="227"/>
        <v>0</v>
      </c>
      <c r="AT344" s="587">
        <f t="shared" si="227"/>
        <v>0</v>
      </c>
      <c r="AU344" s="587">
        <f t="shared" si="227"/>
        <v>0</v>
      </c>
      <c r="AV344" s="587">
        <f t="shared" si="227"/>
        <v>0</v>
      </c>
      <c r="AW344" s="587">
        <f t="shared" si="227"/>
        <v>0</v>
      </c>
      <c r="AX344" s="587">
        <f t="shared" si="227"/>
        <v>0</v>
      </c>
      <c r="AY344" s="587">
        <f t="shared" si="227"/>
        <v>0</v>
      </c>
      <c r="AZ344" s="587">
        <f t="shared" si="227"/>
        <v>0</v>
      </c>
      <c r="BA344" s="587">
        <f t="shared" si="226"/>
        <v>0</v>
      </c>
      <c r="BB344" s="587">
        <f t="shared" si="226"/>
        <v>0</v>
      </c>
      <c r="BC344" s="506"/>
      <c r="BD344" s="420"/>
    </row>
    <row r="345" spans="2:57" s="415" customFormat="1" ht="15" customHeight="1" outlineLevel="3">
      <c r="B345" s="584"/>
      <c r="C345" s="589" t="s">
        <v>1907</v>
      </c>
      <c r="D345" s="586" t="s">
        <v>1908</v>
      </c>
      <c r="E345" s="587">
        <v>0</v>
      </c>
      <c r="F345" s="587">
        <v>0</v>
      </c>
      <c r="G345" s="587">
        <v>0</v>
      </c>
      <c r="H345" s="587">
        <v>0</v>
      </c>
      <c r="I345" s="587">
        <v>0</v>
      </c>
      <c r="J345" s="587">
        <v>0</v>
      </c>
      <c r="K345" s="587">
        <v>0</v>
      </c>
      <c r="L345" s="587">
        <v>0</v>
      </c>
      <c r="M345" s="587">
        <v>0</v>
      </c>
      <c r="N345" s="587">
        <v>0</v>
      </c>
      <c r="O345" s="587">
        <v>0</v>
      </c>
      <c r="P345" s="587">
        <v>0</v>
      </c>
      <c r="Q345" s="587">
        <v>0</v>
      </c>
      <c r="R345" s="587">
        <v>0</v>
      </c>
      <c r="S345" s="587">
        <v>0</v>
      </c>
      <c r="T345" s="587">
        <v>0</v>
      </c>
      <c r="U345" s="587">
        <v>0</v>
      </c>
      <c r="V345" s="587">
        <v>0</v>
      </c>
      <c r="W345" s="587">
        <v>0</v>
      </c>
      <c r="X345" s="587">
        <v>0</v>
      </c>
      <c r="Y345" s="587">
        <v>0</v>
      </c>
      <c r="Z345" s="587">
        <v>0</v>
      </c>
      <c r="AA345" s="587">
        <v>0</v>
      </c>
      <c r="AB345" s="587">
        <v>0</v>
      </c>
      <c r="AC345" s="587">
        <v>0</v>
      </c>
      <c r="AD345" s="587">
        <v>0</v>
      </c>
      <c r="AE345" s="588">
        <v>0</v>
      </c>
      <c r="AF345" s="587">
        <v>0</v>
      </c>
      <c r="AG345" s="587">
        <v>0</v>
      </c>
      <c r="AH345" s="587">
        <v>0</v>
      </c>
      <c r="AI345" s="587">
        <v>0</v>
      </c>
      <c r="AJ345" s="587">
        <v>0</v>
      </c>
      <c r="AK345" s="587">
        <v>0</v>
      </c>
      <c r="AL345" s="587">
        <v>0</v>
      </c>
      <c r="AM345" s="587">
        <v>0</v>
      </c>
      <c r="AN345" s="587">
        <v>0</v>
      </c>
      <c r="AO345" s="587">
        <v>0</v>
      </c>
      <c r="AP345" s="587">
        <v>0</v>
      </c>
      <c r="AQ345" s="587">
        <v>0</v>
      </c>
      <c r="AR345" s="587">
        <v>0</v>
      </c>
      <c r="AS345" s="587">
        <v>0</v>
      </c>
      <c r="AT345" s="587">
        <v>0</v>
      </c>
      <c r="AU345" s="587">
        <v>0</v>
      </c>
      <c r="AV345" s="587">
        <v>0</v>
      </c>
      <c r="AW345" s="587">
        <v>0</v>
      </c>
      <c r="AX345" s="587">
        <v>0</v>
      </c>
      <c r="AY345" s="587">
        <v>0</v>
      </c>
      <c r="AZ345" s="587">
        <v>0</v>
      </c>
      <c r="BA345" s="587">
        <v>0</v>
      </c>
      <c r="BB345" s="587">
        <v>0</v>
      </c>
      <c r="BC345" s="506"/>
      <c r="BD345" s="420"/>
    </row>
    <row r="346" spans="2:57" s="438" customFormat="1" ht="15" customHeight="1" outlineLevel="3">
      <c r="B346" s="579"/>
      <c r="C346" s="590" t="s">
        <v>1579</v>
      </c>
      <c r="D346" s="581" t="s">
        <v>1909</v>
      </c>
      <c r="E346" s="582">
        <v>0</v>
      </c>
      <c r="F346" s="582">
        <v>0</v>
      </c>
      <c r="G346" s="582">
        <v>0</v>
      </c>
      <c r="H346" s="582">
        <v>0</v>
      </c>
      <c r="I346" s="582">
        <v>0</v>
      </c>
      <c r="J346" s="582">
        <v>0</v>
      </c>
      <c r="K346" s="582">
        <v>0</v>
      </c>
      <c r="L346" s="582">
        <v>0</v>
      </c>
      <c r="M346" s="582">
        <v>0</v>
      </c>
      <c r="N346" s="582">
        <v>0</v>
      </c>
      <c r="O346" s="582">
        <v>0</v>
      </c>
      <c r="P346" s="582">
        <v>0</v>
      </c>
      <c r="Q346" s="582">
        <v>0</v>
      </c>
      <c r="R346" s="582">
        <v>0</v>
      </c>
      <c r="S346" s="582">
        <v>0</v>
      </c>
      <c r="T346" s="582">
        <v>0</v>
      </c>
      <c r="U346" s="582">
        <v>0</v>
      </c>
      <c r="V346" s="582">
        <v>0</v>
      </c>
      <c r="W346" s="582">
        <v>0</v>
      </c>
      <c r="X346" s="582">
        <v>0</v>
      </c>
      <c r="Y346" s="582">
        <v>0</v>
      </c>
      <c r="Z346" s="582">
        <v>0</v>
      </c>
      <c r="AA346" s="582">
        <v>0</v>
      </c>
      <c r="AB346" s="582">
        <v>0</v>
      </c>
      <c r="AC346" s="582">
        <v>0</v>
      </c>
      <c r="AD346" s="582">
        <v>0</v>
      </c>
      <c r="AE346" s="583">
        <v>0</v>
      </c>
      <c r="AF346" s="582">
        <v>0</v>
      </c>
      <c r="AG346" s="582">
        <v>0</v>
      </c>
      <c r="AH346" s="582">
        <v>0</v>
      </c>
      <c r="AI346" s="582">
        <v>0</v>
      </c>
      <c r="AJ346" s="582">
        <v>0</v>
      </c>
      <c r="AK346" s="582">
        <v>0</v>
      </c>
      <c r="AL346" s="582">
        <v>0</v>
      </c>
      <c r="AM346" s="582">
        <v>0</v>
      </c>
      <c r="AN346" s="582">
        <v>0</v>
      </c>
      <c r="AO346" s="582">
        <v>0</v>
      </c>
      <c r="AP346" s="582">
        <v>0</v>
      </c>
      <c r="AQ346" s="582">
        <v>0</v>
      </c>
      <c r="AR346" s="582">
        <v>0</v>
      </c>
      <c r="AS346" s="582">
        <v>0</v>
      </c>
      <c r="AT346" s="582">
        <v>0</v>
      </c>
      <c r="AU346" s="582">
        <v>0</v>
      </c>
      <c r="AV346" s="582">
        <v>0</v>
      </c>
      <c r="AW346" s="582">
        <v>0</v>
      </c>
      <c r="AX346" s="582">
        <v>0</v>
      </c>
      <c r="AY346" s="582">
        <v>0</v>
      </c>
      <c r="AZ346" s="582">
        <v>0</v>
      </c>
      <c r="BA346" s="582">
        <v>0</v>
      </c>
      <c r="BB346" s="582">
        <v>0</v>
      </c>
      <c r="BC346" s="500">
        <f>+AA346</f>
        <v>0</v>
      </c>
      <c r="BD346" s="523"/>
    </row>
    <row r="347" spans="2:57" s="415" customFormat="1" ht="15" customHeight="1" outlineLevel="3">
      <c r="B347" s="584"/>
      <c r="C347" s="589" t="s">
        <v>1910</v>
      </c>
      <c r="D347" s="586" t="s">
        <v>1911</v>
      </c>
      <c r="E347" s="587">
        <f>E344+E345+E346</f>
        <v>0</v>
      </c>
      <c r="F347" s="587">
        <f t="shared" ref="F347:Y347" si="228">F344+F345+F346</f>
        <v>0</v>
      </c>
      <c r="G347" s="587">
        <f t="shared" si="228"/>
        <v>0</v>
      </c>
      <c r="H347" s="587">
        <f t="shared" si="228"/>
        <v>0</v>
      </c>
      <c r="I347" s="587">
        <f t="shared" si="228"/>
        <v>0</v>
      </c>
      <c r="J347" s="587">
        <f t="shared" si="228"/>
        <v>0</v>
      </c>
      <c r="K347" s="587">
        <f t="shared" si="228"/>
        <v>0</v>
      </c>
      <c r="L347" s="587">
        <f t="shared" si="228"/>
        <v>0</v>
      </c>
      <c r="M347" s="587">
        <f t="shared" si="228"/>
        <v>0</v>
      </c>
      <c r="N347" s="587">
        <f t="shared" si="228"/>
        <v>0</v>
      </c>
      <c r="O347" s="587">
        <f t="shared" si="228"/>
        <v>0</v>
      </c>
      <c r="P347" s="587">
        <f t="shared" si="228"/>
        <v>0</v>
      </c>
      <c r="Q347" s="587">
        <f t="shared" si="228"/>
        <v>0</v>
      </c>
      <c r="R347" s="587">
        <f t="shared" si="228"/>
        <v>0</v>
      </c>
      <c r="S347" s="587">
        <f t="shared" si="228"/>
        <v>0</v>
      </c>
      <c r="T347" s="587">
        <f t="shared" si="228"/>
        <v>0</v>
      </c>
      <c r="U347" s="587">
        <f t="shared" si="228"/>
        <v>0</v>
      </c>
      <c r="V347" s="587">
        <f t="shared" si="228"/>
        <v>0</v>
      </c>
      <c r="W347" s="587">
        <f t="shared" si="228"/>
        <v>0</v>
      </c>
      <c r="X347" s="587">
        <f t="shared" si="228"/>
        <v>0</v>
      </c>
      <c r="Y347" s="587">
        <f t="shared" si="228"/>
        <v>0</v>
      </c>
      <c r="Z347" s="587"/>
      <c r="AA347" s="587"/>
      <c r="AB347" s="587">
        <f t="shared" ref="AB347:BB347" si="229">AB344+AB345+AB346</f>
        <v>0</v>
      </c>
      <c r="AC347" s="587">
        <f t="shared" si="229"/>
        <v>0</v>
      </c>
      <c r="AD347" s="587">
        <f t="shared" si="229"/>
        <v>0</v>
      </c>
      <c r="AE347" s="588">
        <f t="shared" si="229"/>
        <v>0</v>
      </c>
      <c r="AF347" s="587">
        <f t="shared" si="229"/>
        <v>0</v>
      </c>
      <c r="AG347" s="587">
        <f t="shared" si="229"/>
        <v>0</v>
      </c>
      <c r="AH347" s="587">
        <f t="shared" si="229"/>
        <v>0</v>
      </c>
      <c r="AI347" s="587">
        <f t="shared" si="229"/>
        <v>0</v>
      </c>
      <c r="AJ347" s="587">
        <f t="shared" si="229"/>
        <v>0</v>
      </c>
      <c r="AK347" s="587">
        <f t="shared" si="229"/>
        <v>0</v>
      </c>
      <c r="AL347" s="587">
        <f t="shared" si="229"/>
        <v>0</v>
      </c>
      <c r="AM347" s="587">
        <f t="shared" si="229"/>
        <v>0</v>
      </c>
      <c r="AN347" s="587">
        <f t="shared" si="229"/>
        <v>0</v>
      </c>
      <c r="AO347" s="587">
        <f t="shared" si="229"/>
        <v>0</v>
      </c>
      <c r="AP347" s="587">
        <f t="shared" si="229"/>
        <v>0</v>
      </c>
      <c r="AQ347" s="587">
        <f t="shared" ref="AQ347:AZ347" si="230">AQ344+AQ345+AQ346</f>
        <v>0</v>
      </c>
      <c r="AR347" s="587">
        <f t="shared" si="230"/>
        <v>0</v>
      </c>
      <c r="AS347" s="587">
        <f t="shared" si="230"/>
        <v>0</v>
      </c>
      <c r="AT347" s="587">
        <f t="shared" si="230"/>
        <v>0</v>
      </c>
      <c r="AU347" s="587">
        <f t="shared" si="230"/>
        <v>0</v>
      </c>
      <c r="AV347" s="587">
        <f t="shared" si="230"/>
        <v>0</v>
      </c>
      <c r="AW347" s="587">
        <f t="shared" si="230"/>
        <v>0</v>
      </c>
      <c r="AX347" s="587">
        <f t="shared" si="230"/>
        <v>0</v>
      </c>
      <c r="AY347" s="587">
        <f t="shared" si="230"/>
        <v>0</v>
      </c>
      <c r="AZ347" s="587">
        <f t="shared" si="230"/>
        <v>0</v>
      </c>
      <c r="BA347" s="587">
        <f t="shared" si="229"/>
        <v>0</v>
      </c>
      <c r="BB347" s="587">
        <f t="shared" si="229"/>
        <v>0</v>
      </c>
      <c r="BC347" s="506"/>
      <c r="BD347" s="420"/>
    </row>
    <row r="348" spans="2:57" s="415" customFormat="1" ht="15" customHeight="1" outlineLevel="3">
      <c r="B348" s="584"/>
      <c r="C348" s="589" t="s">
        <v>1930</v>
      </c>
      <c r="D348" s="586" t="s">
        <v>1913</v>
      </c>
      <c r="E348" s="587">
        <v>0</v>
      </c>
      <c r="F348" s="587">
        <v>0</v>
      </c>
      <c r="G348" s="587">
        <v>0</v>
      </c>
      <c r="H348" s="587">
        <v>0</v>
      </c>
      <c r="I348" s="587">
        <v>0</v>
      </c>
      <c r="J348" s="587">
        <v>0</v>
      </c>
      <c r="K348" s="587">
        <v>0</v>
      </c>
      <c r="L348" s="587">
        <v>0</v>
      </c>
      <c r="M348" s="587">
        <v>0</v>
      </c>
      <c r="N348" s="587">
        <v>0</v>
      </c>
      <c r="O348" s="587">
        <v>0</v>
      </c>
      <c r="P348" s="587">
        <v>0</v>
      </c>
      <c r="Q348" s="587">
        <v>0</v>
      </c>
      <c r="R348" s="587">
        <v>0</v>
      </c>
      <c r="S348" s="587">
        <v>0</v>
      </c>
      <c r="T348" s="587">
        <v>0</v>
      </c>
      <c r="U348" s="587">
        <v>0</v>
      </c>
      <c r="V348" s="587">
        <v>0</v>
      </c>
      <c r="W348" s="587">
        <v>0</v>
      </c>
      <c r="X348" s="587">
        <v>0</v>
      </c>
      <c r="Y348" s="587">
        <v>0</v>
      </c>
      <c r="Z348" s="587">
        <v>0</v>
      </c>
      <c r="AA348" s="587">
        <v>0</v>
      </c>
      <c r="AB348" s="587">
        <v>0</v>
      </c>
      <c r="AC348" s="587">
        <v>0</v>
      </c>
      <c r="AD348" s="587">
        <v>0</v>
      </c>
      <c r="AE348" s="588">
        <v>0</v>
      </c>
      <c r="AF348" s="587">
        <v>0</v>
      </c>
      <c r="AG348" s="587">
        <v>0</v>
      </c>
      <c r="AH348" s="587">
        <v>0</v>
      </c>
      <c r="AI348" s="587">
        <v>0</v>
      </c>
      <c r="AJ348" s="587">
        <v>0</v>
      </c>
      <c r="AK348" s="587">
        <v>0</v>
      </c>
      <c r="AL348" s="587">
        <v>0</v>
      </c>
      <c r="AM348" s="587">
        <v>0</v>
      </c>
      <c r="AN348" s="587">
        <v>0</v>
      </c>
      <c r="AO348" s="587">
        <v>0</v>
      </c>
      <c r="AP348" s="587">
        <v>0</v>
      </c>
      <c r="AQ348" s="587">
        <v>0</v>
      </c>
      <c r="AR348" s="587">
        <v>0</v>
      </c>
      <c r="AS348" s="587">
        <v>0</v>
      </c>
      <c r="AT348" s="587">
        <v>0</v>
      </c>
      <c r="AU348" s="587">
        <v>0</v>
      </c>
      <c r="AV348" s="587">
        <v>0</v>
      </c>
      <c r="AW348" s="587">
        <v>0</v>
      </c>
      <c r="AX348" s="587">
        <v>0</v>
      </c>
      <c r="AY348" s="587">
        <v>0</v>
      </c>
      <c r="AZ348" s="587">
        <v>0</v>
      </c>
      <c r="BA348" s="587">
        <v>0</v>
      </c>
      <c r="BB348" s="587">
        <v>0</v>
      </c>
      <c r="BC348" s="506"/>
      <c r="BD348" s="420"/>
    </row>
    <row r="349" spans="2:57" ht="15" customHeight="1" outlineLevel="3">
      <c r="B349" s="579"/>
      <c r="C349" s="590" t="s">
        <v>1914</v>
      </c>
      <c r="D349" s="581" t="s">
        <v>1915</v>
      </c>
      <c r="E349" s="582">
        <v>0</v>
      </c>
      <c r="F349" s="582">
        <v>0</v>
      </c>
      <c r="G349" s="582">
        <v>0</v>
      </c>
      <c r="H349" s="582">
        <v>0</v>
      </c>
      <c r="I349" s="582">
        <v>0</v>
      </c>
      <c r="J349" s="582">
        <v>0</v>
      </c>
      <c r="K349" s="582">
        <v>0</v>
      </c>
      <c r="L349" s="582">
        <v>0</v>
      </c>
      <c r="M349" s="582">
        <v>0</v>
      </c>
      <c r="N349" s="582">
        <v>0</v>
      </c>
      <c r="O349" s="582">
        <v>0</v>
      </c>
      <c r="P349" s="582">
        <v>0</v>
      </c>
      <c r="Q349" s="582">
        <v>0</v>
      </c>
      <c r="R349" s="582">
        <v>0</v>
      </c>
      <c r="S349" s="582">
        <v>0</v>
      </c>
      <c r="T349" s="582">
        <v>0</v>
      </c>
      <c r="U349" s="582">
        <v>0</v>
      </c>
      <c r="V349" s="582">
        <v>0</v>
      </c>
      <c r="W349" s="582">
        <v>0</v>
      </c>
      <c r="X349" s="582">
        <v>0</v>
      </c>
      <c r="Y349" s="582">
        <v>0</v>
      </c>
      <c r="Z349" s="582">
        <v>0</v>
      </c>
      <c r="AA349" s="582">
        <v>0</v>
      </c>
      <c r="AB349" s="582">
        <v>0</v>
      </c>
      <c r="AC349" s="582">
        <v>0</v>
      </c>
      <c r="AD349" s="582">
        <v>0</v>
      </c>
      <c r="AE349" s="583">
        <v>0</v>
      </c>
      <c r="AF349" s="582">
        <v>0</v>
      </c>
      <c r="AG349" s="582">
        <v>0</v>
      </c>
      <c r="AH349" s="582">
        <v>0</v>
      </c>
      <c r="AI349" s="582">
        <v>0</v>
      </c>
      <c r="AJ349" s="582">
        <v>0</v>
      </c>
      <c r="AK349" s="582">
        <v>0</v>
      </c>
      <c r="AL349" s="582">
        <v>0</v>
      </c>
      <c r="AM349" s="582">
        <v>0</v>
      </c>
      <c r="AN349" s="582">
        <v>0</v>
      </c>
      <c r="AO349" s="582">
        <v>0</v>
      </c>
      <c r="AP349" s="582">
        <v>0</v>
      </c>
      <c r="AQ349" s="582">
        <v>0</v>
      </c>
      <c r="AR349" s="582">
        <v>0</v>
      </c>
      <c r="AS349" s="582">
        <v>0</v>
      </c>
      <c r="AT349" s="582">
        <v>0</v>
      </c>
      <c r="AU349" s="582">
        <v>0</v>
      </c>
      <c r="AV349" s="582">
        <v>0</v>
      </c>
      <c r="AW349" s="582">
        <v>0</v>
      </c>
      <c r="AX349" s="582">
        <v>0</v>
      </c>
      <c r="AY349" s="582">
        <v>0</v>
      </c>
      <c r="AZ349" s="582">
        <v>0</v>
      </c>
      <c r="BA349" s="582">
        <v>0</v>
      </c>
      <c r="BB349" s="582">
        <v>0</v>
      </c>
      <c r="BC349" s="500"/>
      <c r="BD349" s="450"/>
    </row>
    <row r="350" spans="2:57" s="415" customFormat="1" ht="15" customHeight="1" outlineLevel="3">
      <c r="B350" s="584"/>
      <c r="C350" s="589" t="s">
        <v>1916</v>
      </c>
      <c r="D350" s="586" t="s">
        <v>1917</v>
      </c>
      <c r="E350" s="587">
        <f>E347+E348+E349</f>
        <v>0</v>
      </c>
      <c r="F350" s="587">
        <f t="shared" ref="F350:Y350" si="231">F347+F348+F349</f>
        <v>0</v>
      </c>
      <c r="G350" s="587">
        <f t="shared" si="231"/>
        <v>0</v>
      </c>
      <c r="H350" s="587">
        <f t="shared" si="231"/>
        <v>0</v>
      </c>
      <c r="I350" s="587">
        <f t="shared" si="231"/>
        <v>0</v>
      </c>
      <c r="J350" s="587">
        <f t="shared" si="231"/>
        <v>0</v>
      </c>
      <c r="K350" s="587">
        <f t="shared" si="231"/>
        <v>0</v>
      </c>
      <c r="L350" s="587">
        <f t="shared" si="231"/>
        <v>0</v>
      </c>
      <c r="M350" s="587">
        <f t="shared" si="231"/>
        <v>0</v>
      </c>
      <c r="N350" s="587">
        <f t="shared" si="231"/>
        <v>0</v>
      </c>
      <c r="O350" s="587">
        <f t="shared" si="231"/>
        <v>0</v>
      </c>
      <c r="P350" s="587">
        <f t="shared" si="231"/>
        <v>0</v>
      </c>
      <c r="Q350" s="587">
        <f t="shared" si="231"/>
        <v>0</v>
      </c>
      <c r="R350" s="587">
        <f t="shared" si="231"/>
        <v>0</v>
      </c>
      <c r="S350" s="587">
        <f t="shared" si="231"/>
        <v>0</v>
      </c>
      <c r="T350" s="587">
        <f t="shared" si="231"/>
        <v>0</v>
      </c>
      <c r="U350" s="587">
        <f t="shared" si="231"/>
        <v>0</v>
      </c>
      <c r="V350" s="587">
        <f t="shared" si="231"/>
        <v>0</v>
      </c>
      <c r="W350" s="587">
        <f t="shared" si="231"/>
        <v>0</v>
      </c>
      <c r="X350" s="587">
        <f t="shared" si="231"/>
        <v>0</v>
      </c>
      <c r="Y350" s="587">
        <f t="shared" si="231"/>
        <v>0</v>
      </c>
      <c r="Z350" s="587"/>
      <c r="AA350" s="587"/>
      <c r="AB350" s="587">
        <f t="shared" ref="AB350:BB350" si="232">AB347+AB348+AB349</f>
        <v>0</v>
      </c>
      <c r="AC350" s="587">
        <f t="shared" si="232"/>
        <v>0</v>
      </c>
      <c r="AD350" s="587">
        <f t="shared" si="232"/>
        <v>0</v>
      </c>
      <c r="AE350" s="588">
        <f t="shared" si="232"/>
        <v>0</v>
      </c>
      <c r="AF350" s="587">
        <f t="shared" si="232"/>
        <v>0</v>
      </c>
      <c r="AG350" s="587">
        <f t="shared" si="232"/>
        <v>0</v>
      </c>
      <c r="AH350" s="587">
        <f t="shared" si="232"/>
        <v>0</v>
      </c>
      <c r="AI350" s="587">
        <f t="shared" si="232"/>
        <v>0</v>
      </c>
      <c r="AJ350" s="587">
        <f t="shared" si="232"/>
        <v>0</v>
      </c>
      <c r="AK350" s="587">
        <f t="shared" si="232"/>
        <v>0</v>
      </c>
      <c r="AL350" s="587">
        <f t="shared" si="232"/>
        <v>0</v>
      </c>
      <c r="AM350" s="587">
        <f t="shared" si="232"/>
        <v>0</v>
      </c>
      <c r="AN350" s="587">
        <f t="shared" si="232"/>
        <v>0</v>
      </c>
      <c r="AO350" s="587">
        <f t="shared" si="232"/>
        <v>0</v>
      </c>
      <c r="AP350" s="587">
        <f t="shared" si="232"/>
        <v>0</v>
      </c>
      <c r="AQ350" s="587">
        <f t="shared" ref="AQ350:AZ350" si="233">AQ347+AQ348+AQ349</f>
        <v>0</v>
      </c>
      <c r="AR350" s="587">
        <f t="shared" si="233"/>
        <v>0</v>
      </c>
      <c r="AS350" s="587">
        <f t="shared" si="233"/>
        <v>0</v>
      </c>
      <c r="AT350" s="587">
        <f t="shared" si="233"/>
        <v>0</v>
      </c>
      <c r="AU350" s="587">
        <f t="shared" si="233"/>
        <v>0</v>
      </c>
      <c r="AV350" s="587">
        <f t="shared" si="233"/>
        <v>0</v>
      </c>
      <c r="AW350" s="587">
        <f t="shared" si="233"/>
        <v>0</v>
      </c>
      <c r="AX350" s="587">
        <f t="shared" si="233"/>
        <v>0</v>
      </c>
      <c r="AY350" s="587">
        <f t="shared" si="233"/>
        <v>0</v>
      </c>
      <c r="AZ350" s="587">
        <f t="shared" si="233"/>
        <v>0</v>
      </c>
      <c r="BA350" s="587">
        <f t="shared" si="232"/>
        <v>0</v>
      </c>
      <c r="BB350" s="587">
        <f t="shared" si="232"/>
        <v>0</v>
      </c>
      <c r="BC350" s="506"/>
      <c r="BD350" s="420"/>
    </row>
    <row r="351" spans="2:57" ht="15" customHeight="1" outlineLevel="3">
      <c r="B351" s="579"/>
      <c r="C351" s="590" t="s">
        <v>1918</v>
      </c>
      <c r="D351" s="581" t="s">
        <v>1919</v>
      </c>
      <c r="E351" s="582">
        <v>0</v>
      </c>
      <c r="F351" s="582">
        <v>0</v>
      </c>
      <c r="G351" s="582">
        <v>0</v>
      </c>
      <c r="H351" s="582">
        <v>0</v>
      </c>
      <c r="I351" s="582">
        <v>0</v>
      </c>
      <c r="J351" s="582">
        <v>0</v>
      </c>
      <c r="K351" s="582">
        <v>0</v>
      </c>
      <c r="L351" s="582">
        <v>0</v>
      </c>
      <c r="M351" s="582">
        <v>0</v>
      </c>
      <c r="N351" s="582">
        <v>0</v>
      </c>
      <c r="O351" s="582">
        <v>0</v>
      </c>
      <c r="P351" s="582">
        <v>0</v>
      </c>
      <c r="Q351" s="582">
        <v>0</v>
      </c>
      <c r="R351" s="582">
        <v>0</v>
      </c>
      <c r="S351" s="582">
        <v>0</v>
      </c>
      <c r="T351" s="582">
        <v>0</v>
      </c>
      <c r="U351" s="582">
        <v>0</v>
      </c>
      <c r="V351" s="582">
        <v>0</v>
      </c>
      <c r="W351" s="582">
        <v>0</v>
      </c>
      <c r="X351" s="582">
        <v>0</v>
      </c>
      <c r="Y351" s="582">
        <v>0</v>
      </c>
      <c r="Z351" s="582">
        <v>0</v>
      </c>
      <c r="AA351" s="582">
        <v>0</v>
      </c>
      <c r="AB351" s="582">
        <v>0</v>
      </c>
      <c r="AC351" s="582">
        <v>0</v>
      </c>
      <c r="AD351" s="582">
        <v>0</v>
      </c>
      <c r="AE351" s="583">
        <v>0</v>
      </c>
      <c r="AF351" s="582">
        <v>0</v>
      </c>
      <c r="AG351" s="582">
        <v>0</v>
      </c>
      <c r="AH351" s="582">
        <v>0</v>
      </c>
      <c r="AI351" s="582">
        <v>0</v>
      </c>
      <c r="AJ351" s="582">
        <v>0</v>
      </c>
      <c r="AK351" s="582">
        <v>0</v>
      </c>
      <c r="AL351" s="582">
        <v>0</v>
      </c>
      <c r="AM351" s="582">
        <v>0</v>
      </c>
      <c r="AN351" s="582">
        <v>0</v>
      </c>
      <c r="AO351" s="582">
        <v>0</v>
      </c>
      <c r="AP351" s="582">
        <v>0</v>
      </c>
      <c r="AQ351" s="582">
        <v>0</v>
      </c>
      <c r="AR351" s="582">
        <v>0</v>
      </c>
      <c r="AS351" s="582">
        <v>0</v>
      </c>
      <c r="AT351" s="582">
        <v>0</v>
      </c>
      <c r="AU351" s="582">
        <v>0</v>
      </c>
      <c r="AV351" s="582">
        <v>0</v>
      </c>
      <c r="AW351" s="582">
        <v>0</v>
      </c>
      <c r="AX351" s="582">
        <v>0</v>
      </c>
      <c r="AY351" s="582">
        <v>0</v>
      </c>
      <c r="AZ351" s="582">
        <v>0</v>
      </c>
      <c r="BA351" s="582">
        <v>0</v>
      </c>
      <c r="BB351" s="582">
        <v>0</v>
      </c>
      <c r="BC351" s="500"/>
      <c r="BD351" s="450"/>
    </row>
    <row r="352" spans="2:57" ht="15" customHeight="1" outlineLevel="3">
      <c r="B352" s="579"/>
      <c r="C352" s="590" t="s">
        <v>1920</v>
      </c>
      <c r="D352" s="591" t="s">
        <v>1921</v>
      </c>
      <c r="E352" s="582">
        <v>0</v>
      </c>
      <c r="F352" s="582">
        <v>0</v>
      </c>
      <c r="G352" s="582">
        <v>0</v>
      </c>
      <c r="H352" s="582">
        <v>0</v>
      </c>
      <c r="I352" s="582">
        <v>0</v>
      </c>
      <c r="J352" s="582">
        <v>0</v>
      </c>
      <c r="K352" s="582">
        <v>0</v>
      </c>
      <c r="L352" s="582">
        <v>0</v>
      </c>
      <c r="M352" s="582">
        <v>0</v>
      </c>
      <c r="N352" s="582">
        <v>0</v>
      </c>
      <c r="O352" s="582">
        <v>0</v>
      </c>
      <c r="P352" s="582">
        <v>0</v>
      </c>
      <c r="Q352" s="582">
        <v>0</v>
      </c>
      <c r="R352" s="582">
        <v>0</v>
      </c>
      <c r="S352" s="582">
        <v>0</v>
      </c>
      <c r="T352" s="582">
        <v>0</v>
      </c>
      <c r="U352" s="582">
        <v>0</v>
      </c>
      <c r="V352" s="582">
        <v>0</v>
      </c>
      <c r="W352" s="582">
        <v>0</v>
      </c>
      <c r="X352" s="582">
        <v>0</v>
      </c>
      <c r="Y352" s="582">
        <v>0</v>
      </c>
      <c r="Z352" s="582">
        <v>0</v>
      </c>
      <c r="AA352" s="582">
        <v>0</v>
      </c>
      <c r="AB352" s="582">
        <v>0</v>
      </c>
      <c r="AC352" s="582">
        <v>0</v>
      </c>
      <c r="AD352" s="582">
        <v>0</v>
      </c>
      <c r="AE352" s="583">
        <v>0</v>
      </c>
      <c r="AF352" s="582">
        <v>0</v>
      </c>
      <c r="AG352" s="582">
        <v>0</v>
      </c>
      <c r="AH352" s="582">
        <v>0</v>
      </c>
      <c r="AI352" s="582">
        <v>0</v>
      </c>
      <c r="AJ352" s="582">
        <v>0</v>
      </c>
      <c r="AK352" s="582">
        <v>0</v>
      </c>
      <c r="AL352" s="582">
        <v>0</v>
      </c>
      <c r="AM352" s="582">
        <v>0</v>
      </c>
      <c r="AN352" s="582">
        <v>0</v>
      </c>
      <c r="AO352" s="582">
        <v>0</v>
      </c>
      <c r="AP352" s="582">
        <v>0</v>
      </c>
      <c r="AQ352" s="582">
        <v>0</v>
      </c>
      <c r="AR352" s="582">
        <v>0</v>
      </c>
      <c r="AS352" s="582">
        <v>0</v>
      </c>
      <c r="AT352" s="582">
        <v>0</v>
      </c>
      <c r="AU352" s="582">
        <v>0</v>
      </c>
      <c r="AV352" s="582">
        <v>0</v>
      </c>
      <c r="AW352" s="582">
        <v>0</v>
      </c>
      <c r="AX352" s="582">
        <v>0</v>
      </c>
      <c r="AY352" s="582">
        <v>0</v>
      </c>
      <c r="AZ352" s="582">
        <v>0</v>
      </c>
      <c r="BA352" s="582">
        <v>0</v>
      </c>
      <c r="BB352" s="582">
        <v>0</v>
      </c>
      <c r="BC352" s="500"/>
      <c r="BD352" s="450"/>
    </row>
    <row r="353" spans="1:57" ht="15" customHeight="1" outlineLevel="3">
      <c r="B353" s="579"/>
      <c r="C353" s="2793" t="s">
        <v>1922</v>
      </c>
      <c r="D353" s="591" t="s">
        <v>1923</v>
      </c>
      <c r="E353" s="582">
        <v>0</v>
      </c>
      <c r="F353" s="582">
        <v>0</v>
      </c>
      <c r="G353" s="582">
        <v>0</v>
      </c>
      <c r="H353" s="582">
        <v>0</v>
      </c>
      <c r="I353" s="582">
        <v>0</v>
      </c>
      <c r="J353" s="582">
        <v>0</v>
      </c>
      <c r="K353" s="582">
        <v>0</v>
      </c>
      <c r="L353" s="582">
        <v>0</v>
      </c>
      <c r="M353" s="582">
        <v>0</v>
      </c>
      <c r="N353" s="582">
        <v>0</v>
      </c>
      <c r="O353" s="582">
        <v>0</v>
      </c>
      <c r="P353" s="582">
        <v>0</v>
      </c>
      <c r="Q353" s="582">
        <v>0</v>
      </c>
      <c r="R353" s="582">
        <v>0</v>
      </c>
      <c r="S353" s="582">
        <v>0</v>
      </c>
      <c r="T353" s="582">
        <v>0</v>
      </c>
      <c r="U353" s="582">
        <v>0</v>
      </c>
      <c r="V353" s="582">
        <v>0</v>
      </c>
      <c r="W353" s="582">
        <v>0</v>
      </c>
      <c r="X353" s="582">
        <v>0</v>
      </c>
      <c r="Y353" s="582">
        <v>0</v>
      </c>
      <c r="Z353" s="582">
        <v>0</v>
      </c>
      <c r="AA353" s="582">
        <v>0</v>
      </c>
      <c r="AB353" s="582">
        <v>0</v>
      </c>
      <c r="AC353" s="582">
        <v>0</v>
      </c>
      <c r="AD353" s="582">
        <v>0</v>
      </c>
      <c r="AE353" s="583">
        <v>0</v>
      </c>
      <c r="AF353" s="582">
        <v>0</v>
      </c>
      <c r="AG353" s="582">
        <v>0</v>
      </c>
      <c r="AH353" s="582">
        <v>0</v>
      </c>
      <c r="AI353" s="582">
        <v>0</v>
      </c>
      <c r="AJ353" s="582">
        <v>0</v>
      </c>
      <c r="AK353" s="582">
        <v>0</v>
      </c>
      <c r="AL353" s="582">
        <v>0</v>
      </c>
      <c r="AM353" s="582">
        <v>0</v>
      </c>
      <c r="AN353" s="582">
        <v>0</v>
      </c>
      <c r="AO353" s="582">
        <v>0</v>
      </c>
      <c r="AP353" s="582">
        <v>0</v>
      </c>
      <c r="AQ353" s="582">
        <v>0</v>
      </c>
      <c r="AR353" s="582">
        <v>0</v>
      </c>
      <c r="AS353" s="582">
        <v>0</v>
      </c>
      <c r="AT353" s="582">
        <v>0</v>
      </c>
      <c r="AU353" s="582">
        <v>0</v>
      </c>
      <c r="AV353" s="582">
        <v>0</v>
      </c>
      <c r="AW353" s="582">
        <v>0</v>
      </c>
      <c r="AX353" s="582">
        <v>0</v>
      </c>
      <c r="AY353" s="582">
        <v>0</v>
      </c>
      <c r="AZ353" s="582">
        <v>0</v>
      </c>
      <c r="BA353" s="582">
        <v>0</v>
      </c>
      <c r="BB353" s="582">
        <v>0</v>
      </c>
      <c r="BC353" s="508"/>
      <c r="BD353" s="450"/>
    </row>
    <row r="354" spans="1:57" s="415" customFormat="1" ht="15" customHeight="1" outlineLevel="2">
      <c r="B354" s="584"/>
      <c r="C354" s="589" t="s">
        <v>1924</v>
      </c>
      <c r="D354" s="592" t="s">
        <v>1925</v>
      </c>
      <c r="E354" s="587">
        <f t="shared" ref="E354:AA354" si="234">E350+E351+E353</f>
        <v>0</v>
      </c>
      <c r="F354" s="587">
        <f t="shared" si="234"/>
        <v>0</v>
      </c>
      <c r="G354" s="587">
        <f t="shared" si="234"/>
        <v>0</v>
      </c>
      <c r="H354" s="587">
        <f t="shared" si="234"/>
        <v>0</v>
      </c>
      <c r="I354" s="587">
        <f t="shared" si="234"/>
        <v>0</v>
      </c>
      <c r="J354" s="587">
        <f t="shared" si="234"/>
        <v>0</v>
      </c>
      <c r="K354" s="587">
        <f t="shared" si="234"/>
        <v>0</v>
      </c>
      <c r="L354" s="587">
        <f t="shared" si="234"/>
        <v>0</v>
      </c>
      <c r="M354" s="587">
        <f t="shared" si="234"/>
        <v>0</v>
      </c>
      <c r="N354" s="587">
        <f t="shared" si="234"/>
        <v>0</v>
      </c>
      <c r="O354" s="587">
        <f t="shared" si="234"/>
        <v>0</v>
      </c>
      <c r="P354" s="587">
        <f t="shared" si="234"/>
        <v>0</v>
      </c>
      <c r="Q354" s="587">
        <f t="shared" si="234"/>
        <v>0</v>
      </c>
      <c r="R354" s="587">
        <f t="shared" si="234"/>
        <v>0</v>
      </c>
      <c r="S354" s="587">
        <f t="shared" si="234"/>
        <v>0</v>
      </c>
      <c r="T354" s="587">
        <f t="shared" si="234"/>
        <v>0</v>
      </c>
      <c r="U354" s="587">
        <f t="shared" si="234"/>
        <v>0</v>
      </c>
      <c r="V354" s="587">
        <f t="shared" si="234"/>
        <v>0</v>
      </c>
      <c r="W354" s="587">
        <f t="shared" si="234"/>
        <v>0</v>
      </c>
      <c r="X354" s="587">
        <f t="shared" si="234"/>
        <v>0</v>
      </c>
      <c r="Y354" s="587">
        <f t="shared" si="234"/>
        <v>0</v>
      </c>
      <c r="Z354" s="587">
        <f t="shared" si="234"/>
        <v>0</v>
      </c>
      <c r="AA354" s="587">
        <f t="shared" si="234"/>
        <v>0</v>
      </c>
      <c r="AB354" s="587">
        <f t="shared" ref="AB354:BB354" si="235">AB350+AB351+AB352+AB353</f>
        <v>0</v>
      </c>
      <c r="AC354" s="587">
        <f t="shared" si="235"/>
        <v>0</v>
      </c>
      <c r="AD354" s="587">
        <f t="shared" si="235"/>
        <v>0</v>
      </c>
      <c r="AE354" s="588">
        <f t="shared" si="235"/>
        <v>0</v>
      </c>
      <c r="AF354" s="587">
        <f t="shared" si="235"/>
        <v>0</v>
      </c>
      <c r="AG354" s="587">
        <f t="shared" si="235"/>
        <v>0</v>
      </c>
      <c r="AH354" s="587">
        <f t="shared" si="235"/>
        <v>0</v>
      </c>
      <c r="AI354" s="587">
        <f t="shared" si="235"/>
        <v>0</v>
      </c>
      <c r="AJ354" s="587">
        <f t="shared" si="235"/>
        <v>0</v>
      </c>
      <c r="AK354" s="587">
        <f t="shared" si="235"/>
        <v>0</v>
      </c>
      <c r="AL354" s="587">
        <f t="shared" si="235"/>
        <v>0</v>
      </c>
      <c r="AM354" s="587">
        <f t="shared" si="235"/>
        <v>0</v>
      </c>
      <c r="AN354" s="587">
        <f t="shared" si="235"/>
        <v>0</v>
      </c>
      <c r="AO354" s="587">
        <f t="shared" si="235"/>
        <v>0</v>
      </c>
      <c r="AP354" s="587">
        <f t="shared" si="235"/>
        <v>0</v>
      </c>
      <c r="AQ354" s="587">
        <f t="shared" ref="AQ354:AZ354" si="236">AQ350+AQ351+AQ352+AQ353</f>
        <v>0</v>
      </c>
      <c r="AR354" s="587">
        <f t="shared" si="236"/>
        <v>0</v>
      </c>
      <c r="AS354" s="587">
        <f t="shared" si="236"/>
        <v>0</v>
      </c>
      <c r="AT354" s="587">
        <f t="shared" si="236"/>
        <v>0</v>
      </c>
      <c r="AU354" s="587">
        <f t="shared" si="236"/>
        <v>0</v>
      </c>
      <c r="AV354" s="587">
        <f t="shared" si="236"/>
        <v>0</v>
      </c>
      <c r="AW354" s="587">
        <f t="shared" si="236"/>
        <v>0</v>
      </c>
      <c r="AX354" s="587">
        <f t="shared" si="236"/>
        <v>0</v>
      </c>
      <c r="AY354" s="587">
        <f t="shared" si="236"/>
        <v>0</v>
      </c>
      <c r="AZ354" s="587">
        <f t="shared" si="236"/>
        <v>0</v>
      </c>
      <c r="BA354" s="587">
        <f t="shared" si="235"/>
        <v>0</v>
      </c>
      <c r="BB354" s="587">
        <f t="shared" si="235"/>
        <v>0</v>
      </c>
      <c r="BC354" s="506"/>
      <c r="BD354" s="420"/>
    </row>
    <row r="355" spans="1:57" s="415" customFormat="1" ht="15" customHeight="1" outlineLevel="2">
      <c r="B355" s="584"/>
      <c r="C355" s="589" t="s">
        <v>1926</v>
      </c>
      <c r="D355" s="586" t="s">
        <v>1927</v>
      </c>
      <c r="E355" s="587">
        <f>E354</f>
        <v>0</v>
      </c>
      <c r="F355" s="587">
        <f t="shared" ref="F355:AZ355" si="237">F354-E354</f>
        <v>0</v>
      </c>
      <c r="G355" s="587">
        <f t="shared" si="237"/>
        <v>0</v>
      </c>
      <c r="H355" s="587">
        <f t="shared" si="237"/>
        <v>0</v>
      </c>
      <c r="I355" s="587">
        <f t="shared" si="237"/>
        <v>0</v>
      </c>
      <c r="J355" s="587">
        <f t="shared" si="237"/>
        <v>0</v>
      </c>
      <c r="K355" s="587">
        <f t="shared" si="237"/>
        <v>0</v>
      </c>
      <c r="L355" s="587">
        <f t="shared" si="237"/>
        <v>0</v>
      </c>
      <c r="M355" s="587">
        <f t="shared" si="237"/>
        <v>0</v>
      </c>
      <c r="N355" s="587">
        <f t="shared" si="237"/>
        <v>0</v>
      </c>
      <c r="O355" s="587">
        <f t="shared" si="237"/>
        <v>0</v>
      </c>
      <c r="P355" s="587">
        <f t="shared" si="237"/>
        <v>0</v>
      </c>
      <c r="Q355" s="587">
        <f t="shared" si="237"/>
        <v>0</v>
      </c>
      <c r="R355" s="587">
        <f t="shared" si="237"/>
        <v>0</v>
      </c>
      <c r="S355" s="587">
        <f t="shared" si="237"/>
        <v>0</v>
      </c>
      <c r="T355" s="587">
        <f t="shared" si="237"/>
        <v>0</v>
      </c>
      <c r="U355" s="587">
        <f t="shared" si="237"/>
        <v>0</v>
      </c>
      <c r="V355" s="587">
        <f t="shared" si="237"/>
        <v>0</v>
      </c>
      <c r="W355" s="587">
        <f t="shared" si="237"/>
        <v>0</v>
      </c>
      <c r="X355" s="587">
        <f t="shared" si="237"/>
        <v>0</v>
      </c>
      <c r="Y355" s="587">
        <f t="shared" si="237"/>
        <v>0</v>
      </c>
      <c r="Z355" s="587">
        <f t="shared" si="237"/>
        <v>0</v>
      </c>
      <c r="AA355" s="587">
        <f t="shared" si="237"/>
        <v>0</v>
      </c>
      <c r="AB355" s="587">
        <f t="shared" si="237"/>
        <v>0</v>
      </c>
      <c r="AC355" s="587">
        <f t="shared" si="237"/>
        <v>0</v>
      </c>
      <c r="AD355" s="587">
        <f t="shared" si="237"/>
        <v>0</v>
      </c>
      <c r="AE355" s="588">
        <f t="shared" si="237"/>
        <v>0</v>
      </c>
      <c r="AF355" s="587">
        <f t="shared" si="237"/>
        <v>0</v>
      </c>
      <c r="AG355" s="587">
        <f t="shared" si="237"/>
        <v>0</v>
      </c>
      <c r="AH355" s="587">
        <f t="shared" si="237"/>
        <v>0</v>
      </c>
      <c r="AI355" s="587">
        <f t="shared" si="237"/>
        <v>0</v>
      </c>
      <c r="AJ355" s="587">
        <f t="shared" si="237"/>
        <v>0</v>
      </c>
      <c r="AK355" s="587">
        <f t="shared" si="237"/>
        <v>0</v>
      </c>
      <c r="AL355" s="587">
        <f t="shared" si="237"/>
        <v>0</v>
      </c>
      <c r="AM355" s="587">
        <f t="shared" si="237"/>
        <v>0</v>
      </c>
      <c r="AN355" s="587">
        <f t="shared" si="237"/>
        <v>0</v>
      </c>
      <c r="AO355" s="587">
        <f t="shared" si="237"/>
        <v>0</v>
      </c>
      <c r="AP355" s="587">
        <f t="shared" si="237"/>
        <v>0</v>
      </c>
      <c r="AQ355" s="587">
        <f t="shared" si="237"/>
        <v>0</v>
      </c>
      <c r="AR355" s="587">
        <f t="shared" si="237"/>
        <v>0</v>
      </c>
      <c r="AS355" s="587">
        <f t="shared" si="237"/>
        <v>0</v>
      </c>
      <c r="AT355" s="587">
        <f t="shared" si="237"/>
        <v>0</v>
      </c>
      <c r="AU355" s="587">
        <f t="shared" si="237"/>
        <v>0</v>
      </c>
      <c r="AV355" s="587">
        <f t="shared" si="237"/>
        <v>0</v>
      </c>
      <c r="AW355" s="587">
        <f t="shared" si="237"/>
        <v>0</v>
      </c>
      <c r="AX355" s="587">
        <f t="shared" si="237"/>
        <v>0</v>
      </c>
      <c r="AY355" s="587">
        <f t="shared" si="237"/>
        <v>0</v>
      </c>
      <c r="AZ355" s="587">
        <f t="shared" si="237"/>
        <v>0</v>
      </c>
      <c r="BA355" s="587">
        <f>BA354-AP354</f>
        <v>0</v>
      </c>
      <c r="BB355" s="587">
        <f>BB354-BA354</f>
        <v>0</v>
      </c>
      <c r="BC355" s="506"/>
      <c r="BD355" s="420"/>
    </row>
    <row r="356" spans="1:57" s="536" customFormat="1" ht="16.5" customHeight="1" outlineLevel="2">
      <c r="A356" s="431"/>
      <c r="B356" s="584"/>
      <c r="C356" s="593"/>
      <c r="D356" s="586"/>
      <c r="E356" s="587"/>
      <c r="F356" s="587"/>
      <c r="G356" s="587"/>
      <c r="H356" s="587"/>
      <c r="I356" s="587"/>
      <c r="J356" s="582"/>
      <c r="K356" s="582"/>
      <c r="L356" s="582"/>
      <c r="M356" s="582"/>
      <c r="N356" s="582"/>
      <c r="O356" s="582"/>
      <c r="P356" s="582"/>
      <c r="Q356" s="582"/>
      <c r="R356" s="582"/>
      <c r="S356" s="582"/>
      <c r="T356" s="582"/>
      <c r="U356" s="582"/>
      <c r="V356" s="582"/>
      <c r="W356" s="582"/>
      <c r="X356" s="582"/>
      <c r="Y356" s="582"/>
      <c r="Z356" s="582"/>
      <c r="AA356" s="582"/>
      <c r="AB356" s="582"/>
      <c r="AC356" s="582"/>
      <c r="AD356" s="582"/>
      <c r="AE356" s="583"/>
      <c r="AF356" s="582"/>
      <c r="AG356" s="582"/>
      <c r="AH356" s="582"/>
      <c r="AI356" s="582"/>
      <c r="AJ356" s="582"/>
      <c r="AK356" s="582"/>
      <c r="AL356" s="582"/>
      <c r="AM356" s="582"/>
      <c r="AN356" s="582"/>
      <c r="AO356" s="582"/>
      <c r="AP356" s="582"/>
      <c r="AQ356" s="582"/>
      <c r="AR356" s="582"/>
      <c r="AS356" s="582"/>
      <c r="AT356" s="582"/>
      <c r="AU356" s="582"/>
      <c r="AV356" s="582"/>
      <c r="AW356" s="582"/>
      <c r="AX356" s="582"/>
      <c r="AY356" s="582"/>
      <c r="AZ356" s="582"/>
      <c r="BA356" s="582"/>
      <c r="BB356" s="582"/>
      <c r="BC356" s="506"/>
      <c r="BD356" s="535"/>
    </row>
    <row r="357" spans="1:57" s="536" customFormat="1" ht="16.5" customHeight="1" outlineLevel="2">
      <c r="A357" s="431"/>
      <c r="B357" s="584"/>
      <c r="C357" s="593"/>
      <c r="D357" s="586"/>
      <c r="E357" s="587"/>
      <c r="F357" s="587"/>
      <c r="G357" s="587"/>
      <c r="H357" s="587"/>
      <c r="I357" s="587"/>
      <c r="J357" s="582"/>
      <c r="K357" s="582"/>
      <c r="L357" s="582"/>
      <c r="M357" s="582"/>
      <c r="N357" s="582"/>
      <c r="O357" s="582"/>
      <c r="P357" s="582"/>
      <c r="Q357" s="582"/>
      <c r="R357" s="582"/>
      <c r="S357" s="582"/>
      <c r="T357" s="582"/>
      <c r="U357" s="582"/>
      <c r="V357" s="582"/>
      <c r="W357" s="582"/>
      <c r="X357" s="582"/>
      <c r="Y357" s="582"/>
      <c r="Z357" s="582"/>
      <c r="AA357" s="582"/>
      <c r="AB357" s="582"/>
      <c r="AC357" s="582"/>
      <c r="AD357" s="582"/>
      <c r="AE357" s="583"/>
      <c r="AF357" s="582"/>
      <c r="AG357" s="582"/>
      <c r="AH357" s="582"/>
      <c r="AI357" s="582"/>
      <c r="AJ357" s="582"/>
      <c r="AK357" s="582"/>
      <c r="AL357" s="582"/>
      <c r="AM357" s="582"/>
      <c r="AN357" s="582"/>
      <c r="AO357" s="582"/>
      <c r="AP357" s="582"/>
      <c r="AQ357" s="582"/>
      <c r="AR357" s="582"/>
      <c r="AS357" s="582"/>
      <c r="AT357" s="582"/>
      <c r="AU357" s="582"/>
      <c r="AV357" s="582"/>
      <c r="AW357" s="582"/>
      <c r="AX357" s="582"/>
      <c r="AY357" s="582"/>
      <c r="AZ357" s="582"/>
      <c r="BA357" s="582"/>
      <c r="BB357" s="582"/>
      <c r="BC357" s="506"/>
      <c r="BD357" s="535"/>
    </row>
    <row r="358" spans="1:57" outlineLevel="1">
      <c r="B358" s="568">
        <v>400</v>
      </c>
      <c r="C358" s="569" t="s">
        <v>1932</v>
      </c>
      <c r="D358" s="570" t="s">
        <v>1896</v>
      </c>
      <c r="E358" s="574">
        <f>E375</f>
        <v>0</v>
      </c>
      <c r="F358" s="574">
        <f>F375</f>
        <v>0</v>
      </c>
      <c r="G358" s="574">
        <f t="shared" ref="G358:BB358" si="238">G375</f>
        <v>0</v>
      </c>
      <c r="H358" s="574">
        <f t="shared" si="238"/>
        <v>0</v>
      </c>
      <c r="I358" s="574">
        <f t="shared" si="238"/>
        <v>0</v>
      </c>
      <c r="J358" s="574">
        <f t="shared" si="238"/>
        <v>0</v>
      </c>
      <c r="K358" s="574">
        <f t="shared" si="238"/>
        <v>0</v>
      </c>
      <c r="L358" s="574">
        <f t="shared" si="238"/>
        <v>0</v>
      </c>
      <c r="M358" s="574">
        <f t="shared" si="238"/>
        <v>0</v>
      </c>
      <c r="N358" s="574">
        <f t="shared" si="238"/>
        <v>0</v>
      </c>
      <c r="O358" s="574">
        <f t="shared" si="238"/>
        <v>0</v>
      </c>
      <c r="P358" s="574">
        <f t="shared" si="238"/>
        <v>0</v>
      </c>
      <c r="Q358" s="574">
        <f t="shared" si="238"/>
        <v>0</v>
      </c>
      <c r="R358" s="574">
        <f t="shared" si="238"/>
        <v>0</v>
      </c>
      <c r="S358" s="574">
        <f t="shared" si="238"/>
        <v>0</v>
      </c>
      <c r="T358" s="574">
        <f t="shared" si="238"/>
        <v>0</v>
      </c>
      <c r="U358" s="574">
        <f t="shared" si="238"/>
        <v>0</v>
      </c>
      <c r="V358" s="574">
        <f t="shared" si="238"/>
        <v>0</v>
      </c>
      <c r="W358" s="574">
        <f t="shared" si="238"/>
        <v>0</v>
      </c>
      <c r="X358" s="574">
        <f t="shared" si="238"/>
        <v>0</v>
      </c>
      <c r="Y358" s="574">
        <f t="shared" si="238"/>
        <v>0</v>
      </c>
      <c r="Z358" s="574">
        <f t="shared" si="238"/>
        <v>0</v>
      </c>
      <c r="AA358" s="574">
        <f t="shared" si="238"/>
        <v>0</v>
      </c>
      <c r="AB358" s="574">
        <f t="shared" si="238"/>
        <v>0</v>
      </c>
      <c r="AC358" s="574">
        <f t="shared" si="238"/>
        <v>0</v>
      </c>
      <c r="AD358" s="574">
        <f t="shared" si="238"/>
        <v>0</v>
      </c>
      <c r="AE358" s="574">
        <f t="shared" si="238"/>
        <v>0</v>
      </c>
      <c r="AF358" s="574">
        <f t="shared" si="238"/>
        <v>0</v>
      </c>
      <c r="AG358" s="574">
        <f t="shared" si="238"/>
        <v>0</v>
      </c>
      <c r="AH358" s="574">
        <f t="shared" si="238"/>
        <v>0</v>
      </c>
      <c r="AI358" s="574">
        <f t="shared" si="238"/>
        <v>0</v>
      </c>
      <c r="AJ358" s="574">
        <f t="shared" si="238"/>
        <v>0</v>
      </c>
      <c r="AK358" s="574">
        <f t="shared" si="238"/>
        <v>0</v>
      </c>
      <c r="AL358" s="574">
        <f t="shared" si="238"/>
        <v>0</v>
      </c>
      <c r="AM358" s="574">
        <f t="shared" si="238"/>
        <v>0</v>
      </c>
      <c r="AN358" s="574">
        <f t="shared" si="238"/>
        <v>0</v>
      </c>
      <c r="AO358" s="574">
        <f t="shared" si="238"/>
        <v>0</v>
      </c>
      <c r="AP358" s="574">
        <f t="shared" si="238"/>
        <v>0</v>
      </c>
      <c r="AQ358" s="574">
        <f t="shared" ref="AQ358:AZ358" si="239">AQ375</f>
        <v>0</v>
      </c>
      <c r="AR358" s="574">
        <f t="shared" si="239"/>
        <v>0</v>
      </c>
      <c r="AS358" s="574">
        <f t="shared" si="239"/>
        <v>0</v>
      </c>
      <c r="AT358" s="574">
        <f t="shared" si="239"/>
        <v>0</v>
      </c>
      <c r="AU358" s="574">
        <f t="shared" si="239"/>
        <v>0</v>
      </c>
      <c r="AV358" s="574">
        <f t="shared" si="239"/>
        <v>0</v>
      </c>
      <c r="AW358" s="574">
        <f t="shared" si="239"/>
        <v>0</v>
      </c>
      <c r="AX358" s="574">
        <f t="shared" si="239"/>
        <v>0</v>
      </c>
      <c r="AY358" s="574">
        <f t="shared" si="239"/>
        <v>0</v>
      </c>
      <c r="AZ358" s="574">
        <f t="shared" si="239"/>
        <v>0</v>
      </c>
      <c r="BA358" s="574">
        <f t="shared" si="238"/>
        <v>0</v>
      </c>
      <c r="BB358" s="574">
        <f t="shared" si="238"/>
        <v>0</v>
      </c>
      <c r="BC358" s="505"/>
      <c r="BD358" s="420"/>
      <c r="BE358" s="527"/>
    </row>
    <row r="359" spans="1:57" ht="15.75" customHeight="1" outlineLevel="1">
      <c r="B359" s="568"/>
      <c r="C359" s="569"/>
      <c r="D359" s="570" t="s">
        <v>1897</v>
      </c>
      <c r="E359" s="574">
        <f>E376</f>
        <v>0</v>
      </c>
      <c r="F359" s="574">
        <f t="shared" ref="F359:BB359" si="240">F376</f>
        <v>0</v>
      </c>
      <c r="G359" s="574">
        <f t="shared" si="240"/>
        <v>0</v>
      </c>
      <c r="H359" s="574">
        <f t="shared" si="240"/>
        <v>0</v>
      </c>
      <c r="I359" s="574">
        <f t="shared" si="240"/>
        <v>0</v>
      </c>
      <c r="J359" s="574">
        <f t="shared" si="240"/>
        <v>0</v>
      </c>
      <c r="K359" s="574">
        <f t="shared" si="240"/>
        <v>0</v>
      </c>
      <c r="L359" s="574">
        <f t="shared" si="240"/>
        <v>0</v>
      </c>
      <c r="M359" s="574">
        <f t="shared" si="240"/>
        <v>0</v>
      </c>
      <c r="N359" s="574">
        <f t="shared" si="240"/>
        <v>0</v>
      </c>
      <c r="O359" s="574">
        <f t="shared" si="240"/>
        <v>0</v>
      </c>
      <c r="P359" s="574">
        <f t="shared" si="240"/>
        <v>0</v>
      </c>
      <c r="Q359" s="574">
        <f t="shared" si="240"/>
        <v>0</v>
      </c>
      <c r="R359" s="574">
        <f t="shared" si="240"/>
        <v>0</v>
      </c>
      <c r="S359" s="574">
        <f t="shared" si="240"/>
        <v>0</v>
      </c>
      <c r="T359" s="574">
        <f t="shared" si="240"/>
        <v>0</v>
      </c>
      <c r="U359" s="574">
        <f t="shared" si="240"/>
        <v>0</v>
      </c>
      <c r="V359" s="574">
        <f t="shared" si="240"/>
        <v>0</v>
      </c>
      <c r="W359" s="574">
        <f t="shared" si="240"/>
        <v>0</v>
      </c>
      <c r="X359" s="574">
        <f t="shared" si="240"/>
        <v>0</v>
      </c>
      <c r="Y359" s="574">
        <f t="shared" si="240"/>
        <v>0</v>
      </c>
      <c r="Z359" s="574">
        <f t="shared" si="240"/>
        <v>0</v>
      </c>
      <c r="AA359" s="574">
        <f t="shared" si="240"/>
        <v>0</v>
      </c>
      <c r="AB359" s="574">
        <f t="shared" si="240"/>
        <v>0</v>
      </c>
      <c r="AC359" s="574">
        <f t="shared" si="240"/>
        <v>0</v>
      </c>
      <c r="AD359" s="574">
        <f t="shared" si="240"/>
        <v>0</v>
      </c>
      <c r="AE359" s="574">
        <f t="shared" si="240"/>
        <v>0</v>
      </c>
      <c r="AF359" s="574">
        <f t="shared" si="240"/>
        <v>0</v>
      </c>
      <c r="AG359" s="574">
        <f t="shared" si="240"/>
        <v>0</v>
      </c>
      <c r="AH359" s="574">
        <f t="shared" si="240"/>
        <v>0</v>
      </c>
      <c r="AI359" s="574">
        <f t="shared" si="240"/>
        <v>0</v>
      </c>
      <c r="AJ359" s="574">
        <f t="shared" si="240"/>
        <v>0</v>
      </c>
      <c r="AK359" s="574">
        <f t="shared" si="240"/>
        <v>0</v>
      </c>
      <c r="AL359" s="574">
        <f t="shared" si="240"/>
        <v>0</v>
      </c>
      <c r="AM359" s="574">
        <f t="shared" si="240"/>
        <v>0</v>
      </c>
      <c r="AN359" s="574">
        <f t="shared" si="240"/>
        <v>0</v>
      </c>
      <c r="AO359" s="574">
        <f t="shared" si="240"/>
        <v>0</v>
      </c>
      <c r="AP359" s="574">
        <f t="shared" si="240"/>
        <v>0</v>
      </c>
      <c r="AQ359" s="574">
        <f t="shared" ref="AQ359:AZ359" si="241">AQ376</f>
        <v>0</v>
      </c>
      <c r="AR359" s="574">
        <f t="shared" si="241"/>
        <v>0</v>
      </c>
      <c r="AS359" s="574">
        <f t="shared" si="241"/>
        <v>0</v>
      </c>
      <c r="AT359" s="574">
        <f t="shared" si="241"/>
        <v>0</v>
      </c>
      <c r="AU359" s="574">
        <f t="shared" si="241"/>
        <v>0</v>
      </c>
      <c r="AV359" s="574">
        <f t="shared" si="241"/>
        <v>0</v>
      </c>
      <c r="AW359" s="574">
        <f t="shared" si="241"/>
        <v>0</v>
      </c>
      <c r="AX359" s="574">
        <f t="shared" si="241"/>
        <v>0</v>
      </c>
      <c r="AY359" s="574">
        <f t="shared" si="241"/>
        <v>0</v>
      </c>
      <c r="AZ359" s="574">
        <f t="shared" si="241"/>
        <v>0</v>
      </c>
      <c r="BA359" s="574">
        <f t="shared" si="240"/>
        <v>0</v>
      </c>
      <c r="BB359" s="574">
        <f t="shared" si="240"/>
        <v>0</v>
      </c>
      <c r="BC359" s="500"/>
      <c r="BD359" s="420"/>
    </row>
    <row r="360" spans="1:57" ht="11.25" customHeight="1" outlineLevel="2">
      <c r="B360" s="528"/>
      <c r="C360" s="526"/>
      <c r="D360" s="496"/>
      <c r="E360" s="497"/>
      <c r="F360" s="497"/>
      <c r="G360" s="497"/>
      <c r="H360" s="497"/>
      <c r="I360" s="497"/>
      <c r="J360" s="497"/>
      <c r="K360" s="497"/>
      <c r="L360" s="497"/>
      <c r="M360" s="497"/>
      <c r="N360" s="497"/>
      <c r="O360" s="497"/>
      <c r="P360" s="497"/>
      <c r="Q360" s="497"/>
      <c r="R360" s="497"/>
      <c r="S360" s="497"/>
      <c r="T360" s="497"/>
      <c r="U360" s="497"/>
      <c r="V360" s="497"/>
      <c r="W360" s="497"/>
      <c r="X360" s="497"/>
      <c r="Y360" s="497"/>
      <c r="Z360" s="497"/>
      <c r="AA360" s="497"/>
      <c r="AB360" s="497"/>
      <c r="AC360" s="497"/>
      <c r="AD360" s="497"/>
      <c r="AE360" s="498"/>
      <c r="AF360" s="499"/>
      <c r="AG360" s="499"/>
      <c r="AH360" s="499"/>
      <c r="AI360" s="499"/>
      <c r="AJ360" s="499"/>
      <c r="AK360" s="499"/>
      <c r="AL360" s="499"/>
      <c r="AM360" s="499"/>
      <c r="AN360" s="499"/>
      <c r="AO360" s="499"/>
      <c r="AP360" s="499"/>
      <c r="AQ360" s="499"/>
      <c r="AR360" s="499"/>
      <c r="AS360" s="499"/>
      <c r="AT360" s="499"/>
      <c r="AU360" s="499"/>
      <c r="AV360" s="499"/>
      <c r="AW360" s="499"/>
      <c r="AX360" s="499"/>
      <c r="AY360" s="499"/>
      <c r="AZ360" s="499"/>
      <c r="BA360" s="499"/>
      <c r="BB360" s="499"/>
      <c r="BC360" s="508"/>
      <c r="BD360" s="450"/>
    </row>
    <row r="361" spans="1:57" ht="16.5" customHeight="1" outlineLevel="2">
      <c r="B361" s="568">
        <v>400.1</v>
      </c>
      <c r="C361" s="569">
        <v>0</v>
      </c>
      <c r="D361" s="578">
        <v>0</v>
      </c>
      <c r="E361" s="574"/>
      <c r="F361" s="574"/>
      <c r="G361" s="574"/>
      <c r="H361" s="574"/>
      <c r="I361" s="574"/>
      <c r="J361" s="574"/>
      <c r="K361" s="574"/>
      <c r="L361" s="574"/>
      <c r="M361" s="574"/>
      <c r="N361" s="574"/>
      <c r="O361" s="574"/>
      <c r="P361" s="574"/>
      <c r="Q361" s="574"/>
      <c r="R361" s="574"/>
      <c r="S361" s="574"/>
      <c r="T361" s="574"/>
      <c r="U361" s="574"/>
      <c r="V361" s="574"/>
      <c r="W361" s="574"/>
      <c r="X361" s="574"/>
      <c r="Y361" s="574"/>
      <c r="Z361" s="574"/>
      <c r="AA361" s="574"/>
      <c r="AB361" s="574"/>
      <c r="AC361" s="574"/>
      <c r="AD361" s="574"/>
      <c r="AE361" s="575"/>
      <c r="AF361" s="574"/>
      <c r="AG361" s="574"/>
      <c r="AH361" s="574"/>
      <c r="AI361" s="574"/>
      <c r="AJ361" s="574"/>
      <c r="AK361" s="574"/>
      <c r="AL361" s="574"/>
      <c r="AM361" s="574"/>
      <c r="AN361" s="574"/>
      <c r="AO361" s="574"/>
      <c r="AP361" s="574"/>
      <c r="AQ361" s="574"/>
      <c r="AR361" s="574"/>
      <c r="AS361" s="574"/>
      <c r="AT361" s="574"/>
      <c r="AU361" s="574"/>
      <c r="AV361" s="574"/>
      <c r="AW361" s="574"/>
      <c r="AX361" s="574"/>
      <c r="AY361" s="574"/>
      <c r="AZ361" s="574"/>
      <c r="BA361" s="574"/>
      <c r="BB361" s="574"/>
      <c r="BC361" s="508"/>
      <c r="BD361" s="450"/>
    </row>
    <row r="362" spans="1:57" ht="15" customHeight="1" outlineLevel="3">
      <c r="B362" s="579"/>
      <c r="C362" s="580" t="s">
        <v>1898</v>
      </c>
      <c r="D362" s="581" t="s">
        <v>1899</v>
      </c>
      <c r="E362" s="582">
        <v>0</v>
      </c>
      <c r="F362" s="582">
        <v>0</v>
      </c>
      <c r="G362" s="582">
        <v>0</v>
      </c>
      <c r="H362" s="582">
        <v>0</v>
      </c>
      <c r="I362" s="582">
        <v>0</v>
      </c>
      <c r="J362" s="582">
        <v>0</v>
      </c>
      <c r="K362" s="582">
        <v>0</v>
      </c>
      <c r="L362" s="582">
        <v>0</v>
      </c>
      <c r="M362" s="582">
        <v>0</v>
      </c>
      <c r="N362" s="582">
        <v>0</v>
      </c>
      <c r="O362" s="582">
        <v>0</v>
      </c>
      <c r="P362" s="582">
        <v>0</v>
      </c>
      <c r="Q362" s="582">
        <v>0</v>
      </c>
      <c r="R362" s="582">
        <v>0</v>
      </c>
      <c r="S362" s="582">
        <v>0</v>
      </c>
      <c r="T362" s="582">
        <v>0</v>
      </c>
      <c r="U362" s="582">
        <v>0</v>
      </c>
      <c r="V362" s="582">
        <v>0</v>
      </c>
      <c r="W362" s="582">
        <v>0</v>
      </c>
      <c r="X362" s="582">
        <v>0</v>
      </c>
      <c r="Y362" s="582">
        <v>0</v>
      </c>
      <c r="Z362" s="582">
        <v>0</v>
      </c>
      <c r="AA362" s="582"/>
      <c r="AB362" s="582"/>
      <c r="AC362" s="582"/>
      <c r="AD362" s="582"/>
      <c r="AE362" s="583">
        <v>0</v>
      </c>
      <c r="AF362" s="582">
        <f t="shared" ref="AF362:AZ362" si="242">AF252-AE252+AF510+AE362</f>
        <v>0</v>
      </c>
      <c r="AG362" s="582">
        <f t="shared" si="242"/>
        <v>0</v>
      </c>
      <c r="AH362" s="582">
        <f t="shared" si="242"/>
        <v>0</v>
      </c>
      <c r="AI362" s="582">
        <f t="shared" si="242"/>
        <v>0</v>
      </c>
      <c r="AJ362" s="582">
        <f t="shared" si="242"/>
        <v>0</v>
      </c>
      <c r="AK362" s="582">
        <f t="shared" si="242"/>
        <v>0</v>
      </c>
      <c r="AL362" s="582">
        <f t="shared" si="242"/>
        <v>0</v>
      </c>
      <c r="AM362" s="582">
        <f t="shared" si="242"/>
        <v>0</v>
      </c>
      <c r="AN362" s="582">
        <f t="shared" si="242"/>
        <v>0</v>
      </c>
      <c r="AO362" s="582">
        <f t="shared" si="242"/>
        <v>0</v>
      </c>
      <c r="AP362" s="582">
        <f t="shared" si="242"/>
        <v>0</v>
      </c>
      <c r="AQ362" s="582">
        <f t="shared" si="242"/>
        <v>0</v>
      </c>
      <c r="AR362" s="582">
        <f t="shared" si="242"/>
        <v>0</v>
      </c>
      <c r="AS362" s="582">
        <f t="shared" si="242"/>
        <v>0</v>
      </c>
      <c r="AT362" s="582">
        <f t="shared" si="242"/>
        <v>0</v>
      </c>
      <c r="AU362" s="582">
        <f t="shared" si="242"/>
        <v>0</v>
      </c>
      <c r="AV362" s="582">
        <f t="shared" si="242"/>
        <v>0</v>
      </c>
      <c r="AW362" s="582">
        <f t="shared" si="242"/>
        <v>0</v>
      </c>
      <c r="AX362" s="582">
        <f t="shared" si="242"/>
        <v>0</v>
      </c>
      <c r="AY362" s="582">
        <f t="shared" si="242"/>
        <v>0</v>
      </c>
      <c r="AZ362" s="582">
        <f t="shared" si="242"/>
        <v>0</v>
      </c>
      <c r="BA362" s="582">
        <f>BA252-AP252+BA510+AP362</f>
        <v>0</v>
      </c>
      <c r="BB362" s="582">
        <f>BB252-BA252+BB510+BA362</f>
        <v>0</v>
      </c>
      <c r="BC362" s="500"/>
      <c r="BD362" s="450"/>
    </row>
    <row r="363" spans="1:57" ht="15" customHeight="1" outlineLevel="3">
      <c r="B363" s="579"/>
      <c r="C363" s="580" t="s">
        <v>1901</v>
      </c>
      <c r="D363" s="581" t="s">
        <v>1902</v>
      </c>
      <c r="E363" s="582">
        <v>0</v>
      </c>
      <c r="F363" s="582">
        <v>0</v>
      </c>
      <c r="G363" s="582">
        <v>0</v>
      </c>
      <c r="H363" s="582">
        <v>0</v>
      </c>
      <c r="I363" s="582">
        <v>0</v>
      </c>
      <c r="J363" s="582">
        <v>0</v>
      </c>
      <c r="K363" s="582">
        <v>0</v>
      </c>
      <c r="L363" s="582">
        <v>0</v>
      </c>
      <c r="M363" s="582">
        <v>0</v>
      </c>
      <c r="N363" s="582">
        <v>0</v>
      </c>
      <c r="O363" s="582">
        <v>0</v>
      </c>
      <c r="P363" s="582">
        <v>0</v>
      </c>
      <c r="Q363" s="582">
        <v>0</v>
      </c>
      <c r="R363" s="582">
        <v>0</v>
      </c>
      <c r="S363" s="582">
        <v>0</v>
      </c>
      <c r="T363" s="582">
        <v>0</v>
      </c>
      <c r="U363" s="582">
        <v>0</v>
      </c>
      <c r="V363" s="582">
        <v>0</v>
      </c>
      <c r="W363" s="582">
        <v>0</v>
      </c>
      <c r="X363" s="582">
        <v>0</v>
      </c>
      <c r="Y363" s="582">
        <v>0</v>
      </c>
      <c r="Z363" s="582">
        <v>0</v>
      </c>
      <c r="AA363" s="582">
        <v>0</v>
      </c>
      <c r="AB363" s="582">
        <v>0</v>
      </c>
      <c r="AC363" s="582">
        <v>0</v>
      </c>
      <c r="AD363" s="582">
        <v>0</v>
      </c>
      <c r="AE363" s="583">
        <v>0</v>
      </c>
      <c r="AF363" s="582">
        <v>0</v>
      </c>
      <c r="AG363" s="582">
        <v>0</v>
      </c>
      <c r="AH363" s="582">
        <v>0</v>
      </c>
      <c r="AI363" s="582">
        <v>0</v>
      </c>
      <c r="AJ363" s="582">
        <v>0</v>
      </c>
      <c r="AK363" s="582">
        <v>0</v>
      </c>
      <c r="AL363" s="582">
        <v>0</v>
      </c>
      <c r="AM363" s="582">
        <v>0</v>
      </c>
      <c r="AN363" s="582">
        <v>0</v>
      </c>
      <c r="AO363" s="582">
        <v>0</v>
      </c>
      <c r="AP363" s="582">
        <v>0</v>
      </c>
      <c r="AQ363" s="582">
        <v>0</v>
      </c>
      <c r="AR363" s="582">
        <v>0</v>
      </c>
      <c r="AS363" s="582">
        <v>0</v>
      </c>
      <c r="AT363" s="582">
        <v>0</v>
      </c>
      <c r="AU363" s="582">
        <v>0</v>
      </c>
      <c r="AV363" s="582">
        <v>0</v>
      </c>
      <c r="AW363" s="582">
        <v>0</v>
      </c>
      <c r="AX363" s="582">
        <v>0</v>
      </c>
      <c r="AY363" s="582">
        <v>0</v>
      </c>
      <c r="AZ363" s="582">
        <v>0</v>
      </c>
      <c r="BA363" s="582">
        <v>0</v>
      </c>
      <c r="BB363" s="582">
        <v>0</v>
      </c>
      <c r="BC363" s="500"/>
      <c r="BD363" s="450"/>
    </row>
    <row r="364" spans="1:57" ht="15" customHeight="1" outlineLevel="3">
      <c r="B364" s="579"/>
      <c r="C364" s="580" t="s">
        <v>1903</v>
      </c>
      <c r="D364" s="581" t="s">
        <v>1904</v>
      </c>
      <c r="E364" s="582">
        <v>0</v>
      </c>
      <c r="F364" s="582">
        <v>0</v>
      </c>
      <c r="G364" s="582">
        <v>0</v>
      </c>
      <c r="H364" s="582">
        <v>0</v>
      </c>
      <c r="I364" s="582">
        <v>0</v>
      </c>
      <c r="J364" s="582">
        <v>0</v>
      </c>
      <c r="K364" s="582">
        <v>0</v>
      </c>
      <c r="L364" s="582">
        <v>0</v>
      </c>
      <c r="M364" s="582">
        <v>0</v>
      </c>
      <c r="N364" s="582">
        <v>0</v>
      </c>
      <c r="O364" s="582">
        <v>0</v>
      </c>
      <c r="P364" s="582">
        <v>0</v>
      </c>
      <c r="Q364" s="582">
        <v>0</v>
      </c>
      <c r="R364" s="582">
        <v>0</v>
      </c>
      <c r="S364" s="582">
        <v>0</v>
      </c>
      <c r="T364" s="582">
        <v>0</v>
      </c>
      <c r="U364" s="582">
        <v>0</v>
      </c>
      <c r="V364" s="582">
        <v>0</v>
      </c>
      <c r="W364" s="582">
        <v>0</v>
      </c>
      <c r="X364" s="582">
        <v>0</v>
      </c>
      <c r="Y364" s="582">
        <v>0</v>
      </c>
      <c r="Z364" s="582">
        <v>0</v>
      </c>
      <c r="AA364" s="582">
        <v>0</v>
      </c>
      <c r="AB364" s="582">
        <v>0</v>
      </c>
      <c r="AC364" s="582">
        <v>0</v>
      </c>
      <c r="AD364" s="582">
        <v>0</v>
      </c>
      <c r="AE364" s="583">
        <v>0</v>
      </c>
      <c r="AF364" s="582">
        <v>0</v>
      </c>
      <c r="AG364" s="582">
        <v>0</v>
      </c>
      <c r="AH364" s="582">
        <v>0</v>
      </c>
      <c r="AI364" s="582">
        <v>0</v>
      </c>
      <c r="AJ364" s="582">
        <v>0</v>
      </c>
      <c r="AK364" s="582">
        <v>0</v>
      </c>
      <c r="AL364" s="582">
        <v>0</v>
      </c>
      <c r="AM364" s="582">
        <v>0</v>
      </c>
      <c r="AN364" s="582">
        <v>0</v>
      </c>
      <c r="AO364" s="582">
        <v>0</v>
      </c>
      <c r="AP364" s="582">
        <v>0</v>
      </c>
      <c r="AQ364" s="582">
        <v>0</v>
      </c>
      <c r="AR364" s="582">
        <v>0</v>
      </c>
      <c r="AS364" s="582">
        <v>0</v>
      </c>
      <c r="AT364" s="582">
        <v>0</v>
      </c>
      <c r="AU364" s="582">
        <v>0</v>
      </c>
      <c r="AV364" s="582">
        <v>0</v>
      </c>
      <c r="AW364" s="582">
        <v>0</v>
      </c>
      <c r="AX364" s="582">
        <v>0</v>
      </c>
      <c r="AY364" s="582">
        <v>0</v>
      </c>
      <c r="AZ364" s="582">
        <v>0</v>
      </c>
      <c r="BA364" s="582">
        <v>0</v>
      </c>
      <c r="BB364" s="582">
        <v>0</v>
      </c>
      <c r="BC364" s="500"/>
      <c r="BD364" s="450"/>
    </row>
    <row r="365" spans="1:57" s="415" customFormat="1" ht="15" customHeight="1" outlineLevel="3">
      <c r="B365" s="584"/>
      <c r="C365" s="585" t="s">
        <v>1905</v>
      </c>
      <c r="D365" s="586" t="s">
        <v>1906</v>
      </c>
      <c r="E365" s="587">
        <f>E362+E363+E364</f>
        <v>0</v>
      </c>
      <c r="F365" s="587">
        <f t="shared" ref="F365:Y365" si="243">F362+F363+F364</f>
        <v>0</v>
      </c>
      <c r="G365" s="587">
        <f t="shared" si="243"/>
        <v>0</v>
      </c>
      <c r="H365" s="587">
        <f t="shared" si="243"/>
        <v>0</v>
      </c>
      <c r="I365" s="587">
        <f t="shared" si="243"/>
        <v>0</v>
      </c>
      <c r="J365" s="587">
        <f t="shared" si="243"/>
        <v>0</v>
      </c>
      <c r="K365" s="587">
        <f t="shared" si="243"/>
        <v>0</v>
      </c>
      <c r="L365" s="587">
        <f t="shared" si="243"/>
        <v>0</v>
      </c>
      <c r="M365" s="587">
        <f t="shared" si="243"/>
        <v>0</v>
      </c>
      <c r="N365" s="587">
        <f t="shared" si="243"/>
        <v>0</v>
      </c>
      <c r="O365" s="587">
        <f t="shared" si="243"/>
        <v>0</v>
      </c>
      <c r="P365" s="587">
        <f t="shared" si="243"/>
        <v>0</v>
      </c>
      <c r="Q365" s="587">
        <f t="shared" si="243"/>
        <v>0</v>
      </c>
      <c r="R365" s="587">
        <f t="shared" si="243"/>
        <v>0</v>
      </c>
      <c r="S365" s="587">
        <f t="shared" si="243"/>
        <v>0</v>
      </c>
      <c r="T365" s="587">
        <f t="shared" si="243"/>
        <v>0</v>
      </c>
      <c r="U365" s="587">
        <f t="shared" si="243"/>
        <v>0</v>
      </c>
      <c r="V365" s="587">
        <f t="shared" si="243"/>
        <v>0</v>
      </c>
      <c r="W365" s="587">
        <f t="shared" si="243"/>
        <v>0</v>
      </c>
      <c r="X365" s="587">
        <f t="shared" si="243"/>
        <v>0</v>
      </c>
      <c r="Y365" s="587">
        <f t="shared" si="243"/>
        <v>0</v>
      </c>
      <c r="Z365" s="587"/>
      <c r="AA365" s="587">
        <f t="shared" ref="AA365:BB365" si="244">AA362+AA363+AA364</f>
        <v>0</v>
      </c>
      <c r="AB365" s="587">
        <f t="shared" si="244"/>
        <v>0</v>
      </c>
      <c r="AC365" s="587">
        <f t="shared" si="244"/>
        <v>0</v>
      </c>
      <c r="AD365" s="587">
        <f t="shared" si="244"/>
        <v>0</v>
      </c>
      <c r="AE365" s="588">
        <f t="shared" si="244"/>
        <v>0</v>
      </c>
      <c r="AF365" s="587">
        <f t="shared" si="244"/>
        <v>0</v>
      </c>
      <c r="AG365" s="587">
        <f t="shared" si="244"/>
        <v>0</v>
      </c>
      <c r="AH365" s="587">
        <f t="shared" si="244"/>
        <v>0</v>
      </c>
      <c r="AI365" s="587">
        <f t="shared" si="244"/>
        <v>0</v>
      </c>
      <c r="AJ365" s="587">
        <f t="shared" si="244"/>
        <v>0</v>
      </c>
      <c r="AK365" s="587">
        <f t="shared" si="244"/>
        <v>0</v>
      </c>
      <c r="AL365" s="587">
        <f t="shared" si="244"/>
        <v>0</v>
      </c>
      <c r="AM365" s="587">
        <f t="shared" si="244"/>
        <v>0</v>
      </c>
      <c r="AN365" s="587">
        <f t="shared" si="244"/>
        <v>0</v>
      </c>
      <c r="AO365" s="587">
        <f t="shared" si="244"/>
        <v>0</v>
      </c>
      <c r="AP365" s="587">
        <f t="shared" si="244"/>
        <v>0</v>
      </c>
      <c r="AQ365" s="587">
        <f t="shared" ref="AQ365:AZ365" si="245">AQ362+AQ363+AQ364</f>
        <v>0</v>
      </c>
      <c r="AR365" s="587">
        <f t="shared" si="245"/>
        <v>0</v>
      </c>
      <c r="AS365" s="587">
        <f t="shared" si="245"/>
        <v>0</v>
      </c>
      <c r="AT365" s="587">
        <f t="shared" si="245"/>
        <v>0</v>
      </c>
      <c r="AU365" s="587">
        <f t="shared" si="245"/>
        <v>0</v>
      </c>
      <c r="AV365" s="587">
        <f t="shared" si="245"/>
        <v>0</v>
      </c>
      <c r="AW365" s="587">
        <f t="shared" si="245"/>
        <v>0</v>
      </c>
      <c r="AX365" s="587">
        <f t="shared" si="245"/>
        <v>0</v>
      </c>
      <c r="AY365" s="587">
        <f t="shared" si="245"/>
        <v>0</v>
      </c>
      <c r="AZ365" s="587">
        <f t="shared" si="245"/>
        <v>0</v>
      </c>
      <c r="BA365" s="587">
        <f t="shared" si="244"/>
        <v>0</v>
      </c>
      <c r="BB365" s="587">
        <f t="shared" si="244"/>
        <v>0</v>
      </c>
      <c r="BC365" s="506"/>
      <c r="BD365" s="420"/>
    </row>
    <row r="366" spans="1:57" s="415" customFormat="1" ht="15" customHeight="1" outlineLevel="3">
      <c r="B366" s="584"/>
      <c r="C366" s="589" t="s">
        <v>1907</v>
      </c>
      <c r="D366" s="586" t="s">
        <v>1908</v>
      </c>
      <c r="E366" s="587">
        <v>0</v>
      </c>
      <c r="F366" s="587">
        <v>0</v>
      </c>
      <c r="G366" s="587">
        <v>0</v>
      </c>
      <c r="H366" s="587">
        <v>0</v>
      </c>
      <c r="I366" s="587">
        <v>0</v>
      </c>
      <c r="J366" s="587">
        <v>0</v>
      </c>
      <c r="K366" s="587">
        <v>0</v>
      </c>
      <c r="L366" s="587">
        <v>0</v>
      </c>
      <c r="M366" s="587">
        <v>0</v>
      </c>
      <c r="N366" s="587">
        <v>0</v>
      </c>
      <c r="O366" s="587">
        <v>0</v>
      </c>
      <c r="P366" s="587">
        <v>0</v>
      </c>
      <c r="Q366" s="587">
        <v>0</v>
      </c>
      <c r="R366" s="587">
        <v>0</v>
      </c>
      <c r="S366" s="587">
        <v>0</v>
      </c>
      <c r="T366" s="587">
        <v>0</v>
      </c>
      <c r="U366" s="587">
        <v>0</v>
      </c>
      <c r="V366" s="587">
        <v>0</v>
      </c>
      <c r="W366" s="587">
        <v>0</v>
      </c>
      <c r="X366" s="587">
        <v>0</v>
      </c>
      <c r="Y366" s="587">
        <v>0</v>
      </c>
      <c r="Z366" s="587">
        <v>0</v>
      </c>
      <c r="AA366" s="587">
        <v>0</v>
      </c>
      <c r="AB366" s="587">
        <v>0</v>
      </c>
      <c r="AC366" s="587">
        <v>0</v>
      </c>
      <c r="AD366" s="587">
        <v>0</v>
      </c>
      <c r="AE366" s="588">
        <v>0</v>
      </c>
      <c r="AF366" s="587">
        <v>0</v>
      </c>
      <c r="AG366" s="587">
        <v>0</v>
      </c>
      <c r="AH366" s="587">
        <v>0</v>
      </c>
      <c r="AI366" s="587">
        <v>0</v>
      </c>
      <c r="AJ366" s="587">
        <v>0</v>
      </c>
      <c r="AK366" s="587">
        <v>0</v>
      </c>
      <c r="AL366" s="587">
        <v>0</v>
      </c>
      <c r="AM366" s="587">
        <v>0</v>
      </c>
      <c r="AN366" s="587">
        <v>0</v>
      </c>
      <c r="AO366" s="587">
        <v>0</v>
      </c>
      <c r="AP366" s="587">
        <v>0</v>
      </c>
      <c r="AQ366" s="587">
        <v>0</v>
      </c>
      <c r="AR366" s="587">
        <v>0</v>
      </c>
      <c r="AS366" s="587">
        <v>0</v>
      </c>
      <c r="AT366" s="587">
        <v>0</v>
      </c>
      <c r="AU366" s="587">
        <v>0</v>
      </c>
      <c r="AV366" s="587">
        <v>0</v>
      </c>
      <c r="AW366" s="587">
        <v>0</v>
      </c>
      <c r="AX366" s="587">
        <v>0</v>
      </c>
      <c r="AY366" s="587">
        <v>0</v>
      </c>
      <c r="AZ366" s="587">
        <v>0</v>
      </c>
      <c r="BA366" s="587">
        <v>0</v>
      </c>
      <c r="BB366" s="587">
        <v>0</v>
      </c>
      <c r="BC366" s="506"/>
      <c r="BD366" s="420"/>
    </row>
    <row r="367" spans="1:57" s="438" customFormat="1" ht="15" customHeight="1" outlineLevel="3">
      <c r="A367" s="431"/>
      <c r="B367" s="579"/>
      <c r="C367" s="590" t="s">
        <v>1579</v>
      </c>
      <c r="D367" s="581" t="s">
        <v>1909</v>
      </c>
      <c r="E367" s="582">
        <v>0</v>
      </c>
      <c r="F367" s="582">
        <v>0</v>
      </c>
      <c r="G367" s="582">
        <v>0</v>
      </c>
      <c r="H367" s="582">
        <v>0</v>
      </c>
      <c r="I367" s="582">
        <v>0</v>
      </c>
      <c r="J367" s="582">
        <v>0</v>
      </c>
      <c r="K367" s="582">
        <v>0</v>
      </c>
      <c r="L367" s="582">
        <v>0</v>
      </c>
      <c r="M367" s="582">
        <v>0</v>
      </c>
      <c r="N367" s="582">
        <v>0</v>
      </c>
      <c r="O367" s="582">
        <v>0</v>
      </c>
      <c r="P367" s="582">
        <v>0</v>
      </c>
      <c r="Q367" s="582">
        <v>0</v>
      </c>
      <c r="R367" s="582">
        <v>0</v>
      </c>
      <c r="S367" s="582">
        <v>0</v>
      </c>
      <c r="T367" s="582">
        <v>0</v>
      </c>
      <c r="U367" s="582">
        <v>0</v>
      </c>
      <c r="V367" s="582">
        <v>0</v>
      </c>
      <c r="W367" s="582">
        <v>0</v>
      </c>
      <c r="X367" s="582">
        <v>0</v>
      </c>
      <c r="Y367" s="582">
        <v>0</v>
      </c>
      <c r="Z367" s="582">
        <v>0</v>
      </c>
      <c r="AA367" s="582">
        <v>0</v>
      </c>
      <c r="AB367" s="582">
        <v>0</v>
      </c>
      <c r="AC367" s="582">
        <v>0</v>
      </c>
      <c r="AD367" s="582">
        <v>0</v>
      </c>
      <c r="AE367" s="583">
        <v>0</v>
      </c>
      <c r="AF367" s="582">
        <v>0</v>
      </c>
      <c r="AG367" s="582">
        <v>0</v>
      </c>
      <c r="AH367" s="582">
        <v>0</v>
      </c>
      <c r="AI367" s="582">
        <v>0</v>
      </c>
      <c r="AJ367" s="582">
        <v>0</v>
      </c>
      <c r="AK367" s="582">
        <v>0</v>
      </c>
      <c r="AL367" s="582">
        <v>0</v>
      </c>
      <c r="AM367" s="582">
        <v>0</v>
      </c>
      <c r="AN367" s="582">
        <v>0</v>
      </c>
      <c r="AO367" s="582">
        <v>0</v>
      </c>
      <c r="AP367" s="582">
        <v>0</v>
      </c>
      <c r="AQ367" s="582">
        <v>0</v>
      </c>
      <c r="AR367" s="582">
        <v>0</v>
      </c>
      <c r="AS367" s="582">
        <v>0</v>
      </c>
      <c r="AT367" s="582">
        <v>0</v>
      </c>
      <c r="AU367" s="582">
        <v>0</v>
      </c>
      <c r="AV367" s="582">
        <v>0</v>
      </c>
      <c r="AW367" s="582">
        <v>0</v>
      </c>
      <c r="AX367" s="582">
        <v>0</v>
      </c>
      <c r="AY367" s="582">
        <v>0</v>
      </c>
      <c r="AZ367" s="582">
        <v>0</v>
      </c>
      <c r="BA367" s="582">
        <v>0</v>
      </c>
      <c r="BB367" s="582">
        <v>0</v>
      </c>
      <c r="BC367" s="500">
        <f>+AA367</f>
        <v>0</v>
      </c>
      <c r="BD367" s="523"/>
    </row>
    <row r="368" spans="1:57" s="415" customFormat="1" ht="15" customHeight="1" outlineLevel="3">
      <c r="B368" s="584"/>
      <c r="C368" s="589" t="s">
        <v>1910</v>
      </c>
      <c r="D368" s="586" t="s">
        <v>1911</v>
      </c>
      <c r="E368" s="587">
        <f>E365+E366+E367</f>
        <v>0</v>
      </c>
      <c r="F368" s="587">
        <f t="shared" ref="F368:Y368" si="246">F365+F366+F367</f>
        <v>0</v>
      </c>
      <c r="G368" s="587">
        <f t="shared" si="246"/>
        <v>0</v>
      </c>
      <c r="H368" s="587">
        <f t="shared" si="246"/>
        <v>0</v>
      </c>
      <c r="I368" s="587">
        <f t="shared" si="246"/>
        <v>0</v>
      </c>
      <c r="J368" s="587">
        <f t="shared" si="246"/>
        <v>0</v>
      </c>
      <c r="K368" s="587">
        <f t="shared" si="246"/>
        <v>0</v>
      </c>
      <c r="L368" s="587">
        <f t="shared" si="246"/>
        <v>0</v>
      </c>
      <c r="M368" s="587">
        <f t="shared" si="246"/>
        <v>0</v>
      </c>
      <c r="N368" s="587">
        <f t="shared" si="246"/>
        <v>0</v>
      </c>
      <c r="O368" s="587">
        <f t="shared" si="246"/>
        <v>0</v>
      </c>
      <c r="P368" s="587">
        <f t="shared" si="246"/>
        <v>0</v>
      </c>
      <c r="Q368" s="587">
        <f t="shared" si="246"/>
        <v>0</v>
      </c>
      <c r="R368" s="587">
        <f t="shared" si="246"/>
        <v>0</v>
      </c>
      <c r="S368" s="587">
        <f t="shared" si="246"/>
        <v>0</v>
      </c>
      <c r="T368" s="587">
        <f t="shared" si="246"/>
        <v>0</v>
      </c>
      <c r="U368" s="587">
        <f t="shared" si="246"/>
        <v>0</v>
      </c>
      <c r="V368" s="587">
        <f t="shared" si="246"/>
        <v>0</v>
      </c>
      <c r="W368" s="587">
        <f t="shared" si="246"/>
        <v>0</v>
      </c>
      <c r="X368" s="587">
        <f t="shared" si="246"/>
        <v>0</v>
      </c>
      <c r="Y368" s="587">
        <f t="shared" si="246"/>
        <v>0</v>
      </c>
      <c r="Z368" s="587"/>
      <c r="AA368" s="587">
        <f t="shared" ref="AA368:BB368" si="247">AA365+AA366+AA367</f>
        <v>0</v>
      </c>
      <c r="AB368" s="587">
        <f t="shared" si="247"/>
        <v>0</v>
      </c>
      <c r="AC368" s="587">
        <f t="shared" si="247"/>
        <v>0</v>
      </c>
      <c r="AD368" s="587">
        <f t="shared" si="247"/>
        <v>0</v>
      </c>
      <c r="AE368" s="588">
        <f t="shared" si="247"/>
        <v>0</v>
      </c>
      <c r="AF368" s="587">
        <f t="shared" si="247"/>
        <v>0</v>
      </c>
      <c r="AG368" s="587">
        <f t="shared" si="247"/>
        <v>0</v>
      </c>
      <c r="AH368" s="587">
        <f t="shared" si="247"/>
        <v>0</v>
      </c>
      <c r="AI368" s="587">
        <f t="shared" si="247"/>
        <v>0</v>
      </c>
      <c r="AJ368" s="587">
        <f t="shared" si="247"/>
        <v>0</v>
      </c>
      <c r="AK368" s="587">
        <f t="shared" si="247"/>
        <v>0</v>
      </c>
      <c r="AL368" s="587">
        <f t="shared" si="247"/>
        <v>0</v>
      </c>
      <c r="AM368" s="587">
        <f t="shared" si="247"/>
        <v>0</v>
      </c>
      <c r="AN368" s="587">
        <f t="shared" si="247"/>
        <v>0</v>
      </c>
      <c r="AO368" s="587">
        <f t="shared" si="247"/>
        <v>0</v>
      </c>
      <c r="AP368" s="587">
        <f t="shared" si="247"/>
        <v>0</v>
      </c>
      <c r="AQ368" s="587">
        <f t="shared" ref="AQ368:AZ368" si="248">AQ365+AQ366+AQ367</f>
        <v>0</v>
      </c>
      <c r="AR368" s="587">
        <f t="shared" si="248"/>
        <v>0</v>
      </c>
      <c r="AS368" s="587">
        <f t="shared" si="248"/>
        <v>0</v>
      </c>
      <c r="AT368" s="587">
        <f t="shared" si="248"/>
        <v>0</v>
      </c>
      <c r="AU368" s="587">
        <f t="shared" si="248"/>
        <v>0</v>
      </c>
      <c r="AV368" s="587">
        <f t="shared" si="248"/>
        <v>0</v>
      </c>
      <c r="AW368" s="587">
        <f t="shared" si="248"/>
        <v>0</v>
      </c>
      <c r="AX368" s="587">
        <f t="shared" si="248"/>
        <v>0</v>
      </c>
      <c r="AY368" s="587">
        <f t="shared" si="248"/>
        <v>0</v>
      </c>
      <c r="AZ368" s="587">
        <f t="shared" si="248"/>
        <v>0</v>
      </c>
      <c r="BA368" s="587">
        <f t="shared" si="247"/>
        <v>0</v>
      </c>
      <c r="BB368" s="587">
        <f t="shared" si="247"/>
        <v>0</v>
      </c>
      <c r="BC368" s="506"/>
      <c r="BD368" s="420"/>
    </row>
    <row r="369" spans="1:56" s="415" customFormat="1" ht="15" customHeight="1" outlineLevel="3">
      <c r="B369" s="584"/>
      <c r="C369" s="589" t="s">
        <v>1930</v>
      </c>
      <c r="D369" s="586" t="s">
        <v>1913</v>
      </c>
      <c r="E369" s="587">
        <v>0</v>
      </c>
      <c r="F369" s="587">
        <v>0</v>
      </c>
      <c r="G369" s="587">
        <v>0</v>
      </c>
      <c r="H369" s="587">
        <v>0</v>
      </c>
      <c r="I369" s="587">
        <v>0</v>
      </c>
      <c r="J369" s="587">
        <v>0</v>
      </c>
      <c r="K369" s="587">
        <v>0</v>
      </c>
      <c r="L369" s="587">
        <v>0</v>
      </c>
      <c r="M369" s="587">
        <v>0</v>
      </c>
      <c r="N369" s="587">
        <v>0</v>
      </c>
      <c r="O369" s="587">
        <v>0</v>
      </c>
      <c r="P369" s="587">
        <v>0</v>
      </c>
      <c r="Q369" s="587">
        <v>0</v>
      </c>
      <c r="R369" s="587">
        <v>0</v>
      </c>
      <c r="S369" s="587">
        <v>0</v>
      </c>
      <c r="T369" s="587">
        <v>0</v>
      </c>
      <c r="U369" s="587">
        <v>0</v>
      </c>
      <c r="V369" s="587">
        <v>0</v>
      </c>
      <c r="W369" s="587">
        <v>0</v>
      </c>
      <c r="X369" s="587">
        <v>0</v>
      </c>
      <c r="Y369" s="587">
        <v>0</v>
      </c>
      <c r="Z369" s="587">
        <v>0</v>
      </c>
      <c r="AA369" s="587">
        <f t="shared" ref="AA369:BB369" si="249">AA360*-0.1</f>
        <v>0</v>
      </c>
      <c r="AB369" s="587">
        <f t="shared" si="249"/>
        <v>0</v>
      </c>
      <c r="AC369" s="587">
        <f t="shared" si="249"/>
        <v>0</v>
      </c>
      <c r="AD369" s="587">
        <f t="shared" si="249"/>
        <v>0</v>
      </c>
      <c r="AE369" s="588">
        <f t="shared" si="249"/>
        <v>0</v>
      </c>
      <c r="AF369" s="587">
        <f t="shared" si="249"/>
        <v>0</v>
      </c>
      <c r="AG369" s="587">
        <f t="shared" si="249"/>
        <v>0</v>
      </c>
      <c r="AH369" s="587">
        <f t="shared" si="249"/>
        <v>0</v>
      </c>
      <c r="AI369" s="587">
        <f t="shared" si="249"/>
        <v>0</v>
      </c>
      <c r="AJ369" s="587">
        <f t="shared" si="249"/>
        <v>0</v>
      </c>
      <c r="AK369" s="587">
        <f t="shared" si="249"/>
        <v>0</v>
      </c>
      <c r="AL369" s="587">
        <f t="shared" si="249"/>
        <v>0</v>
      </c>
      <c r="AM369" s="587">
        <f t="shared" si="249"/>
        <v>0</v>
      </c>
      <c r="AN369" s="587">
        <f t="shared" si="249"/>
        <v>0</v>
      </c>
      <c r="AO369" s="587">
        <f t="shared" si="249"/>
        <v>0</v>
      </c>
      <c r="AP369" s="587">
        <f t="shared" si="249"/>
        <v>0</v>
      </c>
      <c r="AQ369" s="587">
        <f t="shared" ref="AQ369:AZ369" si="250">AQ360*-0.1</f>
        <v>0</v>
      </c>
      <c r="AR369" s="587">
        <f t="shared" si="250"/>
        <v>0</v>
      </c>
      <c r="AS369" s="587">
        <f t="shared" si="250"/>
        <v>0</v>
      </c>
      <c r="AT369" s="587">
        <f t="shared" si="250"/>
        <v>0</v>
      </c>
      <c r="AU369" s="587">
        <f t="shared" si="250"/>
        <v>0</v>
      </c>
      <c r="AV369" s="587">
        <f t="shared" si="250"/>
        <v>0</v>
      </c>
      <c r="AW369" s="587">
        <f t="shared" si="250"/>
        <v>0</v>
      </c>
      <c r="AX369" s="587">
        <f t="shared" si="250"/>
        <v>0</v>
      </c>
      <c r="AY369" s="587">
        <f t="shared" si="250"/>
        <v>0</v>
      </c>
      <c r="AZ369" s="587">
        <f t="shared" si="250"/>
        <v>0</v>
      </c>
      <c r="BA369" s="587">
        <f t="shared" si="249"/>
        <v>0</v>
      </c>
      <c r="BB369" s="587">
        <f t="shared" si="249"/>
        <v>0</v>
      </c>
      <c r="BC369" s="506"/>
      <c r="BD369" s="420"/>
    </row>
    <row r="370" spans="1:56" ht="15" customHeight="1" outlineLevel="3">
      <c r="B370" s="579"/>
      <c r="C370" s="590" t="s">
        <v>1914</v>
      </c>
      <c r="D370" s="581" t="s">
        <v>1915</v>
      </c>
      <c r="E370" s="582">
        <v>0</v>
      </c>
      <c r="F370" s="582">
        <v>0</v>
      </c>
      <c r="G370" s="582">
        <v>0</v>
      </c>
      <c r="H370" s="582">
        <v>0</v>
      </c>
      <c r="I370" s="582">
        <v>0</v>
      </c>
      <c r="J370" s="582">
        <v>0</v>
      </c>
      <c r="K370" s="582">
        <v>0</v>
      </c>
      <c r="L370" s="582">
        <v>0</v>
      </c>
      <c r="M370" s="582">
        <v>0</v>
      </c>
      <c r="N370" s="582">
        <v>0</v>
      </c>
      <c r="O370" s="582">
        <v>0</v>
      </c>
      <c r="P370" s="582">
        <v>0</v>
      </c>
      <c r="Q370" s="582">
        <v>0</v>
      </c>
      <c r="R370" s="582">
        <v>0</v>
      </c>
      <c r="S370" s="582">
        <v>0</v>
      </c>
      <c r="T370" s="582">
        <v>0</v>
      </c>
      <c r="U370" s="582">
        <v>0</v>
      </c>
      <c r="V370" s="582">
        <v>0</v>
      </c>
      <c r="W370" s="582">
        <v>0</v>
      </c>
      <c r="X370" s="582">
        <v>0</v>
      </c>
      <c r="Y370" s="582">
        <v>0</v>
      </c>
      <c r="Z370" s="582">
        <v>0</v>
      </c>
      <c r="AA370" s="582">
        <v>0</v>
      </c>
      <c r="AB370" s="582">
        <v>0</v>
      </c>
      <c r="AC370" s="582">
        <v>0</v>
      </c>
      <c r="AD370" s="582">
        <v>0</v>
      </c>
      <c r="AE370" s="583">
        <v>0</v>
      </c>
      <c r="AF370" s="582">
        <v>0</v>
      </c>
      <c r="AG370" s="582">
        <v>0</v>
      </c>
      <c r="AH370" s="582">
        <v>0</v>
      </c>
      <c r="AI370" s="582">
        <v>0</v>
      </c>
      <c r="AJ370" s="582">
        <v>0</v>
      </c>
      <c r="AK370" s="582">
        <v>0</v>
      </c>
      <c r="AL370" s="582">
        <v>0</v>
      </c>
      <c r="AM370" s="582">
        <v>0</v>
      </c>
      <c r="AN370" s="582">
        <v>0</v>
      </c>
      <c r="AO370" s="582">
        <v>0</v>
      </c>
      <c r="AP370" s="582">
        <v>0</v>
      </c>
      <c r="AQ370" s="582">
        <v>0</v>
      </c>
      <c r="AR370" s="582">
        <v>0</v>
      </c>
      <c r="AS370" s="582">
        <v>0</v>
      </c>
      <c r="AT370" s="582">
        <v>0</v>
      </c>
      <c r="AU370" s="582">
        <v>0</v>
      </c>
      <c r="AV370" s="582">
        <v>0</v>
      </c>
      <c r="AW370" s="582">
        <v>0</v>
      </c>
      <c r="AX370" s="582">
        <v>0</v>
      </c>
      <c r="AY370" s="582">
        <v>0</v>
      </c>
      <c r="AZ370" s="582">
        <v>0</v>
      </c>
      <c r="BA370" s="582">
        <v>0</v>
      </c>
      <c r="BB370" s="582">
        <v>0</v>
      </c>
      <c r="BC370" s="500"/>
      <c r="BD370" s="450"/>
    </row>
    <row r="371" spans="1:56" s="415" customFormat="1" ht="15" customHeight="1" outlineLevel="3">
      <c r="B371" s="584"/>
      <c r="C371" s="589" t="s">
        <v>1916</v>
      </c>
      <c r="D371" s="586" t="s">
        <v>1917</v>
      </c>
      <c r="E371" s="587">
        <f>E368+E369+E370</f>
        <v>0</v>
      </c>
      <c r="F371" s="587">
        <f t="shared" ref="F371:Y371" si="251">F368+F369+F370</f>
        <v>0</v>
      </c>
      <c r="G371" s="587">
        <f t="shared" si="251"/>
        <v>0</v>
      </c>
      <c r="H371" s="587">
        <f t="shared" si="251"/>
        <v>0</v>
      </c>
      <c r="I371" s="587">
        <f t="shared" si="251"/>
        <v>0</v>
      </c>
      <c r="J371" s="587">
        <f t="shared" si="251"/>
        <v>0</v>
      </c>
      <c r="K371" s="587">
        <f t="shared" si="251"/>
        <v>0</v>
      </c>
      <c r="L371" s="587">
        <f t="shared" si="251"/>
        <v>0</v>
      </c>
      <c r="M371" s="587">
        <f t="shared" si="251"/>
        <v>0</v>
      </c>
      <c r="N371" s="587">
        <f t="shared" si="251"/>
        <v>0</v>
      </c>
      <c r="O371" s="587">
        <f t="shared" si="251"/>
        <v>0</v>
      </c>
      <c r="P371" s="587">
        <f t="shared" si="251"/>
        <v>0</v>
      </c>
      <c r="Q371" s="587">
        <f t="shared" si="251"/>
        <v>0</v>
      </c>
      <c r="R371" s="587">
        <f t="shared" si="251"/>
        <v>0</v>
      </c>
      <c r="S371" s="587">
        <f t="shared" si="251"/>
        <v>0</v>
      </c>
      <c r="T371" s="587">
        <f t="shared" si="251"/>
        <v>0</v>
      </c>
      <c r="U371" s="587">
        <f t="shared" si="251"/>
        <v>0</v>
      </c>
      <c r="V371" s="587">
        <f t="shared" si="251"/>
        <v>0</v>
      </c>
      <c r="W371" s="587">
        <f t="shared" si="251"/>
        <v>0</v>
      </c>
      <c r="X371" s="587">
        <f t="shared" si="251"/>
        <v>0</v>
      </c>
      <c r="Y371" s="587">
        <f t="shared" si="251"/>
        <v>0</v>
      </c>
      <c r="Z371" s="587"/>
      <c r="AA371" s="587">
        <f t="shared" ref="AA371:BB371" si="252">AA368+AA369+AA370</f>
        <v>0</v>
      </c>
      <c r="AB371" s="587">
        <f t="shared" si="252"/>
        <v>0</v>
      </c>
      <c r="AC371" s="587">
        <f t="shared" si="252"/>
        <v>0</v>
      </c>
      <c r="AD371" s="587">
        <f t="shared" si="252"/>
        <v>0</v>
      </c>
      <c r="AE371" s="588">
        <f t="shared" si="252"/>
        <v>0</v>
      </c>
      <c r="AF371" s="587">
        <f t="shared" si="252"/>
        <v>0</v>
      </c>
      <c r="AG371" s="587">
        <f t="shared" si="252"/>
        <v>0</v>
      </c>
      <c r="AH371" s="587">
        <f t="shared" si="252"/>
        <v>0</v>
      </c>
      <c r="AI371" s="587">
        <f t="shared" si="252"/>
        <v>0</v>
      </c>
      <c r="AJ371" s="587">
        <f t="shared" si="252"/>
        <v>0</v>
      </c>
      <c r="AK371" s="587">
        <f t="shared" si="252"/>
        <v>0</v>
      </c>
      <c r="AL371" s="587">
        <f t="shared" si="252"/>
        <v>0</v>
      </c>
      <c r="AM371" s="587">
        <f t="shared" si="252"/>
        <v>0</v>
      </c>
      <c r="AN371" s="587">
        <f t="shared" si="252"/>
        <v>0</v>
      </c>
      <c r="AO371" s="587">
        <f t="shared" si="252"/>
        <v>0</v>
      </c>
      <c r="AP371" s="587">
        <f t="shared" si="252"/>
        <v>0</v>
      </c>
      <c r="AQ371" s="587">
        <f t="shared" ref="AQ371:AZ371" si="253">AQ368+AQ369+AQ370</f>
        <v>0</v>
      </c>
      <c r="AR371" s="587">
        <f t="shared" si="253"/>
        <v>0</v>
      </c>
      <c r="AS371" s="587">
        <f t="shared" si="253"/>
        <v>0</v>
      </c>
      <c r="AT371" s="587">
        <f t="shared" si="253"/>
        <v>0</v>
      </c>
      <c r="AU371" s="587">
        <f t="shared" si="253"/>
        <v>0</v>
      </c>
      <c r="AV371" s="587">
        <f t="shared" si="253"/>
        <v>0</v>
      </c>
      <c r="AW371" s="587">
        <f t="shared" si="253"/>
        <v>0</v>
      </c>
      <c r="AX371" s="587">
        <f t="shared" si="253"/>
        <v>0</v>
      </c>
      <c r="AY371" s="587">
        <f t="shared" si="253"/>
        <v>0</v>
      </c>
      <c r="AZ371" s="587">
        <f t="shared" si="253"/>
        <v>0</v>
      </c>
      <c r="BA371" s="587">
        <f t="shared" si="252"/>
        <v>0</v>
      </c>
      <c r="BB371" s="587">
        <f t="shared" si="252"/>
        <v>0</v>
      </c>
      <c r="BC371" s="506"/>
      <c r="BD371" s="420"/>
    </row>
    <row r="372" spans="1:56" ht="15" customHeight="1" outlineLevel="3">
      <c r="B372" s="579"/>
      <c r="C372" s="590" t="s">
        <v>1918</v>
      </c>
      <c r="D372" s="581" t="s">
        <v>1919</v>
      </c>
      <c r="E372" s="582">
        <v>0</v>
      </c>
      <c r="F372" s="582">
        <v>0</v>
      </c>
      <c r="G372" s="582">
        <v>0</v>
      </c>
      <c r="H372" s="582">
        <v>0</v>
      </c>
      <c r="I372" s="582">
        <v>0</v>
      </c>
      <c r="J372" s="582">
        <v>0</v>
      </c>
      <c r="K372" s="582">
        <v>0</v>
      </c>
      <c r="L372" s="582">
        <v>0</v>
      </c>
      <c r="M372" s="582">
        <v>0</v>
      </c>
      <c r="N372" s="582">
        <v>0</v>
      </c>
      <c r="O372" s="582">
        <v>0</v>
      </c>
      <c r="P372" s="582">
        <v>0</v>
      </c>
      <c r="Q372" s="582">
        <v>0</v>
      </c>
      <c r="R372" s="582">
        <v>0</v>
      </c>
      <c r="S372" s="582">
        <v>0</v>
      </c>
      <c r="T372" s="582">
        <v>0</v>
      </c>
      <c r="U372" s="582">
        <v>0</v>
      </c>
      <c r="V372" s="582">
        <v>0</v>
      </c>
      <c r="W372" s="582">
        <v>0</v>
      </c>
      <c r="X372" s="582">
        <v>0</v>
      </c>
      <c r="Y372" s="582">
        <v>0</v>
      </c>
      <c r="Z372" s="582">
        <v>0</v>
      </c>
      <c r="AA372" s="582">
        <v>0</v>
      </c>
      <c r="AB372" s="582">
        <v>0</v>
      </c>
      <c r="AC372" s="582">
        <v>0</v>
      </c>
      <c r="AD372" s="582">
        <v>0</v>
      </c>
      <c r="AE372" s="583">
        <v>0</v>
      </c>
      <c r="AF372" s="582">
        <v>0</v>
      </c>
      <c r="AG372" s="582">
        <v>0</v>
      </c>
      <c r="AH372" s="582">
        <v>0</v>
      </c>
      <c r="AI372" s="582">
        <v>0</v>
      </c>
      <c r="AJ372" s="582">
        <v>0</v>
      </c>
      <c r="AK372" s="582">
        <v>0</v>
      </c>
      <c r="AL372" s="582">
        <v>0</v>
      </c>
      <c r="AM372" s="582">
        <v>0</v>
      </c>
      <c r="AN372" s="582">
        <v>0</v>
      </c>
      <c r="AO372" s="582">
        <v>0</v>
      </c>
      <c r="AP372" s="582">
        <v>0</v>
      </c>
      <c r="AQ372" s="582">
        <v>0</v>
      </c>
      <c r="AR372" s="582">
        <v>0</v>
      </c>
      <c r="AS372" s="582">
        <v>0</v>
      </c>
      <c r="AT372" s="582">
        <v>0</v>
      </c>
      <c r="AU372" s="582">
        <v>0</v>
      </c>
      <c r="AV372" s="582">
        <v>0</v>
      </c>
      <c r="AW372" s="582">
        <v>0</v>
      </c>
      <c r="AX372" s="582">
        <v>0</v>
      </c>
      <c r="AY372" s="582">
        <v>0</v>
      </c>
      <c r="AZ372" s="582">
        <v>0</v>
      </c>
      <c r="BA372" s="582">
        <v>0</v>
      </c>
      <c r="BB372" s="582">
        <v>0</v>
      </c>
      <c r="BC372" s="500"/>
      <c r="BD372" s="450"/>
    </row>
    <row r="373" spans="1:56" ht="15" customHeight="1" outlineLevel="3">
      <c r="B373" s="579"/>
      <c r="C373" s="590" t="s">
        <v>1920</v>
      </c>
      <c r="D373" s="591" t="s">
        <v>1921</v>
      </c>
      <c r="E373" s="582">
        <v>0</v>
      </c>
      <c r="F373" s="582">
        <v>0</v>
      </c>
      <c r="G373" s="582">
        <v>0</v>
      </c>
      <c r="H373" s="582">
        <v>0</v>
      </c>
      <c r="I373" s="582">
        <v>0</v>
      </c>
      <c r="J373" s="582">
        <v>0</v>
      </c>
      <c r="K373" s="582">
        <v>0</v>
      </c>
      <c r="L373" s="582">
        <v>0</v>
      </c>
      <c r="M373" s="582">
        <v>0</v>
      </c>
      <c r="N373" s="582">
        <v>0</v>
      </c>
      <c r="O373" s="582">
        <v>0</v>
      </c>
      <c r="P373" s="582">
        <v>0</v>
      </c>
      <c r="Q373" s="582">
        <v>0</v>
      </c>
      <c r="R373" s="582">
        <v>0</v>
      </c>
      <c r="S373" s="582">
        <v>0</v>
      </c>
      <c r="T373" s="582">
        <v>0</v>
      </c>
      <c r="U373" s="582">
        <v>0</v>
      </c>
      <c r="V373" s="582">
        <v>0</v>
      </c>
      <c r="W373" s="582">
        <v>0</v>
      </c>
      <c r="X373" s="582">
        <v>0</v>
      </c>
      <c r="Y373" s="582">
        <v>0</v>
      </c>
      <c r="Z373" s="582">
        <v>0</v>
      </c>
      <c r="AA373" s="582">
        <v>0</v>
      </c>
      <c r="AB373" s="582">
        <v>0</v>
      </c>
      <c r="AC373" s="582">
        <v>0</v>
      </c>
      <c r="AD373" s="582">
        <v>0</v>
      </c>
      <c r="AE373" s="583">
        <v>0</v>
      </c>
      <c r="AF373" s="582">
        <v>0</v>
      </c>
      <c r="AG373" s="582">
        <v>0</v>
      </c>
      <c r="AH373" s="582">
        <v>0</v>
      </c>
      <c r="AI373" s="582">
        <v>0</v>
      </c>
      <c r="AJ373" s="582">
        <v>0</v>
      </c>
      <c r="AK373" s="582">
        <v>0</v>
      </c>
      <c r="AL373" s="582">
        <v>0</v>
      </c>
      <c r="AM373" s="582">
        <v>0</v>
      </c>
      <c r="AN373" s="582">
        <v>0</v>
      </c>
      <c r="AO373" s="582">
        <v>0</v>
      </c>
      <c r="AP373" s="582">
        <v>0</v>
      </c>
      <c r="AQ373" s="582">
        <v>0</v>
      </c>
      <c r="AR373" s="582">
        <v>0</v>
      </c>
      <c r="AS373" s="582">
        <v>0</v>
      </c>
      <c r="AT373" s="582">
        <v>0</v>
      </c>
      <c r="AU373" s="582">
        <v>0</v>
      </c>
      <c r="AV373" s="582">
        <v>0</v>
      </c>
      <c r="AW373" s="582">
        <v>0</v>
      </c>
      <c r="AX373" s="582">
        <v>0</v>
      </c>
      <c r="AY373" s="582">
        <v>0</v>
      </c>
      <c r="AZ373" s="582">
        <v>0</v>
      </c>
      <c r="BA373" s="582">
        <v>0</v>
      </c>
      <c r="BB373" s="582">
        <v>0</v>
      </c>
      <c r="BC373" s="500"/>
      <c r="BD373" s="450"/>
    </row>
    <row r="374" spans="1:56" ht="15" customHeight="1" outlineLevel="3">
      <c r="B374" s="579"/>
      <c r="C374" s="2793" t="s">
        <v>1922</v>
      </c>
      <c r="D374" s="591" t="s">
        <v>1923</v>
      </c>
      <c r="E374" s="582">
        <v>0</v>
      </c>
      <c r="F374" s="582">
        <v>0</v>
      </c>
      <c r="G374" s="582">
        <v>0</v>
      </c>
      <c r="H374" s="582">
        <v>0</v>
      </c>
      <c r="I374" s="582">
        <v>0</v>
      </c>
      <c r="J374" s="582">
        <v>0</v>
      </c>
      <c r="K374" s="582">
        <v>0</v>
      </c>
      <c r="L374" s="582">
        <v>0</v>
      </c>
      <c r="M374" s="582">
        <v>0</v>
      </c>
      <c r="N374" s="582">
        <v>0</v>
      </c>
      <c r="O374" s="582">
        <v>0</v>
      </c>
      <c r="P374" s="582">
        <v>0</v>
      </c>
      <c r="Q374" s="582">
        <v>0</v>
      </c>
      <c r="R374" s="582">
        <v>0</v>
      </c>
      <c r="S374" s="582">
        <v>0</v>
      </c>
      <c r="T374" s="582">
        <v>0</v>
      </c>
      <c r="U374" s="582">
        <v>0</v>
      </c>
      <c r="V374" s="582">
        <v>0</v>
      </c>
      <c r="W374" s="582">
        <v>0</v>
      </c>
      <c r="X374" s="582">
        <v>0</v>
      </c>
      <c r="Y374" s="582">
        <v>0</v>
      </c>
      <c r="Z374" s="582">
        <v>0</v>
      </c>
      <c r="AA374" s="582">
        <v>0</v>
      </c>
      <c r="AB374" s="582">
        <v>0</v>
      </c>
      <c r="AC374" s="582">
        <v>0</v>
      </c>
      <c r="AD374" s="582">
        <v>0</v>
      </c>
      <c r="AE374" s="583">
        <v>0</v>
      </c>
      <c r="AF374" s="582">
        <v>0</v>
      </c>
      <c r="AG374" s="582">
        <v>0</v>
      </c>
      <c r="AH374" s="582">
        <v>0</v>
      </c>
      <c r="AI374" s="582">
        <v>0</v>
      </c>
      <c r="AJ374" s="582">
        <v>0</v>
      </c>
      <c r="AK374" s="582">
        <v>0</v>
      </c>
      <c r="AL374" s="582">
        <v>0</v>
      </c>
      <c r="AM374" s="582">
        <v>0</v>
      </c>
      <c r="AN374" s="582">
        <v>0</v>
      </c>
      <c r="AO374" s="582">
        <v>0</v>
      </c>
      <c r="AP374" s="582">
        <v>0</v>
      </c>
      <c r="AQ374" s="582">
        <v>0</v>
      </c>
      <c r="AR374" s="582">
        <v>0</v>
      </c>
      <c r="AS374" s="582">
        <v>0</v>
      </c>
      <c r="AT374" s="582">
        <v>0</v>
      </c>
      <c r="AU374" s="582">
        <v>0</v>
      </c>
      <c r="AV374" s="582">
        <v>0</v>
      </c>
      <c r="AW374" s="582">
        <v>0</v>
      </c>
      <c r="AX374" s="582">
        <v>0</v>
      </c>
      <c r="AY374" s="582">
        <v>0</v>
      </c>
      <c r="AZ374" s="582">
        <v>0</v>
      </c>
      <c r="BA374" s="582">
        <v>0</v>
      </c>
      <c r="BB374" s="582">
        <v>0</v>
      </c>
      <c r="BC374" s="508"/>
      <c r="BD374" s="450"/>
    </row>
    <row r="375" spans="1:56" s="415" customFormat="1" ht="15" customHeight="1" outlineLevel="2">
      <c r="B375" s="584"/>
      <c r="C375" s="589" t="s">
        <v>1924</v>
      </c>
      <c r="D375" s="592" t="s">
        <v>1925</v>
      </c>
      <c r="E375" s="587">
        <f t="shared" ref="E375:Z375" si="254">E371+E372+E374</f>
        <v>0</v>
      </c>
      <c r="F375" s="587">
        <f t="shared" si="254"/>
        <v>0</v>
      </c>
      <c r="G375" s="587">
        <f t="shared" si="254"/>
        <v>0</v>
      </c>
      <c r="H375" s="587">
        <f t="shared" si="254"/>
        <v>0</v>
      </c>
      <c r="I375" s="587">
        <f t="shared" si="254"/>
        <v>0</v>
      </c>
      <c r="J375" s="587">
        <f t="shared" si="254"/>
        <v>0</v>
      </c>
      <c r="K375" s="587">
        <f t="shared" si="254"/>
        <v>0</v>
      </c>
      <c r="L375" s="587">
        <f t="shared" si="254"/>
        <v>0</v>
      </c>
      <c r="M375" s="587">
        <f t="shared" si="254"/>
        <v>0</v>
      </c>
      <c r="N375" s="587">
        <f t="shared" si="254"/>
        <v>0</v>
      </c>
      <c r="O375" s="587">
        <f t="shared" si="254"/>
        <v>0</v>
      </c>
      <c r="P375" s="587">
        <f t="shared" si="254"/>
        <v>0</v>
      </c>
      <c r="Q375" s="587">
        <f t="shared" si="254"/>
        <v>0</v>
      </c>
      <c r="R375" s="587">
        <f t="shared" si="254"/>
        <v>0</v>
      </c>
      <c r="S375" s="587">
        <f t="shared" si="254"/>
        <v>0</v>
      </c>
      <c r="T375" s="587">
        <f t="shared" si="254"/>
        <v>0</v>
      </c>
      <c r="U375" s="587">
        <f t="shared" si="254"/>
        <v>0</v>
      </c>
      <c r="V375" s="587">
        <f t="shared" si="254"/>
        <v>0</v>
      </c>
      <c r="W375" s="587">
        <f t="shared" si="254"/>
        <v>0</v>
      </c>
      <c r="X375" s="587">
        <f t="shared" si="254"/>
        <v>0</v>
      </c>
      <c r="Y375" s="587">
        <f t="shared" si="254"/>
        <v>0</v>
      </c>
      <c r="Z375" s="587">
        <f t="shared" si="254"/>
        <v>0</v>
      </c>
      <c r="AA375" s="587">
        <f>AA371+AA372+AA374</f>
        <v>0</v>
      </c>
      <c r="AB375" s="587">
        <f t="shared" ref="AB375:BB375" si="255">AB371+AB372+AB374</f>
        <v>0</v>
      </c>
      <c r="AC375" s="587">
        <f t="shared" si="255"/>
        <v>0</v>
      </c>
      <c r="AD375" s="587">
        <f t="shared" si="255"/>
        <v>0</v>
      </c>
      <c r="AE375" s="588">
        <f t="shared" si="255"/>
        <v>0</v>
      </c>
      <c r="AF375" s="587">
        <f t="shared" si="255"/>
        <v>0</v>
      </c>
      <c r="AG375" s="587">
        <f t="shared" si="255"/>
        <v>0</v>
      </c>
      <c r="AH375" s="587">
        <f t="shared" si="255"/>
        <v>0</v>
      </c>
      <c r="AI375" s="587">
        <f t="shared" si="255"/>
        <v>0</v>
      </c>
      <c r="AJ375" s="587">
        <f t="shared" si="255"/>
        <v>0</v>
      </c>
      <c r="AK375" s="587">
        <f t="shared" si="255"/>
        <v>0</v>
      </c>
      <c r="AL375" s="587">
        <f t="shared" si="255"/>
        <v>0</v>
      </c>
      <c r="AM375" s="587">
        <f t="shared" si="255"/>
        <v>0</v>
      </c>
      <c r="AN375" s="587">
        <f t="shared" si="255"/>
        <v>0</v>
      </c>
      <c r="AO375" s="587">
        <f t="shared" si="255"/>
        <v>0</v>
      </c>
      <c r="AP375" s="587">
        <f t="shared" si="255"/>
        <v>0</v>
      </c>
      <c r="AQ375" s="587">
        <f t="shared" ref="AQ375:AZ375" si="256">AQ371+AQ372+AQ374</f>
        <v>0</v>
      </c>
      <c r="AR375" s="587">
        <f t="shared" si="256"/>
        <v>0</v>
      </c>
      <c r="AS375" s="587">
        <f t="shared" si="256"/>
        <v>0</v>
      </c>
      <c r="AT375" s="587">
        <f t="shared" si="256"/>
        <v>0</v>
      </c>
      <c r="AU375" s="587">
        <f t="shared" si="256"/>
        <v>0</v>
      </c>
      <c r="AV375" s="587">
        <f t="shared" si="256"/>
        <v>0</v>
      </c>
      <c r="AW375" s="587">
        <f t="shared" si="256"/>
        <v>0</v>
      </c>
      <c r="AX375" s="587">
        <f t="shared" si="256"/>
        <v>0</v>
      </c>
      <c r="AY375" s="587">
        <f t="shared" si="256"/>
        <v>0</v>
      </c>
      <c r="AZ375" s="587">
        <f t="shared" si="256"/>
        <v>0</v>
      </c>
      <c r="BA375" s="587">
        <f t="shared" si="255"/>
        <v>0</v>
      </c>
      <c r="BB375" s="587">
        <f t="shared" si="255"/>
        <v>0</v>
      </c>
      <c r="BC375" s="506"/>
      <c r="BD375" s="420"/>
    </row>
    <row r="376" spans="1:56" s="415" customFormat="1" ht="15" customHeight="1" outlineLevel="2">
      <c r="B376" s="584"/>
      <c r="C376" s="589" t="s">
        <v>1926</v>
      </c>
      <c r="D376" s="586" t="s">
        <v>1927</v>
      </c>
      <c r="E376" s="587">
        <f>E375</f>
        <v>0</v>
      </c>
      <c r="F376" s="587">
        <f t="shared" ref="F376:Z376" si="257">F375-E375</f>
        <v>0</v>
      </c>
      <c r="G376" s="587">
        <f t="shared" si="257"/>
        <v>0</v>
      </c>
      <c r="H376" s="587">
        <f t="shared" si="257"/>
        <v>0</v>
      </c>
      <c r="I376" s="587">
        <f t="shared" si="257"/>
        <v>0</v>
      </c>
      <c r="J376" s="587">
        <f t="shared" si="257"/>
        <v>0</v>
      </c>
      <c r="K376" s="587">
        <f t="shared" si="257"/>
        <v>0</v>
      </c>
      <c r="L376" s="587">
        <f t="shared" si="257"/>
        <v>0</v>
      </c>
      <c r="M376" s="587">
        <f t="shared" si="257"/>
        <v>0</v>
      </c>
      <c r="N376" s="587">
        <f t="shared" si="257"/>
        <v>0</v>
      </c>
      <c r="O376" s="587">
        <f t="shared" si="257"/>
        <v>0</v>
      </c>
      <c r="P376" s="587">
        <f t="shared" si="257"/>
        <v>0</v>
      </c>
      <c r="Q376" s="587">
        <f t="shared" si="257"/>
        <v>0</v>
      </c>
      <c r="R376" s="587">
        <f t="shared" si="257"/>
        <v>0</v>
      </c>
      <c r="S376" s="587">
        <f t="shared" si="257"/>
        <v>0</v>
      </c>
      <c r="T376" s="587">
        <f t="shared" si="257"/>
        <v>0</v>
      </c>
      <c r="U376" s="587">
        <f t="shared" si="257"/>
        <v>0</v>
      </c>
      <c r="V376" s="587">
        <f t="shared" si="257"/>
        <v>0</v>
      </c>
      <c r="W376" s="587">
        <f t="shared" si="257"/>
        <v>0</v>
      </c>
      <c r="X376" s="587">
        <f t="shared" si="257"/>
        <v>0</v>
      </c>
      <c r="Y376" s="587">
        <f t="shared" si="257"/>
        <v>0</v>
      </c>
      <c r="Z376" s="587">
        <f t="shared" si="257"/>
        <v>0</v>
      </c>
      <c r="AA376" s="587">
        <f t="shared" ref="AA376:AZ376" si="258">(AA375-Z375)</f>
        <v>0</v>
      </c>
      <c r="AB376" s="587">
        <f t="shared" si="258"/>
        <v>0</v>
      </c>
      <c r="AC376" s="587">
        <f t="shared" si="258"/>
        <v>0</v>
      </c>
      <c r="AD376" s="587">
        <f t="shared" si="258"/>
        <v>0</v>
      </c>
      <c r="AE376" s="588">
        <f t="shared" si="258"/>
        <v>0</v>
      </c>
      <c r="AF376" s="587">
        <f t="shared" si="258"/>
        <v>0</v>
      </c>
      <c r="AG376" s="587">
        <f t="shared" si="258"/>
        <v>0</v>
      </c>
      <c r="AH376" s="587">
        <f t="shared" si="258"/>
        <v>0</v>
      </c>
      <c r="AI376" s="587">
        <f t="shared" si="258"/>
        <v>0</v>
      </c>
      <c r="AJ376" s="587">
        <f t="shared" si="258"/>
        <v>0</v>
      </c>
      <c r="AK376" s="587">
        <f t="shared" si="258"/>
        <v>0</v>
      </c>
      <c r="AL376" s="587">
        <f t="shared" si="258"/>
        <v>0</v>
      </c>
      <c r="AM376" s="587">
        <f t="shared" si="258"/>
        <v>0</v>
      </c>
      <c r="AN376" s="587">
        <f t="shared" si="258"/>
        <v>0</v>
      </c>
      <c r="AO376" s="587">
        <f t="shared" si="258"/>
        <v>0</v>
      </c>
      <c r="AP376" s="587">
        <f t="shared" si="258"/>
        <v>0</v>
      </c>
      <c r="AQ376" s="587">
        <f t="shared" si="258"/>
        <v>0</v>
      </c>
      <c r="AR376" s="587">
        <f t="shared" si="258"/>
        <v>0</v>
      </c>
      <c r="AS376" s="587">
        <f t="shared" si="258"/>
        <v>0</v>
      </c>
      <c r="AT376" s="587">
        <f t="shared" si="258"/>
        <v>0</v>
      </c>
      <c r="AU376" s="587">
        <f t="shared" si="258"/>
        <v>0</v>
      </c>
      <c r="AV376" s="587">
        <f t="shared" si="258"/>
        <v>0</v>
      </c>
      <c r="AW376" s="587">
        <f t="shared" si="258"/>
        <v>0</v>
      </c>
      <c r="AX376" s="587">
        <f t="shared" si="258"/>
        <v>0</v>
      </c>
      <c r="AY376" s="587">
        <f t="shared" si="258"/>
        <v>0</v>
      </c>
      <c r="AZ376" s="587">
        <f t="shared" si="258"/>
        <v>0</v>
      </c>
      <c r="BA376" s="587">
        <f>(BA375-AP375)</f>
        <v>0</v>
      </c>
      <c r="BB376" s="587">
        <f>(BB375-BA375)</f>
        <v>0</v>
      </c>
      <c r="BC376" s="506"/>
      <c r="BD376" s="420"/>
    </row>
    <row r="377" spans="1:56" s="536" customFormat="1" ht="16.5" customHeight="1" outlineLevel="2">
      <c r="A377" s="431"/>
      <c r="B377" s="584"/>
      <c r="C377" s="593"/>
      <c r="D377" s="586"/>
      <c r="E377" s="587"/>
      <c r="F377" s="587"/>
      <c r="G377" s="587"/>
      <c r="H377" s="587"/>
      <c r="I377" s="587"/>
      <c r="J377" s="582"/>
      <c r="K377" s="582"/>
      <c r="L377" s="582"/>
      <c r="M377" s="582"/>
      <c r="N377" s="582"/>
      <c r="O377" s="582"/>
      <c r="P377" s="582"/>
      <c r="Q377" s="582"/>
      <c r="R377" s="582"/>
      <c r="S377" s="582"/>
      <c r="T377" s="582"/>
      <c r="U377" s="582"/>
      <c r="V377" s="582"/>
      <c r="W377" s="582"/>
      <c r="X377" s="582"/>
      <c r="Y377" s="582"/>
      <c r="Z377" s="582"/>
      <c r="AA377" s="582"/>
      <c r="AB377" s="582"/>
      <c r="AC377" s="582"/>
      <c r="AD377" s="582"/>
      <c r="AE377" s="583"/>
      <c r="AF377" s="582"/>
      <c r="AG377" s="582"/>
      <c r="AH377" s="582"/>
      <c r="AI377" s="582"/>
      <c r="AJ377" s="582"/>
      <c r="AK377" s="582"/>
      <c r="AL377" s="582"/>
      <c r="AM377" s="582"/>
      <c r="AN377" s="582"/>
      <c r="AO377" s="582"/>
      <c r="AP377" s="582"/>
      <c r="AQ377" s="582"/>
      <c r="AR377" s="582"/>
      <c r="AS377" s="582"/>
      <c r="AT377" s="582"/>
      <c r="AU377" s="582"/>
      <c r="AV377" s="582"/>
      <c r="AW377" s="582"/>
      <c r="AX377" s="582"/>
      <c r="AY377" s="582"/>
      <c r="AZ377" s="582"/>
      <c r="BA377" s="582"/>
      <c r="BB377" s="582"/>
      <c r="BC377" s="506"/>
      <c r="BD377" s="535"/>
    </row>
    <row r="378" spans="1:56" outlineLevel="1">
      <c r="B378" s="568">
        <v>500</v>
      </c>
      <c r="C378" s="569" t="s">
        <v>1934</v>
      </c>
      <c r="D378" s="570" t="s">
        <v>1896</v>
      </c>
      <c r="E378" s="574">
        <f t="shared" ref="E378:BB378" si="259">E395</f>
        <v>0</v>
      </c>
      <c r="F378" s="574">
        <f t="shared" si="259"/>
        <v>0</v>
      </c>
      <c r="G378" s="574">
        <f t="shared" si="259"/>
        <v>0</v>
      </c>
      <c r="H378" s="574">
        <f t="shared" si="259"/>
        <v>0</v>
      </c>
      <c r="I378" s="574">
        <f t="shared" si="259"/>
        <v>0</v>
      </c>
      <c r="J378" s="574">
        <f t="shared" si="259"/>
        <v>0</v>
      </c>
      <c r="K378" s="574">
        <f t="shared" si="259"/>
        <v>0</v>
      </c>
      <c r="L378" s="574">
        <f t="shared" si="259"/>
        <v>0</v>
      </c>
      <c r="M378" s="574">
        <f t="shared" si="259"/>
        <v>0</v>
      </c>
      <c r="N378" s="574">
        <f t="shared" si="259"/>
        <v>0</v>
      </c>
      <c r="O378" s="574">
        <f t="shared" si="259"/>
        <v>0</v>
      </c>
      <c r="P378" s="574">
        <f t="shared" si="259"/>
        <v>0</v>
      </c>
      <c r="Q378" s="574">
        <f t="shared" si="259"/>
        <v>0</v>
      </c>
      <c r="R378" s="574">
        <f t="shared" si="259"/>
        <v>0</v>
      </c>
      <c r="S378" s="574">
        <f t="shared" si="259"/>
        <v>0</v>
      </c>
      <c r="T378" s="574">
        <f t="shared" si="259"/>
        <v>0</v>
      </c>
      <c r="U378" s="574">
        <f t="shared" si="259"/>
        <v>0</v>
      </c>
      <c r="V378" s="574">
        <f t="shared" si="259"/>
        <v>0</v>
      </c>
      <c r="W378" s="574">
        <f t="shared" si="259"/>
        <v>0</v>
      </c>
      <c r="X378" s="574">
        <f t="shared" si="259"/>
        <v>0</v>
      </c>
      <c r="Y378" s="574">
        <f t="shared" si="259"/>
        <v>0</v>
      </c>
      <c r="Z378" s="574">
        <f t="shared" si="259"/>
        <v>0</v>
      </c>
      <c r="AA378" s="574">
        <f t="shared" si="259"/>
        <v>0</v>
      </c>
      <c r="AB378" s="574">
        <f t="shared" si="259"/>
        <v>0</v>
      </c>
      <c r="AC378" s="574">
        <f t="shared" si="259"/>
        <v>0</v>
      </c>
      <c r="AD378" s="574">
        <f t="shared" si="259"/>
        <v>0</v>
      </c>
      <c r="AE378" s="575">
        <f t="shared" si="259"/>
        <v>0</v>
      </c>
      <c r="AF378" s="574">
        <f t="shared" si="259"/>
        <v>0</v>
      </c>
      <c r="AG378" s="574">
        <f t="shared" si="259"/>
        <v>0</v>
      </c>
      <c r="AH378" s="574">
        <f t="shared" si="259"/>
        <v>0</v>
      </c>
      <c r="AI378" s="574">
        <f t="shared" si="259"/>
        <v>0</v>
      </c>
      <c r="AJ378" s="574">
        <f t="shared" si="259"/>
        <v>0</v>
      </c>
      <c r="AK378" s="574">
        <f t="shared" si="259"/>
        <v>0</v>
      </c>
      <c r="AL378" s="574">
        <f t="shared" si="259"/>
        <v>0</v>
      </c>
      <c r="AM378" s="574">
        <f t="shared" si="259"/>
        <v>0</v>
      </c>
      <c r="AN378" s="574">
        <f t="shared" si="259"/>
        <v>0</v>
      </c>
      <c r="AO378" s="574">
        <f t="shared" si="259"/>
        <v>0</v>
      </c>
      <c r="AP378" s="574">
        <f t="shared" si="259"/>
        <v>0</v>
      </c>
      <c r="AQ378" s="574">
        <f t="shared" ref="AQ378:AZ378" si="260">AQ395</f>
        <v>0</v>
      </c>
      <c r="AR378" s="574">
        <f t="shared" si="260"/>
        <v>0</v>
      </c>
      <c r="AS378" s="574">
        <f t="shared" si="260"/>
        <v>0</v>
      </c>
      <c r="AT378" s="574">
        <f t="shared" si="260"/>
        <v>0</v>
      </c>
      <c r="AU378" s="574">
        <f t="shared" si="260"/>
        <v>0</v>
      </c>
      <c r="AV378" s="574">
        <f t="shared" si="260"/>
        <v>0</v>
      </c>
      <c r="AW378" s="574">
        <f t="shared" si="260"/>
        <v>0</v>
      </c>
      <c r="AX378" s="574">
        <f t="shared" si="260"/>
        <v>0</v>
      </c>
      <c r="AY378" s="574">
        <f t="shared" si="260"/>
        <v>0</v>
      </c>
      <c r="AZ378" s="574">
        <f t="shared" si="260"/>
        <v>0</v>
      </c>
      <c r="BA378" s="574">
        <f t="shared" si="259"/>
        <v>0</v>
      </c>
      <c r="BB378" s="574">
        <f t="shared" si="259"/>
        <v>0</v>
      </c>
      <c r="BC378" s="508">
        <f>AA378</f>
        <v>0</v>
      </c>
      <c r="BD378" s="450"/>
    </row>
    <row r="379" spans="1:56" outlineLevel="1">
      <c r="B379" s="568"/>
      <c r="C379" s="569"/>
      <c r="D379" s="570" t="s">
        <v>1897</v>
      </c>
      <c r="E379" s="574">
        <f t="shared" ref="E379:BB379" si="261">E396</f>
        <v>0</v>
      </c>
      <c r="F379" s="574">
        <f t="shared" si="261"/>
        <v>0</v>
      </c>
      <c r="G379" s="574">
        <f t="shared" si="261"/>
        <v>0</v>
      </c>
      <c r="H379" s="574">
        <f t="shared" si="261"/>
        <v>0</v>
      </c>
      <c r="I379" s="574">
        <f t="shared" si="261"/>
        <v>0</v>
      </c>
      <c r="J379" s="574">
        <f t="shared" si="261"/>
        <v>0</v>
      </c>
      <c r="K379" s="574">
        <f t="shared" si="261"/>
        <v>0</v>
      </c>
      <c r="L379" s="574">
        <f t="shared" si="261"/>
        <v>0</v>
      </c>
      <c r="M379" s="574">
        <f t="shared" si="261"/>
        <v>0</v>
      </c>
      <c r="N379" s="574">
        <f t="shared" si="261"/>
        <v>0</v>
      </c>
      <c r="O379" s="574">
        <f t="shared" si="261"/>
        <v>0</v>
      </c>
      <c r="P379" s="574">
        <f t="shared" si="261"/>
        <v>0</v>
      </c>
      <c r="Q379" s="574">
        <f t="shared" si="261"/>
        <v>0</v>
      </c>
      <c r="R379" s="574">
        <f t="shared" si="261"/>
        <v>0</v>
      </c>
      <c r="S379" s="574">
        <f t="shared" si="261"/>
        <v>0</v>
      </c>
      <c r="T379" s="574">
        <f t="shared" si="261"/>
        <v>0</v>
      </c>
      <c r="U379" s="574">
        <f t="shared" si="261"/>
        <v>0</v>
      </c>
      <c r="V379" s="574">
        <f t="shared" si="261"/>
        <v>0</v>
      </c>
      <c r="W379" s="574">
        <f t="shared" si="261"/>
        <v>0</v>
      </c>
      <c r="X379" s="574">
        <f t="shared" si="261"/>
        <v>0</v>
      </c>
      <c r="Y379" s="574">
        <f t="shared" si="261"/>
        <v>0</v>
      </c>
      <c r="Z379" s="574">
        <f t="shared" si="261"/>
        <v>0</v>
      </c>
      <c r="AA379" s="574">
        <f t="shared" si="261"/>
        <v>0</v>
      </c>
      <c r="AB379" s="574">
        <f t="shared" si="261"/>
        <v>0</v>
      </c>
      <c r="AC379" s="574">
        <f t="shared" si="261"/>
        <v>0</v>
      </c>
      <c r="AD379" s="574">
        <f t="shared" si="261"/>
        <v>0</v>
      </c>
      <c r="AE379" s="575">
        <f t="shared" si="261"/>
        <v>0</v>
      </c>
      <c r="AF379" s="574">
        <f t="shared" si="261"/>
        <v>0</v>
      </c>
      <c r="AG379" s="574">
        <f t="shared" si="261"/>
        <v>0</v>
      </c>
      <c r="AH379" s="574">
        <f t="shared" si="261"/>
        <v>0</v>
      </c>
      <c r="AI379" s="574">
        <f t="shared" si="261"/>
        <v>0</v>
      </c>
      <c r="AJ379" s="574">
        <f t="shared" si="261"/>
        <v>0</v>
      </c>
      <c r="AK379" s="574">
        <f t="shared" si="261"/>
        <v>0</v>
      </c>
      <c r="AL379" s="574">
        <f t="shared" si="261"/>
        <v>0</v>
      </c>
      <c r="AM379" s="574">
        <f t="shared" si="261"/>
        <v>0</v>
      </c>
      <c r="AN379" s="574">
        <f t="shared" si="261"/>
        <v>0</v>
      </c>
      <c r="AO379" s="574">
        <f t="shared" si="261"/>
        <v>0</v>
      </c>
      <c r="AP379" s="574">
        <f t="shared" si="261"/>
        <v>0</v>
      </c>
      <c r="AQ379" s="574">
        <f t="shared" ref="AQ379:AZ379" si="262">AQ396</f>
        <v>0</v>
      </c>
      <c r="AR379" s="574">
        <f t="shared" si="262"/>
        <v>0</v>
      </c>
      <c r="AS379" s="574">
        <f t="shared" si="262"/>
        <v>0</v>
      </c>
      <c r="AT379" s="574">
        <f t="shared" si="262"/>
        <v>0</v>
      </c>
      <c r="AU379" s="574">
        <f t="shared" si="262"/>
        <v>0</v>
      </c>
      <c r="AV379" s="574">
        <f t="shared" si="262"/>
        <v>0</v>
      </c>
      <c r="AW379" s="574">
        <f t="shared" si="262"/>
        <v>0</v>
      </c>
      <c r="AX379" s="574">
        <f t="shared" si="262"/>
        <v>0</v>
      </c>
      <c r="AY379" s="574">
        <f t="shared" si="262"/>
        <v>0</v>
      </c>
      <c r="AZ379" s="574">
        <f t="shared" si="262"/>
        <v>0</v>
      </c>
      <c r="BA379" s="574">
        <f t="shared" si="261"/>
        <v>0</v>
      </c>
      <c r="BB379" s="574">
        <f t="shared" si="261"/>
        <v>0</v>
      </c>
      <c r="BC379" s="500">
        <f>SUM(E379:BB379)</f>
        <v>0</v>
      </c>
      <c r="BD379" s="450"/>
    </row>
    <row r="380" spans="1:56" ht="15" customHeight="1" outlineLevel="2">
      <c r="B380" s="579"/>
      <c r="C380" s="594"/>
      <c r="D380" s="581"/>
      <c r="E380" s="582"/>
      <c r="F380" s="582"/>
      <c r="G380" s="582"/>
      <c r="H380" s="582"/>
      <c r="I380" s="582"/>
      <c r="J380" s="582"/>
      <c r="K380" s="582"/>
      <c r="L380" s="582"/>
      <c r="M380" s="582"/>
      <c r="N380" s="582"/>
      <c r="O380" s="582"/>
      <c r="P380" s="582"/>
      <c r="Q380" s="582"/>
      <c r="R380" s="582"/>
      <c r="S380" s="582"/>
      <c r="T380" s="582"/>
      <c r="U380" s="582"/>
      <c r="V380" s="582"/>
      <c r="W380" s="582"/>
      <c r="X380" s="582"/>
      <c r="Y380" s="582"/>
      <c r="Z380" s="582"/>
      <c r="AA380" s="582"/>
      <c r="AB380" s="582"/>
      <c r="AC380" s="582"/>
      <c r="AD380" s="582"/>
      <c r="AE380" s="583"/>
      <c r="AF380" s="582"/>
      <c r="AG380" s="582"/>
      <c r="AH380" s="582"/>
      <c r="AI380" s="582"/>
      <c r="AJ380" s="582"/>
      <c r="AK380" s="582"/>
      <c r="AL380" s="582"/>
      <c r="AM380" s="582"/>
      <c r="AN380" s="582"/>
      <c r="AO380" s="582"/>
      <c r="AP380" s="582"/>
      <c r="AQ380" s="582"/>
      <c r="AR380" s="582"/>
      <c r="AS380" s="582"/>
      <c r="AT380" s="582"/>
      <c r="AU380" s="582"/>
      <c r="AV380" s="582"/>
      <c r="AW380" s="582"/>
      <c r="AX380" s="582"/>
      <c r="AY380" s="582"/>
      <c r="AZ380" s="582"/>
      <c r="BA380" s="582"/>
      <c r="BB380" s="582"/>
      <c r="BC380" s="508"/>
      <c r="BD380" s="450"/>
    </row>
    <row r="381" spans="1:56" ht="16.5" customHeight="1" outlineLevel="2">
      <c r="B381" s="576">
        <v>500.1</v>
      </c>
      <c r="C381" s="577" t="s">
        <v>1941</v>
      </c>
      <c r="D381" s="578"/>
      <c r="E381" s="574"/>
      <c r="F381" s="574"/>
      <c r="G381" s="574"/>
      <c r="H381" s="574"/>
      <c r="I381" s="574"/>
      <c r="J381" s="574"/>
      <c r="K381" s="574"/>
      <c r="L381" s="574"/>
      <c r="M381" s="574"/>
      <c r="N381" s="574"/>
      <c r="O381" s="574"/>
      <c r="P381" s="574"/>
      <c r="Q381" s="574"/>
      <c r="R381" s="574"/>
      <c r="S381" s="574"/>
      <c r="T381" s="574"/>
      <c r="U381" s="574"/>
      <c r="V381" s="574"/>
      <c r="W381" s="574"/>
      <c r="X381" s="574"/>
      <c r="Y381" s="574"/>
      <c r="Z381" s="574"/>
      <c r="AA381" s="574"/>
      <c r="AB381" s="574"/>
      <c r="AC381" s="574"/>
      <c r="AD381" s="574"/>
      <c r="AE381" s="575"/>
      <c r="AF381" s="574"/>
      <c r="AG381" s="574"/>
      <c r="AH381" s="574"/>
      <c r="AI381" s="574"/>
      <c r="AJ381" s="574"/>
      <c r="AK381" s="574"/>
      <c r="AL381" s="574"/>
      <c r="AM381" s="574"/>
      <c r="AN381" s="574"/>
      <c r="AO381" s="574"/>
      <c r="AP381" s="574"/>
      <c r="AQ381" s="574"/>
      <c r="AR381" s="574"/>
      <c r="AS381" s="574"/>
      <c r="AT381" s="574"/>
      <c r="AU381" s="574"/>
      <c r="AV381" s="574"/>
      <c r="AW381" s="574"/>
      <c r="AX381" s="574"/>
      <c r="AY381" s="574"/>
      <c r="AZ381" s="574"/>
      <c r="BA381" s="574"/>
      <c r="BB381" s="574"/>
      <c r="BC381" s="508"/>
      <c r="BD381" s="450"/>
    </row>
    <row r="382" spans="1:56" ht="15" customHeight="1" outlineLevel="3">
      <c r="B382" s="579"/>
      <c r="C382" s="580" t="s">
        <v>1898</v>
      </c>
      <c r="D382" s="581" t="s">
        <v>1899</v>
      </c>
      <c r="E382" s="582">
        <v>0</v>
      </c>
      <c r="F382" s="582">
        <v>0</v>
      </c>
      <c r="G382" s="582">
        <v>0</v>
      </c>
      <c r="H382" s="582">
        <v>0</v>
      </c>
      <c r="I382" s="582">
        <v>0</v>
      </c>
      <c r="J382" s="582">
        <v>0</v>
      </c>
      <c r="K382" s="582">
        <v>0</v>
      </c>
      <c r="L382" s="582">
        <v>0</v>
      </c>
      <c r="M382" s="582">
        <v>0</v>
      </c>
      <c r="N382" s="582">
        <v>0</v>
      </c>
      <c r="O382" s="582">
        <v>0</v>
      </c>
      <c r="P382" s="582">
        <v>0</v>
      </c>
      <c r="Q382" s="582">
        <v>0</v>
      </c>
      <c r="R382" s="582">
        <v>0</v>
      </c>
      <c r="S382" s="582">
        <v>0</v>
      </c>
      <c r="T382" s="582">
        <v>0</v>
      </c>
      <c r="U382" s="582">
        <v>0</v>
      </c>
      <c r="V382" s="582">
        <v>0</v>
      </c>
      <c r="W382" s="582">
        <v>0</v>
      </c>
      <c r="X382" s="582">
        <v>0</v>
      </c>
      <c r="Y382" s="582">
        <v>0</v>
      </c>
      <c r="Z382" s="582">
        <v>0</v>
      </c>
      <c r="AA382" s="582">
        <v>0</v>
      </c>
      <c r="AB382" s="582">
        <v>0</v>
      </c>
      <c r="AC382" s="582">
        <v>0</v>
      </c>
      <c r="AD382" s="582">
        <v>0</v>
      </c>
      <c r="AE382" s="583">
        <v>0</v>
      </c>
      <c r="AF382" s="582">
        <v>0</v>
      </c>
      <c r="AG382" s="582">
        <v>0</v>
      </c>
      <c r="AH382" s="582">
        <v>0</v>
      </c>
      <c r="AI382" s="582">
        <v>0</v>
      </c>
      <c r="AJ382" s="582">
        <v>0</v>
      </c>
      <c r="AK382" s="582">
        <v>0</v>
      </c>
      <c r="AL382" s="582">
        <v>0</v>
      </c>
      <c r="AM382" s="582">
        <v>0</v>
      </c>
      <c r="AN382" s="582">
        <v>0</v>
      </c>
      <c r="AO382" s="582">
        <v>0</v>
      </c>
      <c r="AP382" s="582">
        <v>0</v>
      </c>
      <c r="AQ382" s="582">
        <v>0</v>
      </c>
      <c r="AR382" s="582">
        <v>0</v>
      </c>
      <c r="AS382" s="582">
        <v>0</v>
      </c>
      <c r="AT382" s="582">
        <v>0</v>
      </c>
      <c r="AU382" s="582">
        <v>0</v>
      </c>
      <c r="AV382" s="582">
        <v>0</v>
      </c>
      <c r="AW382" s="582">
        <v>0</v>
      </c>
      <c r="AX382" s="582">
        <v>0</v>
      </c>
      <c r="AY382" s="582">
        <v>0</v>
      </c>
      <c r="AZ382" s="582">
        <v>0</v>
      </c>
      <c r="BA382" s="582">
        <v>0</v>
      </c>
      <c r="BB382" s="582">
        <v>0</v>
      </c>
      <c r="BC382" s="500"/>
      <c r="BD382" s="450"/>
    </row>
    <row r="383" spans="1:56" ht="15" customHeight="1" outlineLevel="3">
      <c r="B383" s="579"/>
      <c r="C383" s="580" t="s">
        <v>1901</v>
      </c>
      <c r="D383" s="581" t="s">
        <v>1902</v>
      </c>
      <c r="E383" s="582">
        <v>0</v>
      </c>
      <c r="F383" s="582">
        <v>0</v>
      </c>
      <c r="G383" s="582">
        <v>0</v>
      </c>
      <c r="H383" s="582">
        <v>0</v>
      </c>
      <c r="I383" s="582">
        <v>0</v>
      </c>
      <c r="J383" s="582">
        <v>0</v>
      </c>
      <c r="K383" s="582">
        <v>0</v>
      </c>
      <c r="L383" s="582">
        <v>0</v>
      </c>
      <c r="M383" s="582">
        <v>0</v>
      </c>
      <c r="N383" s="582">
        <v>0</v>
      </c>
      <c r="O383" s="582">
        <v>0</v>
      </c>
      <c r="P383" s="582">
        <v>0</v>
      </c>
      <c r="Q383" s="582">
        <v>0</v>
      </c>
      <c r="R383" s="582">
        <v>0</v>
      </c>
      <c r="S383" s="582">
        <v>0</v>
      </c>
      <c r="T383" s="582">
        <v>0</v>
      </c>
      <c r="U383" s="582">
        <v>0</v>
      </c>
      <c r="V383" s="582">
        <v>0</v>
      </c>
      <c r="W383" s="582">
        <v>0</v>
      </c>
      <c r="X383" s="582">
        <v>0</v>
      </c>
      <c r="Y383" s="582">
        <v>0</v>
      </c>
      <c r="Z383" s="582">
        <v>0</v>
      </c>
      <c r="AA383" s="582">
        <v>0</v>
      </c>
      <c r="AB383" s="582">
        <v>0</v>
      </c>
      <c r="AC383" s="582">
        <v>0</v>
      </c>
      <c r="AD383" s="582">
        <v>0</v>
      </c>
      <c r="AE383" s="583">
        <v>0</v>
      </c>
      <c r="AF383" s="582">
        <v>0</v>
      </c>
      <c r="AG383" s="582">
        <v>0</v>
      </c>
      <c r="AH383" s="582">
        <v>0</v>
      </c>
      <c r="AI383" s="582">
        <v>0</v>
      </c>
      <c r="AJ383" s="582">
        <v>0</v>
      </c>
      <c r="AK383" s="582">
        <v>0</v>
      </c>
      <c r="AL383" s="582">
        <v>0</v>
      </c>
      <c r="AM383" s="582">
        <v>0</v>
      </c>
      <c r="AN383" s="582">
        <v>0</v>
      </c>
      <c r="AO383" s="582">
        <v>0</v>
      </c>
      <c r="AP383" s="582">
        <v>0</v>
      </c>
      <c r="AQ383" s="582">
        <v>0</v>
      </c>
      <c r="AR383" s="582">
        <v>0</v>
      </c>
      <c r="AS383" s="582">
        <v>0</v>
      </c>
      <c r="AT383" s="582">
        <v>0</v>
      </c>
      <c r="AU383" s="582">
        <v>0</v>
      </c>
      <c r="AV383" s="582">
        <v>0</v>
      </c>
      <c r="AW383" s="582">
        <v>0</v>
      </c>
      <c r="AX383" s="582">
        <v>0</v>
      </c>
      <c r="AY383" s="582">
        <v>0</v>
      </c>
      <c r="AZ383" s="582">
        <v>0</v>
      </c>
      <c r="BA383" s="582">
        <v>0</v>
      </c>
      <c r="BB383" s="582">
        <v>0</v>
      </c>
      <c r="BC383" s="500"/>
      <c r="BD383" s="450"/>
    </row>
    <row r="384" spans="1:56" ht="15" customHeight="1" outlineLevel="3">
      <c r="B384" s="579"/>
      <c r="C384" s="580" t="s">
        <v>1903</v>
      </c>
      <c r="D384" s="581" t="s">
        <v>1904</v>
      </c>
      <c r="E384" s="582">
        <v>0</v>
      </c>
      <c r="F384" s="582">
        <v>0</v>
      </c>
      <c r="G384" s="582">
        <v>0</v>
      </c>
      <c r="H384" s="582">
        <v>0</v>
      </c>
      <c r="I384" s="582">
        <v>0</v>
      </c>
      <c r="J384" s="582">
        <v>0</v>
      </c>
      <c r="K384" s="582">
        <v>0</v>
      </c>
      <c r="L384" s="582">
        <v>0</v>
      </c>
      <c r="M384" s="582">
        <v>0</v>
      </c>
      <c r="N384" s="582">
        <v>0</v>
      </c>
      <c r="O384" s="582">
        <v>0</v>
      </c>
      <c r="P384" s="582">
        <v>0</v>
      </c>
      <c r="Q384" s="582">
        <v>0</v>
      </c>
      <c r="R384" s="582">
        <v>0</v>
      </c>
      <c r="S384" s="582">
        <v>0</v>
      </c>
      <c r="T384" s="582">
        <v>0</v>
      </c>
      <c r="U384" s="582">
        <v>0</v>
      </c>
      <c r="V384" s="582">
        <v>0</v>
      </c>
      <c r="W384" s="582">
        <v>0</v>
      </c>
      <c r="X384" s="582">
        <v>0</v>
      </c>
      <c r="Y384" s="582">
        <v>0</v>
      </c>
      <c r="Z384" s="582">
        <v>0</v>
      </c>
      <c r="AA384" s="582">
        <v>0</v>
      </c>
      <c r="AB384" s="582">
        <v>0</v>
      </c>
      <c r="AC384" s="582">
        <v>0</v>
      </c>
      <c r="AD384" s="582">
        <v>0</v>
      </c>
      <c r="AE384" s="583">
        <v>0</v>
      </c>
      <c r="AF384" s="582">
        <v>0</v>
      </c>
      <c r="AG384" s="582">
        <v>0</v>
      </c>
      <c r="AH384" s="582">
        <v>0</v>
      </c>
      <c r="AI384" s="582">
        <v>0</v>
      </c>
      <c r="AJ384" s="582">
        <v>0</v>
      </c>
      <c r="AK384" s="582">
        <v>0</v>
      </c>
      <c r="AL384" s="582">
        <v>0</v>
      </c>
      <c r="AM384" s="582">
        <v>0</v>
      </c>
      <c r="AN384" s="582">
        <v>0</v>
      </c>
      <c r="AO384" s="582">
        <v>0</v>
      </c>
      <c r="AP384" s="582">
        <v>0</v>
      </c>
      <c r="AQ384" s="582">
        <v>0</v>
      </c>
      <c r="AR384" s="582">
        <v>0</v>
      </c>
      <c r="AS384" s="582">
        <v>0</v>
      </c>
      <c r="AT384" s="582">
        <v>0</v>
      </c>
      <c r="AU384" s="582">
        <v>0</v>
      </c>
      <c r="AV384" s="582">
        <v>0</v>
      </c>
      <c r="AW384" s="582">
        <v>0</v>
      </c>
      <c r="AX384" s="582">
        <v>0</v>
      </c>
      <c r="AY384" s="582">
        <v>0</v>
      </c>
      <c r="AZ384" s="582">
        <v>0</v>
      </c>
      <c r="BA384" s="582">
        <v>0</v>
      </c>
      <c r="BB384" s="582">
        <v>0</v>
      </c>
      <c r="BC384" s="500"/>
      <c r="BD384" s="450"/>
    </row>
    <row r="385" spans="1:101" s="415" customFormat="1" ht="15" customHeight="1" outlineLevel="3">
      <c r="B385" s="584"/>
      <c r="C385" s="585" t="s">
        <v>1905</v>
      </c>
      <c r="D385" s="586" t="s">
        <v>1906</v>
      </c>
      <c r="E385" s="587">
        <f>E382+E383+E384</f>
        <v>0</v>
      </c>
      <c r="F385" s="587">
        <f t="shared" ref="F385:Y385" si="263">F382+F383+F384</f>
        <v>0</v>
      </c>
      <c r="G385" s="587">
        <f t="shared" si="263"/>
        <v>0</v>
      </c>
      <c r="H385" s="587">
        <f t="shared" si="263"/>
        <v>0</v>
      </c>
      <c r="I385" s="587">
        <f t="shared" si="263"/>
        <v>0</v>
      </c>
      <c r="J385" s="587">
        <f t="shared" si="263"/>
        <v>0</v>
      </c>
      <c r="K385" s="587">
        <f t="shared" si="263"/>
        <v>0</v>
      </c>
      <c r="L385" s="587">
        <f t="shared" si="263"/>
        <v>0</v>
      </c>
      <c r="M385" s="587">
        <f t="shared" si="263"/>
        <v>0</v>
      </c>
      <c r="N385" s="587">
        <f t="shared" si="263"/>
        <v>0</v>
      </c>
      <c r="O385" s="587">
        <f t="shared" si="263"/>
        <v>0</v>
      </c>
      <c r="P385" s="587">
        <f t="shared" si="263"/>
        <v>0</v>
      </c>
      <c r="Q385" s="587">
        <f t="shared" si="263"/>
        <v>0</v>
      </c>
      <c r="R385" s="587">
        <f t="shared" si="263"/>
        <v>0</v>
      </c>
      <c r="S385" s="587">
        <f t="shared" si="263"/>
        <v>0</v>
      </c>
      <c r="T385" s="587">
        <f t="shared" si="263"/>
        <v>0</v>
      </c>
      <c r="U385" s="587">
        <f t="shared" si="263"/>
        <v>0</v>
      </c>
      <c r="V385" s="587">
        <f t="shared" si="263"/>
        <v>0</v>
      </c>
      <c r="W385" s="587">
        <f t="shared" si="263"/>
        <v>0</v>
      </c>
      <c r="X385" s="587">
        <f t="shared" si="263"/>
        <v>0</v>
      </c>
      <c r="Y385" s="587">
        <f t="shared" si="263"/>
        <v>0</v>
      </c>
      <c r="Z385" s="587"/>
      <c r="AA385" s="587"/>
      <c r="AB385" s="587"/>
      <c r="AC385" s="587"/>
      <c r="AD385" s="587"/>
      <c r="AE385" s="588"/>
      <c r="AF385" s="587"/>
      <c r="AG385" s="587"/>
      <c r="AH385" s="587"/>
      <c r="AI385" s="587"/>
      <c r="AJ385" s="587"/>
      <c r="AK385" s="587"/>
      <c r="AL385" s="587"/>
      <c r="AM385" s="587"/>
      <c r="AN385" s="587"/>
      <c r="AO385" s="587"/>
      <c r="AP385" s="587"/>
      <c r="AQ385" s="587"/>
      <c r="AR385" s="587"/>
      <c r="AS385" s="587"/>
      <c r="AT385" s="587"/>
      <c r="AU385" s="587"/>
      <c r="AV385" s="587"/>
      <c r="AW385" s="587"/>
      <c r="AX385" s="587"/>
      <c r="AY385" s="587"/>
      <c r="AZ385" s="587"/>
      <c r="BA385" s="587"/>
      <c r="BB385" s="587"/>
      <c r="BC385" s="506"/>
      <c r="BD385" s="420"/>
    </row>
    <row r="386" spans="1:101" s="415" customFormat="1" ht="15" customHeight="1" outlineLevel="3">
      <c r="B386" s="584"/>
      <c r="C386" s="589" t="s">
        <v>1907</v>
      </c>
      <c r="D386" s="586" t="s">
        <v>1908</v>
      </c>
      <c r="E386" s="587">
        <v>0</v>
      </c>
      <c r="F386" s="587">
        <v>0</v>
      </c>
      <c r="G386" s="587">
        <v>0</v>
      </c>
      <c r="H386" s="587">
        <v>0</v>
      </c>
      <c r="I386" s="587">
        <v>0</v>
      </c>
      <c r="J386" s="587">
        <v>0</v>
      </c>
      <c r="K386" s="587">
        <v>0</v>
      </c>
      <c r="L386" s="587">
        <v>0</v>
      </c>
      <c r="M386" s="587">
        <v>0</v>
      </c>
      <c r="N386" s="587">
        <v>0</v>
      </c>
      <c r="O386" s="587">
        <v>0</v>
      </c>
      <c r="P386" s="587">
        <v>0</v>
      </c>
      <c r="Q386" s="587">
        <v>0</v>
      </c>
      <c r="R386" s="587">
        <v>0</v>
      </c>
      <c r="S386" s="587">
        <v>0</v>
      </c>
      <c r="T386" s="587">
        <v>0</v>
      </c>
      <c r="U386" s="587">
        <v>0</v>
      </c>
      <c r="V386" s="587">
        <v>0</v>
      </c>
      <c r="W386" s="587">
        <v>0</v>
      </c>
      <c r="X386" s="587">
        <v>0</v>
      </c>
      <c r="Y386" s="587">
        <v>0</v>
      </c>
      <c r="Z386" s="587">
        <v>0</v>
      </c>
      <c r="AA386" s="587">
        <v>0</v>
      </c>
      <c r="AB386" s="587">
        <v>0</v>
      </c>
      <c r="AC386" s="587">
        <v>0</v>
      </c>
      <c r="AD386" s="587">
        <v>0</v>
      </c>
      <c r="AE386" s="588">
        <v>0</v>
      </c>
      <c r="AF386" s="587">
        <v>0</v>
      </c>
      <c r="AG386" s="587">
        <v>0</v>
      </c>
      <c r="AH386" s="587">
        <v>0</v>
      </c>
      <c r="AI386" s="587">
        <v>0</v>
      </c>
      <c r="AJ386" s="587">
        <v>0</v>
      </c>
      <c r="AK386" s="587">
        <v>0</v>
      </c>
      <c r="AL386" s="587">
        <v>0</v>
      </c>
      <c r="AM386" s="587">
        <v>0</v>
      </c>
      <c r="AN386" s="587">
        <v>0</v>
      </c>
      <c r="AO386" s="587">
        <v>0</v>
      </c>
      <c r="AP386" s="587">
        <v>0</v>
      </c>
      <c r="AQ386" s="587">
        <v>0</v>
      </c>
      <c r="AR386" s="587">
        <v>0</v>
      </c>
      <c r="AS386" s="587">
        <v>0</v>
      </c>
      <c r="AT386" s="587">
        <v>0</v>
      </c>
      <c r="AU386" s="587">
        <v>0</v>
      </c>
      <c r="AV386" s="587">
        <v>0</v>
      </c>
      <c r="AW386" s="587">
        <v>0</v>
      </c>
      <c r="AX386" s="587">
        <v>0</v>
      </c>
      <c r="AY386" s="587">
        <v>0</v>
      </c>
      <c r="AZ386" s="587">
        <v>0</v>
      </c>
      <c r="BA386" s="587">
        <v>0</v>
      </c>
      <c r="BB386" s="587">
        <v>0</v>
      </c>
      <c r="BC386" s="506"/>
      <c r="BD386" s="420"/>
    </row>
    <row r="387" spans="1:101" s="438" customFormat="1" ht="15" customHeight="1" outlineLevel="3">
      <c r="A387" s="431"/>
      <c r="B387" s="579"/>
      <c r="C387" s="590" t="s">
        <v>1579</v>
      </c>
      <c r="D387" s="581" t="s">
        <v>1909</v>
      </c>
      <c r="E387" s="582">
        <v>0</v>
      </c>
      <c r="F387" s="582">
        <v>0</v>
      </c>
      <c r="G387" s="582">
        <v>0</v>
      </c>
      <c r="H387" s="582">
        <v>0</v>
      </c>
      <c r="I387" s="582">
        <v>0</v>
      </c>
      <c r="J387" s="582">
        <v>0</v>
      </c>
      <c r="K387" s="582">
        <v>0</v>
      </c>
      <c r="L387" s="582">
        <v>0</v>
      </c>
      <c r="M387" s="582">
        <v>0</v>
      </c>
      <c r="N387" s="582">
        <v>0</v>
      </c>
      <c r="O387" s="582">
        <v>0</v>
      </c>
      <c r="P387" s="582">
        <v>0</v>
      </c>
      <c r="Q387" s="582">
        <v>0</v>
      </c>
      <c r="R387" s="582">
        <v>0</v>
      </c>
      <c r="S387" s="582">
        <v>0</v>
      </c>
      <c r="T387" s="582">
        <v>0</v>
      </c>
      <c r="U387" s="582">
        <v>0</v>
      </c>
      <c r="V387" s="582">
        <v>0</v>
      </c>
      <c r="W387" s="582">
        <v>0</v>
      </c>
      <c r="X387" s="582">
        <v>0</v>
      </c>
      <c r="Y387" s="582">
        <v>0</v>
      </c>
      <c r="Z387" s="582">
        <v>0</v>
      </c>
      <c r="AA387" s="582">
        <v>0</v>
      </c>
      <c r="AB387" s="582">
        <v>0</v>
      </c>
      <c r="AC387" s="582">
        <v>0</v>
      </c>
      <c r="AD387" s="582">
        <v>0</v>
      </c>
      <c r="AE387" s="583">
        <v>0</v>
      </c>
      <c r="AF387" s="582">
        <v>0</v>
      </c>
      <c r="AG387" s="582">
        <v>0</v>
      </c>
      <c r="AH387" s="582">
        <v>0</v>
      </c>
      <c r="AI387" s="582">
        <v>0</v>
      </c>
      <c r="AJ387" s="582">
        <v>0</v>
      </c>
      <c r="AK387" s="582">
        <v>0</v>
      </c>
      <c r="AL387" s="582">
        <v>0</v>
      </c>
      <c r="AM387" s="582">
        <v>0</v>
      </c>
      <c r="AN387" s="582">
        <v>0</v>
      </c>
      <c r="AO387" s="582">
        <v>0</v>
      </c>
      <c r="AP387" s="582">
        <v>0</v>
      </c>
      <c r="AQ387" s="582">
        <v>0</v>
      </c>
      <c r="AR387" s="582">
        <v>0</v>
      </c>
      <c r="AS387" s="582">
        <v>0</v>
      </c>
      <c r="AT387" s="582">
        <v>0</v>
      </c>
      <c r="AU387" s="582">
        <v>0</v>
      </c>
      <c r="AV387" s="582">
        <v>0</v>
      </c>
      <c r="AW387" s="582">
        <v>0</v>
      </c>
      <c r="AX387" s="582">
        <v>0</v>
      </c>
      <c r="AY387" s="582">
        <v>0</v>
      </c>
      <c r="AZ387" s="582">
        <v>0</v>
      </c>
      <c r="BA387" s="582">
        <v>0</v>
      </c>
      <c r="BB387" s="582">
        <v>0</v>
      </c>
      <c r="BC387" s="500">
        <f>+AA387</f>
        <v>0</v>
      </c>
      <c r="BD387" s="523"/>
    </row>
    <row r="388" spans="1:101" s="415" customFormat="1" ht="15" customHeight="1" outlineLevel="3">
      <c r="B388" s="584"/>
      <c r="C388" s="589" t="s">
        <v>1910</v>
      </c>
      <c r="D388" s="586" t="s">
        <v>1911</v>
      </c>
      <c r="E388" s="587">
        <f>E385+E386+E387</f>
        <v>0</v>
      </c>
      <c r="F388" s="587">
        <f t="shared" ref="F388:Y388" si="264">F385+F386+F387</f>
        <v>0</v>
      </c>
      <c r="G388" s="587">
        <f t="shared" si="264"/>
        <v>0</v>
      </c>
      <c r="H388" s="587">
        <f t="shared" si="264"/>
        <v>0</v>
      </c>
      <c r="I388" s="587">
        <f t="shared" si="264"/>
        <v>0</v>
      </c>
      <c r="J388" s="587">
        <f t="shared" si="264"/>
        <v>0</v>
      </c>
      <c r="K388" s="587">
        <f t="shared" si="264"/>
        <v>0</v>
      </c>
      <c r="L388" s="587">
        <f t="shared" si="264"/>
        <v>0</v>
      </c>
      <c r="M388" s="587">
        <f t="shared" si="264"/>
        <v>0</v>
      </c>
      <c r="N388" s="587">
        <f t="shared" si="264"/>
        <v>0</v>
      </c>
      <c r="O388" s="587">
        <f t="shared" si="264"/>
        <v>0</v>
      </c>
      <c r="P388" s="587">
        <f t="shared" si="264"/>
        <v>0</v>
      </c>
      <c r="Q388" s="587">
        <f t="shared" si="264"/>
        <v>0</v>
      </c>
      <c r="R388" s="587">
        <f t="shared" si="264"/>
        <v>0</v>
      </c>
      <c r="S388" s="587">
        <f t="shared" si="264"/>
        <v>0</v>
      </c>
      <c r="T388" s="587">
        <f t="shared" si="264"/>
        <v>0</v>
      </c>
      <c r="U388" s="587">
        <f t="shared" si="264"/>
        <v>0</v>
      </c>
      <c r="V388" s="587">
        <f t="shared" si="264"/>
        <v>0</v>
      </c>
      <c r="W388" s="587">
        <f t="shared" si="264"/>
        <v>0</v>
      </c>
      <c r="X388" s="587">
        <f t="shared" si="264"/>
        <v>0</v>
      </c>
      <c r="Y388" s="587">
        <f t="shared" si="264"/>
        <v>0</v>
      </c>
      <c r="Z388" s="587"/>
      <c r="AA388" s="587"/>
      <c r="AB388" s="587"/>
      <c r="AC388" s="587"/>
      <c r="AD388" s="587"/>
      <c r="AE388" s="588"/>
      <c r="AF388" s="587"/>
      <c r="AG388" s="587"/>
      <c r="AH388" s="587"/>
      <c r="AI388" s="587"/>
      <c r="AJ388" s="587"/>
      <c r="AK388" s="587"/>
      <c r="AL388" s="587"/>
      <c r="AM388" s="587"/>
      <c r="AN388" s="587"/>
      <c r="AO388" s="587"/>
      <c r="AP388" s="587"/>
      <c r="AQ388" s="587"/>
      <c r="AR388" s="587"/>
      <c r="AS388" s="587"/>
      <c r="AT388" s="587"/>
      <c r="AU388" s="587"/>
      <c r="AV388" s="587"/>
      <c r="AW388" s="587"/>
      <c r="AX388" s="587"/>
      <c r="AY388" s="587"/>
      <c r="AZ388" s="587"/>
      <c r="BA388" s="587"/>
      <c r="BB388" s="587"/>
      <c r="BC388" s="506"/>
      <c r="BD388" s="420"/>
    </row>
    <row r="389" spans="1:101" s="415" customFormat="1" ht="15" customHeight="1" outlineLevel="3">
      <c r="B389" s="584"/>
      <c r="C389" s="589" t="s">
        <v>1930</v>
      </c>
      <c r="D389" s="586" t="s">
        <v>1913</v>
      </c>
      <c r="E389" s="587">
        <v>0</v>
      </c>
      <c r="F389" s="587">
        <v>0</v>
      </c>
      <c r="G389" s="587">
        <v>0</v>
      </c>
      <c r="H389" s="587">
        <v>0</v>
      </c>
      <c r="I389" s="587">
        <v>0</v>
      </c>
      <c r="J389" s="587">
        <v>0</v>
      </c>
      <c r="K389" s="587">
        <v>0</v>
      </c>
      <c r="L389" s="587">
        <v>0</v>
      </c>
      <c r="M389" s="587">
        <v>0</v>
      </c>
      <c r="N389" s="587">
        <v>0</v>
      </c>
      <c r="O389" s="587">
        <v>0</v>
      </c>
      <c r="P389" s="587">
        <v>0</v>
      </c>
      <c r="Q389" s="587">
        <v>0</v>
      </c>
      <c r="R389" s="587">
        <v>0</v>
      </c>
      <c r="S389" s="587">
        <v>0</v>
      </c>
      <c r="T389" s="587">
        <v>0</v>
      </c>
      <c r="U389" s="587">
        <v>0</v>
      </c>
      <c r="V389" s="587">
        <v>0</v>
      </c>
      <c r="W389" s="587">
        <v>0</v>
      </c>
      <c r="X389" s="587">
        <v>0</v>
      </c>
      <c r="Y389" s="587">
        <v>0</v>
      </c>
      <c r="Z389" s="587">
        <v>0</v>
      </c>
      <c r="AA389" s="587">
        <v>0</v>
      </c>
      <c r="AB389" s="587">
        <v>0</v>
      </c>
      <c r="AC389" s="587">
        <v>0</v>
      </c>
      <c r="AD389" s="587">
        <v>0</v>
      </c>
      <c r="AE389" s="588">
        <v>0</v>
      </c>
      <c r="AF389" s="587">
        <v>0</v>
      </c>
      <c r="AG389" s="587">
        <v>0</v>
      </c>
      <c r="AH389" s="587">
        <v>0</v>
      </c>
      <c r="AI389" s="587">
        <v>0</v>
      </c>
      <c r="AJ389" s="587">
        <v>0</v>
      </c>
      <c r="AK389" s="587">
        <v>0</v>
      </c>
      <c r="AL389" s="587">
        <v>0</v>
      </c>
      <c r="AM389" s="587">
        <v>0</v>
      </c>
      <c r="AN389" s="587">
        <v>0</v>
      </c>
      <c r="AO389" s="587">
        <v>0</v>
      </c>
      <c r="AP389" s="587">
        <v>0</v>
      </c>
      <c r="AQ389" s="587">
        <v>0</v>
      </c>
      <c r="AR389" s="587">
        <v>0</v>
      </c>
      <c r="AS389" s="587">
        <v>0</v>
      </c>
      <c r="AT389" s="587">
        <v>0</v>
      </c>
      <c r="AU389" s="587">
        <v>0</v>
      </c>
      <c r="AV389" s="587">
        <v>0</v>
      </c>
      <c r="AW389" s="587">
        <v>0</v>
      </c>
      <c r="AX389" s="587">
        <v>0</v>
      </c>
      <c r="AY389" s="587">
        <v>0</v>
      </c>
      <c r="AZ389" s="587">
        <v>0</v>
      </c>
      <c r="BA389" s="587">
        <v>0</v>
      </c>
      <c r="BB389" s="587">
        <v>0</v>
      </c>
      <c r="BC389" s="506"/>
      <c r="BD389" s="420"/>
    </row>
    <row r="390" spans="1:101" ht="15" customHeight="1" outlineLevel="3">
      <c r="B390" s="579"/>
      <c r="C390" s="590" t="s">
        <v>1914</v>
      </c>
      <c r="D390" s="581" t="s">
        <v>1915</v>
      </c>
      <c r="E390" s="582">
        <v>0</v>
      </c>
      <c r="F390" s="582">
        <v>0</v>
      </c>
      <c r="G390" s="582">
        <v>0</v>
      </c>
      <c r="H390" s="582">
        <v>0</v>
      </c>
      <c r="I390" s="582">
        <v>0</v>
      </c>
      <c r="J390" s="582">
        <v>0</v>
      </c>
      <c r="K390" s="582">
        <v>0</v>
      </c>
      <c r="L390" s="582">
        <v>0</v>
      </c>
      <c r="M390" s="582">
        <v>0</v>
      </c>
      <c r="N390" s="582">
        <v>0</v>
      </c>
      <c r="O390" s="582">
        <v>0</v>
      </c>
      <c r="P390" s="582">
        <v>0</v>
      </c>
      <c r="Q390" s="582">
        <v>0</v>
      </c>
      <c r="R390" s="582">
        <v>0</v>
      </c>
      <c r="S390" s="582">
        <v>0</v>
      </c>
      <c r="T390" s="582">
        <v>0</v>
      </c>
      <c r="U390" s="582">
        <v>0</v>
      </c>
      <c r="V390" s="582">
        <v>0</v>
      </c>
      <c r="W390" s="582">
        <v>0</v>
      </c>
      <c r="X390" s="582">
        <v>0</v>
      </c>
      <c r="Y390" s="582">
        <v>0</v>
      </c>
      <c r="Z390" s="582">
        <v>0</v>
      </c>
      <c r="AA390" s="582">
        <v>0</v>
      </c>
      <c r="AB390" s="582">
        <v>0</v>
      </c>
      <c r="AC390" s="582">
        <v>0</v>
      </c>
      <c r="AD390" s="582">
        <v>0</v>
      </c>
      <c r="AE390" s="583">
        <v>0</v>
      </c>
      <c r="AF390" s="582">
        <v>0</v>
      </c>
      <c r="AG390" s="582">
        <v>0</v>
      </c>
      <c r="AH390" s="582">
        <v>0</v>
      </c>
      <c r="AI390" s="582">
        <v>0</v>
      </c>
      <c r="AJ390" s="582">
        <v>0</v>
      </c>
      <c r="AK390" s="582">
        <v>0</v>
      </c>
      <c r="AL390" s="582">
        <v>0</v>
      </c>
      <c r="AM390" s="582">
        <v>0</v>
      </c>
      <c r="AN390" s="582">
        <v>0</v>
      </c>
      <c r="AO390" s="582">
        <v>0</v>
      </c>
      <c r="AP390" s="582">
        <v>0</v>
      </c>
      <c r="AQ390" s="582">
        <v>0</v>
      </c>
      <c r="AR390" s="582">
        <v>0</v>
      </c>
      <c r="AS390" s="582">
        <v>0</v>
      </c>
      <c r="AT390" s="582">
        <v>0</v>
      </c>
      <c r="AU390" s="582">
        <v>0</v>
      </c>
      <c r="AV390" s="582">
        <v>0</v>
      </c>
      <c r="AW390" s="582">
        <v>0</v>
      </c>
      <c r="AX390" s="582">
        <v>0</v>
      </c>
      <c r="AY390" s="582">
        <v>0</v>
      </c>
      <c r="AZ390" s="582">
        <v>0</v>
      </c>
      <c r="BA390" s="582">
        <v>0</v>
      </c>
      <c r="BB390" s="582">
        <v>0</v>
      </c>
      <c r="BC390" s="500"/>
      <c r="BD390" s="450"/>
    </row>
    <row r="391" spans="1:101" s="415" customFormat="1" ht="15" customHeight="1" outlineLevel="3">
      <c r="B391" s="584"/>
      <c r="C391" s="589" t="s">
        <v>1916</v>
      </c>
      <c r="D391" s="586" t="s">
        <v>1917</v>
      </c>
      <c r="E391" s="587">
        <f>E388+E389+E390</f>
        <v>0</v>
      </c>
      <c r="F391" s="587">
        <f t="shared" ref="F391:Y391" si="265">F388+F389+F390</f>
        <v>0</v>
      </c>
      <c r="G391" s="587">
        <f t="shared" si="265"/>
        <v>0</v>
      </c>
      <c r="H391" s="587">
        <f t="shared" si="265"/>
        <v>0</v>
      </c>
      <c r="I391" s="587">
        <f t="shared" si="265"/>
        <v>0</v>
      </c>
      <c r="J391" s="587">
        <f t="shared" si="265"/>
        <v>0</v>
      </c>
      <c r="K391" s="587">
        <f t="shared" si="265"/>
        <v>0</v>
      </c>
      <c r="L391" s="587">
        <f t="shared" si="265"/>
        <v>0</v>
      </c>
      <c r="M391" s="587">
        <f t="shared" si="265"/>
        <v>0</v>
      </c>
      <c r="N391" s="587">
        <f t="shared" si="265"/>
        <v>0</v>
      </c>
      <c r="O391" s="587">
        <f t="shared" si="265"/>
        <v>0</v>
      </c>
      <c r="P391" s="587">
        <f t="shared" si="265"/>
        <v>0</v>
      </c>
      <c r="Q391" s="587">
        <f t="shared" si="265"/>
        <v>0</v>
      </c>
      <c r="R391" s="587">
        <f t="shared" si="265"/>
        <v>0</v>
      </c>
      <c r="S391" s="587">
        <f t="shared" si="265"/>
        <v>0</v>
      </c>
      <c r="T391" s="587">
        <f t="shared" si="265"/>
        <v>0</v>
      </c>
      <c r="U391" s="587">
        <f t="shared" si="265"/>
        <v>0</v>
      </c>
      <c r="V391" s="587">
        <f t="shared" si="265"/>
        <v>0</v>
      </c>
      <c r="W391" s="587">
        <f t="shared" si="265"/>
        <v>0</v>
      </c>
      <c r="X391" s="587">
        <f t="shared" si="265"/>
        <v>0</v>
      </c>
      <c r="Y391" s="587">
        <f t="shared" si="265"/>
        <v>0</v>
      </c>
      <c r="Z391" s="587"/>
      <c r="AA391" s="587"/>
      <c r="AB391" s="587"/>
      <c r="AC391" s="587"/>
      <c r="AD391" s="587"/>
      <c r="AE391" s="588"/>
      <c r="AF391" s="587"/>
      <c r="AG391" s="587"/>
      <c r="AH391" s="587"/>
      <c r="AI391" s="587"/>
      <c r="AJ391" s="587"/>
      <c r="AK391" s="587"/>
      <c r="AL391" s="587"/>
      <c r="AM391" s="587"/>
      <c r="AN391" s="587"/>
      <c r="AO391" s="587"/>
      <c r="AP391" s="587"/>
      <c r="AQ391" s="587"/>
      <c r="AR391" s="587"/>
      <c r="AS391" s="587"/>
      <c r="AT391" s="587"/>
      <c r="AU391" s="587"/>
      <c r="AV391" s="587"/>
      <c r="AW391" s="587"/>
      <c r="AX391" s="587"/>
      <c r="AY391" s="587"/>
      <c r="AZ391" s="587"/>
      <c r="BA391" s="587"/>
      <c r="BB391" s="587"/>
      <c r="BC391" s="506"/>
      <c r="BD391" s="420"/>
    </row>
    <row r="392" spans="1:101" ht="15" customHeight="1" outlineLevel="3">
      <c r="B392" s="579"/>
      <c r="C392" s="590" t="s">
        <v>1918</v>
      </c>
      <c r="D392" s="581" t="s">
        <v>1919</v>
      </c>
      <c r="E392" s="582">
        <v>0</v>
      </c>
      <c r="F392" s="582">
        <v>0</v>
      </c>
      <c r="G392" s="582">
        <v>0</v>
      </c>
      <c r="H392" s="582">
        <v>0</v>
      </c>
      <c r="I392" s="582">
        <v>0</v>
      </c>
      <c r="J392" s="582">
        <v>0</v>
      </c>
      <c r="K392" s="582">
        <v>0</v>
      </c>
      <c r="L392" s="582">
        <v>0</v>
      </c>
      <c r="M392" s="582">
        <v>0</v>
      </c>
      <c r="N392" s="582">
        <v>0</v>
      </c>
      <c r="O392" s="582">
        <v>0</v>
      </c>
      <c r="P392" s="582">
        <v>0</v>
      </c>
      <c r="Q392" s="582">
        <v>0</v>
      </c>
      <c r="R392" s="582">
        <v>0</v>
      </c>
      <c r="S392" s="582">
        <v>0</v>
      </c>
      <c r="T392" s="582">
        <v>0</v>
      </c>
      <c r="U392" s="582">
        <v>0</v>
      </c>
      <c r="V392" s="582">
        <v>0</v>
      </c>
      <c r="W392" s="582">
        <v>0</v>
      </c>
      <c r="X392" s="582">
        <v>0</v>
      </c>
      <c r="Y392" s="582">
        <v>0</v>
      </c>
      <c r="Z392" s="582">
        <v>0</v>
      </c>
      <c r="AA392" s="582">
        <v>0</v>
      </c>
      <c r="AB392" s="582">
        <v>0</v>
      </c>
      <c r="AC392" s="582">
        <v>0</v>
      </c>
      <c r="AD392" s="582">
        <v>0</v>
      </c>
      <c r="AE392" s="583">
        <v>0</v>
      </c>
      <c r="AF392" s="582">
        <v>0</v>
      </c>
      <c r="AG392" s="582">
        <v>0</v>
      </c>
      <c r="AH392" s="582">
        <v>0</v>
      </c>
      <c r="AI392" s="582">
        <v>0</v>
      </c>
      <c r="AJ392" s="582">
        <v>0</v>
      </c>
      <c r="AK392" s="582">
        <v>0</v>
      </c>
      <c r="AL392" s="582">
        <v>0</v>
      </c>
      <c r="AM392" s="582">
        <v>0</v>
      </c>
      <c r="AN392" s="582">
        <v>0</v>
      </c>
      <c r="AO392" s="582">
        <v>0</v>
      </c>
      <c r="AP392" s="582">
        <v>0</v>
      </c>
      <c r="AQ392" s="582">
        <v>0</v>
      </c>
      <c r="AR392" s="582">
        <v>0</v>
      </c>
      <c r="AS392" s="582">
        <v>0</v>
      </c>
      <c r="AT392" s="582">
        <v>0</v>
      </c>
      <c r="AU392" s="582">
        <v>0</v>
      </c>
      <c r="AV392" s="582">
        <v>0</v>
      </c>
      <c r="AW392" s="582">
        <v>0</v>
      </c>
      <c r="AX392" s="582">
        <v>0</v>
      </c>
      <c r="AY392" s="582">
        <v>0</v>
      </c>
      <c r="AZ392" s="582">
        <v>0</v>
      </c>
      <c r="BA392" s="582">
        <v>0</v>
      </c>
      <c r="BB392" s="582">
        <v>0</v>
      </c>
      <c r="BC392" s="500"/>
      <c r="BD392" s="450"/>
    </row>
    <row r="393" spans="1:101" ht="15" customHeight="1" outlineLevel="3">
      <c r="B393" s="579"/>
      <c r="C393" s="590" t="s">
        <v>1920</v>
      </c>
      <c r="D393" s="591" t="s">
        <v>1921</v>
      </c>
      <c r="E393" s="582">
        <v>0</v>
      </c>
      <c r="F393" s="582">
        <v>0</v>
      </c>
      <c r="G393" s="582">
        <v>0</v>
      </c>
      <c r="H393" s="582">
        <v>0</v>
      </c>
      <c r="I393" s="582">
        <v>0</v>
      </c>
      <c r="J393" s="582">
        <v>0</v>
      </c>
      <c r="K393" s="582">
        <v>0</v>
      </c>
      <c r="L393" s="582">
        <v>0</v>
      </c>
      <c r="M393" s="582">
        <v>0</v>
      </c>
      <c r="N393" s="582">
        <v>0</v>
      </c>
      <c r="O393" s="582">
        <v>0</v>
      </c>
      <c r="P393" s="582">
        <v>0</v>
      </c>
      <c r="Q393" s="582">
        <v>0</v>
      </c>
      <c r="R393" s="582">
        <v>0</v>
      </c>
      <c r="S393" s="582">
        <v>0</v>
      </c>
      <c r="T393" s="582">
        <v>0</v>
      </c>
      <c r="U393" s="582">
        <v>0</v>
      </c>
      <c r="V393" s="582">
        <v>0</v>
      </c>
      <c r="W393" s="582">
        <v>0</v>
      </c>
      <c r="X393" s="582">
        <v>0</v>
      </c>
      <c r="Y393" s="582">
        <v>0</v>
      </c>
      <c r="Z393" s="582">
        <v>0</v>
      </c>
      <c r="AA393" s="582">
        <v>0</v>
      </c>
      <c r="AB393" s="582">
        <v>0</v>
      </c>
      <c r="AC393" s="582">
        <v>0</v>
      </c>
      <c r="AD393" s="582">
        <v>0</v>
      </c>
      <c r="AE393" s="583">
        <v>0</v>
      </c>
      <c r="AF393" s="582">
        <v>0</v>
      </c>
      <c r="AG393" s="582">
        <v>0</v>
      </c>
      <c r="AH393" s="582">
        <v>0</v>
      </c>
      <c r="AI393" s="582">
        <v>0</v>
      </c>
      <c r="AJ393" s="582">
        <v>0</v>
      </c>
      <c r="AK393" s="582">
        <v>0</v>
      </c>
      <c r="AL393" s="582">
        <v>0</v>
      </c>
      <c r="AM393" s="582">
        <v>0</v>
      </c>
      <c r="AN393" s="582">
        <v>0</v>
      </c>
      <c r="AO393" s="582">
        <v>0</v>
      </c>
      <c r="AP393" s="582">
        <v>0</v>
      </c>
      <c r="AQ393" s="582">
        <v>0</v>
      </c>
      <c r="AR393" s="582">
        <v>0</v>
      </c>
      <c r="AS393" s="582">
        <v>0</v>
      </c>
      <c r="AT393" s="582">
        <v>0</v>
      </c>
      <c r="AU393" s="582">
        <v>0</v>
      </c>
      <c r="AV393" s="582">
        <v>0</v>
      </c>
      <c r="AW393" s="582">
        <v>0</v>
      </c>
      <c r="AX393" s="582">
        <v>0</v>
      </c>
      <c r="AY393" s="582">
        <v>0</v>
      </c>
      <c r="AZ393" s="582">
        <v>0</v>
      </c>
      <c r="BA393" s="582">
        <v>0</v>
      </c>
      <c r="BB393" s="582">
        <v>0</v>
      </c>
      <c r="BC393" s="500"/>
      <c r="BD393" s="450"/>
    </row>
    <row r="394" spans="1:101" ht="15" customHeight="1" outlineLevel="3">
      <c r="B394" s="579"/>
      <c r="C394" s="2793" t="s">
        <v>1922</v>
      </c>
      <c r="D394" s="591" t="s">
        <v>1923</v>
      </c>
      <c r="E394" s="582">
        <v>0</v>
      </c>
      <c r="F394" s="582">
        <v>0</v>
      </c>
      <c r="G394" s="582">
        <v>0</v>
      </c>
      <c r="H394" s="582">
        <v>0</v>
      </c>
      <c r="I394" s="582">
        <v>0</v>
      </c>
      <c r="J394" s="582">
        <v>0</v>
      </c>
      <c r="K394" s="582">
        <v>0</v>
      </c>
      <c r="L394" s="582">
        <v>0</v>
      </c>
      <c r="M394" s="582">
        <v>0</v>
      </c>
      <c r="N394" s="582">
        <v>0</v>
      </c>
      <c r="O394" s="582">
        <v>0</v>
      </c>
      <c r="P394" s="582">
        <v>0</v>
      </c>
      <c r="Q394" s="582">
        <v>0</v>
      </c>
      <c r="R394" s="582">
        <v>0</v>
      </c>
      <c r="S394" s="582">
        <v>0</v>
      </c>
      <c r="T394" s="582">
        <v>0</v>
      </c>
      <c r="U394" s="582">
        <v>0</v>
      </c>
      <c r="V394" s="582">
        <v>0</v>
      </c>
      <c r="W394" s="582">
        <v>0</v>
      </c>
      <c r="X394" s="582">
        <v>0</v>
      </c>
      <c r="Y394" s="582">
        <v>0</v>
      </c>
      <c r="Z394" s="582">
        <v>0</v>
      </c>
      <c r="AA394" s="582">
        <v>0</v>
      </c>
      <c r="AB394" s="582">
        <v>0</v>
      </c>
      <c r="AC394" s="582">
        <v>0</v>
      </c>
      <c r="AD394" s="582">
        <v>0</v>
      </c>
      <c r="AE394" s="583">
        <v>0</v>
      </c>
      <c r="AF394" s="582">
        <v>0</v>
      </c>
      <c r="AG394" s="582">
        <v>0</v>
      </c>
      <c r="AH394" s="582">
        <v>0</v>
      </c>
      <c r="AI394" s="582">
        <v>0</v>
      </c>
      <c r="AJ394" s="582">
        <v>0</v>
      </c>
      <c r="AK394" s="582">
        <v>0</v>
      </c>
      <c r="AL394" s="582">
        <v>0</v>
      </c>
      <c r="AM394" s="582">
        <v>0</v>
      </c>
      <c r="AN394" s="582">
        <v>0</v>
      </c>
      <c r="AO394" s="582">
        <v>0</v>
      </c>
      <c r="AP394" s="582">
        <v>0</v>
      </c>
      <c r="AQ394" s="582">
        <v>0</v>
      </c>
      <c r="AR394" s="582">
        <v>0</v>
      </c>
      <c r="AS394" s="582">
        <v>0</v>
      </c>
      <c r="AT394" s="582">
        <v>0</v>
      </c>
      <c r="AU394" s="582">
        <v>0</v>
      </c>
      <c r="AV394" s="582">
        <v>0</v>
      </c>
      <c r="AW394" s="582">
        <v>0</v>
      </c>
      <c r="AX394" s="582">
        <v>0</v>
      </c>
      <c r="AY394" s="582">
        <v>0</v>
      </c>
      <c r="AZ394" s="582">
        <v>0</v>
      </c>
      <c r="BA394" s="582">
        <v>0</v>
      </c>
      <c r="BB394" s="582">
        <v>0</v>
      </c>
      <c r="BC394" s="508"/>
      <c r="BD394" s="450"/>
    </row>
    <row r="395" spans="1:101" s="415" customFormat="1" ht="15" customHeight="1" outlineLevel="2">
      <c r="B395" s="584"/>
      <c r="C395" s="589" t="s">
        <v>1924</v>
      </c>
      <c r="D395" s="592" t="s">
        <v>1925</v>
      </c>
      <c r="E395" s="587">
        <f t="shared" ref="E395:BB395" si="266">E391+E392+E394</f>
        <v>0</v>
      </c>
      <c r="F395" s="587">
        <f t="shared" si="266"/>
        <v>0</v>
      </c>
      <c r="G395" s="587">
        <f t="shared" si="266"/>
        <v>0</v>
      </c>
      <c r="H395" s="587">
        <f t="shared" si="266"/>
        <v>0</v>
      </c>
      <c r="I395" s="587">
        <f t="shared" si="266"/>
        <v>0</v>
      </c>
      <c r="J395" s="587">
        <f t="shared" si="266"/>
        <v>0</v>
      </c>
      <c r="K395" s="587">
        <f t="shared" si="266"/>
        <v>0</v>
      </c>
      <c r="L395" s="587">
        <f t="shared" si="266"/>
        <v>0</v>
      </c>
      <c r="M395" s="587">
        <f t="shared" si="266"/>
        <v>0</v>
      </c>
      <c r="N395" s="587">
        <f t="shared" si="266"/>
        <v>0</v>
      </c>
      <c r="O395" s="587">
        <f t="shared" si="266"/>
        <v>0</v>
      </c>
      <c r="P395" s="587">
        <f t="shared" si="266"/>
        <v>0</v>
      </c>
      <c r="Q395" s="587">
        <f t="shared" si="266"/>
        <v>0</v>
      </c>
      <c r="R395" s="587">
        <f t="shared" si="266"/>
        <v>0</v>
      </c>
      <c r="S395" s="587">
        <f t="shared" si="266"/>
        <v>0</v>
      </c>
      <c r="T395" s="587">
        <f t="shared" si="266"/>
        <v>0</v>
      </c>
      <c r="U395" s="587">
        <f t="shared" si="266"/>
        <v>0</v>
      </c>
      <c r="V395" s="587">
        <f t="shared" si="266"/>
        <v>0</v>
      </c>
      <c r="W395" s="587">
        <f t="shared" si="266"/>
        <v>0</v>
      </c>
      <c r="X395" s="587">
        <f t="shared" si="266"/>
        <v>0</v>
      </c>
      <c r="Y395" s="587">
        <f t="shared" si="266"/>
        <v>0</v>
      </c>
      <c r="Z395" s="587">
        <f t="shared" si="266"/>
        <v>0</v>
      </c>
      <c r="AA395" s="587">
        <f t="shared" si="266"/>
        <v>0</v>
      </c>
      <c r="AB395" s="587">
        <f t="shared" si="266"/>
        <v>0</v>
      </c>
      <c r="AC395" s="587">
        <f t="shared" si="266"/>
        <v>0</v>
      </c>
      <c r="AD395" s="587">
        <f t="shared" si="266"/>
        <v>0</v>
      </c>
      <c r="AE395" s="588">
        <f t="shared" si="266"/>
        <v>0</v>
      </c>
      <c r="AF395" s="587">
        <f t="shared" si="266"/>
        <v>0</v>
      </c>
      <c r="AG395" s="587">
        <f t="shared" si="266"/>
        <v>0</v>
      </c>
      <c r="AH395" s="587">
        <f t="shared" si="266"/>
        <v>0</v>
      </c>
      <c r="AI395" s="587">
        <f t="shared" si="266"/>
        <v>0</v>
      </c>
      <c r="AJ395" s="587">
        <f t="shared" si="266"/>
        <v>0</v>
      </c>
      <c r="AK395" s="587">
        <f t="shared" si="266"/>
        <v>0</v>
      </c>
      <c r="AL395" s="587">
        <f t="shared" si="266"/>
        <v>0</v>
      </c>
      <c r="AM395" s="587">
        <f t="shared" si="266"/>
        <v>0</v>
      </c>
      <c r="AN395" s="587">
        <f t="shared" si="266"/>
        <v>0</v>
      </c>
      <c r="AO395" s="587">
        <f t="shared" si="266"/>
        <v>0</v>
      </c>
      <c r="AP395" s="587">
        <f t="shared" si="266"/>
        <v>0</v>
      </c>
      <c r="AQ395" s="587">
        <f t="shared" ref="AQ395:AZ395" si="267">AQ391+AQ392+AQ394</f>
        <v>0</v>
      </c>
      <c r="AR395" s="587">
        <f t="shared" si="267"/>
        <v>0</v>
      </c>
      <c r="AS395" s="587">
        <f t="shared" si="267"/>
        <v>0</v>
      </c>
      <c r="AT395" s="587">
        <f t="shared" si="267"/>
        <v>0</v>
      </c>
      <c r="AU395" s="587">
        <f t="shared" si="267"/>
        <v>0</v>
      </c>
      <c r="AV395" s="587">
        <f t="shared" si="267"/>
        <v>0</v>
      </c>
      <c r="AW395" s="587">
        <f t="shared" si="267"/>
        <v>0</v>
      </c>
      <c r="AX395" s="587">
        <f t="shared" si="267"/>
        <v>0</v>
      </c>
      <c r="AY395" s="587">
        <f t="shared" si="267"/>
        <v>0</v>
      </c>
      <c r="AZ395" s="587">
        <f t="shared" si="267"/>
        <v>0</v>
      </c>
      <c r="BA395" s="587">
        <f t="shared" si="266"/>
        <v>0</v>
      </c>
      <c r="BB395" s="587">
        <f t="shared" si="266"/>
        <v>0</v>
      </c>
      <c r="BC395" s="506"/>
      <c r="BD395" s="420"/>
    </row>
    <row r="396" spans="1:101" s="415" customFormat="1" ht="15" customHeight="1" outlineLevel="2">
      <c r="B396" s="584"/>
      <c r="C396" s="589" t="s">
        <v>1926</v>
      </c>
      <c r="D396" s="586" t="s">
        <v>1927</v>
      </c>
      <c r="E396" s="587">
        <f>E395</f>
        <v>0</v>
      </c>
      <c r="F396" s="587">
        <f t="shared" ref="F396:AZ396" si="268">F395-E395</f>
        <v>0</v>
      </c>
      <c r="G396" s="587">
        <f t="shared" si="268"/>
        <v>0</v>
      </c>
      <c r="H396" s="587">
        <f t="shared" si="268"/>
        <v>0</v>
      </c>
      <c r="I396" s="587">
        <f t="shared" si="268"/>
        <v>0</v>
      </c>
      <c r="J396" s="587">
        <f t="shared" si="268"/>
        <v>0</v>
      </c>
      <c r="K396" s="587">
        <f t="shared" si="268"/>
        <v>0</v>
      </c>
      <c r="L396" s="587">
        <f t="shared" si="268"/>
        <v>0</v>
      </c>
      <c r="M396" s="587">
        <f t="shared" si="268"/>
        <v>0</v>
      </c>
      <c r="N396" s="587">
        <f t="shared" si="268"/>
        <v>0</v>
      </c>
      <c r="O396" s="587">
        <f t="shared" si="268"/>
        <v>0</v>
      </c>
      <c r="P396" s="587">
        <f t="shared" si="268"/>
        <v>0</v>
      </c>
      <c r="Q396" s="587">
        <f t="shared" si="268"/>
        <v>0</v>
      </c>
      <c r="R396" s="587">
        <f t="shared" si="268"/>
        <v>0</v>
      </c>
      <c r="S396" s="587">
        <f t="shared" si="268"/>
        <v>0</v>
      </c>
      <c r="T396" s="587">
        <f t="shared" si="268"/>
        <v>0</v>
      </c>
      <c r="U396" s="587">
        <f t="shared" si="268"/>
        <v>0</v>
      </c>
      <c r="V396" s="587">
        <f t="shared" si="268"/>
        <v>0</v>
      </c>
      <c r="W396" s="587">
        <f t="shared" si="268"/>
        <v>0</v>
      </c>
      <c r="X396" s="587">
        <f t="shared" si="268"/>
        <v>0</v>
      </c>
      <c r="Y396" s="587">
        <f t="shared" si="268"/>
        <v>0</v>
      </c>
      <c r="Z396" s="587">
        <f t="shared" si="268"/>
        <v>0</v>
      </c>
      <c r="AA396" s="587">
        <f t="shared" si="268"/>
        <v>0</v>
      </c>
      <c r="AB396" s="587">
        <f t="shared" si="268"/>
        <v>0</v>
      </c>
      <c r="AC396" s="587">
        <f t="shared" si="268"/>
        <v>0</v>
      </c>
      <c r="AD396" s="587">
        <f t="shared" si="268"/>
        <v>0</v>
      </c>
      <c r="AE396" s="588">
        <f t="shared" si="268"/>
        <v>0</v>
      </c>
      <c r="AF396" s="587">
        <f t="shared" si="268"/>
        <v>0</v>
      </c>
      <c r="AG396" s="587">
        <f t="shared" si="268"/>
        <v>0</v>
      </c>
      <c r="AH396" s="587">
        <f t="shared" si="268"/>
        <v>0</v>
      </c>
      <c r="AI396" s="587">
        <f t="shared" si="268"/>
        <v>0</v>
      </c>
      <c r="AJ396" s="587">
        <f t="shared" si="268"/>
        <v>0</v>
      </c>
      <c r="AK396" s="587">
        <f t="shared" si="268"/>
        <v>0</v>
      </c>
      <c r="AL396" s="587">
        <f t="shared" si="268"/>
        <v>0</v>
      </c>
      <c r="AM396" s="587">
        <f t="shared" si="268"/>
        <v>0</v>
      </c>
      <c r="AN396" s="587">
        <f t="shared" si="268"/>
        <v>0</v>
      </c>
      <c r="AO396" s="587">
        <f t="shared" si="268"/>
        <v>0</v>
      </c>
      <c r="AP396" s="587">
        <f t="shared" si="268"/>
        <v>0</v>
      </c>
      <c r="AQ396" s="587">
        <f t="shared" si="268"/>
        <v>0</v>
      </c>
      <c r="AR396" s="587">
        <f t="shared" si="268"/>
        <v>0</v>
      </c>
      <c r="AS396" s="587">
        <f t="shared" si="268"/>
        <v>0</v>
      </c>
      <c r="AT396" s="587">
        <f t="shared" si="268"/>
        <v>0</v>
      </c>
      <c r="AU396" s="587">
        <f t="shared" si="268"/>
        <v>0</v>
      </c>
      <c r="AV396" s="587">
        <f t="shared" si="268"/>
        <v>0</v>
      </c>
      <c r="AW396" s="587">
        <f t="shared" si="268"/>
        <v>0</v>
      </c>
      <c r="AX396" s="587">
        <f t="shared" si="268"/>
        <v>0</v>
      </c>
      <c r="AY396" s="587">
        <f t="shared" si="268"/>
        <v>0</v>
      </c>
      <c r="AZ396" s="587">
        <f t="shared" si="268"/>
        <v>0</v>
      </c>
      <c r="BA396" s="587">
        <f>BA395-AP395</f>
        <v>0</v>
      </c>
      <c r="BB396" s="587">
        <f>BB395-BA395</f>
        <v>0</v>
      </c>
      <c r="BC396" s="506"/>
      <c r="BD396" s="420"/>
    </row>
    <row r="397" spans="1:101" s="536" customFormat="1" ht="16.5" customHeight="1" outlineLevel="2">
      <c r="A397" s="431"/>
      <c r="B397" s="584"/>
      <c r="C397" s="593"/>
      <c r="D397" s="586"/>
      <c r="E397" s="587"/>
      <c r="F397" s="587"/>
      <c r="G397" s="587"/>
      <c r="H397" s="587"/>
      <c r="I397" s="587"/>
      <c r="J397" s="582"/>
      <c r="K397" s="582"/>
      <c r="L397" s="582"/>
      <c r="M397" s="582"/>
      <c r="N397" s="582"/>
      <c r="O397" s="582"/>
      <c r="P397" s="582"/>
      <c r="Q397" s="582"/>
      <c r="R397" s="582"/>
      <c r="S397" s="582"/>
      <c r="T397" s="582"/>
      <c r="U397" s="582"/>
      <c r="V397" s="582"/>
      <c r="W397" s="582"/>
      <c r="X397" s="582"/>
      <c r="Y397" s="582"/>
      <c r="Z397" s="582"/>
      <c r="AA397" s="582"/>
      <c r="AB397" s="582"/>
      <c r="AC397" s="582"/>
      <c r="AD397" s="582"/>
      <c r="AE397" s="583"/>
      <c r="AF397" s="582"/>
      <c r="AG397" s="582"/>
      <c r="AH397" s="582"/>
      <c r="AI397" s="582"/>
      <c r="AJ397" s="582"/>
      <c r="AK397" s="582"/>
      <c r="AL397" s="582"/>
      <c r="AM397" s="582"/>
      <c r="AN397" s="582"/>
      <c r="AO397" s="582"/>
      <c r="AP397" s="582"/>
      <c r="AQ397" s="582"/>
      <c r="AR397" s="582"/>
      <c r="AS397" s="582"/>
      <c r="AT397" s="582"/>
      <c r="AU397" s="582"/>
      <c r="AV397" s="582"/>
      <c r="AW397" s="582"/>
      <c r="AX397" s="582"/>
      <c r="AY397" s="582"/>
      <c r="AZ397" s="582"/>
      <c r="BA397" s="582"/>
      <c r="BB397" s="582"/>
      <c r="BC397" s="506"/>
      <c r="BD397" s="535"/>
    </row>
    <row r="398" spans="1:101" ht="43.5" customHeight="1" outlineLevel="1">
      <c r="B398" s="6153"/>
      <c r="C398" s="6153"/>
      <c r="D398" s="6153"/>
      <c r="E398" s="435"/>
      <c r="F398" s="435"/>
      <c r="G398" s="435"/>
      <c r="H398" s="435"/>
      <c r="I398" s="435"/>
      <c r="J398" s="435"/>
      <c r="K398" s="435"/>
      <c r="L398" s="435"/>
      <c r="M398" s="435"/>
      <c r="N398" s="435"/>
      <c r="O398" s="435"/>
      <c r="P398" s="435"/>
      <c r="Q398" s="435"/>
      <c r="R398" s="435"/>
      <c r="S398" s="435"/>
      <c r="T398" s="435"/>
      <c r="U398" s="435"/>
      <c r="V398" s="435"/>
      <c r="W398" s="435"/>
      <c r="X398" s="435"/>
      <c r="Y398" s="435"/>
      <c r="Z398" s="435"/>
      <c r="AA398" s="435"/>
      <c r="AB398" s="435"/>
      <c r="AC398" s="435"/>
      <c r="AD398" s="435"/>
      <c r="AE398" s="435"/>
      <c r="AF398" s="435"/>
      <c r="AG398" s="435"/>
      <c r="AH398" s="435"/>
      <c r="AI398" s="435"/>
      <c r="AJ398" s="435"/>
      <c r="AK398" s="435"/>
      <c r="AL398" s="435"/>
      <c r="AM398" s="435"/>
      <c r="AN398" s="435"/>
      <c r="AO398" s="435"/>
      <c r="AP398" s="435"/>
      <c r="AQ398" s="435"/>
      <c r="AR398" s="435"/>
      <c r="AS398" s="435"/>
      <c r="AT398" s="435"/>
      <c r="AU398" s="435"/>
      <c r="AV398" s="435"/>
      <c r="AW398" s="435"/>
      <c r="AX398" s="435"/>
      <c r="AY398" s="435"/>
      <c r="AZ398" s="435"/>
      <c r="BA398" s="435"/>
      <c r="BB398" s="435"/>
      <c r="BC398" s="435"/>
    </row>
    <row r="399" spans="1:101" s="430" customFormat="1" outlineLevel="1">
      <c r="A399" s="431"/>
      <c r="B399" s="431"/>
      <c r="C399" s="431"/>
      <c r="D399" s="434"/>
      <c r="E399" s="435"/>
      <c r="F399" s="435"/>
      <c r="G399" s="435"/>
      <c r="H399" s="435"/>
      <c r="I399" s="435"/>
      <c r="J399" s="435"/>
      <c r="K399" s="435"/>
      <c r="L399" s="435"/>
      <c r="M399" s="435"/>
      <c r="N399" s="435"/>
      <c r="O399" s="435"/>
      <c r="P399" s="435"/>
      <c r="Q399" s="435"/>
      <c r="R399" s="435"/>
      <c r="S399" s="435"/>
      <c r="T399" s="435"/>
      <c r="U399" s="435"/>
      <c r="V399" s="435"/>
      <c r="W399" s="435"/>
      <c r="X399" s="435"/>
      <c r="Y399" s="435"/>
      <c r="Z399" s="435"/>
      <c r="AA399" s="435"/>
      <c r="AB399" s="435"/>
      <c r="AC399" s="435"/>
      <c r="AD399" s="435"/>
      <c r="AE399" s="435"/>
      <c r="AF399" s="435"/>
      <c r="AG399" s="435"/>
      <c r="AH399" s="435"/>
      <c r="AI399" s="435"/>
      <c r="AJ399" s="435"/>
      <c r="AK399" s="435"/>
      <c r="AL399" s="435"/>
      <c r="AM399" s="435"/>
      <c r="AN399" s="435"/>
      <c r="AO399" s="435"/>
      <c r="AP399" s="435"/>
      <c r="AQ399" s="435"/>
      <c r="AR399" s="435"/>
      <c r="AS399" s="435"/>
      <c r="AT399" s="435"/>
      <c r="AU399" s="435"/>
      <c r="AV399" s="435"/>
      <c r="AW399" s="435"/>
      <c r="AX399" s="435"/>
      <c r="AY399" s="435"/>
      <c r="AZ399" s="435"/>
      <c r="BA399" s="435"/>
      <c r="BB399" s="435"/>
      <c r="BC399" s="435"/>
      <c r="BE399" s="431"/>
      <c r="BF399" s="431"/>
      <c r="BG399" s="431"/>
      <c r="BH399" s="431"/>
      <c r="BI399" s="431"/>
      <c r="BJ399" s="431"/>
      <c r="BK399" s="431"/>
      <c r="BL399" s="431"/>
      <c r="BM399" s="431"/>
      <c r="BN399" s="431"/>
      <c r="BO399" s="431"/>
      <c r="BP399" s="431"/>
      <c r="BQ399" s="431"/>
      <c r="BR399" s="431"/>
      <c r="BS399" s="431"/>
      <c r="BT399" s="431"/>
      <c r="BU399" s="431"/>
      <c r="BV399" s="431"/>
      <c r="BW399" s="431"/>
      <c r="BX399" s="431"/>
      <c r="BY399" s="431"/>
      <c r="BZ399" s="431"/>
      <c r="CA399" s="431"/>
      <c r="CB399" s="431"/>
      <c r="CC399" s="431"/>
      <c r="CD399" s="431"/>
      <c r="CE399" s="431"/>
      <c r="CF399" s="431"/>
      <c r="CG399" s="431"/>
      <c r="CH399" s="431"/>
      <c r="CI399" s="431"/>
      <c r="CJ399" s="431"/>
      <c r="CK399" s="431"/>
      <c r="CL399" s="431"/>
      <c r="CM399" s="431"/>
      <c r="CN399" s="431"/>
      <c r="CO399" s="431"/>
      <c r="CP399" s="431"/>
      <c r="CQ399" s="431"/>
      <c r="CR399" s="431"/>
      <c r="CS399" s="431"/>
      <c r="CT399" s="431"/>
      <c r="CU399" s="431"/>
      <c r="CV399" s="431"/>
      <c r="CW399" s="431"/>
    </row>
    <row r="400" spans="1:101" s="430" customFormat="1">
      <c r="A400" s="431"/>
      <c r="B400" s="602"/>
      <c r="C400" s="603"/>
      <c r="D400" s="604"/>
      <c r="E400" s="614">
        <f>E291</f>
        <v>43038</v>
      </c>
      <c r="F400" s="614">
        <f t="shared" ref="F400:AO400" si="269">F291</f>
        <v>43068</v>
      </c>
      <c r="G400" s="614">
        <f t="shared" si="269"/>
        <v>43098</v>
      </c>
      <c r="H400" s="614">
        <f t="shared" si="269"/>
        <v>43128</v>
      </c>
      <c r="I400" s="614">
        <f t="shared" si="269"/>
        <v>43158</v>
      </c>
      <c r="J400" s="614">
        <f t="shared" si="269"/>
        <v>43188</v>
      </c>
      <c r="K400" s="614">
        <f t="shared" si="269"/>
        <v>43218</v>
      </c>
      <c r="L400" s="614">
        <f t="shared" si="269"/>
        <v>43248</v>
      </c>
      <c r="M400" s="614">
        <f t="shared" si="269"/>
        <v>43278</v>
      </c>
      <c r="N400" s="614">
        <f t="shared" si="269"/>
        <v>43308</v>
      </c>
      <c r="O400" s="614">
        <f t="shared" si="269"/>
        <v>43338</v>
      </c>
      <c r="P400" s="614">
        <f t="shared" si="269"/>
        <v>43368</v>
      </c>
      <c r="Q400" s="614">
        <f t="shared" si="269"/>
        <v>43398</v>
      </c>
      <c r="R400" s="614">
        <f t="shared" si="269"/>
        <v>43428</v>
      </c>
      <c r="S400" s="614">
        <f t="shared" si="269"/>
        <v>43458</v>
      </c>
      <c r="T400" s="614">
        <f t="shared" si="269"/>
        <v>43488</v>
      </c>
      <c r="U400" s="614">
        <f t="shared" si="269"/>
        <v>43518</v>
      </c>
      <c r="V400" s="614">
        <f t="shared" si="269"/>
        <v>43548</v>
      </c>
      <c r="W400" s="614">
        <f t="shared" si="269"/>
        <v>43578</v>
      </c>
      <c r="X400" s="614">
        <f t="shared" si="269"/>
        <v>43608</v>
      </c>
      <c r="Y400" s="614">
        <f t="shared" si="269"/>
        <v>43638</v>
      </c>
      <c r="Z400" s="614">
        <f t="shared" si="269"/>
        <v>43668</v>
      </c>
      <c r="AA400" s="614">
        <f t="shared" si="269"/>
        <v>43698</v>
      </c>
      <c r="AB400" s="614">
        <f t="shared" si="269"/>
        <v>43728</v>
      </c>
      <c r="AC400" s="614">
        <f t="shared" si="269"/>
        <v>43758</v>
      </c>
      <c r="AD400" s="614">
        <f t="shared" si="269"/>
        <v>43788</v>
      </c>
      <c r="AE400" s="614">
        <f t="shared" si="269"/>
        <v>43818</v>
      </c>
      <c r="AF400" s="614">
        <f t="shared" si="269"/>
        <v>43848</v>
      </c>
      <c r="AG400" s="614">
        <f t="shared" si="269"/>
        <v>43878</v>
      </c>
      <c r="AH400" s="614">
        <f t="shared" si="269"/>
        <v>43908</v>
      </c>
      <c r="AI400" s="614">
        <f t="shared" si="269"/>
        <v>43938</v>
      </c>
      <c r="AJ400" s="614">
        <f t="shared" si="269"/>
        <v>43968</v>
      </c>
      <c r="AK400" s="614">
        <f t="shared" si="269"/>
        <v>43998</v>
      </c>
      <c r="AL400" s="614">
        <f t="shared" si="269"/>
        <v>44028</v>
      </c>
      <c r="AM400" s="614">
        <f t="shared" si="269"/>
        <v>44058</v>
      </c>
      <c r="AN400" s="614">
        <f t="shared" si="269"/>
        <v>44088</v>
      </c>
      <c r="AO400" s="615">
        <f t="shared" si="269"/>
        <v>44118</v>
      </c>
      <c r="AP400" s="435">
        <f>AO400</f>
        <v>44118</v>
      </c>
      <c r="AQ400" s="614">
        <f t="shared" ref="AQ400:AY400" si="270">AQ291</f>
        <v>44178</v>
      </c>
      <c r="AR400" s="614">
        <f t="shared" si="270"/>
        <v>44208</v>
      </c>
      <c r="AS400" s="614">
        <f t="shared" si="270"/>
        <v>44238</v>
      </c>
      <c r="AT400" s="614">
        <f t="shared" si="270"/>
        <v>44268</v>
      </c>
      <c r="AU400" s="614">
        <f t="shared" si="270"/>
        <v>44298</v>
      </c>
      <c r="AV400" s="614">
        <f t="shared" si="270"/>
        <v>44328</v>
      </c>
      <c r="AW400" s="614">
        <f t="shared" si="270"/>
        <v>44358</v>
      </c>
      <c r="AX400" s="614">
        <f t="shared" si="270"/>
        <v>44388</v>
      </c>
      <c r="AY400" s="615">
        <f t="shared" si="270"/>
        <v>44418</v>
      </c>
      <c r="AZ400" s="435">
        <f>AY400</f>
        <v>44418</v>
      </c>
      <c r="BA400" s="435">
        <f>AP400</f>
        <v>44118</v>
      </c>
      <c r="BB400" s="435"/>
      <c r="BC400" s="435"/>
      <c r="BE400" s="431"/>
      <c r="BF400" s="431"/>
      <c r="BG400" s="431"/>
      <c r="BH400" s="431"/>
      <c r="BI400" s="431"/>
      <c r="BJ400" s="431"/>
      <c r="BK400" s="431"/>
      <c r="BL400" s="431"/>
      <c r="BM400" s="431"/>
      <c r="BN400" s="431"/>
      <c r="BO400" s="431"/>
      <c r="BP400" s="431"/>
      <c r="BQ400" s="431"/>
      <c r="BR400" s="431"/>
      <c r="BS400" s="431"/>
      <c r="BT400" s="431"/>
      <c r="BU400" s="431"/>
      <c r="BV400" s="431"/>
      <c r="BW400" s="431"/>
      <c r="BX400" s="431"/>
      <c r="BY400" s="431"/>
      <c r="BZ400" s="431"/>
      <c r="CA400" s="431"/>
      <c r="CB400" s="431"/>
      <c r="CC400" s="431"/>
      <c r="CD400" s="431"/>
      <c r="CE400" s="431"/>
      <c r="CF400" s="431"/>
      <c r="CG400" s="431"/>
      <c r="CH400" s="431"/>
      <c r="CI400" s="431"/>
      <c r="CJ400" s="431"/>
      <c r="CK400" s="431"/>
      <c r="CL400" s="431"/>
      <c r="CM400" s="431"/>
      <c r="CN400" s="431"/>
      <c r="CO400" s="431"/>
      <c r="CP400" s="431"/>
      <c r="CQ400" s="431"/>
      <c r="CR400" s="431"/>
      <c r="CS400" s="431"/>
      <c r="CT400" s="431"/>
      <c r="CU400" s="431"/>
      <c r="CV400" s="431"/>
      <c r="CW400" s="431"/>
    </row>
    <row r="401" spans="1:101" s="430" customFormat="1" ht="23.25">
      <c r="A401" s="431"/>
      <c r="B401" s="605"/>
      <c r="C401" s="606" t="s">
        <v>1945</v>
      </c>
      <c r="D401" s="607"/>
      <c r="E401" s="617">
        <f t="shared" ref="E401:S401" si="271">E52-E186</f>
        <v>0</v>
      </c>
      <c r="F401" s="617">
        <f t="shared" si="271"/>
        <v>0</v>
      </c>
      <c r="G401" s="617">
        <f t="shared" si="271"/>
        <v>0</v>
      </c>
      <c r="H401" s="617">
        <f t="shared" si="271"/>
        <v>0</v>
      </c>
      <c r="I401" s="617">
        <f t="shared" si="271"/>
        <v>0</v>
      </c>
      <c r="J401" s="617">
        <f t="shared" si="271"/>
        <v>0</v>
      </c>
      <c r="K401" s="617">
        <f t="shared" si="271"/>
        <v>0</v>
      </c>
      <c r="L401" s="617">
        <f t="shared" si="271"/>
        <v>0</v>
      </c>
      <c r="M401" s="617">
        <f t="shared" si="271"/>
        <v>0</v>
      </c>
      <c r="N401" s="617">
        <f t="shared" si="271"/>
        <v>0</v>
      </c>
      <c r="O401" s="617">
        <f t="shared" si="271"/>
        <v>0</v>
      </c>
      <c r="P401" s="617">
        <f t="shared" si="271"/>
        <v>0</v>
      </c>
      <c r="Q401" s="617">
        <f t="shared" si="271"/>
        <v>0</v>
      </c>
      <c r="R401" s="617">
        <f t="shared" si="271"/>
        <v>0</v>
      </c>
      <c r="S401" s="617">
        <f t="shared" si="271"/>
        <v>0</v>
      </c>
      <c r="T401" s="617">
        <f t="shared" ref="T401:Y401" si="272">T52-T186</f>
        <v>0</v>
      </c>
      <c r="U401" s="617">
        <f t="shared" si="272"/>
        <v>0</v>
      </c>
      <c r="V401" s="617">
        <f t="shared" si="272"/>
        <v>0</v>
      </c>
      <c r="W401" s="617">
        <f t="shared" si="272"/>
        <v>0</v>
      </c>
      <c r="X401" s="617">
        <f t="shared" si="272"/>
        <v>0</v>
      </c>
      <c r="Y401" s="617">
        <f t="shared" si="272"/>
        <v>0</v>
      </c>
      <c r="Z401" s="617">
        <f>Z52-Z186</f>
        <v>0</v>
      </c>
      <c r="AA401" s="616"/>
      <c r="AB401" s="616"/>
      <c r="AC401" s="616"/>
      <c r="AD401" s="616"/>
      <c r="AE401" s="616"/>
      <c r="AF401" s="616"/>
      <c r="AG401" s="616"/>
      <c r="AH401" s="616"/>
      <c r="AI401" s="616"/>
      <c r="AJ401" s="616"/>
      <c r="AK401" s="616"/>
      <c r="AL401" s="616"/>
      <c r="AM401" s="616"/>
      <c r="AN401" s="616"/>
      <c r="AO401" s="2794"/>
      <c r="AP401" s="435">
        <f>AO401</f>
        <v>0</v>
      </c>
      <c r="AQ401" s="616"/>
      <c r="AR401" s="616"/>
      <c r="AS401" s="616"/>
      <c r="AT401" s="616"/>
      <c r="AU401" s="616"/>
      <c r="AV401" s="616"/>
      <c r="AW401" s="616"/>
      <c r="AX401" s="616"/>
      <c r="AY401" s="2794"/>
      <c r="AZ401" s="435">
        <f>AY401</f>
        <v>0</v>
      </c>
      <c r="BA401" s="435">
        <f>AP401</f>
        <v>0</v>
      </c>
      <c r="BB401" s="435"/>
      <c r="BC401" s="435"/>
      <c r="BE401" s="431"/>
      <c r="BF401" s="431"/>
      <c r="BG401" s="431"/>
      <c r="BH401" s="431"/>
      <c r="BI401" s="431"/>
      <c r="BJ401" s="431"/>
      <c r="BK401" s="431"/>
      <c r="BL401" s="431"/>
      <c r="BM401" s="431"/>
      <c r="BN401" s="431"/>
      <c r="BO401" s="431"/>
      <c r="BP401" s="431"/>
      <c r="BQ401" s="431"/>
      <c r="BR401" s="431"/>
      <c r="BS401" s="431"/>
      <c r="BT401" s="431"/>
      <c r="BU401" s="431"/>
      <c r="BV401" s="431"/>
      <c r="BW401" s="431"/>
      <c r="BX401" s="431"/>
      <c r="BY401" s="431"/>
      <c r="BZ401" s="431"/>
      <c r="CA401" s="431"/>
      <c r="CB401" s="431"/>
      <c r="CC401" s="431"/>
      <c r="CD401" s="431"/>
      <c r="CE401" s="431"/>
      <c r="CF401" s="431"/>
      <c r="CG401" s="431"/>
      <c r="CH401" s="431"/>
      <c r="CI401" s="431"/>
      <c r="CJ401" s="431"/>
      <c r="CK401" s="431"/>
      <c r="CL401" s="431"/>
      <c r="CM401" s="431"/>
      <c r="CN401" s="431"/>
      <c r="CO401" s="431"/>
      <c r="CP401" s="431"/>
      <c r="CQ401" s="431"/>
      <c r="CR401" s="431"/>
      <c r="CS401" s="431"/>
      <c r="CT401" s="431"/>
      <c r="CU401" s="431"/>
      <c r="CV401" s="431"/>
      <c r="CW401" s="431"/>
    </row>
    <row r="402" spans="1:101" s="430" customFormat="1">
      <c r="A402" s="431"/>
      <c r="B402" s="608"/>
      <c r="C402" s="609"/>
      <c r="D402" s="610"/>
      <c r="E402" s="612" t="e">
        <f>E401/E52</f>
        <v>#DIV/0!</v>
      </c>
      <c r="F402" s="612" t="e">
        <f>F401/F52</f>
        <v>#DIV/0!</v>
      </c>
      <c r="G402" s="612" t="e">
        <f t="shared" ref="G402:L402" si="273">G401/G52</f>
        <v>#DIV/0!</v>
      </c>
      <c r="H402" s="612" t="e">
        <f t="shared" si="273"/>
        <v>#DIV/0!</v>
      </c>
      <c r="I402" s="612" t="e">
        <f t="shared" si="273"/>
        <v>#DIV/0!</v>
      </c>
      <c r="J402" s="612" t="e">
        <f t="shared" si="273"/>
        <v>#DIV/0!</v>
      </c>
      <c r="K402" s="612" t="e">
        <f t="shared" si="273"/>
        <v>#DIV/0!</v>
      </c>
      <c r="L402" s="612" t="e">
        <f t="shared" si="273"/>
        <v>#DIV/0!</v>
      </c>
      <c r="M402" s="612" t="e">
        <f t="shared" ref="M402:S402" si="274">M401/M52</f>
        <v>#DIV/0!</v>
      </c>
      <c r="N402" s="612" t="e">
        <f t="shared" si="274"/>
        <v>#DIV/0!</v>
      </c>
      <c r="O402" s="612" t="e">
        <f t="shared" si="274"/>
        <v>#DIV/0!</v>
      </c>
      <c r="P402" s="612" t="e">
        <f t="shared" si="274"/>
        <v>#DIV/0!</v>
      </c>
      <c r="Q402" s="612" t="e">
        <f t="shared" si="274"/>
        <v>#DIV/0!</v>
      </c>
      <c r="R402" s="612" t="e">
        <f t="shared" si="274"/>
        <v>#DIV/0!</v>
      </c>
      <c r="S402" s="612" t="e">
        <f t="shared" si="274"/>
        <v>#DIV/0!</v>
      </c>
      <c r="T402" s="612" t="e">
        <f t="shared" ref="T402:Z402" si="275">T401/T52</f>
        <v>#DIV/0!</v>
      </c>
      <c r="U402" s="612" t="e">
        <f t="shared" si="275"/>
        <v>#DIV/0!</v>
      </c>
      <c r="V402" s="612" t="e">
        <f t="shared" si="275"/>
        <v>#DIV/0!</v>
      </c>
      <c r="W402" s="612" t="e">
        <f t="shared" si="275"/>
        <v>#DIV/0!</v>
      </c>
      <c r="X402" s="612" t="e">
        <f t="shared" si="275"/>
        <v>#DIV/0!</v>
      </c>
      <c r="Y402" s="612" t="e">
        <f t="shared" si="275"/>
        <v>#DIV/0!</v>
      </c>
      <c r="Z402" s="612" t="e">
        <f t="shared" si="275"/>
        <v>#DIV/0!</v>
      </c>
      <c r="AA402" s="611"/>
      <c r="AB402" s="611"/>
      <c r="AC402" s="611"/>
      <c r="AD402" s="611"/>
      <c r="AE402" s="611"/>
      <c r="AF402" s="611"/>
      <c r="AG402" s="611"/>
      <c r="AH402" s="611"/>
      <c r="AI402" s="611"/>
      <c r="AJ402" s="611"/>
      <c r="AK402" s="611"/>
      <c r="AL402" s="611"/>
      <c r="AM402" s="611"/>
      <c r="AN402" s="611"/>
      <c r="AO402" s="613"/>
      <c r="AP402" s="435"/>
      <c r="AQ402" s="611"/>
      <c r="AR402" s="611"/>
      <c r="AS402" s="611"/>
      <c r="AT402" s="611"/>
      <c r="AU402" s="611"/>
      <c r="AV402" s="611"/>
      <c r="AW402" s="611"/>
      <c r="AX402" s="611"/>
      <c r="AY402" s="613"/>
      <c r="AZ402" s="435"/>
      <c r="BA402" s="435"/>
      <c r="BB402" s="435"/>
      <c r="BC402" s="435"/>
      <c r="BE402" s="431"/>
      <c r="BF402" s="431"/>
      <c r="BG402" s="431"/>
      <c r="BH402" s="431"/>
      <c r="BI402" s="431"/>
      <c r="BJ402" s="431"/>
      <c r="BK402" s="431"/>
      <c r="BL402" s="431"/>
      <c r="BM402" s="431"/>
      <c r="BN402" s="431"/>
      <c r="BO402" s="431"/>
      <c r="BP402" s="431"/>
      <c r="BQ402" s="431"/>
      <c r="BR402" s="431"/>
      <c r="BS402" s="431"/>
      <c r="BT402" s="431"/>
      <c r="BU402" s="431"/>
      <c r="BV402" s="431"/>
      <c r="BW402" s="431"/>
      <c r="BX402" s="431"/>
      <c r="BY402" s="431"/>
      <c r="BZ402" s="431"/>
      <c r="CA402" s="431"/>
      <c r="CB402" s="431"/>
      <c r="CC402" s="431"/>
      <c r="CD402" s="431"/>
      <c r="CE402" s="431"/>
      <c r="CF402" s="431"/>
      <c r="CG402" s="431"/>
      <c r="CH402" s="431"/>
      <c r="CI402" s="431"/>
      <c r="CJ402" s="431"/>
      <c r="CK402" s="431"/>
      <c r="CL402" s="431"/>
      <c r="CM402" s="431"/>
      <c r="CN402" s="431"/>
      <c r="CO402" s="431"/>
      <c r="CP402" s="431"/>
      <c r="CQ402" s="431"/>
      <c r="CR402" s="431"/>
      <c r="CS402" s="431"/>
      <c r="CT402" s="431"/>
      <c r="CU402" s="431"/>
      <c r="CV402" s="431"/>
      <c r="CW402" s="431"/>
    </row>
    <row r="403" spans="1:101" s="430" customFormat="1">
      <c r="A403" s="431"/>
      <c r="B403" s="431"/>
      <c r="C403" s="431"/>
      <c r="D403" s="434"/>
      <c r="E403" s="435"/>
      <c r="F403" s="435"/>
      <c r="G403" s="435"/>
      <c r="H403" s="435"/>
      <c r="I403" s="435"/>
      <c r="J403" s="435"/>
      <c r="K403" s="435"/>
      <c r="L403" s="435"/>
      <c r="M403" s="435"/>
      <c r="N403" s="435"/>
      <c r="O403" s="435"/>
      <c r="P403" s="435"/>
      <c r="Q403" s="435"/>
      <c r="R403" s="435"/>
      <c r="S403" s="435"/>
      <c r="T403" s="435"/>
      <c r="U403" s="435"/>
      <c r="V403" s="435"/>
      <c r="W403" s="435"/>
      <c r="X403" s="435"/>
      <c r="Y403" s="435"/>
      <c r="Z403" s="435"/>
      <c r="AA403" s="435"/>
      <c r="AB403" s="435"/>
      <c r="AC403" s="435"/>
      <c r="AD403" s="435"/>
      <c r="AE403" s="435"/>
      <c r="AF403" s="435"/>
      <c r="AG403" s="435"/>
      <c r="AH403" s="435"/>
      <c r="AI403" s="435"/>
      <c r="AJ403" s="435"/>
      <c r="AK403" s="435"/>
      <c r="AL403" s="435"/>
      <c r="AM403" s="435"/>
      <c r="AN403" s="435"/>
      <c r="AO403" s="435"/>
      <c r="AP403" s="435"/>
      <c r="AQ403" s="435"/>
      <c r="AR403" s="435"/>
      <c r="AS403" s="435"/>
      <c r="AT403" s="435"/>
      <c r="AU403" s="435"/>
      <c r="AV403" s="435"/>
      <c r="AW403" s="435"/>
      <c r="AX403" s="435"/>
      <c r="AY403" s="435"/>
      <c r="AZ403" s="435"/>
      <c r="BA403" s="435"/>
      <c r="BB403" s="435"/>
      <c r="BC403" s="435"/>
      <c r="BE403" s="431"/>
      <c r="BF403" s="431"/>
      <c r="BG403" s="431"/>
      <c r="BH403" s="431"/>
      <c r="BI403" s="431"/>
      <c r="BJ403" s="431"/>
      <c r="BK403" s="431"/>
      <c r="BL403" s="431"/>
      <c r="BM403" s="431"/>
      <c r="BN403" s="431"/>
      <c r="BO403" s="431"/>
      <c r="BP403" s="431"/>
      <c r="BQ403" s="431"/>
      <c r="BR403" s="431"/>
      <c r="BS403" s="431"/>
      <c r="BT403" s="431"/>
      <c r="BU403" s="431"/>
      <c r="BV403" s="431"/>
      <c r="BW403" s="431"/>
      <c r="BX403" s="431"/>
      <c r="BY403" s="431"/>
      <c r="BZ403" s="431"/>
      <c r="CA403" s="431"/>
      <c r="CB403" s="431"/>
      <c r="CC403" s="431"/>
      <c r="CD403" s="431"/>
      <c r="CE403" s="431"/>
      <c r="CF403" s="431"/>
      <c r="CG403" s="431"/>
      <c r="CH403" s="431"/>
      <c r="CI403" s="431"/>
      <c r="CJ403" s="431"/>
      <c r="CK403" s="431"/>
      <c r="CL403" s="431"/>
      <c r="CM403" s="431"/>
      <c r="CN403" s="431"/>
      <c r="CO403" s="431"/>
      <c r="CP403" s="431"/>
      <c r="CQ403" s="431"/>
      <c r="CR403" s="431"/>
      <c r="CS403" s="431"/>
      <c r="CT403" s="431"/>
      <c r="CU403" s="431"/>
      <c r="CV403" s="431"/>
      <c r="CW403" s="431"/>
    </row>
    <row r="404" spans="1:101" s="430" customFormat="1">
      <c r="A404" s="431"/>
      <c r="B404" s="431"/>
      <c r="C404" s="431"/>
      <c r="D404" s="434"/>
      <c r="E404" s="435"/>
      <c r="F404" s="435"/>
      <c r="G404" s="435"/>
      <c r="H404" s="435"/>
      <c r="I404" s="435"/>
      <c r="J404" s="435"/>
      <c r="K404" s="435"/>
      <c r="L404" s="435"/>
      <c r="M404" s="435"/>
      <c r="N404" s="435"/>
      <c r="O404" s="435"/>
      <c r="P404" s="435"/>
      <c r="Q404" s="435"/>
      <c r="R404" s="435"/>
      <c r="S404" s="435"/>
      <c r="T404" s="435"/>
      <c r="U404" s="435">
        <f t="shared" ref="U404:Z404" si="276">U183-U295</f>
        <v>0</v>
      </c>
      <c r="V404" s="435">
        <f t="shared" si="276"/>
        <v>0</v>
      </c>
      <c r="W404" s="435">
        <f t="shared" si="276"/>
        <v>0</v>
      </c>
      <c r="X404" s="435">
        <f t="shared" si="276"/>
        <v>0</v>
      </c>
      <c r="Y404" s="435">
        <f t="shared" si="276"/>
        <v>0</v>
      </c>
      <c r="Z404" s="435">
        <f t="shared" si="276"/>
        <v>0</v>
      </c>
      <c r="AA404" s="435"/>
      <c r="AB404" s="435"/>
      <c r="AC404" s="435"/>
      <c r="AD404" s="435"/>
      <c r="AE404" s="435"/>
      <c r="AF404" s="435"/>
      <c r="AG404" s="435"/>
      <c r="AH404" s="435"/>
      <c r="AI404" s="435"/>
      <c r="AJ404" s="435"/>
      <c r="AK404" s="435"/>
      <c r="AL404" s="435"/>
      <c r="AM404" s="435"/>
      <c r="AN404" s="435"/>
      <c r="AO404" s="435"/>
      <c r="AP404" s="435"/>
      <c r="AQ404" s="435"/>
      <c r="AR404" s="435"/>
      <c r="AS404" s="435"/>
      <c r="AT404" s="435"/>
      <c r="AU404" s="435"/>
      <c r="AV404" s="435"/>
      <c r="AW404" s="435"/>
      <c r="AX404" s="435"/>
      <c r="AY404" s="435"/>
      <c r="AZ404" s="435"/>
      <c r="BA404" s="435"/>
      <c r="BB404" s="435"/>
      <c r="BC404" s="435"/>
      <c r="BE404" s="431"/>
      <c r="BF404" s="431"/>
      <c r="BG404" s="431"/>
      <c r="BH404" s="431"/>
      <c r="BI404" s="431"/>
      <c r="BJ404" s="431"/>
      <c r="BK404" s="431"/>
      <c r="BL404" s="431"/>
      <c r="BM404" s="431"/>
      <c r="BN404" s="431"/>
      <c r="BO404" s="431"/>
      <c r="BP404" s="431"/>
      <c r="BQ404" s="431"/>
      <c r="BR404" s="431"/>
      <c r="BS404" s="431"/>
      <c r="BT404" s="431"/>
      <c r="BU404" s="431"/>
      <c r="BV404" s="431"/>
      <c r="BW404" s="431"/>
      <c r="BX404" s="431"/>
      <c r="BY404" s="431"/>
      <c r="BZ404" s="431"/>
      <c r="CA404" s="431"/>
      <c r="CB404" s="431"/>
      <c r="CC404" s="431"/>
      <c r="CD404" s="431"/>
      <c r="CE404" s="431"/>
      <c r="CF404" s="431"/>
      <c r="CG404" s="431"/>
      <c r="CH404" s="431"/>
      <c r="CI404" s="431"/>
      <c r="CJ404" s="431"/>
      <c r="CK404" s="431"/>
      <c r="CL404" s="431"/>
      <c r="CM404" s="431"/>
      <c r="CN404" s="431"/>
      <c r="CO404" s="431"/>
      <c r="CP404" s="431"/>
      <c r="CQ404" s="431"/>
      <c r="CR404" s="431"/>
      <c r="CS404" s="431"/>
      <c r="CT404" s="431"/>
      <c r="CU404" s="431"/>
      <c r="CV404" s="431"/>
      <c r="CW404" s="431"/>
    </row>
    <row r="405" spans="1:101" s="430" customFormat="1">
      <c r="A405" s="431"/>
      <c r="B405" s="431"/>
      <c r="C405" s="431"/>
      <c r="D405" s="434"/>
      <c r="E405" s="435"/>
      <c r="F405" s="435"/>
      <c r="G405" s="435"/>
      <c r="H405" s="435"/>
      <c r="I405" s="435"/>
      <c r="J405" s="435"/>
      <c r="K405" s="435"/>
      <c r="L405" s="435"/>
      <c r="M405" s="435"/>
      <c r="N405" s="435"/>
      <c r="O405" s="435"/>
      <c r="P405" s="435"/>
      <c r="Q405" s="435"/>
      <c r="R405" s="435"/>
      <c r="S405" s="435"/>
      <c r="T405" s="435"/>
      <c r="U405" s="435"/>
      <c r="V405" s="435"/>
      <c r="W405" s="435"/>
      <c r="X405" s="435"/>
      <c r="Y405" s="435"/>
      <c r="Z405" s="435"/>
      <c r="AA405" s="435"/>
      <c r="AB405" s="435"/>
      <c r="AC405" s="435"/>
      <c r="AD405" s="435"/>
      <c r="AE405" s="435"/>
      <c r="AF405" s="435"/>
      <c r="AG405" s="435"/>
      <c r="AH405" s="435"/>
      <c r="AI405" s="435"/>
      <c r="AJ405" s="435"/>
      <c r="AK405" s="435"/>
      <c r="AL405" s="435"/>
      <c r="AM405" s="435"/>
      <c r="AN405" s="435"/>
      <c r="AO405" s="435"/>
      <c r="AP405" s="435"/>
      <c r="AQ405" s="435"/>
      <c r="AR405" s="435"/>
      <c r="AS405" s="435"/>
      <c r="AT405" s="435"/>
      <c r="AU405" s="435"/>
      <c r="AV405" s="435"/>
      <c r="AW405" s="435"/>
      <c r="AX405" s="435"/>
      <c r="AY405" s="435"/>
      <c r="AZ405" s="435"/>
      <c r="BA405" s="435"/>
      <c r="BB405" s="435"/>
      <c r="BC405" s="435"/>
      <c r="BE405" s="431"/>
      <c r="BF405" s="431"/>
      <c r="BG405" s="431"/>
      <c r="BH405" s="431"/>
      <c r="BI405" s="431"/>
      <c r="BJ405" s="431"/>
      <c r="BK405" s="431"/>
      <c r="BL405" s="431"/>
      <c r="BM405" s="431"/>
      <c r="BN405" s="431"/>
      <c r="BO405" s="431"/>
      <c r="BP405" s="431"/>
      <c r="BQ405" s="431"/>
      <c r="BR405" s="431"/>
      <c r="BS405" s="431"/>
      <c r="BT405" s="431"/>
      <c r="BU405" s="431"/>
      <c r="BV405" s="431"/>
      <c r="BW405" s="431"/>
      <c r="BX405" s="431"/>
      <c r="BY405" s="431"/>
      <c r="BZ405" s="431"/>
      <c r="CA405" s="431"/>
      <c r="CB405" s="431"/>
      <c r="CC405" s="431"/>
      <c r="CD405" s="431"/>
      <c r="CE405" s="431"/>
      <c r="CF405" s="431"/>
      <c r="CG405" s="431"/>
      <c r="CH405" s="431"/>
      <c r="CI405" s="431"/>
      <c r="CJ405" s="431"/>
      <c r="CK405" s="431"/>
      <c r="CL405" s="431"/>
      <c r="CM405" s="431"/>
      <c r="CN405" s="431"/>
      <c r="CO405" s="431"/>
      <c r="CP405" s="431"/>
      <c r="CQ405" s="431"/>
      <c r="CR405" s="431"/>
      <c r="CS405" s="431"/>
      <c r="CT405" s="431"/>
      <c r="CU405" s="431"/>
      <c r="CV405" s="431"/>
      <c r="CW405" s="431"/>
    </row>
    <row r="406" spans="1:101" s="430" customFormat="1">
      <c r="A406" s="431"/>
      <c r="B406" s="431"/>
      <c r="C406" s="431"/>
      <c r="D406" s="434"/>
      <c r="E406" s="435"/>
      <c r="F406" s="435"/>
      <c r="G406" s="435"/>
      <c r="H406" s="435"/>
      <c r="I406" s="435"/>
      <c r="J406" s="435"/>
      <c r="K406" s="435"/>
      <c r="L406" s="435"/>
      <c r="M406" s="435"/>
      <c r="N406" s="435"/>
      <c r="O406" s="435">
        <f>O183-O292</f>
        <v>0</v>
      </c>
      <c r="P406" s="435">
        <f>P292-P183</f>
        <v>0</v>
      </c>
      <c r="Q406" s="435"/>
      <c r="R406" s="435">
        <f>R186-R292</f>
        <v>0</v>
      </c>
      <c r="S406" s="435">
        <f>S186-S292</f>
        <v>0</v>
      </c>
      <c r="T406" s="435">
        <f>T186-T292</f>
        <v>0</v>
      </c>
      <c r="U406" s="435"/>
      <c r="V406" s="435"/>
      <c r="W406" s="435"/>
      <c r="X406" s="435"/>
      <c r="Y406" s="435"/>
      <c r="Z406" s="435"/>
      <c r="AA406" s="435"/>
      <c r="AB406" s="435"/>
      <c r="AC406" s="435"/>
      <c r="AD406" s="435"/>
      <c r="AE406" s="435"/>
      <c r="AF406" s="435"/>
      <c r="AG406" s="435"/>
      <c r="AH406" s="435"/>
      <c r="AI406" s="435"/>
      <c r="AJ406" s="435"/>
      <c r="AK406" s="435"/>
      <c r="AL406" s="435"/>
      <c r="AM406" s="435"/>
      <c r="AN406" s="435"/>
      <c r="AO406" s="435"/>
      <c r="AP406" s="435"/>
      <c r="AQ406" s="435"/>
      <c r="AR406" s="435"/>
      <c r="AS406" s="435"/>
      <c r="AT406" s="435"/>
      <c r="AU406" s="435"/>
      <c r="AV406" s="435"/>
      <c r="AW406" s="435"/>
      <c r="AX406" s="435"/>
      <c r="AY406" s="435"/>
      <c r="AZ406" s="435"/>
      <c r="BA406" s="435"/>
      <c r="BB406" s="435"/>
      <c r="BC406" s="435"/>
      <c r="BE406" s="431"/>
      <c r="BF406" s="431"/>
      <c r="BG406" s="431"/>
      <c r="BH406" s="431"/>
      <c r="BI406" s="431"/>
      <c r="BJ406" s="431"/>
      <c r="BK406" s="431"/>
      <c r="BL406" s="431"/>
      <c r="BM406" s="431"/>
      <c r="BN406" s="431"/>
      <c r="BO406" s="431"/>
      <c r="BP406" s="431"/>
      <c r="BQ406" s="431"/>
      <c r="BR406" s="431"/>
      <c r="BS406" s="431"/>
      <c r="BT406" s="431"/>
      <c r="BU406" s="431"/>
      <c r="BV406" s="431"/>
      <c r="BW406" s="431"/>
      <c r="BX406" s="431"/>
      <c r="BY406" s="431"/>
      <c r="BZ406" s="431"/>
      <c r="CA406" s="431"/>
      <c r="CB406" s="431"/>
      <c r="CC406" s="431"/>
      <c r="CD406" s="431"/>
      <c r="CE406" s="431"/>
      <c r="CF406" s="431"/>
      <c r="CG406" s="431"/>
      <c r="CH406" s="431"/>
      <c r="CI406" s="431"/>
      <c r="CJ406" s="431"/>
      <c r="CK406" s="431"/>
      <c r="CL406" s="431"/>
      <c r="CM406" s="431"/>
      <c r="CN406" s="431"/>
      <c r="CO406" s="431"/>
      <c r="CP406" s="431"/>
      <c r="CQ406" s="431"/>
      <c r="CR406" s="431"/>
      <c r="CS406" s="431"/>
      <c r="CT406" s="431"/>
      <c r="CU406" s="431"/>
      <c r="CV406" s="431"/>
      <c r="CW406" s="431"/>
    </row>
    <row r="414" spans="1:101">
      <c r="D414" s="626">
        <v>252931.25020694823</v>
      </c>
    </row>
    <row r="415" spans="1:101">
      <c r="D415" s="626">
        <v>788516.97020694823</v>
      </c>
    </row>
    <row r="416" spans="1:101">
      <c r="D416" s="434">
        <v>788516.97020694823</v>
      </c>
    </row>
    <row r="417" spans="4:4">
      <c r="D417" s="626">
        <v>2277623.0925000901</v>
      </c>
    </row>
    <row r="418" spans="4:4">
      <c r="D418" s="626">
        <v>4036135.1</v>
      </c>
    </row>
    <row r="419" spans="4:4">
      <c r="D419" s="626">
        <v>6076103.2724854825</v>
      </c>
    </row>
    <row r="420" spans="4:4">
      <c r="D420" s="626">
        <v>9385869.2724854834</v>
      </c>
    </row>
    <row r="421" spans="4:4">
      <c r="D421" s="626">
        <v>12971852.832485484</v>
      </c>
    </row>
    <row r="422" spans="4:4">
      <c r="D422" s="626">
        <v>14526575.262485484</v>
      </c>
    </row>
    <row r="423" spans="4:4">
      <c r="D423" s="626">
        <v>20915077.258593146</v>
      </c>
    </row>
    <row r="424" spans="4:4">
      <c r="D424" s="626">
        <v>24421339.657001987</v>
      </c>
    </row>
    <row r="425" spans="4:4">
      <c r="D425" s="626">
        <v>29209181.117148802</v>
      </c>
    </row>
    <row r="426" spans="4:4">
      <c r="D426" s="626">
        <v>36616260.597347587</v>
      </c>
    </row>
    <row r="427" spans="4:4">
      <c r="D427" s="626">
        <v>42510856.606996104</v>
      </c>
    </row>
    <row r="428" spans="4:4">
      <c r="D428" s="626">
        <v>48020387.591903225</v>
      </c>
    </row>
    <row r="429" spans="4:4">
      <c r="D429" s="626">
        <v>53766977.530725956</v>
      </c>
    </row>
    <row r="430" spans="4:4">
      <c r="D430" s="626">
        <v>60445052.030196108</v>
      </c>
    </row>
    <row r="431" spans="4:4">
      <c r="D431" s="626">
        <v>66342450.389164403</v>
      </c>
    </row>
    <row r="432" spans="4:4">
      <c r="D432" s="626">
        <v>75960822.24976258</v>
      </c>
    </row>
    <row r="433" spans="4:4">
      <c r="D433" s="626">
        <v>84832751.567705199</v>
      </c>
    </row>
    <row r="434" spans="4:4">
      <c r="D434" s="626">
        <v>94982360.679937497</v>
      </c>
    </row>
    <row r="435" spans="4:4">
      <c r="D435" s="626">
        <v>105519178.21360222</v>
      </c>
    </row>
    <row r="436" spans="4:4">
      <c r="D436" s="626">
        <v>116536895.5888854</v>
      </c>
    </row>
    <row r="437" spans="4:4">
      <c r="D437" s="626">
        <v>129001325.94869085</v>
      </c>
    </row>
    <row r="438" spans="4:4">
      <c r="D438" s="626">
        <v>144166583.87140104</v>
      </c>
    </row>
    <row r="439" spans="4:4">
      <c r="D439" s="626">
        <v>159387817.86399174</v>
      </c>
    </row>
    <row r="440" spans="4:4">
      <c r="D440" s="626">
        <v>173157267.42612293</v>
      </c>
    </row>
    <row r="441" spans="4:4">
      <c r="D441" s="626">
        <v>186266325.97049257</v>
      </c>
    </row>
    <row r="442" spans="4:4">
      <c r="D442" s="626">
        <v>199576551.22883624</v>
      </c>
    </row>
    <row r="443" spans="4:4">
      <c r="D443" s="626">
        <v>213928409.63241103</v>
      </c>
    </row>
    <row r="444" spans="4:4">
      <c r="D444" s="626">
        <v>228842447.77755839</v>
      </c>
    </row>
    <row r="445" spans="4:4">
      <c r="D445" s="626">
        <v>243617547.78476623</v>
      </c>
    </row>
    <row r="446" spans="4:4">
      <c r="D446" s="626">
        <v>256918028.63692671</v>
      </c>
    </row>
    <row r="447" spans="4:4">
      <c r="D447" s="626">
        <v>269439194.73096108</v>
      </c>
    </row>
    <row r="448" spans="4:4">
      <c r="D448" s="626">
        <v>281286430.87021953</v>
      </c>
    </row>
    <row r="449" spans="4:4">
      <c r="D449" s="626">
        <v>292253424.16771555</v>
      </c>
    </row>
    <row r="450" spans="4:4">
      <c r="D450" s="626">
        <v>303529689.38225359</v>
      </c>
    </row>
    <row r="451" spans="4:4">
      <c r="D451" s="626">
        <v>314016521.77920657</v>
      </c>
    </row>
    <row r="452" spans="4:4">
      <c r="D452" s="626">
        <v>324132215.03563923</v>
      </c>
    </row>
    <row r="453" spans="4:4">
      <c r="D453" s="626">
        <v>331302918.56440496</v>
      </c>
    </row>
    <row r="454" spans="4:4">
      <c r="D454" s="626">
        <v>338210251.75492352</v>
      </c>
    </row>
    <row r="455" spans="4:4">
      <c r="D455" s="626">
        <v>344901568.32066953</v>
      </c>
    </row>
    <row r="456" spans="4:4">
      <c r="D456" s="626">
        <v>350048492.9903717</v>
      </c>
    </row>
    <row r="457" spans="4:4">
      <c r="D457" s="626">
        <v>353112131.14838433</v>
      </c>
    </row>
    <row r="458" spans="4:4">
      <c r="D458" s="626">
        <v>354816856.11699909</v>
      </c>
    </row>
    <row r="566" spans="1:90" s="442" customFormat="1" ht="15.75" thickBot="1">
      <c r="A566" s="2795"/>
      <c r="B566" s="2796"/>
      <c r="C566" s="2796"/>
      <c r="D566" s="2797"/>
      <c r="E566" s="2798"/>
      <c r="F566" s="2798"/>
      <c r="G566" s="2798"/>
      <c r="H566" s="2798"/>
      <c r="I566" s="2798"/>
      <c r="J566" s="2798"/>
      <c r="K566" s="2798"/>
      <c r="L566" s="2798"/>
      <c r="M566" s="2798"/>
      <c r="N566" s="2798"/>
      <c r="O566" s="2798"/>
      <c r="P566" s="2798"/>
      <c r="Q566" s="2798"/>
      <c r="R566" s="2798"/>
      <c r="S566" s="2798"/>
      <c r="T566" s="2798"/>
      <c r="U566" s="2798"/>
      <c r="V566" s="2798"/>
      <c r="W566" s="2798"/>
      <c r="X566" s="2798"/>
      <c r="Y566" s="2798"/>
      <c r="Z566" s="2798"/>
      <c r="AA566" s="2798"/>
      <c r="AB566" s="2798"/>
      <c r="AC566" s="2798"/>
      <c r="AD566" s="2798"/>
      <c r="AE566" s="2798"/>
      <c r="AF566" s="2798"/>
      <c r="AG566" s="2798"/>
      <c r="AH566" s="2798"/>
      <c r="AI566" s="2798"/>
      <c r="AJ566" s="2798"/>
      <c r="AK566" s="2798"/>
      <c r="AL566" s="2798"/>
      <c r="AM566" s="2798"/>
      <c r="AN566" s="2798"/>
      <c r="AO566" s="2798"/>
      <c r="AP566" s="2798"/>
      <c r="AQ566" s="2798"/>
      <c r="AR566" s="2798"/>
      <c r="AS566" s="2798"/>
      <c r="AT566" s="2798"/>
      <c r="AU566" s="2798"/>
      <c r="AV566" s="2798"/>
      <c r="AW566" s="2798"/>
      <c r="AX566" s="2798"/>
      <c r="AY566" s="2798"/>
      <c r="AZ566" s="2798"/>
      <c r="BA566" s="2798"/>
      <c r="BB566" s="2798"/>
      <c r="BC566" s="2799"/>
      <c r="BD566" s="430"/>
      <c r="BE566" s="431"/>
      <c r="BF566" s="431"/>
      <c r="BG566" s="431"/>
      <c r="BH566" s="431"/>
      <c r="BI566" s="431"/>
      <c r="BJ566" s="431"/>
      <c r="BK566" s="431"/>
      <c r="BL566" s="431"/>
      <c r="BM566" s="431"/>
      <c r="BN566" s="431"/>
      <c r="BO566" s="431"/>
      <c r="BP566" s="431"/>
      <c r="BQ566" s="431"/>
      <c r="BR566" s="431"/>
      <c r="BS566" s="431"/>
      <c r="BT566" s="431"/>
      <c r="BU566" s="431"/>
      <c r="BV566" s="431"/>
      <c r="BW566" s="431"/>
      <c r="BX566" s="431"/>
      <c r="BY566" s="431"/>
      <c r="BZ566" s="431"/>
      <c r="CA566" s="431"/>
      <c r="CB566" s="431"/>
      <c r="CC566" s="431"/>
      <c r="CD566" s="431"/>
      <c r="CE566" s="431"/>
      <c r="CF566" s="431"/>
      <c r="CG566" s="431"/>
      <c r="CH566" s="431"/>
      <c r="CI566" s="431"/>
      <c r="CJ566" s="431"/>
      <c r="CK566" s="431"/>
      <c r="CL566" s="431"/>
    </row>
  </sheetData>
  <mergeCells count="16">
    <mergeCell ref="B398:D398"/>
    <mergeCell ref="D52:D53"/>
    <mergeCell ref="BC52:BC53"/>
    <mergeCell ref="BC179:BC180"/>
    <mergeCell ref="BC181:BC182"/>
    <mergeCell ref="D183:D184"/>
    <mergeCell ref="BC183:BC184"/>
    <mergeCell ref="BC290:BC291"/>
    <mergeCell ref="D292:D293"/>
    <mergeCell ref="BC292:BC293"/>
    <mergeCell ref="BC50:BC51"/>
    <mergeCell ref="BC12:BC13"/>
    <mergeCell ref="B15:Q15"/>
    <mergeCell ref="C16:N16"/>
    <mergeCell ref="B17:Q17"/>
    <mergeCell ref="C19:D34"/>
  </mergeCells>
  <printOptions horizontalCentered="1"/>
  <pageMargins left="0.19685039370078741" right="0.19685039370078741" top="0.35433070866141736" bottom="0.39370078740157483" header="0.31496062992125984" footer="7.874015748031496E-2"/>
  <pageSetup paperSize="8" scale="13" orientation="landscape" r:id="rId1"/>
  <headerFooter>
    <oddFooter>&amp;LQUEENS PLACE STAGE 1&amp;C&amp;A&amp;R&amp;P of &amp;N
&amp;D</oddFooter>
  </headerFooter>
  <colBreaks count="3" manualBreakCount="3">
    <brk id="13" max="382" man="1"/>
    <brk id="15" max="401" man="1"/>
    <brk id="20" max="382" man="1"/>
  </col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B33FDDA255ACA4CA475B676EB286632" ma:contentTypeVersion="17" ma:contentTypeDescription="Create a new document." ma:contentTypeScope="" ma:versionID="a196b1caf3b7c44dcea8da8d8479f622">
  <xsd:schema xmlns:xsd="http://www.w3.org/2001/XMLSchema" xmlns:xs="http://www.w3.org/2001/XMLSchema" xmlns:p="http://schemas.microsoft.com/office/2006/metadata/properties" xmlns:ns3="e12e2f9d-2b9a-4225-ac4d-6dd0394650c4" xmlns:ns4="f62d54d5-fd40-4516-9e8d-b017284ec071" targetNamespace="http://schemas.microsoft.com/office/2006/metadata/properties" ma:root="true" ma:fieldsID="14052ac0a339fd30c58559a69d6cf893" ns3:_="" ns4:_="">
    <xsd:import namespace="e12e2f9d-2b9a-4225-ac4d-6dd0394650c4"/>
    <xsd:import namespace="f62d54d5-fd40-4516-9e8d-b017284ec071"/>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_activity" minOccurs="0"/>
                <xsd:element ref="ns4:MediaServiceAutoTags" minOccurs="0"/>
                <xsd:element ref="ns4:MediaServiceOCR" minOccurs="0"/>
                <xsd:element ref="ns4:MediaServiceGenerationTime" minOccurs="0"/>
                <xsd:element ref="ns4:MediaServiceEventHashCode" minOccurs="0"/>
                <xsd:element ref="ns4:MediaServiceDateTaken" minOccurs="0"/>
                <xsd:element ref="ns4:MediaServiceLocation" minOccurs="0"/>
                <xsd:element ref="ns4:MediaLengthInSeconds" minOccurs="0"/>
                <xsd:element ref="ns4:MediaServiceObjectDetectorVersions" minOccurs="0"/>
                <xsd:element ref="ns4:MediaServiceSystemTags" minOccurs="0"/>
                <xsd:element ref="ns4:MediaServiceSearchProperties" minOccurs="0"/>
                <xsd:element ref="ns4: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12e2f9d-2b9a-4225-ac4d-6dd0394650c4"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62d54d5-fd40-4516-9e8d-b017284ec071"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_activity" ma:index="13" nillable="true" ma:displayName="_activity" ma:hidden="true" ma:internalName="_activity">
      <xsd:simpleType>
        <xsd:restriction base="dms:Note"/>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f62d54d5-fd40-4516-9e8d-b017284ec071" xsi:nil="true"/>
  </documentManagement>
</p:properties>
</file>

<file path=customXml/item4.xml><?xml version="1.0" encoding="utf-8"?>
<sisl xmlns:xsd="http://www.w3.org/2001/XMLSchema" xmlns:xsi="http://www.w3.org/2001/XMLSchema-instance" xmlns="http://www.boldonjames.com/2008/01/sie/internal/label" sislVersion="0" policy="e9528c21-00ee-45a7-9fc9-b9f112d7673e" origin="userSelected"/>
</file>

<file path=customXml/itemProps1.xml><?xml version="1.0" encoding="utf-8"?>
<ds:datastoreItem xmlns:ds="http://schemas.openxmlformats.org/officeDocument/2006/customXml" ds:itemID="{0A0DC573-6D07-46FB-9EF8-FBDBE682145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12e2f9d-2b9a-4225-ac4d-6dd0394650c4"/>
    <ds:schemaRef ds:uri="f62d54d5-fd40-4516-9e8d-b017284ec07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8B2F356-EFE1-4EFF-B9A0-5A57326B8052}">
  <ds:schemaRefs>
    <ds:schemaRef ds:uri="http://schemas.microsoft.com/sharepoint/v3/contenttype/forms"/>
  </ds:schemaRefs>
</ds:datastoreItem>
</file>

<file path=customXml/itemProps3.xml><?xml version="1.0" encoding="utf-8"?>
<ds:datastoreItem xmlns:ds="http://schemas.openxmlformats.org/officeDocument/2006/customXml" ds:itemID="{BEF286F3-05AD-4CF3-9CD3-0295FD006C5E}">
  <ds:schemaRefs>
    <ds:schemaRef ds:uri="http://schemas.openxmlformats.org/package/2006/metadata/core-properties"/>
    <ds:schemaRef ds:uri="f62d54d5-fd40-4516-9e8d-b017284ec071"/>
    <ds:schemaRef ds:uri="http://schemas.microsoft.com/office/2006/metadata/properties"/>
    <ds:schemaRef ds:uri="http://www.w3.org/XML/1998/namespace"/>
    <ds:schemaRef ds:uri="http://purl.org/dc/elements/1.1/"/>
    <ds:schemaRef ds:uri="e12e2f9d-2b9a-4225-ac4d-6dd0394650c4"/>
    <ds:schemaRef ds:uri="http://schemas.microsoft.com/office/2006/documentManagement/types"/>
    <ds:schemaRef ds:uri="http://purl.org/dc/dcmitype/"/>
    <ds:schemaRef ds:uri="http://purl.org/dc/terms/"/>
    <ds:schemaRef ds:uri="http://schemas.microsoft.com/office/infopath/2007/PartnerControls"/>
  </ds:schemaRefs>
</ds:datastoreItem>
</file>

<file path=customXml/itemProps4.xml><?xml version="1.0" encoding="utf-8"?>
<ds:datastoreItem xmlns:ds="http://schemas.openxmlformats.org/officeDocument/2006/customXml" ds:itemID="{19879A8D-7765-4401-BC75-2356BE082F0D}">
  <ds:schemaRefs>
    <ds:schemaRef ds:uri="http://www.w3.org/2001/XMLSchema"/>
    <ds:schemaRef ds:uri="http://www.boldonjames.com/2008/01/sie/internal/label"/>
  </ds:schemaRefs>
</ds:datastoreItem>
</file>

<file path=docMetadata/LabelInfo.xml><?xml version="1.0" encoding="utf-8"?>
<clbl:labelList xmlns:clbl="http://schemas.microsoft.com/office/2020/mipLabelMetadata">
  <clbl:label id="{444d106c-bc4a-4aaf-9c85-148f3eb893b9}" enabled="0" method="" siteId="{444d106c-bc4a-4aaf-9c85-148f3eb893b9}"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74</vt:i4>
      </vt:variant>
      <vt:variant>
        <vt:lpstr>Named Ranges</vt:lpstr>
      </vt:variant>
      <vt:variant>
        <vt:i4>89</vt:i4>
      </vt:variant>
    </vt:vector>
  </HeadingPairs>
  <TitlesOfParts>
    <vt:vector size="163" baseType="lpstr">
      <vt:lpstr>DATA</vt:lpstr>
      <vt:lpstr>Data Input</vt:lpstr>
      <vt:lpstr>dropdowns</vt:lpstr>
      <vt:lpstr>MoM</vt:lpstr>
      <vt:lpstr>Cover</vt:lpstr>
      <vt:lpstr>Index</vt:lpstr>
      <vt:lpstr>Executive Summary</vt:lpstr>
      <vt:lpstr>Stakeholder Executive Review</vt:lpstr>
      <vt:lpstr>Level 01</vt:lpstr>
      <vt:lpstr>Early Warnings</vt:lpstr>
      <vt:lpstr>Early Warning (2)</vt:lpstr>
      <vt:lpstr>ACC</vt:lpstr>
      <vt:lpstr>Movement</vt:lpstr>
      <vt:lpstr>75.7M SAB EW</vt:lpstr>
      <vt:lpstr>Level 02</vt:lpstr>
      <vt:lpstr>FA Status</vt:lpstr>
      <vt:lpstr>Schedule A</vt:lpstr>
      <vt:lpstr>Schedule B</vt:lpstr>
      <vt:lpstr>Overrun Summary</vt:lpstr>
      <vt:lpstr>Schedule J</vt:lpstr>
      <vt:lpstr>Schedule C</vt:lpstr>
      <vt:lpstr>Schedule D</vt:lpstr>
      <vt:lpstr>Schedule E (SS)</vt:lpstr>
      <vt:lpstr>Schedule F (SS)</vt:lpstr>
      <vt:lpstr>Schedule E</vt:lpstr>
      <vt:lpstr>Schedule F</vt:lpstr>
      <vt:lpstr>Schedule G</vt:lpstr>
      <vt:lpstr>IntFinalAccnt-DEWAN</vt:lpstr>
      <vt:lpstr>Schedule H</vt:lpstr>
      <vt:lpstr>Schedule H DAE</vt:lpstr>
      <vt:lpstr>Schedule H HKS 1</vt:lpstr>
      <vt:lpstr>Schedule H HKS 2</vt:lpstr>
      <vt:lpstr>Schedule H ATM</vt:lpstr>
      <vt:lpstr>Schedule H SIC</vt:lpstr>
      <vt:lpstr>Schedule H ZFP</vt:lpstr>
      <vt:lpstr>Schedule H LIU</vt:lpstr>
      <vt:lpstr>Schedule H KAA</vt:lpstr>
      <vt:lpstr>Schedule H GBC</vt:lpstr>
      <vt:lpstr>Schedule H NSCC</vt:lpstr>
      <vt:lpstr>Schedule H SAB</vt:lpstr>
      <vt:lpstr>Schedule H Medtel</vt:lpstr>
      <vt:lpstr>Schedule H ESCCO</vt:lpstr>
      <vt:lpstr>Schedule H RAQTAN</vt:lpstr>
      <vt:lpstr>Schedule H DEPA</vt:lpstr>
      <vt:lpstr>Schedule H AREEN</vt:lpstr>
      <vt:lpstr>Schedule H ALUTEC</vt:lpstr>
      <vt:lpstr>Schedule H MAS (Wet Works)</vt:lpstr>
      <vt:lpstr>Schedule H MAS (Amphitheatre)</vt:lpstr>
      <vt:lpstr>Schedule H AL FANAR</vt:lpstr>
      <vt:lpstr>Schedule H CML</vt:lpstr>
      <vt:lpstr>Schedule H EURO</vt:lpstr>
      <vt:lpstr>Schedule H EURO CO027</vt:lpstr>
      <vt:lpstr>Schedule H ARMETAL</vt:lpstr>
      <vt:lpstr>Schedule H HAM</vt:lpstr>
      <vt:lpstr>Schedule H GST</vt:lpstr>
      <vt:lpstr>Schedule H BIRCH</vt:lpstr>
      <vt:lpstr>Schedule H Saudico</vt:lpstr>
      <vt:lpstr>Schedule H Saudico (2)</vt:lpstr>
      <vt:lpstr>Schedule H PeopleVine</vt:lpstr>
      <vt:lpstr>Schedule H Reachware</vt:lpstr>
      <vt:lpstr>Schedule H Deep Cleaning</vt:lpstr>
      <vt:lpstr>Schedule H Info Cor</vt:lpstr>
      <vt:lpstr>Schedule H Al Futaim</vt:lpstr>
      <vt:lpstr>Schedule I</vt:lpstr>
      <vt:lpstr>Schedule K</vt:lpstr>
      <vt:lpstr>Additional Budget Sum (19Dec)</vt:lpstr>
      <vt:lpstr>Additional Budget - Det (19Dec)</vt:lpstr>
      <vt:lpstr>EI - (F1 - F2)</vt:lpstr>
      <vt:lpstr>DVO (F1 - F2)</vt:lpstr>
      <vt:lpstr>For PVO (Budget Status Table)</vt:lpstr>
      <vt:lpstr> Schedule J SS</vt:lpstr>
      <vt:lpstr>Schedule E(ss)</vt:lpstr>
      <vt:lpstr>Schedule L</vt:lpstr>
      <vt:lpstr>Cash Flow - Future</vt:lpstr>
      <vt:lpstr>Client</vt:lpstr>
      <vt:lpstr>Current_date</vt:lpstr>
      <vt:lpstr>Issue_date</vt:lpstr>
      <vt:lpstr>Location</vt:lpstr>
      <vt:lpstr>MLC_ref</vt:lpstr>
      <vt:lpstr>' Schedule J SS'!Print_Area</vt:lpstr>
      <vt:lpstr>ACC!Print_Area</vt:lpstr>
      <vt:lpstr>'Additional Budget - Det (19Dec)'!Print_Area</vt:lpstr>
      <vt:lpstr>'Additional Budget Sum (19Dec)'!Print_Area</vt:lpstr>
      <vt:lpstr>'Cash Flow - Future'!Print_Area</vt:lpstr>
      <vt:lpstr>Cover!Print_Area</vt:lpstr>
      <vt:lpstr>'Early Warning (2)'!Print_Area</vt:lpstr>
      <vt:lpstr>'Early Warnings'!Print_Area</vt:lpstr>
      <vt:lpstr>'Executive Summary'!Print_Area</vt:lpstr>
      <vt:lpstr>'FA Status'!Print_Area</vt:lpstr>
      <vt:lpstr>Index!Print_Area</vt:lpstr>
      <vt:lpstr>'IntFinalAccnt-DEWAN'!Print_Area</vt:lpstr>
      <vt:lpstr>'Level 01'!Print_Area</vt:lpstr>
      <vt:lpstr>'Level 02'!Print_Area</vt:lpstr>
      <vt:lpstr>MoM!Print_Area</vt:lpstr>
      <vt:lpstr>'Overrun Summary'!Print_Area</vt:lpstr>
      <vt:lpstr>'Schedule A'!Print_Area</vt:lpstr>
      <vt:lpstr>'Schedule B'!Print_Area</vt:lpstr>
      <vt:lpstr>'Schedule C'!Print_Area</vt:lpstr>
      <vt:lpstr>'Schedule D'!Print_Area</vt:lpstr>
      <vt:lpstr>'Schedule E'!Print_Area</vt:lpstr>
      <vt:lpstr>'Schedule E (SS)'!Print_Area</vt:lpstr>
      <vt:lpstr>'Schedule E(ss)'!Print_Area</vt:lpstr>
      <vt:lpstr>'Schedule F'!Print_Area</vt:lpstr>
      <vt:lpstr>'Schedule G'!Print_Area</vt:lpstr>
      <vt:lpstr>'Schedule H'!Print_Area</vt:lpstr>
      <vt:lpstr>'Schedule H AL FANAR'!Print_Area</vt:lpstr>
      <vt:lpstr>'Schedule H Al Futaim'!Print_Area</vt:lpstr>
      <vt:lpstr>'Schedule H ALUTEC'!Print_Area</vt:lpstr>
      <vt:lpstr>'Schedule H AREEN'!Print_Area</vt:lpstr>
      <vt:lpstr>'Schedule H ARMETAL'!Print_Area</vt:lpstr>
      <vt:lpstr>'Schedule H ATM'!Print_Area</vt:lpstr>
      <vt:lpstr>'Schedule H BIRCH'!Print_Area</vt:lpstr>
      <vt:lpstr>'Schedule H CML'!Print_Area</vt:lpstr>
      <vt:lpstr>'Schedule H DAE'!Print_Area</vt:lpstr>
      <vt:lpstr>'Schedule H Deep Cleaning'!Print_Area</vt:lpstr>
      <vt:lpstr>'Schedule H DEPA'!Print_Area</vt:lpstr>
      <vt:lpstr>'Schedule H ESCCO'!Print_Area</vt:lpstr>
      <vt:lpstr>'Schedule H EURO'!Print_Area</vt:lpstr>
      <vt:lpstr>'Schedule H EURO CO027'!Print_Area</vt:lpstr>
      <vt:lpstr>'Schedule H GBC'!Print_Area</vt:lpstr>
      <vt:lpstr>'Schedule H GST'!Print_Area</vt:lpstr>
      <vt:lpstr>'Schedule H HAM'!Print_Area</vt:lpstr>
      <vt:lpstr>'Schedule H HKS 1'!Print_Area</vt:lpstr>
      <vt:lpstr>'Schedule H HKS 2'!Print_Area</vt:lpstr>
      <vt:lpstr>'Schedule H Info Cor'!Print_Area</vt:lpstr>
      <vt:lpstr>'Schedule H KAA'!Print_Area</vt:lpstr>
      <vt:lpstr>'Schedule H LIU'!Print_Area</vt:lpstr>
      <vt:lpstr>'Schedule H MAS (Amphitheatre)'!Print_Area</vt:lpstr>
      <vt:lpstr>'Schedule H MAS (Wet Works)'!Print_Area</vt:lpstr>
      <vt:lpstr>'Schedule H Medtel'!Print_Area</vt:lpstr>
      <vt:lpstr>'Schedule H NSCC'!Print_Area</vt:lpstr>
      <vt:lpstr>'Schedule H PeopleVine'!Print_Area</vt:lpstr>
      <vt:lpstr>'Schedule H RAQTAN'!Print_Area</vt:lpstr>
      <vt:lpstr>'Schedule H Reachware'!Print_Area</vt:lpstr>
      <vt:lpstr>'Schedule H SAB'!Print_Area</vt:lpstr>
      <vt:lpstr>'Schedule H Saudico'!Print_Area</vt:lpstr>
      <vt:lpstr>'Schedule H Saudico (2)'!Print_Area</vt:lpstr>
      <vt:lpstr>'Schedule H SIC'!Print_Area</vt:lpstr>
      <vt:lpstr>'Schedule H ZFP'!Print_Area</vt:lpstr>
      <vt:lpstr>'Schedule I'!Print_Area</vt:lpstr>
      <vt:lpstr>'Schedule J'!Print_Area</vt:lpstr>
      <vt:lpstr>'Schedule K'!Print_Area</vt:lpstr>
      <vt:lpstr>'Schedule L'!Print_Area</vt:lpstr>
      <vt:lpstr>'Stakeholder Executive Review'!Print_Area</vt:lpstr>
      <vt:lpstr>' Schedule J SS'!Print_Titles</vt:lpstr>
      <vt:lpstr>ACC!Print_Titles</vt:lpstr>
      <vt:lpstr>'Early Warnings'!Print_Titles</vt:lpstr>
      <vt:lpstr>'FA Status'!Print_Titles</vt:lpstr>
      <vt:lpstr>'Level 02'!Print_Titles</vt:lpstr>
      <vt:lpstr>'Schedule A'!Print_Titles</vt:lpstr>
      <vt:lpstr>'Schedule B'!Print_Titles</vt:lpstr>
      <vt:lpstr>'Schedule C'!Print_Titles</vt:lpstr>
      <vt:lpstr>'Schedule D'!Print_Titles</vt:lpstr>
      <vt:lpstr>'Schedule E (SS)'!Print_Titles</vt:lpstr>
      <vt:lpstr>'Schedule G'!Print_Titles</vt:lpstr>
      <vt:lpstr>'Schedule H DAE'!Print_Titles</vt:lpstr>
      <vt:lpstr>'Schedule H NSCC'!Print_Titles</vt:lpstr>
      <vt:lpstr>'Schedule J'!Print_Titles</vt:lpstr>
      <vt:lpstr>'Stakeholder Executive Review'!Print_Titles</vt:lpstr>
      <vt:lpstr>Project_Name</vt:lpstr>
      <vt:lpstr>Project_number</vt:lpstr>
      <vt:lpstr>Report_No</vt:lpstr>
      <vt:lpstr>Short_No</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Paul Miller</dc:creator>
  <cp:keywords/>
  <dc:description/>
  <cp:lastModifiedBy>Blake Lombard</cp:lastModifiedBy>
  <cp:revision/>
  <cp:lastPrinted>2026-09-08T12:44:24Z</cp:lastPrinted>
  <dcterms:created xsi:type="dcterms:W3CDTF">2014-07-26T04:57:24Z</dcterms:created>
  <dcterms:modified xsi:type="dcterms:W3CDTF">2026-10-04T14:10:23Z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b7405375-125e-4e87-ab9c-b20715b7a2b1</vt:lpwstr>
  </property>
  <property fmtid="{D5CDD505-2E9C-101B-9397-08002B2CF9AE}" pid="3" name="bjDocumentSecurityLabel">
    <vt:lpwstr>This item has no classification</vt:lpwstr>
  </property>
  <property fmtid="{D5CDD505-2E9C-101B-9397-08002B2CF9AE}" pid="4" name="bjSaver">
    <vt:lpwstr>GrCiu/2eDhZLhpJ5Z6SOQsIf0LQQmk+B</vt:lpwstr>
  </property>
  <property fmtid="{D5CDD505-2E9C-101B-9397-08002B2CF9AE}" pid="5" name="bjClsUserRVM">
    <vt:lpwstr>[]</vt:lpwstr>
  </property>
  <property fmtid="{D5CDD505-2E9C-101B-9397-08002B2CF9AE}" pid="6" name="2m" linkTarget="Prop_2m">
    <vt:lpwstr>#REF!</vt:lpwstr>
  </property>
  <property fmtid="{D5CDD505-2E9C-101B-9397-08002B2CF9AE}" pid="7" name="ContentTypeId">
    <vt:lpwstr>0x010100AB33FDDA255ACA4CA475B676EB286632</vt:lpwstr>
  </property>
</Properties>
</file>